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10.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2.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worksheets/sheet14.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worksheets/sheet15.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worksheets/sheet16.xml" ContentType="application/vnd.openxmlformats-officedocument.spreadsheetml.worksheet+xml"/>
  <Override PartName="/xl/tables/table24.xml" ContentType="application/vnd.openxmlformats-officedocument.spreadsheetml.table+xml"/>
  <Override PartName="/xl/tables/table25.xml" ContentType="application/vnd.openxmlformats-officedocument.spreadsheetml.table+xml"/>
  <Override PartName="/xl/worksheets/sheet17.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worksheets/sheet18.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worksheets/sheet1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20.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worksheets/sheet21.xml" ContentType="application/vnd.openxmlformats-officedocument.spreadsheetml.worksheet+xml"/>
  <Override PartName="/xl/tables/table34.xml" ContentType="application/vnd.openxmlformats-officedocument.spreadsheetml.table+xml"/>
  <Override PartName="/xl/tables/table35.xml" ContentType="application/vnd.openxmlformats-officedocument.spreadsheetml.table+xml"/>
  <Override PartName="/xl/worksheets/sheet22.xml" ContentType="application/vnd.openxmlformats-officedocument.spreadsheetml.worksheet+xml"/>
  <Override PartName="/xl/tables/table36.xml" ContentType="application/vnd.openxmlformats-officedocument.spreadsheetml.table+xml"/>
  <Override PartName="/xl/tables/table37.xml" ContentType="application/vnd.openxmlformats-officedocument.spreadsheetml.table+xml"/>
  <Override PartName="/xl/worksheets/sheet23.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worksheets/sheet24.xml" ContentType="application/vnd.openxmlformats-officedocument.spreadsheetml.worksheet+xml"/>
  <Override PartName="/xl/tables/table40.xml" ContentType="application/vnd.openxmlformats-officedocument.spreadsheetml.table+xml"/>
  <Override PartName="/xl/tables/table41.xml" ContentType="application/vnd.openxmlformats-officedocument.spreadsheetml.table+xml"/>
  <Override PartName="/xl/worksheets/sheet25.xml" ContentType="application/vnd.openxmlformats-officedocument.spreadsheetml.worksheet+xml"/>
  <Override PartName="/xl/tables/table42.xml" ContentType="application/vnd.openxmlformats-officedocument.spreadsheetml.table+xml"/>
  <Override PartName="/xl/tables/table4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MANDA DE COMPRAS" sheetId="1" state="visible" r:id="rId1"/>
    <sheet name="LISTA" sheetId="2" state="visible" r:id="rId2"/>
    <sheet name="CUSTO OPERAÇÃO" sheetId="3" state="visible" r:id="rId3"/>
    <sheet name="DRE ORÇADA" sheetId="4" state="visible" r:id="rId4"/>
    <sheet name="PORTIFÓLIO" sheetId="5" state="visible" r:id="rId5"/>
    <sheet name="ÁREA PLANTIO" sheetId="6" state="visible" r:id="rId6"/>
    <sheet name="TL01" sheetId="7" state="visible" r:id="rId7"/>
    <sheet name="TL02" sheetId="8" state="visible" r:id="rId8"/>
    <sheet name="TL03" sheetId="9" state="visible" r:id="rId9"/>
    <sheet name="TL04" sheetId="10" state="visible" r:id="rId10"/>
    <sheet name="TL05" sheetId="11" state="visible" r:id="rId11"/>
    <sheet name="TL06" sheetId="12" state="visible" r:id="rId12"/>
    <sheet name="TL07" sheetId="13" state="visible" r:id="rId13"/>
    <sheet name="TL08" sheetId="14" state="visible" r:id="rId14"/>
    <sheet name="TL09" sheetId="15" state="visible" r:id="rId15"/>
    <sheet name="TL10" sheetId="16" state="visible" r:id="rId16"/>
    <sheet name="TL11" sheetId="17" state="visible" r:id="rId17"/>
    <sheet name="TL12" sheetId="18" state="visible" r:id="rId18"/>
    <sheet name="TL13" sheetId="19" state="visible" r:id="rId19"/>
    <sheet name="TL14" sheetId="20" state="visible" r:id="rId20"/>
    <sheet name="TL16" sheetId="21" state="visible" r:id="rId21"/>
    <sheet name="TL15" sheetId="22" state="visible" r:id="rId22"/>
    <sheet name="TL17" sheetId="23" state="visible" r:id="rId23"/>
    <sheet name="TL18" sheetId="24" state="visible" r:id="rId24"/>
    <sheet name="TL19" sheetId="25" state="visible" r:id="rId25"/>
  </sheets>
  <definedNames>
    <definedName name="HERBICIDA">LISTA!$B$2:$B$1000</definedName>
    <definedName name="FUNGICIDA">LISTA!$A$2:$A$1000</definedName>
    <definedName name="TS">LISTA!$D$2:$D$1000</definedName>
    <definedName name="TL01_IMPRESSAO">'TL01'!$A$1:$L$226</definedName>
    <definedName name="CORRETIVOS">LISTA!$I$2:$I$1000</definedName>
    <definedName name="FERTILIZANTES">LISTA!$H$2:$H$1000</definedName>
    <definedName name="INSETICIDA">LISTA!$C$2:$C$1000</definedName>
    <definedName name="SEMENTE">LISTA!$F$2:$F$1000</definedName>
    <definedName name="_xlnm._FilterDatabase" localSheetId="0" hidden="1">'DEMANDA DE COMPRAS'!$A$5:$J$82</definedName>
  </definedNames>
  <calcPr calcId="124519" fullCalcOnLoad="1"/>
</workbook>
</file>

<file path=xl/styles.xml><?xml version="1.0" encoding="utf-8"?>
<styleSheet xmlns="http://schemas.openxmlformats.org/spreadsheetml/2006/main">
  <numFmts count="15">
    <numFmt numFmtId="164" formatCode="0.0"/>
    <numFmt numFmtId="165" formatCode="0.000"/>
    <numFmt numFmtId="166" formatCode="[$R$ -416]#,##0.00"/>
    <numFmt numFmtId="167" formatCode="#,##0.00\ &quot;Ha&quot;"/>
    <numFmt numFmtId="168" formatCode="#,##0\ &quot;Sc&quot;"/>
    <numFmt numFmtId="169" formatCode="#,##0\ &quot;Sc/Ha&quot;"/>
    <numFmt numFmtId="170" formatCode="_-* #,##0.00_-;\-* #,##0.00_-;_-* &quot;-&quot;??_-;_-@"/>
    <numFmt numFmtId="171" formatCode="_-* #,##0_-;\-* #,##0_-;_-* &quot;-&quot;??_-;_-@"/>
    <numFmt numFmtId="172" formatCode="#,##0\ &quot;Ha&quot;"/>
    <numFmt numFmtId="173" formatCode="#,##0\ &quot;Kg&quot;"/>
    <numFmt numFmtId="174" formatCode="0&quot; SC/HA&quot;"/>
    <numFmt numFmtId="175" formatCode="0.00\ &quot; R$/Sc&quot;"/>
    <numFmt numFmtId="176" formatCode="&quot;R$&quot;\ #00.00&quot;/SC&quot;"/>
    <numFmt numFmtId="177" formatCode="_-&quot;R$&quot;\ * #,##0.00_-;\-&quot;R$&quot;\ * #,##0.00_-;_-&quot;R$&quot;\ * &quot;-&quot;??_-;_-@"/>
    <numFmt numFmtId="178" formatCode="R$ #,##0.00"/>
  </numFmts>
  <fonts count="47">
    <font>
      <name val="Aptos Narrow"/>
      <color theme="1"/>
      <sz val="11"/>
      <scheme val="minor"/>
    </font>
    <font>
      <name val="Aptos Narrow"/>
      <color theme="1"/>
    </font>
    <font>
      <name val="Arial"/>
      <color theme="1"/>
    </font>
    <font>
      <name val="Aptos Narrow"/>
      <color theme="1"/>
      <scheme val="minor"/>
    </font>
    <font>
      <name val="Arial"/>
      <b val="1"/>
      <color theme="1"/>
    </font>
    <font>
      <name val="Aptos Narrow"/>
      <b val="1"/>
      <color theme="1"/>
    </font>
    <font>
      <name val="Arial"/>
      <color theme="1"/>
      <sz val="8"/>
    </font>
    <font>
      <name val="Open Sans"/>
      <color theme="1"/>
      <sz val="8"/>
    </font>
    <font>
      <name val="Calibri"/>
      <color theme="1"/>
      <sz val="11"/>
    </font>
    <font>
      <name val="Calibri"/>
      <color rgb="FFFFFFFF"/>
      <sz val="11"/>
    </font>
    <font>
      <name val="Aptos Narrow"/>
      <color theme="1"/>
      <sz val="11"/>
    </font>
    <font/>
    <font>
      <name val="Calibri"/>
      <i val="1"/>
      <color theme="1"/>
      <sz val="11"/>
    </font>
    <font>
      <name val="Calibri"/>
      <b val="1"/>
      <color theme="1"/>
      <sz val="11"/>
    </font>
    <font>
      <name val="Calibri"/>
      <b val="1"/>
      <i val="1"/>
      <color theme="1"/>
      <sz val="11"/>
    </font>
    <font>
      <name val="Arial"/>
      <color theme="1"/>
      <sz val="11"/>
    </font>
    <font>
      <name val="Arial"/>
      <color rgb="FF0000FF"/>
      <u val="single"/>
    </font>
    <font>
      <name val="Roboto"/>
      <color rgb="FF0000FF"/>
      <u val="single"/>
    </font>
    <font>
      <name val="Aptos Narrow"/>
      <color theme="1"/>
      <sz val="12"/>
    </font>
    <font>
      <name val="Roboto"/>
      <color rgb="FF434343"/>
      <sz val="11"/>
    </font>
    <font>
      <name val="Calibri"/>
      <b val="1"/>
      <color rgb="FF434343"/>
      <sz val="14"/>
      <u val="single"/>
    </font>
    <font>
      <name val="Calibri"/>
      <b val="1"/>
      <color rgb="FF0000FF"/>
      <sz val="14"/>
      <u val="single"/>
    </font>
    <font>
      <name val="Calibri"/>
      <b val="1"/>
      <color theme="1"/>
      <sz val="14"/>
    </font>
    <font>
      <name val="Aptos Narrow"/>
      <b val="1"/>
      <color theme="1"/>
      <sz val="8"/>
    </font>
    <font>
      <name val="Aptos Narrow"/>
      <color theme="1"/>
      <sz val="8"/>
    </font>
    <font>
      <name val="Arial"/>
      <color rgb="FF0000FF"/>
      <sz val="8"/>
      <u val="single"/>
    </font>
    <font>
      <name val="Arial"/>
      <color rgb="FF999999"/>
      <sz val="8"/>
    </font>
    <font>
      <name val="Aptos Narrow"/>
      <color theme="1"/>
      <sz val="9"/>
    </font>
    <font>
      <name val="Arial"/>
      <color theme="1"/>
      <sz val="9"/>
    </font>
    <font>
      <name val="Arial"/>
      <color rgb="FF999999"/>
      <sz val="9"/>
    </font>
    <font>
      <name val="Aptos Narrow"/>
      <color rgb="FF999999"/>
      <sz val="8"/>
    </font>
    <font>
      <name val="Aptos Narrow"/>
      <color theme="1"/>
      <sz val="8"/>
      <u val="single"/>
    </font>
    <font>
      <name val="Aptos Narrow"/>
      <color theme="1"/>
      <sz val="9"/>
      <u val="single"/>
    </font>
    <font>
      <name val="Aptos Narrow"/>
      <color rgb="FF999999"/>
      <sz val="9"/>
    </font>
    <font>
      <name val="Aptos Narrow"/>
      <b val="1"/>
      <color theme="1"/>
      <sz val="9"/>
    </font>
    <font>
      <name val="Arial"/>
      <color rgb="FF0000FF"/>
      <sz val="9"/>
      <u val="single"/>
    </font>
    <font>
      <b val="1"/>
      <color rgb="FFFFFFFF"/>
      <sz val="16"/>
    </font>
    <font>
      <i val="1"/>
      <color rgb="FF5A6b72"/>
      <sz val="9"/>
    </font>
    <font>
      <b val="1"/>
      <color rgb="FF5A6b72"/>
      <sz val="9"/>
    </font>
    <font>
      <b val="1"/>
      <color rgb="FF1F4E5F"/>
      <sz val="14"/>
    </font>
    <font>
      <b val="1"/>
      <color rgb="FFB00020"/>
      <sz val="14"/>
    </font>
    <font>
      <b val="1"/>
      <color rgb="FF2E7D32"/>
      <sz val="14"/>
    </font>
    <font>
      <b val="1"/>
      <color rgb="FFFFFFFF"/>
      <sz val="11"/>
    </font>
    <font>
      <b val="1"/>
      <color rgb="FFFFFFFF"/>
    </font>
    <font>
      <b val="1"/>
      <color rgb="FFFFFFFF"/>
      <sz val="12"/>
    </font>
    <font>
      <color rgb="FFFFFFFF"/>
    </font>
    <font>
      <b val="1"/>
    </font>
  </fonts>
  <fills count="16">
    <fill>
      <patternFill/>
    </fill>
    <fill>
      <patternFill patternType="lightGray"/>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D8D8D8"/>
        <bgColor rgb="FFD8D8D8"/>
      </patternFill>
    </fill>
    <fill>
      <patternFill patternType="solid">
        <fgColor rgb="FFD9EAD3"/>
        <bgColor rgb="FFD9EAD3"/>
      </patternFill>
    </fill>
    <fill>
      <patternFill patternType="solid">
        <fgColor rgb="FFF6F8F9"/>
        <bgColor rgb="FFF6F8F9"/>
      </patternFill>
    </fill>
    <fill>
      <patternFill patternType="solid">
        <fgColor rgb="FFFF0000"/>
        <bgColor rgb="FFFF0000"/>
      </patternFill>
    </fill>
    <fill>
      <patternFill patternType="solid">
        <fgColor rgb="FFF6B26B"/>
        <bgColor rgb="FFF6B26B"/>
      </patternFill>
    </fill>
    <fill>
      <patternFill patternType="solid">
        <fgColor rgb="FF95B3D7"/>
        <bgColor rgb="FF95B3D7"/>
      </patternFill>
    </fill>
    <fill>
      <patternFill patternType="solid">
        <fgColor rgb="FFEFEFEF"/>
        <bgColor rgb="FFEFEFEF"/>
      </patternFill>
    </fill>
    <fill>
      <patternFill patternType="solid">
        <fgColor rgb="FF38761D"/>
        <bgColor rgb="FF38761D"/>
      </patternFill>
    </fill>
    <fill>
      <patternFill patternType="solid">
        <fgColor rgb="FF1F4E5F"/>
      </patternFill>
    </fill>
    <fill>
      <patternFill patternType="solid">
        <fgColor rgb="FF2E7D8C"/>
      </patternFill>
    </fill>
    <fill>
      <patternFill patternType="solid">
        <fgColor rgb="FFF2F5F7"/>
      </patternFill>
    </fill>
  </fills>
  <borders count="39">
    <border/>
    <border>
      <left/>
      <right/>
      <top/>
      <bottom/>
    </border>
    <border>
      <left style="thin">
        <color theme="0"/>
      </left>
      <right style="thin">
        <color theme="0"/>
      </right>
      <top style="thin">
        <color theme="0"/>
      </top>
    </border>
    <border>
      <left style="thin">
        <color theme="0"/>
      </left>
      <top style="thin">
        <color theme="0"/>
      </top>
    </border>
    <border>
      <right style="thin">
        <color theme="0"/>
      </right>
      <top style="thin">
        <color theme="0"/>
      </top>
    </border>
    <border>
      <left style="thin">
        <color theme="0"/>
      </left>
      <right style="thin">
        <color theme="0"/>
      </right>
      <bottom style="thin">
        <color theme="0"/>
      </bottom>
    </border>
    <border>
      <left style="thin">
        <color theme="0"/>
      </left>
      <right style="thin">
        <color theme="0"/>
      </right>
      <top style="thin">
        <color theme="0"/>
      </top>
      <bottom style="thin">
        <color theme="0"/>
      </bottom>
    </border>
    <border>
      <left/>
      <right/>
      <bottom style="dotted">
        <color rgb="FF000000"/>
      </bottom>
    </border>
    <border>
      <left/>
      <right/>
      <top/>
      <bottom style="dotted">
        <color rgb="FF000000"/>
      </bottom>
    </border>
    <border>
      <left/>
      <right/>
      <top style="dotted">
        <color rgb="FF000000"/>
      </top>
      <bottom style="dotted">
        <color rgb="FF000000"/>
      </bottom>
    </border>
    <border>
      <left/>
      <right/>
      <top/>
      <bottom style="thin">
        <color rgb="FF000000"/>
      </bottom>
    </border>
    <border>
      <bottom style="thin">
        <color rgb="FF000000"/>
      </bottom>
    </border>
    <border>
      <bottom style="dotted">
        <color rgb="FF000000"/>
      </bottom>
    </border>
    <border>
      <left/>
      <right style="thin">
        <color theme="0"/>
      </right>
      <top/>
      <bottom style="thin">
        <color theme="0"/>
      </bottom>
    </border>
    <border>
      <left style="thin">
        <color theme="0"/>
      </left>
      <right style="thin">
        <color theme="0"/>
      </right>
      <top/>
      <bottom style="thin">
        <color theme="0"/>
      </bottom>
    </border>
    <border>
      <left/>
      <right style="thin">
        <color theme="0"/>
      </right>
      <top style="thin">
        <color theme="0"/>
      </top>
      <bottom style="thin">
        <color theme="0"/>
      </bottom>
    </border>
    <border>
      <top style="thin">
        <color rgb="FF000000"/>
      </top>
      <bottom style="dotted">
        <color rgb="FF000000"/>
      </bottom>
    </border>
    <border>
      <top style="dotted">
        <color rgb="FF000000"/>
      </top>
      <bottom style="dotted">
        <color rgb="FF000000"/>
      </bottom>
    </border>
    <border>
      <top style="hair">
        <color rgb="FFD8D8D8"/>
      </top>
      <bottom style="hair">
        <color rgb="FFD8D8D8"/>
      </bottom>
    </border>
    <border>
      <top style="dotted">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F6F8F9"/>
      </right>
      <top style="thin">
        <color rgb="FFF6F8F9"/>
      </top>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bottom style="double">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thin">
        <color rgb="FF000000"/>
      </top>
      <bottom style="medium">
        <color rgb="FF000000"/>
      </bottom>
    </border>
    <border>
      <left style="thin">
        <color rgb="FF000000"/>
      </left>
      <right style="thin">
        <color rgb="FF000000"/>
      </right>
    </border>
    <border>
      <top style="thin">
        <color theme="0"/>
      </top>
    </border>
    <border>
      <left style="thin">
        <color rgb="FFB8C4CC"/>
      </left>
      <right style="thin">
        <color rgb="FFB8C4CC"/>
      </right>
      <top style="thin">
        <color rgb="FFB8C4CC"/>
      </top>
      <bottom style="thin">
        <color rgb="FFB8C4CC"/>
      </bottom>
    </border>
  </borders>
  <cellStyleXfs count="1">
    <xf numFmtId="0" fontId="0" fillId="0" borderId="0"/>
  </cellStyleXfs>
  <cellXfs count="326">
    <xf numFmtId="0" fontId="0" fillId="0" borderId="0" applyAlignment="1" pivotButton="0" quotePrefix="0" xfId="0">
      <alignment vertical="bottom"/>
    </xf>
    <xf numFmtId="0" fontId="1" fillId="0" borderId="0" applyAlignment="1" pivotButton="0" quotePrefix="0" xfId="0">
      <alignment horizontal="left" vertical="center"/>
    </xf>
    <xf numFmtId="49" fontId="2" fillId="0" borderId="0" applyAlignment="1" pivotButton="0" quotePrefix="0" xfId="0">
      <alignment horizontal="left" vertical="center"/>
    </xf>
    <xf numFmtId="0" fontId="2" fillId="0" borderId="0" applyAlignment="1" pivotButton="0" quotePrefix="0" xfId="0">
      <alignment horizontal="left"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xf>
    <xf numFmtId="0" fontId="6" fillId="0" borderId="0" applyAlignment="1" pivotButton="0" quotePrefix="0" xfId="0">
      <alignment horizontal="center" vertical="top"/>
    </xf>
    <xf numFmtId="0" fontId="7" fillId="0" borderId="0" applyAlignment="1" pivotButton="0" quotePrefix="0" xfId="0">
      <alignment horizontal="center" vertical="top"/>
    </xf>
    <xf numFmtId="0" fontId="2" fillId="0" borderId="0" applyAlignment="1" pivotButton="0" quotePrefix="0" xfId="0">
      <alignment horizontal="center" vertical="center"/>
    </xf>
    <xf numFmtId="0" fontId="2" fillId="0" borderId="0" applyAlignment="1" pivotButton="0" quotePrefix="0" xfId="0">
      <alignment vertical="center"/>
    </xf>
    <xf numFmtId="165" fontId="1" fillId="0" borderId="0" applyAlignment="1" pivotButton="0" quotePrefix="0" xfId="0">
      <alignment horizontal="center" vertical="center"/>
    </xf>
    <xf numFmtId="2" fontId="1" fillId="0" borderId="0" applyAlignment="1" pivotButton="0" quotePrefix="0" xfId="0">
      <alignment horizontal="center" vertical="center"/>
    </xf>
    <xf numFmtId="166" fontId="1" fillId="0" borderId="0" applyAlignment="1" pivotButton="0" quotePrefix="0" xfId="0">
      <alignment vertical="center"/>
    </xf>
    <xf numFmtId="0" fontId="7" fillId="2" borderId="1" applyAlignment="1" pivotButton="0" quotePrefix="0" xfId="0">
      <alignment horizontal="center" vertical="top"/>
    </xf>
    <xf numFmtId="0" fontId="8" fillId="0" borderId="0" applyAlignment="1" pivotButton="0" quotePrefix="0" xfId="0">
      <alignment horizontal="center" vertical="bottom"/>
    </xf>
    <xf numFmtId="0" fontId="3" fillId="0" borderId="0" pivotButton="0" quotePrefix="0" xfId="0"/>
    <xf numFmtId="0" fontId="8" fillId="0" borderId="0" applyAlignment="1" pivotButton="0" quotePrefix="0" xfId="0">
      <alignment horizontal="left" vertical="bottom"/>
    </xf>
    <xf numFmtId="0" fontId="9" fillId="0" borderId="0" applyAlignment="1" pivotButton="0" quotePrefix="0" xfId="0">
      <alignment horizontal="right" vertical="bottom"/>
    </xf>
    <xf numFmtId="0" fontId="10" fillId="0" borderId="0" pivotButton="0" quotePrefix="0" xfId="0"/>
    <xf numFmtId="0" fontId="8" fillId="3" borderId="2" applyAlignment="1" pivotButton="0" quotePrefix="0" xfId="0">
      <alignment horizontal="left" wrapText="1"/>
    </xf>
    <xf numFmtId="0" fontId="8" fillId="3" borderId="3" applyAlignment="1" pivotButton="0" quotePrefix="0" xfId="0">
      <alignment horizontal="center" wrapText="1"/>
    </xf>
    <xf numFmtId="0" fontId="11" fillId="0" borderId="4" pivotButton="0" quotePrefix="0" xfId="0"/>
    <xf numFmtId="0" fontId="8" fillId="3" borderId="5" applyAlignment="1" pivotButton="0" quotePrefix="0" xfId="0">
      <alignment horizontal="left" wrapText="1"/>
    </xf>
    <xf numFmtId="0" fontId="8" fillId="3" borderId="6" applyAlignment="1" pivotButton="0" quotePrefix="0" xfId="0">
      <alignment horizontal="center" wrapText="1"/>
    </xf>
    <xf numFmtId="167" fontId="12" fillId="3" borderId="6" applyAlignment="1" pivotButton="0" quotePrefix="0" xfId="0">
      <alignment horizontal="center"/>
    </xf>
    <xf numFmtId="0" fontId="8" fillId="4" borderId="7" applyAlignment="1" pivotButton="0" quotePrefix="0" xfId="0">
      <alignment horizontal="left"/>
    </xf>
    <xf numFmtId="167" fontId="8" fillId="4" borderId="8" applyAlignment="1" pivotButton="0" quotePrefix="0" xfId="0">
      <alignment horizontal="right"/>
    </xf>
    <xf numFmtId="0" fontId="8" fillId="4" borderId="9" applyAlignment="1" pivotButton="0" quotePrefix="0" xfId="0">
      <alignment horizontal="left"/>
    </xf>
    <xf numFmtId="168" fontId="8" fillId="4" borderId="9" applyAlignment="1" pivotButton="0" quotePrefix="0" xfId="0">
      <alignment horizontal="right"/>
    </xf>
    <xf numFmtId="169" fontId="8" fillId="4" borderId="9" applyAlignment="1" pivotButton="0" quotePrefix="0" xfId="0">
      <alignment horizontal="right"/>
    </xf>
    <xf numFmtId="170" fontId="8" fillId="4" borderId="9" applyAlignment="1" pivotButton="0" quotePrefix="0" xfId="0">
      <alignment horizontal="right"/>
    </xf>
    <xf numFmtId="0" fontId="8" fillId="0" borderId="0" applyAlignment="1" pivotButton="0" quotePrefix="0" xfId="0">
      <alignment horizontal="left"/>
    </xf>
    <xf numFmtId="171" fontId="8" fillId="0" borderId="0" applyAlignment="1" pivotButton="0" quotePrefix="0" xfId="0">
      <alignment horizontal="right"/>
    </xf>
    <xf numFmtId="0" fontId="8" fillId="5" borderId="10" applyAlignment="1" pivotButton="0" quotePrefix="0" xfId="0">
      <alignment horizontal="left"/>
    </xf>
    <xf numFmtId="171" fontId="8" fillId="5" borderId="10" applyAlignment="1" pivotButton="0" quotePrefix="0" xfId="0">
      <alignment horizontal="right"/>
    </xf>
    <xf numFmtId="0" fontId="8" fillId="0" borderId="11" applyAlignment="1" pivotButton="0" quotePrefix="0" xfId="0">
      <alignment horizontal="left"/>
    </xf>
    <xf numFmtId="171" fontId="8" fillId="0" borderId="11" applyAlignment="1" pivotButton="0" quotePrefix="0" xfId="0">
      <alignment horizontal="right"/>
    </xf>
    <xf numFmtId="0" fontId="8" fillId="0" borderId="12" applyAlignment="1" pivotButton="0" quotePrefix="0" xfId="0">
      <alignment horizontal="left"/>
    </xf>
    <xf numFmtId="171" fontId="8" fillId="0" borderId="12" applyAlignment="1" pivotButton="0" quotePrefix="0" xfId="0">
      <alignment horizontal="right"/>
    </xf>
    <xf numFmtId="0" fontId="13" fillId="6" borderId="12" applyAlignment="1" pivotButton="0" quotePrefix="0" xfId="0">
      <alignment horizontal="left"/>
    </xf>
    <xf numFmtId="171" fontId="13" fillId="6" borderId="12" applyAlignment="1" pivotButton="0" quotePrefix="0" xfId="0">
      <alignment horizontal="right"/>
    </xf>
    <xf numFmtId="0" fontId="14" fillId="6" borderId="12" applyAlignment="1" pivotButton="0" quotePrefix="0" xfId="0">
      <alignment horizontal="left"/>
    </xf>
    <xf numFmtId="171" fontId="12" fillId="6" borderId="12" applyAlignment="1" pivotButton="0" quotePrefix="0" xfId="0">
      <alignment horizontal="right"/>
    </xf>
    <xf numFmtId="0" fontId="8" fillId="6" borderId="12" applyAlignment="1" pivotButton="0" quotePrefix="0" xfId="0">
      <alignment horizontal="left"/>
    </xf>
    <xf numFmtId="171" fontId="8" fillId="6" borderId="12" applyAlignment="1" pivotButton="0" quotePrefix="0" xfId="0">
      <alignment horizontal="right"/>
    </xf>
    <xf numFmtId="171" fontId="14" fillId="6" borderId="12" applyAlignment="1" pivotButton="0" quotePrefix="0" xfId="0">
      <alignment horizontal="right"/>
    </xf>
    <xf numFmtId="171" fontId="12" fillId="0" borderId="12" applyAlignment="1" pivotButton="0" quotePrefix="0" xfId="0">
      <alignment horizontal="right"/>
    </xf>
    <xf numFmtId="0" fontId="8" fillId="5" borderId="13" applyAlignment="1" pivotButton="0" quotePrefix="0" xfId="0">
      <alignment horizontal="left"/>
    </xf>
    <xf numFmtId="171" fontId="8" fillId="5" borderId="14" applyAlignment="1" pivotButton="0" quotePrefix="0" xfId="0">
      <alignment horizontal="right"/>
    </xf>
    <xf numFmtId="171" fontId="12" fillId="5" borderId="14" applyAlignment="1" pivotButton="0" quotePrefix="0" xfId="0">
      <alignment horizontal="right"/>
    </xf>
    <xf numFmtId="171" fontId="8" fillId="5" borderId="0" applyAlignment="1" pivotButton="0" quotePrefix="0" xfId="0">
      <alignment horizontal="right"/>
    </xf>
    <xf numFmtId="171" fontId="8" fillId="6" borderId="0" applyAlignment="1" pivotButton="0" quotePrefix="0" xfId="0">
      <alignment horizontal="right"/>
    </xf>
    <xf numFmtId="0" fontId="14" fillId="5" borderId="15" applyAlignment="1" pivotButton="0" quotePrefix="0" xfId="0">
      <alignment horizontal="left"/>
    </xf>
    <xf numFmtId="9" fontId="13" fillId="5" borderId="6" applyAlignment="1" pivotButton="0" quotePrefix="0" xfId="0">
      <alignment horizontal="right"/>
    </xf>
    <xf numFmtId="171" fontId="14" fillId="5" borderId="6" applyAlignment="1" pivotButton="0" quotePrefix="0" xfId="0">
      <alignment horizontal="right"/>
    </xf>
    <xf numFmtId="171" fontId="12" fillId="0" borderId="11" applyAlignment="1" pivotButton="0" quotePrefix="0" xfId="0">
      <alignment horizontal="right"/>
    </xf>
    <xf numFmtId="0" fontId="8" fillId="0" borderId="16" applyAlignment="1" pivotButton="0" quotePrefix="0" xfId="0">
      <alignment horizontal="left"/>
    </xf>
    <xf numFmtId="171" fontId="8" fillId="0" borderId="16" applyAlignment="1" pivotButton="0" quotePrefix="0" xfId="0">
      <alignment horizontal="right"/>
    </xf>
    <xf numFmtId="171" fontId="12" fillId="0" borderId="16" applyAlignment="1" pivotButton="0" quotePrefix="0" xfId="0">
      <alignment horizontal="right"/>
    </xf>
    <xf numFmtId="0" fontId="8" fillId="0" borderId="17" applyAlignment="1" pivotButton="0" quotePrefix="0" xfId="0">
      <alignment horizontal="left"/>
    </xf>
    <xf numFmtId="171" fontId="8" fillId="0" borderId="17" applyAlignment="1" pivotButton="0" quotePrefix="0" xfId="0">
      <alignment horizontal="right"/>
    </xf>
    <xf numFmtId="171" fontId="12" fillId="0" borderId="17" applyAlignment="1" pivotButton="0" quotePrefix="0" xfId="0">
      <alignment horizontal="right"/>
    </xf>
    <xf numFmtId="0" fontId="8" fillId="0" borderId="18" applyAlignment="1" pivotButton="0" quotePrefix="0" xfId="0">
      <alignment horizontal="left"/>
    </xf>
    <xf numFmtId="171" fontId="8" fillId="0" borderId="18" applyAlignment="1" pivotButton="0" quotePrefix="0" xfId="0">
      <alignment horizontal="right"/>
    </xf>
    <xf numFmtId="171" fontId="12" fillId="0" borderId="18" applyAlignment="1" pivotButton="0" quotePrefix="0" xfId="0">
      <alignment horizontal="right"/>
    </xf>
    <xf numFmtId="0" fontId="8" fillId="0" borderId="19" applyAlignment="1" pivotButton="0" quotePrefix="0" xfId="0">
      <alignment horizontal="left"/>
    </xf>
    <xf numFmtId="171" fontId="8" fillId="0" borderId="19" applyAlignment="1" pivotButton="0" quotePrefix="0" xfId="0">
      <alignment horizontal="right"/>
    </xf>
    <xf numFmtId="171" fontId="12" fillId="0" borderId="19" applyAlignment="1" pivotButton="0" quotePrefix="0" xfId="0">
      <alignment horizontal="right"/>
    </xf>
    <xf numFmtId="0" fontId="8" fillId="5" borderId="15" applyAlignment="1" pivotButton="0" quotePrefix="0" xfId="0">
      <alignment horizontal="left"/>
    </xf>
    <xf numFmtId="171" fontId="8" fillId="5" borderId="6" applyAlignment="1" pivotButton="0" quotePrefix="0" xfId="0">
      <alignment horizontal="right"/>
    </xf>
    <xf numFmtId="171" fontId="12" fillId="5" borderId="6" applyAlignment="1" pivotButton="0" quotePrefix="0" xfId="0">
      <alignment horizontal="right"/>
    </xf>
    <xf numFmtId="0" fontId="12" fillId="5" borderId="15" applyAlignment="1" pivotButton="0" quotePrefix="0" xfId="0">
      <alignment horizontal="left"/>
    </xf>
    <xf numFmtId="9" fontId="12" fillId="5" borderId="6" applyAlignment="1" pivotButton="0" quotePrefix="0" xfId="0">
      <alignment horizontal="right"/>
    </xf>
    <xf numFmtId="0" fontId="8" fillId="0" borderId="0" applyAlignment="1" pivotButton="0" quotePrefix="0" xfId="0">
      <alignment horizontal="right"/>
    </xf>
    <xf numFmtId="0" fontId="1" fillId="0" borderId="0" pivotButton="0" quotePrefix="0" xfId="0"/>
    <xf numFmtId="0" fontId="15" fillId="0" borderId="0" pivotButton="0" quotePrefix="0" xfId="0"/>
    <xf numFmtId="0" fontId="1" fillId="0" borderId="0" applyAlignment="1" pivotButton="0" quotePrefix="0" xfId="0">
      <alignment horizontal="left"/>
    </xf>
    <xf numFmtId="0" fontId="5" fillId="0" borderId="0" applyAlignment="1" pivotButton="0" quotePrefix="0" xfId="0">
      <alignment horizontal="center"/>
    </xf>
    <xf numFmtId="1" fontId="1" fillId="0" borderId="0" applyAlignment="1" pivotButton="0" quotePrefix="0" xfId="0">
      <alignment horizontal="center"/>
    </xf>
    <xf numFmtId="0" fontId="16" fillId="0" borderId="0" pivotButton="0" quotePrefix="0" xfId="0"/>
    <xf numFmtId="0" fontId="15" fillId="0" borderId="0" applyAlignment="1" pivotButton="0" quotePrefix="0" xfId="0">
      <alignment horizontal="left" vertical="center"/>
    </xf>
    <xf numFmtId="0" fontId="2" fillId="0" borderId="0" pivotButton="0" quotePrefix="0" xfId="0"/>
    <xf numFmtId="0" fontId="8" fillId="2" borderId="20" applyAlignment="1" pivotButton="0" quotePrefix="0" xfId="0">
      <alignment vertical="bottom"/>
    </xf>
    <xf numFmtId="0" fontId="15" fillId="2" borderId="21" applyAlignment="1" pivotButton="0" quotePrefix="0" xfId="0">
      <alignment vertical="bottom"/>
    </xf>
    <xf numFmtId="0" fontId="8" fillId="2" borderId="21" applyAlignment="1" pivotButton="0" quotePrefix="0" xfId="0">
      <alignment vertical="bottom"/>
    </xf>
    <xf numFmtId="0" fontId="17" fillId="0" borderId="0" applyAlignment="1" pivotButton="0" quotePrefix="0" xfId="0">
      <alignment horizontal="center" vertical="center"/>
    </xf>
    <xf numFmtId="0" fontId="8" fillId="2" borderId="22" applyAlignment="1" pivotButton="0" quotePrefix="0" xfId="0">
      <alignment horizontal="left" vertical="bottom"/>
    </xf>
    <xf numFmtId="1" fontId="1" fillId="0" borderId="0" applyAlignment="1" pivotButton="0" quotePrefix="0" xfId="0">
      <alignment horizontal="center" vertical="center"/>
    </xf>
    <xf numFmtId="166" fontId="1" fillId="0" borderId="0" applyAlignment="1" pivotButton="0" quotePrefix="0" xfId="0">
      <alignment horizontal="center" vertical="center"/>
    </xf>
    <xf numFmtId="0" fontId="8" fillId="7" borderId="23" applyAlignment="1" pivotButton="0" quotePrefix="0" xfId="0">
      <alignment vertical="bottom"/>
    </xf>
    <xf numFmtId="0" fontId="15" fillId="7" borderId="24" applyAlignment="1" pivotButton="0" quotePrefix="0" xfId="0">
      <alignment vertical="bottom"/>
    </xf>
    <xf numFmtId="0" fontId="8" fillId="7" borderId="24" applyAlignment="1" pivotButton="0" quotePrefix="0" xfId="0">
      <alignment vertical="bottom"/>
    </xf>
    <xf numFmtId="0" fontId="8" fillId="7" borderId="25" applyAlignment="1" pivotButton="0" quotePrefix="0" xfId="0">
      <alignment horizontal="left" vertical="bottom"/>
    </xf>
    <xf numFmtId="0" fontId="2" fillId="2" borderId="21" applyAlignment="1" pivotButton="0" quotePrefix="0" xfId="0">
      <alignment vertical="bottom"/>
    </xf>
    <xf numFmtId="0" fontId="2" fillId="7" borderId="24" applyAlignment="1" pivotButton="0" quotePrefix="0" xfId="0">
      <alignment vertical="bottom"/>
    </xf>
    <xf numFmtId="0" fontId="15" fillId="7" borderId="21" applyAlignment="1" pivotButton="0" quotePrefix="0" xfId="0">
      <alignment vertical="bottom"/>
    </xf>
    <xf numFmtId="0" fontId="1" fillId="0" borderId="20" applyAlignment="1" pivotButton="0" quotePrefix="0" xfId="0">
      <alignment vertical="center"/>
    </xf>
    <xf numFmtId="0" fontId="15" fillId="0" borderId="21" applyAlignment="1" pivotButton="0" quotePrefix="0" xfId="0">
      <alignment vertical="center"/>
    </xf>
    <xf numFmtId="0" fontId="1" fillId="0" borderId="21" applyAlignment="1" pivotButton="0" quotePrefix="0" xfId="0">
      <alignment vertical="center"/>
    </xf>
    <xf numFmtId="0" fontId="1" fillId="0" borderId="21" applyAlignment="1" pivotButton="0" quotePrefix="0" xfId="0">
      <alignment horizontal="center" vertical="center"/>
    </xf>
    <xf numFmtId="0" fontId="1" fillId="0" borderId="22" applyAlignment="1" pivotButton="0" quotePrefix="0" xfId="0">
      <alignment horizontal="left" vertical="center"/>
    </xf>
    <xf numFmtId="0" fontId="1" fillId="0" borderId="23" applyAlignment="1" pivotButton="0" quotePrefix="0" xfId="0">
      <alignment vertical="center"/>
    </xf>
    <xf numFmtId="0" fontId="15" fillId="0" borderId="24" applyAlignment="1" pivotButton="0" quotePrefix="0" xfId="0">
      <alignment vertical="center"/>
    </xf>
    <xf numFmtId="0" fontId="1" fillId="0" borderId="24" applyAlignment="1" pivotButton="0" quotePrefix="0" xfId="0">
      <alignment vertical="center"/>
    </xf>
    <xf numFmtId="0" fontId="1" fillId="0" borderId="24" applyAlignment="1" pivotButton="0" quotePrefix="0" xfId="0">
      <alignment horizontal="center" vertical="center"/>
    </xf>
    <xf numFmtId="0" fontId="1" fillId="0" borderId="25" applyAlignment="1" pivotButton="0" quotePrefix="0" xfId="0">
      <alignment horizontal="left" vertical="center"/>
    </xf>
    <xf numFmtId="0" fontId="8" fillId="2" borderId="23" applyAlignment="1" pivotButton="0" quotePrefix="0" xfId="0">
      <alignment vertical="bottom"/>
    </xf>
    <xf numFmtId="0" fontId="15" fillId="2" borderId="24" applyAlignment="1" pivotButton="0" quotePrefix="0" xfId="0">
      <alignment vertical="bottom"/>
    </xf>
    <xf numFmtId="0" fontId="8" fillId="2" borderId="24" applyAlignment="1" pivotButton="0" quotePrefix="0" xfId="0">
      <alignment vertical="bottom"/>
    </xf>
    <xf numFmtId="0" fontId="8" fillId="2" borderId="25" applyAlignment="1" pivotButton="0" quotePrefix="0" xfId="0">
      <alignment horizontal="left" vertical="bottom"/>
    </xf>
    <xf numFmtId="0" fontId="8" fillId="7" borderId="20" applyAlignment="1" pivotButton="0" quotePrefix="0" xfId="0">
      <alignment vertical="bottom"/>
    </xf>
    <xf numFmtId="0" fontId="8" fillId="7" borderId="21" applyAlignment="1" pivotButton="0" quotePrefix="0" xfId="0">
      <alignment vertical="bottom"/>
    </xf>
    <xf numFmtId="0" fontId="8" fillId="7" borderId="22" applyAlignment="1" pivotButton="0" quotePrefix="0" xfId="0">
      <alignment horizontal="left" vertical="bottom"/>
    </xf>
    <xf numFmtId="0" fontId="1" fillId="8" borderId="0" applyAlignment="1" pivotButton="0" quotePrefix="0" xfId="0">
      <alignment horizontal="center" vertical="center"/>
    </xf>
    <xf numFmtId="0" fontId="8" fillId="7" borderId="0" applyAlignment="1" pivotButton="0" quotePrefix="0" xfId="0">
      <alignment vertical="bottom"/>
    </xf>
    <xf numFmtId="0" fontId="15" fillId="7" borderId="0" applyAlignment="1" pivotButton="0" quotePrefix="0" xfId="0">
      <alignment vertical="bottom"/>
    </xf>
    <xf numFmtId="0" fontId="8" fillId="7" borderId="0" applyAlignment="1" pivotButton="0" quotePrefix="0" xfId="0">
      <alignment horizontal="left" vertical="bottom"/>
    </xf>
    <xf numFmtId="0" fontId="8" fillId="2" borderId="0" applyAlignment="1" pivotButton="0" quotePrefix="0" xfId="0">
      <alignment vertical="bottom"/>
    </xf>
    <xf numFmtId="0" fontId="8" fillId="2" borderId="0" applyAlignment="1" pivotButton="0" quotePrefix="0" xfId="0">
      <alignment horizontal="left" vertical="bottom"/>
    </xf>
    <xf numFmtId="0" fontId="15" fillId="2" borderId="0" applyAlignment="1" pivotButton="0" quotePrefix="0" xfId="0">
      <alignment vertical="bottom"/>
    </xf>
    <xf numFmtId="0" fontId="15" fillId="0" borderId="0" applyAlignment="1" pivotButton="0" quotePrefix="0" xfId="0">
      <alignment vertical="center"/>
    </xf>
    <xf numFmtId="0" fontId="18" fillId="2" borderId="21" applyAlignment="1" pivotButton="0" quotePrefix="0" xfId="0">
      <alignment vertical="center"/>
    </xf>
    <xf numFmtId="0" fontId="10" fillId="2" borderId="21" applyAlignment="1" pivotButton="0" quotePrefix="0" xfId="0">
      <alignment vertical="bottom"/>
    </xf>
    <xf numFmtId="0" fontId="18" fillId="7" borderId="24" applyAlignment="1" pivotButton="0" quotePrefix="0" xfId="0">
      <alignment vertical="center"/>
    </xf>
    <xf numFmtId="0" fontId="10" fillId="7" borderId="24" applyAlignment="1" pivotButton="0" quotePrefix="0" xfId="0">
      <alignment vertical="bottom"/>
    </xf>
    <xf numFmtId="0" fontId="19" fillId="7" borderId="24" applyAlignment="1" pivotButton="0" quotePrefix="0" xfId="0">
      <alignment vertical="center"/>
    </xf>
    <xf numFmtId="0" fontId="19" fillId="2" borderId="24" applyAlignment="1" pivotButton="0" quotePrefix="0" xfId="0">
      <alignment vertical="center"/>
    </xf>
    <xf numFmtId="0" fontId="10" fillId="7" borderId="26" applyAlignment="1" pivotButton="0" quotePrefix="0" xfId="0">
      <alignment vertical="bottom"/>
    </xf>
    <xf numFmtId="0" fontId="10" fillId="2" borderId="0" applyAlignment="1" pivotButton="0" quotePrefix="0" xfId="0">
      <alignment vertical="bottom"/>
    </xf>
    <xf numFmtId="0" fontId="1" fillId="9" borderId="20" applyAlignment="1" pivotButton="0" quotePrefix="0" xfId="0">
      <alignment vertical="center"/>
    </xf>
    <xf numFmtId="0" fontId="15" fillId="9" borderId="21" applyAlignment="1" pivotButton="0" quotePrefix="0" xfId="0">
      <alignment vertical="center"/>
    </xf>
    <xf numFmtId="0" fontId="1" fillId="9" borderId="21" applyAlignment="1" pivotButton="0" quotePrefix="0" xfId="0">
      <alignment vertical="center"/>
    </xf>
    <xf numFmtId="0" fontId="1" fillId="9" borderId="21" applyAlignment="1" pivotButton="0" quotePrefix="0" xfId="0">
      <alignment horizontal="center" vertical="center"/>
    </xf>
    <xf numFmtId="0" fontId="1" fillId="9" borderId="0" applyAlignment="1" pivotButton="0" quotePrefix="0" xfId="0">
      <alignment vertical="center"/>
    </xf>
    <xf numFmtId="0" fontId="1" fillId="9" borderId="0" applyAlignment="1" pivotButton="0" quotePrefix="0" xfId="0">
      <alignment horizontal="center" vertical="center"/>
    </xf>
    <xf numFmtId="165" fontId="1" fillId="9" borderId="0" applyAlignment="1" pivotButton="0" quotePrefix="0" xfId="0">
      <alignment horizontal="center" vertical="center"/>
    </xf>
    <xf numFmtId="0" fontId="1" fillId="9" borderId="22" applyAlignment="1" pivotButton="0" quotePrefix="0" xfId="0">
      <alignment horizontal="left" vertical="center"/>
    </xf>
    <xf numFmtId="166" fontId="1" fillId="9" borderId="0" applyAlignment="1" pivotButton="0" quotePrefix="0" xfId="0">
      <alignment vertical="center"/>
    </xf>
    <xf numFmtId="1" fontId="1" fillId="9" borderId="0" applyAlignment="1" pivotButton="0" quotePrefix="0" xfId="0">
      <alignment horizontal="center" vertical="center"/>
    </xf>
    <xf numFmtId="166" fontId="1" fillId="9" borderId="0" applyAlignment="1" pivotButton="0" quotePrefix="0" xfId="0">
      <alignment horizontal="center" vertical="center"/>
    </xf>
    <xf numFmtId="0" fontId="1" fillId="9" borderId="23" applyAlignment="1" pivotButton="0" quotePrefix="0" xfId="0">
      <alignment vertical="center"/>
    </xf>
    <xf numFmtId="0" fontId="15" fillId="9" borderId="24" applyAlignment="1" pivotButton="0" quotePrefix="0" xfId="0">
      <alignment vertical="center"/>
    </xf>
    <xf numFmtId="0" fontId="1" fillId="9" borderId="24" applyAlignment="1" pivotButton="0" quotePrefix="0" xfId="0">
      <alignment vertical="center"/>
    </xf>
    <xf numFmtId="0" fontId="1" fillId="9" borderId="24" applyAlignment="1" pivotButton="0" quotePrefix="0" xfId="0">
      <alignment horizontal="center" vertical="center"/>
    </xf>
    <xf numFmtId="0" fontId="1" fillId="9" borderId="25" applyAlignment="1" pivotButton="0" quotePrefix="0" xfId="0">
      <alignment horizontal="left" vertical="center"/>
    </xf>
    <xf numFmtId="0" fontId="1" fillId="9" borderId="27" applyAlignment="1" pivotButton="0" quotePrefix="0" xfId="0">
      <alignment vertical="center"/>
    </xf>
    <xf numFmtId="0" fontId="15" fillId="9" borderId="28" applyAlignment="1" pivotButton="0" quotePrefix="0" xfId="0">
      <alignment vertical="center"/>
    </xf>
    <xf numFmtId="0" fontId="1" fillId="9" borderId="28" applyAlignment="1" pivotButton="0" quotePrefix="0" xfId="0">
      <alignment vertical="center"/>
    </xf>
    <xf numFmtId="0" fontId="1" fillId="9" borderId="28" applyAlignment="1" pivotButton="0" quotePrefix="0" xfId="0">
      <alignment horizontal="center" vertical="center"/>
    </xf>
    <xf numFmtId="0" fontId="1" fillId="9" borderId="29" applyAlignment="1" pivotButton="0" quotePrefix="0" xfId="0">
      <alignment horizontal="left" vertical="center"/>
    </xf>
    <xf numFmtId="0" fontId="15" fillId="9" borderId="0" applyAlignment="1" pivotButton="0" quotePrefix="0" xfId="0">
      <alignment vertical="center"/>
    </xf>
    <xf numFmtId="0" fontId="1" fillId="9" borderId="0" applyAlignment="1" pivotButton="0" quotePrefix="0" xfId="0">
      <alignment horizontal="left" vertical="center"/>
    </xf>
    <xf numFmtId="49" fontId="8" fillId="0" borderId="0" applyAlignment="1" pivotButton="0" quotePrefix="0" xfId="0">
      <alignment horizontal="center" vertical="center"/>
    </xf>
    <xf numFmtId="49" fontId="8" fillId="0" borderId="0" applyAlignment="1" pivotButton="0" quotePrefix="0" xfId="0">
      <alignment horizontal="left" vertical="center"/>
    </xf>
    <xf numFmtId="0" fontId="8" fillId="0" borderId="0" pivotButton="0" quotePrefix="0" xfId="0"/>
    <xf numFmtId="0" fontId="20" fillId="0" borderId="0" applyAlignment="1" pivotButton="0" quotePrefix="0" xfId="0">
      <alignment horizontal="center" vertical="center"/>
    </xf>
    <xf numFmtId="0" fontId="8" fillId="0" borderId="0" applyAlignment="1" pivotButton="0" quotePrefix="0" xfId="0">
      <alignment vertical="center"/>
    </xf>
    <xf numFmtId="168" fontId="8" fillId="0" borderId="0" applyAlignment="1" pivotButton="0" quotePrefix="0" xfId="0">
      <alignment horizontal="center" vertical="center"/>
    </xf>
    <xf numFmtId="172" fontId="8" fillId="0" borderId="0" applyAlignment="1" pivotButton="0" quotePrefix="0" xfId="0">
      <alignment horizontal="center" vertical="center"/>
    </xf>
    <xf numFmtId="173" fontId="8" fillId="0" borderId="0" applyAlignment="1" pivotButton="0" quotePrefix="0" xfId="0">
      <alignment vertical="center"/>
    </xf>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center"/>
    </xf>
    <xf numFmtId="0" fontId="6" fillId="0" borderId="0" applyAlignment="1" pivotButton="0" quotePrefix="0" xfId="0">
      <alignment horizontal="right" vertical="center"/>
    </xf>
    <xf numFmtId="0" fontId="23" fillId="0" borderId="0" applyAlignment="1" pivotButton="0" quotePrefix="0" xfId="0">
      <alignment horizontal="center"/>
    </xf>
    <xf numFmtId="0" fontId="24" fillId="0" borderId="0" applyAlignment="1" pivotButton="0" quotePrefix="0" xfId="0">
      <alignment horizontal="left" vertical="center"/>
    </xf>
    <xf numFmtId="166" fontId="23" fillId="0" borderId="0" applyAlignment="1" pivotButton="0" quotePrefix="0" xfId="0">
      <alignment horizontal="right" vertical="center" shrinkToFit="1"/>
    </xf>
    <xf numFmtId="14" fontId="24" fillId="0" borderId="0" applyAlignment="1" pivotButton="0" quotePrefix="0" xfId="0">
      <alignment horizontal="center"/>
    </xf>
    <xf numFmtId="0" fontId="25" fillId="0" borderId="0" applyAlignment="1" pivotButton="0" quotePrefix="0" xfId="0">
      <alignment horizontal="center"/>
    </xf>
    <xf numFmtId="2" fontId="24" fillId="0" borderId="0" applyAlignment="1" pivotButton="0" quotePrefix="0" xfId="0">
      <alignment horizontal="center"/>
    </xf>
    <xf numFmtId="0" fontId="24" fillId="0" borderId="0" applyAlignment="1" pivotButton="0" quotePrefix="0" xfId="0">
      <alignment horizontal="center"/>
    </xf>
    <xf numFmtId="0" fontId="24" fillId="0" borderId="0" pivotButton="0" quotePrefix="0" xfId="0"/>
    <xf numFmtId="0" fontId="24" fillId="0" borderId="0" applyAlignment="1" pivotButton="0" quotePrefix="0" xfId="0">
      <alignment horizontal="right" vertical="center"/>
    </xf>
    <xf numFmtId="172" fontId="24" fillId="0" borderId="0" applyAlignment="1" pivotButton="0" quotePrefix="0" xfId="0">
      <alignment horizontal="center"/>
    </xf>
    <xf numFmtId="0" fontId="24" fillId="0" borderId="0" applyAlignment="1" pivotButton="0" quotePrefix="0" xfId="0">
      <alignment horizontal="left"/>
    </xf>
    <xf numFmtId="174" fontId="23" fillId="0" borderId="0" applyAlignment="1" pivotButton="0" quotePrefix="0" xfId="0">
      <alignment horizontal="right" vertical="center" shrinkToFit="1"/>
    </xf>
    <xf numFmtId="175" fontId="23" fillId="0" borderId="0" applyAlignment="1" pivotButton="0" quotePrefix="0" xfId="0">
      <alignment horizontal="right" vertical="center" shrinkToFit="1"/>
    </xf>
    <xf numFmtId="0" fontId="24" fillId="0" borderId="30" applyAlignment="1" pivotButton="0" quotePrefix="0" xfId="0">
      <alignment horizontal="right" vertical="center"/>
    </xf>
    <xf numFmtId="14" fontId="24" fillId="0" borderId="30" applyAlignment="1" pivotButton="0" quotePrefix="0" xfId="0">
      <alignment horizontal="center"/>
    </xf>
    <xf numFmtId="0" fontId="24" fillId="0" borderId="30" applyAlignment="1" pivotButton="0" quotePrefix="0" xfId="0">
      <alignment horizontal="left"/>
    </xf>
    <xf numFmtId="176" fontId="23" fillId="0" borderId="30" applyAlignment="1" pivotButton="0" quotePrefix="0" xfId="0">
      <alignment horizontal="right" vertical="center" shrinkToFit="1"/>
    </xf>
    <xf numFmtId="170" fontId="24" fillId="0" borderId="0" applyAlignment="1" pivotButton="0" quotePrefix="0" xfId="0">
      <alignment horizontal="center"/>
    </xf>
    <xf numFmtId="171" fontId="24" fillId="0" borderId="0" applyAlignment="1" pivotButton="0" quotePrefix="0" xfId="0">
      <alignment horizontal="center"/>
    </xf>
    <xf numFmtId="0" fontId="6" fillId="0" borderId="0" pivotButton="0" quotePrefix="0" xfId="0"/>
    <xf numFmtId="0" fontId="24" fillId="0" borderId="0" applyAlignment="1" pivotButton="0" quotePrefix="0" xfId="0">
      <alignment horizontal="center" vertical="center"/>
    </xf>
    <xf numFmtId="0" fontId="6" fillId="0" borderId="0" applyAlignment="1" pivotButton="0" quotePrefix="0" xfId="0">
      <alignment horizontal="center" vertical="center"/>
    </xf>
    <xf numFmtId="2" fontId="6" fillId="0" borderId="0" applyAlignment="1" pivotButton="0" quotePrefix="0" xfId="0">
      <alignment horizontal="center" vertical="center"/>
    </xf>
    <xf numFmtId="164" fontId="24" fillId="0" borderId="0" applyAlignment="1" pivotButton="0" quotePrefix="0" xfId="0">
      <alignment horizontal="center" vertical="center"/>
    </xf>
    <xf numFmtId="164" fontId="6" fillId="0" borderId="0" applyAlignment="1" pivotButton="0" quotePrefix="0" xfId="0">
      <alignment horizontal="center" vertical="center"/>
    </xf>
    <xf numFmtId="0" fontId="6" fillId="0" borderId="0" applyAlignment="1" pivotButton="0" quotePrefix="0" xfId="0">
      <alignment horizontal="left" vertical="center"/>
    </xf>
    <xf numFmtId="0" fontId="24" fillId="10" borderId="31" applyAlignment="1" pivotButton="0" quotePrefix="0" xfId="0">
      <alignment horizontal="center" vertical="center"/>
    </xf>
    <xf numFmtId="0" fontId="24" fillId="10" borderId="31" applyAlignment="1" pivotButton="0" quotePrefix="0" xfId="0">
      <alignment vertical="center"/>
    </xf>
    <xf numFmtId="0" fontId="24" fillId="10" borderId="31" applyAlignment="1" pivotButton="0" quotePrefix="0" xfId="0">
      <alignment horizontal="center" vertical="center" shrinkToFit="1"/>
    </xf>
    <xf numFmtId="2" fontId="24" fillId="10" borderId="32" applyAlignment="1" pivotButton="0" quotePrefix="0" xfId="0">
      <alignment vertical="center"/>
    </xf>
    <xf numFmtId="2" fontId="24" fillId="0" borderId="33" applyAlignment="1" pivotButton="0" quotePrefix="0" xfId="0">
      <alignment vertical="center"/>
    </xf>
    <xf numFmtId="2" fontId="24" fillId="11" borderId="34" applyAlignment="1" pivotButton="0" quotePrefix="0" xfId="0">
      <alignment horizontal="center" vertical="center"/>
    </xf>
    <xf numFmtId="164" fontId="24" fillId="10" borderId="35" applyAlignment="1" pivotButton="0" quotePrefix="0" xfId="0">
      <alignment vertical="center"/>
    </xf>
    <xf numFmtId="177" fontId="24" fillId="10" borderId="31" applyAlignment="1" pivotButton="0" quotePrefix="0" xfId="0">
      <alignment vertical="center"/>
    </xf>
    <xf numFmtId="0" fontId="6" fillId="0" borderId="0" applyAlignment="1" pivotButton="0" quotePrefix="0" xfId="0">
      <alignment vertical="center"/>
    </xf>
    <xf numFmtId="0" fontId="24" fillId="0" borderId="0" applyAlignment="1" pivotButton="0" quotePrefix="0" xfId="0">
      <alignment horizontal="center" vertical="center" shrinkToFit="1"/>
    </xf>
    <xf numFmtId="2" fontId="24" fillId="0" borderId="0" applyAlignment="1" pivotButton="0" quotePrefix="0" xfId="0">
      <alignment vertical="center"/>
    </xf>
    <xf numFmtId="2" fontId="26" fillId="0" borderId="0" applyAlignment="1" pivotButton="0" quotePrefix="0" xfId="0">
      <alignment vertical="center"/>
    </xf>
    <xf numFmtId="2" fontId="6" fillId="11" borderId="36" applyAlignment="1" pivotButton="0" quotePrefix="0" xfId="0">
      <alignment horizontal="center" vertical="center"/>
    </xf>
    <xf numFmtId="164" fontId="24" fillId="0" borderId="0" applyAlignment="1" pivotButton="0" quotePrefix="0" xfId="0">
      <alignment vertical="center"/>
    </xf>
    <xf numFmtId="177" fontId="24" fillId="0" borderId="0" applyAlignment="1" pivotButton="0" quotePrefix="0" xfId="0">
      <alignment vertical="center"/>
    </xf>
    <xf numFmtId="0" fontId="27" fillId="0" borderId="0" applyAlignment="1" pivotButton="0" quotePrefix="0" xfId="0">
      <alignment horizontal="center" vertical="center"/>
    </xf>
    <xf numFmtId="0" fontId="28" fillId="0" borderId="0" applyAlignment="1" pivotButton="0" quotePrefix="0" xfId="0">
      <alignment vertical="center"/>
    </xf>
    <xf numFmtId="0" fontId="28" fillId="0" borderId="0" applyAlignment="1" pivotButton="0" quotePrefix="0" xfId="0">
      <alignment horizontal="center" vertical="center"/>
    </xf>
    <xf numFmtId="0" fontId="27" fillId="0" borderId="0" applyAlignment="1" pivotButton="0" quotePrefix="0" xfId="0">
      <alignment horizontal="center" vertical="center" shrinkToFit="1"/>
    </xf>
    <xf numFmtId="2" fontId="27" fillId="0" borderId="0" applyAlignment="1" pivotButton="0" quotePrefix="0" xfId="0">
      <alignment vertical="center"/>
    </xf>
    <xf numFmtId="2" fontId="29" fillId="0" borderId="0" applyAlignment="1" pivotButton="0" quotePrefix="0" xfId="0">
      <alignment vertical="center"/>
    </xf>
    <xf numFmtId="2" fontId="28" fillId="11" borderId="36" applyAlignment="1" pivotButton="0" quotePrefix="0" xfId="0">
      <alignment horizontal="center" vertical="center"/>
    </xf>
    <xf numFmtId="164" fontId="27" fillId="0" borderId="0" applyAlignment="1" pivotButton="0" quotePrefix="0" xfId="0">
      <alignment vertical="center"/>
    </xf>
    <xf numFmtId="177" fontId="27" fillId="0" borderId="0" applyAlignment="1" pivotButton="0" quotePrefix="0" xfId="0">
      <alignment vertical="center"/>
    </xf>
    <xf numFmtId="0" fontId="27" fillId="0" borderId="0" pivotButton="0" quotePrefix="0" xfId="0"/>
    <xf numFmtId="0" fontId="6" fillId="10" borderId="31" applyAlignment="1" pivotButton="0" quotePrefix="0" xfId="0">
      <alignment horizontal="center" vertical="center"/>
    </xf>
    <xf numFmtId="2" fontId="30" fillId="10" borderId="32" applyAlignment="1" pivotButton="0" quotePrefix="0" xfId="0">
      <alignment vertical="center"/>
    </xf>
    <xf numFmtId="2" fontId="31" fillId="0" borderId="0" applyAlignment="1" pivotButton="0" quotePrefix="0" xfId="0">
      <alignment vertical="center"/>
    </xf>
    <xf numFmtId="2" fontId="27" fillId="11" borderId="36" applyAlignment="1" pivotButton="0" quotePrefix="0" xfId="0">
      <alignment horizontal="center" vertical="center"/>
    </xf>
    <xf numFmtId="2" fontId="32" fillId="0" borderId="0" applyAlignment="1" pivotButton="0" quotePrefix="0" xfId="0">
      <alignment vertical="center"/>
    </xf>
    <xf numFmtId="0" fontId="6" fillId="2" borderId="0" applyAlignment="1" pivotButton="0" quotePrefix="0" xfId="0">
      <alignment horizontal="center" vertical="center"/>
    </xf>
    <xf numFmtId="0" fontId="27" fillId="0" borderId="0" applyAlignment="1" pivotButton="0" quotePrefix="0" xfId="0">
      <alignment vertical="center"/>
    </xf>
    <xf numFmtId="2" fontId="24" fillId="11" borderId="36" applyAlignment="1" pivotButton="0" quotePrefix="0" xfId="0">
      <alignment horizontal="center" vertical="center"/>
    </xf>
    <xf numFmtId="0" fontId="28" fillId="10" borderId="31" applyAlignment="1" pivotButton="0" quotePrefix="0" xfId="0">
      <alignment horizontal="center" vertical="center"/>
    </xf>
    <xf numFmtId="0" fontId="27" fillId="10" borderId="31" applyAlignment="1" pivotButton="0" quotePrefix="0" xfId="0">
      <alignment vertical="center"/>
    </xf>
    <xf numFmtId="0" fontId="27" fillId="10" borderId="31" applyAlignment="1" pivotButton="0" quotePrefix="0" xfId="0">
      <alignment horizontal="center" vertical="center"/>
    </xf>
    <xf numFmtId="0" fontId="27" fillId="10" borderId="31" applyAlignment="1" pivotButton="0" quotePrefix="0" xfId="0">
      <alignment horizontal="center" vertical="center" shrinkToFit="1"/>
    </xf>
    <xf numFmtId="2" fontId="27" fillId="10" borderId="32" applyAlignment="1" pivotButton="0" quotePrefix="0" xfId="0">
      <alignment vertical="center"/>
    </xf>
    <xf numFmtId="2" fontId="33" fillId="10" borderId="32" applyAlignment="1" pivotButton="0" quotePrefix="0" xfId="0">
      <alignment vertical="center"/>
    </xf>
    <xf numFmtId="2" fontId="27" fillId="11" borderId="34" applyAlignment="1" pivotButton="0" quotePrefix="0" xfId="0">
      <alignment horizontal="center" vertical="center"/>
    </xf>
    <xf numFmtId="164" fontId="27" fillId="10" borderId="35" applyAlignment="1" pivotButton="0" quotePrefix="0" xfId="0">
      <alignment vertical="center"/>
    </xf>
    <xf numFmtId="177" fontId="27" fillId="10" borderId="31" applyAlignment="1" pivotButton="0" quotePrefix="0" xfId="0">
      <alignment vertical="center"/>
    </xf>
    <xf numFmtId="0" fontId="24" fillId="0" borderId="0" applyAlignment="1" pivotButton="0" quotePrefix="0" xfId="0">
      <alignment vertical="center"/>
    </xf>
    <xf numFmtId="177" fontId="23" fillId="6" borderId="0" applyAlignment="1" pivotButton="0" quotePrefix="0" xfId="0">
      <alignment vertical="center"/>
    </xf>
    <xf numFmtId="0" fontId="24" fillId="12" borderId="0" pivotButton="0" quotePrefix="0" xfId="0"/>
    <xf numFmtId="2" fontId="24" fillId="12" borderId="0" pivotButton="0" quotePrefix="0" xfId="0"/>
    <xf numFmtId="0" fontId="24" fillId="12" borderId="0" applyAlignment="1" pivotButton="0" quotePrefix="0" xfId="0">
      <alignment horizontal="center"/>
    </xf>
    <xf numFmtId="2" fontId="6" fillId="0" borderId="0" applyAlignment="1" pivotButton="0" quotePrefix="0" xfId="0">
      <alignment horizontal="center"/>
    </xf>
    <xf numFmtId="0" fontId="6" fillId="0" borderId="0" applyAlignment="1" pivotButton="0" quotePrefix="0" xfId="0">
      <alignment horizontal="center"/>
    </xf>
    <xf numFmtId="164" fontId="24" fillId="0" borderId="0" applyAlignment="1" pivotButton="0" quotePrefix="0" xfId="0">
      <alignment horizontal="center"/>
    </xf>
    <xf numFmtId="164" fontId="6" fillId="0" borderId="0" applyAlignment="1" pivotButton="0" quotePrefix="0" xfId="0">
      <alignment horizontal="center"/>
    </xf>
    <xf numFmtId="2" fontId="6" fillId="0" borderId="0" applyAlignment="1" pivotButton="0" quotePrefix="0" xfId="0">
      <alignment vertical="center"/>
    </xf>
    <xf numFmtId="177" fontId="24" fillId="2" borderId="0" applyAlignment="1" pivotButton="0" quotePrefix="0" xfId="0">
      <alignment vertical="bottom"/>
    </xf>
    <xf numFmtId="177" fontId="24" fillId="6" borderId="0" applyAlignment="1" pivotButton="0" quotePrefix="0" xfId="0">
      <alignment vertical="center"/>
    </xf>
    <xf numFmtId="2" fontId="24" fillId="0" borderId="0" pivotButton="0" quotePrefix="0" xfId="0"/>
    <xf numFmtId="0" fontId="24" fillId="0" borderId="0" applyAlignment="1" pivotButton="0" quotePrefix="0" xfId="0">
      <alignment horizontal="left" vertical="center"/>
    </xf>
    <xf numFmtId="2" fontId="24" fillId="11" borderId="34" applyAlignment="1" pivotButton="0" quotePrefix="0" xfId="0">
      <alignment vertical="center"/>
    </xf>
    <xf numFmtId="2" fontId="6" fillId="11" borderId="36" applyAlignment="1" pivotButton="0" quotePrefix="0" xfId="0">
      <alignment vertical="center"/>
    </xf>
    <xf numFmtId="2" fontId="28" fillId="0" borderId="0" applyAlignment="1" pivotButton="0" quotePrefix="0" xfId="0">
      <alignment vertical="center"/>
    </xf>
    <xf numFmtId="2" fontId="28" fillId="11" borderId="36" applyAlignment="1" pivotButton="0" quotePrefix="0" xfId="0">
      <alignment vertical="center"/>
    </xf>
    <xf numFmtId="2" fontId="27" fillId="11" borderId="36" applyAlignment="1" pivotButton="0" quotePrefix="0" xfId="0">
      <alignment vertical="center"/>
    </xf>
    <xf numFmtId="2" fontId="24" fillId="11" borderId="36" applyAlignment="1" pivotButton="0" quotePrefix="0" xfId="0">
      <alignment vertical="center"/>
    </xf>
    <xf numFmtId="2" fontId="27" fillId="11" borderId="34" applyAlignment="1" pivotButton="0" quotePrefix="0" xfId="0">
      <alignment vertical="center"/>
    </xf>
    <xf numFmtId="2" fontId="24" fillId="0" borderId="0" applyAlignment="1" pivotButton="0" quotePrefix="0" xfId="0">
      <alignment horizontal="center" vertical="center"/>
    </xf>
    <xf numFmtId="0" fontId="27" fillId="0" borderId="0" applyAlignment="1" pivotButton="0" quotePrefix="0" xfId="0">
      <alignment horizontal="right" vertical="center"/>
    </xf>
    <xf numFmtId="0" fontId="34" fillId="0" borderId="0" applyAlignment="1" pivotButton="0" quotePrefix="0" xfId="0">
      <alignment horizontal="center"/>
    </xf>
    <xf numFmtId="0" fontId="27" fillId="0" borderId="0" applyAlignment="1" pivotButton="0" quotePrefix="0" xfId="0">
      <alignment horizontal="left" vertical="center"/>
    </xf>
    <xf numFmtId="166" fontId="34" fillId="0" borderId="0" applyAlignment="1" pivotButton="0" quotePrefix="0" xfId="0">
      <alignment horizontal="right" vertical="center" shrinkToFit="1"/>
    </xf>
    <xf numFmtId="14" fontId="27" fillId="0" borderId="0" applyAlignment="1" pivotButton="0" quotePrefix="0" xfId="0">
      <alignment horizontal="center"/>
    </xf>
    <xf numFmtId="0" fontId="35" fillId="0" borderId="0" applyAlignment="1" pivotButton="0" quotePrefix="0" xfId="0">
      <alignment horizontal="center"/>
    </xf>
    <xf numFmtId="2" fontId="27" fillId="0" borderId="0" applyAlignment="1" pivotButton="0" quotePrefix="0" xfId="0">
      <alignment horizontal="center"/>
    </xf>
    <xf numFmtId="0" fontId="27" fillId="0" borderId="0" applyAlignment="1" pivotButton="0" quotePrefix="0" xfId="0">
      <alignment horizontal="center"/>
    </xf>
    <xf numFmtId="172" fontId="27" fillId="0" borderId="0" applyAlignment="1" pivotButton="0" quotePrefix="0" xfId="0">
      <alignment horizontal="center"/>
    </xf>
    <xf numFmtId="0" fontId="27" fillId="0" borderId="0" applyAlignment="1" pivotButton="0" quotePrefix="0" xfId="0">
      <alignment horizontal="left"/>
    </xf>
    <xf numFmtId="174" fontId="34" fillId="0" borderId="0" applyAlignment="1" pivotButton="0" quotePrefix="0" xfId="0">
      <alignment horizontal="right" vertical="center" shrinkToFit="1"/>
    </xf>
    <xf numFmtId="175" fontId="34" fillId="0" borderId="0" applyAlignment="1" pivotButton="0" quotePrefix="0" xfId="0">
      <alignment horizontal="right" vertical="center" shrinkToFit="1"/>
    </xf>
    <xf numFmtId="0" fontId="27" fillId="0" borderId="30" applyAlignment="1" pivotButton="0" quotePrefix="0" xfId="0">
      <alignment horizontal="right" vertical="center"/>
    </xf>
    <xf numFmtId="14" fontId="27" fillId="0" borderId="30" applyAlignment="1" pivotButton="0" quotePrefix="0" xfId="0">
      <alignment horizontal="center"/>
    </xf>
    <xf numFmtId="0" fontId="27" fillId="0" borderId="30" applyAlignment="1" pivotButton="0" quotePrefix="0" xfId="0">
      <alignment horizontal="left"/>
    </xf>
    <xf numFmtId="176" fontId="34" fillId="0" borderId="30" applyAlignment="1" pivotButton="0" quotePrefix="0" xfId="0">
      <alignment horizontal="right" vertical="center" shrinkToFit="1"/>
    </xf>
    <xf numFmtId="170" fontId="27" fillId="0" borderId="0" applyAlignment="1" pivotButton="0" quotePrefix="0" xfId="0">
      <alignment horizontal="center"/>
    </xf>
    <xf numFmtId="171" fontId="27" fillId="0" borderId="0" applyAlignment="1" pivotButton="0" quotePrefix="0" xfId="0">
      <alignment horizontal="center"/>
    </xf>
    <xf numFmtId="2" fontId="28" fillId="0" borderId="0" applyAlignment="1" pivotButton="0" quotePrefix="0" xfId="0">
      <alignment horizontal="center" vertical="center"/>
    </xf>
    <xf numFmtId="164" fontId="27" fillId="0" borderId="0" applyAlignment="1" pivotButton="0" quotePrefix="0" xfId="0">
      <alignment horizontal="center" vertical="center"/>
    </xf>
    <xf numFmtId="164" fontId="28" fillId="0" borderId="0" applyAlignment="1" pivotButton="0" quotePrefix="0" xfId="0">
      <alignment horizontal="center" vertical="center"/>
    </xf>
    <xf numFmtId="0" fontId="28" fillId="0" borderId="0" applyAlignment="1" pivotButton="0" quotePrefix="0" xfId="0">
      <alignment horizontal="left" vertical="center"/>
    </xf>
    <xf numFmtId="2" fontId="27" fillId="0" borderId="33" applyAlignment="1" pivotButton="0" quotePrefix="0" xfId="0">
      <alignment vertical="center"/>
    </xf>
    <xf numFmtId="0" fontId="28" fillId="2" borderId="0" applyAlignment="1" pivotButton="0" quotePrefix="0" xfId="0">
      <alignment horizontal="center" vertical="center"/>
    </xf>
    <xf numFmtId="177" fontId="34" fillId="6" borderId="0" applyAlignment="1" pivotButton="0" quotePrefix="0" xfId="0">
      <alignment vertical="center"/>
    </xf>
    <xf numFmtId="0" fontId="27" fillId="12" borderId="0" pivotButton="0" quotePrefix="0" xfId="0"/>
    <xf numFmtId="2" fontId="27" fillId="12" borderId="0" pivotButton="0" quotePrefix="0" xfId="0"/>
    <xf numFmtId="2" fontId="28" fillId="0" borderId="0" applyAlignment="1" pivotButton="0" quotePrefix="0" xfId="0">
      <alignment horizontal="center"/>
    </xf>
    <xf numFmtId="164" fontId="27" fillId="0" borderId="0" applyAlignment="1" pivotButton="0" quotePrefix="0" xfId="0">
      <alignment horizontal="center"/>
    </xf>
    <xf numFmtId="164" fontId="28" fillId="0" borderId="0" applyAlignment="1" pivotButton="0" quotePrefix="0" xfId="0">
      <alignment horizontal="center"/>
    </xf>
    <xf numFmtId="0" fontId="28" fillId="0" borderId="0" pivotButton="0" quotePrefix="0" xfId="0"/>
    <xf numFmtId="2" fontId="27" fillId="0" borderId="0" applyAlignment="1" pivotButton="0" quotePrefix="0" xfId="0">
      <alignment horizontal="center" vertical="center"/>
    </xf>
    <xf numFmtId="177" fontId="27" fillId="2" borderId="0" applyAlignment="1" pivotButton="0" quotePrefix="0" xfId="0">
      <alignment vertical="bottom"/>
    </xf>
    <xf numFmtId="177" fontId="27" fillId="6" borderId="0" applyAlignment="1" pivotButton="0" quotePrefix="0" xfId="0">
      <alignment vertical="center"/>
    </xf>
    <xf numFmtId="0" fontId="28" fillId="0" borderId="0" applyAlignment="1" pivotButton="0" quotePrefix="0" xfId="0">
      <alignment horizontal="center" vertical="center" wrapText="1"/>
    </xf>
    <xf numFmtId="0" fontId="27" fillId="0" borderId="0" applyAlignment="1" pivotButton="0" quotePrefix="0" xfId="0">
      <alignment horizontal="center" vertical="center" wrapText="1"/>
    </xf>
    <xf numFmtId="2" fontId="1" fillId="0" borderId="0" pivotButton="0" quotePrefix="0" xfId="0"/>
    <xf numFmtId="0" fontId="0" fillId="0" borderId="0" pivotButton="0" quotePrefix="0" xfId="0"/>
    <xf numFmtId="0" fontId="36" fillId="13" borderId="0" applyAlignment="1" pivotButton="0" quotePrefix="0" xfId="0">
      <alignment horizontal="left" vertical="center" indent="1"/>
    </xf>
    <xf numFmtId="0" fontId="37" fillId="0" borderId="0" applyAlignment="1" pivotButton="0" quotePrefix="0" xfId="0">
      <alignment horizontal="left" vertical="center" indent="1"/>
    </xf>
    <xf numFmtId="0" fontId="38" fillId="0" borderId="0" applyAlignment="1" pivotButton="0" quotePrefix="0" xfId="0">
      <alignment horizontal="left" vertical="center"/>
    </xf>
    <xf numFmtId="178" fontId="39" fillId="0" borderId="0" applyAlignment="1" pivotButton="0" quotePrefix="0" xfId="0">
      <alignment horizontal="left" vertical="center"/>
    </xf>
    <xf numFmtId="0" fontId="39" fillId="0" borderId="0" applyAlignment="1" pivotButton="0" quotePrefix="0" xfId="0">
      <alignment horizontal="left" vertical="center"/>
    </xf>
    <xf numFmtId="0" fontId="40" fillId="0" borderId="0" applyAlignment="1" pivotButton="0" quotePrefix="0" xfId="0">
      <alignment horizontal="left" vertical="center"/>
    </xf>
    <xf numFmtId="178" fontId="41" fillId="0" borderId="0" applyAlignment="1" pivotButton="0" quotePrefix="0" xfId="0">
      <alignment horizontal="left" vertical="center"/>
    </xf>
    <xf numFmtId="0" fontId="42" fillId="14" borderId="38" applyAlignment="1" pivotButton="0" quotePrefix="0" xfId="0">
      <alignment horizontal="center" vertical="center" wrapText="1"/>
    </xf>
    <xf numFmtId="0" fontId="42" fillId="14" borderId="0" applyAlignment="1" pivotButton="0" quotePrefix="0" xfId="0">
      <alignment horizontal="center" vertical="center"/>
    </xf>
    <xf numFmtId="0" fontId="0" fillId="14" borderId="0" pivotButton="0" quotePrefix="0" xfId="0"/>
    <xf numFmtId="0" fontId="0" fillId="0" borderId="38" applyAlignment="1" pivotButton="0" quotePrefix="0" xfId="0">
      <alignment horizontal="left" vertical="center" indent="1"/>
    </xf>
    <xf numFmtId="0" fontId="0" fillId="0" borderId="38" applyAlignment="1" pivotButton="0" quotePrefix="0" xfId="0">
      <alignment horizontal="left" vertical="center"/>
    </xf>
    <xf numFmtId="4" fontId="0" fillId="0" borderId="38" applyAlignment="1" pivotButton="0" quotePrefix="0" xfId="0">
      <alignment horizontal="right" vertical="center"/>
    </xf>
    <xf numFmtId="178" fontId="0" fillId="0" borderId="38" applyAlignment="1" pivotButton="0" quotePrefix="0" xfId="0">
      <alignment horizontal="right" vertical="center"/>
    </xf>
    <xf numFmtId="0" fontId="0" fillId="0" borderId="38" applyAlignment="1" pivotButton="0" quotePrefix="0" xfId="0">
      <alignment horizontal="left" indent="1"/>
    </xf>
    <xf numFmtId="178" fontId="0" fillId="0" borderId="38" pivotButton="0" quotePrefix="0" xfId="0"/>
    <xf numFmtId="0" fontId="0" fillId="15" borderId="38" applyAlignment="1" pivotButton="0" quotePrefix="0" xfId="0">
      <alignment horizontal="left" vertical="center" indent="1"/>
    </xf>
    <xf numFmtId="0" fontId="0" fillId="15" borderId="38" applyAlignment="1" pivotButton="0" quotePrefix="0" xfId="0">
      <alignment horizontal="left" vertical="center"/>
    </xf>
    <xf numFmtId="4" fontId="0" fillId="15" borderId="38" applyAlignment="1" pivotButton="0" quotePrefix="0" xfId="0">
      <alignment horizontal="right" vertical="center"/>
    </xf>
    <xf numFmtId="178" fontId="0" fillId="15" borderId="38" applyAlignment="1" pivotButton="0" quotePrefix="0" xfId="0">
      <alignment horizontal="right" vertical="center"/>
    </xf>
    <xf numFmtId="0" fontId="46" fillId="15" borderId="0" pivotButton="0" quotePrefix="0" xfId="0"/>
    <xf numFmtId="178" fontId="46" fillId="15" borderId="0" pivotButton="0" quotePrefix="0" xfId="0"/>
    <xf numFmtId="0" fontId="45" fillId="13" borderId="38" pivotButton="0" quotePrefix="0" xfId="0"/>
    <xf numFmtId="0" fontId="42" fillId="13" borderId="38" pivotButton="0" quotePrefix="0" xfId="0"/>
    <xf numFmtId="4" fontId="43" fillId="13" borderId="38" pivotButton="0" quotePrefix="0" xfId="0"/>
    <xf numFmtId="178" fontId="44" fillId="13" borderId="38" pivotButton="0" quotePrefix="0" xfId="0"/>
    <xf numFmtId="0" fontId="8" fillId="3" borderId="2" applyAlignment="1" pivotButton="0" quotePrefix="0" xfId="0">
      <alignment horizontal="center" wrapText="1"/>
    </xf>
    <xf numFmtId="0" fontId="0" fillId="0" borderId="4" pivotButton="0" quotePrefix="0" xfId="0"/>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73F6B"/>
          <bgColor rgb="FF373F6B"/>
        </patternFill>
      </fill>
      <border/>
    </dxf>
    <dxf>
      <font/>
      <fill>
        <patternFill patternType="solid">
          <fgColor rgb="FFCDC5DA"/>
          <bgColor rgb="FFCDC5DA"/>
        </patternFill>
      </fill>
      <border/>
    </dxf>
    <dxf>
      <font/>
      <fill>
        <patternFill patternType="solid">
          <fgColor rgb="FF49564C"/>
          <bgColor rgb="FF49564C"/>
        </patternFill>
      </fill>
      <border/>
    </dxf>
    <dxf>
      <font/>
      <fill>
        <patternFill patternType="solid">
          <fgColor rgb="FFD2D5D2"/>
          <bgColor rgb="FFD2D5D2"/>
        </patternFill>
      </fill>
      <border/>
    </dxf>
    <dxf>
      <font>
        <color rgb="FF9C0006"/>
      </font>
      <fill>
        <patternFill patternType="solid">
          <fgColor rgb="FFFFC7CE"/>
          <bgColor rgb="FFFFC7CE"/>
        </patternFill>
      </fill>
      <border/>
    </dxf>
    <dxf>
      <font/>
      <fill>
        <patternFill patternType="solid">
          <fgColor rgb="FFFFC7CE"/>
          <bgColor rgb="FFFFC7CE"/>
        </patternFill>
      </fill>
      <border/>
    </dxf>
    <dxf>
      <font/>
      <fill>
        <patternFill patternType="solid">
          <fgColor rgb="FFB7E1CD"/>
          <bgColor rgb="FFB7E1CD"/>
        </patternFill>
      </fill>
      <border/>
    </dxf>
    <dxf>
      <fill>
        <patternFill patternType="solid">
          <fgColor rgb="FFE7F4E4"/>
        </patternFill>
      </fill>
    </dxf>
    <dxf>
      <fill>
        <patternFill patternType="solid">
          <fgColor rgb="FFFFF3CD"/>
        </patternFill>
      </fill>
    </dxf>
    <dxf>
      <fill>
        <patternFill patternType="solid">
          <fgColor rgb="FFEDEFF1"/>
        </patternFill>
      </fill>
    </dxf>
  </dxfs>
  <tableStyles count="43" defaultTableStyle="TableStyleMedium9" defaultPivotStyle="PivotStyleLight16">
    <tableStyle name="LISTA-style" pivot="0" count="3">
      <tableStyleElement type="headerRow" dxfId="1"/>
      <tableStyleElement type="firstRowStripe" dxfId="2"/>
      <tableStyleElement type="secondRowStripe" dxfId="3"/>
    </tableStyle>
    <tableStyle name="CUSTO OPERAÇÃO-style" pivot="0" count="3">
      <tableStyleElement type="headerRow" dxfId="1"/>
      <tableStyleElement type="firstRowStripe" dxfId="2"/>
      <tableStyleElement type="secondRowStripe" dxfId="3"/>
    </tableStyle>
    <tableStyle name="CUSTO OPERAÇÃO-style 2" pivot="0" count="3">
      <tableStyleElement type="headerRow" dxfId="1"/>
      <tableStyleElement type="firstRowStripe" dxfId="2"/>
      <tableStyleElement type="secondRowStripe" dxfId="3"/>
    </tableStyle>
    <tableStyle name="PORTIFÓLIO-style" pivot="0" count="3">
      <tableStyleElement type="headerRow" dxfId="1"/>
      <tableStyleElement type="firstRowStripe" dxfId="2"/>
      <tableStyleElement type="secondRowStripe" dxfId="3"/>
    </tableStyle>
    <tableStyle name="ÁREA PLANTIO-style" pivot="0" count="3">
      <tableStyleElement type="headerRow" dxfId="1"/>
      <tableStyleElement type="firstRowStripe" dxfId="2"/>
      <tableStyleElement type="secondRowStripe" dxfId="3"/>
    </tableStyle>
    <tableStyle name="TL01-style" pivot="0" count="4">
      <tableStyleElement type="headerRow" dxfId="4"/>
      <tableStyleElement type="firstRowStripe" dxfId="2"/>
      <tableStyleElement type="secondRowStripe" dxfId="3"/>
      <tableStyleElement type="totalRow" dxfId="5"/>
    </tableStyle>
    <tableStyle name="TL01-style 2" pivot="0" count="4">
      <tableStyleElement type="headerRow" dxfId="6"/>
      <tableStyleElement type="firstRowStripe" dxfId="2"/>
      <tableStyleElement type="secondRowStripe" dxfId="3"/>
      <tableStyleElement type="totalRow" dxfId="7"/>
    </tableStyle>
    <tableStyle name="TL02-style" pivot="0" count="4">
      <tableStyleElement type="headerRow" dxfId="6"/>
      <tableStyleElement type="firstRowStripe" dxfId="2"/>
      <tableStyleElement type="secondRowStripe" dxfId="3"/>
      <tableStyleElement type="totalRow" dxfId="7"/>
    </tableStyle>
    <tableStyle name="TL02-style 2" pivot="0" count="4">
      <tableStyleElement type="headerRow" dxfId="6"/>
      <tableStyleElement type="firstRowStripe" dxfId="2"/>
      <tableStyleElement type="secondRowStripe" dxfId="3"/>
      <tableStyleElement type="totalRow" dxfId="7"/>
    </tableStyle>
    <tableStyle name="TL03-style" pivot="0" count="4">
      <tableStyleElement type="headerRow" dxfId="6"/>
      <tableStyleElement type="firstRowStripe" dxfId="2"/>
      <tableStyleElement type="secondRowStripe" dxfId="3"/>
      <tableStyleElement type="totalRow" dxfId="7"/>
    </tableStyle>
    <tableStyle name="TL03-style 2" pivot="0" count="4">
      <tableStyleElement type="headerRow" dxfId="6"/>
      <tableStyleElement type="firstRowStripe" dxfId="2"/>
      <tableStyleElement type="secondRowStripe" dxfId="3"/>
      <tableStyleElement type="totalRow" dxfId="7"/>
    </tableStyle>
    <tableStyle name="TL04-style" pivot="0" count="4">
      <tableStyleElement type="headerRow" dxfId="6"/>
      <tableStyleElement type="firstRowStripe" dxfId="2"/>
      <tableStyleElement type="secondRowStripe" dxfId="3"/>
      <tableStyleElement type="totalRow" dxfId="7"/>
    </tableStyle>
    <tableStyle name="TL04-style 2" pivot="0" count="4">
      <tableStyleElement type="headerRow" dxfId="6"/>
      <tableStyleElement type="firstRowStripe" dxfId="2"/>
      <tableStyleElement type="secondRowStripe" dxfId="3"/>
      <tableStyleElement type="totalRow" dxfId="7"/>
    </tableStyle>
    <tableStyle name="TL05-style" pivot="0" count="4">
      <tableStyleElement type="headerRow" dxfId="6"/>
      <tableStyleElement type="firstRowStripe" dxfId="2"/>
      <tableStyleElement type="secondRowStripe" dxfId="3"/>
      <tableStyleElement type="totalRow" dxfId="7"/>
    </tableStyle>
    <tableStyle name="TL05-style 2" pivot="0" count="4">
      <tableStyleElement type="headerRow" dxfId="6"/>
      <tableStyleElement type="firstRowStripe" dxfId="2"/>
      <tableStyleElement type="secondRowStripe" dxfId="3"/>
      <tableStyleElement type="totalRow" dxfId="7"/>
    </tableStyle>
    <tableStyle name="TL06-style" pivot="0" count="4">
      <tableStyleElement type="headerRow" dxfId="6"/>
      <tableStyleElement type="firstRowStripe" dxfId="2"/>
      <tableStyleElement type="secondRowStripe" dxfId="3"/>
      <tableStyleElement type="totalRow" dxfId="7"/>
    </tableStyle>
    <tableStyle name="TL06-style 2" pivot="0" count="4">
      <tableStyleElement type="headerRow" dxfId="6"/>
      <tableStyleElement type="firstRowStripe" dxfId="2"/>
      <tableStyleElement type="secondRowStripe" dxfId="3"/>
      <tableStyleElement type="totalRow" dxfId="7"/>
    </tableStyle>
    <tableStyle name="TL07-style" pivot="0" count="4">
      <tableStyleElement type="headerRow" dxfId="6"/>
      <tableStyleElement type="firstRowStripe" dxfId="2"/>
      <tableStyleElement type="secondRowStripe" dxfId="3"/>
      <tableStyleElement type="totalRow" dxfId="7"/>
    </tableStyle>
    <tableStyle name="TL07-style 2" pivot="0" count="4">
      <tableStyleElement type="headerRow" dxfId="6"/>
      <tableStyleElement type="firstRowStripe" dxfId="2"/>
      <tableStyleElement type="secondRowStripe" dxfId="3"/>
      <tableStyleElement type="totalRow" dxfId="7"/>
    </tableStyle>
    <tableStyle name="TL08-style" pivot="0" count="4">
      <tableStyleElement type="headerRow" dxfId="6"/>
      <tableStyleElement type="firstRowStripe" dxfId="2"/>
      <tableStyleElement type="secondRowStripe" dxfId="3"/>
      <tableStyleElement type="totalRow" dxfId="7"/>
    </tableStyle>
    <tableStyle name="TL08-style 2" pivot="0" count="4">
      <tableStyleElement type="headerRow" dxfId="6"/>
      <tableStyleElement type="firstRowStripe" dxfId="2"/>
      <tableStyleElement type="secondRowStripe" dxfId="3"/>
      <tableStyleElement type="totalRow" dxfId="7"/>
    </tableStyle>
    <tableStyle name="TL09-style" pivot="0" count="4">
      <tableStyleElement type="headerRow" dxfId="6"/>
      <tableStyleElement type="firstRowStripe" dxfId="2"/>
      <tableStyleElement type="secondRowStripe" dxfId="3"/>
      <tableStyleElement type="totalRow" dxfId="7"/>
    </tableStyle>
    <tableStyle name="TL09-style 2" pivot="0" count="4">
      <tableStyleElement type="headerRow" dxfId="6"/>
      <tableStyleElement type="firstRowStripe" dxfId="2"/>
      <tableStyleElement type="secondRowStripe" dxfId="3"/>
      <tableStyleElement type="totalRow" dxfId="7"/>
    </tableStyle>
    <tableStyle name="TL10-style" pivot="0" count="4">
      <tableStyleElement type="headerRow" dxfId="6"/>
      <tableStyleElement type="firstRowStripe" dxfId="2"/>
      <tableStyleElement type="secondRowStripe" dxfId="3"/>
      <tableStyleElement type="totalRow" dxfId="7"/>
    </tableStyle>
    <tableStyle name="TL10-style 2" pivot="0" count="4">
      <tableStyleElement type="headerRow" dxfId="6"/>
      <tableStyleElement type="firstRowStripe" dxfId="2"/>
      <tableStyleElement type="secondRowStripe" dxfId="3"/>
      <tableStyleElement type="totalRow" dxfId="7"/>
    </tableStyle>
    <tableStyle name="TL11-style" pivot="0" count="4">
      <tableStyleElement type="headerRow" dxfId="6"/>
      <tableStyleElement type="firstRowStripe" dxfId="2"/>
      <tableStyleElement type="secondRowStripe" dxfId="3"/>
      <tableStyleElement type="totalRow" dxfId="7"/>
    </tableStyle>
    <tableStyle name="TL11-style 2" pivot="0" count="4">
      <tableStyleElement type="headerRow" dxfId="6"/>
      <tableStyleElement type="firstRowStripe" dxfId="2"/>
      <tableStyleElement type="secondRowStripe" dxfId="3"/>
      <tableStyleElement type="totalRow" dxfId="7"/>
    </tableStyle>
    <tableStyle name="TL12-style" pivot="0" count="4">
      <tableStyleElement type="headerRow" dxfId="6"/>
      <tableStyleElement type="firstRowStripe" dxfId="2"/>
      <tableStyleElement type="secondRowStripe" dxfId="3"/>
      <tableStyleElement type="totalRow" dxfId="7"/>
    </tableStyle>
    <tableStyle name="TL12-style 2" pivot="0" count="4">
      <tableStyleElement type="headerRow" dxfId="6"/>
      <tableStyleElement type="firstRowStripe" dxfId="2"/>
      <tableStyleElement type="secondRowStripe" dxfId="3"/>
      <tableStyleElement type="totalRow" dxfId="7"/>
    </tableStyle>
    <tableStyle name="TL13-style" pivot="0" count="4">
      <tableStyleElement type="headerRow" dxfId="6"/>
      <tableStyleElement type="firstRowStripe" dxfId="2"/>
      <tableStyleElement type="secondRowStripe" dxfId="3"/>
      <tableStyleElement type="totalRow" dxfId="7"/>
    </tableStyle>
    <tableStyle name="TL13-style 2" pivot="0" count="4">
      <tableStyleElement type="headerRow" dxfId="6"/>
      <tableStyleElement type="firstRowStripe" dxfId="2"/>
      <tableStyleElement type="secondRowStripe" dxfId="3"/>
      <tableStyleElement type="totalRow" dxfId="7"/>
    </tableStyle>
    <tableStyle name="TL14-style" pivot="0" count="4">
      <tableStyleElement type="headerRow" dxfId="6"/>
      <tableStyleElement type="firstRowStripe" dxfId="2"/>
      <tableStyleElement type="secondRowStripe" dxfId="3"/>
      <tableStyleElement type="totalRow" dxfId="7"/>
    </tableStyle>
    <tableStyle name="TL14-style 2" pivot="0" count="4">
      <tableStyleElement type="headerRow" dxfId="6"/>
      <tableStyleElement type="firstRowStripe" dxfId="2"/>
      <tableStyleElement type="secondRowStripe" dxfId="3"/>
      <tableStyleElement type="totalRow" dxfId="7"/>
    </tableStyle>
    <tableStyle name="TL16-style" pivot="0" count="4">
      <tableStyleElement type="headerRow" dxfId="6"/>
      <tableStyleElement type="firstRowStripe" dxfId="2"/>
      <tableStyleElement type="secondRowStripe" dxfId="3"/>
      <tableStyleElement type="totalRow" dxfId="7"/>
    </tableStyle>
    <tableStyle name="TL16-style 2" pivot="0" count="4">
      <tableStyleElement type="headerRow" dxfId="6"/>
      <tableStyleElement type="firstRowStripe" dxfId="2"/>
      <tableStyleElement type="secondRowStripe" dxfId="3"/>
      <tableStyleElement type="totalRow" dxfId="7"/>
    </tableStyle>
    <tableStyle name="TL15-style" pivot="0" count="4">
      <tableStyleElement type="headerRow" dxfId="6"/>
      <tableStyleElement type="firstRowStripe" dxfId="2"/>
      <tableStyleElement type="secondRowStripe" dxfId="3"/>
      <tableStyleElement type="totalRow" dxfId="7"/>
    </tableStyle>
    <tableStyle name="TL15-style 2" pivot="0" count="4">
      <tableStyleElement type="headerRow" dxfId="6"/>
      <tableStyleElement type="firstRowStripe" dxfId="2"/>
      <tableStyleElement type="secondRowStripe" dxfId="3"/>
      <tableStyleElement type="totalRow" dxfId="7"/>
    </tableStyle>
    <tableStyle name="TL17-style" pivot="0" count="4">
      <tableStyleElement type="headerRow" dxfId="6"/>
      <tableStyleElement type="firstRowStripe" dxfId="2"/>
      <tableStyleElement type="secondRowStripe" dxfId="3"/>
      <tableStyleElement type="totalRow" dxfId="7"/>
    </tableStyle>
    <tableStyle name="TL17-style 2" pivot="0" count="4">
      <tableStyleElement type="headerRow" dxfId="6"/>
      <tableStyleElement type="firstRowStripe" dxfId="2"/>
      <tableStyleElement type="secondRowStripe" dxfId="3"/>
      <tableStyleElement type="totalRow" dxfId="7"/>
    </tableStyle>
    <tableStyle name="TL18-style" pivot="0" count="4">
      <tableStyleElement type="headerRow" dxfId="6"/>
      <tableStyleElement type="firstRowStripe" dxfId="2"/>
      <tableStyleElement type="secondRowStripe" dxfId="3"/>
      <tableStyleElement type="totalRow" dxfId="7"/>
    </tableStyle>
    <tableStyle name="TL18-style 2" pivot="0" count="4">
      <tableStyleElement type="headerRow" dxfId="6"/>
      <tableStyleElement type="firstRowStripe" dxfId="2"/>
      <tableStyleElement type="secondRowStripe" dxfId="3"/>
      <tableStyleElement type="totalRow" dxfId="7"/>
    </tableStyle>
    <tableStyle name="TL19-style" pivot="0" count="4">
      <tableStyleElement type="headerRow" dxfId="6"/>
      <tableStyleElement type="firstRowStripe" dxfId="2"/>
      <tableStyleElement type="secondRowStripe" dxfId="3"/>
      <tableStyleElement type="totalRow" dxfId="7"/>
    </tableStyle>
    <tableStyle name="TL19-style 2" pivot="0" count="4">
      <tableStyleElement type="headerRow" dxfId="6"/>
      <tableStyleElement type="firstRowStripe" dxfId="2"/>
      <tableStyleElement type="secondRowStripe" dxfId="3"/>
      <tableStyleElement type="totalRow"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ables/table1.xml><?xml version="1.0" encoding="utf-8"?>
<table xmlns="http://schemas.openxmlformats.org/spreadsheetml/2006/main" id="1" name="Table_1" displayName="Table_1" ref="A1:N271" headerRowCount="1">
  <tableColumns count="14">
    <tableColumn id="1" name="FUNGICIDA"/>
    <tableColumn id="2" name="HERBICIDA"/>
    <tableColumn id="3" name="INSETICIDA"/>
    <tableColumn id="4" name="TS"/>
    <tableColumn id="5" name="BIOLÓGICOS"/>
    <tableColumn id="6" name="SEMENTE"/>
    <tableColumn id="7" name="ADJUVANTE"/>
    <tableColumn id="8" name="FERTILIZANTES"/>
    <tableColumn id="9" name="CORRETIVOS"/>
    <tableColumn id="10" name="NUTRIÇÃO"/>
    <tableColumn id="11" name="MÁQUINAS"/>
    <tableColumn id="12" name="EMPEENDIMENTO"/>
    <tableColumn id="13" name="ÁREAS"/>
    <tableColumn id="14" name="HECTARES"/>
  </tableColumns>
  <tableStyleInfo name="LISTA-style" showFirstColumn="1" showLastColumn="1" showRowStripes="1" showColumnStripes="0"/>
</table>
</file>

<file path=xl/tables/table2.xml><?xml version="1.0" encoding="utf-8"?>
<table xmlns="http://schemas.openxmlformats.org/spreadsheetml/2006/main" id="2" name="Table_2" displayName="Table_2" ref="A1:M30" headerRowCount="1">
  <tableColumns count="13">
    <tableColumn id="1" name="Column 11"/>
    <tableColumn id="2" name="MÁQUINA "/>
    <tableColumn id="3" name="IMPLEMENTO"/>
    <tableColumn id="4" name="CONJUNTO"/>
    <tableColumn id="5" name="LARGURA"/>
    <tableColumn id="6" name="VELOCIDADE"/>
    <tableColumn id="7" name="EFICIÊNCIA"/>
    <tableColumn id="8" name="ha/h"/>
    <tableColumn id="9" name="L/h"/>
    <tableColumn id="10" name="HM/ha"/>
    <tableColumn id="11" name="L/ha"/>
    <tableColumn id="12" name="CUSTO HM/HA"/>
    <tableColumn id="13" name="HORA MAQ./HA"/>
  </tableColumns>
  <tableStyleInfo name="CUSTO OPERAÇÃO-style" showFirstColumn="1" showLastColumn="1" showRowStripes="1" showColumnStripes="0"/>
</table>
</file>

<file path=xl/tables/table3.xml><?xml version="1.0" encoding="utf-8"?>
<table xmlns="http://schemas.openxmlformats.org/spreadsheetml/2006/main" id="3" name="Table_3" displayName="Table_3" ref="O1:S125" headerRowCount="1">
  <tableColumns count="5">
    <tableColumn id="1" name="GRUPO"/>
    <tableColumn id="2" name="MAQUINA"/>
    <tableColumn id="3" name="CONSUMO HORA"/>
    <tableColumn id="4" name="LARGURA OPERAÇÃO"/>
    <tableColumn id="5" name="VELOCIDADE"/>
  </tableColumns>
  <tableStyleInfo name="CUSTO OPERAÇÃO-style 2" showFirstColumn="1" showLastColumn="1" showRowStripes="1" showColumnStripes="0"/>
</table>
</file>

<file path=xl/tables/table4.xml><?xml version="1.0" encoding="utf-8"?>
<table xmlns="http://schemas.openxmlformats.org/spreadsheetml/2006/main" id="4" name="Table_4" displayName="Table_4" ref="A3:V433" headerRowCount="1">
  <tableColumns count="22">
    <tableColumn id="1" name="EMPRESA"/>
    <tableColumn id="2" name="CLASSE"/>
    <tableColumn id="3" name="PRODUTO"/>
    <tableColumn id="4" name="ATIVOS"/>
    <tableColumn id="5" name="CONCENTRAÇÃO"/>
    <tableColumn id="6" name="UN"/>
    <tableColumn id="7" name="BULA"/>
    <tableColumn id="8" name="DOSE"/>
    <tableColumn id="9" name="EMBALAGEM"/>
    <tableColumn id="10" name="FE-BRACHIARIA-26/27"/>
    <tableColumn id="11" name="FE-SOJA IRRIGADO-26/27"/>
    <tableColumn id="12" name="FE-SOJA SEQUEIRO-26/27"/>
    <tableColumn id="13" name="FA-MILHO SEMENTE-27/27"/>
    <tableColumn id="14" name="FA-SORGO SEQUEIRO-27/27"/>
    <tableColumn id="15" name="FA-MILHO SEQUEIRO-26/27"/>
    <tableColumn id="16" name="FA-SOJA SEQUEIRO-26/27"/>
    <tableColumn id="17" name="FA-SOJA-IRRIGADO-26/27"/>
    <tableColumn id="18" name="DEMANDA"/>
    <tableColumn id="19" name="VALOR R$/L OU KG"/>
    <tableColumn id="20" name="ESTOQUE"/>
    <tableColumn id="21" name="VOLUME INDICADO"/>
    <tableColumn id="22" name="VALOR TOTAL"/>
  </tableColumns>
  <tableStyleInfo name="PORTIFÓLIO-style" showFirstColumn="1" showLastColumn="1" showRowStripes="1" showColumnStripes="0"/>
</table>
</file>

<file path=xl/tables/table5.xml><?xml version="1.0" encoding="utf-8"?>
<table xmlns="http://schemas.openxmlformats.org/spreadsheetml/2006/main" id="5" name="Table_5" displayName="Table_5" ref="A1:J30" headerRowCount="1">
  <tableColumns count="10">
    <tableColumn id="1" name="TALHÃO"/>
    <tableColumn id="2" name="NOME"/>
    <tableColumn id="3" name="EMPREENDIMENTO"/>
    <tableColumn id="4" name="PRODUTIVIDADE ESPERADA"/>
    <tableColumn id="5" name="ÁREA"/>
    <tableColumn id="6" name="PRODUÇÃO ESPERADA"/>
    <tableColumn id="7" name="PRODUÇÃO ESPERADA KG"/>
    <tableColumn id="8" name="EMPREEDIMENTO SAFRINHA"/>
    <tableColumn id="9" name="PRODUTIVIDADE"/>
    <tableColumn id="10" name="PRODUTIVIDADE SAFRINHA"/>
  </tableColumns>
  <tableStyleInfo name="ÁREA PLANTIO-style" showFirstColumn="1" showLastColumn="1" showRowStripes="1" showColumnStripes="0"/>
</table>
</file>

<file path=xl/tables/table6.xml><?xml version="1.0" encoding="utf-8"?>
<table xmlns="http://schemas.openxmlformats.org/spreadsheetml/2006/main" id="6" name="Table_6" displayName="Table_6"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1-style" showFirstColumn="1" showLastColumn="1" showRowStripes="1" showColumnStripes="0"/>
</table>
</file>

<file path=xl/tables/table7.xml><?xml version="1.0" encoding="utf-8"?>
<table xmlns="http://schemas.openxmlformats.org/spreadsheetml/2006/main" id="7" name="Table_7" displayName="Table_7"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ableColumn id="9" name="Dose"/>
    <tableColumn id="10" name="Total"/>
    <tableColumn id="11" name="CUSTO/HA" totalsRowFunction="custom"/>
    <tableColumn id="12" name="VALOR TOTAL" totalsRowFunction="custom"/>
  </tableColumns>
  <tableStyleInfo name="TL01-style 2" showFirstColumn="1" showLastColumn="1" showRowStripes="1" showColumnStripes="0"/>
</table>
</file>

<file path=xl/tables/table8.xml><?xml version="1.0" encoding="utf-8"?>
<table xmlns="http://schemas.openxmlformats.org/spreadsheetml/2006/main" id="8" name="Table_8" displayName="Table_8" ref="A9:M225" headerRowCount="1" totalsRowCount="1">
  <tableColumns count="13">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 id="13" name="Coluna 1"/>
  </tableColumns>
  <tableStyleInfo name="TL02-style" showFirstColumn="1" showLastColumn="1" showRowStripes="1" showColumnStripes="0"/>
</table>
</file>

<file path=xl/tables/table9.xml><?xml version="1.0" encoding="utf-8"?>
<table xmlns="http://schemas.openxmlformats.org/spreadsheetml/2006/main" id="9" name="Table_9" displayName="Table_9" ref="A236:M452" headerRowCount="1" totalsRowCount="1">
  <tableColumns count="13">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 id="13" name="Coluna 3"/>
  </tableColumns>
  <tableStyleInfo name="TL02-style 2" showFirstColumn="1" showLastColumn="1" showRowStripes="1" showColumnStripes="0"/>
</table>
</file>

<file path=xl/tables/table10.xml><?xml version="1.0" encoding="utf-8"?>
<table xmlns="http://schemas.openxmlformats.org/spreadsheetml/2006/main" id="10" name="Table_10" displayName="Table_10"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3-style" showFirstColumn="1" showLastColumn="1" showRowStripes="1" showColumnStripes="0"/>
</table>
</file>

<file path=xl/tables/table11.xml><?xml version="1.0" encoding="utf-8"?>
<table xmlns="http://schemas.openxmlformats.org/spreadsheetml/2006/main" id="11" name="Table_11" displayName="Table_11"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3-style 2" showFirstColumn="1" showLastColumn="1" showRowStripes="1" showColumnStripes="0"/>
</table>
</file>

<file path=xl/tables/table12.xml><?xml version="1.0" encoding="utf-8"?>
<table xmlns="http://schemas.openxmlformats.org/spreadsheetml/2006/main" id="12" name="Table_12" displayName="Table_12" ref="A9:L225" headerRowCount="1" totalsRowCount="1">
  <tableColumns count="12">
    <tableColumn id="1" name="DAP da Operação"/>
    <tableColumn id="2" name="C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4-style" showFirstColumn="1" showLastColumn="1" showRowStripes="1" showColumnStripes="0"/>
</table>
</file>

<file path=xl/tables/table13.xml><?xml version="1.0" encoding="utf-8"?>
<table xmlns="http://schemas.openxmlformats.org/spreadsheetml/2006/main" id="13" name="Table_13" displayName="Table_13"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4-style 2" showFirstColumn="1" showLastColumn="1" showRowStripes="1" showColumnStripes="0"/>
</table>
</file>

<file path=xl/tables/table14.xml><?xml version="1.0" encoding="utf-8"?>
<table xmlns="http://schemas.openxmlformats.org/spreadsheetml/2006/main" id="14" name="Table_14" displayName="Table_14"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5-style" showFirstColumn="1" showLastColumn="1" showRowStripes="1" showColumnStripes="0"/>
</table>
</file>

<file path=xl/tables/table15.xml><?xml version="1.0" encoding="utf-8"?>
<table xmlns="http://schemas.openxmlformats.org/spreadsheetml/2006/main" id="15" name="Table_15" displayName="Table_15"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5-style 2" showFirstColumn="1" showLastColumn="1" showRowStripes="1" showColumnStripes="0"/>
</table>
</file>

<file path=xl/tables/table16.xml><?xml version="1.0" encoding="utf-8"?>
<table xmlns="http://schemas.openxmlformats.org/spreadsheetml/2006/main" id="16" name="Table_16" displayName="Table_16"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6-style" showFirstColumn="1" showLastColumn="1" showRowStripes="1" showColumnStripes="0"/>
</table>
</file>

<file path=xl/tables/table17.xml><?xml version="1.0" encoding="utf-8"?>
<table xmlns="http://schemas.openxmlformats.org/spreadsheetml/2006/main" id="17" name="Table_17" displayName="Table_17"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6-style 2" showFirstColumn="1" showLastColumn="1" showRowStripes="1" showColumnStripes="0"/>
</table>
</file>

<file path=xl/tables/table18.xml><?xml version="1.0" encoding="utf-8"?>
<table xmlns="http://schemas.openxmlformats.org/spreadsheetml/2006/main" id="18" name="Table_18" displayName="Table_18"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7-style" showFirstColumn="1" showLastColumn="1" showRowStripes="1" showColumnStripes="0"/>
</table>
</file>

<file path=xl/tables/table19.xml><?xml version="1.0" encoding="utf-8"?>
<table xmlns="http://schemas.openxmlformats.org/spreadsheetml/2006/main" id="19" name="Table_19" displayName="Table_19"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7-style 2" showFirstColumn="1" showLastColumn="1" showRowStripes="1" showColumnStripes="0"/>
</table>
</file>

<file path=xl/tables/table20.xml><?xml version="1.0" encoding="utf-8"?>
<table xmlns="http://schemas.openxmlformats.org/spreadsheetml/2006/main" id="20" name="Table_20" displayName="Table_20"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8-style" showFirstColumn="1" showLastColumn="1" showRowStripes="1" showColumnStripes="0"/>
</table>
</file>

<file path=xl/tables/table21.xml><?xml version="1.0" encoding="utf-8"?>
<table xmlns="http://schemas.openxmlformats.org/spreadsheetml/2006/main" id="21" name="Table_21" displayName="Table_21"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8-style 2" showFirstColumn="1" showLastColumn="1" showRowStripes="1" showColumnStripes="0"/>
</table>
</file>

<file path=xl/tables/table22.xml><?xml version="1.0" encoding="utf-8"?>
<table xmlns="http://schemas.openxmlformats.org/spreadsheetml/2006/main" id="22" name="Table_22" displayName="Table_22"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09-style" showFirstColumn="1" showLastColumn="1" showRowStripes="1" showColumnStripes="0"/>
</table>
</file>

<file path=xl/tables/table23.xml><?xml version="1.0" encoding="utf-8"?>
<table xmlns="http://schemas.openxmlformats.org/spreadsheetml/2006/main" id="23" name="Table_23" displayName="Table_23"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09-style 2" showFirstColumn="1" showLastColumn="1" showRowStripes="1" showColumnStripes="0"/>
</table>
</file>

<file path=xl/tables/table24.xml><?xml version="1.0" encoding="utf-8"?>
<table xmlns="http://schemas.openxmlformats.org/spreadsheetml/2006/main" id="24" name="Table_24" displayName="Table_24"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0-style" showFirstColumn="1" showLastColumn="1" showRowStripes="1" showColumnStripes="0"/>
</table>
</file>

<file path=xl/tables/table25.xml><?xml version="1.0" encoding="utf-8"?>
<table xmlns="http://schemas.openxmlformats.org/spreadsheetml/2006/main" id="25" name="Table_25" displayName="Table_25"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0-style 2" showFirstColumn="1" showLastColumn="1" showRowStripes="1" showColumnStripes="0"/>
</table>
</file>

<file path=xl/tables/table26.xml><?xml version="1.0" encoding="utf-8"?>
<table xmlns="http://schemas.openxmlformats.org/spreadsheetml/2006/main" id="26" name="Table_26" displayName="Table_26"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1-style" showFirstColumn="1" showLastColumn="1" showRowStripes="1" showColumnStripes="0"/>
</table>
</file>

<file path=xl/tables/table27.xml><?xml version="1.0" encoding="utf-8"?>
<table xmlns="http://schemas.openxmlformats.org/spreadsheetml/2006/main" id="27" name="Table_27" displayName="Table_27"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1-style 2" showFirstColumn="1" showLastColumn="1" showRowStripes="1" showColumnStripes="0"/>
</table>
</file>

<file path=xl/tables/table28.xml><?xml version="1.0" encoding="utf-8"?>
<table xmlns="http://schemas.openxmlformats.org/spreadsheetml/2006/main" id="28" name="Table_28" displayName="Table_28"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2-style" showFirstColumn="1" showLastColumn="1" showRowStripes="1" showColumnStripes="0"/>
</table>
</file>

<file path=xl/tables/table29.xml><?xml version="1.0" encoding="utf-8"?>
<table xmlns="http://schemas.openxmlformats.org/spreadsheetml/2006/main" id="29" name="Table_29" displayName="Table_29"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2-style 2" showFirstColumn="1" showLastColumn="1" showRowStripes="1" showColumnStripes="0"/>
</table>
</file>

<file path=xl/tables/table30.xml><?xml version="1.0" encoding="utf-8"?>
<table xmlns="http://schemas.openxmlformats.org/spreadsheetml/2006/main" id="30" name="Table_30" displayName="Table_30"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3-style" showFirstColumn="1" showLastColumn="1" showRowStripes="1" showColumnStripes="0"/>
</table>
</file>

<file path=xl/tables/table31.xml><?xml version="1.0" encoding="utf-8"?>
<table xmlns="http://schemas.openxmlformats.org/spreadsheetml/2006/main" id="31" name="Table_31" displayName="Table_31"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3-style 2" showFirstColumn="1" showLastColumn="1" showRowStripes="1" showColumnStripes="0"/>
</table>
</file>

<file path=xl/tables/table32.xml><?xml version="1.0" encoding="utf-8"?>
<table xmlns="http://schemas.openxmlformats.org/spreadsheetml/2006/main" id="32" name="Table_32" displayName="Table_32"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4-style" showFirstColumn="1" showLastColumn="1" showRowStripes="1" showColumnStripes="0"/>
</table>
</file>

<file path=xl/tables/table33.xml><?xml version="1.0" encoding="utf-8"?>
<table xmlns="http://schemas.openxmlformats.org/spreadsheetml/2006/main" id="33" name="Table_33" displayName="Table_33"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4-style 2" showFirstColumn="1" showLastColumn="1" showRowStripes="1" showColumnStripes="0"/>
</table>
</file>

<file path=xl/tables/table34.xml><?xml version="1.0" encoding="utf-8"?>
<table xmlns="http://schemas.openxmlformats.org/spreadsheetml/2006/main" id="34" name="Table_34" displayName="Table_34"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6-style" showFirstColumn="1" showLastColumn="1" showRowStripes="1" showColumnStripes="0"/>
</table>
</file>

<file path=xl/tables/table35.xml><?xml version="1.0" encoding="utf-8"?>
<table xmlns="http://schemas.openxmlformats.org/spreadsheetml/2006/main" id="35" name="Table_35" displayName="Table_35" ref="A236:L452" headerRowCount="1" totalsRowCount="1">
  <tableColumns count="12">
    <tableColumn id="1" name="DAP da Operação"/>
    <tableColumn id="2" name="Coluna 1"/>
    <tableColumn id="3" name="Coluna 2"/>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6-style 2" showFirstColumn="1" showLastColumn="1" showRowStripes="1" showColumnStripes="0"/>
</table>
</file>

<file path=xl/tables/table36.xml><?xml version="1.0" encoding="utf-8"?>
<table xmlns="http://schemas.openxmlformats.org/spreadsheetml/2006/main" id="36" name="Table_36" displayName="Table_36"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5-style" showFirstColumn="1" showLastColumn="1" showRowStripes="1" showColumnStripes="0"/>
</table>
</file>

<file path=xl/tables/table37.xml><?xml version="1.0" encoding="utf-8"?>
<table xmlns="http://schemas.openxmlformats.org/spreadsheetml/2006/main" id="37" name="Table_37" displayName="Table_37"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5-style 2" showFirstColumn="1" showLastColumn="1" showRowStripes="1" showColumnStripes="0"/>
</table>
</file>

<file path=xl/tables/table38.xml><?xml version="1.0" encoding="utf-8"?>
<table xmlns="http://schemas.openxmlformats.org/spreadsheetml/2006/main" id="38" name="Table_38" displayName="Table_38"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7-style" showFirstColumn="1" showLastColumn="1" showRowStripes="1" showColumnStripes="0"/>
</table>
</file>

<file path=xl/tables/table39.xml><?xml version="1.0" encoding="utf-8"?>
<table xmlns="http://schemas.openxmlformats.org/spreadsheetml/2006/main" id="39" name="Table_39" displayName="Table_39"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7-style 2" showFirstColumn="1" showLastColumn="1" showRowStripes="1" showColumnStripes="0"/>
</table>
</file>

<file path=xl/tables/table40.xml><?xml version="1.0" encoding="utf-8"?>
<table xmlns="http://schemas.openxmlformats.org/spreadsheetml/2006/main" id="40" name="Table_40" displayName="Table_40" ref="A9:L225" headerRowCount="1" totalsRowCount="1">
  <tableColumns count="12">
    <tableColumn id="1" name="DAP da Operação"/>
    <tableColumn id="2" name="Coluna 1"/>
    <tableColumn id="3" name="Coluna 2"/>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8-style" showFirstColumn="1" showLastColumn="1" showRowStripes="1" showColumnStripes="0"/>
</table>
</file>

<file path=xl/tables/table41.xml><?xml version="1.0" encoding="utf-8"?>
<table xmlns="http://schemas.openxmlformats.org/spreadsheetml/2006/main" id="41" name="Table_41" displayName="Table_41"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8-style 2" showFirstColumn="1" showLastColumn="1" showRowStripes="1" showColumnStripes="0"/>
</table>
</file>

<file path=xl/tables/table42.xml><?xml version="1.0" encoding="utf-8"?>
<table xmlns="http://schemas.openxmlformats.org/spreadsheetml/2006/main" id="42" name="Table_42" displayName="Table_42" ref="A9:L225" headerRowCount="1" totalsRowCount="1">
  <tableColumns count="12">
    <tableColumn id="1" name="DAP da Operação"/>
    <tableColumn id="2" name="Classe"/>
    <tableColumn id="3" name="Produto"/>
    <tableColumn id="4" name="Ingrediente Ativo"/>
    <tableColumn id="5" name="Concentração"/>
    <tableColumn id="6" name="Unidade"/>
    <tableColumn id="7" name="Bula"/>
    <tableColumn id="8" name="Sugestão" totalsRowFunction="custom"/>
    <tableColumn id="9" name="Dose"/>
    <tableColumn id="10" name="Total"/>
    <tableColumn id="11" name="CUSTO/HA" totalsRowFunction="custom"/>
    <tableColumn id="12" name="VALOR TOTAL" totalsRowFunction="custom"/>
  </tableColumns>
  <tableStyleInfo name="TL19-style" showFirstColumn="1" showLastColumn="1" showRowStripes="1" showColumnStripes="0"/>
</table>
</file>

<file path=xl/tables/table43.xml><?xml version="1.0" encoding="utf-8"?>
<table xmlns="http://schemas.openxmlformats.org/spreadsheetml/2006/main" id="43" name="Table_43" displayName="Table_43" ref="A236:L452" headerRowCount="1" totalsRowCount="1">
  <tableColumns count="12">
    <tableColumn id="1" name="DAP da Operação"/>
    <tableColumn id="2" name="Classe"/>
    <tableColumn id="3" name="Produto"/>
    <tableColumn id="4" name="Ingrediente Ativo"/>
    <tableColumn id="5" name="Concentração"/>
    <tableColumn id="6" name="Unidade"/>
    <tableColumn id="7" name="Sugestão"/>
    <tableColumn id="8" name="Bula"/>
    <tableColumn id="9" name="Dose"/>
    <tableColumn id="10" name="Total"/>
    <tableColumn id="11" name="CUSTO/HA" totalsRowFunction="custom"/>
    <tableColumn id="12" name="VALOR TOTAL" totalsRowFunction="custom"/>
  </tableColumns>
  <tableStyleInfo name="TL19-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s>
</file>

<file path=xl/worksheets/_rels/sheet5.xml.rels><Relationships xmlns="http://schemas.openxmlformats.org/package/2006/relationships"><Relationship Type="http://schemas.openxmlformats.org/officeDocument/2006/relationships/hyperlink" Target="https://docs.google.com/spreadsheets/d/1wULbzX32WdYsx-lj2U3uUNBBe2INVIRDtcK0d-Dvl90/edit?gid=942186745" TargetMode="External" Id="rId1" /><Relationship Type="http://schemas.openxmlformats.org/officeDocument/2006/relationships/table" Target="/xl/tables/table4.xml" Id="rId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s>
</file>

<file path=xl/worksheets/_rels/sheet8.xml.rels><Relationships xmlns="http://schemas.openxmlformats.org/package/2006/relationships"><Relationship Type="http://schemas.openxmlformats.org/officeDocument/2006/relationships/table" Target="/xl/tables/table8.xml" Id="rId1" /><Relationship Type="http://schemas.openxmlformats.org/officeDocument/2006/relationships/table" Target="/xl/tables/table9.xml" Id="rId2" /></Relationships>
</file>

<file path=xl/worksheets/_rels/sheet9.xml.rels><Relationships xmlns="http://schemas.openxmlformats.org/package/2006/relationships"><Relationship Type="http://schemas.openxmlformats.org/officeDocument/2006/relationships/table" Target="/xl/tables/table10.xml" Id="rId1" /><Relationship Type="http://schemas.openxmlformats.org/officeDocument/2006/relationships/table" Target="/xl/tables/table11.xml" Id="rId2" /></Relationships>
</file>

<file path=xl/worksheets/_rels/sheet10.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s>
</file>

<file path=xl/worksheets/_rels/sheet11.xml.rels><Relationships xmlns="http://schemas.openxmlformats.org/package/2006/relationships"><Relationship Type="http://schemas.openxmlformats.org/officeDocument/2006/relationships/table" Target="/xl/tables/table14.xml" Id="rId1" /><Relationship Type="http://schemas.openxmlformats.org/officeDocument/2006/relationships/table" Target="/xl/tables/table15.xml" Id="rId2" /></Relationships>
</file>

<file path=xl/worksheets/_rels/sheet12.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s>
</file>

<file path=xl/worksheets/_rels/sheet13.xml.rels><Relationships xmlns="http://schemas.openxmlformats.org/package/2006/relationships"><Relationship Type="http://schemas.openxmlformats.org/officeDocument/2006/relationships/table" Target="/xl/tables/table18.xml" Id="rId1" /><Relationship Type="http://schemas.openxmlformats.org/officeDocument/2006/relationships/table" Target="/xl/tables/table19.xml" Id="rId2" /></Relationships>
</file>

<file path=xl/worksheets/_rels/sheet14.xml.rels><Relationships xmlns="http://schemas.openxmlformats.org/package/2006/relationships"><Relationship Type="http://schemas.openxmlformats.org/officeDocument/2006/relationships/table" Target="/xl/tables/table20.xml" Id="rId1" /><Relationship Type="http://schemas.openxmlformats.org/officeDocument/2006/relationships/table" Target="/xl/tables/table21.xml" Id="rId2" /></Relationships>
</file>

<file path=xl/worksheets/_rels/sheet15.xml.rels><Relationships xmlns="http://schemas.openxmlformats.org/package/2006/relationships"><Relationship Type="http://schemas.openxmlformats.org/officeDocument/2006/relationships/table" Target="/xl/tables/table22.xml" Id="rId1" /><Relationship Type="http://schemas.openxmlformats.org/officeDocument/2006/relationships/table" Target="/xl/tables/table23.xml" Id="rId2" /></Relationships>
</file>

<file path=xl/worksheets/_rels/sheet16.xml.rels><Relationships xmlns="http://schemas.openxmlformats.org/package/2006/relationships"><Relationship Type="http://schemas.openxmlformats.org/officeDocument/2006/relationships/table" Target="/xl/tables/table24.xml" Id="rId1" /><Relationship Type="http://schemas.openxmlformats.org/officeDocument/2006/relationships/table" Target="/xl/tables/table25.xml" Id="rId2" /></Relationships>
</file>

<file path=xl/worksheets/_rels/sheet17.xml.rels><Relationships xmlns="http://schemas.openxmlformats.org/package/2006/relationships"><Relationship Type="http://schemas.openxmlformats.org/officeDocument/2006/relationships/table" Target="/xl/tables/table26.xml" Id="rId1" /><Relationship Type="http://schemas.openxmlformats.org/officeDocument/2006/relationships/table" Target="/xl/tables/table27.xml" Id="rId2" /></Relationships>
</file>

<file path=xl/worksheets/_rels/sheet18.xml.rels><Relationships xmlns="http://schemas.openxmlformats.org/package/2006/relationships"><Relationship Type="http://schemas.openxmlformats.org/officeDocument/2006/relationships/table" Target="/xl/tables/table28.xml" Id="rId1" /><Relationship Type="http://schemas.openxmlformats.org/officeDocument/2006/relationships/table" Target="/xl/tables/table29.xml" Id="rId2" /></Relationships>
</file>

<file path=xl/worksheets/_rels/sheet19.xml.rels><Relationships xmlns="http://schemas.openxmlformats.org/package/2006/relationships"><Relationship Type="http://schemas.openxmlformats.org/officeDocument/2006/relationships/table" Target="/xl/tables/table30.xml" Id="rId1" /><Relationship Type="http://schemas.openxmlformats.org/officeDocument/2006/relationships/table" Target="/xl/tables/table31.xml" Id="rId2" /></Relationships>
</file>

<file path=xl/worksheets/_rels/sheet20.xml.rels><Relationships xmlns="http://schemas.openxmlformats.org/package/2006/relationships"><Relationship Type="http://schemas.openxmlformats.org/officeDocument/2006/relationships/table" Target="/xl/tables/table32.xml" Id="rId1" /><Relationship Type="http://schemas.openxmlformats.org/officeDocument/2006/relationships/table" Target="/xl/tables/table33.xml" Id="rId2" /></Relationships>
</file>

<file path=xl/worksheets/_rels/sheet21.xml.rels><Relationships xmlns="http://schemas.openxmlformats.org/package/2006/relationships"><Relationship Type="http://schemas.openxmlformats.org/officeDocument/2006/relationships/table" Target="/xl/tables/table34.xml" Id="rId1" /><Relationship Type="http://schemas.openxmlformats.org/officeDocument/2006/relationships/table" Target="/xl/tables/table35.xml" Id="rId2" /></Relationships>
</file>

<file path=xl/worksheets/_rels/sheet22.xml.rels><Relationships xmlns="http://schemas.openxmlformats.org/package/2006/relationships"><Relationship Type="http://schemas.openxmlformats.org/officeDocument/2006/relationships/table" Target="/xl/tables/table36.xml" Id="rId1" /><Relationship Type="http://schemas.openxmlformats.org/officeDocument/2006/relationships/table" Target="/xl/tables/table37.xml" Id="rId2" /></Relationships>
</file>

<file path=xl/worksheets/_rels/sheet23.xml.rels><Relationships xmlns="http://schemas.openxmlformats.org/package/2006/relationships"><Relationship Type="http://schemas.openxmlformats.org/officeDocument/2006/relationships/table" Target="/xl/tables/table38.xml" Id="rId1" /><Relationship Type="http://schemas.openxmlformats.org/officeDocument/2006/relationships/table" Target="/xl/tables/table39.xml" Id="rId2" /></Relationships>
</file>

<file path=xl/worksheets/_rels/sheet24.xml.rels><Relationships xmlns="http://schemas.openxmlformats.org/package/2006/relationships"><Relationship Type="http://schemas.openxmlformats.org/officeDocument/2006/relationships/table" Target="/xl/tables/table40.xml" Id="rId1" /><Relationship Type="http://schemas.openxmlformats.org/officeDocument/2006/relationships/table" Target="/xl/tables/table41.xml" Id="rId2" /></Relationships>
</file>

<file path=xl/worksheets/_rels/sheet25.xml.rels><Relationships xmlns="http://schemas.openxmlformats.org/package/2006/relationships"><Relationship Type="http://schemas.openxmlformats.org/officeDocument/2006/relationships/table" Target="/xl/tables/table42.xml" Id="rId1" /><Relationship Type="http://schemas.openxmlformats.org/officeDocument/2006/relationships/table" Target="/xl/tables/table43.xml" Id="rId2" /></Relationships>
</file>

<file path=xl/worksheets/sheet1.xml><?xml version="1.0" encoding="utf-8"?>
<worksheet xmlns="http://schemas.openxmlformats.org/spreadsheetml/2006/main">
  <sheetPr>
    <outlinePr summaryBelow="1" summaryRight="1"/>
    <pageSetUpPr/>
  </sheetPr>
  <dimension ref="A1:M83"/>
  <sheetViews>
    <sheetView showGridLines="0" workbookViewId="0">
      <pane ySplit="5" topLeftCell="A6" activePane="bottomLeft" state="frozen"/>
      <selection pane="bottomLeft" activeCell="A1" sqref="A1"/>
    </sheetView>
  </sheetViews>
  <sheetFormatPr baseColWidth="8" defaultRowHeight="15"/>
  <cols>
    <col width="16" customWidth="1" style="297" min="1" max="1"/>
    <col width="16" customWidth="1" style="297" min="2" max="2"/>
    <col width="34" customWidth="1" style="297" min="3" max="3"/>
    <col width="6" customWidth="1" style="297" min="4" max="4"/>
    <col width="12" customWidth="1" style="297" min="5" max="5"/>
    <col width="12" customWidth="1" style="297" min="6" max="6"/>
    <col width="12" customWidth="1" style="297" min="7" max="7"/>
    <col width="13" customWidth="1" style="297" min="8" max="8"/>
    <col width="15" customWidth="1" style="297" min="9" max="9"/>
    <col width="16" customWidth="1" style="297" min="10" max="10"/>
    <col width="16" customWidth="1" style="297" min="12" max="12"/>
    <col width="16" customWidth="1" style="297" min="13" max="13"/>
  </cols>
  <sheetData>
    <row r="1" ht="30" customHeight="1" s="297">
      <c r="A1" s="298" t="inlineStr">
        <is>
          <t>DEMANDA DE COMPRAS DE INSUMOS  —  SAFRA 2026/2027</t>
        </is>
      </c>
    </row>
    <row r="2" ht="16" customHeight="1" s="297">
      <c r="A2" s="299" t="inlineStr">
        <is>
          <t>A COMPRAR = MÁX(0; Demanda − Estoque).  Demanda e preço vêm da aba PORTIFÓLIO; edite o ESTOQUE na PORTIFÓLIO (coluna T) que esta lista atualiza sozinha.</t>
        </is>
      </c>
    </row>
    <row r="3" ht="14" customHeight="1" s="297">
      <c r="A3" s="300" t="inlineStr">
        <is>
          <t>TOTAL A COMPRAR (R$)</t>
        </is>
      </c>
      <c r="C3" s="300" t="inlineStr">
        <is>
          <t>ITENS A COMPRAR</t>
        </is>
      </c>
      <c r="E3" s="300" t="inlineStr">
        <is>
          <t>ITENS SEM PREÇO</t>
        </is>
      </c>
      <c r="G3" s="300" t="inlineStr">
        <is>
          <t>VALOR EM ESTOQUE (R$)</t>
        </is>
      </c>
    </row>
    <row r="4" ht="20" customHeight="1" s="297">
      <c r="A4" s="301">
        <f>SUM(I6:I82)</f>
        <v/>
      </c>
      <c r="C4" s="302">
        <f>COUNTIF(G6:G82,"&gt;0")</f>
        <v/>
      </c>
      <c r="E4" s="303">
        <f>SUMPRODUCT((G6:G82&gt;0)*(H6:H82&lt;=0))</f>
        <v/>
      </c>
      <c r="G4" s="304">
        <f>SUMPRODUCT(F6:F82,H6:H82)</f>
        <v/>
      </c>
    </row>
    <row r="5" ht="28" customHeight="1" s="297">
      <c r="A5" s="305" t="inlineStr">
        <is>
          <t>CLASSE</t>
        </is>
      </c>
      <c r="B5" s="305" t="inlineStr">
        <is>
          <t>FORNECEDOR</t>
        </is>
      </c>
      <c r="C5" s="305" t="inlineStr">
        <is>
          <t>PRODUTO</t>
        </is>
      </c>
      <c r="D5" s="305" t="inlineStr">
        <is>
          <t>UN</t>
        </is>
      </c>
      <c r="E5" s="305" t="inlineStr">
        <is>
          <t>DEMANDA</t>
        </is>
      </c>
      <c r="F5" s="305" t="inlineStr">
        <is>
          <t>ESTOQUE</t>
        </is>
      </c>
      <c r="G5" s="305" t="inlineStr">
        <is>
          <t>A COMPRAR</t>
        </is>
      </c>
      <c r="H5" s="305" t="inlineStr">
        <is>
          <t>PREÇO UNIT.</t>
        </is>
      </c>
      <c r="I5" s="305" t="inlineStr">
        <is>
          <t>VALOR TOTAL</t>
        </is>
      </c>
      <c r="J5" s="305" t="inlineStr">
        <is>
          <t>STATUS</t>
        </is>
      </c>
      <c r="L5" s="306" t="inlineStr">
        <is>
          <t>RESUMO POR CLASSE</t>
        </is>
      </c>
      <c r="M5" s="307" t="n"/>
    </row>
    <row r="6">
      <c r="A6" s="308">
        <f>'PORTIFÓLIO'!B7</f>
        <v/>
      </c>
      <c r="B6" s="308">
        <f>'PORTIFÓLIO'!A7</f>
        <v/>
      </c>
      <c r="C6" s="308">
        <f>'PORTIFÓLIO'!C7</f>
        <v/>
      </c>
      <c r="D6" s="309">
        <f>'PORTIFÓLIO'!F7</f>
        <v/>
      </c>
      <c r="E6" s="310">
        <f>'PORTIFÓLIO'!R7</f>
        <v/>
      </c>
      <c r="F6" s="310">
        <f>'PORTIFÓLIO'!T7</f>
        <v/>
      </c>
      <c r="G6" s="310">
        <f>MAX(0,E6-F6)</f>
        <v/>
      </c>
      <c r="H6" s="311">
        <f>'PORTIFÓLIO'!S7</f>
        <v/>
      </c>
      <c r="I6" s="311">
        <f>G6*H6</f>
        <v/>
      </c>
      <c r="J6" s="308">
        <f>IF(G6&gt;0,IF(H6&lt;=0,"⚠ SEM PREÇO","COMPRAR"),IF(E6&gt;0,"OK - ESTOQUE","SEM DEMANDA"))</f>
        <v/>
      </c>
      <c r="L6" s="312" t="inlineStr">
        <is>
          <t>ADJUVANTE</t>
        </is>
      </c>
      <c r="M6" s="313">
        <f>SUMIF($A$6:$A$82,L6,$I$6:$I$82)</f>
        <v/>
      </c>
    </row>
    <row r="7">
      <c r="A7" s="314">
        <f>'PORTIFÓLIO'!B8</f>
        <v/>
      </c>
      <c r="B7" s="314">
        <f>'PORTIFÓLIO'!A8</f>
        <v/>
      </c>
      <c r="C7" s="314">
        <f>'PORTIFÓLIO'!C8</f>
        <v/>
      </c>
      <c r="D7" s="315">
        <f>'PORTIFÓLIO'!F8</f>
        <v/>
      </c>
      <c r="E7" s="316">
        <f>'PORTIFÓLIO'!R8</f>
        <v/>
      </c>
      <c r="F7" s="316">
        <f>'PORTIFÓLIO'!T8</f>
        <v/>
      </c>
      <c r="G7" s="316">
        <f>MAX(0,E7-F7)</f>
        <v/>
      </c>
      <c r="H7" s="317">
        <f>'PORTIFÓLIO'!S8</f>
        <v/>
      </c>
      <c r="I7" s="317">
        <f>G7*H7</f>
        <v/>
      </c>
      <c r="J7" s="314">
        <f>IF(G7&gt;0,IF(H7&lt;=0,"⚠ SEM PREÇO","COMPRAR"),IF(E7&gt;0,"OK - ESTOQUE","SEM DEMANDA"))</f>
        <v/>
      </c>
      <c r="L7" s="312" t="inlineStr">
        <is>
          <t>BIOLÓGICOS</t>
        </is>
      </c>
      <c r="M7" s="313">
        <f>SUMIF($A$6:$A$82,L7,$I$6:$I$82)</f>
        <v/>
      </c>
    </row>
    <row r="8">
      <c r="A8" s="308">
        <f>'PORTIFÓLIO'!B4</f>
        <v/>
      </c>
      <c r="B8" s="308">
        <f>'PORTIFÓLIO'!A4</f>
        <v/>
      </c>
      <c r="C8" s="308">
        <f>'PORTIFÓLIO'!C4</f>
        <v/>
      </c>
      <c r="D8" s="309">
        <f>'PORTIFÓLIO'!F4</f>
        <v/>
      </c>
      <c r="E8" s="310">
        <f>'PORTIFÓLIO'!R4</f>
        <v/>
      </c>
      <c r="F8" s="310">
        <f>'PORTIFÓLIO'!T4</f>
        <v/>
      </c>
      <c r="G8" s="310">
        <f>MAX(0,E8-F8)</f>
        <v/>
      </c>
      <c r="H8" s="311">
        <f>'PORTIFÓLIO'!S4</f>
        <v/>
      </c>
      <c r="I8" s="311">
        <f>G8*H8</f>
        <v/>
      </c>
      <c r="J8" s="308">
        <f>IF(G8&gt;0,IF(H8&lt;=0,"⚠ SEM PREÇO","COMPRAR"),IF(E8&gt;0,"OK - ESTOQUE","SEM DEMANDA"))</f>
        <v/>
      </c>
      <c r="L8" s="312" t="inlineStr">
        <is>
          <t>CORRETIVOS</t>
        </is>
      </c>
      <c r="M8" s="313">
        <f>SUMIF($A$6:$A$82,L8,$I$6:$I$82)</f>
        <v/>
      </c>
    </row>
    <row r="9">
      <c r="A9" s="314">
        <f>'PORTIFÓLIO'!B360</f>
        <v/>
      </c>
      <c r="B9" s="314">
        <f>'PORTIFÓLIO'!A360</f>
        <v/>
      </c>
      <c r="C9" s="314">
        <f>'PORTIFÓLIO'!C360</f>
        <v/>
      </c>
      <c r="D9" s="315">
        <f>'PORTIFÓLIO'!F360</f>
        <v/>
      </c>
      <c r="E9" s="316">
        <f>'PORTIFÓLIO'!R360</f>
        <v/>
      </c>
      <c r="F9" s="316">
        <f>'PORTIFÓLIO'!T360</f>
        <v/>
      </c>
      <c r="G9" s="316">
        <f>MAX(0,E9-F9)</f>
        <v/>
      </c>
      <c r="H9" s="317">
        <f>'PORTIFÓLIO'!S360</f>
        <v/>
      </c>
      <c r="I9" s="317">
        <f>G9*H9</f>
        <v/>
      </c>
      <c r="J9" s="314">
        <f>IF(G9&gt;0,IF(H9&lt;=0,"⚠ SEM PREÇO","COMPRAR"),IF(E9&gt;0,"OK - ESTOQUE","SEM DEMANDA"))</f>
        <v/>
      </c>
      <c r="L9" s="312" t="inlineStr">
        <is>
          <t>FERTILIZANTES</t>
        </is>
      </c>
      <c r="M9" s="313">
        <f>SUMIF($A$6:$A$82,L9,$I$6:$I$82)</f>
        <v/>
      </c>
    </row>
    <row r="10">
      <c r="A10" s="308">
        <f>'PORTIFÓLIO'!B368</f>
        <v/>
      </c>
      <c r="B10" s="308">
        <f>'PORTIFÓLIO'!A368</f>
        <v/>
      </c>
      <c r="C10" s="308">
        <f>'PORTIFÓLIO'!C368</f>
        <v/>
      </c>
      <c r="D10" s="309">
        <f>'PORTIFÓLIO'!F368</f>
        <v/>
      </c>
      <c r="E10" s="310">
        <f>'PORTIFÓLIO'!R368</f>
        <v/>
      </c>
      <c r="F10" s="310">
        <f>'PORTIFÓLIO'!T368</f>
        <v/>
      </c>
      <c r="G10" s="310">
        <f>MAX(0,E10-F10)</f>
        <v/>
      </c>
      <c r="H10" s="311">
        <f>'PORTIFÓLIO'!S368</f>
        <v/>
      </c>
      <c r="I10" s="311">
        <f>G10*H10</f>
        <v/>
      </c>
      <c r="J10" s="308">
        <f>IF(G10&gt;0,IF(H10&lt;=0,"⚠ SEM PREÇO","COMPRAR"),IF(E10&gt;0,"OK - ESTOQUE","SEM DEMANDA"))</f>
        <v/>
      </c>
      <c r="L10" s="312" t="inlineStr">
        <is>
          <t>FUNGICIDA</t>
        </is>
      </c>
      <c r="M10" s="313">
        <f>SUMIF($A$6:$A$82,L10,$I$6:$I$82)</f>
        <v/>
      </c>
    </row>
    <row r="11">
      <c r="A11" s="314">
        <f>'PORTIFÓLIO'!B361</f>
        <v/>
      </c>
      <c r="B11" s="314">
        <f>'PORTIFÓLIO'!A361</f>
        <v/>
      </c>
      <c r="C11" s="314">
        <f>'PORTIFÓLIO'!C361</f>
        <v/>
      </c>
      <c r="D11" s="315">
        <f>'PORTIFÓLIO'!F361</f>
        <v/>
      </c>
      <c r="E11" s="316">
        <f>'PORTIFÓLIO'!R361</f>
        <v/>
      </c>
      <c r="F11" s="316">
        <f>'PORTIFÓLIO'!T361</f>
        <v/>
      </c>
      <c r="G11" s="316">
        <f>MAX(0,E11-F11)</f>
        <v/>
      </c>
      <c r="H11" s="317">
        <f>'PORTIFÓLIO'!S361</f>
        <v/>
      </c>
      <c r="I11" s="317">
        <f>G11*H11</f>
        <v/>
      </c>
      <c r="J11" s="314">
        <f>IF(G11&gt;0,IF(H11&lt;=0,"⚠ SEM PREÇO","COMPRAR"),IF(E11&gt;0,"OK - ESTOQUE","SEM DEMANDA"))</f>
        <v/>
      </c>
      <c r="L11" s="312" t="inlineStr">
        <is>
          <t>HERBICIDA</t>
        </is>
      </c>
      <c r="M11" s="313">
        <f>SUMIF($A$6:$A$82,L11,$I$6:$I$82)</f>
        <v/>
      </c>
    </row>
    <row r="12">
      <c r="A12" s="308">
        <f>'PORTIFÓLIO'!B22</f>
        <v/>
      </c>
      <c r="B12" s="308">
        <f>'PORTIFÓLIO'!A22</f>
        <v/>
      </c>
      <c r="C12" s="308">
        <f>'PORTIFÓLIO'!C22</f>
        <v/>
      </c>
      <c r="D12" s="309">
        <f>'PORTIFÓLIO'!F22</f>
        <v/>
      </c>
      <c r="E12" s="310">
        <f>'PORTIFÓLIO'!R22</f>
        <v/>
      </c>
      <c r="F12" s="310">
        <f>'PORTIFÓLIO'!T22</f>
        <v/>
      </c>
      <c r="G12" s="310">
        <f>MAX(0,E12-F12)</f>
        <v/>
      </c>
      <c r="H12" s="311">
        <f>'PORTIFÓLIO'!S22</f>
        <v/>
      </c>
      <c r="I12" s="311">
        <f>G12*H12</f>
        <v/>
      </c>
      <c r="J12" s="308">
        <f>IF(G12&gt;0,IF(H12&lt;=0,"⚠ SEM PREÇO","COMPRAR"),IF(E12&gt;0,"OK - ESTOQUE","SEM DEMANDA"))</f>
        <v/>
      </c>
      <c r="L12" s="312" t="inlineStr">
        <is>
          <t>INSETICIDA</t>
        </is>
      </c>
      <c r="M12" s="313">
        <f>SUMIF($A$6:$A$82,L12,$I$6:$I$82)</f>
        <v/>
      </c>
    </row>
    <row r="13">
      <c r="A13" s="314">
        <f>'PORTIFÓLIO'!B38</f>
        <v/>
      </c>
      <c r="B13" s="314">
        <f>'PORTIFÓLIO'!A38</f>
        <v/>
      </c>
      <c r="C13" s="314">
        <f>'PORTIFÓLIO'!C38</f>
        <v/>
      </c>
      <c r="D13" s="315">
        <f>'PORTIFÓLIO'!F38</f>
        <v/>
      </c>
      <c r="E13" s="316">
        <f>'PORTIFÓLIO'!R38</f>
        <v/>
      </c>
      <c r="F13" s="316">
        <f>'PORTIFÓLIO'!T38</f>
        <v/>
      </c>
      <c r="G13" s="316">
        <f>MAX(0,E13-F13)</f>
        <v/>
      </c>
      <c r="H13" s="317">
        <f>'PORTIFÓLIO'!S38</f>
        <v/>
      </c>
      <c r="I13" s="317">
        <f>G13*H13</f>
        <v/>
      </c>
      <c r="J13" s="314">
        <f>IF(G13&gt;0,IF(H13&lt;=0,"⚠ SEM PREÇO","COMPRAR"),IF(E13&gt;0,"OK - ESTOQUE","SEM DEMANDA"))</f>
        <v/>
      </c>
      <c r="L13" s="312" t="inlineStr">
        <is>
          <t>NUTRIÇÃO</t>
        </is>
      </c>
      <c r="M13" s="313">
        <f>SUMIF($A$6:$A$82,L13,$I$6:$I$82)</f>
        <v/>
      </c>
    </row>
    <row r="14">
      <c r="A14" s="308">
        <f>'PORTIFÓLIO'!B36</f>
        <v/>
      </c>
      <c r="B14" s="308">
        <f>'PORTIFÓLIO'!A36</f>
        <v/>
      </c>
      <c r="C14" s="308">
        <f>'PORTIFÓLIO'!C36</f>
        <v/>
      </c>
      <c r="D14" s="309">
        <f>'PORTIFÓLIO'!F36</f>
        <v/>
      </c>
      <c r="E14" s="310">
        <f>'PORTIFÓLIO'!R36</f>
        <v/>
      </c>
      <c r="F14" s="310">
        <f>'PORTIFÓLIO'!T36</f>
        <v/>
      </c>
      <c r="G14" s="310">
        <f>MAX(0,E14-F14)</f>
        <v/>
      </c>
      <c r="H14" s="311">
        <f>'PORTIFÓLIO'!S36</f>
        <v/>
      </c>
      <c r="I14" s="311">
        <f>G14*H14</f>
        <v/>
      </c>
      <c r="J14" s="308">
        <f>IF(G14&gt;0,IF(H14&lt;=0,"⚠ SEM PREÇO","COMPRAR"),IF(E14&gt;0,"OK - ESTOQUE","SEM DEMANDA"))</f>
        <v/>
      </c>
      <c r="L14" s="312" t="inlineStr">
        <is>
          <t>SEMENTE</t>
        </is>
      </c>
      <c r="M14" s="313">
        <f>SUMIF($A$6:$A$82,L14,$I$6:$I$82)</f>
        <v/>
      </c>
    </row>
    <row r="15">
      <c r="A15" s="314">
        <f>'PORTIFÓLIO'!B28</f>
        <v/>
      </c>
      <c r="B15" s="314">
        <f>'PORTIFÓLIO'!A28</f>
        <v/>
      </c>
      <c r="C15" s="314">
        <f>'PORTIFÓLIO'!C28</f>
        <v/>
      </c>
      <c r="D15" s="315">
        <f>'PORTIFÓLIO'!F28</f>
        <v/>
      </c>
      <c r="E15" s="316">
        <f>'PORTIFÓLIO'!R28</f>
        <v/>
      </c>
      <c r="F15" s="316">
        <f>'PORTIFÓLIO'!T28</f>
        <v/>
      </c>
      <c r="G15" s="316">
        <f>MAX(0,E15-F15)</f>
        <v/>
      </c>
      <c r="H15" s="317">
        <f>'PORTIFÓLIO'!S28</f>
        <v/>
      </c>
      <c r="I15" s="317">
        <f>G15*H15</f>
        <v/>
      </c>
      <c r="J15" s="314">
        <f>IF(G15&gt;0,IF(H15&lt;=0,"⚠ SEM PREÇO","COMPRAR"),IF(E15&gt;0,"OK - ESTOQUE","SEM DEMANDA"))</f>
        <v/>
      </c>
      <c r="L15" s="312" t="inlineStr">
        <is>
          <t>TS</t>
        </is>
      </c>
      <c r="M15" s="313">
        <f>SUMIF($A$6:$A$82,L15,$I$6:$I$82)</f>
        <v/>
      </c>
    </row>
    <row r="16">
      <c r="A16" s="308">
        <f>'PORTIFÓLIO'!B26</f>
        <v/>
      </c>
      <c r="B16" s="308">
        <f>'PORTIFÓLIO'!A26</f>
        <v/>
      </c>
      <c r="C16" s="308">
        <f>'PORTIFÓLIO'!C26</f>
        <v/>
      </c>
      <c r="D16" s="309">
        <f>'PORTIFÓLIO'!F26</f>
        <v/>
      </c>
      <c r="E16" s="310">
        <f>'PORTIFÓLIO'!R26</f>
        <v/>
      </c>
      <c r="F16" s="310">
        <f>'PORTIFÓLIO'!T26</f>
        <v/>
      </c>
      <c r="G16" s="310">
        <f>MAX(0,E16-F16)</f>
        <v/>
      </c>
      <c r="H16" s="311">
        <f>'PORTIFÓLIO'!S26</f>
        <v/>
      </c>
      <c r="I16" s="311">
        <f>G16*H16</f>
        <v/>
      </c>
      <c r="J16" s="308">
        <f>IF(G16&gt;0,IF(H16&lt;=0,"⚠ SEM PREÇO","COMPRAR"),IF(E16&gt;0,"OK - ESTOQUE","SEM DEMANDA"))</f>
        <v/>
      </c>
      <c r="L16" s="318" t="inlineStr">
        <is>
          <t>TOTAL</t>
        </is>
      </c>
      <c r="M16" s="319">
        <f>SUM(M6:M15)</f>
        <v/>
      </c>
    </row>
    <row r="17">
      <c r="A17" s="314">
        <f>'PORTIFÓLIO'!B30</f>
        <v/>
      </c>
      <c r="B17" s="314">
        <f>'PORTIFÓLIO'!A30</f>
        <v/>
      </c>
      <c r="C17" s="314">
        <f>'PORTIFÓLIO'!C30</f>
        <v/>
      </c>
      <c r="D17" s="315">
        <f>'PORTIFÓLIO'!F30</f>
        <v/>
      </c>
      <c r="E17" s="316">
        <f>'PORTIFÓLIO'!R30</f>
        <v/>
      </c>
      <c r="F17" s="316">
        <f>'PORTIFÓLIO'!T30</f>
        <v/>
      </c>
      <c r="G17" s="316">
        <f>MAX(0,E17-F17)</f>
        <v/>
      </c>
      <c r="H17" s="317">
        <f>'PORTIFÓLIO'!S30</f>
        <v/>
      </c>
      <c r="I17" s="317">
        <f>G17*H17</f>
        <v/>
      </c>
      <c r="J17" s="314">
        <f>IF(G17&gt;0,IF(H17&lt;=0,"⚠ SEM PREÇO","COMPRAR"),IF(E17&gt;0,"OK - ESTOQUE","SEM DEMANDA"))</f>
        <v/>
      </c>
    </row>
    <row r="18">
      <c r="A18" s="308">
        <f>'PORTIFÓLIO'!B33</f>
        <v/>
      </c>
      <c r="B18" s="308">
        <f>'PORTIFÓLIO'!A33</f>
        <v/>
      </c>
      <c r="C18" s="308">
        <f>'PORTIFÓLIO'!C33</f>
        <v/>
      </c>
      <c r="D18" s="309">
        <f>'PORTIFÓLIO'!F33</f>
        <v/>
      </c>
      <c r="E18" s="310">
        <f>'PORTIFÓLIO'!R33</f>
        <v/>
      </c>
      <c r="F18" s="310">
        <f>'PORTIFÓLIO'!T33</f>
        <v/>
      </c>
      <c r="G18" s="310">
        <f>MAX(0,E18-F18)</f>
        <v/>
      </c>
      <c r="H18" s="311">
        <f>'PORTIFÓLIO'!S33</f>
        <v/>
      </c>
      <c r="I18" s="311">
        <f>G18*H18</f>
        <v/>
      </c>
      <c r="J18" s="308">
        <f>IF(G18&gt;0,IF(H18&lt;=0,"⚠ SEM PREÇO","COMPRAR"),IF(E18&gt;0,"OK - ESTOQUE","SEM DEMANDA"))</f>
        <v/>
      </c>
    </row>
    <row r="19">
      <c r="A19" s="314">
        <f>'PORTIFÓLIO'!B35</f>
        <v/>
      </c>
      <c r="B19" s="314">
        <f>'PORTIFÓLIO'!A35</f>
        <v/>
      </c>
      <c r="C19" s="314">
        <f>'PORTIFÓLIO'!C35</f>
        <v/>
      </c>
      <c r="D19" s="315">
        <f>'PORTIFÓLIO'!F35</f>
        <v/>
      </c>
      <c r="E19" s="316">
        <f>'PORTIFÓLIO'!R35</f>
        <v/>
      </c>
      <c r="F19" s="316">
        <f>'PORTIFÓLIO'!T35</f>
        <v/>
      </c>
      <c r="G19" s="316">
        <f>MAX(0,E19-F19)</f>
        <v/>
      </c>
      <c r="H19" s="317">
        <f>'PORTIFÓLIO'!S35</f>
        <v/>
      </c>
      <c r="I19" s="317">
        <f>G19*H19</f>
        <v/>
      </c>
      <c r="J19" s="314">
        <f>IF(G19&gt;0,IF(H19&lt;=0,"⚠ SEM PREÇO","COMPRAR"),IF(E19&gt;0,"OK - ESTOQUE","SEM DEMANDA"))</f>
        <v/>
      </c>
    </row>
    <row r="20">
      <c r="A20" s="308">
        <f>'PORTIFÓLIO'!B32</f>
        <v/>
      </c>
      <c r="B20" s="308">
        <f>'PORTIFÓLIO'!A32</f>
        <v/>
      </c>
      <c r="C20" s="308">
        <f>'PORTIFÓLIO'!C32</f>
        <v/>
      </c>
      <c r="D20" s="309">
        <f>'PORTIFÓLIO'!F32</f>
        <v/>
      </c>
      <c r="E20" s="310">
        <f>'PORTIFÓLIO'!R32</f>
        <v/>
      </c>
      <c r="F20" s="310">
        <f>'PORTIFÓLIO'!T32</f>
        <v/>
      </c>
      <c r="G20" s="310">
        <f>MAX(0,E20-F20)</f>
        <v/>
      </c>
      <c r="H20" s="311">
        <f>'PORTIFÓLIO'!S32</f>
        <v/>
      </c>
      <c r="I20" s="311">
        <f>G20*H20</f>
        <v/>
      </c>
      <c r="J20" s="308">
        <f>IF(G20&gt;0,IF(H20&lt;=0,"⚠ SEM PREÇO","COMPRAR"),IF(E20&gt;0,"OK - ESTOQUE","SEM DEMANDA"))</f>
        <v/>
      </c>
    </row>
    <row r="21">
      <c r="A21" s="314">
        <f>'PORTIFÓLIO'!B59</f>
        <v/>
      </c>
      <c r="B21" s="314">
        <f>'PORTIFÓLIO'!A59</f>
        <v/>
      </c>
      <c r="C21" s="314">
        <f>'PORTIFÓLIO'!C59</f>
        <v/>
      </c>
      <c r="D21" s="315">
        <f>'PORTIFÓLIO'!F59</f>
        <v/>
      </c>
      <c r="E21" s="316">
        <f>'PORTIFÓLIO'!R59</f>
        <v/>
      </c>
      <c r="F21" s="316">
        <f>'PORTIFÓLIO'!T59</f>
        <v/>
      </c>
      <c r="G21" s="316">
        <f>MAX(0,E21-F21)</f>
        <v/>
      </c>
      <c r="H21" s="317">
        <f>'PORTIFÓLIO'!S59</f>
        <v/>
      </c>
      <c r="I21" s="317">
        <f>G21*H21</f>
        <v/>
      </c>
      <c r="J21" s="314">
        <f>IF(G21&gt;0,IF(H21&lt;=0,"⚠ SEM PREÇO","COMPRAR"),IF(E21&gt;0,"OK - ESTOQUE","SEM DEMANDA"))</f>
        <v/>
      </c>
    </row>
    <row r="22">
      <c r="A22" s="308">
        <f>'PORTIFÓLIO'!B40</f>
        <v/>
      </c>
      <c r="B22" s="308">
        <f>'PORTIFÓLIO'!A40</f>
        <v/>
      </c>
      <c r="C22" s="308">
        <f>'PORTIFÓLIO'!C40</f>
        <v/>
      </c>
      <c r="D22" s="309">
        <f>'PORTIFÓLIO'!F40</f>
        <v/>
      </c>
      <c r="E22" s="310">
        <f>'PORTIFÓLIO'!R40</f>
        <v/>
      </c>
      <c r="F22" s="310">
        <f>'PORTIFÓLIO'!T40</f>
        <v/>
      </c>
      <c r="G22" s="310">
        <f>MAX(0,E22-F22)</f>
        <v/>
      </c>
      <c r="H22" s="311">
        <f>'PORTIFÓLIO'!S40</f>
        <v/>
      </c>
      <c r="I22" s="311">
        <f>G22*H22</f>
        <v/>
      </c>
      <c r="J22" s="308">
        <f>IF(G22&gt;0,IF(H22&lt;=0,"⚠ SEM PREÇO","COMPRAR"),IF(E22&gt;0,"OK - ESTOQUE","SEM DEMANDA"))</f>
        <v/>
      </c>
    </row>
    <row r="23">
      <c r="A23" s="314">
        <f>'PORTIFÓLIO'!B43</f>
        <v/>
      </c>
      <c r="B23" s="314">
        <f>'PORTIFÓLIO'!A43</f>
        <v/>
      </c>
      <c r="C23" s="314">
        <f>'PORTIFÓLIO'!C43</f>
        <v/>
      </c>
      <c r="D23" s="315">
        <f>'PORTIFÓLIO'!F43</f>
        <v/>
      </c>
      <c r="E23" s="316">
        <f>'PORTIFÓLIO'!R43</f>
        <v/>
      </c>
      <c r="F23" s="316">
        <f>'PORTIFÓLIO'!T43</f>
        <v/>
      </c>
      <c r="G23" s="316">
        <f>MAX(0,E23-F23)</f>
        <v/>
      </c>
      <c r="H23" s="317">
        <f>'PORTIFÓLIO'!S43</f>
        <v/>
      </c>
      <c r="I23" s="317">
        <f>G23*H23</f>
        <v/>
      </c>
      <c r="J23" s="314">
        <f>IF(G23&gt;0,IF(H23&lt;=0,"⚠ SEM PREÇO","COMPRAR"),IF(E23&gt;0,"OK - ESTOQUE","SEM DEMANDA"))</f>
        <v/>
      </c>
    </row>
    <row r="24">
      <c r="A24" s="308">
        <f>'PORTIFÓLIO'!B93</f>
        <v/>
      </c>
      <c r="B24" s="308">
        <f>'PORTIFÓLIO'!A93</f>
        <v/>
      </c>
      <c r="C24" s="308">
        <f>'PORTIFÓLIO'!C93</f>
        <v/>
      </c>
      <c r="D24" s="309">
        <f>'PORTIFÓLIO'!F93</f>
        <v/>
      </c>
      <c r="E24" s="310">
        <f>'PORTIFÓLIO'!R93</f>
        <v/>
      </c>
      <c r="F24" s="310">
        <f>'PORTIFÓLIO'!T93</f>
        <v/>
      </c>
      <c r="G24" s="310">
        <f>MAX(0,E24-F24)</f>
        <v/>
      </c>
      <c r="H24" s="311">
        <f>'PORTIFÓLIO'!S93</f>
        <v/>
      </c>
      <c r="I24" s="311">
        <f>G24*H24</f>
        <v/>
      </c>
      <c r="J24" s="308">
        <f>IF(G24&gt;0,IF(H24&lt;=0,"⚠ SEM PREÇO","COMPRAR"),IF(E24&gt;0,"OK - ESTOQUE","SEM DEMANDA"))</f>
        <v/>
      </c>
    </row>
    <row r="25">
      <c r="A25" s="314">
        <f>'PORTIFÓLIO'!B65</f>
        <v/>
      </c>
      <c r="B25" s="314">
        <f>'PORTIFÓLIO'!A65</f>
        <v/>
      </c>
      <c r="C25" s="314">
        <f>'PORTIFÓLIO'!C65</f>
        <v/>
      </c>
      <c r="D25" s="315">
        <f>'PORTIFÓLIO'!F65</f>
        <v/>
      </c>
      <c r="E25" s="316">
        <f>'PORTIFÓLIO'!R65</f>
        <v/>
      </c>
      <c r="F25" s="316">
        <f>'PORTIFÓLIO'!T65</f>
        <v/>
      </c>
      <c r="G25" s="316">
        <f>MAX(0,E25-F25)</f>
        <v/>
      </c>
      <c r="H25" s="317">
        <f>'PORTIFÓLIO'!S65</f>
        <v/>
      </c>
      <c r="I25" s="317">
        <f>G25*H25</f>
        <v/>
      </c>
      <c r="J25" s="314">
        <f>IF(G25&gt;0,IF(H25&lt;=0,"⚠ SEM PREÇO","COMPRAR"),IF(E25&gt;0,"OK - ESTOQUE","SEM DEMANDA"))</f>
        <v/>
      </c>
    </row>
    <row r="26">
      <c r="A26" s="308">
        <f>'PORTIFÓLIO'!B95</f>
        <v/>
      </c>
      <c r="B26" s="308">
        <f>'PORTIFÓLIO'!A95</f>
        <v/>
      </c>
      <c r="C26" s="308">
        <f>'PORTIFÓLIO'!C95</f>
        <v/>
      </c>
      <c r="D26" s="309">
        <f>'PORTIFÓLIO'!F95</f>
        <v/>
      </c>
      <c r="E26" s="310">
        <f>'PORTIFÓLIO'!R95</f>
        <v/>
      </c>
      <c r="F26" s="310">
        <f>'PORTIFÓLIO'!T95</f>
        <v/>
      </c>
      <c r="G26" s="310">
        <f>MAX(0,E26-F26)</f>
        <v/>
      </c>
      <c r="H26" s="311">
        <f>'PORTIFÓLIO'!S95</f>
        <v/>
      </c>
      <c r="I26" s="311">
        <f>G26*H26</f>
        <v/>
      </c>
      <c r="J26" s="308">
        <f>IF(G26&gt;0,IF(H26&lt;=0,"⚠ SEM PREÇO","COMPRAR"),IF(E26&gt;0,"OK - ESTOQUE","SEM DEMANDA"))</f>
        <v/>
      </c>
    </row>
    <row r="27">
      <c r="A27" s="314">
        <f>'PORTIFÓLIO'!B85</f>
        <v/>
      </c>
      <c r="B27" s="314">
        <f>'PORTIFÓLIO'!A85</f>
        <v/>
      </c>
      <c r="C27" s="314">
        <f>'PORTIFÓLIO'!C85</f>
        <v/>
      </c>
      <c r="D27" s="315">
        <f>'PORTIFÓLIO'!F85</f>
        <v/>
      </c>
      <c r="E27" s="316">
        <f>'PORTIFÓLIO'!R85</f>
        <v/>
      </c>
      <c r="F27" s="316">
        <f>'PORTIFÓLIO'!T85</f>
        <v/>
      </c>
      <c r="G27" s="316">
        <f>MAX(0,E27-F27)</f>
        <v/>
      </c>
      <c r="H27" s="317">
        <f>'PORTIFÓLIO'!S85</f>
        <v/>
      </c>
      <c r="I27" s="317">
        <f>G27*H27</f>
        <v/>
      </c>
      <c r="J27" s="314">
        <f>IF(G27&gt;0,IF(H27&lt;=0,"⚠ SEM PREÇO","COMPRAR"),IF(E27&gt;0,"OK - ESTOQUE","SEM DEMANDA"))</f>
        <v/>
      </c>
    </row>
    <row r="28">
      <c r="A28" s="308">
        <f>'PORTIFÓLIO'!B71</f>
        <v/>
      </c>
      <c r="B28" s="308">
        <f>'PORTIFÓLIO'!A71</f>
        <v/>
      </c>
      <c r="C28" s="308">
        <f>'PORTIFÓLIO'!C71</f>
        <v/>
      </c>
      <c r="D28" s="309">
        <f>'PORTIFÓLIO'!F71</f>
        <v/>
      </c>
      <c r="E28" s="310">
        <f>'PORTIFÓLIO'!R71</f>
        <v/>
      </c>
      <c r="F28" s="310">
        <f>'PORTIFÓLIO'!T71</f>
        <v/>
      </c>
      <c r="G28" s="310">
        <f>MAX(0,E28-F28)</f>
        <v/>
      </c>
      <c r="H28" s="311">
        <f>'PORTIFÓLIO'!S71</f>
        <v/>
      </c>
      <c r="I28" s="311">
        <f>G28*H28</f>
        <v/>
      </c>
      <c r="J28" s="308">
        <f>IF(G28&gt;0,IF(H28&lt;=0,"⚠ SEM PREÇO","COMPRAR"),IF(E28&gt;0,"OK - ESTOQUE","SEM DEMANDA"))</f>
        <v/>
      </c>
    </row>
    <row r="29">
      <c r="A29" s="314">
        <f>'PORTIFÓLIO'!B52</f>
        <v/>
      </c>
      <c r="B29" s="314">
        <f>'PORTIFÓLIO'!A52</f>
        <v/>
      </c>
      <c r="C29" s="314">
        <f>'PORTIFÓLIO'!C52</f>
        <v/>
      </c>
      <c r="D29" s="315">
        <f>'PORTIFÓLIO'!F52</f>
        <v/>
      </c>
      <c r="E29" s="316">
        <f>'PORTIFÓLIO'!R52</f>
        <v/>
      </c>
      <c r="F29" s="316">
        <f>'PORTIFÓLIO'!T52</f>
        <v/>
      </c>
      <c r="G29" s="316">
        <f>MAX(0,E29-F29)</f>
        <v/>
      </c>
      <c r="H29" s="317">
        <f>'PORTIFÓLIO'!S52</f>
        <v/>
      </c>
      <c r="I29" s="317">
        <f>G29*H29</f>
        <v/>
      </c>
      <c r="J29" s="314">
        <f>IF(G29&gt;0,IF(H29&lt;=0,"⚠ SEM PREÇO","COMPRAR"),IF(E29&gt;0,"OK - ESTOQUE","SEM DEMANDA"))</f>
        <v/>
      </c>
    </row>
    <row r="30">
      <c r="A30" s="308">
        <f>'PORTIFÓLIO'!B58</f>
        <v/>
      </c>
      <c r="B30" s="308">
        <f>'PORTIFÓLIO'!A58</f>
        <v/>
      </c>
      <c r="C30" s="308">
        <f>'PORTIFÓLIO'!C58</f>
        <v/>
      </c>
      <c r="D30" s="309">
        <f>'PORTIFÓLIO'!F58</f>
        <v/>
      </c>
      <c r="E30" s="310">
        <f>'PORTIFÓLIO'!R58</f>
        <v/>
      </c>
      <c r="F30" s="310">
        <f>'PORTIFÓLIO'!T58</f>
        <v/>
      </c>
      <c r="G30" s="310">
        <f>MAX(0,E30-F30)</f>
        <v/>
      </c>
      <c r="H30" s="311">
        <f>'PORTIFÓLIO'!S58</f>
        <v/>
      </c>
      <c r="I30" s="311">
        <f>G30*H30</f>
        <v/>
      </c>
      <c r="J30" s="308">
        <f>IF(G30&gt;0,IF(H30&lt;=0,"⚠ SEM PREÇO","COMPRAR"),IF(E30&gt;0,"OK - ESTOQUE","SEM DEMANDA"))</f>
        <v/>
      </c>
    </row>
    <row r="31">
      <c r="A31" s="314">
        <f>'PORTIFÓLIO'!B99</f>
        <v/>
      </c>
      <c r="B31" s="314">
        <f>'PORTIFÓLIO'!A99</f>
        <v/>
      </c>
      <c r="C31" s="314">
        <f>'PORTIFÓLIO'!C99</f>
        <v/>
      </c>
      <c r="D31" s="315">
        <f>'PORTIFÓLIO'!F99</f>
        <v/>
      </c>
      <c r="E31" s="316">
        <f>'PORTIFÓLIO'!R99</f>
        <v/>
      </c>
      <c r="F31" s="316">
        <f>'PORTIFÓLIO'!T99</f>
        <v/>
      </c>
      <c r="G31" s="316">
        <f>MAX(0,E31-F31)</f>
        <v/>
      </c>
      <c r="H31" s="317">
        <f>'PORTIFÓLIO'!S99</f>
        <v/>
      </c>
      <c r="I31" s="317">
        <f>G31*H31</f>
        <v/>
      </c>
      <c r="J31" s="314">
        <f>IF(G31&gt;0,IF(H31&lt;=0,"⚠ SEM PREÇO","COMPRAR"),IF(E31&gt;0,"OK - ESTOQUE","SEM DEMANDA"))</f>
        <v/>
      </c>
    </row>
    <row r="32">
      <c r="A32" s="308">
        <f>'PORTIFÓLIO'!B53</f>
        <v/>
      </c>
      <c r="B32" s="308">
        <f>'PORTIFÓLIO'!A53</f>
        <v/>
      </c>
      <c r="C32" s="308">
        <f>'PORTIFÓLIO'!C53</f>
        <v/>
      </c>
      <c r="D32" s="309">
        <f>'PORTIFÓLIO'!F53</f>
        <v/>
      </c>
      <c r="E32" s="310">
        <f>'PORTIFÓLIO'!R53</f>
        <v/>
      </c>
      <c r="F32" s="310">
        <f>'PORTIFÓLIO'!T53</f>
        <v/>
      </c>
      <c r="G32" s="310">
        <f>MAX(0,E32-F32)</f>
        <v/>
      </c>
      <c r="H32" s="311">
        <f>'PORTIFÓLIO'!S53</f>
        <v/>
      </c>
      <c r="I32" s="311">
        <f>G32*H32</f>
        <v/>
      </c>
      <c r="J32" s="308">
        <f>IF(G32&gt;0,IF(H32&lt;=0,"⚠ SEM PREÇO","COMPRAR"),IF(E32&gt;0,"OK - ESTOQUE","SEM DEMANDA"))</f>
        <v/>
      </c>
    </row>
    <row r="33">
      <c r="A33" s="314">
        <f>'PORTIFÓLIO'!B76</f>
        <v/>
      </c>
      <c r="B33" s="314">
        <f>'PORTIFÓLIO'!A76</f>
        <v/>
      </c>
      <c r="C33" s="314">
        <f>'PORTIFÓLIO'!C76</f>
        <v/>
      </c>
      <c r="D33" s="315">
        <f>'PORTIFÓLIO'!F76</f>
        <v/>
      </c>
      <c r="E33" s="316">
        <f>'PORTIFÓLIO'!R76</f>
        <v/>
      </c>
      <c r="F33" s="316">
        <f>'PORTIFÓLIO'!T76</f>
        <v/>
      </c>
      <c r="G33" s="316">
        <f>MAX(0,E33-F33)</f>
        <v/>
      </c>
      <c r="H33" s="317">
        <f>'PORTIFÓLIO'!S76</f>
        <v/>
      </c>
      <c r="I33" s="317">
        <f>G33*H33</f>
        <v/>
      </c>
      <c r="J33" s="314">
        <f>IF(G33&gt;0,IF(H33&lt;=0,"⚠ SEM PREÇO","COMPRAR"),IF(E33&gt;0,"OK - ESTOQUE","SEM DEMANDA"))</f>
        <v/>
      </c>
    </row>
    <row r="34">
      <c r="A34" s="308">
        <f>'PORTIFÓLIO'!B106</f>
        <v/>
      </c>
      <c r="B34" s="308">
        <f>'PORTIFÓLIO'!A106</f>
        <v/>
      </c>
      <c r="C34" s="308">
        <f>'PORTIFÓLIO'!C106</f>
        <v/>
      </c>
      <c r="D34" s="309">
        <f>'PORTIFÓLIO'!F106</f>
        <v/>
      </c>
      <c r="E34" s="310">
        <f>'PORTIFÓLIO'!R106</f>
        <v/>
      </c>
      <c r="F34" s="310">
        <f>'PORTIFÓLIO'!T106</f>
        <v/>
      </c>
      <c r="G34" s="310">
        <f>MAX(0,E34-F34)</f>
        <v/>
      </c>
      <c r="H34" s="311">
        <f>'PORTIFÓLIO'!S106</f>
        <v/>
      </c>
      <c r="I34" s="311">
        <f>G34*H34</f>
        <v/>
      </c>
      <c r="J34" s="308">
        <f>IF(G34&gt;0,IF(H34&lt;=0,"⚠ SEM PREÇO","COMPRAR"),IF(E34&gt;0,"OK - ESTOQUE","SEM DEMANDA"))</f>
        <v/>
      </c>
    </row>
    <row r="35">
      <c r="A35" s="314">
        <f>'PORTIFÓLIO'!B108</f>
        <v/>
      </c>
      <c r="B35" s="314">
        <f>'PORTIFÓLIO'!A108</f>
        <v/>
      </c>
      <c r="C35" s="314">
        <f>'PORTIFÓLIO'!C108</f>
        <v/>
      </c>
      <c r="D35" s="315">
        <f>'PORTIFÓLIO'!F108</f>
        <v/>
      </c>
      <c r="E35" s="316">
        <f>'PORTIFÓLIO'!R108</f>
        <v/>
      </c>
      <c r="F35" s="316">
        <f>'PORTIFÓLIO'!T108</f>
        <v/>
      </c>
      <c r="G35" s="316">
        <f>MAX(0,E35-F35)</f>
        <v/>
      </c>
      <c r="H35" s="317">
        <f>'PORTIFÓLIO'!S108</f>
        <v/>
      </c>
      <c r="I35" s="317">
        <f>G35*H35</f>
        <v/>
      </c>
      <c r="J35" s="314">
        <f>IF(G35&gt;0,IF(H35&lt;=0,"⚠ SEM PREÇO","COMPRAR"),IF(E35&gt;0,"OK - ESTOQUE","SEM DEMANDA"))</f>
        <v/>
      </c>
    </row>
    <row r="36">
      <c r="A36" s="308">
        <f>'PORTIFÓLIO'!B137</f>
        <v/>
      </c>
      <c r="B36" s="308">
        <f>'PORTIFÓLIO'!A137</f>
        <v/>
      </c>
      <c r="C36" s="308">
        <f>'PORTIFÓLIO'!C137</f>
        <v/>
      </c>
      <c r="D36" s="309">
        <f>'PORTIFÓLIO'!F137</f>
        <v/>
      </c>
      <c r="E36" s="310">
        <f>'PORTIFÓLIO'!R137</f>
        <v/>
      </c>
      <c r="F36" s="310">
        <f>'PORTIFÓLIO'!T137</f>
        <v/>
      </c>
      <c r="G36" s="310">
        <f>MAX(0,E36-F36)</f>
        <v/>
      </c>
      <c r="H36" s="311">
        <f>'PORTIFÓLIO'!S137</f>
        <v/>
      </c>
      <c r="I36" s="311">
        <f>G36*H36</f>
        <v/>
      </c>
      <c r="J36" s="308">
        <f>IF(G36&gt;0,IF(H36&lt;=0,"⚠ SEM PREÇO","COMPRAR"),IF(E36&gt;0,"OK - ESTOQUE","SEM DEMANDA"))</f>
        <v/>
      </c>
    </row>
    <row r="37">
      <c r="A37" s="314">
        <f>'PORTIFÓLIO'!B161</f>
        <v/>
      </c>
      <c r="B37" s="314">
        <f>'PORTIFÓLIO'!A161</f>
        <v/>
      </c>
      <c r="C37" s="314">
        <f>'PORTIFÓLIO'!C161</f>
        <v/>
      </c>
      <c r="D37" s="315">
        <f>'PORTIFÓLIO'!F161</f>
        <v/>
      </c>
      <c r="E37" s="316">
        <f>'PORTIFÓLIO'!R161</f>
        <v/>
      </c>
      <c r="F37" s="316">
        <f>'PORTIFÓLIO'!T161</f>
        <v/>
      </c>
      <c r="G37" s="316">
        <f>MAX(0,E37-F37)</f>
        <v/>
      </c>
      <c r="H37" s="317">
        <f>'PORTIFÓLIO'!S161</f>
        <v/>
      </c>
      <c r="I37" s="317">
        <f>G37*H37</f>
        <v/>
      </c>
      <c r="J37" s="314">
        <f>IF(G37&gt;0,IF(H37&lt;=0,"⚠ SEM PREÇO","COMPRAR"),IF(E37&gt;0,"OK - ESTOQUE","SEM DEMANDA"))</f>
        <v/>
      </c>
    </row>
    <row r="38">
      <c r="A38" s="308">
        <f>'PORTIFÓLIO'!B165</f>
        <v/>
      </c>
      <c r="B38" s="308">
        <f>'PORTIFÓLIO'!A165</f>
        <v/>
      </c>
      <c r="C38" s="308">
        <f>'PORTIFÓLIO'!C165</f>
        <v/>
      </c>
      <c r="D38" s="309">
        <f>'PORTIFÓLIO'!F165</f>
        <v/>
      </c>
      <c r="E38" s="310">
        <f>'PORTIFÓLIO'!R165</f>
        <v/>
      </c>
      <c r="F38" s="310">
        <f>'PORTIFÓLIO'!T165</f>
        <v/>
      </c>
      <c r="G38" s="310">
        <f>MAX(0,E38-F38)</f>
        <v/>
      </c>
      <c r="H38" s="311">
        <f>'PORTIFÓLIO'!S165</f>
        <v/>
      </c>
      <c r="I38" s="311">
        <f>G38*H38</f>
        <v/>
      </c>
      <c r="J38" s="308">
        <f>IF(G38&gt;0,IF(H38&lt;=0,"⚠ SEM PREÇO","COMPRAR"),IF(E38&gt;0,"OK - ESTOQUE","SEM DEMANDA"))</f>
        <v/>
      </c>
    </row>
    <row r="39">
      <c r="A39" s="314">
        <f>'PORTIFÓLIO'!B138</f>
        <v/>
      </c>
      <c r="B39" s="314">
        <f>'PORTIFÓLIO'!A138</f>
        <v/>
      </c>
      <c r="C39" s="314">
        <f>'PORTIFÓLIO'!C138</f>
        <v/>
      </c>
      <c r="D39" s="315">
        <f>'PORTIFÓLIO'!F138</f>
        <v/>
      </c>
      <c r="E39" s="316">
        <f>'PORTIFÓLIO'!R138</f>
        <v/>
      </c>
      <c r="F39" s="316">
        <f>'PORTIFÓLIO'!T138</f>
        <v/>
      </c>
      <c r="G39" s="316">
        <f>MAX(0,E39-F39)</f>
        <v/>
      </c>
      <c r="H39" s="317">
        <f>'PORTIFÓLIO'!S138</f>
        <v/>
      </c>
      <c r="I39" s="317">
        <f>G39*H39</f>
        <v/>
      </c>
      <c r="J39" s="314">
        <f>IF(G39&gt;0,IF(H39&lt;=0,"⚠ SEM PREÇO","COMPRAR"),IF(E39&gt;0,"OK - ESTOQUE","SEM DEMANDA"))</f>
        <v/>
      </c>
    </row>
    <row r="40">
      <c r="A40" s="308">
        <f>'PORTIFÓLIO'!B149</f>
        <v/>
      </c>
      <c r="B40" s="308">
        <f>'PORTIFÓLIO'!A149</f>
        <v/>
      </c>
      <c r="C40" s="308">
        <f>'PORTIFÓLIO'!C149</f>
        <v/>
      </c>
      <c r="D40" s="309">
        <f>'PORTIFÓLIO'!F149</f>
        <v/>
      </c>
      <c r="E40" s="310">
        <f>'PORTIFÓLIO'!R149</f>
        <v/>
      </c>
      <c r="F40" s="310">
        <f>'PORTIFÓLIO'!T149</f>
        <v/>
      </c>
      <c r="G40" s="310">
        <f>MAX(0,E40-F40)</f>
        <v/>
      </c>
      <c r="H40" s="311">
        <f>'PORTIFÓLIO'!S149</f>
        <v/>
      </c>
      <c r="I40" s="311">
        <f>G40*H40</f>
        <v/>
      </c>
      <c r="J40" s="308">
        <f>IF(G40&gt;0,IF(H40&lt;=0,"⚠ SEM PREÇO","COMPRAR"),IF(E40&gt;0,"OK - ESTOQUE","SEM DEMANDA"))</f>
        <v/>
      </c>
    </row>
    <row r="41">
      <c r="A41" s="314">
        <f>'PORTIFÓLIO'!B150</f>
        <v/>
      </c>
      <c r="B41" s="314">
        <f>'PORTIFÓLIO'!A150</f>
        <v/>
      </c>
      <c r="C41" s="314">
        <f>'PORTIFÓLIO'!C150</f>
        <v/>
      </c>
      <c r="D41" s="315">
        <f>'PORTIFÓLIO'!F150</f>
        <v/>
      </c>
      <c r="E41" s="316">
        <f>'PORTIFÓLIO'!R150</f>
        <v/>
      </c>
      <c r="F41" s="316">
        <f>'PORTIFÓLIO'!T150</f>
        <v/>
      </c>
      <c r="G41" s="316">
        <f>MAX(0,E41-F41)</f>
        <v/>
      </c>
      <c r="H41" s="317">
        <f>'PORTIFÓLIO'!S150</f>
        <v/>
      </c>
      <c r="I41" s="317">
        <f>G41*H41</f>
        <v/>
      </c>
      <c r="J41" s="314">
        <f>IF(G41&gt;0,IF(H41&lt;=0,"⚠ SEM PREÇO","COMPRAR"),IF(E41&gt;0,"OK - ESTOQUE","SEM DEMANDA"))</f>
        <v/>
      </c>
    </row>
    <row r="42">
      <c r="A42" s="308">
        <f>'PORTIFÓLIO'!B110</f>
        <v/>
      </c>
      <c r="B42" s="308">
        <f>'PORTIFÓLIO'!A110</f>
        <v/>
      </c>
      <c r="C42" s="308">
        <f>'PORTIFÓLIO'!C110</f>
        <v/>
      </c>
      <c r="D42" s="309">
        <f>'PORTIFÓLIO'!F110</f>
        <v/>
      </c>
      <c r="E42" s="310">
        <f>'PORTIFÓLIO'!R110</f>
        <v/>
      </c>
      <c r="F42" s="310">
        <f>'PORTIFÓLIO'!T110</f>
        <v/>
      </c>
      <c r="G42" s="310">
        <f>MAX(0,E42-F42)</f>
        <v/>
      </c>
      <c r="H42" s="311">
        <f>'PORTIFÓLIO'!S110</f>
        <v/>
      </c>
      <c r="I42" s="311">
        <f>G42*H42</f>
        <v/>
      </c>
      <c r="J42" s="308">
        <f>IF(G42&gt;0,IF(H42&lt;=0,"⚠ SEM PREÇO","COMPRAR"),IF(E42&gt;0,"OK - ESTOQUE","SEM DEMANDA"))</f>
        <v/>
      </c>
    </row>
    <row r="43">
      <c r="A43" s="314">
        <f>'PORTIFÓLIO'!B143</f>
        <v/>
      </c>
      <c r="B43" s="314">
        <f>'PORTIFÓLIO'!A143</f>
        <v/>
      </c>
      <c r="C43" s="314">
        <f>'PORTIFÓLIO'!C143</f>
        <v/>
      </c>
      <c r="D43" s="315">
        <f>'PORTIFÓLIO'!F143</f>
        <v/>
      </c>
      <c r="E43" s="316">
        <f>'PORTIFÓLIO'!R143</f>
        <v/>
      </c>
      <c r="F43" s="316">
        <f>'PORTIFÓLIO'!T143</f>
        <v/>
      </c>
      <c r="G43" s="316">
        <f>MAX(0,E43-F43)</f>
        <v/>
      </c>
      <c r="H43" s="317">
        <f>'PORTIFÓLIO'!S143</f>
        <v/>
      </c>
      <c r="I43" s="317">
        <f>G43*H43</f>
        <v/>
      </c>
      <c r="J43" s="314">
        <f>IF(G43&gt;0,IF(H43&lt;=0,"⚠ SEM PREÇO","COMPRAR"),IF(E43&gt;0,"OK - ESTOQUE","SEM DEMANDA"))</f>
        <v/>
      </c>
    </row>
    <row r="44">
      <c r="A44" s="308">
        <f>'PORTIFÓLIO'!B168</f>
        <v/>
      </c>
      <c r="B44" s="308">
        <f>'PORTIFÓLIO'!A168</f>
        <v/>
      </c>
      <c r="C44" s="308">
        <f>'PORTIFÓLIO'!C168</f>
        <v/>
      </c>
      <c r="D44" s="309">
        <f>'PORTIFÓLIO'!F168</f>
        <v/>
      </c>
      <c r="E44" s="310">
        <f>'PORTIFÓLIO'!R168</f>
        <v/>
      </c>
      <c r="F44" s="310">
        <f>'PORTIFÓLIO'!T168</f>
        <v/>
      </c>
      <c r="G44" s="310">
        <f>MAX(0,E44-F44)</f>
        <v/>
      </c>
      <c r="H44" s="311">
        <f>'PORTIFÓLIO'!S168</f>
        <v/>
      </c>
      <c r="I44" s="311">
        <f>G44*H44</f>
        <v/>
      </c>
      <c r="J44" s="308">
        <f>IF(G44&gt;0,IF(H44&lt;=0,"⚠ SEM PREÇO","COMPRAR"),IF(E44&gt;0,"OK - ESTOQUE","SEM DEMANDA"))</f>
        <v/>
      </c>
    </row>
    <row r="45">
      <c r="A45" s="314">
        <f>'PORTIFÓLIO'!B119</f>
        <v/>
      </c>
      <c r="B45" s="314">
        <f>'PORTIFÓLIO'!A119</f>
        <v/>
      </c>
      <c r="C45" s="314">
        <f>'PORTIFÓLIO'!C119</f>
        <v/>
      </c>
      <c r="D45" s="315">
        <f>'PORTIFÓLIO'!F119</f>
        <v/>
      </c>
      <c r="E45" s="316">
        <f>'PORTIFÓLIO'!R119</f>
        <v/>
      </c>
      <c r="F45" s="316">
        <f>'PORTIFÓLIO'!T119</f>
        <v/>
      </c>
      <c r="G45" s="316">
        <f>MAX(0,E45-F45)</f>
        <v/>
      </c>
      <c r="H45" s="317">
        <f>'PORTIFÓLIO'!S119</f>
        <v/>
      </c>
      <c r="I45" s="317">
        <f>G45*H45</f>
        <v/>
      </c>
      <c r="J45" s="314">
        <f>IF(G45&gt;0,IF(H45&lt;=0,"⚠ SEM PREÇO","COMPRAR"),IF(E45&gt;0,"OK - ESTOQUE","SEM DEMANDA"))</f>
        <v/>
      </c>
    </row>
    <row r="46">
      <c r="A46" s="308">
        <f>'PORTIFÓLIO'!B144</f>
        <v/>
      </c>
      <c r="B46" s="308">
        <f>'PORTIFÓLIO'!A144</f>
        <v/>
      </c>
      <c r="C46" s="308">
        <f>'PORTIFÓLIO'!C144</f>
        <v/>
      </c>
      <c r="D46" s="309">
        <f>'PORTIFÓLIO'!F144</f>
        <v/>
      </c>
      <c r="E46" s="310">
        <f>'PORTIFÓLIO'!R144</f>
        <v/>
      </c>
      <c r="F46" s="310">
        <f>'PORTIFÓLIO'!T144</f>
        <v/>
      </c>
      <c r="G46" s="310">
        <f>MAX(0,E46-F46)</f>
        <v/>
      </c>
      <c r="H46" s="311">
        <f>'PORTIFÓLIO'!S144</f>
        <v/>
      </c>
      <c r="I46" s="311">
        <f>G46*H46</f>
        <v/>
      </c>
      <c r="J46" s="308">
        <f>IF(G46&gt;0,IF(H46&lt;=0,"⚠ SEM PREÇO","COMPRAR"),IF(E46&gt;0,"OK - ESTOQUE","SEM DEMANDA"))</f>
        <v/>
      </c>
    </row>
    <row r="47">
      <c r="A47" s="314">
        <f>'PORTIFÓLIO'!B156</f>
        <v/>
      </c>
      <c r="B47" s="314">
        <f>'PORTIFÓLIO'!A156</f>
        <v/>
      </c>
      <c r="C47" s="314">
        <f>'PORTIFÓLIO'!C156</f>
        <v/>
      </c>
      <c r="D47" s="315">
        <f>'PORTIFÓLIO'!F156</f>
        <v/>
      </c>
      <c r="E47" s="316">
        <f>'PORTIFÓLIO'!R156</f>
        <v/>
      </c>
      <c r="F47" s="316">
        <f>'PORTIFÓLIO'!T156</f>
        <v/>
      </c>
      <c r="G47" s="316">
        <f>MAX(0,E47-F47)</f>
        <v/>
      </c>
      <c r="H47" s="317">
        <f>'PORTIFÓLIO'!S156</f>
        <v/>
      </c>
      <c r="I47" s="317">
        <f>G47*H47</f>
        <v/>
      </c>
      <c r="J47" s="314">
        <f>IF(G47&gt;0,IF(H47&lt;=0,"⚠ SEM PREÇO","COMPRAR"),IF(E47&gt;0,"OK - ESTOQUE","SEM DEMANDA"))</f>
        <v/>
      </c>
    </row>
    <row r="48">
      <c r="A48" s="308">
        <f>'PORTIFÓLIO'!B170</f>
        <v/>
      </c>
      <c r="B48" s="308">
        <f>'PORTIFÓLIO'!A170</f>
        <v/>
      </c>
      <c r="C48" s="308">
        <f>'PORTIFÓLIO'!C170</f>
        <v/>
      </c>
      <c r="D48" s="309">
        <f>'PORTIFÓLIO'!F170</f>
        <v/>
      </c>
      <c r="E48" s="310">
        <f>'PORTIFÓLIO'!R170</f>
        <v/>
      </c>
      <c r="F48" s="310">
        <f>'PORTIFÓLIO'!T170</f>
        <v/>
      </c>
      <c r="G48" s="310">
        <f>MAX(0,E48-F48)</f>
        <v/>
      </c>
      <c r="H48" s="311">
        <f>'PORTIFÓLIO'!S170</f>
        <v/>
      </c>
      <c r="I48" s="311">
        <f>G48*H48</f>
        <v/>
      </c>
      <c r="J48" s="308">
        <f>IF(G48&gt;0,IF(H48&lt;=0,"⚠ SEM PREÇO","COMPRAR"),IF(E48&gt;0,"OK - ESTOQUE","SEM DEMANDA"))</f>
        <v/>
      </c>
    </row>
    <row r="49">
      <c r="A49" s="314">
        <f>'PORTIFÓLIO'!B158</f>
        <v/>
      </c>
      <c r="B49" s="314">
        <f>'PORTIFÓLIO'!A158</f>
        <v/>
      </c>
      <c r="C49" s="314">
        <f>'PORTIFÓLIO'!C158</f>
        <v/>
      </c>
      <c r="D49" s="315">
        <f>'PORTIFÓLIO'!F158</f>
        <v/>
      </c>
      <c r="E49" s="316">
        <f>'PORTIFÓLIO'!R158</f>
        <v/>
      </c>
      <c r="F49" s="316">
        <f>'PORTIFÓLIO'!T158</f>
        <v/>
      </c>
      <c r="G49" s="316">
        <f>MAX(0,E49-F49)</f>
        <v/>
      </c>
      <c r="H49" s="317">
        <f>'PORTIFÓLIO'!S158</f>
        <v/>
      </c>
      <c r="I49" s="317">
        <f>G49*H49</f>
        <v/>
      </c>
      <c r="J49" s="314">
        <f>IF(G49&gt;0,IF(H49&lt;=0,"⚠ SEM PREÇO","COMPRAR"),IF(E49&gt;0,"OK - ESTOQUE","SEM DEMANDA"))</f>
        <v/>
      </c>
    </row>
    <row r="50">
      <c r="A50" s="308">
        <f>'PORTIFÓLIO'!B211</f>
        <v/>
      </c>
      <c r="B50" s="308">
        <f>'PORTIFÓLIO'!A211</f>
        <v/>
      </c>
      <c r="C50" s="308">
        <f>'PORTIFÓLIO'!C211</f>
        <v/>
      </c>
      <c r="D50" s="309">
        <f>'PORTIFÓLIO'!F211</f>
        <v/>
      </c>
      <c r="E50" s="310">
        <f>'PORTIFÓLIO'!R211</f>
        <v/>
      </c>
      <c r="F50" s="310">
        <f>'PORTIFÓLIO'!T211</f>
        <v/>
      </c>
      <c r="G50" s="310">
        <f>MAX(0,E50-F50)</f>
        <v/>
      </c>
      <c r="H50" s="311">
        <f>'PORTIFÓLIO'!S211</f>
        <v/>
      </c>
      <c r="I50" s="311">
        <f>G50*H50</f>
        <v/>
      </c>
      <c r="J50" s="308">
        <f>IF(G50&gt;0,IF(H50&lt;=0,"⚠ SEM PREÇO","COMPRAR"),IF(E50&gt;0,"OK - ESTOQUE","SEM DEMANDA"))</f>
        <v/>
      </c>
    </row>
    <row r="51">
      <c r="A51" s="314">
        <f>'PORTIFÓLIO'!B188</f>
        <v/>
      </c>
      <c r="B51" s="314">
        <f>'PORTIFÓLIO'!A188</f>
        <v/>
      </c>
      <c r="C51" s="314">
        <f>'PORTIFÓLIO'!C188</f>
        <v/>
      </c>
      <c r="D51" s="315">
        <f>'PORTIFÓLIO'!F188</f>
        <v/>
      </c>
      <c r="E51" s="316">
        <f>'PORTIFÓLIO'!R188</f>
        <v/>
      </c>
      <c r="F51" s="316">
        <f>'PORTIFÓLIO'!T188</f>
        <v/>
      </c>
      <c r="G51" s="316">
        <f>MAX(0,E51-F51)</f>
        <v/>
      </c>
      <c r="H51" s="317">
        <f>'PORTIFÓLIO'!S188</f>
        <v/>
      </c>
      <c r="I51" s="317">
        <f>G51*H51</f>
        <v/>
      </c>
      <c r="J51" s="314">
        <f>IF(G51&gt;0,IF(H51&lt;=0,"⚠ SEM PREÇO","COMPRAR"),IF(E51&gt;0,"OK - ESTOQUE","SEM DEMANDA"))</f>
        <v/>
      </c>
    </row>
    <row r="52">
      <c r="A52" s="308">
        <f>'PORTIFÓLIO'!B233</f>
        <v/>
      </c>
      <c r="B52" s="308">
        <f>'PORTIFÓLIO'!A233</f>
        <v/>
      </c>
      <c r="C52" s="308">
        <f>'PORTIFÓLIO'!C233</f>
        <v/>
      </c>
      <c r="D52" s="309">
        <f>'PORTIFÓLIO'!F233</f>
        <v/>
      </c>
      <c r="E52" s="310">
        <f>'PORTIFÓLIO'!R233</f>
        <v/>
      </c>
      <c r="F52" s="310">
        <f>'PORTIFÓLIO'!T233</f>
        <v/>
      </c>
      <c r="G52" s="310">
        <f>MAX(0,E52-F52)</f>
        <v/>
      </c>
      <c r="H52" s="311">
        <f>'PORTIFÓLIO'!S233</f>
        <v/>
      </c>
      <c r="I52" s="311">
        <f>G52*H52</f>
        <v/>
      </c>
      <c r="J52" s="308">
        <f>IF(G52&gt;0,IF(H52&lt;=0,"⚠ SEM PREÇO","COMPRAR"),IF(E52&gt;0,"OK - ESTOQUE","SEM DEMANDA"))</f>
        <v/>
      </c>
    </row>
    <row r="53">
      <c r="A53" s="314">
        <f>'PORTIFÓLIO'!B191</f>
        <v/>
      </c>
      <c r="B53" s="314">
        <f>'PORTIFÓLIO'!A191</f>
        <v/>
      </c>
      <c r="C53" s="314">
        <f>'PORTIFÓLIO'!C191</f>
        <v/>
      </c>
      <c r="D53" s="315">
        <f>'PORTIFÓLIO'!F191</f>
        <v/>
      </c>
      <c r="E53" s="316">
        <f>'PORTIFÓLIO'!R191</f>
        <v/>
      </c>
      <c r="F53" s="316">
        <f>'PORTIFÓLIO'!T191</f>
        <v/>
      </c>
      <c r="G53" s="316">
        <f>MAX(0,E53-F53)</f>
        <v/>
      </c>
      <c r="H53" s="317">
        <f>'PORTIFÓLIO'!S191</f>
        <v/>
      </c>
      <c r="I53" s="317">
        <f>G53*H53</f>
        <v/>
      </c>
      <c r="J53" s="314">
        <f>IF(G53&gt;0,IF(H53&lt;=0,"⚠ SEM PREÇO","COMPRAR"),IF(E53&gt;0,"OK - ESTOQUE","SEM DEMANDA"))</f>
        <v/>
      </c>
    </row>
    <row r="54">
      <c r="A54" s="308">
        <f>'PORTIFÓLIO'!B189</f>
        <v/>
      </c>
      <c r="B54" s="308">
        <f>'PORTIFÓLIO'!A189</f>
        <v/>
      </c>
      <c r="C54" s="308">
        <f>'PORTIFÓLIO'!C189</f>
        <v/>
      </c>
      <c r="D54" s="309">
        <f>'PORTIFÓLIO'!F189</f>
        <v/>
      </c>
      <c r="E54" s="310">
        <f>'PORTIFÓLIO'!R189</f>
        <v/>
      </c>
      <c r="F54" s="310">
        <f>'PORTIFÓLIO'!T189</f>
        <v/>
      </c>
      <c r="G54" s="310">
        <f>MAX(0,E54-F54)</f>
        <v/>
      </c>
      <c r="H54" s="311">
        <f>'PORTIFÓLIO'!S189</f>
        <v/>
      </c>
      <c r="I54" s="311">
        <f>G54*H54</f>
        <v/>
      </c>
      <c r="J54" s="308">
        <f>IF(G54&gt;0,IF(H54&lt;=0,"⚠ SEM PREÇO","COMPRAR"),IF(E54&gt;0,"OK - ESTOQUE","SEM DEMANDA"))</f>
        <v/>
      </c>
    </row>
    <row r="55">
      <c r="A55" s="314">
        <f>'PORTIFÓLIO'!B172</f>
        <v/>
      </c>
      <c r="B55" s="314">
        <f>'PORTIFÓLIO'!A172</f>
        <v/>
      </c>
      <c r="C55" s="314">
        <f>'PORTIFÓLIO'!C172</f>
        <v/>
      </c>
      <c r="D55" s="315">
        <f>'PORTIFÓLIO'!F172</f>
        <v/>
      </c>
      <c r="E55" s="316">
        <f>'PORTIFÓLIO'!R172</f>
        <v/>
      </c>
      <c r="F55" s="316">
        <f>'PORTIFÓLIO'!T172</f>
        <v/>
      </c>
      <c r="G55" s="316">
        <f>MAX(0,E55-F55)</f>
        <v/>
      </c>
      <c r="H55" s="317">
        <f>'PORTIFÓLIO'!S172</f>
        <v/>
      </c>
      <c r="I55" s="317">
        <f>G55*H55</f>
        <v/>
      </c>
      <c r="J55" s="314">
        <f>IF(G55&gt;0,IF(H55&lt;=0,"⚠ SEM PREÇO","COMPRAR"),IF(E55&gt;0,"OK - ESTOQUE","SEM DEMANDA"))</f>
        <v/>
      </c>
    </row>
    <row r="56">
      <c r="A56" s="308">
        <f>'PORTIFÓLIO'!B214</f>
        <v/>
      </c>
      <c r="B56" s="308">
        <f>'PORTIFÓLIO'!A214</f>
        <v/>
      </c>
      <c r="C56" s="308">
        <f>'PORTIFÓLIO'!C214</f>
        <v/>
      </c>
      <c r="D56" s="309">
        <f>'PORTIFÓLIO'!F214</f>
        <v/>
      </c>
      <c r="E56" s="310">
        <f>'PORTIFÓLIO'!R214</f>
        <v/>
      </c>
      <c r="F56" s="310">
        <f>'PORTIFÓLIO'!T214</f>
        <v/>
      </c>
      <c r="G56" s="310">
        <f>MAX(0,E56-F56)</f>
        <v/>
      </c>
      <c r="H56" s="311">
        <f>'PORTIFÓLIO'!S214</f>
        <v/>
      </c>
      <c r="I56" s="311">
        <f>G56*H56</f>
        <v/>
      </c>
      <c r="J56" s="308">
        <f>IF(G56&gt;0,IF(H56&lt;=0,"⚠ SEM PREÇO","COMPRAR"),IF(E56&gt;0,"OK - ESTOQUE","SEM DEMANDA"))</f>
        <v/>
      </c>
    </row>
    <row r="57">
      <c r="A57" s="314">
        <f>'PORTIFÓLIO'!B193</f>
        <v/>
      </c>
      <c r="B57" s="314">
        <f>'PORTIFÓLIO'!A193</f>
        <v/>
      </c>
      <c r="C57" s="314">
        <f>'PORTIFÓLIO'!C193</f>
        <v/>
      </c>
      <c r="D57" s="315">
        <f>'PORTIFÓLIO'!F193</f>
        <v/>
      </c>
      <c r="E57" s="316">
        <f>'PORTIFÓLIO'!R193</f>
        <v/>
      </c>
      <c r="F57" s="316">
        <f>'PORTIFÓLIO'!T193</f>
        <v/>
      </c>
      <c r="G57" s="316">
        <f>MAX(0,E57-F57)</f>
        <v/>
      </c>
      <c r="H57" s="317">
        <f>'PORTIFÓLIO'!S193</f>
        <v/>
      </c>
      <c r="I57" s="317">
        <f>G57*H57</f>
        <v/>
      </c>
      <c r="J57" s="314">
        <f>IF(G57&gt;0,IF(H57&lt;=0,"⚠ SEM PREÇO","COMPRAR"),IF(E57&gt;0,"OK - ESTOQUE","SEM DEMANDA"))</f>
        <v/>
      </c>
    </row>
    <row r="58">
      <c r="A58" s="308">
        <f>'PORTIFÓLIO'!B173</f>
        <v/>
      </c>
      <c r="B58" s="308">
        <f>'PORTIFÓLIO'!A173</f>
        <v/>
      </c>
      <c r="C58" s="308">
        <f>'PORTIFÓLIO'!C173</f>
        <v/>
      </c>
      <c r="D58" s="309">
        <f>'PORTIFÓLIO'!F173</f>
        <v/>
      </c>
      <c r="E58" s="310">
        <f>'PORTIFÓLIO'!R173</f>
        <v/>
      </c>
      <c r="F58" s="310">
        <f>'PORTIFÓLIO'!T173</f>
        <v/>
      </c>
      <c r="G58" s="310">
        <f>MAX(0,E58-F58)</f>
        <v/>
      </c>
      <c r="H58" s="311">
        <f>'PORTIFÓLIO'!S173</f>
        <v/>
      </c>
      <c r="I58" s="311">
        <f>G58*H58</f>
        <v/>
      </c>
      <c r="J58" s="308">
        <f>IF(G58&gt;0,IF(H58&lt;=0,"⚠ SEM PREÇO","COMPRAR"),IF(E58&gt;0,"OK - ESTOQUE","SEM DEMANDA"))</f>
        <v/>
      </c>
    </row>
    <row r="59">
      <c r="A59" s="314">
        <f>'PORTIFÓLIO'!B215</f>
        <v/>
      </c>
      <c r="B59" s="314">
        <f>'PORTIFÓLIO'!A215</f>
        <v/>
      </c>
      <c r="C59" s="314">
        <f>'PORTIFÓLIO'!C215</f>
        <v/>
      </c>
      <c r="D59" s="315">
        <f>'PORTIFÓLIO'!F215</f>
        <v/>
      </c>
      <c r="E59" s="316">
        <f>'PORTIFÓLIO'!R215</f>
        <v/>
      </c>
      <c r="F59" s="316">
        <f>'PORTIFÓLIO'!T215</f>
        <v/>
      </c>
      <c r="G59" s="316">
        <f>MAX(0,E59-F59)</f>
        <v/>
      </c>
      <c r="H59" s="317">
        <f>'PORTIFÓLIO'!S215</f>
        <v/>
      </c>
      <c r="I59" s="317">
        <f>G59*H59</f>
        <v/>
      </c>
      <c r="J59" s="314">
        <f>IF(G59&gt;0,IF(H59&lt;=0,"⚠ SEM PREÇO","COMPRAR"),IF(E59&gt;0,"OK - ESTOQUE","SEM DEMANDA"))</f>
        <v/>
      </c>
    </row>
    <row r="60">
      <c r="A60" s="308">
        <f>'PORTIFÓLIO'!B204</f>
        <v/>
      </c>
      <c r="B60" s="308">
        <f>'PORTIFÓLIO'!A204</f>
        <v/>
      </c>
      <c r="C60" s="308">
        <f>'PORTIFÓLIO'!C204</f>
        <v/>
      </c>
      <c r="D60" s="309">
        <f>'PORTIFÓLIO'!F204</f>
        <v/>
      </c>
      <c r="E60" s="310">
        <f>'PORTIFÓLIO'!R204</f>
        <v/>
      </c>
      <c r="F60" s="310">
        <f>'PORTIFÓLIO'!T204</f>
        <v/>
      </c>
      <c r="G60" s="310">
        <f>MAX(0,E60-F60)</f>
        <v/>
      </c>
      <c r="H60" s="311">
        <f>'PORTIFÓLIO'!S204</f>
        <v/>
      </c>
      <c r="I60" s="311">
        <f>G60*H60</f>
        <v/>
      </c>
      <c r="J60" s="308">
        <f>IF(G60&gt;0,IF(H60&lt;=0,"⚠ SEM PREÇO","COMPRAR"),IF(E60&gt;0,"OK - ESTOQUE","SEM DEMANDA"))</f>
        <v/>
      </c>
    </row>
    <row r="61">
      <c r="A61" s="314">
        <f>'PORTIFÓLIO'!B238</f>
        <v/>
      </c>
      <c r="B61" s="314">
        <f>'PORTIFÓLIO'!A238</f>
        <v/>
      </c>
      <c r="C61" s="314">
        <f>'PORTIFÓLIO'!C238</f>
        <v/>
      </c>
      <c r="D61" s="315">
        <f>'PORTIFÓLIO'!F238</f>
        <v/>
      </c>
      <c r="E61" s="316">
        <f>'PORTIFÓLIO'!R238</f>
        <v/>
      </c>
      <c r="F61" s="316">
        <f>'PORTIFÓLIO'!T238</f>
        <v/>
      </c>
      <c r="G61" s="316">
        <f>MAX(0,E61-F61)</f>
        <v/>
      </c>
      <c r="H61" s="317">
        <f>'PORTIFÓLIO'!S238</f>
        <v/>
      </c>
      <c r="I61" s="317">
        <f>G61*H61</f>
        <v/>
      </c>
      <c r="J61" s="314">
        <f>IF(G61&gt;0,IF(H61&lt;=0,"⚠ SEM PREÇO","COMPRAR"),IF(E61&gt;0,"OK - ESTOQUE","SEM DEMANDA"))</f>
        <v/>
      </c>
    </row>
    <row r="62">
      <c r="A62" s="308">
        <f>'PORTIFÓLIO'!B206</f>
        <v/>
      </c>
      <c r="B62" s="308">
        <f>'PORTIFÓLIO'!A206</f>
        <v/>
      </c>
      <c r="C62" s="308">
        <f>'PORTIFÓLIO'!C206</f>
        <v/>
      </c>
      <c r="D62" s="309">
        <f>'PORTIFÓLIO'!F206</f>
        <v/>
      </c>
      <c r="E62" s="310">
        <f>'PORTIFÓLIO'!R206</f>
        <v/>
      </c>
      <c r="F62" s="310">
        <f>'PORTIFÓLIO'!T206</f>
        <v/>
      </c>
      <c r="G62" s="310">
        <f>MAX(0,E62-F62)</f>
        <v/>
      </c>
      <c r="H62" s="311">
        <f>'PORTIFÓLIO'!S206</f>
        <v/>
      </c>
      <c r="I62" s="311">
        <f>G62*H62</f>
        <v/>
      </c>
      <c r="J62" s="308">
        <f>IF(G62&gt;0,IF(H62&lt;=0,"⚠ SEM PREÇO","COMPRAR"),IF(E62&gt;0,"OK - ESTOQUE","SEM DEMANDA"))</f>
        <v/>
      </c>
    </row>
    <row r="63">
      <c r="A63" s="314">
        <f>'PORTIFÓLIO'!B240</f>
        <v/>
      </c>
      <c r="B63" s="314">
        <f>'PORTIFÓLIO'!A240</f>
        <v/>
      </c>
      <c r="C63" s="314">
        <f>'PORTIFÓLIO'!C240</f>
        <v/>
      </c>
      <c r="D63" s="315">
        <f>'PORTIFÓLIO'!F240</f>
        <v/>
      </c>
      <c r="E63" s="316">
        <f>'PORTIFÓLIO'!R240</f>
        <v/>
      </c>
      <c r="F63" s="316">
        <f>'PORTIFÓLIO'!T240</f>
        <v/>
      </c>
      <c r="G63" s="316">
        <f>MAX(0,E63-F63)</f>
        <v/>
      </c>
      <c r="H63" s="317">
        <f>'PORTIFÓLIO'!S240</f>
        <v/>
      </c>
      <c r="I63" s="317">
        <f>G63*H63</f>
        <v/>
      </c>
      <c r="J63" s="314">
        <f>IF(G63&gt;0,IF(H63&lt;=0,"⚠ SEM PREÇO","COMPRAR"),IF(E63&gt;0,"OK - ESTOQUE","SEM DEMANDA"))</f>
        <v/>
      </c>
    </row>
    <row r="64">
      <c r="A64" s="308">
        <f>'PORTIFÓLIO'!B261</f>
        <v/>
      </c>
      <c r="B64" s="308">
        <f>'PORTIFÓLIO'!A261</f>
        <v/>
      </c>
      <c r="C64" s="308">
        <f>'PORTIFÓLIO'!C261</f>
        <v/>
      </c>
      <c r="D64" s="309">
        <f>'PORTIFÓLIO'!F261</f>
        <v/>
      </c>
      <c r="E64" s="310">
        <f>'PORTIFÓLIO'!R261</f>
        <v/>
      </c>
      <c r="F64" s="310">
        <f>'PORTIFÓLIO'!T261</f>
        <v/>
      </c>
      <c r="G64" s="310">
        <f>MAX(0,E64-F64)</f>
        <v/>
      </c>
      <c r="H64" s="311">
        <f>'PORTIFÓLIO'!S261</f>
        <v/>
      </c>
      <c r="I64" s="311">
        <f>G64*H64</f>
        <v/>
      </c>
      <c r="J64" s="308">
        <f>IF(G64&gt;0,IF(H64&lt;=0,"⚠ SEM PREÇO","COMPRAR"),IF(E64&gt;0,"OK - ESTOQUE","SEM DEMANDA"))</f>
        <v/>
      </c>
    </row>
    <row r="65">
      <c r="A65" s="314">
        <f>'PORTIFÓLIO'!B255</f>
        <v/>
      </c>
      <c r="B65" s="314">
        <f>'PORTIFÓLIO'!A255</f>
        <v/>
      </c>
      <c r="C65" s="314">
        <f>'PORTIFÓLIO'!C255</f>
        <v/>
      </c>
      <c r="D65" s="315">
        <f>'PORTIFÓLIO'!F255</f>
        <v/>
      </c>
      <c r="E65" s="316">
        <f>'PORTIFÓLIO'!R255</f>
        <v/>
      </c>
      <c r="F65" s="316">
        <f>'PORTIFÓLIO'!T255</f>
        <v/>
      </c>
      <c r="G65" s="316">
        <f>MAX(0,E65-F65)</f>
        <v/>
      </c>
      <c r="H65" s="317">
        <f>'PORTIFÓLIO'!S255</f>
        <v/>
      </c>
      <c r="I65" s="317">
        <f>G65*H65</f>
        <v/>
      </c>
      <c r="J65" s="314">
        <f>IF(G65&gt;0,IF(H65&lt;=0,"⚠ SEM PREÇO","COMPRAR"),IF(E65&gt;0,"OK - ESTOQUE","SEM DEMANDA"))</f>
        <v/>
      </c>
    </row>
    <row r="66">
      <c r="A66" s="308">
        <f>'PORTIFÓLIO'!B374</f>
        <v/>
      </c>
      <c r="B66" s="308">
        <f>'PORTIFÓLIO'!A374</f>
        <v/>
      </c>
      <c r="C66" s="308">
        <f>'PORTIFÓLIO'!C374</f>
        <v/>
      </c>
      <c r="D66" s="309">
        <f>'PORTIFÓLIO'!F374</f>
        <v/>
      </c>
      <c r="E66" s="310">
        <f>'PORTIFÓLIO'!R374</f>
        <v/>
      </c>
      <c r="F66" s="310">
        <f>'PORTIFÓLIO'!T374</f>
        <v/>
      </c>
      <c r="G66" s="310">
        <f>MAX(0,E66-F66)</f>
        <v/>
      </c>
      <c r="H66" s="311">
        <f>'PORTIFÓLIO'!S374</f>
        <v/>
      </c>
      <c r="I66" s="311">
        <f>G66*H66</f>
        <v/>
      </c>
      <c r="J66" s="308">
        <f>IF(G66&gt;0,IF(H66&lt;=0,"⚠ SEM PREÇO","COMPRAR"),IF(E66&gt;0,"OK - ESTOQUE","SEM DEMANDA"))</f>
        <v/>
      </c>
    </row>
    <row r="67">
      <c r="A67" s="314">
        <f>'PORTIFÓLIO'!B346</f>
        <v/>
      </c>
      <c r="B67" s="314">
        <f>'PORTIFÓLIO'!A346</f>
        <v/>
      </c>
      <c r="C67" s="314">
        <f>'PORTIFÓLIO'!C346</f>
        <v/>
      </c>
      <c r="D67" s="315">
        <f>'PORTIFÓLIO'!F346</f>
        <v/>
      </c>
      <c r="E67" s="316">
        <f>'PORTIFÓLIO'!R346</f>
        <v/>
      </c>
      <c r="F67" s="316">
        <f>'PORTIFÓLIO'!T346</f>
        <v/>
      </c>
      <c r="G67" s="316">
        <f>MAX(0,E67-F67)</f>
        <v/>
      </c>
      <c r="H67" s="317">
        <f>'PORTIFÓLIO'!S346</f>
        <v/>
      </c>
      <c r="I67" s="317">
        <f>G67*H67</f>
        <v/>
      </c>
      <c r="J67" s="314">
        <f>IF(G67&gt;0,IF(H67&lt;=0,"⚠ SEM PREÇO","COMPRAR"),IF(E67&gt;0,"OK - ESTOQUE","SEM DEMANDA"))</f>
        <v/>
      </c>
    </row>
    <row r="68">
      <c r="A68" s="308">
        <f>'PORTIFÓLIO'!B332</f>
        <v/>
      </c>
      <c r="B68" s="308">
        <f>'PORTIFÓLIO'!A332</f>
        <v/>
      </c>
      <c r="C68" s="308">
        <f>'PORTIFÓLIO'!C332</f>
        <v/>
      </c>
      <c r="D68" s="309">
        <f>'PORTIFÓLIO'!F332</f>
        <v/>
      </c>
      <c r="E68" s="310">
        <f>'PORTIFÓLIO'!R332</f>
        <v/>
      </c>
      <c r="F68" s="310">
        <f>'PORTIFÓLIO'!T332</f>
        <v/>
      </c>
      <c r="G68" s="310">
        <f>MAX(0,E68-F68)</f>
        <v/>
      </c>
      <c r="H68" s="311">
        <f>'PORTIFÓLIO'!S332</f>
        <v/>
      </c>
      <c r="I68" s="311">
        <f>G68*H68</f>
        <v/>
      </c>
      <c r="J68" s="308">
        <f>IF(G68&gt;0,IF(H68&lt;=0,"⚠ SEM PREÇO","COMPRAR"),IF(E68&gt;0,"OK - ESTOQUE","SEM DEMANDA"))</f>
        <v/>
      </c>
    </row>
    <row r="69">
      <c r="A69" s="314">
        <f>'PORTIFÓLIO'!B333</f>
        <v/>
      </c>
      <c r="B69" s="314">
        <f>'PORTIFÓLIO'!A333</f>
        <v/>
      </c>
      <c r="C69" s="314">
        <f>'PORTIFÓLIO'!C333</f>
        <v/>
      </c>
      <c r="D69" s="315">
        <f>'PORTIFÓLIO'!F333</f>
        <v/>
      </c>
      <c r="E69" s="316">
        <f>'PORTIFÓLIO'!R333</f>
        <v/>
      </c>
      <c r="F69" s="316">
        <f>'PORTIFÓLIO'!T333</f>
        <v/>
      </c>
      <c r="G69" s="316">
        <f>MAX(0,E69-F69)</f>
        <v/>
      </c>
      <c r="H69" s="317">
        <f>'PORTIFÓLIO'!S333</f>
        <v/>
      </c>
      <c r="I69" s="317">
        <f>G69*H69</f>
        <v/>
      </c>
      <c r="J69" s="314">
        <f>IF(G69&gt;0,IF(H69&lt;=0,"⚠ SEM PREÇO","COMPRAR"),IF(E69&gt;0,"OK - ESTOQUE","SEM DEMANDA"))</f>
        <v/>
      </c>
    </row>
    <row r="70">
      <c r="A70" s="308">
        <f>'PORTIFÓLIO'!B323</f>
        <v/>
      </c>
      <c r="B70" s="308">
        <f>'PORTIFÓLIO'!A323</f>
        <v/>
      </c>
      <c r="C70" s="308">
        <f>'PORTIFÓLIO'!C323</f>
        <v/>
      </c>
      <c r="D70" s="309">
        <f>'PORTIFÓLIO'!F323</f>
        <v/>
      </c>
      <c r="E70" s="310">
        <f>'PORTIFÓLIO'!R323</f>
        <v/>
      </c>
      <c r="F70" s="310">
        <f>'PORTIFÓLIO'!T323</f>
        <v/>
      </c>
      <c r="G70" s="310">
        <f>MAX(0,E70-F70)</f>
        <v/>
      </c>
      <c r="H70" s="311">
        <f>'PORTIFÓLIO'!S323</f>
        <v/>
      </c>
      <c r="I70" s="311">
        <f>G70*H70</f>
        <v/>
      </c>
      <c r="J70" s="308">
        <f>IF(G70&gt;0,IF(H70&lt;=0,"⚠ SEM PREÇO","COMPRAR"),IF(E70&gt;0,"OK - ESTOQUE","SEM DEMANDA"))</f>
        <v/>
      </c>
    </row>
    <row r="71">
      <c r="A71" s="314">
        <f>'PORTIFÓLIO'!B321</f>
        <v/>
      </c>
      <c r="B71" s="314">
        <f>'PORTIFÓLIO'!A321</f>
        <v/>
      </c>
      <c r="C71" s="314">
        <f>'PORTIFÓLIO'!C321</f>
        <v/>
      </c>
      <c r="D71" s="315">
        <f>'PORTIFÓLIO'!F321</f>
        <v/>
      </c>
      <c r="E71" s="316">
        <f>'PORTIFÓLIO'!R321</f>
        <v/>
      </c>
      <c r="F71" s="316">
        <f>'PORTIFÓLIO'!T321</f>
        <v/>
      </c>
      <c r="G71" s="316">
        <f>MAX(0,E71-F71)</f>
        <v/>
      </c>
      <c r="H71" s="317">
        <f>'PORTIFÓLIO'!S321</f>
        <v/>
      </c>
      <c r="I71" s="317">
        <f>G71*H71</f>
        <v/>
      </c>
      <c r="J71" s="314">
        <f>IF(G71&gt;0,IF(H71&lt;=0,"⚠ SEM PREÇO","COMPRAR"),IF(E71&gt;0,"OK - ESTOQUE","SEM DEMANDA"))</f>
        <v/>
      </c>
    </row>
    <row r="72">
      <c r="A72" s="308">
        <f>'PORTIFÓLIO'!B331</f>
        <v/>
      </c>
      <c r="B72" s="308">
        <f>'PORTIFÓLIO'!A331</f>
        <v/>
      </c>
      <c r="C72" s="308">
        <f>'PORTIFÓLIO'!C331</f>
        <v/>
      </c>
      <c r="D72" s="309">
        <f>'PORTIFÓLIO'!F331</f>
        <v/>
      </c>
      <c r="E72" s="310">
        <f>'PORTIFÓLIO'!R331</f>
        <v/>
      </c>
      <c r="F72" s="310">
        <f>'PORTIFÓLIO'!T331</f>
        <v/>
      </c>
      <c r="G72" s="310">
        <f>MAX(0,E72-F72)</f>
        <v/>
      </c>
      <c r="H72" s="311">
        <f>'PORTIFÓLIO'!S331</f>
        <v/>
      </c>
      <c r="I72" s="311">
        <f>G72*H72</f>
        <v/>
      </c>
      <c r="J72" s="308">
        <f>IF(G72&gt;0,IF(H72&lt;=0,"⚠ SEM PREÇO","COMPRAR"),IF(E72&gt;0,"OK - ESTOQUE","SEM DEMANDA"))</f>
        <v/>
      </c>
    </row>
    <row r="73">
      <c r="A73" s="314">
        <f>'PORTIFÓLIO'!B328</f>
        <v/>
      </c>
      <c r="B73" s="314">
        <f>'PORTIFÓLIO'!A328</f>
        <v/>
      </c>
      <c r="C73" s="314">
        <f>'PORTIFÓLIO'!C328</f>
        <v/>
      </c>
      <c r="D73" s="315">
        <f>'PORTIFÓLIO'!F328</f>
        <v/>
      </c>
      <c r="E73" s="316">
        <f>'PORTIFÓLIO'!R328</f>
        <v/>
      </c>
      <c r="F73" s="316">
        <f>'PORTIFÓLIO'!T328</f>
        <v/>
      </c>
      <c r="G73" s="316">
        <f>MAX(0,E73-F73)</f>
        <v/>
      </c>
      <c r="H73" s="317">
        <f>'PORTIFÓLIO'!S328</f>
        <v/>
      </c>
      <c r="I73" s="317">
        <f>G73*H73</f>
        <v/>
      </c>
      <c r="J73" s="314">
        <f>IF(G73&gt;0,IF(H73&lt;=0,"⚠ SEM PREÇO","COMPRAR"),IF(E73&gt;0,"OK - ESTOQUE","SEM DEMANDA"))</f>
        <v/>
      </c>
    </row>
    <row r="74">
      <c r="A74" s="308">
        <f>'PORTIFÓLIO'!B334</f>
        <v/>
      </c>
      <c r="B74" s="308">
        <f>'PORTIFÓLIO'!A334</f>
        <v/>
      </c>
      <c r="C74" s="308">
        <f>'PORTIFÓLIO'!C334</f>
        <v/>
      </c>
      <c r="D74" s="309">
        <f>'PORTIFÓLIO'!F334</f>
        <v/>
      </c>
      <c r="E74" s="310">
        <f>'PORTIFÓLIO'!R334</f>
        <v/>
      </c>
      <c r="F74" s="310">
        <f>'PORTIFÓLIO'!T334</f>
        <v/>
      </c>
      <c r="G74" s="310">
        <f>MAX(0,E74-F74)</f>
        <v/>
      </c>
      <c r="H74" s="311">
        <f>'PORTIFÓLIO'!S334</f>
        <v/>
      </c>
      <c r="I74" s="311">
        <f>G74*H74</f>
        <v/>
      </c>
      <c r="J74" s="308">
        <f>IF(G74&gt;0,IF(H74&lt;=0,"⚠ SEM PREÇO","COMPRAR"),IF(E74&gt;0,"OK - ESTOQUE","SEM DEMANDA"))</f>
        <v/>
      </c>
    </row>
    <row r="75">
      <c r="A75" s="314">
        <f>'PORTIFÓLIO'!B349</f>
        <v/>
      </c>
      <c r="B75" s="314">
        <f>'PORTIFÓLIO'!A349</f>
        <v/>
      </c>
      <c r="C75" s="314">
        <f>'PORTIFÓLIO'!C349</f>
        <v/>
      </c>
      <c r="D75" s="315">
        <f>'PORTIFÓLIO'!F349</f>
        <v/>
      </c>
      <c r="E75" s="316">
        <f>'PORTIFÓLIO'!R349</f>
        <v/>
      </c>
      <c r="F75" s="316">
        <f>'PORTIFÓLIO'!T349</f>
        <v/>
      </c>
      <c r="G75" s="316">
        <f>MAX(0,E75-F75)</f>
        <v/>
      </c>
      <c r="H75" s="317">
        <f>'PORTIFÓLIO'!S349</f>
        <v/>
      </c>
      <c r="I75" s="317">
        <f>G75*H75</f>
        <v/>
      </c>
      <c r="J75" s="314">
        <f>IF(G75&gt;0,IF(H75&lt;=0,"⚠ SEM PREÇO","COMPRAR"),IF(E75&gt;0,"OK - ESTOQUE","SEM DEMANDA"))</f>
        <v/>
      </c>
    </row>
    <row r="76">
      <c r="A76" s="308">
        <f>'PORTIFÓLIO'!B309</f>
        <v/>
      </c>
      <c r="B76" s="308">
        <f>'PORTIFÓLIO'!A309</f>
        <v/>
      </c>
      <c r="C76" s="308">
        <f>'PORTIFÓLIO'!C309</f>
        <v/>
      </c>
      <c r="D76" s="309">
        <f>'PORTIFÓLIO'!F309</f>
        <v/>
      </c>
      <c r="E76" s="310">
        <f>'PORTIFÓLIO'!R309</f>
        <v/>
      </c>
      <c r="F76" s="310">
        <f>'PORTIFÓLIO'!T309</f>
        <v/>
      </c>
      <c r="G76" s="310">
        <f>MAX(0,E76-F76)</f>
        <v/>
      </c>
      <c r="H76" s="311">
        <f>'PORTIFÓLIO'!S309</f>
        <v/>
      </c>
      <c r="I76" s="311">
        <f>G76*H76</f>
        <v/>
      </c>
      <c r="J76" s="308">
        <f>IF(G76&gt;0,IF(H76&lt;=0,"⚠ SEM PREÇO","COMPRAR"),IF(E76&gt;0,"OK - ESTOQUE","SEM DEMANDA"))</f>
        <v/>
      </c>
    </row>
    <row r="77">
      <c r="A77" s="314">
        <f>'PORTIFÓLIO'!B335</f>
        <v/>
      </c>
      <c r="B77" s="314">
        <f>'PORTIFÓLIO'!A335</f>
        <v/>
      </c>
      <c r="C77" s="314">
        <f>'PORTIFÓLIO'!C335</f>
        <v/>
      </c>
      <c r="D77" s="315">
        <f>'PORTIFÓLIO'!F335</f>
        <v/>
      </c>
      <c r="E77" s="316">
        <f>'PORTIFÓLIO'!R335</f>
        <v/>
      </c>
      <c r="F77" s="316">
        <f>'PORTIFÓLIO'!T335</f>
        <v/>
      </c>
      <c r="G77" s="316">
        <f>MAX(0,E77-F77)</f>
        <v/>
      </c>
      <c r="H77" s="317">
        <f>'PORTIFÓLIO'!S335</f>
        <v/>
      </c>
      <c r="I77" s="317">
        <f>G77*H77</f>
        <v/>
      </c>
      <c r="J77" s="314">
        <f>IF(G77&gt;0,IF(H77&lt;=0,"⚠ SEM PREÇO","COMPRAR"),IF(E77&gt;0,"OK - ESTOQUE","SEM DEMANDA"))</f>
        <v/>
      </c>
    </row>
    <row r="78">
      <c r="A78" s="308">
        <f>'PORTIFÓLIO'!B296</f>
        <v/>
      </c>
      <c r="B78" s="308">
        <f>'PORTIFÓLIO'!A296</f>
        <v/>
      </c>
      <c r="C78" s="308">
        <f>'PORTIFÓLIO'!C296</f>
        <v/>
      </c>
      <c r="D78" s="309">
        <f>'PORTIFÓLIO'!F296</f>
        <v/>
      </c>
      <c r="E78" s="310">
        <f>'PORTIFÓLIO'!R296</f>
        <v/>
      </c>
      <c r="F78" s="310">
        <f>'PORTIFÓLIO'!T296</f>
        <v/>
      </c>
      <c r="G78" s="310">
        <f>MAX(0,E78-F78)</f>
        <v/>
      </c>
      <c r="H78" s="311">
        <f>'PORTIFÓLIO'!S296</f>
        <v/>
      </c>
      <c r="I78" s="311">
        <f>G78*H78</f>
        <v/>
      </c>
      <c r="J78" s="308">
        <f>IF(G78&gt;0,IF(H78&lt;=0,"⚠ SEM PREÇO","COMPRAR"),IF(E78&gt;0,"OK - ESTOQUE","SEM DEMANDA"))</f>
        <v/>
      </c>
    </row>
    <row r="79">
      <c r="A79" s="314">
        <f>'PORTIFÓLIO'!B304</f>
        <v/>
      </c>
      <c r="B79" s="314">
        <f>'PORTIFÓLIO'!A304</f>
        <v/>
      </c>
      <c r="C79" s="314">
        <f>'PORTIFÓLIO'!C304</f>
        <v/>
      </c>
      <c r="D79" s="315">
        <f>'PORTIFÓLIO'!F304</f>
        <v/>
      </c>
      <c r="E79" s="316">
        <f>'PORTIFÓLIO'!R304</f>
        <v/>
      </c>
      <c r="F79" s="316">
        <f>'PORTIFÓLIO'!T304</f>
        <v/>
      </c>
      <c r="G79" s="316">
        <f>MAX(0,E79-F79)</f>
        <v/>
      </c>
      <c r="H79" s="317">
        <f>'PORTIFÓLIO'!S304</f>
        <v/>
      </c>
      <c r="I79" s="317">
        <f>G79*H79</f>
        <v/>
      </c>
      <c r="J79" s="314">
        <f>IF(G79&gt;0,IF(H79&lt;=0,"⚠ SEM PREÇO","COMPRAR"),IF(E79&gt;0,"OK - ESTOQUE","SEM DEMANDA"))</f>
        <v/>
      </c>
    </row>
    <row r="80">
      <c r="A80" s="308">
        <f>'PORTIFÓLIO'!B294</f>
        <v/>
      </c>
      <c r="B80" s="308">
        <f>'PORTIFÓLIO'!A294</f>
        <v/>
      </c>
      <c r="C80" s="308">
        <f>'PORTIFÓLIO'!C294</f>
        <v/>
      </c>
      <c r="D80" s="309">
        <f>'PORTIFÓLIO'!F294</f>
        <v/>
      </c>
      <c r="E80" s="310">
        <f>'PORTIFÓLIO'!R294</f>
        <v/>
      </c>
      <c r="F80" s="310">
        <f>'PORTIFÓLIO'!T294</f>
        <v/>
      </c>
      <c r="G80" s="310">
        <f>MAX(0,E80-F80)</f>
        <v/>
      </c>
      <c r="H80" s="311">
        <f>'PORTIFÓLIO'!S294</f>
        <v/>
      </c>
      <c r="I80" s="311">
        <f>G80*H80</f>
        <v/>
      </c>
      <c r="J80" s="308">
        <f>IF(G80&gt;0,IF(H80&lt;=0,"⚠ SEM PREÇO","COMPRAR"),IF(E80&gt;0,"OK - ESTOQUE","SEM DEMANDA"))</f>
        <v/>
      </c>
    </row>
    <row r="81">
      <c r="A81" s="314">
        <f>'PORTIFÓLIO'!B56</f>
        <v/>
      </c>
      <c r="B81" s="314">
        <f>'PORTIFÓLIO'!A56</f>
        <v/>
      </c>
      <c r="C81" s="314">
        <f>'PORTIFÓLIO'!C56</f>
        <v/>
      </c>
      <c r="D81" s="315">
        <f>'PORTIFÓLIO'!F56</f>
        <v/>
      </c>
      <c r="E81" s="316">
        <f>'PORTIFÓLIO'!R56</f>
        <v/>
      </c>
      <c r="F81" s="316">
        <f>'PORTIFÓLIO'!T56</f>
        <v/>
      </c>
      <c r="G81" s="316">
        <f>MAX(0,E81-F81)</f>
        <v/>
      </c>
      <c r="H81" s="317">
        <f>'PORTIFÓLIO'!S56</f>
        <v/>
      </c>
      <c r="I81" s="317">
        <f>G81*H81</f>
        <v/>
      </c>
      <c r="J81" s="314">
        <f>IF(G81&gt;0,IF(H81&lt;=0,"⚠ SEM PREÇO","COMPRAR"),IF(E81&gt;0,"OK - ESTOQUE","SEM DEMANDA"))</f>
        <v/>
      </c>
    </row>
    <row r="82">
      <c r="A82" s="308">
        <f>'PORTIFÓLIO'!B293</f>
        <v/>
      </c>
      <c r="B82" s="308">
        <f>'PORTIFÓLIO'!A293</f>
        <v/>
      </c>
      <c r="C82" s="308">
        <f>'PORTIFÓLIO'!C293</f>
        <v/>
      </c>
      <c r="D82" s="309">
        <f>'PORTIFÓLIO'!F293</f>
        <v/>
      </c>
      <c r="E82" s="310">
        <f>'PORTIFÓLIO'!R293</f>
        <v/>
      </c>
      <c r="F82" s="310">
        <f>'PORTIFÓLIO'!T293</f>
        <v/>
      </c>
      <c r="G82" s="310">
        <f>MAX(0,E82-F82)</f>
        <v/>
      </c>
      <c r="H82" s="311">
        <f>'PORTIFÓLIO'!S293</f>
        <v/>
      </c>
      <c r="I82" s="311">
        <f>G82*H82</f>
        <v/>
      </c>
      <c r="J82" s="308">
        <f>IF(G82&gt;0,IF(H82&lt;=0,"⚠ SEM PREÇO","COMPRAR"),IF(E82&gt;0,"OK - ESTOQUE","SEM DEMANDA"))</f>
        <v/>
      </c>
    </row>
    <row r="83" ht="22" customHeight="1" s="297">
      <c r="A83" s="320" t="n"/>
      <c r="B83" s="320" t="n"/>
      <c r="C83" s="321" t="inlineStr">
        <is>
          <t>TOTAL GERAL</t>
        </is>
      </c>
      <c r="D83" s="320" t="n"/>
      <c r="E83" s="320" t="n"/>
      <c r="F83" s="320" t="n"/>
      <c r="G83" s="322">
        <f>SUM(G6:G82)</f>
        <v/>
      </c>
      <c r="H83" s="320" t="n"/>
      <c r="I83" s="323">
        <f>SUM(I6:I82)</f>
        <v/>
      </c>
      <c r="J83" s="320" t="n"/>
    </row>
  </sheetData>
  <autoFilter ref="A5:J82"/>
  <mergeCells count="3">
    <mergeCell ref="A1:J1"/>
    <mergeCell ref="L5:M5"/>
    <mergeCell ref="A2:J2"/>
  </mergeCells>
  <conditionalFormatting sqref="A6:J82">
    <cfRule type="expression" priority="1" dxfId="11">
      <formula>$J6="COMPRAR"</formula>
    </cfRule>
    <cfRule type="expression" priority="2" dxfId="12">
      <formula>$J6="⚠ SEM PREÇO"</formula>
    </cfRule>
    <cfRule type="expression" priority="3" dxfId="13">
      <formula>$J6="OK - ESTOQUE"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1"/>
  <sheetViews>
    <sheetView workbookViewId="0">
      <pane ySplit="1" topLeftCell="A2" activePane="bottomLeft" state="frozen"/>
      <selection pane="bottomLeft" activeCell="B3" sqref="B3"/>
    </sheetView>
  </sheetViews>
  <sheetFormatPr baseColWidth="8" defaultColWidth="12.63" defaultRowHeight="15" customHeight="1"/>
  <cols>
    <col width="25.13" customWidth="1" style="297" min="1" max="1"/>
    <col width="23.88" customWidth="1" style="297" min="2" max="2"/>
    <col width="23.13" customWidth="1" style="297" min="3" max="3"/>
    <col width="23" customWidth="1" style="297" min="4" max="4"/>
    <col width="22.63" customWidth="1" style="297" min="5" max="7"/>
    <col width="21.88" customWidth="1" style="297" min="8" max="8"/>
    <col width="22.5" customWidth="1" style="297" min="9" max="9"/>
    <col width="25.75" customWidth="1" style="297" min="10" max="10"/>
    <col width="37.38" customWidth="1" style="297" min="11" max="11"/>
    <col width="25.75" customWidth="1" style="297" min="12" max="12"/>
    <col width="15.75" customWidth="1" style="297" min="13" max="14"/>
  </cols>
  <sheetData>
    <row r="1" ht="22.5" customHeight="1" s="297">
      <c r="A1" s="1" t="inlineStr">
        <is>
          <t>FUNGICIDA</t>
        </is>
      </c>
      <c r="B1" s="1" t="inlineStr">
        <is>
          <t>HERBICIDA</t>
        </is>
      </c>
      <c r="C1" s="1" t="inlineStr">
        <is>
          <t>INSETICIDA</t>
        </is>
      </c>
      <c r="D1" s="1" t="inlineStr">
        <is>
          <t>TS</t>
        </is>
      </c>
      <c r="E1" s="1" t="inlineStr">
        <is>
          <t>BIOLÓGICOS</t>
        </is>
      </c>
      <c r="F1" s="1" t="inlineStr">
        <is>
          <t>SEMENTE</t>
        </is>
      </c>
      <c r="G1" s="1" t="inlineStr">
        <is>
          <t>ADJUVANTE</t>
        </is>
      </c>
      <c r="H1" s="1" t="inlineStr">
        <is>
          <t>FERTILIZANTES</t>
        </is>
      </c>
      <c r="I1" s="1" t="inlineStr">
        <is>
          <t>CORRETIVOS</t>
        </is>
      </c>
      <c r="J1" s="2" t="inlineStr">
        <is>
          <t>NUTRIÇÃO</t>
        </is>
      </c>
      <c r="K1" s="2" t="inlineStr">
        <is>
          <t>MÁQUINAS</t>
        </is>
      </c>
      <c r="L1" s="3" t="inlineStr">
        <is>
          <t>EMPEENDIMENTO</t>
        </is>
      </c>
      <c r="M1" s="1" t="inlineStr">
        <is>
          <t>ÁREAS</t>
        </is>
      </c>
      <c r="N1" s="3" t="inlineStr">
        <is>
          <t>HECTARES</t>
        </is>
      </c>
    </row>
    <row r="2" ht="22.5" customHeight="1" s="297">
      <c r="A2" s="4">
        <f>IFERROR(__xludf.DUMMYFUNCTION("UNIQUE(FILTER('PORTIFÓLIO'!C:C, 'PORTIFÓLIO'!B:B=""FUNGICIDA""))"),"ACROSS")</f>
        <v/>
      </c>
      <c r="B2" s="4">
        <f>IFERROR(__xludf.DUMMYFUNCTION("UNIQUE(FILTER('PORTIFÓLIO'!C:C, 'PORTIFÓLIO'!B:B=""HERBICIDA""))"),"AMINOL 806")</f>
        <v/>
      </c>
      <c r="C2" s="4">
        <f>IFERROR(__xludf.DUMMYFUNCTION("UNIQUE(FILTER('PORTIFÓLIO'!C:C, 'PORTIFÓLIO'!B:B=""INSETICIDA""))"),"GALIL SC")</f>
        <v/>
      </c>
      <c r="D2" s="4">
        <f>IFERROR(__xludf.DUMMYFUNCTION("UNIQUE(FILTER('PORTIFÓLIO'!C:C, 'PORTIFÓLIO'!B:B=""TS""))"),"ENDOFUSE")</f>
        <v/>
      </c>
      <c r="E2" s="4">
        <f>IFERROR(__xludf.DUMMYFUNCTION("UNIQUE(FILTER('PORTIFÓLIO'!C:C, 'PORTIFÓLIO'!B:B=""biológicos""))"),"UTRISHA N")</f>
        <v/>
      </c>
      <c r="F2" s="4">
        <f>IFERROR(__xludf.DUMMYFUNCTION("UNIQUE(FILTER('PORTIFÓLIO'!C:C, 'PORTIFÓLIO'!B:B=""SEMENTE""))"),"FEIJÃO")</f>
        <v/>
      </c>
      <c r="G2" s="4">
        <f>IFERROR(__xludf.DUMMYFUNCTION("UNIQUE(FILTER('PORTIFÓLIO'!C:C, 'PORTIFÓLIO'!B:B=""ADJUVANTE""))"),"RUMBA")</f>
        <v/>
      </c>
      <c r="H2" s="4">
        <f>IFERROR(__xludf.DUMMYFUNCTION("UNIQUE(FILTER('PORTIFÓLIO'!C:C, 'PORTIFÓLIO'!B:B=""fertilizantes""))"),"I-ACTIVE")</f>
        <v/>
      </c>
      <c r="I2" s="4">
        <f>IFERROR(__xludf.DUMMYFUNCTION("UNIQUE(FILTER('PORTIFÓLIO'!C:C, 'PORTIFÓLIO'!B:B=""corretivos""))"),"CALCÁRIO DOLOMITICO")</f>
        <v/>
      </c>
      <c r="J2" s="4">
        <f>IFERROR(__xludf.DUMMYFUNCTION("UNIQUE(FILTER('PORTIFÓLIO'!C:C, 'PORTIFÓLIO'!B:B=""NUTRIÇÃO""))"),"RADIFARM")</f>
        <v/>
      </c>
      <c r="K2" s="4">
        <f>IFERROR(__xludf.DUMMYFUNCTION("UNIQUE(FILTER('PORTIFÓLIO'!C:C, 'PORTIFÓLIO'!B:B=""MÁQUINAS""))"),"CASE STEIGER 420 + HORSCH MAESTRO DUO 36.50")</f>
        <v/>
      </c>
      <c r="L2" s="4" t="inlineStr">
        <is>
          <t>FA-SOJA SEQUEIRO-26/27</t>
        </is>
      </c>
      <c r="M2" s="5" t="inlineStr">
        <is>
          <t>ÁREA 1</t>
        </is>
      </c>
      <c r="N2" s="4" t="n">
        <v>273</v>
      </c>
    </row>
    <row r="3" ht="22.5" customHeight="1" s="297">
      <c r="A3" s="4">
        <f>IFERROR(__xludf.DUMMYFUNCTION("""COMPUTED_VALUE"""),"AZIMUT")</f>
        <v/>
      </c>
      <c r="B3" s="4">
        <f>IFERROR(__xludf.DUMMYFUNCTION("""COMPUTED_VALUE"""),"APRESA")</f>
        <v/>
      </c>
      <c r="C3" s="4">
        <f>IFERROR(__xludf.DUMMYFUNCTION("""COMPUTED_VALUE"""),"MAGNUM")</f>
        <v/>
      </c>
      <c r="D3" s="4">
        <f>IFERROR(__xludf.DUMMYFUNCTION("""COMPUTED_VALUE"""),"ENDOMAXX")</f>
        <v/>
      </c>
      <c r="E3" s="4">
        <f>IFERROR(__xludf.DUMMYFUNCTION("""COMPUTED_VALUE"""),"PRESENCE FULL")</f>
        <v/>
      </c>
      <c r="F3" s="4">
        <f>IFERROR(__xludf.DUMMYFUNCTION("""COMPUTED_VALUE"""),"SEMENTE TRIGO")</f>
        <v/>
      </c>
      <c r="G3" s="4">
        <f>IFERROR(__xludf.DUMMYFUNCTION("""COMPUTED_VALUE"""),"ASSIST")</f>
        <v/>
      </c>
      <c r="H3" s="4">
        <f>IFERROR(__xludf.DUMMYFUNCTION("""COMPUTED_VALUE"""),"MAP")</f>
        <v/>
      </c>
      <c r="I3" s="4">
        <f>IFERROR(__xludf.DUMMYFUNCTION("""COMPUTED_VALUE"""),"GESSO AGRICOLA")</f>
        <v/>
      </c>
      <c r="J3" s="4">
        <f>IFERROR(__xludf.DUMMYFUNCTION("""COMPUTED_VALUE"""),"MEGAFOL")</f>
        <v/>
      </c>
      <c r="K3" s="4">
        <f>IFERROR(__xludf.DUMMYFUNCTION("""COMPUTED_VALUE"""),"CASE MAGNUM 340 + - CASE ASM 1213")</f>
        <v/>
      </c>
      <c r="L3" s="4" t="inlineStr">
        <is>
          <t>FA-SOJA-IRRIGADO-26/27</t>
        </is>
      </c>
      <c r="M3" s="5" t="inlineStr">
        <is>
          <t>ESTEVÃO</t>
        </is>
      </c>
      <c r="N3" s="4" t="n">
        <v>103</v>
      </c>
    </row>
    <row r="4" ht="22.5" customHeight="1" s="297">
      <c r="A4" s="4">
        <f>IFERROR(__xludf.DUMMYFUNCTION("""COMPUTED_VALUE"""),"BLINDADO TOV")</f>
        <v/>
      </c>
      <c r="B4" s="4">
        <f>IFERROR(__xludf.DUMMYFUNCTION("""COMPUTED_VALUE"""),"ARADDO")</f>
        <v/>
      </c>
      <c r="C4" s="4">
        <f>IFERROR(__xludf.DUMMYFUNCTION("""COMPUTED_VALUE"""),"PLETHORA BR")</f>
        <v/>
      </c>
      <c r="D4" s="4">
        <f>IFERROR(__xludf.DUMMYFUNCTION("""COMPUTED_VALUE"""),"RIZOLIQ LLI")</f>
        <v/>
      </c>
      <c r="E4" s="4">
        <f>IFERROR(__xludf.DUMMYFUNCTION("""COMPUTED_VALUE"""),"Now Lock")</f>
        <v/>
      </c>
      <c r="F4" s="4">
        <f>IFERROR(__xludf.DUMMYFUNCTION("""COMPUTED_VALUE"""),"SEMENTE MILHO")</f>
        <v/>
      </c>
      <c r="G4" s="4">
        <f>IFERROR(__xludf.DUMMYFUNCTION("""COMPUTED_VALUE"""),"MEES")</f>
        <v/>
      </c>
      <c r="H4" s="4">
        <f>IFERROR(__xludf.DUMMYFUNCTION("""COMPUTED_VALUE"""),"KCL 60%")</f>
        <v/>
      </c>
      <c r="I4" s="20" t="n"/>
      <c r="J4" s="4">
        <f>IFERROR(__xludf.DUMMYFUNCTION("""COMPUTED_VALUE"""),"OCTABORATO")</f>
        <v/>
      </c>
      <c r="K4" s="4">
        <f>IFERROR(__xludf.DUMMYFUNCTION("""COMPUTED_VALUE"""),"CR 8.90 NEW HOLLAND + 880 CF45")</f>
        <v/>
      </c>
      <c r="L4" s="4" t="inlineStr">
        <is>
          <t>FA-MILHO SEQUEIRO-26/27</t>
        </is>
      </c>
      <c r="M4" s="5" t="inlineStr">
        <is>
          <t>ÁREA 2</t>
        </is>
      </c>
      <c r="N4" s="4" t="n">
        <v>110</v>
      </c>
    </row>
    <row r="5" ht="22.5" customHeight="1" s="297">
      <c r="A5" s="4">
        <f>IFERROR(__xludf.DUMMYFUNCTION("""COMPUTED_VALUE"""),"ABACUS HC")</f>
        <v/>
      </c>
      <c r="B5" s="4">
        <f>IFERROR(__xludf.DUMMYFUNCTION("""COMPUTED_VALUE"""),"CHEVAL")</f>
        <v/>
      </c>
      <c r="C5" s="4">
        <f>IFERROR(__xludf.DUMMYFUNCTION("""COMPUTED_VALUE"""),"RIMON SUPRA")</f>
        <v/>
      </c>
      <c r="D5" s="4">
        <f>IFERROR(__xludf.DUMMYFUNCTION("""COMPUTED_VALUE"""),"PROVILAR")</f>
        <v/>
      </c>
      <c r="E5" s="4">
        <f>IFERROR(__xludf.DUMMYFUNCTION("""COMPUTED_VALUE"""),"Now Guard")</f>
        <v/>
      </c>
      <c r="F5" s="4">
        <f>IFERROR(__xludf.DUMMYFUNCTION("""COMPUTED_VALUE"""),"MG540PWU")</f>
        <v/>
      </c>
      <c r="G5" s="4">
        <f>IFERROR(__xludf.DUMMYFUNCTION("""COMPUTED_VALUE"""),"AUREO")</f>
        <v/>
      </c>
      <c r="H5" s="4">
        <f>IFERROR(__xludf.DUMMYFUNCTION("""COMPUTED_VALUE"""),"05-37-00")</f>
        <v/>
      </c>
      <c r="I5" s="20" t="n"/>
      <c r="J5" s="4">
        <f>IFERROR(__xludf.DUMMYFUNCTION("""COMPUTED_VALUE"""),"BOP")</f>
        <v/>
      </c>
      <c r="K5" s="4">
        <f>IFERROR(__xludf.DUMMYFUNCTION("""COMPUTED_VALUE"""),"COLHETADEIRA - NH-CR9060 + 740 CF30 AGRIDREPER")</f>
        <v/>
      </c>
      <c r="L5" s="4" t="inlineStr">
        <is>
          <t>FA-SORGO SEQUEIRO-27/27</t>
        </is>
      </c>
      <c r="M5" s="5" t="inlineStr">
        <is>
          <t>ÁREA 2 B</t>
        </is>
      </c>
      <c r="N5" s="4" t="n">
        <v>47</v>
      </c>
    </row>
    <row r="6" ht="22.5" customHeight="1" s="297">
      <c r="A6" s="4">
        <f>IFERROR(__xludf.DUMMYFUNCTION("""COMPUTED_VALUE"""),"BELYAN")</f>
        <v/>
      </c>
      <c r="B6" s="4">
        <f>IFERROR(__xludf.DUMMYFUNCTION("""COMPUTED_VALUE"""),"POQUER")</f>
        <v/>
      </c>
      <c r="C6" s="4">
        <f>IFERROR(__xludf.DUMMYFUNCTION("""COMPUTED_VALUE"""),"SQUAD")</f>
        <v/>
      </c>
      <c r="D6" s="4">
        <f>IFERROR(__xludf.DUMMYFUNCTION("""COMPUTED_VALUE"""),"REVERB")</f>
        <v/>
      </c>
      <c r="E6" s="4">
        <f>IFERROR(__xludf.DUMMYFUNCTION("""COMPUTED_VALUE"""),"Now Force")</f>
        <v/>
      </c>
      <c r="F6" s="4">
        <f>IFERROR(__xludf.DUMMYFUNCTION("""COMPUTED_VALUE"""),"MG711PWU")</f>
        <v/>
      </c>
      <c r="G6" s="4">
        <f>IFERROR(__xludf.DUMMYFUNCTION("""COMPUTED_VALUE"""),"JOINT ULTRA")</f>
        <v/>
      </c>
      <c r="H6" s="4">
        <f>IFERROR(__xludf.DUMMYFUNCTION("""COMPUTED_VALUE"""),"10-46-00 + S")</f>
        <v/>
      </c>
      <c r="I6" s="20" t="n"/>
      <c r="J6" s="4">
        <f>IFERROR(__xludf.DUMMYFUNCTION("""COMPUTED_VALUE"""),"METAL NUTRE")</f>
        <v/>
      </c>
      <c r="K6" s="4">
        <f>IFERROR(__xludf.DUMMYFUNCTION("""COMPUTED_VALUE"""),"COLHETADEIRA CR7.80 + MACDON 35F")</f>
        <v/>
      </c>
      <c r="L6" s="4" t="inlineStr">
        <is>
          <t>FA-MILHO SEMENTE-27/27</t>
        </is>
      </c>
      <c r="M6" s="5" t="inlineStr">
        <is>
          <t>ÁREA 3</t>
        </is>
      </c>
      <c r="N6" s="4" t="n">
        <v>60</v>
      </c>
    </row>
    <row r="7" ht="22.5" customHeight="1" s="297">
      <c r="A7" s="4">
        <f>IFERROR(__xludf.DUMMYFUNCTION("""COMPUTED_VALUE"""),"BLAVITY")</f>
        <v/>
      </c>
      <c r="B7" s="4">
        <f>IFERROR(__xludf.DUMMYFUNCTION("""COMPUTED_VALUE"""),"PREMERLIN 600 EC")</f>
        <v/>
      </c>
      <c r="C7" s="4">
        <f>IFERROR(__xludf.DUMMYFUNCTION("""COMPUTED_VALUE"""),"TRIVOR")</f>
        <v/>
      </c>
      <c r="D7" s="4">
        <f>IFERROR(__xludf.DUMMYFUNCTION("""COMPUTED_VALUE"""),"ARVATICO")</f>
        <v/>
      </c>
      <c r="E7" s="4">
        <f>IFERROR(__xludf.DUMMYFUNCTION("""COMPUTED_VALUE"""),"Now Raze")</f>
        <v/>
      </c>
      <c r="F7" s="4">
        <f>IFERROR(__xludf.DUMMYFUNCTION("""COMPUTED_VALUE"""),"MG616PWU")</f>
        <v/>
      </c>
      <c r="G7" s="4">
        <f>IFERROR(__xludf.DUMMYFUNCTION("""COMPUTED_VALUE"""),"ADGREEN")</f>
        <v/>
      </c>
      <c r="H7" s="4">
        <f>IFERROR(__xludf.DUMMYFUNCTION("""COMPUTED_VALUE"""),"08-42-00")</f>
        <v/>
      </c>
      <c r="I7" s="20" t="n"/>
      <c r="J7" s="4">
        <f>IFERROR(__xludf.DUMMYFUNCTION("""COMPUTED_VALUE"""),"MONIC")</f>
        <v/>
      </c>
      <c r="K7" s="4">
        <f>IFERROR(__xludf.DUMMYFUNCTION("""COMPUTED_VALUE"""),"TRATOR-JD 7500 + BRUTUS 12000")</f>
        <v/>
      </c>
      <c r="L7" s="4" t="inlineStr">
        <is>
          <t>FE-SOJA IRRIGADO-26/27</t>
        </is>
      </c>
      <c r="M7" s="5" t="inlineStr">
        <is>
          <t>CAPOEIRINHA</t>
        </is>
      </c>
      <c r="N7" s="4" t="n">
        <v>312</v>
      </c>
    </row>
    <row r="8" ht="22.5" customHeight="1" s="297">
      <c r="A8" s="4">
        <f>IFERROR(__xludf.DUMMYFUNCTION("""COMPUTED_VALUE"""),"CANTUS")</f>
        <v/>
      </c>
      <c r="B8" s="4">
        <f>IFERROR(__xludf.DUMMYFUNCTION("""COMPUTED_VALUE"""),"AMPLO")</f>
        <v/>
      </c>
      <c r="C8" s="4">
        <f>IFERROR(__xludf.DUMMYFUNCTION("""COMPUTED_VALUE"""),"EFFICON")</f>
        <v/>
      </c>
      <c r="D8" s="4">
        <f>IFERROR(__xludf.DUMMYFUNCTION("""COMPUTED_VALUE"""),"VERANGO PRIME")</f>
        <v/>
      </c>
      <c r="E8" s="4">
        <f>IFERROR(__xludf.DUMMYFUNCTION("""COMPUTED_VALUE"""),"Now Bolt")</f>
        <v/>
      </c>
      <c r="F8" s="4">
        <f>IFERROR(__xludf.DUMMYFUNCTION("""COMPUTED_VALUE"""),"P3707PWU")</f>
        <v/>
      </c>
      <c r="G8" s="4">
        <f>IFERROR(__xludf.DUMMYFUNCTION("""COMPUTED_VALUE"""),"ENERGIC")</f>
        <v/>
      </c>
      <c r="H8" s="4">
        <f>IFERROR(__xludf.DUMMYFUNCTION("""COMPUTED_VALUE"""),"SSP 21")</f>
        <v/>
      </c>
      <c r="I8" s="20" t="n"/>
      <c r="J8" s="4">
        <f>IFERROR(__xludf.DUMMYFUNCTION("""COMPUTED_VALUE"""),"AP MAGNÉSIO")</f>
        <v/>
      </c>
      <c r="K8" s="4">
        <f>IFERROR(__xludf.DUMMYFUNCTION("""COMPUTED_VALUE"""),"TRATOR-JD 7500 + ADUBADORA HERCULES 10000")</f>
        <v/>
      </c>
      <c r="L8" s="4" t="inlineStr">
        <is>
          <t>FE-BRACHIARIA-26/27</t>
        </is>
      </c>
      <c r="M8" s="5" t="inlineStr">
        <is>
          <t>RONCADOR</t>
        </is>
      </c>
      <c r="N8" s="4" t="n">
        <v>313</v>
      </c>
    </row>
    <row r="9" ht="22.5" customHeight="1" s="297">
      <c r="A9" s="4">
        <f>IFERROR(__xludf.DUMMYFUNCTION("""COMPUTED_VALUE"""),"KEYRA")</f>
        <v/>
      </c>
      <c r="B9" s="4">
        <f>IFERROR(__xludf.DUMMYFUNCTION("""COMPUTED_VALUE"""),"BASAGRAN 600")</f>
        <v/>
      </c>
      <c r="C9" s="4">
        <f>IFERROR(__xludf.DUMMYFUNCTION("""COMPUTED_VALUE"""),"NOMOLT 150")</f>
        <v/>
      </c>
      <c r="D9" s="4">
        <f>IFERROR(__xludf.DUMMYFUNCTION("""COMPUTED_VALUE"""),"FIPRONIL NORTOX MAX")</f>
        <v/>
      </c>
      <c r="E9" s="4">
        <f>IFERROR(__xludf.DUMMYFUNCTION("""COMPUTED_VALUE"""),"Now Active")</f>
        <v/>
      </c>
      <c r="F9" s="4">
        <f>IFERROR(__xludf.DUMMYFUNCTION("""COMPUTED_VALUE"""),"P39209PWU")</f>
        <v/>
      </c>
      <c r="G9" s="4">
        <f>IFERROR(__xludf.DUMMYFUNCTION("""COMPUTED_VALUE"""),"EXTRAVON")</f>
        <v/>
      </c>
      <c r="H9" s="4">
        <f>IFERROR(__xludf.DUMMYFUNCTION("""COMPUTED_VALUE"""),"03-15-07 +14%CO")</f>
        <v/>
      </c>
      <c r="I9" s="20" t="n"/>
      <c r="J9" s="4">
        <f>IFERROR(__xludf.DUMMYFUNCTION("""COMPUTED_VALUE"""),"GRANO KMG")</f>
        <v/>
      </c>
      <c r="K9" s="4">
        <f>IFERROR(__xludf.DUMMYFUNCTION("""COMPUTED_VALUE"""),"VOLVO NH380 + CAÇAMBA 430SC")</f>
        <v/>
      </c>
      <c r="L9" s="4" t="inlineStr">
        <is>
          <t>FE-SOJA SEQUEIRO-26/27</t>
        </is>
      </c>
      <c r="M9" s="5" t="inlineStr">
        <is>
          <t>RONCADOR 2</t>
        </is>
      </c>
      <c r="N9" s="4" t="n">
        <v>0</v>
      </c>
    </row>
    <row r="10" ht="22.5" customHeight="1" s="297">
      <c r="A10" s="4">
        <f>IFERROR(__xludf.DUMMYFUNCTION("""COMPUTED_VALUE"""),"MELYRA")</f>
        <v/>
      </c>
      <c r="B10" s="4">
        <f>IFERROR(__xludf.DUMMYFUNCTION("""COMPUTED_VALUE"""),"FINALE")</f>
        <v/>
      </c>
      <c r="C10" s="4">
        <f>IFERROR(__xludf.DUMMYFUNCTION("""COMPUTED_VALUE"""),"PIRATE")</f>
        <v/>
      </c>
      <c r="D10" s="4">
        <f>IFERROR(__xludf.DUMMYFUNCTION("""COMPUTED_VALUE"""),"MAXIM ADVANCED")</f>
        <v/>
      </c>
      <c r="E10" s="4">
        <f>IFERROR(__xludf.DUMMYFUNCTION("""COMPUTED_VALUE"""),"Now React")</f>
        <v/>
      </c>
      <c r="F10" s="4">
        <f>IFERROR(__xludf.DUMMYFUNCTION("""COMPUTED_VALUE"""),"P40537PWU")</f>
        <v/>
      </c>
      <c r="G10" s="4">
        <f>IFERROR(__xludf.DUMMYFUNCTION("""COMPUTED_VALUE"""),"OCHIMA")</f>
        <v/>
      </c>
      <c r="H10" s="4">
        <f>IFERROR(__xludf.DUMMYFUNCTION("""COMPUTED_VALUE"""),"URÉIA")</f>
        <v/>
      </c>
      <c r="I10" s="20" t="n"/>
      <c r="J10" s="4">
        <f>IFERROR(__xludf.DUMMYFUNCTION("""COMPUTED_VALUE"""),"AP MANGANÊS")</f>
        <v/>
      </c>
      <c r="K10" s="4">
        <f>IFERROR(__xludf.DUMMYFUNCTION("""COMPUTED_VALUE"""),"CASE MAGNUM 340 + SUBSOLADOR 11 ASTES")</f>
        <v/>
      </c>
      <c r="L10" s="4" t="inlineStr">
        <is>
          <t>FE-SORGO IRRIGADO-26/27</t>
        </is>
      </c>
      <c r="M10" s="4" t="inlineStr">
        <is>
          <t>P200</t>
        </is>
      </c>
      <c r="N10" s="4" t="n">
        <v>200</v>
      </c>
    </row>
    <row r="11" ht="22.5" customHeight="1" s="297">
      <c r="A11" s="4">
        <f>IFERROR(__xludf.DUMMYFUNCTION("""COMPUTED_VALUE"""),"ORKESTRA SC")</f>
        <v/>
      </c>
      <c r="B11" s="4">
        <f>IFERROR(__xludf.DUMMYFUNCTION("""COMPUTED_VALUE"""),"HEAT")</f>
        <v/>
      </c>
      <c r="C11" s="4">
        <f>IFERROR(__xludf.DUMMYFUNCTION("""COMPUTED_VALUE"""),"BELT")</f>
        <v/>
      </c>
      <c r="D11" s="4">
        <f>IFERROR(__xludf.DUMMYFUNCTION("""COMPUTED_VALUE"""),"MAXIM XL")</f>
        <v/>
      </c>
      <c r="E11" s="4">
        <f>IFERROR(__xludf.DUMMYFUNCTION("""COMPUTED_VALUE"""),"Now Cover")</f>
        <v/>
      </c>
      <c r="F11" s="4">
        <f>IFERROR(__xludf.DUMMYFUNCTION("""COMPUTED_VALUE"""),"FS650PWU")</f>
        <v/>
      </c>
      <c r="G11" s="20" t="n"/>
      <c r="H11" s="4">
        <f>IFERROR(__xludf.DUMMYFUNCTION("""COMPUTED_VALUE"""),"SULFATO DE AMÔNIO")</f>
        <v/>
      </c>
      <c r="I11" s="20" t="n"/>
      <c r="J11" s="4">
        <f>IFERROR(__xludf.DUMMYFUNCTION("""COMPUTED_VALUE"""),"AMINOS Mn")</f>
        <v/>
      </c>
      <c r="K11" s="4">
        <f>IFERROR(__xludf.DUMMYFUNCTION("""COMPUTED_VALUE"""),"PULVERIZADOR- JD4730 + PULVERIZADOR- JD4730")</f>
        <v/>
      </c>
      <c r="L11" s="4" t="inlineStr">
        <is>
          <t>FE-SORGO SEQUEIRO-26/27</t>
        </is>
      </c>
      <c r="M11" s="4" t="inlineStr">
        <is>
          <t>P120</t>
        </is>
      </c>
      <c r="N11" s="4" t="n">
        <v>120</v>
      </c>
    </row>
    <row r="12" ht="22.5" customHeight="1" s="297">
      <c r="A12" s="4">
        <f>IFERROR(__xludf.DUMMYFUNCTION("""COMPUTED_VALUE"""),"SPOT SC")</f>
        <v/>
      </c>
      <c r="B12" s="4">
        <f>IFERROR(__xludf.DUMMYFUNCTION("""COMPUTED_VALUE"""),"LIBERTY")</f>
        <v/>
      </c>
      <c r="C12" s="4">
        <f>IFERROR(__xludf.DUMMYFUNCTION("""COMPUTED_VALUE"""),"BULLDOCK 125 SC")</f>
        <v/>
      </c>
      <c r="D12" s="4">
        <f>IFERROR(__xludf.DUMMYFUNCTION("""COMPUTED_VALUE"""),"VICTRATO")</f>
        <v/>
      </c>
      <c r="E12" s="4">
        <f>IFERROR(__xludf.DUMMYFUNCTION("""COMPUTED_VALUE"""),"Now Pulse")</f>
        <v/>
      </c>
      <c r="F12" s="4">
        <f>IFERROR(__xludf.DUMMYFUNCTION("""COMPUTED_VALUE"""),"SEMENTE SOJA CV")</f>
        <v/>
      </c>
      <c r="G12" s="20" t="n"/>
      <c r="H12" s="4">
        <f>IFERROR(__xludf.DUMMYFUNCTION("""COMPUTED_VALUE"""),"BOROGRAN")</f>
        <v/>
      </c>
      <c r="I12" s="20" t="n"/>
      <c r="J12" s="4">
        <f>IFERROR(__xludf.DUMMYFUNCTION("""COMPUTED_VALUE"""),"MICROBOX")</f>
        <v/>
      </c>
      <c r="K12" s="4">
        <f>IFERROR(__xludf.DUMMYFUNCTION("""COMPUTED_VALUE"""),"AIR TRATOR AT-502B + AIR TRATOR AT-502B")</f>
        <v/>
      </c>
      <c r="L12" s="20" t="n"/>
      <c r="M12" s="4" t="inlineStr">
        <is>
          <t>BARRO BRANCO</t>
        </is>
      </c>
      <c r="N12" s="4" t="n">
        <v>220</v>
      </c>
    </row>
    <row r="13" ht="22.5" customHeight="1" s="297">
      <c r="A13" s="4">
        <f>IFERROR(__xludf.DUMMYFUNCTION("""COMPUTED_VALUE"""),"ATTILA")</f>
        <v/>
      </c>
      <c r="B13" s="4">
        <f>IFERROR(__xludf.DUMMYFUNCTION("""COMPUTED_VALUE"""),"PROWL H2O")</f>
        <v/>
      </c>
      <c r="C13" s="4">
        <f>IFERROR(__xludf.DUMMYFUNCTION("""COMPUTED_VALUE"""),"CERTERO")</f>
        <v/>
      </c>
      <c r="D13" s="4">
        <f>IFERROR(__xludf.DUMMYFUNCTION("""COMPUTED_VALUE"""),"SPECTRO")</f>
        <v/>
      </c>
      <c r="E13" s="4">
        <f>IFERROR(__xludf.DUMMYFUNCTION("""COMPUTED_VALUE"""),"Now Sprint")</f>
        <v/>
      </c>
      <c r="F13" s="4">
        <f>IFERROR(__xludf.DUMMYFUNCTION("""COMPUTED_VALUE"""),"OLIMPO")</f>
        <v/>
      </c>
      <c r="G13" s="20" t="n"/>
      <c r="H13" s="4">
        <f>IFERROR(__xludf.DUMMYFUNCTION("""COMPUTED_VALUE"""),"SUPER DUO")</f>
        <v/>
      </c>
      <c r="I13" s="20" t="n"/>
      <c r="J13" s="4">
        <f>IFERROR(__xludf.DUMMYFUNCTION("""COMPUTED_VALUE"""),"ACRESECENT ALGA")</f>
        <v/>
      </c>
      <c r="K13" s="4">
        <f>IFERROR(__xludf.DUMMYFUNCTION("""COMPUTED_VALUE"""),"COLHETADEIRA - NH-CR9060 + MILHO BRAVA 11")</f>
        <v/>
      </c>
      <c r="L13" s="20" t="n"/>
      <c r="M13" s="5" t="inlineStr">
        <is>
          <t>P 01</t>
        </is>
      </c>
      <c r="N13" s="4" t="n">
        <v>60</v>
      </c>
    </row>
    <row r="14" ht="22.5" customHeight="1" s="297">
      <c r="A14" s="4">
        <f>IFERROR(__xludf.DUMMYFUNCTION("""COMPUTED_VALUE"""),"FOX SUPRA")</f>
        <v/>
      </c>
      <c r="B14" s="4">
        <f>IFERROR(__xludf.DUMMYFUNCTION("""COMPUTED_VALUE"""),"ADENGO")</f>
        <v/>
      </c>
      <c r="C14" s="4">
        <f>IFERROR(__xludf.DUMMYFUNCTION("""COMPUTED_VALUE"""),"CONNECT")</f>
        <v/>
      </c>
      <c r="D14" s="4">
        <f>IFERROR(__xludf.DUMMYFUNCTION("""COMPUTED_VALUE"""),"STANDAK TOP")</f>
        <v/>
      </c>
      <c r="E14" s="4">
        <f>IFERROR(__xludf.DUMMYFUNCTION("""COMPUTED_VALUE"""),"Bio Az")</f>
        <v/>
      </c>
      <c r="F14" s="4">
        <f>IFERROR(__xludf.DUMMYFUNCTION("""COMPUTED_VALUE"""),"M8349")</f>
        <v/>
      </c>
      <c r="G14" s="20" t="n"/>
      <c r="H14" s="4">
        <f>IFERROR(__xludf.DUMMYFUNCTION("""COMPUTED_VALUE"""),"08-40-00 - 100M")</f>
        <v/>
      </c>
      <c r="I14" s="20" t="n"/>
      <c r="J14" s="4">
        <f>IFERROR(__xludf.DUMMYFUNCTION("""COMPUTED_VALUE"""),"RAIZ F")</f>
        <v/>
      </c>
      <c r="K14" s="4">
        <f>IFERROR(__xludf.DUMMYFUNCTION("""COMPUTED_VALUE"""),"NH T7.260 + JAN 20000")</f>
        <v/>
      </c>
      <c r="L14" s="20" t="n"/>
      <c r="M14" s="5" t="inlineStr">
        <is>
          <t>P 02</t>
        </is>
      </c>
      <c r="N14" s="4" t="n">
        <v>80</v>
      </c>
    </row>
    <row r="15" ht="22.5" customHeight="1" s="297">
      <c r="A15" s="4">
        <f>IFERROR(__xludf.DUMMYFUNCTION("""COMPUTED_VALUE"""),"FOX XPRO")</f>
        <v/>
      </c>
      <c r="B15" s="4">
        <f>IFERROR(__xludf.DUMMYFUNCTION("""COMPUTED_VALUE"""),"ROUNDUP WG")</f>
        <v/>
      </c>
      <c r="C15" s="4">
        <f>IFERROR(__xludf.DUMMYFUNCTION("""COMPUTED_VALUE"""),"CURBIX 200 SC")</f>
        <v/>
      </c>
      <c r="D15" s="4">
        <f>IFERROR(__xludf.DUMMYFUNCTION("""COMPUTED_VALUE"""),"CRUISER ADVANCED")</f>
        <v/>
      </c>
      <c r="E15" s="4">
        <f>IFERROR(__xludf.DUMMYFUNCTION("""COMPUTED_VALUE"""),"Bio ND")</f>
        <v/>
      </c>
      <c r="F15" s="4">
        <f>IFERROR(__xludf.DUMMYFUNCTION("""COMPUTED_VALUE"""),"CORDIUS C2795 CE")</f>
        <v/>
      </c>
      <c r="G15" s="20" t="n"/>
      <c r="H15" s="4">
        <f>IFERROR(__xludf.DUMMYFUNCTION("""COMPUTED_VALUE"""),"AURUS 500")</f>
        <v/>
      </c>
      <c r="I15" s="20" t="n"/>
      <c r="J15" s="4">
        <f>IFERROR(__xludf.DUMMYFUNCTION("""COMPUTED_VALUE"""),"ACRESCENTE SOLUS F")</f>
        <v/>
      </c>
      <c r="K15" s="4">
        <f>IFERROR(__xludf.DUMMYFUNCTION("""COMPUTED_VALUE"""),"NH T8.355 + - JD2122")</f>
        <v/>
      </c>
      <c r="L15" s="20" t="n"/>
      <c r="M15" s="5" t="inlineStr">
        <is>
          <t>P 03</t>
        </is>
      </c>
      <c r="N15" s="4" t="n">
        <v>120</v>
      </c>
    </row>
    <row r="16" ht="22.5" customHeight="1" s="297">
      <c r="A16" s="4">
        <f>IFERROR(__xludf.DUMMYFUNCTION("""COMPUTED_VALUE"""),"NATIVO")</f>
        <v/>
      </c>
      <c r="B16" s="4">
        <f>IFERROR(__xludf.DUMMYFUNCTION("""COMPUTED_VALUE"""),"SOBERAN")</f>
        <v/>
      </c>
      <c r="C16" s="4">
        <f>IFERROR(__xludf.DUMMYFUNCTION("""COMPUTED_VALUE"""),"OBERON")</f>
        <v/>
      </c>
      <c r="D16" s="4">
        <f>IFERROR(__xludf.DUMMYFUNCTION("""COMPUTED_VALUE"""),"PLUST")</f>
        <v/>
      </c>
      <c r="E16" s="4">
        <f>IFERROR(__xludf.DUMMYFUNCTION("""COMPUTED_VALUE"""),"Tec Catp Pro")</f>
        <v/>
      </c>
      <c r="F16" s="4">
        <f>IFERROR(__xludf.DUMMYFUNCTION("""COMPUTED_VALUE"""),"HERA I2X")</f>
        <v/>
      </c>
      <c r="G16" s="20" t="n"/>
      <c r="H16" s="4">
        <f>IFERROR(__xludf.DUMMYFUNCTION("""COMPUTED_VALUE"""),"00-01-00+Cu2 Mn8 Zn7 ")</f>
        <v/>
      </c>
      <c r="I16" s="20" t="n"/>
      <c r="J16" s="4">
        <f>IFERROR(__xludf.DUMMYFUNCTION("""COMPUTED_VALUE"""),"SALUT")</f>
        <v/>
      </c>
      <c r="K16" s="4">
        <f>IFERROR(__xludf.DUMMYFUNCTION("""COMPUTED_VALUE"""),"COLHETADEIRA - CASE 2388 + CASE 30PES")</f>
        <v/>
      </c>
      <c r="L16" s="20" t="n"/>
      <c r="M16" s="5" t="inlineStr">
        <is>
          <t>P 04</t>
        </is>
      </c>
      <c r="N16" s="4" t="n">
        <v>130</v>
      </c>
    </row>
    <row r="17" ht="22.5" customHeight="1" s="297">
      <c r="A17" s="4">
        <f>IFERROR(__xludf.DUMMYFUNCTION("""COMPUTED_VALUE"""),"NATIVO PLUS")</f>
        <v/>
      </c>
      <c r="B17" s="4">
        <f>IFERROR(__xludf.DUMMYFUNCTION("""COMPUTED_VALUE"""),"2,4-D 806+PICLORAM 64")</f>
        <v/>
      </c>
      <c r="C17" s="4">
        <f>IFERROR(__xludf.DUMMYFUNCTION("""COMPUTED_VALUE"""),"ACETAMIPRID CCAB 200 SP")</f>
        <v/>
      </c>
      <c r="D17" s="4">
        <f>IFERROR(__xludf.DUMMYFUNCTION("""COMPUTED_VALUE"""),"SOMBRERO")</f>
        <v/>
      </c>
      <c r="E17" s="4">
        <f>IFERROR(__xludf.DUMMYFUNCTION("""COMPUTED_VALUE"""),"Bio Elipso")</f>
        <v/>
      </c>
      <c r="F17" s="4">
        <f>IFERROR(__xludf.DUMMYFUNCTION("""COMPUTED_VALUE"""),"SPARTA 8.0")</f>
        <v/>
      </c>
      <c r="G17" s="20" t="n"/>
      <c r="H17" s="20" t="n"/>
      <c r="I17" s="20" t="n"/>
      <c r="J17" s="4">
        <f>IFERROR(__xludf.DUMMYFUNCTION("""COMPUTED_VALUE"""),"MATRIZ D")</f>
        <v/>
      </c>
      <c r="K17" s="4">
        <f>IFERROR(__xludf.DUMMYFUNCTION("""COMPUTED_VALUE"""),"JACTO UNIPORT 2000 + JACTO UNIPORT 2000")</f>
        <v/>
      </c>
      <c r="L17" s="20" t="n"/>
      <c r="M17" s="5" t="inlineStr">
        <is>
          <t>P 05</t>
        </is>
      </c>
      <c r="N17" s="4" t="n">
        <v>120</v>
      </c>
    </row>
    <row r="18" ht="22.5" customHeight="1" s="297">
      <c r="A18" s="4">
        <f>IFERROR(__xludf.DUMMYFUNCTION("""COMPUTED_VALUE"""),"SPHERE MAX")</f>
        <v/>
      </c>
      <c r="B18" s="4">
        <f>IFERROR(__xludf.DUMMYFUNCTION("""COMPUTED_VALUE"""),"FOMESAFEN CCAB 250 SL")</f>
        <v/>
      </c>
      <c r="C18" s="4">
        <f>IFERROR(__xludf.DUMMYFUNCTION("""COMPUTED_VALUE"""),"DIFLUBENZURON CCAB 480 SC")</f>
        <v/>
      </c>
      <c r="D18" s="4">
        <f>IFERROR(__xludf.DUMMYFUNCTION("""COMPUTED_VALUE"""),"CROPSTAR")</f>
        <v/>
      </c>
      <c r="E18" s="4">
        <f>IFERROR(__xludf.DUMMYFUNCTION("""COMPUTED_VALUE"""),"Tec Bug")</f>
        <v/>
      </c>
      <c r="F18" s="4">
        <f>IFERROR(__xludf.DUMMYFUNCTION("""COMPUTED_VALUE"""),"CORDIUS C2795 CE 7.9")</f>
        <v/>
      </c>
      <c r="G18" s="20" t="n"/>
      <c r="H18" s="20" t="n"/>
      <c r="I18" s="20" t="n"/>
      <c r="J18" s="4">
        <f>IFERROR(__xludf.DUMMYFUNCTION("""COMPUTED_VALUE"""),"BRAVERO")</f>
        <v/>
      </c>
      <c r="K18" s="4">
        <f>IFERROR(__xludf.DUMMYFUNCTION("""COMPUTED_VALUE"""),"NH T7.260 + CASE 2213")</f>
        <v/>
      </c>
      <c r="L18" s="20" t="n"/>
      <c r="M18" s="5" t="inlineStr">
        <is>
          <t>P 06</t>
        </is>
      </c>
      <c r="N18" s="4" t="n">
        <v>40</v>
      </c>
    </row>
    <row r="19" ht="22.5" customHeight="1" s="297">
      <c r="A19" s="4">
        <f>IFERROR(__xludf.DUMMYFUNCTION("""COMPUTED_VALUE"""),"AZOXISTROBIN 200 + CIPROCONAZOL
 80 SC CCAB")</f>
        <v/>
      </c>
      <c r="B19" s="4">
        <f>IFERROR(__xludf.DUMMYFUNCTION("""COMPUTED_VALUE"""),"GLUFOSINATO CCAB 200 SL")</f>
        <v/>
      </c>
      <c r="C19" s="4">
        <f>IFERROR(__xludf.DUMMYFUNCTION("""COMPUTED_VALUE"""),"FIPRONIL 800 WG CCAB")</f>
        <v/>
      </c>
      <c r="D19" s="4">
        <f>IFERROR(__xludf.DUMMYFUNCTION("""COMPUTED_VALUE"""),"DERMACOR")</f>
        <v/>
      </c>
      <c r="E19" s="4">
        <f>IFERROR(__xludf.DUMMYFUNCTION("""COMPUTED_VALUE"""),"Solu Shield")</f>
        <v/>
      </c>
      <c r="F19" s="4">
        <f>IFERROR(__xludf.DUMMYFUNCTION("""COMPUTED_VALUE"""),"IMPETO")</f>
        <v/>
      </c>
      <c r="G19" s="20" t="n"/>
      <c r="H19" s="20" t="n"/>
      <c r="I19" s="20" t="n"/>
      <c r="J19" s="4">
        <f>IFERROR(__xludf.DUMMYFUNCTION("""COMPUTED_VALUE"""),"Glyfort")</f>
        <v/>
      </c>
      <c r="K19" s="4">
        <f>IFERROR(__xludf.DUMMYFUNCTION("""COMPUTED_VALUE""")," + ")</f>
        <v/>
      </c>
      <c r="L19" s="20" t="n"/>
      <c r="M19" s="5" t="inlineStr">
        <is>
          <t>T01</t>
        </is>
      </c>
      <c r="N19" s="4" t="n">
        <v>220</v>
      </c>
    </row>
    <row r="20" ht="22.5" customHeight="1" s="297">
      <c r="A20" s="4">
        <f>IFERROR(__xludf.DUMMYFUNCTION("""COMPUTED_VALUE"""),"MANCOZEB CCAB 750 WG")</f>
        <v/>
      </c>
      <c r="B20" s="4">
        <f>IFERROR(__xludf.DUMMYFUNCTION("""COMPUTED_VALUE"""),"MESOTRIONA CCAB 480 SC")</f>
        <v/>
      </c>
      <c r="C20" s="4">
        <f>IFERROR(__xludf.DUMMYFUNCTION("""COMPUTED_VALUE"""),"INDOXACARB CCAB 150 SC")</f>
        <v/>
      </c>
      <c r="D20" s="4">
        <f>IFERROR(__xludf.DUMMYFUNCTION("""COMPUTED_VALUE"""),"OPTERASEED")</f>
        <v/>
      </c>
      <c r="E20" s="4">
        <f>IFERROR(__xludf.DUMMYFUNCTION("""COMPUTED_VALUE"""),"Solu Strong")</f>
        <v/>
      </c>
      <c r="F20" s="4">
        <f>IFERROR(__xludf.DUMMYFUNCTION("""COMPUTED_VALUE"""),"NEO 790")</f>
        <v/>
      </c>
      <c r="G20" s="20" t="n"/>
      <c r="H20" s="20" t="n"/>
      <c r="I20" s="20" t="n"/>
      <c r="J20" s="4">
        <f>IFERROR(__xludf.DUMMYFUNCTION("""COMPUTED_VALUE"""),"Fergsum")</f>
        <v/>
      </c>
      <c r="K20" s="20" t="n"/>
      <c r="L20" s="20" t="n"/>
      <c r="M20" s="4" t="inlineStr">
        <is>
          <t>T02</t>
        </is>
      </c>
      <c r="N20" s="4" t="n">
        <v>220</v>
      </c>
    </row>
    <row r="21" ht="15.75" customHeight="1" s="297">
      <c r="A21" s="4">
        <f>IFERROR(__xludf.DUMMYFUNCTION("""COMPUTED_VALUE"""),"APROACH POWER")</f>
        <v/>
      </c>
      <c r="B21" s="4">
        <f>IFERROR(__xludf.DUMMYFUNCTION("""COMPUTED_VALUE"""),"TRICLOPIR CCAB 480 EC")</f>
        <v/>
      </c>
      <c r="C21" s="4">
        <f>IFERROR(__xludf.DUMMYFUNCTION("""COMPUTED_VALUE"""),"EXALT")</f>
        <v/>
      </c>
      <c r="D21" s="4">
        <f>IFERROR(__xludf.DUMMYFUNCTION("""COMPUTED_VALUE"""),"AVICTA 500 FS")</f>
        <v/>
      </c>
      <c r="E21" s="4">
        <f>IFERROR(__xludf.DUMMYFUNCTION("""COMPUTED_VALUE"""),"Solu Leaf")</f>
        <v/>
      </c>
      <c r="F21" s="4">
        <f>IFERROR(__xludf.DUMMYFUNCTION("""COMPUTED_VALUE"""),"APORÉ 7.3")</f>
        <v/>
      </c>
      <c r="G21" s="20" t="n"/>
      <c r="H21" s="20" t="n"/>
      <c r="I21" s="20" t="n"/>
      <c r="J21" s="4">
        <f>IFERROR(__xludf.DUMMYFUNCTION("""COMPUTED_VALUE"""),"Spander")</f>
        <v/>
      </c>
      <c r="K21" s="20" t="n"/>
      <c r="L21" s="20" t="n"/>
      <c r="M21" s="20" t="n"/>
      <c r="N21" s="4" t="n"/>
    </row>
    <row r="22" ht="15.75" customHeight="1" s="297">
      <c r="A22" s="4">
        <f>IFERROR(__xludf.DUMMYFUNCTION("""COMPUTED_VALUE"""),"APROACH PREMIUM")</f>
        <v/>
      </c>
      <c r="B22" s="4">
        <f>IFERROR(__xludf.DUMMYFUNCTION("""COMPUTED_VALUE"""),"ACCENT")</f>
        <v/>
      </c>
      <c r="C22" s="4">
        <f>IFERROR(__xludf.DUMMYFUNCTION("""COMPUTED_VALUE"""),"EXPEDITION")</f>
        <v/>
      </c>
      <c r="D22" s="4">
        <f>IFERROR(__xludf.DUMMYFUNCTION("""COMPUTED_VALUE"""),"CRUISER 350 FS")</f>
        <v/>
      </c>
      <c r="E22" s="4">
        <f>IFERROR(__xludf.DUMMYFUNCTION("""COMPUTED_VALUE"""),"Bio Hidric")</f>
        <v/>
      </c>
      <c r="F22" s="4">
        <f>IFERROR(__xludf.DUMMYFUNCTION("""COMPUTED_VALUE"""),"GUAPÓ 7.7")</f>
        <v/>
      </c>
      <c r="G22" s="20" t="n"/>
      <c r="H22" s="20" t="n"/>
      <c r="I22" s="20" t="n"/>
      <c r="J22" s="4">
        <f>IFERROR(__xludf.DUMMYFUNCTION("""COMPUTED_VALUE"""),"Halattus")</f>
        <v/>
      </c>
      <c r="K22" s="20" t="n"/>
      <c r="L22" s="20" t="n"/>
      <c r="M22" s="20" t="n"/>
      <c r="N22" s="4" t="n"/>
    </row>
    <row r="23" ht="15.75" customHeight="1" s="297">
      <c r="A23" s="4">
        <f>IFERROR(__xludf.DUMMYFUNCTION("""COMPUTED_VALUE"""),"BIM 750 BR")</f>
        <v/>
      </c>
      <c r="B23" s="4">
        <f>IFERROR(__xludf.DUMMYFUNCTION("""COMPUTED_VALUE"""),"CLASSIC")</f>
        <v/>
      </c>
      <c r="C23" s="4">
        <f>IFERROR(__xludf.DUMMYFUNCTION("""COMPUTED_VALUE"""),"INTREPID 240 SC")</f>
        <v/>
      </c>
      <c r="D23" s="4">
        <f>IFERROR(__xludf.DUMMYFUNCTION("""COMPUTED_VALUE"""),"FORTENZA 600 FS")</f>
        <v/>
      </c>
      <c r="E23" s="4">
        <f>IFERROR(__xludf.DUMMYFUNCTION("""COMPUTED_VALUE"""),"Bio Bokashi")</f>
        <v/>
      </c>
      <c r="F23" s="4">
        <f>IFERROR(__xludf.DUMMYFUNCTION("""COMPUTED_VALUE"""),"MITICA 7.7")</f>
        <v/>
      </c>
      <c r="G23" s="20" t="n"/>
      <c r="H23" s="20" t="n"/>
      <c r="I23" s="20" t="n"/>
      <c r="J23" s="4">
        <f>IFERROR(__xludf.DUMMYFUNCTION("""COMPUTED_VALUE"""),"Sallvare Complex")</f>
        <v/>
      </c>
      <c r="K23" s="20" t="n"/>
      <c r="L23" s="20" t="n"/>
      <c r="M23" s="20" t="n"/>
      <c r="N23" s="4" t="n"/>
    </row>
    <row r="24" ht="15.75" customHeight="1" s="297">
      <c r="A24" s="4">
        <f>IFERROR(__xludf.DUMMYFUNCTION("""COMPUTED_VALUE"""),"BIM MAX")</f>
        <v/>
      </c>
      <c r="B24" s="4">
        <f>IFERROR(__xludf.DUMMYFUNCTION("""COMPUTED_VALUE"""),"CLINCHER")</f>
        <v/>
      </c>
      <c r="C24" s="4">
        <f>IFERROR(__xludf.DUMMYFUNCTION("""COMPUTED_VALUE"""),"INTREPID EDGE")</f>
        <v/>
      </c>
      <c r="D24" s="4">
        <f>IFERROR(__xludf.DUMMYFUNCTION("""COMPUTED_VALUE"""),"ILEVO")</f>
        <v/>
      </c>
      <c r="E24" s="4">
        <f>IFERROR(__xludf.DUMMYFUNCTION("""COMPUTED_VALUE"""),"Bio Oil")</f>
        <v/>
      </c>
      <c r="F24" s="4">
        <f>IFERROR(__xludf.DUMMYFUNCTION("""COMPUTED_VALUE"""),"TMG MURICI I2X 7.6")</f>
        <v/>
      </c>
      <c r="G24" s="20" t="n"/>
      <c r="H24" s="20" t="n"/>
      <c r="I24" s="20" t="n"/>
      <c r="J24" s="4">
        <f>IFERROR(__xludf.DUMMYFUNCTION("""COMPUTED_VALUE"""),"Zinctaus Complex")</f>
        <v/>
      </c>
      <c r="K24" s="20" t="n"/>
      <c r="L24" s="20" t="n"/>
      <c r="M24" s="20" t="n"/>
      <c r="N24" s="4" t="n"/>
    </row>
    <row r="25" ht="15.75" customHeight="1" s="297">
      <c r="A25" s="4">
        <f>IFERROR(__xludf.DUMMYFUNCTION("""COMPUTED_VALUE"""),"ORANIS")</f>
        <v/>
      </c>
      <c r="B25" s="4">
        <f>IFERROR(__xludf.DUMMYFUNCTION("""COMPUTED_VALUE"""),"ELEVORE")</f>
        <v/>
      </c>
      <c r="C25" s="4">
        <f>IFERROR(__xludf.DUMMYFUNCTION("""COMPUTED_VALUE"""),"LANNATE BR")</f>
        <v/>
      </c>
      <c r="D25" s="4">
        <f>IFERROR(__xludf.DUMMYFUNCTION("""COMPUTED_VALUE"""),"PERMIT STAR")</f>
        <v/>
      </c>
      <c r="E25" s="4">
        <f>IFERROR(__xludf.DUMMYFUNCTION("""COMPUTED_VALUE"""),"Carbon Pro")</f>
        <v/>
      </c>
      <c r="F25" s="4">
        <f>IFERROR(__xludf.DUMMYFUNCTION("""COMPUTED_VALUE"""),"DOMÍNIO 8.4")</f>
        <v/>
      </c>
      <c r="G25" s="20" t="n"/>
      <c r="H25" s="20" t="n"/>
      <c r="I25" s="20" t="n"/>
      <c r="J25" s="4">
        <f>IFERROR(__xludf.DUMMYFUNCTION("""COMPUTED_VALUE"""),"Emezine Complex")</f>
        <v/>
      </c>
      <c r="K25" s="20" t="n"/>
      <c r="L25" s="20" t="n"/>
      <c r="M25" s="20" t="n"/>
      <c r="N25" s="4" t="n"/>
    </row>
    <row r="26" ht="15.75" customHeight="1" s="297">
      <c r="A26" s="4">
        <f>IFERROR(__xludf.DUMMYFUNCTION("""COMPUTED_VALUE"""),"VESSARYA")</f>
        <v/>
      </c>
      <c r="B26" s="4">
        <f>IFERROR(__xludf.DUMMYFUNCTION("""COMPUTED_VALUE"""),"ENLIST COLEX-D")</f>
        <v/>
      </c>
      <c r="C26" s="4">
        <f>IFERROR(__xludf.DUMMYFUNCTION("""COMPUTED_VALUE"""),"ACETAMIPRID 250 G/KG + BIFENTHRIN
 250G/KG WG")</f>
        <v/>
      </c>
      <c r="D26" s="20" t="n"/>
      <c r="E26" s="4">
        <f>IFERROR(__xludf.DUMMYFUNCTION("""COMPUTED_VALUE"""),"Essencial Mg")</f>
        <v/>
      </c>
      <c r="F26" s="4">
        <f>IFERROR(__xludf.DUMMYFUNCTION("""COMPUTED_VALUE"""),"LENDA")</f>
        <v/>
      </c>
      <c r="G26" s="20" t="n"/>
      <c r="H26" s="20" t="n"/>
      <c r="I26" s="20" t="n"/>
      <c r="J26" s="4">
        <f>IFERROR(__xludf.DUMMYFUNCTION("""COMPUTED_VALUE"""),"Boratus Complex")</f>
        <v/>
      </c>
      <c r="K26" s="20" t="n"/>
      <c r="L26" s="20" t="n"/>
      <c r="M26" s="20" t="n"/>
      <c r="N26" s="4" t="n"/>
    </row>
    <row r="27" ht="15.75" customHeight="1" s="297">
      <c r="A27" s="4">
        <f>IFERROR(__xludf.DUMMYFUNCTION("""COMPUTED_VALUE"""),"CHARRUA 430 SC")</f>
        <v/>
      </c>
      <c r="B27" s="4">
        <f>IFERROR(__xludf.DUMMYFUNCTION("""COMPUTED_VALUE"""),"GAPPER")</f>
        <v/>
      </c>
      <c r="C27" s="4">
        <f>IFERROR(__xludf.DUMMYFUNCTION("""COMPUTED_VALUE"""),"BAKANA 400 SC")</f>
        <v/>
      </c>
      <c r="D27" s="20" t="n"/>
      <c r="E27" s="4">
        <f>IFERROR(__xludf.DUMMYFUNCTION("""COMPUTED_VALUE"""),"Expelir")</f>
        <v/>
      </c>
      <c r="F27" s="4">
        <f>IFERROR(__xludf.DUMMYFUNCTION("""COMPUTED_VALUE"""),"BRASMAX HERA")</f>
        <v/>
      </c>
      <c r="G27" s="20" t="n"/>
      <c r="H27" s="20" t="n"/>
      <c r="I27" s="20" t="n"/>
      <c r="J27" s="4">
        <f>IFERROR(__xludf.DUMMYFUNCTION("""COMPUTED_VALUE"""),"Magmill Complex")</f>
        <v/>
      </c>
      <c r="K27" s="20" t="n"/>
      <c r="L27" s="20" t="n"/>
      <c r="M27" s="20" t="n"/>
      <c r="N27" s="4" t="n"/>
    </row>
    <row r="28" ht="15.75" customHeight="1" s="297">
      <c r="A28" s="4">
        <f>IFERROR(__xludf.DUMMYFUNCTION("""COMPUTED_VALUE"""),"SEVARE 250 EC")</f>
        <v/>
      </c>
      <c r="B28" s="4">
        <f>IFERROR(__xludf.DUMMYFUNCTION("""COMPUTED_VALUE"""),"PACTO")</f>
        <v/>
      </c>
      <c r="C28" s="4">
        <f>IFERROR(__xludf.DUMMYFUNCTION("""COMPUTED_VALUE"""),"KRATON 100 EC")</f>
        <v/>
      </c>
      <c r="D28" s="20" t="n"/>
      <c r="E28" s="4">
        <f>IFERROR(__xludf.DUMMYFUNCTION("""COMPUTED_VALUE"""),"Primafert")</f>
        <v/>
      </c>
      <c r="F28" s="4">
        <f>IFERROR(__xludf.DUMMYFUNCTION("""COMPUTED_VALUE"""),"BRASMAX OLIMPO")</f>
        <v/>
      </c>
      <c r="G28" s="20" t="n"/>
      <c r="H28" s="20" t="n"/>
      <c r="I28" s="20" t="n"/>
      <c r="J28" s="4">
        <f>IFERROR(__xludf.DUMMYFUNCTION("""COMPUTED_VALUE"""),"Brave K")</f>
        <v/>
      </c>
      <c r="K28" s="20" t="n"/>
      <c r="L28" s="20" t="n"/>
      <c r="M28" s="20" t="n"/>
      <c r="N28" s="4" t="n"/>
    </row>
    <row r="29" ht="15.75" customHeight="1" s="297">
      <c r="A29" s="4">
        <f>IFERROR(__xludf.DUMMYFUNCTION("""COMPUTED_VALUE"""),"VENCER DUO")</f>
        <v/>
      </c>
      <c r="B29" s="4">
        <f>IFERROR(__xludf.DUMMYFUNCTION("""COMPUTED_VALUE"""),"PAXEO")</f>
        <v/>
      </c>
      <c r="C29" s="4">
        <f>IFERROR(__xludf.DUMMYFUNCTION("""COMPUTED_VALUE"""),"TAURA 200 EC")</f>
        <v/>
      </c>
      <c r="D29" s="20" t="n"/>
      <c r="E29" s="4">
        <f>IFERROR(__xludf.DUMMYFUNCTION("""COMPUTED_VALUE"""),"Reserva")</f>
        <v/>
      </c>
      <c r="F29" s="4">
        <f>IFERROR(__xludf.DUMMYFUNCTION("""COMPUTED_VALUE"""),"S6525 I2X")</f>
        <v/>
      </c>
      <c r="G29" s="20" t="n"/>
      <c r="H29" s="20" t="n"/>
      <c r="I29" s="20" t="n"/>
      <c r="J29" s="4">
        <f>IFERROR(__xludf.DUMMYFUNCTION("""COMPUTED_VALUE"""),"Brave Max Up")</f>
        <v/>
      </c>
      <c r="K29" s="20" t="n"/>
      <c r="L29" s="20" t="n"/>
      <c r="M29" s="20" t="n"/>
      <c r="N29" s="4" t="n"/>
    </row>
    <row r="30" ht="15.75" customHeight="1" s="297">
      <c r="A30" s="4">
        <f>IFERROR(__xludf.DUMMYFUNCTION("""COMPUTED_VALUE"""),"ONSUVA")</f>
        <v/>
      </c>
      <c r="B30" s="4">
        <f>IFERROR(__xludf.DUMMYFUNCTION("""COMPUTED_VALUE"""),"SPIDER 840 WG")</f>
        <v/>
      </c>
      <c r="C30" s="4">
        <f>IFERROR(__xludf.DUMMYFUNCTION("""COMPUTED_VALUE"""),"BENEVIA")</f>
        <v/>
      </c>
      <c r="D30" s="20" t="n"/>
      <c r="E30" s="4">
        <f>IFERROR(__xludf.DUMMYFUNCTION("""COMPUTED_VALUE"""),"Tec Catp Pro Kit On-farm")</f>
        <v/>
      </c>
      <c r="F30" s="4">
        <f>IFERROR(__xludf.DUMMYFUNCTION("""COMPUTED_VALUE"""),"TMG ITAÚBA I2X")</f>
        <v/>
      </c>
      <c r="G30" s="20" t="n"/>
      <c r="H30" s="20" t="n"/>
      <c r="I30" s="20" t="n"/>
      <c r="J30" s="4">
        <f>IFERROR(__xludf.DUMMYFUNCTION("""COMPUTED_VALUE"""),"MAX RAIZ")</f>
        <v/>
      </c>
      <c r="K30" s="20" t="n"/>
      <c r="L30" s="20" t="n"/>
      <c r="M30" s="20" t="n"/>
      <c r="N30" s="4" t="n"/>
    </row>
    <row r="31" ht="15.75" customHeight="1" s="297">
      <c r="A31" s="4">
        <f>IFERROR(__xludf.DUMMYFUNCTION("""COMPUTED_VALUE"""),"BOSCALID NORTOX 500 WG")</f>
        <v/>
      </c>
      <c r="B31" s="4">
        <f>IFERROR(__xludf.DUMMYFUNCTION("""COMPUTED_VALUE"""),"VERDICT ULTRA")</f>
        <v/>
      </c>
      <c r="C31" s="4">
        <f>IFERROR(__xludf.DUMMYFUNCTION("""COMPUTED_VALUE"""),"HERO")</f>
        <v/>
      </c>
      <c r="D31" s="20" t="n"/>
      <c r="E31" s="4">
        <f>IFERROR(__xludf.DUMMYFUNCTION("""COMPUTED_VALUE"""),"Tec Bug Kit On-farm")</f>
        <v/>
      </c>
      <c r="F31" s="4" t="n"/>
      <c r="G31" s="20" t="n"/>
      <c r="H31" s="20" t="n"/>
      <c r="I31" s="20" t="n"/>
      <c r="J31" s="4">
        <f>IFERROR(__xludf.DUMMYFUNCTION("""COMPUTED_VALUE"""),"Polyamine")</f>
        <v/>
      </c>
      <c r="K31" s="20" t="n"/>
      <c r="L31" s="20" t="n"/>
      <c r="M31" s="20" t="n"/>
      <c r="N31" s="4" t="n"/>
    </row>
    <row r="32" ht="15.75" customHeight="1" s="297">
      <c r="A32" s="4">
        <f>IFERROR(__xludf.DUMMYFUNCTION("""COMPUTED_VALUE"""),"DIFENOCONAZOL NORTOX 250 SC")</f>
        <v/>
      </c>
      <c r="B32" s="4">
        <f>IFERROR(__xludf.DUMMYFUNCTION("""COMPUTED_VALUE"""),"BLOWOUT")</f>
        <v/>
      </c>
      <c r="C32" s="4">
        <f>IFERROR(__xludf.DUMMYFUNCTION("""COMPUTED_VALUE"""),"MALATHION UL")</f>
        <v/>
      </c>
      <c r="D32" s="20" t="n"/>
      <c r="E32" s="4">
        <f>IFERROR(__xludf.DUMMYFUNCTION("""COMPUTED_VALUE"""),"Solu Shield Kit On-farm")</f>
        <v/>
      </c>
      <c r="F32" s="4">
        <f>IFERROR(__xludf.DUMMYFUNCTION("""COMPUTED_VALUE"""),"SEMENTE SOJA RR")</f>
        <v/>
      </c>
      <c r="G32" s="20" t="n"/>
      <c r="H32" s="20" t="n"/>
      <c r="I32" s="20" t="n"/>
      <c r="J32" s="4">
        <f>IFERROR(__xludf.DUMMYFUNCTION("""COMPUTED_VALUE"""),"Sulfato de Magnésio")</f>
        <v/>
      </c>
      <c r="K32" s="20" t="n"/>
      <c r="L32" s="20" t="n"/>
      <c r="M32" s="20" t="n"/>
      <c r="N32" s="4" t="n"/>
    </row>
    <row r="33" ht="15.75" customHeight="1" s="297">
      <c r="A33" s="4">
        <f>IFERROR(__xludf.DUMMYFUNCTION("""COMPUTED_VALUE"""),"FLUAZINAM NORTOX 500 SC")</f>
        <v/>
      </c>
      <c r="B33" s="4">
        <f>IFERROR(__xludf.DUMMYFUNCTION("""COMPUTED_VALUE"""),"CLETODIM 240 EC BRILLIANCE")</f>
        <v/>
      </c>
      <c r="C33" s="4">
        <f>IFERROR(__xludf.DUMMYFUNCTION("""COMPUTED_VALUE"""),"MUSTANG 350 EC")</f>
        <v/>
      </c>
      <c r="D33" s="20" t="n"/>
      <c r="E33" s="4">
        <f>IFERROR(__xludf.DUMMYFUNCTION("""COMPUTED_VALUE"""),"Solu Strong Kit On-farm")</f>
        <v/>
      </c>
      <c r="F33" s="4">
        <f>IFERROR(__xludf.DUMMYFUNCTION("""COMPUTED_VALUE"""),"BRACHIARIA RUZIZIENCES")</f>
        <v/>
      </c>
      <c r="G33" s="20" t="n"/>
      <c r="H33" s="20" t="n"/>
      <c r="I33" s="20" t="n"/>
      <c r="J33" s="4">
        <f>IFERROR(__xludf.DUMMYFUNCTION("""COMPUTED_VALUE"""),"Map Purificado")</f>
        <v/>
      </c>
      <c r="K33" s="20" t="n"/>
      <c r="L33" s="20" t="n"/>
      <c r="M33" s="20" t="n"/>
      <c r="N33" s="4" t="n"/>
    </row>
    <row r="34" ht="15.75" customHeight="1" s="297">
      <c r="A34" s="4">
        <f>IFERROR(__xludf.DUMMYFUNCTION("""COMPUTED_VALUE"""),"FLUTRIAFOL NORTOX")</f>
        <v/>
      </c>
      <c r="B34" s="4">
        <f>IFERROR(__xludf.DUMMYFUNCTION("""COMPUTED_VALUE"""),"GLUFOS-WYN 880")</f>
        <v/>
      </c>
      <c r="C34" s="4">
        <f>IFERROR(__xludf.DUMMYFUNCTION("""COMPUTED_VALUE"""),"PREMIO")</f>
        <v/>
      </c>
      <c r="D34" s="20" t="n"/>
      <c r="E34" s="4">
        <f>IFERROR(__xludf.DUMMYFUNCTION("""COMPUTED_VALUE"""),"Solu Leaf Kit On-farm")</f>
        <v/>
      </c>
      <c r="F34" s="4">
        <f>IFERROR(__xludf.DUMMYFUNCTION("""COMPUTED_VALUE"""),"CAPIM MIAGE")</f>
        <v/>
      </c>
      <c r="G34" s="20" t="n"/>
      <c r="H34" s="20" t="n"/>
      <c r="I34" s="20" t="n"/>
      <c r="J34" s="4">
        <f>IFERROR(__xludf.DUMMYFUNCTION("""COMPUTED_VALUE"""),"MANGAN 10")</f>
        <v/>
      </c>
      <c r="K34" s="20" t="n"/>
      <c r="L34" s="20" t="n"/>
      <c r="M34" s="20" t="n"/>
      <c r="N34" s="4" t="n"/>
    </row>
    <row r="35" ht="15.75" customHeight="1" s="297">
      <c r="A35" s="4">
        <f>IFERROR(__xludf.DUMMYFUNCTION("""COMPUTED_VALUE"""),"PROPICONAZOLE NORTOX 500 EC")</f>
        <v/>
      </c>
      <c r="B35" s="4">
        <f>IFERROR(__xludf.DUMMYFUNCTION("""COMPUTED_VALUE"""),"GINETE 212 SL")</f>
        <v/>
      </c>
      <c r="C35" s="4">
        <f>IFERROR(__xludf.DUMMYFUNCTION("""COMPUTED_VALUE"""),"TALISMAN")</f>
        <v/>
      </c>
      <c r="D35" s="20" t="n"/>
      <c r="E35" s="4">
        <f>IFERROR(__xludf.DUMMYFUNCTION("""COMPUTED_VALUE"""),"Bio Hidric Kit On-farm")</f>
        <v/>
      </c>
      <c r="F35" s="4">
        <f>IFERROR(__xludf.DUMMYFUNCTION("""COMPUTED_VALUE"""),"TMG INGÁ I2X 6.9")</f>
        <v/>
      </c>
      <c r="G35" s="20" t="n"/>
      <c r="H35" s="20" t="n"/>
      <c r="I35" s="20" t="n"/>
      <c r="J35" s="4">
        <f>IFERROR(__xludf.DUMMYFUNCTION("""COMPUTED_VALUE"""),"NHT ZINCO")</f>
        <v/>
      </c>
      <c r="K35" s="20" t="n"/>
      <c r="L35" s="20" t="n"/>
      <c r="M35" s="20" t="n"/>
      <c r="N35" s="4" t="n"/>
    </row>
    <row r="36" ht="15.75" customHeight="1" s="297">
      <c r="A36" s="4">
        <f>IFERROR(__xludf.DUMMYFUNCTION("""COMPUTED_VALUE"""),"PROTECTION NORTOX")</f>
        <v/>
      </c>
      <c r="B36" s="4">
        <f>IFERROR(__xludf.DUMMYFUNCTION("""COMPUTED_VALUE"""),"AURORA 400 EC")</f>
        <v/>
      </c>
      <c r="C36" s="4">
        <f>IFERROR(__xludf.DUMMYFUNCTION("""COMPUTED_VALUE"""),"TALSTAR 400")</f>
        <v/>
      </c>
      <c r="D36" s="20" t="n"/>
      <c r="E36" s="4">
        <f>IFERROR(__xludf.DUMMYFUNCTION("""COMPUTED_VALUE"""),"Bio Bokashi Kit On-farm")</f>
        <v/>
      </c>
      <c r="F36" s="4">
        <f>IFERROR(__xludf.DUMMYFUNCTION("""COMPUTED_VALUE"""),"TMG 2383 IPRO 8.3")</f>
        <v/>
      </c>
      <c r="G36" s="20" t="n"/>
      <c r="H36" s="20" t="n"/>
      <c r="I36" s="20" t="n"/>
      <c r="J36" s="4">
        <f>IFERROR(__xludf.DUMMYFUNCTION("""COMPUTED_VALUE"""),"KELLUS CUPPER")</f>
        <v/>
      </c>
      <c r="K36" s="20" t="n"/>
      <c r="L36" s="20" t="n"/>
      <c r="M36" s="20" t="n"/>
      <c r="N36" s="4" t="n"/>
    </row>
    <row r="37" ht="15.75" customHeight="1" s="297">
      <c r="A37" s="4">
        <f>IFERROR(__xludf.DUMMYFUNCTION("""COMPUTED_VALUE"""),"TEBUCO 430 SC NORTOX")</f>
        <v/>
      </c>
      <c r="B37" s="4">
        <f>IFERROR(__xludf.DUMMYFUNCTION("""COMPUTED_VALUE"""),"AZUGRO")</f>
        <v/>
      </c>
      <c r="C37" s="4">
        <f>IFERROR(__xludf.DUMMYFUNCTION("""COMPUTED_VALUE"""),"VERIMARK")</f>
        <v/>
      </c>
      <c r="D37" s="20" t="n"/>
      <c r="E37" s="4">
        <f>IFERROR(__xludf.DUMMYFUNCTION("""COMPUTED_VALUE"""),"Tec White Kit On-farm")</f>
        <v/>
      </c>
      <c r="F37" s="4">
        <f>IFERROR(__xludf.DUMMYFUNCTION("""COMPUTED_VALUE"""),"BRACHIARIA BASICA")</f>
        <v/>
      </c>
      <c r="G37" s="20" t="n"/>
      <c r="H37" s="20" t="n"/>
      <c r="I37" s="20" t="n"/>
      <c r="J37" s="4">
        <f>IFERROR(__xludf.DUMMYFUNCTION("""COMPUTED_VALUE"""),"MOLIBIDENIO 16")</f>
        <v/>
      </c>
      <c r="K37" s="20" t="n"/>
      <c r="L37" s="20" t="n"/>
      <c r="M37" s="20" t="n"/>
      <c r="N37" s="4" t="n"/>
    </row>
    <row r="38" ht="15.75" customHeight="1" s="297">
      <c r="A38" s="4">
        <f>IFERROR(__xludf.DUMMYFUNCTION("""COMPUTED_VALUE"""),"TEBUCO A NORTOX")</f>
        <v/>
      </c>
      <c r="B38" s="4">
        <f>IFERROR(__xludf.DUMMYFUNCTION("""COMPUTED_VALUE"""),"BORAL")</f>
        <v/>
      </c>
      <c r="C38" s="4">
        <f>IFERROR(__xludf.DUMMYFUNCTION("""COMPUTED_VALUE"""),"ABAMECTIN 72 EC NORTOX")</f>
        <v/>
      </c>
      <c r="D38" s="20" t="n"/>
      <c r="E38" s="4">
        <f>IFERROR(__xludf.DUMMYFUNCTION("""COMPUTED_VALUE"""),"Bio Solubilize Kit On-farm")</f>
        <v/>
      </c>
      <c r="F38" s="4">
        <f>IFERROR(__xludf.DUMMYFUNCTION("""COMPUTED_VALUE"""),"GH 2478 IPRO 8.1")</f>
        <v/>
      </c>
      <c r="G38" s="20" t="n"/>
      <c r="H38" s="20" t="n"/>
      <c r="I38" s="20" t="n"/>
      <c r="J38" s="4">
        <f>IFERROR(__xludf.DUMMYFUNCTION("""COMPUTED_VALUE"""),"ZINCO 10")</f>
        <v/>
      </c>
      <c r="K38" s="20" t="n"/>
      <c r="L38" s="20" t="n"/>
      <c r="M38" s="20" t="n"/>
      <c r="N38" s="4" t="n"/>
    </row>
    <row r="39" ht="15.75" customHeight="1" s="297">
      <c r="A39" s="4">
        <f>IFERROR(__xludf.DUMMYFUNCTION("""COMPUTED_VALUE"""),"TIOFANATO NORTOX")</f>
        <v/>
      </c>
      <c r="B39" s="4">
        <f>IFERROR(__xludf.DUMMYFUNCTION("""COMPUTED_VALUE"""),"REATOR 360 CS")</f>
        <v/>
      </c>
      <c r="C39" s="4">
        <f>IFERROR(__xludf.DUMMYFUNCTION("""COMPUTED_VALUE"""),"CIPERMETRINA NORTOX")</f>
        <v/>
      </c>
      <c r="D39" s="20" t="n"/>
      <c r="E39" s="4">
        <f>IFERROR(__xludf.DUMMYFUNCTION("""COMPUTED_VALUE"""),"Bio Release Kit On-farm")</f>
        <v/>
      </c>
      <c r="F39" s="4">
        <f>IFERROR(__xludf.DUMMYFUNCTION("""COMPUTED_VALUE"""),"HO COCARI I2X 8.2")</f>
        <v/>
      </c>
      <c r="G39" s="20" t="n"/>
      <c r="H39" s="20" t="n"/>
      <c r="I39" s="20" t="n"/>
      <c r="J39" s="4">
        <f>IFERROR(__xludf.DUMMYFUNCTION("""COMPUTED_VALUE"""),"Potenza NiCoMo")</f>
        <v/>
      </c>
      <c r="K39" s="20" t="n"/>
      <c r="L39" s="20" t="n"/>
      <c r="M39" s="20" t="n"/>
      <c r="N39" s="4" t="n"/>
    </row>
    <row r="40" ht="15.75" customHeight="1" s="297">
      <c r="A40" s="4">
        <f>IFERROR(__xludf.DUMMYFUNCTION("""COMPUTED_VALUE"""),"ACADEMIC")</f>
        <v/>
      </c>
      <c r="B40" s="4">
        <f>IFERROR(__xludf.DUMMYFUNCTION("""COMPUTED_VALUE"""),"STONE")</f>
        <v/>
      </c>
      <c r="C40" s="4">
        <f>IFERROR(__xludf.DUMMYFUNCTION("""COMPUTED_VALUE"""),"CLORANTRANILIPROLE NORTOX 400 SC")</f>
        <v/>
      </c>
      <c r="D40" s="20" t="n"/>
      <c r="E40" s="4">
        <f>IFERROR(__xludf.DUMMYFUNCTION("""COMPUTED_VALUE"""),"Bio Raiz Plus Kit On-farm")</f>
        <v/>
      </c>
      <c r="F40" s="4">
        <f>IFERROR(__xludf.DUMMYFUNCTION("""COMPUTED_VALUE"""),"SEMENTE DE SORGO")</f>
        <v/>
      </c>
      <c r="G40" s="20" t="n"/>
      <c r="H40" s="20" t="n"/>
      <c r="I40" s="20" t="n"/>
      <c r="J40" s="20" t="n"/>
      <c r="K40" s="20" t="n"/>
      <c r="L40" s="20" t="n"/>
      <c r="M40" s="20" t="n"/>
      <c r="N40" s="4" t="n"/>
    </row>
    <row r="41" ht="15.75" customHeight="1" s="297">
      <c r="A41" s="4">
        <f>IFERROR(__xludf.DUMMYFUNCTION("""COMPUTED_VALUE"""),"BRISA WG")</f>
        <v/>
      </c>
      <c r="B41" s="4">
        <f>IFERROR(__xludf.DUMMYFUNCTION("""COMPUTED_VALUE"""),"ARKEIRO NORTOX")</f>
        <v/>
      </c>
      <c r="C41" s="4">
        <f>IFERROR(__xludf.DUMMYFUNCTION("""COMPUTED_VALUE"""),"CLORFENAPIR NORTOX")</f>
        <v/>
      </c>
      <c r="D41" s="20" t="n"/>
      <c r="E41" s="4">
        <f>IFERROR(__xludf.DUMMYFUNCTION("""COMPUTED_VALUE"""),"Bio Balance Kit On-farm")</f>
        <v/>
      </c>
      <c r="F41" s="20" t="n"/>
      <c r="G41" s="20" t="n"/>
      <c r="H41" s="20" t="n"/>
      <c r="I41" s="20" t="n"/>
      <c r="J41" s="20" t="n"/>
      <c r="K41" s="20" t="n"/>
      <c r="L41" s="20" t="n"/>
      <c r="M41" s="20" t="n"/>
      <c r="N41" s="4" t="n"/>
    </row>
    <row r="42" ht="15.75" customHeight="1" s="297">
      <c r="A42" s="4">
        <f>IFERROR(__xludf.DUMMYFUNCTION("""COMPUTED_VALUE"""),"CUPROZEB")</f>
        <v/>
      </c>
      <c r="B42" s="4">
        <f>IFERROR(__xludf.DUMMYFUNCTION("""COMPUTED_VALUE"""),"CLETODIM OLEUM NORTOX")</f>
        <v/>
      </c>
      <c r="C42" s="4">
        <f>IFERROR(__xludf.DUMMYFUNCTION("""COMPUTED_VALUE"""),"CLORPIRIFÓS NORTOX EC")</f>
        <v/>
      </c>
      <c r="D42" s="20" t="n"/>
      <c r="E42" s="4">
        <f>IFERROR(__xludf.DUMMYFUNCTION("""COMPUTED_VALUE"""),"SoluBio Raiz Performance Kit On-farm,")</f>
        <v/>
      </c>
      <c r="F42" s="20" t="n"/>
      <c r="G42" s="20" t="n"/>
      <c r="H42" s="20" t="n"/>
      <c r="I42" s="20" t="n"/>
      <c r="J42" s="20" t="n"/>
      <c r="K42" s="20" t="n"/>
      <c r="L42" s="20" t="n"/>
      <c r="M42" s="20" t="n"/>
      <c r="N42" s="4" t="n"/>
    </row>
    <row r="43" ht="15.75" customHeight="1" s="297">
      <c r="A43" s="4">
        <f>IFERROR(__xludf.DUMMYFUNCTION("""COMPUTED_VALUE"""),"SUPPORT WG")</f>
        <v/>
      </c>
      <c r="B43" s="4">
        <f>IFERROR(__xludf.DUMMYFUNCTION("""COMPUTED_VALUE"""),"CLORIMUROM MAX NORTOX")</f>
        <v/>
      </c>
      <c r="C43" s="4">
        <f>IFERROR(__xludf.DUMMYFUNCTION("""COMPUTED_VALUE"""),"DIAFENTIURON NORTOX")</f>
        <v/>
      </c>
      <c r="D43" s="20" t="n"/>
      <c r="E43" s="4">
        <f>IFERROR(__xludf.DUMMYFUNCTION("""COMPUTED_VALUE"""),"Tec Isaria Kit On-farm")</f>
        <v/>
      </c>
      <c r="F43" s="20" t="n"/>
      <c r="G43" s="20" t="n"/>
      <c r="H43" s="20" t="n"/>
      <c r="I43" s="20" t="n"/>
      <c r="J43" s="20" t="n"/>
      <c r="K43" s="20" t="n"/>
      <c r="L43" s="20" t="n"/>
      <c r="M43" s="20" t="n"/>
      <c r="N43" s="4" t="n"/>
    </row>
    <row r="44" ht="15.75" customHeight="1" s="297">
      <c r="A44" s="4">
        <f>IFERROR(__xludf.DUMMYFUNCTION("""COMPUTED_VALUE"""),"VITENE")</f>
        <v/>
      </c>
      <c r="B44" s="4">
        <f>IFERROR(__xludf.DUMMYFUNCTION("""COMPUTED_VALUE"""),"FLUROXIPIR NORTOX")</f>
        <v/>
      </c>
      <c r="C44" s="4">
        <f>IFERROR(__xludf.DUMMYFUNCTION("""COMPUTED_VALUE"""),"IMIDACLOPRID NORTOX 480 SC")</f>
        <v/>
      </c>
      <c r="D44" s="20" t="n"/>
      <c r="E44" s="20" t="n"/>
      <c r="F44" s="20" t="n"/>
      <c r="G44" s="20" t="n"/>
      <c r="H44" s="20" t="n"/>
      <c r="I44" s="20" t="n"/>
      <c r="J44" s="20" t="n"/>
      <c r="K44" s="20" t="n"/>
      <c r="L44" s="20" t="n"/>
      <c r="M44" s="20" t="n"/>
      <c r="N44" s="4" t="n"/>
    </row>
    <row r="45" ht="15.75" customHeight="1" s="297">
      <c r="A45" s="4">
        <f>IFERROR(__xludf.DUMMYFUNCTION("""COMPUTED_VALUE"""),"CARTAP BR 500")</f>
        <v/>
      </c>
      <c r="B45" s="4">
        <f>IFERROR(__xludf.DUMMYFUNCTION("""COMPUTED_VALUE"""),"GLUFOSINATO NORTOX 880 SG")</f>
        <v/>
      </c>
      <c r="C45" s="4">
        <f>IFERROR(__xludf.DUMMYFUNCTION("""COMPUTED_VALUE"""),"METOMIL 215 SL NORTOX")</f>
        <v/>
      </c>
      <c r="D45" s="20" t="n"/>
      <c r="E45" s="20" t="n"/>
      <c r="F45" s="20" t="n"/>
      <c r="G45" s="20" t="n"/>
      <c r="H45" s="20" t="n"/>
      <c r="I45" s="20" t="n"/>
      <c r="J45" s="20" t="n"/>
      <c r="K45" s="20" t="n"/>
      <c r="L45" s="20" t="n"/>
      <c r="M45" s="20" t="n"/>
      <c r="N45" s="4" t="n"/>
    </row>
    <row r="46" ht="15.75" customHeight="1" s="297">
      <c r="A46" s="4">
        <f>IFERROR(__xludf.DUMMYFUNCTION("""COMPUTED_VALUE"""),"CURADO")</f>
        <v/>
      </c>
      <c r="B46" s="4">
        <f>IFERROR(__xludf.DUMMYFUNCTION("""COMPUTED_VALUE"""),"IMAZETAPIR NORTOX")</f>
        <v/>
      </c>
      <c r="C46" s="4">
        <f>IFERROR(__xludf.DUMMYFUNCTION("""COMPUTED_VALUE"""),"PIRIPROXIFEN NORTOX")</f>
        <v/>
      </c>
      <c r="D46" s="20" t="n"/>
      <c r="E46" s="20" t="n"/>
      <c r="F46" s="20" t="n"/>
      <c r="G46" s="20" t="n"/>
      <c r="H46" s="20" t="n"/>
      <c r="I46" s="20" t="n"/>
      <c r="J46" s="20" t="n"/>
      <c r="K46" s="20" t="n"/>
      <c r="L46" s="20" t="n"/>
      <c r="M46" s="20" t="n"/>
      <c r="N46" s="4" t="n"/>
    </row>
    <row r="47" ht="15.75" customHeight="1" s="297">
      <c r="A47" s="4">
        <f>IFERROR(__xludf.DUMMYFUNCTION("""COMPUTED_VALUE"""),"EXCALIA MAX")</f>
        <v/>
      </c>
      <c r="B47" s="4">
        <f>IFERROR(__xludf.DUMMYFUNCTION("""COMPUTED_VALUE"""),"MESOTRIONA NORTOX")</f>
        <v/>
      </c>
      <c r="C47" s="4">
        <f>IFERROR(__xludf.DUMMYFUNCTION("""COMPUTED_VALUE"""),"TEMPUS NORTOX")</f>
        <v/>
      </c>
      <c r="D47" s="20" t="n"/>
      <c r="E47" s="20" t="n"/>
      <c r="F47" s="20" t="n"/>
      <c r="G47" s="20" t="n"/>
      <c r="H47" s="20" t="n"/>
      <c r="I47" s="20" t="n"/>
      <c r="J47" s="20" t="n"/>
      <c r="K47" s="20" t="n"/>
      <c r="L47" s="20" t="n"/>
      <c r="M47" s="20" t="n"/>
      <c r="N47" s="4" t="n"/>
    </row>
    <row r="48" ht="15.75" customHeight="1" s="297">
      <c r="A48" s="4">
        <f>IFERROR(__xludf.DUMMYFUNCTION("""COMPUTED_VALUE"""),"PLADIUS")</f>
        <v/>
      </c>
      <c r="B48" s="4">
        <f>IFERROR(__xludf.DUMMYFUNCTION("""COMPUTED_VALUE"""),"TRIFLURALINA NORTOX GOLD")</f>
        <v/>
      </c>
      <c r="C48" s="4">
        <f>IFERROR(__xludf.DUMMYFUNCTION("""COMPUTED_VALUE"""),"TYPHOON NORTOX")</f>
        <v/>
      </c>
      <c r="D48" s="20" t="n"/>
      <c r="E48" s="20" t="n"/>
      <c r="F48" s="20" t="n"/>
      <c r="G48" s="20" t="n"/>
      <c r="H48" s="20" t="n"/>
      <c r="I48" s="20" t="n"/>
      <c r="J48" s="20" t="n"/>
      <c r="K48" s="20" t="n"/>
      <c r="L48" s="20" t="n"/>
      <c r="M48" s="20" t="n"/>
      <c r="N48" s="4" t="n"/>
    </row>
    <row r="49" ht="15.75" customHeight="1" s="297">
      <c r="A49" s="4">
        <f>IFERROR(__xludf.DUMMYFUNCTION("""COMPUTED_VALUE"""),"SIALEX 500")</f>
        <v/>
      </c>
      <c r="B49" s="4">
        <f>IFERROR(__xludf.DUMMYFUNCTION("""COMPUTED_VALUE"""),"CLICK")</f>
        <v/>
      </c>
      <c r="C49" s="4">
        <f>IFERROR(__xludf.DUMMYFUNCTION("""COMPUTED_VALUE"""),"ABADAY")</f>
        <v/>
      </c>
      <c r="D49" s="20" t="n"/>
      <c r="E49" s="20" t="n"/>
      <c r="F49" s="20" t="n"/>
      <c r="G49" s="20" t="n"/>
      <c r="H49" s="20" t="n"/>
      <c r="I49" s="20" t="n"/>
      <c r="J49" s="20" t="n"/>
      <c r="K49" s="20" t="n"/>
      <c r="L49" s="20" t="n"/>
      <c r="M49" s="20" t="n"/>
      <c r="N49" s="4" t="n"/>
    </row>
    <row r="50" ht="15.75" customHeight="1" s="297">
      <c r="A50" s="4">
        <f>IFERROR(__xludf.DUMMYFUNCTION("""COMPUTED_VALUE"""),"TAMIZ")</f>
        <v/>
      </c>
      <c r="B50" s="4">
        <f>IFERROR(__xludf.DUMMYFUNCTION("""COMPUTED_VALUE"""),"VOLCANE")</f>
        <v/>
      </c>
      <c r="C50" s="4">
        <f>IFERROR(__xludf.DUMMYFUNCTION("""COMPUTED_VALUE"""),"CARNADINE")</f>
        <v/>
      </c>
      <c r="D50" s="20" t="n"/>
      <c r="E50" s="20" t="n"/>
      <c r="F50" s="20" t="n"/>
      <c r="G50" s="20" t="n"/>
      <c r="H50" s="20" t="n"/>
      <c r="I50" s="20" t="n"/>
      <c r="J50" s="20" t="n"/>
      <c r="K50" s="20" t="n"/>
      <c r="L50" s="20" t="n"/>
      <c r="M50" s="20" t="n"/>
      <c r="N50" s="4" t="n"/>
    </row>
    <row r="51" ht="15.75" customHeight="1" s="297">
      <c r="A51" s="4">
        <f>IFERROR(__xludf.DUMMYFUNCTION("""COMPUTED_VALUE"""),"TROIA")</f>
        <v/>
      </c>
      <c r="B51" s="4">
        <f>IFERROR(__xludf.DUMMYFUNCTION("""COMPUTED_VALUE"""),"CRUCIAL")</f>
        <v/>
      </c>
      <c r="C51" s="4">
        <f>IFERROR(__xludf.DUMMYFUNCTION("""COMPUTED_VALUE"""),"CARTAP BR 500")</f>
        <v/>
      </c>
      <c r="D51" s="20" t="n"/>
      <c r="E51" s="20" t="n"/>
      <c r="F51" s="20" t="n"/>
      <c r="G51" s="20" t="n"/>
      <c r="H51" s="20" t="n"/>
      <c r="I51" s="20" t="n"/>
      <c r="J51" s="20" t="n"/>
      <c r="K51" s="20" t="n"/>
      <c r="L51" s="20" t="n"/>
      <c r="M51" s="20" t="n"/>
      <c r="N51" s="4" t="n"/>
    </row>
    <row r="52" ht="15.75" customHeight="1" s="297">
      <c r="A52" s="4">
        <f>IFERROR(__xludf.DUMMYFUNCTION("""COMPUTED_VALUE"""),"ALADE")</f>
        <v/>
      </c>
      <c r="B52" s="4">
        <f>IFERROR(__xludf.DUMMYFUNCTION("""COMPUTED_VALUE"""),"SUMYZIN 500 SC")</f>
        <v/>
      </c>
      <c r="C52" s="4">
        <f>IFERROR(__xludf.DUMMYFUNCTION("""COMPUTED_VALUE"""),"INSIDE FS")</f>
        <v/>
      </c>
      <c r="D52" s="20" t="n"/>
      <c r="E52" s="20" t="n"/>
      <c r="F52" s="20" t="n"/>
      <c r="G52" s="20" t="n"/>
      <c r="H52" s="20" t="n"/>
      <c r="I52" s="20" t="n"/>
      <c r="J52" s="20" t="n"/>
      <c r="K52" s="20" t="n"/>
      <c r="L52" s="20" t="n"/>
      <c r="M52" s="20" t="n"/>
      <c r="N52" s="4" t="n"/>
    </row>
    <row r="53" ht="15.75" customHeight="1" s="297">
      <c r="A53" s="4">
        <f>IFERROR(__xludf.DUMMYFUNCTION("""COMPUTED_VALUE"""),"AMISTAR TOP")</f>
        <v/>
      </c>
      <c r="B53" s="4">
        <f>IFERROR(__xludf.DUMMYFUNCTION("""COMPUTED_VALUE"""),"U 46 BR")</f>
        <v/>
      </c>
      <c r="C53" s="4">
        <f>IFERROR(__xludf.DUMMYFUNCTION("""COMPUTED_VALUE"""),"KAISO MAX")</f>
        <v/>
      </c>
      <c r="D53" s="20" t="n"/>
      <c r="E53" s="20" t="n"/>
      <c r="F53" s="20" t="n"/>
      <c r="G53" s="20" t="n"/>
      <c r="H53" s="20" t="n"/>
      <c r="I53" s="20" t="n"/>
      <c r="J53" s="20" t="n"/>
      <c r="K53" s="20" t="n"/>
      <c r="L53" s="20" t="n"/>
      <c r="M53" s="20" t="n"/>
      <c r="N53" s="4" t="n"/>
    </row>
    <row r="54" ht="15.75" customHeight="1" s="297">
      <c r="A54" s="4">
        <f>IFERROR(__xludf.DUMMYFUNCTION("""COMPUTED_VALUE"""),"AUGE")</f>
        <v/>
      </c>
      <c r="B54" s="4">
        <f>IFERROR(__xludf.DUMMYFUNCTION("""COMPUTED_VALUE"""),"ZETHAMAXX")</f>
        <v/>
      </c>
      <c r="C54" s="4">
        <f>IFERROR(__xludf.DUMMYFUNCTION("""COMPUTED_VALUE"""),"KLORPAN 480 EC")</f>
        <v/>
      </c>
      <c r="D54" s="20" t="n"/>
      <c r="E54" s="20" t="n"/>
      <c r="F54" s="20" t="n"/>
      <c r="G54" s="20" t="n"/>
      <c r="H54" s="20" t="n"/>
      <c r="I54" s="20" t="n"/>
      <c r="J54" s="20" t="n"/>
      <c r="K54" s="20" t="n"/>
      <c r="L54" s="20" t="n"/>
      <c r="M54" s="20" t="n"/>
      <c r="N54" s="4" t="n"/>
    </row>
    <row r="55" ht="15.75" customHeight="1" s="297">
      <c r="A55" s="4">
        <f>IFERROR(__xludf.DUMMYFUNCTION("""COMPUTED_VALUE"""),"BRAVONIL 720")</f>
        <v/>
      </c>
      <c r="B55" s="4">
        <f>IFERROR(__xludf.DUMMYFUNCTION("""COMPUTED_VALUE"""),"ZETHAMAXX EVO")</f>
        <v/>
      </c>
      <c r="C55" s="4">
        <f>IFERROR(__xludf.DUMMYFUNCTION("""COMPUTED_VALUE"""),"LEGION")</f>
        <v/>
      </c>
      <c r="D55" s="20" t="n"/>
      <c r="E55" s="20" t="n"/>
      <c r="F55" s="20" t="n"/>
      <c r="G55" s="20" t="n"/>
      <c r="H55" s="20" t="n"/>
      <c r="I55" s="20" t="n"/>
      <c r="J55" s="20" t="n"/>
      <c r="K55" s="20" t="n"/>
      <c r="L55" s="20" t="n"/>
      <c r="M55" s="20" t="n"/>
      <c r="N55" s="4" t="n"/>
    </row>
    <row r="56" ht="15.75" customHeight="1" s="297">
      <c r="A56" s="4">
        <f>IFERROR(__xludf.DUMMYFUNCTION("""COMPUTED_VALUE"""),"BRAVONIL TOP")</f>
        <v/>
      </c>
      <c r="B56" s="4">
        <f>IFERROR(__xludf.DUMMYFUNCTION("""COMPUTED_VALUE"""),"CALARIS")</f>
        <v/>
      </c>
      <c r="C56" s="4">
        <f>IFERROR(__xludf.DUMMYFUNCTION("""COMPUTED_VALUE"""),"OPTERADUO")</f>
        <v/>
      </c>
      <c r="D56" s="20" t="n"/>
      <c r="E56" s="20" t="n"/>
      <c r="F56" s="20" t="n"/>
      <c r="G56" s="20" t="n"/>
      <c r="H56" s="20" t="n"/>
      <c r="I56" s="20" t="n"/>
      <c r="J56" s="20" t="n"/>
      <c r="K56" s="20" t="n"/>
      <c r="L56" s="20" t="n"/>
      <c r="M56" s="20" t="n"/>
      <c r="N56" s="4" t="n"/>
    </row>
    <row r="57" ht="15.75" customHeight="1" s="297">
      <c r="A57" s="4">
        <f>IFERROR(__xludf.DUMMYFUNCTION("""COMPUTED_VALUE"""),"CYPRESS 400 EC")</f>
        <v/>
      </c>
      <c r="B57" s="4">
        <f>IFERROR(__xludf.DUMMYFUNCTION("""COMPUTED_VALUE"""),"DUAL GOLD")</f>
        <v/>
      </c>
      <c r="C57" s="4">
        <f>IFERROR(__xludf.DUMMYFUNCTION("""COMPUTED_VALUE"""),"SUMIRODY")</f>
        <v/>
      </c>
      <c r="D57" s="20" t="n"/>
      <c r="E57" s="20" t="n"/>
      <c r="F57" s="20" t="n"/>
      <c r="G57" s="20" t="n"/>
      <c r="H57" s="20" t="n"/>
      <c r="I57" s="20" t="n"/>
      <c r="J57" s="20" t="n"/>
      <c r="K57" s="20" t="n"/>
      <c r="L57" s="20" t="n"/>
      <c r="M57" s="20" t="n"/>
      <c r="N57" s="4" t="n"/>
    </row>
    <row r="58" ht="15.75" customHeight="1" s="297">
      <c r="A58" s="4">
        <f>IFERROR(__xludf.DUMMYFUNCTION("""COMPUTED_VALUE"""),"ELATUS")</f>
        <v/>
      </c>
      <c r="B58" s="4">
        <f>IFERROR(__xludf.DUMMYFUNCTION("""COMPUTED_VALUE"""),"EDDUS")</f>
        <v/>
      </c>
      <c r="C58" s="4">
        <f>IFERROR(__xludf.DUMMYFUNCTION("""COMPUTED_VALUE"""),"XENTARI")</f>
        <v/>
      </c>
      <c r="D58" s="20" t="n"/>
      <c r="E58" s="20" t="n"/>
      <c r="F58" s="20" t="n"/>
      <c r="G58" s="20" t="n"/>
      <c r="H58" s="20" t="n"/>
      <c r="I58" s="20" t="n"/>
      <c r="J58" s="20" t="n"/>
      <c r="K58" s="20" t="n"/>
      <c r="L58" s="20" t="n"/>
      <c r="M58" s="20" t="n"/>
      <c r="N58" s="4" t="n"/>
    </row>
    <row r="59" ht="15.75" customHeight="1" s="297">
      <c r="A59" s="4">
        <f>IFERROR(__xludf.DUMMYFUNCTION("""COMPUTED_VALUE"""),"MERTIN 400")</f>
        <v/>
      </c>
      <c r="B59" s="4">
        <f>IFERROR(__xludf.DUMMYFUNCTION("""COMPUTED_VALUE"""),"FLEX")</f>
        <v/>
      </c>
      <c r="C59" s="4">
        <f>IFERROR(__xludf.DUMMYFUNCTION("""COMPUTED_VALUE"""),"ACTARA 250 WG")</f>
        <v/>
      </c>
      <c r="D59" s="20" t="n"/>
      <c r="E59" s="20" t="n"/>
      <c r="F59" s="20" t="n"/>
      <c r="G59" s="20" t="n"/>
      <c r="H59" s="20" t="n"/>
      <c r="I59" s="20" t="n"/>
      <c r="J59" s="20" t="n"/>
      <c r="K59" s="20" t="n"/>
      <c r="L59" s="20" t="n"/>
      <c r="M59" s="20" t="n"/>
      <c r="N59" s="4" t="n"/>
    </row>
    <row r="60" ht="15.75" customHeight="1" s="297">
      <c r="A60" s="4">
        <f>IFERROR(__xludf.DUMMYFUNCTION("""COMPUTED_VALUE"""),"MIRAVIS")</f>
        <v/>
      </c>
      <c r="B60" s="4">
        <f>IFERROR(__xludf.DUMMYFUNCTION("""COMPUTED_VALUE"""),"FUSILADE")</f>
        <v/>
      </c>
      <c r="C60" s="4">
        <f>IFERROR(__xludf.DUMMYFUNCTION("""COMPUTED_VALUE"""),"AMPLIGO")</f>
        <v/>
      </c>
      <c r="D60" s="20" t="n"/>
      <c r="E60" s="20" t="n"/>
      <c r="F60" s="20" t="n"/>
      <c r="G60" s="20" t="n"/>
      <c r="H60" s="20" t="n"/>
      <c r="I60" s="20" t="n"/>
      <c r="J60" s="20" t="n"/>
      <c r="K60" s="20" t="n"/>
      <c r="L60" s="20" t="n"/>
      <c r="M60" s="20" t="n"/>
      <c r="N60" s="4" t="n"/>
    </row>
    <row r="61" ht="15.75" customHeight="1" s="297">
      <c r="A61" s="4">
        <f>IFERROR(__xludf.DUMMYFUNCTION("""COMPUTED_VALUE"""),"MIRAVIS DUO")</f>
        <v/>
      </c>
      <c r="B61" s="4">
        <f>IFERROR(__xludf.DUMMYFUNCTION("""COMPUTED_VALUE"""),"GESAPRIM GRDA")</f>
        <v/>
      </c>
      <c r="C61" s="4">
        <f>IFERROR(__xludf.DUMMYFUNCTION("""COMPUTED_VALUE"""),"CURYOM 550 EC")</f>
        <v/>
      </c>
      <c r="D61" s="20" t="n"/>
      <c r="E61" s="20" t="n"/>
      <c r="F61" s="20" t="n"/>
      <c r="G61" s="20" t="n"/>
      <c r="H61" s="20" t="n"/>
      <c r="I61" s="20" t="n"/>
      <c r="J61" s="20" t="n"/>
      <c r="K61" s="20" t="n"/>
      <c r="L61" s="20" t="n"/>
      <c r="M61" s="20" t="n"/>
      <c r="N61" s="4" t="n"/>
    </row>
    <row r="62" ht="15.75" customHeight="1" s="297">
      <c r="A62" s="4">
        <f>IFERROR(__xludf.DUMMYFUNCTION("""COMPUTED_VALUE"""),"MIRAVIS PRO")</f>
        <v/>
      </c>
      <c r="B62" s="4">
        <f>IFERROR(__xludf.DUMMYFUNCTION("""COMPUTED_VALUE"""),"PRIMESTRA GOLD")</f>
        <v/>
      </c>
      <c r="C62" s="4">
        <f>IFERROR(__xludf.DUMMYFUNCTION("""COMPUTED_VALUE"""),"ELESTAL NEO")</f>
        <v/>
      </c>
      <c r="D62" s="20" t="n"/>
      <c r="E62" s="20" t="n"/>
      <c r="F62" s="20" t="n"/>
      <c r="G62" s="20" t="n"/>
      <c r="H62" s="20" t="n"/>
      <c r="I62" s="20" t="n"/>
      <c r="J62" s="20" t="n"/>
      <c r="K62" s="20" t="n"/>
      <c r="L62" s="20" t="n"/>
      <c r="M62" s="20" t="n"/>
      <c r="N62" s="4" t="n"/>
    </row>
    <row r="63" ht="15.75" customHeight="1" s="297">
      <c r="A63" s="4">
        <f>IFERROR(__xludf.DUMMYFUNCTION("""COMPUTED_VALUE"""),"MITRION EC")</f>
        <v/>
      </c>
      <c r="B63" s="4">
        <f>IFERROR(__xludf.DUMMYFUNCTION("""COMPUTED_VALUE"""),"PROOF")</f>
        <v/>
      </c>
      <c r="C63" s="4">
        <f>IFERROR(__xludf.DUMMYFUNCTION("""COMPUTED_VALUE"""),"ENGEO PLENO S")</f>
        <v/>
      </c>
      <c r="D63" s="20" t="n"/>
      <c r="E63" s="20" t="n"/>
      <c r="F63" s="20" t="n"/>
      <c r="G63" s="20" t="n"/>
      <c r="H63" s="20" t="n"/>
      <c r="I63" s="20" t="n"/>
      <c r="J63" s="20" t="n"/>
      <c r="K63" s="20" t="n"/>
      <c r="L63" s="20" t="n"/>
      <c r="M63" s="20" t="n"/>
      <c r="N63" s="4" t="n"/>
    </row>
    <row r="64" ht="15.75" customHeight="1" s="297">
      <c r="A64" s="4">
        <f>IFERROR(__xludf.DUMMYFUNCTION("""COMPUTED_VALUE"""),"PRIORI TOP")</f>
        <v/>
      </c>
      <c r="B64" s="4">
        <f>IFERROR(__xludf.DUMMYFUNCTION("""COMPUTED_VALUE"""),"REGLONE")</f>
        <v/>
      </c>
      <c r="C64" s="4">
        <f>IFERROR(__xludf.DUMMYFUNCTION("""COMPUTED_VALUE"""),"KARATE ZEON 250 CS")</f>
        <v/>
      </c>
      <c r="D64" s="20" t="n"/>
      <c r="E64" s="20" t="n"/>
      <c r="F64" s="20" t="n"/>
      <c r="G64" s="20" t="n"/>
      <c r="H64" s="20" t="n"/>
      <c r="I64" s="20" t="n"/>
      <c r="J64" s="20" t="n"/>
      <c r="K64" s="20" t="n"/>
      <c r="L64" s="20" t="n"/>
      <c r="M64" s="20" t="n"/>
      <c r="N64" s="4" t="n"/>
    </row>
    <row r="65" ht="15.75" customHeight="1" s="297">
      <c r="A65" s="4">
        <f>IFERROR(__xludf.DUMMYFUNCTION("""COMPUTED_VALUE"""),"RIDOMIL GOLD BRAVO")</f>
        <v/>
      </c>
      <c r="B65" s="4">
        <f>IFERROR(__xludf.DUMMYFUNCTION("""COMPUTED_VALUE"""),"TOPIK 240 EC")</f>
        <v/>
      </c>
      <c r="C65" s="4">
        <f>IFERROR(__xludf.DUMMYFUNCTION("""COMPUTED_VALUE"""),"MINECTO PRO")</f>
        <v/>
      </c>
      <c r="D65" s="20" t="n"/>
      <c r="E65" s="20" t="n"/>
      <c r="F65" s="20" t="n"/>
      <c r="G65" s="20" t="n"/>
      <c r="H65" s="20" t="n"/>
      <c r="I65" s="20" t="n"/>
      <c r="J65" s="20" t="n"/>
      <c r="K65" s="20" t="n"/>
      <c r="L65" s="20" t="n"/>
      <c r="M65" s="20" t="n"/>
      <c r="N65" s="4" t="n"/>
    </row>
    <row r="66" ht="15.75" customHeight="1" s="297">
      <c r="A66" s="4">
        <f>IFERROR(__xludf.DUMMYFUNCTION("""COMPUTED_VALUE"""),"SCORE FLEXI®")</f>
        <v/>
      </c>
      <c r="B66" s="4">
        <f>IFERROR(__xludf.DUMMYFUNCTION("""COMPUTED_VALUE"""),"ZAPP QI 620")</f>
        <v/>
      </c>
      <c r="C66" s="4">
        <f>IFERROR(__xludf.DUMMYFUNCTION("""COMPUTED_VALUE"""),"POLO 500 SC")</f>
        <v/>
      </c>
      <c r="D66" s="20" t="n"/>
      <c r="E66" s="20" t="n"/>
      <c r="F66" s="20" t="n"/>
      <c r="G66" s="20" t="n"/>
      <c r="H66" s="20" t="n"/>
      <c r="I66" s="20" t="n"/>
      <c r="J66" s="20" t="n"/>
      <c r="K66" s="20" t="n"/>
      <c r="L66" s="20" t="n"/>
      <c r="M66" s="20" t="n"/>
      <c r="N66" s="4" t="n"/>
    </row>
    <row r="67" ht="15.75" customHeight="1" s="297">
      <c r="A67" s="4">
        <f>IFERROR(__xludf.DUMMYFUNCTION("""COMPUTED_VALUE"""),"SEEKER")</f>
        <v/>
      </c>
      <c r="B67" s="4">
        <f>IFERROR(__xludf.DUMMYFUNCTION("""COMPUTED_VALUE"""),"MINOS CAPS 360 CS")</f>
        <v/>
      </c>
      <c r="C67" s="4">
        <f>IFERROR(__xludf.DUMMYFUNCTION("""COMPUTED_VALUE"""),"POLYTRIN")</f>
        <v/>
      </c>
      <c r="D67" s="20" t="n"/>
      <c r="E67" s="20" t="n"/>
      <c r="F67" s="20" t="n"/>
      <c r="G67" s="20" t="n"/>
      <c r="H67" s="20" t="n"/>
      <c r="I67" s="20" t="n"/>
      <c r="J67" s="20" t="n"/>
      <c r="K67" s="20" t="n"/>
      <c r="L67" s="20" t="n"/>
      <c r="M67" s="20" t="n"/>
      <c r="N67" s="4" t="n"/>
    </row>
    <row r="68" ht="15.75" customHeight="1" s="297">
      <c r="A68" s="20" t="n"/>
      <c r="B68" s="20" t="n"/>
      <c r="C68" s="4">
        <f>IFERROR(__xludf.DUMMYFUNCTION("""COMPUTED_VALUE"""),"PROCLAIM 50")</f>
        <v/>
      </c>
      <c r="D68" s="20" t="n"/>
      <c r="E68" s="20" t="n"/>
      <c r="F68" s="20" t="n"/>
      <c r="G68" s="20" t="n"/>
      <c r="H68" s="20" t="n"/>
      <c r="I68" s="20" t="n"/>
      <c r="J68" s="20" t="n"/>
      <c r="K68" s="20" t="n"/>
      <c r="L68" s="20" t="n"/>
      <c r="M68" s="20" t="n"/>
      <c r="N68" s="4" t="n"/>
    </row>
    <row r="69" ht="15.75" customHeight="1" s="297">
      <c r="A69" s="20" t="n"/>
      <c r="B69" s="20" t="n"/>
      <c r="C69" s="4">
        <f>IFERROR(__xludf.DUMMYFUNCTION("""COMPUTED_VALUE"""),"SPONTA")</f>
        <v/>
      </c>
      <c r="D69" s="20" t="n"/>
      <c r="E69" s="20" t="n"/>
      <c r="F69" s="20" t="n"/>
      <c r="G69" s="20" t="n"/>
      <c r="H69" s="20" t="n"/>
      <c r="I69" s="20" t="n"/>
      <c r="J69" s="20" t="n"/>
      <c r="K69" s="20" t="n"/>
      <c r="L69" s="20" t="n"/>
      <c r="M69" s="20" t="n"/>
      <c r="N69" s="4" t="n"/>
    </row>
    <row r="70" ht="15.75" customHeight="1" s="297">
      <c r="A70" s="20" t="n"/>
      <c r="B70" s="20" t="n"/>
      <c r="C70" s="4">
        <f>IFERROR(__xludf.DUMMYFUNCTION("""COMPUTED_VALUE"""),"VERDAVIS")</f>
        <v/>
      </c>
      <c r="D70" s="20" t="n"/>
      <c r="E70" s="20" t="n"/>
      <c r="F70" s="20" t="n"/>
      <c r="G70" s="20" t="n"/>
      <c r="H70" s="20" t="n"/>
      <c r="I70" s="20" t="n"/>
      <c r="J70" s="20" t="n"/>
      <c r="K70" s="20" t="n"/>
      <c r="L70" s="20" t="n"/>
      <c r="M70" s="20" t="n"/>
      <c r="N70" s="4" t="n"/>
    </row>
    <row r="71" ht="15.75" customHeight="1" s="297">
      <c r="A71" s="20" t="n"/>
      <c r="B71" s="20" t="n"/>
      <c r="C71" s="4">
        <f>IFERROR(__xludf.DUMMYFUNCTION("""COMPUTED_VALUE"""),"VERTIMEC 84 SC")</f>
        <v/>
      </c>
      <c r="D71" s="20" t="n"/>
      <c r="E71" s="20" t="n"/>
      <c r="F71" s="20" t="n"/>
      <c r="G71" s="20" t="n"/>
      <c r="H71" s="20" t="n"/>
      <c r="I71" s="20" t="n"/>
      <c r="J71" s="20" t="n"/>
      <c r="K71" s="20" t="n"/>
      <c r="L71" s="20" t="n"/>
      <c r="M71" s="20" t="n"/>
      <c r="N71" s="4" t="n"/>
    </row>
    <row r="72" ht="15.75" customHeight="1" s="297">
      <c r="A72" s="20" t="n"/>
      <c r="B72" s="20" t="n"/>
      <c r="C72" s="20" t="n"/>
      <c r="D72" s="20" t="n"/>
      <c r="E72" s="20" t="n"/>
      <c r="F72" s="20" t="n"/>
      <c r="G72" s="20" t="n"/>
      <c r="H72" s="20" t="n"/>
      <c r="I72" s="20" t="n"/>
      <c r="J72" s="20" t="n"/>
      <c r="K72" s="20" t="n"/>
      <c r="L72" s="20" t="n"/>
      <c r="M72" s="20" t="n"/>
      <c r="N72" s="4" t="n"/>
    </row>
    <row r="73" ht="15.75" customHeight="1" s="297">
      <c r="A73" s="20" t="n"/>
      <c r="B73" s="20" t="n"/>
      <c r="C73" s="20" t="n"/>
      <c r="D73" s="20" t="n"/>
      <c r="E73" s="20" t="n"/>
      <c r="F73" s="20" t="n"/>
      <c r="G73" s="20" t="n"/>
      <c r="H73" s="20" t="n"/>
      <c r="I73" s="20" t="n"/>
      <c r="J73" s="20" t="n"/>
      <c r="K73" s="20" t="n"/>
      <c r="L73" s="20" t="n"/>
      <c r="M73" s="20" t="n"/>
      <c r="N73" s="4" t="n"/>
    </row>
    <row r="74" ht="15.75" customHeight="1" s="297">
      <c r="A74" s="20" t="n"/>
      <c r="B74" s="20" t="n"/>
      <c r="C74" s="20" t="n"/>
      <c r="D74" s="20" t="n"/>
      <c r="E74" s="20" t="n"/>
      <c r="F74" s="20" t="n"/>
      <c r="G74" s="20" t="n"/>
      <c r="H74" s="20" t="n"/>
      <c r="I74" s="20" t="n"/>
      <c r="J74" s="20" t="n"/>
      <c r="K74" s="20" t="n"/>
      <c r="L74" s="20" t="n"/>
      <c r="M74" s="20" t="n"/>
      <c r="N74" s="4" t="n"/>
    </row>
    <row r="75" ht="15.75" customHeight="1" s="297">
      <c r="A75" s="20" t="n"/>
      <c r="B75" s="20" t="n"/>
      <c r="C75" s="20" t="n"/>
      <c r="D75" s="20" t="n"/>
      <c r="E75" s="20" t="n"/>
      <c r="F75" s="20" t="n"/>
      <c r="G75" s="20" t="n"/>
      <c r="H75" s="20" t="n"/>
      <c r="I75" s="20" t="n"/>
      <c r="J75" s="20" t="n"/>
      <c r="K75" s="20" t="n"/>
      <c r="L75" s="20" t="n"/>
      <c r="M75" s="20" t="n"/>
      <c r="N75" s="4" t="n"/>
    </row>
    <row r="76" ht="15.75" customHeight="1" s="297">
      <c r="A76" s="20" t="n"/>
      <c r="B76" s="20" t="n"/>
      <c r="C76" s="20" t="n"/>
      <c r="D76" s="20" t="n"/>
      <c r="E76" s="20" t="n"/>
      <c r="F76" s="20" t="n"/>
      <c r="G76" s="20" t="n"/>
      <c r="H76" s="20" t="n"/>
      <c r="I76" s="20" t="n"/>
      <c r="J76" s="20" t="n"/>
      <c r="K76" s="20" t="n"/>
      <c r="L76" s="20" t="n"/>
      <c r="M76" s="20" t="n"/>
      <c r="N76" s="4" t="n"/>
    </row>
    <row r="77" ht="15.75" customHeight="1" s="297">
      <c r="A77" s="20" t="n"/>
      <c r="B77" s="20" t="n"/>
      <c r="C77" s="20" t="n"/>
      <c r="D77" s="20" t="n"/>
      <c r="E77" s="20" t="n"/>
      <c r="F77" s="20" t="n"/>
      <c r="G77" s="20" t="n"/>
      <c r="H77" s="20" t="n"/>
      <c r="I77" s="20" t="n"/>
      <c r="J77" s="20" t="n"/>
      <c r="K77" s="20" t="n"/>
      <c r="L77" s="20" t="n"/>
      <c r="M77" s="20" t="n"/>
      <c r="N77" s="4" t="n"/>
    </row>
    <row r="78" ht="15.75" customHeight="1" s="297">
      <c r="A78" s="4" t="n"/>
      <c r="B78" s="4" t="n"/>
      <c r="C78" s="4" t="n"/>
      <c r="D78" s="4" t="n"/>
      <c r="E78" s="4" t="n"/>
      <c r="F78" s="4" t="n"/>
      <c r="G78" s="4" t="n"/>
      <c r="H78" s="4" t="n"/>
      <c r="I78" s="4" t="n"/>
      <c r="J78" s="4" t="n"/>
      <c r="K78" s="4" t="n"/>
      <c r="L78" s="4" t="n"/>
      <c r="M78" s="4" t="n"/>
      <c r="N78" s="4" t="n"/>
    </row>
    <row r="79" ht="15.75" customHeight="1" s="297">
      <c r="A79" s="4" t="n"/>
      <c r="B79" s="4" t="n"/>
      <c r="C79" s="4" t="n"/>
      <c r="D79" s="4" t="n"/>
      <c r="E79" s="4" t="n"/>
      <c r="F79" s="4" t="n"/>
      <c r="G79" s="4" t="n"/>
      <c r="H79" s="4" t="n"/>
      <c r="I79" s="4" t="n"/>
      <c r="J79" s="4" t="n"/>
      <c r="K79" s="4" t="n"/>
      <c r="L79" s="4" t="n"/>
      <c r="M79" s="4" t="n"/>
      <c r="N79" s="4" t="n"/>
    </row>
    <row r="80" ht="15.75" customHeight="1" s="297">
      <c r="A80" s="4" t="n"/>
      <c r="B80" s="4" t="n"/>
      <c r="C80" s="4" t="n"/>
      <c r="D80" s="4" t="n"/>
      <c r="E80" s="4" t="n"/>
      <c r="F80" s="4" t="n"/>
      <c r="G80" s="4" t="n"/>
      <c r="H80" s="4" t="n"/>
      <c r="I80" s="4" t="n"/>
      <c r="J80" s="4" t="n"/>
      <c r="K80" s="4" t="n"/>
      <c r="L80" s="4" t="n"/>
      <c r="M80" s="4" t="n"/>
      <c r="N80" s="4" t="n"/>
    </row>
    <row r="81" ht="15.75" customHeight="1" s="297">
      <c r="A81" s="4" t="n"/>
      <c r="B81" s="4" t="n"/>
      <c r="C81" s="4" t="n"/>
      <c r="D81" s="4" t="n"/>
      <c r="E81" s="4" t="n"/>
      <c r="F81" s="4" t="n"/>
      <c r="G81" s="4" t="n"/>
      <c r="H81" s="4" t="n"/>
      <c r="I81" s="4" t="n"/>
      <c r="J81" s="4" t="n"/>
      <c r="K81" s="4" t="n"/>
      <c r="L81" s="4" t="n"/>
      <c r="M81" s="4" t="n"/>
      <c r="N81" s="4" t="n"/>
    </row>
    <row r="82" ht="15.75" customHeight="1" s="297">
      <c r="A82" s="4" t="n"/>
      <c r="B82" s="4" t="n"/>
      <c r="C82" s="4" t="n"/>
      <c r="D82" s="4" t="n"/>
      <c r="E82" s="4" t="n"/>
      <c r="F82" s="4" t="n"/>
      <c r="G82" s="4" t="n"/>
      <c r="H82" s="4" t="n"/>
      <c r="I82" s="4" t="n"/>
      <c r="J82" s="4" t="n"/>
      <c r="K82" s="4" t="n"/>
      <c r="L82" s="4" t="n"/>
      <c r="M82" s="4" t="n"/>
      <c r="N82" s="4" t="n"/>
    </row>
    <row r="83" ht="15.75" customHeight="1" s="297">
      <c r="A83" s="4" t="n"/>
      <c r="B83" s="4" t="n"/>
      <c r="C83" s="4" t="n"/>
      <c r="D83" s="4" t="n"/>
      <c r="E83" s="4" t="n"/>
      <c r="F83" s="4" t="n"/>
      <c r="G83" s="4" t="n"/>
      <c r="H83" s="4" t="n"/>
      <c r="I83" s="4" t="n"/>
      <c r="J83" s="4" t="n"/>
      <c r="K83" s="4" t="n"/>
      <c r="L83" s="4" t="n"/>
      <c r="M83" s="4" t="n"/>
      <c r="N83" s="4" t="n"/>
    </row>
    <row r="84" ht="15.75" customHeight="1" s="297">
      <c r="A84" s="4" t="n"/>
      <c r="B84" s="4" t="n"/>
      <c r="C84" s="4" t="n"/>
      <c r="D84" s="4" t="n"/>
      <c r="E84" s="4" t="n"/>
      <c r="F84" s="4" t="n"/>
      <c r="G84" s="4" t="n"/>
      <c r="H84" s="4" t="n"/>
      <c r="I84" s="4" t="n"/>
      <c r="J84" s="4" t="n"/>
      <c r="K84" s="4" t="n"/>
      <c r="L84" s="4" t="n"/>
      <c r="M84" s="4" t="n"/>
      <c r="N84" s="4" t="n"/>
    </row>
    <row r="85" ht="15.75" customHeight="1" s="297">
      <c r="A85" s="4" t="n"/>
      <c r="B85" s="4" t="n"/>
      <c r="C85" s="4" t="n"/>
      <c r="D85" s="4" t="n"/>
      <c r="E85" s="4" t="n"/>
      <c r="F85" s="4" t="n"/>
      <c r="G85" s="4" t="n"/>
      <c r="H85" s="4" t="n"/>
      <c r="I85" s="4" t="n"/>
      <c r="J85" s="4" t="n"/>
      <c r="K85" s="4" t="n"/>
      <c r="L85" s="4" t="n"/>
      <c r="M85" s="4" t="n"/>
      <c r="N85" s="4" t="n"/>
    </row>
    <row r="86" ht="15.75" customHeight="1" s="297">
      <c r="A86" s="4" t="n"/>
      <c r="B86" s="4" t="n"/>
      <c r="C86" s="4" t="n"/>
      <c r="D86" s="4" t="n"/>
      <c r="E86" s="4" t="n"/>
      <c r="F86" s="4" t="n"/>
      <c r="G86" s="4" t="n"/>
      <c r="H86" s="4" t="n"/>
      <c r="I86" s="4" t="n"/>
      <c r="J86" s="4" t="n"/>
      <c r="K86" s="4" t="n"/>
      <c r="L86" s="4" t="n"/>
      <c r="M86" s="4" t="n"/>
      <c r="N86" s="4" t="n"/>
    </row>
    <row r="87" ht="15.75" customHeight="1" s="297">
      <c r="A87" s="4" t="n"/>
      <c r="B87" s="4" t="n"/>
      <c r="C87" s="4" t="n"/>
      <c r="D87" s="4" t="n"/>
      <c r="E87" s="4" t="n"/>
      <c r="F87" s="4" t="n"/>
      <c r="G87" s="4" t="n"/>
      <c r="H87" s="4" t="n"/>
      <c r="I87" s="4" t="n"/>
      <c r="J87" s="4" t="n"/>
      <c r="K87" s="4" t="n"/>
      <c r="L87" s="4" t="n"/>
      <c r="M87" s="4" t="n"/>
      <c r="N87" s="4" t="n"/>
    </row>
    <row r="88" ht="15.75" customHeight="1" s="297">
      <c r="A88" s="4" t="n"/>
      <c r="B88" s="4" t="n"/>
      <c r="C88" s="4" t="n"/>
      <c r="D88" s="4" t="n"/>
      <c r="E88" s="4" t="n"/>
      <c r="F88" s="4" t="n"/>
      <c r="G88" s="4" t="n"/>
      <c r="H88" s="4" t="n"/>
      <c r="I88" s="4" t="n"/>
      <c r="J88" s="4" t="n"/>
      <c r="K88" s="4" t="n"/>
      <c r="L88" s="4" t="n"/>
      <c r="M88" s="4" t="n"/>
      <c r="N88" s="4" t="n"/>
    </row>
    <row r="89" ht="15.75" customHeight="1" s="297">
      <c r="A89" s="4" t="n"/>
      <c r="B89" s="4" t="n"/>
      <c r="C89" s="4" t="n"/>
      <c r="D89" s="4" t="n"/>
      <c r="E89" s="4" t="n"/>
      <c r="F89" s="4" t="n"/>
      <c r="G89" s="4" t="n"/>
      <c r="H89" s="4" t="n"/>
      <c r="I89" s="4" t="n"/>
      <c r="J89" s="4" t="n"/>
      <c r="K89" s="4" t="n"/>
      <c r="L89" s="4" t="n"/>
      <c r="M89" s="4" t="n"/>
      <c r="N89" s="4" t="n"/>
    </row>
    <row r="90" ht="15.75" customHeight="1" s="297">
      <c r="A90" s="4" t="n"/>
      <c r="B90" s="4" t="n"/>
      <c r="C90" s="4" t="n"/>
      <c r="D90" s="4" t="n"/>
      <c r="E90" s="4" t="n"/>
      <c r="F90" s="4" t="n"/>
      <c r="G90" s="4" t="n"/>
      <c r="H90" s="4" t="n"/>
      <c r="I90" s="4" t="n"/>
      <c r="J90" s="4" t="n"/>
      <c r="K90" s="4" t="n"/>
      <c r="L90" s="4" t="n"/>
      <c r="M90" s="4" t="n"/>
      <c r="N90" s="4" t="n"/>
    </row>
    <row r="91" ht="15.75" customHeight="1" s="297">
      <c r="A91" s="4" t="n"/>
      <c r="B91" s="4" t="n"/>
      <c r="C91" s="4" t="n"/>
      <c r="D91" s="4" t="n"/>
      <c r="E91" s="4" t="n"/>
      <c r="F91" s="4" t="n"/>
      <c r="G91" s="4" t="n"/>
      <c r="H91" s="4" t="n"/>
      <c r="I91" s="4" t="n"/>
      <c r="J91" s="4" t="n"/>
      <c r="K91" s="4" t="n"/>
      <c r="L91" s="4" t="n"/>
      <c r="M91" s="4" t="n"/>
      <c r="N91" s="4" t="n"/>
    </row>
    <row r="92" ht="15.75" customHeight="1" s="297">
      <c r="A92" s="4" t="n"/>
      <c r="B92" s="4" t="n"/>
      <c r="C92" s="4" t="n"/>
      <c r="D92" s="4" t="n"/>
      <c r="E92" s="4" t="n"/>
      <c r="F92" s="4" t="n"/>
      <c r="G92" s="4" t="n"/>
      <c r="H92" s="4" t="n"/>
      <c r="I92" s="4" t="n"/>
      <c r="J92" s="4" t="n"/>
      <c r="K92" s="4" t="n"/>
      <c r="L92" s="4" t="n"/>
      <c r="M92" s="4" t="n"/>
      <c r="N92" s="4" t="n"/>
    </row>
    <row r="93" ht="15.75" customHeight="1" s="297">
      <c r="A93" s="4" t="n"/>
      <c r="B93" s="4" t="n"/>
      <c r="C93" s="4" t="n"/>
      <c r="D93" s="4" t="n"/>
      <c r="E93" s="4" t="n"/>
      <c r="F93" s="4" t="n"/>
      <c r="G93" s="4" t="n"/>
      <c r="H93" s="4" t="n"/>
      <c r="I93" s="4" t="n"/>
      <c r="J93" s="4" t="n"/>
      <c r="K93" s="4" t="n"/>
      <c r="L93" s="4" t="n"/>
      <c r="M93" s="4" t="n"/>
      <c r="N93" s="4" t="n"/>
    </row>
    <row r="94" ht="15.75" customHeight="1" s="297">
      <c r="A94" s="4" t="n"/>
      <c r="B94" s="4" t="n"/>
      <c r="C94" s="4" t="n"/>
      <c r="D94" s="4" t="n"/>
      <c r="E94" s="4" t="n"/>
      <c r="F94" s="4" t="n"/>
      <c r="G94" s="4" t="n"/>
      <c r="H94" s="4" t="n"/>
      <c r="I94" s="4" t="n"/>
      <c r="J94" s="4" t="n"/>
      <c r="K94" s="4" t="n"/>
      <c r="L94" s="4" t="n"/>
      <c r="M94" s="4" t="n"/>
      <c r="N94" s="4" t="n"/>
    </row>
    <row r="95" ht="15.75" customHeight="1" s="297">
      <c r="A95" s="4" t="n"/>
      <c r="B95" s="4" t="n"/>
      <c r="C95" s="4" t="n"/>
      <c r="D95" s="4" t="n"/>
      <c r="E95" s="4" t="n"/>
      <c r="F95" s="4" t="n"/>
      <c r="G95" s="4" t="n"/>
      <c r="H95" s="4" t="n"/>
      <c r="I95" s="4" t="n"/>
      <c r="J95" s="4" t="n"/>
      <c r="K95" s="4" t="n"/>
      <c r="L95" s="4" t="n"/>
      <c r="M95" s="4" t="n"/>
      <c r="N95" s="4" t="n"/>
    </row>
    <row r="96" ht="15.75" customHeight="1" s="297">
      <c r="A96" s="4" t="n"/>
      <c r="B96" s="4" t="n"/>
      <c r="C96" s="4" t="n"/>
      <c r="D96" s="4" t="n"/>
      <c r="E96" s="4" t="n"/>
      <c r="F96" s="4" t="n"/>
      <c r="G96" s="4" t="n"/>
      <c r="H96" s="4" t="n"/>
      <c r="I96" s="4" t="n"/>
      <c r="J96" s="4" t="n"/>
      <c r="K96" s="4" t="n"/>
      <c r="L96" s="4" t="n"/>
      <c r="M96" s="4" t="n"/>
      <c r="N96" s="4" t="n"/>
    </row>
    <row r="97" ht="15.75" customHeight="1" s="297">
      <c r="A97" s="4" t="n"/>
      <c r="B97" s="4" t="n"/>
      <c r="C97" s="4" t="n"/>
      <c r="D97" s="4" t="n"/>
      <c r="E97" s="4" t="n"/>
      <c r="F97" s="4" t="n"/>
      <c r="G97" s="4" t="n"/>
      <c r="H97" s="4" t="n"/>
      <c r="I97" s="4" t="n"/>
      <c r="J97" s="4" t="n"/>
      <c r="K97" s="4" t="n"/>
      <c r="L97" s="4" t="n"/>
      <c r="M97" s="4" t="n"/>
      <c r="N97" s="4" t="n"/>
    </row>
    <row r="98" ht="15.75" customHeight="1" s="297">
      <c r="A98" s="4" t="n"/>
      <c r="B98" s="4" t="n"/>
      <c r="C98" s="4" t="n"/>
      <c r="D98" s="4" t="n"/>
      <c r="E98" s="4" t="n"/>
      <c r="F98" s="4" t="n"/>
      <c r="G98" s="4" t="n"/>
      <c r="H98" s="4" t="n"/>
      <c r="I98" s="4" t="n"/>
      <c r="J98" s="4" t="n"/>
      <c r="K98" s="4" t="n"/>
      <c r="L98" s="4" t="n"/>
      <c r="M98" s="4" t="n"/>
      <c r="N98" s="4" t="n"/>
    </row>
    <row r="99" ht="15.75" customHeight="1" s="297">
      <c r="A99" s="4" t="n"/>
      <c r="B99" s="4" t="n"/>
      <c r="C99" s="4" t="n"/>
      <c r="D99" s="4" t="n"/>
      <c r="E99" s="4" t="n"/>
      <c r="F99" s="4" t="n"/>
      <c r="G99" s="4" t="n"/>
      <c r="H99" s="4" t="n"/>
      <c r="I99" s="4" t="n"/>
      <c r="J99" s="4" t="n"/>
      <c r="K99" s="4" t="n"/>
      <c r="L99" s="4" t="n"/>
      <c r="M99" s="4" t="n"/>
      <c r="N99" s="4" t="n"/>
    </row>
    <row r="100" ht="15.75" customHeight="1" s="297">
      <c r="A100" s="4" t="n"/>
      <c r="B100" s="4" t="n"/>
      <c r="C100" s="4" t="n"/>
      <c r="D100" s="4" t="n"/>
      <c r="E100" s="4" t="n"/>
      <c r="F100" s="4" t="n"/>
      <c r="G100" s="4" t="n"/>
      <c r="H100" s="4" t="n"/>
      <c r="I100" s="4" t="n"/>
      <c r="J100" s="4" t="n"/>
      <c r="K100" s="4" t="n"/>
      <c r="L100" s="4" t="n"/>
      <c r="M100" s="4" t="n"/>
      <c r="N100" s="4" t="n"/>
    </row>
    <row r="101" ht="15.75" customHeight="1" s="297">
      <c r="A101" s="4" t="n"/>
      <c r="B101" s="4" t="n"/>
      <c r="C101" s="4" t="n"/>
      <c r="D101" s="4" t="n"/>
      <c r="E101" s="4" t="n"/>
      <c r="F101" s="4" t="n"/>
      <c r="G101" s="4" t="n"/>
      <c r="H101" s="4" t="n"/>
      <c r="I101" s="4" t="n"/>
      <c r="J101" s="4" t="n"/>
      <c r="K101" s="4" t="n"/>
      <c r="L101" s="4" t="n"/>
      <c r="M101" s="4" t="n"/>
      <c r="N101" s="4" t="n"/>
    </row>
    <row r="102" ht="15.75" customHeight="1" s="297">
      <c r="A102" s="4" t="n"/>
      <c r="B102" s="4" t="n"/>
      <c r="C102" s="4" t="n"/>
      <c r="D102" s="4" t="n"/>
      <c r="E102" s="4" t="n"/>
      <c r="F102" s="4" t="n"/>
      <c r="G102" s="4" t="n"/>
      <c r="H102" s="4" t="n"/>
      <c r="I102" s="4" t="n"/>
      <c r="J102" s="4" t="n"/>
      <c r="K102" s="4" t="n"/>
      <c r="L102" s="4" t="n"/>
      <c r="M102" s="4" t="n"/>
      <c r="N102" s="4" t="n"/>
    </row>
    <row r="103" ht="15.75" customHeight="1" s="297">
      <c r="A103" s="4" t="n"/>
      <c r="B103" s="4" t="n"/>
      <c r="C103" s="4" t="n"/>
      <c r="D103" s="4" t="n"/>
      <c r="E103" s="4" t="n"/>
      <c r="F103" s="4" t="n"/>
      <c r="G103" s="4" t="n"/>
      <c r="H103" s="4" t="n"/>
      <c r="I103" s="4" t="n"/>
      <c r="J103" s="4" t="n"/>
      <c r="K103" s="4" t="n"/>
      <c r="L103" s="4" t="n"/>
      <c r="M103" s="4" t="n"/>
      <c r="N103" s="4" t="n"/>
    </row>
    <row r="104" ht="15.75" customHeight="1" s="297">
      <c r="A104" s="4" t="n"/>
      <c r="B104" s="4" t="n"/>
      <c r="C104" s="4" t="n"/>
      <c r="D104" s="4" t="n"/>
      <c r="E104" s="4" t="n"/>
      <c r="F104" s="4" t="n"/>
      <c r="G104" s="4" t="n"/>
      <c r="H104" s="4" t="n"/>
      <c r="I104" s="4" t="n"/>
      <c r="J104" s="4" t="n"/>
      <c r="K104" s="4" t="n"/>
      <c r="L104" s="4" t="n"/>
      <c r="M104" s="4" t="n"/>
      <c r="N104" s="4" t="n"/>
    </row>
    <row r="105" ht="15.75" customHeight="1" s="297">
      <c r="A105" s="4" t="n"/>
      <c r="B105" s="4" t="n"/>
      <c r="C105" s="4" t="n"/>
      <c r="D105" s="4" t="n"/>
      <c r="E105" s="4" t="n"/>
      <c r="F105" s="4" t="n"/>
      <c r="G105" s="4" t="n"/>
      <c r="H105" s="4" t="n"/>
      <c r="I105" s="4" t="n"/>
      <c r="J105" s="4" t="n"/>
      <c r="K105" s="4" t="n"/>
      <c r="L105" s="4" t="n"/>
      <c r="M105" s="4" t="n"/>
      <c r="N105" s="4" t="n"/>
    </row>
    <row r="106" ht="15.75" customHeight="1" s="297">
      <c r="A106" s="4" t="n"/>
      <c r="B106" s="4" t="n"/>
      <c r="C106" s="4" t="n"/>
      <c r="D106" s="4" t="n"/>
      <c r="E106" s="4" t="n"/>
      <c r="F106" s="4" t="n"/>
      <c r="G106" s="4" t="n"/>
      <c r="H106" s="4" t="n"/>
      <c r="I106" s="4" t="n"/>
      <c r="J106" s="4" t="n"/>
      <c r="K106" s="4" t="n"/>
      <c r="L106" s="4" t="n"/>
      <c r="M106" s="4" t="n"/>
      <c r="N106" s="4" t="n"/>
    </row>
    <row r="107" ht="15.75" customHeight="1" s="297">
      <c r="A107" s="4" t="n"/>
      <c r="B107" s="4" t="n"/>
      <c r="C107" s="4" t="n"/>
      <c r="D107" s="4" t="n"/>
      <c r="E107" s="4" t="n"/>
      <c r="F107" s="4" t="n"/>
      <c r="G107" s="4" t="n"/>
      <c r="H107" s="4" t="n"/>
      <c r="I107" s="4" t="n"/>
      <c r="J107" s="4" t="n"/>
      <c r="K107" s="4" t="n"/>
      <c r="L107" s="4" t="n"/>
      <c r="M107" s="4" t="n"/>
      <c r="N107" s="4" t="n"/>
    </row>
    <row r="108" ht="15.75" customHeight="1" s="297">
      <c r="A108" s="4" t="n"/>
      <c r="B108" s="4" t="n"/>
      <c r="C108" s="4" t="n"/>
      <c r="D108" s="4" t="n"/>
      <c r="E108" s="4" t="n"/>
      <c r="F108" s="4" t="n"/>
      <c r="G108" s="4" t="n"/>
      <c r="H108" s="4" t="n"/>
      <c r="I108" s="4" t="n"/>
      <c r="J108" s="4" t="n"/>
      <c r="K108" s="4" t="n"/>
      <c r="L108" s="4" t="n"/>
      <c r="M108" s="4" t="n"/>
      <c r="N108" s="4" t="n"/>
    </row>
    <row r="109" ht="15.75" customHeight="1" s="297">
      <c r="A109" s="4" t="n"/>
      <c r="B109" s="4" t="n"/>
      <c r="C109" s="4" t="n"/>
      <c r="D109" s="4" t="n"/>
      <c r="E109" s="4" t="n"/>
      <c r="F109" s="4" t="n"/>
      <c r="G109" s="4" t="n"/>
      <c r="H109" s="4" t="n"/>
      <c r="I109" s="4" t="n"/>
      <c r="J109" s="4" t="n"/>
      <c r="K109" s="4" t="n"/>
      <c r="L109" s="4" t="n"/>
      <c r="M109" s="4" t="n"/>
      <c r="N109" s="4" t="n"/>
    </row>
    <row r="110" ht="15.75" customHeight="1" s="297">
      <c r="A110" s="4" t="n"/>
      <c r="B110" s="4" t="n"/>
      <c r="C110" s="4" t="n"/>
      <c r="D110" s="4" t="n"/>
      <c r="E110" s="4" t="n"/>
      <c r="F110" s="4" t="n"/>
      <c r="G110" s="4" t="n"/>
      <c r="H110" s="4" t="n"/>
      <c r="I110" s="4" t="n"/>
      <c r="J110" s="4" t="n"/>
      <c r="K110" s="4" t="n"/>
      <c r="L110" s="4" t="n"/>
      <c r="M110" s="4" t="n"/>
      <c r="N110" s="4" t="n"/>
    </row>
    <row r="111" ht="15.75" customHeight="1" s="297">
      <c r="A111" s="4" t="n"/>
      <c r="B111" s="4" t="n"/>
      <c r="C111" s="4" t="n"/>
      <c r="D111" s="4" t="n"/>
      <c r="E111" s="4" t="n"/>
      <c r="F111" s="4" t="n"/>
      <c r="G111" s="4" t="n"/>
      <c r="H111" s="4" t="n"/>
      <c r="I111" s="4" t="n"/>
      <c r="J111" s="4" t="n"/>
      <c r="K111" s="4" t="n"/>
      <c r="L111" s="4" t="n"/>
      <c r="M111" s="4" t="n"/>
      <c r="N111" s="4" t="n"/>
    </row>
    <row r="112" ht="15.75" customHeight="1" s="297">
      <c r="A112" s="4" t="n"/>
      <c r="B112" s="4" t="n"/>
      <c r="C112" s="4" t="n"/>
      <c r="D112" s="4" t="n"/>
      <c r="E112" s="4" t="n"/>
      <c r="F112" s="4" t="n"/>
      <c r="G112" s="4" t="n"/>
      <c r="H112" s="4" t="n"/>
      <c r="I112" s="4" t="n"/>
      <c r="J112" s="4" t="n"/>
      <c r="K112" s="4" t="n"/>
      <c r="L112" s="4" t="n"/>
      <c r="M112" s="4" t="n"/>
      <c r="N112" s="4" t="n"/>
    </row>
    <row r="113" ht="15.75" customHeight="1" s="297">
      <c r="A113" s="4" t="n"/>
      <c r="B113" s="4" t="n"/>
      <c r="C113" s="4" t="n"/>
      <c r="D113" s="4" t="n"/>
      <c r="E113" s="4" t="n"/>
      <c r="F113" s="4" t="n"/>
      <c r="G113" s="4" t="n"/>
      <c r="H113" s="4" t="n"/>
      <c r="I113" s="4" t="n"/>
      <c r="J113" s="4" t="n"/>
      <c r="K113" s="4" t="n"/>
      <c r="L113" s="4" t="n"/>
      <c r="M113" s="4" t="n"/>
      <c r="N113" s="4" t="n"/>
    </row>
    <row r="114" ht="15.75" customHeight="1" s="297">
      <c r="A114" s="4" t="n"/>
      <c r="B114" s="4" t="n"/>
      <c r="C114" s="4" t="n"/>
      <c r="D114" s="4" t="n"/>
      <c r="E114" s="4" t="n"/>
      <c r="F114" s="4" t="n"/>
      <c r="G114" s="4" t="n"/>
      <c r="H114" s="4" t="n"/>
      <c r="I114" s="4" t="n"/>
      <c r="J114" s="4" t="n"/>
      <c r="K114" s="4" t="n"/>
      <c r="L114" s="4" t="n"/>
      <c r="M114" s="4" t="n"/>
      <c r="N114" s="4" t="n"/>
    </row>
    <row r="115" ht="15.75" customHeight="1" s="297">
      <c r="A115" s="4" t="n"/>
      <c r="B115" s="4" t="n"/>
      <c r="C115" s="4" t="n"/>
      <c r="D115" s="4" t="n"/>
      <c r="E115" s="4" t="n"/>
      <c r="F115" s="4" t="n"/>
      <c r="G115" s="4" t="n"/>
      <c r="H115" s="4" t="n"/>
      <c r="I115" s="4" t="n"/>
      <c r="J115" s="4" t="n"/>
      <c r="K115" s="4" t="n"/>
      <c r="L115" s="4" t="n"/>
      <c r="M115" s="4" t="n"/>
      <c r="N115" s="4" t="n"/>
    </row>
    <row r="116" ht="15.75" customHeight="1" s="297">
      <c r="A116" s="4" t="n"/>
      <c r="B116" s="4" t="n"/>
      <c r="C116" s="4" t="n"/>
      <c r="D116" s="4" t="n"/>
      <c r="E116" s="4" t="n"/>
      <c r="F116" s="4" t="n"/>
      <c r="G116" s="4" t="n"/>
      <c r="H116" s="4" t="n"/>
      <c r="I116" s="4" t="n"/>
      <c r="J116" s="4" t="n"/>
      <c r="K116" s="4" t="n"/>
      <c r="L116" s="4" t="n"/>
      <c r="M116" s="4" t="n"/>
      <c r="N116" s="4" t="n"/>
    </row>
    <row r="117" ht="15.75" customHeight="1" s="297">
      <c r="A117" s="4" t="n"/>
      <c r="B117" s="4" t="n"/>
      <c r="C117" s="4" t="n"/>
      <c r="D117" s="4" t="n"/>
      <c r="E117" s="4" t="n"/>
      <c r="F117" s="4" t="n"/>
      <c r="G117" s="4" t="n"/>
      <c r="H117" s="4" t="n"/>
      <c r="I117" s="4" t="n"/>
      <c r="J117" s="4" t="n"/>
      <c r="K117" s="4" t="n"/>
      <c r="L117" s="4" t="n"/>
      <c r="M117" s="4" t="n"/>
      <c r="N117" s="4" t="n"/>
    </row>
    <row r="118" ht="15.75" customHeight="1" s="297">
      <c r="A118" s="4" t="n"/>
      <c r="B118" s="4" t="n"/>
      <c r="C118" s="4" t="n"/>
      <c r="D118" s="4" t="n"/>
      <c r="E118" s="4" t="n"/>
      <c r="F118" s="4" t="n"/>
      <c r="G118" s="4" t="n"/>
      <c r="H118" s="4" t="n"/>
      <c r="I118" s="4" t="n"/>
      <c r="J118" s="4" t="n"/>
      <c r="K118" s="4" t="n"/>
      <c r="L118" s="4" t="n"/>
      <c r="M118" s="4" t="n"/>
      <c r="N118" s="4" t="n"/>
    </row>
    <row r="119" ht="15.75" customHeight="1" s="297">
      <c r="A119" s="4" t="n"/>
      <c r="B119" s="4" t="n"/>
      <c r="C119" s="4" t="n"/>
      <c r="D119" s="4" t="n"/>
      <c r="E119" s="4" t="n"/>
      <c r="F119" s="4" t="n"/>
      <c r="G119" s="4" t="n"/>
      <c r="H119" s="4" t="n"/>
      <c r="I119" s="4" t="n"/>
      <c r="J119" s="4" t="n"/>
      <c r="K119" s="4" t="n"/>
      <c r="L119" s="4" t="n"/>
      <c r="M119" s="4" t="n"/>
      <c r="N119" s="4" t="n"/>
    </row>
    <row r="120" ht="15.75" customHeight="1" s="297">
      <c r="A120" s="4" t="n"/>
      <c r="B120" s="4" t="n"/>
      <c r="C120" s="4" t="n"/>
      <c r="D120" s="4" t="n"/>
      <c r="E120" s="4" t="n"/>
      <c r="F120" s="4" t="n"/>
      <c r="G120" s="4" t="n"/>
      <c r="H120" s="4" t="n"/>
      <c r="I120" s="4" t="n"/>
      <c r="J120" s="4" t="n"/>
      <c r="K120" s="4" t="n"/>
      <c r="L120" s="4" t="n"/>
      <c r="M120" s="4" t="n"/>
      <c r="N120" s="4" t="n"/>
    </row>
    <row r="121" ht="15.75" customHeight="1" s="297">
      <c r="A121" s="4" t="n"/>
      <c r="B121" s="4" t="n"/>
      <c r="C121" s="4" t="n"/>
      <c r="D121" s="4" t="n"/>
      <c r="E121" s="4" t="n"/>
      <c r="F121" s="4" t="n"/>
      <c r="G121" s="4" t="n"/>
      <c r="H121" s="4" t="n"/>
      <c r="I121" s="4" t="n"/>
      <c r="J121" s="4" t="n"/>
      <c r="K121" s="4" t="n"/>
      <c r="L121" s="4" t="n"/>
      <c r="M121" s="4" t="n"/>
      <c r="N121" s="4" t="n"/>
    </row>
    <row r="122" ht="15.75" customHeight="1" s="297">
      <c r="A122" s="4" t="n"/>
      <c r="B122" s="4" t="n"/>
      <c r="C122" s="4" t="n"/>
      <c r="D122" s="4" t="n"/>
      <c r="E122" s="4" t="n"/>
      <c r="F122" s="4" t="n"/>
      <c r="G122" s="4" t="n"/>
      <c r="H122" s="4" t="n"/>
      <c r="I122" s="4" t="n"/>
      <c r="J122" s="4" t="n"/>
      <c r="K122" s="4" t="n"/>
      <c r="L122" s="4" t="n"/>
      <c r="M122" s="4" t="n"/>
      <c r="N122" s="4" t="n"/>
    </row>
    <row r="123" ht="15.75" customHeight="1" s="297">
      <c r="A123" s="4" t="n"/>
      <c r="B123" s="4" t="n"/>
      <c r="C123" s="4" t="n"/>
      <c r="D123" s="4" t="n"/>
      <c r="E123" s="4" t="n"/>
      <c r="F123" s="4" t="n"/>
      <c r="G123" s="4" t="n"/>
      <c r="H123" s="4" t="n"/>
      <c r="I123" s="4" t="n"/>
      <c r="J123" s="4" t="n"/>
      <c r="K123" s="4" t="n"/>
      <c r="L123" s="4" t="n"/>
      <c r="M123" s="4" t="n"/>
      <c r="N123" s="4" t="n"/>
    </row>
    <row r="124" ht="15.75" customHeight="1" s="297">
      <c r="A124" s="4" t="n"/>
      <c r="B124" s="4" t="n"/>
      <c r="C124" s="4" t="n"/>
      <c r="D124" s="4" t="n"/>
      <c r="E124" s="4" t="n"/>
      <c r="F124" s="4" t="n"/>
      <c r="G124" s="4" t="n"/>
      <c r="H124" s="4" t="n"/>
      <c r="I124" s="4" t="n"/>
      <c r="J124" s="4" t="n"/>
      <c r="K124" s="4" t="n"/>
      <c r="L124" s="4" t="n"/>
      <c r="M124" s="4" t="n"/>
      <c r="N124" s="4" t="n"/>
    </row>
    <row r="125" ht="15.75" customHeight="1" s="297">
      <c r="A125" s="4" t="n"/>
      <c r="B125" s="4" t="n"/>
      <c r="C125" s="4" t="n"/>
      <c r="D125" s="4" t="n"/>
      <c r="E125" s="4" t="n"/>
      <c r="F125" s="4" t="n"/>
      <c r="G125" s="4" t="n"/>
      <c r="H125" s="4" t="n"/>
      <c r="I125" s="4" t="n"/>
      <c r="J125" s="4" t="n"/>
      <c r="K125" s="4" t="n"/>
      <c r="L125" s="4" t="n"/>
      <c r="M125" s="4" t="n"/>
      <c r="N125" s="4" t="n"/>
    </row>
    <row r="126" ht="15.75" customHeight="1" s="297">
      <c r="A126" s="4" t="n"/>
      <c r="B126" s="4" t="n"/>
      <c r="C126" s="4" t="n"/>
      <c r="D126" s="4" t="n"/>
      <c r="E126" s="4" t="n"/>
      <c r="F126" s="4" t="n"/>
      <c r="G126" s="4" t="n"/>
      <c r="H126" s="4" t="n"/>
      <c r="I126" s="4" t="n"/>
      <c r="J126" s="4" t="n"/>
      <c r="K126" s="4" t="n"/>
      <c r="L126" s="4" t="n"/>
      <c r="M126" s="4" t="n"/>
      <c r="N126" s="4" t="n"/>
    </row>
    <row r="127" ht="15.75" customHeight="1" s="297">
      <c r="A127" s="4" t="n"/>
      <c r="B127" s="4" t="n"/>
      <c r="C127" s="4" t="n"/>
      <c r="D127" s="4" t="n"/>
      <c r="E127" s="4" t="n"/>
      <c r="F127" s="4" t="n"/>
      <c r="G127" s="4" t="n"/>
      <c r="H127" s="4" t="n"/>
      <c r="I127" s="4" t="n"/>
      <c r="J127" s="4" t="n"/>
      <c r="K127" s="4" t="n"/>
      <c r="L127" s="4" t="n"/>
      <c r="M127" s="4" t="n"/>
      <c r="N127" s="4" t="n"/>
    </row>
    <row r="128" ht="15.75" customHeight="1" s="297">
      <c r="A128" s="4" t="n"/>
      <c r="B128" s="4" t="n"/>
      <c r="C128" s="4" t="n"/>
      <c r="D128" s="4" t="n"/>
      <c r="E128" s="4" t="n"/>
      <c r="F128" s="4" t="n"/>
      <c r="G128" s="4" t="n"/>
      <c r="H128" s="4" t="n"/>
      <c r="I128" s="4" t="n"/>
      <c r="J128" s="4" t="n"/>
      <c r="K128" s="4" t="n"/>
      <c r="L128" s="4" t="n"/>
      <c r="M128" s="4" t="n"/>
      <c r="N128" s="4" t="n"/>
    </row>
    <row r="129" ht="15.75" customHeight="1" s="297">
      <c r="A129" s="4" t="n"/>
      <c r="B129" s="4" t="n"/>
      <c r="C129" s="4" t="n"/>
      <c r="D129" s="4" t="n"/>
      <c r="E129" s="4" t="n"/>
      <c r="F129" s="4" t="n"/>
      <c r="G129" s="4" t="n"/>
      <c r="H129" s="4" t="n"/>
      <c r="I129" s="4" t="n"/>
      <c r="J129" s="4" t="n"/>
      <c r="K129" s="4" t="n"/>
      <c r="L129" s="4" t="n"/>
      <c r="M129" s="4" t="n"/>
      <c r="N129" s="4" t="n"/>
    </row>
    <row r="130" ht="15.75" customHeight="1" s="297">
      <c r="A130" s="4" t="n"/>
      <c r="B130" s="4" t="n"/>
      <c r="C130" s="4" t="n"/>
      <c r="D130" s="4" t="n"/>
      <c r="E130" s="4" t="n"/>
      <c r="F130" s="4" t="n"/>
      <c r="G130" s="4" t="n"/>
      <c r="H130" s="4" t="n"/>
      <c r="I130" s="4" t="n"/>
      <c r="J130" s="4" t="n"/>
      <c r="K130" s="4" t="n"/>
      <c r="L130" s="4" t="n"/>
      <c r="M130" s="4" t="n"/>
      <c r="N130" s="4" t="n"/>
    </row>
    <row r="131" ht="15.75" customHeight="1" s="297">
      <c r="A131" s="4" t="n"/>
      <c r="B131" s="4" t="n"/>
      <c r="C131" s="4" t="n"/>
      <c r="D131" s="4" t="n"/>
      <c r="E131" s="4" t="n"/>
      <c r="F131" s="4" t="n"/>
      <c r="G131" s="4" t="n"/>
      <c r="H131" s="4" t="n"/>
      <c r="I131" s="4" t="n"/>
      <c r="J131" s="4" t="n"/>
      <c r="K131" s="4" t="n"/>
      <c r="L131" s="4" t="n"/>
      <c r="M131" s="4" t="n"/>
      <c r="N131" s="4" t="n"/>
    </row>
    <row r="132" ht="15.75" customHeight="1" s="297">
      <c r="A132" s="4" t="n"/>
      <c r="B132" s="4" t="n"/>
      <c r="C132" s="4" t="n"/>
      <c r="D132" s="4" t="n"/>
      <c r="E132" s="4" t="n"/>
      <c r="F132" s="4" t="n"/>
      <c r="G132" s="4" t="n"/>
      <c r="H132" s="4" t="n"/>
      <c r="I132" s="4" t="n"/>
      <c r="J132" s="4" t="n"/>
      <c r="K132" s="4" t="n"/>
      <c r="L132" s="4" t="n"/>
      <c r="M132" s="4" t="n"/>
      <c r="N132" s="4" t="n"/>
    </row>
    <row r="133" ht="15.75" customHeight="1" s="297">
      <c r="A133" s="4" t="n"/>
      <c r="B133" s="4" t="n"/>
      <c r="C133" s="4" t="n"/>
      <c r="D133" s="4" t="n"/>
      <c r="E133" s="4" t="n"/>
      <c r="F133" s="4" t="n"/>
      <c r="G133" s="4" t="n"/>
      <c r="H133" s="4" t="n"/>
      <c r="I133" s="4" t="n"/>
      <c r="J133" s="4" t="n"/>
      <c r="K133" s="4" t="n"/>
      <c r="L133" s="4" t="n"/>
      <c r="M133" s="4" t="n"/>
      <c r="N133" s="4" t="n"/>
    </row>
    <row r="134" ht="15.75" customHeight="1" s="297">
      <c r="A134" s="4" t="n"/>
      <c r="B134" s="4" t="n"/>
      <c r="C134" s="4" t="n"/>
      <c r="D134" s="4" t="n"/>
      <c r="E134" s="4" t="n"/>
      <c r="F134" s="4" t="n"/>
      <c r="G134" s="4" t="n"/>
      <c r="H134" s="4" t="n"/>
      <c r="I134" s="4" t="n"/>
      <c r="J134" s="4" t="n"/>
      <c r="K134" s="4" t="n"/>
      <c r="L134" s="4" t="n"/>
      <c r="M134" s="4" t="n"/>
      <c r="N134" s="4" t="n"/>
    </row>
    <row r="135" ht="15.75" customHeight="1" s="297">
      <c r="A135" s="4" t="n"/>
      <c r="B135" s="4" t="n"/>
      <c r="C135" s="4" t="n"/>
      <c r="D135" s="4" t="n"/>
      <c r="E135" s="4" t="n"/>
      <c r="F135" s="4" t="n"/>
      <c r="G135" s="4" t="n"/>
      <c r="H135" s="4" t="n"/>
      <c r="I135" s="4" t="n"/>
      <c r="J135" s="4" t="n"/>
      <c r="K135" s="4" t="n"/>
      <c r="L135" s="4" t="n"/>
      <c r="M135" s="4" t="n"/>
      <c r="N135" s="4" t="n"/>
    </row>
    <row r="136" ht="15.75" customHeight="1" s="297">
      <c r="A136" s="4" t="n"/>
      <c r="B136" s="4" t="n"/>
      <c r="C136" s="4" t="n"/>
      <c r="D136" s="4" t="n"/>
      <c r="E136" s="4" t="n"/>
      <c r="F136" s="4" t="n"/>
      <c r="G136" s="4" t="n"/>
      <c r="H136" s="4" t="n"/>
      <c r="I136" s="4" t="n"/>
      <c r="J136" s="4" t="n"/>
      <c r="K136" s="4" t="n"/>
      <c r="L136" s="4" t="n"/>
      <c r="M136" s="4" t="n"/>
      <c r="N136" s="4" t="n"/>
    </row>
    <row r="137" ht="15.75" customHeight="1" s="297">
      <c r="A137" s="4" t="n"/>
      <c r="B137" s="4" t="n"/>
      <c r="C137" s="4" t="n"/>
      <c r="D137" s="4" t="n"/>
      <c r="E137" s="4" t="n"/>
      <c r="F137" s="4" t="n"/>
      <c r="G137" s="4" t="n"/>
      <c r="H137" s="4" t="n"/>
      <c r="I137" s="4" t="n"/>
      <c r="J137" s="4" t="n"/>
      <c r="K137" s="4" t="n"/>
      <c r="L137" s="4" t="n"/>
      <c r="M137" s="4" t="n"/>
      <c r="N137" s="4" t="n"/>
    </row>
    <row r="138" ht="15.75" customHeight="1" s="297">
      <c r="A138" s="4" t="n"/>
      <c r="B138" s="4" t="n"/>
      <c r="C138" s="4" t="n"/>
      <c r="D138" s="4" t="n"/>
      <c r="E138" s="4" t="n"/>
      <c r="F138" s="4" t="n"/>
      <c r="G138" s="4" t="n"/>
      <c r="H138" s="4" t="n"/>
      <c r="I138" s="4" t="n"/>
      <c r="J138" s="4" t="n"/>
      <c r="K138" s="4" t="n"/>
      <c r="L138" s="4" t="n"/>
      <c r="M138" s="4" t="n"/>
      <c r="N138" s="4" t="n"/>
    </row>
    <row r="139" ht="15.75" customHeight="1" s="297">
      <c r="A139" s="4" t="n"/>
      <c r="B139" s="4" t="n"/>
      <c r="C139" s="4" t="n"/>
      <c r="D139" s="4" t="n"/>
      <c r="E139" s="4" t="n"/>
      <c r="F139" s="4" t="n"/>
      <c r="G139" s="4" t="n"/>
      <c r="H139" s="4" t="n"/>
      <c r="I139" s="4" t="n"/>
      <c r="J139" s="4" t="n"/>
      <c r="K139" s="4" t="n"/>
      <c r="L139" s="4" t="n"/>
      <c r="M139" s="4" t="n"/>
      <c r="N139" s="4" t="n"/>
    </row>
    <row r="140" ht="15.75" customHeight="1" s="297">
      <c r="A140" s="4" t="n"/>
      <c r="B140" s="4" t="n"/>
      <c r="C140" s="4" t="n"/>
      <c r="D140" s="4" t="n"/>
      <c r="E140" s="4" t="n"/>
      <c r="F140" s="4" t="n"/>
      <c r="G140" s="4" t="n"/>
      <c r="H140" s="4" t="n"/>
      <c r="I140" s="4" t="n"/>
      <c r="J140" s="4" t="n"/>
      <c r="K140" s="4" t="n"/>
      <c r="L140" s="4" t="n"/>
      <c r="M140" s="4" t="n"/>
      <c r="N140" s="4" t="n"/>
    </row>
    <row r="141" ht="15.75" customHeight="1" s="297">
      <c r="A141" s="4" t="n"/>
      <c r="B141" s="4" t="n"/>
      <c r="C141" s="4" t="n"/>
      <c r="D141" s="4" t="n"/>
      <c r="E141" s="4" t="n"/>
      <c r="F141" s="4" t="n"/>
      <c r="G141" s="4" t="n"/>
      <c r="H141" s="4" t="n"/>
      <c r="I141" s="4" t="n"/>
      <c r="J141" s="4" t="n"/>
      <c r="K141" s="4" t="n"/>
      <c r="L141" s="4" t="n"/>
      <c r="M141" s="4" t="n"/>
      <c r="N141" s="4" t="n"/>
    </row>
    <row r="142" ht="15.75" customHeight="1" s="297">
      <c r="A142" s="4" t="n"/>
      <c r="B142" s="4" t="n"/>
      <c r="C142" s="4" t="n"/>
      <c r="D142" s="4" t="n"/>
      <c r="E142" s="4" t="n"/>
      <c r="F142" s="4" t="n"/>
      <c r="G142" s="4" t="n"/>
      <c r="H142" s="4" t="n"/>
      <c r="I142" s="4" t="n"/>
      <c r="J142" s="4" t="n"/>
      <c r="K142" s="4" t="n"/>
      <c r="L142" s="4" t="n"/>
      <c r="M142" s="4" t="n"/>
      <c r="N142" s="4" t="n"/>
    </row>
    <row r="143" ht="15.75" customHeight="1" s="297">
      <c r="A143" s="4" t="n"/>
      <c r="B143" s="4" t="n"/>
      <c r="C143" s="4" t="n"/>
      <c r="D143" s="4" t="n"/>
      <c r="E143" s="4" t="n"/>
      <c r="F143" s="4" t="n"/>
      <c r="G143" s="4" t="n"/>
      <c r="H143" s="4" t="n"/>
      <c r="I143" s="4" t="n"/>
      <c r="J143" s="4" t="n"/>
      <c r="K143" s="4" t="n"/>
      <c r="L143" s="4" t="n"/>
      <c r="M143" s="4" t="n"/>
      <c r="N143" s="4" t="n"/>
    </row>
    <row r="144" ht="15.75" customHeight="1" s="297">
      <c r="A144" s="4" t="n"/>
      <c r="B144" s="4" t="n"/>
      <c r="C144" s="4" t="n"/>
      <c r="D144" s="4" t="n"/>
      <c r="E144" s="4" t="n"/>
      <c r="F144" s="4" t="n"/>
      <c r="G144" s="4" t="n"/>
      <c r="H144" s="4" t="n"/>
      <c r="I144" s="4" t="n"/>
      <c r="J144" s="4" t="n"/>
      <c r="K144" s="4" t="n"/>
      <c r="L144" s="4" t="n"/>
      <c r="M144" s="4" t="n"/>
      <c r="N144" s="4" t="n"/>
    </row>
    <row r="145" ht="15.75" customHeight="1" s="297">
      <c r="A145" s="4" t="n"/>
      <c r="B145" s="4" t="n"/>
      <c r="C145" s="4" t="n"/>
      <c r="D145" s="4" t="n"/>
      <c r="E145" s="4" t="n"/>
      <c r="F145" s="4" t="n"/>
      <c r="G145" s="4" t="n"/>
      <c r="H145" s="4" t="n"/>
      <c r="I145" s="4" t="n"/>
      <c r="J145" s="4" t="n"/>
      <c r="K145" s="4" t="n"/>
      <c r="L145" s="4" t="n"/>
      <c r="M145" s="4" t="n"/>
      <c r="N145" s="4" t="n"/>
    </row>
    <row r="146" ht="15.75" customHeight="1" s="297">
      <c r="A146" s="4" t="n"/>
      <c r="B146" s="4" t="n"/>
      <c r="C146" s="4" t="n"/>
      <c r="D146" s="4" t="n"/>
      <c r="E146" s="4" t="n"/>
      <c r="F146" s="4" t="n"/>
      <c r="G146" s="4" t="n"/>
      <c r="H146" s="4" t="n"/>
      <c r="I146" s="4" t="n"/>
      <c r="J146" s="4" t="n"/>
      <c r="K146" s="4" t="n"/>
      <c r="L146" s="4" t="n"/>
      <c r="M146" s="4" t="n"/>
      <c r="N146" s="4" t="n"/>
    </row>
    <row r="147" ht="15.75" customHeight="1" s="297">
      <c r="A147" s="4" t="n"/>
      <c r="B147" s="4" t="n"/>
      <c r="C147" s="4" t="n"/>
      <c r="D147" s="4" t="n"/>
      <c r="E147" s="4" t="n"/>
      <c r="F147" s="4" t="n"/>
      <c r="G147" s="4" t="n"/>
      <c r="H147" s="4" t="n"/>
      <c r="I147" s="4" t="n"/>
      <c r="J147" s="4" t="n"/>
      <c r="K147" s="4" t="n"/>
      <c r="L147" s="4" t="n"/>
      <c r="M147" s="4" t="n"/>
      <c r="N147" s="4" t="n"/>
    </row>
    <row r="148" ht="15.75" customHeight="1" s="297">
      <c r="A148" s="4" t="n"/>
      <c r="B148" s="4" t="n"/>
      <c r="C148" s="4" t="n"/>
      <c r="D148" s="4" t="n"/>
      <c r="E148" s="4" t="n"/>
      <c r="F148" s="4" t="n"/>
      <c r="G148" s="4" t="n"/>
      <c r="H148" s="4" t="n"/>
      <c r="I148" s="4" t="n"/>
      <c r="J148" s="4" t="n"/>
      <c r="K148" s="4" t="n"/>
      <c r="L148" s="4" t="n"/>
      <c r="M148" s="4" t="n"/>
      <c r="N148" s="4" t="n"/>
    </row>
    <row r="149" ht="15.75" customHeight="1" s="297">
      <c r="A149" s="4" t="n"/>
      <c r="B149" s="4" t="n"/>
      <c r="C149" s="4" t="n"/>
      <c r="D149" s="4" t="n"/>
      <c r="E149" s="4" t="n"/>
      <c r="F149" s="4" t="n"/>
      <c r="G149" s="4" t="n"/>
      <c r="H149" s="4" t="n"/>
      <c r="I149" s="4" t="n"/>
      <c r="J149" s="4" t="n"/>
      <c r="K149" s="4" t="n"/>
      <c r="L149" s="4" t="n"/>
      <c r="M149" s="4" t="n"/>
      <c r="N149" s="4" t="n"/>
    </row>
    <row r="150" ht="15.75" customHeight="1" s="297">
      <c r="A150" s="4" t="n"/>
      <c r="B150" s="4" t="n"/>
      <c r="C150" s="4" t="n"/>
      <c r="D150" s="4" t="n"/>
      <c r="E150" s="4" t="n"/>
      <c r="F150" s="4" t="n"/>
      <c r="G150" s="4" t="n"/>
      <c r="H150" s="4" t="n"/>
      <c r="I150" s="4" t="n"/>
      <c r="J150" s="4" t="n"/>
      <c r="K150" s="4" t="n"/>
      <c r="L150" s="4" t="n"/>
      <c r="M150" s="4" t="n"/>
      <c r="N150" s="4" t="n"/>
    </row>
    <row r="151" ht="15.75" customHeight="1" s="297">
      <c r="A151" s="4" t="n"/>
      <c r="B151" s="4" t="n"/>
      <c r="C151" s="4" t="n"/>
      <c r="D151" s="4" t="n"/>
      <c r="E151" s="4" t="n"/>
      <c r="F151" s="4" t="n"/>
      <c r="G151" s="4" t="n"/>
      <c r="H151" s="4" t="n"/>
      <c r="I151" s="4" t="n"/>
      <c r="J151" s="4" t="n"/>
      <c r="K151" s="4" t="n"/>
      <c r="L151" s="4" t="n"/>
      <c r="M151" s="4" t="n"/>
      <c r="N151" s="4" t="n"/>
    </row>
    <row r="152" ht="15.75" customHeight="1" s="297">
      <c r="A152" s="4" t="n"/>
      <c r="B152" s="4" t="n"/>
      <c r="C152" s="4" t="n"/>
      <c r="D152" s="4" t="n"/>
      <c r="E152" s="4" t="n"/>
      <c r="F152" s="4" t="n"/>
      <c r="G152" s="4" t="n"/>
      <c r="H152" s="4" t="n"/>
      <c r="I152" s="4" t="n"/>
      <c r="J152" s="4" t="n"/>
      <c r="K152" s="4" t="n"/>
      <c r="L152" s="4" t="n"/>
      <c r="M152" s="4" t="n"/>
      <c r="N152" s="4" t="n"/>
    </row>
    <row r="153" ht="15.75" customHeight="1" s="297">
      <c r="A153" s="4" t="n"/>
      <c r="B153" s="4" t="n"/>
      <c r="C153" s="4" t="n"/>
      <c r="D153" s="4" t="n"/>
      <c r="E153" s="4" t="n"/>
      <c r="F153" s="4" t="n"/>
      <c r="G153" s="4" t="n"/>
      <c r="H153" s="4" t="n"/>
      <c r="I153" s="4" t="n"/>
      <c r="J153" s="4" t="n"/>
      <c r="K153" s="4" t="n"/>
      <c r="L153" s="4" t="n"/>
      <c r="M153" s="4" t="n"/>
      <c r="N153" s="4" t="n"/>
    </row>
    <row r="154" ht="15.75" customHeight="1" s="297">
      <c r="A154" s="4" t="n"/>
      <c r="B154" s="4" t="n"/>
      <c r="C154" s="4" t="n"/>
      <c r="D154" s="4" t="n"/>
      <c r="E154" s="4" t="n"/>
      <c r="F154" s="4" t="n"/>
      <c r="G154" s="4" t="n"/>
      <c r="H154" s="4" t="n"/>
      <c r="I154" s="4" t="n"/>
      <c r="J154" s="4" t="n"/>
      <c r="K154" s="4" t="n"/>
      <c r="L154" s="4" t="n"/>
      <c r="M154" s="4" t="n"/>
      <c r="N154" s="4" t="n"/>
    </row>
    <row r="155" ht="15.75" customHeight="1" s="297">
      <c r="A155" s="4" t="n"/>
      <c r="B155" s="4" t="n"/>
      <c r="C155" s="4" t="n"/>
      <c r="D155" s="4" t="n"/>
      <c r="E155" s="4" t="n"/>
      <c r="F155" s="4" t="n"/>
      <c r="G155" s="4" t="n"/>
      <c r="H155" s="4" t="n"/>
      <c r="I155" s="4" t="n"/>
      <c r="J155" s="4" t="n"/>
      <c r="K155" s="4" t="n"/>
      <c r="L155" s="4" t="n"/>
      <c r="M155" s="4" t="n"/>
      <c r="N155" s="4" t="n"/>
    </row>
    <row r="156" ht="15.75" customHeight="1" s="297">
      <c r="A156" s="4" t="n"/>
      <c r="B156" s="4" t="n"/>
      <c r="C156" s="4" t="n"/>
      <c r="D156" s="4" t="n"/>
      <c r="E156" s="4" t="n"/>
      <c r="F156" s="4" t="n"/>
      <c r="G156" s="4" t="n"/>
      <c r="H156" s="4" t="n"/>
      <c r="I156" s="4" t="n"/>
      <c r="J156" s="4" t="n"/>
      <c r="K156" s="4" t="n"/>
      <c r="L156" s="4" t="n"/>
      <c r="M156" s="4" t="n"/>
      <c r="N156" s="4" t="n"/>
    </row>
    <row r="157" ht="15.75" customHeight="1" s="297">
      <c r="A157" s="4" t="n"/>
      <c r="B157" s="4" t="n"/>
      <c r="C157" s="4" t="n"/>
      <c r="D157" s="4" t="n"/>
      <c r="E157" s="4" t="n"/>
      <c r="F157" s="4" t="n"/>
      <c r="G157" s="4" t="n"/>
      <c r="H157" s="4" t="n"/>
      <c r="I157" s="4" t="n"/>
      <c r="J157" s="4" t="n"/>
      <c r="K157" s="4" t="n"/>
      <c r="L157" s="4" t="n"/>
      <c r="M157" s="4" t="n"/>
      <c r="N157" s="4" t="n"/>
    </row>
    <row r="158" ht="15.75" customHeight="1" s="297">
      <c r="A158" s="4" t="n"/>
      <c r="B158" s="4" t="n"/>
      <c r="C158" s="4" t="n"/>
      <c r="D158" s="4" t="n"/>
      <c r="E158" s="4" t="n"/>
      <c r="F158" s="4" t="n"/>
      <c r="G158" s="4" t="n"/>
      <c r="H158" s="4" t="n"/>
      <c r="I158" s="4" t="n"/>
      <c r="J158" s="4" t="n"/>
      <c r="K158" s="4" t="n"/>
      <c r="L158" s="4" t="n"/>
      <c r="M158" s="4" t="n"/>
      <c r="N158" s="4" t="n"/>
    </row>
    <row r="159" ht="15.75" customHeight="1" s="297">
      <c r="A159" s="4" t="n"/>
      <c r="B159" s="4" t="n"/>
      <c r="C159" s="4" t="n"/>
      <c r="D159" s="4" t="n"/>
      <c r="E159" s="4" t="n"/>
      <c r="F159" s="4" t="n"/>
      <c r="G159" s="4" t="n"/>
      <c r="H159" s="4" t="n"/>
      <c r="I159" s="4" t="n"/>
      <c r="J159" s="4" t="n"/>
      <c r="K159" s="4" t="n"/>
      <c r="L159" s="4" t="n"/>
      <c r="M159" s="4" t="n"/>
      <c r="N159" s="4" t="n"/>
    </row>
    <row r="160" ht="15.75" customHeight="1" s="297">
      <c r="A160" s="4" t="n"/>
      <c r="B160" s="4" t="n"/>
      <c r="C160" s="4" t="n"/>
      <c r="D160" s="4" t="n"/>
      <c r="E160" s="4" t="n"/>
      <c r="F160" s="4" t="n"/>
      <c r="G160" s="4" t="n"/>
      <c r="H160" s="4" t="n"/>
      <c r="I160" s="4" t="n"/>
      <c r="J160" s="4" t="n"/>
      <c r="K160" s="4" t="n"/>
      <c r="L160" s="4" t="n"/>
      <c r="M160" s="4" t="n"/>
      <c r="N160" s="4" t="n"/>
    </row>
    <row r="161" ht="15.75" customHeight="1" s="297">
      <c r="A161" s="4" t="n"/>
      <c r="B161" s="4" t="n"/>
      <c r="C161" s="4" t="n"/>
      <c r="D161" s="4" t="n"/>
      <c r="E161" s="4" t="n"/>
      <c r="F161" s="4" t="n"/>
      <c r="G161" s="4" t="n"/>
      <c r="H161" s="4" t="n"/>
      <c r="I161" s="4" t="n"/>
      <c r="J161" s="4" t="n"/>
      <c r="K161" s="4" t="n"/>
      <c r="L161" s="4" t="n"/>
      <c r="M161" s="4" t="n"/>
      <c r="N161" s="4" t="n"/>
    </row>
    <row r="162" ht="15.75" customHeight="1" s="297">
      <c r="A162" s="4" t="n"/>
      <c r="B162" s="4" t="n"/>
      <c r="C162" s="4" t="n"/>
      <c r="D162" s="4" t="n"/>
      <c r="E162" s="4" t="n"/>
      <c r="F162" s="4" t="n"/>
      <c r="G162" s="4" t="n"/>
      <c r="H162" s="4" t="n"/>
      <c r="I162" s="4" t="n"/>
      <c r="J162" s="4" t="n"/>
      <c r="K162" s="4" t="n"/>
      <c r="L162" s="4" t="n"/>
      <c r="M162" s="4" t="n"/>
      <c r="N162" s="4" t="n"/>
    </row>
    <row r="163" ht="15.75" customHeight="1" s="297">
      <c r="A163" s="4" t="n"/>
      <c r="B163" s="4" t="n"/>
      <c r="C163" s="4" t="n"/>
      <c r="D163" s="4" t="n"/>
      <c r="E163" s="4" t="n"/>
      <c r="F163" s="4" t="n"/>
      <c r="G163" s="4" t="n"/>
      <c r="H163" s="4" t="n"/>
      <c r="I163" s="4" t="n"/>
      <c r="J163" s="4" t="n"/>
      <c r="K163" s="4" t="n"/>
      <c r="L163" s="4" t="n"/>
      <c r="M163" s="4" t="n"/>
      <c r="N163" s="4" t="n"/>
    </row>
    <row r="164" ht="15.75" customHeight="1" s="297">
      <c r="A164" s="4" t="n"/>
      <c r="B164" s="4" t="n"/>
      <c r="C164" s="4" t="n"/>
      <c r="D164" s="4" t="n"/>
      <c r="E164" s="4" t="n"/>
      <c r="F164" s="4" t="n"/>
      <c r="G164" s="4" t="n"/>
      <c r="H164" s="4" t="n"/>
      <c r="I164" s="4" t="n"/>
      <c r="J164" s="4" t="n"/>
      <c r="K164" s="4" t="n"/>
      <c r="L164" s="4" t="n"/>
      <c r="M164" s="4" t="n"/>
      <c r="N164" s="4" t="n"/>
    </row>
    <row r="165" ht="15.75" customHeight="1" s="297">
      <c r="A165" s="4" t="n"/>
      <c r="B165" s="4" t="n"/>
      <c r="C165" s="4" t="n"/>
      <c r="D165" s="4" t="n"/>
      <c r="E165" s="4" t="n"/>
      <c r="F165" s="4" t="n"/>
      <c r="G165" s="4" t="n"/>
      <c r="H165" s="4" t="n"/>
      <c r="I165" s="4" t="n"/>
      <c r="J165" s="4" t="n"/>
      <c r="K165" s="4" t="n"/>
      <c r="L165" s="4" t="n"/>
      <c r="M165" s="4" t="n"/>
      <c r="N165" s="4" t="n"/>
    </row>
    <row r="166" ht="15.75" customHeight="1" s="297">
      <c r="A166" s="4" t="n"/>
      <c r="B166" s="4" t="n"/>
      <c r="C166" s="4" t="n"/>
      <c r="D166" s="4" t="n"/>
      <c r="E166" s="4" t="n"/>
      <c r="F166" s="4" t="n"/>
      <c r="G166" s="4" t="n"/>
      <c r="H166" s="4" t="n"/>
      <c r="I166" s="4" t="n"/>
      <c r="J166" s="4" t="n"/>
      <c r="K166" s="4" t="n"/>
      <c r="L166" s="4" t="n"/>
      <c r="M166" s="4" t="n"/>
      <c r="N166" s="4" t="n"/>
    </row>
    <row r="167" ht="15.75" customHeight="1" s="297">
      <c r="A167" s="4" t="n"/>
      <c r="B167" s="4" t="n"/>
      <c r="C167" s="4" t="n"/>
      <c r="D167" s="4" t="n"/>
      <c r="E167" s="4" t="n"/>
      <c r="F167" s="4" t="n"/>
      <c r="G167" s="4" t="n"/>
      <c r="H167" s="4" t="n"/>
      <c r="I167" s="4" t="n"/>
      <c r="J167" s="4" t="n"/>
      <c r="K167" s="4" t="n"/>
      <c r="L167" s="4" t="n"/>
      <c r="M167" s="4" t="n"/>
      <c r="N167" s="4" t="n"/>
    </row>
    <row r="168" ht="15.75" customHeight="1" s="297">
      <c r="A168" s="4" t="n"/>
      <c r="B168" s="4" t="n"/>
      <c r="C168" s="4" t="n"/>
      <c r="D168" s="4" t="n"/>
      <c r="E168" s="4" t="n"/>
      <c r="F168" s="4" t="n"/>
      <c r="G168" s="4" t="n"/>
      <c r="H168" s="4" t="n"/>
      <c r="I168" s="4" t="n"/>
      <c r="J168" s="4" t="n"/>
      <c r="K168" s="4" t="n"/>
      <c r="L168" s="4" t="n"/>
      <c r="M168" s="4" t="n"/>
      <c r="N168" s="4" t="n"/>
    </row>
    <row r="169" ht="15.75" customHeight="1" s="297">
      <c r="A169" s="4" t="n"/>
      <c r="B169" s="4" t="n"/>
      <c r="C169" s="4" t="n"/>
      <c r="D169" s="4" t="n"/>
      <c r="E169" s="4" t="n"/>
      <c r="F169" s="4" t="n"/>
      <c r="G169" s="4" t="n"/>
      <c r="H169" s="4" t="n"/>
      <c r="I169" s="4" t="n"/>
      <c r="J169" s="4" t="n"/>
      <c r="K169" s="4" t="n"/>
      <c r="L169" s="4" t="n"/>
      <c r="M169" s="4" t="n"/>
      <c r="N169" s="4" t="n"/>
    </row>
    <row r="170" ht="15.75" customHeight="1" s="297">
      <c r="A170" s="4" t="n"/>
      <c r="B170" s="4" t="n"/>
      <c r="C170" s="4" t="n"/>
      <c r="D170" s="4" t="n"/>
      <c r="E170" s="4" t="n"/>
      <c r="F170" s="4" t="n"/>
      <c r="G170" s="4" t="n"/>
      <c r="H170" s="4" t="n"/>
      <c r="I170" s="4" t="n"/>
      <c r="J170" s="4" t="n"/>
      <c r="K170" s="4" t="n"/>
      <c r="L170" s="4" t="n"/>
      <c r="M170" s="4" t="n"/>
      <c r="N170" s="4" t="n"/>
    </row>
    <row r="171" ht="15.75" customHeight="1" s="297">
      <c r="A171" s="4" t="n"/>
      <c r="B171" s="4" t="n"/>
      <c r="C171" s="4" t="n"/>
      <c r="D171" s="4" t="n"/>
      <c r="E171" s="4" t="n"/>
      <c r="F171" s="4" t="n"/>
      <c r="G171" s="4" t="n"/>
      <c r="H171" s="4" t="n"/>
      <c r="I171" s="4" t="n"/>
      <c r="J171" s="4" t="n"/>
      <c r="K171" s="4" t="n"/>
      <c r="L171" s="4" t="n"/>
      <c r="M171" s="4" t="n"/>
      <c r="N171" s="4" t="n"/>
    </row>
    <row r="172" ht="15.75" customHeight="1" s="297">
      <c r="A172" s="4" t="n"/>
      <c r="B172" s="4" t="n"/>
      <c r="C172" s="4" t="n"/>
      <c r="D172" s="4" t="n"/>
      <c r="E172" s="4" t="n"/>
      <c r="F172" s="4" t="n"/>
      <c r="G172" s="4" t="n"/>
      <c r="H172" s="4" t="n"/>
      <c r="I172" s="4" t="n"/>
      <c r="J172" s="4" t="n"/>
      <c r="K172" s="4" t="n"/>
      <c r="L172" s="4" t="n"/>
      <c r="M172" s="4" t="n"/>
      <c r="N172" s="4" t="n"/>
    </row>
    <row r="173" ht="15.75" customHeight="1" s="297">
      <c r="A173" s="4" t="n"/>
      <c r="B173" s="4" t="n"/>
      <c r="C173" s="4" t="n"/>
      <c r="D173" s="4" t="n"/>
      <c r="E173" s="4" t="n"/>
      <c r="F173" s="4" t="n"/>
      <c r="G173" s="4" t="n"/>
      <c r="H173" s="4" t="n"/>
      <c r="I173" s="4" t="n"/>
      <c r="J173" s="4" t="n"/>
      <c r="K173" s="4" t="n"/>
      <c r="L173" s="4" t="n"/>
      <c r="M173" s="4" t="n"/>
      <c r="N173" s="4" t="n"/>
    </row>
    <row r="174" ht="15.75" customHeight="1" s="297">
      <c r="A174" s="4" t="n"/>
      <c r="B174" s="4" t="n"/>
      <c r="C174" s="4" t="n"/>
      <c r="D174" s="4" t="n"/>
      <c r="E174" s="4" t="n"/>
      <c r="F174" s="4" t="n"/>
      <c r="G174" s="4" t="n"/>
      <c r="H174" s="4" t="n"/>
      <c r="I174" s="4" t="n"/>
      <c r="J174" s="4" t="n"/>
      <c r="K174" s="4" t="n"/>
      <c r="L174" s="4" t="n"/>
      <c r="M174" s="4" t="n"/>
      <c r="N174" s="4" t="n"/>
    </row>
    <row r="175" ht="15.75" customHeight="1" s="297">
      <c r="A175" s="4" t="n"/>
      <c r="B175" s="4" t="n"/>
      <c r="C175" s="4" t="n"/>
      <c r="D175" s="4" t="n"/>
      <c r="E175" s="4" t="n"/>
      <c r="F175" s="4" t="n"/>
      <c r="G175" s="4" t="n"/>
      <c r="H175" s="4" t="n"/>
      <c r="I175" s="4" t="n"/>
      <c r="J175" s="4" t="n"/>
      <c r="K175" s="4" t="n"/>
      <c r="L175" s="4" t="n"/>
      <c r="M175" s="4" t="n"/>
      <c r="N175" s="4" t="n"/>
    </row>
    <row r="176" ht="15.75" customHeight="1" s="297">
      <c r="A176" s="4" t="n"/>
      <c r="B176" s="4" t="n"/>
      <c r="C176" s="4" t="n"/>
      <c r="D176" s="4" t="n"/>
      <c r="E176" s="4" t="n"/>
      <c r="F176" s="4" t="n"/>
      <c r="G176" s="4" t="n"/>
      <c r="H176" s="4" t="n"/>
      <c r="I176" s="4" t="n"/>
      <c r="J176" s="4" t="n"/>
      <c r="K176" s="4" t="n"/>
      <c r="L176" s="4" t="n"/>
      <c r="M176" s="4" t="n"/>
      <c r="N176" s="4" t="n"/>
    </row>
    <row r="177" ht="15.75" customHeight="1" s="297">
      <c r="A177" s="4" t="n"/>
      <c r="B177" s="4" t="n"/>
      <c r="C177" s="4" t="n"/>
      <c r="D177" s="4" t="n"/>
      <c r="E177" s="4" t="n"/>
      <c r="F177" s="4" t="n"/>
      <c r="G177" s="4" t="n"/>
      <c r="H177" s="4" t="n"/>
      <c r="I177" s="4" t="n"/>
      <c r="J177" s="4" t="n"/>
      <c r="K177" s="4" t="n"/>
      <c r="L177" s="4" t="n"/>
      <c r="M177" s="4" t="n"/>
      <c r="N177" s="4" t="n"/>
    </row>
    <row r="178" ht="15.75" customHeight="1" s="297">
      <c r="A178" s="4" t="n"/>
      <c r="B178" s="4" t="n"/>
      <c r="C178" s="4" t="n"/>
      <c r="D178" s="4" t="n"/>
      <c r="E178" s="4" t="n"/>
      <c r="F178" s="4" t="n"/>
      <c r="G178" s="4" t="n"/>
      <c r="H178" s="4" t="n"/>
      <c r="I178" s="4" t="n"/>
      <c r="J178" s="4" t="n"/>
      <c r="K178" s="4" t="n"/>
      <c r="L178" s="4" t="n"/>
      <c r="M178" s="4" t="n"/>
      <c r="N178" s="4" t="n"/>
    </row>
    <row r="179" ht="15.75" customHeight="1" s="297">
      <c r="A179" s="4" t="n"/>
      <c r="B179" s="4" t="n"/>
      <c r="C179" s="4" t="n"/>
      <c r="D179" s="4" t="n"/>
      <c r="E179" s="4" t="n"/>
      <c r="F179" s="4" t="n"/>
      <c r="G179" s="4" t="n"/>
      <c r="H179" s="4" t="n"/>
      <c r="I179" s="4" t="n"/>
      <c r="J179" s="4" t="n"/>
      <c r="K179" s="4" t="n"/>
      <c r="L179" s="4" t="n"/>
      <c r="M179" s="4" t="n"/>
      <c r="N179" s="4" t="n"/>
    </row>
    <row r="180" ht="15.75" customHeight="1" s="297">
      <c r="A180" s="4" t="n"/>
      <c r="B180" s="4" t="n"/>
      <c r="C180" s="4" t="n"/>
      <c r="D180" s="4" t="n"/>
      <c r="E180" s="4" t="n"/>
      <c r="F180" s="4" t="n"/>
      <c r="G180" s="4" t="n"/>
      <c r="H180" s="4" t="n"/>
      <c r="I180" s="4" t="n"/>
      <c r="J180" s="4" t="n"/>
      <c r="K180" s="4" t="n"/>
      <c r="L180" s="4" t="n"/>
      <c r="M180" s="4" t="n"/>
      <c r="N180" s="4" t="n"/>
    </row>
    <row r="181" ht="15.75" customHeight="1" s="297">
      <c r="A181" s="4" t="n"/>
      <c r="B181" s="4" t="n"/>
      <c r="C181" s="4" t="n"/>
      <c r="D181" s="4" t="n"/>
      <c r="E181" s="4" t="n"/>
      <c r="F181" s="4" t="n"/>
      <c r="G181" s="4" t="n"/>
      <c r="H181" s="4" t="n"/>
      <c r="I181" s="4" t="n"/>
      <c r="J181" s="4" t="n"/>
      <c r="K181" s="4" t="n"/>
      <c r="L181" s="4" t="n"/>
      <c r="M181" s="4" t="n"/>
      <c r="N181" s="4" t="n"/>
    </row>
    <row r="182" ht="15.75" customHeight="1" s="297">
      <c r="A182" s="4" t="n"/>
      <c r="B182" s="4" t="n"/>
      <c r="C182" s="4" t="n"/>
      <c r="D182" s="4" t="n"/>
      <c r="E182" s="4" t="n"/>
      <c r="F182" s="4" t="n"/>
      <c r="G182" s="4" t="n"/>
      <c r="H182" s="4" t="n"/>
      <c r="I182" s="4" t="n"/>
      <c r="J182" s="4" t="n"/>
      <c r="K182" s="4" t="n"/>
      <c r="L182" s="4" t="n"/>
      <c r="M182" s="4" t="n"/>
      <c r="N182" s="4" t="n"/>
    </row>
    <row r="183" ht="15.75" customHeight="1" s="297">
      <c r="A183" s="4" t="n"/>
      <c r="B183" s="4" t="n"/>
      <c r="C183" s="4" t="n"/>
      <c r="D183" s="4" t="n"/>
      <c r="E183" s="4" t="n"/>
      <c r="F183" s="4" t="n"/>
      <c r="G183" s="4" t="n"/>
      <c r="H183" s="4" t="n"/>
      <c r="I183" s="4" t="n"/>
      <c r="J183" s="4" t="n"/>
      <c r="K183" s="4" t="n"/>
      <c r="L183" s="4" t="n"/>
      <c r="M183" s="4" t="n"/>
      <c r="N183" s="4" t="n"/>
    </row>
    <row r="184" ht="15.75" customHeight="1" s="297">
      <c r="A184" s="4" t="n"/>
      <c r="B184" s="4" t="n"/>
      <c r="C184" s="4" t="n"/>
      <c r="D184" s="4" t="n"/>
      <c r="E184" s="4" t="n"/>
      <c r="F184" s="4" t="n"/>
      <c r="G184" s="4" t="n"/>
      <c r="H184" s="4" t="n"/>
      <c r="I184" s="4" t="n"/>
      <c r="J184" s="4" t="n"/>
      <c r="K184" s="4" t="n"/>
      <c r="L184" s="4" t="n"/>
      <c r="M184" s="4" t="n"/>
      <c r="N184" s="4" t="n"/>
    </row>
    <row r="185" ht="15.75" customHeight="1" s="297">
      <c r="A185" s="4" t="n"/>
      <c r="B185" s="4" t="n"/>
      <c r="C185" s="4" t="n"/>
      <c r="D185" s="4" t="n"/>
      <c r="E185" s="4" t="n"/>
      <c r="F185" s="4" t="n"/>
      <c r="G185" s="4" t="n"/>
      <c r="H185" s="4" t="n"/>
      <c r="I185" s="4" t="n"/>
      <c r="J185" s="4" t="n"/>
      <c r="K185" s="4" t="n"/>
      <c r="L185" s="4" t="n"/>
      <c r="M185" s="4" t="n"/>
      <c r="N185" s="4" t="n"/>
    </row>
    <row r="186" ht="15.75" customHeight="1" s="297">
      <c r="A186" s="4" t="n"/>
      <c r="B186" s="4" t="n"/>
      <c r="C186" s="4" t="n"/>
      <c r="D186" s="4" t="n"/>
      <c r="E186" s="4" t="n"/>
      <c r="F186" s="4" t="n"/>
      <c r="G186" s="4" t="n"/>
      <c r="H186" s="4" t="n"/>
      <c r="I186" s="4" t="n"/>
      <c r="J186" s="4" t="n"/>
      <c r="K186" s="4" t="n"/>
      <c r="L186" s="4" t="n"/>
      <c r="M186" s="4" t="n"/>
      <c r="N186" s="4" t="n"/>
    </row>
    <row r="187" ht="15.75" customHeight="1" s="297">
      <c r="A187" s="4" t="n"/>
      <c r="B187" s="4" t="n"/>
      <c r="C187" s="4" t="n"/>
      <c r="D187" s="4" t="n"/>
      <c r="E187" s="4" t="n"/>
      <c r="F187" s="4" t="n"/>
      <c r="G187" s="4" t="n"/>
      <c r="H187" s="4" t="n"/>
      <c r="I187" s="4" t="n"/>
      <c r="J187" s="4" t="n"/>
      <c r="K187" s="4" t="n"/>
      <c r="L187" s="4" t="n"/>
      <c r="M187" s="4" t="n"/>
      <c r="N187" s="4" t="n"/>
    </row>
    <row r="188" ht="15.75" customHeight="1" s="297">
      <c r="A188" s="4" t="n"/>
      <c r="B188" s="4" t="n"/>
      <c r="C188" s="4" t="n"/>
      <c r="D188" s="4" t="n"/>
      <c r="E188" s="4" t="n"/>
      <c r="F188" s="4" t="n"/>
      <c r="G188" s="4" t="n"/>
      <c r="H188" s="4" t="n"/>
      <c r="I188" s="4" t="n"/>
      <c r="J188" s="4" t="n"/>
      <c r="K188" s="4" t="n"/>
      <c r="L188" s="4" t="n"/>
      <c r="M188" s="4" t="n"/>
      <c r="N188" s="4" t="n"/>
    </row>
    <row r="189" ht="15.75" customHeight="1" s="297">
      <c r="A189" s="4" t="n"/>
      <c r="B189" s="4" t="n"/>
      <c r="C189" s="4" t="n"/>
      <c r="D189" s="4" t="n"/>
      <c r="E189" s="4" t="n"/>
      <c r="F189" s="4" t="n"/>
      <c r="G189" s="4" t="n"/>
      <c r="H189" s="4" t="n"/>
      <c r="I189" s="4" t="n"/>
      <c r="J189" s="4" t="n"/>
      <c r="K189" s="4" t="n"/>
      <c r="L189" s="4" t="n"/>
      <c r="M189" s="4" t="n"/>
      <c r="N189" s="4" t="n"/>
    </row>
    <row r="190" ht="15.75" customHeight="1" s="297">
      <c r="A190" s="4" t="n"/>
      <c r="B190" s="4" t="n"/>
      <c r="C190" s="4" t="n"/>
      <c r="D190" s="4" t="n"/>
      <c r="E190" s="4" t="n"/>
      <c r="F190" s="4" t="n"/>
      <c r="G190" s="4" t="n"/>
      <c r="H190" s="4" t="n"/>
      <c r="I190" s="4" t="n"/>
      <c r="J190" s="4" t="n"/>
      <c r="K190" s="4" t="n"/>
      <c r="L190" s="4" t="n"/>
      <c r="M190" s="4" t="n"/>
      <c r="N190" s="4" t="n"/>
    </row>
    <row r="191" ht="15.75" customHeight="1" s="297">
      <c r="A191" s="4" t="n"/>
      <c r="B191" s="4" t="n"/>
      <c r="C191" s="4" t="n"/>
      <c r="D191" s="4" t="n"/>
      <c r="E191" s="4" t="n"/>
      <c r="F191" s="4" t="n"/>
      <c r="G191" s="4" t="n"/>
      <c r="H191" s="4" t="n"/>
      <c r="I191" s="4" t="n"/>
      <c r="J191" s="4" t="n"/>
      <c r="K191" s="4" t="n"/>
      <c r="L191" s="4" t="n"/>
      <c r="M191" s="4" t="n"/>
      <c r="N191" s="4" t="n"/>
    </row>
    <row r="192" ht="15.75" customHeight="1" s="297">
      <c r="A192" s="4" t="n"/>
      <c r="B192" s="4" t="n"/>
      <c r="C192" s="4" t="n"/>
      <c r="D192" s="4" t="n"/>
      <c r="E192" s="4" t="n"/>
      <c r="F192" s="4" t="n"/>
      <c r="G192" s="4" t="n"/>
      <c r="H192" s="4" t="n"/>
      <c r="I192" s="4" t="n"/>
      <c r="J192" s="4" t="n"/>
      <c r="K192" s="4" t="n"/>
      <c r="L192" s="4" t="n"/>
      <c r="M192" s="4" t="n"/>
      <c r="N192" s="4" t="n"/>
    </row>
    <row r="193" ht="15.75" customHeight="1" s="297">
      <c r="A193" s="4" t="n"/>
      <c r="B193" s="4" t="n"/>
      <c r="C193" s="4" t="n"/>
      <c r="D193" s="4" t="n"/>
      <c r="E193" s="4" t="n"/>
      <c r="F193" s="4" t="n"/>
      <c r="G193" s="4" t="n"/>
      <c r="H193" s="4" t="n"/>
      <c r="I193" s="4" t="n"/>
      <c r="J193" s="4" t="n"/>
      <c r="K193" s="4" t="n"/>
      <c r="L193" s="4" t="n"/>
      <c r="M193" s="4" t="n"/>
      <c r="N193" s="4" t="n"/>
    </row>
    <row r="194" ht="15.75" customHeight="1" s="297">
      <c r="A194" s="4" t="n"/>
      <c r="B194" s="4" t="n"/>
      <c r="C194" s="4" t="n"/>
      <c r="D194" s="4" t="n"/>
      <c r="E194" s="4" t="n"/>
      <c r="F194" s="4" t="n"/>
      <c r="G194" s="4" t="n"/>
      <c r="H194" s="4" t="n"/>
      <c r="I194" s="4" t="n"/>
      <c r="J194" s="4" t="n"/>
      <c r="K194" s="4" t="n"/>
      <c r="L194" s="4" t="n"/>
      <c r="M194" s="4" t="n"/>
      <c r="N194" s="4" t="n"/>
    </row>
    <row r="195" ht="15.75" customHeight="1" s="297">
      <c r="A195" s="4" t="n"/>
      <c r="B195" s="4" t="n"/>
      <c r="C195" s="4" t="n"/>
      <c r="D195" s="4" t="n"/>
      <c r="E195" s="4" t="n"/>
      <c r="F195" s="4" t="n"/>
      <c r="G195" s="4" t="n"/>
      <c r="H195" s="4" t="n"/>
      <c r="I195" s="4" t="n"/>
      <c r="J195" s="4" t="n"/>
      <c r="K195" s="4" t="n"/>
      <c r="L195" s="4" t="n"/>
      <c r="M195" s="4" t="n"/>
      <c r="N195" s="4" t="n"/>
    </row>
    <row r="196" ht="15.75" customHeight="1" s="297">
      <c r="A196" s="4" t="n"/>
      <c r="B196" s="4" t="n"/>
      <c r="C196" s="4" t="n"/>
      <c r="D196" s="4" t="n"/>
      <c r="E196" s="4" t="n"/>
      <c r="F196" s="4" t="n"/>
      <c r="G196" s="4" t="n"/>
      <c r="H196" s="4" t="n"/>
      <c r="I196" s="4" t="n"/>
      <c r="J196" s="4" t="n"/>
      <c r="K196" s="4" t="n"/>
      <c r="L196" s="4" t="n"/>
      <c r="M196" s="4" t="n"/>
      <c r="N196" s="4" t="n"/>
    </row>
    <row r="197" ht="15.75" customHeight="1" s="297">
      <c r="A197" s="4" t="n"/>
      <c r="B197" s="4" t="n"/>
      <c r="C197" s="4" t="n"/>
      <c r="D197" s="4" t="n"/>
      <c r="E197" s="4" t="n"/>
      <c r="F197" s="4" t="n"/>
      <c r="G197" s="4" t="n"/>
      <c r="H197" s="4" t="n"/>
      <c r="I197" s="4" t="n"/>
      <c r="J197" s="4" t="n"/>
      <c r="K197" s="4" t="n"/>
      <c r="L197" s="4" t="n"/>
      <c r="M197" s="4" t="n"/>
      <c r="N197" s="4" t="n"/>
    </row>
    <row r="198" ht="15.75" customHeight="1" s="297">
      <c r="A198" s="4" t="n"/>
      <c r="B198" s="4" t="n"/>
      <c r="C198" s="4" t="n"/>
      <c r="D198" s="4" t="n"/>
      <c r="E198" s="4" t="n"/>
      <c r="F198" s="4" t="n"/>
      <c r="G198" s="4" t="n"/>
      <c r="H198" s="4" t="n"/>
      <c r="I198" s="4" t="n"/>
      <c r="J198" s="4" t="n"/>
      <c r="K198" s="4" t="n"/>
      <c r="L198" s="4" t="n"/>
      <c r="M198" s="4" t="n"/>
      <c r="N198" s="4" t="n"/>
    </row>
    <row r="199" ht="15.75" customHeight="1" s="297">
      <c r="A199" s="4" t="n"/>
      <c r="B199" s="4" t="n"/>
      <c r="C199" s="4" t="n"/>
      <c r="D199" s="4" t="n"/>
      <c r="E199" s="4" t="n"/>
      <c r="F199" s="4" t="n"/>
      <c r="G199" s="4" t="n"/>
      <c r="H199" s="4" t="n"/>
      <c r="I199" s="4" t="n"/>
      <c r="J199" s="4" t="n"/>
      <c r="K199" s="4" t="n"/>
      <c r="L199" s="4" t="n"/>
      <c r="M199" s="4" t="n"/>
      <c r="N199" s="4" t="n"/>
    </row>
    <row r="200" ht="15.75" customHeight="1" s="297">
      <c r="A200" s="4" t="n"/>
      <c r="B200" s="4" t="n"/>
      <c r="C200" s="4" t="n"/>
      <c r="D200" s="4" t="n"/>
      <c r="E200" s="4" t="n"/>
      <c r="F200" s="4" t="n"/>
      <c r="G200" s="4" t="n"/>
      <c r="H200" s="4" t="n"/>
      <c r="I200" s="4" t="n"/>
      <c r="J200" s="4" t="n"/>
      <c r="K200" s="4" t="n"/>
      <c r="L200" s="4" t="n"/>
      <c r="M200" s="4" t="n"/>
      <c r="N200" s="4" t="n"/>
    </row>
    <row r="201" ht="15.75" customHeight="1" s="297">
      <c r="A201" s="4" t="n"/>
      <c r="B201" s="4" t="n"/>
      <c r="C201" s="4" t="n"/>
      <c r="D201" s="4" t="n"/>
      <c r="E201" s="4" t="n"/>
      <c r="F201" s="4" t="n"/>
      <c r="G201" s="4" t="n"/>
      <c r="H201" s="4" t="n"/>
      <c r="I201" s="4" t="n"/>
      <c r="J201" s="4" t="n"/>
      <c r="K201" s="4" t="n"/>
      <c r="L201" s="4" t="n"/>
      <c r="M201" s="4" t="n"/>
      <c r="N201" s="4" t="n"/>
    </row>
    <row r="202" ht="15.75" customHeight="1" s="297">
      <c r="A202" s="4" t="n"/>
      <c r="B202" s="4" t="n"/>
      <c r="C202" s="4" t="n"/>
      <c r="D202" s="4" t="n"/>
      <c r="E202" s="4" t="n"/>
      <c r="F202" s="4" t="n"/>
      <c r="G202" s="4" t="n"/>
      <c r="H202" s="4" t="n"/>
      <c r="I202" s="4" t="n"/>
      <c r="J202" s="4" t="n"/>
      <c r="K202" s="4" t="n"/>
      <c r="L202" s="4" t="n"/>
      <c r="M202" s="4" t="n"/>
      <c r="N202" s="4" t="n"/>
    </row>
    <row r="203" ht="15.75" customHeight="1" s="297">
      <c r="A203" s="4" t="n"/>
      <c r="B203" s="4" t="n"/>
      <c r="C203" s="4" t="n"/>
      <c r="D203" s="4" t="n"/>
      <c r="E203" s="4" t="n"/>
      <c r="F203" s="4" t="n"/>
      <c r="G203" s="4" t="n"/>
      <c r="H203" s="4" t="n"/>
      <c r="I203" s="4" t="n"/>
      <c r="J203" s="4" t="n"/>
      <c r="K203" s="4" t="n"/>
      <c r="L203" s="4" t="n"/>
      <c r="M203" s="4" t="n"/>
      <c r="N203" s="4" t="n"/>
    </row>
    <row r="204" ht="15.75" customHeight="1" s="297">
      <c r="A204" s="4" t="n"/>
      <c r="B204" s="4" t="n"/>
      <c r="C204" s="4" t="n"/>
      <c r="D204" s="4" t="n"/>
      <c r="E204" s="4" t="n"/>
      <c r="F204" s="4" t="n"/>
      <c r="G204" s="4" t="n"/>
      <c r="H204" s="4" t="n"/>
      <c r="I204" s="4" t="n"/>
      <c r="J204" s="4" t="n"/>
      <c r="K204" s="4" t="n"/>
      <c r="L204" s="4" t="n"/>
      <c r="M204" s="4" t="n"/>
      <c r="N204" s="4" t="n"/>
    </row>
    <row r="205" ht="15.75" customHeight="1" s="297">
      <c r="A205" s="4" t="n"/>
      <c r="B205" s="4" t="n"/>
      <c r="C205" s="4" t="n"/>
      <c r="D205" s="4" t="n"/>
      <c r="E205" s="4" t="n"/>
      <c r="F205" s="4" t="n"/>
      <c r="G205" s="4" t="n"/>
      <c r="H205" s="4" t="n"/>
      <c r="I205" s="4" t="n"/>
      <c r="J205" s="4" t="n"/>
      <c r="K205" s="4" t="n"/>
      <c r="L205" s="4" t="n"/>
      <c r="M205" s="4" t="n"/>
      <c r="N205" s="4" t="n"/>
    </row>
    <row r="206" ht="15.75" customHeight="1" s="297">
      <c r="A206" s="4" t="n"/>
      <c r="B206" s="4" t="n"/>
      <c r="C206" s="4" t="n"/>
      <c r="D206" s="4" t="n"/>
      <c r="E206" s="4" t="n"/>
      <c r="F206" s="4" t="n"/>
      <c r="G206" s="4" t="n"/>
      <c r="H206" s="4" t="n"/>
      <c r="I206" s="4" t="n"/>
      <c r="J206" s="4" t="n"/>
      <c r="K206" s="4" t="n"/>
      <c r="L206" s="4" t="n"/>
      <c r="M206" s="4" t="n"/>
      <c r="N206" s="4" t="n"/>
    </row>
    <row r="207" ht="15.75" customHeight="1" s="297">
      <c r="A207" s="4" t="n"/>
      <c r="B207" s="4" t="n"/>
      <c r="C207" s="4" t="n"/>
      <c r="D207" s="4" t="n"/>
      <c r="E207" s="4" t="n"/>
      <c r="F207" s="4" t="n"/>
      <c r="G207" s="4" t="n"/>
      <c r="H207" s="4" t="n"/>
      <c r="I207" s="4" t="n"/>
      <c r="J207" s="4" t="n"/>
      <c r="K207" s="4" t="n"/>
      <c r="L207" s="4" t="n"/>
      <c r="M207" s="4" t="n"/>
      <c r="N207" s="4" t="n"/>
    </row>
    <row r="208" ht="15.75" customHeight="1" s="297">
      <c r="A208" s="4" t="n"/>
      <c r="B208" s="4" t="n"/>
      <c r="C208" s="4" t="n"/>
      <c r="D208" s="4" t="n"/>
      <c r="E208" s="4" t="n"/>
      <c r="F208" s="4" t="n"/>
      <c r="G208" s="4" t="n"/>
      <c r="H208" s="4" t="n"/>
      <c r="I208" s="4" t="n"/>
      <c r="J208" s="4" t="n"/>
      <c r="K208" s="4" t="n"/>
      <c r="L208" s="4" t="n"/>
      <c r="M208" s="4" t="n"/>
      <c r="N208" s="4" t="n"/>
    </row>
    <row r="209" ht="15.75" customHeight="1" s="297">
      <c r="A209" s="4" t="n"/>
      <c r="B209" s="4" t="n"/>
      <c r="C209" s="4" t="n"/>
      <c r="D209" s="4" t="n"/>
      <c r="E209" s="4" t="n"/>
      <c r="F209" s="4" t="n"/>
      <c r="G209" s="4" t="n"/>
      <c r="H209" s="4" t="n"/>
      <c r="I209" s="4" t="n"/>
      <c r="J209" s="4" t="n"/>
      <c r="K209" s="4" t="n"/>
      <c r="L209" s="4" t="n"/>
      <c r="M209" s="4" t="n"/>
      <c r="N209" s="4" t="n"/>
    </row>
    <row r="210" ht="15.75" customHeight="1" s="297">
      <c r="A210" s="4" t="n"/>
      <c r="B210" s="4" t="n"/>
      <c r="C210" s="4" t="n"/>
      <c r="D210" s="4" t="n"/>
      <c r="E210" s="4" t="n"/>
      <c r="F210" s="4" t="n"/>
      <c r="G210" s="4" t="n"/>
      <c r="H210" s="4" t="n"/>
      <c r="I210" s="4" t="n"/>
      <c r="J210" s="4" t="n"/>
      <c r="K210" s="4" t="n"/>
      <c r="L210" s="4" t="n"/>
      <c r="M210" s="4" t="n"/>
      <c r="N210" s="4" t="n"/>
    </row>
    <row r="211" ht="15.75" customHeight="1" s="297">
      <c r="A211" s="4" t="n"/>
      <c r="B211" s="4" t="n"/>
      <c r="C211" s="4" t="n"/>
      <c r="D211" s="4" t="n"/>
      <c r="E211" s="4" t="n"/>
      <c r="F211" s="4" t="n"/>
      <c r="G211" s="4" t="n"/>
      <c r="H211" s="4" t="n"/>
      <c r="I211" s="4" t="n"/>
      <c r="J211" s="4" t="n"/>
      <c r="K211" s="4" t="n"/>
      <c r="L211" s="4" t="n"/>
      <c r="M211" s="4" t="n"/>
      <c r="N211" s="4" t="n"/>
    </row>
    <row r="212" ht="15.75" customHeight="1" s="297">
      <c r="A212" s="4" t="n"/>
      <c r="B212" s="4" t="n"/>
      <c r="C212" s="4" t="n"/>
      <c r="D212" s="4" t="n"/>
      <c r="E212" s="4" t="n"/>
      <c r="F212" s="4" t="n"/>
      <c r="G212" s="4" t="n"/>
      <c r="H212" s="4" t="n"/>
      <c r="I212" s="4" t="n"/>
      <c r="J212" s="4" t="n"/>
      <c r="K212" s="4" t="n"/>
      <c r="L212" s="4" t="n"/>
      <c r="M212" s="4" t="n"/>
      <c r="N212" s="4" t="n"/>
    </row>
    <row r="213" ht="15.75" customHeight="1" s="297">
      <c r="A213" s="4" t="n"/>
      <c r="B213" s="4" t="n"/>
      <c r="C213" s="4" t="n"/>
      <c r="D213" s="4" t="n"/>
      <c r="E213" s="4" t="n"/>
      <c r="F213" s="4" t="n"/>
      <c r="G213" s="4" t="n"/>
      <c r="H213" s="4" t="n"/>
      <c r="I213" s="4" t="n"/>
      <c r="J213" s="4" t="n"/>
      <c r="K213" s="4" t="n"/>
      <c r="L213" s="4" t="n"/>
      <c r="M213" s="4" t="n"/>
      <c r="N213" s="4" t="n"/>
    </row>
    <row r="214" ht="15.75" customHeight="1" s="297">
      <c r="A214" s="4" t="n"/>
      <c r="B214" s="4" t="n"/>
      <c r="C214" s="4" t="n"/>
      <c r="D214" s="4" t="n"/>
      <c r="E214" s="4" t="n"/>
      <c r="F214" s="4" t="n"/>
      <c r="G214" s="4" t="n"/>
      <c r="H214" s="4" t="n"/>
      <c r="I214" s="4" t="n"/>
      <c r="J214" s="4" t="n"/>
      <c r="K214" s="4" t="n"/>
      <c r="L214" s="4" t="n"/>
      <c r="M214" s="4" t="n"/>
      <c r="N214" s="4" t="n"/>
    </row>
    <row r="215" ht="15.75" customHeight="1" s="297">
      <c r="A215" s="4" t="n"/>
      <c r="B215" s="4" t="n"/>
      <c r="C215" s="4" t="n"/>
      <c r="D215" s="4" t="n"/>
      <c r="E215" s="4" t="n"/>
      <c r="F215" s="4" t="n"/>
      <c r="G215" s="4" t="n"/>
      <c r="H215" s="4" t="n"/>
      <c r="I215" s="4" t="n"/>
      <c r="J215" s="4" t="n"/>
      <c r="K215" s="4" t="n"/>
      <c r="L215" s="4" t="n"/>
      <c r="M215" s="4" t="n"/>
      <c r="N215" s="4" t="n"/>
    </row>
    <row r="216" ht="15.75" customHeight="1" s="297">
      <c r="A216" s="4" t="n"/>
      <c r="B216" s="4" t="n"/>
      <c r="C216" s="4" t="n"/>
      <c r="D216" s="4" t="n"/>
      <c r="E216" s="4" t="n"/>
      <c r="F216" s="4" t="n"/>
      <c r="G216" s="4" t="n"/>
      <c r="H216" s="4" t="n"/>
      <c r="I216" s="4" t="n"/>
      <c r="J216" s="4" t="n"/>
      <c r="K216" s="4" t="n"/>
      <c r="L216" s="4" t="n"/>
      <c r="M216" s="4" t="n"/>
      <c r="N216" s="4" t="n"/>
    </row>
    <row r="217" ht="15.75" customHeight="1" s="297">
      <c r="A217" s="4" t="n"/>
      <c r="B217" s="4" t="n"/>
      <c r="C217" s="4" t="n"/>
      <c r="D217" s="4" t="n"/>
      <c r="E217" s="4" t="n"/>
      <c r="F217" s="4" t="n"/>
      <c r="G217" s="4" t="n"/>
      <c r="H217" s="4" t="n"/>
      <c r="I217" s="4" t="n"/>
      <c r="J217" s="4" t="n"/>
      <c r="K217" s="4" t="n"/>
      <c r="L217" s="4" t="n"/>
      <c r="M217" s="4" t="n"/>
      <c r="N217" s="4" t="n"/>
    </row>
    <row r="218" ht="15.75" customHeight="1" s="297">
      <c r="A218" s="4" t="n"/>
      <c r="B218" s="4" t="n"/>
      <c r="C218" s="4" t="n"/>
      <c r="D218" s="4" t="n"/>
      <c r="E218" s="4" t="n"/>
      <c r="F218" s="4" t="n"/>
      <c r="G218" s="4" t="n"/>
      <c r="H218" s="4" t="n"/>
      <c r="I218" s="4" t="n"/>
      <c r="J218" s="4" t="n"/>
      <c r="K218" s="4" t="n"/>
      <c r="L218" s="4" t="n"/>
      <c r="M218" s="4" t="n"/>
      <c r="N218" s="4" t="n"/>
    </row>
    <row r="219" ht="15.75" customHeight="1" s="297">
      <c r="A219" s="4" t="n"/>
      <c r="B219" s="4" t="n"/>
      <c r="C219" s="4" t="n"/>
      <c r="D219" s="4" t="n"/>
      <c r="E219" s="4" t="n"/>
      <c r="F219" s="4" t="n"/>
      <c r="G219" s="4" t="n"/>
      <c r="H219" s="4" t="n"/>
      <c r="I219" s="4" t="n"/>
      <c r="J219" s="4" t="n"/>
      <c r="K219" s="4" t="n"/>
      <c r="L219" s="4" t="n"/>
      <c r="M219" s="4" t="n"/>
      <c r="N219" s="4" t="n"/>
    </row>
    <row r="220" ht="15.75" customHeight="1" s="297">
      <c r="A220" s="4" t="n"/>
      <c r="B220" s="4" t="n"/>
      <c r="C220" s="4" t="n"/>
      <c r="D220" s="4" t="n"/>
      <c r="E220" s="4" t="n"/>
      <c r="F220" s="4" t="n"/>
      <c r="G220" s="4" t="n"/>
      <c r="H220" s="4" t="n"/>
      <c r="I220" s="4" t="n"/>
      <c r="J220" s="4" t="n"/>
      <c r="K220" s="4" t="n"/>
      <c r="L220" s="4" t="n"/>
      <c r="M220" s="4" t="n"/>
      <c r="N220" s="4" t="n"/>
    </row>
    <row r="221" ht="15.75" customHeight="1" s="297">
      <c r="A221" s="4" t="n"/>
      <c r="B221" s="4" t="n"/>
      <c r="C221" s="4" t="n"/>
      <c r="D221" s="4" t="n"/>
      <c r="E221" s="4" t="n"/>
      <c r="F221" s="4" t="n"/>
      <c r="G221" s="4" t="n"/>
      <c r="H221" s="4" t="n"/>
      <c r="I221" s="4" t="n"/>
      <c r="J221" s="4" t="n"/>
      <c r="K221" s="4" t="n"/>
      <c r="L221" s="4" t="n"/>
      <c r="M221" s="4" t="n"/>
      <c r="N221" s="4" t="n"/>
    </row>
    <row r="222" ht="15.75" customHeight="1" s="297">
      <c r="A222" s="4" t="n"/>
      <c r="B222" s="4" t="n"/>
      <c r="C222" s="4" t="n"/>
      <c r="D222" s="4" t="n"/>
      <c r="E222" s="4" t="n"/>
      <c r="F222" s="4" t="n"/>
      <c r="G222" s="4" t="n"/>
      <c r="H222" s="4" t="n"/>
      <c r="I222" s="4" t="n"/>
      <c r="J222" s="4" t="n"/>
      <c r="K222" s="4" t="n"/>
      <c r="L222" s="4" t="n"/>
      <c r="M222" s="4" t="n"/>
      <c r="N222" s="4" t="n"/>
    </row>
    <row r="223" ht="15.75" customHeight="1" s="297">
      <c r="A223" s="4" t="n"/>
      <c r="B223" s="4" t="n"/>
      <c r="C223" s="4" t="n"/>
      <c r="D223" s="4" t="n"/>
      <c r="E223" s="4" t="n"/>
      <c r="F223" s="4" t="n"/>
      <c r="G223" s="4" t="n"/>
      <c r="H223" s="4" t="n"/>
      <c r="I223" s="4" t="n"/>
      <c r="J223" s="4" t="n"/>
      <c r="K223" s="4" t="n"/>
      <c r="L223" s="4" t="n"/>
      <c r="M223" s="4" t="n"/>
      <c r="N223" s="4" t="n"/>
    </row>
    <row r="224" ht="15.75" customHeight="1" s="297">
      <c r="A224" s="4" t="n"/>
      <c r="B224" s="4" t="n"/>
      <c r="C224" s="4" t="n"/>
      <c r="D224" s="4" t="n"/>
      <c r="E224" s="4" t="n"/>
      <c r="F224" s="4" t="n"/>
      <c r="G224" s="4" t="n"/>
      <c r="H224" s="4" t="n"/>
      <c r="I224" s="4" t="n"/>
      <c r="J224" s="4" t="n"/>
      <c r="K224" s="4" t="n"/>
      <c r="L224" s="4" t="n"/>
      <c r="M224" s="4" t="n"/>
      <c r="N224" s="4" t="n"/>
    </row>
    <row r="225" ht="15.75" customHeight="1" s="297">
      <c r="A225" s="4" t="n"/>
      <c r="B225" s="4" t="n"/>
      <c r="C225" s="4" t="n"/>
      <c r="D225" s="4" t="n"/>
      <c r="E225" s="4" t="n"/>
      <c r="F225" s="4" t="n"/>
      <c r="G225" s="4" t="n"/>
      <c r="H225" s="4" t="n"/>
      <c r="I225" s="4" t="n"/>
      <c r="J225" s="4" t="n"/>
      <c r="K225" s="4" t="n"/>
      <c r="L225" s="4" t="n"/>
      <c r="M225" s="4" t="n"/>
      <c r="N225" s="4" t="n"/>
    </row>
    <row r="226" ht="15.75" customHeight="1" s="297">
      <c r="A226" s="4" t="n"/>
      <c r="B226" s="4" t="n"/>
      <c r="C226" s="4" t="n"/>
      <c r="D226" s="4" t="n"/>
      <c r="E226" s="4" t="n"/>
      <c r="F226" s="4" t="n"/>
      <c r="G226" s="4" t="n"/>
      <c r="H226" s="4" t="n"/>
      <c r="I226" s="4" t="n"/>
      <c r="J226" s="4" t="n"/>
      <c r="K226" s="4" t="n"/>
      <c r="L226" s="4" t="n"/>
      <c r="M226" s="4" t="n"/>
      <c r="N226" s="4" t="n"/>
    </row>
    <row r="227" ht="15.75" customHeight="1" s="297">
      <c r="A227" s="4" t="n"/>
      <c r="B227" s="4" t="n"/>
      <c r="C227" s="4" t="n"/>
      <c r="D227" s="4" t="n"/>
      <c r="E227" s="4" t="n"/>
      <c r="F227" s="4" t="n"/>
      <c r="G227" s="4" t="n"/>
      <c r="H227" s="4" t="n"/>
      <c r="I227" s="4" t="n"/>
      <c r="J227" s="4" t="n"/>
      <c r="K227" s="4" t="n"/>
      <c r="L227" s="4" t="n"/>
      <c r="M227" s="4" t="n"/>
      <c r="N227" s="4" t="n"/>
    </row>
    <row r="228" ht="15.75" customHeight="1" s="297">
      <c r="A228" s="4" t="n"/>
      <c r="B228" s="4" t="n"/>
      <c r="C228" s="4" t="n"/>
      <c r="D228" s="4" t="n"/>
      <c r="E228" s="4" t="n"/>
      <c r="F228" s="4" t="n"/>
      <c r="G228" s="4" t="n"/>
      <c r="H228" s="4" t="n"/>
      <c r="I228" s="4" t="n"/>
      <c r="J228" s="4" t="n"/>
      <c r="K228" s="4" t="n"/>
      <c r="L228" s="4" t="n"/>
      <c r="M228" s="4" t="n"/>
      <c r="N228" s="4" t="n"/>
    </row>
    <row r="229" ht="15.75" customHeight="1" s="297">
      <c r="A229" s="4" t="n"/>
      <c r="B229" s="4" t="n"/>
      <c r="C229" s="4" t="n"/>
      <c r="D229" s="4" t="n"/>
      <c r="E229" s="4" t="n"/>
      <c r="F229" s="4" t="n"/>
      <c r="G229" s="4" t="n"/>
      <c r="H229" s="4" t="n"/>
      <c r="I229" s="4" t="n"/>
      <c r="J229" s="4" t="n"/>
      <c r="K229" s="4" t="n"/>
      <c r="L229" s="4" t="n"/>
      <c r="M229" s="4" t="n"/>
      <c r="N229" s="4" t="n"/>
    </row>
    <row r="230" ht="15.75" customHeight="1" s="297">
      <c r="A230" s="4" t="n"/>
      <c r="B230" s="4" t="n"/>
      <c r="C230" s="4" t="n"/>
      <c r="D230" s="4" t="n"/>
      <c r="E230" s="4" t="n"/>
      <c r="F230" s="4" t="n"/>
      <c r="G230" s="4" t="n"/>
      <c r="H230" s="4" t="n"/>
      <c r="I230" s="4" t="n"/>
      <c r="J230" s="4" t="n"/>
      <c r="K230" s="4" t="n"/>
      <c r="L230" s="4" t="n"/>
      <c r="M230" s="4" t="n"/>
      <c r="N230" s="4" t="n"/>
    </row>
    <row r="231" ht="15.75" customHeight="1" s="297">
      <c r="A231" s="4" t="n"/>
      <c r="B231" s="4" t="n"/>
      <c r="C231" s="4" t="n"/>
      <c r="D231" s="4" t="n"/>
      <c r="E231" s="4" t="n"/>
      <c r="F231" s="4" t="n"/>
      <c r="G231" s="4" t="n"/>
      <c r="H231" s="4" t="n"/>
      <c r="I231" s="4" t="n"/>
      <c r="J231" s="4" t="n"/>
      <c r="K231" s="4" t="n"/>
      <c r="L231" s="4" t="n"/>
      <c r="M231" s="4" t="n"/>
      <c r="N231" s="4" t="n"/>
    </row>
    <row r="232" ht="15.75" customHeight="1" s="297">
      <c r="A232" s="4" t="n"/>
      <c r="B232" s="4" t="n"/>
      <c r="C232" s="4" t="n"/>
      <c r="D232" s="4" t="n"/>
      <c r="E232" s="4" t="n"/>
      <c r="F232" s="4" t="n"/>
      <c r="G232" s="4" t="n"/>
      <c r="H232" s="4" t="n"/>
      <c r="I232" s="4" t="n"/>
      <c r="J232" s="4" t="n"/>
      <c r="K232" s="4" t="n"/>
      <c r="L232" s="4" t="n"/>
      <c r="M232" s="4" t="n"/>
      <c r="N232" s="4" t="n"/>
    </row>
    <row r="233" ht="15.75" customHeight="1" s="297">
      <c r="A233" s="4" t="n"/>
      <c r="B233" s="4" t="n"/>
      <c r="C233" s="4" t="n"/>
      <c r="D233" s="4" t="n"/>
      <c r="E233" s="4" t="n"/>
      <c r="F233" s="4" t="n"/>
      <c r="G233" s="4" t="n"/>
      <c r="H233" s="4" t="n"/>
      <c r="I233" s="4" t="n"/>
      <c r="J233" s="4" t="n"/>
      <c r="K233" s="4" t="n"/>
      <c r="L233" s="4" t="n"/>
      <c r="M233" s="4" t="n"/>
      <c r="N233" s="4" t="n"/>
    </row>
    <row r="234" ht="15.75" customHeight="1" s="297">
      <c r="A234" s="4" t="n"/>
      <c r="B234" s="4" t="n"/>
      <c r="C234" s="4" t="n"/>
      <c r="D234" s="4" t="n"/>
      <c r="E234" s="4" t="n"/>
      <c r="F234" s="4" t="n"/>
      <c r="G234" s="4" t="n"/>
      <c r="H234" s="4" t="n"/>
      <c r="I234" s="4" t="n"/>
      <c r="J234" s="4" t="n"/>
      <c r="K234" s="4" t="n"/>
      <c r="L234" s="4" t="n"/>
      <c r="M234" s="4" t="n"/>
      <c r="N234" s="4" t="n"/>
    </row>
    <row r="235" ht="15.75" customHeight="1" s="297">
      <c r="A235" s="4" t="n"/>
      <c r="B235" s="4" t="n"/>
      <c r="C235" s="4" t="n"/>
      <c r="D235" s="4" t="n"/>
      <c r="E235" s="4" t="n"/>
      <c r="F235" s="4" t="n"/>
      <c r="G235" s="4" t="n"/>
      <c r="H235" s="4" t="n"/>
      <c r="I235" s="4" t="n"/>
      <c r="J235" s="4" t="n"/>
      <c r="K235" s="4" t="n"/>
      <c r="L235" s="4" t="n"/>
      <c r="M235" s="4" t="n"/>
      <c r="N235" s="4" t="n"/>
    </row>
    <row r="236" ht="15.75" customHeight="1" s="297">
      <c r="A236" s="4" t="n"/>
      <c r="B236" s="4" t="n"/>
      <c r="C236" s="4" t="n"/>
      <c r="D236" s="4" t="n"/>
      <c r="E236" s="4" t="n"/>
      <c r="F236" s="4" t="n"/>
      <c r="G236" s="4" t="n"/>
      <c r="H236" s="4" t="n"/>
      <c r="I236" s="4" t="n"/>
      <c r="J236" s="4" t="n"/>
      <c r="K236" s="4" t="n"/>
      <c r="L236" s="4" t="n"/>
      <c r="M236" s="4" t="n"/>
      <c r="N236" s="4" t="n"/>
    </row>
    <row r="237" ht="15.75" customHeight="1" s="297">
      <c r="A237" s="4" t="n"/>
      <c r="B237" s="4" t="n"/>
      <c r="C237" s="4" t="n"/>
      <c r="D237" s="4" t="n"/>
      <c r="E237" s="4" t="n"/>
      <c r="F237" s="4" t="n"/>
      <c r="G237" s="4" t="n"/>
      <c r="H237" s="4" t="n"/>
      <c r="I237" s="4" t="n"/>
      <c r="J237" s="4" t="n"/>
      <c r="K237" s="4" t="n"/>
      <c r="L237" s="4" t="n"/>
      <c r="M237" s="4" t="n"/>
      <c r="N237" s="4" t="n"/>
    </row>
    <row r="238" ht="15.75" customHeight="1" s="297">
      <c r="A238" s="4" t="n"/>
      <c r="B238" s="4" t="n"/>
      <c r="C238" s="4" t="n"/>
      <c r="D238" s="4" t="n"/>
      <c r="E238" s="4" t="n"/>
      <c r="F238" s="4" t="n"/>
      <c r="G238" s="4" t="n"/>
      <c r="H238" s="4" t="n"/>
      <c r="I238" s="4" t="n"/>
      <c r="J238" s="4" t="n"/>
      <c r="K238" s="4" t="n"/>
      <c r="L238" s="4" t="n"/>
      <c r="M238" s="4" t="n"/>
      <c r="N238" s="4" t="n"/>
    </row>
    <row r="239" ht="15.75" customHeight="1" s="297">
      <c r="A239" s="4" t="n"/>
      <c r="B239" s="4" t="n"/>
      <c r="C239" s="4" t="n"/>
      <c r="D239" s="4" t="n"/>
      <c r="E239" s="4" t="n"/>
      <c r="F239" s="4" t="n"/>
      <c r="G239" s="4" t="n"/>
      <c r="H239" s="4" t="n"/>
      <c r="I239" s="4" t="n"/>
      <c r="J239" s="4" t="n"/>
      <c r="K239" s="4" t="n"/>
      <c r="L239" s="4" t="n"/>
      <c r="M239" s="4" t="n"/>
      <c r="N239" s="4" t="n"/>
    </row>
    <row r="240" ht="15.75" customHeight="1" s="297">
      <c r="A240" s="4" t="n"/>
      <c r="B240" s="4" t="n"/>
      <c r="C240" s="4" t="n"/>
      <c r="D240" s="4" t="n"/>
      <c r="E240" s="4" t="n"/>
      <c r="F240" s="4" t="n"/>
      <c r="G240" s="4" t="n"/>
      <c r="H240" s="4" t="n"/>
      <c r="I240" s="4" t="n"/>
      <c r="J240" s="4" t="n"/>
      <c r="K240" s="4" t="n"/>
      <c r="L240" s="4" t="n"/>
      <c r="M240" s="4" t="n"/>
      <c r="N240" s="4" t="n"/>
    </row>
    <row r="241" ht="15.75" customHeight="1" s="297">
      <c r="A241" s="4" t="n"/>
      <c r="B241" s="4" t="n"/>
      <c r="C241" s="4" t="n"/>
      <c r="D241" s="4" t="n"/>
      <c r="E241" s="4" t="n"/>
      <c r="F241" s="4" t="n"/>
      <c r="G241" s="4" t="n"/>
      <c r="H241" s="4" t="n"/>
      <c r="I241" s="4" t="n"/>
      <c r="J241" s="4" t="n"/>
      <c r="K241" s="4" t="n"/>
      <c r="L241" s="4" t="n"/>
      <c r="M241" s="4" t="n"/>
      <c r="N241" s="4" t="n"/>
    </row>
    <row r="242" ht="15.75" customHeight="1" s="297">
      <c r="A242" s="4" t="n"/>
      <c r="B242" s="4" t="n"/>
      <c r="C242" s="4" t="n"/>
      <c r="D242" s="4" t="n"/>
      <c r="E242" s="4" t="n"/>
      <c r="F242" s="4" t="n"/>
      <c r="G242" s="4" t="n"/>
      <c r="H242" s="4" t="n"/>
      <c r="I242" s="4" t="n"/>
      <c r="J242" s="4" t="n"/>
      <c r="K242" s="4" t="n"/>
      <c r="L242" s="4" t="n"/>
      <c r="M242" s="4" t="n"/>
      <c r="N242" s="4" t="n"/>
    </row>
    <row r="243" ht="15.75" customHeight="1" s="297">
      <c r="A243" s="4" t="n"/>
      <c r="B243" s="4" t="n"/>
      <c r="C243" s="4" t="n"/>
      <c r="D243" s="4" t="n"/>
      <c r="E243" s="4" t="n"/>
      <c r="F243" s="4" t="n"/>
      <c r="G243" s="4" t="n"/>
      <c r="H243" s="4" t="n"/>
      <c r="I243" s="4" t="n"/>
      <c r="J243" s="4" t="n"/>
      <c r="K243" s="4" t="n"/>
      <c r="L243" s="4" t="n"/>
      <c r="M243" s="4" t="n"/>
      <c r="N243" s="4" t="n"/>
    </row>
    <row r="244" ht="15.75" customHeight="1" s="297">
      <c r="A244" s="4" t="n"/>
      <c r="B244" s="4" t="n"/>
      <c r="C244" s="4" t="n"/>
      <c r="D244" s="4" t="n"/>
      <c r="E244" s="4" t="n"/>
      <c r="F244" s="4" t="n"/>
      <c r="G244" s="4" t="n"/>
      <c r="H244" s="4" t="n"/>
      <c r="I244" s="4" t="n"/>
      <c r="J244" s="4" t="n"/>
      <c r="K244" s="4" t="n"/>
      <c r="L244" s="4" t="n"/>
      <c r="M244" s="4" t="n"/>
      <c r="N244" s="4" t="n"/>
    </row>
    <row r="245" ht="15.75" customHeight="1" s="297">
      <c r="A245" s="4" t="n"/>
      <c r="B245" s="4" t="n"/>
      <c r="C245" s="4" t="n"/>
      <c r="D245" s="4" t="n"/>
      <c r="E245" s="4" t="n"/>
      <c r="F245" s="4" t="n"/>
      <c r="G245" s="4" t="n"/>
      <c r="H245" s="4" t="n"/>
      <c r="I245" s="4" t="n"/>
      <c r="J245" s="4" t="n"/>
      <c r="K245" s="4" t="n"/>
      <c r="L245" s="4" t="n"/>
      <c r="M245" s="4" t="n"/>
      <c r="N245" s="4" t="n"/>
    </row>
    <row r="246" ht="15.75" customHeight="1" s="297">
      <c r="A246" s="4" t="n"/>
      <c r="B246" s="4" t="n"/>
      <c r="C246" s="4" t="n"/>
      <c r="D246" s="4" t="n"/>
      <c r="E246" s="4" t="n"/>
      <c r="F246" s="4" t="n"/>
      <c r="G246" s="4" t="n"/>
      <c r="H246" s="4" t="n"/>
      <c r="I246" s="4" t="n"/>
      <c r="J246" s="4" t="n"/>
      <c r="K246" s="4" t="n"/>
      <c r="L246" s="4" t="n"/>
      <c r="M246" s="4" t="n"/>
      <c r="N246" s="4" t="n"/>
    </row>
    <row r="247" ht="15.75" customHeight="1" s="297">
      <c r="A247" s="4" t="n"/>
      <c r="B247" s="4" t="n"/>
      <c r="C247" s="4" t="n"/>
      <c r="D247" s="4" t="n"/>
      <c r="E247" s="4" t="n"/>
      <c r="F247" s="4" t="n"/>
      <c r="G247" s="4" t="n"/>
      <c r="H247" s="4" t="n"/>
      <c r="I247" s="4" t="n"/>
      <c r="J247" s="4" t="n"/>
      <c r="K247" s="4" t="n"/>
      <c r="L247" s="4" t="n"/>
      <c r="M247" s="4" t="n"/>
      <c r="N247" s="4" t="n"/>
    </row>
    <row r="248" ht="15.75" customHeight="1" s="297">
      <c r="A248" s="4" t="n"/>
      <c r="B248" s="4" t="n"/>
      <c r="C248" s="4" t="n"/>
      <c r="D248" s="4" t="n"/>
      <c r="E248" s="4" t="n"/>
      <c r="F248" s="4" t="n"/>
      <c r="G248" s="4" t="n"/>
      <c r="H248" s="4" t="n"/>
      <c r="I248" s="4" t="n"/>
      <c r="J248" s="4" t="n"/>
      <c r="K248" s="4" t="n"/>
      <c r="L248" s="4" t="n"/>
      <c r="M248" s="4" t="n"/>
      <c r="N248" s="4" t="n"/>
    </row>
    <row r="249" ht="15.75" customHeight="1" s="297">
      <c r="A249" s="4" t="n"/>
      <c r="B249" s="4" t="n"/>
      <c r="C249" s="4" t="n"/>
      <c r="D249" s="4" t="n"/>
      <c r="E249" s="4" t="n"/>
      <c r="F249" s="4" t="n"/>
      <c r="G249" s="4" t="n"/>
      <c r="H249" s="4" t="n"/>
      <c r="I249" s="4" t="n"/>
      <c r="J249" s="4" t="n"/>
      <c r="K249" s="4" t="n"/>
      <c r="L249" s="4" t="n"/>
      <c r="M249" s="4" t="n"/>
      <c r="N249" s="4" t="n"/>
    </row>
    <row r="250" ht="15.75" customHeight="1" s="297">
      <c r="A250" s="4" t="n"/>
      <c r="B250" s="4" t="n"/>
      <c r="C250" s="4" t="n"/>
      <c r="D250" s="4" t="n"/>
      <c r="E250" s="4" t="n"/>
      <c r="F250" s="4" t="n"/>
      <c r="G250" s="4" t="n"/>
      <c r="H250" s="4" t="n"/>
      <c r="I250" s="4" t="n"/>
      <c r="J250" s="4" t="n"/>
      <c r="K250" s="4" t="n"/>
      <c r="L250" s="4" t="n"/>
      <c r="M250" s="4" t="n"/>
      <c r="N250" s="4" t="n"/>
    </row>
    <row r="251" ht="15.75" customHeight="1" s="297">
      <c r="A251" s="4" t="n"/>
      <c r="B251" s="4" t="n"/>
      <c r="C251" s="4" t="n"/>
      <c r="D251" s="4" t="n"/>
      <c r="E251" s="4" t="n"/>
      <c r="F251" s="4" t="n"/>
      <c r="G251" s="4" t="n"/>
      <c r="H251" s="4" t="n"/>
      <c r="I251" s="4" t="n"/>
      <c r="J251" s="4" t="n"/>
      <c r="K251" s="4" t="n"/>
      <c r="L251" s="4" t="n"/>
      <c r="M251" s="4" t="n"/>
      <c r="N251" s="4" t="n"/>
    </row>
    <row r="252" ht="15.75" customHeight="1" s="297">
      <c r="A252" s="4" t="n"/>
      <c r="B252" s="4" t="n"/>
      <c r="C252" s="4" t="n"/>
      <c r="D252" s="4" t="n"/>
      <c r="E252" s="4" t="n"/>
      <c r="F252" s="4" t="n"/>
      <c r="G252" s="4" t="n"/>
      <c r="H252" s="4" t="n"/>
      <c r="I252" s="4" t="n"/>
      <c r="J252" s="4" t="n"/>
      <c r="K252" s="4" t="n"/>
      <c r="L252" s="4" t="n"/>
      <c r="M252" s="4" t="n"/>
      <c r="N252" s="4" t="n"/>
    </row>
    <row r="253" ht="15.75" customHeight="1" s="297">
      <c r="A253" s="4" t="n"/>
      <c r="B253" s="4" t="n"/>
      <c r="C253" s="4" t="n"/>
      <c r="D253" s="4" t="n"/>
      <c r="E253" s="4" t="n"/>
      <c r="F253" s="4" t="n"/>
      <c r="G253" s="4" t="n"/>
      <c r="H253" s="4" t="n"/>
      <c r="I253" s="4" t="n"/>
      <c r="J253" s="4" t="n"/>
      <c r="K253" s="4" t="n"/>
      <c r="L253" s="4" t="n"/>
      <c r="M253" s="4" t="n"/>
      <c r="N253" s="4" t="n"/>
    </row>
    <row r="254" ht="15.75" customHeight="1" s="297">
      <c r="A254" s="4" t="n"/>
      <c r="B254" s="4" t="n"/>
      <c r="C254" s="4" t="n"/>
      <c r="D254" s="4" t="n"/>
      <c r="E254" s="4" t="n"/>
      <c r="F254" s="4" t="n"/>
      <c r="G254" s="4" t="n"/>
      <c r="H254" s="4" t="n"/>
      <c r="I254" s="4" t="n"/>
      <c r="J254" s="4" t="n"/>
      <c r="K254" s="4" t="n"/>
      <c r="L254" s="4" t="n"/>
      <c r="M254" s="4" t="n"/>
      <c r="N254" s="4" t="n"/>
    </row>
    <row r="255" ht="15.75" customHeight="1" s="297">
      <c r="A255" s="4" t="n"/>
      <c r="B255" s="4" t="n"/>
      <c r="C255" s="4" t="n"/>
      <c r="D255" s="4" t="n"/>
      <c r="E255" s="4" t="n"/>
      <c r="F255" s="4" t="n"/>
      <c r="G255" s="4" t="n"/>
      <c r="H255" s="4" t="n"/>
      <c r="I255" s="4" t="n"/>
      <c r="J255" s="4" t="n"/>
      <c r="K255" s="4" t="n"/>
      <c r="L255" s="4" t="n"/>
      <c r="M255" s="4" t="n"/>
      <c r="N255" s="4" t="n"/>
    </row>
    <row r="256" ht="15.75" customHeight="1" s="297">
      <c r="A256" s="4" t="n"/>
      <c r="B256" s="4" t="n"/>
      <c r="C256" s="4" t="n"/>
      <c r="D256" s="4" t="n"/>
      <c r="E256" s="4" t="n"/>
      <c r="F256" s="4" t="n"/>
      <c r="G256" s="4" t="n"/>
      <c r="H256" s="4" t="n"/>
      <c r="I256" s="4" t="n"/>
      <c r="J256" s="4" t="n"/>
      <c r="K256" s="4" t="n"/>
      <c r="L256" s="4" t="n"/>
      <c r="M256" s="4" t="n"/>
      <c r="N256" s="4" t="n"/>
    </row>
    <row r="257" ht="15.75" customHeight="1" s="297">
      <c r="A257" s="4" t="n"/>
      <c r="B257" s="4" t="n"/>
      <c r="C257" s="4" t="n"/>
      <c r="D257" s="4" t="n"/>
      <c r="E257" s="4" t="n"/>
      <c r="F257" s="4" t="n"/>
      <c r="G257" s="4" t="n"/>
      <c r="H257" s="4" t="n"/>
      <c r="I257" s="4" t="n"/>
      <c r="J257" s="4" t="n"/>
      <c r="K257" s="4" t="n"/>
      <c r="L257" s="4" t="n"/>
      <c r="M257" s="4" t="n"/>
      <c r="N257" s="4" t="n"/>
    </row>
    <row r="258" ht="15.75" customHeight="1" s="297">
      <c r="A258" s="4" t="n"/>
      <c r="B258" s="4" t="n"/>
      <c r="C258" s="4" t="n"/>
      <c r="D258" s="4" t="n"/>
      <c r="E258" s="4" t="n"/>
      <c r="F258" s="4" t="n"/>
      <c r="G258" s="4" t="n"/>
      <c r="H258" s="4" t="n"/>
      <c r="I258" s="4" t="n"/>
      <c r="J258" s="4" t="n"/>
      <c r="K258" s="4" t="n"/>
      <c r="L258" s="4" t="n"/>
      <c r="M258" s="4" t="n"/>
      <c r="N258" s="4" t="n"/>
    </row>
    <row r="259" ht="15.75" customHeight="1" s="297">
      <c r="A259" s="4" t="n"/>
      <c r="B259" s="4" t="n"/>
      <c r="C259" s="4" t="n"/>
      <c r="D259" s="4" t="n"/>
      <c r="E259" s="4" t="n"/>
      <c r="F259" s="4" t="n"/>
      <c r="G259" s="4" t="n"/>
      <c r="H259" s="4" t="n"/>
      <c r="I259" s="4" t="n"/>
      <c r="J259" s="4" t="n"/>
      <c r="K259" s="4" t="n"/>
      <c r="L259" s="4" t="n"/>
      <c r="M259" s="4" t="n"/>
      <c r="N259" s="4" t="n"/>
    </row>
    <row r="260" ht="15.75" customHeight="1" s="297">
      <c r="A260" s="4" t="n"/>
      <c r="B260" s="4" t="n"/>
      <c r="C260" s="4" t="n"/>
      <c r="D260" s="4" t="n"/>
      <c r="E260" s="4" t="n"/>
      <c r="F260" s="4" t="n"/>
      <c r="G260" s="4" t="n"/>
      <c r="H260" s="4" t="n"/>
      <c r="I260" s="4" t="n"/>
      <c r="J260" s="4" t="n"/>
      <c r="K260" s="4" t="n"/>
      <c r="L260" s="4" t="n"/>
      <c r="M260" s="4" t="n"/>
      <c r="N260" s="4" t="n"/>
    </row>
    <row r="261" ht="15.75" customHeight="1" s="297">
      <c r="A261" s="4" t="n"/>
      <c r="B261" s="4" t="n"/>
      <c r="C261" s="4" t="n"/>
      <c r="D261" s="4" t="n"/>
      <c r="E261" s="4" t="n"/>
      <c r="F261" s="4" t="n"/>
      <c r="G261" s="4" t="n"/>
      <c r="H261" s="4" t="n"/>
      <c r="I261" s="4" t="n"/>
      <c r="J261" s="4" t="n"/>
      <c r="K261" s="4" t="n"/>
      <c r="L261" s="4" t="n"/>
      <c r="M261" s="4" t="n"/>
      <c r="N261" s="4" t="n"/>
    </row>
    <row r="262" ht="15.75" customHeight="1" s="297">
      <c r="A262" s="4" t="n"/>
      <c r="B262" s="4" t="n"/>
      <c r="C262" s="4" t="n"/>
      <c r="D262" s="4" t="n"/>
      <c r="E262" s="4" t="n"/>
      <c r="F262" s="4" t="n"/>
      <c r="G262" s="4" t="n"/>
      <c r="H262" s="4" t="n"/>
      <c r="I262" s="4" t="n"/>
      <c r="J262" s="4" t="n"/>
      <c r="K262" s="4" t="n"/>
      <c r="L262" s="4" t="n"/>
      <c r="M262" s="4" t="n"/>
      <c r="N262" s="4" t="n"/>
    </row>
    <row r="263" ht="15.75" customHeight="1" s="297">
      <c r="A263" s="4" t="n"/>
      <c r="B263" s="4" t="n"/>
      <c r="C263" s="4" t="n"/>
      <c r="D263" s="4" t="n"/>
      <c r="E263" s="4" t="n"/>
      <c r="F263" s="4" t="n"/>
      <c r="G263" s="4" t="n"/>
      <c r="H263" s="4" t="n"/>
      <c r="I263" s="4" t="n"/>
      <c r="J263" s="4" t="n"/>
      <c r="K263" s="4" t="n"/>
      <c r="L263" s="4" t="n"/>
      <c r="M263" s="4" t="n"/>
      <c r="N263" s="4" t="n"/>
    </row>
    <row r="264" ht="15.75" customHeight="1" s="297">
      <c r="A264" s="4" t="n"/>
      <c r="B264" s="4" t="n"/>
      <c r="C264" s="4" t="n"/>
      <c r="D264" s="4" t="n"/>
      <c r="E264" s="4" t="n"/>
      <c r="F264" s="4" t="n"/>
      <c r="G264" s="4" t="n"/>
      <c r="H264" s="4" t="n"/>
      <c r="I264" s="4" t="n"/>
      <c r="J264" s="4" t="n"/>
      <c r="K264" s="4" t="n"/>
      <c r="L264" s="4" t="n"/>
      <c r="M264" s="4" t="n"/>
      <c r="N264" s="4" t="n"/>
    </row>
    <row r="265" ht="15.75" customHeight="1" s="297">
      <c r="A265" s="4" t="n"/>
      <c r="B265" s="4" t="n"/>
      <c r="C265" s="4" t="n"/>
      <c r="D265" s="4" t="n"/>
      <c r="E265" s="4" t="n"/>
      <c r="F265" s="4" t="n"/>
      <c r="G265" s="4" t="n"/>
      <c r="H265" s="4" t="n"/>
      <c r="I265" s="4" t="n"/>
      <c r="J265" s="4" t="n"/>
      <c r="K265" s="4" t="n"/>
      <c r="L265" s="4" t="n"/>
      <c r="M265" s="4" t="n"/>
      <c r="N265" s="4" t="n"/>
    </row>
    <row r="266" ht="15.75" customHeight="1" s="297">
      <c r="A266" s="4" t="n"/>
      <c r="B266" s="4" t="n"/>
      <c r="C266" s="4" t="n"/>
      <c r="D266" s="4" t="n"/>
      <c r="E266" s="4" t="n"/>
      <c r="F266" s="4" t="n"/>
      <c r="G266" s="4" t="n"/>
      <c r="H266" s="4" t="n"/>
      <c r="I266" s="4" t="n"/>
      <c r="J266" s="4" t="n"/>
      <c r="K266" s="4" t="n"/>
      <c r="L266" s="4" t="n"/>
      <c r="M266" s="4" t="n"/>
      <c r="N266" s="4" t="n"/>
    </row>
    <row r="267" ht="15.75" customHeight="1" s="297">
      <c r="A267" s="4" t="n"/>
      <c r="B267" s="4" t="n"/>
      <c r="C267" s="4" t="n"/>
      <c r="D267" s="4" t="n"/>
      <c r="E267" s="4" t="n"/>
      <c r="F267" s="4" t="n"/>
      <c r="G267" s="4" t="n"/>
      <c r="H267" s="4" t="n"/>
      <c r="I267" s="4" t="n"/>
      <c r="J267" s="4" t="n"/>
      <c r="K267" s="4" t="n"/>
      <c r="L267" s="4" t="n"/>
      <c r="M267" s="4" t="n"/>
      <c r="N267" s="4" t="n"/>
    </row>
    <row r="268" ht="15.75" customHeight="1" s="297">
      <c r="A268" s="4" t="n"/>
      <c r="B268" s="4" t="n"/>
      <c r="C268" s="4" t="n"/>
      <c r="D268" s="4" t="n"/>
      <c r="E268" s="4" t="n"/>
      <c r="F268" s="4" t="n"/>
      <c r="G268" s="4" t="n"/>
      <c r="H268" s="4" t="n"/>
      <c r="I268" s="4" t="n"/>
      <c r="J268" s="4" t="n"/>
      <c r="K268" s="4" t="n"/>
      <c r="L268" s="4" t="n"/>
      <c r="M268" s="4" t="n"/>
      <c r="N268" s="4" t="n"/>
    </row>
    <row r="269" ht="15.75" customHeight="1" s="297">
      <c r="A269" s="4" t="n"/>
      <c r="B269" s="4" t="n"/>
      <c r="C269" s="4" t="n"/>
      <c r="D269" s="4" t="n"/>
      <c r="E269" s="4" t="n"/>
      <c r="F269" s="4" t="n"/>
      <c r="G269" s="4" t="n"/>
      <c r="H269" s="4" t="n"/>
      <c r="I269" s="4" t="n"/>
      <c r="J269" s="4" t="n"/>
      <c r="K269" s="4" t="n"/>
      <c r="L269" s="4" t="n"/>
      <c r="M269" s="4" t="n"/>
      <c r="N269" s="4" t="n"/>
    </row>
    <row r="270" ht="15.75" customHeight="1" s="297">
      <c r="A270" s="4" t="n"/>
      <c r="B270" s="4" t="n"/>
      <c r="C270" s="4" t="n"/>
      <c r="D270" s="4" t="n"/>
      <c r="E270" s="4" t="n"/>
      <c r="F270" s="4" t="n"/>
      <c r="G270" s="4" t="n"/>
      <c r="H270" s="4" t="n"/>
      <c r="I270" s="4" t="n"/>
      <c r="J270" s="4" t="n"/>
      <c r="K270" s="4" t="n"/>
      <c r="L270" s="4" t="n"/>
      <c r="M270" s="4" t="n"/>
      <c r="N270" s="4" t="n"/>
    </row>
    <row r="271" ht="15.75" customHeight="1" s="297">
      <c r="A271" s="4" t="n"/>
      <c r="B271" s="4" t="n"/>
      <c r="C271" s="4" t="n"/>
      <c r="D271" s="4" t="n"/>
      <c r="E271" s="4" t="n"/>
      <c r="F271" s="4" t="n"/>
      <c r="G271" s="4" t="n"/>
      <c r="H271" s="4" t="n"/>
      <c r="I271" s="4" t="n"/>
      <c r="J271" s="4" t="n"/>
      <c r="K271" s="4" t="n"/>
      <c r="L271" s="4" t="n"/>
      <c r="M271" s="4" t="n"/>
      <c r="N271" s="4" t="n"/>
    </row>
    <row r="272" ht="15.75" customHeight="1" s="297"/>
    <row r="273" ht="15.75" customHeight="1" s="297"/>
    <row r="274" ht="15.75" customHeight="1" s="297"/>
    <row r="275" ht="15.75" customHeight="1" s="297"/>
    <row r="276" ht="15.75" customHeight="1" s="297"/>
    <row r="277" ht="15.75" customHeight="1" s="297"/>
    <row r="278" ht="15.75" customHeight="1" s="297"/>
    <row r="279" ht="15.75" customHeight="1" s="297"/>
    <row r="280" ht="15.75" customHeight="1" s="297"/>
    <row r="281" ht="15.75" customHeight="1" s="297"/>
    <row r="282" ht="15.75" customHeight="1" s="297"/>
    <row r="283" ht="15.75" customHeight="1" s="297"/>
    <row r="284" ht="15.75" customHeight="1" s="297"/>
    <row r="285" ht="15.75" customHeight="1" s="297"/>
    <row r="286" ht="15.75" customHeight="1" s="297"/>
    <row r="287" ht="15.75" customHeight="1" s="297"/>
    <row r="288" ht="15.75" customHeight="1" s="297"/>
    <row r="289" ht="15.75" customHeight="1" s="297"/>
    <row r="290" ht="15.75" customHeight="1" s="297"/>
    <row r="291" ht="15.75" customHeight="1" s="297"/>
    <row r="292" ht="15.75" customHeight="1" s="297"/>
    <row r="293" ht="15.75" customHeight="1" s="297"/>
    <row r="294" ht="15.75" customHeight="1" s="297"/>
    <row r="295" ht="15.75" customHeight="1" s="297"/>
    <row r="296" ht="15.75" customHeight="1" s="297"/>
    <row r="297" ht="15.75" customHeight="1" s="297"/>
    <row r="298" ht="15.75" customHeight="1" s="297"/>
    <row r="299" ht="15.75" customHeight="1" s="297"/>
    <row r="300" ht="15.75" customHeight="1" s="297"/>
    <row r="301" ht="15.75" customHeight="1" s="297"/>
    <row r="302" ht="15.75" customHeight="1" s="297"/>
    <row r="303" ht="15.75" customHeight="1" s="297"/>
    <row r="304" ht="15.75" customHeight="1" s="297"/>
    <row r="305" ht="15.75" customHeight="1" s="297"/>
    <row r="306" ht="15.75" customHeight="1" s="297"/>
    <row r="307" ht="15.75" customHeight="1" s="297"/>
    <row r="308" ht="15.75" customHeight="1" s="297"/>
    <row r="309" ht="15.75" customHeight="1" s="297"/>
    <row r="310" ht="15.75" customHeight="1" s="297"/>
    <row r="311" ht="15.75" customHeight="1" s="297"/>
    <row r="312" ht="15.75" customHeight="1" s="297"/>
    <row r="313" ht="15.75" customHeight="1" s="297"/>
    <row r="314" ht="15.75" customHeight="1" s="297"/>
    <row r="315" ht="15.75" customHeight="1" s="297"/>
    <row r="316" ht="15.75" customHeight="1" s="297"/>
    <row r="317" ht="15.75" customHeight="1" s="297"/>
    <row r="318" ht="15.75" customHeight="1" s="297"/>
    <row r="319" ht="15.75" customHeight="1" s="297"/>
    <row r="320" ht="15.75" customHeight="1" s="297"/>
    <row r="321" ht="15.75" customHeight="1" s="297"/>
    <row r="322" ht="15.75" customHeight="1" s="297"/>
    <row r="323" ht="15.75" customHeight="1" s="297"/>
    <row r="324" ht="15.75" customHeight="1" s="297"/>
    <row r="325" ht="15.75" customHeight="1" s="297"/>
    <row r="326" ht="15.75" customHeight="1" s="297"/>
    <row r="327" ht="15.75" customHeight="1" s="297"/>
    <row r="328" ht="15.75" customHeight="1" s="297"/>
    <row r="329" ht="15.75" customHeight="1" s="297"/>
    <row r="330" ht="15.75" customHeight="1" s="297"/>
    <row r="331" ht="15.75" customHeight="1" s="297"/>
    <row r="332" ht="15.75" customHeight="1" s="297"/>
    <row r="333" ht="15.75" customHeight="1" s="297"/>
    <row r="334" ht="15.75" customHeight="1" s="297"/>
    <row r="335" ht="15.75" customHeight="1" s="297"/>
    <row r="336" ht="15.75" customHeight="1" s="297"/>
    <row r="337" ht="15.75" customHeight="1" s="297"/>
    <row r="338" ht="15.75" customHeight="1" s="297"/>
    <row r="339" ht="15.75" customHeight="1" s="297"/>
    <row r="340" ht="15.75" customHeight="1" s="297"/>
    <row r="341" ht="15.75" customHeight="1" s="297"/>
    <row r="342" ht="15.75" customHeight="1" s="297"/>
    <row r="343" ht="15.75" customHeight="1" s="297"/>
    <row r="344" ht="15.75" customHeight="1" s="297"/>
    <row r="345" ht="15.75" customHeight="1" s="297"/>
    <row r="346" ht="15.75" customHeight="1" s="297"/>
    <row r="347" ht="15.75" customHeight="1" s="297"/>
    <row r="348" ht="15.75" customHeight="1" s="297"/>
    <row r="349" ht="15.75" customHeight="1" s="297"/>
    <row r="350" ht="15.75" customHeight="1" s="297"/>
    <row r="351" ht="15.75" customHeight="1" s="297"/>
    <row r="352" ht="15.75" customHeight="1" s="297"/>
    <row r="353" ht="15.75" customHeight="1" s="297"/>
    <row r="354" ht="15.75" customHeight="1" s="297"/>
    <row r="355" ht="15.75" customHeight="1" s="297"/>
    <row r="356" ht="15.75" customHeight="1" s="297"/>
    <row r="357" ht="15.75" customHeight="1" s="297"/>
    <row r="358" ht="15.75" customHeight="1" s="297"/>
    <row r="359" ht="15.75" customHeight="1" s="297"/>
    <row r="360" ht="15.75" customHeight="1" s="297"/>
    <row r="361" ht="15.75" customHeight="1" s="297"/>
    <row r="362" ht="15.75" customHeight="1" s="297"/>
    <row r="363" ht="15.75" customHeight="1" s="297"/>
    <row r="364" ht="15.75" customHeight="1" s="297"/>
    <row r="365" ht="15.75" customHeight="1" s="297"/>
    <row r="366" ht="15.75" customHeight="1" s="297"/>
    <row r="367" ht="15.75" customHeight="1" s="297"/>
    <row r="368" ht="15.75" customHeight="1" s="297"/>
    <row r="369" ht="15.75" customHeight="1" s="297"/>
    <row r="370" ht="15.75" customHeight="1" s="297"/>
    <row r="371" ht="15.75" customHeight="1" s="297"/>
    <row r="372" ht="15.75" customHeight="1" s="297"/>
    <row r="373" ht="15.75" customHeight="1" s="297"/>
    <row r="374" ht="15.75" customHeight="1" s="297"/>
    <row r="375" ht="15.75" customHeight="1" s="297"/>
    <row r="376" ht="15.75" customHeight="1" s="297"/>
    <row r="377" ht="15.75" customHeight="1" s="297"/>
    <row r="378" ht="15.75" customHeight="1" s="297"/>
    <row r="379" ht="15.75" customHeight="1" s="297"/>
    <row r="380" ht="15.75" customHeight="1" s="297"/>
    <row r="381" ht="15.75" customHeight="1" s="297"/>
    <row r="382" ht="15.75" customHeight="1" s="297"/>
    <row r="383" ht="15.75" customHeight="1" s="297"/>
    <row r="384" ht="15.75" customHeight="1" s="297"/>
    <row r="385" ht="15.75" customHeight="1" s="297"/>
    <row r="386" ht="15.75" customHeight="1" s="297"/>
    <row r="387" ht="15.75" customHeight="1" s="297"/>
    <row r="388" ht="15.75" customHeight="1" s="297"/>
    <row r="389" ht="15.75" customHeight="1" s="297"/>
    <row r="390" ht="15.75" customHeight="1" s="297"/>
    <row r="391" ht="15.75" customHeight="1" s="297"/>
    <row r="392" ht="15.75" customHeight="1" s="297"/>
    <row r="393" ht="15.75" customHeight="1" s="297"/>
    <row r="394" ht="15.75" customHeight="1" s="297"/>
    <row r="395" ht="15.75" customHeight="1" s="297"/>
    <row r="396" ht="15.75" customHeight="1" s="297"/>
    <row r="397" ht="15.75" customHeight="1" s="297"/>
    <row r="398" ht="15.75" customHeight="1" s="297"/>
    <row r="399" ht="15.75" customHeight="1" s="297"/>
    <row r="400" ht="15.75" customHeight="1" s="297"/>
    <row r="401" ht="15.75" customHeight="1" s="297"/>
    <row r="402" ht="15.75" customHeight="1" s="297"/>
    <row r="403" ht="15.75" customHeight="1" s="297"/>
    <row r="404" ht="15.75" customHeight="1" s="297"/>
    <row r="405" ht="15.75" customHeight="1" s="297"/>
    <row r="406" ht="15.75" customHeight="1" s="297"/>
    <row r="407" ht="15.75" customHeight="1" s="297"/>
    <row r="408" ht="15.75" customHeight="1" s="297"/>
    <row r="409" ht="15.75" customHeight="1" s="297"/>
    <row r="410" ht="15.75" customHeight="1" s="297"/>
    <row r="411" ht="15.75" customHeight="1" s="297"/>
    <row r="412" ht="15.75" customHeight="1" s="297"/>
    <row r="413" ht="15.75" customHeight="1" s="297"/>
    <row r="414" ht="15.75" customHeight="1" s="297"/>
    <row r="415" ht="15.75" customHeight="1" s="297"/>
    <row r="416" ht="15.75" customHeight="1" s="297"/>
    <row r="417" ht="15.75" customHeight="1" s="297"/>
    <row r="418" ht="15.75" customHeight="1" s="297"/>
    <row r="419" ht="15.75" customHeight="1" s="297"/>
    <row r="420" ht="15.75" customHeight="1" s="297"/>
    <row r="421" ht="15.75" customHeight="1" s="297"/>
    <row r="422" ht="15.75" customHeight="1" s="297"/>
    <row r="423" ht="15.75" customHeight="1" s="297"/>
    <row r="424" ht="15.75" customHeight="1" s="297"/>
    <row r="425" ht="15.75" customHeight="1" s="297"/>
    <row r="426" ht="15.75" customHeight="1" s="297"/>
    <row r="427" ht="15.75" customHeight="1" s="297"/>
    <row r="428" ht="15.75" customHeight="1" s="297"/>
    <row r="429" ht="15.75" customHeight="1" s="297"/>
    <row r="430" ht="15.75" customHeight="1" s="297"/>
    <row r="431" ht="15.75" customHeight="1" s="297"/>
    <row r="432" ht="15.75" customHeight="1" s="297"/>
    <row r="433" ht="15.75" customHeight="1" s="297"/>
    <row r="434" ht="15.75" customHeight="1" s="297"/>
    <row r="435" ht="15.75" customHeight="1" s="297"/>
    <row r="436" ht="15.75" customHeight="1" s="297"/>
    <row r="437" ht="15.75" customHeight="1" s="297"/>
    <row r="438" ht="15.75" customHeight="1" s="297"/>
    <row r="439" ht="15.75" customHeight="1" s="297"/>
    <row r="440" ht="15.75" customHeight="1" s="297"/>
    <row r="441" ht="15.75" customHeight="1" s="297"/>
    <row r="442" ht="15.75" customHeight="1" s="297"/>
    <row r="443" ht="15.75" customHeight="1" s="297"/>
    <row r="444" ht="15.75" customHeight="1" s="297"/>
    <row r="445" ht="15.75" customHeight="1" s="297"/>
    <row r="446" ht="15.75" customHeight="1" s="297"/>
    <row r="447" ht="15.75" customHeight="1" s="297"/>
    <row r="448" ht="15.75" customHeight="1" s="297"/>
    <row r="449" ht="15.75" customHeight="1" s="297"/>
    <row r="450" ht="15.75" customHeight="1" s="297"/>
    <row r="451" ht="15.75" customHeight="1" s="297"/>
    <row r="452" ht="15.75" customHeight="1" s="297"/>
    <row r="453" ht="15.75" customHeight="1" s="297"/>
    <row r="454" ht="15.75" customHeight="1" s="297"/>
    <row r="455" ht="15.75" customHeight="1" s="297"/>
    <row r="456" ht="15.75" customHeight="1" s="297"/>
    <row r="457" ht="15.75" customHeight="1" s="297"/>
    <row r="458" ht="15.75" customHeight="1" s="297"/>
    <row r="459" ht="15.75" customHeight="1" s="297"/>
    <row r="460" ht="15.75" customHeight="1" s="297"/>
    <row r="461" ht="15.75" customHeight="1" s="297"/>
    <row r="462" ht="15.75" customHeight="1" s="297"/>
    <row r="463" ht="15.75" customHeight="1" s="297"/>
    <row r="464" ht="15.75" customHeight="1" s="297"/>
    <row r="465" ht="15.75" customHeight="1" s="297"/>
    <row r="466" ht="15.75" customHeight="1" s="297"/>
    <row r="467" ht="15.75" customHeight="1" s="297"/>
    <row r="468" ht="15.75" customHeight="1" s="297"/>
    <row r="469" ht="15.75" customHeight="1" s="297"/>
    <row r="470" ht="15.75" customHeight="1" s="297"/>
    <row r="471" ht="15.75" customHeight="1" s="297"/>
    <row r="472" ht="15.75" customHeight="1" s="297"/>
    <row r="473" ht="15.75" customHeight="1" s="297"/>
    <row r="474" ht="15.75" customHeight="1" s="297"/>
    <row r="475" ht="15.75" customHeight="1" s="297"/>
    <row r="476" ht="15.75" customHeight="1" s="297"/>
    <row r="477" ht="15.75" customHeight="1" s="297"/>
    <row r="478" ht="15.75" customHeight="1" s="297"/>
    <row r="479" ht="15.75" customHeight="1" s="297"/>
    <row r="480" ht="15.75" customHeight="1" s="297"/>
    <row r="481" ht="15.75" customHeight="1" s="297"/>
    <row r="482" ht="15.75" customHeight="1" s="297"/>
    <row r="483" ht="15.75" customHeight="1" s="297"/>
    <row r="484" ht="15.75" customHeight="1" s="297"/>
    <row r="485" ht="15.75" customHeight="1" s="297"/>
    <row r="486" ht="15.75" customHeight="1" s="297"/>
    <row r="487" ht="15.75" customHeight="1" s="297"/>
    <row r="488" ht="15.75" customHeight="1" s="297"/>
    <row r="489" ht="15.75" customHeight="1" s="297"/>
    <row r="490" ht="15.75" customHeight="1" s="297"/>
    <row r="491" ht="15.75" customHeight="1" s="297"/>
    <row r="492" ht="15.75" customHeight="1" s="297"/>
    <row r="493" ht="15.75" customHeight="1" s="297"/>
    <row r="494" ht="15.75" customHeight="1" s="297"/>
    <row r="495" ht="15.75" customHeight="1" s="297"/>
    <row r="496" ht="15.75" customHeight="1" s="297"/>
    <row r="497" ht="15.75" customHeight="1" s="297"/>
    <row r="498" ht="15.75" customHeight="1" s="297"/>
    <row r="499" ht="15.75" customHeight="1" s="297"/>
    <row r="500" ht="15.75" customHeight="1" s="297"/>
    <row r="501" ht="15.75" customHeight="1" s="297"/>
    <row r="502" ht="15.75" customHeight="1" s="297"/>
    <row r="503" ht="15.75" customHeight="1" s="297"/>
    <row r="504" ht="15.75" customHeight="1" s="297"/>
    <row r="505" ht="15.75" customHeight="1" s="297"/>
    <row r="506" ht="15.75" customHeight="1" s="297"/>
    <row r="507" ht="15.75" customHeight="1" s="297"/>
    <row r="508" ht="15.75" customHeight="1" s="297"/>
    <row r="509" ht="15.75" customHeight="1" s="297"/>
    <row r="510" ht="15.75" customHeight="1" s="297"/>
    <row r="511" ht="15.75" customHeight="1" s="297"/>
    <row r="512" ht="15.75" customHeight="1" s="297"/>
    <row r="513" ht="15.75" customHeight="1" s="297"/>
    <row r="514" ht="15.75" customHeight="1" s="297"/>
    <row r="515" ht="15.75" customHeight="1" s="297"/>
    <row r="516" ht="15.75" customHeight="1" s="297"/>
    <row r="517" ht="15.75" customHeight="1" s="297"/>
    <row r="518" ht="15.75" customHeight="1" s="297"/>
    <row r="519" ht="15.75" customHeight="1" s="297"/>
    <row r="520" ht="15.75" customHeight="1" s="297"/>
    <row r="521" ht="15.75" customHeight="1" s="297"/>
    <row r="522" ht="15.75" customHeight="1" s="297"/>
    <row r="523" ht="15.75" customHeight="1" s="297"/>
    <row r="524" ht="15.75" customHeight="1" s="297"/>
    <row r="525" ht="15.75" customHeight="1" s="297"/>
    <row r="526" ht="15.75" customHeight="1" s="297"/>
    <row r="527" ht="15.75" customHeight="1" s="297"/>
    <row r="528" ht="15.75" customHeight="1" s="297"/>
    <row r="529" ht="15.75" customHeight="1" s="297"/>
    <row r="530" ht="15.75" customHeight="1" s="297"/>
    <row r="531" ht="15.75" customHeight="1" s="297"/>
    <row r="532" ht="15.75" customHeight="1" s="297"/>
    <row r="533" ht="15.75" customHeight="1" s="297"/>
    <row r="534" ht="15.75" customHeight="1" s="297"/>
    <row r="535" ht="15.75" customHeight="1" s="297"/>
    <row r="536" ht="15.75" customHeight="1" s="297"/>
    <row r="537" ht="15.75" customHeight="1" s="297"/>
    <row r="538" ht="15.75" customHeight="1" s="297"/>
    <row r="539" ht="15.75" customHeight="1" s="297"/>
    <row r="540" ht="15.75" customHeight="1" s="297"/>
    <row r="541" ht="15.75" customHeight="1" s="297"/>
    <row r="542" ht="15.75" customHeight="1" s="297"/>
    <row r="543" ht="15.75" customHeight="1" s="297"/>
    <row r="544" ht="15.75" customHeight="1" s="297"/>
    <row r="545" ht="15.75" customHeight="1" s="297"/>
    <row r="546" ht="15.75" customHeight="1" s="297"/>
    <row r="547" ht="15.75" customHeight="1" s="297"/>
    <row r="548" ht="15.75" customHeight="1" s="297"/>
    <row r="549" ht="15.75" customHeight="1" s="297"/>
    <row r="550" ht="15.75" customHeight="1" s="297"/>
    <row r="551" ht="15.75" customHeight="1" s="297"/>
    <row r="552" ht="15.75" customHeight="1" s="297"/>
    <row r="553" ht="15.75" customHeight="1" s="297"/>
    <row r="554" ht="15.75" customHeight="1" s="297"/>
    <row r="555" ht="15.75" customHeight="1" s="297"/>
    <row r="556" ht="15.75" customHeight="1" s="297"/>
    <row r="557" ht="15.75" customHeight="1" s="297"/>
    <row r="558" ht="15.75" customHeight="1" s="297"/>
    <row r="559" ht="15.75" customHeight="1" s="297"/>
    <row r="560" ht="15.75" customHeight="1" s="297"/>
    <row r="561" ht="15.75" customHeight="1" s="297"/>
    <row r="562" ht="15.75" customHeight="1" s="297"/>
    <row r="563" ht="15.75" customHeight="1" s="297"/>
    <row r="564" ht="15.75" customHeight="1" s="297"/>
    <row r="565" ht="15.75" customHeight="1" s="297"/>
    <row r="566" ht="15.75" customHeight="1" s="297"/>
    <row r="567" ht="15.75" customHeight="1" s="297"/>
    <row r="568" ht="15.75" customHeight="1" s="297"/>
    <row r="569" ht="15.75" customHeight="1" s="297"/>
    <row r="570" ht="15.75" customHeight="1" s="297"/>
    <row r="571" ht="15.75" customHeight="1" s="297"/>
    <row r="572" ht="15.75" customHeight="1" s="297"/>
    <row r="573" ht="15.75" customHeight="1" s="297"/>
    <row r="574" ht="15.75" customHeight="1" s="297"/>
    <row r="575" ht="15.75" customHeight="1" s="297"/>
    <row r="576" ht="15.75" customHeight="1" s="297"/>
    <row r="577" ht="15.75" customHeight="1" s="297"/>
    <row r="578" ht="15.75" customHeight="1" s="297"/>
    <row r="579" ht="15.75" customHeight="1" s="297"/>
    <row r="580" ht="15.75" customHeight="1" s="297"/>
    <row r="581" ht="15.75" customHeight="1" s="297"/>
    <row r="582" ht="15.75" customHeight="1" s="297"/>
    <row r="583" ht="15.75" customHeight="1" s="297"/>
    <row r="584" ht="15.75" customHeight="1" s="297"/>
    <row r="585" ht="15.75" customHeight="1" s="297"/>
    <row r="586" ht="15.75" customHeight="1" s="297"/>
    <row r="587" ht="15.75" customHeight="1" s="297"/>
    <row r="588" ht="15.75" customHeight="1" s="297"/>
    <row r="589" ht="15.75" customHeight="1" s="297"/>
    <row r="590" ht="15.75" customHeight="1" s="297"/>
    <row r="591" ht="15.75" customHeight="1" s="297"/>
    <row r="592" ht="15.75" customHeight="1" s="297"/>
    <row r="593" ht="15.75" customHeight="1" s="297"/>
    <row r="594" ht="15.75" customHeight="1" s="297"/>
    <row r="595" ht="15.75" customHeight="1" s="297"/>
    <row r="596" ht="15.75" customHeight="1" s="297"/>
    <row r="597" ht="15.75" customHeight="1" s="297"/>
    <row r="598" ht="15.75" customHeight="1" s="297"/>
    <row r="599" ht="15.75" customHeight="1" s="297"/>
    <row r="600" ht="15.75" customHeight="1" s="297"/>
    <row r="601" ht="15.75" customHeight="1" s="297"/>
    <row r="602" ht="15.75" customHeight="1" s="297"/>
    <row r="603" ht="15.75" customHeight="1" s="297"/>
    <row r="604" ht="15.75" customHeight="1" s="297"/>
    <row r="605" ht="15.75" customHeight="1" s="297"/>
    <row r="606" ht="15.75" customHeight="1" s="297"/>
    <row r="607" ht="15.75" customHeight="1" s="297"/>
    <row r="608" ht="15.75" customHeight="1" s="297"/>
    <row r="609" ht="15.75" customHeight="1" s="297"/>
    <row r="610" ht="15.75" customHeight="1" s="297"/>
    <row r="611" ht="15.75" customHeight="1" s="297"/>
    <row r="612" ht="15.75" customHeight="1" s="297"/>
    <row r="613" ht="15.75" customHeight="1" s="297"/>
    <row r="614" ht="15.75" customHeight="1" s="297"/>
    <row r="615" ht="15.75" customHeight="1" s="297"/>
    <row r="616" ht="15.75" customHeight="1" s="297"/>
    <row r="617" ht="15.75" customHeight="1" s="297"/>
    <row r="618" ht="15.75" customHeight="1" s="297"/>
    <row r="619" ht="15.75" customHeight="1" s="297"/>
    <row r="620" ht="15.75" customHeight="1" s="297"/>
    <row r="621" ht="15.75" customHeight="1" s="297"/>
    <row r="622" ht="15.75" customHeight="1" s="297"/>
    <row r="623" ht="15.75" customHeight="1" s="297"/>
    <row r="624" ht="15.75" customHeight="1" s="297"/>
    <row r="625" ht="15.75" customHeight="1" s="297"/>
    <row r="626" ht="15.75" customHeight="1" s="297"/>
    <row r="627" ht="15.75" customHeight="1" s="297"/>
    <row r="628" ht="15.75" customHeight="1" s="297"/>
    <row r="629" ht="15.75" customHeight="1" s="297"/>
    <row r="630" ht="15.75" customHeight="1" s="297"/>
    <row r="631" ht="15.75" customHeight="1" s="297"/>
    <row r="632" ht="15.75" customHeight="1" s="297"/>
    <row r="633" ht="15.75" customHeight="1" s="297"/>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pageMargins left="0.511811024" right="0.511811024" top="0.787401575" bottom="0.7874015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B1000"/>
  <sheetViews>
    <sheetView workbookViewId="0">
      <pane ySplit="1" topLeftCell="A2" activePane="bottomLeft" state="frozen"/>
      <selection pane="bottomLeft" activeCell="B3" sqref="B3"/>
    </sheetView>
  </sheetViews>
  <sheetFormatPr baseColWidth="8" defaultColWidth="12.63" defaultRowHeight="15" customHeight="1"/>
  <cols>
    <col width="37.63" customWidth="1" style="297" min="1" max="3"/>
    <col width="68.5" customWidth="1" style="297" min="4" max="4"/>
    <col width="13.75" customWidth="1" style="297" min="5" max="5"/>
    <col width="16.25" customWidth="1" style="297" min="6" max="6"/>
    <col width="27.88" customWidth="1" style="297" min="7" max="7"/>
    <col width="20.25" customWidth="1" style="297" min="8" max="8"/>
    <col width="17.38" customWidth="1" style="297" min="9" max="9"/>
    <col width="15.13" customWidth="1" style="297" min="10" max="10"/>
    <col width="21.13" customWidth="1" style="297" min="12" max="12"/>
    <col width="16.88" customWidth="1" style="297" min="13" max="13"/>
    <col width="16" customWidth="1" style="297" min="15" max="15"/>
    <col width="29.63" customWidth="1" style="297" min="16" max="16"/>
    <col width="21" customWidth="1" style="297" min="17" max="17"/>
    <col width="23.75" customWidth="1" style="297" min="18" max="18"/>
    <col width="16.25" customWidth="1" style="297" min="19" max="19"/>
  </cols>
  <sheetData>
    <row r="1" ht="22.5" customHeight="1" s="297">
      <c r="A1" s="7" t="inlineStr">
        <is>
          <t>Column 11</t>
        </is>
      </c>
      <c r="B1" s="7" t="inlineStr">
        <is>
          <t xml:space="preserve">MÁQUINA </t>
        </is>
      </c>
      <c r="C1" s="7" t="inlineStr">
        <is>
          <t>IMPLEMENTO</t>
        </is>
      </c>
      <c r="D1" s="8" t="inlineStr">
        <is>
          <t>CONJUNTO</t>
        </is>
      </c>
      <c r="E1" s="8" t="inlineStr">
        <is>
          <t>LARGURA</t>
        </is>
      </c>
      <c r="F1" s="8" t="inlineStr">
        <is>
          <t>VELOCIDADE</t>
        </is>
      </c>
      <c r="G1" s="8" t="inlineStr">
        <is>
          <t>EFICIÊNCIA</t>
        </is>
      </c>
      <c r="H1" s="8" t="inlineStr">
        <is>
          <t>ha/h</t>
        </is>
      </c>
      <c r="I1" s="8" t="inlineStr">
        <is>
          <t>L/h</t>
        </is>
      </c>
      <c r="J1" s="8" t="inlineStr">
        <is>
          <t>HM/ha</t>
        </is>
      </c>
      <c r="K1" s="8" t="inlineStr">
        <is>
          <t>L/ha</t>
        </is>
      </c>
      <c r="L1" s="9" t="inlineStr">
        <is>
          <t>CUSTO HM/HA</t>
        </is>
      </c>
      <c r="M1" s="9" t="inlineStr">
        <is>
          <t>HORA MAQ./HA</t>
        </is>
      </c>
      <c r="N1" s="10" t="n"/>
      <c r="O1" s="11" t="inlineStr">
        <is>
          <t>GRUPO</t>
        </is>
      </c>
      <c r="P1" s="12" t="inlineStr">
        <is>
          <t>MAQUINA</t>
        </is>
      </c>
      <c r="Q1" s="13" t="inlineStr">
        <is>
          <t>CONSUMO HORA</t>
        </is>
      </c>
      <c r="R1" s="9" t="inlineStr">
        <is>
          <t>LARGURA OPERAÇÃO</t>
        </is>
      </c>
      <c r="S1" s="9" t="inlineStr">
        <is>
          <t>VELOCIDADE</t>
        </is>
      </c>
      <c r="T1" s="10" t="n"/>
      <c r="U1" s="10" t="n"/>
      <c r="V1" s="10" t="n"/>
      <c r="W1" s="10" t="n"/>
      <c r="X1" s="10" t="n"/>
      <c r="Y1" s="10" t="n"/>
      <c r="Z1" s="10" t="n"/>
      <c r="AA1" s="10" t="n"/>
      <c r="AB1" s="10" t="n"/>
    </row>
    <row r="2" ht="22.5" customHeight="1" s="297">
      <c r="A2" s="14" t="inlineStr">
        <is>
          <t>MÁQUINAS</t>
        </is>
      </c>
      <c r="B2" s="14" t="inlineStr">
        <is>
          <t>TRATOR - CASE STEIGER 420</t>
        </is>
      </c>
      <c r="C2" s="14" t="inlineStr">
        <is>
          <t>PLANTADEIRA HORSCH MAESTRO DUO 36.50</t>
        </is>
      </c>
      <c r="D2" s="9">
        <f>IFERROR(__xludf.DUMMYFUNCTION("REGEXREPLACE(B2,""TRATOR - |COLHEITADEIRA |PULVERIZADOR |CAMINHAO-"","""")&amp;"" + ""&amp;REGEXREPLACE(C2,""PLANTADEIRA |PLATAFORMA |DISTRIBUIDOR |PULVERIZADOR "", """")"),"CASE STEIGER 420 + HORSCH MAESTRO DUO 36.50")</f>
        <v/>
      </c>
      <c r="E2" s="9">
        <f>VLOOKUP(C2,'CUSTO OPERAÇÃO'!$P$1:$S$125,3,0)</f>
        <v/>
      </c>
      <c r="F2" s="9">
        <f>VLOOKUP(C2,'CUSTO OPERAÇÃO'!$P$1:$S$125,4,0)</f>
        <v/>
      </c>
      <c r="G2" s="9" t="n">
        <v>85</v>
      </c>
      <c r="H2" s="9">
        <f>(E2*F2*(G2/100))/10</f>
        <v/>
      </c>
      <c r="I2" s="13">
        <f>VLOOKUP(B2,'CUSTO OPERAÇÃO'!$P$1:$Q$125,2,0)</f>
        <v/>
      </c>
      <c r="J2" s="15">
        <f>1/H2</f>
        <v/>
      </c>
      <c r="K2" s="16">
        <f>I2/H2</f>
        <v/>
      </c>
      <c r="L2" s="17">
        <f>K2*7.5</f>
        <v/>
      </c>
      <c r="M2" s="9">
        <f>IFERROR(L2/J2,"")</f>
        <v/>
      </c>
      <c r="N2" s="10" t="n"/>
      <c r="O2" s="18" t="inlineStr">
        <is>
          <t>AVIÃO AGRICOLA</t>
        </is>
      </c>
      <c r="P2" s="18" t="inlineStr">
        <is>
          <t>AIR TRATOR AT-502B</t>
        </is>
      </c>
      <c r="Q2" s="9" t="n">
        <v>120</v>
      </c>
      <c r="R2" s="9" t="n">
        <v>30</v>
      </c>
      <c r="S2" s="9" t="n">
        <v>200</v>
      </c>
      <c r="T2" s="10" t="n"/>
      <c r="U2" s="10" t="n"/>
      <c r="V2" s="10" t="n"/>
      <c r="W2" s="10" t="n"/>
      <c r="X2" s="10" t="n"/>
      <c r="Y2" s="10" t="n"/>
      <c r="Z2" s="10" t="n"/>
      <c r="AA2" s="10" t="n"/>
      <c r="AB2" s="10" t="n"/>
    </row>
    <row r="3" ht="22.5" customHeight="1" s="297">
      <c r="A3" s="14" t="inlineStr">
        <is>
          <t>MÁQUINAS</t>
        </is>
      </c>
      <c r="B3" s="14" t="inlineStr">
        <is>
          <t>TRATOR - CASE MAGNUM 340</t>
        </is>
      </c>
      <c r="C3" s="14" t="inlineStr">
        <is>
          <t>PLANTADEIRA - CASE ASM 1213</t>
        </is>
      </c>
      <c r="D3" s="9">
        <f>IFERROR(__xludf.DUMMYFUNCTION("REGEXREPLACE(B3,""TRATOR - |COLHEITADEIRA |PULVERIZADOR |CAMINHAO-"","""")&amp;"" + ""&amp;REGEXREPLACE(C3,""PLANTADEIRA |PLATAFORMA |DISTRIBUIDOR |PULVERIZADOR "", """")"),"CASE MAGNUM 340 + - CASE ASM 1213")</f>
        <v/>
      </c>
      <c r="E3" s="9">
        <f>VLOOKUP(C3,'CUSTO OPERAÇÃO'!$P$1:$S$125,3,0)</f>
        <v/>
      </c>
      <c r="F3" s="9">
        <f>VLOOKUP(C3,'CUSTO OPERAÇÃO'!$P$1:$S$125,4,0)</f>
        <v/>
      </c>
      <c r="G3" s="9" t="n">
        <v>85</v>
      </c>
      <c r="H3" s="9">
        <f>(E3*F3*(G3/100))/10</f>
        <v/>
      </c>
      <c r="I3" s="13">
        <f>VLOOKUP(B3,'CUSTO OPERAÇÃO'!$P$1:$Q$125,2,0)</f>
        <v/>
      </c>
      <c r="J3" s="15">
        <f>1/H3</f>
        <v/>
      </c>
      <c r="K3" s="16">
        <f>I3/H3</f>
        <v/>
      </c>
      <c r="L3" s="17">
        <f>K3*7.5</f>
        <v/>
      </c>
      <c r="M3" s="9">
        <f>IFERROR(L3/J3,"")</f>
        <v/>
      </c>
      <c r="N3" s="10" t="n"/>
      <c r="O3" s="18" t="n"/>
      <c r="P3" s="18" t="n"/>
      <c r="Q3" s="9" t="n"/>
      <c r="R3" s="9" t="n"/>
      <c r="S3" s="9" t="n"/>
      <c r="T3" s="10" t="n"/>
      <c r="U3" s="10" t="n"/>
      <c r="V3" s="10" t="n"/>
      <c r="W3" s="10" t="n"/>
      <c r="X3" s="10" t="n"/>
      <c r="Y3" s="10" t="n"/>
      <c r="Z3" s="10" t="n"/>
      <c r="AA3" s="10" t="n"/>
      <c r="AB3" s="10" t="n"/>
    </row>
    <row r="4" ht="22.5" customHeight="1" s="297">
      <c r="A4" s="14" t="inlineStr">
        <is>
          <t>MÁQUINAS</t>
        </is>
      </c>
      <c r="B4" s="14" t="inlineStr">
        <is>
          <t>COLHEITADEIRA CR 8.90 NEW HOLLAND</t>
        </is>
      </c>
      <c r="C4" s="14" t="inlineStr">
        <is>
          <t>PLATAFORMA 880 CF45</t>
        </is>
      </c>
      <c r="D4" s="9">
        <f>IFERROR(__xludf.DUMMYFUNCTION("REGEXREPLACE(B4,""TRATOR - |COLHEITADEIRA |PULVERIZADOR |CAMINHAO-"","""")&amp;"" + ""&amp;REGEXREPLACE(C4,""PLANTADEIRA |PLATAFORMA |DISTRIBUIDOR |PULVERIZADOR "", """")"),"CR 8.90 NEW HOLLAND + 880 CF45")</f>
        <v/>
      </c>
      <c r="E4" s="9">
        <f>VLOOKUP(C4,'CUSTO OPERAÇÃO'!$P$1:$S$125,3,0)</f>
        <v/>
      </c>
      <c r="F4" s="9">
        <f>VLOOKUP(C4,'CUSTO OPERAÇÃO'!$P$1:$S$125,4,0)</f>
        <v/>
      </c>
      <c r="G4" s="9" t="n">
        <v>85</v>
      </c>
      <c r="H4" s="9">
        <f>(E4*F4*(G4/100))/10</f>
        <v/>
      </c>
      <c r="I4" s="13">
        <f>VLOOKUP(B4,'CUSTO OPERAÇÃO'!$P$1:$Q$125,2,0)</f>
        <v/>
      </c>
      <c r="J4" s="15">
        <f>1/H4</f>
        <v/>
      </c>
      <c r="K4" s="16">
        <f>I4/H4</f>
        <v/>
      </c>
      <c r="L4" s="17">
        <f>K4*7.5</f>
        <v/>
      </c>
      <c r="M4" s="9">
        <f>IFERROR(L4/J4,"")</f>
        <v/>
      </c>
      <c r="N4" s="10" t="n"/>
      <c r="O4" s="18" t="n"/>
      <c r="P4" s="18" t="n"/>
      <c r="Q4" s="9" t="n"/>
      <c r="R4" s="9" t="n"/>
      <c r="S4" s="9" t="n"/>
      <c r="T4" s="10" t="n"/>
      <c r="U4" s="10" t="n"/>
      <c r="V4" s="10" t="n"/>
      <c r="W4" s="10" t="n"/>
      <c r="X4" s="10" t="n"/>
      <c r="Y4" s="10" t="n"/>
      <c r="Z4" s="10" t="n"/>
      <c r="AA4" s="10" t="n"/>
      <c r="AB4" s="10" t="n"/>
    </row>
    <row r="5" ht="22.5" customHeight="1" s="297">
      <c r="A5" s="14" t="inlineStr">
        <is>
          <t>MÁQUINAS</t>
        </is>
      </c>
      <c r="B5" s="14" t="inlineStr">
        <is>
          <t>COLHETADEIRA - NH-CR9060</t>
        </is>
      </c>
      <c r="C5" s="14" t="inlineStr">
        <is>
          <t>PLATAFORMA 740 CF30 AGRIDREPER</t>
        </is>
      </c>
      <c r="D5" s="9">
        <f>IFERROR(__xludf.DUMMYFUNCTION("REGEXREPLACE(B5,""TRATOR - |COLHEITADEIRA |PULVERIZADOR |CAMINHAO-"","""")&amp;"" + ""&amp;REGEXREPLACE(C5,""PLANTADEIRA |PLATAFORMA |DISTRIBUIDOR |PULVERIZADOR "", """")"),"COLHETADEIRA - NH-CR9060 + 740 CF30 AGRIDREPER")</f>
        <v/>
      </c>
      <c r="E5" s="9">
        <f>VLOOKUP(C5,'CUSTO OPERAÇÃO'!$P$1:$S$125,3,0)</f>
        <v/>
      </c>
      <c r="F5" s="9">
        <f>VLOOKUP(C5,'CUSTO OPERAÇÃO'!$P$1:$S$125,4,0)</f>
        <v/>
      </c>
      <c r="G5" s="9" t="n">
        <v>85</v>
      </c>
      <c r="H5" s="9">
        <f>(E5*F5*(G5/100))/10</f>
        <v/>
      </c>
      <c r="I5" s="13">
        <f>VLOOKUP(B5,'CUSTO OPERAÇÃO'!$P$1:$Q$125,2,0)</f>
        <v/>
      </c>
      <c r="J5" s="15">
        <f>1/H5</f>
        <v/>
      </c>
      <c r="K5" s="16">
        <f>I5/H5</f>
        <v/>
      </c>
      <c r="L5" s="17">
        <f>K5*7.5</f>
        <v/>
      </c>
      <c r="M5" s="9">
        <f>IFERROR(L5/J5,"")</f>
        <v/>
      </c>
      <c r="N5" s="10" t="n"/>
      <c r="O5" s="18" t="inlineStr">
        <is>
          <t>CAMINHÕES</t>
        </is>
      </c>
      <c r="P5" s="18" t="inlineStr">
        <is>
          <t>CAMINHAO-VOLVO VM260</t>
        </is>
      </c>
      <c r="Q5" s="9" t="n">
        <v>20</v>
      </c>
      <c r="R5" s="9" t="n">
        <v>1</v>
      </c>
      <c r="S5" s="9" t="n">
        <v>40</v>
      </c>
      <c r="T5" s="10" t="n"/>
      <c r="U5" s="10" t="n"/>
      <c r="V5" s="10" t="n"/>
      <c r="W5" s="10" t="n"/>
      <c r="X5" s="10" t="n"/>
      <c r="Y5" s="10" t="n"/>
      <c r="Z5" s="10" t="n"/>
      <c r="AA5" s="10" t="n"/>
      <c r="AB5" s="10" t="n"/>
    </row>
    <row r="6" ht="22.5" customHeight="1" s="297">
      <c r="A6" s="14" t="inlineStr">
        <is>
          <t>MÁQUINAS</t>
        </is>
      </c>
      <c r="B6" s="14" t="inlineStr">
        <is>
          <t>COLHETADEIRA CR7.80</t>
        </is>
      </c>
      <c r="C6" s="14" t="inlineStr">
        <is>
          <t>PLATAFORMA MACDON 35F</t>
        </is>
      </c>
      <c r="D6" s="9">
        <f>IFERROR(__xludf.DUMMYFUNCTION("REGEXREPLACE(B6,""TRATOR - |COLHEITADEIRA |PULVERIZADOR |CAMINHAO-"","""")&amp;"" + ""&amp;REGEXREPLACE(C6,""PLANTADEIRA |PLATAFORMA |DISTRIBUIDOR |PULVERIZADOR "", """")"),"COLHETADEIRA CR7.80 + MACDON 35F")</f>
        <v/>
      </c>
      <c r="E6" s="9">
        <f>VLOOKUP(C6,'CUSTO OPERAÇÃO'!$P$1:$S$125,3,0)</f>
        <v/>
      </c>
      <c r="F6" s="9">
        <f>VLOOKUP(C6,'CUSTO OPERAÇÃO'!$P$1:$S$125,4,0)</f>
        <v/>
      </c>
      <c r="G6" s="9" t="n">
        <v>85</v>
      </c>
      <c r="H6" s="9">
        <f>(E6*F6*(G6/100))/10</f>
        <v/>
      </c>
      <c r="I6" s="13">
        <f>VLOOKUP(B6,'CUSTO OPERAÇÃO'!$P$1:$Q$125,2,0)</f>
        <v/>
      </c>
      <c r="J6" s="15">
        <f>1/H6</f>
        <v/>
      </c>
      <c r="K6" s="16">
        <f>I6/H6</f>
        <v/>
      </c>
      <c r="L6" s="17">
        <f>K6*7.5</f>
        <v/>
      </c>
      <c r="M6" s="9">
        <f>IFERROR(L6/J6,"")</f>
        <v/>
      </c>
      <c r="N6" s="10" t="n"/>
      <c r="O6" s="18" t="inlineStr">
        <is>
          <t>CAMINHÕES</t>
        </is>
      </c>
      <c r="P6" s="18" t="inlineStr">
        <is>
          <t>CAMINHAO-VOLVO NH380</t>
        </is>
      </c>
      <c r="Q6" s="9" t="n">
        <v>20</v>
      </c>
      <c r="R6" s="9" t="n"/>
      <c r="S6" s="9" t="n"/>
      <c r="T6" s="10" t="n"/>
      <c r="U6" s="10" t="n"/>
      <c r="V6" s="10" t="n"/>
      <c r="W6" s="10" t="n"/>
      <c r="X6" s="10" t="n"/>
      <c r="Y6" s="10" t="n"/>
      <c r="Z6" s="10" t="n"/>
      <c r="AA6" s="10" t="n"/>
      <c r="AB6" s="10" t="n"/>
    </row>
    <row r="7" ht="22.5" customHeight="1" s="297">
      <c r="A7" s="4" t="inlineStr">
        <is>
          <t>MÁQUINAS</t>
        </is>
      </c>
      <c r="B7" s="4" t="inlineStr">
        <is>
          <t>TRATOR-JD 7500</t>
        </is>
      </c>
      <c r="C7" s="4" t="inlineStr">
        <is>
          <t>DISTRIBUIDOR BRUTUS 12000</t>
        </is>
      </c>
      <c r="D7" s="9">
        <f>IFERROR(__xludf.DUMMYFUNCTION("REGEXREPLACE(B7,""TRATOR - |COLHEITADEIRA |PULVERIZADOR |CAMINHAO-"","""")&amp;"" + ""&amp;REGEXREPLACE(C7,""PLANTADEIRA |PLATAFORMA |DISTRIBUIDOR |PULVERIZADOR "", """")"),"TRATOR-JD 7500 + BRUTUS 12000")</f>
        <v/>
      </c>
      <c r="E7" s="9">
        <f>VLOOKUP(C7,'CUSTO OPERAÇÃO'!$P$1:$S$125,3,0)</f>
        <v/>
      </c>
      <c r="F7" s="9">
        <f>VLOOKUP(C7,'CUSTO OPERAÇÃO'!$P$1:$S$125,4,0)</f>
        <v/>
      </c>
      <c r="G7" s="9" t="n">
        <v>85</v>
      </c>
      <c r="H7" s="9">
        <f>(E7*F7*(G7/100))/10</f>
        <v/>
      </c>
      <c r="I7" s="13">
        <f>VLOOKUP(B7,'CUSTO OPERAÇÃO'!$P$1:$Q$125,2,0)</f>
        <v/>
      </c>
      <c r="J7" s="15">
        <f>1/H7</f>
        <v/>
      </c>
      <c r="K7" s="16">
        <f>I7/H7</f>
        <v/>
      </c>
      <c r="L7" s="17">
        <f>K7*7.5</f>
        <v/>
      </c>
      <c r="M7" s="9">
        <f>IFERROR(L7/J7,"")</f>
        <v/>
      </c>
      <c r="N7" s="10" t="n"/>
      <c r="O7" s="18" t="inlineStr">
        <is>
          <t>CAMINHÕES</t>
        </is>
      </c>
      <c r="P7" s="18" t="inlineStr">
        <is>
          <t>CAMINHAO-WV 7.100</t>
        </is>
      </c>
      <c r="Q7" s="9" t="n">
        <v>20</v>
      </c>
      <c r="R7" s="9" t="n"/>
      <c r="S7" s="9" t="n"/>
      <c r="T7" s="10" t="n"/>
      <c r="U7" s="10" t="n"/>
      <c r="V7" s="10" t="n"/>
      <c r="W7" s="10" t="n"/>
      <c r="X7" s="10" t="n"/>
      <c r="Y7" s="10" t="n"/>
      <c r="Z7" s="10" t="n"/>
      <c r="AA7" s="10" t="n"/>
      <c r="AB7" s="10" t="n"/>
    </row>
    <row r="8" ht="22.5" customHeight="1" s="297">
      <c r="A8" s="4" t="inlineStr">
        <is>
          <t>MÁQUINAS</t>
        </is>
      </c>
      <c r="B8" s="4" t="inlineStr">
        <is>
          <t>TRATOR-JD 7500</t>
        </is>
      </c>
      <c r="C8" s="4" t="inlineStr">
        <is>
          <t>DISTRIBUIDOR ADUBADORA HERCULES 10000</t>
        </is>
      </c>
      <c r="D8" s="9">
        <f>IFERROR(__xludf.DUMMYFUNCTION("REGEXREPLACE(B8,""TRATOR - |COLHEITADEIRA |PULVERIZADOR |CAMINHAO-"","""")&amp;"" + ""&amp;REGEXREPLACE(C8,""PLANTADEIRA |PLATAFORMA |DISTRIBUIDOR |PULVERIZADOR "", """")"),"TRATOR-JD 7500 + ADUBADORA HERCULES 10000")</f>
        <v/>
      </c>
      <c r="E8" s="9">
        <f>VLOOKUP(C8,'CUSTO OPERAÇÃO'!$P$1:$S$125,3,0)</f>
        <v/>
      </c>
      <c r="F8" s="9">
        <f>VLOOKUP(C8,'CUSTO OPERAÇÃO'!$P$1:$S$125,4,0)</f>
        <v/>
      </c>
      <c r="G8" s="9" t="n">
        <v>85</v>
      </c>
      <c r="H8" s="9">
        <f>(E8*F8*(G8/100))/10</f>
        <v/>
      </c>
      <c r="I8" s="13">
        <f>VLOOKUP(B8,'CUSTO OPERAÇÃO'!$P$1:$Q$125,2,0)</f>
        <v/>
      </c>
      <c r="J8" s="15">
        <f>1/H8</f>
        <v/>
      </c>
      <c r="K8" s="16">
        <f>I8/H8</f>
        <v/>
      </c>
      <c r="L8" s="17">
        <f>K8*7.5</f>
        <v/>
      </c>
      <c r="M8" s="9">
        <f>IFERROR(L8/J8,"")</f>
        <v/>
      </c>
      <c r="N8" s="10" t="n"/>
      <c r="O8" s="18" t="inlineStr">
        <is>
          <t>CAMINHÕES</t>
        </is>
      </c>
      <c r="P8" s="18" t="inlineStr">
        <is>
          <t>CAMINHAO-MB 1313</t>
        </is>
      </c>
      <c r="Q8" s="9" t="n">
        <v>20</v>
      </c>
      <c r="R8" s="9" t="n"/>
      <c r="S8" s="9" t="n"/>
      <c r="T8" s="10" t="n"/>
      <c r="U8" s="10" t="n"/>
      <c r="V8" s="10" t="n"/>
      <c r="W8" s="10" t="n"/>
      <c r="X8" s="10" t="n"/>
      <c r="Y8" s="10" t="n"/>
      <c r="Z8" s="10" t="n"/>
      <c r="AA8" s="10" t="n"/>
      <c r="AB8" s="10" t="n"/>
    </row>
    <row r="9" ht="22.5" customHeight="1" s="297">
      <c r="A9" s="4" t="inlineStr">
        <is>
          <t>MÁQUINAS</t>
        </is>
      </c>
      <c r="B9" s="4" t="inlineStr">
        <is>
          <t>CAMINHAO-VOLVO NH380</t>
        </is>
      </c>
      <c r="C9" s="4" t="inlineStr">
        <is>
          <t>CAÇAMBA 430SC</t>
        </is>
      </c>
      <c r="D9" s="9">
        <f>IFERROR(__xludf.DUMMYFUNCTION("REGEXREPLACE(B9,""TRATOR - |COLHEITADEIRA |PULVERIZADOR |CAMINHAO-"","""")&amp;"" + ""&amp;REGEXREPLACE(C9,""PLANTADEIRA |PLATAFORMA |DISTRIBUIDOR |PULVERIZADOR "", """")"),"VOLVO NH380 + CAÇAMBA 430SC")</f>
        <v/>
      </c>
      <c r="E9" s="9" t="n">
        <v>430</v>
      </c>
      <c r="F9" s="9">
        <f>VLOOKUP(C9,'CUSTO OPERAÇÃO'!$P$1:$S$125,4,0)</f>
        <v/>
      </c>
      <c r="G9" s="9" t="n">
        <v>85</v>
      </c>
      <c r="H9" s="9">
        <f>(E9*F9*(G9/100))/10</f>
        <v/>
      </c>
      <c r="I9" s="13">
        <f>VLOOKUP(B9,'CUSTO OPERAÇÃO'!$P$1:$Q$125,2,0)</f>
        <v/>
      </c>
      <c r="J9" s="15">
        <f>1/H9</f>
        <v/>
      </c>
      <c r="K9" s="16">
        <f>I9/H9</f>
        <v/>
      </c>
      <c r="L9" s="17">
        <f>K9*7.5</f>
        <v/>
      </c>
      <c r="M9" s="9">
        <f>IFERROR(L9/J9,"")</f>
        <v/>
      </c>
      <c r="N9" s="10" t="n"/>
      <c r="O9" s="18" t="inlineStr">
        <is>
          <t>CAMINHÕES</t>
        </is>
      </c>
      <c r="P9" s="18" t="inlineStr">
        <is>
          <t>CAMINHÃO MB 1620</t>
        </is>
      </c>
      <c r="Q9" s="9" t="n">
        <v>20</v>
      </c>
      <c r="R9" s="9" t="n"/>
      <c r="S9" s="9" t="n"/>
      <c r="T9" s="10" t="n"/>
      <c r="U9" s="10" t="n"/>
      <c r="V9" s="10" t="n"/>
      <c r="W9" s="10" t="n"/>
      <c r="X9" s="10" t="n"/>
      <c r="Y9" s="10" t="n"/>
      <c r="Z9" s="10" t="n"/>
      <c r="AA9" s="10" t="n"/>
      <c r="AB9" s="10" t="n"/>
    </row>
    <row r="10" ht="22.5" customHeight="1" s="297">
      <c r="A10" s="4" t="inlineStr">
        <is>
          <t>MÁQUINAS</t>
        </is>
      </c>
      <c r="B10" s="4" t="inlineStr">
        <is>
          <t>TRATOR - CASE MAGNUM 340</t>
        </is>
      </c>
      <c r="C10" s="4" t="inlineStr">
        <is>
          <t>SUBSOLADOR 11 ASTES</t>
        </is>
      </c>
      <c r="D10" s="9">
        <f>IFERROR(__xludf.DUMMYFUNCTION("REGEXREPLACE(B10,""TRATOR - |COLHEITADEIRA |PULVERIZADOR |CAMINHAO-"","""")&amp;"" + ""&amp;REGEXREPLACE(C10,""PLANTADEIRA |PLATAFORMA |DISTRIBUIDOR |PULVERIZADOR "", """")"),"CASE MAGNUM 340 + SUBSOLADOR 11 ASTES")</f>
        <v/>
      </c>
      <c r="E10" s="9">
        <f>VLOOKUP(C10,'CUSTO OPERAÇÃO'!$P$1:$S$125,3,0)</f>
        <v/>
      </c>
      <c r="F10" s="9" t="n">
        <v>4.5</v>
      </c>
      <c r="G10" s="9" t="n">
        <v>85</v>
      </c>
      <c r="H10" s="9">
        <f>(E10*F10*(G10/100))/10</f>
        <v/>
      </c>
      <c r="I10" s="13">
        <f>VLOOKUP(B10,'CUSTO OPERAÇÃO'!$P$1:$Q$125,2,0)</f>
        <v/>
      </c>
      <c r="J10" s="15">
        <f>1/H10</f>
        <v/>
      </c>
      <c r="K10" s="16">
        <f>I10/H10</f>
        <v/>
      </c>
      <c r="L10" s="17">
        <f>K10*7.5</f>
        <v/>
      </c>
      <c r="M10" s="9">
        <f>IFERROR(L10/J10,"")</f>
        <v/>
      </c>
      <c r="N10" s="10" t="n"/>
      <c r="O10" s="18" t="inlineStr">
        <is>
          <t>CARRETA AGRÍCOLA</t>
        </is>
      </c>
      <c r="P10" s="18" t="inlineStr">
        <is>
          <t>CAÇAMBA 430SC</t>
        </is>
      </c>
      <c r="Q10" s="9" t="n"/>
      <c r="R10" s="9" t="n">
        <v>400</v>
      </c>
      <c r="S10" s="9" t="n">
        <v>20</v>
      </c>
      <c r="T10" s="10" t="n"/>
      <c r="U10" s="10" t="n"/>
      <c r="V10" s="10" t="n"/>
      <c r="W10" s="10" t="n"/>
      <c r="X10" s="10" t="n"/>
      <c r="Y10" s="10" t="n"/>
      <c r="Z10" s="10" t="n"/>
      <c r="AA10" s="10" t="n"/>
      <c r="AB10" s="10" t="n"/>
    </row>
    <row r="11" ht="22.5" customHeight="1" s="297">
      <c r="A11" s="4" t="inlineStr">
        <is>
          <t>MÁQUINAS</t>
        </is>
      </c>
      <c r="B11" s="4" t="inlineStr">
        <is>
          <t>PULVERIZADOR- JD4730</t>
        </is>
      </c>
      <c r="C11" s="4" t="inlineStr">
        <is>
          <t>PULVERIZADOR- JD4730</t>
        </is>
      </c>
      <c r="D11" s="9">
        <f>IFERROR(__xludf.DUMMYFUNCTION("REGEXREPLACE(B11,""TRATOR - |COLHEITADEIRA |PULVERIZADOR |CAMINHAO-"","""")&amp;"" + ""&amp;REGEXREPLACE(C11,""PLANTADEIRA |PLATAFORMA |DISTRIBUIDOR |PULVERIZADOR "", """")"),"PULVERIZADOR- JD4730 + PULVERIZADOR- JD4730")</f>
        <v/>
      </c>
      <c r="E11" s="9">
        <f>VLOOKUP(C11,'CUSTO OPERAÇÃO'!$P$1:$S$125,3,0)</f>
        <v/>
      </c>
      <c r="F11" s="9">
        <f>VLOOKUP(C11,'CUSTO OPERAÇÃO'!$P$1:$S$125,4,0)</f>
        <v/>
      </c>
      <c r="G11" s="9" t="n">
        <v>85</v>
      </c>
      <c r="H11" s="9">
        <f>(E11*F11*(G11/100))/10</f>
        <v/>
      </c>
      <c r="I11" s="13">
        <f>VLOOKUP(B11,'CUSTO OPERAÇÃO'!$P$1:$Q$125,2,0)</f>
        <v/>
      </c>
      <c r="J11" s="15">
        <f>1/H11</f>
        <v/>
      </c>
      <c r="K11" s="16">
        <f>I11/H11</f>
        <v/>
      </c>
      <c r="L11" s="17">
        <f>K11*7.5</f>
        <v/>
      </c>
      <c r="M11" s="9">
        <f>IFERROR(L11/J11,"")</f>
        <v/>
      </c>
      <c r="N11" s="10" t="n"/>
      <c r="O11" s="18" t="n"/>
      <c r="P11" s="18" t="n"/>
      <c r="Q11" s="9" t="n"/>
      <c r="R11" s="9" t="n"/>
      <c r="S11" s="9" t="n"/>
      <c r="T11" s="10" t="n"/>
      <c r="U11" s="10" t="n"/>
      <c r="V11" s="10" t="n"/>
      <c r="W11" s="10" t="n"/>
      <c r="X11" s="10" t="n"/>
      <c r="Y11" s="10" t="n"/>
      <c r="Z11" s="10" t="n"/>
      <c r="AA11" s="10" t="n"/>
      <c r="AB11" s="10" t="n"/>
    </row>
    <row r="12" ht="22.5" customHeight="1" s="297">
      <c r="A12" s="4" t="inlineStr">
        <is>
          <t>MÁQUINAS</t>
        </is>
      </c>
      <c r="B12" s="4" t="inlineStr">
        <is>
          <t>AIR TRATOR AT-502B</t>
        </is>
      </c>
      <c r="C12" s="4" t="inlineStr">
        <is>
          <t>AIR TRATOR AT-502B</t>
        </is>
      </c>
      <c r="D12" s="9">
        <f>IFERROR(__xludf.DUMMYFUNCTION("REGEXREPLACE(B12,""TRATOR - |COLHEITADEIRA |PULVERIZADOR |CAMINHAO-"","""")&amp;"" + ""&amp;REGEXREPLACE(C12,""PLANTADEIRA |PLATAFORMA |DISTRIBUIDOR |PULVERIZADOR "", """")"),"AIR TRATOR AT-502B + AIR TRATOR AT-502B")</f>
        <v/>
      </c>
      <c r="E12" s="9">
        <f>VLOOKUP(C12,'CUSTO OPERAÇÃO'!$P$1:$S$125,3,0)</f>
        <v/>
      </c>
      <c r="F12" s="9">
        <f>VLOOKUP(C12,'CUSTO OPERAÇÃO'!$P$1:$S$125,4,0)</f>
        <v/>
      </c>
      <c r="G12" s="9" t="n">
        <v>25</v>
      </c>
      <c r="H12" s="9">
        <f>(E12*F12*(G12/100))/10</f>
        <v/>
      </c>
      <c r="I12" s="13" t="n">
        <v>135</v>
      </c>
      <c r="J12" s="15">
        <f>1/H12</f>
        <v/>
      </c>
      <c r="K12" s="16">
        <f>I12/H12</f>
        <v/>
      </c>
      <c r="L12" s="17">
        <f>K12*7.5</f>
        <v/>
      </c>
      <c r="M12" s="9" t="n">
        <v>5000</v>
      </c>
      <c r="N12" s="10" t="n"/>
      <c r="O12" s="18" t="inlineStr">
        <is>
          <t>CAMINHÕES</t>
        </is>
      </c>
      <c r="P12" s="18" t="inlineStr">
        <is>
          <t>CAMINHÃO-VOLVO FH 540</t>
        </is>
      </c>
      <c r="Q12" s="9" t="n">
        <v>20</v>
      </c>
      <c r="R12" s="9" t="n"/>
      <c r="S12" s="9" t="n"/>
      <c r="T12" s="10" t="n"/>
      <c r="U12" s="10" t="n"/>
      <c r="V12" s="10" t="n"/>
      <c r="W12" s="10" t="n"/>
      <c r="X12" s="10" t="n"/>
      <c r="Y12" s="10" t="n"/>
      <c r="Z12" s="10" t="n"/>
      <c r="AA12" s="10" t="n"/>
      <c r="AB12" s="10" t="n"/>
    </row>
    <row r="13" ht="22.5" customHeight="1" s="297">
      <c r="A13" s="4" t="inlineStr">
        <is>
          <t>MÁQUINAS</t>
        </is>
      </c>
      <c r="B13" s="4" t="inlineStr">
        <is>
          <t>COLHETADEIRA - NH-CR9060</t>
        </is>
      </c>
      <c r="C13" s="4" t="inlineStr">
        <is>
          <t>PLATAFORMA MILHO BRAVA 11</t>
        </is>
      </c>
      <c r="D13" s="9">
        <f>IFERROR(__xludf.DUMMYFUNCTION("REGEXREPLACE(B13,""TRATOR - |COLHEITADEIRA |PULVERIZADOR |CAMINHAO-"","""")&amp;"" + ""&amp;REGEXREPLACE(C13,""PLANTADEIRA |PLATAFORMA |DISTRIBUIDOR |PULVERIZADOR "", """")"),"COLHETADEIRA - NH-CR9060 + MILHO BRAVA 11")</f>
        <v/>
      </c>
      <c r="E13" s="9">
        <f>VLOOKUP(C13,'CUSTO OPERAÇÃO'!$P$1:$S$125,3,0)</f>
        <v/>
      </c>
      <c r="F13" s="9">
        <f>VLOOKUP(C13,'CUSTO OPERAÇÃO'!$P$1:$S$125,4,0)</f>
        <v/>
      </c>
      <c r="G13" s="9" t="n">
        <v>85</v>
      </c>
      <c r="H13" s="9">
        <f>(E13*F13*(G13/100))/10</f>
        <v/>
      </c>
      <c r="I13" s="13">
        <f>VLOOKUP(B13,'CUSTO OPERAÇÃO'!$P$1:$Q$125,2,0)</f>
        <v/>
      </c>
      <c r="J13" s="15">
        <f>1/H13</f>
        <v/>
      </c>
      <c r="K13" s="16">
        <f>I13/H13</f>
        <v/>
      </c>
      <c r="L13" s="17">
        <f>K13*7.5</f>
        <v/>
      </c>
      <c r="M13" s="9">
        <f>IFERROR(L13/J13,"")</f>
        <v/>
      </c>
      <c r="N13" s="10" t="n"/>
      <c r="O13" s="18" t="inlineStr">
        <is>
          <t>CARRETA AGRÍCOLA</t>
        </is>
      </c>
      <c r="P13" s="18" t="inlineStr">
        <is>
          <t>TRANSBORDO SANTAL</t>
        </is>
      </c>
      <c r="Q13" s="9" t="n"/>
      <c r="R13" s="9" t="n"/>
      <c r="S13" s="9" t="n"/>
      <c r="T13" s="10" t="n"/>
      <c r="U13" s="10" t="n"/>
      <c r="V13" s="10" t="n"/>
      <c r="W13" s="10" t="n"/>
      <c r="X13" s="10" t="n"/>
      <c r="Y13" s="10" t="n"/>
      <c r="Z13" s="10" t="n"/>
      <c r="AA13" s="10" t="n"/>
      <c r="AB13" s="10" t="n"/>
    </row>
    <row r="14" ht="22.5" customHeight="1" s="297">
      <c r="A14" s="4" t="inlineStr">
        <is>
          <t>MÁQUINAS</t>
        </is>
      </c>
      <c r="B14" s="4" t="inlineStr">
        <is>
          <t>TRATOR - NH T7.260</t>
        </is>
      </c>
      <c r="C14" s="4" t="inlineStr">
        <is>
          <t>DISTRIBUIDOR JAN 20000</t>
        </is>
      </c>
      <c r="D14" s="9">
        <f>IFERROR(__xludf.DUMMYFUNCTION("REGEXREPLACE(B14,""TRATOR - |COLHEITADEIRA |PULVERIZADOR |CAMINHAO-"","""")&amp;"" + ""&amp;REGEXREPLACE(C14,""PLANTADEIRA |PLATAFORMA |DISTRIBUIDOR |PULVERIZADOR "", """")"),"NH T7.260 + JAN 20000")</f>
        <v/>
      </c>
      <c r="E14" s="9">
        <f>VLOOKUP(C14,'CUSTO OPERAÇÃO'!$P$1:$S$125,3,0)</f>
        <v/>
      </c>
      <c r="F14" s="9">
        <f>VLOOKUP(C14,'CUSTO OPERAÇÃO'!$P$1:$S$125,4,0)</f>
        <v/>
      </c>
      <c r="G14" s="9" t="n">
        <v>85</v>
      </c>
      <c r="H14" s="9">
        <f>(E14*F14*(G14/100))/10</f>
        <v/>
      </c>
      <c r="I14" s="13">
        <f>VLOOKUP(B14,'CUSTO OPERAÇÃO'!$P$1:$Q$125,2,0)</f>
        <v/>
      </c>
      <c r="J14" s="15">
        <f>1/H14</f>
        <v/>
      </c>
      <c r="K14" s="16">
        <f>I14/H14</f>
        <v/>
      </c>
      <c r="L14" s="17">
        <f>K14*7.5</f>
        <v/>
      </c>
      <c r="M14" s="9">
        <f>IFERROR(L14/J14,"")</f>
        <v/>
      </c>
      <c r="N14" s="10" t="n"/>
      <c r="O14" s="18" t="inlineStr">
        <is>
          <t>CARRETA AGRÍCOLA</t>
        </is>
      </c>
      <c r="P14" s="18" t="inlineStr">
        <is>
          <t>REBOQUE 3000 KG- FA</t>
        </is>
      </c>
      <c r="Q14" s="9" t="n"/>
      <c r="R14" s="9" t="n"/>
      <c r="S14" s="9" t="n"/>
      <c r="T14" s="10" t="n"/>
      <c r="U14" s="10" t="n"/>
      <c r="V14" s="10" t="n"/>
      <c r="W14" s="10" t="n"/>
      <c r="X14" s="10" t="n"/>
      <c r="Y14" s="10" t="n"/>
      <c r="Z14" s="10" t="n"/>
      <c r="AA14" s="10" t="n"/>
      <c r="AB14" s="10" t="n"/>
    </row>
    <row r="15" ht="22.5" customHeight="1" s="297">
      <c r="A15" s="4" t="inlineStr">
        <is>
          <t>MÁQUINAS</t>
        </is>
      </c>
      <c r="B15" s="4" t="inlineStr">
        <is>
          <t>TRATOR - NH T8.355</t>
        </is>
      </c>
      <c r="C15" s="4" t="inlineStr">
        <is>
          <t>PLANTADEIRA - JD2122</t>
        </is>
      </c>
      <c r="D15" s="9">
        <f>IFERROR(__xludf.DUMMYFUNCTION("REGEXREPLACE(B15,""TRATOR - |COLHEITADEIRA |PULVERIZADOR |CAMINHAO-"","""")&amp;"" + ""&amp;REGEXREPLACE(C15,""PLANTADEIRA |PLATAFORMA |DISTRIBUIDOR |PULVERIZADOR "", """")"),"NH T8.355 + - JD2122")</f>
        <v/>
      </c>
      <c r="E15" s="9">
        <f>VLOOKUP(C15,'CUSTO OPERAÇÃO'!$P$1:$S$125,3,0)</f>
        <v/>
      </c>
      <c r="F15" s="9">
        <f>VLOOKUP(C15,'CUSTO OPERAÇÃO'!$P$1:$S$125,4,0)</f>
        <v/>
      </c>
      <c r="G15" s="9" t="n">
        <v>85</v>
      </c>
      <c r="H15" s="9">
        <f>(E15*F15*(G15/100))/10</f>
        <v/>
      </c>
      <c r="I15" s="13">
        <f>VLOOKUP(B15,'CUSTO OPERAÇÃO'!$P$1:$Q$125,2,0)</f>
        <v/>
      </c>
      <c r="J15" s="15">
        <f>1/H15</f>
        <v/>
      </c>
      <c r="K15" s="16">
        <f>I15/H15</f>
        <v/>
      </c>
      <c r="L15" s="17">
        <f>K15*7.5</f>
        <v/>
      </c>
      <c r="M15" s="9">
        <f>IFERROR(L15/J15,"")</f>
        <v/>
      </c>
      <c r="N15" s="10" t="n"/>
      <c r="O15" s="18" t="inlineStr">
        <is>
          <t>CARRETA AGRÍCOLA</t>
        </is>
      </c>
      <c r="P15" s="18" t="inlineStr">
        <is>
          <t>CARRETO ADUBO 20000</t>
        </is>
      </c>
      <c r="Q15" s="9" t="n"/>
      <c r="R15" s="9" t="n"/>
      <c r="S15" s="9" t="n"/>
      <c r="T15" s="10" t="n"/>
      <c r="U15" s="10" t="n"/>
      <c r="V15" s="10" t="n"/>
      <c r="W15" s="10" t="n"/>
      <c r="X15" s="10" t="n"/>
      <c r="Y15" s="10" t="n"/>
      <c r="Z15" s="10" t="n"/>
      <c r="AA15" s="10" t="n"/>
      <c r="AB15" s="10" t="n"/>
    </row>
    <row r="16" ht="22.5" customHeight="1" s="297">
      <c r="A16" s="4" t="inlineStr">
        <is>
          <t>MÁQUINAS</t>
        </is>
      </c>
      <c r="B16" s="4" t="inlineStr">
        <is>
          <t>COLHETADEIRA - CASE 2388</t>
        </is>
      </c>
      <c r="C16" s="4" t="inlineStr">
        <is>
          <t>PLATAFORMA CASE 30PES</t>
        </is>
      </c>
      <c r="D16" s="9">
        <f>IFERROR(__xludf.DUMMYFUNCTION("REGEXREPLACE(B16,""TRATOR - |COLHEITADEIRA |PULVERIZADOR |CAMINHAO-"","""")&amp;"" + ""&amp;REGEXREPLACE(C16,""PLANTADEIRA |PLATAFORMA |DISTRIBUIDOR |PULVERIZADOR "", """")"),"COLHETADEIRA - CASE 2388 + CASE 30PES")</f>
        <v/>
      </c>
      <c r="E16" s="9">
        <f>VLOOKUP(C16,'CUSTO OPERAÇÃO'!$P$1:$S$125,3,0)</f>
        <v/>
      </c>
      <c r="F16" s="9">
        <f>VLOOKUP(C16,'CUSTO OPERAÇÃO'!$P$1:$S$125,4,0)</f>
        <v/>
      </c>
      <c r="G16" s="9" t="n">
        <v>85</v>
      </c>
      <c r="H16" s="9">
        <f>(E16*F16*(G16/100))/10</f>
        <v/>
      </c>
      <c r="I16" s="13">
        <f>VLOOKUP(B16,'CUSTO OPERAÇÃO'!$P$1:$Q$125,2,0)</f>
        <v/>
      </c>
      <c r="J16" s="15">
        <f>1/H16</f>
        <v/>
      </c>
      <c r="K16" s="16">
        <f>I16/H16</f>
        <v/>
      </c>
      <c r="L16" s="17">
        <f>K16*7.5</f>
        <v/>
      </c>
      <c r="M16" s="9">
        <f>IFERROR(L16/J16,"")</f>
        <v/>
      </c>
      <c r="N16" s="10" t="n"/>
      <c r="O16" s="18" t="inlineStr">
        <is>
          <t>CARRETA AGRÍCOLA</t>
        </is>
      </c>
      <c r="P16" s="18" t="inlineStr">
        <is>
          <t>CARRETO ADUBO ESPORA</t>
        </is>
      </c>
      <c r="Q16" s="9" t="n"/>
      <c r="R16" s="9" t="n"/>
      <c r="S16" s="9" t="n"/>
      <c r="T16" s="10" t="n"/>
      <c r="U16" s="10" t="n"/>
      <c r="V16" s="10" t="n"/>
      <c r="W16" s="10" t="n"/>
      <c r="X16" s="10" t="n"/>
      <c r="Y16" s="10" t="n"/>
      <c r="Z16" s="10" t="n"/>
      <c r="AA16" s="10" t="n"/>
      <c r="AB16" s="10" t="n"/>
    </row>
    <row r="17" ht="22.5" customHeight="1" s="297">
      <c r="A17" s="4" t="inlineStr">
        <is>
          <t>MÁQUINAS</t>
        </is>
      </c>
      <c r="B17" s="4" t="inlineStr">
        <is>
          <t>JACTO UNIPORT 2000</t>
        </is>
      </c>
      <c r="C17" s="4" t="inlineStr">
        <is>
          <t>JACTO UNIPORT 2000</t>
        </is>
      </c>
      <c r="D17" s="9">
        <f>IFERROR(__xludf.DUMMYFUNCTION("REGEXREPLACE(B17,""TRATOR - |COLHEITADEIRA |PULVERIZADOR |CAMINHAO-"","""")&amp;"" + ""&amp;REGEXREPLACE(C17,""PLANTADEIRA |PLATAFORMA |DISTRIBUIDOR |PULVERIZADOR "", """")"),"JACTO UNIPORT 2000 + JACTO UNIPORT 2000")</f>
        <v/>
      </c>
      <c r="E17" s="9">
        <f>VLOOKUP(C17,'CUSTO OPERAÇÃO'!$P$1:$S$125,3,0)</f>
        <v/>
      </c>
      <c r="F17" s="9">
        <f>VLOOKUP(C17,'CUSTO OPERAÇÃO'!$P$1:$S$125,4,0)</f>
        <v/>
      </c>
      <c r="G17" s="9" t="n">
        <v>85</v>
      </c>
      <c r="H17" s="9">
        <f>(E17*F17*(G17/100))/10</f>
        <v/>
      </c>
      <c r="I17" s="13">
        <f>VLOOKUP(B17,'CUSTO OPERAÇÃO'!$P$1:$Q$125,2,0)</f>
        <v/>
      </c>
      <c r="J17" s="15">
        <f>1/H17</f>
        <v/>
      </c>
      <c r="K17" s="16">
        <f>I17/H17</f>
        <v/>
      </c>
      <c r="L17" s="17">
        <f>K17*7.5</f>
        <v/>
      </c>
      <c r="M17" s="9">
        <f>IFERROR(L17/J17,"")</f>
        <v/>
      </c>
      <c r="N17" s="10" t="n"/>
      <c r="O17" s="18" t="inlineStr">
        <is>
          <t>CARRETA AGRÍCOLA</t>
        </is>
      </c>
      <c r="P17" s="18" t="inlineStr">
        <is>
          <t>CARRETA PLATAFORMACR7.8</t>
        </is>
      </c>
      <c r="Q17" s="9" t="n"/>
      <c r="R17" s="9" t="n"/>
      <c r="S17" s="9" t="n"/>
      <c r="T17" s="10" t="n"/>
      <c r="U17" s="10" t="n"/>
      <c r="V17" s="10" t="n"/>
      <c r="W17" s="10" t="n"/>
      <c r="X17" s="10" t="n"/>
      <c r="Y17" s="10" t="n"/>
      <c r="Z17" s="10" t="n"/>
      <c r="AA17" s="10" t="n"/>
      <c r="AB17" s="10" t="n"/>
    </row>
    <row r="18" ht="22.5" customHeight="1" s="297">
      <c r="A18" s="4" t="inlineStr">
        <is>
          <t>MÁQUINAS</t>
        </is>
      </c>
      <c r="B18" s="4" t="inlineStr">
        <is>
          <t>TRATOR - NH T7.260</t>
        </is>
      </c>
      <c r="C18" s="4" t="inlineStr">
        <is>
          <t>PLANTADEIRA CASE 2213</t>
        </is>
      </c>
      <c r="D18" s="9">
        <f>IFERROR(__xludf.DUMMYFUNCTION("REGEXREPLACE(B18,""TRATOR - |COLHEITADEIRA |PULVERIZADOR |CAMINHAO-"","""")&amp;"" + ""&amp;REGEXREPLACE(C18,""PLANTADEIRA |PLATAFORMA |DISTRIBUIDOR |PULVERIZADOR "", """")"),"NH T7.260 + CASE 2213")</f>
        <v/>
      </c>
      <c r="E18" s="9">
        <f>VLOOKUP(C18,'CUSTO OPERAÇÃO'!$P$1:$S$125,3,0)</f>
        <v/>
      </c>
      <c r="F18" s="9">
        <f>VLOOKUP(C18,'CUSTO OPERAÇÃO'!$P$1:$S$125,4,0)</f>
        <v/>
      </c>
      <c r="G18" s="9" t="n">
        <v>85</v>
      </c>
      <c r="H18" s="9">
        <f>(E18*F18*(G18/100))/10</f>
        <v/>
      </c>
      <c r="I18" s="13">
        <f>VLOOKUP(B18,'CUSTO OPERAÇÃO'!$P$1:$Q$125,2,0)</f>
        <v/>
      </c>
      <c r="J18" s="15">
        <f>1/H18</f>
        <v/>
      </c>
      <c r="K18" s="16">
        <f>I18/H18</f>
        <v/>
      </c>
      <c r="L18" s="17">
        <f>K18*7.5</f>
        <v/>
      </c>
      <c r="M18" s="9">
        <f>IFERROR(L18/J18,"")</f>
        <v/>
      </c>
      <c r="N18" s="10" t="n"/>
      <c r="O18" s="18" t="inlineStr">
        <is>
          <t>COLHEDORAS</t>
        </is>
      </c>
      <c r="P18" s="18" t="inlineStr">
        <is>
          <t>COLHETADEIRA - NH-CR9060</t>
        </is>
      </c>
      <c r="Q18" s="9" t="n">
        <v>40</v>
      </c>
      <c r="R18" s="9" t="n"/>
      <c r="S18" s="9" t="n"/>
      <c r="T18" s="10" t="n"/>
      <c r="U18" s="10" t="n"/>
      <c r="V18" s="10" t="n"/>
      <c r="W18" s="10" t="n"/>
      <c r="X18" s="10" t="n"/>
      <c r="Y18" s="10" t="n"/>
      <c r="Z18" s="10" t="n"/>
      <c r="AA18" s="10" t="n"/>
      <c r="AB18" s="10" t="n"/>
    </row>
    <row r="19" ht="22.5" customHeight="1" s="297">
      <c r="A19" s="4" t="n"/>
      <c r="B19" s="4" t="n"/>
      <c r="C19" s="4" t="n"/>
      <c r="D19" s="9">
        <f>IFERROR(__xludf.DUMMYFUNCTION("REGEXREPLACE(B19,""TRATOR - |COLHEITADEIRA |PULVERIZADOR |CAMINHAO-"","""")&amp;"" + ""&amp;REGEXREPLACE(C19,""PLANTADEIRA |PLATAFORMA |DISTRIBUIDOR |PULVERIZADOR "", """")")," + ")</f>
        <v/>
      </c>
      <c r="E19" s="9">
        <f>VLOOKUP(C19,'CUSTO OPERAÇÃO'!$P$1:$S$125,3,0)</f>
        <v/>
      </c>
      <c r="F19" s="9">
        <f>VLOOKUP(C19,'CUSTO OPERAÇÃO'!$P$1:$S$125,4,0)</f>
        <v/>
      </c>
      <c r="G19" s="9" t="n">
        <v>85</v>
      </c>
      <c r="H19" s="9">
        <f>(E19*F19*(G19/100))/10</f>
        <v/>
      </c>
      <c r="I19" s="13">
        <f>VLOOKUP(B19,'CUSTO OPERAÇÃO'!$P$1:$Q$125,2,0)</f>
        <v/>
      </c>
      <c r="J19" s="15">
        <f>1/H19</f>
        <v/>
      </c>
      <c r="K19" s="16">
        <f>I19/H19</f>
        <v/>
      </c>
      <c r="L19" s="17">
        <f>K19*7.5</f>
        <v/>
      </c>
      <c r="M19" s="9">
        <f>IFERROR(L19/J19,"")</f>
        <v/>
      </c>
      <c r="N19" s="10" t="n"/>
      <c r="O19" s="18" t="inlineStr">
        <is>
          <t>COLHEDORAS</t>
        </is>
      </c>
      <c r="P19" s="18" t="inlineStr">
        <is>
          <t>COLHETADEIRA - CASE 2388</t>
        </is>
      </c>
      <c r="Q19" s="9" t="n">
        <v>30</v>
      </c>
      <c r="R19" s="9" t="n"/>
      <c r="S19" s="9" t="n"/>
      <c r="T19" s="10" t="n"/>
      <c r="U19" s="10" t="n"/>
      <c r="V19" s="10" t="n"/>
      <c r="W19" s="10" t="n"/>
      <c r="X19" s="10" t="n"/>
      <c r="Y19" s="10" t="n"/>
      <c r="Z19" s="10" t="n"/>
      <c r="AA19" s="10" t="n"/>
      <c r="AB19" s="10" t="n"/>
    </row>
    <row r="20" ht="22.5" customHeight="1" s="297">
      <c r="A20" s="4" t="n"/>
      <c r="B20" s="4" t="n"/>
      <c r="C20" s="4" t="n"/>
      <c r="D20" s="9">
        <f>IFERROR(__xludf.DUMMYFUNCTION("REGEXREPLACE(B20,""TRATOR - |COLHEITADEIRA |PULVERIZADOR |CAMINHAO-"","""")&amp;"" + ""&amp;REGEXREPLACE(C20,""PLANTADEIRA |PLATAFORMA |DISTRIBUIDOR |PULVERIZADOR "", """")")," + ")</f>
        <v/>
      </c>
      <c r="E20" s="9">
        <f>VLOOKUP(C20,'CUSTO OPERAÇÃO'!$P$1:$S$125,3,0)</f>
        <v/>
      </c>
      <c r="F20" s="9">
        <f>VLOOKUP(C20,'CUSTO OPERAÇÃO'!$P$1:$S$125,4,0)</f>
        <v/>
      </c>
      <c r="G20" s="9" t="n">
        <v>85</v>
      </c>
      <c r="H20" s="9">
        <f>(E20*F20*(G20/100))/10</f>
        <v/>
      </c>
      <c r="I20" s="13">
        <f>VLOOKUP(B20,'CUSTO OPERAÇÃO'!$P$1:$Q$125,2,0)</f>
        <v/>
      </c>
      <c r="J20" s="15">
        <f>1/H20</f>
        <v/>
      </c>
      <c r="K20" s="16">
        <f>I20/H20</f>
        <v/>
      </c>
      <c r="L20" s="17">
        <f>K20*7.5</f>
        <v/>
      </c>
      <c r="M20" s="9">
        <f>IFERROR(L20/J20,"")</f>
        <v/>
      </c>
      <c r="N20" s="10" t="n"/>
      <c r="O20" s="18" t="inlineStr">
        <is>
          <t>COLHEDORAS</t>
        </is>
      </c>
      <c r="P20" s="18" t="inlineStr">
        <is>
          <t>COLHEITADEIRA CR 8.90 NEW HOLLAND</t>
        </is>
      </c>
      <c r="Q20" s="9" t="n">
        <v>50</v>
      </c>
      <c r="R20" s="9" t="n"/>
      <c r="S20" s="9" t="n"/>
      <c r="T20" s="10" t="n"/>
      <c r="U20" s="10" t="n"/>
      <c r="V20" s="10" t="n"/>
      <c r="W20" s="10" t="n"/>
      <c r="X20" s="10" t="n"/>
      <c r="Y20" s="10" t="n"/>
      <c r="Z20" s="10" t="n"/>
      <c r="AA20" s="10" t="n"/>
      <c r="AB20" s="10" t="n"/>
    </row>
    <row r="21" ht="22.5" customHeight="1" s="297">
      <c r="A21" s="4" t="n"/>
      <c r="B21" s="4" t="n"/>
      <c r="C21" s="4" t="n"/>
      <c r="D21" s="9">
        <f>IFERROR(__xludf.DUMMYFUNCTION("REGEXREPLACE(B21,""TRATOR - |COLHEITADEIRA |PULVERIZADOR |CAMINHAO-"","""")&amp;"" + ""&amp;REGEXREPLACE(C21,""PLANTADEIRA |PLATAFORMA |DISTRIBUIDOR |PULVERIZADOR "", """")")," + ")</f>
        <v/>
      </c>
      <c r="E21" s="9">
        <f>VLOOKUP(C21,'CUSTO OPERAÇÃO'!$P$1:$S$125,3,0)</f>
        <v/>
      </c>
      <c r="F21" s="9">
        <f>VLOOKUP(C21,'CUSTO OPERAÇÃO'!$P$1:$S$125,4,0)</f>
        <v/>
      </c>
      <c r="G21" s="9" t="n">
        <v>85</v>
      </c>
      <c r="H21" s="9">
        <f>(E21*F21*(G21/100))/10</f>
        <v/>
      </c>
      <c r="I21" s="13">
        <f>VLOOKUP(B21,'CUSTO OPERAÇÃO'!$P$1:$Q$125,2,0)</f>
        <v/>
      </c>
      <c r="J21" s="15">
        <f>1/H21</f>
        <v/>
      </c>
      <c r="K21" s="16">
        <f>I21/H21</f>
        <v/>
      </c>
      <c r="L21" s="17">
        <f>K21*7.5</f>
        <v/>
      </c>
      <c r="M21" s="9">
        <f>IFERROR(L21/J21,"")</f>
        <v/>
      </c>
      <c r="N21" s="10" t="n"/>
      <c r="O21" s="18" t="inlineStr">
        <is>
          <t>COLHEDORAS</t>
        </is>
      </c>
      <c r="P21" s="18" t="inlineStr">
        <is>
          <t>COLHETADEIRA CR7.80</t>
        </is>
      </c>
      <c r="Q21" s="9" t="n">
        <v>40</v>
      </c>
      <c r="R21" s="9" t="n"/>
      <c r="S21" s="9" t="n"/>
      <c r="T21" s="10" t="n"/>
      <c r="U21" s="10" t="n"/>
      <c r="V21" s="10" t="n"/>
      <c r="W21" s="10" t="n"/>
      <c r="X21" s="10" t="n"/>
      <c r="Y21" s="10" t="n"/>
      <c r="Z21" s="10" t="n"/>
      <c r="AA21" s="10" t="n"/>
      <c r="AB21" s="10" t="n"/>
    </row>
    <row r="22" ht="22.5" customHeight="1" s="297">
      <c r="A22" s="4" t="n"/>
      <c r="B22" s="4" t="n"/>
      <c r="C22" s="4" t="n"/>
      <c r="D22" s="9">
        <f>IFERROR(__xludf.DUMMYFUNCTION("REGEXREPLACE(B22,""TRATOR - |COLHEITADEIRA |PULVERIZADOR |CAMINHAO-"","""")&amp;"" + ""&amp;REGEXREPLACE(C22,""PLANTADEIRA |PLATAFORMA |DISTRIBUIDOR |PULVERIZADOR "", """")")," + ")</f>
        <v/>
      </c>
      <c r="E22" s="9">
        <f>VLOOKUP(C22,'CUSTO OPERAÇÃO'!$P$1:$S$125,3,0)</f>
        <v/>
      </c>
      <c r="F22" s="9">
        <f>VLOOKUP(C22,'CUSTO OPERAÇÃO'!$P$1:$S$125,4,0)</f>
        <v/>
      </c>
      <c r="G22" s="9" t="n">
        <v>85</v>
      </c>
      <c r="H22" s="9">
        <f>(E22*F22*(G22/100))/10</f>
        <v/>
      </c>
      <c r="I22" s="13">
        <f>VLOOKUP(B22,'CUSTO OPERAÇÃO'!$P$1:$Q$125,2,0)</f>
        <v/>
      </c>
      <c r="J22" s="15">
        <f>1/H22</f>
        <v/>
      </c>
      <c r="K22" s="16">
        <f>I22/H22</f>
        <v/>
      </c>
      <c r="L22" s="17">
        <f>K22*7.5</f>
        <v/>
      </c>
      <c r="M22" s="9">
        <f>IFERROR(L22/J22,"")</f>
        <v/>
      </c>
      <c r="N22" s="10" t="n"/>
      <c r="O22" s="18" t="inlineStr">
        <is>
          <t>DISTRIBUIDOR FERTILIZANTES</t>
        </is>
      </c>
      <c r="P22" s="18" t="inlineStr">
        <is>
          <t>DISTRIBUIDOR BRUTUS 12000</t>
        </is>
      </c>
      <c r="Q22" s="9" t="n"/>
      <c r="R22" s="9" t="n">
        <v>6</v>
      </c>
      <c r="S22" s="9" t="n">
        <v>6</v>
      </c>
      <c r="T22" s="10" t="n"/>
      <c r="U22" s="10" t="n"/>
      <c r="V22" s="10" t="n"/>
      <c r="W22" s="10" t="n"/>
      <c r="X22" s="10" t="n"/>
      <c r="Y22" s="10" t="n"/>
      <c r="Z22" s="10" t="n"/>
      <c r="AA22" s="10" t="n"/>
      <c r="AB22" s="10" t="n"/>
    </row>
    <row r="23" ht="22.5" customHeight="1" s="297">
      <c r="A23" s="4" t="n"/>
      <c r="B23" s="4" t="n"/>
      <c r="C23" s="4" t="n"/>
      <c r="D23" s="9">
        <f>IFERROR(__xludf.DUMMYFUNCTION("REGEXREPLACE(B23,""TRATOR - |COLHEITADEIRA |PULVERIZADOR |CAMINHAO-"","""")&amp;"" + ""&amp;REGEXREPLACE(C23,""PLANTADEIRA |PLATAFORMA |DISTRIBUIDOR |PULVERIZADOR "", """")")," + ")</f>
        <v/>
      </c>
      <c r="E23" s="9">
        <f>VLOOKUP(C23,'CUSTO OPERAÇÃO'!$P$1:$S$125,3,0)</f>
        <v/>
      </c>
      <c r="F23" s="9">
        <f>VLOOKUP(C23,'CUSTO OPERAÇÃO'!$P$1:$S$125,4,0)</f>
        <v/>
      </c>
      <c r="G23" s="9" t="n">
        <v>85</v>
      </c>
      <c r="H23" s="9">
        <f>(E23*F23*(G23/100))/10</f>
        <v/>
      </c>
      <c r="I23" s="13">
        <f>VLOOKUP(B23,'CUSTO OPERAÇÃO'!$P$1:$Q$125,2,0)</f>
        <v/>
      </c>
      <c r="J23" s="15">
        <f>1/H23</f>
        <v/>
      </c>
      <c r="K23" s="16">
        <f>I23/H23</f>
        <v/>
      </c>
      <c r="L23" s="17">
        <f>K23*7.5</f>
        <v/>
      </c>
      <c r="M23" s="9">
        <f>IFERROR(L23/J23,"")</f>
        <v/>
      </c>
      <c r="N23" s="10" t="n"/>
      <c r="O23" s="18" t="inlineStr">
        <is>
          <t>DISTRIBUIDOR FERTILIZANTES</t>
        </is>
      </c>
      <c r="P23" s="18" t="inlineStr">
        <is>
          <t>DISTRIBUIDOR ADUBADORA HERCULES 10000</t>
        </is>
      </c>
      <c r="Q23" s="9" t="n"/>
      <c r="R23" s="9" t="n">
        <v>30</v>
      </c>
      <c r="S23" s="9" t="n">
        <v>8</v>
      </c>
      <c r="T23" s="10" t="n"/>
      <c r="U23" s="10" t="n"/>
      <c r="V23" s="10" t="n"/>
      <c r="W23" s="10" t="n"/>
      <c r="X23" s="10" t="n"/>
      <c r="Y23" s="10" t="n"/>
      <c r="Z23" s="10" t="n"/>
      <c r="AA23" s="10" t="n"/>
      <c r="AB23" s="10" t="n"/>
    </row>
    <row r="24" ht="22.5" customHeight="1" s="297">
      <c r="A24" s="4" t="n"/>
      <c r="B24" s="4" t="n"/>
      <c r="C24" s="4" t="n"/>
      <c r="D24" s="9">
        <f>IFERROR(__xludf.DUMMYFUNCTION("REGEXREPLACE(B24,""TRATOR - |COLHEITADEIRA |PULVERIZADOR |CAMINHAO-"","""")&amp;"" + ""&amp;REGEXREPLACE(C24,""PLANTADEIRA |PLATAFORMA |DISTRIBUIDOR |PULVERIZADOR "", """")")," + ")</f>
        <v/>
      </c>
      <c r="E24" s="9">
        <f>VLOOKUP(C24,'CUSTO OPERAÇÃO'!$P$1:$S$125,3,0)</f>
        <v/>
      </c>
      <c r="F24" s="9">
        <f>VLOOKUP(C24,'CUSTO OPERAÇÃO'!$P$1:$S$125,4,0)</f>
        <v/>
      </c>
      <c r="G24" s="9" t="n">
        <v>85</v>
      </c>
      <c r="H24" s="9">
        <f>(E24*F24*(G24/100))/10</f>
        <v/>
      </c>
      <c r="I24" s="13">
        <f>VLOOKUP(B24,'CUSTO OPERAÇÃO'!$P$1:$Q$125,2,0)</f>
        <v/>
      </c>
      <c r="J24" s="15">
        <f>1/H24</f>
        <v/>
      </c>
      <c r="K24" s="16">
        <f>I24/H24</f>
        <v/>
      </c>
      <c r="L24" s="17">
        <f>K24*7.5</f>
        <v/>
      </c>
      <c r="M24" s="9">
        <f>IFERROR(L24/J24,"")</f>
        <v/>
      </c>
      <c r="N24" s="10" t="n"/>
      <c r="O24" s="18" t="inlineStr">
        <is>
          <t>DISTRIBUIDOR FERTILIZANTES</t>
        </is>
      </c>
      <c r="P24" s="18" t="inlineStr">
        <is>
          <t>DISTRIBUIDOR JAN 20000</t>
        </is>
      </c>
      <c r="Q24" s="9" t="n"/>
      <c r="R24" s="9" t="n">
        <v>15</v>
      </c>
      <c r="S24" s="9" t="n">
        <v>8</v>
      </c>
      <c r="T24" s="10" t="n"/>
      <c r="U24" s="10" t="n"/>
      <c r="V24" s="10" t="n"/>
      <c r="W24" s="10" t="n"/>
      <c r="X24" s="10" t="n"/>
      <c r="Y24" s="10" t="n"/>
      <c r="Z24" s="10" t="n"/>
      <c r="AA24" s="10" t="n"/>
      <c r="AB24" s="10" t="n"/>
    </row>
    <row r="25" ht="22.5" customHeight="1" s="297">
      <c r="A25" s="4" t="n"/>
      <c r="B25" s="4" t="n"/>
      <c r="C25" s="4" t="n"/>
      <c r="D25" s="9">
        <f>IFERROR(__xludf.DUMMYFUNCTION("REGEXREPLACE(B25,""TRATOR - |COLHEITADEIRA |PULVERIZADOR |CAMINHAO-"","""")&amp;"" + ""&amp;REGEXREPLACE(C25,""PLANTADEIRA |PLATAFORMA |DISTRIBUIDOR |PULVERIZADOR "", """")")," + ")</f>
        <v/>
      </c>
      <c r="E25" s="9">
        <f>VLOOKUP(C25,'CUSTO OPERAÇÃO'!$P$1:$S$125,3,0)</f>
        <v/>
      </c>
      <c r="F25" s="9">
        <f>VLOOKUP(C25,'CUSTO OPERAÇÃO'!$P$1:$S$125,4,0)</f>
        <v/>
      </c>
      <c r="G25" s="9" t="n">
        <v>85</v>
      </c>
      <c r="H25" s="9">
        <f>(E25*F25*(G25/100))/10</f>
        <v/>
      </c>
      <c r="I25" s="13">
        <f>VLOOKUP(B25,'CUSTO OPERAÇÃO'!$P$1:$Q$125,2,0)</f>
        <v/>
      </c>
      <c r="J25" s="15">
        <f>1/H25</f>
        <v/>
      </c>
      <c r="K25" s="16">
        <f>I25/H25</f>
        <v/>
      </c>
      <c r="L25" s="17">
        <f>K25*7.5</f>
        <v/>
      </c>
      <c r="M25" s="9">
        <f>IFERROR(L25/J25,"")</f>
        <v/>
      </c>
      <c r="N25" s="10" t="n"/>
      <c r="O25" s="18" t="inlineStr">
        <is>
          <t>DISTRIBUIDOR FERTILIZANTES</t>
        </is>
      </c>
      <c r="P25" s="18" t="inlineStr">
        <is>
          <t>KAMAQ 6000</t>
        </is>
      </c>
      <c r="Q25" s="9" t="n"/>
      <c r="R25" s="9" t="n">
        <v>7</v>
      </c>
      <c r="S25" s="9" t="n">
        <v>8</v>
      </c>
      <c r="T25" s="10" t="n"/>
      <c r="U25" s="10" t="n"/>
      <c r="V25" s="10" t="n"/>
      <c r="W25" s="10" t="n"/>
      <c r="X25" s="10" t="n"/>
      <c r="Y25" s="10" t="n"/>
      <c r="Z25" s="10" t="n"/>
      <c r="AA25" s="10" t="n"/>
      <c r="AB25" s="10" t="n"/>
    </row>
    <row r="26" ht="22.5" customHeight="1" s="297">
      <c r="A26" s="4" t="n"/>
      <c r="B26" s="4" t="n"/>
      <c r="C26" s="4" t="n"/>
      <c r="D26" s="9">
        <f>IFERROR(__xludf.DUMMYFUNCTION("REGEXREPLACE(B26,""TRATOR - |COLHEITADEIRA |PULVERIZADOR |CAMINHAO-"","""")&amp;"" + ""&amp;REGEXREPLACE(C26,""PLANTADEIRA |PLATAFORMA |DISTRIBUIDOR |PULVERIZADOR "", """")")," + ")</f>
        <v/>
      </c>
      <c r="E26" s="9">
        <f>VLOOKUP(C26,'CUSTO OPERAÇÃO'!$P$1:$S$125,3,0)</f>
        <v/>
      </c>
      <c r="F26" s="9">
        <f>VLOOKUP(C26,'CUSTO OPERAÇÃO'!$P$1:$S$125,4,0)</f>
        <v/>
      </c>
      <c r="G26" s="9" t="n">
        <v>85</v>
      </c>
      <c r="H26" s="9">
        <f>(E26*F26*(G26/100))/10</f>
        <v/>
      </c>
      <c r="I26" s="13">
        <f>VLOOKUP(B26,'CUSTO OPERAÇÃO'!$P$1:$Q$125,2,0)</f>
        <v/>
      </c>
      <c r="J26" s="15">
        <f>1/H26</f>
        <v/>
      </c>
      <c r="K26" s="16">
        <f>I26/H26</f>
        <v/>
      </c>
      <c r="L26" s="17">
        <f>K26*7.5</f>
        <v/>
      </c>
      <c r="M26" s="9">
        <f>IFERROR(L26/J26,"")</f>
        <v/>
      </c>
      <c r="N26" s="10" t="n"/>
      <c r="O26" s="18" t="inlineStr">
        <is>
          <t>EQUIPAMENTOS</t>
        </is>
      </c>
      <c r="P26" s="18" t="inlineStr">
        <is>
          <t>BALANÇA CAR. 120/240T/H</t>
        </is>
      </c>
      <c r="Q26" s="9" t="n"/>
      <c r="R26" s="9" t="n"/>
      <c r="S26" s="9" t="n"/>
      <c r="T26" s="10" t="n"/>
      <c r="U26" s="10" t="n"/>
      <c r="V26" s="10" t="n"/>
      <c r="W26" s="10" t="n"/>
      <c r="X26" s="10" t="n"/>
      <c r="Y26" s="10" t="n"/>
      <c r="Z26" s="10" t="n"/>
      <c r="AA26" s="10" t="n"/>
      <c r="AB26" s="10" t="n"/>
    </row>
    <row r="27" ht="22.5" customHeight="1" s="297">
      <c r="A27" s="4" t="n"/>
      <c r="B27" s="4" t="n"/>
      <c r="C27" s="4" t="n"/>
      <c r="D27" s="9">
        <f>IFERROR(__xludf.DUMMYFUNCTION("REGEXREPLACE(B27,""TRATOR - |COLHEITADEIRA |PULVERIZADOR |CAMINHAO-"","""")&amp;"" + ""&amp;REGEXREPLACE(C27,""PLANTADEIRA |PLATAFORMA |DISTRIBUIDOR |PULVERIZADOR "", """")")," + ")</f>
        <v/>
      </c>
      <c r="E27" s="9">
        <f>VLOOKUP(C27,'CUSTO OPERAÇÃO'!$P$1:$S$125,3,0)</f>
        <v/>
      </c>
      <c r="F27" s="9">
        <f>VLOOKUP(C27,'CUSTO OPERAÇÃO'!$P$1:$S$125,4,0)</f>
        <v/>
      </c>
      <c r="G27" s="9" t="n">
        <v>85</v>
      </c>
      <c r="H27" s="9">
        <f>(E27*F27*(G27/100))/10</f>
        <v/>
      </c>
      <c r="I27" s="13">
        <f>VLOOKUP(B27,'CUSTO OPERAÇÃO'!$P$1:$Q$125,2,0)</f>
        <v/>
      </c>
      <c r="J27" s="15">
        <f>1/H27</f>
        <v/>
      </c>
      <c r="K27" s="16">
        <f>I27/H27</f>
        <v/>
      </c>
      <c r="L27" s="17">
        <f>K27*7.5</f>
        <v/>
      </c>
      <c r="M27" s="9">
        <f>IFERROR(L27/J27,"")</f>
        <v/>
      </c>
      <c r="N27" s="10" t="n"/>
      <c r="O27" s="18" t="inlineStr">
        <is>
          <t>EQUIPAMENTOS</t>
        </is>
      </c>
      <c r="P27" s="18" t="inlineStr">
        <is>
          <t>GUINDASTE HIDRAULICO GRM 14.000</t>
        </is>
      </c>
      <c r="Q27" s="9" t="n"/>
      <c r="R27" s="9" t="n"/>
      <c r="S27" s="9" t="n"/>
      <c r="T27" s="10" t="n"/>
      <c r="U27" s="10" t="n"/>
      <c r="V27" s="10" t="n"/>
      <c r="W27" s="10" t="n"/>
      <c r="X27" s="10" t="n"/>
      <c r="Y27" s="10" t="n"/>
      <c r="Z27" s="10" t="n"/>
      <c r="AA27" s="10" t="n"/>
      <c r="AB27" s="10" t="n"/>
    </row>
    <row r="28" ht="22.5" customHeight="1" s="297">
      <c r="A28" s="4" t="n"/>
      <c r="B28" s="4" t="n"/>
      <c r="C28" s="4" t="n"/>
      <c r="D28" s="9">
        <f>IFERROR(__xludf.DUMMYFUNCTION("REGEXREPLACE(B28,""TRATOR - |COLHEITADEIRA |PULVERIZADOR |CAMINHAO-"","""")&amp;"" + ""&amp;REGEXREPLACE(C28,""PLANTADEIRA |PLATAFORMA |DISTRIBUIDOR |PULVERIZADOR "", """")")," + ")</f>
        <v/>
      </c>
      <c r="E28" s="9">
        <f>VLOOKUP(C28,'CUSTO OPERAÇÃO'!$P$1:$S$125,3,0)</f>
        <v/>
      </c>
      <c r="F28" s="9">
        <f>VLOOKUP(C28,'CUSTO OPERAÇÃO'!$P$1:$S$125,4,0)</f>
        <v/>
      </c>
      <c r="G28" s="9" t="n">
        <v>85</v>
      </c>
      <c r="H28" s="9">
        <f>(E28*F28*(G28/100))/10</f>
        <v/>
      </c>
      <c r="I28" s="13">
        <f>VLOOKUP(B28,'CUSTO OPERAÇÃO'!$P$1:$Q$125,2,0)</f>
        <v/>
      </c>
      <c r="J28" s="15">
        <f>1/H28</f>
        <v/>
      </c>
      <c r="K28" s="16">
        <f>I28/H28</f>
        <v/>
      </c>
      <c r="L28" s="17">
        <f>K28*7.5</f>
        <v/>
      </c>
      <c r="M28" s="9">
        <f>IFERROR(L28/J28,"")</f>
        <v/>
      </c>
      <c r="N28" s="10" t="n"/>
      <c r="O28" s="18" t="inlineStr">
        <is>
          <t>EQUIPAMENTOS</t>
        </is>
      </c>
      <c r="P28" s="18" t="inlineStr">
        <is>
          <t>EQUIPAMENTOS</t>
        </is>
      </c>
      <c r="Q28" s="9" t="n"/>
      <c r="R28" s="9" t="n"/>
      <c r="S28" s="9" t="n"/>
      <c r="T28" s="10" t="n"/>
      <c r="U28" s="10" t="n"/>
      <c r="V28" s="10" t="n"/>
      <c r="W28" s="10" t="n"/>
      <c r="X28" s="10" t="n"/>
      <c r="Y28" s="10" t="n"/>
      <c r="Z28" s="10" t="n"/>
      <c r="AA28" s="10" t="n"/>
      <c r="AB28" s="10" t="n"/>
    </row>
    <row r="29" ht="22.5" customHeight="1" s="297">
      <c r="A29" s="4" t="n"/>
      <c r="B29" s="4" t="n"/>
      <c r="C29" s="4" t="n"/>
      <c r="D29" s="9">
        <f>IFERROR(__xludf.DUMMYFUNCTION("REGEXREPLACE(B29,""TRATOR - |COLHEITADEIRA |PULVERIZADOR |CAMINHAO-"","""")&amp;"" + ""&amp;REGEXREPLACE(C29,""PLANTADEIRA |PLATAFORMA |DISTRIBUIDOR |PULVERIZADOR "", """")")," + ")</f>
        <v/>
      </c>
      <c r="E29" s="9">
        <f>VLOOKUP(C29,'CUSTO OPERAÇÃO'!$P$1:$S$125,3,0)</f>
        <v/>
      </c>
      <c r="F29" s="9">
        <f>VLOOKUP(C29,'CUSTO OPERAÇÃO'!$P$1:$S$125,4,0)</f>
        <v/>
      </c>
      <c r="G29" s="9" t="n">
        <v>85</v>
      </c>
      <c r="H29" s="9">
        <f>(E29*F29*(G29/100))/10</f>
        <v/>
      </c>
      <c r="I29" s="13">
        <f>VLOOKUP(B29,'CUSTO OPERAÇÃO'!$P$1:$Q$125,2,0)</f>
        <v/>
      </c>
      <c r="J29" s="15">
        <f>1/H29</f>
        <v/>
      </c>
      <c r="K29" s="16">
        <f>I29/H29</f>
        <v/>
      </c>
      <c r="L29" s="17">
        <f>K29*7.5</f>
        <v/>
      </c>
      <c r="M29" s="9">
        <f>IFERROR(L29/J29,"")</f>
        <v/>
      </c>
      <c r="N29" s="10" t="n"/>
      <c r="O29" s="18" t="inlineStr">
        <is>
          <t>EQUIPAMENTOS</t>
        </is>
      </c>
      <c r="P29" s="18" t="inlineStr">
        <is>
          <t>HANGAR</t>
        </is>
      </c>
      <c r="Q29" s="9" t="n"/>
      <c r="R29" s="9" t="n"/>
      <c r="S29" s="9" t="n"/>
      <c r="T29" s="10" t="n"/>
      <c r="U29" s="10" t="n"/>
      <c r="V29" s="10" t="n"/>
      <c r="W29" s="10" t="n"/>
      <c r="X29" s="10" t="n"/>
      <c r="Y29" s="10" t="n"/>
      <c r="Z29" s="10" t="n"/>
      <c r="AA29" s="10" t="n"/>
      <c r="AB29" s="10" t="n"/>
    </row>
    <row r="30" ht="22.5" customHeight="1" s="297">
      <c r="A30" s="4" t="n"/>
      <c r="B30" s="4" t="n"/>
      <c r="C30" s="4" t="n"/>
      <c r="D30" s="9">
        <f>IFERROR(__xludf.DUMMYFUNCTION("REGEXREPLACE(B30,""TRATOR - |COLHEITADEIRA |PULVERIZADOR |CAMINHAO-"","""")&amp;"" + ""&amp;REGEXREPLACE(C30,""PLANTADEIRA |PLATAFORMA |DISTRIBUIDOR |PULVERIZADOR "", """")")," + ")</f>
        <v/>
      </c>
      <c r="E30" s="9">
        <f>VLOOKUP(C30,'CUSTO OPERAÇÃO'!$P$1:$S$125,3,0)</f>
        <v/>
      </c>
      <c r="F30" s="9">
        <f>VLOOKUP(C30,'CUSTO OPERAÇÃO'!$P$1:$S$125,4,0)</f>
        <v/>
      </c>
      <c r="G30" s="9" t="n">
        <v>85</v>
      </c>
      <c r="H30" s="9">
        <f>(E30*F30*(G30/100))/10</f>
        <v/>
      </c>
      <c r="I30" s="13">
        <f>VLOOKUP(B30,'CUSTO OPERAÇÃO'!$P$1:$Q$125,2,0)</f>
        <v/>
      </c>
      <c r="J30" s="15">
        <f>1/H30</f>
        <v/>
      </c>
      <c r="K30" s="16">
        <f>I30/H30</f>
        <v/>
      </c>
      <c r="L30" s="17">
        <f>K30*7.5</f>
        <v/>
      </c>
      <c r="M30" s="9">
        <f>IFERROR(L30/J30,"")</f>
        <v/>
      </c>
      <c r="N30" s="10" t="n"/>
      <c r="O30" s="18" t="inlineStr">
        <is>
          <t>EQUIPAMENTOS</t>
        </is>
      </c>
      <c r="P30" s="18" t="inlineStr">
        <is>
          <t>GERADOR GMG 500 KVA</t>
        </is>
      </c>
      <c r="Q30" s="9" t="n"/>
      <c r="R30" s="9" t="n"/>
      <c r="S30" s="9" t="n"/>
      <c r="T30" s="10" t="n"/>
      <c r="U30" s="10" t="n"/>
      <c r="V30" s="10" t="n"/>
      <c r="W30" s="10" t="n"/>
      <c r="X30" s="10" t="n"/>
      <c r="Y30" s="10" t="n"/>
      <c r="Z30" s="10" t="n"/>
      <c r="AA30" s="10" t="n"/>
      <c r="AB30" s="10" t="n"/>
    </row>
    <row r="31" ht="22.5" customHeight="1" s="297">
      <c r="A31" s="10" t="n"/>
      <c r="B31" s="10" t="n"/>
      <c r="C31" s="10" t="n"/>
      <c r="D31" s="10" t="n"/>
      <c r="E31" s="10" t="n"/>
      <c r="F31" s="10" t="n"/>
      <c r="G31" s="10" t="n"/>
      <c r="H31" s="10" t="n"/>
      <c r="I31" s="10" t="n"/>
      <c r="J31" s="10" t="n"/>
      <c r="K31" s="10" t="n"/>
      <c r="L31" s="10" t="n"/>
      <c r="M31" s="10" t="n"/>
      <c r="N31" s="10" t="n"/>
      <c r="O31" s="18" t="inlineStr">
        <is>
          <t>EQUIPAMENTOS</t>
        </is>
      </c>
      <c r="P31" s="18" t="inlineStr">
        <is>
          <t>LARANJA</t>
        </is>
      </c>
      <c r="Q31" s="9" t="n"/>
      <c r="R31" s="9" t="n"/>
      <c r="S31" s="9" t="n"/>
      <c r="T31" s="10" t="n"/>
      <c r="U31" s="10" t="n"/>
      <c r="V31" s="10" t="n"/>
      <c r="W31" s="10" t="n"/>
      <c r="X31" s="10" t="n"/>
      <c r="Y31" s="10" t="n"/>
      <c r="Z31" s="10" t="n"/>
      <c r="AA31" s="10" t="n"/>
      <c r="AB31" s="10" t="n"/>
    </row>
    <row r="32" ht="22.5" customHeight="1" s="297">
      <c r="A32" s="10" t="n"/>
      <c r="B32" s="10" t="n"/>
      <c r="C32" s="10" t="n"/>
      <c r="D32" s="10" t="n"/>
      <c r="E32" s="10" t="n"/>
      <c r="F32" s="10" t="n"/>
      <c r="G32" s="10" t="n"/>
      <c r="H32" s="10" t="n"/>
      <c r="I32" s="10" t="n"/>
      <c r="J32" s="10" t="n"/>
      <c r="K32" s="10" t="n"/>
      <c r="L32" s="10" t="n"/>
      <c r="M32" s="10" t="n"/>
      <c r="N32" s="10" t="n"/>
      <c r="O32" s="18" t="inlineStr">
        <is>
          <t>EQUIPAMENTOS</t>
        </is>
      </c>
      <c r="P32" s="18" t="inlineStr">
        <is>
          <t>IRRIGAÇÃO LARANJA</t>
        </is>
      </c>
      <c r="Q32" s="9" t="n"/>
      <c r="R32" s="9" t="n"/>
      <c r="S32" s="9" t="n"/>
      <c r="T32" s="10" t="n"/>
      <c r="U32" s="10" t="n"/>
      <c r="V32" s="10" t="n"/>
      <c r="W32" s="10" t="n"/>
      <c r="X32" s="10" t="n"/>
      <c r="Y32" s="10" t="n"/>
      <c r="Z32" s="10" t="n"/>
      <c r="AA32" s="10" t="n"/>
      <c r="AB32" s="10" t="n"/>
    </row>
    <row r="33" ht="22.5" customHeight="1" s="297">
      <c r="A33" s="10" t="n"/>
      <c r="B33" s="10" t="n"/>
      <c r="C33" s="10" t="n"/>
      <c r="D33" s="10" t="n"/>
      <c r="E33" s="10" t="n"/>
      <c r="F33" s="10" t="n"/>
      <c r="G33" s="10" t="n"/>
      <c r="H33" s="10" t="n"/>
      <c r="I33" s="10" t="n"/>
      <c r="J33" s="10" t="n"/>
      <c r="K33" s="10" t="n"/>
      <c r="L33" s="10" t="n"/>
      <c r="M33" s="10" t="n"/>
      <c r="N33" s="10" t="n"/>
      <c r="O33" s="18" t="inlineStr">
        <is>
          <t>EQUIPAMENTOS</t>
        </is>
      </c>
      <c r="P33" s="18" t="inlineStr">
        <is>
          <t>BALANÇA DE FLUXO</t>
        </is>
      </c>
      <c r="Q33" s="9" t="n"/>
      <c r="R33" s="9" t="n"/>
      <c r="S33" s="9" t="n"/>
      <c r="T33" s="10" t="n"/>
      <c r="U33" s="10" t="n"/>
      <c r="V33" s="10" t="n"/>
      <c r="W33" s="10" t="n"/>
      <c r="X33" s="10" t="n"/>
      <c r="Y33" s="10" t="n"/>
      <c r="Z33" s="10" t="n"/>
      <c r="AA33" s="10" t="n"/>
      <c r="AB33" s="10" t="n"/>
    </row>
    <row r="34" ht="22.5" customHeight="1" s="297">
      <c r="A34" s="10" t="n"/>
      <c r="B34" s="10" t="n"/>
      <c r="C34" s="10" t="n"/>
      <c r="D34" s="10" t="n"/>
      <c r="E34" s="10" t="n"/>
      <c r="F34" s="10" t="n"/>
      <c r="G34" s="10" t="n"/>
      <c r="H34" s="10" t="n"/>
      <c r="I34" s="10" t="n"/>
      <c r="J34" s="10" t="n"/>
      <c r="K34" s="10" t="n"/>
      <c r="L34" s="10" t="n"/>
      <c r="M34" s="10" t="n"/>
      <c r="N34" s="10" t="n"/>
      <c r="O34" s="18" t="inlineStr">
        <is>
          <t>EQUIPAMENTOS</t>
        </is>
      </c>
      <c r="P34" s="18" t="inlineStr">
        <is>
          <t>LÂMINA TRASEIRA STARA 5000</t>
        </is>
      </c>
      <c r="Q34" s="9" t="n"/>
      <c r="R34" s="9" t="n"/>
      <c r="S34" s="9" t="n"/>
      <c r="T34" s="10" t="n"/>
      <c r="U34" s="10" t="n"/>
      <c r="V34" s="10" t="n"/>
      <c r="W34" s="10" t="n"/>
      <c r="X34" s="10" t="n"/>
      <c r="Y34" s="10" t="n"/>
      <c r="Z34" s="10" t="n"/>
      <c r="AA34" s="10" t="n"/>
      <c r="AB34" s="10" t="n"/>
    </row>
    <row r="35" ht="22.5" customHeight="1" s="297">
      <c r="A35" s="10" t="n"/>
      <c r="B35" s="10" t="n"/>
      <c r="C35" s="10" t="n"/>
      <c r="D35" s="10" t="n"/>
      <c r="E35" s="10" t="n"/>
      <c r="F35" s="10" t="n"/>
      <c r="G35" s="10" t="n"/>
      <c r="H35" s="10" t="n"/>
      <c r="I35" s="10" t="n"/>
      <c r="J35" s="10" t="n"/>
      <c r="K35" s="10" t="n"/>
      <c r="L35" s="10" t="n"/>
      <c r="M35" s="10" t="n"/>
      <c r="N35" s="10" t="n"/>
      <c r="O35" s="18" t="inlineStr">
        <is>
          <t>EQUIPAMENTOS</t>
        </is>
      </c>
      <c r="P35" s="18" t="inlineStr">
        <is>
          <t>MIAC DOBLE IV</t>
        </is>
      </c>
      <c r="Q35" s="9" t="n"/>
      <c r="R35" s="9" t="n"/>
      <c r="S35" s="9" t="n"/>
      <c r="T35" s="10" t="n"/>
      <c r="U35" s="10" t="n"/>
      <c r="V35" s="10" t="n"/>
      <c r="W35" s="10" t="n"/>
      <c r="X35" s="10" t="n"/>
      <c r="Y35" s="10" t="n"/>
      <c r="Z35" s="10" t="n"/>
      <c r="AA35" s="10" t="n"/>
      <c r="AB35" s="10" t="n"/>
    </row>
    <row r="36" ht="22.5" customHeight="1" s="297">
      <c r="A36" s="10" t="n"/>
      <c r="B36" s="10" t="n"/>
      <c r="C36" s="10" t="n"/>
      <c r="D36" s="10" t="n"/>
      <c r="E36" s="10" t="n"/>
      <c r="F36" s="10" t="n"/>
      <c r="G36" s="10" t="n"/>
      <c r="H36" s="10" t="n"/>
      <c r="I36" s="10" t="n"/>
      <c r="J36" s="10" t="n"/>
      <c r="K36" s="10" t="n"/>
      <c r="L36" s="10" t="n"/>
      <c r="M36" s="10" t="n"/>
      <c r="N36" s="10" t="n"/>
      <c r="O36" s="18" t="inlineStr">
        <is>
          <t>EQUIPAMENTOS</t>
        </is>
      </c>
      <c r="P36" s="18" t="inlineStr">
        <is>
          <t>EMBUTIDORA SILO BOLSA - ESPORA</t>
        </is>
      </c>
      <c r="Q36" s="9" t="n"/>
      <c r="R36" s="9" t="n"/>
      <c r="S36" s="9" t="n"/>
      <c r="T36" s="10" t="n"/>
      <c r="U36" s="10" t="n"/>
      <c r="V36" s="10" t="n"/>
      <c r="W36" s="10" t="n"/>
      <c r="X36" s="10" t="n"/>
      <c r="Y36" s="10" t="n"/>
      <c r="Z36" s="10" t="n"/>
      <c r="AA36" s="10" t="n"/>
      <c r="AB36" s="10" t="n"/>
    </row>
    <row r="37" ht="22.5" customHeight="1" s="297">
      <c r="A37" s="10" t="n"/>
      <c r="B37" s="10" t="n"/>
      <c r="C37" s="10" t="n"/>
      <c r="D37" s="10" t="n"/>
      <c r="E37" s="10" t="n"/>
      <c r="F37" s="10" t="n"/>
      <c r="G37" s="10" t="n"/>
      <c r="H37" s="10" t="n"/>
      <c r="I37" s="10" t="n"/>
      <c r="J37" s="10" t="n"/>
      <c r="K37" s="10" t="n"/>
      <c r="L37" s="10" t="n"/>
      <c r="M37" s="10" t="n"/>
      <c r="N37" s="10" t="n"/>
      <c r="O37" s="18" t="inlineStr">
        <is>
          <t>EQUIPAMENTOS</t>
        </is>
      </c>
      <c r="P37" s="18" t="inlineStr">
        <is>
          <t>EXTRATORA SILO BOLSA</t>
        </is>
      </c>
      <c r="Q37" s="9" t="n"/>
      <c r="R37" s="9" t="n"/>
      <c r="S37" s="9" t="n"/>
      <c r="T37" s="10" t="n"/>
      <c r="U37" s="10" t="n"/>
      <c r="V37" s="10" t="n"/>
      <c r="W37" s="10" t="n"/>
      <c r="X37" s="10" t="n"/>
      <c r="Y37" s="10" t="n"/>
      <c r="Z37" s="10" t="n"/>
      <c r="AA37" s="10" t="n"/>
      <c r="AB37" s="10" t="n"/>
    </row>
    <row r="38" ht="22.5" customHeight="1" s="297">
      <c r="A38" s="10" t="n"/>
      <c r="B38" s="10" t="n"/>
      <c r="C38" s="10" t="n"/>
      <c r="D38" s="10" t="n"/>
      <c r="E38" s="10" t="n"/>
      <c r="F38" s="10" t="n"/>
      <c r="G38" s="10" t="n"/>
      <c r="H38" s="10" t="n"/>
      <c r="I38" s="10" t="n"/>
      <c r="J38" s="10" t="n"/>
      <c r="K38" s="10" t="n"/>
      <c r="L38" s="10" t="n"/>
      <c r="M38" s="10" t="n"/>
      <c r="N38" s="10" t="n"/>
      <c r="O38" s="18" t="inlineStr">
        <is>
          <t>EQUIPAMENTOS</t>
        </is>
      </c>
      <c r="P38" s="18" t="inlineStr">
        <is>
          <t>GRUPO GERADOR CAT 130KWA</t>
        </is>
      </c>
      <c r="Q38" s="9" t="n"/>
      <c r="R38" s="9" t="n"/>
      <c r="S38" s="9" t="n"/>
      <c r="T38" s="10" t="n"/>
      <c r="U38" s="10" t="n"/>
      <c r="V38" s="10" t="n"/>
      <c r="W38" s="10" t="n"/>
      <c r="X38" s="10" t="n"/>
      <c r="Y38" s="10" t="n"/>
      <c r="Z38" s="10" t="n"/>
      <c r="AA38" s="10" t="n"/>
      <c r="AB38" s="10" t="n"/>
    </row>
    <row r="39" ht="22.5" customHeight="1" s="297">
      <c r="A39" s="10" t="n"/>
      <c r="B39" s="10" t="n"/>
      <c r="C39" s="10" t="n"/>
      <c r="D39" s="10" t="n"/>
      <c r="E39" s="10" t="n"/>
      <c r="F39" s="10" t="n"/>
      <c r="G39" s="10" t="n"/>
      <c r="H39" s="10" t="n"/>
      <c r="I39" s="10" t="n"/>
      <c r="J39" s="10" t="n"/>
      <c r="K39" s="10" t="n"/>
      <c r="L39" s="10" t="n"/>
      <c r="M39" s="10" t="n"/>
      <c r="N39" s="10" t="n"/>
      <c r="O39" s="18" t="inlineStr">
        <is>
          <t>EQUIPAMENTOS</t>
        </is>
      </c>
      <c r="P39" s="18" t="inlineStr">
        <is>
          <t>GRUPO GERADOR CUMINS 130KWA</t>
        </is>
      </c>
      <c r="Q39" s="9" t="n"/>
      <c r="R39" s="9" t="n"/>
      <c r="S39" s="9" t="n"/>
      <c r="T39" s="10" t="n"/>
      <c r="U39" s="10" t="n"/>
      <c r="V39" s="10" t="n"/>
      <c r="W39" s="10" t="n"/>
      <c r="X39" s="10" t="n"/>
      <c r="Y39" s="10" t="n"/>
      <c r="Z39" s="10" t="n"/>
      <c r="AA39" s="10" t="n"/>
      <c r="AB39" s="10" t="n"/>
    </row>
    <row r="40" ht="22.5" customHeight="1" s="297">
      <c r="A40" s="10" t="n"/>
      <c r="B40" s="10" t="n"/>
      <c r="C40" s="10" t="n"/>
      <c r="D40" s="10" t="n"/>
      <c r="E40" s="10" t="n"/>
      <c r="F40" s="10" t="n"/>
      <c r="G40" s="10" t="n"/>
      <c r="H40" s="10" t="n"/>
      <c r="I40" s="10" t="n"/>
      <c r="J40" s="10" t="n"/>
      <c r="K40" s="10" t="n"/>
      <c r="L40" s="10" t="n"/>
      <c r="M40" s="10" t="n"/>
      <c r="N40" s="10" t="n"/>
      <c r="O40" s="18" t="inlineStr">
        <is>
          <t>EQUIPAMENTOS</t>
        </is>
      </c>
      <c r="P40" s="18" t="inlineStr">
        <is>
          <t>PRÉ-LIMPEZA 40 TON</t>
        </is>
      </c>
      <c r="Q40" s="9" t="n"/>
      <c r="R40" s="9" t="n"/>
      <c r="S40" s="9" t="n"/>
      <c r="T40" s="10" t="n"/>
      <c r="U40" s="10" t="n"/>
      <c r="V40" s="10" t="n"/>
      <c r="W40" s="10" t="n"/>
      <c r="X40" s="10" t="n"/>
      <c r="Y40" s="10" t="n"/>
      <c r="Z40" s="10" t="n"/>
      <c r="AA40" s="10" t="n"/>
      <c r="AB40" s="10" t="n"/>
    </row>
    <row r="41" ht="22.5" customHeight="1" s="297">
      <c r="A41" s="10" t="n"/>
      <c r="B41" s="10" t="n"/>
      <c r="C41" s="10" t="n"/>
      <c r="D41" s="10" t="n"/>
      <c r="E41" s="10" t="n"/>
      <c r="F41" s="10" t="n"/>
      <c r="G41" s="10" t="n"/>
      <c r="H41" s="10" t="n"/>
      <c r="I41" s="10" t="n"/>
      <c r="J41" s="10" t="n"/>
      <c r="K41" s="10" t="n"/>
      <c r="L41" s="10" t="n"/>
      <c r="M41" s="10" t="n"/>
      <c r="N41" s="10" t="n"/>
      <c r="O41" s="18" t="inlineStr">
        <is>
          <t>EQUIPAMENTOS</t>
        </is>
      </c>
      <c r="P41" s="18" t="inlineStr">
        <is>
          <t>PRÉ-LIMPEZA 120TON/H</t>
        </is>
      </c>
      <c r="Q41" s="9" t="n"/>
      <c r="R41" s="9" t="n"/>
      <c r="S41" s="9" t="n"/>
      <c r="T41" s="10" t="n"/>
      <c r="U41" s="10" t="n"/>
      <c r="V41" s="10" t="n"/>
      <c r="W41" s="10" t="n"/>
      <c r="X41" s="10" t="n"/>
      <c r="Y41" s="10" t="n"/>
      <c r="Z41" s="10" t="n"/>
      <c r="AA41" s="10" t="n"/>
      <c r="AB41" s="10" t="n"/>
    </row>
    <row r="42" ht="22.5" customHeight="1" s="297">
      <c r="A42" s="10" t="n"/>
      <c r="B42" s="10" t="n"/>
      <c r="C42" s="10" t="n"/>
      <c r="D42" s="10" t="n"/>
      <c r="E42" s="10" t="n"/>
      <c r="F42" s="10" t="n"/>
      <c r="G42" s="10" t="n"/>
      <c r="H42" s="10" t="n"/>
      <c r="I42" s="10" t="n"/>
      <c r="J42" s="10" t="n"/>
      <c r="K42" s="10" t="n"/>
      <c r="L42" s="10" t="n"/>
      <c r="M42" s="10" t="n"/>
      <c r="N42" s="10" t="n"/>
      <c r="O42" s="18" t="inlineStr">
        <is>
          <t>EQUIPAMENTOS</t>
        </is>
      </c>
      <c r="P42" s="18" t="inlineStr">
        <is>
          <t>SECADOR PALINI 15 TON 01</t>
        </is>
      </c>
      <c r="Q42" s="9" t="n"/>
      <c r="R42" s="9" t="n"/>
      <c r="S42" s="9" t="n"/>
      <c r="T42" s="10" t="n"/>
      <c r="U42" s="10" t="n"/>
      <c r="V42" s="10" t="n"/>
      <c r="W42" s="10" t="n"/>
      <c r="X42" s="10" t="n"/>
      <c r="Y42" s="10" t="n"/>
      <c r="Z42" s="10" t="n"/>
      <c r="AA42" s="10" t="n"/>
      <c r="AB42" s="10" t="n"/>
    </row>
    <row r="43" ht="22.5" customHeight="1" s="297">
      <c r="A43" s="10" t="n"/>
      <c r="B43" s="10" t="n"/>
      <c r="C43" s="10" t="n"/>
      <c r="D43" s="10" t="n"/>
      <c r="E43" s="10" t="n"/>
      <c r="F43" s="10" t="n"/>
      <c r="G43" s="10" t="n"/>
      <c r="H43" s="10" t="n"/>
      <c r="I43" s="10" t="n"/>
      <c r="J43" s="10" t="n"/>
      <c r="K43" s="10" t="n"/>
      <c r="L43" s="10" t="n"/>
      <c r="M43" s="10" t="n"/>
      <c r="N43" s="10" t="n"/>
      <c r="O43" s="18" t="inlineStr">
        <is>
          <t>EQUIPAMENTOS</t>
        </is>
      </c>
      <c r="P43" s="18" t="inlineStr">
        <is>
          <t>SECADOR PALINI 15 TON 02</t>
        </is>
      </c>
      <c r="Q43" s="9" t="n"/>
      <c r="R43" s="9" t="n"/>
      <c r="S43" s="9" t="n"/>
      <c r="T43" s="10" t="n"/>
      <c r="U43" s="10" t="n"/>
      <c r="V43" s="10" t="n"/>
      <c r="W43" s="10" t="n"/>
      <c r="X43" s="10" t="n"/>
      <c r="Y43" s="10" t="n"/>
      <c r="Z43" s="10" t="n"/>
      <c r="AA43" s="10" t="n"/>
      <c r="AB43" s="10" t="n"/>
    </row>
    <row r="44" ht="22.5" customHeight="1" s="297">
      <c r="A44" s="10" t="n"/>
      <c r="B44" s="10" t="n"/>
      <c r="C44" s="10" t="n"/>
      <c r="D44" s="10" t="n"/>
      <c r="E44" s="10" t="n"/>
      <c r="F44" s="10" t="n"/>
      <c r="G44" s="10" t="n"/>
      <c r="H44" s="10" t="n"/>
      <c r="I44" s="10" t="n"/>
      <c r="J44" s="10" t="n"/>
      <c r="K44" s="10" t="n"/>
      <c r="L44" s="10" t="n"/>
      <c r="M44" s="10" t="n"/>
      <c r="N44" s="10" t="n"/>
      <c r="O44" s="18" t="inlineStr">
        <is>
          <t>EQUIPAMENTOS</t>
        </is>
      </c>
      <c r="P44" s="18" t="inlineStr">
        <is>
          <t>MESA DENSIMENTRICA</t>
        </is>
      </c>
      <c r="Q44" s="9" t="n"/>
      <c r="R44" s="9" t="n"/>
      <c r="S44" s="9" t="n"/>
      <c r="T44" s="10" t="n"/>
      <c r="U44" s="10" t="n"/>
      <c r="V44" s="10" t="n"/>
      <c r="W44" s="10" t="n"/>
      <c r="X44" s="10" t="n"/>
      <c r="Y44" s="10" t="n"/>
      <c r="Z44" s="10" t="n"/>
      <c r="AA44" s="10" t="n"/>
      <c r="AB44" s="10" t="n"/>
    </row>
    <row r="45" ht="22.5" customHeight="1" s="297">
      <c r="A45" s="10" t="n"/>
      <c r="B45" s="10" t="n"/>
      <c r="C45" s="10" t="n"/>
      <c r="D45" s="10" t="n"/>
      <c r="E45" s="10" t="n"/>
      <c r="F45" s="10" t="n"/>
      <c r="G45" s="10" t="n"/>
      <c r="H45" s="10" t="n"/>
      <c r="I45" s="10" t="n"/>
      <c r="J45" s="10" t="n"/>
      <c r="K45" s="10" t="n"/>
      <c r="L45" s="10" t="n"/>
      <c r="M45" s="10" t="n"/>
      <c r="N45" s="10" t="n"/>
      <c r="O45" s="18" t="inlineStr">
        <is>
          <t>EQUIPAMENTOS</t>
        </is>
      </c>
      <c r="P45" s="18" t="inlineStr">
        <is>
          <t>CONJUNTO ELEVADOR/TRASPORTADOR GRÃO</t>
        </is>
      </c>
      <c r="Q45" s="9" t="n"/>
      <c r="R45" s="9" t="n"/>
      <c r="S45" s="9" t="n"/>
      <c r="T45" s="10" t="n"/>
      <c r="U45" s="10" t="n"/>
      <c r="V45" s="10" t="n"/>
      <c r="W45" s="10" t="n"/>
      <c r="X45" s="10" t="n"/>
      <c r="Y45" s="10" t="n"/>
      <c r="Z45" s="10" t="n"/>
      <c r="AA45" s="10" t="n"/>
      <c r="AB45" s="10" t="n"/>
    </row>
    <row r="46" ht="22.5" customHeight="1" s="297">
      <c r="A46" s="10" t="n"/>
      <c r="B46" s="10" t="n"/>
      <c r="C46" s="10" t="n"/>
      <c r="D46" s="10" t="n"/>
      <c r="E46" s="10" t="n"/>
      <c r="F46" s="10" t="n"/>
      <c r="G46" s="10" t="n"/>
      <c r="H46" s="10" t="n"/>
      <c r="I46" s="10" t="n"/>
      <c r="J46" s="10" t="n"/>
      <c r="K46" s="10" t="n"/>
      <c r="L46" s="10" t="n"/>
      <c r="M46" s="10" t="n"/>
      <c r="N46" s="10" t="n"/>
      <c r="O46" s="18" t="inlineStr">
        <is>
          <t>EQUIPAMENTOS</t>
        </is>
      </c>
      <c r="P46" s="18" t="inlineStr">
        <is>
          <t>CONJUNTO ELEVADOR ESPORA</t>
        </is>
      </c>
      <c r="Q46" s="9" t="n"/>
      <c r="R46" s="9" t="n"/>
      <c r="S46" s="9" t="n"/>
      <c r="T46" s="10" t="n"/>
      <c r="U46" s="10" t="n"/>
      <c r="V46" s="10" t="n"/>
      <c r="W46" s="10" t="n"/>
      <c r="X46" s="10" t="n"/>
      <c r="Y46" s="10" t="n"/>
      <c r="Z46" s="10" t="n"/>
      <c r="AA46" s="10" t="n"/>
      <c r="AB46" s="10" t="n"/>
    </row>
    <row r="47" ht="22.5" customHeight="1" s="297">
      <c r="A47" s="10" t="n"/>
      <c r="B47" s="10" t="n"/>
      <c r="C47" s="10" t="n"/>
      <c r="D47" s="10" t="n"/>
      <c r="E47" s="10" t="n"/>
      <c r="F47" s="10" t="n"/>
      <c r="G47" s="10" t="n"/>
      <c r="H47" s="10" t="n"/>
      <c r="I47" s="10" t="n"/>
      <c r="J47" s="10" t="n"/>
      <c r="K47" s="10" t="n"/>
      <c r="L47" s="10" t="n"/>
      <c r="M47" s="10" t="n"/>
      <c r="N47" s="10" t="n"/>
      <c r="O47" s="18" t="inlineStr">
        <is>
          <t>EQUIPAMENTOS</t>
        </is>
      </c>
      <c r="P47" s="18" t="inlineStr">
        <is>
          <t>MOTO SERRA</t>
        </is>
      </c>
      <c r="Q47" s="9" t="n"/>
      <c r="R47" s="9" t="n"/>
      <c r="S47" s="9" t="n"/>
      <c r="T47" s="10" t="n"/>
      <c r="U47" s="10" t="n"/>
      <c r="V47" s="10" t="n"/>
      <c r="W47" s="10" t="n"/>
      <c r="X47" s="10" t="n"/>
      <c r="Y47" s="10" t="n"/>
      <c r="Z47" s="10" t="n"/>
      <c r="AA47" s="10" t="n"/>
      <c r="AB47" s="10" t="n"/>
    </row>
    <row r="48" ht="22.5" customHeight="1" s="297">
      <c r="A48" s="10" t="n"/>
      <c r="B48" s="10" t="n"/>
      <c r="C48" s="10" t="n"/>
      <c r="D48" s="10" t="n"/>
      <c r="E48" s="10" t="n"/>
      <c r="F48" s="10" t="n"/>
      <c r="G48" s="10" t="n"/>
      <c r="H48" s="10" t="n"/>
      <c r="I48" s="10" t="n"/>
      <c r="J48" s="10" t="n"/>
      <c r="K48" s="10" t="n"/>
      <c r="L48" s="10" t="n"/>
      <c r="M48" s="10" t="n"/>
      <c r="N48" s="10" t="n"/>
      <c r="O48" s="18" t="inlineStr">
        <is>
          <t>EQUIPAMENTOS</t>
        </is>
      </c>
      <c r="P48" s="18" t="inlineStr">
        <is>
          <t>SERRARIA PORTATIL 8012</t>
        </is>
      </c>
      <c r="Q48" s="9" t="n"/>
      <c r="R48" s="9" t="n"/>
      <c r="S48" s="9" t="n"/>
      <c r="T48" s="10" t="n"/>
      <c r="U48" s="10" t="n"/>
      <c r="V48" s="10" t="n"/>
      <c r="W48" s="10" t="n"/>
      <c r="X48" s="10" t="n"/>
      <c r="Y48" s="10" t="n"/>
      <c r="Z48" s="10" t="n"/>
      <c r="AA48" s="10" t="n"/>
      <c r="AB48" s="10" t="n"/>
    </row>
    <row r="49" ht="22.5" customHeight="1" s="297">
      <c r="A49" s="10" t="n"/>
      <c r="B49" s="10" t="n"/>
      <c r="C49" s="10" t="n"/>
      <c r="D49" s="10" t="n"/>
      <c r="E49" s="10" t="n"/>
      <c r="F49" s="10" t="n"/>
      <c r="G49" s="10" t="n"/>
      <c r="H49" s="10" t="n"/>
      <c r="I49" s="10" t="n"/>
      <c r="J49" s="10" t="n"/>
      <c r="K49" s="10" t="n"/>
      <c r="L49" s="10" t="n"/>
      <c r="M49" s="10" t="n"/>
      <c r="N49" s="10" t="n"/>
      <c r="O49" s="18" t="inlineStr">
        <is>
          <t>EQUIPAMENTOS</t>
        </is>
      </c>
      <c r="P49" s="18" t="inlineStr">
        <is>
          <t>EMBUTIDORA SILO BOLSA - AGUA VIVA</t>
        </is>
      </c>
      <c r="Q49" s="9" t="n"/>
      <c r="R49" s="9" t="n"/>
      <c r="S49" s="9" t="n"/>
      <c r="T49" s="10" t="n"/>
      <c r="U49" s="10" t="n"/>
      <c r="V49" s="10" t="n"/>
      <c r="W49" s="10" t="n"/>
      <c r="X49" s="10" t="n"/>
      <c r="Y49" s="10" t="n"/>
      <c r="Z49" s="10" t="n"/>
      <c r="AA49" s="10" t="n"/>
      <c r="AB49" s="10" t="n"/>
    </row>
    <row r="50" ht="22.5" customHeight="1" s="297">
      <c r="A50" s="10" t="n"/>
      <c r="B50" s="10" t="n"/>
      <c r="C50" s="10" t="n"/>
      <c r="D50" s="10" t="n"/>
      <c r="E50" s="10" t="n"/>
      <c r="F50" s="10" t="n"/>
      <c r="G50" s="10" t="n"/>
      <c r="H50" s="10" t="n"/>
      <c r="I50" s="10" t="n"/>
      <c r="J50" s="10" t="n"/>
      <c r="K50" s="10" t="n"/>
      <c r="L50" s="10" t="n"/>
      <c r="M50" s="10" t="n"/>
      <c r="N50" s="10" t="n"/>
      <c r="O50" s="18" t="inlineStr">
        <is>
          <t>IMPLEMENTOS</t>
        </is>
      </c>
      <c r="P50" s="18" t="inlineStr">
        <is>
          <t>GRADE GASPCRC HD 9017</t>
        </is>
      </c>
      <c r="Q50" s="9" t="n"/>
      <c r="R50" s="9" t="n"/>
      <c r="S50" s="9" t="n"/>
      <c r="T50" s="10" t="n"/>
      <c r="U50" s="10" t="n"/>
      <c r="V50" s="10" t="n"/>
      <c r="W50" s="10" t="n"/>
      <c r="X50" s="10" t="n"/>
      <c r="Y50" s="10" t="n"/>
      <c r="Z50" s="10" t="n"/>
      <c r="AA50" s="10" t="n"/>
      <c r="AB50" s="10" t="n"/>
    </row>
    <row r="51" ht="22.5" customHeight="1" s="297">
      <c r="A51" s="10" t="n"/>
      <c r="B51" s="10" t="n"/>
      <c r="C51" s="10" t="n"/>
      <c r="D51" s="10" t="n"/>
      <c r="E51" s="10" t="n"/>
      <c r="F51" s="10" t="n"/>
      <c r="G51" s="10" t="n"/>
      <c r="H51" s="10" t="n"/>
      <c r="I51" s="10" t="n"/>
      <c r="J51" s="10" t="n"/>
      <c r="K51" s="10" t="n"/>
      <c r="L51" s="10" t="n"/>
      <c r="M51" s="10" t="n"/>
      <c r="N51" s="10" t="n"/>
      <c r="O51" s="18" t="inlineStr">
        <is>
          <t>IMPLEMENTOS</t>
        </is>
      </c>
      <c r="P51" s="18" t="inlineStr">
        <is>
          <t>SUBSOLADOR 11 ASTES</t>
        </is>
      </c>
      <c r="Q51" s="9" t="n"/>
      <c r="R51" s="9" t="n">
        <v>5.5</v>
      </c>
      <c r="S51" s="9" t="n">
        <v>6</v>
      </c>
      <c r="T51" s="10" t="n"/>
      <c r="U51" s="10" t="n"/>
      <c r="V51" s="10" t="n"/>
      <c r="W51" s="10" t="n"/>
      <c r="X51" s="10" t="n"/>
      <c r="Y51" s="10" t="n"/>
      <c r="Z51" s="10" t="n"/>
      <c r="AA51" s="10" t="n"/>
      <c r="AB51" s="10" t="n"/>
    </row>
    <row r="52" ht="22.5" customHeight="1" s="297">
      <c r="A52" s="10" t="n"/>
      <c r="B52" s="10" t="n"/>
      <c r="C52" s="10" t="n"/>
      <c r="D52" s="10" t="n"/>
      <c r="E52" s="10" t="n"/>
      <c r="F52" s="10" t="n"/>
      <c r="G52" s="10" t="n"/>
      <c r="H52" s="10" t="n"/>
      <c r="I52" s="10" t="n"/>
      <c r="J52" s="10" t="n"/>
      <c r="K52" s="10" t="n"/>
      <c r="L52" s="10" t="n"/>
      <c r="M52" s="10" t="n"/>
      <c r="N52" s="10" t="n"/>
      <c r="O52" s="18" t="inlineStr">
        <is>
          <t>IMPLEMENTOS</t>
        </is>
      </c>
      <c r="P52" s="18" t="inlineStr">
        <is>
          <t>TRITON JAN 4600</t>
        </is>
      </c>
      <c r="Q52" s="9" t="n"/>
      <c r="R52" s="9" t="n"/>
      <c r="S52" s="9" t="n"/>
      <c r="T52" s="10" t="n"/>
      <c r="U52" s="10" t="n"/>
      <c r="V52" s="10" t="n"/>
      <c r="W52" s="10" t="n"/>
      <c r="X52" s="10" t="n"/>
      <c r="Y52" s="10" t="n"/>
      <c r="Z52" s="10" t="n"/>
      <c r="AA52" s="10" t="n"/>
      <c r="AB52" s="10" t="n"/>
    </row>
    <row r="53" ht="22.5" customHeight="1" s="297">
      <c r="A53" s="10" t="n"/>
      <c r="B53" s="10" t="n"/>
      <c r="C53" s="10" t="n"/>
      <c r="D53" s="10" t="n"/>
      <c r="E53" s="10" t="n"/>
      <c r="F53" s="10" t="n"/>
      <c r="G53" s="10" t="n"/>
      <c r="H53" s="10" t="n"/>
      <c r="I53" s="10" t="n"/>
      <c r="J53" s="10" t="n"/>
      <c r="K53" s="10" t="n"/>
      <c r="L53" s="10" t="n"/>
      <c r="M53" s="10" t="n"/>
      <c r="N53" s="10" t="n"/>
      <c r="O53" s="18" t="inlineStr">
        <is>
          <t>IMPLEMENTOS</t>
        </is>
      </c>
      <c r="P53" s="18" t="inlineStr">
        <is>
          <t>ROÇADEIRA ECOLOGICA</t>
        </is>
      </c>
      <c r="Q53" s="9" t="n"/>
      <c r="R53" s="9" t="n"/>
      <c r="S53" s="9" t="n"/>
      <c r="T53" s="10" t="n"/>
      <c r="U53" s="10" t="n"/>
      <c r="V53" s="10" t="n"/>
      <c r="W53" s="10" t="n"/>
      <c r="X53" s="10" t="n"/>
      <c r="Y53" s="10" t="n"/>
      <c r="Z53" s="10" t="n"/>
      <c r="AA53" s="10" t="n"/>
      <c r="AB53" s="10" t="n"/>
    </row>
    <row r="54" ht="22.5" customHeight="1" s="297">
      <c r="A54" s="10" t="n"/>
      <c r="B54" s="10" t="n"/>
      <c r="C54" s="10" t="n"/>
      <c r="D54" s="10" t="n"/>
      <c r="E54" s="10" t="n"/>
      <c r="F54" s="10" t="n"/>
      <c r="G54" s="10" t="n"/>
      <c r="H54" s="10" t="n"/>
      <c r="I54" s="10" t="n"/>
      <c r="J54" s="10" t="n"/>
      <c r="K54" s="10" t="n"/>
      <c r="L54" s="10" t="n"/>
      <c r="M54" s="10" t="n"/>
      <c r="N54" s="10" t="n"/>
      <c r="O54" s="18" t="inlineStr">
        <is>
          <t>IMPLEMENTOS</t>
        </is>
      </c>
      <c r="P54" s="18" t="inlineStr">
        <is>
          <t>CARRETA GRANELEIRA</t>
        </is>
      </c>
      <c r="Q54" s="9" t="n"/>
      <c r="R54" s="9" t="n"/>
      <c r="S54" s="9" t="n"/>
      <c r="T54" s="10" t="n"/>
      <c r="U54" s="10" t="n"/>
      <c r="V54" s="10" t="n"/>
      <c r="W54" s="10" t="n"/>
      <c r="X54" s="10" t="n"/>
      <c r="Y54" s="10" t="n"/>
      <c r="Z54" s="10" t="n"/>
      <c r="AA54" s="10" t="n"/>
      <c r="AB54" s="10" t="n"/>
    </row>
    <row r="55" ht="22.5" customHeight="1" s="297">
      <c r="A55" s="10" t="n"/>
      <c r="B55" s="10" t="n"/>
      <c r="C55" s="10" t="n"/>
      <c r="D55" s="10" t="n"/>
      <c r="E55" s="10" t="n"/>
      <c r="F55" s="10" t="n"/>
      <c r="G55" s="10" t="n"/>
      <c r="H55" s="10" t="n"/>
      <c r="I55" s="10" t="n"/>
      <c r="J55" s="10" t="n"/>
      <c r="K55" s="10" t="n"/>
      <c r="L55" s="10" t="n"/>
      <c r="M55" s="10" t="n"/>
      <c r="N55" s="10" t="n"/>
      <c r="O55" s="18" t="inlineStr">
        <is>
          <t>IMPLEMENTOS</t>
        </is>
      </c>
      <c r="P55" s="18" t="inlineStr">
        <is>
          <t>GRADE INTERMEDIÁRIA</t>
        </is>
      </c>
      <c r="Q55" s="9" t="n"/>
      <c r="R55" s="9" t="n"/>
      <c r="S55" s="9" t="n"/>
      <c r="T55" s="10" t="n"/>
      <c r="U55" s="10" t="n"/>
      <c r="V55" s="10" t="n"/>
      <c r="W55" s="10" t="n"/>
      <c r="X55" s="10" t="n"/>
      <c r="Y55" s="10" t="n"/>
      <c r="Z55" s="10" t="n"/>
      <c r="AA55" s="10" t="n"/>
      <c r="AB55" s="10" t="n"/>
    </row>
    <row r="56" ht="22.5" customHeight="1" s="297">
      <c r="A56" s="10" t="n"/>
      <c r="B56" s="10" t="n"/>
      <c r="C56" s="10" t="n"/>
      <c r="D56" s="10" t="n"/>
      <c r="E56" s="10" t="n"/>
      <c r="F56" s="10" t="n"/>
      <c r="G56" s="10" t="n"/>
      <c r="H56" s="10" t="n"/>
      <c r="I56" s="10" t="n"/>
      <c r="J56" s="10" t="n"/>
      <c r="K56" s="10" t="n"/>
      <c r="L56" s="10" t="n"/>
      <c r="M56" s="10" t="n"/>
      <c r="N56" s="10" t="n"/>
      <c r="O56" s="18" t="inlineStr">
        <is>
          <t>IMPLEMENTOS</t>
        </is>
      </c>
      <c r="P56" s="18" t="inlineStr">
        <is>
          <t>GRADE NIVELADORA</t>
        </is>
      </c>
      <c r="Q56" s="9" t="n"/>
      <c r="R56" s="9" t="n"/>
      <c r="S56" s="9" t="n"/>
      <c r="T56" s="10" t="n"/>
      <c r="U56" s="10" t="n"/>
      <c r="V56" s="10" t="n"/>
      <c r="W56" s="10" t="n"/>
      <c r="X56" s="10" t="n"/>
      <c r="Y56" s="10" t="n"/>
      <c r="Z56" s="10" t="n"/>
      <c r="AA56" s="10" t="n"/>
      <c r="AB56" s="10" t="n"/>
    </row>
    <row r="57" ht="22.5" customHeight="1" s="297">
      <c r="A57" s="10" t="n"/>
      <c r="B57" s="10" t="n"/>
      <c r="C57" s="10" t="n"/>
      <c r="D57" s="10" t="n"/>
      <c r="E57" s="10" t="n"/>
      <c r="F57" s="10" t="n"/>
      <c r="G57" s="10" t="n"/>
      <c r="H57" s="10" t="n"/>
      <c r="I57" s="10" t="n"/>
      <c r="J57" s="10" t="n"/>
      <c r="K57" s="10" t="n"/>
      <c r="L57" s="10" t="n"/>
      <c r="M57" s="10" t="n"/>
      <c r="N57" s="10" t="n"/>
      <c r="O57" s="18" t="inlineStr">
        <is>
          <t>IMPLEMENTOS</t>
        </is>
      </c>
      <c r="P57" s="18" t="inlineStr">
        <is>
          <t>GRADE PESADA32</t>
        </is>
      </c>
      <c r="Q57" s="9" t="n"/>
      <c r="R57" s="9" t="n"/>
      <c r="S57" s="9" t="n"/>
      <c r="T57" s="10" t="n"/>
      <c r="U57" s="10" t="n"/>
      <c r="V57" s="10" t="n"/>
      <c r="W57" s="10" t="n"/>
      <c r="X57" s="10" t="n"/>
      <c r="Y57" s="10" t="n"/>
      <c r="Z57" s="10" t="n"/>
      <c r="AA57" s="10" t="n"/>
      <c r="AB57" s="10" t="n"/>
    </row>
    <row r="58" ht="22.5" customHeight="1" s="297">
      <c r="A58" s="10" t="n"/>
      <c r="B58" s="10" t="n"/>
      <c r="C58" s="10" t="n"/>
      <c r="D58" s="10" t="n"/>
      <c r="E58" s="10" t="n"/>
      <c r="F58" s="10" t="n"/>
      <c r="G58" s="10" t="n"/>
      <c r="H58" s="10" t="n"/>
      <c r="I58" s="10" t="n"/>
      <c r="J58" s="10" t="n"/>
      <c r="K58" s="10" t="n"/>
      <c r="L58" s="10" t="n"/>
      <c r="M58" s="10" t="n"/>
      <c r="N58" s="10" t="n"/>
      <c r="O58" s="18" t="inlineStr">
        <is>
          <t>IMPLEMENTOS</t>
        </is>
      </c>
      <c r="P58" s="18" t="inlineStr">
        <is>
          <t>GIRASSOL RAIZ</t>
        </is>
      </c>
      <c r="Q58" s="9" t="n"/>
      <c r="R58" s="9" t="n"/>
      <c r="S58" s="9" t="n"/>
      <c r="T58" s="10" t="n"/>
      <c r="U58" s="10" t="n"/>
      <c r="V58" s="10" t="n"/>
      <c r="W58" s="10" t="n"/>
      <c r="X58" s="10" t="n"/>
      <c r="Y58" s="10" t="n"/>
      <c r="Z58" s="10" t="n"/>
      <c r="AA58" s="10" t="n"/>
      <c r="AB58" s="10" t="n"/>
    </row>
    <row r="59" ht="22.5" customHeight="1" s="297">
      <c r="A59" s="10" t="n"/>
      <c r="B59" s="10" t="n"/>
      <c r="C59" s="10" t="n"/>
      <c r="D59" s="10" t="n"/>
      <c r="E59" s="10" t="n"/>
      <c r="F59" s="10" t="n"/>
      <c r="G59" s="10" t="n"/>
      <c r="H59" s="10" t="n"/>
      <c r="I59" s="10" t="n"/>
      <c r="J59" s="10" t="n"/>
      <c r="K59" s="10" t="n"/>
      <c r="L59" s="10" t="n"/>
      <c r="M59" s="10" t="n"/>
      <c r="N59" s="10" t="n"/>
      <c r="O59" s="18" t="inlineStr">
        <is>
          <t>IMPLEMENTOS</t>
        </is>
      </c>
      <c r="P59" s="18" t="inlineStr">
        <is>
          <t>SEMIRREBOQUE FH 540 -1</t>
        </is>
      </c>
      <c r="Q59" s="9" t="n"/>
      <c r="R59" s="9" t="n"/>
      <c r="S59" s="9" t="n"/>
      <c r="T59" s="10" t="n"/>
      <c r="U59" s="10" t="n"/>
      <c r="V59" s="10" t="n"/>
      <c r="W59" s="10" t="n"/>
      <c r="X59" s="10" t="n"/>
      <c r="Y59" s="10" t="n"/>
      <c r="Z59" s="10" t="n"/>
      <c r="AA59" s="10" t="n"/>
      <c r="AB59" s="10" t="n"/>
    </row>
    <row r="60" ht="22.5" customHeight="1" s="297">
      <c r="A60" s="10" t="n"/>
      <c r="B60" s="10" t="n"/>
      <c r="C60" s="10" t="n"/>
      <c r="D60" s="10" t="n"/>
      <c r="E60" s="10" t="n"/>
      <c r="F60" s="10" t="n"/>
      <c r="G60" s="10" t="n"/>
      <c r="H60" s="10" t="n"/>
      <c r="I60" s="10" t="n"/>
      <c r="J60" s="10" t="n"/>
      <c r="K60" s="10" t="n"/>
      <c r="L60" s="10" t="n"/>
      <c r="M60" s="10" t="n"/>
      <c r="N60" s="10" t="n"/>
      <c r="O60" s="18" t="inlineStr">
        <is>
          <t>IMPLEMENTOS</t>
        </is>
      </c>
      <c r="P60" s="18" t="inlineStr">
        <is>
          <t>SEMIRREBOQUE FH 540 -2</t>
        </is>
      </c>
      <c r="Q60" s="9" t="n"/>
      <c r="R60" s="9" t="n"/>
      <c r="S60" s="9" t="n"/>
      <c r="T60" s="10" t="n"/>
      <c r="U60" s="10" t="n"/>
      <c r="V60" s="10" t="n"/>
      <c r="W60" s="10" t="n"/>
      <c r="X60" s="10" t="n"/>
      <c r="Y60" s="10" t="n"/>
      <c r="Z60" s="10" t="n"/>
      <c r="AA60" s="10" t="n"/>
      <c r="AB60" s="10" t="n"/>
    </row>
    <row r="61" ht="22.5" customHeight="1" s="297">
      <c r="A61" s="10" t="n"/>
      <c r="B61" s="10" t="n"/>
      <c r="C61" s="10" t="n"/>
      <c r="D61" s="10" t="n"/>
      <c r="E61" s="10" t="n"/>
      <c r="F61" s="10" t="n"/>
      <c r="G61" s="10" t="n"/>
      <c r="H61" s="10" t="n"/>
      <c r="I61" s="10" t="n"/>
      <c r="J61" s="10" t="n"/>
      <c r="K61" s="10" t="n"/>
      <c r="L61" s="10" t="n"/>
      <c r="M61" s="10" t="n"/>
      <c r="N61" s="10" t="n"/>
      <c r="O61" s="18" t="inlineStr">
        <is>
          <t>IMPLEMENTOS</t>
        </is>
      </c>
      <c r="P61" s="18" t="inlineStr">
        <is>
          <t>DOLLY FH540</t>
        </is>
      </c>
      <c r="Q61" s="9" t="n"/>
      <c r="R61" s="9" t="n"/>
      <c r="S61" s="9" t="n"/>
      <c r="T61" s="10" t="n"/>
      <c r="U61" s="10" t="n"/>
      <c r="V61" s="10" t="n"/>
      <c r="W61" s="10" t="n"/>
      <c r="X61" s="10" t="n"/>
      <c r="Y61" s="10" t="n"/>
      <c r="Z61" s="10" t="n"/>
      <c r="AA61" s="10" t="n"/>
      <c r="AB61" s="10" t="n"/>
    </row>
    <row r="62" ht="22.5" customHeight="1" s="297">
      <c r="A62" s="10" t="n"/>
      <c r="B62" s="10" t="n"/>
      <c r="C62" s="10" t="n"/>
      <c r="D62" s="10" t="n"/>
      <c r="E62" s="10" t="n"/>
      <c r="F62" s="10" t="n"/>
      <c r="G62" s="10" t="n"/>
      <c r="H62" s="10" t="n"/>
      <c r="I62" s="10" t="n"/>
      <c r="J62" s="10" t="n"/>
      <c r="K62" s="10" t="n"/>
      <c r="L62" s="10" t="n"/>
      <c r="M62" s="10" t="n"/>
      <c r="N62" s="10" t="n"/>
      <c r="O62" s="18" t="inlineStr">
        <is>
          <t>IMPLEMENTOS</t>
        </is>
      </c>
      <c r="P62" s="18" t="inlineStr">
        <is>
          <t>ALEIRADOR CONJUNTO DUPLO</t>
        </is>
      </c>
      <c r="Q62" s="9" t="n"/>
      <c r="R62" s="9" t="n"/>
      <c r="S62" s="9" t="n"/>
      <c r="T62" s="10" t="n"/>
      <c r="U62" s="10" t="n"/>
      <c r="V62" s="10" t="n"/>
      <c r="W62" s="10" t="n"/>
      <c r="X62" s="10" t="n"/>
      <c r="Y62" s="10" t="n"/>
      <c r="Z62" s="10" t="n"/>
      <c r="AA62" s="10" t="n"/>
      <c r="AB62" s="10" t="n"/>
    </row>
    <row r="63" ht="22.5" customHeight="1" s="297">
      <c r="A63" s="10" t="n"/>
      <c r="B63" s="10" t="n"/>
      <c r="C63" s="10" t="n"/>
      <c r="D63" s="10" t="n"/>
      <c r="E63" s="10" t="n"/>
      <c r="F63" s="10" t="n"/>
      <c r="G63" s="10" t="n"/>
      <c r="H63" s="10" t="n"/>
      <c r="I63" s="10" t="n"/>
      <c r="J63" s="10" t="n"/>
      <c r="K63" s="10" t="n"/>
      <c r="L63" s="10" t="n"/>
      <c r="M63" s="10" t="n"/>
      <c r="N63" s="10" t="n"/>
      <c r="O63" s="18" t="inlineStr">
        <is>
          <t>IMPLEMENTOS</t>
        </is>
      </c>
      <c r="P63" s="18" t="inlineStr">
        <is>
          <t>CEIFADEIRA CONJUNTO DUPLO</t>
        </is>
      </c>
      <c r="Q63" s="9" t="n"/>
      <c r="R63" s="9" t="n"/>
      <c r="S63" s="9" t="n"/>
      <c r="T63" s="10" t="n"/>
      <c r="U63" s="10" t="n"/>
      <c r="V63" s="10" t="n"/>
      <c r="W63" s="10" t="n"/>
      <c r="X63" s="10" t="n"/>
      <c r="Y63" s="10" t="n"/>
      <c r="Z63" s="10" t="n"/>
      <c r="AA63" s="10" t="n"/>
      <c r="AB63" s="10" t="n"/>
    </row>
    <row r="64" ht="22.5" customHeight="1" s="297">
      <c r="A64" s="10" t="n"/>
      <c r="B64" s="10" t="n"/>
      <c r="C64" s="10" t="n"/>
      <c r="D64" s="10" t="n"/>
      <c r="E64" s="10" t="n"/>
      <c r="F64" s="10" t="n"/>
      <c r="G64" s="10" t="n"/>
      <c r="H64" s="10" t="n"/>
      <c r="I64" s="10" t="n"/>
      <c r="J64" s="10" t="n"/>
      <c r="K64" s="10" t="n"/>
      <c r="L64" s="10" t="n"/>
      <c r="M64" s="10" t="n"/>
      <c r="N64" s="10" t="n"/>
      <c r="O64" s="18" t="inlineStr">
        <is>
          <t>MAQUINAS GERAIS - OFICINA</t>
        </is>
      </c>
      <c r="P64" s="18" t="inlineStr">
        <is>
          <t>MAQUINAS GERAIS</t>
        </is>
      </c>
      <c r="Q64" s="9" t="n"/>
      <c r="R64" s="9" t="n"/>
      <c r="S64" s="9" t="n"/>
      <c r="T64" s="10" t="n"/>
      <c r="U64" s="10" t="n"/>
      <c r="V64" s="10" t="n"/>
      <c r="W64" s="10" t="n"/>
      <c r="X64" s="10" t="n"/>
      <c r="Y64" s="10" t="n"/>
      <c r="Z64" s="10" t="n"/>
      <c r="AA64" s="10" t="n"/>
      <c r="AB64" s="10" t="n"/>
    </row>
    <row r="65" ht="22.5" customHeight="1" s="297">
      <c r="A65" s="10" t="n"/>
      <c r="B65" s="10" t="n"/>
      <c r="C65" s="10" t="n"/>
      <c r="D65" s="10" t="n"/>
      <c r="E65" s="10" t="n"/>
      <c r="F65" s="10" t="n"/>
      <c r="G65" s="10" t="n"/>
      <c r="H65" s="10" t="n"/>
      <c r="I65" s="10" t="n"/>
      <c r="J65" s="10" t="n"/>
      <c r="K65" s="10" t="n"/>
      <c r="L65" s="10" t="n"/>
      <c r="M65" s="10" t="n"/>
      <c r="N65" s="10" t="n"/>
      <c r="O65" s="18" t="inlineStr">
        <is>
          <t>MAQUINAS PESADAS</t>
        </is>
      </c>
      <c r="P65" s="18" t="inlineStr">
        <is>
          <t>PA CARREGADEIRA - LG 835 2 - AGUA VIVA</t>
        </is>
      </c>
      <c r="Q65" s="9" t="n"/>
      <c r="R65" s="9" t="n"/>
      <c r="S65" s="9" t="n"/>
      <c r="T65" s="10" t="n"/>
      <c r="U65" s="10" t="n"/>
      <c r="V65" s="10" t="n"/>
      <c r="W65" s="10" t="n"/>
      <c r="X65" s="10" t="n"/>
      <c r="Y65" s="10" t="n"/>
      <c r="Z65" s="10" t="n"/>
      <c r="AA65" s="10" t="n"/>
      <c r="AB65" s="10" t="n"/>
    </row>
    <row r="66" ht="22.5" customHeight="1" s="297">
      <c r="A66" s="10" t="n"/>
      <c r="B66" s="10" t="n"/>
      <c r="C66" s="10" t="n"/>
      <c r="D66" s="10" t="n"/>
      <c r="E66" s="10" t="n"/>
      <c r="F66" s="10" t="n"/>
      <c r="G66" s="10" t="n"/>
      <c r="H66" s="10" t="n"/>
      <c r="I66" s="10" t="n"/>
      <c r="J66" s="10" t="n"/>
      <c r="K66" s="10" t="n"/>
      <c r="L66" s="10" t="n"/>
      <c r="M66" s="10" t="n"/>
      <c r="N66" s="10" t="n"/>
      <c r="O66" s="18" t="inlineStr">
        <is>
          <t>MAQUINAS PESADAS</t>
        </is>
      </c>
      <c r="P66" s="18" t="inlineStr">
        <is>
          <t>PA CARREGADEIRA - LG 835 1</t>
        </is>
      </c>
      <c r="Q66" s="9" t="n"/>
      <c r="R66" s="9" t="n"/>
      <c r="S66" s="9" t="n"/>
      <c r="T66" s="10" t="n"/>
      <c r="U66" s="10" t="n"/>
      <c r="V66" s="10" t="n"/>
      <c r="W66" s="10" t="n"/>
      <c r="X66" s="10" t="n"/>
      <c r="Y66" s="10" t="n"/>
      <c r="Z66" s="10" t="n"/>
      <c r="AA66" s="10" t="n"/>
      <c r="AB66" s="10" t="n"/>
    </row>
    <row r="67" ht="22.5" customHeight="1" s="297">
      <c r="A67" s="10" t="n"/>
      <c r="B67" s="10" t="n"/>
      <c r="C67" s="10" t="n"/>
      <c r="D67" s="10" t="n"/>
      <c r="E67" s="10" t="n"/>
      <c r="F67" s="10" t="n"/>
      <c r="G67" s="10" t="n"/>
      <c r="H67" s="10" t="n"/>
      <c r="I67" s="10" t="n"/>
      <c r="J67" s="10" t="n"/>
      <c r="K67" s="10" t="n"/>
      <c r="L67" s="10" t="n"/>
      <c r="M67" s="10" t="n"/>
      <c r="N67" s="10" t="n"/>
      <c r="O67" s="18" t="inlineStr">
        <is>
          <t>MAQUINAS PESADAS</t>
        </is>
      </c>
      <c r="P67" s="18" t="inlineStr">
        <is>
          <t>PATROLA</t>
        </is>
      </c>
      <c r="Q67" s="9" t="n"/>
      <c r="R67" s="9" t="n"/>
      <c r="S67" s="9" t="n"/>
      <c r="T67" s="10" t="n"/>
      <c r="U67" s="10" t="n"/>
      <c r="V67" s="10" t="n"/>
      <c r="W67" s="10" t="n"/>
      <c r="X67" s="10" t="n"/>
      <c r="Y67" s="10" t="n"/>
      <c r="Z67" s="10" t="n"/>
      <c r="AA67" s="10" t="n"/>
      <c r="AB67" s="10" t="n"/>
    </row>
    <row r="68" ht="22.5" customHeight="1" s="297">
      <c r="A68" s="10" t="n"/>
      <c r="B68" s="10" t="n"/>
      <c r="C68" s="10" t="n"/>
      <c r="D68" s="10" t="n"/>
      <c r="E68" s="10" t="n"/>
      <c r="F68" s="10" t="n"/>
      <c r="G68" s="10" t="n"/>
      <c r="H68" s="10" t="n"/>
      <c r="I68" s="10" t="n"/>
      <c r="J68" s="10" t="n"/>
      <c r="K68" s="10" t="n"/>
      <c r="L68" s="10" t="n"/>
      <c r="M68" s="10" t="n"/>
      <c r="N68" s="10" t="n"/>
      <c r="O68" s="18" t="inlineStr">
        <is>
          <t>MOTOCICLETAS</t>
        </is>
      </c>
      <c r="P68" s="18" t="inlineStr">
        <is>
          <t>QUADRICICLO</t>
        </is>
      </c>
      <c r="Q68" s="9" t="n"/>
      <c r="R68" s="9" t="n"/>
      <c r="S68" s="9" t="n"/>
      <c r="T68" s="10" t="n"/>
      <c r="U68" s="10" t="n"/>
      <c r="V68" s="10" t="n"/>
      <c r="W68" s="10" t="n"/>
      <c r="X68" s="10" t="n"/>
      <c r="Y68" s="10" t="n"/>
      <c r="Z68" s="10" t="n"/>
      <c r="AA68" s="10" t="n"/>
      <c r="AB68" s="10" t="n"/>
    </row>
    <row r="69" ht="22.5" customHeight="1" s="297">
      <c r="A69" s="10" t="n"/>
      <c r="B69" s="10" t="n"/>
      <c r="C69" s="10" t="n"/>
      <c r="D69" s="10" t="n"/>
      <c r="E69" s="10" t="n"/>
      <c r="F69" s="10" t="n"/>
      <c r="G69" s="10" t="n"/>
      <c r="H69" s="10" t="n"/>
      <c r="I69" s="10" t="n"/>
      <c r="J69" s="10" t="n"/>
      <c r="K69" s="10" t="n"/>
      <c r="L69" s="10" t="n"/>
      <c r="M69" s="10" t="n"/>
      <c r="N69" s="10" t="n"/>
      <c r="O69" s="18" t="inlineStr">
        <is>
          <t>PIVO AGRICOLA</t>
        </is>
      </c>
      <c r="P69" s="18" t="inlineStr">
        <is>
          <t>PIVO CENTRAL</t>
        </is>
      </c>
      <c r="Q69" s="9" t="n"/>
      <c r="R69" s="9" t="n"/>
      <c r="S69" s="9" t="n"/>
      <c r="T69" s="10" t="n"/>
      <c r="U69" s="10" t="n"/>
      <c r="V69" s="10" t="n"/>
      <c r="W69" s="10" t="n"/>
      <c r="X69" s="10" t="n"/>
      <c r="Y69" s="10" t="n"/>
      <c r="Z69" s="10" t="n"/>
      <c r="AA69" s="10" t="n"/>
      <c r="AB69" s="10" t="n"/>
    </row>
    <row r="70" ht="22.5" customHeight="1" s="297">
      <c r="A70" s="10" t="n"/>
      <c r="B70" s="10" t="n"/>
      <c r="C70" s="10" t="n"/>
      <c r="D70" s="10" t="n"/>
      <c r="E70" s="10" t="n"/>
      <c r="F70" s="10" t="n"/>
      <c r="G70" s="10" t="n"/>
      <c r="H70" s="10" t="n"/>
      <c r="I70" s="10" t="n"/>
      <c r="J70" s="10" t="n"/>
      <c r="K70" s="10" t="n"/>
      <c r="L70" s="10" t="n"/>
      <c r="M70" s="10" t="n"/>
      <c r="N70" s="10" t="n"/>
      <c r="O70" s="18" t="inlineStr">
        <is>
          <t>PIVO AGRICOLA</t>
        </is>
      </c>
      <c r="P70" s="18" t="inlineStr">
        <is>
          <t>P01 200</t>
        </is>
      </c>
      <c r="Q70" s="9" t="n"/>
      <c r="R70" s="9" t="n"/>
      <c r="S70" s="9" t="n"/>
      <c r="T70" s="10" t="n"/>
      <c r="U70" s="10" t="n"/>
      <c r="V70" s="10" t="n"/>
      <c r="W70" s="10" t="n"/>
      <c r="X70" s="10" t="n"/>
      <c r="Y70" s="10" t="n"/>
      <c r="Z70" s="10" t="n"/>
      <c r="AA70" s="10" t="n"/>
      <c r="AB70" s="10" t="n"/>
    </row>
    <row r="71" ht="22.5" customHeight="1" s="297">
      <c r="A71" s="10" t="n"/>
      <c r="B71" s="10" t="n"/>
      <c r="C71" s="10" t="n"/>
      <c r="D71" s="10" t="n"/>
      <c r="E71" s="10" t="n"/>
      <c r="F71" s="10" t="n"/>
      <c r="G71" s="10" t="n"/>
      <c r="H71" s="10" t="n"/>
      <c r="I71" s="10" t="n"/>
      <c r="J71" s="10" t="n"/>
      <c r="K71" s="10" t="n"/>
      <c r="L71" s="10" t="n"/>
      <c r="M71" s="10" t="n"/>
      <c r="N71" s="10" t="n"/>
      <c r="O71" s="18" t="inlineStr">
        <is>
          <t>PIVO AGRICOLA</t>
        </is>
      </c>
      <c r="P71" s="18" t="inlineStr">
        <is>
          <t>P02 120</t>
        </is>
      </c>
      <c r="Q71" s="9" t="n"/>
      <c r="R71" s="9" t="n"/>
      <c r="S71" s="9" t="n"/>
      <c r="T71" s="10" t="n"/>
      <c r="U71" s="10" t="n"/>
      <c r="V71" s="10" t="n"/>
      <c r="W71" s="10" t="n"/>
      <c r="X71" s="10" t="n"/>
      <c r="Y71" s="10" t="n"/>
      <c r="Z71" s="10" t="n"/>
      <c r="AA71" s="10" t="n"/>
      <c r="AB71" s="10" t="n"/>
    </row>
    <row r="72" ht="22.5" customHeight="1" s="297">
      <c r="A72" s="10" t="n"/>
      <c r="B72" s="10" t="n"/>
      <c r="C72" s="10" t="n"/>
      <c r="D72" s="10" t="n"/>
      <c r="E72" s="10" t="n"/>
      <c r="F72" s="10" t="n"/>
      <c r="G72" s="10" t="n"/>
      <c r="H72" s="10" t="n"/>
      <c r="I72" s="10" t="n"/>
      <c r="J72" s="10" t="n"/>
      <c r="K72" s="10" t="n"/>
      <c r="L72" s="10" t="n"/>
      <c r="M72" s="10" t="n"/>
      <c r="N72" s="10" t="n"/>
      <c r="O72" s="18" t="inlineStr">
        <is>
          <t>PIVO AGRICOLA</t>
        </is>
      </c>
      <c r="P72" s="18" t="inlineStr">
        <is>
          <t>P01 60</t>
        </is>
      </c>
      <c r="Q72" s="9" t="n"/>
      <c r="R72" s="9" t="n"/>
      <c r="S72" s="9" t="n"/>
      <c r="T72" s="10" t="n"/>
      <c r="U72" s="10" t="n"/>
      <c r="V72" s="10" t="n"/>
      <c r="W72" s="10" t="n"/>
      <c r="X72" s="10" t="n"/>
      <c r="Y72" s="10" t="n"/>
      <c r="Z72" s="10" t="n"/>
      <c r="AA72" s="10" t="n"/>
      <c r="AB72" s="10" t="n"/>
    </row>
    <row r="73" ht="22.5" customHeight="1" s="297">
      <c r="A73" s="10" t="n"/>
      <c r="B73" s="10" t="n"/>
      <c r="C73" s="10" t="n"/>
      <c r="D73" s="10" t="n"/>
      <c r="E73" s="10" t="n"/>
      <c r="F73" s="10" t="n"/>
      <c r="G73" s="10" t="n"/>
      <c r="H73" s="10" t="n"/>
      <c r="I73" s="10" t="n"/>
      <c r="J73" s="10" t="n"/>
      <c r="K73" s="10" t="n"/>
      <c r="L73" s="10" t="n"/>
      <c r="M73" s="10" t="n"/>
      <c r="N73" s="10" t="n"/>
      <c r="O73" s="18" t="inlineStr">
        <is>
          <t>PIVO AGRICOLA</t>
        </is>
      </c>
      <c r="P73" s="18" t="inlineStr">
        <is>
          <t>P02 80</t>
        </is>
      </c>
      <c r="Q73" s="9" t="n"/>
      <c r="R73" s="9" t="n"/>
      <c r="S73" s="9" t="n"/>
      <c r="T73" s="10" t="n"/>
      <c r="U73" s="10" t="n"/>
      <c r="V73" s="10" t="n"/>
      <c r="W73" s="10" t="n"/>
      <c r="X73" s="10" t="n"/>
      <c r="Y73" s="10" t="n"/>
      <c r="Z73" s="10" t="n"/>
      <c r="AA73" s="10" t="n"/>
      <c r="AB73" s="10" t="n"/>
    </row>
    <row r="74" ht="22.5" customHeight="1" s="297">
      <c r="A74" s="10" t="n"/>
      <c r="B74" s="10" t="n"/>
      <c r="C74" s="10" t="n"/>
      <c r="D74" s="10" t="n"/>
      <c r="E74" s="10" t="n"/>
      <c r="F74" s="10" t="n"/>
      <c r="G74" s="10" t="n"/>
      <c r="H74" s="10" t="n"/>
      <c r="I74" s="10" t="n"/>
      <c r="J74" s="10" t="n"/>
      <c r="K74" s="10" t="n"/>
      <c r="L74" s="10" t="n"/>
      <c r="M74" s="10" t="n"/>
      <c r="N74" s="10" t="n"/>
      <c r="O74" s="18" t="inlineStr">
        <is>
          <t>PIVO AGRICOLA</t>
        </is>
      </c>
      <c r="P74" s="18" t="inlineStr">
        <is>
          <t>P03 118</t>
        </is>
      </c>
      <c r="Q74" s="9" t="n"/>
      <c r="R74" s="9" t="n"/>
      <c r="S74" s="9" t="n"/>
      <c r="T74" s="10" t="n"/>
      <c r="U74" s="10" t="n"/>
      <c r="V74" s="10" t="n"/>
      <c r="W74" s="10" t="n"/>
      <c r="X74" s="10" t="n"/>
      <c r="Y74" s="10" t="n"/>
      <c r="Z74" s="10" t="n"/>
      <c r="AA74" s="10" t="n"/>
      <c r="AB74" s="10" t="n"/>
    </row>
    <row r="75" ht="22.5" customHeight="1" s="297">
      <c r="A75" s="10" t="n"/>
      <c r="B75" s="10" t="n"/>
      <c r="C75" s="10" t="n"/>
      <c r="D75" s="10" t="n"/>
      <c r="E75" s="10" t="n"/>
      <c r="F75" s="10" t="n"/>
      <c r="G75" s="10" t="n"/>
      <c r="H75" s="10" t="n"/>
      <c r="I75" s="10" t="n"/>
      <c r="J75" s="10" t="n"/>
      <c r="K75" s="10" t="n"/>
      <c r="L75" s="10" t="n"/>
      <c r="M75" s="10" t="n"/>
      <c r="N75" s="10" t="n"/>
      <c r="O75" s="18" t="inlineStr">
        <is>
          <t>PIVO AGRICOLA</t>
        </is>
      </c>
      <c r="P75" s="18" t="inlineStr">
        <is>
          <t>P04 130</t>
        </is>
      </c>
      <c r="Q75" s="9" t="n"/>
      <c r="R75" s="9" t="n"/>
      <c r="S75" s="9" t="n"/>
      <c r="T75" s="10" t="n"/>
      <c r="U75" s="10" t="n"/>
      <c r="V75" s="10" t="n"/>
      <c r="W75" s="10" t="n"/>
      <c r="X75" s="10" t="n"/>
      <c r="Y75" s="10" t="n"/>
      <c r="Z75" s="10" t="n"/>
      <c r="AA75" s="10" t="n"/>
      <c r="AB75" s="10" t="n"/>
    </row>
    <row r="76" ht="22.5" customHeight="1" s="297">
      <c r="A76" s="10" t="n"/>
      <c r="B76" s="10" t="n"/>
      <c r="C76" s="10" t="n"/>
      <c r="D76" s="10" t="n"/>
      <c r="E76" s="10" t="n"/>
      <c r="F76" s="10" t="n"/>
      <c r="G76" s="10" t="n"/>
      <c r="H76" s="10" t="n"/>
      <c r="I76" s="10" t="n"/>
      <c r="J76" s="10" t="n"/>
      <c r="K76" s="10" t="n"/>
      <c r="L76" s="10" t="n"/>
      <c r="M76" s="10" t="n"/>
      <c r="N76" s="10" t="n"/>
      <c r="O76" s="18" t="inlineStr">
        <is>
          <t>PIVO AGRICOLA</t>
        </is>
      </c>
      <c r="P76" s="18" t="inlineStr">
        <is>
          <t>P05 138</t>
        </is>
      </c>
      <c r="Q76" s="9" t="n"/>
      <c r="R76" s="9" t="n"/>
      <c r="S76" s="9" t="n"/>
      <c r="T76" s="10" t="n"/>
      <c r="U76" s="10" t="n"/>
      <c r="V76" s="10" t="n"/>
      <c r="W76" s="10" t="n"/>
      <c r="X76" s="10" t="n"/>
      <c r="Y76" s="10" t="n"/>
      <c r="Z76" s="10" t="n"/>
      <c r="AA76" s="10" t="n"/>
      <c r="AB76" s="10" t="n"/>
    </row>
    <row r="77" ht="22.5" customHeight="1" s="297">
      <c r="A77" s="10" t="n"/>
      <c r="B77" s="10" t="n"/>
      <c r="C77" s="10" t="n"/>
      <c r="D77" s="10" t="n"/>
      <c r="E77" s="10" t="n"/>
      <c r="F77" s="10" t="n"/>
      <c r="G77" s="10" t="n"/>
      <c r="H77" s="10" t="n"/>
      <c r="I77" s="10" t="n"/>
      <c r="J77" s="10" t="n"/>
      <c r="K77" s="10" t="n"/>
      <c r="L77" s="10" t="n"/>
      <c r="M77" s="10" t="n"/>
      <c r="N77" s="10" t="n"/>
      <c r="O77" s="18" t="inlineStr">
        <is>
          <t>PIVO AGRICOLA</t>
        </is>
      </c>
      <c r="P77" s="18" t="inlineStr">
        <is>
          <t>P06 40</t>
        </is>
      </c>
      <c r="Q77" s="9" t="n"/>
      <c r="R77" s="9" t="n"/>
      <c r="S77" s="9" t="n"/>
      <c r="T77" s="10" t="n"/>
      <c r="U77" s="10" t="n"/>
      <c r="V77" s="10" t="n"/>
      <c r="W77" s="10" t="n"/>
      <c r="X77" s="10" t="n"/>
      <c r="Y77" s="10" t="n"/>
      <c r="Z77" s="10" t="n"/>
      <c r="AA77" s="10" t="n"/>
      <c r="AB77" s="10" t="n"/>
    </row>
    <row r="78" ht="22.5" customHeight="1" s="297">
      <c r="A78" s="10" t="n"/>
      <c r="B78" s="10" t="n"/>
      <c r="C78" s="10" t="n"/>
      <c r="D78" s="10" t="n"/>
      <c r="E78" s="10" t="n"/>
      <c r="F78" s="10" t="n"/>
      <c r="G78" s="10" t="n"/>
      <c r="H78" s="10" t="n"/>
      <c r="I78" s="10" t="n"/>
      <c r="J78" s="10" t="n"/>
      <c r="K78" s="10" t="n"/>
      <c r="L78" s="10" t="n"/>
      <c r="M78" s="10" t="n"/>
      <c r="N78" s="10" t="n"/>
      <c r="O78" s="18" t="inlineStr">
        <is>
          <t>PLATAFORMAS</t>
        </is>
      </c>
      <c r="P78" s="18" t="inlineStr">
        <is>
          <t>PLATAFORMA 740 CF30 AGRIDREPER</t>
        </is>
      </c>
      <c r="Q78" s="9" t="n"/>
      <c r="R78" s="9" t="n">
        <v>9</v>
      </c>
      <c r="S78" s="9" t="n">
        <v>6</v>
      </c>
      <c r="T78" s="10" t="n"/>
      <c r="U78" s="10" t="n"/>
      <c r="V78" s="10" t="n"/>
      <c r="W78" s="10" t="n"/>
      <c r="X78" s="10" t="n"/>
      <c r="Y78" s="10" t="n"/>
      <c r="Z78" s="10" t="n"/>
      <c r="AA78" s="10" t="n"/>
      <c r="AB78" s="10" t="n"/>
    </row>
    <row r="79" ht="22.5" customHeight="1" s="297">
      <c r="A79" s="10" t="n"/>
      <c r="B79" s="10" t="n"/>
      <c r="C79" s="10" t="n"/>
      <c r="D79" s="10" t="n"/>
      <c r="E79" s="10" t="n"/>
      <c r="F79" s="10" t="n"/>
      <c r="G79" s="10" t="n"/>
      <c r="H79" s="10" t="n"/>
      <c r="I79" s="10" t="n"/>
      <c r="J79" s="10" t="n"/>
      <c r="K79" s="10" t="n"/>
      <c r="L79" s="10" t="n"/>
      <c r="M79" s="10" t="n"/>
      <c r="N79" s="10" t="n"/>
      <c r="O79" s="18" t="inlineStr">
        <is>
          <t>PLATAFORMAS</t>
        </is>
      </c>
      <c r="P79" s="18" t="inlineStr">
        <is>
          <t>PLATAFORMA MILHO BRAVA 11</t>
        </is>
      </c>
      <c r="Q79" s="9" t="n"/>
      <c r="R79" s="9" t="n">
        <v>5.5</v>
      </c>
      <c r="S79" s="9" t="n">
        <v>10</v>
      </c>
      <c r="T79" s="10" t="n"/>
      <c r="U79" s="10" t="n"/>
      <c r="V79" s="10" t="n"/>
      <c r="W79" s="10" t="n"/>
      <c r="X79" s="10" t="n"/>
      <c r="Y79" s="10" t="n"/>
      <c r="Z79" s="10" t="n"/>
      <c r="AA79" s="10" t="n"/>
      <c r="AB79" s="10" t="n"/>
    </row>
    <row r="80" ht="22.5" customHeight="1" s="297">
      <c r="A80" s="10" t="n"/>
      <c r="B80" s="10" t="n"/>
      <c r="C80" s="10" t="n"/>
      <c r="D80" s="10" t="n"/>
      <c r="E80" s="10" t="n"/>
      <c r="F80" s="10" t="n"/>
      <c r="G80" s="10" t="n"/>
      <c r="H80" s="10" t="n"/>
      <c r="I80" s="10" t="n"/>
      <c r="J80" s="10" t="n"/>
      <c r="K80" s="10" t="n"/>
      <c r="L80" s="10" t="n"/>
      <c r="M80" s="10" t="n"/>
      <c r="N80" s="10" t="n"/>
      <c r="O80" s="18" t="inlineStr">
        <is>
          <t>PLATAFORMAS</t>
        </is>
      </c>
      <c r="P80" s="18" t="inlineStr">
        <is>
          <t>PLATAFORMA CASE 30PES</t>
        </is>
      </c>
      <c r="Q80" s="9" t="n"/>
      <c r="R80" s="9" t="n">
        <v>9</v>
      </c>
      <c r="S80" s="9" t="n">
        <v>5</v>
      </c>
      <c r="T80" s="10" t="n"/>
      <c r="U80" s="10" t="n"/>
      <c r="V80" s="10" t="n"/>
      <c r="W80" s="10" t="n"/>
      <c r="X80" s="10" t="n"/>
      <c r="Y80" s="10" t="n"/>
      <c r="Z80" s="10" t="n"/>
      <c r="AA80" s="10" t="n"/>
      <c r="AB80" s="10" t="n"/>
    </row>
    <row r="81" ht="22.5" customHeight="1" s="297">
      <c r="A81" s="10" t="n"/>
      <c r="B81" s="10" t="n"/>
      <c r="C81" s="10" t="n"/>
      <c r="D81" s="10" t="n"/>
      <c r="E81" s="10" t="n"/>
      <c r="F81" s="10" t="n"/>
      <c r="G81" s="10" t="n"/>
      <c r="H81" s="10" t="n"/>
      <c r="I81" s="10" t="n"/>
      <c r="J81" s="10" t="n"/>
      <c r="K81" s="10" t="n"/>
      <c r="L81" s="10" t="n"/>
      <c r="M81" s="10" t="n"/>
      <c r="N81" s="10" t="n"/>
      <c r="O81" s="18" t="inlineStr">
        <is>
          <t>PLATAFORMAS</t>
        </is>
      </c>
      <c r="P81" s="18" t="inlineStr">
        <is>
          <t>PLATAFORMA COLHE TUDO</t>
        </is>
      </c>
      <c r="Q81" s="9" t="n"/>
      <c r="R81" s="9" t="n">
        <v>9</v>
      </c>
      <c r="S81" s="9" t="n">
        <v>4</v>
      </c>
      <c r="T81" s="10" t="n"/>
      <c r="U81" s="10" t="n"/>
      <c r="V81" s="10" t="n"/>
      <c r="W81" s="10" t="n"/>
      <c r="X81" s="10" t="n"/>
      <c r="Y81" s="10" t="n"/>
      <c r="Z81" s="10" t="n"/>
      <c r="AA81" s="10" t="n"/>
      <c r="AB81" s="10" t="n"/>
    </row>
    <row r="82" ht="22.5" customHeight="1" s="297">
      <c r="A82" s="10" t="n"/>
      <c r="B82" s="10" t="n"/>
      <c r="C82" s="10" t="n"/>
      <c r="D82" s="10" t="n"/>
      <c r="E82" s="10" t="n"/>
      <c r="F82" s="10" t="n"/>
      <c r="G82" s="10" t="n"/>
      <c r="H82" s="10" t="n"/>
      <c r="I82" s="10" t="n"/>
      <c r="J82" s="10" t="n"/>
      <c r="K82" s="10" t="n"/>
      <c r="L82" s="10" t="n"/>
      <c r="M82" s="10" t="n"/>
      <c r="N82" s="10" t="n"/>
      <c r="O82" s="18" t="inlineStr">
        <is>
          <t>PLATAFORMAS</t>
        </is>
      </c>
      <c r="P82" s="18" t="inlineStr">
        <is>
          <t>PLATAFORMA 880 CF45</t>
        </is>
      </c>
      <c r="Q82" s="9" t="n"/>
      <c r="R82" s="9" t="n">
        <v>13</v>
      </c>
      <c r="S82" s="9" t="n">
        <v>6</v>
      </c>
      <c r="T82" s="10" t="n"/>
      <c r="U82" s="10" t="n"/>
      <c r="V82" s="10" t="n"/>
      <c r="W82" s="10" t="n"/>
      <c r="X82" s="10" t="n"/>
      <c r="Y82" s="10" t="n"/>
      <c r="Z82" s="10" t="n"/>
      <c r="AA82" s="10" t="n"/>
      <c r="AB82" s="10" t="n"/>
    </row>
    <row r="83" ht="22.5" customHeight="1" s="297">
      <c r="A83" s="10" t="n"/>
      <c r="B83" s="10" t="n"/>
      <c r="C83" s="10" t="n"/>
      <c r="D83" s="10" t="n"/>
      <c r="E83" s="10" t="n"/>
      <c r="F83" s="10" t="n"/>
      <c r="G83" s="10" t="n"/>
      <c r="H83" s="10" t="n"/>
      <c r="I83" s="10" t="n"/>
      <c r="J83" s="10" t="n"/>
      <c r="K83" s="10" t="n"/>
      <c r="L83" s="10" t="n"/>
      <c r="M83" s="10" t="n"/>
      <c r="N83" s="10" t="n"/>
      <c r="O83" s="18" t="inlineStr">
        <is>
          <t>PLATAFORMAS</t>
        </is>
      </c>
      <c r="P83" s="18" t="inlineStr">
        <is>
          <t>PLATAFORMA MACDON 35F</t>
        </is>
      </c>
      <c r="Q83" s="9" t="n"/>
      <c r="R83" s="9" t="n">
        <v>9</v>
      </c>
      <c r="S83" s="9" t="n">
        <v>6</v>
      </c>
      <c r="T83" s="10" t="n"/>
      <c r="U83" s="10" t="n"/>
      <c r="V83" s="10" t="n"/>
      <c r="W83" s="10" t="n"/>
      <c r="X83" s="10" t="n"/>
      <c r="Y83" s="10" t="n"/>
      <c r="Z83" s="10" t="n"/>
      <c r="AA83" s="10" t="n"/>
      <c r="AB83" s="10" t="n"/>
    </row>
    <row r="84" ht="22.5" customHeight="1" s="297">
      <c r="A84" s="10" t="n"/>
      <c r="B84" s="10" t="n"/>
      <c r="C84" s="10" t="n"/>
      <c r="D84" s="10" t="n"/>
      <c r="E84" s="10" t="n"/>
      <c r="F84" s="10" t="n"/>
      <c r="G84" s="10" t="n"/>
      <c r="H84" s="10" t="n"/>
      <c r="I84" s="10" t="n"/>
      <c r="J84" s="10" t="n"/>
      <c r="K84" s="10" t="n"/>
      <c r="L84" s="10" t="n"/>
      <c r="M84" s="10" t="n"/>
      <c r="N84" s="10" t="n"/>
      <c r="O84" s="18" t="inlineStr">
        <is>
          <t>PULVERIZADORES</t>
        </is>
      </c>
      <c r="P84" s="18" t="inlineStr">
        <is>
          <t>PULVERIZADOR- JD4730</t>
        </is>
      </c>
      <c r="Q84" s="9" t="n">
        <v>17</v>
      </c>
      <c r="R84" s="9" t="n">
        <v>30</v>
      </c>
      <c r="S84" s="9" t="n">
        <v>20</v>
      </c>
      <c r="T84" s="10" t="n"/>
      <c r="U84" s="10" t="n"/>
      <c r="V84" s="10" t="n"/>
      <c r="W84" s="10" t="n"/>
      <c r="X84" s="10" t="n"/>
      <c r="Y84" s="10" t="n"/>
      <c r="Z84" s="10" t="n"/>
      <c r="AA84" s="10" t="n"/>
      <c r="AB84" s="10" t="n"/>
    </row>
    <row r="85" ht="22.5" customHeight="1" s="297">
      <c r="A85" s="10" t="n"/>
      <c r="B85" s="10" t="n"/>
      <c r="C85" s="10" t="n"/>
      <c r="D85" s="10" t="n"/>
      <c r="E85" s="10" t="n"/>
      <c r="F85" s="10" t="n"/>
      <c r="G85" s="10" t="n"/>
      <c r="H85" s="10" t="n"/>
      <c r="I85" s="10" t="n"/>
      <c r="J85" s="10" t="n"/>
      <c r="K85" s="10" t="n"/>
      <c r="L85" s="10" t="n"/>
      <c r="M85" s="10" t="n"/>
      <c r="N85" s="10" t="n"/>
      <c r="O85" s="18" t="inlineStr">
        <is>
          <t>PULVERIZADORES</t>
        </is>
      </c>
      <c r="P85" s="18" t="inlineStr">
        <is>
          <t>JACTO UNIPORT 2000</t>
        </is>
      </c>
      <c r="Q85" s="9" t="n">
        <v>7</v>
      </c>
      <c r="R85" s="9" t="n">
        <v>24</v>
      </c>
      <c r="S85" s="9" t="n">
        <v>16</v>
      </c>
      <c r="T85" s="10" t="n"/>
      <c r="U85" s="10" t="n"/>
      <c r="V85" s="10" t="n"/>
      <c r="W85" s="10" t="n"/>
      <c r="X85" s="10" t="n"/>
      <c r="Y85" s="10" t="n"/>
      <c r="Z85" s="10" t="n"/>
      <c r="AA85" s="10" t="n"/>
      <c r="AB85" s="10" t="n"/>
    </row>
    <row r="86" ht="22.5" customHeight="1" s="297">
      <c r="A86" s="10" t="n"/>
      <c r="B86" s="10" t="n"/>
      <c r="C86" s="10" t="n"/>
      <c r="D86" s="10" t="n"/>
      <c r="E86" s="10" t="n"/>
      <c r="F86" s="10" t="n"/>
      <c r="G86" s="10" t="n"/>
      <c r="H86" s="10" t="n"/>
      <c r="I86" s="10" t="n"/>
      <c r="J86" s="10" t="n"/>
      <c r="K86" s="10" t="n"/>
      <c r="L86" s="10" t="n"/>
      <c r="M86" s="10" t="n"/>
      <c r="N86" s="10" t="n"/>
      <c r="O86" s="18" t="inlineStr">
        <is>
          <t>PULVERIZADORES</t>
        </is>
      </c>
      <c r="P86" s="18" t="inlineStr">
        <is>
          <t>AVIAO AGRICOLA PAWNEE 260</t>
        </is>
      </c>
      <c r="Q86" s="9" t="n"/>
      <c r="R86" s="9" t="n"/>
      <c r="S86" s="9" t="n"/>
      <c r="T86" s="10" t="n"/>
      <c r="U86" s="10" t="n"/>
      <c r="V86" s="10" t="n"/>
      <c r="W86" s="10" t="n"/>
      <c r="X86" s="10" t="n"/>
      <c r="Y86" s="10" t="n"/>
      <c r="Z86" s="10" t="n"/>
      <c r="AA86" s="10" t="n"/>
      <c r="AB86" s="10" t="n"/>
    </row>
    <row r="87" ht="22.5" customHeight="1" s="297">
      <c r="A87" s="10" t="n"/>
      <c r="B87" s="10" t="n"/>
      <c r="C87" s="10" t="n"/>
      <c r="D87" s="10" t="n"/>
      <c r="E87" s="10" t="n"/>
      <c r="F87" s="10" t="n"/>
      <c r="G87" s="10" t="n"/>
      <c r="H87" s="10" t="n"/>
      <c r="I87" s="10" t="n"/>
      <c r="J87" s="10" t="n"/>
      <c r="K87" s="10" t="n"/>
      <c r="L87" s="10" t="n"/>
      <c r="M87" s="10" t="n"/>
      <c r="N87" s="10" t="n"/>
      <c r="O87" s="18" t="inlineStr">
        <is>
          <t>PULVERIZADORES</t>
        </is>
      </c>
      <c r="P87" s="18" t="inlineStr">
        <is>
          <t>TRATADOR SEMENTE-TREVISAN 1000</t>
        </is>
      </c>
      <c r="Q87" s="9" t="n"/>
      <c r="R87" s="9" t="n"/>
      <c r="S87" s="9" t="n"/>
      <c r="T87" s="10" t="n"/>
      <c r="U87" s="10" t="n"/>
      <c r="V87" s="10" t="n"/>
      <c r="W87" s="10" t="n"/>
      <c r="X87" s="10" t="n"/>
      <c r="Y87" s="10" t="n"/>
      <c r="Z87" s="10" t="n"/>
      <c r="AA87" s="10" t="n"/>
      <c r="AB87" s="10" t="n"/>
    </row>
    <row r="88" ht="22.5" customHeight="1" s="297">
      <c r="A88" s="10" t="n"/>
      <c r="B88" s="10" t="n"/>
      <c r="C88" s="10" t="n"/>
      <c r="D88" s="10" t="n"/>
      <c r="E88" s="10" t="n"/>
      <c r="F88" s="10" t="n"/>
      <c r="G88" s="10" t="n"/>
      <c r="H88" s="10" t="n"/>
      <c r="I88" s="10" t="n"/>
      <c r="J88" s="10" t="n"/>
      <c r="K88" s="10" t="n"/>
      <c r="L88" s="10" t="n"/>
      <c r="M88" s="10" t="n"/>
      <c r="N88" s="10" t="n"/>
      <c r="O88" s="18" t="inlineStr">
        <is>
          <t>PULVERIZADORES</t>
        </is>
      </c>
      <c r="P88" s="18" t="inlineStr">
        <is>
          <t>PULVERIZADOR-JACTO ARBUS 4000</t>
        </is>
      </c>
      <c r="Q88" s="9" t="n"/>
      <c r="R88" s="9" t="n"/>
      <c r="S88" s="9" t="n"/>
      <c r="T88" s="10" t="n"/>
      <c r="U88" s="10" t="n"/>
      <c r="V88" s="10" t="n"/>
      <c r="W88" s="10" t="n"/>
      <c r="X88" s="10" t="n"/>
      <c r="Y88" s="10" t="n"/>
      <c r="Z88" s="10" t="n"/>
      <c r="AA88" s="10" t="n"/>
      <c r="AB88" s="10" t="n"/>
    </row>
    <row r="89" ht="22.5" customHeight="1" s="297">
      <c r="A89" s="10" t="n"/>
      <c r="B89" s="10" t="n"/>
      <c r="C89" s="10" t="n"/>
      <c r="D89" s="10" t="n"/>
      <c r="E89" s="10" t="n"/>
      <c r="F89" s="10" t="n"/>
      <c r="G89" s="10" t="n"/>
      <c r="H89" s="10" t="n"/>
      <c r="I89" s="10" t="n"/>
      <c r="J89" s="10" t="n"/>
      <c r="K89" s="10" t="n"/>
      <c r="L89" s="10" t="n"/>
      <c r="M89" s="10" t="n"/>
      <c r="N89" s="10" t="n"/>
      <c r="O89" s="18" t="inlineStr">
        <is>
          <t>SEMEADORAS</t>
        </is>
      </c>
      <c r="P89" s="18" t="inlineStr">
        <is>
          <t>PLANTADEIRA HORSCH MAESTRO DUO 36.50</t>
        </is>
      </c>
      <c r="Q89" s="9" t="n"/>
      <c r="R89" s="9" t="n">
        <v>18</v>
      </c>
      <c r="S89" s="9" t="n">
        <v>8</v>
      </c>
      <c r="T89" s="10" t="n"/>
      <c r="U89" s="10" t="n"/>
      <c r="V89" s="10" t="n"/>
      <c r="W89" s="10" t="n"/>
      <c r="X89" s="10" t="n"/>
      <c r="Y89" s="10" t="n"/>
      <c r="Z89" s="10" t="n"/>
      <c r="AA89" s="10" t="n"/>
      <c r="AB89" s="10" t="n"/>
    </row>
    <row r="90" ht="22.5" customHeight="1" s="297">
      <c r="A90" s="10" t="n"/>
      <c r="B90" s="10" t="n"/>
      <c r="C90" s="10" t="n"/>
      <c r="D90" s="10" t="n"/>
      <c r="E90" s="10" t="n"/>
      <c r="F90" s="10" t="n"/>
      <c r="G90" s="10" t="n"/>
      <c r="H90" s="10" t="n"/>
      <c r="I90" s="10" t="n"/>
      <c r="J90" s="10" t="n"/>
      <c r="K90" s="10" t="n"/>
      <c r="L90" s="10" t="n"/>
      <c r="M90" s="10" t="n"/>
      <c r="N90" s="10" t="n"/>
      <c r="O90" s="18" t="inlineStr">
        <is>
          <t>SEMEADORAS</t>
        </is>
      </c>
      <c r="P90" s="18" t="inlineStr">
        <is>
          <t>PLANTADEIRA - CASE ASM 1213</t>
        </is>
      </c>
      <c r="Q90" s="9" t="n"/>
      <c r="R90" s="9" t="n">
        <v>13</v>
      </c>
      <c r="S90" s="9" t="n">
        <v>7</v>
      </c>
      <c r="T90" s="10" t="n"/>
      <c r="U90" s="10" t="n"/>
      <c r="V90" s="10" t="n"/>
      <c r="W90" s="10" t="n"/>
      <c r="X90" s="10" t="n"/>
      <c r="Y90" s="10" t="n"/>
      <c r="Z90" s="10" t="n"/>
      <c r="AA90" s="10" t="n"/>
      <c r="AB90" s="10" t="n"/>
    </row>
    <row r="91" ht="22.5" customHeight="1" s="297">
      <c r="A91" s="10" t="n"/>
      <c r="B91" s="10" t="n"/>
      <c r="C91" s="10" t="n"/>
      <c r="D91" s="10" t="n"/>
      <c r="E91" s="10" t="n"/>
      <c r="F91" s="10" t="n"/>
      <c r="G91" s="10" t="n"/>
      <c r="H91" s="10" t="n"/>
      <c r="I91" s="10" t="n"/>
      <c r="J91" s="10" t="n"/>
      <c r="K91" s="10" t="n"/>
      <c r="L91" s="10" t="n"/>
      <c r="M91" s="10" t="n"/>
      <c r="N91" s="10" t="n"/>
      <c r="O91" s="18" t="inlineStr">
        <is>
          <t>SEMEADORAS</t>
        </is>
      </c>
      <c r="P91" s="18" t="inlineStr">
        <is>
          <t>PLANTADEIRA - JD2122</t>
        </is>
      </c>
      <c r="Q91" s="9" t="n"/>
      <c r="R91" s="9" t="n">
        <v>10.5</v>
      </c>
      <c r="S91" s="9" t="n">
        <v>7</v>
      </c>
      <c r="T91" s="10" t="n"/>
      <c r="U91" s="10" t="n"/>
      <c r="V91" s="10" t="n"/>
      <c r="W91" s="10" t="n"/>
      <c r="X91" s="10" t="n"/>
      <c r="Y91" s="10" t="n"/>
      <c r="Z91" s="10" t="n"/>
      <c r="AA91" s="10" t="n"/>
      <c r="AB91" s="10" t="n"/>
    </row>
    <row r="92" ht="22.5" customHeight="1" s="297">
      <c r="A92" s="10" t="n"/>
      <c r="B92" s="10" t="n"/>
      <c r="C92" s="10" t="n"/>
      <c r="D92" s="10" t="n"/>
      <c r="E92" s="10" t="n"/>
      <c r="F92" s="10" t="n"/>
      <c r="G92" s="10" t="n"/>
      <c r="H92" s="10" t="n"/>
      <c r="I92" s="10" t="n"/>
      <c r="J92" s="10" t="n"/>
      <c r="K92" s="10" t="n"/>
      <c r="L92" s="10" t="n"/>
      <c r="M92" s="10" t="n"/>
      <c r="N92" s="10" t="n"/>
      <c r="O92" s="18" t="inlineStr">
        <is>
          <t>SEMEADORAS</t>
        </is>
      </c>
      <c r="P92" s="18" t="inlineStr">
        <is>
          <t>SEMEADORA DE ARRASTO PAMPEANA</t>
        </is>
      </c>
      <c r="Q92" s="9" t="n"/>
      <c r="R92" s="9" t="n">
        <v>4</v>
      </c>
      <c r="S92" s="9" t="n">
        <v>10</v>
      </c>
      <c r="T92" s="10" t="n"/>
      <c r="U92" s="10" t="n"/>
      <c r="V92" s="10" t="n"/>
      <c r="W92" s="10" t="n"/>
      <c r="X92" s="10" t="n"/>
      <c r="Y92" s="10" t="n"/>
      <c r="Z92" s="10" t="n"/>
      <c r="AA92" s="10" t="n"/>
      <c r="AB92" s="10" t="n"/>
    </row>
    <row r="93" ht="22.5" customHeight="1" s="297">
      <c r="A93" s="10" t="n"/>
      <c r="B93" s="10" t="n"/>
      <c r="C93" s="10" t="n"/>
      <c r="D93" s="10" t="n"/>
      <c r="E93" s="10" t="n"/>
      <c r="F93" s="10" t="n"/>
      <c r="G93" s="10" t="n"/>
      <c r="H93" s="10" t="n"/>
      <c r="I93" s="10" t="n"/>
      <c r="J93" s="10" t="n"/>
      <c r="K93" s="10" t="n"/>
      <c r="L93" s="10" t="n"/>
      <c r="M93" s="10" t="n"/>
      <c r="N93" s="10" t="n"/>
      <c r="O93" s="18" t="inlineStr">
        <is>
          <t>SEMEADORAS</t>
        </is>
      </c>
      <c r="P93" s="18" t="inlineStr">
        <is>
          <t>PLANTADEIRA CASE 2213</t>
        </is>
      </c>
      <c r="Q93" s="9" t="n"/>
      <c r="R93" s="9" t="n">
        <v>6.5</v>
      </c>
      <c r="S93" s="9" t="n">
        <v>7</v>
      </c>
      <c r="T93" s="10" t="n"/>
      <c r="U93" s="10" t="n"/>
      <c r="V93" s="10" t="n"/>
      <c r="W93" s="10" t="n"/>
      <c r="X93" s="10" t="n"/>
      <c r="Y93" s="10" t="n"/>
      <c r="Z93" s="10" t="n"/>
      <c r="AA93" s="10" t="n"/>
      <c r="AB93" s="10" t="n"/>
    </row>
    <row r="94" ht="22.5" customHeight="1" s="297">
      <c r="A94" s="10" t="n"/>
      <c r="B94" s="10" t="n"/>
      <c r="C94" s="10" t="n"/>
      <c r="D94" s="10" t="n"/>
      <c r="E94" s="10" t="n"/>
      <c r="F94" s="10" t="n"/>
      <c r="G94" s="10" t="n"/>
      <c r="H94" s="10" t="n"/>
      <c r="I94" s="10" t="n"/>
      <c r="J94" s="10" t="n"/>
      <c r="K94" s="10" t="n"/>
      <c r="L94" s="10" t="n"/>
      <c r="M94" s="10" t="n"/>
      <c r="N94" s="10" t="n"/>
      <c r="O94" s="18" t="inlineStr">
        <is>
          <t>TRATORES</t>
        </is>
      </c>
      <c r="P94" s="18" t="inlineStr">
        <is>
          <t>TRATOR - CASE STEIGER 420</t>
        </is>
      </c>
      <c r="Q94" s="9" t="n">
        <v>60</v>
      </c>
      <c r="R94" s="9" t="n"/>
      <c r="S94" s="9" t="n"/>
      <c r="T94" s="10" t="n"/>
      <c r="U94" s="10" t="n"/>
      <c r="V94" s="10" t="n"/>
      <c r="W94" s="10" t="n"/>
      <c r="X94" s="10" t="n"/>
      <c r="Y94" s="10" t="n"/>
      <c r="Z94" s="10" t="n"/>
      <c r="AA94" s="10" t="n"/>
      <c r="AB94" s="10" t="n"/>
    </row>
    <row r="95" ht="22.5" customHeight="1" s="297">
      <c r="A95" s="10" t="n"/>
      <c r="B95" s="10" t="n"/>
      <c r="C95" s="10" t="n"/>
      <c r="D95" s="10" t="n"/>
      <c r="E95" s="10" t="n"/>
      <c r="F95" s="10" t="n"/>
      <c r="G95" s="10" t="n"/>
      <c r="H95" s="10" t="n"/>
      <c r="I95" s="10" t="n"/>
      <c r="J95" s="10" t="n"/>
      <c r="K95" s="10" t="n"/>
      <c r="L95" s="10" t="n"/>
      <c r="M95" s="10" t="n"/>
      <c r="N95" s="10" t="n"/>
      <c r="O95" s="18" t="inlineStr">
        <is>
          <t>TRATORES</t>
        </is>
      </c>
      <c r="P95" s="18" t="inlineStr">
        <is>
          <t>TRATOR - CASE MAGNUM 340</t>
        </is>
      </c>
      <c r="Q95" s="9" t="n">
        <v>40</v>
      </c>
      <c r="R95" s="9" t="n"/>
      <c r="S95" s="9" t="n"/>
      <c r="T95" s="10" t="n"/>
      <c r="U95" s="10" t="n"/>
      <c r="V95" s="10" t="n"/>
      <c r="W95" s="10" t="n"/>
      <c r="X95" s="10" t="n"/>
      <c r="Y95" s="10" t="n"/>
      <c r="Z95" s="10" t="n"/>
      <c r="AA95" s="10" t="n"/>
      <c r="AB95" s="10" t="n"/>
    </row>
    <row r="96" ht="22.5" customHeight="1" s="297">
      <c r="A96" s="10" t="n"/>
      <c r="B96" s="10" t="n"/>
      <c r="C96" s="10" t="n"/>
      <c r="D96" s="10" t="n"/>
      <c r="E96" s="10" t="n"/>
      <c r="F96" s="10" t="n"/>
      <c r="G96" s="10" t="n"/>
      <c r="H96" s="10" t="n"/>
      <c r="I96" s="10" t="n"/>
      <c r="J96" s="10" t="n"/>
      <c r="K96" s="10" t="n"/>
      <c r="L96" s="10" t="n"/>
      <c r="M96" s="10" t="n"/>
      <c r="N96" s="10" t="n"/>
      <c r="O96" s="18" t="inlineStr">
        <is>
          <t>TRATORES</t>
        </is>
      </c>
      <c r="P96" s="18" t="inlineStr">
        <is>
          <t>EMPILHADEIRA CPCD-25</t>
        </is>
      </c>
      <c r="Q96" s="9" t="n">
        <v>8</v>
      </c>
      <c r="R96" s="9" t="n"/>
      <c r="S96" s="9" t="n"/>
      <c r="T96" s="10" t="n"/>
      <c r="U96" s="10" t="n"/>
      <c r="V96" s="10" t="n"/>
      <c r="W96" s="10" t="n"/>
      <c r="X96" s="10" t="n"/>
      <c r="Y96" s="10" t="n"/>
      <c r="Z96" s="10" t="n"/>
      <c r="AA96" s="10" t="n"/>
      <c r="AB96" s="10" t="n"/>
    </row>
    <row r="97" ht="22.5" customHeight="1" s="297">
      <c r="A97" s="10" t="n"/>
      <c r="B97" s="10" t="n"/>
      <c r="C97" s="10" t="n"/>
      <c r="D97" s="10" t="n"/>
      <c r="E97" s="10" t="n"/>
      <c r="F97" s="10" t="n"/>
      <c r="G97" s="10" t="n"/>
      <c r="H97" s="10" t="n"/>
      <c r="I97" s="10" t="n"/>
      <c r="J97" s="10" t="n"/>
      <c r="K97" s="10" t="n"/>
      <c r="L97" s="10" t="n"/>
      <c r="M97" s="10" t="n"/>
      <c r="N97" s="10" t="n"/>
      <c r="O97" s="18" t="inlineStr">
        <is>
          <t>TRATORES</t>
        </is>
      </c>
      <c r="P97" s="18" t="inlineStr">
        <is>
          <t>TRATOR - NH T7.260</t>
        </is>
      </c>
      <c r="Q97" s="9" t="n">
        <v>25</v>
      </c>
      <c r="R97" s="9" t="n"/>
      <c r="S97" s="9" t="n"/>
      <c r="T97" s="10" t="n"/>
      <c r="U97" s="10" t="n"/>
      <c r="V97" s="10" t="n"/>
      <c r="W97" s="10" t="n"/>
      <c r="X97" s="10" t="n"/>
      <c r="Y97" s="10" t="n"/>
      <c r="Z97" s="10" t="n"/>
      <c r="AA97" s="10" t="n"/>
      <c r="AB97" s="10" t="n"/>
    </row>
    <row r="98" ht="22.5" customHeight="1" s="297">
      <c r="A98" s="10" t="n"/>
      <c r="B98" s="10" t="n"/>
      <c r="C98" s="10" t="n"/>
      <c r="D98" s="10" t="n"/>
      <c r="E98" s="10" t="n"/>
      <c r="F98" s="10" t="n"/>
      <c r="G98" s="10" t="n"/>
      <c r="H98" s="10" t="n"/>
      <c r="I98" s="10" t="n"/>
      <c r="J98" s="10" t="n"/>
      <c r="K98" s="10" t="n"/>
      <c r="L98" s="10" t="n"/>
      <c r="M98" s="10" t="n"/>
      <c r="N98" s="10" t="n"/>
      <c r="O98" s="18" t="inlineStr">
        <is>
          <t>TRATORES</t>
        </is>
      </c>
      <c r="P98" s="18" t="inlineStr">
        <is>
          <t>TRATOR - VALTRA BH 180</t>
        </is>
      </c>
      <c r="Q98" s="9" t="n">
        <v>20</v>
      </c>
      <c r="R98" s="9" t="n"/>
      <c r="S98" s="9" t="n"/>
      <c r="T98" s="10" t="n"/>
      <c r="U98" s="10" t="n"/>
      <c r="V98" s="10" t="n"/>
      <c r="W98" s="10" t="n"/>
      <c r="X98" s="10" t="n"/>
      <c r="Y98" s="10" t="n"/>
      <c r="Z98" s="10" t="n"/>
      <c r="AA98" s="10" t="n"/>
      <c r="AB98" s="10" t="n"/>
    </row>
    <row r="99" ht="22.5" customHeight="1" s="297">
      <c r="A99" s="10" t="n"/>
      <c r="B99" s="10" t="n"/>
      <c r="C99" s="10" t="n"/>
      <c r="D99" s="10" t="n"/>
      <c r="E99" s="10" t="n"/>
      <c r="F99" s="10" t="n"/>
      <c r="G99" s="10" t="n"/>
      <c r="H99" s="10" t="n"/>
      <c r="I99" s="10" t="n"/>
      <c r="J99" s="10" t="n"/>
      <c r="K99" s="10" t="n"/>
      <c r="L99" s="10" t="n"/>
      <c r="M99" s="10" t="n"/>
      <c r="N99" s="10" t="n"/>
      <c r="O99" s="18" t="inlineStr">
        <is>
          <t>TRATORES</t>
        </is>
      </c>
      <c r="P99" s="18" t="inlineStr">
        <is>
          <t>EMPILHADEIRA LG35DT - AGUA VIVA</t>
        </is>
      </c>
      <c r="Q99" s="9" t="n">
        <v>8</v>
      </c>
      <c r="R99" s="9" t="n"/>
      <c r="S99" s="9" t="n"/>
      <c r="T99" s="10" t="n"/>
      <c r="U99" s="10" t="n"/>
      <c r="V99" s="10" t="n"/>
      <c r="W99" s="10" t="n"/>
      <c r="X99" s="10" t="n"/>
      <c r="Y99" s="10" t="n"/>
      <c r="Z99" s="10" t="n"/>
      <c r="AA99" s="10" t="n"/>
      <c r="AB99" s="10" t="n"/>
    </row>
    <row r="100" ht="22.5" customHeight="1" s="297">
      <c r="A100" s="10" t="n"/>
      <c r="B100" s="10" t="n"/>
      <c r="C100" s="10" t="n"/>
      <c r="D100" s="10" t="n"/>
      <c r="E100" s="10" t="n"/>
      <c r="F100" s="10" t="n"/>
      <c r="G100" s="10" t="n"/>
      <c r="H100" s="10" t="n"/>
      <c r="I100" s="10" t="n"/>
      <c r="J100" s="10" t="n"/>
      <c r="K100" s="10" t="n"/>
      <c r="L100" s="10" t="n"/>
      <c r="M100" s="10" t="n"/>
      <c r="N100" s="10" t="n"/>
      <c r="O100" s="18" t="inlineStr">
        <is>
          <t>TRATORES</t>
        </is>
      </c>
      <c r="P100" s="18" t="inlineStr">
        <is>
          <t>TRATOR JARDIM -JD-LA175</t>
        </is>
      </c>
      <c r="Q100" s="9" t="n">
        <v>4</v>
      </c>
      <c r="R100" s="9" t="n"/>
      <c r="S100" s="9" t="n"/>
      <c r="T100" s="10" t="n"/>
      <c r="U100" s="10" t="n"/>
      <c r="V100" s="10" t="n"/>
      <c r="W100" s="10" t="n"/>
      <c r="X100" s="10" t="n"/>
      <c r="Y100" s="10" t="n"/>
      <c r="Z100" s="10" t="n"/>
      <c r="AA100" s="10" t="n"/>
      <c r="AB100" s="10" t="n"/>
    </row>
    <row r="101" ht="22.5" customHeight="1" s="297">
      <c r="A101" s="10" t="n"/>
      <c r="B101" s="10" t="n"/>
      <c r="C101" s="10" t="n"/>
      <c r="D101" s="10" t="n"/>
      <c r="E101" s="10" t="n"/>
      <c r="F101" s="10" t="n"/>
      <c r="G101" s="10" t="n"/>
      <c r="H101" s="10" t="n"/>
      <c r="I101" s="10" t="n"/>
      <c r="J101" s="10" t="n"/>
      <c r="K101" s="10" t="n"/>
      <c r="L101" s="10" t="n"/>
      <c r="M101" s="10" t="n"/>
      <c r="N101" s="10" t="n"/>
      <c r="O101" s="18" t="inlineStr">
        <is>
          <t>TRATORES</t>
        </is>
      </c>
      <c r="P101" s="18" t="inlineStr">
        <is>
          <t>TRATOR - JD 5600</t>
        </is>
      </c>
      <c r="Q101" s="9" t="n">
        <v>7</v>
      </c>
      <c r="R101" s="9" t="n"/>
      <c r="S101" s="9" t="n"/>
      <c r="T101" s="10" t="n"/>
      <c r="U101" s="10" t="n"/>
      <c r="V101" s="10" t="n"/>
      <c r="W101" s="10" t="n"/>
      <c r="X101" s="10" t="n"/>
      <c r="Y101" s="10" t="n"/>
      <c r="Z101" s="10" t="n"/>
      <c r="AA101" s="10" t="n"/>
      <c r="AB101" s="10" t="n"/>
    </row>
    <row r="102" ht="22.5" customHeight="1" s="297">
      <c r="A102" s="10" t="n"/>
      <c r="B102" s="10" t="n"/>
      <c r="C102" s="10" t="n"/>
      <c r="D102" s="10" t="n"/>
      <c r="E102" s="10" t="n"/>
      <c r="F102" s="10" t="n"/>
      <c r="G102" s="10" t="n"/>
      <c r="H102" s="10" t="n"/>
      <c r="I102" s="10" t="n"/>
      <c r="J102" s="10" t="n"/>
      <c r="K102" s="10" t="n"/>
      <c r="L102" s="10" t="n"/>
      <c r="M102" s="10" t="n"/>
      <c r="N102" s="10" t="n"/>
      <c r="O102" s="18" t="inlineStr">
        <is>
          <t>TRATORES</t>
        </is>
      </c>
      <c r="P102" s="18" t="inlineStr">
        <is>
          <t>TRATOR - JD-6125J</t>
        </is>
      </c>
      <c r="Q102" s="9" t="n">
        <v>6</v>
      </c>
      <c r="R102" s="9" t="n"/>
      <c r="S102" s="9" t="n"/>
      <c r="T102" s="10" t="n"/>
      <c r="U102" s="10" t="n"/>
      <c r="V102" s="10" t="n"/>
      <c r="W102" s="10" t="n"/>
      <c r="X102" s="10" t="n"/>
      <c r="Y102" s="10" t="n"/>
      <c r="Z102" s="10" t="n"/>
      <c r="AA102" s="10" t="n"/>
      <c r="AB102" s="10" t="n"/>
    </row>
    <row r="103" ht="22.5" customHeight="1" s="297">
      <c r="A103" s="10" t="n"/>
      <c r="B103" s="10" t="n"/>
      <c r="C103" s="10" t="n"/>
      <c r="D103" s="10" t="n"/>
      <c r="E103" s="10" t="n"/>
      <c r="F103" s="10" t="n"/>
      <c r="G103" s="10" t="n"/>
      <c r="H103" s="10" t="n"/>
      <c r="I103" s="10" t="n"/>
      <c r="J103" s="10" t="n"/>
      <c r="K103" s="10" t="n"/>
      <c r="L103" s="10" t="n"/>
      <c r="M103" s="10" t="n"/>
      <c r="N103" s="10" t="n"/>
      <c r="O103" s="18" t="inlineStr">
        <is>
          <t>TRATORES</t>
        </is>
      </c>
      <c r="P103" s="18" t="inlineStr">
        <is>
          <t>TRATOR - NH 7630</t>
        </is>
      </c>
      <c r="Q103" s="9" t="n">
        <v>6</v>
      </c>
      <c r="R103" s="9" t="n"/>
      <c r="S103" s="9" t="n"/>
      <c r="T103" s="10" t="n"/>
      <c r="U103" s="10" t="n"/>
      <c r="V103" s="10" t="n"/>
      <c r="W103" s="10" t="n"/>
      <c r="X103" s="10" t="n"/>
      <c r="Y103" s="10" t="n"/>
      <c r="Z103" s="10" t="n"/>
      <c r="AA103" s="10" t="n"/>
      <c r="AB103" s="10" t="n"/>
    </row>
    <row r="104" ht="22.5" customHeight="1" s="297">
      <c r="A104" s="10" t="n"/>
      <c r="B104" s="10" t="n"/>
      <c r="C104" s="10" t="n"/>
      <c r="D104" s="10" t="n"/>
      <c r="E104" s="10" t="n"/>
      <c r="F104" s="10" t="n"/>
      <c r="G104" s="10" t="n"/>
      <c r="H104" s="10" t="n"/>
      <c r="I104" s="10" t="n"/>
      <c r="J104" s="10" t="n"/>
      <c r="K104" s="10" t="n"/>
      <c r="L104" s="10" t="n"/>
      <c r="M104" s="10" t="n"/>
      <c r="N104" s="10" t="n"/>
      <c r="O104" s="18" t="inlineStr">
        <is>
          <t>TRATORES</t>
        </is>
      </c>
      <c r="P104" s="18" t="inlineStr">
        <is>
          <t>TRATOR - NH T8.355</t>
        </is>
      </c>
      <c r="Q104" s="9" t="n">
        <v>30</v>
      </c>
      <c r="R104" s="9" t="n"/>
      <c r="S104" s="9" t="n"/>
      <c r="T104" s="10" t="n"/>
      <c r="U104" s="10" t="n"/>
      <c r="V104" s="10" t="n"/>
      <c r="W104" s="10" t="n"/>
      <c r="X104" s="10" t="n"/>
      <c r="Y104" s="10" t="n"/>
      <c r="Z104" s="10" t="n"/>
      <c r="AA104" s="10" t="n"/>
      <c r="AB104" s="10" t="n"/>
    </row>
    <row r="105" ht="22.5" customHeight="1" s="297">
      <c r="A105" s="10" t="n"/>
      <c r="B105" s="10" t="n"/>
      <c r="C105" s="10" t="n"/>
      <c r="D105" s="10" t="n"/>
      <c r="E105" s="10" t="n"/>
      <c r="F105" s="10" t="n"/>
      <c r="G105" s="10" t="n"/>
      <c r="H105" s="10" t="n"/>
      <c r="I105" s="10" t="n"/>
      <c r="J105" s="10" t="n"/>
      <c r="K105" s="10" t="n"/>
      <c r="L105" s="10" t="n"/>
      <c r="M105" s="10" t="n"/>
      <c r="N105" s="10" t="n"/>
      <c r="O105" s="18" t="inlineStr">
        <is>
          <t>TRATORES</t>
        </is>
      </c>
      <c r="P105" s="18" t="inlineStr">
        <is>
          <t>TRATOR-JD 7505</t>
        </is>
      </c>
      <c r="Q105" s="9" t="n">
        <v>15</v>
      </c>
      <c r="R105" s="9" t="n"/>
      <c r="S105" s="9" t="n"/>
      <c r="T105" s="10" t="n"/>
      <c r="U105" s="10" t="n"/>
      <c r="V105" s="10" t="n"/>
      <c r="W105" s="10" t="n"/>
      <c r="X105" s="10" t="n"/>
      <c r="Y105" s="10" t="n"/>
      <c r="Z105" s="10" t="n"/>
      <c r="AA105" s="10" t="n"/>
      <c r="AB105" s="10" t="n"/>
    </row>
    <row r="106" ht="22.5" customHeight="1" s="297">
      <c r="A106" s="10" t="n"/>
      <c r="B106" s="10" t="n"/>
      <c r="C106" s="10" t="n"/>
      <c r="D106" s="10" t="n"/>
      <c r="E106" s="10" t="n"/>
      <c r="F106" s="10" t="n"/>
      <c r="G106" s="10" t="n"/>
      <c r="H106" s="10" t="n"/>
      <c r="I106" s="10" t="n"/>
      <c r="J106" s="10" t="n"/>
      <c r="K106" s="10" t="n"/>
      <c r="L106" s="10" t="n"/>
      <c r="M106" s="10" t="n"/>
      <c r="N106" s="10" t="n"/>
      <c r="O106" s="18" t="inlineStr">
        <is>
          <t>TRATORES</t>
        </is>
      </c>
      <c r="P106" s="18" t="inlineStr">
        <is>
          <t>TRATOR-JD 7500</t>
        </is>
      </c>
      <c r="Q106" s="9" t="n">
        <v>15</v>
      </c>
      <c r="R106" s="9" t="n"/>
      <c r="S106" s="9" t="n"/>
      <c r="T106" s="10" t="n"/>
      <c r="U106" s="10" t="n"/>
      <c r="V106" s="10" t="n"/>
      <c r="W106" s="10" t="n"/>
      <c r="X106" s="10" t="n"/>
      <c r="Y106" s="10" t="n"/>
      <c r="Z106" s="10" t="n"/>
      <c r="AA106" s="10" t="n"/>
      <c r="AB106" s="10" t="n"/>
    </row>
    <row r="107" ht="22.5" customHeight="1" s="297">
      <c r="A107" s="10" t="n"/>
      <c r="B107" s="10" t="n"/>
      <c r="C107" s="10" t="n"/>
      <c r="D107" s="10" t="n"/>
      <c r="E107" s="10" t="n"/>
      <c r="F107" s="10" t="n"/>
      <c r="G107" s="10" t="n"/>
      <c r="H107" s="10" t="n"/>
      <c r="I107" s="10" t="n"/>
      <c r="J107" s="10" t="n"/>
      <c r="K107" s="10" t="n"/>
      <c r="L107" s="10" t="n"/>
      <c r="M107" s="10" t="n"/>
      <c r="N107" s="10" t="n"/>
      <c r="O107" s="18" t="inlineStr">
        <is>
          <t>TRATORES</t>
        </is>
      </c>
      <c r="P107" s="18" t="inlineStr">
        <is>
          <t>TRATOR NH-TL 75 E</t>
        </is>
      </c>
      <c r="Q107" s="9" t="n">
        <v>8</v>
      </c>
      <c r="R107" s="9" t="n"/>
      <c r="S107" s="9" t="n"/>
      <c r="T107" s="10" t="n"/>
      <c r="U107" s="10" t="n"/>
      <c r="V107" s="10" t="n"/>
      <c r="W107" s="10" t="n"/>
      <c r="X107" s="10" t="n"/>
      <c r="Y107" s="10" t="n"/>
      <c r="Z107" s="10" t="n"/>
      <c r="AA107" s="10" t="n"/>
      <c r="AB107" s="10" t="n"/>
    </row>
    <row r="108" ht="22.5" customHeight="1" s="297">
      <c r="A108" s="10" t="n"/>
      <c r="B108" s="10" t="n"/>
      <c r="C108" s="10" t="n"/>
      <c r="D108" s="10" t="n"/>
      <c r="E108" s="10" t="n"/>
      <c r="F108" s="10" t="n"/>
      <c r="G108" s="10" t="n"/>
      <c r="H108" s="10" t="n"/>
      <c r="I108" s="10" t="n"/>
      <c r="J108" s="10" t="n"/>
      <c r="K108" s="10" t="n"/>
      <c r="L108" s="10" t="n"/>
      <c r="M108" s="10" t="n"/>
      <c r="N108" s="10" t="n"/>
      <c r="O108" s="18" t="inlineStr">
        <is>
          <t>TRATORES</t>
        </is>
      </c>
      <c r="P108" s="18" t="inlineStr">
        <is>
          <t>TRATOR MF-290</t>
        </is>
      </c>
      <c r="Q108" s="9" t="n">
        <v>8</v>
      </c>
      <c r="R108" s="9" t="n"/>
      <c r="S108" s="9" t="n"/>
      <c r="T108" s="10" t="n"/>
      <c r="U108" s="10" t="n"/>
      <c r="V108" s="10" t="n"/>
      <c r="W108" s="10" t="n"/>
      <c r="X108" s="10" t="n"/>
      <c r="Y108" s="10" t="n"/>
      <c r="Z108" s="10" t="n"/>
      <c r="AA108" s="10" t="n"/>
      <c r="AB108" s="10" t="n"/>
    </row>
    <row r="109" ht="22.5" customHeight="1" s="297">
      <c r="A109" s="10" t="n"/>
      <c r="B109" s="10" t="n"/>
      <c r="C109" s="10" t="n"/>
      <c r="D109" s="10" t="n"/>
      <c r="E109" s="10" t="n"/>
      <c r="F109" s="10" t="n"/>
      <c r="G109" s="10" t="n"/>
      <c r="H109" s="10" t="n"/>
      <c r="I109" s="10" t="n"/>
      <c r="J109" s="10" t="n"/>
      <c r="K109" s="10" t="n"/>
      <c r="L109" s="10" t="n"/>
      <c r="M109" s="10" t="n"/>
      <c r="N109" s="10" t="n"/>
      <c r="O109" s="18" t="n"/>
      <c r="P109" s="18" t="n"/>
      <c r="Q109" s="9" t="n"/>
      <c r="R109" s="9" t="n"/>
      <c r="S109" s="9" t="n"/>
      <c r="T109" s="10" t="n"/>
      <c r="U109" s="10" t="n"/>
      <c r="V109" s="10" t="n"/>
      <c r="W109" s="10" t="n"/>
      <c r="X109" s="10" t="n"/>
      <c r="Y109" s="10" t="n"/>
      <c r="Z109" s="10" t="n"/>
      <c r="AA109" s="10" t="n"/>
      <c r="AB109" s="10" t="n"/>
    </row>
    <row r="110" ht="22.5" customHeight="1" s="297">
      <c r="A110" s="10" t="n"/>
      <c r="B110" s="10" t="n"/>
      <c r="C110" s="10" t="n"/>
      <c r="D110" s="10" t="n"/>
      <c r="E110" s="10" t="n"/>
      <c r="F110" s="10" t="n"/>
      <c r="G110" s="10" t="n"/>
      <c r="H110" s="10" t="n"/>
      <c r="I110" s="10" t="n"/>
      <c r="J110" s="10" t="n"/>
      <c r="K110" s="10" t="n"/>
      <c r="L110" s="10" t="n"/>
      <c r="M110" s="10" t="n"/>
      <c r="N110" s="10" t="n"/>
      <c r="O110" s="18" t="inlineStr">
        <is>
          <t>TRATORES</t>
        </is>
      </c>
      <c r="P110" s="18" t="inlineStr">
        <is>
          <t>HUSQVARNA Z248F</t>
        </is>
      </c>
      <c r="Q110" s="9" t="n">
        <v>4</v>
      </c>
      <c r="R110" s="9" t="n"/>
      <c r="S110" s="9" t="n"/>
      <c r="T110" s="10" t="n"/>
      <c r="U110" s="10" t="n"/>
      <c r="V110" s="10" t="n"/>
      <c r="W110" s="10" t="n"/>
      <c r="X110" s="10" t="n"/>
      <c r="Y110" s="10" t="n"/>
      <c r="Z110" s="10" t="n"/>
      <c r="AA110" s="10" t="n"/>
      <c r="AB110" s="10" t="n"/>
    </row>
    <row r="111" ht="22.5" customHeight="1" s="297">
      <c r="A111" s="10" t="n"/>
      <c r="B111" s="10" t="n"/>
      <c r="C111" s="10" t="n"/>
      <c r="D111" s="10" t="n"/>
      <c r="E111" s="10" t="n"/>
      <c r="F111" s="10" t="n"/>
      <c r="G111" s="10" t="n"/>
      <c r="H111" s="10" t="n"/>
      <c r="I111" s="10" t="n"/>
      <c r="J111" s="10" t="n"/>
      <c r="K111" s="10" t="n"/>
      <c r="L111" s="10" t="n"/>
      <c r="M111" s="10" t="n"/>
      <c r="N111" s="10" t="n"/>
      <c r="O111" s="18" t="inlineStr">
        <is>
          <t>TRATORES</t>
        </is>
      </c>
      <c r="P111" s="18" t="inlineStr">
        <is>
          <t>TRATOR-CBT 8060</t>
        </is>
      </c>
      <c r="Q111" s="9" t="n">
        <v>10</v>
      </c>
      <c r="R111" s="9" t="n"/>
      <c r="S111" s="9" t="n"/>
      <c r="T111" s="10" t="n"/>
      <c r="U111" s="10" t="n"/>
      <c r="V111" s="10" t="n"/>
      <c r="W111" s="10" t="n"/>
      <c r="X111" s="10" t="n"/>
      <c r="Y111" s="10" t="n"/>
      <c r="Z111" s="10" t="n"/>
      <c r="AA111" s="10" t="n"/>
      <c r="AB111" s="10" t="n"/>
    </row>
    <row r="112" ht="22.5" customHeight="1" s="297">
      <c r="A112" s="10" t="n"/>
      <c r="B112" s="10" t="n"/>
      <c r="C112" s="10" t="n"/>
      <c r="D112" s="10" t="n"/>
      <c r="E112" s="10" t="n"/>
      <c r="F112" s="10" t="n"/>
      <c r="G112" s="10" t="n"/>
      <c r="H112" s="10" t="n"/>
      <c r="I112" s="10" t="n"/>
      <c r="J112" s="10" t="n"/>
      <c r="K112" s="10" t="n"/>
      <c r="L112" s="10" t="n"/>
      <c r="M112" s="10" t="n"/>
      <c r="N112" s="10" t="n"/>
      <c r="O112" s="18" t="inlineStr">
        <is>
          <t>TRATORES</t>
        </is>
      </c>
      <c r="P112" s="18" t="inlineStr">
        <is>
          <t>TRATOR NH-TL 75</t>
        </is>
      </c>
      <c r="Q112" s="9" t="n">
        <v>7</v>
      </c>
      <c r="R112" s="9" t="n"/>
      <c r="S112" s="9" t="n"/>
      <c r="T112" s="10" t="n"/>
      <c r="U112" s="10" t="n"/>
      <c r="V112" s="10" t="n"/>
      <c r="W112" s="10" t="n"/>
      <c r="X112" s="10" t="n"/>
      <c r="Y112" s="10" t="n"/>
      <c r="Z112" s="10" t="n"/>
      <c r="AA112" s="10" t="n"/>
      <c r="AB112" s="10" t="n"/>
    </row>
    <row r="113" ht="22.5" customHeight="1" s="297">
      <c r="A113" s="10" t="n"/>
      <c r="B113" s="10" t="n"/>
      <c r="C113" s="10" t="n"/>
      <c r="D113" s="10" t="n"/>
      <c r="E113" s="10" t="n"/>
      <c r="F113" s="10" t="n"/>
      <c r="G113" s="10" t="n"/>
      <c r="H113" s="10" t="n"/>
      <c r="I113" s="10" t="n"/>
      <c r="J113" s="10" t="n"/>
      <c r="K113" s="10" t="n"/>
      <c r="L113" s="10" t="n"/>
      <c r="M113" s="10" t="n"/>
      <c r="N113" s="10" t="n"/>
      <c r="O113" s="18" t="inlineStr">
        <is>
          <t>TRATORES</t>
        </is>
      </c>
      <c r="P113" s="18" t="inlineStr">
        <is>
          <t>TRATOR MF-65</t>
        </is>
      </c>
      <c r="Q113" s="9" t="n">
        <v>3</v>
      </c>
      <c r="R113" s="9" t="n"/>
      <c r="S113" s="9" t="n"/>
      <c r="T113" s="10" t="n"/>
      <c r="U113" s="10" t="n"/>
      <c r="V113" s="10" t="n"/>
      <c r="W113" s="10" t="n"/>
      <c r="X113" s="10" t="n"/>
      <c r="Y113" s="10" t="n"/>
      <c r="Z113" s="10" t="n"/>
      <c r="AA113" s="10" t="n"/>
      <c r="AB113" s="10" t="n"/>
    </row>
    <row r="114" ht="22.5" customHeight="1" s="297">
      <c r="A114" s="10" t="n"/>
      <c r="B114" s="10" t="n"/>
      <c r="C114" s="10" t="n"/>
      <c r="D114" s="10" t="n"/>
      <c r="E114" s="10" t="n"/>
      <c r="F114" s="10" t="n"/>
      <c r="G114" s="10" t="n"/>
      <c r="H114" s="10" t="n"/>
      <c r="I114" s="10" t="n"/>
      <c r="J114" s="10" t="n"/>
      <c r="K114" s="10" t="n"/>
      <c r="L114" s="10" t="n"/>
      <c r="M114" s="10" t="n"/>
      <c r="N114" s="10" t="n"/>
      <c r="O114" s="18" t="inlineStr">
        <is>
          <t>TRATORES</t>
        </is>
      </c>
      <c r="P114" s="18" t="inlineStr">
        <is>
          <t>GAFANHOTO</t>
        </is>
      </c>
      <c r="Q114" s="9" t="n">
        <v>5</v>
      </c>
      <c r="R114" s="9" t="n"/>
      <c r="S114" s="9" t="n"/>
      <c r="T114" s="10" t="n"/>
      <c r="U114" s="10" t="n"/>
      <c r="V114" s="10" t="n"/>
      <c r="W114" s="10" t="n"/>
      <c r="X114" s="10" t="n"/>
      <c r="Y114" s="10" t="n"/>
      <c r="Z114" s="10" t="n"/>
      <c r="AA114" s="10" t="n"/>
      <c r="AB114" s="10" t="n"/>
    </row>
    <row r="115" ht="22.5" customHeight="1" s="297">
      <c r="A115" s="10" t="n"/>
      <c r="B115" s="10" t="n"/>
      <c r="C115" s="10" t="n"/>
      <c r="D115" s="10" t="n"/>
      <c r="E115" s="10" t="n"/>
      <c r="F115" s="10" t="n"/>
      <c r="G115" s="10" t="n"/>
      <c r="H115" s="10" t="n"/>
      <c r="I115" s="10" t="n"/>
      <c r="J115" s="10" t="n"/>
      <c r="K115" s="10" t="n"/>
      <c r="L115" s="10" t="n"/>
      <c r="M115" s="10" t="n"/>
      <c r="N115" s="10" t="n"/>
      <c r="O115" s="18" t="inlineStr">
        <is>
          <t>VEÍCULOS</t>
        </is>
      </c>
      <c r="P115" s="18" t="inlineStr">
        <is>
          <t>TOYOTA HILUX - JOAQUIM</t>
        </is>
      </c>
      <c r="Q115" s="9" t="n"/>
      <c r="R115" s="9" t="n"/>
      <c r="S115" s="9" t="n"/>
      <c r="T115" s="10" t="n"/>
      <c r="U115" s="10" t="n"/>
      <c r="V115" s="10" t="n"/>
      <c r="W115" s="10" t="n"/>
      <c r="X115" s="10" t="n"/>
      <c r="Y115" s="10" t="n"/>
      <c r="Z115" s="10" t="n"/>
      <c r="AA115" s="10" t="n"/>
      <c r="AB115" s="10" t="n"/>
    </row>
    <row r="116" ht="22.5" customHeight="1" s="297">
      <c r="A116" s="10" t="n"/>
      <c r="B116" s="10" t="n"/>
      <c r="C116" s="10" t="n"/>
      <c r="D116" s="10" t="n"/>
      <c r="E116" s="10" t="n"/>
      <c r="F116" s="10" t="n"/>
      <c r="G116" s="10" t="n"/>
      <c r="H116" s="10" t="n"/>
      <c r="I116" s="10" t="n"/>
      <c r="J116" s="10" t="n"/>
      <c r="K116" s="10" t="n"/>
      <c r="L116" s="10" t="n"/>
      <c r="M116" s="10" t="n"/>
      <c r="N116" s="10" t="n"/>
      <c r="O116" s="18" t="inlineStr">
        <is>
          <t>VEÍCULOS</t>
        </is>
      </c>
      <c r="P116" s="18" t="inlineStr">
        <is>
          <t>TOYOTA HILUX - JOVANE</t>
        </is>
      </c>
      <c r="Q116" s="9" t="n"/>
      <c r="R116" s="9" t="n"/>
      <c r="S116" s="9" t="n"/>
      <c r="T116" s="10" t="n"/>
      <c r="U116" s="10" t="n"/>
      <c r="V116" s="10" t="n"/>
      <c r="W116" s="10" t="n"/>
      <c r="X116" s="10" t="n"/>
      <c r="Y116" s="10" t="n"/>
      <c r="Z116" s="10" t="n"/>
      <c r="AA116" s="10" t="n"/>
      <c r="AB116" s="10" t="n"/>
    </row>
    <row r="117" ht="22.5" customHeight="1" s="297">
      <c r="A117" s="10" t="n"/>
      <c r="B117" s="10" t="n"/>
      <c r="C117" s="10" t="n"/>
      <c r="D117" s="10" t="n"/>
      <c r="E117" s="10" t="n"/>
      <c r="F117" s="10" t="n"/>
      <c r="G117" s="10" t="n"/>
      <c r="H117" s="10" t="n"/>
      <c r="I117" s="10" t="n"/>
      <c r="J117" s="10" t="n"/>
      <c r="K117" s="10" t="n"/>
      <c r="L117" s="10" t="n"/>
      <c r="M117" s="10" t="n"/>
      <c r="N117" s="10" t="n"/>
      <c r="O117" s="18" t="inlineStr">
        <is>
          <t>VEÍCULOS</t>
        </is>
      </c>
      <c r="P117" s="18" t="inlineStr">
        <is>
          <t>S10 - LTZ - FAZENDA</t>
        </is>
      </c>
      <c r="Q117" s="9" t="n"/>
      <c r="R117" s="9" t="n"/>
      <c r="S117" s="9" t="n"/>
      <c r="T117" s="10" t="n"/>
      <c r="U117" s="10" t="n"/>
      <c r="V117" s="10" t="n"/>
      <c r="W117" s="10" t="n"/>
      <c r="X117" s="10" t="n"/>
      <c r="Y117" s="10" t="n"/>
      <c r="Z117" s="10" t="n"/>
      <c r="AA117" s="10" t="n"/>
      <c r="AB117" s="10" t="n"/>
    </row>
    <row r="118" ht="22.5" customHeight="1" s="297">
      <c r="A118" s="10" t="n"/>
      <c r="B118" s="10" t="n"/>
      <c r="C118" s="10" t="n"/>
      <c r="D118" s="10" t="n"/>
      <c r="E118" s="10" t="n"/>
      <c r="F118" s="10" t="n"/>
      <c r="G118" s="10" t="n"/>
      <c r="H118" s="10" t="n"/>
      <c r="I118" s="10" t="n"/>
      <c r="J118" s="10" t="n"/>
      <c r="K118" s="10" t="n"/>
      <c r="L118" s="10" t="n"/>
      <c r="M118" s="10" t="n"/>
      <c r="N118" s="10" t="n"/>
      <c r="O118" s="18" t="inlineStr">
        <is>
          <t>VEÍCULOS</t>
        </is>
      </c>
      <c r="P118" s="18" t="inlineStr">
        <is>
          <t>S10 LTZ - JOÃO</t>
        </is>
      </c>
      <c r="Q118" s="9" t="n"/>
      <c r="R118" s="9" t="n"/>
      <c r="S118" s="9" t="n"/>
      <c r="T118" s="10" t="n"/>
      <c r="U118" s="10" t="n"/>
      <c r="V118" s="10" t="n"/>
      <c r="W118" s="10" t="n"/>
      <c r="X118" s="10" t="n"/>
      <c r="Y118" s="10" t="n"/>
      <c r="Z118" s="10" t="n"/>
      <c r="AA118" s="10" t="n"/>
      <c r="AB118" s="10" t="n"/>
    </row>
    <row r="119" ht="22.5" customHeight="1" s="297">
      <c r="A119" s="10" t="n"/>
      <c r="B119" s="10" t="n"/>
      <c r="C119" s="10" t="n"/>
      <c r="D119" s="10" t="n"/>
      <c r="E119" s="10" t="n"/>
      <c r="F119" s="10" t="n"/>
      <c r="G119" s="10" t="n"/>
      <c r="H119" s="10" t="n"/>
      <c r="I119" s="10" t="n"/>
      <c r="J119" s="10" t="n"/>
      <c r="K119" s="10" t="n"/>
      <c r="L119" s="10" t="n"/>
      <c r="M119" s="10" t="n"/>
      <c r="N119" s="10" t="n"/>
      <c r="O119" s="18" t="inlineStr">
        <is>
          <t>VEÍCULOS</t>
        </is>
      </c>
      <c r="P119" s="18" t="inlineStr">
        <is>
          <t>RANGER VITOR</t>
        </is>
      </c>
      <c r="Q119" s="9" t="n"/>
      <c r="R119" s="9" t="n"/>
      <c r="S119" s="9" t="n"/>
      <c r="T119" s="10" t="n"/>
      <c r="U119" s="10" t="n"/>
      <c r="V119" s="10" t="n"/>
      <c r="W119" s="10" t="n"/>
      <c r="X119" s="10" t="n"/>
      <c r="Y119" s="10" t="n"/>
      <c r="Z119" s="10" t="n"/>
      <c r="AA119" s="10" t="n"/>
      <c r="AB119" s="10" t="n"/>
    </row>
    <row r="120" ht="22.5" customHeight="1" s="297">
      <c r="A120" s="10" t="n"/>
      <c r="B120" s="10" t="n"/>
      <c r="C120" s="10" t="n"/>
      <c r="D120" s="10" t="n"/>
      <c r="E120" s="10" t="n"/>
      <c r="F120" s="10" t="n"/>
      <c r="G120" s="10" t="n"/>
      <c r="H120" s="10" t="n"/>
      <c r="I120" s="10" t="n"/>
      <c r="J120" s="10" t="n"/>
      <c r="K120" s="10" t="n"/>
      <c r="L120" s="10" t="n"/>
      <c r="M120" s="10" t="n"/>
      <c r="N120" s="10" t="n"/>
      <c r="O120" s="18" t="inlineStr">
        <is>
          <t>VEÍCULOS</t>
        </is>
      </c>
      <c r="P120" s="18" t="inlineStr">
        <is>
          <t>TOYOTA COROLLA CROSS XRE 2.0 16V</t>
        </is>
      </c>
      <c r="Q120" s="9" t="n"/>
      <c r="R120" s="9" t="n"/>
      <c r="S120" s="9" t="n"/>
      <c r="T120" s="10" t="n"/>
      <c r="U120" s="10" t="n"/>
      <c r="V120" s="10" t="n"/>
      <c r="W120" s="10" t="n"/>
      <c r="X120" s="10" t="n"/>
      <c r="Y120" s="10" t="n"/>
      <c r="Z120" s="10" t="n"/>
      <c r="AA120" s="10" t="n"/>
      <c r="AB120" s="10" t="n"/>
    </row>
    <row r="121" ht="22.5" customHeight="1" s="297">
      <c r="A121" s="10" t="n"/>
      <c r="B121" s="10" t="n"/>
      <c r="C121" s="10" t="n"/>
      <c r="D121" s="10" t="n"/>
      <c r="E121" s="10" t="n"/>
      <c r="F121" s="10" t="n"/>
      <c r="G121" s="10" t="n"/>
      <c r="H121" s="10" t="n"/>
      <c r="I121" s="10" t="n"/>
      <c r="J121" s="10" t="n"/>
      <c r="K121" s="10" t="n"/>
      <c r="L121" s="10" t="n"/>
      <c r="M121" s="10" t="n"/>
      <c r="N121" s="10" t="n"/>
      <c r="O121" s="18" t="inlineStr">
        <is>
          <t>VEÍCULOS</t>
        </is>
      </c>
      <c r="P121" s="18" t="inlineStr">
        <is>
          <t>D20</t>
        </is>
      </c>
      <c r="Q121" s="9" t="n"/>
      <c r="R121" s="9" t="n"/>
      <c r="S121" s="9" t="n"/>
      <c r="T121" s="10" t="n"/>
      <c r="U121" s="10" t="n"/>
      <c r="V121" s="10" t="n"/>
      <c r="W121" s="10" t="n"/>
      <c r="X121" s="10" t="n"/>
      <c r="Y121" s="10" t="n"/>
      <c r="Z121" s="10" t="n"/>
      <c r="AA121" s="10" t="n"/>
      <c r="AB121" s="10" t="n"/>
    </row>
    <row r="122" ht="22.5" customHeight="1" s="297">
      <c r="A122" s="10" t="n"/>
      <c r="B122" s="10" t="n"/>
      <c r="C122" s="10" t="n"/>
      <c r="D122" s="10" t="n"/>
      <c r="E122" s="10" t="n"/>
      <c r="F122" s="10" t="n"/>
      <c r="G122" s="10" t="n"/>
      <c r="H122" s="10" t="n"/>
      <c r="I122" s="10" t="n"/>
      <c r="J122" s="10" t="n"/>
      <c r="K122" s="10" t="n"/>
      <c r="L122" s="10" t="n"/>
      <c r="M122" s="10" t="n"/>
      <c r="N122" s="10" t="n"/>
      <c r="O122" s="18" t="inlineStr">
        <is>
          <t>VEÍCULOS</t>
        </is>
      </c>
      <c r="P122" s="18" t="inlineStr">
        <is>
          <t>D-20</t>
        </is>
      </c>
      <c r="Q122" s="9" t="n"/>
      <c r="R122" s="9" t="n"/>
      <c r="S122" s="9" t="n"/>
      <c r="T122" s="10" t="n"/>
      <c r="U122" s="10" t="n"/>
      <c r="V122" s="10" t="n"/>
      <c r="W122" s="10" t="n"/>
      <c r="X122" s="10" t="n"/>
      <c r="Y122" s="10" t="n"/>
      <c r="Z122" s="10" t="n"/>
      <c r="AA122" s="10" t="n"/>
      <c r="AB122" s="10" t="n"/>
    </row>
    <row r="123" ht="22.5" customHeight="1" s="297">
      <c r="A123" s="10" t="n"/>
      <c r="B123" s="10" t="n"/>
      <c r="C123" s="10" t="n"/>
      <c r="D123" s="10" t="n"/>
      <c r="E123" s="10" t="n"/>
      <c r="F123" s="10" t="n"/>
      <c r="G123" s="10" t="n"/>
      <c r="H123" s="10" t="n"/>
      <c r="I123" s="10" t="n"/>
      <c r="J123" s="10" t="n"/>
      <c r="K123" s="10" t="n"/>
      <c r="L123" s="10" t="n"/>
      <c r="M123" s="10" t="n"/>
      <c r="N123" s="10" t="n"/>
      <c r="O123" s="18" t="inlineStr">
        <is>
          <t>VEÍCULOS</t>
        </is>
      </c>
      <c r="P123" s="18" t="inlineStr">
        <is>
          <t>TOYOTA HILUX - VITOR</t>
        </is>
      </c>
      <c r="Q123" s="9" t="n"/>
      <c r="R123" s="9" t="n"/>
      <c r="S123" s="9" t="n"/>
      <c r="T123" s="10" t="n"/>
      <c r="U123" s="10" t="n"/>
      <c r="V123" s="10" t="n"/>
      <c r="W123" s="10" t="n"/>
      <c r="X123" s="10" t="n"/>
      <c r="Y123" s="10" t="n"/>
      <c r="Z123" s="10" t="n"/>
      <c r="AA123" s="10" t="n"/>
      <c r="AB123" s="10" t="n"/>
    </row>
    <row r="124" ht="22.5" customHeight="1" s="297">
      <c r="A124" s="10" t="n"/>
      <c r="B124" s="10" t="n"/>
      <c r="C124" s="10" t="n"/>
      <c r="D124" s="10" t="n"/>
      <c r="E124" s="10" t="n"/>
      <c r="F124" s="10" t="n"/>
      <c r="G124" s="10" t="n"/>
      <c r="H124" s="10" t="n"/>
      <c r="I124" s="10" t="n"/>
      <c r="J124" s="10" t="n"/>
      <c r="K124" s="10" t="n"/>
      <c r="L124" s="10" t="n"/>
      <c r="M124" s="10" t="n"/>
      <c r="N124" s="10" t="n"/>
      <c r="O124" s="18" t="inlineStr">
        <is>
          <t>VEÍCULOS</t>
        </is>
      </c>
      <c r="P124" s="18" t="inlineStr">
        <is>
          <t>TOYOTA HILUX - ELESIO</t>
        </is>
      </c>
      <c r="Q124" s="9" t="n"/>
      <c r="R124" s="9" t="n"/>
      <c r="S124" s="9" t="n"/>
      <c r="T124" s="10" t="n"/>
      <c r="U124" s="10" t="n"/>
      <c r="V124" s="10" t="n"/>
      <c r="W124" s="10" t="n"/>
      <c r="X124" s="10" t="n"/>
      <c r="Y124" s="10" t="n"/>
      <c r="Z124" s="10" t="n"/>
      <c r="AA124" s="10" t="n"/>
      <c r="AB124" s="10" t="n"/>
    </row>
    <row r="125" ht="22.5" customHeight="1" s="297">
      <c r="A125" s="10" t="n"/>
      <c r="B125" s="10" t="n"/>
      <c r="C125" s="10" t="n"/>
      <c r="D125" s="10" t="n"/>
      <c r="E125" s="10" t="n"/>
      <c r="F125" s="10" t="n"/>
      <c r="G125" s="10" t="n"/>
      <c r="H125" s="10" t="n"/>
      <c r="I125" s="10" t="n"/>
      <c r="J125" s="10" t="n"/>
      <c r="K125" s="10" t="n"/>
      <c r="L125" s="10" t="n"/>
      <c r="M125" s="10" t="n"/>
      <c r="N125" s="10" t="n"/>
      <c r="O125" s="18" t="inlineStr">
        <is>
          <t>VEÍCULOS</t>
        </is>
      </c>
      <c r="P125" s="18" t="inlineStr">
        <is>
          <t>S10 LTZ - JOÃO - 2</t>
        </is>
      </c>
      <c r="Q125" s="9" t="n"/>
      <c r="R125" s="9" t="n"/>
      <c r="S125" s="9" t="n"/>
      <c r="T125" s="10" t="n"/>
      <c r="U125" s="10" t="n"/>
      <c r="V125" s="10" t="n"/>
      <c r="W125" s="10" t="n"/>
      <c r="X125" s="10" t="n"/>
      <c r="Y125" s="10" t="n"/>
      <c r="Z125" s="10" t="n"/>
      <c r="AA125" s="10" t="n"/>
      <c r="AB125" s="10" t="n"/>
    </row>
    <row r="126" ht="15.75" customHeight="1" s="297">
      <c r="A126" s="10" t="n"/>
      <c r="B126" s="10" t="n"/>
      <c r="C126" s="10" t="n"/>
      <c r="D126" s="10" t="n"/>
      <c r="E126" s="10" t="n"/>
      <c r="F126" s="10" t="n"/>
      <c r="G126" s="10" t="n"/>
      <c r="H126" s="10" t="n"/>
      <c r="I126" s="10" t="n"/>
      <c r="J126" s="10" t="n"/>
      <c r="K126" s="10" t="n"/>
      <c r="L126" s="10" t="n"/>
      <c r="M126" s="10" t="n"/>
      <c r="N126" s="10" t="n"/>
      <c r="O126" s="19" t="n"/>
      <c r="P126" s="19" t="n"/>
      <c r="Q126" s="10" t="n"/>
      <c r="R126" s="10" t="n"/>
      <c r="S126" s="10" t="n"/>
      <c r="T126" s="10" t="n"/>
      <c r="U126" s="10" t="n"/>
      <c r="V126" s="10" t="n"/>
      <c r="W126" s="10" t="n"/>
      <c r="X126" s="10" t="n"/>
      <c r="Y126" s="10" t="n"/>
      <c r="Z126" s="10" t="n"/>
      <c r="AA126" s="10" t="n"/>
      <c r="AB126" s="10" t="n"/>
    </row>
    <row r="127" ht="15.75" customHeight="1" s="297">
      <c r="A127" s="10" t="n"/>
      <c r="B127" s="10" t="n"/>
      <c r="C127" s="10" t="n"/>
      <c r="D127" s="10" t="n"/>
      <c r="E127" s="10" t="n"/>
      <c r="F127" s="10" t="n"/>
      <c r="G127" s="10" t="n"/>
      <c r="H127" s="10" t="n"/>
      <c r="I127" s="10" t="n"/>
      <c r="J127" s="10" t="n"/>
      <c r="K127" s="10" t="n"/>
      <c r="L127" s="10" t="n"/>
      <c r="M127" s="10" t="n"/>
      <c r="N127" s="10" t="n"/>
      <c r="O127" s="19" t="n"/>
      <c r="P127" s="19" t="n"/>
      <c r="Q127" s="10" t="n"/>
      <c r="R127" s="10" t="n"/>
      <c r="S127" s="10" t="n"/>
      <c r="T127" s="10" t="n"/>
      <c r="U127" s="10" t="n"/>
      <c r="V127" s="10" t="n"/>
      <c r="W127" s="10" t="n"/>
      <c r="X127" s="10" t="n"/>
      <c r="Y127" s="10" t="n"/>
      <c r="Z127" s="10" t="n"/>
      <c r="AA127" s="10" t="n"/>
      <c r="AB127" s="10" t="n"/>
    </row>
    <row r="128" ht="15.75" customHeight="1" s="297">
      <c r="A128" s="10" t="n"/>
      <c r="B128" s="10" t="n"/>
      <c r="C128" s="10" t="n"/>
      <c r="D128" s="10" t="n"/>
      <c r="E128" s="10" t="n"/>
      <c r="F128" s="10" t="n"/>
      <c r="G128" s="10" t="n"/>
      <c r="H128" s="10" t="n"/>
      <c r="I128" s="10" t="n"/>
      <c r="J128" s="10" t="n"/>
      <c r="K128" s="10" t="n"/>
      <c r="L128" s="10" t="n"/>
      <c r="M128" s="10" t="n"/>
      <c r="N128" s="10" t="n"/>
      <c r="O128" s="19" t="n"/>
      <c r="P128" s="19" t="n"/>
      <c r="Q128" s="10" t="n"/>
      <c r="R128" s="10" t="n"/>
      <c r="S128" s="10" t="n"/>
      <c r="T128" s="10" t="n"/>
      <c r="U128" s="10" t="n"/>
      <c r="V128" s="10" t="n"/>
      <c r="W128" s="10" t="n"/>
      <c r="X128" s="10" t="n"/>
      <c r="Y128" s="10" t="n"/>
      <c r="Z128" s="10" t="n"/>
      <c r="AA128" s="10" t="n"/>
      <c r="AB128" s="10" t="n"/>
    </row>
    <row r="129" ht="15.75" customHeight="1" s="297">
      <c r="A129" s="10" t="n"/>
      <c r="B129" s="10" t="n"/>
      <c r="C129" s="10" t="n"/>
      <c r="D129" s="10" t="n"/>
      <c r="E129" s="10" t="n"/>
      <c r="F129" s="10" t="n"/>
      <c r="G129" s="10" t="n"/>
      <c r="H129" s="10" t="n"/>
      <c r="I129" s="10" t="n"/>
      <c r="J129" s="10" t="n"/>
      <c r="K129" s="10" t="n"/>
      <c r="L129" s="10" t="n"/>
      <c r="M129" s="10" t="n"/>
      <c r="N129" s="10" t="n"/>
      <c r="O129" s="19" t="n"/>
      <c r="P129" s="19" t="n"/>
      <c r="Q129" s="10" t="n"/>
      <c r="R129" s="10" t="n"/>
      <c r="S129" s="10" t="n"/>
      <c r="T129" s="10" t="n"/>
      <c r="U129" s="10" t="n"/>
      <c r="V129" s="10" t="n"/>
      <c r="W129" s="10" t="n"/>
      <c r="X129" s="10" t="n"/>
      <c r="Y129" s="10" t="n"/>
      <c r="Z129" s="10" t="n"/>
      <c r="AA129" s="10" t="n"/>
      <c r="AB129" s="10" t="n"/>
    </row>
    <row r="130" ht="15.75" customHeight="1" s="297">
      <c r="A130" s="10" t="n"/>
      <c r="B130" s="10" t="n"/>
      <c r="C130" s="10" t="n"/>
      <c r="D130" s="10" t="n"/>
      <c r="E130" s="10" t="n"/>
      <c r="F130" s="10" t="n"/>
      <c r="G130" s="10" t="n"/>
      <c r="H130" s="10" t="n"/>
      <c r="I130" s="10" t="n"/>
      <c r="J130" s="10" t="n"/>
      <c r="K130" s="10" t="n"/>
      <c r="L130" s="10" t="n"/>
      <c r="M130" s="10" t="n"/>
      <c r="N130" s="10" t="n"/>
      <c r="O130" s="19" t="n"/>
      <c r="P130" s="19" t="n"/>
      <c r="Q130" s="10" t="n"/>
      <c r="R130" s="10" t="n"/>
      <c r="S130" s="10" t="n"/>
      <c r="T130" s="10" t="n"/>
      <c r="U130" s="10" t="n"/>
      <c r="V130" s="10" t="n"/>
      <c r="W130" s="10" t="n"/>
      <c r="X130" s="10" t="n"/>
      <c r="Y130" s="10" t="n"/>
      <c r="Z130" s="10" t="n"/>
      <c r="AA130" s="10" t="n"/>
      <c r="AB130" s="10" t="n"/>
    </row>
    <row r="131" ht="15.75" customHeight="1" s="297">
      <c r="A131" s="10" t="n"/>
      <c r="B131" s="10" t="n"/>
      <c r="C131" s="10" t="n"/>
      <c r="D131" s="10" t="n"/>
      <c r="E131" s="10" t="n"/>
      <c r="F131" s="10" t="n"/>
      <c r="G131" s="10" t="n"/>
      <c r="H131" s="10" t="n"/>
      <c r="I131" s="10" t="n"/>
      <c r="J131" s="10" t="n"/>
      <c r="K131" s="10" t="n"/>
      <c r="L131" s="10" t="n"/>
      <c r="M131" s="10" t="n"/>
      <c r="N131" s="10" t="n"/>
      <c r="O131" s="19" t="n"/>
      <c r="P131" s="19" t="n"/>
      <c r="Q131" s="10" t="n"/>
      <c r="R131" s="10" t="n"/>
      <c r="S131" s="10" t="n"/>
      <c r="T131" s="10" t="n"/>
      <c r="U131" s="10" t="n"/>
      <c r="V131" s="10" t="n"/>
      <c r="W131" s="10" t="n"/>
      <c r="X131" s="10" t="n"/>
      <c r="Y131" s="10" t="n"/>
      <c r="Z131" s="10" t="n"/>
      <c r="AA131" s="10" t="n"/>
      <c r="AB131" s="10" t="n"/>
    </row>
    <row r="132" ht="15.75" customHeight="1" s="297">
      <c r="A132" s="10" t="n"/>
      <c r="B132" s="10" t="n"/>
      <c r="C132" s="10" t="n"/>
      <c r="D132" s="10" t="n"/>
      <c r="E132" s="10" t="n"/>
      <c r="F132" s="10" t="n"/>
      <c r="G132" s="10" t="n"/>
      <c r="H132" s="10" t="n"/>
      <c r="I132" s="10" t="n"/>
      <c r="J132" s="10" t="n"/>
      <c r="K132" s="10" t="n"/>
      <c r="L132" s="10" t="n"/>
      <c r="M132" s="10" t="n"/>
      <c r="N132" s="10" t="n"/>
      <c r="O132" s="19" t="n"/>
      <c r="P132" s="19" t="n"/>
      <c r="Q132" s="10" t="n"/>
      <c r="R132" s="10" t="n"/>
      <c r="S132" s="10" t="n"/>
      <c r="T132" s="10" t="n"/>
      <c r="U132" s="10" t="n"/>
      <c r="V132" s="10" t="n"/>
      <c r="W132" s="10" t="n"/>
      <c r="X132" s="10" t="n"/>
      <c r="Y132" s="10" t="n"/>
      <c r="Z132" s="10" t="n"/>
      <c r="AA132" s="10" t="n"/>
      <c r="AB132" s="10" t="n"/>
    </row>
    <row r="133" ht="15.75" customHeight="1" s="297">
      <c r="A133" s="10" t="n"/>
      <c r="B133" s="10" t="n"/>
      <c r="C133" s="10" t="n"/>
      <c r="D133" s="10" t="n"/>
      <c r="E133" s="10" t="n"/>
      <c r="F133" s="10" t="n"/>
      <c r="G133" s="10" t="n"/>
      <c r="H133" s="10" t="n"/>
      <c r="I133" s="10" t="n"/>
      <c r="J133" s="10" t="n"/>
      <c r="K133" s="10" t="n"/>
      <c r="L133" s="10" t="n"/>
      <c r="M133" s="10" t="n"/>
      <c r="N133" s="10" t="n"/>
      <c r="O133" s="19" t="n"/>
      <c r="P133" s="19" t="n"/>
      <c r="Q133" s="10" t="n"/>
      <c r="R133" s="10" t="n"/>
      <c r="S133" s="10" t="n"/>
      <c r="T133" s="10" t="n"/>
      <c r="U133" s="10" t="n"/>
      <c r="V133" s="10" t="n"/>
      <c r="W133" s="10" t="n"/>
      <c r="X133" s="10" t="n"/>
      <c r="Y133" s="10" t="n"/>
      <c r="Z133" s="10" t="n"/>
      <c r="AA133" s="10" t="n"/>
      <c r="AB133" s="10" t="n"/>
    </row>
    <row r="134" ht="15.75" customHeight="1" s="297">
      <c r="A134" s="10" t="n"/>
      <c r="B134" s="10" t="n"/>
      <c r="C134" s="10" t="n"/>
      <c r="D134" s="10" t="n"/>
      <c r="E134" s="10" t="n"/>
      <c r="F134" s="10" t="n"/>
      <c r="G134" s="10" t="n"/>
      <c r="H134" s="10" t="n"/>
      <c r="I134" s="10" t="n"/>
      <c r="J134" s="10" t="n"/>
      <c r="K134" s="10" t="n"/>
      <c r="L134" s="10" t="n"/>
      <c r="M134" s="10" t="n"/>
      <c r="N134" s="10" t="n"/>
      <c r="O134" s="19" t="n"/>
      <c r="P134" s="19" t="n"/>
      <c r="Q134" s="10" t="n"/>
      <c r="R134" s="10" t="n"/>
      <c r="S134" s="10" t="n"/>
      <c r="T134" s="10" t="n"/>
      <c r="U134" s="10" t="n"/>
      <c r="V134" s="10" t="n"/>
      <c r="W134" s="10" t="n"/>
      <c r="X134" s="10" t="n"/>
      <c r="Y134" s="10" t="n"/>
      <c r="Z134" s="10" t="n"/>
      <c r="AA134" s="10" t="n"/>
      <c r="AB134" s="10" t="n"/>
    </row>
    <row r="135" ht="15.75" customHeight="1" s="297">
      <c r="A135" s="10" t="n"/>
      <c r="B135" s="10" t="n"/>
      <c r="C135" s="10" t="n"/>
      <c r="D135" s="10" t="n"/>
      <c r="E135" s="10" t="n"/>
      <c r="F135" s="10" t="n"/>
      <c r="G135" s="10" t="n"/>
      <c r="H135" s="10" t="n"/>
      <c r="I135" s="10" t="n"/>
      <c r="J135" s="10" t="n"/>
      <c r="K135" s="10" t="n"/>
      <c r="L135" s="10" t="n"/>
      <c r="M135" s="10" t="n"/>
      <c r="N135" s="10" t="n"/>
      <c r="O135" s="19" t="n"/>
      <c r="P135" s="19" t="n"/>
      <c r="Q135" s="10" t="n"/>
      <c r="R135" s="10" t="n"/>
      <c r="S135" s="10" t="n"/>
      <c r="T135" s="10" t="n"/>
      <c r="U135" s="10" t="n"/>
      <c r="V135" s="10" t="n"/>
      <c r="W135" s="10" t="n"/>
      <c r="X135" s="10" t="n"/>
      <c r="Y135" s="10" t="n"/>
      <c r="Z135" s="10" t="n"/>
      <c r="AA135" s="10" t="n"/>
      <c r="AB135" s="10" t="n"/>
    </row>
    <row r="136" ht="15.75" customHeight="1" s="297">
      <c r="A136" s="10" t="n"/>
      <c r="B136" s="10" t="n"/>
      <c r="C136" s="10" t="n"/>
      <c r="D136" s="10" t="n"/>
      <c r="E136" s="10" t="n"/>
      <c r="F136" s="10" t="n"/>
      <c r="G136" s="10" t="n"/>
      <c r="H136" s="10" t="n"/>
      <c r="I136" s="10" t="n"/>
      <c r="J136" s="10" t="n"/>
      <c r="K136" s="10" t="n"/>
      <c r="L136" s="10" t="n"/>
      <c r="M136" s="10" t="n"/>
      <c r="N136" s="10" t="n"/>
      <c r="O136" s="19" t="n"/>
      <c r="P136" s="19" t="n"/>
      <c r="Q136" s="10" t="n"/>
      <c r="R136" s="10" t="n"/>
      <c r="S136" s="10" t="n"/>
      <c r="T136" s="10" t="n"/>
      <c r="U136" s="10" t="n"/>
      <c r="V136" s="10" t="n"/>
      <c r="W136" s="10" t="n"/>
      <c r="X136" s="10" t="n"/>
      <c r="Y136" s="10" t="n"/>
      <c r="Z136" s="10" t="n"/>
      <c r="AA136" s="10" t="n"/>
      <c r="AB136" s="10" t="n"/>
    </row>
    <row r="137" ht="15.75" customHeight="1" s="297">
      <c r="A137" s="10" t="n"/>
      <c r="B137" s="10" t="n"/>
      <c r="C137" s="10" t="n"/>
      <c r="D137" s="10" t="n"/>
      <c r="E137" s="10" t="n"/>
      <c r="F137" s="10" t="n"/>
      <c r="G137" s="10" t="n"/>
      <c r="H137" s="10" t="n"/>
      <c r="I137" s="10" t="n"/>
      <c r="J137" s="10" t="n"/>
      <c r="K137" s="10" t="n"/>
      <c r="L137" s="10" t="n"/>
      <c r="M137" s="10" t="n"/>
      <c r="N137" s="10" t="n"/>
      <c r="O137" s="19" t="n"/>
      <c r="P137" s="19" t="n"/>
      <c r="Q137" s="10" t="n"/>
      <c r="R137" s="10" t="n"/>
      <c r="S137" s="10" t="n"/>
      <c r="T137" s="10" t="n"/>
      <c r="U137" s="10" t="n"/>
      <c r="V137" s="10" t="n"/>
      <c r="W137" s="10" t="n"/>
      <c r="X137" s="10" t="n"/>
      <c r="Y137" s="10" t="n"/>
      <c r="Z137" s="10" t="n"/>
      <c r="AA137" s="10" t="n"/>
      <c r="AB137" s="10" t="n"/>
    </row>
    <row r="138" ht="15.75" customHeight="1" s="297">
      <c r="A138" s="10" t="n"/>
      <c r="B138" s="10" t="n"/>
      <c r="C138" s="10" t="n"/>
      <c r="D138" s="10" t="n"/>
      <c r="E138" s="10" t="n"/>
      <c r="F138" s="10" t="n"/>
      <c r="G138" s="10" t="n"/>
      <c r="H138" s="10" t="n"/>
      <c r="I138" s="10" t="n"/>
      <c r="J138" s="10" t="n"/>
      <c r="K138" s="10" t="n"/>
      <c r="L138" s="10" t="n"/>
      <c r="M138" s="10" t="n"/>
      <c r="N138" s="10" t="n"/>
      <c r="O138" s="19" t="n"/>
      <c r="P138" s="19" t="n"/>
      <c r="Q138" s="10" t="n"/>
      <c r="R138" s="10" t="n"/>
      <c r="S138" s="10" t="n"/>
      <c r="T138" s="10" t="n"/>
      <c r="U138" s="10" t="n"/>
      <c r="V138" s="10" t="n"/>
      <c r="W138" s="10" t="n"/>
      <c r="X138" s="10" t="n"/>
      <c r="Y138" s="10" t="n"/>
      <c r="Z138" s="10" t="n"/>
      <c r="AA138" s="10" t="n"/>
      <c r="AB138" s="10" t="n"/>
    </row>
    <row r="139" ht="15.75" customHeight="1" s="297">
      <c r="A139" s="10" t="n"/>
      <c r="B139" s="10" t="n"/>
      <c r="C139" s="10" t="n"/>
      <c r="D139" s="10" t="n"/>
      <c r="E139" s="10" t="n"/>
      <c r="F139" s="10" t="n"/>
      <c r="G139" s="10" t="n"/>
      <c r="H139" s="10" t="n"/>
      <c r="I139" s="10" t="n"/>
      <c r="J139" s="10" t="n"/>
      <c r="K139" s="10" t="n"/>
      <c r="L139" s="10" t="n"/>
      <c r="M139" s="10" t="n"/>
      <c r="N139" s="10" t="n"/>
      <c r="O139" s="19" t="n"/>
      <c r="P139" s="19" t="n"/>
      <c r="Q139" s="10" t="n"/>
      <c r="R139" s="10" t="n"/>
      <c r="S139" s="10" t="n"/>
      <c r="T139" s="10" t="n"/>
      <c r="U139" s="10" t="n"/>
      <c r="V139" s="10" t="n"/>
      <c r="W139" s="10" t="n"/>
      <c r="X139" s="10" t="n"/>
      <c r="Y139" s="10" t="n"/>
      <c r="Z139" s="10" t="n"/>
      <c r="AA139" s="10" t="n"/>
      <c r="AB139" s="10" t="n"/>
    </row>
    <row r="140" ht="15.75" customHeight="1" s="297">
      <c r="A140" s="10" t="n"/>
      <c r="B140" s="10" t="n"/>
      <c r="C140" s="10" t="n"/>
      <c r="D140" s="10" t="n"/>
      <c r="E140" s="10" t="n"/>
      <c r="F140" s="10" t="n"/>
      <c r="G140" s="10" t="n"/>
      <c r="H140" s="10" t="n"/>
      <c r="I140" s="10" t="n"/>
      <c r="J140" s="10" t="n"/>
      <c r="K140" s="10" t="n"/>
      <c r="L140" s="10" t="n"/>
      <c r="M140" s="10" t="n"/>
      <c r="N140" s="10" t="n"/>
      <c r="O140" s="19" t="n"/>
      <c r="P140" s="19" t="n"/>
      <c r="Q140" s="10" t="n"/>
      <c r="R140" s="10" t="n"/>
      <c r="S140" s="10" t="n"/>
      <c r="T140" s="10" t="n"/>
      <c r="U140" s="10" t="n"/>
      <c r="V140" s="10" t="n"/>
      <c r="W140" s="10" t="n"/>
      <c r="X140" s="10" t="n"/>
      <c r="Y140" s="10" t="n"/>
      <c r="Z140" s="10" t="n"/>
      <c r="AA140" s="10" t="n"/>
      <c r="AB140" s="10" t="n"/>
    </row>
    <row r="141" ht="15.75" customHeight="1" s="297">
      <c r="A141" s="10" t="n"/>
      <c r="B141" s="10" t="n"/>
      <c r="C141" s="10" t="n"/>
      <c r="D141" s="10" t="n"/>
      <c r="E141" s="10" t="n"/>
      <c r="F141" s="10" t="n"/>
      <c r="G141" s="10" t="n"/>
      <c r="H141" s="10" t="n"/>
      <c r="I141" s="10" t="n"/>
      <c r="J141" s="10" t="n"/>
      <c r="K141" s="10" t="n"/>
      <c r="L141" s="10" t="n"/>
      <c r="M141" s="10" t="n"/>
      <c r="N141" s="10" t="n"/>
      <c r="O141" s="19" t="n"/>
      <c r="P141" s="19" t="n"/>
      <c r="Q141" s="10" t="n"/>
      <c r="R141" s="10" t="n"/>
      <c r="S141" s="10" t="n"/>
      <c r="T141" s="10" t="n"/>
      <c r="U141" s="10" t="n"/>
      <c r="V141" s="10" t="n"/>
      <c r="W141" s="10" t="n"/>
      <c r="X141" s="10" t="n"/>
      <c r="Y141" s="10" t="n"/>
      <c r="Z141" s="10" t="n"/>
      <c r="AA141" s="10" t="n"/>
      <c r="AB141" s="10" t="n"/>
    </row>
    <row r="142" ht="15.75" customHeight="1" s="297">
      <c r="A142" s="10" t="n"/>
      <c r="B142" s="10" t="n"/>
      <c r="C142" s="10" t="n"/>
      <c r="D142" s="10" t="n"/>
      <c r="E142" s="10" t="n"/>
      <c r="F142" s="10" t="n"/>
      <c r="G142" s="10" t="n"/>
      <c r="H142" s="10" t="n"/>
      <c r="I142" s="10" t="n"/>
      <c r="J142" s="10" t="n"/>
      <c r="K142" s="10" t="n"/>
      <c r="L142" s="10" t="n"/>
      <c r="M142" s="10" t="n"/>
      <c r="N142" s="10" t="n"/>
      <c r="O142" s="19" t="n"/>
      <c r="P142" s="19" t="n"/>
      <c r="Q142" s="10" t="n"/>
      <c r="R142" s="10" t="n"/>
      <c r="S142" s="10" t="n"/>
      <c r="T142" s="10" t="n"/>
      <c r="U142" s="10" t="n"/>
      <c r="V142" s="10" t="n"/>
      <c r="W142" s="10" t="n"/>
      <c r="X142" s="10" t="n"/>
      <c r="Y142" s="10" t="n"/>
      <c r="Z142" s="10" t="n"/>
      <c r="AA142" s="10" t="n"/>
      <c r="AB142" s="10" t="n"/>
    </row>
    <row r="143" ht="15.75" customHeight="1" s="297">
      <c r="A143" s="10" t="n"/>
      <c r="B143" s="10" t="n"/>
      <c r="C143" s="10" t="n"/>
      <c r="D143" s="10" t="n"/>
      <c r="E143" s="10" t="n"/>
      <c r="F143" s="10" t="n"/>
      <c r="G143" s="10" t="n"/>
      <c r="H143" s="10" t="n"/>
      <c r="I143" s="10" t="n"/>
      <c r="J143" s="10" t="n"/>
      <c r="K143" s="10" t="n"/>
      <c r="L143" s="10" t="n"/>
      <c r="M143" s="10" t="n"/>
      <c r="N143" s="10" t="n"/>
      <c r="O143" s="19" t="n"/>
      <c r="P143" s="19" t="n"/>
      <c r="Q143" s="10" t="n"/>
      <c r="R143" s="10" t="n"/>
      <c r="S143" s="10" t="n"/>
      <c r="T143" s="10" t="n"/>
      <c r="U143" s="10" t="n"/>
      <c r="V143" s="10" t="n"/>
      <c r="W143" s="10" t="n"/>
      <c r="X143" s="10" t="n"/>
      <c r="Y143" s="10" t="n"/>
      <c r="Z143" s="10" t="n"/>
      <c r="AA143" s="10" t="n"/>
      <c r="AB143" s="10" t="n"/>
    </row>
    <row r="144" ht="15.75" customHeight="1" s="297">
      <c r="A144" s="10" t="n"/>
      <c r="B144" s="10" t="n"/>
      <c r="C144" s="10" t="n"/>
      <c r="D144" s="10" t="n"/>
      <c r="E144" s="10" t="n"/>
      <c r="F144" s="10" t="n"/>
      <c r="G144" s="10" t="n"/>
      <c r="H144" s="10" t="n"/>
      <c r="I144" s="10" t="n"/>
      <c r="J144" s="10" t="n"/>
      <c r="K144" s="10" t="n"/>
      <c r="L144" s="10" t="n"/>
      <c r="M144" s="10" t="n"/>
      <c r="N144" s="10" t="n"/>
      <c r="O144" s="19" t="n"/>
      <c r="P144" s="19" t="n"/>
      <c r="Q144" s="10" t="n"/>
      <c r="R144" s="10" t="n"/>
      <c r="S144" s="10" t="n"/>
      <c r="T144" s="10" t="n"/>
      <c r="U144" s="10" t="n"/>
      <c r="V144" s="10" t="n"/>
      <c r="W144" s="10" t="n"/>
      <c r="X144" s="10" t="n"/>
      <c r="Y144" s="10" t="n"/>
      <c r="Z144" s="10" t="n"/>
      <c r="AA144" s="10" t="n"/>
      <c r="AB144" s="10" t="n"/>
    </row>
    <row r="145" ht="15.75" customHeight="1" s="297">
      <c r="A145" s="10" t="n"/>
      <c r="B145" s="10" t="n"/>
      <c r="C145" s="10" t="n"/>
      <c r="D145" s="10" t="n"/>
      <c r="E145" s="10" t="n"/>
      <c r="F145" s="10" t="n"/>
      <c r="G145" s="10" t="n"/>
      <c r="H145" s="10" t="n"/>
      <c r="I145" s="10" t="n"/>
      <c r="J145" s="10" t="n"/>
      <c r="K145" s="10" t="n"/>
      <c r="L145" s="10" t="n"/>
      <c r="M145" s="10" t="n"/>
      <c r="N145" s="10" t="n"/>
      <c r="O145" s="19" t="n"/>
      <c r="P145" s="19" t="n"/>
      <c r="Q145" s="10" t="n"/>
      <c r="R145" s="10" t="n"/>
      <c r="S145" s="10" t="n"/>
      <c r="T145" s="10" t="n"/>
      <c r="U145" s="10" t="n"/>
      <c r="V145" s="10" t="n"/>
      <c r="W145" s="10" t="n"/>
      <c r="X145" s="10" t="n"/>
      <c r="Y145" s="10" t="n"/>
      <c r="Z145" s="10" t="n"/>
      <c r="AA145" s="10" t="n"/>
      <c r="AB145" s="10" t="n"/>
    </row>
    <row r="146" ht="15.75" customHeight="1" s="297">
      <c r="A146" s="10" t="n"/>
      <c r="B146" s="10" t="n"/>
      <c r="C146" s="10" t="n"/>
      <c r="D146" s="10" t="n"/>
      <c r="E146" s="10" t="n"/>
      <c r="F146" s="10" t="n"/>
      <c r="G146" s="10" t="n"/>
      <c r="H146" s="10" t="n"/>
      <c r="I146" s="10" t="n"/>
      <c r="J146" s="10" t="n"/>
      <c r="K146" s="10" t="n"/>
      <c r="L146" s="10" t="n"/>
      <c r="M146" s="10" t="n"/>
      <c r="N146" s="10" t="n"/>
      <c r="O146" s="19" t="n"/>
      <c r="P146" s="19" t="n"/>
      <c r="Q146" s="10" t="n"/>
      <c r="R146" s="10" t="n"/>
      <c r="S146" s="10" t="n"/>
      <c r="T146" s="10" t="n"/>
      <c r="U146" s="10" t="n"/>
      <c r="V146" s="10" t="n"/>
      <c r="W146" s="10" t="n"/>
      <c r="X146" s="10" t="n"/>
      <c r="Y146" s="10" t="n"/>
      <c r="Z146" s="10" t="n"/>
      <c r="AA146" s="10" t="n"/>
      <c r="AB146" s="10" t="n"/>
    </row>
    <row r="147" ht="15.75" customHeight="1" s="297">
      <c r="A147" s="10" t="n"/>
      <c r="B147" s="10" t="n"/>
      <c r="C147" s="10" t="n"/>
      <c r="D147" s="10" t="n"/>
      <c r="E147" s="10" t="n"/>
      <c r="F147" s="10" t="n"/>
      <c r="G147" s="10" t="n"/>
      <c r="H147" s="10" t="n"/>
      <c r="I147" s="10" t="n"/>
      <c r="J147" s="10" t="n"/>
      <c r="K147" s="10" t="n"/>
      <c r="L147" s="10" t="n"/>
      <c r="M147" s="10" t="n"/>
      <c r="N147" s="10" t="n"/>
      <c r="O147" s="19" t="n"/>
      <c r="P147" s="19" t="n"/>
      <c r="Q147" s="10" t="n"/>
      <c r="R147" s="10" t="n"/>
      <c r="S147" s="10" t="n"/>
      <c r="T147" s="10" t="n"/>
      <c r="U147" s="10" t="n"/>
      <c r="V147" s="10" t="n"/>
      <c r="W147" s="10" t="n"/>
      <c r="X147" s="10" t="n"/>
      <c r="Y147" s="10" t="n"/>
      <c r="Z147" s="10" t="n"/>
      <c r="AA147" s="10" t="n"/>
      <c r="AB147" s="10" t="n"/>
    </row>
    <row r="148" ht="15.75" customHeight="1" s="297">
      <c r="A148" s="10" t="n"/>
      <c r="B148" s="10" t="n"/>
      <c r="C148" s="10" t="n"/>
      <c r="D148" s="10" t="n"/>
      <c r="E148" s="10" t="n"/>
      <c r="F148" s="10" t="n"/>
      <c r="G148" s="10" t="n"/>
      <c r="H148" s="10" t="n"/>
      <c r="I148" s="10" t="n"/>
      <c r="J148" s="10" t="n"/>
      <c r="K148" s="10" t="n"/>
      <c r="L148" s="10" t="n"/>
      <c r="M148" s="10" t="n"/>
      <c r="N148" s="10" t="n"/>
      <c r="O148" s="19" t="n"/>
      <c r="P148" s="19" t="n"/>
      <c r="Q148" s="10" t="n"/>
      <c r="R148" s="10" t="n"/>
      <c r="S148" s="10" t="n"/>
      <c r="T148" s="10" t="n"/>
      <c r="U148" s="10" t="n"/>
      <c r="V148" s="10" t="n"/>
      <c r="W148" s="10" t="n"/>
      <c r="X148" s="10" t="n"/>
      <c r="Y148" s="10" t="n"/>
      <c r="Z148" s="10" t="n"/>
      <c r="AA148" s="10" t="n"/>
      <c r="AB148" s="10" t="n"/>
    </row>
    <row r="149" ht="15.75" customHeight="1" s="297">
      <c r="A149" s="10" t="n"/>
      <c r="B149" s="10" t="n"/>
      <c r="C149" s="10" t="n"/>
      <c r="D149" s="10" t="n"/>
      <c r="E149" s="10" t="n"/>
      <c r="F149" s="10" t="n"/>
      <c r="G149" s="10" t="n"/>
      <c r="H149" s="10" t="n"/>
      <c r="I149" s="10" t="n"/>
      <c r="J149" s="10" t="n"/>
      <c r="K149" s="10" t="n"/>
      <c r="L149" s="10" t="n"/>
      <c r="M149" s="10" t="n"/>
      <c r="N149" s="10" t="n"/>
      <c r="O149" s="19" t="n"/>
      <c r="P149" s="19" t="n"/>
      <c r="Q149" s="10" t="n"/>
      <c r="R149" s="10" t="n"/>
      <c r="S149" s="10" t="n"/>
      <c r="T149" s="10" t="n"/>
      <c r="U149" s="10" t="n"/>
      <c r="V149" s="10" t="n"/>
      <c r="W149" s="10" t="n"/>
      <c r="X149" s="10" t="n"/>
      <c r="Y149" s="10" t="n"/>
      <c r="Z149" s="10" t="n"/>
      <c r="AA149" s="10" t="n"/>
      <c r="AB149" s="10" t="n"/>
    </row>
    <row r="150" ht="15.75" customHeight="1" s="297">
      <c r="A150" s="10" t="n"/>
      <c r="B150" s="10" t="n"/>
      <c r="C150" s="10" t="n"/>
      <c r="D150" s="10" t="n"/>
      <c r="E150" s="10" t="n"/>
      <c r="F150" s="10" t="n"/>
      <c r="G150" s="10" t="n"/>
      <c r="H150" s="10" t="n"/>
      <c r="I150" s="10" t="n"/>
      <c r="J150" s="10" t="n"/>
      <c r="K150" s="10" t="n"/>
      <c r="L150" s="10" t="n"/>
      <c r="M150" s="10" t="n"/>
      <c r="N150" s="10" t="n"/>
      <c r="O150" s="19" t="n"/>
      <c r="P150" s="19" t="n"/>
      <c r="Q150" s="10" t="n"/>
      <c r="R150" s="10" t="n"/>
      <c r="S150" s="10" t="n"/>
      <c r="T150" s="10" t="n"/>
      <c r="U150" s="10" t="n"/>
      <c r="V150" s="10" t="n"/>
      <c r="W150" s="10" t="n"/>
      <c r="X150" s="10" t="n"/>
      <c r="Y150" s="10" t="n"/>
      <c r="Z150" s="10" t="n"/>
      <c r="AA150" s="10" t="n"/>
      <c r="AB150" s="10" t="n"/>
    </row>
    <row r="151" ht="15.75" customHeight="1" s="297">
      <c r="A151" s="10" t="n"/>
      <c r="B151" s="10" t="n"/>
      <c r="C151" s="10" t="n"/>
      <c r="D151" s="10" t="n"/>
      <c r="E151" s="10" t="n"/>
      <c r="F151" s="10" t="n"/>
      <c r="G151" s="10" t="n"/>
      <c r="H151" s="10" t="n"/>
      <c r="I151" s="10" t="n"/>
      <c r="J151" s="10" t="n"/>
      <c r="K151" s="10" t="n"/>
      <c r="L151" s="10" t="n"/>
      <c r="M151" s="10" t="n"/>
      <c r="N151" s="10" t="n"/>
      <c r="O151" s="19" t="n"/>
      <c r="P151" s="19" t="n"/>
      <c r="Q151" s="10" t="n"/>
      <c r="R151" s="10" t="n"/>
      <c r="S151" s="10" t="n"/>
      <c r="T151" s="10" t="n"/>
      <c r="U151" s="10" t="n"/>
      <c r="V151" s="10" t="n"/>
      <c r="W151" s="10" t="n"/>
      <c r="X151" s="10" t="n"/>
      <c r="Y151" s="10" t="n"/>
      <c r="Z151" s="10" t="n"/>
      <c r="AA151" s="10" t="n"/>
      <c r="AB151" s="10" t="n"/>
    </row>
    <row r="152" ht="15.75" customHeight="1" s="297">
      <c r="A152" s="10" t="n"/>
      <c r="B152" s="10" t="n"/>
      <c r="C152" s="10" t="n"/>
      <c r="D152" s="10" t="n"/>
      <c r="E152" s="10" t="n"/>
      <c r="F152" s="10" t="n"/>
      <c r="G152" s="10" t="n"/>
      <c r="H152" s="10" t="n"/>
      <c r="I152" s="10" t="n"/>
      <c r="J152" s="10" t="n"/>
      <c r="K152" s="10" t="n"/>
      <c r="L152" s="10" t="n"/>
      <c r="M152" s="10" t="n"/>
      <c r="N152" s="10" t="n"/>
      <c r="O152" s="19" t="n"/>
      <c r="P152" s="19" t="n"/>
      <c r="Q152" s="10" t="n"/>
      <c r="R152" s="10" t="n"/>
      <c r="S152" s="10" t="n"/>
      <c r="T152" s="10" t="n"/>
      <c r="U152" s="10" t="n"/>
      <c r="V152" s="10" t="n"/>
      <c r="W152" s="10" t="n"/>
      <c r="X152" s="10" t="n"/>
      <c r="Y152" s="10" t="n"/>
      <c r="Z152" s="10" t="n"/>
      <c r="AA152" s="10" t="n"/>
      <c r="AB152" s="10" t="n"/>
    </row>
    <row r="153" ht="15.75" customHeight="1" s="297">
      <c r="A153" s="10" t="n"/>
      <c r="B153" s="10" t="n"/>
      <c r="C153" s="10" t="n"/>
      <c r="D153" s="10" t="n"/>
      <c r="E153" s="10" t="n"/>
      <c r="F153" s="10" t="n"/>
      <c r="G153" s="10" t="n"/>
      <c r="H153" s="10" t="n"/>
      <c r="I153" s="10" t="n"/>
      <c r="J153" s="10" t="n"/>
      <c r="K153" s="10" t="n"/>
      <c r="L153" s="10" t="n"/>
      <c r="M153" s="10" t="n"/>
      <c r="N153" s="10" t="n"/>
      <c r="O153" s="19" t="n"/>
      <c r="P153" s="19" t="n"/>
      <c r="Q153" s="10" t="n"/>
      <c r="R153" s="10" t="n"/>
      <c r="S153" s="10" t="n"/>
      <c r="T153" s="10" t="n"/>
      <c r="U153" s="10" t="n"/>
      <c r="V153" s="10" t="n"/>
      <c r="W153" s="10" t="n"/>
      <c r="X153" s="10" t="n"/>
      <c r="Y153" s="10" t="n"/>
      <c r="Z153" s="10" t="n"/>
      <c r="AA153" s="10" t="n"/>
      <c r="AB153" s="10" t="n"/>
    </row>
    <row r="154" ht="15.75" customHeight="1" s="297">
      <c r="A154" s="10" t="n"/>
      <c r="B154" s="10" t="n"/>
      <c r="C154" s="10" t="n"/>
      <c r="D154" s="10" t="n"/>
      <c r="E154" s="10" t="n"/>
      <c r="F154" s="10" t="n"/>
      <c r="G154" s="10" t="n"/>
      <c r="H154" s="10" t="n"/>
      <c r="I154" s="10" t="n"/>
      <c r="J154" s="10" t="n"/>
      <c r="K154" s="10" t="n"/>
      <c r="L154" s="10" t="n"/>
      <c r="M154" s="10" t="n"/>
      <c r="N154" s="10" t="n"/>
      <c r="O154" s="19" t="n"/>
      <c r="P154" s="19" t="n"/>
      <c r="Q154" s="10" t="n"/>
      <c r="R154" s="10" t="n"/>
      <c r="S154" s="10" t="n"/>
      <c r="T154" s="10" t="n"/>
      <c r="U154" s="10" t="n"/>
      <c r="V154" s="10" t="n"/>
      <c r="W154" s="10" t="n"/>
      <c r="X154" s="10" t="n"/>
      <c r="Y154" s="10" t="n"/>
      <c r="Z154" s="10" t="n"/>
      <c r="AA154" s="10" t="n"/>
      <c r="AB154" s="10" t="n"/>
    </row>
    <row r="155" ht="15.75" customHeight="1" s="297">
      <c r="A155" s="10" t="n"/>
      <c r="B155" s="10" t="n"/>
      <c r="C155" s="10" t="n"/>
      <c r="D155" s="10" t="n"/>
      <c r="E155" s="10" t="n"/>
      <c r="F155" s="10" t="n"/>
      <c r="G155" s="10" t="n"/>
      <c r="H155" s="10" t="n"/>
      <c r="I155" s="10" t="n"/>
      <c r="J155" s="10" t="n"/>
      <c r="K155" s="10" t="n"/>
      <c r="L155" s="10" t="n"/>
      <c r="M155" s="10" t="n"/>
      <c r="N155" s="10" t="n"/>
      <c r="O155" s="19" t="n"/>
      <c r="P155" s="19" t="n"/>
      <c r="Q155" s="10" t="n"/>
      <c r="R155" s="10" t="n"/>
      <c r="S155" s="10" t="n"/>
      <c r="T155" s="10" t="n"/>
      <c r="U155" s="10" t="n"/>
      <c r="V155" s="10" t="n"/>
      <c r="W155" s="10" t="n"/>
      <c r="X155" s="10" t="n"/>
      <c r="Y155" s="10" t="n"/>
      <c r="Z155" s="10" t="n"/>
      <c r="AA155" s="10" t="n"/>
      <c r="AB155" s="10" t="n"/>
    </row>
    <row r="156" ht="15.75" customHeight="1" s="297">
      <c r="A156" s="10" t="n"/>
      <c r="B156" s="10" t="n"/>
      <c r="C156" s="10" t="n"/>
      <c r="D156" s="10" t="n"/>
      <c r="E156" s="10" t="n"/>
      <c r="F156" s="10" t="n"/>
      <c r="G156" s="10" t="n"/>
      <c r="H156" s="10" t="n"/>
      <c r="I156" s="10" t="n"/>
      <c r="J156" s="10" t="n"/>
      <c r="K156" s="10" t="n"/>
      <c r="L156" s="10" t="n"/>
      <c r="M156" s="10" t="n"/>
      <c r="N156" s="10" t="n"/>
      <c r="O156" s="19" t="n"/>
      <c r="P156" s="19" t="n"/>
      <c r="Q156" s="10" t="n"/>
      <c r="R156" s="10" t="n"/>
      <c r="S156" s="10" t="n"/>
      <c r="T156" s="10" t="n"/>
      <c r="U156" s="10" t="n"/>
      <c r="V156" s="10" t="n"/>
      <c r="W156" s="10" t="n"/>
      <c r="X156" s="10" t="n"/>
      <c r="Y156" s="10" t="n"/>
      <c r="Z156" s="10" t="n"/>
      <c r="AA156" s="10" t="n"/>
      <c r="AB156" s="10" t="n"/>
    </row>
    <row r="157" ht="15.75" customHeight="1" s="297">
      <c r="A157" s="10" t="n"/>
      <c r="B157" s="10" t="n"/>
      <c r="C157" s="10" t="n"/>
      <c r="D157" s="10" t="n"/>
      <c r="E157" s="10" t="n"/>
      <c r="F157" s="10" t="n"/>
      <c r="G157" s="10" t="n"/>
      <c r="H157" s="10" t="n"/>
      <c r="I157" s="10" t="n"/>
      <c r="J157" s="10" t="n"/>
      <c r="K157" s="10" t="n"/>
      <c r="L157" s="10" t="n"/>
      <c r="M157" s="10" t="n"/>
      <c r="N157" s="10" t="n"/>
      <c r="O157" s="19" t="n"/>
      <c r="P157" s="19" t="n"/>
      <c r="Q157" s="10" t="n"/>
      <c r="R157" s="10" t="n"/>
      <c r="S157" s="10" t="n"/>
      <c r="T157" s="10" t="n"/>
      <c r="U157" s="10" t="n"/>
      <c r="V157" s="10" t="n"/>
      <c r="W157" s="10" t="n"/>
      <c r="X157" s="10" t="n"/>
      <c r="Y157" s="10" t="n"/>
      <c r="Z157" s="10" t="n"/>
      <c r="AA157" s="10" t="n"/>
      <c r="AB157" s="10" t="n"/>
    </row>
    <row r="158" ht="15.75" customHeight="1" s="297">
      <c r="A158" s="10" t="n"/>
      <c r="B158" s="10" t="n"/>
      <c r="C158" s="10" t="n"/>
      <c r="D158" s="10" t="n"/>
      <c r="E158" s="10" t="n"/>
      <c r="F158" s="10" t="n"/>
      <c r="G158" s="10" t="n"/>
      <c r="H158" s="10" t="n"/>
      <c r="I158" s="10" t="n"/>
      <c r="J158" s="10" t="n"/>
      <c r="K158" s="10" t="n"/>
      <c r="L158" s="10" t="n"/>
      <c r="M158" s="10" t="n"/>
      <c r="N158" s="10" t="n"/>
      <c r="O158" s="19" t="n"/>
      <c r="P158" s="19" t="n"/>
      <c r="Q158" s="10" t="n"/>
      <c r="R158" s="10" t="n"/>
      <c r="S158" s="10" t="n"/>
      <c r="T158" s="10" t="n"/>
      <c r="U158" s="10" t="n"/>
      <c r="V158" s="10" t="n"/>
      <c r="W158" s="10" t="n"/>
      <c r="X158" s="10" t="n"/>
      <c r="Y158" s="10" t="n"/>
      <c r="Z158" s="10" t="n"/>
      <c r="AA158" s="10" t="n"/>
      <c r="AB158" s="10" t="n"/>
    </row>
    <row r="159" ht="15.75" customHeight="1" s="297">
      <c r="A159" s="10" t="n"/>
      <c r="B159" s="10" t="n"/>
      <c r="C159" s="10" t="n"/>
      <c r="D159" s="10" t="n"/>
      <c r="E159" s="10" t="n"/>
      <c r="F159" s="10" t="n"/>
      <c r="G159" s="10" t="n"/>
      <c r="H159" s="10" t="n"/>
      <c r="I159" s="10" t="n"/>
      <c r="J159" s="10" t="n"/>
      <c r="K159" s="10" t="n"/>
      <c r="L159" s="10" t="n"/>
      <c r="M159" s="10" t="n"/>
      <c r="N159" s="10" t="n"/>
      <c r="O159" s="19" t="n"/>
      <c r="P159" s="19" t="n"/>
      <c r="Q159" s="10" t="n"/>
      <c r="R159" s="10" t="n"/>
      <c r="S159" s="10" t="n"/>
      <c r="T159" s="10" t="n"/>
      <c r="U159" s="10" t="n"/>
      <c r="V159" s="10" t="n"/>
      <c r="W159" s="10" t="n"/>
      <c r="X159" s="10" t="n"/>
      <c r="Y159" s="10" t="n"/>
      <c r="Z159" s="10" t="n"/>
      <c r="AA159" s="10" t="n"/>
      <c r="AB159" s="10" t="n"/>
    </row>
    <row r="160" ht="15.75" customHeight="1" s="297">
      <c r="A160" s="10" t="n"/>
      <c r="B160" s="10" t="n"/>
      <c r="C160" s="10" t="n"/>
      <c r="D160" s="10" t="n"/>
      <c r="E160" s="10" t="n"/>
      <c r="F160" s="10" t="n"/>
      <c r="G160" s="10" t="n"/>
      <c r="H160" s="10" t="n"/>
      <c r="I160" s="10" t="n"/>
      <c r="J160" s="10" t="n"/>
      <c r="K160" s="10" t="n"/>
      <c r="L160" s="10" t="n"/>
      <c r="M160" s="10" t="n"/>
      <c r="N160" s="10" t="n"/>
      <c r="O160" s="19" t="n"/>
      <c r="P160" s="19" t="n"/>
      <c r="Q160" s="10" t="n"/>
      <c r="R160" s="10" t="n"/>
      <c r="S160" s="10" t="n"/>
      <c r="T160" s="10" t="n"/>
      <c r="U160" s="10" t="n"/>
      <c r="V160" s="10" t="n"/>
      <c r="W160" s="10" t="n"/>
      <c r="X160" s="10" t="n"/>
      <c r="Y160" s="10" t="n"/>
      <c r="Z160" s="10" t="n"/>
      <c r="AA160" s="10" t="n"/>
      <c r="AB160" s="10" t="n"/>
    </row>
    <row r="161" ht="15.75" customHeight="1" s="297">
      <c r="A161" s="10" t="n"/>
      <c r="B161" s="10" t="n"/>
      <c r="C161" s="10" t="n"/>
      <c r="D161" s="10" t="n"/>
      <c r="E161" s="10" t="n"/>
      <c r="F161" s="10" t="n"/>
      <c r="G161" s="10" t="n"/>
      <c r="H161" s="10" t="n"/>
      <c r="I161" s="10" t="n"/>
      <c r="J161" s="10" t="n"/>
      <c r="K161" s="10" t="n"/>
      <c r="L161" s="10" t="n"/>
      <c r="M161" s="10" t="n"/>
      <c r="N161" s="10" t="n"/>
      <c r="O161" s="19" t="n"/>
      <c r="P161" s="19" t="n"/>
      <c r="Q161" s="10" t="n"/>
      <c r="R161" s="10" t="n"/>
      <c r="S161" s="10" t="n"/>
      <c r="T161" s="10" t="n"/>
      <c r="U161" s="10" t="n"/>
      <c r="V161" s="10" t="n"/>
      <c r="W161" s="10" t="n"/>
      <c r="X161" s="10" t="n"/>
      <c r="Y161" s="10" t="n"/>
      <c r="Z161" s="10" t="n"/>
      <c r="AA161" s="10" t="n"/>
      <c r="AB161" s="10" t="n"/>
    </row>
    <row r="162" ht="15.75" customHeight="1" s="297">
      <c r="A162" s="10" t="n"/>
      <c r="B162" s="10" t="n"/>
      <c r="C162" s="10" t="n"/>
      <c r="D162" s="10" t="n"/>
      <c r="E162" s="10" t="n"/>
      <c r="F162" s="10" t="n"/>
      <c r="G162" s="10" t="n"/>
      <c r="H162" s="10" t="n"/>
      <c r="I162" s="10" t="n"/>
      <c r="J162" s="10" t="n"/>
      <c r="K162" s="10" t="n"/>
      <c r="L162" s="10" t="n"/>
      <c r="M162" s="10" t="n"/>
      <c r="N162" s="10" t="n"/>
      <c r="O162" s="19" t="n"/>
      <c r="P162" s="19" t="n"/>
      <c r="Q162" s="10" t="n"/>
      <c r="R162" s="10" t="n"/>
      <c r="S162" s="10" t="n"/>
      <c r="T162" s="10" t="n"/>
      <c r="U162" s="10" t="n"/>
      <c r="V162" s="10" t="n"/>
      <c r="W162" s="10" t="n"/>
      <c r="X162" s="10" t="n"/>
      <c r="Y162" s="10" t="n"/>
      <c r="Z162" s="10" t="n"/>
      <c r="AA162" s="10" t="n"/>
      <c r="AB162" s="10" t="n"/>
    </row>
    <row r="163" ht="15.75" customHeight="1" s="297">
      <c r="A163" s="10" t="n"/>
      <c r="B163" s="10" t="n"/>
      <c r="C163" s="10" t="n"/>
      <c r="D163" s="10" t="n"/>
      <c r="E163" s="10" t="n"/>
      <c r="F163" s="10" t="n"/>
      <c r="G163" s="10" t="n"/>
      <c r="H163" s="10" t="n"/>
      <c r="I163" s="10" t="n"/>
      <c r="J163" s="10" t="n"/>
      <c r="K163" s="10" t="n"/>
      <c r="L163" s="10" t="n"/>
      <c r="M163" s="10" t="n"/>
      <c r="N163" s="10" t="n"/>
      <c r="O163" s="19" t="n"/>
      <c r="P163" s="19" t="n"/>
      <c r="Q163" s="10" t="n"/>
      <c r="R163" s="10" t="n"/>
      <c r="S163" s="10" t="n"/>
      <c r="T163" s="10" t="n"/>
      <c r="U163" s="10" t="n"/>
      <c r="V163" s="10" t="n"/>
      <c r="W163" s="10" t="n"/>
      <c r="X163" s="10" t="n"/>
      <c r="Y163" s="10" t="n"/>
      <c r="Z163" s="10" t="n"/>
      <c r="AA163" s="10" t="n"/>
      <c r="AB163" s="10" t="n"/>
    </row>
    <row r="164" ht="15.75" customHeight="1" s="297">
      <c r="A164" s="10" t="n"/>
      <c r="B164" s="10" t="n"/>
      <c r="C164" s="10" t="n"/>
      <c r="D164" s="10" t="n"/>
      <c r="E164" s="10" t="n"/>
      <c r="F164" s="10" t="n"/>
      <c r="G164" s="10" t="n"/>
      <c r="H164" s="10" t="n"/>
      <c r="I164" s="10" t="n"/>
      <c r="J164" s="10" t="n"/>
      <c r="K164" s="10" t="n"/>
      <c r="L164" s="10" t="n"/>
      <c r="M164" s="10" t="n"/>
      <c r="N164" s="10" t="n"/>
      <c r="O164" s="19" t="n"/>
      <c r="P164" s="19" t="n"/>
      <c r="Q164" s="10" t="n"/>
      <c r="R164" s="10" t="n"/>
      <c r="S164" s="10" t="n"/>
      <c r="T164" s="10" t="n"/>
      <c r="U164" s="10" t="n"/>
      <c r="V164" s="10" t="n"/>
      <c r="W164" s="10" t="n"/>
      <c r="X164" s="10" t="n"/>
      <c r="Y164" s="10" t="n"/>
      <c r="Z164" s="10" t="n"/>
      <c r="AA164" s="10" t="n"/>
      <c r="AB164" s="10" t="n"/>
    </row>
    <row r="165" ht="15.75" customHeight="1" s="297">
      <c r="A165" s="10" t="n"/>
      <c r="B165" s="10" t="n"/>
      <c r="C165" s="10" t="n"/>
      <c r="D165" s="10" t="n"/>
      <c r="E165" s="10" t="n"/>
      <c r="F165" s="10" t="n"/>
      <c r="G165" s="10" t="n"/>
      <c r="H165" s="10" t="n"/>
      <c r="I165" s="10" t="n"/>
      <c r="J165" s="10" t="n"/>
      <c r="K165" s="10" t="n"/>
      <c r="L165" s="10" t="n"/>
      <c r="M165" s="10" t="n"/>
      <c r="N165" s="10" t="n"/>
      <c r="O165" s="19" t="n"/>
      <c r="P165" s="19" t="n"/>
      <c r="Q165" s="10" t="n"/>
      <c r="R165" s="10" t="n"/>
      <c r="S165" s="10" t="n"/>
      <c r="T165" s="10" t="n"/>
      <c r="U165" s="10" t="n"/>
      <c r="V165" s="10" t="n"/>
      <c r="W165" s="10" t="n"/>
      <c r="X165" s="10" t="n"/>
      <c r="Y165" s="10" t="n"/>
      <c r="Z165" s="10" t="n"/>
      <c r="AA165" s="10" t="n"/>
      <c r="AB165" s="10" t="n"/>
    </row>
    <row r="166" ht="15.75" customHeight="1" s="297">
      <c r="A166" s="10" t="n"/>
      <c r="B166" s="10" t="n"/>
      <c r="C166" s="10" t="n"/>
      <c r="D166" s="10" t="n"/>
      <c r="E166" s="10" t="n"/>
      <c r="F166" s="10" t="n"/>
      <c r="G166" s="10" t="n"/>
      <c r="H166" s="10" t="n"/>
      <c r="I166" s="10" t="n"/>
      <c r="J166" s="10" t="n"/>
      <c r="K166" s="10" t="n"/>
      <c r="L166" s="10" t="n"/>
      <c r="M166" s="10" t="n"/>
      <c r="N166" s="10" t="n"/>
      <c r="O166" s="19" t="n"/>
      <c r="P166" s="19" t="n"/>
      <c r="Q166" s="10" t="n"/>
      <c r="R166" s="10" t="n"/>
      <c r="S166" s="10" t="n"/>
      <c r="T166" s="10" t="n"/>
      <c r="U166" s="10" t="n"/>
      <c r="V166" s="10" t="n"/>
      <c r="W166" s="10" t="n"/>
      <c r="X166" s="10" t="n"/>
      <c r="Y166" s="10" t="n"/>
      <c r="Z166" s="10" t="n"/>
      <c r="AA166" s="10" t="n"/>
      <c r="AB166" s="10" t="n"/>
    </row>
    <row r="167" ht="15.75" customHeight="1" s="297">
      <c r="A167" s="10" t="n"/>
      <c r="B167" s="10" t="n"/>
      <c r="C167" s="10" t="n"/>
      <c r="D167" s="10" t="n"/>
      <c r="E167" s="10" t="n"/>
      <c r="F167" s="10" t="n"/>
      <c r="G167" s="10" t="n"/>
      <c r="H167" s="10" t="n"/>
      <c r="I167" s="10" t="n"/>
      <c r="J167" s="10" t="n"/>
      <c r="K167" s="10" t="n"/>
      <c r="L167" s="10" t="n"/>
      <c r="M167" s="10" t="n"/>
      <c r="N167" s="10" t="n"/>
      <c r="O167" s="19" t="n"/>
      <c r="P167" s="19" t="n"/>
      <c r="Q167" s="10" t="n"/>
      <c r="R167" s="10" t="n"/>
      <c r="S167" s="10" t="n"/>
      <c r="T167" s="10" t="n"/>
      <c r="U167" s="10" t="n"/>
      <c r="V167" s="10" t="n"/>
      <c r="W167" s="10" t="n"/>
      <c r="X167" s="10" t="n"/>
      <c r="Y167" s="10" t="n"/>
      <c r="Z167" s="10" t="n"/>
      <c r="AA167" s="10" t="n"/>
      <c r="AB167" s="10" t="n"/>
    </row>
    <row r="168" ht="15.75" customHeight="1" s="297">
      <c r="A168" s="10" t="n"/>
      <c r="B168" s="10" t="n"/>
      <c r="C168" s="10" t="n"/>
      <c r="D168" s="10" t="n"/>
      <c r="E168" s="10" t="n"/>
      <c r="F168" s="10" t="n"/>
      <c r="G168" s="10" t="n"/>
      <c r="H168" s="10" t="n"/>
      <c r="I168" s="10" t="n"/>
      <c r="J168" s="10" t="n"/>
      <c r="K168" s="10" t="n"/>
      <c r="L168" s="10" t="n"/>
      <c r="M168" s="10" t="n"/>
      <c r="N168" s="10" t="n"/>
      <c r="O168" s="19" t="n"/>
      <c r="P168" s="19" t="n"/>
      <c r="Q168" s="10" t="n"/>
      <c r="R168" s="10" t="n"/>
      <c r="S168" s="10" t="n"/>
      <c r="T168" s="10" t="n"/>
      <c r="U168" s="10" t="n"/>
      <c r="V168" s="10" t="n"/>
      <c r="W168" s="10" t="n"/>
      <c r="X168" s="10" t="n"/>
      <c r="Y168" s="10" t="n"/>
      <c r="Z168" s="10" t="n"/>
      <c r="AA168" s="10" t="n"/>
      <c r="AB168" s="10" t="n"/>
    </row>
    <row r="169" ht="15.75" customHeight="1" s="297">
      <c r="A169" s="10" t="n"/>
      <c r="B169" s="10" t="n"/>
      <c r="C169" s="10" t="n"/>
      <c r="D169" s="10" t="n"/>
      <c r="E169" s="10" t="n"/>
      <c r="F169" s="10" t="n"/>
      <c r="G169" s="10" t="n"/>
      <c r="H169" s="10" t="n"/>
      <c r="I169" s="10" t="n"/>
      <c r="J169" s="10" t="n"/>
      <c r="K169" s="10" t="n"/>
      <c r="L169" s="10" t="n"/>
      <c r="M169" s="10" t="n"/>
      <c r="N169" s="10" t="n"/>
      <c r="O169" s="19" t="n"/>
      <c r="P169" s="19" t="n"/>
      <c r="Q169" s="10" t="n"/>
      <c r="R169" s="10" t="n"/>
      <c r="S169" s="10" t="n"/>
      <c r="T169" s="10" t="n"/>
      <c r="U169" s="10" t="n"/>
      <c r="V169" s="10" t="n"/>
      <c r="W169" s="10" t="n"/>
      <c r="X169" s="10" t="n"/>
      <c r="Y169" s="10" t="n"/>
      <c r="Z169" s="10" t="n"/>
      <c r="AA169" s="10" t="n"/>
      <c r="AB169" s="10" t="n"/>
    </row>
    <row r="170" ht="15.75" customHeight="1" s="297">
      <c r="A170" s="10" t="n"/>
      <c r="B170" s="10" t="n"/>
      <c r="C170" s="10" t="n"/>
      <c r="D170" s="10" t="n"/>
      <c r="E170" s="10" t="n"/>
      <c r="F170" s="10" t="n"/>
      <c r="G170" s="10" t="n"/>
      <c r="H170" s="10" t="n"/>
      <c r="I170" s="10" t="n"/>
      <c r="J170" s="10" t="n"/>
      <c r="K170" s="10" t="n"/>
      <c r="L170" s="10" t="n"/>
      <c r="M170" s="10" t="n"/>
      <c r="N170" s="10" t="n"/>
      <c r="O170" s="19" t="n"/>
      <c r="P170" s="19" t="n"/>
      <c r="Q170" s="10" t="n"/>
      <c r="R170" s="10" t="n"/>
      <c r="S170" s="10" t="n"/>
      <c r="T170" s="10" t="n"/>
      <c r="U170" s="10" t="n"/>
      <c r="V170" s="10" t="n"/>
      <c r="W170" s="10" t="n"/>
      <c r="X170" s="10" t="n"/>
      <c r="Y170" s="10" t="n"/>
      <c r="Z170" s="10" t="n"/>
      <c r="AA170" s="10" t="n"/>
      <c r="AB170" s="10" t="n"/>
    </row>
    <row r="171" ht="15.75" customHeight="1" s="297">
      <c r="A171" s="10" t="n"/>
      <c r="B171" s="10" t="n"/>
      <c r="C171" s="10" t="n"/>
      <c r="D171" s="10" t="n"/>
      <c r="E171" s="10" t="n"/>
      <c r="F171" s="10" t="n"/>
      <c r="G171" s="10" t="n"/>
      <c r="H171" s="10" t="n"/>
      <c r="I171" s="10" t="n"/>
      <c r="J171" s="10" t="n"/>
      <c r="K171" s="10" t="n"/>
      <c r="L171" s="10" t="n"/>
      <c r="M171" s="10" t="n"/>
      <c r="N171" s="10" t="n"/>
      <c r="O171" s="19" t="n"/>
      <c r="P171" s="19" t="n"/>
      <c r="Q171" s="10" t="n"/>
      <c r="R171" s="10" t="n"/>
      <c r="S171" s="10" t="n"/>
      <c r="T171" s="10" t="n"/>
      <c r="U171" s="10" t="n"/>
      <c r="V171" s="10" t="n"/>
      <c r="W171" s="10" t="n"/>
      <c r="X171" s="10" t="n"/>
      <c r="Y171" s="10" t="n"/>
      <c r="Z171" s="10" t="n"/>
      <c r="AA171" s="10" t="n"/>
      <c r="AB171" s="10" t="n"/>
    </row>
    <row r="172" ht="15.75" customHeight="1" s="297">
      <c r="A172" s="10" t="n"/>
      <c r="B172" s="10" t="n"/>
      <c r="C172" s="10" t="n"/>
      <c r="D172" s="10" t="n"/>
      <c r="E172" s="10" t="n"/>
      <c r="F172" s="10" t="n"/>
      <c r="G172" s="10" t="n"/>
      <c r="H172" s="10" t="n"/>
      <c r="I172" s="10" t="n"/>
      <c r="J172" s="10" t="n"/>
      <c r="K172" s="10" t="n"/>
      <c r="L172" s="10" t="n"/>
      <c r="M172" s="10" t="n"/>
      <c r="N172" s="10" t="n"/>
      <c r="O172" s="19" t="n"/>
      <c r="P172" s="19" t="n"/>
      <c r="Q172" s="10" t="n"/>
      <c r="R172" s="10" t="n"/>
      <c r="S172" s="10" t="n"/>
      <c r="T172" s="10" t="n"/>
      <c r="U172" s="10" t="n"/>
      <c r="V172" s="10" t="n"/>
      <c r="W172" s="10" t="n"/>
      <c r="X172" s="10" t="n"/>
      <c r="Y172" s="10" t="n"/>
      <c r="Z172" s="10" t="n"/>
      <c r="AA172" s="10" t="n"/>
      <c r="AB172" s="10" t="n"/>
    </row>
    <row r="173" ht="15.75" customHeight="1" s="297">
      <c r="A173" s="10" t="n"/>
      <c r="B173" s="10" t="n"/>
      <c r="C173" s="10" t="n"/>
      <c r="D173" s="10" t="n"/>
      <c r="E173" s="10" t="n"/>
      <c r="F173" s="10" t="n"/>
      <c r="G173" s="10" t="n"/>
      <c r="H173" s="10" t="n"/>
      <c r="I173" s="10" t="n"/>
      <c r="J173" s="10" t="n"/>
      <c r="K173" s="10" t="n"/>
      <c r="L173" s="10" t="n"/>
      <c r="M173" s="10" t="n"/>
      <c r="N173" s="10" t="n"/>
      <c r="O173" s="19" t="n"/>
      <c r="P173" s="19" t="n"/>
      <c r="Q173" s="10" t="n"/>
      <c r="R173" s="10" t="n"/>
      <c r="S173" s="10" t="n"/>
      <c r="T173" s="10" t="n"/>
      <c r="U173" s="10" t="n"/>
      <c r="V173" s="10" t="n"/>
      <c r="W173" s="10" t="n"/>
      <c r="X173" s="10" t="n"/>
      <c r="Y173" s="10" t="n"/>
      <c r="Z173" s="10" t="n"/>
      <c r="AA173" s="10" t="n"/>
      <c r="AB173" s="10" t="n"/>
    </row>
    <row r="174" ht="15.75" customHeight="1" s="297">
      <c r="A174" s="10" t="n"/>
      <c r="B174" s="10" t="n"/>
      <c r="C174" s="10" t="n"/>
      <c r="D174" s="10" t="n"/>
      <c r="E174" s="10" t="n"/>
      <c r="F174" s="10" t="n"/>
      <c r="G174" s="10" t="n"/>
      <c r="H174" s="10" t="n"/>
      <c r="I174" s="10" t="n"/>
      <c r="J174" s="10" t="n"/>
      <c r="K174" s="10" t="n"/>
      <c r="L174" s="10" t="n"/>
      <c r="M174" s="10" t="n"/>
      <c r="N174" s="10" t="n"/>
      <c r="O174" s="19" t="n"/>
      <c r="P174" s="19" t="n"/>
      <c r="Q174" s="10" t="n"/>
      <c r="R174" s="10" t="n"/>
      <c r="S174" s="10" t="n"/>
      <c r="T174" s="10" t="n"/>
      <c r="U174" s="10" t="n"/>
      <c r="V174" s="10" t="n"/>
      <c r="W174" s="10" t="n"/>
      <c r="X174" s="10" t="n"/>
      <c r="Y174" s="10" t="n"/>
      <c r="Z174" s="10" t="n"/>
      <c r="AA174" s="10" t="n"/>
      <c r="AB174" s="10" t="n"/>
    </row>
    <row r="175" ht="15.75" customHeight="1" s="297">
      <c r="A175" s="10" t="n"/>
      <c r="B175" s="10" t="n"/>
      <c r="C175" s="10" t="n"/>
      <c r="D175" s="10" t="n"/>
      <c r="E175" s="10" t="n"/>
      <c r="F175" s="10" t="n"/>
      <c r="G175" s="10" t="n"/>
      <c r="H175" s="10" t="n"/>
      <c r="I175" s="10" t="n"/>
      <c r="J175" s="10" t="n"/>
      <c r="K175" s="10" t="n"/>
      <c r="L175" s="10" t="n"/>
      <c r="M175" s="10" t="n"/>
      <c r="N175" s="10" t="n"/>
      <c r="O175" s="19" t="n"/>
      <c r="P175" s="19" t="n"/>
      <c r="Q175" s="10" t="n"/>
      <c r="R175" s="10" t="n"/>
      <c r="S175" s="10" t="n"/>
      <c r="T175" s="10" t="n"/>
      <c r="U175" s="10" t="n"/>
      <c r="V175" s="10" t="n"/>
      <c r="W175" s="10" t="n"/>
      <c r="X175" s="10" t="n"/>
      <c r="Y175" s="10" t="n"/>
      <c r="Z175" s="10" t="n"/>
      <c r="AA175" s="10" t="n"/>
      <c r="AB175" s="10" t="n"/>
    </row>
    <row r="176" ht="15.75" customHeight="1" s="297">
      <c r="A176" s="10" t="n"/>
      <c r="B176" s="10" t="n"/>
      <c r="C176" s="10" t="n"/>
      <c r="D176" s="10" t="n"/>
      <c r="E176" s="10" t="n"/>
      <c r="F176" s="10" t="n"/>
      <c r="G176" s="10" t="n"/>
      <c r="H176" s="10" t="n"/>
      <c r="I176" s="10" t="n"/>
      <c r="J176" s="10" t="n"/>
      <c r="K176" s="10" t="n"/>
      <c r="L176" s="10" t="n"/>
      <c r="M176" s="10" t="n"/>
      <c r="N176" s="10" t="n"/>
      <c r="O176" s="19" t="n"/>
      <c r="P176" s="19" t="n"/>
      <c r="Q176" s="10" t="n"/>
      <c r="R176" s="10" t="n"/>
      <c r="S176" s="10" t="n"/>
      <c r="T176" s="10" t="n"/>
      <c r="U176" s="10" t="n"/>
      <c r="V176" s="10" t="n"/>
      <c r="W176" s="10" t="n"/>
      <c r="X176" s="10" t="n"/>
      <c r="Y176" s="10" t="n"/>
      <c r="Z176" s="10" t="n"/>
      <c r="AA176" s="10" t="n"/>
      <c r="AB176" s="10" t="n"/>
    </row>
    <row r="177" ht="15.75" customHeight="1" s="297">
      <c r="A177" s="10" t="n"/>
      <c r="B177" s="10" t="n"/>
      <c r="C177" s="10" t="n"/>
      <c r="D177" s="10" t="n"/>
      <c r="E177" s="10" t="n"/>
      <c r="F177" s="10" t="n"/>
      <c r="G177" s="10" t="n"/>
      <c r="H177" s="10" t="n"/>
      <c r="I177" s="10" t="n"/>
      <c r="J177" s="10" t="n"/>
      <c r="K177" s="10" t="n"/>
      <c r="L177" s="10" t="n"/>
      <c r="M177" s="10" t="n"/>
      <c r="N177" s="10" t="n"/>
      <c r="O177" s="19" t="n"/>
      <c r="P177" s="19" t="n"/>
      <c r="Q177" s="10" t="n"/>
      <c r="R177" s="10" t="n"/>
      <c r="S177" s="10" t="n"/>
      <c r="T177" s="10" t="n"/>
      <c r="U177" s="10" t="n"/>
      <c r="V177" s="10" t="n"/>
      <c r="W177" s="10" t="n"/>
      <c r="X177" s="10" t="n"/>
      <c r="Y177" s="10" t="n"/>
      <c r="Z177" s="10" t="n"/>
      <c r="AA177" s="10" t="n"/>
      <c r="AB177" s="10" t="n"/>
    </row>
    <row r="178" ht="15.75" customHeight="1" s="297">
      <c r="A178" s="10" t="n"/>
      <c r="B178" s="10" t="n"/>
      <c r="C178" s="10" t="n"/>
      <c r="D178" s="10" t="n"/>
      <c r="E178" s="10" t="n"/>
      <c r="F178" s="10" t="n"/>
      <c r="G178" s="10" t="n"/>
      <c r="H178" s="10" t="n"/>
      <c r="I178" s="10" t="n"/>
      <c r="J178" s="10" t="n"/>
      <c r="K178" s="10" t="n"/>
      <c r="L178" s="10" t="n"/>
      <c r="M178" s="10" t="n"/>
      <c r="N178" s="10" t="n"/>
      <c r="O178" s="19" t="n"/>
      <c r="P178" s="19" t="n"/>
      <c r="Q178" s="10" t="n"/>
      <c r="R178" s="10" t="n"/>
      <c r="S178" s="10" t="n"/>
      <c r="T178" s="10" t="n"/>
      <c r="U178" s="10" t="n"/>
      <c r="V178" s="10" t="n"/>
      <c r="W178" s="10" t="n"/>
      <c r="X178" s="10" t="n"/>
      <c r="Y178" s="10" t="n"/>
      <c r="Z178" s="10" t="n"/>
      <c r="AA178" s="10" t="n"/>
      <c r="AB178" s="10" t="n"/>
    </row>
    <row r="179" ht="15.75" customHeight="1" s="297">
      <c r="A179" s="10" t="n"/>
      <c r="B179" s="10" t="n"/>
      <c r="C179" s="10" t="n"/>
      <c r="D179" s="10" t="n"/>
      <c r="E179" s="10" t="n"/>
      <c r="F179" s="10" t="n"/>
      <c r="G179" s="10" t="n"/>
      <c r="H179" s="10" t="n"/>
      <c r="I179" s="10" t="n"/>
      <c r="J179" s="10" t="n"/>
      <c r="K179" s="10" t="n"/>
      <c r="L179" s="10" t="n"/>
      <c r="M179" s="10" t="n"/>
      <c r="N179" s="10" t="n"/>
      <c r="O179" s="19" t="n"/>
      <c r="P179" s="19" t="n"/>
      <c r="Q179" s="10" t="n"/>
      <c r="R179" s="10" t="n"/>
      <c r="S179" s="10" t="n"/>
      <c r="T179" s="10" t="n"/>
      <c r="U179" s="10" t="n"/>
      <c r="V179" s="10" t="n"/>
      <c r="W179" s="10" t="n"/>
      <c r="X179" s="10" t="n"/>
      <c r="Y179" s="10" t="n"/>
      <c r="Z179" s="10" t="n"/>
      <c r="AA179" s="10" t="n"/>
      <c r="AB179" s="10" t="n"/>
    </row>
    <row r="180" ht="15.75" customHeight="1" s="297">
      <c r="A180" s="10" t="n"/>
      <c r="B180" s="10" t="n"/>
      <c r="C180" s="10" t="n"/>
      <c r="D180" s="10" t="n"/>
      <c r="E180" s="10" t="n"/>
      <c r="F180" s="10" t="n"/>
      <c r="G180" s="10" t="n"/>
      <c r="H180" s="10" t="n"/>
      <c r="I180" s="10" t="n"/>
      <c r="J180" s="10" t="n"/>
      <c r="K180" s="10" t="n"/>
      <c r="L180" s="10" t="n"/>
      <c r="M180" s="10" t="n"/>
      <c r="N180" s="10" t="n"/>
      <c r="O180" s="19" t="n"/>
      <c r="P180" s="19" t="n"/>
      <c r="Q180" s="10" t="n"/>
      <c r="R180" s="10" t="n"/>
      <c r="S180" s="10" t="n"/>
      <c r="T180" s="10" t="n"/>
      <c r="U180" s="10" t="n"/>
      <c r="V180" s="10" t="n"/>
      <c r="W180" s="10" t="n"/>
      <c r="X180" s="10" t="n"/>
      <c r="Y180" s="10" t="n"/>
      <c r="Z180" s="10" t="n"/>
      <c r="AA180" s="10" t="n"/>
      <c r="AB180" s="10" t="n"/>
    </row>
    <row r="181" ht="15.75" customHeight="1" s="297">
      <c r="A181" s="10" t="n"/>
      <c r="B181" s="10" t="n"/>
      <c r="C181" s="10" t="n"/>
      <c r="D181" s="10" t="n"/>
      <c r="E181" s="10" t="n"/>
      <c r="F181" s="10" t="n"/>
      <c r="G181" s="10" t="n"/>
      <c r="H181" s="10" t="n"/>
      <c r="I181" s="10" t="n"/>
      <c r="J181" s="10" t="n"/>
      <c r="K181" s="10" t="n"/>
      <c r="L181" s="10" t="n"/>
      <c r="M181" s="10" t="n"/>
      <c r="N181" s="10" t="n"/>
      <c r="O181" s="19" t="n"/>
      <c r="P181" s="19" t="n"/>
      <c r="Q181" s="10" t="n"/>
      <c r="R181" s="10" t="n"/>
      <c r="S181" s="10" t="n"/>
      <c r="T181" s="10" t="n"/>
      <c r="U181" s="10" t="n"/>
      <c r="V181" s="10" t="n"/>
      <c r="W181" s="10" t="n"/>
      <c r="X181" s="10" t="n"/>
      <c r="Y181" s="10" t="n"/>
      <c r="Z181" s="10" t="n"/>
      <c r="AA181" s="10" t="n"/>
      <c r="AB181" s="10" t="n"/>
    </row>
    <row r="182" ht="15.75" customHeight="1" s="297">
      <c r="A182" s="10" t="n"/>
      <c r="B182" s="10" t="n"/>
      <c r="C182" s="10" t="n"/>
      <c r="D182" s="10" t="n"/>
      <c r="E182" s="10" t="n"/>
      <c r="F182" s="10" t="n"/>
      <c r="G182" s="10" t="n"/>
      <c r="H182" s="10" t="n"/>
      <c r="I182" s="10" t="n"/>
      <c r="J182" s="10" t="n"/>
      <c r="K182" s="10" t="n"/>
      <c r="L182" s="10" t="n"/>
      <c r="M182" s="10" t="n"/>
      <c r="N182" s="10" t="n"/>
      <c r="O182" s="19" t="n"/>
      <c r="P182" s="19" t="n"/>
      <c r="Q182" s="10" t="n"/>
      <c r="R182" s="10" t="n"/>
      <c r="S182" s="10" t="n"/>
      <c r="T182" s="10" t="n"/>
      <c r="U182" s="10" t="n"/>
      <c r="V182" s="10" t="n"/>
      <c r="W182" s="10" t="n"/>
      <c r="X182" s="10" t="n"/>
      <c r="Y182" s="10" t="n"/>
      <c r="Z182" s="10" t="n"/>
      <c r="AA182" s="10" t="n"/>
      <c r="AB182" s="10" t="n"/>
    </row>
    <row r="183" ht="15.75" customHeight="1" s="297">
      <c r="A183" s="10" t="n"/>
      <c r="B183" s="10" t="n"/>
      <c r="C183" s="10" t="n"/>
      <c r="D183" s="10" t="n"/>
      <c r="E183" s="10" t="n"/>
      <c r="F183" s="10" t="n"/>
      <c r="G183" s="10" t="n"/>
      <c r="H183" s="10" t="n"/>
      <c r="I183" s="10" t="n"/>
      <c r="J183" s="10" t="n"/>
      <c r="K183" s="10" t="n"/>
      <c r="L183" s="10" t="n"/>
      <c r="M183" s="10" t="n"/>
      <c r="N183" s="10" t="n"/>
      <c r="O183" s="19" t="n"/>
      <c r="P183" s="19" t="n"/>
      <c r="Q183" s="10" t="n"/>
      <c r="R183" s="10" t="n"/>
      <c r="S183" s="10" t="n"/>
      <c r="T183" s="10" t="n"/>
      <c r="U183" s="10" t="n"/>
      <c r="V183" s="10" t="n"/>
      <c r="W183" s="10" t="n"/>
      <c r="X183" s="10" t="n"/>
      <c r="Y183" s="10" t="n"/>
      <c r="Z183" s="10" t="n"/>
      <c r="AA183" s="10" t="n"/>
      <c r="AB183" s="10" t="n"/>
    </row>
    <row r="184" ht="15.75" customHeight="1" s="297">
      <c r="A184" s="10" t="n"/>
      <c r="B184" s="10" t="n"/>
      <c r="C184" s="10" t="n"/>
      <c r="D184" s="10" t="n"/>
      <c r="E184" s="10" t="n"/>
      <c r="F184" s="10" t="n"/>
      <c r="G184" s="10" t="n"/>
      <c r="H184" s="10" t="n"/>
      <c r="I184" s="10" t="n"/>
      <c r="J184" s="10" t="n"/>
      <c r="K184" s="10" t="n"/>
      <c r="L184" s="10" t="n"/>
      <c r="M184" s="10" t="n"/>
      <c r="N184" s="10" t="n"/>
      <c r="O184" s="19" t="n"/>
      <c r="P184" s="19" t="n"/>
      <c r="Q184" s="10" t="n"/>
      <c r="R184" s="10" t="n"/>
      <c r="S184" s="10" t="n"/>
      <c r="T184" s="10" t="n"/>
      <c r="U184" s="10" t="n"/>
      <c r="V184" s="10" t="n"/>
      <c r="W184" s="10" t="n"/>
      <c r="X184" s="10" t="n"/>
      <c r="Y184" s="10" t="n"/>
      <c r="Z184" s="10" t="n"/>
      <c r="AA184" s="10" t="n"/>
      <c r="AB184" s="10" t="n"/>
    </row>
    <row r="185" ht="15.75" customHeight="1" s="297">
      <c r="A185" s="10" t="n"/>
      <c r="B185" s="10" t="n"/>
      <c r="C185" s="10" t="n"/>
      <c r="D185" s="10" t="n"/>
      <c r="E185" s="10" t="n"/>
      <c r="F185" s="10" t="n"/>
      <c r="G185" s="10" t="n"/>
      <c r="H185" s="10" t="n"/>
      <c r="I185" s="10" t="n"/>
      <c r="J185" s="10" t="n"/>
      <c r="K185" s="10" t="n"/>
      <c r="L185" s="10" t="n"/>
      <c r="M185" s="10" t="n"/>
      <c r="N185" s="10" t="n"/>
      <c r="O185" s="19" t="n"/>
      <c r="P185" s="19" t="n"/>
      <c r="Q185" s="10" t="n"/>
      <c r="R185" s="10" t="n"/>
      <c r="S185" s="10" t="n"/>
      <c r="T185" s="10" t="n"/>
      <c r="U185" s="10" t="n"/>
      <c r="V185" s="10" t="n"/>
      <c r="W185" s="10" t="n"/>
      <c r="X185" s="10" t="n"/>
      <c r="Y185" s="10" t="n"/>
      <c r="Z185" s="10" t="n"/>
      <c r="AA185" s="10" t="n"/>
      <c r="AB185" s="10" t="n"/>
    </row>
    <row r="186" ht="15.75" customHeight="1" s="297">
      <c r="A186" s="10" t="n"/>
      <c r="B186" s="10" t="n"/>
      <c r="C186" s="10" t="n"/>
      <c r="D186" s="10" t="n"/>
      <c r="E186" s="10" t="n"/>
      <c r="F186" s="10" t="n"/>
      <c r="G186" s="10" t="n"/>
      <c r="H186" s="10" t="n"/>
      <c r="I186" s="10" t="n"/>
      <c r="J186" s="10" t="n"/>
      <c r="K186" s="10" t="n"/>
      <c r="L186" s="10" t="n"/>
      <c r="M186" s="10" t="n"/>
      <c r="N186" s="10" t="n"/>
      <c r="O186" s="19" t="n"/>
      <c r="P186" s="19" t="n"/>
      <c r="Q186" s="10" t="n"/>
      <c r="R186" s="10" t="n"/>
      <c r="S186" s="10" t="n"/>
      <c r="T186" s="10" t="n"/>
      <c r="U186" s="10" t="n"/>
      <c r="V186" s="10" t="n"/>
      <c r="W186" s="10" t="n"/>
      <c r="X186" s="10" t="n"/>
      <c r="Y186" s="10" t="n"/>
      <c r="Z186" s="10" t="n"/>
      <c r="AA186" s="10" t="n"/>
      <c r="AB186" s="10" t="n"/>
    </row>
    <row r="187" ht="15.75" customHeight="1" s="297">
      <c r="A187" s="10" t="n"/>
      <c r="B187" s="10" t="n"/>
      <c r="C187" s="10" t="n"/>
      <c r="D187" s="10" t="n"/>
      <c r="E187" s="10" t="n"/>
      <c r="F187" s="10" t="n"/>
      <c r="G187" s="10" t="n"/>
      <c r="H187" s="10" t="n"/>
      <c r="I187" s="10" t="n"/>
      <c r="J187" s="10" t="n"/>
      <c r="K187" s="10" t="n"/>
      <c r="L187" s="10" t="n"/>
      <c r="M187" s="10" t="n"/>
      <c r="N187" s="10" t="n"/>
      <c r="O187" s="19" t="n"/>
      <c r="P187" s="19" t="n"/>
      <c r="Q187" s="10" t="n"/>
      <c r="R187" s="10" t="n"/>
      <c r="S187" s="10" t="n"/>
      <c r="T187" s="10" t="n"/>
      <c r="U187" s="10" t="n"/>
      <c r="V187" s="10" t="n"/>
      <c r="W187" s="10" t="n"/>
      <c r="X187" s="10" t="n"/>
      <c r="Y187" s="10" t="n"/>
      <c r="Z187" s="10" t="n"/>
      <c r="AA187" s="10" t="n"/>
      <c r="AB187" s="10" t="n"/>
    </row>
    <row r="188" ht="15.75" customHeight="1" s="297">
      <c r="A188" s="10" t="n"/>
      <c r="B188" s="10" t="n"/>
      <c r="C188" s="10" t="n"/>
      <c r="D188" s="10" t="n"/>
      <c r="E188" s="10" t="n"/>
      <c r="F188" s="10" t="n"/>
      <c r="G188" s="10" t="n"/>
      <c r="H188" s="10" t="n"/>
      <c r="I188" s="10" t="n"/>
      <c r="J188" s="10" t="n"/>
      <c r="K188" s="10" t="n"/>
      <c r="L188" s="10" t="n"/>
      <c r="M188" s="10" t="n"/>
      <c r="N188" s="10" t="n"/>
      <c r="O188" s="19" t="n"/>
      <c r="P188" s="19" t="n"/>
      <c r="Q188" s="10" t="n"/>
      <c r="R188" s="10" t="n"/>
      <c r="S188" s="10" t="n"/>
      <c r="T188" s="10" t="n"/>
      <c r="U188" s="10" t="n"/>
      <c r="V188" s="10" t="n"/>
      <c r="W188" s="10" t="n"/>
      <c r="X188" s="10" t="n"/>
      <c r="Y188" s="10" t="n"/>
      <c r="Z188" s="10" t="n"/>
      <c r="AA188" s="10" t="n"/>
      <c r="AB188" s="10" t="n"/>
    </row>
    <row r="189" ht="15.75" customHeight="1" s="297">
      <c r="A189" s="10" t="n"/>
      <c r="B189" s="10" t="n"/>
      <c r="C189" s="10" t="n"/>
      <c r="D189" s="10" t="n"/>
      <c r="E189" s="10" t="n"/>
      <c r="F189" s="10" t="n"/>
      <c r="G189" s="10" t="n"/>
      <c r="H189" s="10" t="n"/>
      <c r="I189" s="10" t="n"/>
      <c r="J189" s="10" t="n"/>
      <c r="K189" s="10" t="n"/>
      <c r="L189" s="10" t="n"/>
      <c r="M189" s="10" t="n"/>
      <c r="N189" s="10" t="n"/>
      <c r="O189" s="19" t="n"/>
      <c r="P189" s="19" t="n"/>
      <c r="Q189" s="10" t="n"/>
      <c r="R189" s="10" t="n"/>
      <c r="S189" s="10" t="n"/>
      <c r="T189" s="10" t="n"/>
      <c r="U189" s="10" t="n"/>
      <c r="V189" s="10" t="n"/>
      <c r="W189" s="10" t="n"/>
      <c r="X189" s="10" t="n"/>
      <c r="Y189" s="10" t="n"/>
      <c r="Z189" s="10" t="n"/>
      <c r="AA189" s="10" t="n"/>
      <c r="AB189" s="10" t="n"/>
    </row>
    <row r="190" ht="15.75" customHeight="1" s="297">
      <c r="A190" s="10" t="n"/>
      <c r="B190" s="10" t="n"/>
      <c r="C190" s="10" t="n"/>
      <c r="D190" s="10" t="n"/>
      <c r="E190" s="10" t="n"/>
      <c r="F190" s="10" t="n"/>
      <c r="G190" s="10" t="n"/>
      <c r="H190" s="10" t="n"/>
      <c r="I190" s="10" t="n"/>
      <c r="J190" s="10" t="n"/>
      <c r="K190" s="10" t="n"/>
      <c r="L190" s="10" t="n"/>
      <c r="M190" s="10" t="n"/>
      <c r="N190" s="10" t="n"/>
      <c r="O190" s="19" t="n"/>
      <c r="P190" s="19" t="n"/>
      <c r="Q190" s="10" t="n"/>
      <c r="R190" s="10" t="n"/>
      <c r="S190" s="10" t="n"/>
      <c r="T190" s="10" t="n"/>
      <c r="U190" s="10" t="n"/>
      <c r="V190" s="10" t="n"/>
      <c r="W190" s="10" t="n"/>
      <c r="X190" s="10" t="n"/>
      <c r="Y190" s="10" t="n"/>
      <c r="Z190" s="10" t="n"/>
      <c r="AA190" s="10" t="n"/>
      <c r="AB190" s="10" t="n"/>
    </row>
    <row r="191" ht="15.75" customHeight="1" s="297">
      <c r="A191" s="10" t="n"/>
      <c r="B191" s="10" t="n"/>
      <c r="C191" s="10" t="n"/>
      <c r="D191" s="10" t="n"/>
      <c r="E191" s="10" t="n"/>
      <c r="F191" s="10" t="n"/>
      <c r="G191" s="10" t="n"/>
      <c r="H191" s="10" t="n"/>
      <c r="I191" s="10" t="n"/>
      <c r="J191" s="10" t="n"/>
      <c r="K191" s="10" t="n"/>
      <c r="L191" s="10" t="n"/>
      <c r="M191" s="10" t="n"/>
      <c r="N191" s="10" t="n"/>
      <c r="O191" s="19" t="n"/>
      <c r="P191" s="19" t="n"/>
      <c r="Q191" s="10" t="n"/>
      <c r="R191" s="10" t="n"/>
      <c r="S191" s="10" t="n"/>
      <c r="T191" s="10" t="n"/>
      <c r="U191" s="10" t="n"/>
      <c r="V191" s="10" t="n"/>
      <c r="W191" s="10" t="n"/>
      <c r="X191" s="10" t="n"/>
      <c r="Y191" s="10" t="n"/>
      <c r="Z191" s="10" t="n"/>
      <c r="AA191" s="10" t="n"/>
      <c r="AB191" s="10" t="n"/>
    </row>
    <row r="192" ht="15.75" customHeight="1" s="297">
      <c r="A192" s="10" t="n"/>
      <c r="B192" s="10" t="n"/>
      <c r="C192" s="10" t="n"/>
      <c r="D192" s="10" t="n"/>
      <c r="E192" s="10" t="n"/>
      <c r="F192" s="10" t="n"/>
      <c r="G192" s="10" t="n"/>
      <c r="H192" s="10" t="n"/>
      <c r="I192" s="10" t="n"/>
      <c r="J192" s="10" t="n"/>
      <c r="K192" s="10" t="n"/>
      <c r="L192" s="10" t="n"/>
      <c r="M192" s="10" t="n"/>
      <c r="N192" s="10" t="n"/>
      <c r="O192" s="19" t="n"/>
      <c r="P192" s="19" t="n"/>
      <c r="Q192" s="10" t="n"/>
      <c r="R192" s="10" t="n"/>
      <c r="S192" s="10" t="n"/>
      <c r="T192" s="10" t="n"/>
      <c r="U192" s="10" t="n"/>
      <c r="V192" s="10" t="n"/>
      <c r="W192" s="10" t="n"/>
      <c r="X192" s="10" t="n"/>
      <c r="Y192" s="10" t="n"/>
      <c r="Z192" s="10" t="n"/>
      <c r="AA192" s="10" t="n"/>
      <c r="AB192" s="10" t="n"/>
    </row>
    <row r="193" ht="15.75" customHeight="1" s="297">
      <c r="A193" s="10" t="n"/>
      <c r="B193" s="10" t="n"/>
      <c r="C193" s="10" t="n"/>
      <c r="D193" s="10" t="n"/>
      <c r="E193" s="10" t="n"/>
      <c r="F193" s="10" t="n"/>
      <c r="G193" s="10" t="n"/>
      <c r="H193" s="10" t="n"/>
      <c r="I193" s="10" t="n"/>
      <c r="J193" s="10" t="n"/>
      <c r="K193" s="10" t="n"/>
      <c r="L193" s="10" t="n"/>
      <c r="M193" s="10" t="n"/>
      <c r="N193" s="10" t="n"/>
      <c r="O193" s="19" t="n"/>
      <c r="P193" s="19" t="n"/>
      <c r="Q193" s="10" t="n"/>
      <c r="R193" s="10" t="n"/>
      <c r="S193" s="10" t="n"/>
      <c r="T193" s="10" t="n"/>
      <c r="U193" s="10" t="n"/>
      <c r="V193" s="10" t="n"/>
      <c r="W193" s="10" t="n"/>
      <c r="X193" s="10" t="n"/>
      <c r="Y193" s="10" t="n"/>
      <c r="Z193" s="10" t="n"/>
      <c r="AA193" s="10" t="n"/>
      <c r="AB193" s="10" t="n"/>
    </row>
    <row r="194" ht="15.75" customHeight="1" s="297">
      <c r="A194" s="10" t="n"/>
      <c r="B194" s="10" t="n"/>
      <c r="C194" s="10" t="n"/>
      <c r="D194" s="10" t="n"/>
      <c r="E194" s="10" t="n"/>
      <c r="F194" s="10" t="n"/>
      <c r="G194" s="10" t="n"/>
      <c r="H194" s="10" t="n"/>
      <c r="I194" s="10" t="n"/>
      <c r="J194" s="10" t="n"/>
      <c r="K194" s="10" t="n"/>
      <c r="L194" s="10" t="n"/>
      <c r="M194" s="10" t="n"/>
      <c r="N194" s="10" t="n"/>
      <c r="O194" s="19" t="n"/>
      <c r="P194" s="19" t="n"/>
      <c r="Q194" s="10" t="n"/>
      <c r="R194" s="10" t="n"/>
      <c r="S194" s="10" t="n"/>
      <c r="T194" s="10" t="n"/>
      <c r="U194" s="10" t="n"/>
      <c r="V194" s="10" t="n"/>
      <c r="W194" s="10" t="n"/>
      <c r="X194" s="10" t="n"/>
      <c r="Y194" s="10" t="n"/>
      <c r="Z194" s="10" t="n"/>
      <c r="AA194" s="10" t="n"/>
      <c r="AB194" s="10" t="n"/>
    </row>
    <row r="195" ht="15.75" customHeight="1" s="297">
      <c r="A195" s="10" t="n"/>
      <c r="B195" s="10" t="n"/>
      <c r="C195" s="10" t="n"/>
      <c r="D195" s="10" t="n"/>
      <c r="E195" s="10" t="n"/>
      <c r="F195" s="10" t="n"/>
      <c r="G195" s="10" t="n"/>
      <c r="H195" s="10" t="n"/>
      <c r="I195" s="10" t="n"/>
      <c r="J195" s="10" t="n"/>
      <c r="K195" s="10" t="n"/>
      <c r="L195" s="10" t="n"/>
      <c r="M195" s="10" t="n"/>
      <c r="N195" s="10" t="n"/>
      <c r="O195" s="19" t="n"/>
      <c r="P195" s="19" t="n"/>
      <c r="Q195" s="10" t="n"/>
      <c r="R195" s="10" t="n"/>
      <c r="S195" s="10" t="n"/>
      <c r="T195" s="10" t="n"/>
      <c r="U195" s="10" t="n"/>
      <c r="V195" s="10" t="n"/>
      <c r="W195" s="10" t="n"/>
      <c r="X195" s="10" t="n"/>
      <c r="Y195" s="10" t="n"/>
      <c r="Z195" s="10" t="n"/>
      <c r="AA195" s="10" t="n"/>
      <c r="AB195" s="10" t="n"/>
    </row>
    <row r="196" ht="15.75" customHeight="1" s="297">
      <c r="A196" s="10" t="n"/>
      <c r="B196" s="10" t="n"/>
      <c r="C196" s="10" t="n"/>
      <c r="D196" s="10" t="n"/>
      <c r="E196" s="10" t="n"/>
      <c r="F196" s="10" t="n"/>
      <c r="G196" s="10" t="n"/>
      <c r="H196" s="10" t="n"/>
      <c r="I196" s="10" t="n"/>
      <c r="J196" s="10" t="n"/>
      <c r="K196" s="10" t="n"/>
      <c r="L196" s="10" t="n"/>
      <c r="M196" s="10" t="n"/>
      <c r="N196" s="10" t="n"/>
      <c r="O196" s="19" t="n"/>
      <c r="P196" s="19" t="n"/>
      <c r="Q196" s="10" t="n"/>
      <c r="R196" s="10" t="n"/>
      <c r="S196" s="10" t="n"/>
      <c r="T196" s="10" t="n"/>
      <c r="U196" s="10" t="n"/>
      <c r="V196" s="10" t="n"/>
      <c r="W196" s="10" t="n"/>
      <c r="X196" s="10" t="n"/>
      <c r="Y196" s="10" t="n"/>
      <c r="Z196" s="10" t="n"/>
      <c r="AA196" s="10" t="n"/>
      <c r="AB196" s="10" t="n"/>
    </row>
    <row r="197" ht="15.75" customHeight="1" s="297">
      <c r="A197" s="10" t="n"/>
      <c r="B197" s="10" t="n"/>
      <c r="C197" s="10" t="n"/>
      <c r="D197" s="10" t="n"/>
      <c r="E197" s="10" t="n"/>
      <c r="F197" s="10" t="n"/>
      <c r="G197" s="10" t="n"/>
      <c r="H197" s="10" t="n"/>
      <c r="I197" s="10" t="n"/>
      <c r="J197" s="10" t="n"/>
      <c r="K197" s="10" t="n"/>
      <c r="L197" s="10" t="n"/>
      <c r="M197" s="10" t="n"/>
      <c r="N197" s="10" t="n"/>
      <c r="O197" s="19" t="n"/>
      <c r="P197" s="19" t="n"/>
      <c r="Q197" s="10" t="n"/>
      <c r="R197" s="10" t="n"/>
      <c r="S197" s="10" t="n"/>
      <c r="T197" s="10" t="n"/>
      <c r="U197" s="10" t="n"/>
      <c r="V197" s="10" t="n"/>
      <c r="W197" s="10" t="n"/>
      <c r="X197" s="10" t="n"/>
      <c r="Y197" s="10" t="n"/>
      <c r="Z197" s="10" t="n"/>
      <c r="AA197" s="10" t="n"/>
      <c r="AB197" s="10" t="n"/>
    </row>
    <row r="198" ht="15.75" customHeight="1" s="297">
      <c r="A198" s="10" t="n"/>
      <c r="B198" s="10" t="n"/>
      <c r="C198" s="10" t="n"/>
      <c r="D198" s="10" t="n"/>
      <c r="E198" s="10" t="n"/>
      <c r="F198" s="10" t="n"/>
      <c r="G198" s="10" t="n"/>
      <c r="H198" s="10" t="n"/>
      <c r="I198" s="10" t="n"/>
      <c r="J198" s="10" t="n"/>
      <c r="K198" s="10" t="n"/>
      <c r="L198" s="10" t="n"/>
      <c r="M198" s="10" t="n"/>
      <c r="N198" s="10" t="n"/>
      <c r="O198" s="19" t="n"/>
      <c r="P198" s="19" t="n"/>
      <c r="Q198" s="10" t="n"/>
      <c r="R198" s="10" t="n"/>
      <c r="S198" s="10" t="n"/>
      <c r="T198" s="10" t="n"/>
      <c r="U198" s="10" t="n"/>
      <c r="V198" s="10" t="n"/>
      <c r="W198" s="10" t="n"/>
      <c r="X198" s="10" t="n"/>
      <c r="Y198" s="10" t="n"/>
      <c r="Z198" s="10" t="n"/>
      <c r="AA198" s="10" t="n"/>
      <c r="AB198" s="10" t="n"/>
    </row>
    <row r="199" ht="15.75" customHeight="1" s="297">
      <c r="A199" s="10" t="n"/>
      <c r="B199" s="10" t="n"/>
      <c r="C199" s="10" t="n"/>
      <c r="D199" s="10" t="n"/>
      <c r="E199" s="10" t="n"/>
      <c r="F199" s="10" t="n"/>
      <c r="G199" s="10" t="n"/>
      <c r="H199" s="10" t="n"/>
      <c r="I199" s="10" t="n"/>
      <c r="J199" s="10" t="n"/>
      <c r="K199" s="10" t="n"/>
      <c r="L199" s="10" t="n"/>
      <c r="M199" s="10" t="n"/>
      <c r="N199" s="10" t="n"/>
      <c r="O199" s="19" t="n"/>
      <c r="P199" s="19" t="n"/>
      <c r="Q199" s="10" t="n"/>
      <c r="R199" s="10" t="n"/>
      <c r="S199" s="10" t="n"/>
      <c r="T199" s="10" t="n"/>
      <c r="U199" s="10" t="n"/>
      <c r="V199" s="10" t="n"/>
      <c r="W199" s="10" t="n"/>
      <c r="X199" s="10" t="n"/>
      <c r="Y199" s="10" t="n"/>
      <c r="Z199" s="10" t="n"/>
      <c r="AA199" s="10" t="n"/>
      <c r="AB199" s="10" t="n"/>
    </row>
    <row r="200" ht="15.75" customHeight="1" s="297">
      <c r="A200" s="10" t="n"/>
      <c r="B200" s="10" t="n"/>
      <c r="C200" s="10" t="n"/>
      <c r="D200" s="10" t="n"/>
      <c r="E200" s="10" t="n"/>
      <c r="F200" s="10" t="n"/>
      <c r="G200" s="10" t="n"/>
      <c r="H200" s="10" t="n"/>
      <c r="I200" s="10" t="n"/>
      <c r="J200" s="10" t="n"/>
      <c r="K200" s="10" t="n"/>
      <c r="L200" s="10" t="n"/>
      <c r="M200" s="10" t="n"/>
      <c r="N200" s="10" t="n"/>
      <c r="O200" s="19" t="n"/>
      <c r="P200" s="19" t="n"/>
      <c r="Q200" s="10" t="n"/>
      <c r="R200" s="10" t="n"/>
      <c r="S200" s="10" t="n"/>
      <c r="T200" s="10" t="n"/>
      <c r="U200" s="10" t="n"/>
      <c r="V200" s="10" t="n"/>
      <c r="W200" s="10" t="n"/>
      <c r="X200" s="10" t="n"/>
      <c r="Y200" s="10" t="n"/>
      <c r="Z200" s="10" t="n"/>
      <c r="AA200" s="10" t="n"/>
      <c r="AB200" s="10" t="n"/>
    </row>
    <row r="201" ht="15.75" customHeight="1" s="297">
      <c r="A201" s="10" t="n"/>
      <c r="B201" s="10" t="n"/>
      <c r="C201" s="10" t="n"/>
      <c r="D201" s="10" t="n"/>
      <c r="E201" s="10" t="n"/>
      <c r="F201" s="10" t="n"/>
      <c r="G201" s="10" t="n"/>
      <c r="H201" s="10" t="n"/>
      <c r="I201" s="10" t="n"/>
      <c r="J201" s="10" t="n"/>
      <c r="K201" s="10" t="n"/>
      <c r="L201" s="10" t="n"/>
      <c r="M201" s="10" t="n"/>
      <c r="N201" s="10" t="n"/>
      <c r="O201" s="19" t="n"/>
      <c r="P201" s="19" t="n"/>
      <c r="Q201" s="10" t="n"/>
      <c r="R201" s="10" t="n"/>
      <c r="S201" s="10" t="n"/>
      <c r="T201" s="10" t="n"/>
      <c r="U201" s="10" t="n"/>
      <c r="V201" s="10" t="n"/>
      <c r="W201" s="10" t="n"/>
      <c r="X201" s="10" t="n"/>
      <c r="Y201" s="10" t="n"/>
      <c r="Z201" s="10" t="n"/>
      <c r="AA201" s="10" t="n"/>
      <c r="AB201" s="10" t="n"/>
    </row>
    <row r="202" ht="15.75" customHeight="1" s="297">
      <c r="A202" s="10" t="n"/>
      <c r="B202" s="10" t="n"/>
      <c r="C202" s="10" t="n"/>
      <c r="D202" s="10" t="n"/>
      <c r="E202" s="10" t="n"/>
      <c r="F202" s="10" t="n"/>
      <c r="G202" s="10" t="n"/>
      <c r="H202" s="10" t="n"/>
      <c r="I202" s="10" t="n"/>
      <c r="J202" s="10" t="n"/>
      <c r="K202" s="10" t="n"/>
      <c r="L202" s="10" t="n"/>
      <c r="M202" s="10" t="n"/>
      <c r="N202" s="10" t="n"/>
      <c r="O202" s="19" t="n"/>
      <c r="P202" s="19" t="n"/>
      <c r="Q202" s="10" t="n"/>
      <c r="R202" s="10" t="n"/>
      <c r="S202" s="10" t="n"/>
      <c r="T202" s="10" t="n"/>
      <c r="U202" s="10" t="n"/>
      <c r="V202" s="10" t="n"/>
      <c r="W202" s="10" t="n"/>
      <c r="X202" s="10" t="n"/>
      <c r="Y202" s="10" t="n"/>
      <c r="Z202" s="10" t="n"/>
      <c r="AA202" s="10" t="n"/>
      <c r="AB202" s="10" t="n"/>
    </row>
    <row r="203" ht="15.75" customHeight="1" s="297">
      <c r="A203" s="10" t="n"/>
      <c r="B203" s="10" t="n"/>
      <c r="C203" s="10" t="n"/>
      <c r="D203" s="10" t="n"/>
      <c r="E203" s="10" t="n"/>
      <c r="F203" s="10" t="n"/>
      <c r="G203" s="10" t="n"/>
      <c r="H203" s="10" t="n"/>
      <c r="I203" s="10" t="n"/>
      <c r="J203" s="10" t="n"/>
      <c r="K203" s="10" t="n"/>
      <c r="L203" s="10" t="n"/>
      <c r="M203" s="10" t="n"/>
      <c r="N203" s="10" t="n"/>
      <c r="O203" s="19" t="n"/>
      <c r="P203" s="19" t="n"/>
      <c r="Q203" s="10" t="n"/>
      <c r="R203" s="10" t="n"/>
      <c r="S203" s="10" t="n"/>
      <c r="T203" s="10" t="n"/>
      <c r="U203" s="10" t="n"/>
      <c r="V203" s="10" t="n"/>
      <c r="W203" s="10" t="n"/>
      <c r="X203" s="10" t="n"/>
      <c r="Y203" s="10" t="n"/>
      <c r="Z203" s="10" t="n"/>
      <c r="AA203" s="10" t="n"/>
      <c r="AB203" s="10" t="n"/>
    </row>
    <row r="204" ht="15.75" customHeight="1" s="297">
      <c r="A204" s="10" t="n"/>
      <c r="B204" s="10" t="n"/>
      <c r="C204" s="10" t="n"/>
      <c r="D204" s="10" t="n"/>
      <c r="E204" s="10" t="n"/>
      <c r="F204" s="10" t="n"/>
      <c r="G204" s="10" t="n"/>
      <c r="H204" s="10" t="n"/>
      <c r="I204" s="10" t="n"/>
      <c r="J204" s="10" t="n"/>
      <c r="K204" s="10" t="n"/>
      <c r="L204" s="10" t="n"/>
      <c r="M204" s="10" t="n"/>
      <c r="N204" s="10" t="n"/>
      <c r="O204" s="19" t="n"/>
      <c r="P204" s="19" t="n"/>
      <c r="Q204" s="10" t="n"/>
      <c r="R204" s="10" t="n"/>
      <c r="S204" s="10" t="n"/>
      <c r="T204" s="10" t="n"/>
      <c r="U204" s="10" t="n"/>
      <c r="V204" s="10" t="n"/>
      <c r="W204" s="10" t="n"/>
      <c r="X204" s="10" t="n"/>
      <c r="Y204" s="10" t="n"/>
      <c r="Z204" s="10" t="n"/>
      <c r="AA204" s="10" t="n"/>
      <c r="AB204" s="10" t="n"/>
    </row>
    <row r="205" ht="15.75" customHeight="1" s="297">
      <c r="A205" s="10" t="n"/>
      <c r="B205" s="10" t="n"/>
      <c r="C205" s="10" t="n"/>
      <c r="D205" s="10" t="n"/>
      <c r="E205" s="10" t="n"/>
      <c r="F205" s="10" t="n"/>
      <c r="G205" s="10" t="n"/>
      <c r="H205" s="10" t="n"/>
      <c r="I205" s="10" t="n"/>
      <c r="J205" s="10" t="n"/>
      <c r="K205" s="10" t="n"/>
      <c r="L205" s="10" t="n"/>
      <c r="M205" s="10" t="n"/>
      <c r="N205" s="10" t="n"/>
      <c r="O205" s="19" t="n"/>
      <c r="P205" s="19" t="n"/>
      <c r="Q205" s="10" t="n"/>
      <c r="R205" s="10" t="n"/>
      <c r="S205" s="10" t="n"/>
      <c r="T205" s="10" t="n"/>
      <c r="U205" s="10" t="n"/>
      <c r="V205" s="10" t="n"/>
      <c r="W205" s="10" t="n"/>
      <c r="X205" s="10" t="n"/>
      <c r="Y205" s="10" t="n"/>
      <c r="Z205" s="10" t="n"/>
      <c r="AA205" s="10" t="n"/>
      <c r="AB205" s="10" t="n"/>
    </row>
    <row r="206" ht="15.75" customHeight="1" s="297">
      <c r="A206" s="10" t="n"/>
      <c r="B206" s="10" t="n"/>
      <c r="C206" s="10" t="n"/>
      <c r="D206" s="10" t="n"/>
      <c r="E206" s="10" t="n"/>
      <c r="F206" s="10" t="n"/>
      <c r="G206" s="10" t="n"/>
      <c r="H206" s="10" t="n"/>
      <c r="I206" s="10" t="n"/>
      <c r="J206" s="10" t="n"/>
      <c r="K206" s="10" t="n"/>
      <c r="L206" s="10" t="n"/>
      <c r="M206" s="10" t="n"/>
      <c r="N206" s="10" t="n"/>
      <c r="O206" s="19" t="n"/>
      <c r="P206" s="19" t="n"/>
      <c r="Q206" s="10" t="n"/>
      <c r="R206" s="10" t="n"/>
      <c r="S206" s="10" t="n"/>
      <c r="T206" s="10" t="n"/>
      <c r="U206" s="10" t="n"/>
      <c r="V206" s="10" t="n"/>
      <c r="W206" s="10" t="n"/>
      <c r="X206" s="10" t="n"/>
      <c r="Y206" s="10" t="n"/>
      <c r="Z206" s="10" t="n"/>
      <c r="AA206" s="10" t="n"/>
      <c r="AB206" s="10" t="n"/>
    </row>
    <row r="207" ht="15.75" customHeight="1" s="297">
      <c r="A207" s="10" t="n"/>
      <c r="B207" s="10" t="n"/>
      <c r="C207" s="10" t="n"/>
      <c r="D207" s="10" t="n"/>
      <c r="E207" s="10" t="n"/>
      <c r="F207" s="10" t="n"/>
      <c r="G207" s="10" t="n"/>
      <c r="H207" s="10" t="n"/>
      <c r="I207" s="10" t="n"/>
      <c r="J207" s="10" t="n"/>
      <c r="K207" s="10" t="n"/>
      <c r="L207" s="10" t="n"/>
      <c r="M207" s="10" t="n"/>
      <c r="N207" s="10" t="n"/>
      <c r="O207" s="19" t="n"/>
      <c r="P207" s="19" t="n"/>
      <c r="Q207" s="10" t="n"/>
      <c r="R207" s="10" t="n"/>
      <c r="S207" s="10" t="n"/>
      <c r="T207" s="10" t="n"/>
      <c r="U207" s="10" t="n"/>
      <c r="V207" s="10" t="n"/>
      <c r="W207" s="10" t="n"/>
      <c r="X207" s="10" t="n"/>
      <c r="Y207" s="10" t="n"/>
      <c r="Z207" s="10" t="n"/>
      <c r="AA207" s="10" t="n"/>
      <c r="AB207" s="10" t="n"/>
    </row>
    <row r="208" ht="15.75" customHeight="1" s="297">
      <c r="A208" s="10" t="n"/>
      <c r="B208" s="10" t="n"/>
      <c r="C208" s="10" t="n"/>
      <c r="D208" s="10" t="n"/>
      <c r="E208" s="10" t="n"/>
      <c r="F208" s="10" t="n"/>
      <c r="G208" s="10" t="n"/>
      <c r="H208" s="10" t="n"/>
      <c r="I208" s="10" t="n"/>
      <c r="J208" s="10" t="n"/>
      <c r="K208" s="10" t="n"/>
      <c r="L208" s="10" t="n"/>
      <c r="M208" s="10" t="n"/>
      <c r="N208" s="10" t="n"/>
      <c r="O208" s="19" t="n"/>
      <c r="P208" s="19" t="n"/>
      <c r="Q208" s="10" t="n"/>
      <c r="R208" s="10" t="n"/>
      <c r="S208" s="10" t="n"/>
      <c r="T208" s="10" t="n"/>
      <c r="U208" s="10" t="n"/>
      <c r="V208" s="10" t="n"/>
      <c r="W208" s="10" t="n"/>
      <c r="X208" s="10" t="n"/>
      <c r="Y208" s="10" t="n"/>
      <c r="Z208" s="10" t="n"/>
      <c r="AA208" s="10" t="n"/>
      <c r="AB208" s="10" t="n"/>
    </row>
    <row r="209" ht="15.75" customHeight="1" s="297">
      <c r="A209" s="10" t="n"/>
      <c r="B209" s="10" t="n"/>
      <c r="C209" s="10" t="n"/>
      <c r="D209" s="10" t="n"/>
      <c r="E209" s="10" t="n"/>
      <c r="F209" s="10" t="n"/>
      <c r="G209" s="10" t="n"/>
      <c r="H209" s="10" t="n"/>
      <c r="I209" s="10" t="n"/>
      <c r="J209" s="10" t="n"/>
      <c r="K209" s="10" t="n"/>
      <c r="L209" s="10" t="n"/>
      <c r="M209" s="10" t="n"/>
      <c r="N209" s="10" t="n"/>
      <c r="O209" s="19" t="n"/>
      <c r="P209" s="19" t="n"/>
      <c r="Q209" s="10" t="n"/>
      <c r="R209" s="10" t="n"/>
      <c r="S209" s="10" t="n"/>
      <c r="T209" s="10" t="n"/>
      <c r="U209" s="10" t="n"/>
      <c r="V209" s="10" t="n"/>
      <c r="W209" s="10" t="n"/>
      <c r="X209" s="10" t="n"/>
      <c r="Y209" s="10" t="n"/>
      <c r="Z209" s="10" t="n"/>
      <c r="AA209" s="10" t="n"/>
      <c r="AB209" s="10" t="n"/>
    </row>
    <row r="210" ht="15.75" customHeight="1" s="297">
      <c r="A210" s="10" t="n"/>
      <c r="B210" s="10" t="n"/>
      <c r="C210" s="10" t="n"/>
      <c r="D210" s="10" t="n"/>
      <c r="E210" s="10" t="n"/>
      <c r="F210" s="10" t="n"/>
      <c r="G210" s="10" t="n"/>
      <c r="H210" s="10" t="n"/>
      <c r="I210" s="10" t="n"/>
      <c r="J210" s="10" t="n"/>
      <c r="K210" s="10" t="n"/>
      <c r="L210" s="10" t="n"/>
      <c r="M210" s="10" t="n"/>
      <c r="N210" s="10" t="n"/>
      <c r="O210" s="19" t="n"/>
      <c r="P210" s="19" t="n"/>
      <c r="Q210" s="10" t="n"/>
      <c r="R210" s="10" t="n"/>
      <c r="S210" s="10" t="n"/>
      <c r="T210" s="10" t="n"/>
      <c r="U210" s="10" t="n"/>
      <c r="V210" s="10" t="n"/>
      <c r="W210" s="10" t="n"/>
      <c r="X210" s="10" t="n"/>
      <c r="Y210" s="10" t="n"/>
      <c r="Z210" s="10" t="n"/>
      <c r="AA210" s="10" t="n"/>
      <c r="AB210" s="10" t="n"/>
    </row>
    <row r="211" ht="15.75" customHeight="1" s="297">
      <c r="A211" s="10" t="n"/>
      <c r="B211" s="10" t="n"/>
      <c r="C211" s="10" t="n"/>
      <c r="D211" s="10" t="n"/>
      <c r="E211" s="10" t="n"/>
      <c r="F211" s="10" t="n"/>
      <c r="G211" s="10" t="n"/>
      <c r="H211" s="10" t="n"/>
      <c r="I211" s="10" t="n"/>
      <c r="J211" s="10" t="n"/>
      <c r="K211" s="10" t="n"/>
      <c r="L211" s="10" t="n"/>
      <c r="M211" s="10" t="n"/>
      <c r="N211" s="10" t="n"/>
      <c r="O211" s="19" t="n"/>
      <c r="P211" s="19" t="n"/>
      <c r="Q211" s="10" t="n"/>
      <c r="R211" s="10" t="n"/>
      <c r="S211" s="10" t="n"/>
      <c r="T211" s="10" t="n"/>
      <c r="U211" s="10" t="n"/>
      <c r="V211" s="10" t="n"/>
      <c r="W211" s="10" t="n"/>
      <c r="X211" s="10" t="n"/>
      <c r="Y211" s="10" t="n"/>
      <c r="Z211" s="10" t="n"/>
      <c r="AA211" s="10" t="n"/>
      <c r="AB211" s="10" t="n"/>
    </row>
    <row r="212" ht="15.75" customHeight="1" s="297">
      <c r="A212" s="10" t="n"/>
      <c r="B212" s="10" t="n"/>
      <c r="C212" s="10" t="n"/>
      <c r="D212" s="10" t="n"/>
      <c r="E212" s="10" t="n"/>
      <c r="F212" s="10" t="n"/>
      <c r="G212" s="10" t="n"/>
      <c r="H212" s="10" t="n"/>
      <c r="I212" s="10" t="n"/>
      <c r="J212" s="10" t="n"/>
      <c r="K212" s="10" t="n"/>
      <c r="L212" s="10" t="n"/>
      <c r="M212" s="10" t="n"/>
      <c r="N212" s="10" t="n"/>
      <c r="O212" s="19" t="n"/>
      <c r="P212" s="19" t="n"/>
      <c r="Q212" s="10" t="n"/>
      <c r="R212" s="10" t="n"/>
      <c r="S212" s="10" t="n"/>
      <c r="T212" s="10" t="n"/>
      <c r="U212" s="10" t="n"/>
      <c r="V212" s="10" t="n"/>
      <c r="W212" s="10" t="n"/>
      <c r="X212" s="10" t="n"/>
      <c r="Y212" s="10" t="n"/>
      <c r="Z212" s="10" t="n"/>
      <c r="AA212" s="10" t="n"/>
      <c r="AB212" s="10" t="n"/>
    </row>
    <row r="213" ht="15.75" customHeight="1" s="297">
      <c r="A213" s="10" t="n"/>
      <c r="B213" s="10" t="n"/>
      <c r="C213" s="10" t="n"/>
      <c r="D213" s="10" t="n"/>
      <c r="E213" s="10" t="n"/>
      <c r="F213" s="10" t="n"/>
      <c r="G213" s="10" t="n"/>
      <c r="H213" s="10" t="n"/>
      <c r="I213" s="10" t="n"/>
      <c r="J213" s="10" t="n"/>
      <c r="K213" s="10" t="n"/>
      <c r="L213" s="10" t="n"/>
      <c r="M213" s="10" t="n"/>
      <c r="N213" s="10" t="n"/>
      <c r="O213" s="19" t="n"/>
      <c r="P213" s="19" t="n"/>
      <c r="Q213" s="10" t="n"/>
      <c r="R213" s="10" t="n"/>
      <c r="S213" s="10" t="n"/>
      <c r="T213" s="10" t="n"/>
      <c r="U213" s="10" t="n"/>
      <c r="V213" s="10" t="n"/>
      <c r="W213" s="10" t="n"/>
      <c r="X213" s="10" t="n"/>
      <c r="Y213" s="10" t="n"/>
      <c r="Z213" s="10" t="n"/>
      <c r="AA213" s="10" t="n"/>
      <c r="AB213" s="10" t="n"/>
    </row>
    <row r="214" ht="15.75" customHeight="1" s="297">
      <c r="A214" s="10" t="n"/>
      <c r="B214" s="10" t="n"/>
      <c r="C214" s="10" t="n"/>
      <c r="D214" s="10" t="n"/>
      <c r="E214" s="10" t="n"/>
      <c r="F214" s="10" t="n"/>
      <c r="G214" s="10" t="n"/>
      <c r="H214" s="10" t="n"/>
      <c r="I214" s="10" t="n"/>
      <c r="J214" s="10" t="n"/>
      <c r="K214" s="10" t="n"/>
      <c r="L214" s="10" t="n"/>
      <c r="M214" s="10" t="n"/>
      <c r="N214" s="10" t="n"/>
      <c r="O214" s="19" t="n"/>
      <c r="P214" s="19" t="n"/>
      <c r="Q214" s="10" t="n"/>
      <c r="R214" s="10" t="n"/>
      <c r="S214" s="10" t="n"/>
      <c r="T214" s="10" t="n"/>
      <c r="U214" s="10" t="n"/>
      <c r="V214" s="10" t="n"/>
      <c r="W214" s="10" t="n"/>
      <c r="X214" s="10" t="n"/>
      <c r="Y214" s="10" t="n"/>
      <c r="Z214" s="10" t="n"/>
      <c r="AA214" s="10" t="n"/>
      <c r="AB214" s="10" t="n"/>
    </row>
    <row r="215" ht="15.75" customHeight="1" s="297">
      <c r="A215" s="10" t="n"/>
      <c r="B215" s="10" t="n"/>
      <c r="C215" s="10" t="n"/>
      <c r="D215" s="10" t="n"/>
      <c r="E215" s="10" t="n"/>
      <c r="F215" s="10" t="n"/>
      <c r="G215" s="10" t="n"/>
      <c r="H215" s="10" t="n"/>
      <c r="I215" s="10" t="n"/>
      <c r="J215" s="10" t="n"/>
      <c r="K215" s="10" t="n"/>
      <c r="L215" s="10" t="n"/>
      <c r="M215" s="10" t="n"/>
      <c r="N215" s="10" t="n"/>
      <c r="O215" s="19" t="n"/>
      <c r="P215" s="19" t="n"/>
      <c r="Q215" s="10" t="n"/>
      <c r="R215" s="10" t="n"/>
      <c r="S215" s="10" t="n"/>
      <c r="T215" s="10" t="n"/>
      <c r="U215" s="10" t="n"/>
      <c r="V215" s="10" t="n"/>
      <c r="W215" s="10" t="n"/>
      <c r="X215" s="10" t="n"/>
      <c r="Y215" s="10" t="n"/>
      <c r="Z215" s="10" t="n"/>
      <c r="AA215" s="10" t="n"/>
      <c r="AB215" s="10" t="n"/>
    </row>
    <row r="216" ht="15.75" customHeight="1" s="297">
      <c r="A216" s="10" t="n"/>
      <c r="B216" s="10" t="n"/>
      <c r="C216" s="10" t="n"/>
      <c r="D216" s="10" t="n"/>
      <c r="E216" s="10" t="n"/>
      <c r="F216" s="10" t="n"/>
      <c r="G216" s="10" t="n"/>
      <c r="H216" s="10" t="n"/>
      <c r="I216" s="10" t="n"/>
      <c r="J216" s="10" t="n"/>
      <c r="K216" s="10" t="n"/>
      <c r="L216" s="10" t="n"/>
      <c r="M216" s="10" t="n"/>
      <c r="N216" s="10" t="n"/>
      <c r="O216" s="19" t="n"/>
      <c r="P216" s="19" t="n"/>
      <c r="Q216" s="10" t="n"/>
      <c r="R216" s="10" t="n"/>
      <c r="S216" s="10" t="n"/>
      <c r="T216" s="10" t="n"/>
      <c r="U216" s="10" t="n"/>
      <c r="V216" s="10" t="n"/>
      <c r="W216" s="10" t="n"/>
      <c r="X216" s="10" t="n"/>
      <c r="Y216" s="10" t="n"/>
      <c r="Z216" s="10" t="n"/>
      <c r="AA216" s="10" t="n"/>
      <c r="AB216" s="10" t="n"/>
    </row>
    <row r="217" ht="15.75" customHeight="1" s="297">
      <c r="A217" s="10" t="n"/>
      <c r="B217" s="10" t="n"/>
      <c r="C217" s="10" t="n"/>
      <c r="D217" s="10" t="n"/>
      <c r="E217" s="10" t="n"/>
      <c r="F217" s="10" t="n"/>
      <c r="G217" s="10" t="n"/>
      <c r="H217" s="10" t="n"/>
      <c r="I217" s="10" t="n"/>
      <c r="J217" s="10" t="n"/>
      <c r="K217" s="10" t="n"/>
      <c r="L217" s="10" t="n"/>
      <c r="M217" s="10" t="n"/>
      <c r="N217" s="10" t="n"/>
      <c r="O217" s="19" t="n"/>
      <c r="P217" s="19" t="n"/>
      <c r="Q217" s="10" t="n"/>
      <c r="R217" s="10" t="n"/>
      <c r="S217" s="10" t="n"/>
      <c r="T217" s="10" t="n"/>
      <c r="U217" s="10" t="n"/>
      <c r="V217" s="10" t="n"/>
      <c r="W217" s="10" t="n"/>
      <c r="X217" s="10" t="n"/>
      <c r="Y217" s="10" t="n"/>
      <c r="Z217" s="10" t="n"/>
      <c r="AA217" s="10" t="n"/>
      <c r="AB217" s="10" t="n"/>
    </row>
    <row r="218" ht="15.75" customHeight="1" s="297">
      <c r="A218" s="10" t="n"/>
      <c r="B218" s="10" t="n"/>
      <c r="C218" s="10" t="n"/>
      <c r="D218" s="10" t="n"/>
      <c r="E218" s="10" t="n"/>
      <c r="F218" s="10" t="n"/>
      <c r="G218" s="10" t="n"/>
      <c r="H218" s="10" t="n"/>
      <c r="I218" s="10" t="n"/>
      <c r="J218" s="10" t="n"/>
      <c r="K218" s="10" t="n"/>
      <c r="L218" s="10" t="n"/>
      <c r="M218" s="10" t="n"/>
      <c r="N218" s="10" t="n"/>
      <c r="O218" s="19" t="n"/>
      <c r="P218" s="19" t="n"/>
      <c r="Q218" s="10" t="n"/>
      <c r="R218" s="10" t="n"/>
      <c r="S218" s="10" t="n"/>
      <c r="T218" s="10" t="n"/>
      <c r="U218" s="10" t="n"/>
      <c r="V218" s="10" t="n"/>
      <c r="W218" s="10" t="n"/>
      <c r="X218" s="10" t="n"/>
      <c r="Y218" s="10" t="n"/>
      <c r="Z218" s="10" t="n"/>
      <c r="AA218" s="10" t="n"/>
      <c r="AB218" s="10" t="n"/>
    </row>
    <row r="219" ht="15.75" customHeight="1" s="297">
      <c r="A219" s="10" t="n"/>
      <c r="B219" s="10" t="n"/>
      <c r="C219" s="10" t="n"/>
      <c r="D219" s="10" t="n"/>
      <c r="E219" s="10" t="n"/>
      <c r="F219" s="10" t="n"/>
      <c r="G219" s="10" t="n"/>
      <c r="H219" s="10" t="n"/>
      <c r="I219" s="10" t="n"/>
      <c r="J219" s="10" t="n"/>
      <c r="K219" s="10" t="n"/>
      <c r="L219" s="10" t="n"/>
      <c r="M219" s="10" t="n"/>
      <c r="N219" s="10" t="n"/>
      <c r="O219" s="19" t="n"/>
      <c r="P219" s="19" t="n"/>
      <c r="Q219" s="10" t="n"/>
      <c r="R219" s="10" t="n"/>
      <c r="S219" s="10" t="n"/>
      <c r="T219" s="10" t="n"/>
      <c r="U219" s="10" t="n"/>
      <c r="V219" s="10" t="n"/>
      <c r="W219" s="10" t="n"/>
      <c r="X219" s="10" t="n"/>
      <c r="Y219" s="10" t="n"/>
      <c r="Z219" s="10" t="n"/>
      <c r="AA219" s="10" t="n"/>
      <c r="AB219" s="10" t="n"/>
    </row>
    <row r="220" ht="15.75" customHeight="1" s="297">
      <c r="A220" s="10" t="n"/>
      <c r="B220" s="10" t="n"/>
      <c r="C220" s="10" t="n"/>
      <c r="D220" s="10" t="n"/>
      <c r="E220" s="10" t="n"/>
      <c r="F220" s="10" t="n"/>
      <c r="G220" s="10" t="n"/>
      <c r="H220" s="10" t="n"/>
      <c r="I220" s="10" t="n"/>
      <c r="J220" s="10" t="n"/>
      <c r="K220" s="10" t="n"/>
      <c r="L220" s="10" t="n"/>
      <c r="M220" s="10" t="n"/>
      <c r="N220" s="10" t="n"/>
      <c r="O220" s="19" t="n"/>
      <c r="P220" s="19" t="n"/>
      <c r="Q220" s="10" t="n"/>
      <c r="R220" s="10" t="n"/>
      <c r="S220" s="10" t="n"/>
      <c r="T220" s="10" t="n"/>
      <c r="U220" s="10" t="n"/>
      <c r="V220" s="10" t="n"/>
      <c r="W220" s="10" t="n"/>
      <c r="X220" s="10" t="n"/>
      <c r="Y220" s="10" t="n"/>
      <c r="Z220" s="10" t="n"/>
      <c r="AA220" s="10" t="n"/>
      <c r="AB220" s="10" t="n"/>
    </row>
    <row r="221" ht="15.75" customHeight="1" s="297">
      <c r="A221" s="10" t="n"/>
      <c r="B221" s="10" t="n"/>
      <c r="C221" s="10" t="n"/>
      <c r="D221" s="10" t="n"/>
      <c r="E221" s="10" t="n"/>
      <c r="F221" s="10" t="n"/>
      <c r="G221" s="10" t="n"/>
      <c r="H221" s="10" t="n"/>
      <c r="I221" s="10" t="n"/>
      <c r="J221" s="10" t="n"/>
      <c r="K221" s="10" t="n"/>
      <c r="L221" s="10" t="n"/>
      <c r="M221" s="10" t="n"/>
      <c r="N221" s="10" t="n"/>
      <c r="O221" s="19" t="n"/>
      <c r="P221" s="19" t="n"/>
      <c r="Q221" s="10" t="n"/>
      <c r="R221" s="10" t="n"/>
      <c r="S221" s="10" t="n"/>
      <c r="T221" s="10" t="n"/>
      <c r="U221" s="10" t="n"/>
      <c r="V221" s="10" t="n"/>
      <c r="W221" s="10" t="n"/>
      <c r="X221" s="10" t="n"/>
      <c r="Y221" s="10" t="n"/>
      <c r="Z221" s="10" t="n"/>
      <c r="AA221" s="10" t="n"/>
      <c r="AB221" s="10" t="n"/>
    </row>
    <row r="222" ht="15.75" customHeight="1" s="297">
      <c r="A222" s="10" t="n"/>
      <c r="B222" s="10" t="n"/>
      <c r="C222" s="10" t="n"/>
      <c r="D222" s="10" t="n"/>
      <c r="E222" s="10" t="n"/>
      <c r="F222" s="10" t="n"/>
      <c r="G222" s="10" t="n"/>
      <c r="H222" s="10" t="n"/>
      <c r="I222" s="10" t="n"/>
      <c r="J222" s="10" t="n"/>
      <c r="K222" s="10" t="n"/>
      <c r="L222" s="10" t="n"/>
      <c r="M222" s="10" t="n"/>
      <c r="N222" s="10" t="n"/>
      <c r="O222" s="19" t="n"/>
      <c r="P222" s="19" t="n"/>
      <c r="Q222" s="10" t="n"/>
      <c r="R222" s="10" t="n"/>
      <c r="S222" s="10" t="n"/>
      <c r="T222" s="10" t="n"/>
      <c r="U222" s="10" t="n"/>
      <c r="V222" s="10" t="n"/>
      <c r="W222" s="10" t="n"/>
      <c r="X222" s="10" t="n"/>
      <c r="Y222" s="10" t="n"/>
      <c r="Z222" s="10" t="n"/>
      <c r="AA222" s="10" t="n"/>
      <c r="AB222" s="10" t="n"/>
    </row>
    <row r="223" ht="15.75" customHeight="1" s="297">
      <c r="A223" s="10" t="n"/>
      <c r="B223" s="10" t="n"/>
      <c r="C223" s="10" t="n"/>
      <c r="D223" s="10" t="n"/>
      <c r="E223" s="10" t="n"/>
      <c r="F223" s="10" t="n"/>
      <c r="G223" s="10" t="n"/>
      <c r="H223" s="10" t="n"/>
      <c r="I223" s="10" t="n"/>
      <c r="J223" s="10" t="n"/>
      <c r="K223" s="10" t="n"/>
      <c r="L223" s="10" t="n"/>
      <c r="M223" s="10" t="n"/>
      <c r="N223" s="10" t="n"/>
      <c r="O223" s="19" t="n"/>
      <c r="P223" s="19" t="n"/>
      <c r="Q223" s="10" t="n"/>
      <c r="R223" s="10" t="n"/>
      <c r="S223" s="10" t="n"/>
      <c r="T223" s="10" t="n"/>
      <c r="U223" s="10" t="n"/>
      <c r="V223" s="10" t="n"/>
      <c r="W223" s="10" t="n"/>
      <c r="X223" s="10" t="n"/>
      <c r="Y223" s="10" t="n"/>
      <c r="Z223" s="10" t="n"/>
      <c r="AA223" s="10" t="n"/>
      <c r="AB223" s="10" t="n"/>
    </row>
    <row r="224" ht="15.75" customHeight="1" s="297">
      <c r="A224" s="10" t="n"/>
      <c r="B224" s="10" t="n"/>
      <c r="C224" s="10" t="n"/>
      <c r="D224" s="10" t="n"/>
      <c r="E224" s="10" t="n"/>
      <c r="F224" s="10" t="n"/>
      <c r="G224" s="10" t="n"/>
      <c r="H224" s="10" t="n"/>
      <c r="I224" s="10" t="n"/>
      <c r="J224" s="10" t="n"/>
      <c r="K224" s="10" t="n"/>
      <c r="L224" s="10" t="n"/>
      <c r="M224" s="10" t="n"/>
      <c r="N224" s="10" t="n"/>
      <c r="O224" s="19" t="n"/>
      <c r="P224" s="19" t="n"/>
      <c r="Q224" s="10" t="n"/>
      <c r="R224" s="10" t="n"/>
      <c r="S224" s="10" t="n"/>
      <c r="T224" s="10" t="n"/>
      <c r="U224" s="10" t="n"/>
      <c r="V224" s="10" t="n"/>
      <c r="W224" s="10" t="n"/>
      <c r="X224" s="10" t="n"/>
      <c r="Y224" s="10" t="n"/>
      <c r="Z224" s="10" t="n"/>
      <c r="AA224" s="10" t="n"/>
      <c r="AB224" s="10" t="n"/>
    </row>
    <row r="225" ht="15.75" customHeight="1" s="297">
      <c r="A225" s="10" t="n"/>
      <c r="B225" s="10" t="n"/>
      <c r="C225" s="10" t="n"/>
      <c r="D225" s="10" t="n"/>
      <c r="E225" s="10" t="n"/>
      <c r="F225" s="10" t="n"/>
      <c r="G225" s="10" t="n"/>
      <c r="H225" s="10" t="n"/>
      <c r="I225" s="10" t="n"/>
      <c r="J225" s="10" t="n"/>
      <c r="K225" s="10" t="n"/>
      <c r="L225" s="10" t="n"/>
      <c r="M225" s="10" t="n"/>
      <c r="N225" s="10" t="n"/>
      <c r="O225" s="19" t="n"/>
      <c r="P225" s="19" t="n"/>
      <c r="Q225" s="10" t="n"/>
      <c r="R225" s="10" t="n"/>
      <c r="S225" s="10" t="n"/>
      <c r="T225" s="10" t="n"/>
      <c r="U225" s="10" t="n"/>
      <c r="V225" s="10" t="n"/>
      <c r="W225" s="10" t="n"/>
      <c r="X225" s="10" t="n"/>
      <c r="Y225" s="10" t="n"/>
      <c r="Z225" s="10" t="n"/>
      <c r="AA225" s="10" t="n"/>
      <c r="AB225" s="10" t="n"/>
    </row>
    <row r="226" ht="15.75" customHeight="1" s="297">
      <c r="A226" s="10" t="n"/>
      <c r="B226" s="10" t="n"/>
      <c r="C226" s="10" t="n"/>
      <c r="D226" s="10" t="n"/>
      <c r="E226" s="10" t="n"/>
      <c r="F226" s="10" t="n"/>
      <c r="G226" s="10" t="n"/>
      <c r="H226" s="10" t="n"/>
      <c r="I226" s="10" t="n"/>
      <c r="J226" s="10" t="n"/>
      <c r="K226" s="10" t="n"/>
      <c r="L226" s="10" t="n"/>
      <c r="M226" s="10" t="n"/>
      <c r="N226" s="10" t="n"/>
      <c r="O226" s="19" t="n"/>
      <c r="P226" s="19" t="n"/>
      <c r="Q226" s="10" t="n"/>
      <c r="R226" s="10" t="n"/>
      <c r="S226" s="10" t="n"/>
      <c r="T226" s="10" t="n"/>
      <c r="U226" s="10" t="n"/>
      <c r="V226" s="10" t="n"/>
      <c r="W226" s="10" t="n"/>
      <c r="X226" s="10" t="n"/>
      <c r="Y226" s="10" t="n"/>
      <c r="Z226" s="10" t="n"/>
      <c r="AA226" s="10" t="n"/>
      <c r="AB226" s="10" t="n"/>
    </row>
    <row r="227" ht="15.75" customHeight="1" s="297">
      <c r="A227" s="10" t="n"/>
      <c r="B227" s="10" t="n"/>
      <c r="C227" s="10" t="n"/>
      <c r="D227" s="10" t="n"/>
      <c r="E227" s="10" t="n"/>
      <c r="F227" s="10" t="n"/>
      <c r="G227" s="10" t="n"/>
      <c r="H227" s="10" t="n"/>
      <c r="I227" s="10" t="n"/>
      <c r="J227" s="10" t="n"/>
      <c r="K227" s="10" t="n"/>
      <c r="L227" s="10" t="n"/>
      <c r="M227" s="10" t="n"/>
      <c r="N227" s="10" t="n"/>
      <c r="O227" s="19" t="n"/>
      <c r="P227" s="19" t="n"/>
      <c r="Q227" s="10" t="n"/>
      <c r="R227" s="10" t="n"/>
      <c r="S227" s="10" t="n"/>
      <c r="T227" s="10" t="n"/>
      <c r="U227" s="10" t="n"/>
      <c r="V227" s="10" t="n"/>
      <c r="W227" s="10" t="n"/>
      <c r="X227" s="10" t="n"/>
      <c r="Y227" s="10" t="n"/>
      <c r="Z227" s="10" t="n"/>
      <c r="AA227" s="10" t="n"/>
      <c r="AB227" s="10" t="n"/>
    </row>
    <row r="228" ht="15.75" customHeight="1" s="297">
      <c r="A228" s="10" t="n"/>
      <c r="B228" s="10" t="n"/>
      <c r="C228" s="10" t="n"/>
      <c r="D228" s="10" t="n"/>
      <c r="E228" s="10" t="n"/>
      <c r="F228" s="10" t="n"/>
      <c r="G228" s="10" t="n"/>
      <c r="H228" s="10" t="n"/>
      <c r="I228" s="10" t="n"/>
      <c r="J228" s="10" t="n"/>
      <c r="K228" s="10" t="n"/>
      <c r="L228" s="10" t="n"/>
      <c r="M228" s="10" t="n"/>
      <c r="N228" s="10" t="n"/>
      <c r="O228" s="19" t="n"/>
      <c r="P228" s="19" t="n"/>
      <c r="Q228" s="10" t="n"/>
      <c r="R228" s="10" t="n"/>
      <c r="S228" s="10" t="n"/>
      <c r="T228" s="10" t="n"/>
      <c r="U228" s="10" t="n"/>
      <c r="V228" s="10" t="n"/>
      <c r="W228" s="10" t="n"/>
      <c r="X228" s="10" t="n"/>
      <c r="Y228" s="10" t="n"/>
      <c r="Z228" s="10" t="n"/>
      <c r="AA228" s="10" t="n"/>
      <c r="AB228" s="10" t="n"/>
    </row>
    <row r="229" ht="15.75" customHeight="1" s="297">
      <c r="A229" s="10" t="n"/>
      <c r="B229" s="10" t="n"/>
      <c r="C229" s="10" t="n"/>
      <c r="D229" s="10" t="n"/>
      <c r="E229" s="10" t="n"/>
      <c r="F229" s="10" t="n"/>
      <c r="G229" s="10" t="n"/>
      <c r="H229" s="10" t="n"/>
      <c r="I229" s="10" t="n"/>
      <c r="J229" s="10" t="n"/>
      <c r="K229" s="10" t="n"/>
      <c r="L229" s="10" t="n"/>
      <c r="M229" s="10" t="n"/>
      <c r="N229" s="10" t="n"/>
      <c r="O229" s="19" t="n"/>
      <c r="P229" s="19" t="n"/>
      <c r="Q229" s="10" t="n"/>
      <c r="R229" s="10" t="n"/>
      <c r="S229" s="10" t="n"/>
      <c r="T229" s="10" t="n"/>
      <c r="U229" s="10" t="n"/>
      <c r="V229" s="10" t="n"/>
      <c r="W229" s="10" t="n"/>
      <c r="X229" s="10" t="n"/>
      <c r="Y229" s="10" t="n"/>
      <c r="Z229" s="10" t="n"/>
      <c r="AA229" s="10" t="n"/>
      <c r="AB229" s="10" t="n"/>
    </row>
    <row r="230" ht="15.75" customHeight="1" s="297">
      <c r="A230" s="10" t="n"/>
      <c r="B230" s="10" t="n"/>
      <c r="C230" s="10" t="n"/>
      <c r="D230" s="10" t="n"/>
      <c r="E230" s="10" t="n"/>
      <c r="F230" s="10" t="n"/>
      <c r="G230" s="10" t="n"/>
      <c r="H230" s="10" t="n"/>
      <c r="I230" s="10" t="n"/>
      <c r="J230" s="10" t="n"/>
      <c r="K230" s="10" t="n"/>
      <c r="L230" s="10" t="n"/>
      <c r="M230" s="10" t="n"/>
      <c r="N230" s="10" t="n"/>
      <c r="O230" s="19" t="n"/>
      <c r="P230" s="19" t="n"/>
      <c r="Q230" s="10" t="n"/>
      <c r="R230" s="10" t="n"/>
      <c r="S230" s="10" t="n"/>
      <c r="T230" s="10" t="n"/>
      <c r="U230" s="10" t="n"/>
      <c r="V230" s="10" t="n"/>
      <c r="W230" s="10" t="n"/>
      <c r="X230" s="10" t="n"/>
      <c r="Y230" s="10" t="n"/>
      <c r="Z230" s="10" t="n"/>
      <c r="AA230" s="10" t="n"/>
      <c r="AB230" s="10" t="n"/>
    </row>
    <row r="231" ht="15.75" customHeight="1" s="297">
      <c r="A231" s="10" t="n"/>
      <c r="B231" s="10" t="n"/>
      <c r="C231" s="10" t="n"/>
      <c r="D231" s="10" t="n"/>
      <c r="E231" s="10" t="n"/>
      <c r="F231" s="10" t="n"/>
      <c r="G231" s="10" t="n"/>
      <c r="H231" s="10" t="n"/>
      <c r="I231" s="10" t="n"/>
      <c r="J231" s="10" t="n"/>
      <c r="K231" s="10" t="n"/>
      <c r="L231" s="10" t="n"/>
      <c r="M231" s="10" t="n"/>
      <c r="N231" s="10" t="n"/>
      <c r="O231" s="19" t="n"/>
      <c r="P231" s="19" t="n"/>
      <c r="Q231" s="10" t="n"/>
      <c r="R231" s="10" t="n"/>
      <c r="S231" s="10" t="n"/>
      <c r="T231" s="10" t="n"/>
      <c r="U231" s="10" t="n"/>
      <c r="V231" s="10" t="n"/>
      <c r="W231" s="10" t="n"/>
      <c r="X231" s="10" t="n"/>
      <c r="Y231" s="10" t="n"/>
      <c r="Z231" s="10" t="n"/>
      <c r="AA231" s="10" t="n"/>
      <c r="AB231" s="10" t="n"/>
    </row>
    <row r="232" ht="15.75" customHeight="1" s="297">
      <c r="A232" s="10" t="n"/>
      <c r="B232" s="10" t="n"/>
      <c r="C232" s="10" t="n"/>
      <c r="D232" s="10" t="n"/>
      <c r="E232" s="10" t="n"/>
      <c r="F232" s="10" t="n"/>
      <c r="G232" s="10" t="n"/>
      <c r="H232" s="10" t="n"/>
      <c r="I232" s="10" t="n"/>
      <c r="J232" s="10" t="n"/>
      <c r="K232" s="10" t="n"/>
      <c r="L232" s="10" t="n"/>
      <c r="M232" s="10" t="n"/>
      <c r="N232" s="10" t="n"/>
      <c r="O232" s="19" t="n"/>
      <c r="P232" s="19" t="n"/>
      <c r="Q232" s="10" t="n"/>
      <c r="R232" s="10" t="n"/>
      <c r="S232" s="10" t="n"/>
      <c r="T232" s="10" t="n"/>
      <c r="U232" s="10" t="n"/>
      <c r="V232" s="10" t="n"/>
      <c r="W232" s="10" t="n"/>
      <c r="X232" s="10" t="n"/>
      <c r="Y232" s="10" t="n"/>
      <c r="Z232" s="10" t="n"/>
      <c r="AA232" s="10" t="n"/>
      <c r="AB232" s="10" t="n"/>
    </row>
    <row r="233" ht="15.75" customHeight="1" s="297">
      <c r="A233" s="10" t="n"/>
      <c r="B233" s="10" t="n"/>
      <c r="C233" s="10" t="n"/>
      <c r="D233" s="10" t="n"/>
      <c r="E233" s="10" t="n"/>
      <c r="F233" s="10" t="n"/>
      <c r="G233" s="10" t="n"/>
      <c r="H233" s="10" t="n"/>
      <c r="I233" s="10" t="n"/>
      <c r="J233" s="10" t="n"/>
      <c r="K233" s="10" t="n"/>
      <c r="L233" s="10" t="n"/>
      <c r="M233" s="10" t="n"/>
      <c r="N233" s="10" t="n"/>
      <c r="O233" s="19" t="n"/>
      <c r="P233" s="19" t="n"/>
      <c r="Q233" s="10" t="n"/>
      <c r="R233" s="10" t="n"/>
      <c r="S233" s="10" t="n"/>
      <c r="T233" s="10" t="n"/>
      <c r="U233" s="10" t="n"/>
      <c r="V233" s="10" t="n"/>
      <c r="W233" s="10" t="n"/>
      <c r="X233" s="10" t="n"/>
      <c r="Y233" s="10" t="n"/>
      <c r="Z233" s="10" t="n"/>
      <c r="AA233" s="10" t="n"/>
      <c r="AB233" s="10" t="n"/>
    </row>
    <row r="234" ht="15.75" customHeight="1" s="297">
      <c r="A234" s="10" t="n"/>
      <c r="B234" s="10" t="n"/>
      <c r="C234" s="10" t="n"/>
      <c r="D234" s="10" t="n"/>
      <c r="E234" s="10" t="n"/>
      <c r="F234" s="10" t="n"/>
      <c r="G234" s="10" t="n"/>
      <c r="H234" s="10" t="n"/>
      <c r="I234" s="10" t="n"/>
      <c r="J234" s="10" t="n"/>
      <c r="K234" s="10" t="n"/>
      <c r="L234" s="10" t="n"/>
      <c r="M234" s="10" t="n"/>
      <c r="N234" s="10" t="n"/>
      <c r="O234" s="19" t="n"/>
      <c r="P234" s="19" t="n"/>
      <c r="Q234" s="10" t="n"/>
      <c r="R234" s="10" t="n"/>
      <c r="S234" s="10" t="n"/>
      <c r="T234" s="10" t="n"/>
      <c r="U234" s="10" t="n"/>
      <c r="V234" s="10" t="n"/>
      <c r="W234" s="10" t="n"/>
      <c r="X234" s="10" t="n"/>
      <c r="Y234" s="10" t="n"/>
      <c r="Z234" s="10" t="n"/>
      <c r="AA234" s="10" t="n"/>
      <c r="AB234" s="10" t="n"/>
    </row>
    <row r="235" ht="15.75" customHeight="1" s="297">
      <c r="A235" s="10" t="n"/>
      <c r="B235" s="10" t="n"/>
      <c r="C235" s="10" t="n"/>
      <c r="D235" s="10" t="n"/>
      <c r="E235" s="10" t="n"/>
      <c r="F235" s="10" t="n"/>
      <c r="G235" s="10" t="n"/>
      <c r="H235" s="10" t="n"/>
      <c r="I235" s="10" t="n"/>
      <c r="J235" s="10" t="n"/>
      <c r="K235" s="10" t="n"/>
      <c r="L235" s="10" t="n"/>
      <c r="M235" s="10" t="n"/>
      <c r="N235" s="10" t="n"/>
      <c r="O235" s="19" t="n"/>
      <c r="P235" s="19" t="n"/>
      <c r="Q235" s="10" t="n"/>
      <c r="R235" s="10" t="n"/>
      <c r="S235" s="10" t="n"/>
      <c r="T235" s="10" t="n"/>
      <c r="U235" s="10" t="n"/>
      <c r="V235" s="10" t="n"/>
      <c r="W235" s="10" t="n"/>
      <c r="X235" s="10" t="n"/>
      <c r="Y235" s="10" t="n"/>
      <c r="Z235" s="10" t="n"/>
      <c r="AA235" s="10" t="n"/>
      <c r="AB235" s="10" t="n"/>
    </row>
    <row r="236" ht="15.75" customHeight="1" s="297">
      <c r="A236" s="10" t="n"/>
      <c r="B236" s="10" t="n"/>
      <c r="C236" s="10" t="n"/>
      <c r="D236" s="10" t="n"/>
      <c r="E236" s="10" t="n"/>
      <c r="F236" s="10" t="n"/>
      <c r="G236" s="10" t="n"/>
      <c r="H236" s="10" t="n"/>
      <c r="I236" s="10" t="n"/>
      <c r="J236" s="10" t="n"/>
      <c r="K236" s="10" t="n"/>
      <c r="L236" s="10" t="n"/>
      <c r="M236" s="10" t="n"/>
      <c r="N236" s="10" t="n"/>
      <c r="O236" s="19" t="n"/>
      <c r="P236" s="19" t="n"/>
      <c r="Q236" s="10" t="n"/>
      <c r="R236" s="10" t="n"/>
      <c r="S236" s="10" t="n"/>
      <c r="T236" s="10" t="n"/>
      <c r="U236" s="10" t="n"/>
      <c r="V236" s="10" t="n"/>
      <c r="W236" s="10" t="n"/>
      <c r="X236" s="10" t="n"/>
      <c r="Y236" s="10" t="n"/>
      <c r="Z236" s="10" t="n"/>
      <c r="AA236" s="10" t="n"/>
      <c r="AB236" s="10" t="n"/>
    </row>
    <row r="237" ht="15.75" customHeight="1" s="297">
      <c r="A237" s="10" t="n"/>
      <c r="B237" s="10" t="n"/>
      <c r="C237" s="10" t="n"/>
      <c r="D237" s="10" t="n"/>
      <c r="E237" s="10" t="n"/>
      <c r="F237" s="10" t="n"/>
      <c r="G237" s="10" t="n"/>
      <c r="H237" s="10" t="n"/>
      <c r="I237" s="10" t="n"/>
      <c r="J237" s="10" t="n"/>
      <c r="K237" s="10" t="n"/>
      <c r="L237" s="10" t="n"/>
      <c r="M237" s="10" t="n"/>
      <c r="N237" s="10" t="n"/>
      <c r="O237" s="19" t="n"/>
      <c r="P237" s="19" t="n"/>
      <c r="Q237" s="10" t="n"/>
      <c r="R237" s="10" t="n"/>
      <c r="S237" s="10" t="n"/>
      <c r="T237" s="10" t="n"/>
      <c r="U237" s="10" t="n"/>
      <c r="V237" s="10" t="n"/>
      <c r="W237" s="10" t="n"/>
      <c r="X237" s="10" t="n"/>
      <c r="Y237" s="10" t="n"/>
      <c r="Z237" s="10" t="n"/>
      <c r="AA237" s="10" t="n"/>
      <c r="AB237" s="10" t="n"/>
    </row>
    <row r="238" ht="15.75" customHeight="1" s="297">
      <c r="A238" s="10" t="n"/>
      <c r="B238" s="10" t="n"/>
      <c r="C238" s="10" t="n"/>
      <c r="D238" s="10" t="n"/>
      <c r="E238" s="10" t="n"/>
      <c r="F238" s="10" t="n"/>
      <c r="G238" s="10" t="n"/>
      <c r="H238" s="10" t="n"/>
      <c r="I238" s="10" t="n"/>
      <c r="J238" s="10" t="n"/>
      <c r="K238" s="10" t="n"/>
      <c r="L238" s="10" t="n"/>
      <c r="M238" s="10" t="n"/>
      <c r="N238" s="10" t="n"/>
      <c r="O238" s="19" t="n"/>
      <c r="P238" s="19" t="n"/>
      <c r="Q238" s="10" t="n"/>
      <c r="R238" s="10" t="n"/>
      <c r="S238" s="10" t="n"/>
      <c r="T238" s="10" t="n"/>
      <c r="U238" s="10" t="n"/>
      <c r="V238" s="10" t="n"/>
      <c r="W238" s="10" t="n"/>
      <c r="X238" s="10" t="n"/>
      <c r="Y238" s="10" t="n"/>
      <c r="Z238" s="10" t="n"/>
      <c r="AA238" s="10" t="n"/>
      <c r="AB238" s="10" t="n"/>
    </row>
    <row r="239" ht="15.75" customHeight="1" s="297">
      <c r="A239" s="10" t="n"/>
      <c r="B239" s="10" t="n"/>
      <c r="C239" s="10" t="n"/>
      <c r="D239" s="10" t="n"/>
      <c r="E239" s="10" t="n"/>
      <c r="F239" s="10" t="n"/>
      <c r="G239" s="10" t="n"/>
      <c r="H239" s="10" t="n"/>
      <c r="I239" s="10" t="n"/>
      <c r="J239" s="10" t="n"/>
      <c r="K239" s="10" t="n"/>
      <c r="L239" s="10" t="n"/>
      <c r="M239" s="10" t="n"/>
      <c r="N239" s="10" t="n"/>
      <c r="O239" s="19" t="n"/>
      <c r="P239" s="19" t="n"/>
      <c r="Q239" s="10" t="n"/>
      <c r="R239" s="10" t="n"/>
      <c r="S239" s="10" t="n"/>
      <c r="T239" s="10" t="n"/>
      <c r="U239" s="10" t="n"/>
      <c r="V239" s="10" t="n"/>
      <c r="W239" s="10" t="n"/>
      <c r="X239" s="10" t="n"/>
      <c r="Y239" s="10" t="n"/>
      <c r="Z239" s="10" t="n"/>
      <c r="AA239" s="10" t="n"/>
      <c r="AB239" s="10" t="n"/>
    </row>
    <row r="240" ht="15.75" customHeight="1" s="297">
      <c r="A240" s="10" t="n"/>
      <c r="B240" s="10" t="n"/>
      <c r="C240" s="10" t="n"/>
      <c r="D240" s="10" t="n"/>
      <c r="E240" s="10" t="n"/>
      <c r="F240" s="10" t="n"/>
      <c r="G240" s="10" t="n"/>
      <c r="H240" s="10" t="n"/>
      <c r="I240" s="10" t="n"/>
      <c r="J240" s="10" t="n"/>
      <c r="K240" s="10" t="n"/>
      <c r="L240" s="10" t="n"/>
      <c r="M240" s="10" t="n"/>
      <c r="N240" s="10" t="n"/>
      <c r="O240" s="19" t="n"/>
      <c r="P240" s="19" t="n"/>
      <c r="Q240" s="10" t="n"/>
      <c r="R240" s="10" t="n"/>
      <c r="S240" s="10" t="n"/>
      <c r="T240" s="10" t="n"/>
      <c r="U240" s="10" t="n"/>
      <c r="V240" s="10" t="n"/>
      <c r="W240" s="10" t="n"/>
      <c r="X240" s="10" t="n"/>
      <c r="Y240" s="10" t="n"/>
      <c r="Z240" s="10" t="n"/>
      <c r="AA240" s="10" t="n"/>
      <c r="AB240" s="10" t="n"/>
    </row>
    <row r="241" ht="15.75" customHeight="1" s="297">
      <c r="A241" s="10" t="n"/>
      <c r="B241" s="10" t="n"/>
      <c r="C241" s="10" t="n"/>
      <c r="D241" s="10" t="n"/>
      <c r="E241" s="10" t="n"/>
      <c r="F241" s="10" t="n"/>
      <c r="G241" s="10" t="n"/>
      <c r="H241" s="10" t="n"/>
      <c r="I241" s="10" t="n"/>
      <c r="J241" s="10" t="n"/>
      <c r="K241" s="10" t="n"/>
      <c r="L241" s="10" t="n"/>
      <c r="M241" s="10" t="n"/>
      <c r="N241" s="10" t="n"/>
      <c r="O241" s="19" t="n"/>
      <c r="P241" s="19" t="n"/>
      <c r="Q241" s="10" t="n"/>
      <c r="R241" s="10" t="n"/>
      <c r="S241" s="10" t="n"/>
      <c r="T241" s="10" t="n"/>
      <c r="U241" s="10" t="n"/>
      <c r="V241" s="10" t="n"/>
      <c r="W241" s="10" t="n"/>
      <c r="X241" s="10" t="n"/>
      <c r="Y241" s="10" t="n"/>
      <c r="Z241" s="10" t="n"/>
      <c r="AA241" s="10" t="n"/>
      <c r="AB241" s="10" t="n"/>
    </row>
    <row r="242" ht="15.75" customHeight="1" s="297">
      <c r="A242" s="10" t="n"/>
      <c r="B242" s="10" t="n"/>
      <c r="C242" s="10" t="n"/>
      <c r="D242" s="10" t="n"/>
      <c r="E242" s="10" t="n"/>
      <c r="F242" s="10" t="n"/>
      <c r="G242" s="10" t="n"/>
      <c r="H242" s="10" t="n"/>
      <c r="I242" s="10" t="n"/>
      <c r="J242" s="10" t="n"/>
      <c r="K242" s="10" t="n"/>
      <c r="L242" s="10" t="n"/>
      <c r="M242" s="10" t="n"/>
      <c r="N242" s="10" t="n"/>
      <c r="O242" s="19" t="n"/>
      <c r="P242" s="19" t="n"/>
      <c r="Q242" s="10" t="n"/>
      <c r="R242" s="10" t="n"/>
      <c r="S242" s="10" t="n"/>
      <c r="T242" s="10" t="n"/>
      <c r="U242" s="10" t="n"/>
      <c r="V242" s="10" t="n"/>
      <c r="W242" s="10" t="n"/>
      <c r="X242" s="10" t="n"/>
      <c r="Y242" s="10" t="n"/>
      <c r="Z242" s="10" t="n"/>
      <c r="AA242" s="10" t="n"/>
      <c r="AB242" s="10" t="n"/>
    </row>
    <row r="243" ht="15.75" customHeight="1" s="297">
      <c r="A243" s="10" t="n"/>
      <c r="B243" s="10" t="n"/>
      <c r="C243" s="10" t="n"/>
      <c r="D243" s="10" t="n"/>
      <c r="E243" s="10" t="n"/>
      <c r="F243" s="10" t="n"/>
      <c r="G243" s="10" t="n"/>
      <c r="H243" s="10" t="n"/>
      <c r="I243" s="10" t="n"/>
      <c r="J243" s="10" t="n"/>
      <c r="K243" s="10" t="n"/>
      <c r="L243" s="10" t="n"/>
      <c r="M243" s="10" t="n"/>
      <c r="N243" s="10" t="n"/>
      <c r="O243" s="19" t="n"/>
      <c r="P243" s="19" t="n"/>
      <c r="Q243" s="10" t="n"/>
      <c r="R243" s="10" t="n"/>
      <c r="S243" s="10" t="n"/>
      <c r="T243" s="10" t="n"/>
      <c r="U243" s="10" t="n"/>
      <c r="V243" s="10" t="n"/>
      <c r="W243" s="10" t="n"/>
      <c r="X243" s="10" t="n"/>
      <c r="Y243" s="10" t="n"/>
      <c r="Z243" s="10" t="n"/>
      <c r="AA243" s="10" t="n"/>
      <c r="AB243" s="10" t="n"/>
    </row>
    <row r="244" ht="15.75" customHeight="1" s="297">
      <c r="A244" s="10" t="n"/>
      <c r="B244" s="10" t="n"/>
      <c r="C244" s="10" t="n"/>
      <c r="D244" s="10" t="n"/>
      <c r="E244" s="10" t="n"/>
      <c r="F244" s="10" t="n"/>
      <c r="G244" s="10" t="n"/>
      <c r="H244" s="10" t="n"/>
      <c r="I244" s="10" t="n"/>
      <c r="J244" s="10" t="n"/>
      <c r="K244" s="10" t="n"/>
      <c r="L244" s="10" t="n"/>
      <c r="M244" s="10" t="n"/>
      <c r="N244" s="10" t="n"/>
      <c r="O244" s="19" t="n"/>
      <c r="P244" s="19" t="n"/>
      <c r="Q244" s="10" t="n"/>
      <c r="R244" s="10" t="n"/>
      <c r="S244" s="10" t="n"/>
      <c r="T244" s="10" t="n"/>
      <c r="U244" s="10" t="n"/>
      <c r="V244" s="10" t="n"/>
      <c r="W244" s="10" t="n"/>
      <c r="X244" s="10" t="n"/>
      <c r="Y244" s="10" t="n"/>
      <c r="Z244" s="10" t="n"/>
      <c r="AA244" s="10" t="n"/>
      <c r="AB244" s="10" t="n"/>
    </row>
    <row r="245" ht="15.75" customHeight="1" s="297">
      <c r="A245" s="10" t="n"/>
      <c r="B245" s="10" t="n"/>
      <c r="C245" s="10" t="n"/>
      <c r="D245" s="10" t="n"/>
      <c r="E245" s="10" t="n"/>
      <c r="F245" s="10" t="n"/>
      <c r="G245" s="10" t="n"/>
      <c r="H245" s="10" t="n"/>
      <c r="I245" s="10" t="n"/>
      <c r="J245" s="10" t="n"/>
      <c r="K245" s="10" t="n"/>
      <c r="L245" s="10" t="n"/>
      <c r="M245" s="10" t="n"/>
      <c r="N245" s="10" t="n"/>
      <c r="O245" s="19" t="n"/>
      <c r="P245" s="19" t="n"/>
      <c r="Q245" s="10" t="n"/>
      <c r="R245" s="10" t="n"/>
      <c r="S245" s="10" t="n"/>
      <c r="T245" s="10" t="n"/>
      <c r="U245" s="10" t="n"/>
      <c r="V245" s="10" t="n"/>
      <c r="W245" s="10" t="n"/>
      <c r="X245" s="10" t="n"/>
      <c r="Y245" s="10" t="n"/>
      <c r="Z245" s="10" t="n"/>
      <c r="AA245" s="10" t="n"/>
      <c r="AB245" s="10" t="n"/>
    </row>
    <row r="246" ht="15.75" customHeight="1" s="297">
      <c r="A246" s="10" t="n"/>
      <c r="B246" s="10" t="n"/>
      <c r="C246" s="10" t="n"/>
      <c r="D246" s="10" t="n"/>
      <c r="E246" s="10" t="n"/>
      <c r="F246" s="10" t="n"/>
      <c r="G246" s="10" t="n"/>
      <c r="H246" s="10" t="n"/>
      <c r="I246" s="10" t="n"/>
      <c r="J246" s="10" t="n"/>
      <c r="K246" s="10" t="n"/>
      <c r="L246" s="10" t="n"/>
      <c r="M246" s="10" t="n"/>
      <c r="N246" s="10" t="n"/>
      <c r="O246" s="19" t="n"/>
      <c r="P246" s="19" t="n"/>
      <c r="Q246" s="10" t="n"/>
      <c r="R246" s="10" t="n"/>
      <c r="S246" s="10" t="n"/>
      <c r="T246" s="10" t="n"/>
      <c r="U246" s="10" t="n"/>
      <c r="V246" s="10" t="n"/>
      <c r="W246" s="10" t="n"/>
      <c r="X246" s="10" t="n"/>
      <c r="Y246" s="10" t="n"/>
      <c r="Z246" s="10" t="n"/>
      <c r="AA246" s="10" t="n"/>
      <c r="AB246" s="10" t="n"/>
    </row>
    <row r="247" ht="15.75" customHeight="1" s="297">
      <c r="A247" s="10" t="n"/>
      <c r="B247" s="10" t="n"/>
      <c r="C247" s="10" t="n"/>
      <c r="D247" s="10" t="n"/>
      <c r="E247" s="10" t="n"/>
      <c r="F247" s="10" t="n"/>
      <c r="G247" s="10" t="n"/>
      <c r="H247" s="10" t="n"/>
      <c r="I247" s="10" t="n"/>
      <c r="J247" s="10" t="n"/>
      <c r="K247" s="10" t="n"/>
      <c r="L247" s="10" t="n"/>
      <c r="M247" s="10" t="n"/>
      <c r="N247" s="10" t="n"/>
      <c r="O247" s="19" t="n"/>
      <c r="P247" s="19" t="n"/>
      <c r="Q247" s="10" t="n"/>
      <c r="R247" s="10" t="n"/>
      <c r="S247" s="10" t="n"/>
      <c r="T247" s="10" t="n"/>
      <c r="U247" s="10" t="n"/>
      <c r="V247" s="10" t="n"/>
      <c r="W247" s="10" t="n"/>
      <c r="X247" s="10" t="n"/>
      <c r="Y247" s="10" t="n"/>
      <c r="Z247" s="10" t="n"/>
      <c r="AA247" s="10" t="n"/>
      <c r="AB247" s="10" t="n"/>
    </row>
    <row r="248" ht="15.75" customHeight="1" s="297">
      <c r="A248" s="10" t="n"/>
      <c r="B248" s="10" t="n"/>
      <c r="C248" s="10" t="n"/>
      <c r="D248" s="10" t="n"/>
      <c r="E248" s="10" t="n"/>
      <c r="F248" s="10" t="n"/>
      <c r="G248" s="10" t="n"/>
      <c r="H248" s="10" t="n"/>
      <c r="I248" s="10" t="n"/>
      <c r="J248" s="10" t="n"/>
      <c r="K248" s="10" t="n"/>
      <c r="L248" s="10" t="n"/>
      <c r="M248" s="10" t="n"/>
      <c r="N248" s="10" t="n"/>
      <c r="O248" s="19" t="n"/>
      <c r="P248" s="19" t="n"/>
      <c r="Q248" s="10" t="n"/>
      <c r="R248" s="10" t="n"/>
      <c r="S248" s="10" t="n"/>
      <c r="T248" s="10" t="n"/>
      <c r="U248" s="10" t="n"/>
      <c r="V248" s="10" t="n"/>
      <c r="W248" s="10" t="n"/>
      <c r="X248" s="10" t="n"/>
      <c r="Y248" s="10" t="n"/>
      <c r="Z248" s="10" t="n"/>
      <c r="AA248" s="10" t="n"/>
      <c r="AB248" s="10" t="n"/>
    </row>
    <row r="249" ht="15.75" customHeight="1" s="297">
      <c r="A249" s="10" t="n"/>
      <c r="B249" s="10" t="n"/>
      <c r="C249" s="10" t="n"/>
      <c r="D249" s="10" t="n"/>
      <c r="E249" s="10" t="n"/>
      <c r="F249" s="10" t="n"/>
      <c r="G249" s="10" t="n"/>
      <c r="H249" s="10" t="n"/>
      <c r="I249" s="10" t="n"/>
      <c r="J249" s="10" t="n"/>
      <c r="K249" s="10" t="n"/>
      <c r="L249" s="10" t="n"/>
      <c r="M249" s="10" t="n"/>
      <c r="N249" s="10" t="n"/>
      <c r="O249" s="19" t="n"/>
      <c r="P249" s="19" t="n"/>
      <c r="Q249" s="10" t="n"/>
      <c r="R249" s="10" t="n"/>
      <c r="S249" s="10" t="n"/>
      <c r="T249" s="10" t="n"/>
      <c r="U249" s="10" t="n"/>
      <c r="V249" s="10" t="n"/>
      <c r="W249" s="10" t="n"/>
      <c r="X249" s="10" t="n"/>
      <c r="Y249" s="10" t="n"/>
      <c r="Z249" s="10" t="n"/>
      <c r="AA249" s="10" t="n"/>
      <c r="AB249" s="10" t="n"/>
    </row>
    <row r="250" ht="15.75" customHeight="1" s="297">
      <c r="A250" s="10" t="n"/>
      <c r="B250" s="10" t="n"/>
      <c r="C250" s="10" t="n"/>
      <c r="D250" s="10" t="n"/>
      <c r="E250" s="10" t="n"/>
      <c r="F250" s="10" t="n"/>
      <c r="G250" s="10" t="n"/>
      <c r="H250" s="10" t="n"/>
      <c r="I250" s="10" t="n"/>
      <c r="J250" s="10" t="n"/>
      <c r="K250" s="10" t="n"/>
      <c r="L250" s="10" t="n"/>
      <c r="M250" s="10" t="n"/>
      <c r="N250" s="10" t="n"/>
      <c r="O250" s="19" t="n"/>
      <c r="P250" s="19" t="n"/>
      <c r="Q250" s="10" t="n"/>
      <c r="R250" s="10" t="n"/>
      <c r="S250" s="10" t="n"/>
      <c r="T250" s="10" t="n"/>
      <c r="U250" s="10" t="n"/>
      <c r="V250" s="10" t="n"/>
      <c r="W250" s="10" t="n"/>
      <c r="X250" s="10" t="n"/>
      <c r="Y250" s="10" t="n"/>
      <c r="Z250" s="10" t="n"/>
      <c r="AA250" s="10" t="n"/>
      <c r="AB250" s="10" t="n"/>
    </row>
    <row r="251" ht="15.75" customHeight="1" s="297">
      <c r="A251" s="10" t="n"/>
      <c r="B251" s="10" t="n"/>
      <c r="C251" s="10" t="n"/>
      <c r="D251" s="10" t="n"/>
      <c r="E251" s="10" t="n"/>
      <c r="F251" s="10" t="n"/>
      <c r="G251" s="10" t="n"/>
      <c r="H251" s="10" t="n"/>
      <c r="I251" s="10" t="n"/>
      <c r="J251" s="10" t="n"/>
      <c r="K251" s="10" t="n"/>
      <c r="L251" s="10" t="n"/>
      <c r="M251" s="10" t="n"/>
      <c r="N251" s="10" t="n"/>
      <c r="O251" s="19" t="n"/>
      <c r="P251" s="19" t="n"/>
      <c r="Q251" s="10" t="n"/>
      <c r="R251" s="10" t="n"/>
      <c r="S251" s="10" t="n"/>
      <c r="T251" s="10" t="n"/>
      <c r="U251" s="10" t="n"/>
      <c r="V251" s="10" t="n"/>
      <c r="W251" s="10" t="n"/>
      <c r="X251" s="10" t="n"/>
      <c r="Y251" s="10" t="n"/>
      <c r="Z251" s="10" t="n"/>
      <c r="AA251" s="10" t="n"/>
      <c r="AB251" s="10" t="n"/>
    </row>
    <row r="252" ht="15.75" customHeight="1" s="297">
      <c r="A252" s="10" t="n"/>
      <c r="B252" s="10" t="n"/>
      <c r="C252" s="10" t="n"/>
      <c r="D252" s="10" t="n"/>
      <c r="E252" s="10" t="n"/>
      <c r="F252" s="10" t="n"/>
      <c r="G252" s="10" t="n"/>
      <c r="H252" s="10" t="n"/>
      <c r="I252" s="10" t="n"/>
      <c r="J252" s="10" t="n"/>
      <c r="K252" s="10" t="n"/>
      <c r="L252" s="10" t="n"/>
      <c r="M252" s="10" t="n"/>
      <c r="N252" s="10" t="n"/>
      <c r="O252" s="19" t="n"/>
      <c r="P252" s="19" t="n"/>
      <c r="Q252" s="10" t="n"/>
      <c r="R252" s="10" t="n"/>
      <c r="S252" s="10" t="n"/>
      <c r="T252" s="10" t="n"/>
      <c r="U252" s="10" t="n"/>
      <c r="V252" s="10" t="n"/>
      <c r="W252" s="10" t="n"/>
      <c r="X252" s="10" t="n"/>
      <c r="Y252" s="10" t="n"/>
      <c r="Z252" s="10" t="n"/>
      <c r="AA252" s="10" t="n"/>
      <c r="AB252" s="10" t="n"/>
    </row>
    <row r="253" ht="15.75" customHeight="1" s="297">
      <c r="A253" s="10" t="n"/>
      <c r="B253" s="10" t="n"/>
      <c r="C253" s="10" t="n"/>
      <c r="D253" s="10" t="n"/>
      <c r="E253" s="10" t="n"/>
      <c r="F253" s="10" t="n"/>
      <c r="G253" s="10" t="n"/>
      <c r="H253" s="10" t="n"/>
      <c r="I253" s="10" t="n"/>
      <c r="J253" s="10" t="n"/>
      <c r="K253" s="10" t="n"/>
      <c r="L253" s="10" t="n"/>
      <c r="M253" s="10" t="n"/>
      <c r="N253" s="10" t="n"/>
      <c r="O253" s="19" t="n"/>
      <c r="P253" s="19" t="n"/>
      <c r="Q253" s="10" t="n"/>
      <c r="R253" s="10" t="n"/>
      <c r="S253" s="10" t="n"/>
      <c r="T253" s="10" t="n"/>
      <c r="U253" s="10" t="n"/>
      <c r="V253" s="10" t="n"/>
      <c r="W253" s="10" t="n"/>
      <c r="X253" s="10" t="n"/>
      <c r="Y253" s="10" t="n"/>
      <c r="Z253" s="10" t="n"/>
      <c r="AA253" s="10" t="n"/>
      <c r="AB253" s="10" t="n"/>
    </row>
    <row r="254" ht="15.75" customHeight="1" s="297">
      <c r="A254" s="10" t="n"/>
      <c r="B254" s="10" t="n"/>
      <c r="C254" s="10" t="n"/>
      <c r="D254" s="10" t="n"/>
      <c r="E254" s="10" t="n"/>
      <c r="F254" s="10" t="n"/>
      <c r="G254" s="10" t="n"/>
      <c r="H254" s="10" t="n"/>
      <c r="I254" s="10" t="n"/>
      <c r="J254" s="10" t="n"/>
      <c r="K254" s="10" t="n"/>
      <c r="L254" s="10" t="n"/>
      <c r="M254" s="10" t="n"/>
      <c r="N254" s="10" t="n"/>
      <c r="O254" s="19" t="n"/>
      <c r="P254" s="19" t="n"/>
      <c r="Q254" s="10" t="n"/>
      <c r="R254" s="10" t="n"/>
      <c r="S254" s="10" t="n"/>
      <c r="T254" s="10" t="n"/>
      <c r="U254" s="10" t="n"/>
      <c r="V254" s="10" t="n"/>
      <c r="W254" s="10" t="n"/>
      <c r="X254" s="10" t="n"/>
      <c r="Y254" s="10" t="n"/>
      <c r="Z254" s="10" t="n"/>
      <c r="AA254" s="10" t="n"/>
      <c r="AB254" s="10" t="n"/>
    </row>
    <row r="255" ht="15.75" customHeight="1" s="297">
      <c r="A255" s="10" t="n"/>
      <c r="B255" s="10" t="n"/>
      <c r="C255" s="10" t="n"/>
      <c r="D255" s="10" t="n"/>
      <c r="E255" s="10" t="n"/>
      <c r="F255" s="10" t="n"/>
      <c r="G255" s="10" t="n"/>
      <c r="H255" s="10" t="n"/>
      <c r="I255" s="10" t="n"/>
      <c r="J255" s="10" t="n"/>
      <c r="K255" s="10" t="n"/>
      <c r="L255" s="10" t="n"/>
      <c r="M255" s="10" t="n"/>
      <c r="N255" s="10" t="n"/>
      <c r="O255" s="19" t="n"/>
      <c r="P255" s="19" t="n"/>
      <c r="Q255" s="10" t="n"/>
      <c r="R255" s="10" t="n"/>
      <c r="S255" s="10" t="n"/>
      <c r="T255" s="10" t="n"/>
      <c r="U255" s="10" t="n"/>
      <c r="V255" s="10" t="n"/>
      <c r="W255" s="10" t="n"/>
      <c r="X255" s="10" t="n"/>
      <c r="Y255" s="10" t="n"/>
      <c r="Z255" s="10" t="n"/>
      <c r="AA255" s="10" t="n"/>
      <c r="AB255" s="10" t="n"/>
    </row>
    <row r="256" ht="15.75" customHeight="1" s="297">
      <c r="A256" s="10" t="n"/>
      <c r="B256" s="10" t="n"/>
      <c r="C256" s="10" t="n"/>
      <c r="D256" s="10" t="n"/>
      <c r="E256" s="10" t="n"/>
      <c r="F256" s="10" t="n"/>
      <c r="G256" s="10" t="n"/>
      <c r="H256" s="10" t="n"/>
      <c r="I256" s="10" t="n"/>
      <c r="J256" s="10" t="n"/>
      <c r="K256" s="10" t="n"/>
      <c r="L256" s="10" t="n"/>
      <c r="M256" s="10" t="n"/>
      <c r="N256" s="10" t="n"/>
      <c r="O256" s="19" t="n"/>
      <c r="P256" s="19" t="n"/>
      <c r="Q256" s="10" t="n"/>
      <c r="R256" s="10" t="n"/>
      <c r="S256" s="10" t="n"/>
      <c r="T256" s="10" t="n"/>
      <c r="U256" s="10" t="n"/>
      <c r="V256" s="10" t="n"/>
      <c r="W256" s="10" t="n"/>
      <c r="X256" s="10" t="n"/>
      <c r="Y256" s="10" t="n"/>
      <c r="Z256" s="10" t="n"/>
      <c r="AA256" s="10" t="n"/>
      <c r="AB256" s="10" t="n"/>
    </row>
    <row r="257" ht="15.75" customHeight="1" s="297">
      <c r="A257" s="10" t="n"/>
      <c r="B257" s="10" t="n"/>
      <c r="C257" s="10" t="n"/>
      <c r="D257" s="10" t="n"/>
      <c r="E257" s="10" t="n"/>
      <c r="F257" s="10" t="n"/>
      <c r="G257" s="10" t="n"/>
      <c r="H257" s="10" t="n"/>
      <c r="I257" s="10" t="n"/>
      <c r="J257" s="10" t="n"/>
      <c r="K257" s="10" t="n"/>
      <c r="L257" s="10" t="n"/>
      <c r="M257" s="10" t="n"/>
      <c r="N257" s="10" t="n"/>
      <c r="O257" s="19" t="n"/>
      <c r="P257" s="19" t="n"/>
      <c r="Q257" s="10" t="n"/>
      <c r="R257" s="10" t="n"/>
      <c r="S257" s="10" t="n"/>
      <c r="T257" s="10" t="n"/>
      <c r="U257" s="10" t="n"/>
      <c r="V257" s="10" t="n"/>
      <c r="W257" s="10" t="n"/>
      <c r="X257" s="10" t="n"/>
      <c r="Y257" s="10" t="n"/>
      <c r="Z257" s="10" t="n"/>
      <c r="AA257" s="10" t="n"/>
      <c r="AB257" s="10" t="n"/>
    </row>
    <row r="258" ht="15.75" customHeight="1" s="297">
      <c r="A258" s="10" t="n"/>
      <c r="B258" s="10" t="n"/>
      <c r="C258" s="10" t="n"/>
      <c r="D258" s="10" t="n"/>
      <c r="E258" s="10" t="n"/>
      <c r="F258" s="10" t="n"/>
      <c r="G258" s="10" t="n"/>
      <c r="H258" s="10" t="n"/>
      <c r="I258" s="10" t="n"/>
      <c r="J258" s="10" t="n"/>
      <c r="K258" s="10" t="n"/>
      <c r="L258" s="10" t="n"/>
      <c r="M258" s="10" t="n"/>
      <c r="N258" s="10" t="n"/>
      <c r="O258" s="19" t="n"/>
      <c r="P258" s="19" t="n"/>
      <c r="Q258" s="10" t="n"/>
      <c r="R258" s="10" t="n"/>
      <c r="S258" s="10" t="n"/>
      <c r="T258" s="10" t="n"/>
      <c r="U258" s="10" t="n"/>
      <c r="V258" s="10" t="n"/>
      <c r="W258" s="10" t="n"/>
      <c r="X258" s="10" t="n"/>
      <c r="Y258" s="10" t="n"/>
      <c r="Z258" s="10" t="n"/>
      <c r="AA258" s="10" t="n"/>
      <c r="AB258" s="10" t="n"/>
    </row>
    <row r="259" ht="15.75" customHeight="1" s="297">
      <c r="A259" s="10" t="n"/>
      <c r="B259" s="10" t="n"/>
      <c r="C259" s="10" t="n"/>
      <c r="D259" s="10" t="n"/>
      <c r="E259" s="10" t="n"/>
      <c r="F259" s="10" t="n"/>
      <c r="G259" s="10" t="n"/>
      <c r="H259" s="10" t="n"/>
      <c r="I259" s="10" t="n"/>
      <c r="J259" s="10" t="n"/>
      <c r="K259" s="10" t="n"/>
      <c r="L259" s="10" t="n"/>
      <c r="M259" s="10" t="n"/>
      <c r="N259" s="10" t="n"/>
      <c r="O259" s="19" t="n"/>
      <c r="P259" s="19" t="n"/>
      <c r="Q259" s="10" t="n"/>
      <c r="R259" s="10" t="n"/>
      <c r="S259" s="10" t="n"/>
      <c r="T259" s="10" t="n"/>
      <c r="U259" s="10" t="n"/>
      <c r="V259" s="10" t="n"/>
      <c r="W259" s="10" t="n"/>
      <c r="X259" s="10" t="n"/>
      <c r="Y259" s="10" t="n"/>
      <c r="Z259" s="10" t="n"/>
      <c r="AA259" s="10" t="n"/>
      <c r="AB259" s="10" t="n"/>
    </row>
    <row r="260" ht="15.75" customHeight="1" s="297">
      <c r="A260" s="10" t="n"/>
      <c r="B260" s="10" t="n"/>
      <c r="C260" s="10" t="n"/>
      <c r="D260" s="10" t="n"/>
      <c r="E260" s="10" t="n"/>
      <c r="F260" s="10" t="n"/>
      <c r="G260" s="10" t="n"/>
      <c r="H260" s="10" t="n"/>
      <c r="I260" s="10" t="n"/>
      <c r="J260" s="10" t="n"/>
      <c r="K260" s="10" t="n"/>
      <c r="L260" s="10" t="n"/>
      <c r="M260" s="10" t="n"/>
      <c r="N260" s="10" t="n"/>
      <c r="O260" s="19" t="n"/>
      <c r="P260" s="19" t="n"/>
      <c r="Q260" s="10" t="n"/>
      <c r="R260" s="10" t="n"/>
      <c r="S260" s="10" t="n"/>
      <c r="T260" s="10" t="n"/>
      <c r="U260" s="10" t="n"/>
      <c r="V260" s="10" t="n"/>
      <c r="W260" s="10" t="n"/>
      <c r="X260" s="10" t="n"/>
      <c r="Y260" s="10" t="n"/>
      <c r="Z260" s="10" t="n"/>
      <c r="AA260" s="10" t="n"/>
      <c r="AB260" s="10" t="n"/>
    </row>
    <row r="261" ht="15.75" customHeight="1" s="297">
      <c r="A261" s="10" t="n"/>
      <c r="B261" s="10" t="n"/>
      <c r="C261" s="10" t="n"/>
      <c r="D261" s="10" t="n"/>
      <c r="E261" s="10" t="n"/>
      <c r="F261" s="10" t="n"/>
      <c r="G261" s="10" t="n"/>
      <c r="H261" s="10" t="n"/>
      <c r="I261" s="10" t="n"/>
      <c r="J261" s="10" t="n"/>
      <c r="K261" s="10" t="n"/>
      <c r="L261" s="10" t="n"/>
      <c r="M261" s="10" t="n"/>
      <c r="N261" s="10" t="n"/>
      <c r="O261" s="19" t="n"/>
      <c r="P261" s="19" t="n"/>
      <c r="Q261" s="10" t="n"/>
      <c r="R261" s="10" t="n"/>
      <c r="S261" s="10" t="n"/>
      <c r="T261" s="10" t="n"/>
      <c r="U261" s="10" t="n"/>
      <c r="V261" s="10" t="n"/>
      <c r="W261" s="10" t="n"/>
      <c r="X261" s="10" t="n"/>
      <c r="Y261" s="10" t="n"/>
      <c r="Z261" s="10" t="n"/>
      <c r="AA261" s="10" t="n"/>
      <c r="AB261" s="10" t="n"/>
    </row>
    <row r="262" ht="15.75" customHeight="1" s="297">
      <c r="A262" s="10" t="n"/>
      <c r="B262" s="10" t="n"/>
      <c r="C262" s="10" t="n"/>
      <c r="D262" s="10" t="n"/>
      <c r="E262" s="10" t="n"/>
      <c r="F262" s="10" t="n"/>
      <c r="G262" s="10" t="n"/>
      <c r="H262" s="10" t="n"/>
      <c r="I262" s="10" t="n"/>
      <c r="J262" s="10" t="n"/>
      <c r="K262" s="10" t="n"/>
      <c r="L262" s="10" t="n"/>
      <c r="M262" s="10" t="n"/>
      <c r="N262" s="10" t="n"/>
      <c r="O262" s="19" t="n"/>
      <c r="P262" s="19" t="n"/>
      <c r="Q262" s="10" t="n"/>
      <c r="R262" s="10" t="n"/>
      <c r="S262" s="10" t="n"/>
      <c r="T262" s="10" t="n"/>
      <c r="U262" s="10" t="n"/>
      <c r="V262" s="10" t="n"/>
      <c r="W262" s="10" t="n"/>
      <c r="X262" s="10" t="n"/>
      <c r="Y262" s="10" t="n"/>
      <c r="Z262" s="10" t="n"/>
      <c r="AA262" s="10" t="n"/>
      <c r="AB262" s="10" t="n"/>
    </row>
    <row r="263" ht="15.75" customHeight="1" s="297">
      <c r="A263" s="10" t="n"/>
      <c r="B263" s="10" t="n"/>
      <c r="C263" s="10" t="n"/>
      <c r="D263" s="10" t="n"/>
      <c r="E263" s="10" t="n"/>
      <c r="F263" s="10" t="n"/>
      <c r="G263" s="10" t="n"/>
      <c r="H263" s="10" t="n"/>
      <c r="I263" s="10" t="n"/>
      <c r="J263" s="10" t="n"/>
      <c r="K263" s="10" t="n"/>
      <c r="L263" s="10" t="n"/>
      <c r="M263" s="10" t="n"/>
      <c r="N263" s="10" t="n"/>
      <c r="O263" s="19" t="n"/>
      <c r="P263" s="19" t="n"/>
      <c r="Q263" s="10" t="n"/>
      <c r="R263" s="10" t="n"/>
      <c r="S263" s="10" t="n"/>
      <c r="T263" s="10" t="n"/>
      <c r="U263" s="10" t="n"/>
      <c r="V263" s="10" t="n"/>
      <c r="W263" s="10" t="n"/>
      <c r="X263" s="10" t="n"/>
      <c r="Y263" s="10" t="n"/>
      <c r="Z263" s="10" t="n"/>
      <c r="AA263" s="10" t="n"/>
      <c r="AB263" s="10" t="n"/>
    </row>
    <row r="264" ht="15.75" customHeight="1" s="297">
      <c r="A264" s="10" t="n"/>
      <c r="B264" s="10" t="n"/>
      <c r="C264" s="10" t="n"/>
      <c r="D264" s="10" t="n"/>
      <c r="E264" s="10" t="n"/>
      <c r="F264" s="10" t="n"/>
      <c r="G264" s="10" t="n"/>
      <c r="H264" s="10" t="n"/>
      <c r="I264" s="10" t="n"/>
      <c r="J264" s="10" t="n"/>
      <c r="K264" s="10" t="n"/>
      <c r="L264" s="10" t="n"/>
      <c r="M264" s="10" t="n"/>
      <c r="N264" s="10" t="n"/>
      <c r="O264" s="19" t="n"/>
      <c r="P264" s="19" t="n"/>
      <c r="Q264" s="10" t="n"/>
      <c r="R264" s="10" t="n"/>
      <c r="S264" s="10" t="n"/>
      <c r="T264" s="10" t="n"/>
      <c r="U264" s="10" t="n"/>
      <c r="V264" s="10" t="n"/>
      <c r="W264" s="10" t="n"/>
      <c r="X264" s="10" t="n"/>
      <c r="Y264" s="10" t="n"/>
      <c r="Z264" s="10" t="n"/>
      <c r="AA264" s="10" t="n"/>
      <c r="AB264" s="10" t="n"/>
    </row>
    <row r="265" ht="15.75" customHeight="1" s="297">
      <c r="A265" s="10" t="n"/>
      <c r="B265" s="10" t="n"/>
      <c r="C265" s="10" t="n"/>
      <c r="D265" s="10" t="n"/>
      <c r="E265" s="10" t="n"/>
      <c r="F265" s="10" t="n"/>
      <c r="G265" s="10" t="n"/>
      <c r="H265" s="10" t="n"/>
      <c r="I265" s="10" t="n"/>
      <c r="J265" s="10" t="n"/>
      <c r="K265" s="10" t="n"/>
      <c r="L265" s="10" t="n"/>
      <c r="M265" s="10" t="n"/>
      <c r="N265" s="10" t="n"/>
      <c r="O265" s="19" t="n"/>
      <c r="P265" s="19" t="n"/>
      <c r="Q265" s="10" t="n"/>
      <c r="R265" s="10" t="n"/>
      <c r="S265" s="10" t="n"/>
      <c r="T265" s="10" t="n"/>
      <c r="U265" s="10" t="n"/>
      <c r="V265" s="10" t="n"/>
      <c r="W265" s="10" t="n"/>
      <c r="X265" s="10" t="n"/>
      <c r="Y265" s="10" t="n"/>
      <c r="Z265" s="10" t="n"/>
      <c r="AA265" s="10" t="n"/>
      <c r="AB265" s="10" t="n"/>
    </row>
    <row r="266" ht="15.75" customHeight="1" s="297">
      <c r="A266" s="10" t="n"/>
      <c r="B266" s="10" t="n"/>
      <c r="C266" s="10" t="n"/>
      <c r="D266" s="10" t="n"/>
      <c r="E266" s="10" t="n"/>
      <c r="F266" s="10" t="n"/>
      <c r="G266" s="10" t="n"/>
      <c r="H266" s="10" t="n"/>
      <c r="I266" s="10" t="n"/>
      <c r="J266" s="10" t="n"/>
      <c r="K266" s="10" t="n"/>
      <c r="L266" s="10" t="n"/>
      <c r="M266" s="10" t="n"/>
      <c r="N266" s="10" t="n"/>
      <c r="O266" s="19" t="n"/>
      <c r="P266" s="19" t="n"/>
      <c r="Q266" s="10" t="n"/>
      <c r="R266" s="10" t="n"/>
      <c r="S266" s="10" t="n"/>
      <c r="T266" s="10" t="n"/>
      <c r="U266" s="10" t="n"/>
      <c r="V266" s="10" t="n"/>
      <c r="W266" s="10" t="n"/>
      <c r="X266" s="10" t="n"/>
      <c r="Y266" s="10" t="n"/>
      <c r="Z266" s="10" t="n"/>
      <c r="AA266" s="10" t="n"/>
      <c r="AB266" s="10" t="n"/>
    </row>
    <row r="267" ht="15.75" customHeight="1" s="297">
      <c r="A267" s="10" t="n"/>
      <c r="B267" s="10" t="n"/>
      <c r="C267" s="10" t="n"/>
      <c r="D267" s="10" t="n"/>
      <c r="E267" s="10" t="n"/>
      <c r="F267" s="10" t="n"/>
      <c r="G267" s="10" t="n"/>
      <c r="H267" s="10" t="n"/>
      <c r="I267" s="10" t="n"/>
      <c r="J267" s="10" t="n"/>
      <c r="K267" s="10" t="n"/>
      <c r="L267" s="10" t="n"/>
      <c r="M267" s="10" t="n"/>
      <c r="N267" s="10" t="n"/>
      <c r="O267" s="19" t="n"/>
      <c r="P267" s="19" t="n"/>
      <c r="Q267" s="10" t="n"/>
      <c r="R267" s="10" t="n"/>
      <c r="S267" s="10" t="n"/>
      <c r="T267" s="10" t="n"/>
      <c r="U267" s="10" t="n"/>
      <c r="V267" s="10" t="n"/>
      <c r="W267" s="10" t="n"/>
      <c r="X267" s="10" t="n"/>
      <c r="Y267" s="10" t="n"/>
      <c r="Z267" s="10" t="n"/>
      <c r="AA267" s="10" t="n"/>
      <c r="AB267" s="10" t="n"/>
    </row>
    <row r="268" ht="15.75" customHeight="1" s="297">
      <c r="A268" s="10" t="n"/>
      <c r="B268" s="10" t="n"/>
      <c r="C268" s="10" t="n"/>
      <c r="D268" s="10" t="n"/>
      <c r="E268" s="10" t="n"/>
      <c r="F268" s="10" t="n"/>
      <c r="G268" s="10" t="n"/>
      <c r="H268" s="10" t="n"/>
      <c r="I268" s="10" t="n"/>
      <c r="J268" s="10" t="n"/>
      <c r="K268" s="10" t="n"/>
      <c r="L268" s="10" t="n"/>
      <c r="M268" s="10" t="n"/>
      <c r="N268" s="10" t="n"/>
      <c r="O268" s="19" t="n"/>
      <c r="P268" s="19" t="n"/>
      <c r="Q268" s="10" t="n"/>
      <c r="R268" s="10" t="n"/>
      <c r="S268" s="10" t="n"/>
      <c r="T268" s="10" t="n"/>
      <c r="U268" s="10" t="n"/>
      <c r="V268" s="10" t="n"/>
      <c r="W268" s="10" t="n"/>
      <c r="X268" s="10" t="n"/>
      <c r="Y268" s="10" t="n"/>
      <c r="Z268" s="10" t="n"/>
      <c r="AA268" s="10" t="n"/>
      <c r="AB268" s="10" t="n"/>
    </row>
    <row r="269" ht="15.75" customHeight="1" s="297">
      <c r="A269" s="10" t="n"/>
      <c r="B269" s="10" t="n"/>
      <c r="C269" s="10" t="n"/>
      <c r="D269" s="10" t="n"/>
      <c r="E269" s="10" t="n"/>
      <c r="F269" s="10" t="n"/>
      <c r="G269" s="10" t="n"/>
      <c r="H269" s="10" t="n"/>
      <c r="I269" s="10" t="n"/>
      <c r="J269" s="10" t="n"/>
      <c r="K269" s="10" t="n"/>
      <c r="L269" s="10" t="n"/>
      <c r="M269" s="10" t="n"/>
      <c r="N269" s="10" t="n"/>
      <c r="O269" s="19" t="n"/>
      <c r="P269" s="19" t="n"/>
      <c r="Q269" s="10" t="n"/>
      <c r="R269" s="10" t="n"/>
      <c r="S269" s="10" t="n"/>
      <c r="T269" s="10" t="n"/>
      <c r="U269" s="10" t="n"/>
      <c r="V269" s="10" t="n"/>
      <c r="W269" s="10" t="n"/>
      <c r="X269" s="10" t="n"/>
      <c r="Y269" s="10" t="n"/>
      <c r="Z269" s="10" t="n"/>
      <c r="AA269" s="10" t="n"/>
      <c r="AB269" s="10" t="n"/>
    </row>
    <row r="270" ht="15.75" customHeight="1" s="297">
      <c r="A270" s="10" t="n"/>
      <c r="B270" s="10" t="n"/>
      <c r="C270" s="10" t="n"/>
      <c r="D270" s="10" t="n"/>
      <c r="E270" s="10" t="n"/>
      <c r="F270" s="10" t="n"/>
      <c r="G270" s="10" t="n"/>
      <c r="H270" s="10" t="n"/>
      <c r="I270" s="10" t="n"/>
      <c r="J270" s="10" t="n"/>
      <c r="K270" s="10" t="n"/>
      <c r="L270" s="10" t="n"/>
      <c r="M270" s="10" t="n"/>
      <c r="N270" s="10" t="n"/>
      <c r="O270" s="19" t="n"/>
      <c r="P270" s="19" t="n"/>
      <c r="Q270" s="10" t="n"/>
      <c r="R270" s="10" t="n"/>
      <c r="S270" s="10" t="n"/>
      <c r="T270" s="10" t="n"/>
      <c r="U270" s="10" t="n"/>
      <c r="V270" s="10" t="n"/>
      <c r="W270" s="10" t="n"/>
      <c r="X270" s="10" t="n"/>
      <c r="Y270" s="10" t="n"/>
      <c r="Z270" s="10" t="n"/>
      <c r="AA270" s="10" t="n"/>
      <c r="AB270" s="10" t="n"/>
    </row>
    <row r="271" ht="15.75" customHeight="1" s="297">
      <c r="A271" s="10" t="n"/>
      <c r="B271" s="10" t="n"/>
      <c r="C271" s="10" t="n"/>
      <c r="D271" s="10" t="n"/>
      <c r="E271" s="10" t="n"/>
      <c r="F271" s="10" t="n"/>
      <c r="G271" s="10" t="n"/>
      <c r="H271" s="10" t="n"/>
      <c r="I271" s="10" t="n"/>
      <c r="J271" s="10" t="n"/>
      <c r="K271" s="10" t="n"/>
      <c r="L271" s="10" t="n"/>
      <c r="M271" s="10" t="n"/>
      <c r="N271" s="10" t="n"/>
      <c r="O271" s="19" t="n"/>
      <c r="P271" s="19" t="n"/>
      <c r="Q271" s="10" t="n"/>
      <c r="R271" s="10" t="n"/>
      <c r="S271" s="10" t="n"/>
      <c r="T271" s="10" t="n"/>
      <c r="U271" s="10" t="n"/>
      <c r="V271" s="10" t="n"/>
      <c r="W271" s="10" t="n"/>
      <c r="X271" s="10" t="n"/>
      <c r="Y271" s="10" t="n"/>
      <c r="Z271" s="10" t="n"/>
      <c r="AA271" s="10" t="n"/>
      <c r="AB271" s="10" t="n"/>
    </row>
    <row r="272" ht="15.75" customHeight="1" s="297">
      <c r="A272" s="10" t="n"/>
      <c r="B272" s="10" t="n"/>
      <c r="C272" s="10" t="n"/>
      <c r="D272" s="10" t="n"/>
      <c r="E272" s="10" t="n"/>
      <c r="F272" s="10" t="n"/>
      <c r="G272" s="10" t="n"/>
      <c r="H272" s="10" t="n"/>
      <c r="I272" s="10" t="n"/>
      <c r="J272" s="10" t="n"/>
      <c r="K272" s="10" t="n"/>
      <c r="L272" s="10" t="n"/>
      <c r="M272" s="10" t="n"/>
      <c r="N272" s="10" t="n"/>
      <c r="O272" s="19" t="n"/>
      <c r="P272" s="19" t="n"/>
      <c r="Q272" s="10" t="n"/>
      <c r="R272" s="10" t="n"/>
      <c r="S272" s="10" t="n"/>
      <c r="T272" s="10" t="n"/>
      <c r="U272" s="10" t="n"/>
      <c r="V272" s="10" t="n"/>
      <c r="W272" s="10" t="n"/>
      <c r="X272" s="10" t="n"/>
      <c r="Y272" s="10" t="n"/>
      <c r="Z272" s="10" t="n"/>
      <c r="AA272" s="10" t="n"/>
      <c r="AB272" s="10" t="n"/>
    </row>
    <row r="273" ht="15.75" customHeight="1" s="297">
      <c r="A273" s="10" t="n"/>
      <c r="B273" s="10" t="n"/>
      <c r="C273" s="10" t="n"/>
      <c r="D273" s="10" t="n"/>
      <c r="E273" s="10" t="n"/>
      <c r="F273" s="10" t="n"/>
      <c r="G273" s="10" t="n"/>
      <c r="H273" s="10" t="n"/>
      <c r="I273" s="10" t="n"/>
      <c r="J273" s="10" t="n"/>
      <c r="K273" s="10" t="n"/>
      <c r="L273" s="10" t="n"/>
      <c r="M273" s="10" t="n"/>
      <c r="N273" s="10" t="n"/>
      <c r="O273" s="19" t="n"/>
      <c r="P273" s="19" t="n"/>
      <c r="Q273" s="10" t="n"/>
      <c r="R273" s="10" t="n"/>
      <c r="S273" s="10" t="n"/>
      <c r="T273" s="10" t="n"/>
      <c r="U273" s="10" t="n"/>
      <c r="V273" s="10" t="n"/>
      <c r="W273" s="10" t="n"/>
      <c r="X273" s="10" t="n"/>
      <c r="Y273" s="10" t="n"/>
      <c r="Z273" s="10" t="n"/>
      <c r="AA273" s="10" t="n"/>
      <c r="AB273" s="10" t="n"/>
    </row>
    <row r="274" ht="15.75" customHeight="1" s="297">
      <c r="A274" s="10" t="n"/>
      <c r="B274" s="10" t="n"/>
      <c r="C274" s="10" t="n"/>
      <c r="D274" s="10" t="n"/>
      <c r="E274" s="10" t="n"/>
      <c r="F274" s="10" t="n"/>
      <c r="G274" s="10" t="n"/>
      <c r="H274" s="10" t="n"/>
      <c r="I274" s="10" t="n"/>
      <c r="J274" s="10" t="n"/>
      <c r="K274" s="10" t="n"/>
      <c r="L274" s="10" t="n"/>
      <c r="M274" s="10" t="n"/>
      <c r="N274" s="10" t="n"/>
      <c r="O274" s="19" t="n"/>
      <c r="P274" s="19" t="n"/>
      <c r="Q274" s="10" t="n"/>
      <c r="R274" s="10" t="n"/>
      <c r="S274" s="10" t="n"/>
      <c r="T274" s="10" t="n"/>
      <c r="U274" s="10" t="n"/>
      <c r="V274" s="10" t="n"/>
      <c r="W274" s="10" t="n"/>
      <c r="X274" s="10" t="n"/>
      <c r="Y274" s="10" t="n"/>
      <c r="Z274" s="10" t="n"/>
      <c r="AA274" s="10" t="n"/>
      <c r="AB274" s="10" t="n"/>
    </row>
    <row r="275" ht="15.75" customHeight="1" s="297">
      <c r="A275" s="10" t="n"/>
      <c r="B275" s="10" t="n"/>
      <c r="C275" s="10" t="n"/>
      <c r="D275" s="10" t="n"/>
      <c r="E275" s="10" t="n"/>
      <c r="F275" s="10" t="n"/>
      <c r="G275" s="10" t="n"/>
      <c r="H275" s="10" t="n"/>
      <c r="I275" s="10" t="n"/>
      <c r="J275" s="10" t="n"/>
      <c r="K275" s="10" t="n"/>
      <c r="L275" s="10" t="n"/>
      <c r="M275" s="10" t="n"/>
      <c r="N275" s="10" t="n"/>
      <c r="O275" s="19" t="n"/>
      <c r="P275" s="19" t="n"/>
      <c r="Q275" s="10" t="n"/>
      <c r="R275" s="10" t="n"/>
      <c r="S275" s="10" t="n"/>
      <c r="T275" s="10" t="n"/>
      <c r="U275" s="10" t="n"/>
      <c r="V275" s="10" t="n"/>
      <c r="W275" s="10" t="n"/>
      <c r="X275" s="10" t="n"/>
      <c r="Y275" s="10" t="n"/>
      <c r="Z275" s="10" t="n"/>
      <c r="AA275" s="10" t="n"/>
      <c r="AB275" s="10" t="n"/>
    </row>
    <row r="276" ht="15.75" customHeight="1" s="297">
      <c r="A276" s="10" t="n"/>
      <c r="B276" s="10" t="n"/>
      <c r="C276" s="10" t="n"/>
      <c r="D276" s="10" t="n"/>
      <c r="E276" s="10" t="n"/>
      <c r="F276" s="10" t="n"/>
      <c r="G276" s="10" t="n"/>
      <c r="H276" s="10" t="n"/>
      <c r="I276" s="10" t="n"/>
      <c r="J276" s="10" t="n"/>
      <c r="K276" s="10" t="n"/>
      <c r="L276" s="10" t="n"/>
      <c r="M276" s="10" t="n"/>
      <c r="N276" s="10" t="n"/>
      <c r="O276" s="19" t="n"/>
      <c r="P276" s="19" t="n"/>
      <c r="Q276" s="10" t="n"/>
      <c r="R276" s="10" t="n"/>
      <c r="S276" s="10" t="n"/>
      <c r="T276" s="10" t="n"/>
      <c r="U276" s="10" t="n"/>
      <c r="V276" s="10" t="n"/>
      <c r="W276" s="10" t="n"/>
      <c r="X276" s="10" t="n"/>
      <c r="Y276" s="10" t="n"/>
      <c r="Z276" s="10" t="n"/>
      <c r="AA276" s="10" t="n"/>
      <c r="AB276" s="10" t="n"/>
    </row>
    <row r="277" ht="15.75" customHeight="1" s="297">
      <c r="A277" s="10" t="n"/>
      <c r="B277" s="10" t="n"/>
      <c r="C277" s="10" t="n"/>
      <c r="D277" s="10" t="n"/>
      <c r="E277" s="10" t="n"/>
      <c r="F277" s="10" t="n"/>
      <c r="G277" s="10" t="n"/>
      <c r="H277" s="10" t="n"/>
      <c r="I277" s="10" t="n"/>
      <c r="J277" s="10" t="n"/>
      <c r="K277" s="10" t="n"/>
      <c r="L277" s="10" t="n"/>
      <c r="M277" s="10" t="n"/>
      <c r="N277" s="10" t="n"/>
      <c r="O277" s="19" t="n"/>
      <c r="P277" s="19" t="n"/>
      <c r="Q277" s="10" t="n"/>
      <c r="R277" s="10" t="n"/>
      <c r="S277" s="10" t="n"/>
      <c r="T277" s="10" t="n"/>
      <c r="U277" s="10" t="n"/>
      <c r="V277" s="10" t="n"/>
      <c r="W277" s="10" t="n"/>
      <c r="X277" s="10" t="n"/>
      <c r="Y277" s="10" t="n"/>
      <c r="Z277" s="10" t="n"/>
      <c r="AA277" s="10" t="n"/>
      <c r="AB277" s="10" t="n"/>
    </row>
    <row r="278" ht="15.75" customHeight="1" s="297">
      <c r="A278" s="10" t="n"/>
      <c r="B278" s="10" t="n"/>
      <c r="C278" s="10" t="n"/>
      <c r="D278" s="10" t="n"/>
      <c r="E278" s="10" t="n"/>
      <c r="F278" s="10" t="n"/>
      <c r="G278" s="10" t="n"/>
      <c r="H278" s="10" t="n"/>
      <c r="I278" s="10" t="n"/>
      <c r="J278" s="10" t="n"/>
      <c r="K278" s="10" t="n"/>
      <c r="L278" s="10" t="n"/>
      <c r="M278" s="10" t="n"/>
      <c r="N278" s="10" t="n"/>
      <c r="O278" s="19" t="n"/>
      <c r="P278" s="19" t="n"/>
      <c r="Q278" s="10" t="n"/>
      <c r="R278" s="10" t="n"/>
      <c r="S278" s="10" t="n"/>
      <c r="T278" s="10" t="n"/>
      <c r="U278" s="10" t="n"/>
      <c r="V278" s="10" t="n"/>
      <c r="W278" s="10" t="n"/>
      <c r="X278" s="10" t="n"/>
      <c r="Y278" s="10" t="n"/>
      <c r="Z278" s="10" t="n"/>
      <c r="AA278" s="10" t="n"/>
      <c r="AB278" s="10" t="n"/>
    </row>
    <row r="279" ht="15.75" customHeight="1" s="297">
      <c r="A279" s="10" t="n"/>
      <c r="B279" s="10" t="n"/>
      <c r="C279" s="10" t="n"/>
      <c r="D279" s="10" t="n"/>
      <c r="E279" s="10" t="n"/>
      <c r="F279" s="10" t="n"/>
      <c r="G279" s="10" t="n"/>
      <c r="H279" s="10" t="n"/>
      <c r="I279" s="10" t="n"/>
      <c r="J279" s="10" t="n"/>
      <c r="K279" s="10" t="n"/>
      <c r="L279" s="10" t="n"/>
      <c r="M279" s="10" t="n"/>
      <c r="N279" s="10" t="n"/>
      <c r="O279" s="19" t="n"/>
      <c r="P279" s="19" t="n"/>
      <c r="Q279" s="10" t="n"/>
      <c r="R279" s="10" t="n"/>
      <c r="S279" s="10" t="n"/>
      <c r="T279" s="10" t="n"/>
      <c r="U279" s="10" t="n"/>
      <c r="V279" s="10" t="n"/>
      <c r="W279" s="10" t="n"/>
      <c r="X279" s="10" t="n"/>
      <c r="Y279" s="10" t="n"/>
      <c r="Z279" s="10" t="n"/>
      <c r="AA279" s="10" t="n"/>
      <c r="AB279" s="10" t="n"/>
    </row>
    <row r="280" ht="15.75" customHeight="1" s="297">
      <c r="A280" s="10" t="n"/>
      <c r="B280" s="10" t="n"/>
      <c r="C280" s="10" t="n"/>
      <c r="D280" s="10" t="n"/>
      <c r="E280" s="10" t="n"/>
      <c r="F280" s="10" t="n"/>
      <c r="G280" s="10" t="n"/>
      <c r="H280" s="10" t="n"/>
      <c r="I280" s="10" t="n"/>
      <c r="J280" s="10" t="n"/>
      <c r="K280" s="10" t="n"/>
      <c r="L280" s="10" t="n"/>
      <c r="M280" s="10" t="n"/>
      <c r="N280" s="10" t="n"/>
      <c r="O280" s="19" t="n"/>
      <c r="P280" s="19" t="n"/>
      <c r="Q280" s="10" t="n"/>
      <c r="R280" s="10" t="n"/>
      <c r="S280" s="10" t="n"/>
      <c r="T280" s="10" t="n"/>
      <c r="U280" s="10" t="n"/>
      <c r="V280" s="10" t="n"/>
      <c r="W280" s="10" t="n"/>
      <c r="X280" s="10" t="n"/>
      <c r="Y280" s="10" t="n"/>
      <c r="Z280" s="10" t="n"/>
      <c r="AA280" s="10" t="n"/>
      <c r="AB280" s="10" t="n"/>
    </row>
    <row r="281" ht="15.75" customHeight="1" s="297">
      <c r="A281" s="10" t="n"/>
      <c r="B281" s="10" t="n"/>
      <c r="C281" s="10" t="n"/>
      <c r="D281" s="10" t="n"/>
      <c r="E281" s="10" t="n"/>
      <c r="F281" s="10" t="n"/>
      <c r="G281" s="10" t="n"/>
      <c r="H281" s="10" t="n"/>
      <c r="I281" s="10" t="n"/>
      <c r="J281" s="10" t="n"/>
      <c r="K281" s="10" t="n"/>
      <c r="L281" s="10" t="n"/>
      <c r="M281" s="10" t="n"/>
      <c r="N281" s="10" t="n"/>
      <c r="O281" s="19" t="n"/>
      <c r="P281" s="19" t="n"/>
      <c r="Q281" s="10" t="n"/>
      <c r="R281" s="10" t="n"/>
      <c r="S281" s="10" t="n"/>
      <c r="T281" s="10" t="n"/>
      <c r="U281" s="10" t="n"/>
      <c r="V281" s="10" t="n"/>
      <c r="W281" s="10" t="n"/>
      <c r="X281" s="10" t="n"/>
      <c r="Y281" s="10" t="n"/>
      <c r="Z281" s="10" t="n"/>
      <c r="AA281" s="10" t="n"/>
      <c r="AB281" s="10" t="n"/>
    </row>
    <row r="282" ht="15.75" customHeight="1" s="297">
      <c r="A282" s="10" t="n"/>
      <c r="B282" s="10" t="n"/>
      <c r="C282" s="10" t="n"/>
      <c r="D282" s="10" t="n"/>
      <c r="E282" s="10" t="n"/>
      <c r="F282" s="10" t="n"/>
      <c r="G282" s="10" t="n"/>
      <c r="H282" s="10" t="n"/>
      <c r="I282" s="10" t="n"/>
      <c r="J282" s="10" t="n"/>
      <c r="K282" s="10" t="n"/>
      <c r="L282" s="10" t="n"/>
      <c r="M282" s="10" t="n"/>
      <c r="N282" s="10" t="n"/>
      <c r="O282" s="19" t="n"/>
      <c r="P282" s="19" t="n"/>
      <c r="Q282" s="10" t="n"/>
      <c r="R282" s="10" t="n"/>
      <c r="S282" s="10" t="n"/>
      <c r="T282" s="10" t="n"/>
      <c r="U282" s="10" t="n"/>
      <c r="V282" s="10" t="n"/>
      <c r="W282" s="10" t="n"/>
      <c r="X282" s="10" t="n"/>
      <c r="Y282" s="10" t="n"/>
      <c r="Z282" s="10" t="n"/>
      <c r="AA282" s="10" t="n"/>
      <c r="AB282" s="10" t="n"/>
    </row>
    <row r="283" ht="15.75" customHeight="1" s="297">
      <c r="A283" s="10" t="n"/>
      <c r="B283" s="10" t="n"/>
      <c r="C283" s="10" t="n"/>
      <c r="D283" s="10" t="n"/>
      <c r="E283" s="10" t="n"/>
      <c r="F283" s="10" t="n"/>
      <c r="G283" s="10" t="n"/>
      <c r="H283" s="10" t="n"/>
      <c r="I283" s="10" t="n"/>
      <c r="J283" s="10" t="n"/>
      <c r="K283" s="10" t="n"/>
      <c r="L283" s="10" t="n"/>
      <c r="M283" s="10" t="n"/>
      <c r="N283" s="10" t="n"/>
      <c r="O283" s="19" t="n"/>
      <c r="P283" s="19" t="n"/>
      <c r="Q283" s="10" t="n"/>
      <c r="R283" s="10" t="n"/>
      <c r="S283" s="10" t="n"/>
      <c r="T283" s="10" t="n"/>
      <c r="U283" s="10" t="n"/>
      <c r="V283" s="10" t="n"/>
      <c r="W283" s="10" t="n"/>
      <c r="X283" s="10" t="n"/>
      <c r="Y283" s="10" t="n"/>
      <c r="Z283" s="10" t="n"/>
      <c r="AA283" s="10" t="n"/>
      <c r="AB283" s="10" t="n"/>
    </row>
    <row r="284" ht="15.75" customHeight="1" s="297">
      <c r="A284" s="10" t="n"/>
      <c r="B284" s="10" t="n"/>
      <c r="C284" s="10" t="n"/>
      <c r="D284" s="10" t="n"/>
      <c r="E284" s="10" t="n"/>
      <c r="F284" s="10" t="n"/>
      <c r="G284" s="10" t="n"/>
      <c r="H284" s="10" t="n"/>
      <c r="I284" s="10" t="n"/>
      <c r="J284" s="10" t="n"/>
      <c r="K284" s="10" t="n"/>
      <c r="L284" s="10" t="n"/>
      <c r="M284" s="10" t="n"/>
      <c r="N284" s="10" t="n"/>
      <c r="O284" s="19" t="n"/>
      <c r="P284" s="19" t="n"/>
      <c r="Q284" s="10" t="n"/>
      <c r="R284" s="10" t="n"/>
      <c r="S284" s="10" t="n"/>
      <c r="T284" s="10" t="n"/>
      <c r="U284" s="10" t="n"/>
      <c r="V284" s="10" t="n"/>
      <c r="W284" s="10" t="n"/>
      <c r="X284" s="10" t="n"/>
      <c r="Y284" s="10" t="n"/>
      <c r="Z284" s="10" t="n"/>
      <c r="AA284" s="10" t="n"/>
      <c r="AB284" s="10" t="n"/>
    </row>
    <row r="285" ht="15.75" customHeight="1" s="297">
      <c r="A285" s="10" t="n"/>
      <c r="B285" s="10" t="n"/>
      <c r="C285" s="10" t="n"/>
      <c r="D285" s="10" t="n"/>
      <c r="E285" s="10" t="n"/>
      <c r="F285" s="10" t="n"/>
      <c r="G285" s="10" t="n"/>
      <c r="H285" s="10" t="n"/>
      <c r="I285" s="10" t="n"/>
      <c r="J285" s="10" t="n"/>
      <c r="K285" s="10" t="n"/>
      <c r="L285" s="10" t="n"/>
      <c r="M285" s="10" t="n"/>
      <c r="N285" s="10" t="n"/>
      <c r="O285" s="19" t="n"/>
      <c r="P285" s="19" t="n"/>
      <c r="Q285" s="10" t="n"/>
      <c r="R285" s="10" t="n"/>
      <c r="S285" s="10" t="n"/>
      <c r="T285" s="10" t="n"/>
      <c r="U285" s="10" t="n"/>
      <c r="V285" s="10" t="n"/>
      <c r="W285" s="10" t="n"/>
      <c r="X285" s="10" t="n"/>
      <c r="Y285" s="10" t="n"/>
      <c r="Z285" s="10" t="n"/>
      <c r="AA285" s="10" t="n"/>
      <c r="AB285" s="10" t="n"/>
    </row>
    <row r="286" ht="15.75" customHeight="1" s="297">
      <c r="A286" s="10" t="n"/>
      <c r="B286" s="10" t="n"/>
      <c r="C286" s="10" t="n"/>
      <c r="D286" s="10" t="n"/>
      <c r="E286" s="10" t="n"/>
      <c r="F286" s="10" t="n"/>
      <c r="G286" s="10" t="n"/>
      <c r="H286" s="10" t="n"/>
      <c r="I286" s="10" t="n"/>
      <c r="J286" s="10" t="n"/>
      <c r="K286" s="10" t="n"/>
      <c r="L286" s="10" t="n"/>
      <c r="M286" s="10" t="n"/>
      <c r="N286" s="10" t="n"/>
      <c r="O286" s="19" t="n"/>
      <c r="P286" s="19" t="n"/>
      <c r="Q286" s="10" t="n"/>
      <c r="R286" s="10" t="n"/>
      <c r="S286" s="10" t="n"/>
      <c r="T286" s="10" t="n"/>
      <c r="U286" s="10" t="n"/>
      <c r="V286" s="10" t="n"/>
      <c r="W286" s="10" t="n"/>
      <c r="X286" s="10" t="n"/>
      <c r="Y286" s="10" t="n"/>
      <c r="Z286" s="10" t="n"/>
      <c r="AA286" s="10" t="n"/>
      <c r="AB286" s="10" t="n"/>
    </row>
    <row r="287" ht="15.75" customHeight="1" s="297">
      <c r="A287" s="10" t="n"/>
      <c r="B287" s="10" t="n"/>
      <c r="C287" s="10" t="n"/>
      <c r="D287" s="10" t="n"/>
      <c r="E287" s="10" t="n"/>
      <c r="F287" s="10" t="n"/>
      <c r="G287" s="10" t="n"/>
      <c r="H287" s="10" t="n"/>
      <c r="I287" s="10" t="n"/>
      <c r="J287" s="10" t="n"/>
      <c r="K287" s="10" t="n"/>
      <c r="L287" s="10" t="n"/>
      <c r="M287" s="10" t="n"/>
      <c r="N287" s="10" t="n"/>
      <c r="O287" s="19" t="n"/>
      <c r="P287" s="19" t="n"/>
      <c r="Q287" s="10" t="n"/>
      <c r="R287" s="10" t="n"/>
      <c r="S287" s="10" t="n"/>
      <c r="T287" s="10" t="n"/>
      <c r="U287" s="10" t="n"/>
      <c r="V287" s="10" t="n"/>
      <c r="W287" s="10" t="n"/>
      <c r="X287" s="10" t="n"/>
      <c r="Y287" s="10" t="n"/>
      <c r="Z287" s="10" t="n"/>
      <c r="AA287" s="10" t="n"/>
      <c r="AB287" s="10" t="n"/>
    </row>
    <row r="288" ht="15.75" customHeight="1" s="297">
      <c r="A288" s="10" t="n"/>
      <c r="B288" s="10" t="n"/>
      <c r="C288" s="10" t="n"/>
      <c r="D288" s="10" t="n"/>
      <c r="E288" s="10" t="n"/>
      <c r="F288" s="10" t="n"/>
      <c r="G288" s="10" t="n"/>
      <c r="H288" s="10" t="n"/>
      <c r="I288" s="10" t="n"/>
      <c r="J288" s="10" t="n"/>
      <c r="K288" s="10" t="n"/>
      <c r="L288" s="10" t="n"/>
      <c r="M288" s="10" t="n"/>
      <c r="N288" s="10" t="n"/>
      <c r="O288" s="19" t="n"/>
      <c r="P288" s="19" t="n"/>
      <c r="Q288" s="10" t="n"/>
      <c r="R288" s="10" t="n"/>
      <c r="S288" s="10" t="n"/>
      <c r="T288" s="10" t="n"/>
      <c r="U288" s="10" t="n"/>
      <c r="V288" s="10" t="n"/>
      <c r="W288" s="10" t="n"/>
      <c r="X288" s="10" t="n"/>
      <c r="Y288" s="10" t="n"/>
      <c r="Z288" s="10" t="n"/>
      <c r="AA288" s="10" t="n"/>
      <c r="AB288" s="10" t="n"/>
    </row>
    <row r="289" ht="15.75" customHeight="1" s="297">
      <c r="A289" s="10" t="n"/>
      <c r="B289" s="10" t="n"/>
      <c r="C289" s="10" t="n"/>
      <c r="D289" s="10" t="n"/>
      <c r="E289" s="10" t="n"/>
      <c r="F289" s="10" t="n"/>
      <c r="G289" s="10" t="n"/>
      <c r="H289" s="10" t="n"/>
      <c r="I289" s="10" t="n"/>
      <c r="J289" s="10" t="n"/>
      <c r="K289" s="10" t="n"/>
      <c r="L289" s="10" t="n"/>
      <c r="M289" s="10" t="n"/>
      <c r="N289" s="10" t="n"/>
      <c r="O289" s="19" t="n"/>
      <c r="P289" s="19" t="n"/>
      <c r="Q289" s="10" t="n"/>
      <c r="R289" s="10" t="n"/>
      <c r="S289" s="10" t="n"/>
      <c r="T289" s="10" t="n"/>
      <c r="U289" s="10" t="n"/>
      <c r="V289" s="10" t="n"/>
      <c r="W289" s="10" t="n"/>
      <c r="X289" s="10" t="n"/>
      <c r="Y289" s="10" t="n"/>
      <c r="Z289" s="10" t="n"/>
      <c r="AA289" s="10" t="n"/>
      <c r="AB289" s="10" t="n"/>
    </row>
    <row r="290" ht="15.75" customHeight="1" s="297">
      <c r="A290" s="10" t="n"/>
      <c r="B290" s="10" t="n"/>
      <c r="C290" s="10" t="n"/>
      <c r="D290" s="10" t="n"/>
      <c r="E290" s="10" t="n"/>
      <c r="F290" s="10" t="n"/>
      <c r="G290" s="10" t="n"/>
      <c r="H290" s="10" t="n"/>
      <c r="I290" s="10" t="n"/>
      <c r="J290" s="10" t="n"/>
      <c r="K290" s="10" t="n"/>
      <c r="L290" s="10" t="n"/>
      <c r="M290" s="10" t="n"/>
      <c r="N290" s="10" t="n"/>
      <c r="O290" s="19" t="n"/>
      <c r="P290" s="19" t="n"/>
      <c r="Q290" s="10" t="n"/>
      <c r="R290" s="10" t="n"/>
      <c r="S290" s="10" t="n"/>
      <c r="T290" s="10" t="n"/>
      <c r="U290" s="10" t="n"/>
      <c r="V290" s="10" t="n"/>
      <c r="W290" s="10" t="n"/>
      <c r="X290" s="10" t="n"/>
      <c r="Y290" s="10" t="n"/>
      <c r="Z290" s="10" t="n"/>
      <c r="AA290" s="10" t="n"/>
      <c r="AB290" s="10" t="n"/>
    </row>
    <row r="291" ht="15.75" customHeight="1" s="297">
      <c r="A291" s="10" t="n"/>
      <c r="B291" s="10" t="n"/>
      <c r="C291" s="10" t="n"/>
      <c r="D291" s="10" t="n"/>
      <c r="E291" s="10" t="n"/>
      <c r="F291" s="10" t="n"/>
      <c r="G291" s="10" t="n"/>
      <c r="H291" s="10" t="n"/>
      <c r="I291" s="10" t="n"/>
      <c r="J291" s="10" t="n"/>
      <c r="K291" s="10" t="n"/>
      <c r="L291" s="10" t="n"/>
      <c r="M291" s="10" t="n"/>
      <c r="N291" s="10" t="n"/>
      <c r="O291" s="19" t="n"/>
      <c r="P291" s="19" t="n"/>
      <c r="Q291" s="10" t="n"/>
      <c r="R291" s="10" t="n"/>
      <c r="S291" s="10" t="n"/>
      <c r="T291" s="10" t="n"/>
      <c r="U291" s="10" t="n"/>
      <c r="V291" s="10" t="n"/>
      <c r="W291" s="10" t="n"/>
      <c r="X291" s="10" t="n"/>
      <c r="Y291" s="10" t="n"/>
      <c r="Z291" s="10" t="n"/>
      <c r="AA291" s="10" t="n"/>
      <c r="AB291" s="10" t="n"/>
    </row>
    <row r="292" ht="15.75" customHeight="1" s="297">
      <c r="A292" s="10" t="n"/>
      <c r="B292" s="10" t="n"/>
      <c r="C292" s="10" t="n"/>
      <c r="D292" s="10" t="n"/>
      <c r="E292" s="10" t="n"/>
      <c r="F292" s="10" t="n"/>
      <c r="G292" s="10" t="n"/>
      <c r="H292" s="10" t="n"/>
      <c r="I292" s="10" t="n"/>
      <c r="J292" s="10" t="n"/>
      <c r="K292" s="10" t="n"/>
      <c r="L292" s="10" t="n"/>
      <c r="M292" s="10" t="n"/>
      <c r="N292" s="10" t="n"/>
      <c r="O292" s="19" t="n"/>
      <c r="P292" s="19" t="n"/>
      <c r="Q292" s="10" t="n"/>
      <c r="R292" s="10" t="n"/>
      <c r="S292" s="10" t="n"/>
      <c r="T292" s="10" t="n"/>
      <c r="U292" s="10" t="n"/>
      <c r="V292" s="10" t="n"/>
      <c r="W292" s="10" t="n"/>
      <c r="X292" s="10" t="n"/>
      <c r="Y292" s="10" t="n"/>
      <c r="Z292" s="10" t="n"/>
      <c r="AA292" s="10" t="n"/>
      <c r="AB292" s="10" t="n"/>
    </row>
    <row r="293" ht="15.75" customHeight="1" s="297">
      <c r="A293" s="10" t="n"/>
      <c r="B293" s="10" t="n"/>
      <c r="C293" s="10" t="n"/>
      <c r="D293" s="10" t="n"/>
      <c r="E293" s="10" t="n"/>
      <c r="F293" s="10" t="n"/>
      <c r="G293" s="10" t="n"/>
      <c r="H293" s="10" t="n"/>
      <c r="I293" s="10" t="n"/>
      <c r="J293" s="10" t="n"/>
      <c r="K293" s="10" t="n"/>
      <c r="L293" s="10" t="n"/>
      <c r="M293" s="10" t="n"/>
      <c r="N293" s="10" t="n"/>
      <c r="O293" s="19" t="n"/>
      <c r="P293" s="19" t="n"/>
      <c r="Q293" s="10" t="n"/>
      <c r="R293" s="10" t="n"/>
      <c r="S293" s="10" t="n"/>
      <c r="T293" s="10" t="n"/>
      <c r="U293" s="10" t="n"/>
      <c r="V293" s="10" t="n"/>
      <c r="W293" s="10" t="n"/>
      <c r="X293" s="10" t="n"/>
      <c r="Y293" s="10" t="n"/>
      <c r="Z293" s="10" t="n"/>
      <c r="AA293" s="10" t="n"/>
      <c r="AB293" s="10" t="n"/>
    </row>
    <row r="294" ht="15.75" customHeight="1" s="297">
      <c r="A294" s="10" t="n"/>
      <c r="B294" s="10" t="n"/>
      <c r="C294" s="10" t="n"/>
      <c r="D294" s="10" t="n"/>
      <c r="E294" s="10" t="n"/>
      <c r="F294" s="10" t="n"/>
      <c r="G294" s="10" t="n"/>
      <c r="H294" s="10" t="n"/>
      <c r="I294" s="10" t="n"/>
      <c r="J294" s="10" t="n"/>
      <c r="K294" s="10" t="n"/>
      <c r="L294" s="10" t="n"/>
      <c r="M294" s="10" t="n"/>
      <c r="N294" s="10" t="n"/>
      <c r="O294" s="19" t="n"/>
      <c r="P294" s="19" t="n"/>
      <c r="Q294" s="10" t="n"/>
      <c r="R294" s="10" t="n"/>
      <c r="S294" s="10" t="n"/>
      <c r="T294" s="10" t="n"/>
      <c r="U294" s="10" t="n"/>
      <c r="V294" s="10" t="n"/>
      <c r="W294" s="10" t="n"/>
      <c r="X294" s="10" t="n"/>
      <c r="Y294" s="10" t="n"/>
      <c r="Z294" s="10" t="n"/>
      <c r="AA294" s="10" t="n"/>
      <c r="AB294" s="10" t="n"/>
    </row>
    <row r="295" ht="15.75" customHeight="1" s="297">
      <c r="A295" s="10" t="n"/>
      <c r="B295" s="10" t="n"/>
      <c r="C295" s="10" t="n"/>
      <c r="D295" s="10" t="n"/>
      <c r="E295" s="10" t="n"/>
      <c r="F295" s="10" t="n"/>
      <c r="G295" s="10" t="n"/>
      <c r="H295" s="10" t="n"/>
      <c r="I295" s="10" t="n"/>
      <c r="J295" s="10" t="n"/>
      <c r="K295" s="10" t="n"/>
      <c r="L295" s="10" t="n"/>
      <c r="M295" s="10" t="n"/>
      <c r="N295" s="10" t="n"/>
      <c r="O295" s="19" t="n"/>
      <c r="P295" s="19" t="n"/>
      <c r="Q295" s="10" t="n"/>
      <c r="R295" s="10" t="n"/>
      <c r="S295" s="10" t="n"/>
      <c r="T295" s="10" t="n"/>
      <c r="U295" s="10" t="n"/>
      <c r="V295" s="10" t="n"/>
      <c r="W295" s="10" t="n"/>
      <c r="X295" s="10" t="n"/>
      <c r="Y295" s="10" t="n"/>
      <c r="Z295" s="10" t="n"/>
      <c r="AA295" s="10" t="n"/>
      <c r="AB295" s="10" t="n"/>
    </row>
    <row r="296" ht="15.75" customHeight="1" s="297">
      <c r="A296" s="10" t="n"/>
      <c r="B296" s="10" t="n"/>
      <c r="C296" s="10" t="n"/>
      <c r="D296" s="10" t="n"/>
      <c r="E296" s="10" t="n"/>
      <c r="F296" s="10" t="n"/>
      <c r="G296" s="10" t="n"/>
      <c r="H296" s="10" t="n"/>
      <c r="I296" s="10" t="n"/>
      <c r="J296" s="10" t="n"/>
      <c r="K296" s="10" t="n"/>
      <c r="L296" s="10" t="n"/>
      <c r="M296" s="10" t="n"/>
      <c r="N296" s="10" t="n"/>
      <c r="O296" s="19" t="n"/>
      <c r="P296" s="19" t="n"/>
      <c r="Q296" s="10" t="n"/>
      <c r="R296" s="10" t="n"/>
      <c r="S296" s="10" t="n"/>
      <c r="T296" s="10" t="n"/>
      <c r="U296" s="10" t="n"/>
      <c r="V296" s="10" t="n"/>
      <c r="W296" s="10" t="n"/>
      <c r="X296" s="10" t="n"/>
      <c r="Y296" s="10" t="n"/>
      <c r="Z296" s="10" t="n"/>
      <c r="AA296" s="10" t="n"/>
      <c r="AB296" s="10" t="n"/>
    </row>
    <row r="297" ht="15.75" customHeight="1" s="297">
      <c r="A297" s="10" t="n"/>
      <c r="B297" s="10" t="n"/>
      <c r="C297" s="10" t="n"/>
      <c r="D297" s="10" t="n"/>
      <c r="E297" s="10" t="n"/>
      <c r="F297" s="10" t="n"/>
      <c r="G297" s="10" t="n"/>
      <c r="H297" s="10" t="n"/>
      <c r="I297" s="10" t="n"/>
      <c r="J297" s="10" t="n"/>
      <c r="K297" s="10" t="n"/>
      <c r="L297" s="10" t="n"/>
      <c r="M297" s="10" t="n"/>
      <c r="N297" s="10" t="n"/>
      <c r="O297" s="19" t="n"/>
      <c r="P297" s="19" t="n"/>
      <c r="Q297" s="10" t="n"/>
      <c r="R297" s="10" t="n"/>
      <c r="S297" s="10" t="n"/>
      <c r="T297" s="10" t="n"/>
      <c r="U297" s="10" t="n"/>
      <c r="V297" s="10" t="n"/>
      <c r="W297" s="10" t="n"/>
      <c r="X297" s="10" t="n"/>
      <c r="Y297" s="10" t="n"/>
      <c r="Z297" s="10" t="n"/>
      <c r="AA297" s="10" t="n"/>
      <c r="AB297" s="10" t="n"/>
    </row>
    <row r="298" ht="15.75" customHeight="1" s="297">
      <c r="A298" s="10" t="n"/>
      <c r="B298" s="10" t="n"/>
      <c r="C298" s="10" t="n"/>
      <c r="D298" s="10" t="n"/>
      <c r="E298" s="10" t="n"/>
      <c r="F298" s="10" t="n"/>
      <c r="G298" s="10" t="n"/>
      <c r="H298" s="10" t="n"/>
      <c r="I298" s="10" t="n"/>
      <c r="J298" s="10" t="n"/>
      <c r="K298" s="10" t="n"/>
      <c r="L298" s="10" t="n"/>
      <c r="M298" s="10" t="n"/>
      <c r="N298" s="10" t="n"/>
      <c r="O298" s="19" t="n"/>
      <c r="P298" s="19" t="n"/>
      <c r="Q298" s="10" t="n"/>
      <c r="R298" s="10" t="n"/>
      <c r="S298" s="10" t="n"/>
      <c r="T298" s="10" t="n"/>
      <c r="U298" s="10" t="n"/>
      <c r="V298" s="10" t="n"/>
      <c r="W298" s="10" t="n"/>
      <c r="X298" s="10" t="n"/>
      <c r="Y298" s="10" t="n"/>
      <c r="Z298" s="10" t="n"/>
      <c r="AA298" s="10" t="n"/>
      <c r="AB298" s="10" t="n"/>
    </row>
    <row r="299" ht="15.75" customHeight="1" s="297">
      <c r="A299" s="10" t="n"/>
      <c r="B299" s="10" t="n"/>
      <c r="C299" s="10" t="n"/>
      <c r="D299" s="10" t="n"/>
      <c r="E299" s="10" t="n"/>
      <c r="F299" s="10" t="n"/>
      <c r="G299" s="10" t="n"/>
      <c r="H299" s="10" t="n"/>
      <c r="I299" s="10" t="n"/>
      <c r="J299" s="10" t="n"/>
      <c r="K299" s="10" t="n"/>
      <c r="L299" s="10" t="n"/>
      <c r="M299" s="10" t="n"/>
      <c r="N299" s="10" t="n"/>
      <c r="O299" s="19" t="n"/>
      <c r="P299" s="19" t="n"/>
      <c r="Q299" s="10" t="n"/>
      <c r="R299" s="10" t="n"/>
      <c r="S299" s="10" t="n"/>
      <c r="T299" s="10" t="n"/>
      <c r="U299" s="10" t="n"/>
      <c r="V299" s="10" t="n"/>
      <c r="W299" s="10" t="n"/>
      <c r="X299" s="10" t="n"/>
      <c r="Y299" s="10" t="n"/>
      <c r="Z299" s="10" t="n"/>
      <c r="AA299" s="10" t="n"/>
      <c r="AB299" s="10" t="n"/>
    </row>
    <row r="300" ht="15.75" customHeight="1" s="297">
      <c r="A300" s="10" t="n"/>
      <c r="B300" s="10" t="n"/>
      <c r="C300" s="10" t="n"/>
      <c r="D300" s="10" t="n"/>
      <c r="E300" s="10" t="n"/>
      <c r="F300" s="10" t="n"/>
      <c r="G300" s="10" t="n"/>
      <c r="H300" s="10" t="n"/>
      <c r="I300" s="10" t="n"/>
      <c r="J300" s="10" t="n"/>
      <c r="K300" s="10" t="n"/>
      <c r="L300" s="10" t="n"/>
      <c r="M300" s="10" t="n"/>
      <c r="N300" s="10" t="n"/>
      <c r="O300" s="19" t="n"/>
      <c r="P300" s="19" t="n"/>
      <c r="Q300" s="10" t="n"/>
      <c r="R300" s="10" t="n"/>
      <c r="S300" s="10" t="n"/>
      <c r="T300" s="10" t="n"/>
      <c r="U300" s="10" t="n"/>
      <c r="V300" s="10" t="n"/>
      <c r="W300" s="10" t="n"/>
      <c r="X300" s="10" t="n"/>
      <c r="Y300" s="10" t="n"/>
      <c r="Z300" s="10" t="n"/>
      <c r="AA300" s="10" t="n"/>
      <c r="AB300" s="10" t="n"/>
    </row>
    <row r="301" ht="15.75" customHeight="1" s="297">
      <c r="A301" s="10" t="n"/>
      <c r="B301" s="10" t="n"/>
      <c r="C301" s="10" t="n"/>
      <c r="D301" s="10" t="n"/>
      <c r="E301" s="10" t="n"/>
      <c r="F301" s="10" t="n"/>
      <c r="G301" s="10" t="n"/>
      <c r="H301" s="10" t="n"/>
      <c r="I301" s="10" t="n"/>
      <c r="J301" s="10" t="n"/>
      <c r="K301" s="10" t="n"/>
      <c r="L301" s="10" t="n"/>
      <c r="M301" s="10" t="n"/>
      <c r="N301" s="10" t="n"/>
      <c r="O301" s="19" t="n"/>
      <c r="P301" s="19" t="n"/>
      <c r="Q301" s="10" t="n"/>
      <c r="R301" s="10" t="n"/>
      <c r="S301" s="10" t="n"/>
      <c r="T301" s="10" t="n"/>
      <c r="U301" s="10" t="n"/>
      <c r="V301" s="10" t="n"/>
      <c r="W301" s="10" t="n"/>
      <c r="X301" s="10" t="n"/>
      <c r="Y301" s="10" t="n"/>
      <c r="Z301" s="10" t="n"/>
      <c r="AA301" s="10" t="n"/>
      <c r="AB301" s="10" t="n"/>
    </row>
    <row r="302" ht="15.75" customHeight="1" s="297">
      <c r="A302" s="10" t="n"/>
      <c r="B302" s="10" t="n"/>
      <c r="C302" s="10" t="n"/>
      <c r="D302" s="10" t="n"/>
      <c r="E302" s="10" t="n"/>
      <c r="F302" s="10" t="n"/>
      <c r="G302" s="10" t="n"/>
      <c r="H302" s="10" t="n"/>
      <c r="I302" s="10" t="n"/>
      <c r="J302" s="10" t="n"/>
      <c r="K302" s="10" t="n"/>
      <c r="L302" s="10" t="n"/>
      <c r="M302" s="10" t="n"/>
      <c r="N302" s="10" t="n"/>
      <c r="O302" s="19" t="n"/>
      <c r="P302" s="19" t="n"/>
      <c r="Q302" s="10" t="n"/>
      <c r="R302" s="10" t="n"/>
      <c r="S302" s="10" t="n"/>
      <c r="T302" s="10" t="n"/>
      <c r="U302" s="10" t="n"/>
      <c r="V302" s="10" t="n"/>
      <c r="W302" s="10" t="n"/>
      <c r="X302" s="10" t="n"/>
      <c r="Y302" s="10" t="n"/>
      <c r="Z302" s="10" t="n"/>
      <c r="AA302" s="10" t="n"/>
      <c r="AB302" s="10" t="n"/>
    </row>
    <row r="303" ht="15.75" customHeight="1" s="297">
      <c r="A303" s="10" t="n"/>
      <c r="B303" s="10" t="n"/>
      <c r="C303" s="10" t="n"/>
      <c r="D303" s="10" t="n"/>
      <c r="E303" s="10" t="n"/>
      <c r="F303" s="10" t="n"/>
      <c r="G303" s="10" t="n"/>
      <c r="H303" s="10" t="n"/>
      <c r="I303" s="10" t="n"/>
      <c r="J303" s="10" t="n"/>
      <c r="K303" s="10" t="n"/>
      <c r="L303" s="10" t="n"/>
      <c r="M303" s="10" t="n"/>
      <c r="N303" s="10" t="n"/>
      <c r="O303" s="19" t="n"/>
      <c r="P303" s="19" t="n"/>
      <c r="Q303" s="10" t="n"/>
      <c r="R303" s="10" t="n"/>
      <c r="S303" s="10" t="n"/>
      <c r="T303" s="10" t="n"/>
      <c r="U303" s="10" t="n"/>
      <c r="V303" s="10" t="n"/>
      <c r="W303" s="10" t="n"/>
      <c r="X303" s="10" t="n"/>
      <c r="Y303" s="10" t="n"/>
      <c r="Z303" s="10" t="n"/>
      <c r="AA303" s="10" t="n"/>
      <c r="AB303" s="10" t="n"/>
    </row>
    <row r="304" ht="15.75" customHeight="1" s="297">
      <c r="A304" s="10" t="n"/>
      <c r="B304" s="10" t="n"/>
      <c r="C304" s="10" t="n"/>
      <c r="D304" s="10" t="n"/>
      <c r="E304" s="10" t="n"/>
      <c r="F304" s="10" t="n"/>
      <c r="G304" s="10" t="n"/>
      <c r="H304" s="10" t="n"/>
      <c r="I304" s="10" t="n"/>
      <c r="J304" s="10" t="n"/>
      <c r="K304" s="10" t="n"/>
      <c r="L304" s="10" t="n"/>
      <c r="M304" s="10" t="n"/>
      <c r="N304" s="10" t="n"/>
      <c r="O304" s="19" t="n"/>
      <c r="P304" s="19" t="n"/>
      <c r="Q304" s="10" t="n"/>
      <c r="R304" s="10" t="n"/>
      <c r="S304" s="10" t="n"/>
      <c r="T304" s="10" t="n"/>
      <c r="U304" s="10" t="n"/>
      <c r="V304" s="10" t="n"/>
      <c r="W304" s="10" t="n"/>
      <c r="X304" s="10" t="n"/>
      <c r="Y304" s="10" t="n"/>
      <c r="Z304" s="10" t="n"/>
      <c r="AA304" s="10" t="n"/>
      <c r="AB304" s="10" t="n"/>
    </row>
    <row r="305" ht="15.75" customHeight="1" s="297">
      <c r="A305" s="10" t="n"/>
      <c r="B305" s="10" t="n"/>
      <c r="C305" s="10" t="n"/>
      <c r="D305" s="10" t="n"/>
      <c r="E305" s="10" t="n"/>
      <c r="F305" s="10" t="n"/>
      <c r="G305" s="10" t="n"/>
      <c r="H305" s="10" t="n"/>
      <c r="I305" s="10" t="n"/>
      <c r="J305" s="10" t="n"/>
      <c r="K305" s="10" t="n"/>
      <c r="L305" s="10" t="n"/>
      <c r="M305" s="10" t="n"/>
      <c r="N305" s="10" t="n"/>
      <c r="O305" s="19" t="n"/>
      <c r="P305" s="19" t="n"/>
      <c r="Q305" s="10" t="n"/>
      <c r="R305" s="10" t="n"/>
      <c r="S305" s="10" t="n"/>
      <c r="T305" s="10" t="n"/>
      <c r="U305" s="10" t="n"/>
      <c r="V305" s="10" t="n"/>
      <c r="W305" s="10" t="n"/>
      <c r="X305" s="10" t="n"/>
      <c r="Y305" s="10" t="n"/>
      <c r="Z305" s="10" t="n"/>
      <c r="AA305" s="10" t="n"/>
      <c r="AB305" s="10" t="n"/>
    </row>
    <row r="306" ht="15.75" customHeight="1" s="297">
      <c r="A306" s="10" t="n"/>
      <c r="B306" s="10" t="n"/>
      <c r="C306" s="10" t="n"/>
      <c r="D306" s="10" t="n"/>
      <c r="E306" s="10" t="n"/>
      <c r="F306" s="10" t="n"/>
      <c r="G306" s="10" t="n"/>
      <c r="H306" s="10" t="n"/>
      <c r="I306" s="10" t="n"/>
      <c r="J306" s="10" t="n"/>
      <c r="K306" s="10" t="n"/>
      <c r="L306" s="10" t="n"/>
      <c r="M306" s="10" t="n"/>
      <c r="N306" s="10" t="n"/>
      <c r="O306" s="19" t="n"/>
      <c r="P306" s="19" t="n"/>
      <c r="Q306" s="10" t="n"/>
      <c r="R306" s="10" t="n"/>
      <c r="S306" s="10" t="n"/>
      <c r="T306" s="10" t="n"/>
      <c r="U306" s="10" t="n"/>
      <c r="V306" s="10" t="n"/>
      <c r="W306" s="10" t="n"/>
      <c r="X306" s="10" t="n"/>
      <c r="Y306" s="10" t="n"/>
      <c r="Z306" s="10" t="n"/>
      <c r="AA306" s="10" t="n"/>
      <c r="AB306" s="10" t="n"/>
    </row>
    <row r="307" ht="15.75" customHeight="1" s="297">
      <c r="A307" s="10" t="n"/>
      <c r="B307" s="10" t="n"/>
      <c r="C307" s="10" t="n"/>
      <c r="D307" s="10" t="n"/>
      <c r="E307" s="10" t="n"/>
      <c r="F307" s="10" t="n"/>
      <c r="G307" s="10" t="n"/>
      <c r="H307" s="10" t="n"/>
      <c r="I307" s="10" t="n"/>
      <c r="J307" s="10" t="n"/>
      <c r="K307" s="10" t="n"/>
      <c r="L307" s="10" t="n"/>
      <c r="M307" s="10" t="n"/>
      <c r="N307" s="10" t="n"/>
      <c r="O307" s="19" t="n"/>
      <c r="P307" s="19" t="n"/>
      <c r="Q307" s="10" t="n"/>
      <c r="R307" s="10" t="n"/>
      <c r="S307" s="10" t="n"/>
      <c r="T307" s="10" t="n"/>
      <c r="U307" s="10" t="n"/>
      <c r="V307" s="10" t="n"/>
      <c r="W307" s="10" t="n"/>
      <c r="X307" s="10" t="n"/>
      <c r="Y307" s="10" t="n"/>
      <c r="Z307" s="10" t="n"/>
      <c r="AA307" s="10" t="n"/>
      <c r="AB307" s="10" t="n"/>
    </row>
    <row r="308" ht="15.75" customHeight="1" s="297">
      <c r="A308" s="10" t="n"/>
      <c r="B308" s="10" t="n"/>
      <c r="C308" s="10" t="n"/>
      <c r="D308" s="10" t="n"/>
      <c r="E308" s="10" t="n"/>
      <c r="F308" s="10" t="n"/>
      <c r="G308" s="10" t="n"/>
      <c r="H308" s="10" t="n"/>
      <c r="I308" s="10" t="n"/>
      <c r="J308" s="10" t="n"/>
      <c r="K308" s="10" t="n"/>
      <c r="L308" s="10" t="n"/>
      <c r="M308" s="10" t="n"/>
      <c r="N308" s="10" t="n"/>
      <c r="O308" s="19" t="n"/>
      <c r="P308" s="19" t="n"/>
      <c r="Q308" s="10" t="n"/>
      <c r="R308" s="10" t="n"/>
      <c r="S308" s="10" t="n"/>
      <c r="T308" s="10" t="n"/>
      <c r="U308" s="10" t="n"/>
      <c r="V308" s="10" t="n"/>
      <c r="W308" s="10" t="n"/>
      <c r="X308" s="10" t="n"/>
      <c r="Y308" s="10" t="n"/>
      <c r="Z308" s="10" t="n"/>
      <c r="AA308" s="10" t="n"/>
      <c r="AB308" s="10" t="n"/>
    </row>
    <row r="309" ht="15.75" customHeight="1" s="297">
      <c r="A309" s="10" t="n"/>
      <c r="B309" s="10" t="n"/>
      <c r="C309" s="10" t="n"/>
      <c r="D309" s="10" t="n"/>
      <c r="E309" s="10" t="n"/>
      <c r="F309" s="10" t="n"/>
      <c r="G309" s="10" t="n"/>
      <c r="H309" s="10" t="n"/>
      <c r="I309" s="10" t="n"/>
      <c r="J309" s="10" t="n"/>
      <c r="K309" s="10" t="n"/>
      <c r="L309" s="10" t="n"/>
      <c r="M309" s="10" t="n"/>
      <c r="N309" s="10" t="n"/>
      <c r="O309" s="19" t="n"/>
      <c r="P309" s="19" t="n"/>
      <c r="Q309" s="10" t="n"/>
      <c r="R309" s="10" t="n"/>
      <c r="S309" s="10" t="n"/>
      <c r="T309" s="10" t="n"/>
      <c r="U309" s="10" t="n"/>
      <c r="V309" s="10" t="n"/>
      <c r="W309" s="10" t="n"/>
      <c r="X309" s="10" t="n"/>
      <c r="Y309" s="10" t="n"/>
      <c r="Z309" s="10" t="n"/>
      <c r="AA309" s="10" t="n"/>
      <c r="AB309" s="10" t="n"/>
    </row>
    <row r="310" ht="15.75" customHeight="1" s="297">
      <c r="A310" s="10" t="n"/>
      <c r="B310" s="10" t="n"/>
      <c r="C310" s="10" t="n"/>
      <c r="D310" s="10" t="n"/>
      <c r="E310" s="10" t="n"/>
      <c r="F310" s="10" t="n"/>
      <c r="G310" s="10" t="n"/>
      <c r="H310" s="10" t="n"/>
      <c r="I310" s="10" t="n"/>
      <c r="J310" s="10" t="n"/>
      <c r="K310" s="10" t="n"/>
      <c r="L310" s="10" t="n"/>
      <c r="M310" s="10" t="n"/>
      <c r="N310" s="10" t="n"/>
      <c r="O310" s="19" t="n"/>
      <c r="P310" s="19" t="n"/>
      <c r="Q310" s="10" t="n"/>
      <c r="R310" s="10" t="n"/>
      <c r="S310" s="10" t="n"/>
      <c r="T310" s="10" t="n"/>
      <c r="U310" s="10" t="n"/>
      <c r="V310" s="10" t="n"/>
      <c r="W310" s="10" t="n"/>
      <c r="X310" s="10" t="n"/>
      <c r="Y310" s="10" t="n"/>
      <c r="Z310" s="10" t="n"/>
      <c r="AA310" s="10" t="n"/>
      <c r="AB310" s="10" t="n"/>
    </row>
    <row r="311" ht="15.75" customHeight="1" s="297">
      <c r="A311" s="10" t="n"/>
      <c r="B311" s="10" t="n"/>
      <c r="C311" s="10" t="n"/>
      <c r="D311" s="10" t="n"/>
      <c r="E311" s="10" t="n"/>
      <c r="F311" s="10" t="n"/>
      <c r="G311" s="10" t="n"/>
      <c r="H311" s="10" t="n"/>
      <c r="I311" s="10" t="n"/>
      <c r="J311" s="10" t="n"/>
      <c r="K311" s="10" t="n"/>
      <c r="L311" s="10" t="n"/>
      <c r="M311" s="10" t="n"/>
      <c r="N311" s="10" t="n"/>
      <c r="O311" s="19" t="n"/>
      <c r="P311" s="19" t="n"/>
      <c r="Q311" s="10" t="n"/>
      <c r="R311" s="10" t="n"/>
      <c r="S311" s="10" t="n"/>
      <c r="T311" s="10" t="n"/>
      <c r="U311" s="10" t="n"/>
      <c r="V311" s="10" t="n"/>
      <c r="W311" s="10" t="n"/>
      <c r="X311" s="10" t="n"/>
      <c r="Y311" s="10" t="n"/>
      <c r="Z311" s="10" t="n"/>
      <c r="AA311" s="10" t="n"/>
      <c r="AB311" s="10" t="n"/>
    </row>
    <row r="312" ht="15.75" customHeight="1" s="297">
      <c r="A312" s="10" t="n"/>
      <c r="B312" s="10" t="n"/>
      <c r="C312" s="10" t="n"/>
      <c r="D312" s="10" t="n"/>
      <c r="E312" s="10" t="n"/>
      <c r="F312" s="10" t="n"/>
      <c r="G312" s="10" t="n"/>
      <c r="H312" s="10" t="n"/>
      <c r="I312" s="10" t="n"/>
      <c r="J312" s="10" t="n"/>
      <c r="K312" s="10" t="n"/>
      <c r="L312" s="10" t="n"/>
      <c r="M312" s="10" t="n"/>
      <c r="N312" s="10" t="n"/>
      <c r="O312" s="19" t="n"/>
      <c r="P312" s="19" t="n"/>
      <c r="Q312" s="10" t="n"/>
      <c r="R312" s="10" t="n"/>
      <c r="S312" s="10" t="n"/>
      <c r="T312" s="10" t="n"/>
      <c r="U312" s="10" t="n"/>
      <c r="V312" s="10" t="n"/>
      <c r="W312" s="10" t="n"/>
      <c r="X312" s="10" t="n"/>
      <c r="Y312" s="10" t="n"/>
      <c r="Z312" s="10" t="n"/>
      <c r="AA312" s="10" t="n"/>
      <c r="AB312" s="10" t="n"/>
    </row>
    <row r="313" ht="15.75" customHeight="1" s="297">
      <c r="A313" s="10" t="n"/>
      <c r="B313" s="10" t="n"/>
      <c r="C313" s="10" t="n"/>
      <c r="D313" s="10" t="n"/>
      <c r="E313" s="10" t="n"/>
      <c r="F313" s="10" t="n"/>
      <c r="G313" s="10" t="n"/>
      <c r="H313" s="10" t="n"/>
      <c r="I313" s="10" t="n"/>
      <c r="J313" s="10" t="n"/>
      <c r="K313" s="10" t="n"/>
      <c r="L313" s="10" t="n"/>
      <c r="M313" s="10" t="n"/>
      <c r="N313" s="10" t="n"/>
      <c r="O313" s="19" t="n"/>
      <c r="P313" s="19" t="n"/>
      <c r="Q313" s="10" t="n"/>
      <c r="R313" s="10" t="n"/>
      <c r="S313" s="10" t="n"/>
      <c r="T313" s="10" t="n"/>
      <c r="U313" s="10" t="n"/>
      <c r="V313" s="10" t="n"/>
      <c r="W313" s="10" t="n"/>
      <c r="X313" s="10" t="n"/>
      <c r="Y313" s="10" t="n"/>
      <c r="Z313" s="10" t="n"/>
      <c r="AA313" s="10" t="n"/>
      <c r="AB313" s="10" t="n"/>
    </row>
    <row r="314" ht="15.75" customHeight="1" s="297">
      <c r="A314" s="10" t="n"/>
      <c r="B314" s="10" t="n"/>
      <c r="C314" s="10" t="n"/>
      <c r="D314" s="10" t="n"/>
      <c r="E314" s="10" t="n"/>
      <c r="F314" s="10" t="n"/>
      <c r="G314" s="10" t="n"/>
      <c r="H314" s="10" t="n"/>
      <c r="I314" s="10" t="n"/>
      <c r="J314" s="10" t="n"/>
      <c r="K314" s="10" t="n"/>
      <c r="L314" s="10" t="n"/>
      <c r="M314" s="10" t="n"/>
      <c r="N314" s="10" t="n"/>
      <c r="O314" s="19" t="n"/>
      <c r="P314" s="19" t="n"/>
      <c r="Q314" s="10" t="n"/>
      <c r="R314" s="10" t="n"/>
      <c r="S314" s="10" t="n"/>
      <c r="T314" s="10" t="n"/>
      <c r="U314" s="10" t="n"/>
      <c r="V314" s="10" t="n"/>
      <c r="W314" s="10" t="n"/>
      <c r="X314" s="10" t="n"/>
      <c r="Y314" s="10" t="n"/>
      <c r="Z314" s="10" t="n"/>
      <c r="AA314" s="10" t="n"/>
      <c r="AB314" s="10" t="n"/>
    </row>
    <row r="315" ht="15.75" customHeight="1" s="297">
      <c r="A315" s="10" t="n"/>
      <c r="B315" s="10" t="n"/>
      <c r="C315" s="10" t="n"/>
      <c r="D315" s="10" t="n"/>
      <c r="E315" s="10" t="n"/>
      <c r="F315" s="10" t="n"/>
      <c r="G315" s="10" t="n"/>
      <c r="H315" s="10" t="n"/>
      <c r="I315" s="10" t="n"/>
      <c r="J315" s="10" t="n"/>
      <c r="K315" s="10" t="n"/>
      <c r="L315" s="10" t="n"/>
      <c r="M315" s="10" t="n"/>
      <c r="N315" s="10" t="n"/>
      <c r="O315" s="19" t="n"/>
      <c r="P315" s="19" t="n"/>
      <c r="Q315" s="10" t="n"/>
      <c r="R315" s="10" t="n"/>
      <c r="S315" s="10" t="n"/>
      <c r="T315" s="10" t="n"/>
      <c r="U315" s="10" t="n"/>
      <c r="V315" s="10" t="n"/>
      <c r="W315" s="10" t="n"/>
      <c r="X315" s="10" t="n"/>
      <c r="Y315" s="10" t="n"/>
      <c r="Z315" s="10" t="n"/>
      <c r="AA315" s="10" t="n"/>
      <c r="AB315" s="10" t="n"/>
    </row>
    <row r="316" ht="15.75" customHeight="1" s="297">
      <c r="A316" s="10" t="n"/>
      <c r="B316" s="10" t="n"/>
      <c r="C316" s="10" t="n"/>
      <c r="D316" s="10" t="n"/>
      <c r="E316" s="10" t="n"/>
      <c r="F316" s="10" t="n"/>
      <c r="G316" s="10" t="n"/>
      <c r="H316" s="10" t="n"/>
      <c r="I316" s="10" t="n"/>
      <c r="J316" s="10" t="n"/>
      <c r="K316" s="10" t="n"/>
      <c r="L316" s="10" t="n"/>
      <c r="M316" s="10" t="n"/>
      <c r="N316" s="10" t="n"/>
      <c r="O316" s="19" t="n"/>
      <c r="P316" s="19" t="n"/>
      <c r="Q316" s="10" t="n"/>
      <c r="R316" s="10" t="n"/>
      <c r="S316" s="10" t="n"/>
      <c r="T316" s="10" t="n"/>
      <c r="U316" s="10" t="n"/>
      <c r="V316" s="10" t="n"/>
      <c r="W316" s="10" t="n"/>
      <c r="X316" s="10" t="n"/>
      <c r="Y316" s="10" t="n"/>
      <c r="Z316" s="10" t="n"/>
      <c r="AA316" s="10" t="n"/>
      <c r="AB316" s="10" t="n"/>
    </row>
    <row r="317" ht="15.75" customHeight="1" s="297">
      <c r="A317" s="10" t="n"/>
      <c r="B317" s="10" t="n"/>
      <c r="C317" s="10" t="n"/>
      <c r="D317" s="10" t="n"/>
      <c r="E317" s="10" t="n"/>
      <c r="F317" s="10" t="n"/>
      <c r="G317" s="10" t="n"/>
      <c r="H317" s="10" t="n"/>
      <c r="I317" s="10" t="n"/>
      <c r="J317" s="10" t="n"/>
      <c r="K317" s="10" t="n"/>
      <c r="L317" s="10" t="n"/>
      <c r="M317" s="10" t="n"/>
      <c r="N317" s="10" t="n"/>
      <c r="O317" s="19" t="n"/>
      <c r="P317" s="19" t="n"/>
      <c r="Q317" s="10" t="n"/>
      <c r="R317" s="10" t="n"/>
      <c r="S317" s="10" t="n"/>
      <c r="T317" s="10" t="n"/>
      <c r="U317" s="10" t="n"/>
      <c r="V317" s="10" t="n"/>
      <c r="W317" s="10" t="n"/>
      <c r="X317" s="10" t="n"/>
      <c r="Y317" s="10" t="n"/>
      <c r="Z317" s="10" t="n"/>
      <c r="AA317" s="10" t="n"/>
      <c r="AB317" s="10" t="n"/>
    </row>
    <row r="318" ht="15.75" customHeight="1" s="297">
      <c r="A318" s="10" t="n"/>
      <c r="B318" s="10" t="n"/>
      <c r="C318" s="10" t="n"/>
      <c r="D318" s="10" t="n"/>
      <c r="E318" s="10" t="n"/>
      <c r="F318" s="10" t="n"/>
      <c r="G318" s="10" t="n"/>
      <c r="H318" s="10" t="n"/>
      <c r="I318" s="10" t="n"/>
      <c r="J318" s="10" t="n"/>
      <c r="K318" s="10" t="n"/>
      <c r="L318" s="10" t="n"/>
      <c r="M318" s="10" t="n"/>
      <c r="N318" s="10" t="n"/>
      <c r="O318" s="19" t="n"/>
      <c r="P318" s="19" t="n"/>
      <c r="Q318" s="10" t="n"/>
      <c r="R318" s="10" t="n"/>
      <c r="S318" s="10" t="n"/>
      <c r="T318" s="10" t="n"/>
      <c r="U318" s="10" t="n"/>
      <c r="V318" s="10" t="n"/>
      <c r="W318" s="10" t="n"/>
      <c r="X318" s="10" t="n"/>
      <c r="Y318" s="10" t="n"/>
      <c r="Z318" s="10" t="n"/>
      <c r="AA318" s="10" t="n"/>
      <c r="AB318" s="10" t="n"/>
    </row>
    <row r="319" ht="15.75" customHeight="1" s="297">
      <c r="A319" s="10" t="n"/>
      <c r="B319" s="10" t="n"/>
      <c r="C319" s="10" t="n"/>
      <c r="D319" s="10" t="n"/>
      <c r="E319" s="10" t="n"/>
      <c r="F319" s="10" t="n"/>
      <c r="G319" s="10" t="n"/>
      <c r="H319" s="10" t="n"/>
      <c r="I319" s="10" t="n"/>
      <c r="J319" s="10" t="n"/>
      <c r="K319" s="10" t="n"/>
      <c r="L319" s="10" t="n"/>
      <c r="M319" s="10" t="n"/>
      <c r="N319" s="10" t="n"/>
      <c r="O319" s="19" t="n"/>
      <c r="P319" s="19" t="n"/>
      <c r="Q319" s="10" t="n"/>
      <c r="R319" s="10" t="n"/>
      <c r="S319" s="10" t="n"/>
      <c r="T319" s="10" t="n"/>
      <c r="U319" s="10" t="n"/>
      <c r="V319" s="10" t="n"/>
      <c r="W319" s="10" t="n"/>
      <c r="X319" s="10" t="n"/>
      <c r="Y319" s="10" t="n"/>
      <c r="Z319" s="10" t="n"/>
      <c r="AA319" s="10" t="n"/>
      <c r="AB319" s="10" t="n"/>
    </row>
    <row r="320" ht="15.75" customHeight="1" s="297">
      <c r="A320" s="10" t="n"/>
      <c r="B320" s="10" t="n"/>
      <c r="C320" s="10" t="n"/>
      <c r="D320" s="10" t="n"/>
      <c r="E320" s="10" t="n"/>
      <c r="F320" s="10" t="n"/>
      <c r="G320" s="10" t="n"/>
      <c r="H320" s="10" t="n"/>
      <c r="I320" s="10" t="n"/>
      <c r="J320" s="10" t="n"/>
      <c r="K320" s="10" t="n"/>
      <c r="L320" s="10" t="n"/>
      <c r="M320" s="10" t="n"/>
      <c r="N320" s="10" t="n"/>
      <c r="O320" s="19" t="n"/>
      <c r="P320" s="19" t="n"/>
      <c r="Q320" s="10" t="n"/>
      <c r="R320" s="10" t="n"/>
      <c r="S320" s="10" t="n"/>
      <c r="T320" s="10" t="n"/>
      <c r="U320" s="10" t="n"/>
      <c r="V320" s="10" t="n"/>
      <c r="W320" s="10" t="n"/>
      <c r="X320" s="10" t="n"/>
      <c r="Y320" s="10" t="n"/>
      <c r="Z320" s="10" t="n"/>
      <c r="AA320" s="10" t="n"/>
      <c r="AB320" s="10" t="n"/>
    </row>
    <row r="321" ht="15.75" customHeight="1" s="297">
      <c r="A321" s="10" t="n"/>
      <c r="B321" s="10" t="n"/>
      <c r="C321" s="10" t="n"/>
      <c r="D321" s="10" t="n"/>
      <c r="E321" s="10" t="n"/>
      <c r="F321" s="10" t="n"/>
      <c r="G321" s="10" t="n"/>
      <c r="H321" s="10" t="n"/>
      <c r="I321" s="10" t="n"/>
      <c r="J321" s="10" t="n"/>
      <c r="K321" s="10" t="n"/>
      <c r="L321" s="10" t="n"/>
      <c r="M321" s="10" t="n"/>
      <c r="N321" s="10" t="n"/>
      <c r="O321" s="19" t="n"/>
      <c r="P321" s="19" t="n"/>
      <c r="Q321" s="10" t="n"/>
      <c r="R321" s="10" t="n"/>
      <c r="S321" s="10" t="n"/>
      <c r="T321" s="10" t="n"/>
      <c r="U321" s="10" t="n"/>
      <c r="V321" s="10" t="n"/>
      <c r="W321" s="10" t="n"/>
      <c r="X321" s="10" t="n"/>
      <c r="Y321" s="10" t="n"/>
      <c r="Z321" s="10" t="n"/>
      <c r="AA321" s="10" t="n"/>
      <c r="AB321" s="10" t="n"/>
    </row>
    <row r="322" ht="15.75" customHeight="1" s="297">
      <c r="A322" s="10" t="n"/>
      <c r="B322" s="10" t="n"/>
      <c r="C322" s="10" t="n"/>
      <c r="D322" s="10" t="n"/>
      <c r="E322" s="10" t="n"/>
      <c r="F322" s="10" t="n"/>
      <c r="G322" s="10" t="n"/>
      <c r="H322" s="10" t="n"/>
      <c r="I322" s="10" t="n"/>
      <c r="J322" s="10" t="n"/>
      <c r="K322" s="10" t="n"/>
      <c r="L322" s="10" t="n"/>
      <c r="M322" s="10" t="n"/>
      <c r="N322" s="10" t="n"/>
      <c r="O322" s="19" t="n"/>
      <c r="P322" s="19" t="n"/>
      <c r="Q322" s="10" t="n"/>
      <c r="R322" s="10" t="n"/>
      <c r="S322" s="10" t="n"/>
      <c r="T322" s="10" t="n"/>
      <c r="U322" s="10" t="n"/>
      <c r="V322" s="10" t="n"/>
      <c r="W322" s="10" t="n"/>
      <c r="X322" s="10" t="n"/>
      <c r="Y322" s="10" t="n"/>
      <c r="Z322" s="10" t="n"/>
      <c r="AA322" s="10" t="n"/>
      <c r="AB322" s="10" t="n"/>
    </row>
    <row r="323" ht="15.75" customHeight="1" s="297">
      <c r="A323" s="10" t="n"/>
      <c r="B323" s="10" t="n"/>
      <c r="C323" s="10" t="n"/>
      <c r="D323" s="10" t="n"/>
      <c r="E323" s="10" t="n"/>
      <c r="F323" s="10" t="n"/>
      <c r="G323" s="10" t="n"/>
      <c r="H323" s="10" t="n"/>
      <c r="I323" s="10" t="n"/>
      <c r="J323" s="10" t="n"/>
      <c r="K323" s="10" t="n"/>
      <c r="L323" s="10" t="n"/>
      <c r="M323" s="10" t="n"/>
      <c r="N323" s="10" t="n"/>
      <c r="O323" s="19" t="n"/>
      <c r="P323" s="19" t="n"/>
      <c r="Q323" s="10" t="n"/>
      <c r="R323" s="10" t="n"/>
      <c r="S323" s="10" t="n"/>
      <c r="T323" s="10" t="n"/>
      <c r="U323" s="10" t="n"/>
      <c r="V323" s="10" t="n"/>
      <c r="W323" s="10" t="n"/>
      <c r="X323" s="10" t="n"/>
      <c r="Y323" s="10" t="n"/>
      <c r="Z323" s="10" t="n"/>
      <c r="AA323" s="10" t="n"/>
      <c r="AB323" s="10" t="n"/>
    </row>
    <row r="324" ht="15.75" customHeight="1" s="297">
      <c r="A324" s="10" t="n"/>
      <c r="B324" s="10" t="n"/>
      <c r="C324" s="10" t="n"/>
      <c r="D324" s="10" t="n"/>
      <c r="E324" s="10" t="n"/>
      <c r="F324" s="10" t="n"/>
      <c r="G324" s="10" t="n"/>
      <c r="H324" s="10" t="n"/>
      <c r="I324" s="10" t="n"/>
      <c r="J324" s="10" t="n"/>
      <c r="K324" s="10" t="n"/>
      <c r="L324" s="10" t="n"/>
      <c r="M324" s="10" t="n"/>
      <c r="N324" s="10" t="n"/>
      <c r="O324" s="19" t="n"/>
      <c r="P324" s="19" t="n"/>
      <c r="Q324" s="10" t="n"/>
      <c r="R324" s="10" t="n"/>
      <c r="S324" s="10" t="n"/>
      <c r="T324" s="10" t="n"/>
      <c r="U324" s="10" t="n"/>
      <c r="V324" s="10" t="n"/>
      <c r="W324" s="10" t="n"/>
      <c r="X324" s="10" t="n"/>
      <c r="Y324" s="10" t="n"/>
      <c r="Z324" s="10" t="n"/>
      <c r="AA324" s="10" t="n"/>
      <c r="AB324" s="10" t="n"/>
    </row>
    <row r="325" ht="15.75" customHeight="1" s="297">
      <c r="A325" s="10" t="n"/>
      <c r="B325" s="10" t="n"/>
      <c r="C325" s="10" t="n"/>
      <c r="D325" s="10" t="n"/>
      <c r="E325" s="10" t="n"/>
      <c r="F325" s="10" t="n"/>
      <c r="G325" s="10" t="n"/>
      <c r="H325" s="10" t="n"/>
      <c r="I325" s="10" t="n"/>
      <c r="J325" s="10" t="n"/>
      <c r="K325" s="10" t="n"/>
      <c r="L325" s="10" t="n"/>
      <c r="M325" s="10" t="n"/>
      <c r="N325" s="10" t="n"/>
      <c r="O325" s="19" t="n"/>
      <c r="P325" s="19" t="n"/>
      <c r="Q325" s="10" t="n"/>
      <c r="R325" s="10" t="n"/>
      <c r="S325" s="10" t="n"/>
      <c r="T325" s="10" t="n"/>
      <c r="U325" s="10" t="n"/>
      <c r="V325" s="10" t="n"/>
      <c r="W325" s="10" t="n"/>
      <c r="X325" s="10" t="n"/>
      <c r="Y325" s="10" t="n"/>
      <c r="Z325" s="10" t="n"/>
      <c r="AA325" s="10" t="n"/>
      <c r="AB325" s="10" t="n"/>
    </row>
    <row r="326" ht="15.75" customHeight="1" s="297">
      <c r="A326" s="20" t="n"/>
      <c r="B326" s="20" t="n"/>
      <c r="C326" s="20" t="n"/>
    </row>
    <row r="327" ht="15.75" customHeight="1" s="297">
      <c r="A327" s="20" t="n"/>
      <c r="B327" s="20" t="n"/>
      <c r="C327" s="20" t="n"/>
    </row>
    <row r="328" ht="15.75" customHeight="1" s="297">
      <c r="A328" s="20" t="n"/>
      <c r="B328" s="20" t="n"/>
      <c r="C328" s="20" t="n"/>
    </row>
    <row r="329" ht="15.75" customHeight="1" s="297">
      <c r="A329" s="20" t="n"/>
      <c r="B329" s="20" t="n"/>
      <c r="C329" s="20" t="n"/>
    </row>
    <row r="330" ht="15.75" customHeight="1" s="297">
      <c r="A330" s="20" t="n"/>
      <c r="B330" s="20" t="n"/>
      <c r="C330" s="20" t="n"/>
    </row>
    <row r="331" ht="15.75" customHeight="1" s="297">
      <c r="A331" s="20" t="n"/>
      <c r="B331" s="20" t="n"/>
      <c r="C331" s="20" t="n"/>
    </row>
    <row r="332" ht="15.75" customHeight="1" s="297">
      <c r="A332" s="20" t="n"/>
      <c r="B332" s="20" t="n"/>
      <c r="C332" s="20" t="n"/>
    </row>
    <row r="333" ht="15.75" customHeight="1" s="297">
      <c r="A333" s="20" t="n"/>
      <c r="B333" s="20" t="n"/>
      <c r="C333" s="20" t="n"/>
    </row>
    <row r="334" ht="15.75" customHeight="1" s="297">
      <c r="A334" s="20" t="n"/>
      <c r="B334" s="20" t="n"/>
      <c r="C334" s="20" t="n"/>
    </row>
    <row r="335" ht="15.75" customHeight="1" s="297">
      <c r="A335" s="20" t="n"/>
      <c r="B335" s="20" t="n"/>
      <c r="C335" s="20" t="n"/>
    </row>
    <row r="336" ht="15.75" customHeight="1" s="297">
      <c r="A336" s="20" t="n"/>
      <c r="B336" s="20" t="n"/>
      <c r="C336" s="20" t="n"/>
    </row>
    <row r="337" ht="15.75" customHeight="1" s="297">
      <c r="A337" s="20" t="n"/>
      <c r="B337" s="20" t="n"/>
      <c r="C337" s="20" t="n"/>
    </row>
    <row r="338" ht="15.75" customHeight="1" s="297">
      <c r="A338" s="20" t="n"/>
      <c r="B338" s="20" t="n"/>
      <c r="C338" s="20" t="n"/>
    </row>
    <row r="339" ht="15.75" customHeight="1" s="297">
      <c r="A339" s="20" t="n"/>
      <c r="B339" s="20" t="n"/>
      <c r="C339" s="20" t="n"/>
    </row>
    <row r="340" ht="15.75" customHeight="1" s="297">
      <c r="A340" s="20" t="n"/>
      <c r="B340" s="20" t="n"/>
      <c r="C340" s="20" t="n"/>
    </row>
    <row r="341" ht="15.75" customHeight="1" s="297">
      <c r="A341" s="20" t="n"/>
      <c r="B341" s="20" t="n"/>
      <c r="C341" s="20" t="n"/>
    </row>
    <row r="342" ht="15.75" customHeight="1" s="297">
      <c r="A342" s="20" t="n"/>
      <c r="B342" s="20" t="n"/>
      <c r="C342" s="20" t="n"/>
    </row>
    <row r="343" ht="15.75" customHeight="1" s="297">
      <c r="A343" s="20" t="n"/>
      <c r="B343" s="20" t="n"/>
      <c r="C343" s="20" t="n"/>
    </row>
    <row r="344" ht="15.75" customHeight="1" s="297">
      <c r="A344" s="20" t="n"/>
      <c r="B344" s="20" t="n"/>
      <c r="C344" s="20" t="n"/>
    </row>
    <row r="345" ht="15.75" customHeight="1" s="297">
      <c r="A345" s="20" t="n"/>
      <c r="B345" s="20" t="n"/>
      <c r="C345" s="20" t="n"/>
    </row>
    <row r="346" ht="15.75" customHeight="1" s="297">
      <c r="A346" s="20" t="n"/>
      <c r="B346" s="20" t="n"/>
      <c r="C346" s="20" t="n"/>
    </row>
    <row r="347" ht="15.75" customHeight="1" s="297">
      <c r="A347" s="20" t="n"/>
      <c r="B347" s="20" t="n"/>
      <c r="C347" s="20" t="n"/>
    </row>
    <row r="348" ht="15.75" customHeight="1" s="297">
      <c r="A348" s="20" t="n"/>
      <c r="B348" s="20" t="n"/>
      <c r="C348" s="20" t="n"/>
    </row>
    <row r="349" ht="15.75" customHeight="1" s="297">
      <c r="A349" s="20" t="n"/>
      <c r="B349" s="20" t="n"/>
      <c r="C349" s="20" t="n"/>
    </row>
    <row r="350" ht="15.75" customHeight="1" s="297">
      <c r="A350" s="20" t="n"/>
      <c r="B350" s="20" t="n"/>
      <c r="C350" s="20" t="n"/>
    </row>
    <row r="351" ht="15.75" customHeight="1" s="297">
      <c r="A351" s="20" t="n"/>
      <c r="B351" s="20" t="n"/>
      <c r="C351" s="20" t="n"/>
    </row>
    <row r="352" ht="15.75" customHeight="1" s="297">
      <c r="A352" s="20" t="n"/>
      <c r="B352" s="20" t="n"/>
      <c r="C352" s="20" t="n"/>
    </row>
    <row r="353" ht="15.75" customHeight="1" s="297">
      <c r="A353" s="20" t="n"/>
      <c r="B353" s="20" t="n"/>
      <c r="C353" s="20" t="n"/>
    </row>
    <row r="354" ht="15.75" customHeight="1" s="297">
      <c r="A354" s="20" t="n"/>
      <c r="B354" s="20" t="n"/>
      <c r="C354" s="20" t="n"/>
    </row>
    <row r="355" ht="15.75" customHeight="1" s="297">
      <c r="A355" s="20" t="n"/>
      <c r="B355" s="20" t="n"/>
      <c r="C355" s="20" t="n"/>
    </row>
    <row r="356" ht="15.75" customHeight="1" s="297">
      <c r="A356" s="20" t="n"/>
      <c r="B356" s="20" t="n"/>
      <c r="C356" s="20" t="n"/>
    </row>
    <row r="357" ht="15.75" customHeight="1" s="297">
      <c r="A357" s="20" t="n"/>
      <c r="B357" s="20" t="n"/>
      <c r="C357" s="20" t="n"/>
    </row>
    <row r="358" ht="15.75" customHeight="1" s="297">
      <c r="A358" s="20" t="n"/>
      <c r="B358" s="20" t="n"/>
      <c r="C358" s="20" t="n"/>
    </row>
    <row r="359" ht="15.75" customHeight="1" s="297">
      <c r="A359" s="20" t="n"/>
      <c r="B359" s="20" t="n"/>
      <c r="C359" s="20" t="n"/>
    </row>
    <row r="360" ht="15.75" customHeight="1" s="297">
      <c r="A360" s="20" t="n"/>
      <c r="B360" s="20" t="n"/>
      <c r="C360" s="20" t="n"/>
    </row>
    <row r="361" ht="15.75" customHeight="1" s="297">
      <c r="A361" s="20" t="n"/>
      <c r="B361" s="20" t="n"/>
      <c r="C361" s="20" t="n"/>
    </row>
    <row r="362" ht="15.75" customHeight="1" s="297">
      <c r="A362" s="20" t="n"/>
      <c r="B362" s="20" t="n"/>
      <c r="C362" s="20" t="n"/>
    </row>
    <row r="363" ht="15.75" customHeight="1" s="297">
      <c r="A363" s="20" t="n"/>
      <c r="B363" s="20" t="n"/>
      <c r="C363" s="20" t="n"/>
    </row>
    <row r="364" ht="15.75" customHeight="1" s="297">
      <c r="A364" s="20" t="n"/>
      <c r="B364" s="20" t="n"/>
      <c r="C364" s="20" t="n"/>
    </row>
    <row r="365" ht="15.75" customHeight="1" s="297">
      <c r="A365" s="20" t="n"/>
      <c r="B365" s="20" t="n"/>
      <c r="C365" s="20" t="n"/>
    </row>
    <row r="366" ht="15.75" customHeight="1" s="297">
      <c r="A366" s="20" t="n"/>
      <c r="B366" s="20" t="n"/>
      <c r="C366" s="20" t="n"/>
    </row>
    <row r="367" ht="15.75" customHeight="1" s="297">
      <c r="A367" s="20" t="n"/>
      <c r="B367" s="20" t="n"/>
      <c r="C367" s="20" t="n"/>
    </row>
    <row r="368" ht="15.75" customHeight="1" s="297">
      <c r="A368" s="20" t="n"/>
      <c r="B368" s="20" t="n"/>
      <c r="C368" s="20" t="n"/>
    </row>
    <row r="369" ht="15.75" customHeight="1" s="297">
      <c r="A369" s="20" t="n"/>
      <c r="B369" s="20" t="n"/>
      <c r="C369" s="20" t="n"/>
    </row>
    <row r="370" ht="15.75" customHeight="1" s="297">
      <c r="A370" s="20" t="n"/>
      <c r="B370" s="20" t="n"/>
      <c r="C370" s="20" t="n"/>
    </row>
    <row r="371" ht="15.75" customHeight="1" s="297">
      <c r="A371" s="20" t="n"/>
      <c r="B371" s="20" t="n"/>
      <c r="C371" s="20" t="n"/>
    </row>
    <row r="372" ht="15.75" customHeight="1" s="297">
      <c r="A372" s="20" t="n"/>
      <c r="B372" s="20" t="n"/>
      <c r="C372" s="20" t="n"/>
    </row>
    <row r="373" ht="15.75" customHeight="1" s="297">
      <c r="A373" s="20" t="n"/>
      <c r="B373" s="20" t="n"/>
      <c r="C373" s="20" t="n"/>
    </row>
    <row r="374" ht="15.75" customHeight="1" s="297">
      <c r="A374" s="20" t="n"/>
      <c r="B374" s="20" t="n"/>
      <c r="C374" s="20" t="n"/>
    </row>
    <row r="375" ht="15.75" customHeight="1" s="297">
      <c r="A375" s="20" t="n"/>
      <c r="B375" s="20" t="n"/>
      <c r="C375" s="20" t="n"/>
    </row>
    <row r="376" ht="15.75" customHeight="1" s="297">
      <c r="A376" s="20" t="n"/>
      <c r="B376" s="20" t="n"/>
      <c r="C376" s="20" t="n"/>
    </row>
    <row r="377" ht="15.75" customHeight="1" s="297">
      <c r="A377" s="20" t="n"/>
      <c r="B377" s="20" t="n"/>
      <c r="C377" s="20" t="n"/>
    </row>
    <row r="378" ht="15.75" customHeight="1" s="297">
      <c r="A378" s="20" t="n"/>
      <c r="B378" s="20" t="n"/>
      <c r="C378" s="20" t="n"/>
    </row>
    <row r="379" ht="15.75" customHeight="1" s="297">
      <c r="A379" s="20" t="n"/>
      <c r="B379" s="20" t="n"/>
      <c r="C379" s="20" t="n"/>
    </row>
    <row r="380" ht="15.75" customHeight="1" s="297">
      <c r="A380" s="20" t="n"/>
      <c r="B380" s="20" t="n"/>
      <c r="C380" s="20" t="n"/>
    </row>
    <row r="381" ht="15.75" customHeight="1" s="297">
      <c r="A381" s="20" t="n"/>
      <c r="B381" s="20" t="n"/>
      <c r="C381" s="20" t="n"/>
    </row>
    <row r="382" ht="15.75" customHeight="1" s="297">
      <c r="A382" s="20" t="n"/>
      <c r="B382" s="20" t="n"/>
      <c r="C382" s="20" t="n"/>
    </row>
    <row r="383" ht="15.75" customHeight="1" s="297">
      <c r="A383" s="20" t="n"/>
      <c r="B383" s="20" t="n"/>
      <c r="C383" s="20" t="n"/>
    </row>
    <row r="384" ht="15.75" customHeight="1" s="297">
      <c r="A384" s="20" t="n"/>
      <c r="B384" s="20" t="n"/>
      <c r="C384" s="20" t="n"/>
    </row>
    <row r="385" ht="15.75" customHeight="1" s="297">
      <c r="A385" s="20" t="n"/>
      <c r="B385" s="20" t="n"/>
      <c r="C385" s="20" t="n"/>
    </row>
    <row r="386" ht="15.75" customHeight="1" s="297">
      <c r="A386" s="20" t="n"/>
      <c r="B386" s="20" t="n"/>
      <c r="C386" s="20" t="n"/>
    </row>
    <row r="387" ht="15.75" customHeight="1" s="297">
      <c r="A387" s="20" t="n"/>
      <c r="B387" s="20" t="n"/>
      <c r="C387" s="20" t="n"/>
    </row>
    <row r="388" ht="15.75" customHeight="1" s="297">
      <c r="A388" s="20" t="n"/>
      <c r="B388" s="20" t="n"/>
      <c r="C388" s="20" t="n"/>
    </row>
    <row r="389" ht="15.75" customHeight="1" s="297">
      <c r="A389" s="20" t="n"/>
      <c r="B389" s="20" t="n"/>
      <c r="C389" s="20" t="n"/>
    </row>
    <row r="390" ht="15.75" customHeight="1" s="297">
      <c r="A390" s="20" t="n"/>
      <c r="B390" s="20" t="n"/>
      <c r="C390" s="20" t="n"/>
    </row>
    <row r="391" ht="15.75" customHeight="1" s="297">
      <c r="A391" s="20" t="n"/>
      <c r="B391" s="20" t="n"/>
      <c r="C391" s="20" t="n"/>
    </row>
    <row r="392" ht="15.75" customHeight="1" s="297">
      <c r="A392" s="20" t="n"/>
      <c r="B392" s="20" t="n"/>
      <c r="C392" s="20" t="n"/>
    </row>
    <row r="393" ht="15.75" customHeight="1" s="297">
      <c r="A393" s="20" t="n"/>
      <c r="B393" s="20" t="n"/>
      <c r="C393" s="20" t="n"/>
    </row>
    <row r="394" ht="15.75" customHeight="1" s="297">
      <c r="A394" s="20" t="n"/>
      <c r="B394" s="20" t="n"/>
      <c r="C394" s="20" t="n"/>
    </row>
    <row r="395" ht="15.75" customHeight="1" s="297">
      <c r="A395" s="20" t="n"/>
      <c r="B395" s="20" t="n"/>
      <c r="C395" s="20" t="n"/>
    </row>
    <row r="396" ht="15.75" customHeight="1" s="297">
      <c r="A396" s="20" t="n"/>
      <c r="B396" s="20" t="n"/>
      <c r="C396" s="20" t="n"/>
    </row>
    <row r="397" ht="15.75" customHeight="1" s="297">
      <c r="A397" s="20" t="n"/>
      <c r="B397" s="20" t="n"/>
      <c r="C397" s="20" t="n"/>
    </row>
    <row r="398" ht="15.75" customHeight="1" s="297">
      <c r="A398" s="20" t="n"/>
      <c r="B398" s="20" t="n"/>
      <c r="C398" s="20" t="n"/>
    </row>
    <row r="399" ht="15.75" customHeight="1" s="297">
      <c r="A399" s="20" t="n"/>
      <c r="B399" s="20" t="n"/>
      <c r="C399" s="20" t="n"/>
    </row>
    <row r="400" ht="15.75" customHeight="1" s="297">
      <c r="A400" s="20" t="n"/>
      <c r="B400" s="20" t="n"/>
      <c r="C400" s="20" t="n"/>
    </row>
    <row r="401" ht="15.75" customHeight="1" s="297">
      <c r="A401" s="20" t="n"/>
      <c r="B401" s="20" t="n"/>
      <c r="C401" s="20" t="n"/>
    </row>
    <row r="402" ht="15.75" customHeight="1" s="297">
      <c r="A402" s="20" t="n"/>
      <c r="B402" s="20" t="n"/>
      <c r="C402" s="20" t="n"/>
    </row>
    <row r="403" ht="15.75" customHeight="1" s="297">
      <c r="A403" s="20" t="n"/>
      <c r="B403" s="20" t="n"/>
      <c r="C403" s="20" t="n"/>
    </row>
    <row r="404" ht="15.75" customHeight="1" s="297">
      <c r="A404" s="20" t="n"/>
      <c r="B404" s="20" t="n"/>
      <c r="C404" s="20" t="n"/>
    </row>
    <row r="405" ht="15.75" customHeight="1" s="297">
      <c r="A405" s="20" t="n"/>
      <c r="B405" s="20" t="n"/>
      <c r="C405" s="20" t="n"/>
    </row>
    <row r="406" ht="15.75" customHeight="1" s="297">
      <c r="A406" s="20" t="n"/>
      <c r="B406" s="20" t="n"/>
      <c r="C406" s="20" t="n"/>
    </row>
    <row r="407" ht="15.75" customHeight="1" s="297">
      <c r="A407" s="20" t="n"/>
      <c r="B407" s="20" t="n"/>
      <c r="C407" s="20" t="n"/>
    </row>
    <row r="408" ht="15.75" customHeight="1" s="297">
      <c r="A408" s="20" t="n"/>
      <c r="B408" s="20" t="n"/>
      <c r="C408" s="20" t="n"/>
    </row>
    <row r="409" ht="15.75" customHeight="1" s="297">
      <c r="A409" s="20" t="n"/>
      <c r="B409" s="20" t="n"/>
      <c r="C409" s="20" t="n"/>
    </row>
    <row r="410" ht="15.75" customHeight="1" s="297">
      <c r="A410" s="20" t="n"/>
      <c r="B410" s="20" t="n"/>
      <c r="C410" s="20" t="n"/>
    </row>
    <row r="411" ht="15.75" customHeight="1" s="297">
      <c r="A411" s="20" t="n"/>
      <c r="B411" s="20" t="n"/>
      <c r="C411" s="20" t="n"/>
    </row>
    <row r="412" ht="15.75" customHeight="1" s="297">
      <c r="A412" s="20" t="n"/>
      <c r="B412" s="20" t="n"/>
      <c r="C412" s="20" t="n"/>
    </row>
    <row r="413" ht="15.75" customHeight="1" s="297">
      <c r="A413" s="20" t="n"/>
      <c r="B413" s="20" t="n"/>
      <c r="C413" s="20" t="n"/>
    </row>
    <row r="414" ht="15.75" customHeight="1" s="297">
      <c r="A414" s="20" t="n"/>
      <c r="B414" s="20" t="n"/>
      <c r="C414" s="20" t="n"/>
    </row>
    <row r="415" ht="15.75" customHeight="1" s="297">
      <c r="A415" s="20" t="n"/>
      <c r="B415" s="20" t="n"/>
      <c r="C415" s="20" t="n"/>
    </row>
    <row r="416" ht="15.75" customHeight="1" s="297">
      <c r="A416" s="20" t="n"/>
      <c r="B416" s="20" t="n"/>
      <c r="C416" s="20" t="n"/>
    </row>
    <row r="417" ht="15.75" customHeight="1" s="297">
      <c r="A417" s="20" t="n"/>
      <c r="B417" s="20" t="n"/>
      <c r="C417" s="20" t="n"/>
    </row>
    <row r="418" ht="15.75" customHeight="1" s="297">
      <c r="A418" s="20" t="n"/>
      <c r="B418" s="20" t="n"/>
      <c r="C418" s="20" t="n"/>
    </row>
    <row r="419" ht="15.75" customHeight="1" s="297">
      <c r="A419" s="20" t="n"/>
      <c r="B419" s="20" t="n"/>
      <c r="C419" s="20" t="n"/>
    </row>
    <row r="420" ht="15.75" customHeight="1" s="297">
      <c r="A420" s="20" t="n"/>
      <c r="B420" s="20" t="n"/>
      <c r="C420" s="20" t="n"/>
    </row>
    <row r="421" ht="15.75" customHeight="1" s="297">
      <c r="A421" s="20" t="n"/>
      <c r="B421" s="20" t="n"/>
      <c r="C421" s="20" t="n"/>
    </row>
    <row r="422" ht="15.75" customHeight="1" s="297">
      <c r="A422" s="20" t="n"/>
      <c r="B422" s="20" t="n"/>
      <c r="C422" s="20" t="n"/>
    </row>
    <row r="423" ht="15.75" customHeight="1" s="297">
      <c r="A423" s="20" t="n"/>
      <c r="B423" s="20" t="n"/>
      <c r="C423" s="20" t="n"/>
    </row>
    <row r="424" ht="15.75" customHeight="1" s="297">
      <c r="A424" s="20" t="n"/>
      <c r="B424" s="20" t="n"/>
      <c r="C424" s="20" t="n"/>
    </row>
    <row r="425" ht="15.75" customHeight="1" s="297">
      <c r="A425" s="20" t="n"/>
      <c r="B425" s="20" t="n"/>
      <c r="C425" s="20" t="n"/>
    </row>
    <row r="426" ht="15.75" customHeight="1" s="297">
      <c r="A426" s="20" t="n"/>
      <c r="B426" s="20" t="n"/>
      <c r="C426" s="20" t="n"/>
    </row>
    <row r="427" ht="15.75" customHeight="1" s="297">
      <c r="A427" s="20" t="n"/>
      <c r="B427" s="20" t="n"/>
      <c r="C427" s="20" t="n"/>
    </row>
    <row r="428" ht="15.75" customHeight="1" s="297">
      <c r="A428" s="20" t="n"/>
      <c r="B428" s="20" t="n"/>
      <c r="C428" s="20" t="n"/>
    </row>
    <row r="429" ht="15.75" customHeight="1" s="297">
      <c r="A429" s="20" t="n"/>
      <c r="B429" s="20" t="n"/>
      <c r="C429" s="20" t="n"/>
    </row>
    <row r="430" ht="15.75" customHeight="1" s="297">
      <c r="A430" s="20" t="n"/>
      <c r="B430" s="20" t="n"/>
      <c r="C430" s="20" t="n"/>
    </row>
    <row r="431" ht="15.75" customHeight="1" s="297">
      <c r="A431" s="20" t="n"/>
      <c r="B431" s="20" t="n"/>
      <c r="C431" s="20" t="n"/>
    </row>
    <row r="432" ht="15.75" customHeight="1" s="297">
      <c r="A432" s="20" t="n"/>
      <c r="B432" s="20" t="n"/>
      <c r="C432" s="20" t="n"/>
    </row>
    <row r="433" ht="15.75" customHeight="1" s="297">
      <c r="A433" s="20" t="n"/>
      <c r="B433" s="20" t="n"/>
      <c r="C433" s="20" t="n"/>
    </row>
    <row r="434" ht="15.75" customHeight="1" s="297">
      <c r="A434" s="20" t="n"/>
      <c r="B434" s="20" t="n"/>
      <c r="C434" s="20" t="n"/>
    </row>
    <row r="435" ht="15.75" customHeight="1" s="297">
      <c r="A435" s="20" t="n"/>
      <c r="B435" s="20" t="n"/>
      <c r="C435" s="20" t="n"/>
    </row>
    <row r="436" ht="15.75" customHeight="1" s="297">
      <c r="A436" s="20" t="n"/>
      <c r="B436" s="20" t="n"/>
      <c r="C436" s="20" t="n"/>
    </row>
    <row r="437" ht="15.75" customHeight="1" s="297">
      <c r="A437" s="20" t="n"/>
      <c r="B437" s="20" t="n"/>
      <c r="C437" s="20" t="n"/>
    </row>
    <row r="438" ht="15.75" customHeight="1" s="297">
      <c r="A438" s="20" t="n"/>
      <c r="B438" s="20" t="n"/>
      <c r="C438" s="20" t="n"/>
    </row>
    <row r="439" ht="15.75" customHeight="1" s="297">
      <c r="A439" s="20" t="n"/>
      <c r="B439" s="20" t="n"/>
      <c r="C439" s="20" t="n"/>
    </row>
    <row r="440" ht="15.75" customHeight="1" s="297">
      <c r="A440" s="20" t="n"/>
      <c r="B440" s="20" t="n"/>
      <c r="C440" s="20" t="n"/>
    </row>
    <row r="441" ht="15.75" customHeight="1" s="297">
      <c r="A441" s="20" t="n"/>
      <c r="B441" s="20" t="n"/>
      <c r="C441" s="20" t="n"/>
    </row>
    <row r="442" ht="15.75" customHeight="1" s="297">
      <c r="A442" s="20" t="n"/>
      <c r="B442" s="20" t="n"/>
      <c r="C442" s="20" t="n"/>
    </row>
    <row r="443" ht="15.75" customHeight="1" s="297">
      <c r="A443" s="20" t="n"/>
      <c r="B443" s="20" t="n"/>
      <c r="C443" s="20" t="n"/>
    </row>
    <row r="444" ht="15.75" customHeight="1" s="297">
      <c r="A444" s="20" t="n"/>
      <c r="B444" s="20" t="n"/>
      <c r="C444" s="20" t="n"/>
    </row>
    <row r="445" ht="15.75" customHeight="1" s="297">
      <c r="A445" s="20" t="n"/>
      <c r="B445" s="20" t="n"/>
      <c r="C445" s="20" t="n"/>
    </row>
    <row r="446" ht="15.75" customHeight="1" s="297">
      <c r="A446" s="20" t="n"/>
      <c r="B446" s="20" t="n"/>
      <c r="C446" s="20" t="n"/>
    </row>
    <row r="447" ht="15.75" customHeight="1" s="297">
      <c r="A447" s="20" t="n"/>
      <c r="B447" s="20" t="n"/>
      <c r="C447" s="20" t="n"/>
    </row>
    <row r="448" ht="15.75" customHeight="1" s="297">
      <c r="A448" s="20" t="n"/>
      <c r="B448" s="20" t="n"/>
      <c r="C448" s="20" t="n"/>
    </row>
    <row r="449" ht="15.75" customHeight="1" s="297">
      <c r="A449" s="20" t="n"/>
      <c r="B449" s="20" t="n"/>
      <c r="C449" s="20" t="n"/>
    </row>
    <row r="450" ht="15.75" customHeight="1" s="297">
      <c r="A450" s="20" t="n"/>
      <c r="B450" s="20" t="n"/>
      <c r="C450" s="20" t="n"/>
    </row>
    <row r="451" ht="15.75" customHeight="1" s="297">
      <c r="A451" s="20" t="n"/>
      <c r="B451" s="20" t="n"/>
      <c r="C451" s="20" t="n"/>
    </row>
    <row r="452" ht="15.75" customHeight="1" s="297">
      <c r="A452" s="20" t="n"/>
      <c r="B452" s="20" t="n"/>
      <c r="C452" s="20" t="n"/>
    </row>
    <row r="453" ht="15.75" customHeight="1" s="297">
      <c r="A453" s="20" t="n"/>
      <c r="B453" s="20" t="n"/>
      <c r="C453" s="20" t="n"/>
    </row>
    <row r="454" ht="15.75" customHeight="1" s="297">
      <c r="A454" s="20" t="n"/>
      <c r="B454" s="20" t="n"/>
      <c r="C454" s="20" t="n"/>
    </row>
    <row r="455" ht="15.75" customHeight="1" s="297">
      <c r="A455" s="20" t="n"/>
      <c r="B455" s="20" t="n"/>
      <c r="C455" s="20" t="n"/>
    </row>
    <row r="456" ht="15.75" customHeight="1" s="297">
      <c r="A456" s="20" t="n"/>
      <c r="B456" s="20" t="n"/>
      <c r="C456" s="20" t="n"/>
    </row>
    <row r="457" ht="15.75" customHeight="1" s="297">
      <c r="A457" s="20" t="n"/>
      <c r="B457" s="20" t="n"/>
      <c r="C457" s="20" t="n"/>
    </row>
    <row r="458" ht="15.75" customHeight="1" s="297">
      <c r="A458" s="20" t="n"/>
      <c r="B458" s="20" t="n"/>
      <c r="C458" s="20" t="n"/>
    </row>
    <row r="459" ht="15.75" customHeight="1" s="297">
      <c r="A459" s="20" t="n"/>
      <c r="B459" s="20" t="n"/>
      <c r="C459" s="20" t="n"/>
    </row>
    <row r="460" ht="15.75" customHeight="1" s="297">
      <c r="A460" s="20" t="n"/>
      <c r="B460" s="20" t="n"/>
      <c r="C460" s="20" t="n"/>
    </row>
    <row r="461" ht="15.75" customHeight="1" s="297">
      <c r="A461" s="20" t="n"/>
      <c r="B461" s="20" t="n"/>
      <c r="C461" s="20" t="n"/>
    </row>
    <row r="462" ht="15.75" customHeight="1" s="297">
      <c r="A462" s="20" t="n"/>
      <c r="B462" s="20" t="n"/>
      <c r="C462" s="20" t="n"/>
    </row>
    <row r="463" ht="15.75" customHeight="1" s="297">
      <c r="A463" s="20" t="n"/>
      <c r="B463" s="20" t="n"/>
      <c r="C463" s="20" t="n"/>
    </row>
    <row r="464" ht="15.75" customHeight="1" s="297">
      <c r="A464" s="20" t="n"/>
      <c r="B464" s="20" t="n"/>
      <c r="C464" s="20" t="n"/>
    </row>
    <row r="465" ht="15.75" customHeight="1" s="297">
      <c r="A465" s="20" t="n"/>
      <c r="B465" s="20" t="n"/>
      <c r="C465" s="20" t="n"/>
    </row>
    <row r="466" ht="15.75" customHeight="1" s="297">
      <c r="A466" s="20" t="n"/>
      <c r="B466" s="20" t="n"/>
      <c r="C466" s="20" t="n"/>
    </row>
    <row r="467" ht="15.75" customHeight="1" s="297">
      <c r="A467" s="20" t="n"/>
      <c r="B467" s="20" t="n"/>
      <c r="C467" s="20" t="n"/>
    </row>
    <row r="468" ht="15.75" customHeight="1" s="297">
      <c r="A468" s="20" t="n"/>
      <c r="B468" s="20" t="n"/>
      <c r="C468" s="20" t="n"/>
    </row>
    <row r="469" ht="15.75" customHeight="1" s="297">
      <c r="A469" s="20" t="n"/>
      <c r="B469" s="20" t="n"/>
      <c r="C469" s="20" t="n"/>
    </row>
    <row r="470" ht="15.75" customHeight="1" s="297">
      <c r="A470" s="20" t="n"/>
      <c r="B470" s="20" t="n"/>
      <c r="C470" s="20" t="n"/>
    </row>
    <row r="471" ht="15.75" customHeight="1" s="297">
      <c r="A471" s="20" t="n"/>
      <c r="B471" s="20" t="n"/>
      <c r="C471" s="20" t="n"/>
    </row>
    <row r="472" ht="15.75" customHeight="1" s="297">
      <c r="A472" s="20" t="n"/>
      <c r="B472" s="20" t="n"/>
      <c r="C472" s="20" t="n"/>
    </row>
    <row r="473" ht="15.75" customHeight="1" s="297">
      <c r="A473" s="20" t="n"/>
      <c r="B473" s="20" t="n"/>
      <c r="C473" s="20" t="n"/>
    </row>
    <row r="474" ht="15.75" customHeight="1" s="297">
      <c r="A474" s="20" t="n"/>
      <c r="B474" s="20" t="n"/>
      <c r="C474" s="20" t="n"/>
    </row>
    <row r="475" ht="15.75" customHeight="1" s="297">
      <c r="A475" s="20" t="n"/>
      <c r="B475" s="20" t="n"/>
      <c r="C475" s="20" t="n"/>
    </row>
    <row r="476" ht="15.75" customHeight="1" s="297">
      <c r="A476" s="20" t="n"/>
      <c r="B476" s="20" t="n"/>
      <c r="C476" s="20" t="n"/>
    </row>
    <row r="477" ht="15.75" customHeight="1" s="297">
      <c r="A477" s="20" t="n"/>
      <c r="B477" s="20" t="n"/>
      <c r="C477" s="20" t="n"/>
    </row>
    <row r="478" ht="15.75" customHeight="1" s="297">
      <c r="A478" s="20" t="n"/>
      <c r="B478" s="20" t="n"/>
      <c r="C478" s="20" t="n"/>
    </row>
    <row r="479" ht="15.75" customHeight="1" s="297">
      <c r="A479" s="20" t="n"/>
      <c r="B479" s="20" t="n"/>
      <c r="C479" s="20" t="n"/>
    </row>
    <row r="480" ht="15.75" customHeight="1" s="297">
      <c r="A480" s="20" t="n"/>
      <c r="B480" s="20" t="n"/>
      <c r="C480" s="20" t="n"/>
    </row>
    <row r="481" ht="15.75" customHeight="1" s="297">
      <c r="A481" s="20" t="n"/>
      <c r="B481" s="20" t="n"/>
      <c r="C481" s="20" t="n"/>
    </row>
    <row r="482" ht="15.75" customHeight="1" s="297">
      <c r="A482" s="20" t="n"/>
      <c r="B482" s="20" t="n"/>
      <c r="C482" s="20" t="n"/>
    </row>
    <row r="483" ht="15.75" customHeight="1" s="297">
      <c r="A483" s="20" t="n"/>
      <c r="B483" s="20" t="n"/>
      <c r="C483" s="20" t="n"/>
    </row>
    <row r="484" ht="15.75" customHeight="1" s="297">
      <c r="A484" s="20" t="n"/>
      <c r="B484" s="20" t="n"/>
      <c r="C484" s="20" t="n"/>
    </row>
    <row r="485" ht="15.75" customHeight="1" s="297">
      <c r="A485" s="20" t="n"/>
      <c r="B485" s="20" t="n"/>
      <c r="C485" s="20" t="n"/>
    </row>
    <row r="486" ht="15.75" customHeight="1" s="297">
      <c r="A486" s="20" t="n"/>
      <c r="B486" s="20" t="n"/>
      <c r="C486" s="20" t="n"/>
    </row>
    <row r="487" ht="15.75" customHeight="1" s="297">
      <c r="A487" s="20" t="n"/>
      <c r="B487" s="20" t="n"/>
      <c r="C487" s="20" t="n"/>
    </row>
    <row r="488" ht="15.75" customHeight="1" s="297">
      <c r="A488" s="20" t="n"/>
      <c r="B488" s="20" t="n"/>
      <c r="C488" s="20" t="n"/>
    </row>
    <row r="489" ht="15.75" customHeight="1" s="297">
      <c r="A489" s="20" t="n"/>
      <c r="B489" s="20" t="n"/>
      <c r="C489" s="20" t="n"/>
    </row>
    <row r="490" ht="15.75" customHeight="1" s="297">
      <c r="A490" s="20" t="n"/>
      <c r="B490" s="20" t="n"/>
      <c r="C490" s="20" t="n"/>
    </row>
    <row r="491" ht="15.75" customHeight="1" s="297">
      <c r="A491" s="20" t="n"/>
      <c r="B491" s="20" t="n"/>
      <c r="C491" s="20" t="n"/>
    </row>
    <row r="492" ht="15.75" customHeight="1" s="297">
      <c r="A492" s="20" t="n"/>
      <c r="B492" s="20" t="n"/>
      <c r="C492" s="20" t="n"/>
    </row>
    <row r="493" ht="15.75" customHeight="1" s="297">
      <c r="A493" s="20" t="n"/>
      <c r="B493" s="20" t="n"/>
      <c r="C493" s="20" t="n"/>
    </row>
    <row r="494" ht="15.75" customHeight="1" s="297">
      <c r="A494" s="20" t="n"/>
      <c r="B494" s="20" t="n"/>
      <c r="C494" s="20" t="n"/>
    </row>
    <row r="495" ht="15.75" customHeight="1" s="297">
      <c r="A495" s="20" t="n"/>
      <c r="B495" s="20" t="n"/>
      <c r="C495" s="20" t="n"/>
    </row>
    <row r="496" ht="15.75" customHeight="1" s="297">
      <c r="A496" s="20" t="n"/>
      <c r="B496" s="20" t="n"/>
      <c r="C496" s="20" t="n"/>
    </row>
    <row r="497" ht="15.75" customHeight="1" s="297">
      <c r="A497" s="20" t="n"/>
      <c r="B497" s="20" t="n"/>
      <c r="C497" s="20" t="n"/>
    </row>
    <row r="498" ht="15.75" customHeight="1" s="297">
      <c r="A498" s="20" t="n"/>
      <c r="B498" s="20" t="n"/>
      <c r="C498" s="20" t="n"/>
    </row>
    <row r="499" ht="15.75" customHeight="1" s="297">
      <c r="A499" s="20" t="n"/>
      <c r="B499" s="20" t="n"/>
      <c r="C499" s="20" t="n"/>
    </row>
    <row r="500" ht="15.75" customHeight="1" s="297">
      <c r="A500" s="20" t="n"/>
      <c r="B500" s="20" t="n"/>
      <c r="C500" s="20" t="n"/>
    </row>
    <row r="501" ht="15.75" customHeight="1" s="297">
      <c r="A501" s="20" t="n"/>
      <c r="B501" s="20" t="n"/>
      <c r="C501" s="20" t="n"/>
    </row>
    <row r="502" ht="15.75" customHeight="1" s="297">
      <c r="A502" s="20" t="n"/>
      <c r="B502" s="20" t="n"/>
      <c r="C502" s="20" t="n"/>
    </row>
    <row r="503" ht="15.75" customHeight="1" s="297">
      <c r="A503" s="20" t="n"/>
      <c r="B503" s="20" t="n"/>
      <c r="C503" s="20" t="n"/>
    </row>
    <row r="504" ht="15.75" customHeight="1" s="297">
      <c r="A504" s="20" t="n"/>
      <c r="B504" s="20" t="n"/>
      <c r="C504" s="20" t="n"/>
    </row>
    <row r="505" ht="15.75" customHeight="1" s="297">
      <c r="A505" s="20" t="n"/>
      <c r="B505" s="20" t="n"/>
      <c r="C505" s="20" t="n"/>
    </row>
    <row r="506" ht="15.75" customHeight="1" s="297">
      <c r="A506" s="20" t="n"/>
      <c r="B506" s="20" t="n"/>
      <c r="C506" s="20" t="n"/>
    </row>
    <row r="507" ht="15.75" customHeight="1" s="297">
      <c r="A507" s="20" t="n"/>
      <c r="B507" s="20" t="n"/>
      <c r="C507" s="20" t="n"/>
    </row>
    <row r="508" ht="15.75" customHeight="1" s="297">
      <c r="A508" s="20" t="n"/>
      <c r="B508" s="20" t="n"/>
      <c r="C508" s="20" t="n"/>
    </row>
    <row r="509" ht="15.75" customHeight="1" s="297">
      <c r="A509" s="20" t="n"/>
      <c r="B509" s="20" t="n"/>
      <c r="C509" s="20" t="n"/>
    </row>
    <row r="510" ht="15.75" customHeight="1" s="297">
      <c r="A510" s="20" t="n"/>
      <c r="B510" s="20" t="n"/>
      <c r="C510" s="20" t="n"/>
    </row>
    <row r="511" ht="15.75" customHeight="1" s="297">
      <c r="A511" s="20" t="n"/>
      <c r="B511" s="20" t="n"/>
      <c r="C511" s="20" t="n"/>
    </row>
    <row r="512" ht="15.75" customHeight="1" s="297">
      <c r="A512" s="20" t="n"/>
      <c r="B512" s="20" t="n"/>
      <c r="C512" s="20" t="n"/>
    </row>
    <row r="513" ht="15.75" customHeight="1" s="297">
      <c r="A513" s="20" t="n"/>
      <c r="B513" s="20" t="n"/>
      <c r="C513" s="20" t="n"/>
    </row>
    <row r="514" ht="15.75" customHeight="1" s="297">
      <c r="A514" s="20" t="n"/>
      <c r="B514" s="20" t="n"/>
      <c r="C514" s="20" t="n"/>
    </row>
    <row r="515" ht="15.75" customHeight="1" s="297">
      <c r="A515" s="20" t="n"/>
      <c r="B515" s="20" t="n"/>
      <c r="C515" s="20" t="n"/>
    </row>
    <row r="516" ht="15.75" customHeight="1" s="297">
      <c r="A516" s="20" t="n"/>
      <c r="B516" s="20" t="n"/>
      <c r="C516" s="20" t="n"/>
    </row>
    <row r="517" ht="15.75" customHeight="1" s="297">
      <c r="A517" s="20" t="n"/>
      <c r="B517" s="20" t="n"/>
      <c r="C517" s="20" t="n"/>
    </row>
    <row r="518" ht="15.75" customHeight="1" s="297">
      <c r="A518" s="20" t="n"/>
      <c r="B518" s="20" t="n"/>
      <c r="C518" s="20" t="n"/>
    </row>
    <row r="519" ht="15.75" customHeight="1" s="297">
      <c r="A519" s="20" t="n"/>
      <c r="B519" s="20" t="n"/>
      <c r="C519" s="20" t="n"/>
    </row>
    <row r="520" ht="15.75" customHeight="1" s="297">
      <c r="A520" s="20" t="n"/>
      <c r="B520" s="20" t="n"/>
      <c r="C520" s="20" t="n"/>
    </row>
    <row r="521" ht="15.75" customHeight="1" s="297">
      <c r="A521" s="20" t="n"/>
      <c r="B521" s="20" t="n"/>
      <c r="C521" s="20" t="n"/>
    </row>
    <row r="522" ht="15.75" customHeight="1" s="297">
      <c r="A522" s="20" t="n"/>
      <c r="B522" s="20" t="n"/>
      <c r="C522" s="20" t="n"/>
    </row>
    <row r="523" ht="15.75" customHeight="1" s="297">
      <c r="A523" s="20" t="n"/>
      <c r="B523" s="20" t="n"/>
      <c r="C523" s="20" t="n"/>
    </row>
    <row r="524" ht="15.75" customHeight="1" s="297">
      <c r="A524" s="20" t="n"/>
      <c r="B524" s="20" t="n"/>
      <c r="C524" s="20" t="n"/>
    </row>
    <row r="525" ht="15.75" customHeight="1" s="297">
      <c r="A525" s="20" t="n"/>
      <c r="B525" s="20" t="n"/>
      <c r="C525" s="20" t="n"/>
    </row>
    <row r="526" ht="15.75" customHeight="1" s="297">
      <c r="A526" s="20" t="n"/>
      <c r="B526" s="20" t="n"/>
      <c r="C526" s="20" t="n"/>
    </row>
    <row r="527" ht="15.75" customHeight="1" s="297">
      <c r="A527" s="20" t="n"/>
      <c r="B527" s="20" t="n"/>
      <c r="C527" s="20" t="n"/>
    </row>
    <row r="528" ht="15.75" customHeight="1" s="297">
      <c r="A528" s="20" t="n"/>
      <c r="B528" s="20" t="n"/>
      <c r="C528" s="20" t="n"/>
    </row>
    <row r="529" ht="15.75" customHeight="1" s="297">
      <c r="A529" s="20" t="n"/>
      <c r="B529" s="20" t="n"/>
      <c r="C529" s="20" t="n"/>
    </row>
    <row r="530" ht="15.75" customHeight="1" s="297">
      <c r="A530" s="20" t="n"/>
      <c r="B530" s="20" t="n"/>
      <c r="C530" s="20" t="n"/>
    </row>
    <row r="531" ht="15.75" customHeight="1" s="297">
      <c r="A531" s="20" t="n"/>
      <c r="B531" s="20" t="n"/>
      <c r="C531" s="20" t="n"/>
    </row>
    <row r="532" ht="15.75" customHeight="1" s="297">
      <c r="A532" s="20" t="n"/>
      <c r="B532" s="20" t="n"/>
      <c r="C532" s="20" t="n"/>
    </row>
    <row r="533" ht="15.75" customHeight="1" s="297">
      <c r="A533" s="20" t="n"/>
      <c r="B533" s="20" t="n"/>
      <c r="C533" s="20" t="n"/>
    </row>
    <row r="534" ht="15.75" customHeight="1" s="297">
      <c r="A534" s="20" t="n"/>
      <c r="B534" s="20" t="n"/>
      <c r="C534" s="20" t="n"/>
    </row>
    <row r="535" ht="15.75" customHeight="1" s="297">
      <c r="A535" s="20" t="n"/>
      <c r="B535" s="20" t="n"/>
      <c r="C535" s="20" t="n"/>
    </row>
    <row r="536" ht="15.75" customHeight="1" s="297">
      <c r="A536" s="20" t="n"/>
      <c r="B536" s="20" t="n"/>
      <c r="C536" s="20" t="n"/>
    </row>
    <row r="537" ht="15.75" customHeight="1" s="297">
      <c r="A537" s="20" t="n"/>
      <c r="B537" s="20" t="n"/>
      <c r="C537" s="20" t="n"/>
    </row>
    <row r="538" ht="15.75" customHeight="1" s="297">
      <c r="A538" s="20" t="n"/>
      <c r="B538" s="20" t="n"/>
      <c r="C538" s="20" t="n"/>
    </row>
    <row r="539" ht="15.75" customHeight="1" s="297">
      <c r="A539" s="20" t="n"/>
      <c r="B539" s="20" t="n"/>
      <c r="C539" s="20" t="n"/>
    </row>
    <row r="540" ht="15.75" customHeight="1" s="297">
      <c r="A540" s="20" t="n"/>
      <c r="B540" s="20" t="n"/>
      <c r="C540" s="20" t="n"/>
    </row>
    <row r="541" ht="15.75" customHeight="1" s="297">
      <c r="A541" s="20" t="n"/>
      <c r="B541" s="20" t="n"/>
      <c r="C541" s="20" t="n"/>
    </row>
    <row r="542" ht="15.75" customHeight="1" s="297">
      <c r="A542" s="20" t="n"/>
      <c r="B542" s="20" t="n"/>
      <c r="C542" s="20" t="n"/>
    </row>
    <row r="543" ht="15.75" customHeight="1" s="297">
      <c r="A543" s="20" t="n"/>
      <c r="B543" s="20" t="n"/>
      <c r="C543" s="20" t="n"/>
    </row>
    <row r="544" ht="15.75" customHeight="1" s="297">
      <c r="A544" s="20" t="n"/>
      <c r="B544" s="20" t="n"/>
      <c r="C544" s="20" t="n"/>
    </row>
    <row r="545" ht="15.75" customHeight="1" s="297">
      <c r="A545" s="20" t="n"/>
      <c r="B545" s="20" t="n"/>
      <c r="C545" s="20" t="n"/>
    </row>
    <row r="546" ht="15.75" customHeight="1" s="297">
      <c r="A546" s="20" t="n"/>
      <c r="B546" s="20" t="n"/>
      <c r="C546" s="20" t="n"/>
    </row>
    <row r="547" ht="15.75" customHeight="1" s="297">
      <c r="A547" s="20" t="n"/>
      <c r="B547" s="20" t="n"/>
      <c r="C547" s="20" t="n"/>
    </row>
    <row r="548" ht="15.75" customHeight="1" s="297">
      <c r="A548" s="20" t="n"/>
      <c r="B548" s="20" t="n"/>
      <c r="C548" s="20" t="n"/>
    </row>
    <row r="549" ht="15.75" customHeight="1" s="297">
      <c r="A549" s="20" t="n"/>
      <c r="B549" s="20" t="n"/>
      <c r="C549" s="20" t="n"/>
    </row>
    <row r="550" ht="15.75" customHeight="1" s="297">
      <c r="A550" s="20" t="n"/>
      <c r="B550" s="20" t="n"/>
      <c r="C550" s="20" t="n"/>
    </row>
    <row r="551" ht="15.75" customHeight="1" s="297">
      <c r="A551" s="20" t="n"/>
      <c r="B551" s="20" t="n"/>
      <c r="C551" s="20" t="n"/>
    </row>
    <row r="552" ht="15.75" customHeight="1" s="297">
      <c r="A552" s="20" t="n"/>
      <c r="B552" s="20" t="n"/>
      <c r="C552" s="20" t="n"/>
    </row>
    <row r="553" ht="15.75" customHeight="1" s="297">
      <c r="A553" s="20" t="n"/>
      <c r="B553" s="20" t="n"/>
      <c r="C553" s="20" t="n"/>
    </row>
    <row r="554" ht="15.75" customHeight="1" s="297">
      <c r="A554" s="20" t="n"/>
      <c r="B554" s="20" t="n"/>
      <c r="C554" s="20" t="n"/>
    </row>
    <row r="555" ht="15.75" customHeight="1" s="297">
      <c r="A555" s="20" t="n"/>
      <c r="B555" s="20" t="n"/>
      <c r="C555" s="20" t="n"/>
    </row>
    <row r="556" ht="15.75" customHeight="1" s="297">
      <c r="A556" s="20" t="n"/>
      <c r="B556" s="20" t="n"/>
      <c r="C556" s="20" t="n"/>
    </row>
    <row r="557" ht="15.75" customHeight="1" s="297">
      <c r="A557" s="20" t="n"/>
      <c r="B557" s="20" t="n"/>
      <c r="C557" s="20" t="n"/>
    </row>
    <row r="558" ht="15.75" customHeight="1" s="297">
      <c r="A558" s="20" t="n"/>
      <c r="B558" s="20" t="n"/>
      <c r="C558" s="20" t="n"/>
    </row>
    <row r="559" ht="15.75" customHeight="1" s="297">
      <c r="A559" s="20" t="n"/>
      <c r="B559" s="20" t="n"/>
      <c r="C559" s="20" t="n"/>
    </row>
    <row r="560" ht="15.75" customHeight="1" s="297">
      <c r="A560" s="20" t="n"/>
      <c r="B560" s="20" t="n"/>
      <c r="C560" s="20" t="n"/>
    </row>
    <row r="561" ht="15.75" customHeight="1" s="297">
      <c r="A561" s="20" t="n"/>
      <c r="B561" s="20" t="n"/>
      <c r="C561" s="20" t="n"/>
    </row>
    <row r="562" ht="15.75" customHeight="1" s="297">
      <c r="A562" s="20" t="n"/>
      <c r="B562" s="20" t="n"/>
      <c r="C562" s="20" t="n"/>
    </row>
    <row r="563" ht="15.75" customHeight="1" s="297">
      <c r="A563" s="20" t="n"/>
      <c r="B563" s="20" t="n"/>
      <c r="C563" s="20" t="n"/>
    </row>
    <row r="564" ht="15.75" customHeight="1" s="297">
      <c r="A564" s="20" t="n"/>
      <c r="B564" s="20" t="n"/>
      <c r="C564" s="20" t="n"/>
    </row>
    <row r="565" ht="15.75" customHeight="1" s="297">
      <c r="A565" s="20" t="n"/>
      <c r="B565" s="20" t="n"/>
      <c r="C565" s="20" t="n"/>
    </row>
    <row r="566" ht="15.75" customHeight="1" s="297">
      <c r="A566" s="20" t="n"/>
      <c r="B566" s="20" t="n"/>
      <c r="C566" s="20" t="n"/>
    </row>
    <row r="567" ht="15.75" customHeight="1" s="297">
      <c r="A567" s="20" t="n"/>
      <c r="B567" s="20" t="n"/>
      <c r="C567" s="20" t="n"/>
    </row>
    <row r="568" ht="15.75" customHeight="1" s="297">
      <c r="A568" s="20" t="n"/>
      <c r="B568" s="20" t="n"/>
      <c r="C568" s="20" t="n"/>
    </row>
    <row r="569" ht="15.75" customHeight="1" s="297">
      <c r="A569" s="20" t="n"/>
      <c r="B569" s="20" t="n"/>
      <c r="C569" s="20" t="n"/>
    </row>
    <row r="570" ht="15.75" customHeight="1" s="297">
      <c r="A570" s="20" t="n"/>
      <c r="B570" s="20" t="n"/>
      <c r="C570" s="20" t="n"/>
    </row>
    <row r="571" ht="15.75" customHeight="1" s="297">
      <c r="A571" s="20" t="n"/>
      <c r="B571" s="20" t="n"/>
      <c r="C571" s="20" t="n"/>
    </row>
    <row r="572" ht="15.75" customHeight="1" s="297">
      <c r="A572" s="20" t="n"/>
      <c r="B572" s="20" t="n"/>
      <c r="C572" s="20" t="n"/>
    </row>
    <row r="573" ht="15.75" customHeight="1" s="297">
      <c r="A573" s="20" t="n"/>
      <c r="B573" s="20" t="n"/>
      <c r="C573" s="20" t="n"/>
    </row>
    <row r="574" ht="15.75" customHeight="1" s="297">
      <c r="A574" s="20" t="n"/>
      <c r="B574" s="20" t="n"/>
      <c r="C574" s="20" t="n"/>
    </row>
    <row r="575" ht="15.75" customHeight="1" s="297">
      <c r="A575" s="20" t="n"/>
      <c r="B575" s="20" t="n"/>
      <c r="C575" s="20" t="n"/>
    </row>
    <row r="576" ht="15.75" customHeight="1" s="297">
      <c r="A576" s="20" t="n"/>
      <c r="B576" s="20" t="n"/>
      <c r="C576" s="20" t="n"/>
    </row>
    <row r="577" ht="15.75" customHeight="1" s="297">
      <c r="A577" s="20" t="n"/>
      <c r="B577" s="20" t="n"/>
      <c r="C577" s="20" t="n"/>
    </row>
    <row r="578" ht="15.75" customHeight="1" s="297">
      <c r="A578" s="20" t="n"/>
      <c r="B578" s="20" t="n"/>
      <c r="C578" s="20" t="n"/>
    </row>
    <row r="579" ht="15.75" customHeight="1" s="297">
      <c r="A579" s="20" t="n"/>
      <c r="B579" s="20" t="n"/>
      <c r="C579" s="20" t="n"/>
    </row>
    <row r="580" ht="15.75" customHeight="1" s="297">
      <c r="A580" s="20" t="n"/>
      <c r="B580" s="20" t="n"/>
      <c r="C580" s="20" t="n"/>
    </row>
    <row r="581" ht="15.75" customHeight="1" s="297">
      <c r="A581" s="20" t="n"/>
      <c r="B581" s="20" t="n"/>
      <c r="C581" s="20" t="n"/>
    </row>
    <row r="582" ht="15.75" customHeight="1" s="297">
      <c r="A582" s="20" t="n"/>
      <c r="B582" s="20" t="n"/>
      <c r="C582" s="20" t="n"/>
    </row>
    <row r="583" ht="15.75" customHeight="1" s="297">
      <c r="A583" s="20" t="n"/>
      <c r="B583" s="20" t="n"/>
      <c r="C583" s="20" t="n"/>
    </row>
    <row r="584" ht="15.75" customHeight="1" s="297">
      <c r="A584" s="20" t="n"/>
      <c r="B584" s="20" t="n"/>
      <c r="C584" s="20" t="n"/>
    </row>
    <row r="585" ht="15.75" customHeight="1" s="297">
      <c r="A585" s="20" t="n"/>
      <c r="B585" s="20" t="n"/>
      <c r="C585" s="20" t="n"/>
    </row>
    <row r="586" ht="15.75" customHeight="1" s="297">
      <c r="A586" s="20" t="n"/>
      <c r="B586" s="20" t="n"/>
      <c r="C586" s="20" t="n"/>
    </row>
    <row r="587" ht="15.75" customHeight="1" s="297">
      <c r="A587" s="20" t="n"/>
      <c r="B587" s="20" t="n"/>
      <c r="C587" s="20" t="n"/>
    </row>
    <row r="588" ht="15.75" customHeight="1" s="297">
      <c r="A588" s="20" t="n"/>
      <c r="B588" s="20" t="n"/>
      <c r="C588" s="20" t="n"/>
    </row>
    <row r="589" ht="15.75" customHeight="1" s="297">
      <c r="A589" s="20" t="n"/>
      <c r="B589" s="20" t="n"/>
      <c r="C589" s="20" t="n"/>
    </row>
    <row r="590" ht="15.75" customHeight="1" s="297">
      <c r="A590" s="20" t="n"/>
      <c r="B590" s="20" t="n"/>
      <c r="C590" s="20" t="n"/>
    </row>
    <row r="591" ht="15.75" customHeight="1" s="297">
      <c r="A591" s="20" t="n"/>
      <c r="B591" s="20" t="n"/>
      <c r="C591" s="20" t="n"/>
    </row>
    <row r="592" ht="15.75" customHeight="1" s="297">
      <c r="A592" s="20" t="n"/>
      <c r="B592" s="20" t="n"/>
      <c r="C592" s="20" t="n"/>
    </row>
    <row r="593" ht="15.75" customHeight="1" s="297">
      <c r="A593" s="20" t="n"/>
      <c r="B593" s="20" t="n"/>
      <c r="C593" s="20" t="n"/>
    </row>
    <row r="594" ht="15.75" customHeight="1" s="297">
      <c r="A594" s="20" t="n"/>
      <c r="B594" s="20" t="n"/>
      <c r="C594" s="20" t="n"/>
    </row>
    <row r="595" ht="15.75" customHeight="1" s="297">
      <c r="A595" s="20" t="n"/>
      <c r="B595" s="20" t="n"/>
      <c r="C595" s="20" t="n"/>
    </row>
    <row r="596" ht="15.75" customHeight="1" s="297">
      <c r="A596" s="20" t="n"/>
      <c r="B596" s="20" t="n"/>
      <c r="C596" s="20" t="n"/>
    </row>
    <row r="597" ht="15.75" customHeight="1" s="297">
      <c r="A597" s="20" t="n"/>
      <c r="B597" s="20" t="n"/>
      <c r="C597" s="20" t="n"/>
    </row>
    <row r="598" ht="15.75" customHeight="1" s="297">
      <c r="A598" s="20" t="n"/>
      <c r="B598" s="20" t="n"/>
      <c r="C598" s="20" t="n"/>
    </row>
    <row r="599" ht="15.75" customHeight="1" s="297">
      <c r="A599" s="20" t="n"/>
      <c r="B599" s="20" t="n"/>
      <c r="C599" s="20" t="n"/>
    </row>
    <row r="600" ht="15.75" customHeight="1" s="297">
      <c r="A600" s="20" t="n"/>
      <c r="B600" s="20" t="n"/>
      <c r="C600" s="20" t="n"/>
    </row>
    <row r="601" ht="15.75" customHeight="1" s="297">
      <c r="A601" s="20" t="n"/>
      <c r="B601" s="20" t="n"/>
      <c r="C601" s="20" t="n"/>
    </row>
    <row r="602" ht="15.75" customHeight="1" s="297">
      <c r="A602" s="20" t="n"/>
      <c r="B602" s="20" t="n"/>
      <c r="C602" s="20" t="n"/>
    </row>
    <row r="603" ht="15.75" customHeight="1" s="297">
      <c r="A603" s="20" t="n"/>
      <c r="B603" s="20" t="n"/>
      <c r="C603" s="20" t="n"/>
    </row>
    <row r="604" ht="15.75" customHeight="1" s="297">
      <c r="A604" s="20" t="n"/>
      <c r="B604" s="20" t="n"/>
      <c r="C604" s="20" t="n"/>
    </row>
    <row r="605" ht="15.75" customHeight="1" s="297">
      <c r="A605" s="20" t="n"/>
      <c r="B605" s="20" t="n"/>
      <c r="C605" s="20" t="n"/>
    </row>
    <row r="606" ht="15.75" customHeight="1" s="297">
      <c r="A606" s="20" t="n"/>
      <c r="B606" s="20" t="n"/>
      <c r="C606" s="20" t="n"/>
    </row>
    <row r="607" ht="15.75" customHeight="1" s="297">
      <c r="A607" s="20" t="n"/>
      <c r="B607" s="20" t="n"/>
      <c r="C607" s="20" t="n"/>
    </row>
    <row r="608" ht="15.75" customHeight="1" s="297">
      <c r="A608" s="20" t="n"/>
      <c r="B608" s="20" t="n"/>
      <c r="C608" s="20" t="n"/>
    </row>
    <row r="609" ht="15.75" customHeight="1" s="297">
      <c r="A609" s="20" t="n"/>
      <c r="B609" s="20" t="n"/>
      <c r="C609" s="20" t="n"/>
    </row>
    <row r="610" ht="15.75" customHeight="1" s="297">
      <c r="A610" s="20" t="n"/>
      <c r="B610" s="20" t="n"/>
      <c r="C610" s="20" t="n"/>
    </row>
    <row r="611" ht="15.75" customHeight="1" s="297">
      <c r="A611" s="20" t="n"/>
      <c r="B611" s="20" t="n"/>
      <c r="C611" s="20" t="n"/>
    </row>
    <row r="612" ht="15.75" customHeight="1" s="297">
      <c r="A612" s="20" t="n"/>
      <c r="B612" s="20" t="n"/>
      <c r="C612" s="20" t="n"/>
    </row>
    <row r="613" ht="15.75" customHeight="1" s="297">
      <c r="A613" s="20" t="n"/>
      <c r="B613" s="20" t="n"/>
      <c r="C613" s="20" t="n"/>
    </row>
    <row r="614" ht="15.75" customHeight="1" s="297">
      <c r="A614" s="20" t="n"/>
      <c r="B614" s="20" t="n"/>
      <c r="C614" s="20" t="n"/>
    </row>
    <row r="615" ht="15.75" customHeight="1" s="297">
      <c r="A615" s="20" t="n"/>
      <c r="B615" s="20" t="n"/>
      <c r="C615" s="20" t="n"/>
    </row>
    <row r="616" ht="15.75" customHeight="1" s="297">
      <c r="A616" s="20" t="n"/>
      <c r="B616" s="20" t="n"/>
      <c r="C616" s="20" t="n"/>
    </row>
    <row r="617" ht="15.75" customHeight="1" s="297">
      <c r="A617" s="20" t="n"/>
      <c r="B617" s="20" t="n"/>
      <c r="C617" s="20" t="n"/>
    </row>
    <row r="618" ht="15.75" customHeight="1" s="297">
      <c r="A618" s="20" t="n"/>
      <c r="B618" s="20" t="n"/>
      <c r="C618" s="20" t="n"/>
    </row>
    <row r="619" ht="15.75" customHeight="1" s="297">
      <c r="A619" s="20" t="n"/>
      <c r="B619" s="20" t="n"/>
      <c r="C619" s="20" t="n"/>
    </row>
    <row r="620" ht="15.75" customHeight="1" s="297">
      <c r="A620" s="20" t="n"/>
      <c r="B620" s="20" t="n"/>
      <c r="C620" s="20" t="n"/>
    </row>
    <row r="621" ht="15.75" customHeight="1" s="297">
      <c r="A621" s="20" t="n"/>
      <c r="B621" s="20" t="n"/>
      <c r="C621" s="20" t="n"/>
    </row>
    <row r="622" ht="15.75" customHeight="1" s="297">
      <c r="A622" s="20" t="n"/>
      <c r="B622" s="20" t="n"/>
      <c r="C622" s="20" t="n"/>
    </row>
    <row r="623" ht="15.75" customHeight="1" s="297">
      <c r="A623" s="20" t="n"/>
      <c r="B623" s="20" t="n"/>
      <c r="C623" s="20" t="n"/>
    </row>
    <row r="624" ht="15.75" customHeight="1" s="297">
      <c r="A624" s="20" t="n"/>
      <c r="B624" s="20" t="n"/>
      <c r="C624" s="20" t="n"/>
    </row>
    <row r="625" ht="15.75" customHeight="1" s="297">
      <c r="A625" s="20" t="n"/>
      <c r="B625" s="20" t="n"/>
      <c r="C625" s="20" t="n"/>
    </row>
    <row r="626" ht="15.75" customHeight="1" s="297">
      <c r="A626" s="20" t="n"/>
      <c r="B626" s="20" t="n"/>
      <c r="C626" s="20" t="n"/>
    </row>
    <row r="627" ht="15.75" customHeight="1" s="297">
      <c r="A627" s="20" t="n"/>
      <c r="B627" s="20" t="n"/>
      <c r="C627" s="20" t="n"/>
    </row>
    <row r="628" ht="15.75" customHeight="1" s="297">
      <c r="A628" s="20" t="n"/>
      <c r="B628" s="20" t="n"/>
      <c r="C628" s="20" t="n"/>
    </row>
    <row r="629" ht="15.75" customHeight="1" s="297">
      <c r="A629" s="20" t="n"/>
      <c r="B629" s="20" t="n"/>
      <c r="C629" s="20" t="n"/>
    </row>
    <row r="630" ht="15.75" customHeight="1" s="297">
      <c r="A630" s="20" t="n"/>
      <c r="B630" s="20" t="n"/>
      <c r="C630" s="20" t="n"/>
    </row>
    <row r="631" ht="15.75" customHeight="1" s="297">
      <c r="A631" s="20" t="n"/>
      <c r="B631" s="20" t="n"/>
      <c r="C631" s="20" t="n"/>
    </row>
    <row r="632" ht="15.75" customHeight="1" s="297">
      <c r="A632" s="20" t="n"/>
      <c r="B632" s="20" t="n"/>
      <c r="C632" s="20" t="n"/>
    </row>
    <row r="633" ht="15.75" customHeight="1" s="297">
      <c r="A633" s="20" t="n"/>
      <c r="B633" s="20" t="n"/>
      <c r="C633" s="20" t="n"/>
    </row>
    <row r="634" ht="15.75" customHeight="1" s="297">
      <c r="A634" s="20" t="n"/>
      <c r="B634" s="20" t="n"/>
      <c r="C634" s="20" t="n"/>
    </row>
    <row r="635" ht="15.75" customHeight="1" s="297">
      <c r="A635" s="20" t="n"/>
      <c r="B635" s="20" t="n"/>
      <c r="C635" s="20" t="n"/>
    </row>
    <row r="636" ht="15.75" customHeight="1" s="297">
      <c r="A636" s="20" t="n"/>
      <c r="B636" s="20" t="n"/>
      <c r="C636" s="20" t="n"/>
    </row>
    <row r="637" ht="15.75" customHeight="1" s="297">
      <c r="A637" s="20" t="n"/>
      <c r="B637" s="20" t="n"/>
      <c r="C637" s="20" t="n"/>
    </row>
    <row r="638" ht="15.75" customHeight="1" s="297">
      <c r="A638" s="20" t="n"/>
      <c r="B638" s="20" t="n"/>
      <c r="C638" s="20" t="n"/>
    </row>
    <row r="639" ht="15.75" customHeight="1" s="297">
      <c r="A639" s="20" t="n"/>
      <c r="B639" s="20" t="n"/>
      <c r="C639" s="20" t="n"/>
    </row>
    <row r="640" ht="15.75" customHeight="1" s="297">
      <c r="A640" s="20" t="n"/>
      <c r="B640" s="20" t="n"/>
      <c r="C640" s="20" t="n"/>
    </row>
    <row r="641" ht="15.75" customHeight="1" s="297">
      <c r="A641" s="20" t="n"/>
      <c r="B641" s="20" t="n"/>
      <c r="C641" s="20" t="n"/>
    </row>
    <row r="642" ht="15.75" customHeight="1" s="297">
      <c r="A642" s="20" t="n"/>
      <c r="B642" s="20" t="n"/>
      <c r="C642" s="20" t="n"/>
    </row>
    <row r="643" ht="15.75" customHeight="1" s="297">
      <c r="A643" s="20" t="n"/>
      <c r="B643" s="20" t="n"/>
      <c r="C643" s="20" t="n"/>
    </row>
    <row r="644" ht="15.75" customHeight="1" s="297">
      <c r="A644" s="20" t="n"/>
      <c r="B644" s="20" t="n"/>
      <c r="C644" s="20" t="n"/>
    </row>
    <row r="645" ht="15.75" customHeight="1" s="297">
      <c r="A645" s="20" t="n"/>
      <c r="B645" s="20" t="n"/>
      <c r="C645" s="20" t="n"/>
    </row>
    <row r="646" ht="15.75" customHeight="1" s="297">
      <c r="A646" s="20" t="n"/>
      <c r="B646" s="20" t="n"/>
      <c r="C646" s="20" t="n"/>
    </row>
    <row r="647" ht="15.75" customHeight="1" s="297">
      <c r="A647" s="20" t="n"/>
      <c r="B647" s="20" t="n"/>
      <c r="C647" s="20" t="n"/>
    </row>
    <row r="648" ht="15.75" customHeight="1" s="297">
      <c r="A648" s="20" t="n"/>
      <c r="B648" s="20" t="n"/>
      <c r="C648" s="20" t="n"/>
    </row>
    <row r="649" ht="15.75" customHeight="1" s="297">
      <c r="A649" s="20" t="n"/>
      <c r="B649" s="20" t="n"/>
      <c r="C649" s="20" t="n"/>
    </row>
    <row r="650" ht="15.75" customHeight="1" s="297">
      <c r="A650" s="20" t="n"/>
      <c r="B650" s="20" t="n"/>
      <c r="C650" s="20" t="n"/>
    </row>
    <row r="651" ht="15.75" customHeight="1" s="297">
      <c r="A651" s="20" t="n"/>
      <c r="B651" s="20" t="n"/>
      <c r="C651" s="20" t="n"/>
    </row>
    <row r="652" ht="15.75" customHeight="1" s="297">
      <c r="A652" s="20" t="n"/>
      <c r="B652" s="20" t="n"/>
      <c r="C652" s="20" t="n"/>
    </row>
    <row r="653" ht="15.75" customHeight="1" s="297">
      <c r="A653" s="20" t="n"/>
      <c r="B653" s="20" t="n"/>
      <c r="C653" s="20" t="n"/>
    </row>
    <row r="654" ht="15.75" customHeight="1" s="297">
      <c r="A654" s="20" t="n"/>
      <c r="B654" s="20" t="n"/>
      <c r="C654" s="20" t="n"/>
    </row>
    <row r="655" ht="15.75" customHeight="1" s="297">
      <c r="A655" s="20" t="n"/>
      <c r="B655" s="20" t="n"/>
      <c r="C655" s="20" t="n"/>
    </row>
    <row r="656" ht="15.75" customHeight="1" s="297">
      <c r="A656" s="20" t="n"/>
      <c r="B656" s="20" t="n"/>
      <c r="C656" s="20" t="n"/>
    </row>
    <row r="657" ht="15.75" customHeight="1" s="297">
      <c r="A657" s="20" t="n"/>
      <c r="B657" s="20" t="n"/>
      <c r="C657" s="20" t="n"/>
    </row>
    <row r="658" ht="15.75" customHeight="1" s="297">
      <c r="A658" s="20" t="n"/>
      <c r="B658" s="20" t="n"/>
      <c r="C658" s="20" t="n"/>
    </row>
    <row r="659" ht="15.75" customHeight="1" s="297">
      <c r="A659" s="20" t="n"/>
      <c r="B659" s="20" t="n"/>
      <c r="C659" s="20" t="n"/>
    </row>
    <row r="660" ht="15.75" customHeight="1" s="297">
      <c r="A660" s="20" t="n"/>
      <c r="B660" s="20" t="n"/>
      <c r="C660" s="20" t="n"/>
    </row>
    <row r="661" ht="15.75" customHeight="1" s="297">
      <c r="A661" s="20" t="n"/>
      <c r="B661" s="20" t="n"/>
      <c r="C661" s="20" t="n"/>
    </row>
    <row r="662" ht="15.75" customHeight="1" s="297">
      <c r="A662" s="20" t="n"/>
      <c r="B662" s="20" t="n"/>
      <c r="C662" s="20" t="n"/>
    </row>
    <row r="663" ht="15.75" customHeight="1" s="297">
      <c r="A663" s="20" t="n"/>
      <c r="B663" s="20" t="n"/>
      <c r="C663" s="20" t="n"/>
    </row>
    <row r="664" ht="15.75" customHeight="1" s="297">
      <c r="A664" s="20" t="n"/>
      <c r="B664" s="20" t="n"/>
      <c r="C664" s="20" t="n"/>
    </row>
    <row r="665" ht="15.75" customHeight="1" s="297">
      <c r="A665" s="20" t="n"/>
      <c r="B665" s="20" t="n"/>
      <c r="C665" s="20" t="n"/>
    </row>
    <row r="666" ht="15.75" customHeight="1" s="297">
      <c r="A666" s="20" t="n"/>
      <c r="B666" s="20" t="n"/>
      <c r="C666" s="20" t="n"/>
    </row>
    <row r="667" ht="15.75" customHeight="1" s="297">
      <c r="A667" s="20" t="n"/>
      <c r="B667" s="20" t="n"/>
      <c r="C667" s="20" t="n"/>
    </row>
    <row r="668" ht="15.75" customHeight="1" s="297">
      <c r="A668" s="20" t="n"/>
      <c r="B668" s="20" t="n"/>
      <c r="C668" s="20" t="n"/>
    </row>
    <row r="669" ht="15.75" customHeight="1" s="297">
      <c r="A669" s="20" t="n"/>
      <c r="B669" s="20" t="n"/>
      <c r="C669" s="20" t="n"/>
    </row>
    <row r="670" ht="15.75" customHeight="1" s="297">
      <c r="A670" s="20" t="n"/>
      <c r="B670" s="20" t="n"/>
      <c r="C670" s="20" t="n"/>
    </row>
    <row r="671" ht="15.75" customHeight="1" s="297">
      <c r="A671" s="20" t="n"/>
      <c r="B671" s="20" t="n"/>
      <c r="C671" s="20" t="n"/>
    </row>
    <row r="672" ht="15.75" customHeight="1" s="297">
      <c r="A672" s="20" t="n"/>
      <c r="B672" s="20" t="n"/>
      <c r="C672" s="20" t="n"/>
    </row>
    <row r="673" ht="15.75" customHeight="1" s="297">
      <c r="A673" s="20" t="n"/>
      <c r="B673" s="20" t="n"/>
      <c r="C673" s="20" t="n"/>
    </row>
    <row r="674" ht="15.75" customHeight="1" s="297">
      <c r="A674" s="20" t="n"/>
      <c r="B674" s="20" t="n"/>
      <c r="C674" s="20" t="n"/>
    </row>
    <row r="675" ht="15.75" customHeight="1" s="297">
      <c r="A675" s="20" t="n"/>
      <c r="B675" s="20" t="n"/>
      <c r="C675" s="20" t="n"/>
    </row>
    <row r="676" ht="15.75" customHeight="1" s="297">
      <c r="A676" s="20" t="n"/>
      <c r="B676" s="20" t="n"/>
      <c r="C676" s="20" t="n"/>
    </row>
    <row r="677" ht="15.75" customHeight="1" s="297">
      <c r="A677" s="20" t="n"/>
      <c r="B677" s="20" t="n"/>
      <c r="C677" s="20" t="n"/>
    </row>
    <row r="678" ht="15.75" customHeight="1" s="297">
      <c r="A678" s="20" t="n"/>
      <c r="B678" s="20" t="n"/>
      <c r="C678" s="20" t="n"/>
    </row>
    <row r="679" ht="15.75" customHeight="1" s="297">
      <c r="A679" s="20" t="n"/>
      <c r="B679" s="20" t="n"/>
      <c r="C679" s="20" t="n"/>
    </row>
    <row r="680" ht="15.75" customHeight="1" s="297">
      <c r="A680" s="20" t="n"/>
      <c r="B680" s="20" t="n"/>
      <c r="C680" s="20" t="n"/>
    </row>
    <row r="681" ht="15.75" customHeight="1" s="297">
      <c r="A681" s="20" t="n"/>
      <c r="B681" s="20" t="n"/>
      <c r="C681" s="20" t="n"/>
    </row>
    <row r="682" ht="15.75" customHeight="1" s="297">
      <c r="A682" s="20" t="n"/>
      <c r="B682" s="20" t="n"/>
      <c r="C682" s="20" t="n"/>
    </row>
    <row r="683" ht="15.75" customHeight="1" s="297">
      <c r="A683" s="20" t="n"/>
      <c r="B683" s="20" t="n"/>
      <c r="C683" s="20" t="n"/>
    </row>
    <row r="684" ht="15.75" customHeight="1" s="297">
      <c r="A684" s="20" t="n"/>
      <c r="B684" s="20" t="n"/>
      <c r="C684" s="20" t="n"/>
    </row>
    <row r="685" ht="15.75" customHeight="1" s="297">
      <c r="A685" s="20" t="n"/>
      <c r="B685" s="20" t="n"/>
      <c r="C685" s="20" t="n"/>
    </row>
    <row r="686" ht="15.75" customHeight="1" s="297">
      <c r="A686" s="20" t="n"/>
      <c r="B686" s="20" t="n"/>
      <c r="C686" s="20" t="n"/>
    </row>
    <row r="687" ht="15.75" customHeight="1" s="297">
      <c r="A687" s="20" t="n"/>
      <c r="B687" s="20" t="n"/>
      <c r="C687" s="20" t="n"/>
    </row>
    <row r="688" ht="15.75" customHeight="1" s="297">
      <c r="A688" s="20" t="n"/>
      <c r="B688" s="20" t="n"/>
      <c r="C688" s="20" t="n"/>
    </row>
    <row r="689" ht="15.75" customHeight="1" s="297">
      <c r="A689" s="20" t="n"/>
      <c r="B689" s="20" t="n"/>
      <c r="C689" s="20" t="n"/>
    </row>
    <row r="690" ht="15.75" customHeight="1" s="297">
      <c r="A690" s="20" t="n"/>
      <c r="B690" s="20" t="n"/>
      <c r="C690" s="20" t="n"/>
    </row>
    <row r="691" ht="15.75" customHeight="1" s="297">
      <c r="A691" s="20" t="n"/>
      <c r="B691" s="20" t="n"/>
      <c r="C691" s="20" t="n"/>
    </row>
    <row r="692" ht="15.75" customHeight="1" s="297">
      <c r="A692" s="20" t="n"/>
      <c r="B692" s="20" t="n"/>
      <c r="C692" s="20" t="n"/>
    </row>
    <row r="693" ht="15.75" customHeight="1" s="297">
      <c r="A693" s="20" t="n"/>
      <c r="B693" s="20" t="n"/>
      <c r="C693" s="20" t="n"/>
    </row>
    <row r="694" ht="15.75" customHeight="1" s="297">
      <c r="A694" s="20" t="n"/>
      <c r="B694" s="20" t="n"/>
      <c r="C694" s="20" t="n"/>
    </row>
    <row r="695" ht="15.75" customHeight="1" s="297">
      <c r="A695" s="20" t="n"/>
      <c r="B695" s="20" t="n"/>
      <c r="C695" s="20" t="n"/>
    </row>
    <row r="696" ht="15.75" customHeight="1" s="297">
      <c r="A696" s="20" t="n"/>
      <c r="B696" s="20" t="n"/>
      <c r="C696" s="20" t="n"/>
    </row>
    <row r="697" ht="15.75" customHeight="1" s="297">
      <c r="A697" s="20" t="n"/>
      <c r="B697" s="20" t="n"/>
      <c r="C697" s="20" t="n"/>
    </row>
    <row r="698" ht="15.75" customHeight="1" s="297">
      <c r="A698" s="20" t="n"/>
      <c r="B698" s="20" t="n"/>
      <c r="C698" s="20" t="n"/>
    </row>
    <row r="699" ht="15.75" customHeight="1" s="297">
      <c r="A699" s="20" t="n"/>
      <c r="B699" s="20" t="n"/>
      <c r="C699" s="20" t="n"/>
    </row>
    <row r="700" ht="15.75" customHeight="1" s="297">
      <c r="A700" s="20" t="n"/>
      <c r="B700" s="20" t="n"/>
      <c r="C700" s="20" t="n"/>
    </row>
    <row r="701" ht="15.75" customHeight="1" s="297">
      <c r="A701" s="20" t="n"/>
      <c r="B701" s="20" t="n"/>
      <c r="C701" s="20" t="n"/>
    </row>
    <row r="702" ht="15.75" customHeight="1" s="297">
      <c r="A702" s="20" t="n"/>
      <c r="B702" s="20" t="n"/>
      <c r="C702" s="20" t="n"/>
    </row>
    <row r="703" ht="15.75" customHeight="1" s="297">
      <c r="A703" s="20" t="n"/>
      <c r="B703" s="20" t="n"/>
      <c r="C703" s="20" t="n"/>
    </row>
    <row r="704" ht="15.75" customHeight="1" s="297">
      <c r="A704" s="20" t="n"/>
      <c r="B704" s="20" t="n"/>
      <c r="C704" s="20" t="n"/>
    </row>
    <row r="705" ht="15.75" customHeight="1" s="297">
      <c r="A705" s="20" t="n"/>
      <c r="B705" s="20" t="n"/>
      <c r="C705" s="20" t="n"/>
    </row>
    <row r="706" ht="15.75" customHeight="1" s="297">
      <c r="A706" s="20" t="n"/>
      <c r="B706" s="20" t="n"/>
      <c r="C706" s="20" t="n"/>
    </row>
    <row r="707" ht="15.75" customHeight="1" s="297">
      <c r="A707" s="20" t="n"/>
      <c r="B707" s="20" t="n"/>
      <c r="C707" s="20" t="n"/>
    </row>
    <row r="708" ht="15.75" customHeight="1" s="297">
      <c r="A708" s="20" t="n"/>
      <c r="B708" s="20" t="n"/>
      <c r="C708" s="20" t="n"/>
    </row>
    <row r="709" ht="15.75" customHeight="1" s="297">
      <c r="A709" s="20" t="n"/>
      <c r="B709" s="20" t="n"/>
      <c r="C709" s="20" t="n"/>
    </row>
    <row r="710" ht="15.75" customHeight="1" s="297">
      <c r="A710" s="20" t="n"/>
      <c r="B710" s="20" t="n"/>
      <c r="C710" s="20" t="n"/>
    </row>
    <row r="711" ht="15.75" customHeight="1" s="297">
      <c r="A711" s="20" t="n"/>
      <c r="B711" s="20" t="n"/>
      <c r="C711" s="20" t="n"/>
    </row>
    <row r="712" ht="15.75" customHeight="1" s="297">
      <c r="A712" s="20" t="n"/>
      <c r="B712" s="20" t="n"/>
      <c r="C712" s="20" t="n"/>
    </row>
    <row r="713" ht="15.75" customHeight="1" s="297">
      <c r="A713" s="20" t="n"/>
      <c r="B713" s="20" t="n"/>
      <c r="C713" s="20" t="n"/>
    </row>
    <row r="714" ht="15.75" customHeight="1" s="297">
      <c r="A714" s="20" t="n"/>
      <c r="B714" s="20" t="n"/>
      <c r="C714" s="20" t="n"/>
    </row>
    <row r="715" ht="15.75" customHeight="1" s="297">
      <c r="A715" s="20" t="n"/>
      <c r="B715" s="20" t="n"/>
      <c r="C715" s="20" t="n"/>
    </row>
    <row r="716" ht="15.75" customHeight="1" s="297">
      <c r="A716" s="20" t="n"/>
      <c r="B716" s="20" t="n"/>
      <c r="C716" s="20" t="n"/>
    </row>
    <row r="717" ht="15.75" customHeight="1" s="297">
      <c r="A717" s="20" t="n"/>
      <c r="B717" s="20" t="n"/>
      <c r="C717" s="20" t="n"/>
    </row>
    <row r="718" ht="15.75" customHeight="1" s="297">
      <c r="A718" s="20" t="n"/>
      <c r="B718" s="20" t="n"/>
      <c r="C718" s="20" t="n"/>
    </row>
    <row r="719" ht="15.75" customHeight="1" s="297">
      <c r="A719" s="20" t="n"/>
      <c r="B719" s="20" t="n"/>
      <c r="C719" s="20" t="n"/>
    </row>
    <row r="720" ht="15.75" customHeight="1" s="297">
      <c r="A720" s="20" t="n"/>
      <c r="B720" s="20" t="n"/>
      <c r="C720" s="20" t="n"/>
    </row>
    <row r="721" ht="15.75" customHeight="1" s="297">
      <c r="A721" s="20" t="n"/>
      <c r="B721" s="20" t="n"/>
      <c r="C721" s="20" t="n"/>
    </row>
    <row r="722" ht="15.75" customHeight="1" s="297">
      <c r="A722" s="20" t="n"/>
      <c r="B722" s="20" t="n"/>
      <c r="C722" s="20" t="n"/>
    </row>
    <row r="723" ht="15.75" customHeight="1" s="297">
      <c r="A723" s="20" t="n"/>
      <c r="B723" s="20" t="n"/>
      <c r="C723" s="20" t="n"/>
    </row>
    <row r="724" ht="15.75" customHeight="1" s="297">
      <c r="A724" s="20" t="n"/>
      <c r="B724" s="20" t="n"/>
      <c r="C724" s="20" t="n"/>
    </row>
    <row r="725" ht="15.75" customHeight="1" s="297">
      <c r="A725" s="20" t="n"/>
      <c r="B725" s="20" t="n"/>
      <c r="C725" s="20" t="n"/>
    </row>
    <row r="726" ht="15.75" customHeight="1" s="297">
      <c r="A726" s="20" t="n"/>
      <c r="B726" s="20" t="n"/>
      <c r="C726" s="20" t="n"/>
    </row>
    <row r="727" ht="15.75" customHeight="1" s="297">
      <c r="A727" s="20" t="n"/>
      <c r="B727" s="20" t="n"/>
      <c r="C727" s="20" t="n"/>
    </row>
    <row r="728" ht="15.75" customHeight="1" s="297">
      <c r="A728" s="20" t="n"/>
      <c r="B728" s="20" t="n"/>
      <c r="C728" s="20" t="n"/>
    </row>
    <row r="729" ht="15.75" customHeight="1" s="297">
      <c r="A729" s="20" t="n"/>
      <c r="B729" s="20" t="n"/>
      <c r="C729" s="20" t="n"/>
    </row>
    <row r="730" ht="15.75" customHeight="1" s="297">
      <c r="A730" s="20" t="n"/>
      <c r="B730" s="20" t="n"/>
      <c r="C730" s="20" t="n"/>
    </row>
    <row r="731" ht="15.75" customHeight="1" s="297">
      <c r="A731" s="20" t="n"/>
      <c r="B731" s="20" t="n"/>
      <c r="C731" s="20" t="n"/>
    </row>
    <row r="732" ht="15.75" customHeight="1" s="297">
      <c r="A732" s="20" t="n"/>
      <c r="B732" s="20" t="n"/>
      <c r="C732" s="20" t="n"/>
    </row>
    <row r="733" ht="15.75" customHeight="1" s="297">
      <c r="A733" s="20" t="n"/>
      <c r="B733" s="20" t="n"/>
      <c r="C733" s="20" t="n"/>
    </row>
    <row r="734" ht="15.75" customHeight="1" s="297">
      <c r="A734" s="20" t="n"/>
      <c r="B734" s="20" t="n"/>
      <c r="C734" s="20" t="n"/>
    </row>
    <row r="735" ht="15.75" customHeight="1" s="297">
      <c r="A735" s="20" t="n"/>
      <c r="B735" s="20" t="n"/>
      <c r="C735" s="20" t="n"/>
    </row>
    <row r="736" ht="15.75" customHeight="1" s="297">
      <c r="A736" s="20" t="n"/>
      <c r="B736" s="20" t="n"/>
      <c r="C736" s="20" t="n"/>
    </row>
    <row r="737" ht="15.75" customHeight="1" s="297">
      <c r="A737" s="20" t="n"/>
      <c r="B737" s="20" t="n"/>
      <c r="C737" s="20" t="n"/>
    </row>
    <row r="738" ht="15.75" customHeight="1" s="297">
      <c r="A738" s="20" t="n"/>
      <c r="B738" s="20" t="n"/>
      <c r="C738" s="20" t="n"/>
    </row>
    <row r="739" ht="15.75" customHeight="1" s="297">
      <c r="A739" s="20" t="n"/>
      <c r="B739" s="20" t="n"/>
      <c r="C739" s="20" t="n"/>
    </row>
    <row r="740" ht="15.75" customHeight="1" s="297">
      <c r="A740" s="20" t="n"/>
      <c r="B740" s="20" t="n"/>
      <c r="C740" s="20" t="n"/>
    </row>
    <row r="741" ht="15.75" customHeight="1" s="297">
      <c r="A741" s="20" t="n"/>
      <c r="B741" s="20" t="n"/>
      <c r="C741" s="20" t="n"/>
    </row>
    <row r="742" ht="15.75" customHeight="1" s="297">
      <c r="A742" s="20" t="n"/>
      <c r="B742" s="20" t="n"/>
      <c r="C742" s="20" t="n"/>
    </row>
    <row r="743" ht="15.75" customHeight="1" s="297">
      <c r="A743" s="20" t="n"/>
      <c r="B743" s="20" t="n"/>
      <c r="C743" s="20" t="n"/>
    </row>
    <row r="744" ht="15.75" customHeight="1" s="297">
      <c r="A744" s="20" t="n"/>
      <c r="B744" s="20" t="n"/>
      <c r="C744" s="20" t="n"/>
    </row>
    <row r="745" ht="15.75" customHeight="1" s="297">
      <c r="A745" s="20" t="n"/>
      <c r="B745" s="20" t="n"/>
      <c r="C745" s="20" t="n"/>
    </row>
    <row r="746" ht="15.75" customHeight="1" s="297">
      <c r="A746" s="20" t="n"/>
      <c r="B746" s="20" t="n"/>
      <c r="C746" s="20" t="n"/>
    </row>
    <row r="747" ht="15.75" customHeight="1" s="297">
      <c r="A747" s="20" t="n"/>
      <c r="B747" s="20" t="n"/>
      <c r="C747" s="20" t="n"/>
    </row>
    <row r="748" ht="15.75" customHeight="1" s="297">
      <c r="A748" s="20" t="n"/>
      <c r="B748" s="20" t="n"/>
      <c r="C748" s="20" t="n"/>
    </row>
    <row r="749" ht="15.75" customHeight="1" s="297">
      <c r="A749" s="20" t="n"/>
      <c r="B749" s="20" t="n"/>
      <c r="C749" s="20" t="n"/>
    </row>
    <row r="750" ht="15.75" customHeight="1" s="297">
      <c r="A750" s="20" t="n"/>
      <c r="B750" s="20" t="n"/>
      <c r="C750" s="20" t="n"/>
    </row>
    <row r="751" ht="15.75" customHeight="1" s="297">
      <c r="A751" s="20" t="n"/>
      <c r="B751" s="20" t="n"/>
      <c r="C751" s="20" t="n"/>
    </row>
    <row r="752" ht="15.75" customHeight="1" s="297">
      <c r="A752" s="20" t="n"/>
      <c r="B752" s="20" t="n"/>
      <c r="C752" s="20" t="n"/>
    </row>
    <row r="753" ht="15.75" customHeight="1" s="297">
      <c r="A753" s="20" t="n"/>
      <c r="B753" s="20" t="n"/>
      <c r="C753" s="20" t="n"/>
    </row>
    <row r="754" ht="15.75" customHeight="1" s="297">
      <c r="A754" s="20" t="n"/>
      <c r="B754" s="20" t="n"/>
      <c r="C754" s="20" t="n"/>
    </row>
    <row r="755" ht="15.75" customHeight="1" s="297">
      <c r="A755" s="20" t="n"/>
      <c r="B755" s="20" t="n"/>
      <c r="C755" s="20" t="n"/>
    </row>
    <row r="756" ht="15.75" customHeight="1" s="297">
      <c r="A756" s="20" t="n"/>
      <c r="B756" s="20" t="n"/>
      <c r="C756" s="20" t="n"/>
    </row>
    <row r="757" ht="15.75" customHeight="1" s="297">
      <c r="A757" s="20" t="n"/>
      <c r="B757" s="20" t="n"/>
      <c r="C757" s="20" t="n"/>
    </row>
    <row r="758" ht="15.75" customHeight="1" s="297">
      <c r="A758" s="20" t="n"/>
      <c r="B758" s="20" t="n"/>
      <c r="C758" s="20" t="n"/>
    </row>
    <row r="759" ht="15.75" customHeight="1" s="297">
      <c r="A759" s="20" t="n"/>
      <c r="B759" s="20" t="n"/>
      <c r="C759" s="20" t="n"/>
    </row>
    <row r="760" ht="15.75" customHeight="1" s="297">
      <c r="A760" s="20" t="n"/>
      <c r="B760" s="20" t="n"/>
      <c r="C760" s="20" t="n"/>
    </row>
    <row r="761" ht="15.75" customHeight="1" s="297">
      <c r="A761" s="20" t="n"/>
      <c r="B761" s="20" t="n"/>
      <c r="C761" s="20" t="n"/>
    </row>
    <row r="762" ht="15.75" customHeight="1" s="297">
      <c r="A762" s="20" t="n"/>
      <c r="B762" s="20" t="n"/>
      <c r="C762" s="20" t="n"/>
    </row>
    <row r="763" ht="15.75" customHeight="1" s="297">
      <c r="A763" s="20" t="n"/>
      <c r="B763" s="20" t="n"/>
      <c r="C763" s="20" t="n"/>
    </row>
    <row r="764" ht="15.75" customHeight="1" s="297">
      <c r="A764" s="20" t="n"/>
      <c r="B764" s="20" t="n"/>
      <c r="C764" s="20" t="n"/>
    </row>
    <row r="765" ht="15.75" customHeight="1" s="297">
      <c r="A765" s="20" t="n"/>
      <c r="B765" s="20" t="n"/>
      <c r="C765" s="20" t="n"/>
    </row>
    <row r="766" ht="15.75" customHeight="1" s="297">
      <c r="A766" s="20" t="n"/>
      <c r="B766" s="20" t="n"/>
      <c r="C766" s="20" t="n"/>
    </row>
    <row r="767" ht="15.75" customHeight="1" s="297">
      <c r="A767" s="20" t="n"/>
      <c r="B767" s="20" t="n"/>
      <c r="C767" s="20" t="n"/>
    </row>
    <row r="768" ht="15.75" customHeight="1" s="297">
      <c r="A768" s="20" t="n"/>
      <c r="B768" s="20" t="n"/>
      <c r="C768" s="20" t="n"/>
    </row>
    <row r="769" ht="15.75" customHeight="1" s="297">
      <c r="A769" s="20" t="n"/>
      <c r="B769" s="20" t="n"/>
      <c r="C769" s="20" t="n"/>
    </row>
    <row r="770" ht="15.75" customHeight="1" s="297">
      <c r="A770" s="20" t="n"/>
      <c r="B770" s="20" t="n"/>
      <c r="C770" s="20" t="n"/>
    </row>
    <row r="771" ht="15.75" customHeight="1" s="297">
      <c r="A771" s="20" t="n"/>
      <c r="B771" s="20" t="n"/>
      <c r="C771" s="20" t="n"/>
    </row>
    <row r="772" ht="15.75" customHeight="1" s="297">
      <c r="A772" s="20" t="n"/>
      <c r="B772" s="20" t="n"/>
      <c r="C772" s="20" t="n"/>
    </row>
    <row r="773" ht="15.75" customHeight="1" s="297">
      <c r="A773" s="20" t="n"/>
      <c r="B773" s="20" t="n"/>
      <c r="C773" s="20" t="n"/>
    </row>
    <row r="774" ht="15.75" customHeight="1" s="297">
      <c r="A774" s="20" t="n"/>
      <c r="B774" s="20" t="n"/>
      <c r="C774" s="20" t="n"/>
    </row>
    <row r="775" ht="15.75" customHeight="1" s="297">
      <c r="A775" s="20" t="n"/>
      <c r="B775" s="20" t="n"/>
      <c r="C775" s="20" t="n"/>
    </row>
    <row r="776" ht="15.75" customHeight="1" s="297">
      <c r="A776" s="20" t="n"/>
      <c r="B776" s="20" t="n"/>
      <c r="C776" s="20" t="n"/>
    </row>
    <row r="777" ht="15.75" customHeight="1" s="297">
      <c r="A777" s="20" t="n"/>
      <c r="B777" s="20" t="n"/>
      <c r="C777" s="20" t="n"/>
    </row>
    <row r="778" ht="15.75" customHeight="1" s="297">
      <c r="A778" s="20" t="n"/>
      <c r="B778" s="20" t="n"/>
      <c r="C778" s="20" t="n"/>
    </row>
    <row r="779" ht="15.75" customHeight="1" s="297">
      <c r="A779" s="20" t="n"/>
      <c r="B779" s="20" t="n"/>
      <c r="C779" s="20" t="n"/>
    </row>
    <row r="780" ht="15.75" customHeight="1" s="297">
      <c r="A780" s="20" t="n"/>
      <c r="B780" s="20" t="n"/>
      <c r="C780" s="20" t="n"/>
    </row>
    <row r="781" ht="15.75" customHeight="1" s="297">
      <c r="A781" s="20" t="n"/>
      <c r="B781" s="20" t="n"/>
      <c r="C781" s="20" t="n"/>
    </row>
    <row r="782" ht="15.75" customHeight="1" s="297">
      <c r="A782" s="20" t="n"/>
      <c r="B782" s="20" t="n"/>
      <c r="C782" s="20" t="n"/>
    </row>
    <row r="783" ht="15.75" customHeight="1" s="297">
      <c r="A783" s="20" t="n"/>
      <c r="B783" s="20" t="n"/>
      <c r="C783" s="20" t="n"/>
    </row>
    <row r="784" ht="15.75" customHeight="1" s="297">
      <c r="A784" s="20" t="n"/>
      <c r="B784" s="20" t="n"/>
      <c r="C784" s="20" t="n"/>
    </row>
    <row r="785" ht="15.75" customHeight="1" s="297">
      <c r="A785" s="20" t="n"/>
      <c r="B785" s="20" t="n"/>
      <c r="C785" s="20" t="n"/>
    </row>
    <row r="786" ht="15.75" customHeight="1" s="297">
      <c r="A786" s="20" t="n"/>
      <c r="B786" s="20" t="n"/>
      <c r="C786" s="20" t="n"/>
    </row>
    <row r="787" ht="15.75" customHeight="1" s="297">
      <c r="A787" s="20" t="n"/>
      <c r="B787" s="20" t="n"/>
      <c r="C787" s="20" t="n"/>
    </row>
    <row r="788" ht="15.75" customHeight="1" s="297">
      <c r="A788" s="20" t="n"/>
      <c r="B788" s="20" t="n"/>
      <c r="C788" s="20" t="n"/>
    </row>
    <row r="789" ht="15.75" customHeight="1" s="297">
      <c r="A789" s="20" t="n"/>
      <c r="B789" s="20" t="n"/>
      <c r="C789" s="20" t="n"/>
    </row>
    <row r="790" ht="15.75" customHeight="1" s="297">
      <c r="A790" s="20" t="n"/>
      <c r="B790" s="20" t="n"/>
      <c r="C790" s="20" t="n"/>
    </row>
    <row r="791" ht="15.75" customHeight="1" s="297">
      <c r="A791" s="20" t="n"/>
      <c r="B791" s="20" t="n"/>
      <c r="C791" s="20" t="n"/>
    </row>
    <row r="792" ht="15.75" customHeight="1" s="297">
      <c r="A792" s="20" t="n"/>
      <c r="B792" s="20" t="n"/>
      <c r="C792" s="20" t="n"/>
    </row>
    <row r="793" ht="15.75" customHeight="1" s="297">
      <c r="A793" s="20" t="n"/>
      <c r="B793" s="20" t="n"/>
      <c r="C793" s="20" t="n"/>
    </row>
    <row r="794" ht="15.75" customHeight="1" s="297">
      <c r="A794" s="20" t="n"/>
      <c r="B794" s="20" t="n"/>
      <c r="C794" s="20" t="n"/>
    </row>
    <row r="795" ht="15.75" customHeight="1" s="297">
      <c r="A795" s="20" t="n"/>
      <c r="B795" s="20" t="n"/>
      <c r="C795" s="20" t="n"/>
    </row>
    <row r="796" ht="15.75" customHeight="1" s="297">
      <c r="A796" s="20" t="n"/>
      <c r="B796" s="20" t="n"/>
      <c r="C796" s="20" t="n"/>
    </row>
    <row r="797" ht="15.75" customHeight="1" s="297">
      <c r="A797" s="20" t="n"/>
      <c r="B797" s="20" t="n"/>
      <c r="C797" s="20" t="n"/>
    </row>
    <row r="798" ht="15.75" customHeight="1" s="297">
      <c r="A798" s="20" t="n"/>
      <c r="B798" s="20" t="n"/>
      <c r="C798" s="20" t="n"/>
    </row>
    <row r="799" ht="15.75" customHeight="1" s="297">
      <c r="A799" s="20" t="n"/>
      <c r="B799" s="20" t="n"/>
      <c r="C799" s="20" t="n"/>
    </row>
    <row r="800" ht="15.75" customHeight="1" s="297">
      <c r="A800" s="20" t="n"/>
      <c r="B800" s="20" t="n"/>
      <c r="C800" s="20" t="n"/>
    </row>
    <row r="801" ht="15.75" customHeight="1" s="297">
      <c r="A801" s="20" t="n"/>
      <c r="B801" s="20" t="n"/>
      <c r="C801" s="20" t="n"/>
    </row>
    <row r="802" ht="15.75" customHeight="1" s="297">
      <c r="A802" s="20" t="n"/>
      <c r="B802" s="20" t="n"/>
      <c r="C802" s="20" t="n"/>
    </row>
    <row r="803" ht="15.75" customHeight="1" s="297">
      <c r="A803" s="20" t="n"/>
      <c r="B803" s="20" t="n"/>
      <c r="C803" s="20" t="n"/>
    </row>
    <row r="804" ht="15.75" customHeight="1" s="297">
      <c r="A804" s="20" t="n"/>
      <c r="B804" s="20" t="n"/>
      <c r="C804" s="20" t="n"/>
    </row>
    <row r="805" ht="15.75" customHeight="1" s="297">
      <c r="A805" s="20" t="n"/>
      <c r="B805" s="20" t="n"/>
      <c r="C805" s="20" t="n"/>
    </row>
    <row r="806" ht="15.75" customHeight="1" s="297">
      <c r="A806" s="20" t="n"/>
      <c r="B806" s="20" t="n"/>
      <c r="C806" s="20" t="n"/>
    </row>
    <row r="807" ht="15.75" customHeight="1" s="297">
      <c r="A807" s="20" t="n"/>
      <c r="B807" s="20" t="n"/>
      <c r="C807" s="20" t="n"/>
    </row>
    <row r="808" ht="15.75" customHeight="1" s="297">
      <c r="A808" s="20" t="n"/>
      <c r="B808" s="20" t="n"/>
      <c r="C808" s="20" t="n"/>
    </row>
    <row r="809" ht="15.75" customHeight="1" s="297">
      <c r="A809" s="20" t="n"/>
      <c r="B809" s="20" t="n"/>
      <c r="C809" s="20" t="n"/>
    </row>
    <row r="810" ht="15.75" customHeight="1" s="297">
      <c r="A810" s="20" t="n"/>
      <c r="B810" s="20" t="n"/>
      <c r="C810" s="20" t="n"/>
    </row>
    <row r="811" ht="15.75" customHeight="1" s="297">
      <c r="A811" s="20" t="n"/>
      <c r="B811" s="20" t="n"/>
      <c r="C811" s="20" t="n"/>
    </row>
    <row r="812" ht="15.75" customHeight="1" s="297">
      <c r="A812" s="20" t="n"/>
      <c r="B812" s="20" t="n"/>
      <c r="C812" s="20" t="n"/>
    </row>
    <row r="813" ht="15.75" customHeight="1" s="297">
      <c r="A813" s="20" t="n"/>
      <c r="B813" s="20" t="n"/>
      <c r="C813" s="20" t="n"/>
    </row>
    <row r="814" ht="15.75" customHeight="1" s="297">
      <c r="A814" s="20" t="n"/>
      <c r="B814" s="20" t="n"/>
      <c r="C814" s="20" t="n"/>
    </row>
    <row r="815" ht="15.75" customHeight="1" s="297">
      <c r="A815" s="20" t="n"/>
      <c r="B815" s="20" t="n"/>
      <c r="C815" s="20" t="n"/>
    </row>
    <row r="816" ht="15.75" customHeight="1" s="297">
      <c r="A816" s="20" t="n"/>
      <c r="B816" s="20" t="n"/>
      <c r="C816" s="20" t="n"/>
    </row>
    <row r="817" ht="15.75" customHeight="1" s="297">
      <c r="A817" s="20" t="n"/>
      <c r="B817" s="20" t="n"/>
      <c r="C817" s="20" t="n"/>
    </row>
    <row r="818" ht="15.75" customHeight="1" s="297">
      <c r="A818" s="20" t="n"/>
      <c r="B818" s="20" t="n"/>
      <c r="C818" s="20" t="n"/>
    </row>
    <row r="819" ht="15.75" customHeight="1" s="297">
      <c r="A819" s="20" t="n"/>
      <c r="B819" s="20" t="n"/>
      <c r="C819" s="20" t="n"/>
    </row>
    <row r="820" ht="15.75" customHeight="1" s="297">
      <c r="A820" s="20" t="n"/>
      <c r="B820" s="20" t="n"/>
      <c r="C820" s="20" t="n"/>
    </row>
    <row r="821" ht="15.75" customHeight="1" s="297">
      <c r="A821" s="20" t="n"/>
      <c r="B821" s="20" t="n"/>
      <c r="C821" s="20" t="n"/>
    </row>
    <row r="822" ht="15.75" customHeight="1" s="297">
      <c r="A822" s="20" t="n"/>
      <c r="B822" s="20" t="n"/>
      <c r="C822" s="20" t="n"/>
    </row>
    <row r="823" ht="15.75" customHeight="1" s="297">
      <c r="A823" s="20" t="n"/>
      <c r="B823" s="20" t="n"/>
      <c r="C823" s="20" t="n"/>
    </row>
    <row r="824" ht="15.75" customHeight="1" s="297">
      <c r="A824" s="20" t="n"/>
      <c r="B824" s="20" t="n"/>
      <c r="C824" s="20" t="n"/>
    </row>
    <row r="825" ht="15.75" customHeight="1" s="297">
      <c r="A825" s="20" t="n"/>
      <c r="B825" s="20" t="n"/>
      <c r="C825" s="20" t="n"/>
    </row>
    <row r="826" ht="15.75" customHeight="1" s="297">
      <c r="A826" s="20" t="n"/>
      <c r="B826" s="20" t="n"/>
      <c r="C826" s="20" t="n"/>
    </row>
    <row r="827" ht="15.75" customHeight="1" s="297">
      <c r="A827" s="20" t="n"/>
      <c r="B827" s="20" t="n"/>
      <c r="C827" s="20" t="n"/>
    </row>
    <row r="828" ht="15.75" customHeight="1" s="297">
      <c r="A828" s="20" t="n"/>
      <c r="B828" s="20" t="n"/>
      <c r="C828" s="20" t="n"/>
    </row>
    <row r="829" ht="15.75" customHeight="1" s="297">
      <c r="A829" s="20" t="n"/>
      <c r="B829" s="20" t="n"/>
      <c r="C829" s="20" t="n"/>
    </row>
    <row r="830" ht="15.75" customHeight="1" s="297">
      <c r="A830" s="20" t="n"/>
      <c r="B830" s="20" t="n"/>
      <c r="C830" s="20" t="n"/>
    </row>
    <row r="831" ht="15.75" customHeight="1" s="297">
      <c r="A831" s="20" t="n"/>
      <c r="B831" s="20" t="n"/>
      <c r="C831" s="20" t="n"/>
    </row>
    <row r="832" ht="15.75" customHeight="1" s="297">
      <c r="A832" s="20" t="n"/>
      <c r="B832" s="20" t="n"/>
      <c r="C832" s="20" t="n"/>
    </row>
    <row r="833" ht="15.75" customHeight="1" s="297">
      <c r="A833" s="20" t="n"/>
      <c r="B833" s="20" t="n"/>
      <c r="C833" s="20" t="n"/>
    </row>
    <row r="834" ht="15.75" customHeight="1" s="297">
      <c r="A834" s="20" t="n"/>
      <c r="B834" s="20" t="n"/>
      <c r="C834" s="20" t="n"/>
    </row>
    <row r="835" ht="15.75" customHeight="1" s="297">
      <c r="A835" s="20" t="n"/>
      <c r="B835" s="20" t="n"/>
      <c r="C835" s="20" t="n"/>
    </row>
    <row r="836" ht="15.75" customHeight="1" s="297">
      <c r="A836" s="20" t="n"/>
      <c r="B836" s="20" t="n"/>
      <c r="C836" s="20" t="n"/>
    </row>
    <row r="837" ht="15.75" customHeight="1" s="297">
      <c r="A837" s="20" t="n"/>
      <c r="B837" s="20" t="n"/>
      <c r="C837" s="20" t="n"/>
    </row>
    <row r="838" ht="15.75" customHeight="1" s="297">
      <c r="A838" s="20" t="n"/>
      <c r="B838" s="20" t="n"/>
      <c r="C838" s="20" t="n"/>
    </row>
    <row r="839" ht="15.75" customHeight="1" s="297">
      <c r="A839" s="20" t="n"/>
      <c r="B839" s="20" t="n"/>
      <c r="C839" s="20" t="n"/>
    </row>
    <row r="840" ht="15.75" customHeight="1" s="297">
      <c r="A840" s="20" t="n"/>
      <c r="B840" s="20" t="n"/>
      <c r="C840" s="20" t="n"/>
    </row>
    <row r="841" ht="15.75" customHeight="1" s="297">
      <c r="A841" s="20" t="n"/>
      <c r="B841" s="20" t="n"/>
      <c r="C841" s="20" t="n"/>
    </row>
    <row r="842" ht="15.75" customHeight="1" s="297">
      <c r="A842" s="20" t="n"/>
      <c r="B842" s="20" t="n"/>
      <c r="C842" s="20" t="n"/>
    </row>
    <row r="843" ht="15.75" customHeight="1" s="297">
      <c r="A843" s="20" t="n"/>
      <c r="B843" s="20" t="n"/>
      <c r="C843" s="20" t="n"/>
    </row>
    <row r="844" ht="15.75" customHeight="1" s="297">
      <c r="A844" s="20" t="n"/>
      <c r="B844" s="20" t="n"/>
      <c r="C844" s="20" t="n"/>
    </row>
    <row r="845" ht="15.75" customHeight="1" s="297">
      <c r="A845" s="20" t="n"/>
      <c r="B845" s="20" t="n"/>
      <c r="C845" s="20" t="n"/>
    </row>
    <row r="846" ht="15.75" customHeight="1" s="297">
      <c r="A846" s="20" t="n"/>
      <c r="B846" s="20" t="n"/>
      <c r="C846" s="20" t="n"/>
    </row>
    <row r="847" ht="15.75" customHeight="1" s="297">
      <c r="A847" s="20" t="n"/>
      <c r="B847" s="20" t="n"/>
      <c r="C847" s="20" t="n"/>
    </row>
    <row r="848" ht="15.75" customHeight="1" s="297">
      <c r="A848" s="20" t="n"/>
      <c r="B848" s="20" t="n"/>
      <c r="C848" s="20" t="n"/>
    </row>
    <row r="849" ht="15.75" customHeight="1" s="297">
      <c r="A849" s="20" t="n"/>
      <c r="B849" s="20" t="n"/>
      <c r="C849" s="20" t="n"/>
    </row>
    <row r="850" ht="15.75" customHeight="1" s="297">
      <c r="A850" s="20" t="n"/>
      <c r="B850" s="20" t="n"/>
      <c r="C850" s="20" t="n"/>
    </row>
    <row r="851" ht="15.75" customHeight="1" s="297">
      <c r="A851" s="20" t="n"/>
      <c r="B851" s="20" t="n"/>
      <c r="C851" s="20" t="n"/>
    </row>
    <row r="852" ht="15.75" customHeight="1" s="297">
      <c r="A852" s="20" t="n"/>
      <c r="B852" s="20" t="n"/>
      <c r="C852" s="20" t="n"/>
    </row>
    <row r="853" ht="15.75" customHeight="1" s="297">
      <c r="A853" s="20" t="n"/>
      <c r="B853" s="20" t="n"/>
      <c r="C853" s="20" t="n"/>
    </row>
    <row r="854" ht="15.75" customHeight="1" s="297">
      <c r="A854" s="20" t="n"/>
      <c r="B854" s="20" t="n"/>
      <c r="C854" s="20" t="n"/>
    </row>
    <row r="855" ht="15.75" customHeight="1" s="297">
      <c r="A855" s="20" t="n"/>
      <c r="B855" s="20" t="n"/>
      <c r="C855" s="20" t="n"/>
    </row>
    <row r="856" ht="15.75" customHeight="1" s="297">
      <c r="A856" s="20" t="n"/>
      <c r="B856" s="20" t="n"/>
      <c r="C856" s="20" t="n"/>
    </row>
    <row r="857" ht="15.75" customHeight="1" s="297">
      <c r="A857" s="20" t="n"/>
      <c r="B857" s="20" t="n"/>
      <c r="C857" s="20" t="n"/>
    </row>
    <row r="858" ht="15.75" customHeight="1" s="297">
      <c r="A858" s="20" t="n"/>
      <c r="B858" s="20" t="n"/>
      <c r="C858" s="20" t="n"/>
    </row>
    <row r="859" ht="15.75" customHeight="1" s="297">
      <c r="A859" s="20" t="n"/>
      <c r="B859" s="20" t="n"/>
      <c r="C859" s="20" t="n"/>
    </row>
    <row r="860" ht="15.75" customHeight="1" s="297">
      <c r="A860" s="20" t="n"/>
      <c r="B860" s="20" t="n"/>
      <c r="C860" s="20" t="n"/>
    </row>
    <row r="861" ht="15.75" customHeight="1" s="297">
      <c r="A861" s="20" t="n"/>
      <c r="B861" s="20" t="n"/>
      <c r="C861" s="20" t="n"/>
    </row>
    <row r="862" ht="15.75" customHeight="1" s="297">
      <c r="A862" s="20" t="n"/>
      <c r="B862" s="20" t="n"/>
      <c r="C862" s="20" t="n"/>
    </row>
    <row r="863" ht="15.75" customHeight="1" s="297">
      <c r="A863" s="20" t="n"/>
      <c r="B863" s="20" t="n"/>
      <c r="C863" s="20" t="n"/>
    </row>
    <row r="864" ht="15.75" customHeight="1" s="297">
      <c r="A864" s="20" t="n"/>
      <c r="B864" s="20" t="n"/>
      <c r="C864" s="20" t="n"/>
    </row>
    <row r="865" ht="15.75" customHeight="1" s="297">
      <c r="A865" s="20" t="n"/>
      <c r="B865" s="20" t="n"/>
      <c r="C865" s="20" t="n"/>
    </row>
    <row r="866" ht="15.75" customHeight="1" s="297">
      <c r="A866" s="20" t="n"/>
      <c r="B866" s="20" t="n"/>
      <c r="C866" s="20" t="n"/>
    </row>
    <row r="867" ht="15.75" customHeight="1" s="297">
      <c r="A867" s="20" t="n"/>
      <c r="B867" s="20" t="n"/>
      <c r="C867" s="20" t="n"/>
    </row>
    <row r="868" ht="15.75" customHeight="1" s="297">
      <c r="A868" s="20" t="n"/>
      <c r="B868" s="20" t="n"/>
      <c r="C868" s="20" t="n"/>
    </row>
    <row r="869" ht="15.75" customHeight="1" s="297">
      <c r="A869" s="20" t="n"/>
      <c r="B869" s="20" t="n"/>
      <c r="C869" s="20" t="n"/>
    </row>
    <row r="870" ht="15.75" customHeight="1" s="297">
      <c r="A870" s="20" t="n"/>
      <c r="B870" s="20" t="n"/>
      <c r="C870" s="20" t="n"/>
    </row>
    <row r="871" ht="15.75" customHeight="1" s="297">
      <c r="A871" s="20" t="n"/>
      <c r="B871" s="20" t="n"/>
      <c r="C871" s="20" t="n"/>
    </row>
    <row r="872" ht="15.75" customHeight="1" s="297">
      <c r="A872" s="20" t="n"/>
      <c r="B872" s="20" t="n"/>
      <c r="C872" s="20" t="n"/>
    </row>
    <row r="873" ht="15.75" customHeight="1" s="297">
      <c r="A873" s="20" t="n"/>
      <c r="B873" s="20" t="n"/>
      <c r="C873" s="20" t="n"/>
    </row>
    <row r="874" ht="15.75" customHeight="1" s="297">
      <c r="A874" s="20" t="n"/>
      <c r="B874" s="20" t="n"/>
      <c r="C874" s="20" t="n"/>
    </row>
    <row r="875" ht="15.75" customHeight="1" s="297">
      <c r="A875" s="20" t="n"/>
      <c r="B875" s="20" t="n"/>
      <c r="C875" s="20" t="n"/>
    </row>
    <row r="876" ht="15.75" customHeight="1" s="297">
      <c r="A876" s="20" t="n"/>
      <c r="B876" s="20" t="n"/>
      <c r="C876" s="20" t="n"/>
    </row>
    <row r="877" ht="15.75" customHeight="1" s="297">
      <c r="A877" s="20" t="n"/>
      <c r="B877" s="20" t="n"/>
      <c r="C877" s="20" t="n"/>
    </row>
    <row r="878" ht="15.75" customHeight="1" s="297">
      <c r="A878" s="20" t="n"/>
      <c r="B878" s="20" t="n"/>
      <c r="C878" s="20" t="n"/>
    </row>
    <row r="879" ht="15.75" customHeight="1" s="297">
      <c r="A879" s="20" t="n"/>
      <c r="B879" s="20" t="n"/>
      <c r="C879" s="20" t="n"/>
    </row>
    <row r="880" ht="15.75" customHeight="1" s="297">
      <c r="A880" s="20" t="n"/>
      <c r="B880" s="20" t="n"/>
      <c r="C880" s="20" t="n"/>
    </row>
    <row r="881" ht="15.75" customHeight="1" s="297">
      <c r="A881" s="20" t="n"/>
      <c r="B881" s="20" t="n"/>
      <c r="C881" s="20" t="n"/>
    </row>
    <row r="882" ht="15.75" customHeight="1" s="297">
      <c r="A882" s="20" t="n"/>
      <c r="B882" s="20" t="n"/>
      <c r="C882" s="20" t="n"/>
    </row>
    <row r="883" ht="15.75" customHeight="1" s="297">
      <c r="A883" s="20" t="n"/>
      <c r="B883" s="20" t="n"/>
      <c r="C883" s="20" t="n"/>
    </row>
    <row r="884" ht="15.75" customHeight="1" s="297">
      <c r="A884" s="20" t="n"/>
      <c r="B884" s="20" t="n"/>
      <c r="C884" s="20" t="n"/>
    </row>
    <row r="885" ht="15.75" customHeight="1" s="297">
      <c r="A885" s="20" t="n"/>
      <c r="B885" s="20" t="n"/>
      <c r="C885" s="20" t="n"/>
    </row>
    <row r="886" ht="15.75" customHeight="1" s="297">
      <c r="A886" s="20" t="n"/>
      <c r="B886" s="20" t="n"/>
      <c r="C886" s="20" t="n"/>
    </row>
    <row r="887" ht="15.75" customHeight="1" s="297">
      <c r="A887" s="20" t="n"/>
      <c r="B887" s="20" t="n"/>
      <c r="C887" s="20" t="n"/>
    </row>
    <row r="888" ht="15.75" customHeight="1" s="297">
      <c r="A888" s="20" t="n"/>
      <c r="B888" s="20" t="n"/>
      <c r="C888" s="20" t="n"/>
    </row>
    <row r="889" ht="15.75" customHeight="1" s="297">
      <c r="A889" s="20" t="n"/>
      <c r="B889" s="20" t="n"/>
      <c r="C889" s="20" t="n"/>
    </row>
    <row r="890" ht="15.75" customHeight="1" s="297">
      <c r="A890" s="20" t="n"/>
      <c r="B890" s="20" t="n"/>
      <c r="C890" s="20" t="n"/>
    </row>
    <row r="891" ht="15.75" customHeight="1" s="297">
      <c r="A891" s="20" t="n"/>
      <c r="B891" s="20" t="n"/>
      <c r="C891" s="20" t="n"/>
    </row>
    <row r="892" ht="15.75" customHeight="1" s="297">
      <c r="A892" s="20" t="n"/>
      <c r="B892" s="20" t="n"/>
      <c r="C892" s="20" t="n"/>
    </row>
    <row r="893" ht="15.75" customHeight="1" s="297">
      <c r="A893" s="20" t="n"/>
      <c r="B893" s="20" t="n"/>
      <c r="C893" s="20" t="n"/>
    </row>
    <row r="894" ht="15.75" customHeight="1" s="297">
      <c r="A894" s="20" t="n"/>
      <c r="B894" s="20" t="n"/>
      <c r="C894" s="20" t="n"/>
    </row>
    <row r="895" ht="15.75" customHeight="1" s="297">
      <c r="A895" s="20" t="n"/>
      <c r="B895" s="20" t="n"/>
      <c r="C895" s="20" t="n"/>
    </row>
    <row r="896" ht="15.75" customHeight="1" s="297">
      <c r="A896" s="20" t="n"/>
      <c r="B896" s="20" t="n"/>
      <c r="C896" s="20" t="n"/>
    </row>
    <row r="897" ht="15.75" customHeight="1" s="297">
      <c r="A897" s="20" t="n"/>
      <c r="B897" s="20" t="n"/>
      <c r="C897" s="20" t="n"/>
    </row>
    <row r="898" ht="15.75" customHeight="1" s="297">
      <c r="A898" s="20" t="n"/>
      <c r="B898" s="20" t="n"/>
      <c r="C898" s="20" t="n"/>
    </row>
    <row r="899" ht="15.75" customHeight="1" s="297">
      <c r="A899" s="20" t="n"/>
      <c r="B899" s="20" t="n"/>
      <c r="C899" s="20" t="n"/>
    </row>
    <row r="900" ht="15.75" customHeight="1" s="297">
      <c r="A900" s="20" t="n"/>
      <c r="B900" s="20" t="n"/>
      <c r="C900" s="20" t="n"/>
    </row>
    <row r="901" ht="15.75" customHeight="1" s="297">
      <c r="A901" s="20" t="n"/>
      <c r="B901" s="20" t="n"/>
      <c r="C901" s="20" t="n"/>
    </row>
    <row r="902" ht="15.75" customHeight="1" s="297">
      <c r="A902" s="20" t="n"/>
      <c r="B902" s="20" t="n"/>
      <c r="C902" s="20" t="n"/>
    </row>
    <row r="903" ht="15.75" customHeight="1" s="297">
      <c r="A903" s="20" t="n"/>
      <c r="B903" s="20" t="n"/>
      <c r="C903" s="20" t="n"/>
    </row>
    <row r="904" ht="15.75" customHeight="1" s="297">
      <c r="A904" s="20" t="n"/>
      <c r="B904" s="20" t="n"/>
      <c r="C904" s="20" t="n"/>
    </row>
    <row r="905" ht="15.75" customHeight="1" s="297">
      <c r="A905" s="20" t="n"/>
      <c r="B905" s="20" t="n"/>
      <c r="C905" s="20" t="n"/>
    </row>
    <row r="906" ht="15.75" customHeight="1" s="297">
      <c r="A906" s="20" t="n"/>
      <c r="B906" s="20" t="n"/>
      <c r="C906" s="20" t="n"/>
    </row>
    <row r="907" ht="15.75" customHeight="1" s="297">
      <c r="A907" s="20" t="n"/>
      <c r="B907" s="20" t="n"/>
      <c r="C907" s="20" t="n"/>
    </row>
    <row r="908" ht="15.75" customHeight="1" s="297">
      <c r="A908" s="20" t="n"/>
      <c r="B908" s="20" t="n"/>
      <c r="C908" s="20" t="n"/>
    </row>
    <row r="909" ht="15.75" customHeight="1" s="297">
      <c r="A909" s="20" t="n"/>
      <c r="B909" s="20" t="n"/>
      <c r="C909" s="20" t="n"/>
    </row>
    <row r="910" ht="15.75" customHeight="1" s="297">
      <c r="A910" s="20" t="n"/>
      <c r="B910" s="20" t="n"/>
      <c r="C910" s="20" t="n"/>
    </row>
    <row r="911" ht="15.75" customHeight="1" s="297">
      <c r="A911" s="20" t="n"/>
      <c r="B911" s="20" t="n"/>
      <c r="C911" s="20" t="n"/>
    </row>
    <row r="912" ht="15.75" customHeight="1" s="297">
      <c r="A912" s="20" t="n"/>
      <c r="B912" s="20" t="n"/>
      <c r="C912" s="20" t="n"/>
    </row>
    <row r="913" ht="15.75" customHeight="1" s="297">
      <c r="A913" s="20" t="n"/>
      <c r="B913" s="20" t="n"/>
      <c r="C913" s="20" t="n"/>
    </row>
    <row r="914" ht="15.75" customHeight="1" s="297">
      <c r="A914" s="20" t="n"/>
      <c r="B914" s="20" t="n"/>
      <c r="C914" s="20" t="n"/>
    </row>
    <row r="915" ht="15.75" customHeight="1" s="297">
      <c r="A915" s="20" t="n"/>
      <c r="B915" s="20" t="n"/>
      <c r="C915" s="20" t="n"/>
    </row>
    <row r="916" ht="15.75" customHeight="1" s="297">
      <c r="A916" s="20" t="n"/>
      <c r="B916" s="20" t="n"/>
      <c r="C916" s="20" t="n"/>
    </row>
    <row r="917" ht="15.75" customHeight="1" s="297">
      <c r="A917" s="20" t="n"/>
      <c r="B917" s="20" t="n"/>
      <c r="C917" s="20" t="n"/>
    </row>
    <row r="918" ht="15.75" customHeight="1" s="297">
      <c r="A918" s="20" t="n"/>
      <c r="B918" s="20" t="n"/>
      <c r="C918" s="20" t="n"/>
    </row>
    <row r="919" ht="15.75" customHeight="1" s="297">
      <c r="A919" s="20" t="n"/>
      <c r="B919" s="20" t="n"/>
      <c r="C919" s="20" t="n"/>
    </row>
    <row r="920" ht="15.75" customHeight="1" s="297">
      <c r="A920" s="20" t="n"/>
      <c r="B920" s="20" t="n"/>
      <c r="C920" s="20" t="n"/>
    </row>
    <row r="921" ht="15.75" customHeight="1" s="297">
      <c r="A921" s="20" t="n"/>
      <c r="B921" s="20" t="n"/>
      <c r="C921" s="20" t="n"/>
    </row>
    <row r="922" ht="15.75" customHeight="1" s="297">
      <c r="A922" s="20" t="n"/>
      <c r="B922" s="20" t="n"/>
      <c r="C922" s="20" t="n"/>
    </row>
    <row r="923" ht="15.75" customHeight="1" s="297">
      <c r="A923" s="20" t="n"/>
      <c r="B923" s="20" t="n"/>
      <c r="C923" s="20" t="n"/>
    </row>
    <row r="924" ht="15.75" customHeight="1" s="297">
      <c r="A924" s="20" t="n"/>
      <c r="B924" s="20" t="n"/>
      <c r="C924" s="20" t="n"/>
    </row>
    <row r="925" ht="15.75" customHeight="1" s="297">
      <c r="A925" s="20" t="n"/>
      <c r="B925" s="20" t="n"/>
      <c r="C925" s="20" t="n"/>
    </row>
    <row r="926" ht="15.75" customHeight="1" s="297">
      <c r="A926" s="20" t="n"/>
      <c r="B926" s="20" t="n"/>
      <c r="C926" s="20" t="n"/>
    </row>
    <row r="927" ht="15.75" customHeight="1" s="297">
      <c r="A927" s="20" t="n"/>
      <c r="B927" s="20" t="n"/>
      <c r="C927" s="20" t="n"/>
    </row>
    <row r="928" ht="15.75" customHeight="1" s="297">
      <c r="A928" s="20" t="n"/>
      <c r="B928" s="20" t="n"/>
      <c r="C928" s="20" t="n"/>
    </row>
    <row r="929" ht="15.75" customHeight="1" s="297">
      <c r="A929" s="20" t="n"/>
      <c r="B929" s="20" t="n"/>
      <c r="C929" s="20" t="n"/>
    </row>
    <row r="930" ht="15.75" customHeight="1" s="297">
      <c r="A930" s="20" t="n"/>
      <c r="B930" s="20" t="n"/>
      <c r="C930" s="20" t="n"/>
    </row>
    <row r="931" ht="15.75" customHeight="1" s="297">
      <c r="A931" s="20" t="n"/>
      <c r="B931" s="20" t="n"/>
      <c r="C931" s="20" t="n"/>
    </row>
    <row r="932" ht="15.75" customHeight="1" s="297">
      <c r="A932" s="20" t="n"/>
      <c r="B932" s="20" t="n"/>
      <c r="C932" s="20" t="n"/>
    </row>
    <row r="933" ht="15.75" customHeight="1" s="297">
      <c r="A933" s="20" t="n"/>
      <c r="B933" s="20" t="n"/>
      <c r="C933" s="20" t="n"/>
    </row>
    <row r="934" ht="15.75" customHeight="1" s="297">
      <c r="A934" s="20" t="n"/>
      <c r="B934" s="20" t="n"/>
      <c r="C934" s="20" t="n"/>
    </row>
    <row r="935" ht="15.75" customHeight="1" s="297">
      <c r="A935" s="20" t="n"/>
      <c r="B935" s="20" t="n"/>
      <c r="C935" s="20" t="n"/>
    </row>
    <row r="936" ht="15.75" customHeight="1" s="297">
      <c r="A936" s="20" t="n"/>
      <c r="B936" s="20" t="n"/>
      <c r="C936" s="20" t="n"/>
    </row>
    <row r="937" ht="15.75" customHeight="1" s="297">
      <c r="A937" s="20" t="n"/>
      <c r="B937" s="20" t="n"/>
      <c r="C937" s="20" t="n"/>
    </row>
    <row r="938" ht="15.75" customHeight="1" s="297">
      <c r="A938" s="20" t="n"/>
      <c r="B938" s="20" t="n"/>
      <c r="C938" s="20" t="n"/>
    </row>
    <row r="939" ht="15.75" customHeight="1" s="297">
      <c r="A939" s="20" t="n"/>
      <c r="B939" s="20" t="n"/>
      <c r="C939" s="20" t="n"/>
    </row>
    <row r="940" ht="15.75" customHeight="1" s="297">
      <c r="A940" s="20" t="n"/>
      <c r="B940" s="20" t="n"/>
      <c r="C940" s="20" t="n"/>
    </row>
    <row r="941" ht="15.75" customHeight="1" s="297">
      <c r="A941" s="20" t="n"/>
      <c r="B941" s="20" t="n"/>
      <c r="C941" s="20" t="n"/>
    </row>
    <row r="942" ht="15.75" customHeight="1" s="297">
      <c r="A942" s="20" t="n"/>
      <c r="B942" s="20" t="n"/>
      <c r="C942" s="20" t="n"/>
    </row>
    <row r="943" ht="15.75" customHeight="1" s="297">
      <c r="A943" s="20" t="n"/>
      <c r="B943" s="20" t="n"/>
      <c r="C943" s="20" t="n"/>
    </row>
    <row r="944" ht="15.75" customHeight="1" s="297">
      <c r="A944" s="20" t="n"/>
      <c r="B944" s="20" t="n"/>
      <c r="C944" s="20" t="n"/>
    </row>
    <row r="945" ht="15.75" customHeight="1" s="297">
      <c r="A945" s="20" t="n"/>
      <c r="B945" s="20" t="n"/>
      <c r="C945" s="20" t="n"/>
    </row>
    <row r="946" ht="15.75" customHeight="1" s="297">
      <c r="A946" s="20" t="n"/>
      <c r="B946" s="20" t="n"/>
      <c r="C946" s="20" t="n"/>
    </row>
    <row r="947" ht="15.75" customHeight="1" s="297">
      <c r="A947" s="20" t="n"/>
      <c r="B947" s="20" t="n"/>
      <c r="C947" s="20" t="n"/>
    </row>
    <row r="948" ht="15.75" customHeight="1" s="297">
      <c r="A948" s="20" t="n"/>
      <c r="B948" s="20" t="n"/>
      <c r="C948" s="20" t="n"/>
    </row>
    <row r="949" ht="15.75" customHeight="1" s="297">
      <c r="A949" s="20" t="n"/>
      <c r="B949" s="20" t="n"/>
      <c r="C949" s="20" t="n"/>
    </row>
    <row r="950" ht="15.75" customHeight="1" s="297">
      <c r="A950" s="20" t="n"/>
      <c r="B950" s="20" t="n"/>
      <c r="C950" s="20" t="n"/>
    </row>
    <row r="951" ht="15.75" customHeight="1" s="297">
      <c r="A951" s="20" t="n"/>
      <c r="B951" s="20" t="n"/>
      <c r="C951" s="20" t="n"/>
    </row>
    <row r="952" ht="15.75" customHeight="1" s="297">
      <c r="A952" s="20" t="n"/>
      <c r="B952" s="20" t="n"/>
      <c r="C952" s="20" t="n"/>
    </row>
    <row r="953" ht="15.75" customHeight="1" s="297">
      <c r="A953" s="20" t="n"/>
      <c r="B953" s="20" t="n"/>
      <c r="C953" s="20" t="n"/>
    </row>
    <row r="954" ht="15.75" customHeight="1" s="297">
      <c r="A954" s="20" t="n"/>
      <c r="B954" s="20" t="n"/>
      <c r="C954" s="20" t="n"/>
    </row>
    <row r="955" ht="15.75" customHeight="1" s="297">
      <c r="A955" s="20" t="n"/>
      <c r="B955" s="20" t="n"/>
      <c r="C955" s="20" t="n"/>
    </row>
    <row r="956" ht="15.75" customHeight="1" s="297">
      <c r="A956" s="20" t="n"/>
      <c r="B956" s="20" t="n"/>
      <c r="C956" s="20" t="n"/>
    </row>
    <row r="957" ht="15.75" customHeight="1" s="297">
      <c r="A957" s="20" t="n"/>
      <c r="B957" s="20" t="n"/>
      <c r="C957" s="20" t="n"/>
    </row>
    <row r="958" ht="15.75" customHeight="1" s="297">
      <c r="A958" s="20" t="n"/>
      <c r="B958" s="20" t="n"/>
      <c r="C958" s="20" t="n"/>
    </row>
    <row r="959" ht="15.75" customHeight="1" s="297">
      <c r="A959" s="20" t="n"/>
      <c r="B959" s="20" t="n"/>
      <c r="C959" s="20" t="n"/>
    </row>
    <row r="960" ht="15.75" customHeight="1" s="297">
      <c r="A960" s="20" t="n"/>
      <c r="B960" s="20" t="n"/>
      <c r="C960" s="20" t="n"/>
    </row>
    <row r="961" ht="15.75" customHeight="1" s="297">
      <c r="A961" s="20" t="n"/>
      <c r="B961" s="20" t="n"/>
      <c r="C961" s="20" t="n"/>
    </row>
    <row r="962" ht="15.75" customHeight="1" s="297">
      <c r="A962" s="20" t="n"/>
      <c r="B962" s="20" t="n"/>
      <c r="C962" s="20" t="n"/>
    </row>
    <row r="963" ht="15.75" customHeight="1" s="297">
      <c r="A963" s="20" t="n"/>
      <c r="B963" s="20" t="n"/>
      <c r="C963" s="20" t="n"/>
    </row>
    <row r="964" ht="15.75" customHeight="1" s="297">
      <c r="A964" s="20" t="n"/>
      <c r="B964" s="20" t="n"/>
      <c r="C964" s="20" t="n"/>
    </row>
    <row r="965" ht="15.75" customHeight="1" s="297">
      <c r="A965" s="20" t="n"/>
      <c r="B965" s="20" t="n"/>
      <c r="C965" s="20" t="n"/>
    </row>
    <row r="966" ht="15.75" customHeight="1" s="297">
      <c r="A966" s="20" t="n"/>
      <c r="B966" s="20" t="n"/>
      <c r="C966" s="20" t="n"/>
    </row>
    <row r="967" ht="15.75" customHeight="1" s="297">
      <c r="A967" s="20" t="n"/>
      <c r="B967" s="20" t="n"/>
      <c r="C967" s="20" t="n"/>
    </row>
    <row r="968" ht="15.75" customHeight="1" s="297">
      <c r="A968" s="20" t="n"/>
      <c r="B968" s="20" t="n"/>
      <c r="C968" s="20" t="n"/>
    </row>
    <row r="969" ht="15.75" customHeight="1" s="297">
      <c r="A969" s="20" t="n"/>
      <c r="B969" s="20" t="n"/>
      <c r="C969" s="20" t="n"/>
    </row>
    <row r="970" ht="15.75" customHeight="1" s="297">
      <c r="A970" s="20" t="n"/>
      <c r="B970" s="20" t="n"/>
      <c r="C970" s="20" t="n"/>
    </row>
    <row r="971" ht="15.75" customHeight="1" s="297">
      <c r="A971" s="20" t="n"/>
      <c r="B971" s="20" t="n"/>
      <c r="C971" s="20" t="n"/>
    </row>
    <row r="972" ht="15.75" customHeight="1" s="297">
      <c r="A972" s="20" t="n"/>
      <c r="B972" s="20" t="n"/>
      <c r="C972" s="20" t="n"/>
    </row>
    <row r="973" ht="15.75" customHeight="1" s="297">
      <c r="A973" s="20" t="n"/>
      <c r="B973" s="20" t="n"/>
      <c r="C973" s="20" t="n"/>
    </row>
    <row r="974" ht="15.75" customHeight="1" s="297">
      <c r="A974" s="20" t="n"/>
      <c r="B974" s="20" t="n"/>
      <c r="C974" s="20" t="n"/>
    </row>
    <row r="975" ht="15.75" customHeight="1" s="297">
      <c r="A975" s="20" t="n"/>
      <c r="B975" s="20" t="n"/>
      <c r="C975" s="20" t="n"/>
    </row>
    <row r="976" ht="15.75" customHeight="1" s="297">
      <c r="A976" s="20" t="n"/>
      <c r="B976" s="20" t="n"/>
      <c r="C976" s="20" t="n"/>
    </row>
    <row r="977" ht="15.75" customHeight="1" s="297">
      <c r="A977" s="20" t="n"/>
      <c r="B977" s="20" t="n"/>
      <c r="C977" s="20" t="n"/>
    </row>
    <row r="978" ht="15.75" customHeight="1" s="297">
      <c r="A978" s="20" t="n"/>
      <c r="B978" s="20" t="n"/>
      <c r="C978" s="20" t="n"/>
    </row>
    <row r="979" ht="15.75" customHeight="1" s="297">
      <c r="A979" s="20" t="n"/>
      <c r="B979" s="20" t="n"/>
      <c r="C979" s="20" t="n"/>
    </row>
    <row r="980" ht="15.75" customHeight="1" s="297">
      <c r="A980" s="20" t="n"/>
      <c r="B980" s="20" t="n"/>
      <c r="C980" s="20" t="n"/>
    </row>
    <row r="981" ht="15.75" customHeight="1" s="297">
      <c r="A981" s="20" t="n"/>
      <c r="B981" s="20" t="n"/>
      <c r="C981" s="20" t="n"/>
    </row>
    <row r="982" ht="15.75" customHeight="1" s="297">
      <c r="A982" s="20" t="n"/>
      <c r="B982" s="20" t="n"/>
      <c r="C982" s="20" t="n"/>
    </row>
    <row r="983" ht="15.75" customHeight="1" s="297">
      <c r="A983" s="20" t="n"/>
      <c r="B983" s="20" t="n"/>
      <c r="C983" s="20" t="n"/>
    </row>
    <row r="984" ht="15.75" customHeight="1" s="297">
      <c r="A984" s="20" t="n"/>
      <c r="B984" s="20" t="n"/>
      <c r="C984" s="20" t="n"/>
    </row>
    <row r="985" ht="15.75" customHeight="1" s="297">
      <c r="A985" s="20" t="n"/>
      <c r="B985" s="20" t="n"/>
      <c r="C985" s="20" t="n"/>
    </row>
    <row r="986" ht="15.75" customHeight="1" s="297">
      <c r="A986" s="20" t="n"/>
      <c r="B986" s="20" t="n"/>
      <c r="C986" s="20" t="n"/>
    </row>
    <row r="987" ht="15.75" customHeight="1" s="297">
      <c r="A987" s="20" t="n"/>
      <c r="B987" s="20" t="n"/>
      <c r="C987" s="20" t="n"/>
    </row>
    <row r="988" ht="15.75" customHeight="1" s="297">
      <c r="A988" s="20" t="n"/>
      <c r="B988" s="20" t="n"/>
      <c r="C988" s="20" t="n"/>
    </row>
    <row r="989" ht="15.75" customHeight="1" s="297">
      <c r="A989" s="20" t="n"/>
      <c r="B989" s="20" t="n"/>
      <c r="C989" s="20" t="n"/>
    </row>
    <row r="990" ht="15.75" customHeight="1" s="297">
      <c r="A990" s="20" t="n"/>
      <c r="B990" s="20" t="n"/>
      <c r="C990" s="20" t="n"/>
    </row>
    <row r="991" ht="15.75" customHeight="1" s="297">
      <c r="A991" s="20" t="n"/>
      <c r="B991" s="20" t="n"/>
      <c r="C991" s="20" t="n"/>
    </row>
    <row r="992" ht="15.75" customHeight="1" s="297">
      <c r="A992" s="20" t="n"/>
      <c r="B992" s="20" t="n"/>
      <c r="C992" s="20" t="n"/>
    </row>
    <row r="993" ht="15.75" customHeight="1" s="297">
      <c r="A993" s="20" t="n"/>
      <c r="B993" s="20" t="n"/>
      <c r="C993" s="20" t="n"/>
    </row>
    <row r="994" ht="15.75" customHeight="1" s="297">
      <c r="A994" s="20" t="n"/>
      <c r="B994" s="20" t="n"/>
      <c r="C994" s="20" t="n"/>
    </row>
    <row r="995" ht="15.75" customHeight="1" s="297">
      <c r="A995" s="20" t="n"/>
      <c r="B995" s="20" t="n"/>
      <c r="C995" s="20" t="n"/>
    </row>
    <row r="996" ht="15.75" customHeight="1" s="297">
      <c r="A996" s="20" t="n"/>
      <c r="B996" s="20" t="n"/>
      <c r="C996" s="20" t="n"/>
    </row>
    <row r="997" ht="15.75" customHeight="1" s="297">
      <c r="A997" s="20" t="n"/>
      <c r="B997" s="20" t="n"/>
      <c r="C997" s="20" t="n"/>
    </row>
    <row r="998" ht="15.75" customHeight="1" s="297">
      <c r="A998" s="20" t="n"/>
      <c r="B998" s="20" t="n"/>
      <c r="C998" s="20" t="n"/>
    </row>
    <row r="999" ht="15.75" customHeight="1" s="297">
      <c r="A999" s="20" t="n"/>
      <c r="B999" s="20" t="n"/>
      <c r="C999" s="20" t="n"/>
    </row>
    <row r="1000" ht="15.75" customHeight="1" s="297">
      <c r="A1000" s="20" t="n"/>
      <c r="B1000" s="20" t="n"/>
      <c r="C1000" s="20" t="n"/>
    </row>
  </sheetData>
  <dataValidations count="3">
    <dataValidation sqref="A31:C1000" showDropDown="0" showInputMessage="0" showErrorMessage="1" allowBlank="1" type="list">
      <formula1>'CUSTO OPERAÇÃO'!$P$2:$P1001</formula1>
    </dataValidation>
    <dataValidation sqref="B2:C30" showDropDown="0" showInputMessage="0" showErrorMessage="1" allowBlank="1" type="list">
      <formula1>#REF!</formula1>
    </dataValidation>
    <dataValidation sqref="L2:L30" showDropDown="1" showInputMessage="0" showErrorMessage="0" allowBlank="1" type="custom">
      <formula1>AND(ISNUMBER(L2),(NOT(OR(NOT(ISERROR(DATEVALUE(L2))), AND(ISNUMBER(L2), LEFT(CELL("format", L2))="D")))))</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0" summaryRight="0"/>
    <pageSetUpPr/>
  </sheetPr>
  <dimension ref="A1:S769"/>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2.63" defaultRowHeight="15" customHeight="1" outlineLevelRow="1"/>
  <cols>
    <col width="38.5" customWidth="1" style="297" min="1" max="1"/>
    <col outlineLevel="1" width="17.5" customWidth="1" style="297" min="2" max="2"/>
    <col outlineLevel="1" width="7.13" customWidth="1" style="297" min="3" max="3"/>
    <col outlineLevel="1" width="19.75" customWidth="1" style="297" min="4" max="4"/>
    <col outlineLevel="1" width="6.25" customWidth="1" style="297" min="5" max="5"/>
    <col outlineLevel="1" width="20" customWidth="1" style="297" min="6" max="6"/>
    <col outlineLevel="1" width="6.25" customWidth="1" style="297" min="7" max="7"/>
    <col outlineLevel="1" width="21" customWidth="1" style="297" min="8" max="8"/>
    <col outlineLevel="1" width="7.13" customWidth="1" style="297" min="9" max="9"/>
    <col outlineLevel="1" width="21.75" customWidth="1" style="297" min="10" max="10"/>
    <col outlineLevel="1" width="6.25" customWidth="1" style="297" min="11" max="11"/>
    <col outlineLevel="1" width="21.63" customWidth="1" style="297" min="12" max="12"/>
    <col outlineLevel="1" width="7.13" customWidth="1" style="297" min="13" max="13"/>
    <col outlineLevel="1" width="20" customWidth="1" style="297" min="14" max="14"/>
    <col outlineLevel="1" width="6.25" customWidth="1" style="297" min="15" max="15"/>
    <col outlineLevel="1" width="20" customWidth="1" style="297" min="16" max="16"/>
    <col outlineLevel="1" width="6.25" customWidth="1" style="297" min="17" max="17"/>
    <col width="10.5" customWidth="1" style="297" min="18" max="18"/>
    <col width="7.13" customWidth="1" style="297" min="19" max="19"/>
  </cols>
  <sheetData>
    <row r="1">
      <c r="A1" s="21" t="n"/>
      <c r="B1" s="22" t="inlineStr">
        <is>
          <t>SOJA - 02 COQ</t>
        </is>
      </c>
      <c r="C1" s="23" t="n"/>
      <c r="D1" s="23" t="n"/>
      <c r="E1" s="23" t="n"/>
      <c r="F1" s="23" t="n"/>
      <c r="G1" s="23" t="n"/>
      <c r="H1" s="23" t="n"/>
      <c r="I1" s="23" t="n"/>
      <c r="J1" s="22" t="inlineStr">
        <is>
          <t>SOJA - 02 COQ</t>
        </is>
      </c>
      <c r="K1" s="23" t="n"/>
      <c r="L1" s="22" t="inlineStr">
        <is>
          <t>SOJA - 02 COQ</t>
        </is>
      </c>
      <c r="M1" s="23" t="n"/>
      <c r="N1" s="22" t="inlineStr">
        <is>
          <t>SOJA - 02 COQ</t>
        </is>
      </c>
      <c r="O1" s="23" t="n"/>
      <c r="P1" s="22" t="inlineStr">
        <is>
          <t>SOJA - 02 COQ</t>
        </is>
      </c>
      <c r="Q1" s="23" t="n"/>
      <c r="R1" s="23" t="n"/>
      <c r="S1" s="23" t="n"/>
    </row>
    <row r="2">
      <c r="A2" s="24" t="inlineStr">
        <is>
          <t>ORÇAMENTO SAFRA 2026/2027</t>
        </is>
      </c>
      <c r="B2" s="324">
        <f>'PORTIFÓLIO'!$J$3</f>
        <v/>
      </c>
      <c r="C2" s="325" t="n"/>
      <c r="D2" s="324">
        <f>'PORTIFÓLIO'!$K$3</f>
        <v/>
      </c>
      <c r="E2" s="325" t="n"/>
      <c r="F2" s="324">
        <f>'PORTIFÓLIO'!$L$3</f>
        <v/>
      </c>
      <c r="G2" s="325" t="n"/>
      <c r="H2" s="324">
        <f>'PORTIFÓLIO'!$M$3</f>
        <v/>
      </c>
      <c r="I2" s="325" t="n"/>
      <c r="J2" s="324">
        <f>'PORTIFÓLIO'!$N$3</f>
        <v/>
      </c>
      <c r="K2" s="325" t="n"/>
      <c r="L2" s="324">
        <f>'PORTIFÓLIO'!$O$3</f>
        <v/>
      </c>
      <c r="M2" s="325" t="n"/>
      <c r="N2" s="324">
        <f>'PORTIFÓLIO'!$P$3</f>
        <v/>
      </c>
      <c r="O2" s="325" t="n"/>
      <c r="P2" s="324">
        <f>'PORTIFÓLIO'!$Q$3</f>
        <v/>
      </c>
      <c r="Q2" s="325" t="n"/>
      <c r="R2" s="324" t="inlineStr">
        <is>
          <t>TOTAL</t>
        </is>
      </c>
      <c r="S2" s="325" t="n"/>
    </row>
    <row r="3">
      <c r="A3" s="27" t="n"/>
      <c r="B3" s="28" t="n"/>
      <c r="C3" s="29" t="inlineStr">
        <is>
          <t>R$/ Ha</t>
        </is>
      </c>
      <c r="D3" s="28" t="n"/>
      <c r="E3" s="29" t="inlineStr">
        <is>
          <t>R$/ Ha</t>
        </is>
      </c>
      <c r="F3" s="28" t="n"/>
      <c r="G3" s="28" t="inlineStr">
        <is>
          <t>R$/ Ha</t>
        </is>
      </c>
      <c r="H3" s="28" t="n"/>
      <c r="I3" s="29" t="inlineStr">
        <is>
          <t>R$/ Ha</t>
        </is>
      </c>
      <c r="J3" s="28" t="n"/>
      <c r="K3" s="29" t="inlineStr">
        <is>
          <t>R$/ Ha</t>
        </is>
      </c>
      <c r="L3" s="28" t="n"/>
      <c r="M3" s="29" t="inlineStr">
        <is>
          <t>R$/ Ha</t>
        </is>
      </c>
      <c r="N3" s="28" t="n"/>
      <c r="O3" s="29" t="inlineStr">
        <is>
          <t>R$/ Ha</t>
        </is>
      </c>
      <c r="P3" s="28" t="n"/>
      <c r="Q3" s="29" t="inlineStr">
        <is>
          <t>R$/ Ha</t>
        </is>
      </c>
      <c r="R3" s="28" t="n"/>
      <c r="S3" s="29" t="inlineStr">
        <is>
          <t>R$/ Ha</t>
        </is>
      </c>
    </row>
    <row r="4">
      <c r="A4" s="30" t="inlineStr">
        <is>
          <t>ÁREA</t>
        </is>
      </c>
      <c r="B4" s="31">
        <f>SUMIF('ÁREA PLANTIO'!$C$2:$C$30,"*"&amp;B2&amp;"*",'ÁREA PLANTIO'!$E$2:$E$30)+SUMIF('ÁREA PLANTIO'!$H$2:$H$30,"*"&amp;B2&amp;"*",'ÁREA PLANTIO'!$E$2:$E$30)</f>
        <v/>
      </c>
      <c r="C4" s="31" t="n"/>
      <c r="D4" s="31">
        <f>SUMIF('ÁREA PLANTIO'!$C$2:$C$30,"*"&amp;D2&amp;"*",'ÁREA PLANTIO'!$E$2:$E$30)+SUMIF('ÁREA PLANTIO'!$H$2:$H$30,"*"&amp;D2&amp;"*",'ÁREA PLANTIO'!$E$2:$E$30)</f>
        <v/>
      </c>
      <c r="E4" s="31" t="n"/>
      <c r="F4" s="31">
        <f>SUMIF('ÁREA PLANTIO'!$C$2:$C$30,"*"&amp;F2&amp;"*",'ÁREA PLANTIO'!$E$2:$E$30)+SUMIF('ÁREA PLANTIO'!$H$2:$H$30,"*"&amp;F2&amp;"*",'ÁREA PLANTIO'!$E$2:$E$30)</f>
        <v/>
      </c>
      <c r="G4" s="31" t="n"/>
      <c r="H4" s="31">
        <f>SUMIF('ÁREA PLANTIO'!$C$2:$C$30,"*"&amp;H2&amp;"*",'ÁREA PLANTIO'!$E$2:$E$30)+SUMIF('ÁREA PLANTIO'!$H$2:$H$30,"*"&amp;H2&amp;"*",'ÁREA PLANTIO'!$E$2:$E$30)</f>
        <v/>
      </c>
      <c r="I4" s="31" t="n"/>
      <c r="J4" s="31">
        <f>SUMIF('ÁREA PLANTIO'!$C$2:$C$30,"*"&amp;J2&amp;"*",'ÁREA PLANTIO'!$E$2:$E$30)+SUMIF('ÁREA PLANTIO'!$H$2:$H$30,"*"&amp;J2&amp;"*",'ÁREA PLANTIO'!$E$2:$E$30)</f>
        <v/>
      </c>
      <c r="K4" s="31" t="n"/>
      <c r="L4" s="31">
        <f>SUMIF('ÁREA PLANTIO'!$C$2:$C$30,"*"&amp;L2&amp;"*",'ÁREA PLANTIO'!$E$2:$E$30)+SUMIF('ÁREA PLANTIO'!$H$2:$H$30,"*"&amp;L2&amp;"*",'ÁREA PLANTIO'!$E$2:$E$30)</f>
        <v/>
      </c>
      <c r="M4" s="31" t="n"/>
      <c r="N4" s="31">
        <f>SUMIF('ÁREA PLANTIO'!$C$2:$C$30,"*"&amp;N2&amp;"*",'ÁREA PLANTIO'!$E$2:$E$30)+SUMIF('ÁREA PLANTIO'!$H$2:$H$30,"*"&amp;N2&amp;"*",'ÁREA PLANTIO'!$E$2:$E$30)</f>
        <v/>
      </c>
      <c r="O4" s="31" t="n"/>
      <c r="P4" s="31">
        <f>SUMIF('ÁREA PLANTIO'!$C$2:$C$30,"*"&amp;P2&amp;"*",'ÁREA PLANTIO'!$E$2:$E$30)+SUMIF('ÁREA PLANTIO'!$H$2:$H$30,"*"&amp;P2&amp;"*",'ÁREA PLANTIO'!$E$2:$E$30)</f>
        <v/>
      </c>
      <c r="Q4" s="31" t="n"/>
      <c r="R4" s="31">
        <f>SUM(P4,N4,L4,J4,B4,D4,F4,H4)</f>
        <v/>
      </c>
      <c r="S4" s="31" t="n"/>
    </row>
    <row r="5">
      <c r="A5" s="32" t="inlineStr">
        <is>
          <t>PRODUÇÃO TOTAL</t>
        </is>
      </c>
      <c r="B5" s="33">
        <f>SUMIF('ÁREA PLANTIO'!$C$2:$C$30,"*"&amp;B2&amp;"*",'ÁREA PLANTIO'!$F$2:$F$30)+SUMIF('ÁREA PLANTIO'!$H$2:$H$30,"*"&amp;B2&amp;"*",'ÁREA PLANTIO'!$J$2:$J$30)</f>
        <v/>
      </c>
      <c r="C5" s="33" t="n"/>
      <c r="D5" s="33">
        <f>SUMIF('ÁREA PLANTIO'!$C$2:$C$30,"*"&amp;D2&amp;"*",'ÁREA PLANTIO'!$F$2:$F$30)+SUMIF('ÁREA PLANTIO'!$H$2:$H$30,"*"&amp;D2&amp;"*",'ÁREA PLANTIO'!$J$2:$J$30)</f>
        <v/>
      </c>
      <c r="E5" s="33" t="n"/>
      <c r="F5" s="33">
        <f>SUMIF('ÁREA PLANTIO'!$C$2:$C$30,"*"&amp;F2&amp;"*",'ÁREA PLANTIO'!$F$2:$F$30)+SUMIF('ÁREA PLANTIO'!$H$2:$H$30,"*"&amp;F2&amp;"*",'ÁREA PLANTIO'!$J$2:$J$30)</f>
        <v/>
      </c>
      <c r="G5" s="33" t="n"/>
      <c r="H5" s="33">
        <f>SUMIF('ÁREA PLANTIO'!$C$2:$C$30,"*"&amp;H2&amp;"*",'ÁREA PLANTIO'!$F$2:$F$30)+SUMIF('ÁREA PLANTIO'!$H$2:$H$30,"*"&amp;H2&amp;"*",'ÁREA PLANTIO'!$J$2:$J$30)</f>
        <v/>
      </c>
      <c r="I5" s="33" t="n"/>
      <c r="J5" s="33">
        <f>SUMIF('ÁREA PLANTIO'!$C$2:$C$30,"*"&amp;J2&amp;"*",'ÁREA PLANTIO'!$F$2:$F$30)+SUMIF('ÁREA PLANTIO'!$H$2:$H$30,"*"&amp;J2&amp;"*",'ÁREA PLANTIO'!$J$2:$J$30)</f>
        <v/>
      </c>
      <c r="K5" s="33" t="n"/>
      <c r="L5" s="33">
        <f>SUMIF('ÁREA PLANTIO'!$C$2:$C$30,"*"&amp;L2&amp;"*",'ÁREA PLANTIO'!$F$2:$F$30)+SUMIF('ÁREA PLANTIO'!$H$2:$H$30,"*"&amp;L2&amp;"*",'ÁREA PLANTIO'!$J$2:$J$30)</f>
        <v/>
      </c>
      <c r="M5" s="33" t="n"/>
      <c r="N5" s="33">
        <f>SUMIF('ÁREA PLANTIO'!$C$2:$C$30,"*"&amp;N2&amp;"*",'ÁREA PLANTIO'!$F$2:$F$30)+SUMIF('ÁREA PLANTIO'!$H$2:$H$30,"*"&amp;N2&amp;"*",'ÁREA PLANTIO'!$J$2:$J$30)</f>
        <v/>
      </c>
      <c r="O5" s="33" t="n"/>
      <c r="P5" s="33">
        <f>SUMIF('ÁREA PLANTIO'!$C$2:$C$30,"*"&amp;P2&amp;"*",'ÁREA PLANTIO'!$F$2:$F$30)+SUMIF('ÁREA PLANTIO'!$H$2:$H$30,"*"&amp;P2&amp;"*",'ÁREA PLANTIO'!$J$2:$J$30)</f>
        <v/>
      </c>
      <c r="Q5" s="33" t="n"/>
      <c r="R5" s="33" t="n"/>
      <c r="S5" s="33" t="n"/>
    </row>
    <row r="6">
      <c r="A6" s="32" t="inlineStr">
        <is>
          <t>PRODUÇÃO P/HA</t>
        </is>
      </c>
      <c r="B6" s="34">
        <f>B5/B4</f>
        <v/>
      </c>
      <c r="C6" s="34" t="n"/>
      <c r="D6" s="34">
        <f>IFERROR(D5/D4,"")</f>
        <v/>
      </c>
      <c r="E6" s="34" t="n"/>
      <c r="F6" s="34">
        <f>IFERROR(F5/F4,"")</f>
        <v/>
      </c>
      <c r="G6" s="34" t="n"/>
      <c r="H6" s="34">
        <f>IFERROR(H5/H4,"")</f>
        <v/>
      </c>
      <c r="I6" s="34" t="n"/>
      <c r="J6" s="34">
        <f>IFERROR(J5/J4,"")</f>
        <v/>
      </c>
      <c r="K6" s="34" t="n"/>
      <c r="L6" s="34">
        <f>IFERROR(L5/L4,"")</f>
        <v/>
      </c>
      <c r="M6" s="34" t="n"/>
      <c r="N6" s="34">
        <f>IFERROR(N5/N4,"")</f>
        <v/>
      </c>
      <c r="O6" s="34" t="n"/>
      <c r="P6" s="34">
        <f>IFERROR(P5/P4,"")</f>
        <v/>
      </c>
      <c r="Q6" s="34" t="n"/>
      <c r="R6" s="34" t="n"/>
      <c r="S6" s="34" t="n"/>
    </row>
    <row r="7">
      <c r="A7" s="32" t="inlineStr">
        <is>
          <t>PREÇO MÉDIO</t>
        </is>
      </c>
      <c r="B7" s="35" t="n">
        <v>200</v>
      </c>
      <c r="C7" s="35" t="n"/>
      <c r="D7" s="35" t="n">
        <v>110</v>
      </c>
      <c r="E7" s="35" t="n"/>
      <c r="F7" s="35" t="n">
        <v>110</v>
      </c>
      <c r="G7" s="35" t="n"/>
      <c r="H7" s="35" t="n">
        <v>60</v>
      </c>
      <c r="I7" s="35" t="n"/>
      <c r="J7" s="35" t="n">
        <v>48</v>
      </c>
      <c r="K7" s="35" t="n"/>
      <c r="L7" s="35" t="n">
        <v>60</v>
      </c>
      <c r="M7" s="35" t="n"/>
      <c r="N7" s="35" t="n">
        <v>110</v>
      </c>
      <c r="O7" s="35" t="n"/>
      <c r="P7" s="35" t="n">
        <v>110</v>
      </c>
      <c r="Q7" s="35" t="n"/>
      <c r="R7" s="35" t="n"/>
      <c r="S7" s="35">
        <f>R7/$R$4</f>
        <v/>
      </c>
    </row>
    <row r="8">
      <c r="A8" s="36" t="inlineStr">
        <is>
          <t>RECEITA ARRENDAMENTO</t>
        </is>
      </c>
      <c r="B8" s="37" t="n"/>
      <c r="C8" s="37" t="n"/>
      <c r="D8" s="37" t="n"/>
      <c r="E8" s="37" t="n"/>
      <c r="F8" s="37" t="n"/>
      <c r="G8" s="37" t="n"/>
      <c r="H8" s="37" t="n"/>
      <c r="I8" s="37" t="n"/>
      <c r="J8" s="37" t="n"/>
      <c r="K8" s="37" t="n"/>
      <c r="L8" s="37" t="n"/>
      <c r="M8" s="37" t="n"/>
      <c r="N8" s="37" t="n"/>
      <c r="O8" s="37" t="n"/>
      <c r="P8" s="37" t="n"/>
      <c r="Q8" s="37" t="n"/>
      <c r="R8" s="37" t="n"/>
      <c r="S8" s="37">
        <f>R8/$R$4</f>
        <v/>
      </c>
    </row>
    <row r="9">
      <c r="A9" s="38" t="inlineStr">
        <is>
          <t>RECEITA BRUTA</t>
        </is>
      </c>
      <c r="B9" s="39">
        <f>B5*B7</f>
        <v/>
      </c>
      <c r="C9" s="39">
        <f>IFERROR(B9/B4,"")</f>
        <v/>
      </c>
      <c r="D9" s="39">
        <f>D5*D7</f>
        <v/>
      </c>
      <c r="E9" s="39">
        <f>IFERROR(D9/D4,"")</f>
        <v/>
      </c>
      <c r="F9" s="39">
        <f>F5*F7</f>
        <v/>
      </c>
      <c r="G9" s="39">
        <f>IFERROR(F9/F4,"")</f>
        <v/>
      </c>
      <c r="H9" s="39">
        <f>H5*H7</f>
        <v/>
      </c>
      <c r="I9" s="39">
        <f>IFERROR(H9/H4,"")</f>
        <v/>
      </c>
      <c r="J9" s="39">
        <f>J5*J7</f>
        <v/>
      </c>
      <c r="K9" s="39">
        <f>IFERROR(J9/J4,"")</f>
        <v/>
      </c>
      <c r="L9" s="39">
        <f>L5*L7</f>
        <v/>
      </c>
      <c r="M9" s="39">
        <f>IFERROR(L9/L4,"")</f>
        <v/>
      </c>
      <c r="N9" s="39">
        <f>N5*N7</f>
        <v/>
      </c>
      <c r="O9" s="39">
        <f>IFERROR(N9/N4,"")</f>
        <v/>
      </c>
      <c r="P9" s="39">
        <f>P5*P7</f>
        <v/>
      </c>
      <c r="Q9" s="39">
        <f>IFERROR(P9/P4,"")</f>
        <v/>
      </c>
      <c r="R9" s="39">
        <f>SUM(P9,N9,L9,J9,H9,D9,B9)</f>
        <v/>
      </c>
      <c r="S9" s="39">
        <f>IFERROR(R9/R4,"")</f>
        <v/>
      </c>
    </row>
    <row r="10">
      <c r="A10" s="40" t="inlineStr">
        <is>
          <t>SAÍDAS TOTAIS</t>
        </is>
      </c>
      <c r="B10" s="41">
        <f>SUM(B11,B465,B546,B555,B557)</f>
        <v/>
      </c>
      <c r="C10" s="41">
        <f>B10/B4</f>
        <v/>
      </c>
      <c r="D10" s="41">
        <f>SUM(D11,D465,D546,D555,D557)</f>
        <v/>
      </c>
      <c r="E10" s="41">
        <f>IFERROR(D10/D4,"")</f>
        <v/>
      </c>
      <c r="F10" s="41">
        <f>SUM(F11,F465,F546,F555,F557)</f>
        <v/>
      </c>
      <c r="G10" s="41">
        <f>IFERROR(F10/F4,"")</f>
        <v/>
      </c>
      <c r="H10" s="41">
        <f>SUM(H11,H465,H546,H555,H557)</f>
        <v/>
      </c>
      <c r="I10" s="41">
        <f>IFERROR(H10/H4,"")</f>
        <v/>
      </c>
      <c r="J10" s="41">
        <f>SUM(J11,J465,J546,J555,J557)</f>
        <v/>
      </c>
      <c r="K10" s="41">
        <f>IFERROR(J10/J4,"")</f>
        <v/>
      </c>
      <c r="L10" s="41">
        <f>SUM(L11,L465,L546,L555,L557)</f>
        <v/>
      </c>
      <c r="M10" s="41">
        <f>IFERROR(L10/L4,"")</f>
        <v/>
      </c>
      <c r="N10" s="41">
        <f>SUM(N11,N465,N546,N555,N557)</f>
        <v/>
      </c>
      <c r="O10" s="41">
        <f>IFERROR(N10/N4,"")</f>
        <v/>
      </c>
      <c r="P10" s="41">
        <f>SUM(P11,P465,P546,P555,P557)</f>
        <v/>
      </c>
      <c r="Q10" s="41">
        <f>IFERROR(P10/P4,"")</f>
        <v/>
      </c>
      <c r="R10" s="41">
        <f>SUM(P10,N10,L10,J10,H10,D10,B10)</f>
        <v/>
      </c>
      <c r="S10" s="41">
        <f>R10/$R$4</f>
        <v/>
      </c>
    </row>
    <row r="11">
      <c r="A11" s="42" t="inlineStr">
        <is>
          <t>CUSTOS DIRETOS</t>
        </is>
      </c>
      <c r="B11" s="43">
        <f>SUM(B12,B421,B458,B459,B460,B461,B462)</f>
        <v/>
      </c>
      <c r="C11" s="43">
        <f>B11/$B$4</f>
        <v/>
      </c>
      <c r="D11" s="43">
        <f>SUM(D12,D421,D458,D459,D460,D461,D462)</f>
        <v/>
      </c>
      <c r="E11" s="43">
        <f>D11/$D$4</f>
        <v/>
      </c>
      <c r="F11" s="43">
        <f>SUM(F12,F421,F458,F459,F460,F461,F462)</f>
        <v/>
      </c>
      <c r="G11" s="43">
        <f>F11/$F$4</f>
        <v/>
      </c>
      <c r="H11" s="43">
        <f>SUM(H12,H421,H458,H459,H460,H461,H462)</f>
        <v/>
      </c>
      <c r="I11" s="43">
        <f>IFERROR(H11/$H$4,"")</f>
        <v/>
      </c>
      <c r="J11" s="43">
        <f>SUM(J12,J421,J458,J459,J460,J461,J462)</f>
        <v/>
      </c>
      <c r="K11" s="43">
        <f>J11/$J$4</f>
        <v/>
      </c>
      <c r="L11" s="43">
        <f>SUM(L12,L421,L458,L459,L460,L461,L462)</f>
        <v/>
      </c>
      <c r="M11" s="43" t="n">
        <v>4221</v>
      </c>
      <c r="N11" s="43">
        <f>SUM(N12,N421,N458,N459,N460,N461,N462)</f>
        <v/>
      </c>
      <c r="O11" s="43" t="n">
        <v>4221</v>
      </c>
      <c r="P11" s="43">
        <f>SUM(P12,P421,P458,P459,P460,P461,P462)</f>
        <v/>
      </c>
      <c r="Q11" s="43" t="n">
        <v>4221</v>
      </c>
      <c r="R11" s="43">
        <f>SUM(P11,N11,L11,J11,H11,D11,B11)</f>
        <v/>
      </c>
      <c r="S11" s="43">
        <f>R11/$R$4</f>
        <v/>
      </c>
    </row>
    <row r="12">
      <c r="A12" s="44" t="inlineStr">
        <is>
          <t>CUSTOS INSUMOS</t>
        </is>
      </c>
      <c r="B12" s="45">
        <f>B13+B32+B104+B175+B256+B293+B322+B340</f>
        <v/>
      </c>
      <c r="C12" s="45">
        <f>IFERROR(B12/$B$4,"")</f>
        <v/>
      </c>
      <c r="D12" s="45">
        <f>D13+D32+D104+D175+D256+D293+D322+D340</f>
        <v/>
      </c>
      <c r="E12" s="45">
        <f>IFERROR(D12/$D$4,"")</f>
        <v/>
      </c>
      <c r="F12" s="45">
        <f>F13+F32+F104+F175+F256+F293+F322+F340</f>
        <v/>
      </c>
      <c r="G12" s="45">
        <f>IFERROR(F12/$F$4,"")</f>
        <v/>
      </c>
      <c r="H12" s="45">
        <f>H13+H32+H104+H175+H256+H293+H322+H340</f>
        <v/>
      </c>
      <c r="I12" s="45">
        <f>IFERROR(H12/$H$4,"")</f>
        <v/>
      </c>
      <c r="J12" s="45">
        <f>J13+J32+J104+J175+J256+J293+J322+J340</f>
        <v/>
      </c>
      <c r="K12" s="45">
        <f>IFERROR(J12/$J$4,"")</f>
        <v/>
      </c>
      <c r="L12" s="45">
        <f>L13+L32+L104+L175+L256+L293+L322+L340</f>
        <v/>
      </c>
      <c r="M12" s="45">
        <f>IFERROR(L12/$L$4,"")</f>
        <v/>
      </c>
      <c r="N12" s="45">
        <f>N13+N32+N104+N175+N256+N293+N322+N340</f>
        <v/>
      </c>
      <c r="O12" s="45">
        <f>IFERROR(N12/$N$4,"")</f>
        <v/>
      </c>
      <c r="P12" s="45">
        <f>P13+P32+P104+P175+P256+P293+P322+P340</f>
        <v/>
      </c>
      <c r="Q12" s="45">
        <f>IFERROR(P12/$P$4,"")</f>
        <v/>
      </c>
      <c r="R12" s="45">
        <f>SUM(P12,N12,L12,J12,H12,D12,B12)</f>
        <v/>
      </c>
      <c r="S12" s="45">
        <f>IFERROR(R12/$R$4,"")</f>
        <v/>
      </c>
    </row>
    <row r="13" collapsed="1" s="297">
      <c r="A13" s="46" t="inlineStr">
        <is>
          <t>FERTILIZANTES</t>
        </is>
      </c>
      <c r="B13" s="47">
        <f>SUM(B14:B31)</f>
        <v/>
      </c>
      <c r="C13" s="47">
        <f>B13/$B$4</f>
        <v/>
      </c>
      <c r="D13" s="47">
        <f>SUM(D14:D31)</f>
        <v/>
      </c>
      <c r="E13" s="47">
        <f>D13/$D$4</f>
        <v/>
      </c>
      <c r="F13" s="47">
        <f>SUM(F14:F31)</f>
        <v/>
      </c>
      <c r="G13" s="47">
        <f>F13/$F$4</f>
        <v/>
      </c>
      <c r="H13" s="47">
        <f>SUM(H14:H31)</f>
        <v/>
      </c>
      <c r="I13" s="47">
        <f>H13/$H$4</f>
        <v/>
      </c>
      <c r="J13" s="47">
        <f>SUM(J14:J31)</f>
        <v/>
      </c>
      <c r="K13" s="47">
        <f>J13/$J$4</f>
        <v/>
      </c>
      <c r="L13" s="47">
        <f>SUM(L14:L31)</f>
        <v/>
      </c>
      <c r="M13" s="47">
        <f>L13/$L$4</f>
        <v/>
      </c>
      <c r="N13" s="47">
        <f>SUM(N14:N31)</f>
        <v/>
      </c>
      <c r="O13" s="47">
        <f>N13/$N$4</f>
        <v/>
      </c>
      <c r="P13" s="47">
        <f>SUM(P14:P31)</f>
        <v/>
      </c>
      <c r="Q13" s="47">
        <f>P13/$P$4</f>
        <v/>
      </c>
      <c r="R13" s="47">
        <f>SUM(P13,N13,L13,J13,H13,D13,B13)</f>
        <v/>
      </c>
      <c r="S13" s="47">
        <f>R13/$R$4</f>
        <v/>
      </c>
    </row>
    <row r="14" hidden="1" outlineLevel="1" s="297">
      <c r="A14" s="48">
        <f>IFERROR(__xludf.DUMMYFUNCTION("UNIQUE(FILTER('PORTIFÓLIO'!C:C, 'PORTIFÓLIO'!B:B=""fertilizantes""))"),"I-ACTIVE")</f>
        <v/>
      </c>
      <c r="B14" s="49">
        <f t="array" ref="B14">IFERROR(
SUM(
IF(
'PORTIFÓLIO'!$C$4:$C$564=$A14,
N(INDEX('PORTIFÓLIO'!$J$4:$Q$564,,MATCH(B$2,'PORTIFÓLIO'!$J$3:$Q$3,0))) *
N('PORTIFÓLIO'!$S$4:$S$564),
0
)
),
0)</f>
        <v/>
      </c>
      <c r="C14" s="49">
        <f>B14/$B$4</f>
        <v/>
      </c>
      <c r="D14" s="49">
        <f t="array" ref="D14">IFERROR(
SUM(
IF(
'PORTIFÓLIO'!$C$4:$C$564=$A14,
N(INDEX('PORTIFÓLIO'!$J$4:$Q$564,,MATCH(D$2,'PORTIFÓLIO'!$J$3:$Q$3,0))) *
N('PORTIFÓLIO'!$S$4:$S$564),
0
)
),
0)</f>
        <v/>
      </c>
      <c r="E14" s="49">
        <f>D14/$D$4</f>
        <v/>
      </c>
      <c r="F14" s="49">
        <f t="array" ref="F14">IFERROR(
SUM(
IF(
'PORTIFÓLIO'!$C$4:$C$564=$A14,
N(INDEX('PORTIFÓLIO'!$J$4:$Q$564,,MATCH(F$2,'PORTIFÓLIO'!$J$3:$Q$3,0))) *
N('PORTIFÓLIO'!$S$4:$S$564),
0
)
),
0)</f>
        <v/>
      </c>
      <c r="G14" s="47">
        <f>F14/$F$4</f>
        <v/>
      </c>
      <c r="H14" s="49">
        <f t="array" ref="H14">IFERROR(
SUM(
IF(
'PORTIFÓLIO'!$C$4:$C$564=$A14,
N(INDEX('PORTIFÓLIO'!$J$4:$Q$564,,MATCH(H$2,'PORTIFÓLIO'!$J$3:$Q$3,0))) *
N('PORTIFÓLIO'!$S$4:$S$564),
0
)
),
0)</f>
        <v/>
      </c>
      <c r="I14" s="47">
        <f>H14/$H$4</f>
        <v/>
      </c>
      <c r="J14" s="49">
        <f t="array" ref="J14">IFERROR(
SUM(
IF(
'PORTIFÓLIO'!$C$4:$C$564=$A14,
N(INDEX('PORTIFÓLIO'!$J$4:$Q$564,,MATCH(J$2,'PORTIFÓLIO'!$J$3:$Q$3,0))) *
N('PORTIFÓLIO'!$S$4:$S$564),
0
)
),
0)</f>
        <v/>
      </c>
      <c r="K14" s="47">
        <f>J14/$J$4</f>
        <v/>
      </c>
      <c r="L14" s="49">
        <f t="array" ref="L14">IFERROR(
SUM(
IF(
'PORTIFÓLIO'!$C$4:$C$564=$A14,
N(INDEX('PORTIFÓLIO'!$J$4:$Q$564,,MATCH(L$2,'PORTIFÓLIO'!$J$3:$Q$3,0))) *
N('PORTIFÓLIO'!$S$4:$S$564),
0
)
),
0)</f>
        <v/>
      </c>
      <c r="M14" s="47">
        <f>L14/$L$4</f>
        <v/>
      </c>
      <c r="N14" s="49">
        <f t="array" ref="N14">IFERROR(
SUM(
IF(
'PORTIFÓLIO'!$C$4:$C$564=$A14,
N(INDEX('PORTIFÓLIO'!$J$4:$Q$564,,MATCH(N$2,'PORTIFÓLIO'!$J$3:$Q$3,0))) *
N('PORTIFÓLIO'!$S$4:$S$564),
0
)
),
0)</f>
        <v/>
      </c>
      <c r="O14" s="49">
        <f>N14/$N$4</f>
        <v/>
      </c>
      <c r="P14" s="49">
        <f t="array" ref="P14">IFERROR(
SUM(
IF(
'PORTIFÓLIO'!$C$4:$C$564=$A14,
N(INDEX('PORTIFÓLIO'!$J$4:$Q$564,,MATCH(P$2,'PORTIFÓLIO'!$J$3:$Q$3,0))) *
N('PORTIFÓLIO'!$S$4:$S$564),
0
)
),
0)</f>
        <v/>
      </c>
      <c r="Q14" s="49">
        <f>P14/$P$4</f>
        <v/>
      </c>
      <c r="R14" s="49">
        <f>SUM(P14,N14,L14,J14,H14,D14,B14)</f>
        <v/>
      </c>
      <c r="S14" s="49">
        <f>R14/$R$4</f>
        <v/>
      </c>
    </row>
    <row r="15" hidden="1" outlineLevel="1" s="297">
      <c r="A15" s="48">
        <f>IFERROR(__xludf.DUMMYFUNCTION("""COMPUTED_VALUE"""),"MAP")</f>
        <v/>
      </c>
      <c r="B15" s="49">
        <f t="array" ref="B15">IFERROR(
SUM(
IF(
'PORTIFÓLIO'!$C$4:$C$564=$A15,
N(INDEX('PORTIFÓLIO'!$J$4:$Q$564,,MATCH(B$2,'PORTIFÓLIO'!$J$3:$Q$3,0))) *
N('PORTIFÓLIO'!$S$4:$S$564),
0
)
),
0)</f>
        <v/>
      </c>
      <c r="C15" s="49">
        <f>B15/$B$4</f>
        <v/>
      </c>
      <c r="D15" s="49">
        <f t="array" ref="D15">IFERROR(
SUM(
IF(
'PORTIFÓLIO'!$C$4:$C$564=$A15,
N(INDEX('PORTIFÓLIO'!$J$4:$Q$564,,MATCH(D$2,'PORTIFÓLIO'!$J$3:$Q$3,0))) *
N('PORTIFÓLIO'!$S$4:$S$564),
0
)
),
0)</f>
        <v/>
      </c>
      <c r="E15" s="49">
        <f>D15/$D$4</f>
        <v/>
      </c>
      <c r="F15" s="49">
        <f t="array" ref="F15">IFERROR(
SUM(
IF(
'PORTIFÓLIO'!$C$4:$C$564=$A15,
N(INDEX('PORTIFÓLIO'!$J$4:$Q$564,,MATCH(F$2,'PORTIFÓLIO'!$J$3:$Q$3,0))) *
N('PORTIFÓLIO'!$S$4:$S$564),
0
)
),
0)</f>
        <v/>
      </c>
      <c r="G15" s="47">
        <f>F15/$F$4</f>
        <v/>
      </c>
      <c r="H15" s="49">
        <f t="array" ref="H15">IFERROR(
SUM(
IF(
'PORTIFÓLIO'!$C$4:$C$564=$A15,
N(INDEX('PORTIFÓLIO'!$J$4:$Q$564,,MATCH(H$2,'PORTIFÓLIO'!$J$3:$Q$3,0))) *
N('PORTIFÓLIO'!$S$4:$S$564),
0
)
),
0)</f>
        <v/>
      </c>
      <c r="I15" s="47">
        <f>H15/$H$4</f>
        <v/>
      </c>
      <c r="J15" s="49">
        <f t="array" ref="J15">IFERROR(
SUM(
IF(
'PORTIFÓLIO'!$C$4:$C$564=$A15,
N(INDEX('PORTIFÓLIO'!$J$4:$Q$564,,MATCH(J$2,'PORTIFÓLIO'!$J$3:$Q$3,0))) *
N('PORTIFÓLIO'!$S$4:$S$564),
0
)
),
0)</f>
        <v/>
      </c>
      <c r="K15" s="47">
        <f>J15/$J$4</f>
        <v/>
      </c>
      <c r="L15" s="49">
        <f t="array" ref="L15">IFERROR(
SUM(
IF(
'PORTIFÓLIO'!$C$4:$C$564=$A15,
N(INDEX('PORTIFÓLIO'!$J$4:$Q$564,,MATCH(L$2,'PORTIFÓLIO'!$J$3:$Q$3,0))) *
N('PORTIFÓLIO'!$S$4:$S$564),
0
)
),
0)</f>
        <v/>
      </c>
      <c r="M15" s="47">
        <f>L15/$L$4</f>
        <v/>
      </c>
      <c r="N15" s="49">
        <f t="array" ref="N15">IFERROR(
SUM(
IF(
'PORTIFÓLIO'!$C$4:$C$564=$A15,
N(INDEX('PORTIFÓLIO'!$J$4:$Q$564,,MATCH(N$2,'PORTIFÓLIO'!$J$3:$Q$3,0))) *
N('PORTIFÓLIO'!$S$4:$S$564),
0
)
),
0)</f>
        <v/>
      </c>
      <c r="O15" s="49">
        <f>N15/$N$4</f>
        <v/>
      </c>
      <c r="P15" s="49">
        <f t="array" ref="P15">IFERROR(
SUM(
IF(
'PORTIFÓLIO'!$C$4:$C$564=$A15,
N(INDEX('PORTIFÓLIO'!$J$4:$Q$564,,MATCH(P$2,'PORTIFÓLIO'!$J$3:$Q$3,0))) *
N('PORTIFÓLIO'!$S$4:$S$564),
0
)
),
0)</f>
        <v/>
      </c>
      <c r="Q15" s="49">
        <f>P15/$P$4</f>
        <v/>
      </c>
      <c r="R15" s="49">
        <f>SUM(P15,N15,L15,J15,H15,D15,B15)</f>
        <v/>
      </c>
      <c r="S15" s="49">
        <f>R15/$R$4</f>
        <v/>
      </c>
    </row>
    <row r="16" hidden="1" outlineLevel="1" s="297">
      <c r="A16" s="48">
        <f>IFERROR(__xludf.DUMMYFUNCTION("""COMPUTED_VALUE"""),"KCL 60%")</f>
        <v/>
      </c>
      <c r="B16" s="49">
        <f t="array" ref="B16">IFERROR(
SUM(
IF(
'PORTIFÓLIO'!$C$4:$C$564=$A16,
N(INDEX('PORTIFÓLIO'!$J$4:$Q$564,,MATCH(B$2,'PORTIFÓLIO'!$J$3:$Q$3,0))) *
N('PORTIFÓLIO'!$S$4:$S$564),
0
)
),
0)</f>
        <v/>
      </c>
      <c r="C16" s="49">
        <f>B16/$B$4</f>
        <v/>
      </c>
      <c r="D16" s="49">
        <f t="array" ref="D16">IFERROR(
SUM(
IF(
'PORTIFÓLIO'!$C$4:$C$564=$A16,
N(INDEX('PORTIFÓLIO'!$J$4:$Q$564,,MATCH(D$2,'PORTIFÓLIO'!$J$3:$Q$3,0))) *
N('PORTIFÓLIO'!$S$4:$S$564),
0
)
),
0)</f>
        <v/>
      </c>
      <c r="E16" s="49">
        <f>D16/$D$4</f>
        <v/>
      </c>
      <c r="F16" s="49">
        <f t="array" ref="F16">IFERROR(
SUM(
IF(
'PORTIFÓLIO'!$C$4:$C$564=$A16,
N(INDEX('PORTIFÓLIO'!$J$4:$Q$564,,MATCH(F$2,'PORTIFÓLIO'!$J$3:$Q$3,0))) *
N('PORTIFÓLIO'!$S$4:$S$564),
0
)
),
0)</f>
        <v/>
      </c>
      <c r="G16" s="47">
        <f>F16/$F$4</f>
        <v/>
      </c>
      <c r="H16" s="49">
        <f t="array" ref="H16">IFERROR(
SUM(
IF(
'PORTIFÓLIO'!$C$4:$C$564=$A16,
N(INDEX('PORTIFÓLIO'!$J$4:$Q$564,,MATCH(H$2,'PORTIFÓLIO'!$J$3:$Q$3,0))) *
N('PORTIFÓLIO'!$S$4:$S$564),
0
)
),
0)</f>
        <v/>
      </c>
      <c r="I16" s="47">
        <f>H16/$H$4</f>
        <v/>
      </c>
      <c r="J16" s="49">
        <f t="array" ref="J16">IFERROR(
SUM(
IF(
'PORTIFÓLIO'!$C$4:$C$564=$A16,
N(INDEX('PORTIFÓLIO'!$J$4:$Q$564,,MATCH(J$2,'PORTIFÓLIO'!$J$3:$Q$3,0))) *
N('PORTIFÓLIO'!$S$4:$S$564),
0
)
),
0)</f>
        <v/>
      </c>
      <c r="K16" s="47">
        <f>J16/$J$4</f>
        <v/>
      </c>
      <c r="L16" s="49">
        <f t="array" ref="L16">IFERROR(
SUM(
IF(
'PORTIFÓLIO'!$C$4:$C$564=$A16,
N(INDEX('PORTIFÓLIO'!$J$4:$Q$564,,MATCH(L$2,'PORTIFÓLIO'!$J$3:$Q$3,0))) *
N('PORTIFÓLIO'!$S$4:$S$564),
0
)
),
0)</f>
        <v/>
      </c>
      <c r="M16" s="47">
        <f>L16/$L$4</f>
        <v/>
      </c>
      <c r="N16" s="49">
        <f t="array" ref="N16">IFERROR(
SUM(
IF(
'PORTIFÓLIO'!$C$4:$C$564=$A16,
N(INDEX('PORTIFÓLIO'!$J$4:$Q$564,,MATCH(N$2,'PORTIFÓLIO'!$J$3:$Q$3,0))) *
N('PORTIFÓLIO'!$S$4:$S$564),
0
)
),
0)</f>
        <v/>
      </c>
      <c r="O16" s="49">
        <f>N16/$N$4</f>
        <v/>
      </c>
      <c r="P16" s="49">
        <f t="array" ref="P16">IFERROR(
SUM(
IF(
'PORTIFÓLIO'!$C$4:$C$564=$A16,
N(INDEX('PORTIFÓLIO'!$J$4:$Q$564,,MATCH(P$2,'PORTIFÓLIO'!$J$3:$Q$3,0))) *
N('PORTIFÓLIO'!$S$4:$S$564),
0
)
),
0)</f>
        <v/>
      </c>
      <c r="Q16" s="49">
        <f>P16/$P$4</f>
        <v/>
      </c>
      <c r="R16" s="49">
        <f>SUM(P16,N16,L16,J16,H16,D16,B16)</f>
        <v/>
      </c>
      <c r="S16" s="49">
        <f>R16/$R$4</f>
        <v/>
      </c>
    </row>
    <row r="17" hidden="1" outlineLevel="1" s="297">
      <c r="A17" s="48">
        <f>IFERROR(__xludf.DUMMYFUNCTION("""COMPUTED_VALUE"""),"05-37-00")</f>
        <v/>
      </c>
      <c r="B17" s="49">
        <f t="array" ref="B17">IFERROR(
SUM(
IF(
'PORTIFÓLIO'!$C$4:$C$564=$A17,
N(INDEX('PORTIFÓLIO'!$J$4:$Q$564,,MATCH(B$2,'PORTIFÓLIO'!$J$3:$Q$3,0))) *
N('PORTIFÓLIO'!$S$4:$S$564),
0
)
),
0)</f>
        <v/>
      </c>
      <c r="C17" s="49">
        <f>B17/$B$4</f>
        <v/>
      </c>
      <c r="D17" s="49">
        <f t="array" ref="D17">IFERROR(
SUM(
IF(
'PORTIFÓLIO'!$C$4:$C$564=$A17,
N(INDEX('PORTIFÓLIO'!$J$4:$Q$564,,MATCH(D$2,'PORTIFÓLIO'!$J$3:$Q$3,0))) *
N('PORTIFÓLIO'!$S$4:$S$564),
0
)
),
0)</f>
        <v/>
      </c>
      <c r="E17" s="49">
        <f>D17/$D$4</f>
        <v/>
      </c>
      <c r="F17" s="49">
        <f t="array" ref="F17">IFERROR(
SUM(
IF(
'PORTIFÓLIO'!$C$4:$C$564=$A17,
N(INDEX('PORTIFÓLIO'!$J$4:$Q$564,,MATCH(F$2,'PORTIFÓLIO'!$J$3:$Q$3,0))) *
N('PORTIFÓLIO'!$S$4:$S$564),
0
)
),
0)</f>
        <v/>
      </c>
      <c r="G17" s="47">
        <f>F17/$F$4</f>
        <v/>
      </c>
      <c r="H17" s="49">
        <f t="array" ref="H17">IFERROR(
SUM(
IF(
'PORTIFÓLIO'!$C$4:$C$564=$A17,
N(INDEX('PORTIFÓLIO'!$J$4:$Q$564,,MATCH(H$2,'PORTIFÓLIO'!$J$3:$Q$3,0))) *
N('PORTIFÓLIO'!$S$4:$S$564),
0
)
),
0)</f>
        <v/>
      </c>
      <c r="I17" s="47">
        <f>H17/$H$4</f>
        <v/>
      </c>
      <c r="J17" s="49">
        <f t="array" ref="J17">IFERROR(
SUM(
IF(
'PORTIFÓLIO'!$C$4:$C$564=$A17,
N(INDEX('PORTIFÓLIO'!$J$4:$Q$564,,MATCH(J$2,'PORTIFÓLIO'!$J$3:$Q$3,0))) *
N('PORTIFÓLIO'!$S$4:$S$564),
0
)
),
0)</f>
        <v/>
      </c>
      <c r="K17" s="47">
        <f>J17/$J$4</f>
        <v/>
      </c>
      <c r="L17" s="49">
        <f t="array" ref="L17">IFERROR(
SUM(
IF(
'PORTIFÓLIO'!$C$4:$C$564=$A17,
N(INDEX('PORTIFÓLIO'!$J$4:$Q$564,,MATCH(L$2,'PORTIFÓLIO'!$J$3:$Q$3,0))) *
N('PORTIFÓLIO'!$S$4:$S$564),
0
)
),
0)</f>
        <v/>
      </c>
      <c r="M17" s="47">
        <f>L17/$L$4</f>
        <v/>
      </c>
      <c r="N17" s="49">
        <f t="array" ref="N17">IFERROR(
SUM(
IF(
'PORTIFÓLIO'!$C$4:$C$564=$A17,
N(INDEX('PORTIFÓLIO'!$J$4:$Q$564,,MATCH(N$2,'PORTIFÓLIO'!$J$3:$Q$3,0))) *
N('PORTIFÓLIO'!$S$4:$S$564),
0
)
),
0)</f>
        <v/>
      </c>
      <c r="O17" s="49">
        <f>N17/$N$4</f>
        <v/>
      </c>
      <c r="P17" s="49">
        <f t="array" ref="P17">IFERROR(
SUM(
IF(
'PORTIFÓLIO'!$C$4:$C$564=$A17,
N(INDEX('PORTIFÓLIO'!$J$4:$Q$564,,MATCH(P$2,'PORTIFÓLIO'!$J$3:$Q$3,0))) *
N('PORTIFÓLIO'!$S$4:$S$564),
0
)
),
0)</f>
        <v/>
      </c>
      <c r="Q17" s="49">
        <f>P17/$P$4</f>
        <v/>
      </c>
      <c r="R17" s="49">
        <f>SUM(P17,N17,L17,J17,H17,D17,B17)</f>
        <v/>
      </c>
      <c r="S17" s="49">
        <f>R17/$R$4</f>
        <v/>
      </c>
    </row>
    <row r="18" hidden="1" outlineLevel="1" s="297">
      <c r="A18" s="48">
        <f>IFERROR(__xludf.DUMMYFUNCTION("""COMPUTED_VALUE"""),"10-46-00 + S")</f>
        <v/>
      </c>
      <c r="B18" s="49">
        <f t="array" ref="B18">IFERROR(
SUM(
IF(
'PORTIFÓLIO'!$C$4:$C$564=$A18,
N(INDEX('PORTIFÓLIO'!$J$4:$Q$564,,MATCH(B$2,'PORTIFÓLIO'!$J$3:$Q$3,0))) *
N('PORTIFÓLIO'!$S$4:$S$564),
0
)
),
0)</f>
        <v/>
      </c>
      <c r="C18" s="49">
        <f>B18/$B$4</f>
        <v/>
      </c>
      <c r="D18" s="49">
        <f t="array" ref="D18">IFERROR(
SUM(
IF(
'PORTIFÓLIO'!$C$4:$C$564=$A18,
N(INDEX('PORTIFÓLIO'!$J$4:$Q$564,,MATCH(D$2,'PORTIFÓLIO'!$J$3:$Q$3,0))) *
N('PORTIFÓLIO'!$S$4:$S$564),
0
)
),
0)</f>
        <v/>
      </c>
      <c r="E18" s="49">
        <f>D18/$D$4</f>
        <v/>
      </c>
      <c r="F18" s="49">
        <f t="array" ref="F18">IFERROR(
SUM(
IF(
'PORTIFÓLIO'!$C$4:$C$564=$A18,
N(INDEX('PORTIFÓLIO'!$J$4:$Q$564,,MATCH(F$2,'PORTIFÓLIO'!$J$3:$Q$3,0))) *
N('PORTIFÓLIO'!$S$4:$S$564),
0
)
),
0)</f>
        <v/>
      </c>
      <c r="G18" s="47">
        <f>F18/$F$4</f>
        <v/>
      </c>
      <c r="H18" s="49">
        <f t="array" ref="H18">IFERROR(
SUM(
IF(
'PORTIFÓLIO'!$C$4:$C$564=$A18,
N(INDEX('PORTIFÓLIO'!$J$4:$Q$564,,MATCH(H$2,'PORTIFÓLIO'!$J$3:$Q$3,0))) *
N('PORTIFÓLIO'!$S$4:$S$564),
0
)
),
0)</f>
        <v/>
      </c>
      <c r="I18" s="47">
        <f>H18/$H$4</f>
        <v/>
      </c>
      <c r="J18" s="49">
        <f t="array" ref="J18">IFERROR(
SUM(
IF(
'PORTIFÓLIO'!$C$4:$C$564=$A18,
N(INDEX('PORTIFÓLIO'!$J$4:$Q$564,,MATCH(J$2,'PORTIFÓLIO'!$J$3:$Q$3,0))) *
N('PORTIFÓLIO'!$S$4:$S$564),
0
)
),
0)</f>
        <v/>
      </c>
      <c r="K18" s="47">
        <f>J18/$J$4</f>
        <v/>
      </c>
      <c r="L18" s="49">
        <f t="array" ref="L18">IFERROR(
SUM(
IF(
'PORTIFÓLIO'!$C$4:$C$564=$A18,
N(INDEX('PORTIFÓLIO'!$J$4:$Q$564,,MATCH(L$2,'PORTIFÓLIO'!$J$3:$Q$3,0))) *
N('PORTIFÓLIO'!$S$4:$S$564),
0
)
),
0)</f>
        <v/>
      </c>
      <c r="M18" s="47">
        <f>L18/$L$4</f>
        <v/>
      </c>
      <c r="N18" s="49">
        <f t="array" ref="N18">IFERROR(
SUM(
IF(
'PORTIFÓLIO'!$C$4:$C$564=$A18,
N(INDEX('PORTIFÓLIO'!$J$4:$Q$564,,MATCH(N$2,'PORTIFÓLIO'!$J$3:$Q$3,0))) *
N('PORTIFÓLIO'!$S$4:$S$564),
0
)
),
0)</f>
        <v/>
      </c>
      <c r="O18" s="49">
        <f>N18/$N$4</f>
        <v/>
      </c>
      <c r="P18" s="49">
        <f t="array" ref="P18">IFERROR(
SUM(
IF(
'PORTIFÓLIO'!$C$4:$C$564=$A18,
N(INDEX('PORTIFÓLIO'!$J$4:$Q$564,,MATCH(P$2,'PORTIFÓLIO'!$J$3:$Q$3,0))) *
N('PORTIFÓLIO'!$S$4:$S$564),
0
)
),
0)</f>
        <v/>
      </c>
      <c r="Q18" s="49">
        <f>P18/$P$4</f>
        <v/>
      </c>
      <c r="R18" s="49">
        <f>SUM(P18,N18,L18,J18,H18,D18,B18)</f>
        <v/>
      </c>
      <c r="S18" s="49">
        <f>R18/$R$4</f>
        <v/>
      </c>
    </row>
    <row r="19" hidden="1" outlineLevel="1" s="297">
      <c r="A19" s="48">
        <f>IFERROR(__xludf.DUMMYFUNCTION("""COMPUTED_VALUE"""),"08-42-00")</f>
        <v/>
      </c>
      <c r="B19" s="49">
        <f t="array" ref="B19">IFERROR(
SUM(
IF(
'PORTIFÓLIO'!$C$4:$C$564=$A19,
N(INDEX('PORTIFÓLIO'!$J$4:$Q$564,,MATCH(B$2,'PORTIFÓLIO'!$J$3:$Q$3,0))) *
N('PORTIFÓLIO'!$S$4:$S$564),
0
)
),
0)</f>
        <v/>
      </c>
      <c r="C19" s="49">
        <f>B19/$B$4</f>
        <v/>
      </c>
      <c r="D19" s="49">
        <f t="array" ref="D19">IFERROR(
SUM(
IF(
'PORTIFÓLIO'!$C$4:$C$564=$A19,
N(INDEX('PORTIFÓLIO'!$J$4:$Q$564,,MATCH(D$2,'PORTIFÓLIO'!$J$3:$Q$3,0))) *
N('PORTIFÓLIO'!$S$4:$S$564),
0
)
),
0)</f>
        <v/>
      </c>
      <c r="E19" s="49">
        <f>D19/$D$4</f>
        <v/>
      </c>
      <c r="F19" s="49">
        <f t="array" ref="F19">IFERROR(
SUM(
IF(
'PORTIFÓLIO'!$C$4:$C$564=$A19,
N(INDEX('PORTIFÓLIO'!$J$4:$Q$564,,MATCH(F$2,'PORTIFÓLIO'!$J$3:$Q$3,0))) *
N('PORTIFÓLIO'!$S$4:$S$564),
0
)
),
0)</f>
        <v/>
      </c>
      <c r="G19" s="47">
        <f>F19/$F$4</f>
        <v/>
      </c>
      <c r="H19" s="49">
        <f t="array" ref="H19">IFERROR(
SUM(
IF(
'PORTIFÓLIO'!$C$4:$C$564=$A19,
N(INDEX('PORTIFÓLIO'!$J$4:$Q$564,,MATCH(H$2,'PORTIFÓLIO'!$J$3:$Q$3,0))) *
N('PORTIFÓLIO'!$S$4:$S$564),
0
)
),
0)</f>
        <v/>
      </c>
      <c r="I19" s="47">
        <f>H19/$H$4</f>
        <v/>
      </c>
      <c r="J19" s="49">
        <f t="array" ref="J19">IFERROR(
SUM(
IF(
'PORTIFÓLIO'!$C$4:$C$564=$A19,
N(INDEX('PORTIFÓLIO'!$J$4:$Q$564,,MATCH(J$2,'PORTIFÓLIO'!$J$3:$Q$3,0))) *
N('PORTIFÓLIO'!$S$4:$S$564),
0
)
),
0)</f>
        <v/>
      </c>
      <c r="K19" s="47">
        <f>J19/$J$4</f>
        <v/>
      </c>
      <c r="L19" s="49">
        <f t="array" ref="L19">IFERROR(
SUM(
IF(
'PORTIFÓLIO'!$C$4:$C$564=$A19,
N(INDEX('PORTIFÓLIO'!$J$4:$Q$564,,MATCH(L$2,'PORTIFÓLIO'!$J$3:$Q$3,0))) *
N('PORTIFÓLIO'!$S$4:$S$564),
0
)
),
0)</f>
        <v/>
      </c>
      <c r="M19" s="47">
        <f>L19/$L$4</f>
        <v/>
      </c>
      <c r="N19" s="49">
        <f t="array" ref="N19">IFERROR(
SUM(
IF(
'PORTIFÓLIO'!$C$4:$C$564=$A19,
N(INDEX('PORTIFÓLIO'!$J$4:$Q$564,,MATCH(N$2,'PORTIFÓLIO'!$J$3:$Q$3,0))) *
N('PORTIFÓLIO'!$S$4:$S$564),
0
)
),
0)</f>
        <v/>
      </c>
      <c r="O19" s="49">
        <f>N19/$N$4</f>
        <v/>
      </c>
      <c r="P19" s="49">
        <f t="array" ref="P19">IFERROR(
SUM(
IF(
'PORTIFÓLIO'!$C$4:$C$564=$A19,
N(INDEX('PORTIFÓLIO'!$J$4:$Q$564,,MATCH(P$2,'PORTIFÓLIO'!$J$3:$Q$3,0))) *
N('PORTIFÓLIO'!$S$4:$S$564),
0
)
),
0)</f>
        <v/>
      </c>
      <c r="Q19" s="49">
        <f>P19/$P$4</f>
        <v/>
      </c>
      <c r="R19" s="49">
        <f>SUM(P19,N19,L19,J19,H19,D19,B19)</f>
        <v/>
      </c>
      <c r="S19" s="49">
        <f>R19/$R$4</f>
        <v/>
      </c>
    </row>
    <row r="20" hidden="1" outlineLevel="1" s="297">
      <c r="A20" s="48">
        <f>IFERROR(__xludf.DUMMYFUNCTION("""COMPUTED_VALUE"""),"SSP 21")</f>
        <v/>
      </c>
      <c r="B20" s="49">
        <f t="array" ref="B20">IFERROR(
SUM(
IF(
'PORTIFÓLIO'!$C$4:$C$564=$A20,
N(INDEX('PORTIFÓLIO'!$J$4:$Q$564,,MATCH(B$2,'PORTIFÓLIO'!$J$3:$Q$3,0))) *
N('PORTIFÓLIO'!$S$4:$S$564),
0
)
),
0)</f>
        <v/>
      </c>
      <c r="C20" s="49">
        <f>B20/$B$4</f>
        <v/>
      </c>
      <c r="D20" s="49">
        <f t="array" ref="D20">IFERROR(
SUM(
IF(
'PORTIFÓLIO'!$C$4:$C$564=$A20,
N(INDEX('PORTIFÓLIO'!$J$4:$Q$564,,MATCH(D$2,'PORTIFÓLIO'!$J$3:$Q$3,0))) *
N('PORTIFÓLIO'!$S$4:$S$564),
0
)
),
0)</f>
        <v/>
      </c>
      <c r="E20" s="49">
        <f>D20/$D$4</f>
        <v/>
      </c>
      <c r="F20" s="49">
        <f t="array" ref="F20">IFERROR(
SUM(
IF(
'PORTIFÓLIO'!$C$4:$C$564=$A20,
N(INDEX('PORTIFÓLIO'!$J$4:$Q$564,,MATCH(F$2,'PORTIFÓLIO'!$J$3:$Q$3,0))) *
N('PORTIFÓLIO'!$S$4:$S$564),
0
)
),
0)</f>
        <v/>
      </c>
      <c r="G20" s="47">
        <f>F20/$F$4</f>
        <v/>
      </c>
      <c r="H20" s="49">
        <f t="array" ref="H20">IFERROR(
SUM(
IF(
'PORTIFÓLIO'!$C$4:$C$564=$A20,
N(INDEX('PORTIFÓLIO'!$J$4:$Q$564,,MATCH(H$2,'PORTIFÓLIO'!$J$3:$Q$3,0))) *
N('PORTIFÓLIO'!$S$4:$S$564),
0
)
),
0)</f>
        <v/>
      </c>
      <c r="I20" s="47">
        <f>H20/$H$4</f>
        <v/>
      </c>
      <c r="J20" s="49">
        <f t="array" ref="J20">IFERROR(
SUM(
IF(
'PORTIFÓLIO'!$C$4:$C$564=$A20,
N(INDEX('PORTIFÓLIO'!$J$4:$Q$564,,MATCH(J$2,'PORTIFÓLIO'!$J$3:$Q$3,0))) *
N('PORTIFÓLIO'!$S$4:$S$564),
0
)
),
0)</f>
        <v/>
      </c>
      <c r="K20" s="47">
        <f>J20/$J$4</f>
        <v/>
      </c>
      <c r="L20" s="49">
        <f t="array" ref="L20">IFERROR(
SUM(
IF(
'PORTIFÓLIO'!$C$4:$C$564=$A20,
N(INDEX('PORTIFÓLIO'!$J$4:$Q$564,,MATCH(L$2,'PORTIFÓLIO'!$J$3:$Q$3,0))) *
N('PORTIFÓLIO'!$S$4:$S$564),
0
)
),
0)</f>
        <v/>
      </c>
      <c r="M20" s="47">
        <f>L20/$L$4</f>
        <v/>
      </c>
      <c r="N20" s="49">
        <f t="array" ref="N20">IFERROR(
SUM(
IF(
'PORTIFÓLIO'!$C$4:$C$564=$A20,
N(INDEX('PORTIFÓLIO'!$J$4:$Q$564,,MATCH(N$2,'PORTIFÓLIO'!$J$3:$Q$3,0))) *
N('PORTIFÓLIO'!$S$4:$S$564),
0
)
),
0)</f>
        <v/>
      </c>
      <c r="O20" s="49">
        <f>N20/$N$4</f>
        <v/>
      </c>
      <c r="P20" s="49">
        <f t="array" ref="P20">IFERROR(
SUM(
IF(
'PORTIFÓLIO'!$C$4:$C$564=$A20,
N(INDEX('PORTIFÓLIO'!$J$4:$Q$564,,MATCH(P$2,'PORTIFÓLIO'!$J$3:$Q$3,0))) *
N('PORTIFÓLIO'!$S$4:$S$564),
0
)
),
0)</f>
        <v/>
      </c>
      <c r="Q20" s="49">
        <f>P20/$P$4</f>
        <v/>
      </c>
      <c r="R20" s="49">
        <f>SUM(P20,N20,L20,J20,H20,D20,B20)</f>
        <v/>
      </c>
      <c r="S20" s="49">
        <f>R20/$R$4</f>
        <v/>
      </c>
    </row>
    <row r="21" hidden="1" outlineLevel="1" ht="15.75" customHeight="1" s="297">
      <c r="A21" s="48">
        <f>IFERROR(__xludf.DUMMYFUNCTION("""COMPUTED_VALUE"""),"03-15-07 +14%CO")</f>
        <v/>
      </c>
      <c r="B21" s="49">
        <f t="array" ref="B21">IFERROR(
SUM(
IF(
'PORTIFÓLIO'!$C$4:$C$564=$A21,
N(INDEX('PORTIFÓLIO'!$J$4:$Q$564,,MATCH(B$2,'PORTIFÓLIO'!$J$3:$Q$3,0))) *
N('PORTIFÓLIO'!$S$4:$S$564),
0
)
),
0)</f>
        <v/>
      </c>
      <c r="C21" s="49">
        <f>B21/$B$4</f>
        <v/>
      </c>
      <c r="D21" s="49">
        <f t="array" ref="D21">IFERROR(
SUM(
IF(
'PORTIFÓLIO'!$C$4:$C$564=$A21,
N(INDEX('PORTIFÓLIO'!$J$4:$Q$564,,MATCH(D$2,'PORTIFÓLIO'!$J$3:$Q$3,0))) *
N('PORTIFÓLIO'!$S$4:$S$564),
0
)
),
0)</f>
        <v/>
      </c>
      <c r="E21" s="49">
        <f>D21/$D$4</f>
        <v/>
      </c>
      <c r="F21" s="49">
        <f t="array" ref="F21">IFERROR(
SUM(
IF(
'PORTIFÓLIO'!$C$4:$C$564=$A21,
N(INDEX('PORTIFÓLIO'!$J$4:$Q$564,,MATCH(F$2,'PORTIFÓLIO'!$J$3:$Q$3,0))) *
N('PORTIFÓLIO'!$S$4:$S$564),
0
)
),
0)</f>
        <v/>
      </c>
      <c r="G21" s="47">
        <f>F21/$F$4</f>
        <v/>
      </c>
      <c r="H21" s="49">
        <f t="array" ref="H21">IFERROR(
SUM(
IF(
'PORTIFÓLIO'!$C$4:$C$564=$A21,
N(INDEX('PORTIFÓLIO'!$J$4:$Q$564,,MATCH(H$2,'PORTIFÓLIO'!$J$3:$Q$3,0))) *
N('PORTIFÓLIO'!$S$4:$S$564),
0
)
),
0)</f>
        <v/>
      </c>
      <c r="I21" s="47">
        <f>H21/$H$4</f>
        <v/>
      </c>
      <c r="J21" s="49">
        <f t="array" ref="J21">IFERROR(
SUM(
IF(
'PORTIFÓLIO'!$C$4:$C$564=$A21,
N(INDEX('PORTIFÓLIO'!$J$4:$Q$564,,MATCH(J$2,'PORTIFÓLIO'!$J$3:$Q$3,0))) *
N('PORTIFÓLIO'!$S$4:$S$564),
0
)
),
0)</f>
        <v/>
      </c>
      <c r="K21" s="47">
        <f>J21/$J$4</f>
        <v/>
      </c>
      <c r="L21" s="49">
        <f t="array" ref="L21">IFERROR(
SUM(
IF(
'PORTIFÓLIO'!$C$4:$C$564=$A21,
N(INDEX('PORTIFÓLIO'!$J$4:$Q$564,,MATCH(L$2,'PORTIFÓLIO'!$J$3:$Q$3,0))) *
N('PORTIFÓLIO'!$S$4:$S$564),
0
)
),
0)</f>
        <v/>
      </c>
      <c r="M21" s="47">
        <f>L21/$L$4</f>
        <v/>
      </c>
      <c r="N21" s="49">
        <f t="array" ref="N21">IFERROR(
SUM(
IF(
'PORTIFÓLIO'!$C$4:$C$564=$A21,
N(INDEX('PORTIFÓLIO'!$J$4:$Q$564,,MATCH(N$2,'PORTIFÓLIO'!$J$3:$Q$3,0))) *
N('PORTIFÓLIO'!$S$4:$S$564),
0
)
),
0)</f>
        <v/>
      </c>
      <c r="O21" s="49">
        <f>N21/$N$4</f>
        <v/>
      </c>
      <c r="P21" s="49">
        <f t="array" ref="P21">IFERROR(
SUM(
IF(
'PORTIFÓLIO'!$C$4:$C$564=$A21,
N(INDEX('PORTIFÓLIO'!$J$4:$Q$564,,MATCH(P$2,'PORTIFÓLIO'!$J$3:$Q$3,0))) *
N('PORTIFÓLIO'!$S$4:$S$564),
0
)
),
0)</f>
        <v/>
      </c>
      <c r="Q21" s="49">
        <f>P21/$P$4</f>
        <v/>
      </c>
      <c r="R21" s="49">
        <f>SUM(P21,N21,L21,J21,H21,D21,B21)</f>
        <v/>
      </c>
      <c r="S21" s="49">
        <f>R21/$R$4</f>
        <v/>
      </c>
    </row>
    <row r="22" hidden="1" outlineLevel="1" ht="15.75" customHeight="1" s="297">
      <c r="A22" s="48">
        <f>IFERROR(__xludf.DUMMYFUNCTION("""COMPUTED_VALUE"""),"URÉIA")</f>
        <v/>
      </c>
      <c r="B22" s="49">
        <f t="array" ref="B22">IFERROR(
SUM(
IF(
'PORTIFÓLIO'!$C$4:$C$564=$A22,
N(INDEX('PORTIFÓLIO'!$J$4:$Q$564,,MATCH(B$2,'PORTIFÓLIO'!$J$3:$Q$3,0))) *
N('PORTIFÓLIO'!$S$4:$S$564),
0
)
),
0)</f>
        <v/>
      </c>
      <c r="C22" s="49">
        <f>B22/$B$4</f>
        <v/>
      </c>
      <c r="D22" s="49">
        <f t="array" ref="D22">IFERROR(
SUM(
IF(
'PORTIFÓLIO'!$C$4:$C$564=$A22,
N(INDEX('PORTIFÓLIO'!$J$4:$Q$564,,MATCH(D$2,'PORTIFÓLIO'!$J$3:$Q$3,0))) *
N('PORTIFÓLIO'!$S$4:$S$564),
0
)
),
0)</f>
        <v/>
      </c>
      <c r="E22" s="49">
        <f>D22/$D$4</f>
        <v/>
      </c>
      <c r="F22" s="49">
        <f t="array" ref="F22">IFERROR(
SUM(
IF(
'PORTIFÓLIO'!$C$4:$C$564=$A22,
N(INDEX('PORTIFÓLIO'!$J$4:$Q$564,,MATCH(F$2,'PORTIFÓLIO'!$J$3:$Q$3,0))) *
N('PORTIFÓLIO'!$S$4:$S$564),
0
)
),
0)</f>
        <v/>
      </c>
      <c r="G22" s="47">
        <f>F22/$F$4</f>
        <v/>
      </c>
      <c r="H22" s="49">
        <f t="array" ref="H22">IFERROR(
SUM(
IF(
'PORTIFÓLIO'!$C$4:$C$564=$A22,
N(INDEX('PORTIFÓLIO'!$J$4:$Q$564,,MATCH(H$2,'PORTIFÓLIO'!$J$3:$Q$3,0))) *
N('PORTIFÓLIO'!$S$4:$S$564),
0
)
),
0)</f>
        <v/>
      </c>
      <c r="I22" s="47">
        <f>H22/$H$4</f>
        <v/>
      </c>
      <c r="J22" s="49">
        <f t="array" ref="J22">IFERROR(
SUM(
IF(
'PORTIFÓLIO'!$C$4:$C$564=$A22,
N(INDEX('PORTIFÓLIO'!$J$4:$Q$564,,MATCH(J$2,'PORTIFÓLIO'!$J$3:$Q$3,0))) *
N('PORTIFÓLIO'!$S$4:$S$564),
0
)
),
0)</f>
        <v/>
      </c>
      <c r="K22" s="47">
        <f>J22/$J$4</f>
        <v/>
      </c>
      <c r="L22" s="49">
        <f t="array" ref="L22">IFERROR(
SUM(
IF(
'PORTIFÓLIO'!$C$4:$C$564=$A22,
N(INDEX('PORTIFÓLIO'!$J$4:$Q$564,,MATCH(L$2,'PORTIFÓLIO'!$J$3:$Q$3,0))) *
N('PORTIFÓLIO'!$S$4:$S$564),
0
)
),
0)</f>
        <v/>
      </c>
      <c r="M22" s="47">
        <f>L22/$L$4</f>
        <v/>
      </c>
      <c r="N22" s="49">
        <f t="array" ref="N22">IFERROR(
SUM(
IF(
'PORTIFÓLIO'!$C$4:$C$564=$A22,
N(INDEX('PORTIFÓLIO'!$J$4:$Q$564,,MATCH(N$2,'PORTIFÓLIO'!$J$3:$Q$3,0))) *
N('PORTIFÓLIO'!$S$4:$S$564),
0
)
),
0)</f>
        <v/>
      </c>
      <c r="O22" s="49">
        <f>N22/$N$4</f>
        <v/>
      </c>
      <c r="P22" s="49">
        <f t="array" ref="P22">IFERROR(
SUM(
IF(
'PORTIFÓLIO'!$C$4:$C$564=$A22,
N(INDEX('PORTIFÓLIO'!$J$4:$Q$564,,MATCH(P$2,'PORTIFÓLIO'!$J$3:$Q$3,0))) *
N('PORTIFÓLIO'!$S$4:$S$564),
0
)
),
0)</f>
        <v/>
      </c>
      <c r="Q22" s="49">
        <f>P22/$P$4</f>
        <v/>
      </c>
      <c r="R22" s="49">
        <f>SUM(P22,N22,L22,J22,H22,D22,B22)</f>
        <v/>
      </c>
      <c r="S22" s="49">
        <f>R22/$R$4</f>
        <v/>
      </c>
    </row>
    <row r="23" hidden="1" outlineLevel="1" ht="15.75" customHeight="1" s="297">
      <c r="A23" s="48">
        <f>IFERROR(__xludf.DUMMYFUNCTION("""COMPUTED_VALUE"""),"SULFATO DE AMÔNIO")</f>
        <v/>
      </c>
      <c r="B23" s="49">
        <f t="array" ref="B23">IFERROR(
SUM(
IF(
'PORTIFÓLIO'!$C$4:$C$564=$A23,
N(INDEX('PORTIFÓLIO'!$J$4:$Q$564,,MATCH(B$2,'PORTIFÓLIO'!$J$3:$Q$3,0))) *
N('PORTIFÓLIO'!$S$4:$S$564),
0
)
),
0)</f>
        <v/>
      </c>
      <c r="C23" s="49">
        <f>B23/$B$4</f>
        <v/>
      </c>
      <c r="D23" s="49">
        <f t="array" ref="D23">IFERROR(
SUM(
IF(
'PORTIFÓLIO'!$C$4:$C$564=$A23,
N(INDEX('PORTIFÓLIO'!$J$4:$Q$564,,MATCH(D$2,'PORTIFÓLIO'!$J$3:$Q$3,0))) *
N('PORTIFÓLIO'!$S$4:$S$564),
0
)
),
0)</f>
        <v/>
      </c>
      <c r="E23" s="49">
        <f>D23/$D$4</f>
        <v/>
      </c>
      <c r="F23" s="49">
        <f t="array" ref="F23">IFERROR(
SUM(
IF(
'PORTIFÓLIO'!$C$4:$C$564=$A23,
N(INDEX('PORTIFÓLIO'!$J$4:$Q$564,,MATCH(F$2,'PORTIFÓLIO'!$J$3:$Q$3,0))) *
N('PORTIFÓLIO'!$S$4:$S$564),
0
)
),
0)</f>
        <v/>
      </c>
      <c r="G23" s="47">
        <f>F23/$F$4</f>
        <v/>
      </c>
      <c r="H23" s="49">
        <f t="array" ref="H23">IFERROR(
SUM(
IF(
'PORTIFÓLIO'!$C$4:$C$564=$A23,
N(INDEX('PORTIFÓLIO'!$J$4:$Q$564,,MATCH(H$2,'PORTIFÓLIO'!$J$3:$Q$3,0))) *
N('PORTIFÓLIO'!$S$4:$S$564),
0
)
),
0)</f>
        <v/>
      </c>
      <c r="I23" s="47">
        <f>H23/$H$4</f>
        <v/>
      </c>
      <c r="J23" s="49">
        <f t="array" ref="J23">IFERROR(
SUM(
IF(
'PORTIFÓLIO'!$C$4:$C$564=$A23,
N(INDEX('PORTIFÓLIO'!$J$4:$Q$564,,MATCH(J$2,'PORTIFÓLIO'!$J$3:$Q$3,0))) *
N('PORTIFÓLIO'!$S$4:$S$564),
0
)
),
0)</f>
        <v/>
      </c>
      <c r="K23" s="47">
        <f>J23/$J$4</f>
        <v/>
      </c>
      <c r="L23" s="49">
        <f t="array" ref="L23">IFERROR(
SUM(
IF(
'PORTIFÓLIO'!$C$4:$C$564=$A23,
N(INDEX('PORTIFÓLIO'!$J$4:$Q$564,,MATCH(L$2,'PORTIFÓLIO'!$J$3:$Q$3,0))) *
N('PORTIFÓLIO'!$S$4:$S$564),
0
)
),
0)</f>
        <v/>
      </c>
      <c r="M23" s="47">
        <f>L23/$L$4</f>
        <v/>
      </c>
      <c r="N23" s="49">
        <f t="array" ref="N23">IFERROR(
SUM(
IF(
'PORTIFÓLIO'!$C$4:$C$564=$A23,
N(INDEX('PORTIFÓLIO'!$J$4:$Q$564,,MATCH(N$2,'PORTIFÓLIO'!$J$3:$Q$3,0))) *
N('PORTIFÓLIO'!$S$4:$S$564),
0
)
),
0)</f>
        <v/>
      </c>
      <c r="O23" s="49">
        <f>N23/$N$4</f>
        <v/>
      </c>
      <c r="P23" s="49">
        <f t="array" ref="P23">IFERROR(
SUM(
IF(
'PORTIFÓLIO'!$C$4:$C$564=$A23,
N(INDEX('PORTIFÓLIO'!$J$4:$Q$564,,MATCH(P$2,'PORTIFÓLIO'!$J$3:$Q$3,0))) *
N('PORTIFÓLIO'!$S$4:$S$564),
0
)
),
0)</f>
        <v/>
      </c>
      <c r="Q23" s="49">
        <f>P23/$P$4</f>
        <v/>
      </c>
      <c r="R23" s="49">
        <f>SUM(P23,N23,L23,J23,H23,D23,B23)</f>
        <v/>
      </c>
      <c r="S23" s="49">
        <f>R23/$R$4</f>
        <v/>
      </c>
    </row>
    <row r="24" hidden="1" outlineLevel="1" ht="15.75" customHeight="1" s="297">
      <c r="A24" s="48">
        <f>IFERROR(__xludf.DUMMYFUNCTION("""COMPUTED_VALUE"""),"BOROGRAN")</f>
        <v/>
      </c>
      <c r="B24" s="49">
        <f t="array" ref="B24">IFERROR(
SUM(
IF(
'PORTIFÓLIO'!$C$4:$C$564=$A24,
N(INDEX('PORTIFÓLIO'!$J$4:$Q$564,,MATCH(B$2,'PORTIFÓLIO'!$J$3:$Q$3,0))) *
N('PORTIFÓLIO'!$S$4:$S$564),
0
)
),
0)</f>
        <v/>
      </c>
      <c r="C24" s="49">
        <f>B24/$B$4</f>
        <v/>
      </c>
      <c r="D24" s="49">
        <f t="array" ref="D24">IFERROR(
SUM(
IF(
'PORTIFÓLIO'!$C$4:$C$564=$A24,
N(INDEX('PORTIFÓLIO'!$J$4:$Q$564,,MATCH(D$2,'PORTIFÓLIO'!$J$3:$Q$3,0))) *
N('PORTIFÓLIO'!$S$4:$S$564),
0
)
),
0)</f>
        <v/>
      </c>
      <c r="E24" s="49">
        <f>D24/$D$4</f>
        <v/>
      </c>
      <c r="F24" s="49">
        <f t="array" ref="F24">IFERROR(
SUM(
IF(
'PORTIFÓLIO'!$C$4:$C$564=$A24,
N(INDEX('PORTIFÓLIO'!$J$4:$Q$564,,MATCH(F$2,'PORTIFÓLIO'!$J$3:$Q$3,0))) *
N('PORTIFÓLIO'!$S$4:$S$564),
0
)
),
0)</f>
        <v/>
      </c>
      <c r="G24" s="47">
        <f>F24/$F$4</f>
        <v/>
      </c>
      <c r="H24" s="49">
        <f t="array" ref="H24">IFERROR(
SUM(
IF(
'PORTIFÓLIO'!$C$4:$C$564=$A24,
N(INDEX('PORTIFÓLIO'!$J$4:$Q$564,,MATCH(H$2,'PORTIFÓLIO'!$J$3:$Q$3,0))) *
N('PORTIFÓLIO'!$S$4:$S$564),
0
)
),
0)</f>
        <v/>
      </c>
      <c r="I24" s="47">
        <f>H24/$H$4</f>
        <v/>
      </c>
      <c r="J24" s="49">
        <f t="array" ref="J24">IFERROR(
SUM(
IF(
'PORTIFÓLIO'!$C$4:$C$564=$A24,
N(INDEX('PORTIFÓLIO'!$J$4:$Q$564,,MATCH(J$2,'PORTIFÓLIO'!$J$3:$Q$3,0))) *
N('PORTIFÓLIO'!$S$4:$S$564),
0
)
),
0)</f>
        <v/>
      </c>
      <c r="K24" s="47">
        <f>J24/$J$4</f>
        <v/>
      </c>
      <c r="L24" s="49">
        <f t="array" ref="L24">IFERROR(
SUM(
IF(
'PORTIFÓLIO'!$C$4:$C$564=$A24,
N(INDEX('PORTIFÓLIO'!$J$4:$Q$564,,MATCH(L$2,'PORTIFÓLIO'!$J$3:$Q$3,0))) *
N('PORTIFÓLIO'!$S$4:$S$564),
0
)
),
0)</f>
        <v/>
      </c>
      <c r="M24" s="47">
        <f>L24/$L$4</f>
        <v/>
      </c>
      <c r="N24" s="49">
        <f t="array" ref="N24">IFERROR(
SUM(
IF(
'PORTIFÓLIO'!$C$4:$C$564=$A24,
N(INDEX('PORTIFÓLIO'!$J$4:$Q$564,,MATCH(N$2,'PORTIFÓLIO'!$J$3:$Q$3,0))) *
N('PORTIFÓLIO'!$S$4:$S$564),
0
)
),
0)</f>
        <v/>
      </c>
      <c r="O24" s="49">
        <f>N24/$N$4</f>
        <v/>
      </c>
      <c r="P24" s="49">
        <f t="array" ref="P24">IFERROR(
SUM(
IF(
'PORTIFÓLIO'!$C$4:$C$564=$A24,
N(INDEX('PORTIFÓLIO'!$J$4:$Q$564,,MATCH(P$2,'PORTIFÓLIO'!$J$3:$Q$3,0))) *
N('PORTIFÓLIO'!$S$4:$S$564),
0
)
),
0)</f>
        <v/>
      </c>
      <c r="Q24" s="49">
        <f>P24/$P$4</f>
        <v/>
      </c>
      <c r="R24" s="49">
        <f>SUM(P24,N24,L24,J24,H24,D24,B24)</f>
        <v/>
      </c>
      <c r="S24" s="49">
        <f>R24/$R$4</f>
        <v/>
      </c>
    </row>
    <row r="25" hidden="1" outlineLevel="1" ht="15.75" customHeight="1" s="297">
      <c r="A25" s="48">
        <f>IFERROR(__xludf.DUMMYFUNCTION("""COMPUTED_VALUE"""),"SUPER DUO")</f>
        <v/>
      </c>
      <c r="B25" s="49">
        <f t="array" ref="B25">IFERROR(
SUM(
IF(
'PORTIFÓLIO'!$C$4:$C$564=$A25,
N(INDEX('PORTIFÓLIO'!$J$4:$Q$564,,MATCH(B$2,'PORTIFÓLIO'!$J$3:$Q$3,0))) *
N('PORTIFÓLIO'!$S$4:$S$564),
0
)
),
0)</f>
        <v/>
      </c>
      <c r="C25" s="49">
        <f>B25/$B$4</f>
        <v/>
      </c>
      <c r="D25" s="49">
        <f t="array" ref="D25">IFERROR(
SUM(
IF(
'PORTIFÓLIO'!$C$4:$C$564=$A25,
N(INDEX('PORTIFÓLIO'!$J$4:$Q$564,,MATCH(D$2,'PORTIFÓLIO'!$J$3:$Q$3,0))) *
N('PORTIFÓLIO'!$S$4:$S$564),
0
)
),
0)</f>
        <v/>
      </c>
      <c r="E25" s="49">
        <f>D25/$D$4</f>
        <v/>
      </c>
      <c r="F25" s="49">
        <f t="array" ref="F25">IFERROR(
SUM(
IF(
'PORTIFÓLIO'!$C$4:$C$564=$A25,
N(INDEX('PORTIFÓLIO'!$J$4:$Q$564,,MATCH(F$2,'PORTIFÓLIO'!$J$3:$Q$3,0))) *
N('PORTIFÓLIO'!$S$4:$S$564),
0
)
),
0)</f>
        <v/>
      </c>
      <c r="G25" s="47">
        <f>F25/$F$4</f>
        <v/>
      </c>
      <c r="H25" s="49">
        <f t="array" ref="H25">IFERROR(
SUM(
IF(
'PORTIFÓLIO'!$C$4:$C$564=$A25,
N(INDEX('PORTIFÓLIO'!$J$4:$Q$564,,MATCH(H$2,'PORTIFÓLIO'!$J$3:$Q$3,0))) *
N('PORTIFÓLIO'!$S$4:$S$564),
0
)
),
0)</f>
        <v/>
      </c>
      <c r="I25" s="47">
        <f>H25/$H$4</f>
        <v/>
      </c>
      <c r="J25" s="49">
        <f t="array" ref="J25">IFERROR(
SUM(
IF(
'PORTIFÓLIO'!$C$4:$C$564=$A25,
N(INDEX('PORTIFÓLIO'!$J$4:$Q$564,,MATCH(J$2,'PORTIFÓLIO'!$J$3:$Q$3,0))) *
N('PORTIFÓLIO'!$S$4:$S$564),
0
)
),
0)</f>
        <v/>
      </c>
      <c r="K25" s="47">
        <f>J25/$J$4</f>
        <v/>
      </c>
      <c r="L25" s="49">
        <f t="array" ref="L25">IFERROR(
SUM(
IF(
'PORTIFÓLIO'!$C$4:$C$564=$A25,
N(INDEX('PORTIFÓLIO'!$J$4:$Q$564,,MATCH(L$2,'PORTIFÓLIO'!$J$3:$Q$3,0))) *
N('PORTIFÓLIO'!$S$4:$S$564),
0
)
),
0)</f>
        <v/>
      </c>
      <c r="M25" s="47">
        <f>L25/$L$4</f>
        <v/>
      </c>
      <c r="N25" s="49">
        <f t="array" ref="N25">IFERROR(
SUM(
IF(
'PORTIFÓLIO'!$C$4:$C$564=$A25,
N(INDEX('PORTIFÓLIO'!$J$4:$Q$564,,MATCH(N$2,'PORTIFÓLIO'!$J$3:$Q$3,0))) *
N('PORTIFÓLIO'!$S$4:$S$564),
0
)
),
0)</f>
        <v/>
      </c>
      <c r="O25" s="49">
        <f>N25/$N$4</f>
        <v/>
      </c>
      <c r="P25" s="49">
        <f t="array" ref="P25">IFERROR(
SUM(
IF(
'PORTIFÓLIO'!$C$4:$C$564=$A25,
N(INDEX('PORTIFÓLIO'!$J$4:$Q$564,,MATCH(P$2,'PORTIFÓLIO'!$J$3:$Q$3,0))) *
N('PORTIFÓLIO'!$S$4:$S$564),
0
)
),
0)</f>
        <v/>
      </c>
      <c r="Q25" s="49">
        <f>P25/$P$4</f>
        <v/>
      </c>
      <c r="R25" s="49">
        <f>SUM(P25,N25,L25,J25,H25,D25,B25)</f>
        <v/>
      </c>
      <c r="S25" s="49">
        <f>R25/$R$4</f>
        <v/>
      </c>
    </row>
    <row r="26" hidden="1" outlineLevel="1" ht="15.75" customHeight="1" s="297">
      <c r="A26" s="48">
        <f>IFERROR(__xludf.DUMMYFUNCTION("""COMPUTED_VALUE"""),"08-40-00 - 100M")</f>
        <v/>
      </c>
      <c r="B26" s="49">
        <f t="array" ref="B26">IFERROR(
SUM(
IF(
'PORTIFÓLIO'!$C$4:$C$564=$A26,
N(INDEX('PORTIFÓLIO'!$J$4:$Q$564,,MATCH(B$2,'PORTIFÓLIO'!$J$3:$Q$3,0))) *
N('PORTIFÓLIO'!$S$4:$S$564),
0
)
),
0)</f>
        <v/>
      </c>
      <c r="C26" s="49">
        <f>B26/$B$4</f>
        <v/>
      </c>
      <c r="D26" s="49">
        <f t="array" ref="D26">IFERROR(
SUM(
IF(
'PORTIFÓLIO'!$C$4:$C$564=$A26,
N(INDEX('PORTIFÓLIO'!$J$4:$Q$564,,MATCH(D$2,'PORTIFÓLIO'!$J$3:$Q$3,0))) *
N('PORTIFÓLIO'!$S$4:$S$564),
0
)
),
0)</f>
        <v/>
      </c>
      <c r="E26" s="49">
        <f>D26/$D$4</f>
        <v/>
      </c>
      <c r="F26" s="49">
        <f t="array" ref="F26">IFERROR(
SUM(
IF(
'PORTIFÓLIO'!$C$4:$C$564=$A26,
N(INDEX('PORTIFÓLIO'!$J$4:$Q$564,,MATCH(F$2,'PORTIFÓLIO'!$J$3:$Q$3,0))) *
N('PORTIFÓLIO'!$S$4:$S$564),
0
)
),
0)</f>
        <v/>
      </c>
      <c r="G26" s="47">
        <f>F26/$F$4</f>
        <v/>
      </c>
      <c r="H26" s="49">
        <f t="array" ref="H26">IFERROR(
SUM(
IF(
'PORTIFÓLIO'!$C$4:$C$564=$A26,
N(INDEX('PORTIFÓLIO'!$J$4:$Q$564,,MATCH(H$2,'PORTIFÓLIO'!$J$3:$Q$3,0))) *
N('PORTIFÓLIO'!$S$4:$S$564),
0
)
),
0)</f>
        <v/>
      </c>
      <c r="I26" s="47">
        <f>H26/$H$4</f>
        <v/>
      </c>
      <c r="J26" s="49">
        <f t="array" ref="J26">IFERROR(
SUM(
IF(
'PORTIFÓLIO'!$C$4:$C$564=$A26,
N(INDEX('PORTIFÓLIO'!$J$4:$Q$564,,MATCH(J$2,'PORTIFÓLIO'!$J$3:$Q$3,0))) *
N('PORTIFÓLIO'!$S$4:$S$564),
0
)
),
0)</f>
        <v/>
      </c>
      <c r="K26" s="47">
        <f>J26/$J$4</f>
        <v/>
      </c>
      <c r="L26" s="49">
        <f t="array" ref="L26">IFERROR(
SUM(
IF(
'PORTIFÓLIO'!$C$4:$C$564=$A26,
N(INDEX('PORTIFÓLIO'!$J$4:$Q$564,,MATCH(L$2,'PORTIFÓLIO'!$J$3:$Q$3,0))) *
N('PORTIFÓLIO'!$S$4:$S$564),
0
)
),
0)</f>
        <v/>
      </c>
      <c r="M26" s="47">
        <f>L26/$L$4</f>
        <v/>
      </c>
      <c r="N26" s="49">
        <f t="array" ref="N26">IFERROR(
SUM(
IF(
'PORTIFÓLIO'!$C$4:$C$564=$A26,
N(INDEX('PORTIFÓLIO'!$J$4:$Q$564,,MATCH(N$2,'PORTIFÓLIO'!$J$3:$Q$3,0))) *
N('PORTIFÓLIO'!$S$4:$S$564),
0
)
),
0)</f>
        <v/>
      </c>
      <c r="O26" s="49">
        <f>N26/$N$4</f>
        <v/>
      </c>
      <c r="P26" s="49">
        <f t="array" ref="P26">IFERROR(
SUM(
IF(
'PORTIFÓLIO'!$C$4:$C$564=$A26,
N(INDEX('PORTIFÓLIO'!$J$4:$Q$564,,MATCH(P$2,'PORTIFÓLIO'!$J$3:$Q$3,0))) *
N('PORTIFÓLIO'!$S$4:$S$564),
0
)
),
0)</f>
        <v/>
      </c>
      <c r="Q26" s="49">
        <f>P26/$P$4</f>
        <v/>
      </c>
      <c r="R26" s="49">
        <f>SUM(P26,N26,L26,J26,H26,D26,B26)</f>
        <v/>
      </c>
      <c r="S26" s="49">
        <f>R26/$R$4</f>
        <v/>
      </c>
    </row>
    <row r="27" hidden="1" outlineLevel="1" ht="15.75" customHeight="1" s="297">
      <c r="A27" s="48">
        <f>IFERROR(__xludf.DUMMYFUNCTION("""COMPUTED_VALUE"""),"AURUS 500")</f>
        <v/>
      </c>
      <c r="B27" s="49">
        <f t="array" ref="B27">IFERROR(
SUM(
IF(
'PORTIFÓLIO'!$C$4:$C$564=$A27,
N(INDEX('PORTIFÓLIO'!$J$4:$Q$564,,MATCH(B$2,'PORTIFÓLIO'!$J$3:$Q$3,0))) *
N('PORTIFÓLIO'!$S$4:$S$564),
0
)
),
0)</f>
        <v/>
      </c>
      <c r="C27" s="49">
        <f>B27/$B$4</f>
        <v/>
      </c>
      <c r="D27" s="49">
        <f t="array" ref="D27">IFERROR(
SUM(
IF(
'PORTIFÓLIO'!$C$4:$C$564=$A27,
N(INDEX('PORTIFÓLIO'!$J$4:$Q$564,,MATCH(D$2,'PORTIFÓLIO'!$J$3:$Q$3,0))) *
N('PORTIFÓLIO'!$S$4:$S$564),
0
)
),
0)</f>
        <v/>
      </c>
      <c r="E27" s="49">
        <f>D27/$D$4</f>
        <v/>
      </c>
      <c r="F27" s="49">
        <f t="array" ref="F27">IFERROR(
SUM(
IF(
'PORTIFÓLIO'!$C$4:$C$564=$A27,
N(INDEX('PORTIFÓLIO'!$J$4:$Q$564,,MATCH(F$2,'PORTIFÓLIO'!$J$3:$Q$3,0))) *
N('PORTIFÓLIO'!$S$4:$S$564),
0
)
),
0)</f>
        <v/>
      </c>
      <c r="G27" s="47">
        <f>F27/$F$4</f>
        <v/>
      </c>
      <c r="H27" s="49">
        <f t="array" ref="H27">IFERROR(
SUM(
IF(
'PORTIFÓLIO'!$C$4:$C$564=$A27,
N(INDEX('PORTIFÓLIO'!$J$4:$Q$564,,MATCH(H$2,'PORTIFÓLIO'!$J$3:$Q$3,0))) *
N('PORTIFÓLIO'!$S$4:$S$564),
0
)
),
0)</f>
        <v/>
      </c>
      <c r="I27" s="47">
        <f>H27/$H$4</f>
        <v/>
      </c>
      <c r="J27" s="49">
        <f t="array" ref="J27">IFERROR(
SUM(
IF(
'PORTIFÓLIO'!$C$4:$C$564=$A27,
N(INDEX('PORTIFÓLIO'!$J$4:$Q$564,,MATCH(J$2,'PORTIFÓLIO'!$J$3:$Q$3,0))) *
N('PORTIFÓLIO'!$S$4:$S$564),
0
)
),
0)</f>
        <v/>
      </c>
      <c r="K27" s="47">
        <f>J27/$J$4</f>
        <v/>
      </c>
      <c r="L27" s="49">
        <f t="array" ref="L27">IFERROR(
SUM(
IF(
'PORTIFÓLIO'!$C$4:$C$564=$A27,
N(INDEX('PORTIFÓLIO'!$J$4:$Q$564,,MATCH(L$2,'PORTIFÓLIO'!$J$3:$Q$3,0))) *
N('PORTIFÓLIO'!$S$4:$S$564),
0
)
),
0)</f>
        <v/>
      </c>
      <c r="M27" s="47">
        <f>L27/$L$4</f>
        <v/>
      </c>
      <c r="N27" s="49">
        <f t="array" ref="N27">IFERROR(
SUM(
IF(
'PORTIFÓLIO'!$C$4:$C$564=$A27,
N(INDEX('PORTIFÓLIO'!$J$4:$Q$564,,MATCH(N$2,'PORTIFÓLIO'!$J$3:$Q$3,0))) *
N('PORTIFÓLIO'!$S$4:$S$564),
0
)
),
0)</f>
        <v/>
      </c>
      <c r="O27" s="49">
        <f>N27/$N$4</f>
        <v/>
      </c>
      <c r="P27" s="49">
        <f t="array" ref="P27">IFERROR(
SUM(
IF(
'PORTIFÓLIO'!$C$4:$C$564=$A27,
N(INDEX('PORTIFÓLIO'!$J$4:$Q$564,,MATCH(P$2,'PORTIFÓLIO'!$J$3:$Q$3,0))) *
N('PORTIFÓLIO'!$S$4:$S$564),
0
)
),
0)</f>
        <v/>
      </c>
      <c r="Q27" s="49">
        <f>P27/$P$4</f>
        <v/>
      </c>
      <c r="R27" s="49">
        <f>SUM(P27,N27,L27,J27,H27,D27,B27)</f>
        <v/>
      </c>
      <c r="S27" s="49">
        <f>R27/$R$4</f>
        <v/>
      </c>
    </row>
    <row r="28" hidden="1" outlineLevel="1" ht="15.75" customHeight="1" s="297">
      <c r="A28" s="48">
        <f>IFERROR(__xludf.DUMMYFUNCTION("""COMPUTED_VALUE"""),"00-01-00+Cu2 Mn8 Zn7 ")</f>
        <v/>
      </c>
      <c r="B28" s="49">
        <f t="array" ref="B28">IFERROR(
SUM(
IF(
'PORTIFÓLIO'!$C$4:$C$564=$A28,
N(INDEX('PORTIFÓLIO'!$J$4:$Q$564,,MATCH(B$2,'PORTIFÓLIO'!$J$3:$Q$3,0))) *
N('PORTIFÓLIO'!$S$4:$S$564),
0
)
),
0)</f>
        <v/>
      </c>
      <c r="C28" s="49">
        <f>B28/$B$4</f>
        <v/>
      </c>
      <c r="D28" s="49">
        <f t="array" ref="D28">IFERROR(
SUM(
IF(
'PORTIFÓLIO'!$C$4:$C$564=$A28,
N(INDEX('PORTIFÓLIO'!$J$4:$Q$564,,MATCH(D$2,'PORTIFÓLIO'!$J$3:$Q$3,0))) *
N('PORTIFÓLIO'!$S$4:$S$564),
0
)
),
0)</f>
        <v/>
      </c>
      <c r="E28" s="49">
        <f>D28/$D$4</f>
        <v/>
      </c>
      <c r="F28" s="49">
        <f t="array" ref="F28">IFERROR(
SUM(
IF(
'PORTIFÓLIO'!$C$4:$C$564=$A28,
N(INDEX('PORTIFÓLIO'!$J$4:$Q$564,,MATCH(F$2,'PORTIFÓLIO'!$J$3:$Q$3,0))) *
N('PORTIFÓLIO'!$S$4:$S$564),
0
)
),
0)</f>
        <v/>
      </c>
      <c r="G28" s="47">
        <f>F28/$F$4</f>
        <v/>
      </c>
      <c r="H28" s="49">
        <f t="array" ref="H28">IFERROR(
SUM(
IF(
'PORTIFÓLIO'!$C$4:$C$564=$A28,
N(INDEX('PORTIFÓLIO'!$J$4:$Q$564,,MATCH(H$2,'PORTIFÓLIO'!$J$3:$Q$3,0))) *
N('PORTIFÓLIO'!$S$4:$S$564),
0
)
),
0)</f>
        <v/>
      </c>
      <c r="I28" s="47">
        <f>H28/$H$4</f>
        <v/>
      </c>
      <c r="J28" s="49">
        <f t="array" ref="J28">IFERROR(
SUM(
IF(
'PORTIFÓLIO'!$C$4:$C$564=$A28,
N(INDEX('PORTIFÓLIO'!$J$4:$Q$564,,MATCH(J$2,'PORTIFÓLIO'!$J$3:$Q$3,0))) *
N('PORTIFÓLIO'!$S$4:$S$564),
0
)
),
0)</f>
        <v/>
      </c>
      <c r="K28" s="47">
        <f>J28/$J$4</f>
        <v/>
      </c>
      <c r="L28" s="49">
        <f t="array" ref="L28">IFERROR(
SUM(
IF(
'PORTIFÓLIO'!$C$4:$C$564=$A28,
N(INDEX('PORTIFÓLIO'!$J$4:$Q$564,,MATCH(L$2,'PORTIFÓLIO'!$J$3:$Q$3,0))) *
N('PORTIFÓLIO'!$S$4:$S$564),
0
)
),
0)</f>
        <v/>
      </c>
      <c r="M28" s="47">
        <f>L28/$L$4</f>
        <v/>
      </c>
      <c r="N28" s="49">
        <f t="array" ref="N28">IFERROR(
SUM(
IF(
'PORTIFÓLIO'!$C$4:$C$564=$A28,
N(INDEX('PORTIFÓLIO'!$J$4:$Q$564,,MATCH(N$2,'PORTIFÓLIO'!$J$3:$Q$3,0))) *
N('PORTIFÓLIO'!$S$4:$S$564),
0
)
),
0)</f>
        <v/>
      </c>
      <c r="O28" s="49">
        <f>N28/$N$4</f>
        <v/>
      </c>
      <c r="P28" s="49">
        <f t="array" ref="P28">IFERROR(
SUM(
IF(
'PORTIFÓLIO'!$C$4:$C$564=$A28,
N(INDEX('PORTIFÓLIO'!$J$4:$Q$564,,MATCH(P$2,'PORTIFÓLIO'!$J$3:$Q$3,0))) *
N('PORTIFÓLIO'!$S$4:$S$564),
0
)
),
0)</f>
        <v/>
      </c>
      <c r="Q28" s="49">
        <f>P28/$P$4</f>
        <v/>
      </c>
      <c r="R28" s="49">
        <f>SUM(P28,N28,L28,J28,H28,D28,B28)</f>
        <v/>
      </c>
      <c r="S28" s="49">
        <f>R28/$R$4</f>
        <v/>
      </c>
    </row>
    <row r="29" hidden="1" outlineLevel="1" ht="15.75" customHeight="1" s="297">
      <c r="A29" s="48" t="n"/>
      <c r="B29" s="49">
        <f t="array" ref="B29">IFERROR(
SUM(
IF(
'PORTIFÓLIO'!$C$4:$C$564=$A29,
N(INDEX('PORTIFÓLIO'!$J$4:$Q$564,,MATCH(B$2,'PORTIFÓLIO'!$J$3:$Q$3,0))) *
N('PORTIFÓLIO'!$S$4:$S$564),
0
)
),
0)</f>
        <v/>
      </c>
      <c r="C29" s="49">
        <f>B29/$B$4</f>
        <v/>
      </c>
      <c r="D29" s="49">
        <f t="array" ref="D29">IFERROR(
SUM(
IF(
'PORTIFÓLIO'!$C$4:$C$564=$A29,
N(INDEX('PORTIFÓLIO'!$J$4:$Q$564,,MATCH(D$2,'PORTIFÓLIO'!$J$3:$Q$3,0))) *
N('PORTIFÓLIO'!$S$4:$S$564),
0
)
),
0)</f>
        <v/>
      </c>
      <c r="E29" s="49">
        <f>D29/$D$4</f>
        <v/>
      </c>
      <c r="F29" s="49">
        <f t="array" ref="F29">IFERROR(
SUM(
IF(
'PORTIFÓLIO'!$C$4:$C$564=$A29,
N(INDEX('PORTIFÓLIO'!$J$4:$Q$564,,MATCH(F$2,'PORTIFÓLIO'!$J$3:$Q$3,0))) *
N('PORTIFÓLIO'!$S$4:$S$564),
0
)
),
0)</f>
        <v/>
      </c>
      <c r="G29" s="47">
        <f>F29/$F$4</f>
        <v/>
      </c>
      <c r="H29" s="49">
        <f t="array" ref="H29">IFERROR(
SUM(
IF(
'PORTIFÓLIO'!$C$4:$C$564=$A29,
N(INDEX('PORTIFÓLIO'!$J$4:$Q$564,,MATCH(H$2,'PORTIFÓLIO'!$J$3:$Q$3,0))) *
N('PORTIFÓLIO'!$S$4:$S$564),
0
)
),
0)</f>
        <v/>
      </c>
      <c r="I29" s="47">
        <f>H29/$H$4</f>
        <v/>
      </c>
      <c r="J29" s="49">
        <f t="array" ref="J29">IFERROR(
SUM(
IF(
'PORTIFÓLIO'!$C$4:$C$564=$A29,
N(INDEX('PORTIFÓLIO'!$J$4:$Q$564,,MATCH(J$2,'PORTIFÓLIO'!$J$3:$Q$3,0))) *
N('PORTIFÓLIO'!$S$4:$S$564),
0
)
),
0)</f>
        <v/>
      </c>
      <c r="K29" s="47">
        <f>J29/$J$4</f>
        <v/>
      </c>
      <c r="L29" s="49">
        <f t="array" ref="L29">IFERROR(
SUM(
IF(
'PORTIFÓLIO'!$C$4:$C$564=$A29,
N(INDEX('PORTIFÓLIO'!$J$4:$Q$564,,MATCH(L$2,'PORTIFÓLIO'!$J$3:$Q$3,0))) *
N('PORTIFÓLIO'!$S$4:$S$564),
0
)
),
0)</f>
        <v/>
      </c>
      <c r="M29" s="47">
        <f>L29/$L$4</f>
        <v/>
      </c>
      <c r="N29" s="49">
        <f t="array" ref="N29">IFERROR(
SUM(
IF(
'PORTIFÓLIO'!$C$4:$C$564=$A29,
N(INDEX('PORTIFÓLIO'!$J$4:$Q$564,,MATCH(N$2,'PORTIFÓLIO'!$J$3:$Q$3,0))) *
N('PORTIFÓLIO'!$S$4:$S$564),
0
)
),
0)</f>
        <v/>
      </c>
      <c r="O29" s="49">
        <f>N29/$N$4</f>
        <v/>
      </c>
      <c r="P29" s="49">
        <f t="array" ref="P29">IFERROR(
SUM(
IF(
'PORTIFÓLIO'!$C$4:$C$564=$A29,
N(INDEX('PORTIFÓLIO'!$J$4:$Q$564,,MATCH(P$2,'PORTIFÓLIO'!$J$3:$Q$3,0))) *
N('PORTIFÓLIO'!$S$4:$S$564),
0
)
),
0)</f>
        <v/>
      </c>
      <c r="Q29" s="49">
        <f>P29/$P$4</f>
        <v/>
      </c>
      <c r="R29" s="49">
        <f>SUM(P29,N29,L29,J29,H29,D29,B29)</f>
        <v/>
      </c>
      <c r="S29" s="49">
        <f>R29/$R$4</f>
        <v/>
      </c>
    </row>
    <row r="30" hidden="1" outlineLevel="1" ht="15.75" customHeight="1" s="297">
      <c r="A30" s="48" t="n"/>
      <c r="B30" s="49">
        <f t="array" ref="B30">IFERROR(
SUM(
IF(
'PORTIFÓLIO'!$C$4:$C$564=$A30,
N(INDEX('PORTIFÓLIO'!$J$4:$Q$564,,MATCH(B$2,'PORTIFÓLIO'!$J$3:$Q$3,0))) *
N('PORTIFÓLIO'!$S$4:$S$564),
0
)
),
0)</f>
        <v/>
      </c>
      <c r="C30" s="49">
        <f>B30/$B$4</f>
        <v/>
      </c>
      <c r="D30" s="49">
        <f t="array" ref="D30">IFERROR(
SUM(
IF(
'PORTIFÓLIO'!$C$4:$C$564=$A30,
N(INDEX('PORTIFÓLIO'!$J$4:$Q$564,,MATCH(D$2,'PORTIFÓLIO'!$J$3:$Q$3,0))) *
N('PORTIFÓLIO'!$S$4:$S$564),
0
)
),
0)</f>
        <v/>
      </c>
      <c r="E30" s="49">
        <f>D30/$D$4</f>
        <v/>
      </c>
      <c r="F30" s="49">
        <f t="array" ref="F30">IFERROR(
SUM(
IF(
'PORTIFÓLIO'!$C$4:$C$564=$A30,
N(INDEX('PORTIFÓLIO'!$J$4:$Q$564,,MATCH(F$2,'PORTIFÓLIO'!$J$3:$Q$3,0))) *
N('PORTIFÓLIO'!$S$4:$S$564),
0
)
),
0)</f>
        <v/>
      </c>
      <c r="G30" s="47">
        <f>F30/$F$4</f>
        <v/>
      </c>
      <c r="H30" s="49">
        <f t="array" ref="H30">IFERROR(
SUM(
IF(
'PORTIFÓLIO'!$C$4:$C$564=$A30,
N(INDEX('PORTIFÓLIO'!$J$4:$Q$564,,MATCH(H$2,'PORTIFÓLIO'!$J$3:$Q$3,0))) *
N('PORTIFÓLIO'!$S$4:$S$564),
0
)
),
0)</f>
        <v/>
      </c>
      <c r="I30" s="47">
        <f>H30/$H$4</f>
        <v/>
      </c>
      <c r="J30" s="49">
        <f t="array" ref="J30">IFERROR(
SUM(
IF(
'PORTIFÓLIO'!$C$4:$C$564=$A30,
N(INDEX('PORTIFÓLIO'!$J$4:$Q$564,,MATCH(J$2,'PORTIFÓLIO'!$J$3:$Q$3,0))) *
N('PORTIFÓLIO'!$S$4:$S$564),
0
)
),
0)</f>
        <v/>
      </c>
      <c r="K30" s="47">
        <f>J30/$J$4</f>
        <v/>
      </c>
      <c r="L30" s="49">
        <f t="array" ref="L30">IFERROR(
SUM(
IF(
'PORTIFÓLIO'!$C$4:$C$564=$A30,
N(INDEX('PORTIFÓLIO'!$J$4:$Q$564,,MATCH(L$2,'PORTIFÓLIO'!$J$3:$Q$3,0))) *
N('PORTIFÓLIO'!$S$4:$S$564),
0
)
),
0)</f>
        <v/>
      </c>
      <c r="M30" s="47">
        <f>L30/$L$4</f>
        <v/>
      </c>
      <c r="N30" s="49">
        <f t="array" ref="N30">IFERROR(
SUM(
IF(
'PORTIFÓLIO'!$C$4:$C$564=$A30,
N(INDEX('PORTIFÓLIO'!$J$4:$Q$564,,MATCH(N$2,'PORTIFÓLIO'!$J$3:$Q$3,0))) *
N('PORTIFÓLIO'!$S$4:$S$564),
0
)
),
0)</f>
        <v/>
      </c>
      <c r="O30" s="49">
        <f>N30/$N$4</f>
        <v/>
      </c>
      <c r="P30" s="49">
        <f t="array" ref="P30">IFERROR(
SUM(
IF(
'PORTIFÓLIO'!$C$4:$C$564=$A30,
N(INDEX('PORTIFÓLIO'!$J$4:$Q$564,,MATCH(P$2,'PORTIFÓLIO'!$J$3:$Q$3,0))) *
N('PORTIFÓLIO'!$S$4:$S$564),
0
)
),
0)</f>
        <v/>
      </c>
      <c r="Q30" s="49">
        <f>P30/$P$4</f>
        <v/>
      </c>
      <c r="R30" s="49">
        <f>SUM(P30,N30,L30,J30,H30,D30,B30)</f>
        <v/>
      </c>
      <c r="S30" s="49">
        <f>R30/$R$4</f>
        <v/>
      </c>
    </row>
    <row r="31" hidden="1" outlineLevel="1" ht="15.75" customHeight="1" s="297">
      <c r="A31" s="48" t="n"/>
      <c r="B31" s="49">
        <f t="array" ref="B31">IFERROR(
SUM(
IF(
'PORTIFÓLIO'!$C$4:$C$564=$A31,
N(INDEX('PORTIFÓLIO'!$J$4:$Q$564,,MATCH(B$2,'PORTIFÓLIO'!$J$3:$Q$3,0))) *
N('PORTIFÓLIO'!$S$4:$S$564),
0
)
),
0)</f>
        <v/>
      </c>
      <c r="C31" s="49">
        <f>B31/$B$4</f>
        <v/>
      </c>
      <c r="D31" s="49">
        <f t="array" ref="D31">IFERROR(
SUM(
IF(
'PORTIFÓLIO'!$C$4:$C$564=$A31,
N(INDEX('PORTIFÓLIO'!$J$4:$Q$564,,MATCH(D$2,'PORTIFÓLIO'!$J$3:$Q$3,0))) *
N('PORTIFÓLIO'!$S$4:$S$564),
0
)
),
0)</f>
        <v/>
      </c>
      <c r="E31" s="49">
        <f>D31/$D$4</f>
        <v/>
      </c>
      <c r="F31" s="49">
        <f t="array" ref="F31">IFERROR(
SUM(
IF(
'PORTIFÓLIO'!$C$4:$C$564=$A31,
N(INDEX('PORTIFÓLIO'!$J$4:$Q$564,,MATCH(F$2,'PORTIFÓLIO'!$J$3:$Q$3,0))) *
N('PORTIFÓLIO'!$S$4:$S$564),
0
)
),
0)</f>
        <v/>
      </c>
      <c r="G31" s="47">
        <f>F31/$F$4</f>
        <v/>
      </c>
      <c r="H31" s="49">
        <f t="array" ref="H31">IFERROR(
SUM(
IF(
'PORTIFÓLIO'!$C$4:$C$564=$A31,
N(INDEX('PORTIFÓLIO'!$J$4:$Q$564,,MATCH(H$2,'PORTIFÓLIO'!$J$3:$Q$3,0))) *
N('PORTIFÓLIO'!$S$4:$S$564),
0
)
),
0)</f>
        <v/>
      </c>
      <c r="I31" s="47">
        <f>H31/$H$4</f>
        <v/>
      </c>
      <c r="J31" s="49">
        <f t="array" ref="J31">IFERROR(
SUM(
IF(
'PORTIFÓLIO'!$C$4:$C$564=$A31,
N(INDEX('PORTIFÓLIO'!$J$4:$Q$564,,MATCH(J$2,'PORTIFÓLIO'!$J$3:$Q$3,0))) *
N('PORTIFÓLIO'!$S$4:$S$564),
0
)
),
0)</f>
        <v/>
      </c>
      <c r="K31" s="47">
        <f>J31/$J$4</f>
        <v/>
      </c>
      <c r="L31" s="49">
        <f t="array" ref="L31">IFERROR(
SUM(
IF(
'PORTIFÓLIO'!$C$4:$C$564=$A31,
N(INDEX('PORTIFÓLIO'!$J$4:$Q$564,,MATCH(L$2,'PORTIFÓLIO'!$J$3:$Q$3,0))) *
N('PORTIFÓLIO'!$S$4:$S$564),
0
)
),
0)</f>
        <v/>
      </c>
      <c r="M31" s="47">
        <f>L31/$L$4</f>
        <v/>
      </c>
      <c r="N31" s="49">
        <f t="array" ref="N31">IFERROR(
SUM(
IF(
'PORTIFÓLIO'!$C$4:$C$564=$A31,
N(INDEX('PORTIFÓLIO'!$J$4:$Q$564,,MATCH(N$2,'PORTIFÓLIO'!$J$3:$Q$3,0))) *
N('PORTIFÓLIO'!$S$4:$S$564),
0
)
),
0)</f>
        <v/>
      </c>
      <c r="O31" s="49">
        <f>N31/$N$4</f>
        <v/>
      </c>
      <c r="P31" s="49">
        <f t="array" ref="P31">IFERROR(
SUM(
IF(
'PORTIFÓLIO'!$C$4:$C$564=$A31,
N(INDEX('PORTIFÓLIO'!$J$4:$Q$564,,MATCH(P$2,'PORTIFÓLIO'!$J$3:$Q$3,0))) *
N('PORTIFÓLIO'!$S$4:$S$564),
0
)
),
0)</f>
        <v/>
      </c>
      <c r="Q31" s="49">
        <f>P31/$P$4</f>
        <v/>
      </c>
      <c r="R31" s="49">
        <f>SUM(P31,N31,L31,J31,H31,D31,B31)</f>
        <v/>
      </c>
      <c r="S31" s="49">
        <f>R31/$R$4</f>
        <v/>
      </c>
    </row>
    <row r="32" collapsed="1" ht="15.75" customHeight="1" s="297">
      <c r="A32" s="46" t="inlineStr">
        <is>
          <t>HERBICIDA</t>
        </is>
      </c>
      <c r="B32" s="47">
        <f>SUM(B33:B103)</f>
        <v/>
      </c>
      <c r="C32" s="47">
        <f>B32/$B$4</f>
        <v/>
      </c>
      <c r="D32" s="47">
        <f>SUM(D33:D103)</f>
        <v/>
      </c>
      <c r="E32" s="47">
        <f>D32/$D$4</f>
        <v/>
      </c>
      <c r="F32" s="47">
        <f>SUM(F33:F103)</f>
        <v/>
      </c>
      <c r="G32" s="47">
        <f>F32/$F$4</f>
        <v/>
      </c>
      <c r="H32" s="47">
        <f>SUM(H33:H103)</f>
        <v/>
      </c>
      <c r="I32" s="47">
        <f>H32/$H$4</f>
        <v/>
      </c>
      <c r="J32" s="47">
        <f>SUM(J33:J103)</f>
        <v/>
      </c>
      <c r="K32" s="47">
        <f>J32/$J$4</f>
        <v/>
      </c>
      <c r="L32" s="47">
        <f>SUM(L33:L103)</f>
        <v/>
      </c>
      <c r="M32" s="47">
        <f>L32/$L$4</f>
        <v/>
      </c>
      <c r="N32" s="47">
        <f>SUM(N33:N103)</f>
        <v/>
      </c>
      <c r="O32" s="47">
        <f>N32/$N$4</f>
        <v/>
      </c>
      <c r="P32" s="47">
        <f>SUM(P33:P103)</f>
        <v/>
      </c>
      <c r="Q32" s="47">
        <f>P32/$P$4</f>
        <v/>
      </c>
      <c r="R32" s="47">
        <f>SUM(P32,N32,L32,J32,H32,D32,B32)</f>
        <v/>
      </c>
      <c r="S32" s="47">
        <f>R32/$R$4</f>
        <v/>
      </c>
    </row>
    <row r="33" hidden="1" outlineLevel="1" ht="15.75" customHeight="1" s="297">
      <c r="A33" s="48">
        <f>IFERROR(__xludf.DUMMYFUNCTION("UNIQUE(FILTER('PORTIFÓLIO'!C:C, 'PORTIFÓLIO'!B:B=""HERBICIDA""))"),"AMINOL 806")</f>
        <v/>
      </c>
      <c r="B33" s="49">
        <f t="array" ref="B33">IFERROR(
SUM(
IF(
'PORTIFÓLIO'!$C$4:$C$564=$A33,
N(INDEX('PORTIFÓLIO'!$J$4:$Q$564,,MATCH(B$2,'PORTIFÓLIO'!$J$3:$Q$3,0))) *
N('PORTIFÓLIO'!$S$4:$S$564),
0
)
),
0)</f>
        <v/>
      </c>
      <c r="C33" s="49">
        <f>B33/$B$4</f>
        <v/>
      </c>
      <c r="D33" s="49">
        <f t="array" ref="D33">IFERROR(
SUM(
IF(
'PORTIFÓLIO'!$C$4:$C$564=$A33,
N(INDEX('PORTIFÓLIO'!$J$4:$Q$564,,MATCH(D$2,'PORTIFÓLIO'!$J$3:$Q$3,0))) *
N('PORTIFÓLIO'!$S$4:$S$564),
0
)
),
0)</f>
        <v/>
      </c>
      <c r="E33" s="49">
        <f>D33/$D$4</f>
        <v/>
      </c>
      <c r="F33" s="49">
        <f t="array" ref="F33">IFERROR(
SUM(
IF(
'PORTIFÓLIO'!$C$4:$C$564=$A33,
N(INDEX('PORTIFÓLIO'!$J$4:$Q$564,,MATCH(F$2,'PORTIFÓLIO'!$J$3:$Q$3,0))) *
N('PORTIFÓLIO'!$S$4:$S$564),
0
)
),
0)</f>
        <v/>
      </c>
      <c r="G33" s="47">
        <f>F33/$F$4</f>
        <v/>
      </c>
      <c r="H33" s="49">
        <f t="array" ref="H33">IFERROR(
SUM(
IF(
'PORTIFÓLIO'!$C$4:$C$564=$A33,
N(INDEX('PORTIFÓLIO'!$J$4:$Q$564,,MATCH(H$2,'PORTIFÓLIO'!$J$3:$Q$3,0))) *
N('PORTIFÓLIO'!$S$4:$S$564),
0
)
),
0)</f>
        <v/>
      </c>
      <c r="I33" s="47">
        <f>H33/$H$4</f>
        <v/>
      </c>
      <c r="J33" s="49">
        <f t="array" ref="J33">IFERROR(
SUM(
IF(
'PORTIFÓLIO'!$C$4:$C$564=$A33,
N(INDEX('PORTIFÓLIO'!$J$4:$Q$564,,MATCH(J$2,'PORTIFÓLIO'!$J$3:$Q$3,0))) *
N('PORTIFÓLIO'!$S$4:$S$564),
0
)
),
0)</f>
        <v/>
      </c>
      <c r="K33" s="47">
        <f>J33/$J$4</f>
        <v/>
      </c>
      <c r="L33" s="49">
        <f t="array" ref="L33">IFERROR(
SUM(
IF(
'PORTIFÓLIO'!$C$4:$C$564=$A33,
N(INDEX('PORTIFÓLIO'!$J$4:$Q$564,,MATCH(L$2,'PORTIFÓLIO'!$J$3:$Q$3,0))) *
N('PORTIFÓLIO'!$S$4:$S$564),
0
)
),
0)</f>
        <v/>
      </c>
      <c r="M33" s="47">
        <f>L33/$L$4</f>
        <v/>
      </c>
      <c r="N33" s="49">
        <f t="array" ref="N33">IFERROR(
SUM(
IF(
'PORTIFÓLIO'!$C$4:$C$564=$A33,
N(INDEX('PORTIFÓLIO'!$J$4:$Q$564,,MATCH(N$2,'PORTIFÓLIO'!$J$3:$Q$3,0))) *
N('PORTIFÓLIO'!$S$4:$S$564),
0
)
),
0)</f>
        <v/>
      </c>
      <c r="O33" s="49">
        <f>N33/$N$4</f>
        <v/>
      </c>
      <c r="P33" s="49">
        <f t="array" ref="P33">IFERROR(
SUM(
IF(
'PORTIFÓLIO'!$C$4:$C$564=$A33,
N(INDEX('PORTIFÓLIO'!$J$4:$Q$564,,MATCH(P$2,'PORTIFÓLIO'!$J$3:$Q$3,0))) *
N('PORTIFÓLIO'!$S$4:$S$564),
0
)
),
0)</f>
        <v/>
      </c>
      <c r="Q33" s="49">
        <f>P33/$P$4</f>
        <v/>
      </c>
      <c r="R33" s="49">
        <f>SUM(P33,N33,L33,J33,H33,D33,B33)</f>
        <v/>
      </c>
      <c r="S33" s="49">
        <f>R33/$R$4</f>
        <v/>
      </c>
    </row>
    <row r="34" hidden="1" outlineLevel="1" ht="15.75" customHeight="1" s="297">
      <c r="A34" s="48">
        <f>IFERROR(__xludf.DUMMYFUNCTION("""COMPUTED_VALUE"""),"APRESA")</f>
        <v/>
      </c>
      <c r="B34" s="49">
        <f t="array" ref="B34">IFERROR(
SUM(
IF(
'PORTIFÓLIO'!$C$4:$C$564=$A34,
N(INDEX('PORTIFÓLIO'!$J$4:$Q$564,,MATCH(B$2,'PORTIFÓLIO'!$J$3:$Q$3,0))) *
N('PORTIFÓLIO'!$S$4:$S$564),
0
)
),
0)</f>
        <v/>
      </c>
      <c r="C34" s="49">
        <f>B34/$B$4</f>
        <v/>
      </c>
      <c r="D34" s="49">
        <f t="array" ref="D34">IFERROR(
SUM(
IF(
'PORTIFÓLIO'!$C$4:$C$564=$A34,
N(INDEX('PORTIFÓLIO'!$J$4:$Q$564,,MATCH(D$2,'PORTIFÓLIO'!$J$3:$Q$3,0))) *
N('PORTIFÓLIO'!$S$4:$S$564),
0
)
),
0)</f>
        <v/>
      </c>
      <c r="E34" s="49">
        <f>D34/$D$4</f>
        <v/>
      </c>
      <c r="F34" s="49">
        <f t="array" ref="F34">IFERROR(
SUM(
IF(
'PORTIFÓLIO'!$C$4:$C$564=$A34,
N(INDEX('PORTIFÓLIO'!$J$4:$Q$564,,MATCH(F$2,'PORTIFÓLIO'!$J$3:$Q$3,0))) *
N('PORTIFÓLIO'!$S$4:$S$564),
0
)
),
0)</f>
        <v/>
      </c>
      <c r="G34" s="47">
        <f>F34/$F$4</f>
        <v/>
      </c>
      <c r="H34" s="49">
        <f t="array" ref="H34">IFERROR(
SUM(
IF(
'PORTIFÓLIO'!$C$4:$C$564=$A34,
N(INDEX('PORTIFÓLIO'!$J$4:$Q$564,,MATCH(H$2,'PORTIFÓLIO'!$J$3:$Q$3,0))) *
N('PORTIFÓLIO'!$S$4:$S$564),
0
)
),
0)</f>
        <v/>
      </c>
      <c r="I34" s="47">
        <f>H34/$H$4</f>
        <v/>
      </c>
      <c r="J34" s="49">
        <f t="array" ref="J34">IFERROR(
SUM(
IF(
'PORTIFÓLIO'!$C$4:$C$564=$A34,
N(INDEX('PORTIFÓLIO'!$J$4:$Q$564,,MATCH(J$2,'PORTIFÓLIO'!$J$3:$Q$3,0))) *
N('PORTIFÓLIO'!$S$4:$S$564),
0
)
),
0)</f>
        <v/>
      </c>
      <c r="K34" s="47">
        <f>J34/$J$4</f>
        <v/>
      </c>
      <c r="L34" s="49">
        <f t="array" ref="L34">IFERROR(
SUM(
IF(
'PORTIFÓLIO'!$C$4:$C$564=$A34,
N(INDEX('PORTIFÓLIO'!$J$4:$Q$564,,MATCH(L$2,'PORTIFÓLIO'!$J$3:$Q$3,0))) *
N('PORTIFÓLIO'!$S$4:$S$564),
0
)
),
0)</f>
        <v/>
      </c>
      <c r="M34" s="47">
        <f>L34/$L$4</f>
        <v/>
      </c>
      <c r="N34" s="49">
        <f t="array" ref="N34">IFERROR(
SUM(
IF(
'PORTIFÓLIO'!$C$4:$C$564=$A34,
N(INDEX('PORTIFÓLIO'!$J$4:$Q$564,,MATCH(N$2,'PORTIFÓLIO'!$J$3:$Q$3,0))) *
N('PORTIFÓLIO'!$S$4:$S$564),
0
)
),
0)</f>
        <v/>
      </c>
      <c r="O34" s="49">
        <f>N34/$N$4</f>
        <v/>
      </c>
      <c r="P34" s="49">
        <f t="array" ref="P34">IFERROR(
SUM(
IF(
'PORTIFÓLIO'!$C$4:$C$564=$A34,
N(INDEX('PORTIFÓLIO'!$J$4:$Q$564,,MATCH(P$2,'PORTIFÓLIO'!$J$3:$Q$3,0))) *
N('PORTIFÓLIO'!$S$4:$S$564),
0
)
),
0)</f>
        <v/>
      </c>
      <c r="Q34" s="49">
        <f>P34/$P$4</f>
        <v/>
      </c>
      <c r="R34" s="49">
        <f>SUM(P34,N34,L34,J34,H34,D34,B34)</f>
        <v/>
      </c>
      <c r="S34" s="49">
        <f>R34/$R$4</f>
        <v/>
      </c>
    </row>
    <row r="35" hidden="1" outlineLevel="1" ht="15.75" customHeight="1" s="297">
      <c r="A35" s="48">
        <f>IFERROR(__xludf.DUMMYFUNCTION("""COMPUTED_VALUE"""),"ARADDO")</f>
        <v/>
      </c>
      <c r="B35" s="49">
        <f t="array" ref="B35">IFERROR(
SUM(
IF(
'PORTIFÓLIO'!$C$4:$C$564=$A35,
N(INDEX('PORTIFÓLIO'!$J$4:$Q$564,,MATCH(B$2,'PORTIFÓLIO'!$J$3:$Q$3,0))) *
N('PORTIFÓLIO'!$S$4:$S$564),
0
)
),
0)</f>
        <v/>
      </c>
      <c r="C35" s="49">
        <f>B35/$B$4</f>
        <v/>
      </c>
      <c r="D35" s="49">
        <f t="array" ref="D35">IFERROR(
SUM(
IF(
'PORTIFÓLIO'!$C$4:$C$564=$A35,
N(INDEX('PORTIFÓLIO'!$J$4:$Q$564,,MATCH(D$2,'PORTIFÓLIO'!$J$3:$Q$3,0))) *
N('PORTIFÓLIO'!$S$4:$S$564),
0
)
),
0)</f>
        <v/>
      </c>
      <c r="E35" s="49">
        <f>D35/$D$4</f>
        <v/>
      </c>
      <c r="F35" s="49">
        <f t="array" ref="F35">IFERROR(
SUM(
IF(
'PORTIFÓLIO'!$C$4:$C$564=$A35,
N(INDEX('PORTIFÓLIO'!$J$4:$Q$564,,MATCH(F$2,'PORTIFÓLIO'!$J$3:$Q$3,0))) *
N('PORTIFÓLIO'!$S$4:$S$564),
0
)
),
0)</f>
        <v/>
      </c>
      <c r="G35" s="47">
        <f>F35/$F$4</f>
        <v/>
      </c>
      <c r="H35" s="49">
        <f t="array" ref="H35">IFERROR(
SUM(
IF(
'PORTIFÓLIO'!$C$4:$C$564=$A35,
N(INDEX('PORTIFÓLIO'!$J$4:$Q$564,,MATCH(H$2,'PORTIFÓLIO'!$J$3:$Q$3,0))) *
N('PORTIFÓLIO'!$S$4:$S$564),
0
)
),
0)</f>
        <v/>
      </c>
      <c r="I35" s="47">
        <f>H35/$H$4</f>
        <v/>
      </c>
      <c r="J35" s="49">
        <f t="array" ref="J35">IFERROR(
SUM(
IF(
'PORTIFÓLIO'!$C$4:$C$564=$A35,
N(INDEX('PORTIFÓLIO'!$J$4:$Q$564,,MATCH(J$2,'PORTIFÓLIO'!$J$3:$Q$3,0))) *
N('PORTIFÓLIO'!$S$4:$S$564),
0
)
),
0)</f>
        <v/>
      </c>
      <c r="K35" s="47">
        <f>J35/$J$4</f>
        <v/>
      </c>
      <c r="L35" s="49">
        <f t="array" ref="L35">IFERROR(
SUM(
IF(
'PORTIFÓLIO'!$C$4:$C$564=$A35,
N(INDEX('PORTIFÓLIO'!$J$4:$Q$564,,MATCH(L$2,'PORTIFÓLIO'!$J$3:$Q$3,0))) *
N('PORTIFÓLIO'!$S$4:$S$564),
0
)
),
0)</f>
        <v/>
      </c>
      <c r="M35" s="47">
        <f>L35/$L$4</f>
        <v/>
      </c>
      <c r="N35" s="49">
        <f t="array" ref="N35">IFERROR(
SUM(
IF(
'PORTIFÓLIO'!$C$4:$C$564=$A35,
N(INDEX('PORTIFÓLIO'!$J$4:$Q$564,,MATCH(N$2,'PORTIFÓLIO'!$J$3:$Q$3,0))) *
N('PORTIFÓLIO'!$S$4:$S$564),
0
)
),
0)</f>
        <v/>
      </c>
      <c r="O35" s="49">
        <f>N35/$N$4</f>
        <v/>
      </c>
      <c r="P35" s="49">
        <f t="array" ref="P35">IFERROR(
SUM(
IF(
'PORTIFÓLIO'!$C$4:$C$564=$A35,
N(INDEX('PORTIFÓLIO'!$J$4:$Q$564,,MATCH(P$2,'PORTIFÓLIO'!$J$3:$Q$3,0))) *
N('PORTIFÓLIO'!$S$4:$S$564),
0
)
),
0)</f>
        <v/>
      </c>
      <c r="Q35" s="49">
        <f>P35/$P$4</f>
        <v/>
      </c>
      <c r="R35" s="49">
        <f>SUM(P35,N35,L35,J35,H35,D35,B35)</f>
        <v/>
      </c>
      <c r="S35" s="49">
        <f>R35/$R$4</f>
        <v/>
      </c>
    </row>
    <row r="36" hidden="1" outlineLevel="1" ht="15.75" customHeight="1" s="297">
      <c r="A36" s="48">
        <f>IFERROR(__xludf.DUMMYFUNCTION("""COMPUTED_VALUE"""),"CHEVAL")</f>
        <v/>
      </c>
      <c r="B36" s="49">
        <f t="array" ref="B36">IFERROR(
SUM(
IF(
'PORTIFÓLIO'!$C$4:$C$564=$A36,
N(INDEX('PORTIFÓLIO'!$J$4:$Q$564,,MATCH(B$2,'PORTIFÓLIO'!$J$3:$Q$3,0))) *
N('PORTIFÓLIO'!$S$4:$S$564),
0
)
),
0)</f>
        <v/>
      </c>
      <c r="C36" s="49">
        <f>B36/$B$4</f>
        <v/>
      </c>
      <c r="D36" s="49">
        <f t="array" ref="D36">IFERROR(
SUM(
IF(
'PORTIFÓLIO'!$C$4:$C$564=$A36,
N(INDEX('PORTIFÓLIO'!$J$4:$Q$564,,MATCH(D$2,'PORTIFÓLIO'!$J$3:$Q$3,0))) *
N('PORTIFÓLIO'!$S$4:$S$564),
0
)
),
0)</f>
        <v/>
      </c>
      <c r="E36" s="49">
        <f>D36/$D$4</f>
        <v/>
      </c>
      <c r="F36" s="49">
        <f t="array" ref="F36">IFERROR(
SUM(
IF(
'PORTIFÓLIO'!$C$4:$C$564=$A36,
N(INDEX('PORTIFÓLIO'!$J$4:$Q$564,,MATCH(F$2,'PORTIFÓLIO'!$J$3:$Q$3,0))) *
N('PORTIFÓLIO'!$S$4:$S$564),
0
)
),
0)</f>
        <v/>
      </c>
      <c r="G36" s="47">
        <f>F36/$F$4</f>
        <v/>
      </c>
      <c r="H36" s="49">
        <f t="array" ref="H36">IFERROR(
SUM(
IF(
'PORTIFÓLIO'!$C$4:$C$564=$A36,
N(INDEX('PORTIFÓLIO'!$J$4:$Q$564,,MATCH(H$2,'PORTIFÓLIO'!$J$3:$Q$3,0))) *
N('PORTIFÓLIO'!$S$4:$S$564),
0
)
),
0)</f>
        <v/>
      </c>
      <c r="I36" s="47">
        <f>H36/$H$4</f>
        <v/>
      </c>
      <c r="J36" s="49">
        <f t="array" ref="J36">IFERROR(
SUM(
IF(
'PORTIFÓLIO'!$C$4:$C$564=$A36,
N(INDEX('PORTIFÓLIO'!$J$4:$Q$564,,MATCH(J$2,'PORTIFÓLIO'!$J$3:$Q$3,0))) *
N('PORTIFÓLIO'!$S$4:$S$564),
0
)
),
0)</f>
        <v/>
      </c>
      <c r="K36" s="47">
        <f>J36/$J$4</f>
        <v/>
      </c>
      <c r="L36" s="49">
        <f t="array" ref="L36">IFERROR(
SUM(
IF(
'PORTIFÓLIO'!$C$4:$C$564=$A36,
N(INDEX('PORTIFÓLIO'!$J$4:$Q$564,,MATCH(L$2,'PORTIFÓLIO'!$J$3:$Q$3,0))) *
N('PORTIFÓLIO'!$S$4:$S$564),
0
)
),
0)</f>
        <v/>
      </c>
      <c r="M36" s="47">
        <f>L36/$L$4</f>
        <v/>
      </c>
      <c r="N36" s="49">
        <f t="array" ref="N36">IFERROR(
SUM(
IF(
'PORTIFÓLIO'!$C$4:$C$564=$A36,
N(INDEX('PORTIFÓLIO'!$J$4:$Q$564,,MATCH(N$2,'PORTIFÓLIO'!$J$3:$Q$3,0))) *
N('PORTIFÓLIO'!$S$4:$S$564),
0
)
),
0)</f>
        <v/>
      </c>
      <c r="O36" s="49">
        <f>N36/$N$4</f>
        <v/>
      </c>
      <c r="P36" s="49">
        <f t="array" ref="P36">IFERROR(
SUM(
IF(
'PORTIFÓLIO'!$C$4:$C$564=$A36,
N(INDEX('PORTIFÓLIO'!$J$4:$Q$564,,MATCH(P$2,'PORTIFÓLIO'!$J$3:$Q$3,0))) *
N('PORTIFÓLIO'!$S$4:$S$564),
0
)
),
0)</f>
        <v/>
      </c>
      <c r="Q36" s="49">
        <f>P36/$P$4</f>
        <v/>
      </c>
      <c r="R36" s="49">
        <f>SUM(P36,N36,L36,J36,H36,D36,B36)</f>
        <v/>
      </c>
      <c r="S36" s="49">
        <f>R36/$R$4</f>
        <v/>
      </c>
    </row>
    <row r="37" hidden="1" outlineLevel="1" ht="15.75" customHeight="1" s="297">
      <c r="A37" s="48">
        <f>IFERROR(__xludf.DUMMYFUNCTION("""COMPUTED_VALUE"""),"POQUER")</f>
        <v/>
      </c>
      <c r="B37" s="49">
        <f t="array" ref="B37">IFERROR(
SUM(
IF(
'PORTIFÓLIO'!$C$4:$C$564=$A37,
N(INDEX('PORTIFÓLIO'!$J$4:$Q$564,,MATCH(B$2,'PORTIFÓLIO'!$J$3:$Q$3,0))) *
N('PORTIFÓLIO'!$S$4:$S$564),
0
)
),
0)</f>
        <v/>
      </c>
      <c r="C37" s="49">
        <f>B37/$B$4</f>
        <v/>
      </c>
      <c r="D37" s="49">
        <f t="array" ref="D37">IFERROR(
SUM(
IF(
'PORTIFÓLIO'!$C$4:$C$564=$A37,
N(INDEX('PORTIFÓLIO'!$J$4:$Q$564,,MATCH(D$2,'PORTIFÓLIO'!$J$3:$Q$3,0))) *
N('PORTIFÓLIO'!$S$4:$S$564),
0
)
),
0)</f>
        <v/>
      </c>
      <c r="E37" s="49">
        <f>D37/$D$4</f>
        <v/>
      </c>
      <c r="F37" s="49">
        <f t="array" ref="F37">IFERROR(
SUM(
IF(
'PORTIFÓLIO'!$C$4:$C$564=$A37,
N(INDEX('PORTIFÓLIO'!$J$4:$Q$564,,MATCH(F$2,'PORTIFÓLIO'!$J$3:$Q$3,0))) *
N('PORTIFÓLIO'!$S$4:$S$564),
0
)
),
0)</f>
        <v/>
      </c>
      <c r="G37" s="47">
        <f>F37/$F$4</f>
        <v/>
      </c>
      <c r="H37" s="49">
        <f t="array" ref="H37">IFERROR(
SUM(
IF(
'PORTIFÓLIO'!$C$4:$C$564=$A37,
N(INDEX('PORTIFÓLIO'!$J$4:$Q$564,,MATCH(H$2,'PORTIFÓLIO'!$J$3:$Q$3,0))) *
N('PORTIFÓLIO'!$S$4:$S$564),
0
)
),
0)</f>
        <v/>
      </c>
      <c r="I37" s="47">
        <f>H37/$H$4</f>
        <v/>
      </c>
      <c r="J37" s="49">
        <f t="array" ref="J37">IFERROR(
SUM(
IF(
'PORTIFÓLIO'!$C$4:$C$564=$A37,
N(INDEX('PORTIFÓLIO'!$J$4:$Q$564,,MATCH(J$2,'PORTIFÓLIO'!$J$3:$Q$3,0))) *
N('PORTIFÓLIO'!$S$4:$S$564),
0
)
),
0)</f>
        <v/>
      </c>
      <c r="K37" s="47">
        <f>J37/$J$4</f>
        <v/>
      </c>
      <c r="L37" s="49">
        <f t="array" ref="L37">IFERROR(
SUM(
IF(
'PORTIFÓLIO'!$C$4:$C$564=$A37,
N(INDEX('PORTIFÓLIO'!$J$4:$Q$564,,MATCH(L$2,'PORTIFÓLIO'!$J$3:$Q$3,0))) *
N('PORTIFÓLIO'!$S$4:$S$564),
0
)
),
0)</f>
        <v/>
      </c>
      <c r="M37" s="47">
        <f>L37/$L$4</f>
        <v/>
      </c>
      <c r="N37" s="49">
        <f t="array" ref="N37">IFERROR(
SUM(
IF(
'PORTIFÓLIO'!$C$4:$C$564=$A37,
N(INDEX('PORTIFÓLIO'!$J$4:$Q$564,,MATCH(N$2,'PORTIFÓLIO'!$J$3:$Q$3,0))) *
N('PORTIFÓLIO'!$S$4:$S$564),
0
)
),
0)</f>
        <v/>
      </c>
      <c r="O37" s="49">
        <f>N37/$N$4</f>
        <v/>
      </c>
      <c r="P37" s="49">
        <f t="array" ref="P37">IFERROR(
SUM(
IF(
'PORTIFÓLIO'!$C$4:$C$564=$A37,
N(INDEX('PORTIFÓLIO'!$J$4:$Q$564,,MATCH(P$2,'PORTIFÓLIO'!$J$3:$Q$3,0))) *
N('PORTIFÓLIO'!$S$4:$S$564),
0
)
),
0)</f>
        <v/>
      </c>
      <c r="Q37" s="49">
        <f>P37/$P$4</f>
        <v/>
      </c>
      <c r="R37" s="49">
        <f>SUM(P37,N37,L37,J37,H37,D37,B37)</f>
        <v/>
      </c>
      <c r="S37" s="49">
        <f>R37/$R$4</f>
        <v/>
      </c>
    </row>
    <row r="38" hidden="1" outlineLevel="1" ht="15.75" customHeight="1" s="297">
      <c r="A38" s="48">
        <f>IFERROR(__xludf.DUMMYFUNCTION("""COMPUTED_VALUE"""),"PREMERLIN 600 EC")</f>
        <v/>
      </c>
      <c r="B38" s="49">
        <f t="array" ref="B38">IFERROR(
SUM(
IF(
'PORTIFÓLIO'!$C$4:$C$564=$A38,
N(INDEX('PORTIFÓLIO'!$J$4:$Q$564,,MATCH(B$2,'PORTIFÓLIO'!$J$3:$Q$3,0))) *
N('PORTIFÓLIO'!$S$4:$S$564),
0
)
),
0)</f>
        <v/>
      </c>
      <c r="C38" s="49">
        <f>B38/$B$4</f>
        <v/>
      </c>
      <c r="D38" s="49">
        <f t="array" ref="D38">IFERROR(
SUM(
IF(
'PORTIFÓLIO'!$C$4:$C$564=$A38,
N(INDEX('PORTIFÓLIO'!$J$4:$Q$564,,MATCH(D$2,'PORTIFÓLIO'!$J$3:$Q$3,0))) *
N('PORTIFÓLIO'!$S$4:$S$564),
0
)
),
0)</f>
        <v/>
      </c>
      <c r="E38" s="49">
        <f>D38/$D$4</f>
        <v/>
      </c>
      <c r="F38" s="49">
        <f t="array" ref="F38">IFERROR(
SUM(
IF(
'PORTIFÓLIO'!$C$4:$C$564=$A38,
N(INDEX('PORTIFÓLIO'!$J$4:$Q$564,,MATCH(F$2,'PORTIFÓLIO'!$J$3:$Q$3,0))) *
N('PORTIFÓLIO'!$S$4:$S$564),
0
)
),
0)</f>
        <v/>
      </c>
      <c r="G38" s="47">
        <f>F38/$F$4</f>
        <v/>
      </c>
      <c r="H38" s="49">
        <f t="array" ref="H38">IFERROR(
SUM(
IF(
'PORTIFÓLIO'!$C$4:$C$564=$A38,
N(INDEX('PORTIFÓLIO'!$J$4:$Q$564,,MATCH(H$2,'PORTIFÓLIO'!$J$3:$Q$3,0))) *
N('PORTIFÓLIO'!$S$4:$S$564),
0
)
),
0)</f>
        <v/>
      </c>
      <c r="I38" s="47">
        <f>H38/$H$4</f>
        <v/>
      </c>
      <c r="J38" s="49">
        <f t="array" ref="J38">IFERROR(
SUM(
IF(
'PORTIFÓLIO'!$C$4:$C$564=$A38,
N(INDEX('PORTIFÓLIO'!$J$4:$Q$564,,MATCH(J$2,'PORTIFÓLIO'!$J$3:$Q$3,0))) *
N('PORTIFÓLIO'!$S$4:$S$564),
0
)
),
0)</f>
        <v/>
      </c>
      <c r="K38" s="47">
        <f>J38/$J$4</f>
        <v/>
      </c>
      <c r="L38" s="49">
        <f t="array" ref="L38">IFERROR(
SUM(
IF(
'PORTIFÓLIO'!$C$4:$C$564=$A38,
N(INDEX('PORTIFÓLIO'!$J$4:$Q$564,,MATCH(L$2,'PORTIFÓLIO'!$J$3:$Q$3,0))) *
N('PORTIFÓLIO'!$S$4:$S$564),
0
)
),
0)</f>
        <v/>
      </c>
      <c r="M38" s="47">
        <f>L38/$L$4</f>
        <v/>
      </c>
      <c r="N38" s="49">
        <f t="array" ref="N38">IFERROR(
SUM(
IF(
'PORTIFÓLIO'!$C$4:$C$564=$A38,
N(INDEX('PORTIFÓLIO'!$J$4:$Q$564,,MATCH(N$2,'PORTIFÓLIO'!$J$3:$Q$3,0))) *
N('PORTIFÓLIO'!$S$4:$S$564),
0
)
),
0)</f>
        <v/>
      </c>
      <c r="O38" s="49">
        <f>N38/$N$4</f>
        <v/>
      </c>
      <c r="P38" s="49">
        <f t="array" ref="P38">IFERROR(
SUM(
IF(
'PORTIFÓLIO'!$C$4:$C$564=$A38,
N(INDEX('PORTIFÓLIO'!$J$4:$Q$564,,MATCH(P$2,'PORTIFÓLIO'!$J$3:$Q$3,0))) *
N('PORTIFÓLIO'!$S$4:$S$564),
0
)
),
0)</f>
        <v/>
      </c>
      <c r="Q38" s="49">
        <f>P38/$P$4</f>
        <v/>
      </c>
      <c r="R38" s="49">
        <f>SUM(P38,N38,L38,J38,H38,D38,B38)</f>
        <v/>
      </c>
      <c r="S38" s="49">
        <f>R38/$R$4</f>
        <v/>
      </c>
    </row>
    <row r="39" hidden="1" outlineLevel="1" ht="15.75" customHeight="1" s="297">
      <c r="A39" s="48">
        <f>IFERROR(__xludf.DUMMYFUNCTION("""COMPUTED_VALUE"""),"AMPLO")</f>
        <v/>
      </c>
      <c r="B39" s="49">
        <f t="array" ref="B39">IFERROR(
SUM(
IF(
'PORTIFÓLIO'!$C$4:$C$564=$A39,
N(INDEX('PORTIFÓLIO'!$J$4:$Q$564,,MATCH(B$2,'PORTIFÓLIO'!$J$3:$Q$3,0))) *
N('PORTIFÓLIO'!$S$4:$S$564),
0
)
),
0)</f>
        <v/>
      </c>
      <c r="C39" s="49">
        <f>B39/$B$4</f>
        <v/>
      </c>
      <c r="D39" s="49">
        <f t="array" ref="D39">IFERROR(
SUM(
IF(
'PORTIFÓLIO'!$C$4:$C$564=$A39,
N(INDEX('PORTIFÓLIO'!$J$4:$Q$564,,MATCH(D$2,'PORTIFÓLIO'!$J$3:$Q$3,0))) *
N('PORTIFÓLIO'!$S$4:$S$564),
0
)
),
0)</f>
        <v/>
      </c>
      <c r="E39" s="49">
        <f>D39/$D$4</f>
        <v/>
      </c>
      <c r="F39" s="49">
        <f t="array" ref="F39">IFERROR(
SUM(
IF(
'PORTIFÓLIO'!$C$4:$C$564=$A39,
N(INDEX('PORTIFÓLIO'!$J$4:$Q$564,,MATCH(F$2,'PORTIFÓLIO'!$J$3:$Q$3,0))) *
N('PORTIFÓLIO'!$S$4:$S$564),
0
)
),
0)</f>
        <v/>
      </c>
      <c r="G39" s="47">
        <f>F39/$F$4</f>
        <v/>
      </c>
      <c r="H39" s="49">
        <f t="array" ref="H39">IFERROR(
SUM(
IF(
'PORTIFÓLIO'!$C$4:$C$564=$A39,
N(INDEX('PORTIFÓLIO'!$J$4:$Q$564,,MATCH(H$2,'PORTIFÓLIO'!$J$3:$Q$3,0))) *
N('PORTIFÓLIO'!$S$4:$S$564),
0
)
),
0)</f>
        <v/>
      </c>
      <c r="I39" s="47">
        <f>H39/$H$4</f>
        <v/>
      </c>
      <c r="J39" s="49">
        <f t="array" ref="J39">IFERROR(
SUM(
IF(
'PORTIFÓLIO'!$C$4:$C$564=$A39,
N(INDEX('PORTIFÓLIO'!$J$4:$Q$564,,MATCH(J$2,'PORTIFÓLIO'!$J$3:$Q$3,0))) *
N('PORTIFÓLIO'!$S$4:$S$564),
0
)
),
0)</f>
        <v/>
      </c>
      <c r="K39" s="47">
        <f>J39/$J$4</f>
        <v/>
      </c>
      <c r="L39" s="49">
        <f t="array" ref="L39">IFERROR(
SUM(
IF(
'PORTIFÓLIO'!$C$4:$C$564=$A39,
N(INDEX('PORTIFÓLIO'!$J$4:$Q$564,,MATCH(L$2,'PORTIFÓLIO'!$J$3:$Q$3,0))) *
N('PORTIFÓLIO'!$S$4:$S$564),
0
)
),
0)</f>
        <v/>
      </c>
      <c r="M39" s="47">
        <f>L39/$L$4</f>
        <v/>
      </c>
      <c r="N39" s="49">
        <f t="array" ref="N39">IFERROR(
SUM(
IF(
'PORTIFÓLIO'!$C$4:$C$564=$A39,
N(INDEX('PORTIFÓLIO'!$J$4:$Q$564,,MATCH(N$2,'PORTIFÓLIO'!$J$3:$Q$3,0))) *
N('PORTIFÓLIO'!$S$4:$S$564),
0
)
),
0)</f>
        <v/>
      </c>
      <c r="O39" s="49">
        <f>N39/$N$4</f>
        <v/>
      </c>
      <c r="P39" s="49">
        <f t="array" ref="P39">IFERROR(
SUM(
IF(
'PORTIFÓLIO'!$C$4:$C$564=$A39,
N(INDEX('PORTIFÓLIO'!$J$4:$Q$564,,MATCH(P$2,'PORTIFÓLIO'!$J$3:$Q$3,0))) *
N('PORTIFÓLIO'!$S$4:$S$564),
0
)
),
0)</f>
        <v/>
      </c>
      <c r="Q39" s="49">
        <f>P39/$P$4</f>
        <v/>
      </c>
      <c r="R39" s="49">
        <f>SUM(P39,N39,L39,J39,H39,D39,B39)</f>
        <v/>
      </c>
      <c r="S39" s="49">
        <f>R39/$R$4</f>
        <v/>
      </c>
    </row>
    <row r="40" hidden="1" outlineLevel="1" ht="15.75" customHeight="1" s="297">
      <c r="A40" s="48">
        <f>IFERROR(__xludf.DUMMYFUNCTION("""COMPUTED_VALUE"""),"BASAGRAN 600")</f>
        <v/>
      </c>
      <c r="B40" s="49">
        <f t="array" ref="B40">IFERROR(
SUM(
IF(
'PORTIFÓLIO'!$C$4:$C$564=$A40,
N(INDEX('PORTIFÓLIO'!$J$4:$Q$564,,MATCH(B$2,'PORTIFÓLIO'!$J$3:$Q$3,0))) *
N('PORTIFÓLIO'!$S$4:$S$564),
0
)
),
0)</f>
        <v/>
      </c>
      <c r="C40" s="49">
        <f>B40/$B$4</f>
        <v/>
      </c>
      <c r="D40" s="49">
        <f t="array" ref="D40">IFERROR(
SUM(
IF(
'PORTIFÓLIO'!$C$4:$C$564=$A40,
N(INDEX('PORTIFÓLIO'!$J$4:$Q$564,,MATCH(D$2,'PORTIFÓLIO'!$J$3:$Q$3,0))) *
N('PORTIFÓLIO'!$S$4:$S$564),
0
)
),
0)</f>
        <v/>
      </c>
      <c r="E40" s="49">
        <f>D40/$D$4</f>
        <v/>
      </c>
      <c r="F40" s="49">
        <f t="array" ref="F40">IFERROR(
SUM(
IF(
'PORTIFÓLIO'!$C$4:$C$564=$A40,
N(INDEX('PORTIFÓLIO'!$J$4:$Q$564,,MATCH(F$2,'PORTIFÓLIO'!$J$3:$Q$3,0))) *
N('PORTIFÓLIO'!$S$4:$S$564),
0
)
),
0)</f>
        <v/>
      </c>
      <c r="G40" s="47">
        <f>F40/$F$4</f>
        <v/>
      </c>
      <c r="H40" s="49">
        <f t="array" ref="H40">IFERROR(
SUM(
IF(
'PORTIFÓLIO'!$C$4:$C$564=$A40,
N(INDEX('PORTIFÓLIO'!$J$4:$Q$564,,MATCH(H$2,'PORTIFÓLIO'!$J$3:$Q$3,0))) *
N('PORTIFÓLIO'!$S$4:$S$564),
0
)
),
0)</f>
        <v/>
      </c>
      <c r="I40" s="47">
        <f>H40/$H$4</f>
        <v/>
      </c>
      <c r="J40" s="49">
        <f t="array" ref="J40">IFERROR(
SUM(
IF(
'PORTIFÓLIO'!$C$4:$C$564=$A40,
N(INDEX('PORTIFÓLIO'!$J$4:$Q$564,,MATCH(J$2,'PORTIFÓLIO'!$J$3:$Q$3,0))) *
N('PORTIFÓLIO'!$S$4:$S$564),
0
)
),
0)</f>
        <v/>
      </c>
      <c r="K40" s="47">
        <f>J40/$J$4</f>
        <v/>
      </c>
      <c r="L40" s="49">
        <f t="array" ref="L40">IFERROR(
SUM(
IF(
'PORTIFÓLIO'!$C$4:$C$564=$A40,
N(INDEX('PORTIFÓLIO'!$J$4:$Q$564,,MATCH(L$2,'PORTIFÓLIO'!$J$3:$Q$3,0))) *
N('PORTIFÓLIO'!$S$4:$S$564),
0
)
),
0)</f>
        <v/>
      </c>
      <c r="M40" s="47">
        <f>L40/$L$4</f>
        <v/>
      </c>
      <c r="N40" s="49">
        <f t="array" ref="N40">IFERROR(
SUM(
IF(
'PORTIFÓLIO'!$C$4:$C$564=$A40,
N(INDEX('PORTIFÓLIO'!$J$4:$Q$564,,MATCH(N$2,'PORTIFÓLIO'!$J$3:$Q$3,0))) *
N('PORTIFÓLIO'!$S$4:$S$564),
0
)
),
0)</f>
        <v/>
      </c>
      <c r="O40" s="49">
        <f>N40/$N$4</f>
        <v/>
      </c>
      <c r="P40" s="49">
        <f t="array" ref="P40">IFERROR(
SUM(
IF(
'PORTIFÓLIO'!$C$4:$C$564=$A40,
N(INDEX('PORTIFÓLIO'!$J$4:$Q$564,,MATCH(P$2,'PORTIFÓLIO'!$J$3:$Q$3,0))) *
N('PORTIFÓLIO'!$S$4:$S$564),
0
)
),
0)</f>
        <v/>
      </c>
      <c r="Q40" s="49">
        <f>P40/$P$4</f>
        <v/>
      </c>
      <c r="R40" s="49">
        <f>SUM(P40,N40,L40,J40,H40,D40,B40)</f>
        <v/>
      </c>
      <c r="S40" s="49">
        <f>R40/$R$4</f>
        <v/>
      </c>
    </row>
    <row r="41" hidden="1" outlineLevel="1" ht="15.75" customHeight="1" s="297">
      <c r="A41" s="48">
        <f>IFERROR(__xludf.DUMMYFUNCTION("""COMPUTED_VALUE"""),"FINALE")</f>
        <v/>
      </c>
      <c r="B41" s="49">
        <f t="array" ref="B41">IFERROR(
SUM(
IF(
'PORTIFÓLIO'!$C$4:$C$564=$A41,
N(INDEX('PORTIFÓLIO'!$J$4:$Q$564,,MATCH(B$2,'PORTIFÓLIO'!$J$3:$Q$3,0))) *
N('PORTIFÓLIO'!$S$4:$S$564),
0
)
),
0)</f>
        <v/>
      </c>
      <c r="C41" s="49">
        <f>B41/$B$4</f>
        <v/>
      </c>
      <c r="D41" s="49">
        <f t="array" ref="D41">IFERROR(
SUM(
IF(
'PORTIFÓLIO'!$C$4:$C$564=$A41,
N(INDEX('PORTIFÓLIO'!$J$4:$Q$564,,MATCH(D$2,'PORTIFÓLIO'!$J$3:$Q$3,0))) *
N('PORTIFÓLIO'!$S$4:$S$564),
0
)
),
0)</f>
        <v/>
      </c>
      <c r="E41" s="49">
        <f>D41/$D$4</f>
        <v/>
      </c>
      <c r="F41" s="49">
        <f t="array" ref="F41">IFERROR(
SUM(
IF(
'PORTIFÓLIO'!$C$4:$C$564=$A41,
N(INDEX('PORTIFÓLIO'!$J$4:$Q$564,,MATCH(F$2,'PORTIFÓLIO'!$J$3:$Q$3,0))) *
N('PORTIFÓLIO'!$S$4:$S$564),
0
)
),
0)</f>
        <v/>
      </c>
      <c r="G41" s="47">
        <f>F41/$F$4</f>
        <v/>
      </c>
      <c r="H41" s="49">
        <f t="array" ref="H41">IFERROR(
SUM(
IF(
'PORTIFÓLIO'!$C$4:$C$564=$A41,
N(INDEX('PORTIFÓLIO'!$J$4:$Q$564,,MATCH(H$2,'PORTIFÓLIO'!$J$3:$Q$3,0))) *
N('PORTIFÓLIO'!$S$4:$S$564),
0
)
),
0)</f>
        <v/>
      </c>
      <c r="I41" s="47">
        <f>H41/$H$4</f>
        <v/>
      </c>
      <c r="J41" s="49">
        <f t="array" ref="J41">IFERROR(
SUM(
IF(
'PORTIFÓLIO'!$C$4:$C$564=$A41,
N(INDEX('PORTIFÓLIO'!$J$4:$Q$564,,MATCH(J$2,'PORTIFÓLIO'!$J$3:$Q$3,0))) *
N('PORTIFÓLIO'!$S$4:$S$564),
0
)
),
0)</f>
        <v/>
      </c>
      <c r="K41" s="47">
        <f>J41/$J$4</f>
        <v/>
      </c>
      <c r="L41" s="49">
        <f t="array" ref="L41">IFERROR(
SUM(
IF(
'PORTIFÓLIO'!$C$4:$C$564=$A41,
N(INDEX('PORTIFÓLIO'!$J$4:$Q$564,,MATCH(L$2,'PORTIFÓLIO'!$J$3:$Q$3,0))) *
N('PORTIFÓLIO'!$S$4:$S$564),
0
)
),
0)</f>
        <v/>
      </c>
      <c r="M41" s="47">
        <f>L41/$L$4</f>
        <v/>
      </c>
      <c r="N41" s="49">
        <f t="array" ref="N41">IFERROR(
SUM(
IF(
'PORTIFÓLIO'!$C$4:$C$564=$A41,
N(INDEX('PORTIFÓLIO'!$J$4:$Q$564,,MATCH(N$2,'PORTIFÓLIO'!$J$3:$Q$3,0))) *
N('PORTIFÓLIO'!$S$4:$S$564),
0
)
),
0)</f>
        <v/>
      </c>
      <c r="O41" s="49">
        <f>N41/$N$4</f>
        <v/>
      </c>
      <c r="P41" s="49">
        <f t="array" ref="P41">IFERROR(
SUM(
IF(
'PORTIFÓLIO'!$C$4:$C$564=$A41,
N(INDEX('PORTIFÓLIO'!$J$4:$Q$564,,MATCH(P$2,'PORTIFÓLIO'!$J$3:$Q$3,0))) *
N('PORTIFÓLIO'!$S$4:$S$564),
0
)
),
0)</f>
        <v/>
      </c>
      <c r="Q41" s="49">
        <f>P41/$P$4</f>
        <v/>
      </c>
      <c r="R41" s="49">
        <f>SUM(P41,N41,L41,J41,H41,D41,B41)</f>
        <v/>
      </c>
      <c r="S41" s="49">
        <f>R41/$R$4</f>
        <v/>
      </c>
    </row>
    <row r="42" hidden="1" outlineLevel="1" ht="15.75" customHeight="1" s="297">
      <c r="A42" s="48">
        <f>IFERROR(__xludf.DUMMYFUNCTION("""COMPUTED_VALUE"""),"HEAT")</f>
        <v/>
      </c>
      <c r="B42" s="49">
        <f t="array" ref="B42">IFERROR(
SUM(
IF(
'PORTIFÓLIO'!$C$4:$C$564=$A42,
N(INDEX('PORTIFÓLIO'!$J$4:$Q$564,,MATCH(B$2,'PORTIFÓLIO'!$J$3:$Q$3,0))) *
N('PORTIFÓLIO'!$S$4:$S$564),
0
)
),
0)</f>
        <v/>
      </c>
      <c r="C42" s="49">
        <f>B42/$B$4</f>
        <v/>
      </c>
      <c r="D42" s="49">
        <f t="array" ref="D42">IFERROR(
SUM(
IF(
'PORTIFÓLIO'!$C$4:$C$564=$A42,
N(INDEX('PORTIFÓLIO'!$J$4:$Q$564,,MATCH(D$2,'PORTIFÓLIO'!$J$3:$Q$3,0))) *
N('PORTIFÓLIO'!$S$4:$S$564),
0
)
),
0)</f>
        <v/>
      </c>
      <c r="E42" s="49">
        <f>D42/$D$4</f>
        <v/>
      </c>
      <c r="F42" s="49">
        <f t="array" ref="F42">IFERROR(
SUM(
IF(
'PORTIFÓLIO'!$C$4:$C$564=$A42,
N(INDEX('PORTIFÓLIO'!$J$4:$Q$564,,MATCH(F$2,'PORTIFÓLIO'!$J$3:$Q$3,0))) *
N('PORTIFÓLIO'!$S$4:$S$564),
0
)
),
0)</f>
        <v/>
      </c>
      <c r="G42" s="47">
        <f>F42/$F$4</f>
        <v/>
      </c>
      <c r="H42" s="49">
        <f t="array" ref="H42">IFERROR(
SUM(
IF(
'PORTIFÓLIO'!$C$4:$C$564=$A42,
N(INDEX('PORTIFÓLIO'!$J$4:$Q$564,,MATCH(H$2,'PORTIFÓLIO'!$J$3:$Q$3,0))) *
N('PORTIFÓLIO'!$S$4:$S$564),
0
)
),
0)</f>
        <v/>
      </c>
      <c r="I42" s="47">
        <f>H42/$H$4</f>
        <v/>
      </c>
      <c r="J42" s="49">
        <f t="array" ref="J42">IFERROR(
SUM(
IF(
'PORTIFÓLIO'!$C$4:$C$564=$A42,
N(INDEX('PORTIFÓLIO'!$J$4:$Q$564,,MATCH(J$2,'PORTIFÓLIO'!$J$3:$Q$3,0))) *
N('PORTIFÓLIO'!$S$4:$S$564),
0
)
),
0)</f>
        <v/>
      </c>
      <c r="K42" s="47">
        <f>J42/$J$4</f>
        <v/>
      </c>
      <c r="L42" s="49">
        <f t="array" ref="L42">IFERROR(
SUM(
IF(
'PORTIFÓLIO'!$C$4:$C$564=$A42,
N(INDEX('PORTIFÓLIO'!$J$4:$Q$564,,MATCH(L$2,'PORTIFÓLIO'!$J$3:$Q$3,0))) *
N('PORTIFÓLIO'!$S$4:$S$564),
0
)
),
0)</f>
        <v/>
      </c>
      <c r="M42" s="47">
        <f>L42/$L$4</f>
        <v/>
      </c>
      <c r="N42" s="49">
        <f t="array" ref="N42">IFERROR(
SUM(
IF(
'PORTIFÓLIO'!$C$4:$C$564=$A42,
N(INDEX('PORTIFÓLIO'!$J$4:$Q$564,,MATCH(N$2,'PORTIFÓLIO'!$J$3:$Q$3,0))) *
N('PORTIFÓLIO'!$S$4:$S$564),
0
)
),
0)</f>
        <v/>
      </c>
      <c r="O42" s="49">
        <f>N42/$N$4</f>
        <v/>
      </c>
      <c r="P42" s="49">
        <f t="array" ref="P42">IFERROR(
SUM(
IF(
'PORTIFÓLIO'!$C$4:$C$564=$A42,
N(INDEX('PORTIFÓLIO'!$J$4:$Q$564,,MATCH(P$2,'PORTIFÓLIO'!$J$3:$Q$3,0))) *
N('PORTIFÓLIO'!$S$4:$S$564),
0
)
),
0)</f>
        <v/>
      </c>
      <c r="Q42" s="49">
        <f>P42/$P$4</f>
        <v/>
      </c>
      <c r="R42" s="49">
        <f>SUM(P42,N42,L42,J42,H42,D42,B42)</f>
        <v/>
      </c>
      <c r="S42" s="49">
        <f>R42/$R$4</f>
        <v/>
      </c>
    </row>
    <row r="43" hidden="1" outlineLevel="1" ht="15.75" customHeight="1" s="297">
      <c r="A43" s="48">
        <f>IFERROR(__xludf.DUMMYFUNCTION("""COMPUTED_VALUE"""),"LIBERTY")</f>
        <v/>
      </c>
      <c r="B43" s="49">
        <f t="array" ref="B43">IFERROR(
SUM(
IF(
'PORTIFÓLIO'!$C$4:$C$564=$A43,
N(INDEX('PORTIFÓLIO'!$J$4:$Q$564,,MATCH(B$2,'PORTIFÓLIO'!$J$3:$Q$3,0))) *
N('PORTIFÓLIO'!$S$4:$S$564),
0
)
),
0)</f>
        <v/>
      </c>
      <c r="C43" s="49">
        <f>B43/$B$4</f>
        <v/>
      </c>
      <c r="D43" s="49">
        <f t="array" ref="D43">IFERROR(
SUM(
IF(
'PORTIFÓLIO'!$C$4:$C$564=$A43,
N(INDEX('PORTIFÓLIO'!$J$4:$Q$564,,MATCH(D$2,'PORTIFÓLIO'!$J$3:$Q$3,0))) *
N('PORTIFÓLIO'!$S$4:$S$564),
0
)
),
0)</f>
        <v/>
      </c>
      <c r="E43" s="49">
        <f>D43/$D$4</f>
        <v/>
      </c>
      <c r="F43" s="49">
        <f t="array" ref="F43">IFERROR(
SUM(
IF(
'PORTIFÓLIO'!$C$4:$C$564=$A43,
N(INDEX('PORTIFÓLIO'!$J$4:$Q$564,,MATCH(F$2,'PORTIFÓLIO'!$J$3:$Q$3,0))) *
N('PORTIFÓLIO'!$S$4:$S$564),
0
)
),
0)</f>
        <v/>
      </c>
      <c r="G43" s="47">
        <f>F43/$F$4</f>
        <v/>
      </c>
      <c r="H43" s="49">
        <f t="array" ref="H43">IFERROR(
SUM(
IF(
'PORTIFÓLIO'!$C$4:$C$564=$A43,
N(INDEX('PORTIFÓLIO'!$J$4:$Q$564,,MATCH(H$2,'PORTIFÓLIO'!$J$3:$Q$3,0))) *
N('PORTIFÓLIO'!$S$4:$S$564),
0
)
),
0)</f>
        <v/>
      </c>
      <c r="I43" s="47">
        <f>H43/$H$4</f>
        <v/>
      </c>
      <c r="J43" s="49">
        <f t="array" ref="J43">IFERROR(
SUM(
IF(
'PORTIFÓLIO'!$C$4:$C$564=$A43,
N(INDEX('PORTIFÓLIO'!$J$4:$Q$564,,MATCH(J$2,'PORTIFÓLIO'!$J$3:$Q$3,0))) *
N('PORTIFÓLIO'!$S$4:$S$564),
0
)
),
0)</f>
        <v/>
      </c>
      <c r="K43" s="47">
        <f>J43/$J$4</f>
        <v/>
      </c>
      <c r="L43" s="49">
        <f t="array" ref="L43">IFERROR(
SUM(
IF(
'PORTIFÓLIO'!$C$4:$C$564=$A43,
N(INDEX('PORTIFÓLIO'!$J$4:$Q$564,,MATCH(L$2,'PORTIFÓLIO'!$J$3:$Q$3,0))) *
N('PORTIFÓLIO'!$S$4:$S$564),
0
)
),
0)</f>
        <v/>
      </c>
      <c r="M43" s="47">
        <f>L43/$L$4</f>
        <v/>
      </c>
      <c r="N43" s="49">
        <f t="array" ref="N43">IFERROR(
SUM(
IF(
'PORTIFÓLIO'!$C$4:$C$564=$A43,
N(INDEX('PORTIFÓLIO'!$J$4:$Q$564,,MATCH(N$2,'PORTIFÓLIO'!$J$3:$Q$3,0))) *
N('PORTIFÓLIO'!$S$4:$S$564),
0
)
),
0)</f>
        <v/>
      </c>
      <c r="O43" s="49">
        <f>N43/$N$4</f>
        <v/>
      </c>
      <c r="P43" s="49">
        <f t="array" ref="P43">IFERROR(
SUM(
IF(
'PORTIFÓLIO'!$C$4:$C$564=$A43,
N(INDEX('PORTIFÓLIO'!$J$4:$Q$564,,MATCH(P$2,'PORTIFÓLIO'!$J$3:$Q$3,0))) *
N('PORTIFÓLIO'!$S$4:$S$564),
0
)
),
0)</f>
        <v/>
      </c>
      <c r="Q43" s="49">
        <f>P43/$P$4</f>
        <v/>
      </c>
      <c r="R43" s="49">
        <f>SUM(P43,N43,L43,J43,H43,D43,B43)</f>
        <v/>
      </c>
      <c r="S43" s="49">
        <f>R43/$R$4</f>
        <v/>
      </c>
    </row>
    <row r="44" hidden="1" outlineLevel="1" ht="15.75" customHeight="1" s="297">
      <c r="A44" s="48">
        <f>IFERROR(__xludf.DUMMYFUNCTION("""COMPUTED_VALUE"""),"PROWL H2O")</f>
        <v/>
      </c>
      <c r="B44" s="49">
        <f t="array" ref="B44">IFERROR(
SUM(
IF(
'PORTIFÓLIO'!$C$4:$C$564=$A44,
N(INDEX('PORTIFÓLIO'!$J$4:$Q$564,,MATCH(B$2,'PORTIFÓLIO'!$J$3:$Q$3,0))) *
N('PORTIFÓLIO'!$S$4:$S$564),
0
)
),
0)</f>
        <v/>
      </c>
      <c r="C44" s="49">
        <f>B44/$B$4</f>
        <v/>
      </c>
      <c r="D44" s="49">
        <f t="array" ref="D44">IFERROR(
SUM(
IF(
'PORTIFÓLIO'!$C$4:$C$564=$A44,
N(INDEX('PORTIFÓLIO'!$J$4:$Q$564,,MATCH(D$2,'PORTIFÓLIO'!$J$3:$Q$3,0))) *
N('PORTIFÓLIO'!$S$4:$S$564),
0
)
),
0)</f>
        <v/>
      </c>
      <c r="E44" s="49">
        <f>D44/$D$4</f>
        <v/>
      </c>
      <c r="F44" s="49">
        <f t="array" ref="F44">IFERROR(
SUM(
IF(
'PORTIFÓLIO'!$C$4:$C$564=$A44,
N(INDEX('PORTIFÓLIO'!$J$4:$Q$564,,MATCH(F$2,'PORTIFÓLIO'!$J$3:$Q$3,0))) *
N('PORTIFÓLIO'!$S$4:$S$564),
0
)
),
0)</f>
        <v/>
      </c>
      <c r="G44" s="47">
        <f>F44/$F$4</f>
        <v/>
      </c>
      <c r="H44" s="49">
        <f t="array" ref="H44">IFERROR(
SUM(
IF(
'PORTIFÓLIO'!$C$4:$C$564=$A44,
N(INDEX('PORTIFÓLIO'!$J$4:$Q$564,,MATCH(H$2,'PORTIFÓLIO'!$J$3:$Q$3,0))) *
N('PORTIFÓLIO'!$S$4:$S$564),
0
)
),
0)</f>
        <v/>
      </c>
      <c r="I44" s="47">
        <f>H44/$H$4</f>
        <v/>
      </c>
      <c r="J44" s="49">
        <f t="array" ref="J44">IFERROR(
SUM(
IF(
'PORTIFÓLIO'!$C$4:$C$564=$A44,
N(INDEX('PORTIFÓLIO'!$J$4:$Q$564,,MATCH(J$2,'PORTIFÓLIO'!$J$3:$Q$3,0))) *
N('PORTIFÓLIO'!$S$4:$S$564),
0
)
),
0)</f>
        <v/>
      </c>
      <c r="K44" s="47">
        <f>J44/$J$4</f>
        <v/>
      </c>
      <c r="L44" s="49">
        <f t="array" ref="L44">IFERROR(
SUM(
IF(
'PORTIFÓLIO'!$C$4:$C$564=$A44,
N(INDEX('PORTIFÓLIO'!$J$4:$Q$564,,MATCH(L$2,'PORTIFÓLIO'!$J$3:$Q$3,0))) *
N('PORTIFÓLIO'!$S$4:$S$564),
0
)
),
0)</f>
        <v/>
      </c>
      <c r="M44" s="47">
        <f>L44/$L$4</f>
        <v/>
      </c>
      <c r="N44" s="49">
        <f t="array" ref="N44">IFERROR(
SUM(
IF(
'PORTIFÓLIO'!$C$4:$C$564=$A44,
N(INDEX('PORTIFÓLIO'!$J$4:$Q$564,,MATCH(N$2,'PORTIFÓLIO'!$J$3:$Q$3,0))) *
N('PORTIFÓLIO'!$S$4:$S$564),
0
)
),
0)</f>
        <v/>
      </c>
      <c r="O44" s="49">
        <f>N44/$N$4</f>
        <v/>
      </c>
      <c r="P44" s="49">
        <f t="array" ref="P44">IFERROR(
SUM(
IF(
'PORTIFÓLIO'!$C$4:$C$564=$A44,
N(INDEX('PORTIFÓLIO'!$J$4:$Q$564,,MATCH(P$2,'PORTIFÓLIO'!$J$3:$Q$3,0))) *
N('PORTIFÓLIO'!$S$4:$S$564),
0
)
),
0)</f>
        <v/>
      </c>
      <c r="Q44" s="49">
        <f>P44/$P$4</f>
        <v/>
      </c>
      <c r="R44" s="49">
        <f>SUM(P44,N44,L44,J44,H44,D44,B44)</f>
        <v/>
      </c>
      <c r="S44" s="49">
        <f>R44/$R$4</f>
        <v/>
      </c>
    </row>
    <row r="45" hidden="1" outlineLevel="1" ht="15.75" customHeight="1" s="297">
      <c r="A45" s="48">
        <f>IFERROR(__xludf.DUMMYFUNCTION("""COMPUTED_VALUE"""),"ADENGO")</f>
        <v/>
      </c>
      <c r="B45" s="49">
        <f t="array" ref="B45">IFERROR(
SUM(
IF(
'PORTIFÓLIO'!$C$4:$C$564=$A45,
N(INDEX('PORTIFÓLIO'!$J$4:$Q$564,,MATCH(B$2,'PORTIFÓLIO'!$J$3:$Q$3,0))) *
N('PORTIFÓLIO'!$S$4:$S$564),
0
)
),
0)</f>
        <v/>
      </c>
      <c r="C45" s="49">
        <f>B45/$B$4</f>
        <v/>
      </c>
      <c r="D45" s="49">
        <f t="array" ref="D45">IFERROR(
SUM(
IF(
'PORTIFÓLIO'!$C$4:$C$564=$A45,
N(INDEX('PORTIFÓLIO'!$J$4:$Q$564,,MATCH(D$2,'PORTIFÓLIO'!$J$3:$Q$3,0))) *
N('PORTIFÓLIO'!$S$4:$S$564),
0
)
),
0)</f>
        <v/>
      </c>
      <c r="E45" s="49">
        <f>D45/$D$4</f>
        <v/>
      </c>
      <c r="F45" s="49">
        <f t="array" ref="F45">IFERROR(
SUM(
IF(
'PORTIFÓLIO'!$C$4:$C$564=$A45,
N(INDEX('PORTIFÓLIO'!$J$4:$Q$564,,MATCH(F$2,'PORTIFÓLIO'!$J$3:$Q$3,0))) *
N('PORTIFÓLIO'!$S$4:$S$564),
0
)
),
0)</f>
        <v/>
      </c>
      <c r="G45" s="47">
        <f>F45/$F$4</f>
        <v/>
      </c>
      <c r="H45" s="49">
        <f t="array" ref="H45">IFERROR(
SUM(
IF(
'PORTIFÓLIO'!$C$4:$C$564=$A45,
N(INDEX('PORTIFÓLIO'!$J$4:$Q$564,,MATCH(H$2,'PORTIFÓLIO'!$J$3:$Q$3,0))) *
N('PORTIFÓLIO'!$S$4:$S$564),
0
)
),
0)</f>
        <v/>
      </c>
      <c r="I45" s="47">
        <f>H45/$H$4</f>
        <v/>
      </c>
      <c r="J45" s="49">
        <f t="array" ref="J45">IFERROR(
SUM(
IF(
'PORTIFÓLIO'!$C$4:$C$564=$A45,
N(INDEX('PORTIFÓLIO'!$J$4:$Q$564,,MATCH(J$2,'PORTIFÓLIO'!$J$3:$Q$3,0))) *
N('PORTIFÓLIO'!$S$4:$S$564),
0
)
),
0)</f>
        <v/>
      </c>
      <c r="K45" s="47">
        <f>J45/$J$4</f>
        <v/>
      </c>
      <c r="L45" s="49">
        <f t="array" ref="L45">IFERROR(
SUM(
IF(
'PORTIFÓLIO'!$C$4:$C$564=$A45,
N(INDEX('PORTIFÓLIO'!$J$4:$Q$564,,MATCH(L$2,'PORTIFÓLIO'!$J$3:$Q$3,0))) *
N('PORTIFÓLIO'!$S$4:$S$564),
0
)
),
0)</f>
        <v/>
      </c>
      <c r="M45" s="47">
        <f>L45/$L$4</f>
        <v/>
      </c>
      <c r="N45" s="49">
        <f t="array" ref="N45">IFERROR(
SUM(
IF(
'PORTIFÓLIO'!$C$4:$C$564=$A45,
N(INDEX('PORTIFÓLIO'!$J$4:$Q$564,,MATCH(N$2,'PORTIFÓLIO'!$J$3:$Q$3,0))) *
N('PORTIFÓLIO'!$S$4:$S$564),
0
)
),
0)</f>
        <v/>
      </c>
      <c r="O45" s="49">
        <f>N45/$N$4</f>
        <v/>
      </c>
      <c r="P45" s="49">
        <f t="array" ref="P45">IFERROR(
SUM(
IF(
'PORTIFÓLIO'!$C$4:$C$564=$A45,
N(INDEX('PORTIFÓLIO'!$J$4:$Q$564,,MATCH(P$2,'PORTIFÓLIO'!$J$3:$Q$3,0))) *
N('PORTIFÓLIO'!$S$4:$S$564),
0
)
),
0)</f>
        <v/>
      </c>
      <c r="Q45" s="49">
        <f>P45/$P$4</f>
        <v/>
      </c>
      <c r="R45" s="49">
        <f>SUM(P45,N45,L45,J45,H45,D45,B45)</f>
        <v/>
      </c>
      <c r="S45" s="49">
        <f>R45/$R$4</f>
        <v/>
      </c>
    </row>
    <row r="46" hidden="1" outlineLevel="1" ht="15.75" customHeight="1" s="297">
      <c r="A46" s="48">
        <f>IFERROR(__xludf.DUMMYFUNCTION("""COMPUTED_VALUE"""),"ROUNDUP WG")</f>
        <v/>
      </c>
      <c r="B46" s="49">
        <f t="array" ref="B46">IFERROR(
SUM(
IF(
'PORTIFÓLIO'!$C$4:$C$564=$A46,
N(INDEX('PORTIFÓLIO'!$J$4:$Q$564,,MATCH(B$2,'PORTIFÓLIO'!$J$3:$Q$3,0))) *
N('PORTIFÓLIO'!$S$4:$S$564),
0
)
),
0)</f>
        <v/>
      </c>
      <c r="C46" s="49">
        <f>B46/$B$4</f>
        <v/>
      </c>
      <c r="D46" s="49">
        <f t="array" ref="D46">IFERROR(
SUM(
IF(
'PORTIFÓLIO'!$C$4:$C$564=$A46,
N(INDEX('PORTIFÓLIO'!$J$4:$Q$564,,MATCH(D$2,'PORTIFÓLIO'!$J$3:$Q$3,0))) *
N('PORTIFÓLIO'!$S$4:$S$564),
0
)
),
0)</f>
        <v/>
      </c>
      <c r="E46" s="49">
        <f>D46/$D$4</f>
        <v/>
      </c>
      <c r="F46" s="49">
        <f t="array" ref="F46">IFERROR(
SUM(
IF(
'PORTIFÓLIO'!$C$4:$C$564=$A46,
N(INDEX('PORTIFÓLIO'!$J$4:$Q$564,,MATCH(F$2,'PORTIFÓLIO'!$J$3:$Q$3,0))) *
N('PORTIFÓLIO'!$S$4:$S$564),
0
)
),
0)</f>
        <v/>
      </c>
      <c r="G46" s="47">
        <f>F46/$F$4</f>
        <v/>
      </c>
      <c r="H46" s="49">
        <f t="array" ref="H46">IFERROR(
SUM(
IF(
'PORTIFÓLIO'!$C$4:$C$564=$A46,
N(INDEX('PORTIFÓLIO'!$J$4:$Q$564,,MATCH(H$2,'PORTIFÓLIO'!$J$3:$Q$3,0))) *
N('PORTIFÓLIO'!$S$4:$S$564),
0
)
),
0)</f>
        <v/>
      </c>
      <c r="I46" s="47">
        <f>H46/$H$4</f>
        <v/>
      </c>
      <c r="J46" s="49">
        <f t="array" ref="J46">IFERROR(
SUM(
IF(
'PORTIFÓLIO'!$C$4:$C$564=$A46,
N(INDEX('PORTIFÓLIO'!$J$4:$Q$564,,MATCH(J$2,'PORTIFÓLIO'!$J$3:$Q$3,0))) *
N('PORTIFÓLIO'!$S$4:$S$564),
0
)
),
0)</f>
        <v/>
      </c>
      <c r="K46" s="47">
        <f>J46/$J$4</f>
        <v/>
      </c>
      <c r="L46" s="49">
        <f t="array" ref="L46">IFERROR(
SUM(
IF(
'PORTIFÓLIO'!$C$4:$C$564=$A46,
N(INDEX('PORTIFÓLIO'!$J$4:$Q$564,,MATCH(L$2,'PORTIFÓLIO'!$J$3:$Q$3,0))) *
N('PORTIFÓLIO'!$S$4:$S$564),
0
)
),
0)</f>
        <v/>
      </c>
      <c r="M46" s="47">
        <f>L46/$L$4</f>
        <v/>
      </c>
      <c r="N46" s="49">
        <f t="array" ref="N46">IFERROR(
SUM(
IF(
'PORTIFÓLIO'!$C$4:$C$564=$A46,
N(INDEX('PORTIFÓLIO'!$J$4:$Q$564,,MATCH(N$2,'PORTIFÓLIO'!$J$3:$Q$3,0))) *
N('PORTIFÓLIO'!$S$4:$S$564),
0
)
),
0)</f>
        <v/>
      </c>
      <c r="O46" s="49">
        <f>N46/$N$4</f>
        <v/>
      </c>
      <c r="P46" s="49">
        <f t="array" ref="P46">IFERROR(
SUM(
IF(
'PORTIFÓLIO'!$C$4:$C$564=$A46,
N(INDEX('PORTIFÓLIO'!$J$4:$Q$564,,MATCH(P$2,'PORTIFÓLIO'!$J$3:$Q$3,0))) *
N('PORTIFÓLIO'!$S$4:$S$564),
0
)
),
0)</f>
        <v/>
      </c>
      <c r="Q46" s="49">
        <f>P46/$P$4</f>
        <v/>
      </c>
      <c r="R46" s="49">
        <f>SUM(P46,N46,L46,J46,H46,D46,B46)</f>
        <v/>
      </c>
      <c r="S46" s="49">
        <f>R46/$R$4</f>
        <v/>
      </c>
    </row>
    <row r="47" hidden="1" outlineLevel="1" ht="15.75" customHeight="1" s="297">
      <c r="A47" s="48">
        <f>IFERROR(__xludf.DUMMYFUNCTION("""COMPUTED_VALUE"""),"SOBERAN")</f>
        <v/>
      </c>
      <c r="B47" s="49">
        <f t="array" ref="B47">IFERROR(
SUM(
IF(
'PORTIFÓLIO'!$C$4:$C$564=$A47,
N(INDEX('PORTIFÓLIO'!$J$4:$Q$564,,MATCH(B$2,'PORTIFÓLIO'!$J$3:$Q$3,0))) *
N('PORTIFÓLIO'!$S$4:$S$564),
0
)
),
0)</f>
        <v/>
      </c>
      <c r="C47" s="49">
        <f>B47/$B$4</f>
        <v/>
      </c>
      <c r="D47" s="49">
        <f t="array" ref="D47">IFERROR(
SUM(
IF(
'PORTIFÓLIO'!$C$4:$C$564=$A47,
N(INDEX('PORTIFÓLIO'!$J$4:$Q$564,,MATCH(D$2,'PORTIFÓLIO'!$J$3:$Q$3,0))) *
N('PORTIFÓLIO'!$S$4:$S$564),
0
)
),
0)</f>
        <v/>
      </c>
      <c r="E47" s="49">
        <f>D47/$D$4</f>
        <v/>
      </c>
      <c r="F47" s="49">
        <f t="array" ref="F47">IFERROR(
SUM(
IF(
'PORTIFÓLIO'!$C$4:$C$564=$A47,
N(INDEX('PORTIFÓLIO'!$J$4:$Q$564,,MATCH(F$2,'PORTIFÓLIO'!$J$3:$Q$3,0))) *
N('PORTIFÓLIO'!$S$4:$S$564),
0
)
),
0)</f>
        <v/>
      </c>
      <c r="G47" s="47">
        <f>F47/$F$4</f>
        <v/>
      </c>
      <c r="H47" s="49">
        <f t="array" ref="H47">IFERROR(
SUM(
IF(
'PORTIFÓLIO'!$C$4:$C$564=$A47,
N(INDEX('PORTIFÓLIO'!$J$4:$Q$564,,MATCH(H$2,'PORTIFÓLIO'!$J$3:$Q$3,0))) *
N('PORTIFÓLIO'!$S$4:$S$564),
0
)
),
0)</f>
        <v/>
      </c>
      <c r="I47" s="47">
        <f>H47/$H$4</f>
        <v/>
      </c>
      <c r="J47" s="49">
        <f t="array" ref="J47">IFERROR(
SUM(
IF(
'PORTIFÓLIO'!$C$4:$C$564=$A47,
N(INDEX('PORTIFÓLIO'!$J$4:$Q$564,,MATCH(J$2,'PORTIFÓLIO'!$J$3:$Q$3,0))) *
N('PORTIFÓLIO'!$S$4:$S$564),
0
)
),
0)</f>
        <v/>
      </c>
      <c r="K47" s="47">
        <f>J47/$J$4</f>
        <v/>
      </c>
      <c r="L47" s="49">
        <f t="array" ref="L47">IFERROR(
SUM(
IF(
'PORTIFÓLIO'!$C$4:$C$564=$A47,
N(INDEX('PORTIFÓLIO'!$J$4:$Q$564,,MATCH(L$2,'PORTIFÓLIO'!$J$3:$Q$3,0))) *
N('PORTIFÓLIO'!$S$4:$S$564),
0
)
),
0)</f>
        <v/>
      </c>
      <c r="M47" s="47">
        <f>L47/$L$4</f>
        <v/>
      </c>
      <c r="N47" s="49">
        <f t="array" ref="N47">IFERROR(
SUM(
IF(
'PORTIFÓLIO'!$C$4:$C$564=$A47,
N(INDEX('PORTIFÓLIO'!$J$4:$Q$564,,MATCH(N$2,'PORTIFÓLIO'!$J$3:$Q$3,0))) *
N('PORTIFÓLIO'!$S$4:$S$564),
0
)
),
0)</f>
        <v/>
      </c>
      <c r="O47" s="49">
        <f>N47/$N$4</f>
        <v/>
      </c>
      <c r="P47" s="49">
        <f t="array" ref="P47">IFERROR(
SUM(
IF(
'PORTIFÓLIO'!$C$4:$C$564=$A47,
N(INDEX('PORTIFÓLIO'!$J$4:$Q$564,,MATCH(P$2,'PORTIFÓLIO'!$J$3:$Q$3,0))) *
N('PORTIFÓLIO'!$S$4:$S$564),
0
)
),
0)</f>
        <v/>
      </c>
      <c r="Q47" s="49">
        <f>P47/$P$4</f>
        <v/>
      </c>
      <c r="R47" s="49">
        <f>SUM(P47,N47,L47,J47,H47,D47,B47)</f>
        <v/>
      </c>
      <c r="S47" s="49">
        <f>R47/$R$4</f>
        <v/>
      </c>
    </row>
    <row r="48" hidden="1" outlineLevel="1" ht="15.75" customHeight="1" s="297">
      <c r="A48" s="48">
        <f>IFERROR(__xludf.DUMMYFUNCTION("""COMPUTED_VALUE"""),"2,4-D 806+PICLORAM 64")</f>
        <v/>
      </c>
      <c r="B48" s="49">
        <f t="array" ref="B48">IFERROR(
SUM(
IF(
'PORTIFÓLIO'!$C$4:$C$564=$A48,
N(INDEX('PORTIFÓLIO'!$J$4:$Q$564,,MATCH(B$2,'PORTIFÓLIO'!$J$3:$Q$3,0))) *
N('PORTIFÓLIO'!$S$4:$S$564),
0
)
),
0)</f>
        <v/>
      </c>
      <c r="C48" s="49">
        <f>B48/$B$4</f>
        <v/>
      </c>
      <c r="D48" s="49">
        <f t="array" ref="D48">IFERROR(
SUM(
IF(
'PORTIFÓLIO'!$C$4:$C$564=$A48,
N(INDEX('PORTIFÓLIO'!$J$4:$Q$564,,MATCH(D$2,'PORTIFÓLIO'!$J$3:$Q$3,0))) *
N('PORTIFÓLIO'!$S$4:$S$564),
0
)
),
0)</f>
        <v/>
      </c>
      <c r="E48" s="49">
        <f>D48/$D$4</f>
        <v/>
      </c>
      <c r="F48" s="49">
        <f t="array" ref="F48">IFERROR(
SUM(
IF(
'PORTIFÓLIO'!$C$4:$C$564=$A48,
N(INDEX('PORTIFÓLIO'!$J$4:$Q$564,,MATCH(F$2,'PORTIFÓLIO'!$J$3:$Q$3,0))) *
N('PORTIFÓLIO'!$S$4:$S$564),
0
)
),
0)</f>
        <v/>
      </c>
      <c r="G48" s="47">
        <f>F48/$F$4</f>
        <v/>
      </c>
      <c r="H48" s="49">
        <f t="array" ref="H48">IFERROR(
SUM(
IF(
'PORTIFÓLIO'!$C$4:$C$564=$A48,
N(INDEX('PORTIFÓLIO'!$J$4:$Q$564,,MATCH(H$2,'PORTIFÓLIO'!$J$3:$Q$3,0))) *
N('PORTIFÓLIO'!$S$4:$S$564),
0
)
),
0)</f>
        <v/>
      </c>
      <c r="I48" s="47">
        <f>H48/$H$4</f>
        <v/>
      </c>
      <c r="J48" s="49">
        <f t="array" ref="J48">IFERROR(
SUM(
IF(
'PORTIFÓLIO'!$C$4:$C$564=$A48,
N(INDEX('PORTIFÓLIO'!$J$4:$Q$564,,MATCH(J$2,'PORTIFÓLIO'!$J$3:$Q$3,0))) *
N('PORTIFÓLIO'!$S$4:$S$564),
0
)
),
0)</f>
        <v/>
      </c>
      <c r="K48" s="47">
        <f>J48/$J$4</f>
        <v/>
      </c>
      <c r="L48" s="49">
        <f t="array" ref="L48">IFERROR(
SUM(
IF(
'PORTIFÓLIO'!$C$4:$C$564=$A48,
N(INDEX('PORTIFÓLIO'!$J$4:$Q$564,,MATCH(L$2,'PORTIFÓLIO'!$J$3:$Q$3,0))) *
N('PORTIFÓLIO'!$S$4:$S$564),
0
)
),
0)</f>
        <v/>
      </c>
      <c r="M48" s="47">
        <f>L48/$L$4</f>
        <v/>
      </c>
      <c r="N48" s="49">
        <f t="array" ref="N48">IFERROR(
SUM(
IF(
'PORTIFÓLIO'!$C$4:$C$564=$A48,
N(INDEX('PORTIFÓLIO'!$J$4:$Q$564,,MATCH(N$2,'PORTIFÓLIO'!$J$3:$Q$3,0))) *
N('PORTIFÓLIO'!$S$4:$S$564),
0
)
),
0)</f>
        <v/>
      </c>
      <c r="O48" s="49">
        <f>N48/$N$4</f>
        <v/>
      </c>
      <c r="P48" s="49">
        <f t="array" ref="P48">IFERROR(
SUM(
IF(
'PORTIFÓLIO'!$C$4:$C$564=$A48,
N(INDEX('PORTIFÓLIO'!$J$4:$Q$564,,MATCH(P$2,'PORTIFÓLIO'!$J$3:$Q$3,0))) *
N('PORTIFÓLIO'!$S$4:$S$564),
0
)
),
0)</f>
        <v/>
      </c>
      <c r="Q48" s="49">
        <f>P48/$P$4</f>
        <v/>
      </c>
      <c r="R48" s="49">
        <f>SUM(P48,N48,L48,J48,H48,D48,B48)</f>
        <v/>
      </c>
      <c r="S48" s="49">
        <f>R48/$R$4</f>
        <v/>
      </c>
    </row>
    <row r="49" hidden="1" outlineLevel="1" ht="15.75" customHeight="1" s="297">
      <c r="A49" s="48">
        <f>IFERROR(__xludf.DUMMYFUNCTION("""COMPUTED_VALUE"""),"FOMESAFEN CCAB 250 SL")</f>
        <v/>
      </c>
      <c r="B49" s="49">
        <f t="array" ref="B49">IFERROR(
SUM(
IF(
'PORTIFÓLIO'!$C$4:$C$564=$A49,
N(INDEX('PORTIFÓLIO'!$J$4:$Q$564,,MATCH(B$2,'PORTIFÓLIO'!$J$3:$Q$3,0))) *
N('PORTIFÓLIO'!$S$4:$S$564),
0
)
),
0)</f>
        <v/>
      </c>
      <c r="C49" s="49">
        <f>B49/$B$4</f>
        <v/>
      </c>
      <c r="D49" s="49">
        <f t="array" ref="D49">IFERROR(
SUM(
IF(
'PORTIFÓLIO'!$C$4:$C$564=$A49,
N(INDEX('PORTIFÓLIO'!$J$4:$Q$564,,MATCH(D$2,'PORTIFÓLIO'!$J$3:$Q$3,0))) *
N('PORTIFÓLIO'!$S$4:$S$564),
0
)
),
0)</f>
        <v/>
      </c>
      <c r="E49" s="49">
        <f>D49/$D$4</f>
        <v/>
      </c>
      <c r="F49" s="49">
        <f t="array" ref="F49">IFERROR(
SUM(
IF(
'PORTIFÓLIO'!$C$4:$C$564=$A49,
N(INDEX('PORTIFÓLIO'!$J$4:$Q$564,,MATCH(F$2,'PORTIFÓLIO'!$J$3:$Q$3,0))) *
N('PORTIFÓLIO'!$S$4:$S$564),
0
)
),
0)</f>
        <v/>
      </c>
      <c r="G49" s="47">
        <f>F49/$F$4</f>
        <v/>
      </c>
      <c r="H49" s="49">
        <f t="array" ref="H49">IFERROR(
SUM(
IF(
'PORTIFÓLIO'!$C$4:$C$564=$A49,
N(INDEX('PORTIFÓLIO'!$J$4:$Q$564,,MATCH(H$2,'PORTIFÓLIO'!$J$3:$Q$3,0))) *
N('PORTIFÓLIO'!$S$4:$S$564),
0
)
),
0)</f>
        <v/>
      </c>
      <c r="I49" s="47">
        <f>H49/$H$4</f>
        <v/>
      </c>
      <c r="J49" s="49">
        <f t="array" ref="J49">IFERROR(
SUM(
IF(
'PORTIFÓLIO'!$C$4:$C$564=$A49,
N(INDEX('PORTIFÓLIO'!$J$4:$Q$564,,MATCH(J$2,'PORTIFÓLIO'!$J$3:$Q$3,0))) *
N('PORTIFÓLIO'!$S$4:$S$564),
0
)
),
0)</f>
        <v/>
      </c>
      <c r="K49" s="47">
        <f>J49/$J$4</f>
        <v/>
      </c>
      <c r="L49" s="49">
        <f t="array" ref="L49">IFERROR(
SUM(
IF(
'PORTIFÓLIO'!$C$4:$C$564=$A49,
N(INDEX('PORTIFÓLIO'!$J$4:$Q$564,,MATCH(L$2,'PORTIFÓLIO'!$J$3:$Q$3,0))) *
N('PORTIFÓLIO'!$S$4:$S$564),
0
)
),
0)</f>
        <v/>
      </c>
      <c r="M49" s="47">
        <f>L49/$L$4</f>
        <v/>
      </c>
      <c r="N49" s="49">
        <f t="array" ref="N49">IFERROR(
SUM(
IF(
'PORTIFÓLIO'!$C$4:$C$564=$A49,
N(INDEX('PORTIFÓLIO'!$J$4:$Q$564,,MATCH(N$2,'PORTIFÓLIO'!$J$3:$Q$3,0))) *
N('PORTIFÓLIO'!$S$4:$S$564),
0
)
),
0)</f>
        <v/>
      </c>
      <c r="O49" s="49">
        <f>N49/$N$4</f>
        <v/>
      </c>
      <c r="P49" s="49">
        <f t="array" ref="P49">IFERROR(
SUM(
IF(
'PORTIFÓLIO'!$C$4:$C$564=$A49,
N(INDEX('PORTIFÓLIO'!$J$4:$Q$564,,MATCH(P$2,'PORTIFÓLIO'!$J$3:$Q$3,0))) *
N('PORTIFÓLIO'!$S$4:$S$564),
0
)
),
0)</f>
        <v/>
      </c>
      <c r="Q49" s="49">
        <f>P49/$P$4</f>
        <v/>
      </c>
      <c r="R49" s="49">
        <f>SUM(P49,N49,L49,J49,H49,D49,B49)</f>
        <v/>
      </c>
      <c r="S49" s="49">
        <f>R49/$R$4</f>
        <v/>
      </c>
    </row>
    <row r="50" hidden="1" outlineLevel="1" ht="15.75" customHeight="1" s="297">
      <c r="A50" s="48">
        <f>IFERROR(__xludf.DUMMYFUNCTION("""COMPUTED_VALUE"""),"GLUFOSINATO CCAB 200 SL")</f>
        <v/>
      </c>
      <c r="B50" s="49">
        <f t="array" ref="B50">IFERROR(
SUM(
IF(
'PORTIFÓLIO'!$C$4:$C$564=$A50,
N(INDEX('PORTIFÓLIO'!$J$4:$Q$564,,MATCH(B$2,'PORTIFÓLIO'!$J$3:$Q$3,0))) *
N('PORTIFÓLIO'!$S$4:$S$564),
0
)
),
0)</f>
        <v/>
      </c>
      <c r="C50" s="49">
        <f>B50/$B$4</f>
        <v/>
      </c>
      <c r="D50" s="49">
        <f t="array" ref="D50">IFERROR(
SUM(
IF(
'PORTIFÓLIO'!$C$4:$C$564=$A50,
N(INDEX('PORTIFÓLIO'!$J$4:$Q$564,,MATCH(D$2,'PORTIFÓLIO'!$J$3:$Q$3,0))) *
N('PORTIFÓLIO'!$S$4:$S$564),
0
)
),
0)</f>
        <v/>
      </c>
      <c r="E50" s="49">
        <f>D50/$D$4</f>
        <v/>
      </c>
      <c r="F50" s="49">
        <f t="array" ref="F50">IFERROR(
SUM(
IF(
'PORTIFÓLIO'!$C$4:$C$564=$A50,
N(INDEX('PORTIFÓLIO'!$J$4:$Q$564,,MATCH(F$2,'PORTIFÓLIO'!$J$3:$Q$3,0))) *
N('PORTIFÓLIO'!$S$4:$S$564),
0
)
),
0)</f>
        <v/>
      </c>
      <c r="G50" s="47">
        <f>F50/$F$4</f>
        <v/>
      </c>
      <c r="H50" s="49">
        <f t="array" ref="H50">IFERROR(
SUM(
IF(
'PORTIFÓLIO'!$C$4:$C$564=$A50,
N(INDEX('PORTIFÓLIO'!$J$4:$Q$564,,MATCH(H$2,'PORTIFÓLIO'!$J$3:$Q$3,0))) *
N('PORTIFÓLIO'!$S$4:$S$564),
0
)
),
0)</f>
        <v/>
      </c>
      <c r="I50" s="47">
        <f>H50/$H$4</f>
        <v/>
      </c>
      <c r="J50" s="49">
        <f t="array" ref="J50">IFERROR(
SUM(
IF(
'PORTIFÓLIO'!$C$4:$C$564=$A50,
N(INDEX('PORTIFÓLIO'!$J$4:$Q$564,,MATCH(J$2,'PORTIFÓLIO'!$J$3:$Q$3,0))) *
N('PORTIFÓLIO'!$S$4:$S$564),
0
)
),
0)</f>
        <v/>
      </c>
      <c r="K50" s="47">
        <f>J50/$J$4</f>
        <v/>
      </c>
      <c r="L50" s="49">
        <f t="array" ref="L50">IFERROR(
SUM(
IF(
'PORTIFÓLIO'!$C$4:$C$564=$A50,
N(INDEX('PORTIFÓLIO'!$J$4:$Q$564,,MATCH(L$2,'PORTIFÓLIO'!$J$3:$Q$3,0))) *
N('PORTIFÓLIO'!$S$4:$S$564),
0
)
),
0)</f>
        <v/>
      </c>
      <c r="M50" s="47">
        <f>L50/$L$4</f>
        <v/>
      </c>
      <c r="N50" s="49">
        <f t="array" ref="N50">IFERROR(
SUM(
IF(
'PORTIFÓLIO'!$C$4:$C$564=$A50,
N(INDEX('PORTIFÓLIO'!$J$4:$Q$564,,MATCH(N$2,'PORTIFÓLIO'!$J$3:$Q$3,0))) *
N('PORTIFÓLIO'!$S$4:$S$564),
0
)
),
0)</f>
        <v/>
      </c>
      <c r="O50" s="49">
        <f>N50/$N$4</f>
        <v/>
      </c>
      <c r="P50" s="49">
        <f t="array" ref="P50">IFERROR(
SUM(
IF(
'PORTIFÓLIO'!$C$4:$C$564=$A50,
N(INDEX('PORTIFÓLIO'!$J$4:$Q$564,,MATCH(P$2,'PORTIFÓLIO'!$J$3:$Q$3,0))) *
N('PORTIFÓLIO'!$S$4:$S$564),
0
)
),
0)</f>
        <v/>
      </c>
      <c r="Q50" s="49">
        <f>P50/$P$4</f>
        <v/>
      </c>
      <c r="R50" s="49">
        <f>SUM(P50,N50,L50,J50,H50,D50,B50)</f>
        <v/>
      </c>
      <c r="S50" s="49">
        <f>R50/$R$4</f>
        <v/>
      </c>
    </row>
    <row r="51" hidden="1" outlineLevel="1" ht="15.75" customHeight="1" s="297">
      <c r="A51" s="48">
        <f>IFERROR(__xludf.DUMMYFUNCTION("""COMPUTED_VALUE"""),"MESOTRIONA CCAB 480 SC")</f>
        <v/>
      </c>
      <c r="B51" s="49">
        <f t="array" ref="B51">IFERROR(
SUM(
IF(
'PORTIFÓLIO'!$C$4:$C$564=$A51,
N(INDEX('PORTIFÓLIO'!$J$4:$Q$564,,MATCH(B$2,'PORTIFÓLIO'!$J$3:$Q$3,0))) *
N('PORTIFÓLIO'!$S$4:$S$564),
0
)
),
0)</f>
        <v/>
      </c>
      <c r="C51" s="49">
        <f>B51/$B$4</f>
        <v/>
      </c>
      <c r="D51" s="49">
        <f t="array" ref="D51">IFERROR(
SUM(
IF(
'PORTIFÓLIO'!$C$4:$C$564=$A51,
N(INDEX('PORTIFÓLIO'!$J$4:$Q$564,,MATCH(D$2,'PORTIFÓLIO'!$J$3:$Q$3,0))) *
N('PORTIFÓLIO'!$S$4:$S$564),
0
)
),
0)</f>
        <v/>
      </c>
      <c r="E51" s="49">
        <f>D51/$D$4</f>
        <v/>
      </c>
      <c r="F51" s="49">
        <f t="array" ref="F51">IFERROR(
SUM(
IF(
'PORTIFÓLIO'!$C$4:$C$564=$A51,
N(INDEX('PORTIFÓLIO'!$J$4:$Q$564,,MATCH(F$2,'PORTIFÓLIO'!$J$3:$Q$3,0))) *
N('PORTIFÓLIO'!$S$4:$S$564),
0
)
),
0)</f>
        <v/>
      </c>
      <c r="G51" s="47">
        <f>F51/$F$4</f>
        <v/>
      </c>
      <c r="H51" s="49">
        <f t="array" ref="H51">IFERROR(
SUM(
IF(
'PORTIFÓLIO'!$C$4:$C$564=$A51,
N(INDEX('PORTIFÓLIO'!$J$4:$Q$564,,MATCH(H$2,'PORTIFÓLIO'!$J$3:$Q$3,0))) *
N('PORTIFÓLIO'!$S$4:$S$564),
0
)
),
0)</f>
        <v/>
      </c>
      <c r="I51" s="47">
        <f>H51/$H$4</f>
        <v/>
      </c>
      <c r="J51" s="49">
        <f t="array" ref="J51">IFERROR(
SUM(
IF(
'PORTIFÓLIO'!$C$4:$C$564=$A51,
N(INDEX('PORTIFÓLIO'!$J$4:$Q$564,,MATCH(J$2,'PORTIFÓLIO'!$J$3:$Q$3,0))) *
N('PORTIFÓLIO'!$S$4:$S$564),
0
)
),
0)</f>
        <v/>
      </c>
      <c r="K51" s="47">
        <f>J51/$J$4</f>
        <v/>
      </c>
      <c r="L51" s="49">
        <f t="array" ref="L51">IFERROR(
SUM(
IF(
'PORTIFÓLIO'!$C$4:$C$564=$A51,
N(INDEX('PORTIFÓLIO'!$J$4:$Q$564,,MATCH(L$2,'PORTIFÓLIO'!$J$3:$Q$3,0))) *
N('PORTIFÓLIO'!$S$4:$S$564),
0
)
),
0)</f>
        <v/>
      </c>
      <c r="M51" s="47">
        <f>L51/$L$4</f>
        <v/>
      </c>
      <c r="N51" s="49">
        <f t="array" ref="N51">IFERROR(
SUM(
IF(
'PORTIFÓLIO'!$C$4:$C$564=$A51,
N(INDEX('PORTIFÓLIO'!$J$4:$Q$564,,MATCH(N$2,'PORTIFÓLIO'!$J$3:$Q$3,0))) *
N('PORTIFÓLIO'!$S$4:$S$564),
0
)
),
0)</f>
        <v/>
      </c>
      <c r="O51" s="49">
        <f>N51/$N$4</f>
        <v/>
      </c>
      <c r="P51" s="49">
        <f t="array" ref="P51">IFERROR(
SUM(
IF(
'PORTIFÓLIO'!$C$4:$C$564=$A51,
N(INDEX('PORTIFÓLIO'!$J$4:$Q$564,,MATCH(P$2,'PORTIFÓLIO'!$J$3:$Q$3,0))) *
N('PORTIFÓLIO'!$S$4:$S$564),
0
)
),
0)</f>
        <v/>
      </c>
      <c r="Q51" s="49">
        <f>P51/$P$4</f>
        <v/>
      </c>
      <c r="R51" s="49">
        <f>SUM(P51,N51,L51,J51,H51,D51,B51)</f>
        <v/>
      </c>
      <c r="S51" s="49">
        <f>R51/$R$4</f>
        <v/>
      </c>
    </row>
    <row r="52" hidden="1" outlineLevel="1" ht="15.75" customHeight="1" s="297">
      <c r="A52" s="48">
        <f>IFERROR(__xludf.DUMMYFUNCTION("""COMPUTED_VALUE"""),"TRICLOPIR CCAB 480 EC")</f>
        <v/>
      </c>
      <c r="B52" s="49">
        <f t="array" ref="B52">IFERROR(
SUM(
IF(
'PORTIFÓLIO'!$C$4:$C$564=$A52,
N(INDEX('PORTIFÓLIO'!$J$4:$Q$564,,MATCH(B$2,'PORTIFÓLIO'!$J$3:$Q$3,0))) *
N('PORTIFÓLIO'!$S$4:$S$564),
0
)
),
0)</f>
        <v/>
      </c>
      <c r="C52" s="49">
        <f>B52/$B$4</f>
        <v/>
      </c>
      <c r="D52" s="49">
        <f t="array" ref="D52">IFERROR(
SUM(
IF(
'PORTIFÓLIO'!$C$4:$C$564=$A52,
N(INDEX('PORTIFÓLIO'!$J$4:$Q$564,,MATCH(D$2,'PORTIFÓLIO'!$J$3:$Q$3,0))) *
N('PORTIFÓLIO'!$S$4:$S$564),
0
)
),
0)</f>
        <v/>
      </c>
      <c r="E52" s="49">
        <f>D52/$D$4</f>
        <v/>
      </c>
      <c r="F52" s="49">
        <f t="array" ref="F52">IFERROR(
SUM(
IF(
'PORTIFÓLIO'!$C$4:$C$564=$A52,
N(INDEX('PORTIFÓLIO'!$J$4:$Q$564,,MATCH(F$2,'PORTIFÓLIO'!$J$3:$Q$3,0))) *
N('PORTIFÓLIO'!$S$4:$S$564),
0
)
),
0)</f>
        <v/>
      </c>
      <c r="G52" s="47">
        <f>F52/$F$4</f>
        <v/>
      </c>
      <c r="H52" s="49">
        <f t="array" ref="H52">IFERROR(
SUM(
IF(
'PORTIFÓLIO'!$C$4:$C$564=$A52,
N(INDEX('PORTIFÓLIO'!$J$4:$Q$564,,MATCH(H$2,'PORTIFÓLIO'!$J$3:$Q$3,0))) *
N('PORTIFÓLIO'!$S$4:$S$564),
0
)
),
0)</f>
        <v/>
      </c>
      <c r="I52" s="47">
        <f>H52/$H$4</f>
        <v/>
      </c>
      <c r="J52" s="49">
        <f t="array" ref="J52">IFERROR(
SUM(
IF(
'PORTIFÓLIO'!$C$4:$C$564=$A52,
N(INDEX('PORTIFÓLIO'!$J$4:$Q$564,,MATCH(J$2,'PORTIFÓLIO'!$J$3:$Q$3,0))) *
N('PORTIFÓLIO'!$S$4:$S$564),
0
)
),
0)</f>
        <v/>
      </c>
      <c r="K52" s="47">
        <f>J52/$J$4</f>
        <v/>
      </c>
      <c r="L52" s="49">
        <f t="array" ref="L52">IFERROR(
SUM(
IF(
'PORTIFÓLIO'!$C$4:$C$564=$A52,
N(INDEX('PORTIFÓLIO'!$J$4:$Q$564,,MATCH(L$2,'PORTIFÓLIO'!$J$3:$Q$3,0))) *
N('PORTIFÓLIO'!$S$4:$S$564),
0
)
),
0)</f>
        <v/>
      </c>
      <c r="M52" s="47">
        <f>L52/$L$4</f>
        <v/>
      </c>
      <c r="N52" s="49">
        <f t="array" ref="N52">IFERROR(
SUM(
IF(
'PORTIFÓLIO'!$C$4:$C$564=$A52,
N(INDEX('PORTIFÓLIO'!$J$4:$Q$564,,MATCH(N$2,'PORTIFÓLIO'!$J$3:$Q$3,0))) *
N('PORTIFÓLIO'!$S$4:$S$564),
0
)
),
0)</f>
        <v/>
      </c>
      <c r="O52" s="49">
        <f>N52/$N$4</f>
        <v/>
      </c>
      <c r="P52" s="49">
        <f t="array" ref="P52">IFERROR(
SUM(
IF(
'PORTIFÓLIO'!$C$4:$C$564=$A52,
N(INDEX('PORTIFÓLIO'!$J$4:$Q$564,,MATCH(P$2,'PORTIFÓLIO'!$J$3:$Q$3,0))) *
N('PORTIFÓLIO'!$S$4:$S$564),
0
)
),
0)</f>
        <v/>
      </c>
      <c r="Q52" s="49">
        <f>P52/$P$4</f>
        <v/>
      </c>
      <c r="R52" s="49">
        <f>SUM(P52,N52,L52,J52,H52,D52,B52)</f>
        <v/>
      </c>
      <c r="S52" s="49">
        <f>R52/$R$4</f>
        <v/>
      </c>
    </row>
    <row r="53" hidden="1" outlineLevel="1" ht="15.75" customHeight="1" s="297">
      <c r="A53" s="48">
        <f>IFERROR(__xludf.DUMMYFUNCTION("""COMPUTED_VALUE"""),"ACCENT")</f>
        <v/>
      </c>
      <c r="B53" s="49">
        <f t="array" ref="B53">IFERROR(
SUM(
IF(
'PORTIFÓLIO'!$C$4:$C$564=$A53,
N(INDEX('PORTIFÓLIO'!$J$4:$Q$564,,MATCH(B$2,'PORTIFÓLIO'!$J$3:$Q$3,0))) *
N('PORTIFÓLIO'!$S$4:$S$564),
0
)
),
0)</f>
        <v/>
      </c>
      <c r="C53" s="49">
        <f>B53/$B$4</f>
        <v/>
      </c>
      <c r="D53" s="49">
        <f t="array" ref="D53">IFERROR(
SUM(
IF(
'PORTIFÓLIO'!$C$4:$C$564=$A53,
N(INDEX('PORTIFÓLIO'!$J$4:$Q$564,,MATCH(D$2,'PORTIFÓLIO'!$J$3:$Q$3,0))) *
N('PORTIFÓLIO'!$S$4:$S$564),
0
)
),
0)</f>
        <v/>
      </c>
      <c r="E53" s="49">
        <f>D53/$D$4</f>
        <v/>
      </c>
      <c r="F53" s="49">
        <f t="array" ref="F53">IFERROR(
SUM(
IF(
'PORTIFÓLIO'!$C$4:$C$564=$A53,
N(INDEX('PORTIFÓLIO'!$J$4:$Q$564,,MATCH(F$2,'PORTIFÓLIO'!$J$3:$Q$3,0))) *
N('PORTIFÓLIO'!$S$4:$S$564),
0
)
),
0)</f>
        <v/>
      </c>
      <c r="G53" s="47">
        <f>F53/$F$4</f>
        <v/>
      </c>
      <c r="H53" s="49">
        <f t="array" ref="H53">IFERROR(
SUM(
IF(
'PORTIFÓLIO'!$C$4:$C$564=$A53,
N(INDEX('PORTIFÓLIO'!$J$4:$Q$564,,MATCH(H$2,'PORTIFÓLIO'!$J$3:$Q$3,0))) *
N('PORTIFÓLIO'!$S$4:$S$564),
0
)
),
0)</f>
        <v/>
      </c>
      <c r="I53" s="47">
        <f>H53/$H$4</f>
        <v/>
      </c>
      <c r="J53" s="49">
        <f t="array" ref="J53">IFERROR(
SUM(
IF(
'PORTIFÓLIO'!$C$4:$C$564=$A53,
N(INDEX('PORTIFÓLIO'!$J$4:$Q$564,,MATCH(J$2,'PORTIFÓLIO'!$J$3:$Q$3,0))) *
N('PORTIFÓLIO'!$S$4:$S$564),
0
)
),
0)</f>
        <v/>
      </c>
      <c r="K53" s="47">
        <f>J53/$J$4</f>
        <v/>
      </c>
      <c r="L53" s="49">
        <f t="array" ref="L53">IFERROR(
SUM(
IF(
'PORTIFÓLIO'!$C$4:$C$564=$A53,
N(INDEX('PORTIFÓLIO'!$J$4:$Q$564,,MATCH(L$2,'PORTIFÓLIO'!$J$3:$Q$3,0))) *
N('PORTIFÓLIO'!$S$4:$S$564),
0
)
),
0)</f>
        <v/>
      </c>
      <c r="M53" s="47">
        <f>L53/$L$4</f>
        <v/>
      </c>
      <c r="N53" s="49">
        <f t="array" ref="N53">IFERROR(
SUM(
IF(
'PORTIFÓLIO'!$C$4:$C$564=$A53,
N(INDEX('PORTIFÓLIO'!$J$4:$Q$564,,MATCH(N$2,'PORTIFÓLIO'!$J$3:$Q$3,0))) *
N('PORTIFÓLIO'!$S$4:$S$564),
0
)
),
0)</f>
        <v/>
      </c>
      <c r="O53" s="49">
        <f>N53/$N$4</f>
        <v/>
      </c>
      <c r="P53" s="49">
        <f t="array" ref="P53">IFERROR(
SUM(
IF(
'PORTIFÓLIO'!$C$4:$C$564=$A53,
N(INDEX('PORTIFÓLIO'!$J$4:$Q$564,,MATCH(P$2,'PORTIFÓLIO'!$J$3:$Q$3,0))) *
N('PORTIFÓLIO'!$S$4:$S$564),
0
)
),
0)</f>
        <v/>
      </c>
      <c r="Q53" s="49">
        <f>P53/$P$4</f>
        <v/>
      </c>
      <c r="R53" s="49">
        <f>SUM(P53,N53,L53,J53,H53,D53,B53)</f>
        <v/>
      </c>
      <c r="S53" s="49">
        <f>R53/$R$4</f>
        <v/>
      </c>
    </row>
    <row r="54" hidden="1" outlineLevel="1" ht="15.75" customHeight="1" s="297">
      <c r="A54" s="48">
        <f>IFERROR(__xludf.DUMMYFUNCTION("""COMPUTED_VALUE"""),"CLASSIC")</f>
        <v/>
      </c>
      <c r="B54" s="49">
        <f t="array" ref="B54">IFERROR(
SUM(
IF(
'PORTIFÓLIO'!$C$4:$C$564=$A54,
N(INDEX('PORTIFÓLIO'!$J$4:$Q$564,,MATCH(B$2,'PORTIFÓLIO'!$J$3:$Q$3,0))) *
N('PORTIFÓLIO'!$S$4:$S$564),
0
)
),
0)</f>
        <v/>
      </c>
      <c r="C54" s="49">
        <f>B54/$B$4</f>
        <v/>
      </c>
      <c r="D54" s="49">
        <f t="array" ref="D54">IFERROR(
SUM(
IF(
'PORTIFÓLIO'!$C$4:$C$564=$A54,
N(INDEX('PORTIFÓLIO'!$J$4:$Q$564,,MATCH(D$2,'PORTIFÓLIO'!$J$3:$Q$3,0))) *
N('PORTIFÓLIO'!$S$4:$S$564),
0
)
),
0)</f>
        <v/>
      </c>
      <c r="E54" s="49">
        <f>D54/$D$4</f>
        <v/>
      </c>
      <c r="F54" s="49">
        <f t="array" ref="F54">IFERROR(
SUM(
IF(
'PORTIFÓLIO'!$C$4:$C$564=$A54,
N(INDEX('PORTIFÓLIO'!$J$4:$Q$564,,MATCH(F$2,'PORTIFÓLIO'!$J$3:$Q$3,0))) *
N('PORTIFÓLIO'!$S$4:$S$564),
0
)
),
0)</f>
        <v/>
      </c>
      <c r="G54" s="47">
        <f>F54/$F$4</f>
        <v/>
      </c>
      <c r="H54" s="49">
        <f t="array" ref="H54">IFERROR(
SUM(
IF(
'PORTIFÓLIO'!$C$4:$C$564=$A54,
N(INDEX('PORTIFÓLIO'!$J$4:$Q$564,,MATCH(H$2,'PORTIFÓLIO'!$J$3:$Q$3,0))) *
N('PORTIFÓLIO'!$S$4:$S$564),
0
)
),
0)</f>
        <v/>
      </c>
      <c r="I54" s="47">
        <f>H54/$H$4</f>
        <v/>
      </c>
      <c r="J54" s="49">
        <f t="array" ref="J54">IFERROR(
SUM(
IF(
'PORTIFÓLIO'!$C$4:$C$564=$A54,
N(INDEX('PORTIFÓLIO'!$J$4:$Q$564,,MATCH(J$2,'PORTIFÓLIO'!$J$3:$Q$3,0))) *
N('PORTIFÓLIO'!$S$4:$S$564),
0
)
),
0)</f>
        <v/>
      </c>
      <c r="K54" s="47">
        <f>J54/$J$4</f>
        <v/>
      </c>
      <c r="L54" s="49">
        <f t="array" ref="L54">IFERROR(
SUM(
IF(
'PORTIFÓLIO'!$C$4:$C$564=$A54,
N(INDEX('PORTIFÓLIO'!$J$4:$Q$564,,MATCH(L$2,'PORTIFÓLIO'!$J$3:$Q$3,0))) *
N('PORTIFÓLIO'!$S$4:$S$564),
0
)
),
0)</f>
        <v/>
      </c>
      <c r="M54" s="47">
        <f>L54/$L$4</f>
        <v/>
      </c>
      <c r="N54" s="49">
        <f t="array" ref="N54">IFERROR(
SUM(
IF(
'PORTIFÓLIO'!$C$4:$C$564=$A54,
N(INDEX('PORTIFÓLIO'!$J$4:$Q$564,,MATCH(N$2,'PORTIFÓLIO'!$J$3:$Q$3,0))) *
N('PORTIFÓLIO'!$S$4:$S$564),
0
)
),
0)</f>
        <v/>
      </c>
      <c r="O54" s="49">
        <f>N54/$N$4</f>
        <v/>
      </c>
      <c r="P54" s="49">
        <f t="array" ref="P54">IFERROR(
SUM(
IF(
'PORTIFÓLIO'!$C$4:$C$564=$A54,
N(INDEX('PORTIFÓLIO'!$J$4:$Q$564,,MATCH(P$2,'PORTIFÓLIO'!$J$3:$Q$3,0))) *
N('PORTIFÓLIO'!$S$4:$S$564),
0
)
),
0)</f>
        <v/>
      </c>
      <c r="Q54" s="49">
        <f>P54/$P$4</f>
        <v/>
      </c>
      <c r="R54" s="49">
        <f>SUM(P54,N54,L54,J54,H54,D54,B54)</f>
        <v/>
      </c>
      <c r="S54" s="49">
        <f>R54/$R$4</f>
        <v/>
      </c>
    </row>
    <row r="55" hidden="1" outlineLevel="1" ht="15.75" customHeight="1" s="297">
      <c r="A55" s="48">
        <f>IFERROR(__xludf.DUMMYFUNCTION("""COMPUTED_VALUE"""),"CLINCHER")</f>
        <v/>
      </c>
      <c r="B55" s="49">
        <f t="array" ref="B55">IFERROR(
SUM(
IF(
'PORTIFÓLIO'!$C$4:$C$564=$A55,
N(INDEX('PORTIFÓLIO'!$J$4:$Q$564,,MATCH(B$2,'PORTIFÓLIO'!$J$3:$Q$3,0))) *
N('PORTIFÓLIO'!$S$4:$S$564),
0
)
),
0)</f>
        <v/>
      </c>
      <c r="C55" s="49">
        <f>B55/$B$4</f>
        <v/>
      </c>
      <c r="D55" s="49">
        <f t="array" ref="D55">IFERROR(
SUM(
IF(
'PORTIFÓLIO'!$C$4:$C$564=$A55,
N(INDEX('PORTIFÓLIO'!$J$4:$Q$564,,MATCH(D$2,'PORTIFÓLIO'!$J$3:$Q$3,0))) *
N('PORTIFÓLIO'!$S$4:$S$564),
0
)
),
0)</f>
        <v/>
      </c>
      <c r="E55" s="49">
        <f>D55/$D$4</f>
        <v/>
      </c>
      <c r="F55" s="49">
        <f t="array" ref="F55">IFERROR(
SUM(
IF(
'PORTIFÓLIO'!$C$4:$C$564=$A55,
N(INDEX('PORTIFÓLIO'!$J$4:$Q$564,,MATCH(F$2,'PORTIFÓLIO'!$J$3:$Q$3,0))) *
N('PORTIFÓLIO'!$S$4:$S$564),
0
)
),
0)</f>
        <v/>
      </c>
      <c r="G55" s="47">
        <f>F55/$F$4</f>
        <v/>
      </c>
      <c r="H55" s="49">
        <f t="array" ref="H55">IFERROR(
SUM(
IF(
'PORTIFÓLIO'!$C$4:$C$564=$A55,
N(INDEX('PORTIFÓLIO'!$J$4:$Q$564,,MATCH(H$2,'PORTIFÓLIO'!$J$3:$Q$3,0))) *
N('PORTIFÓLIO'!$S$4:$S$564),
0
)
),
0)</f>
        <v/>
      </c>
      <c r="I55" s="47">
        <f>H55/$H$4</f>
        <v/>
      </c>
      <c r="J55" s="49">
        <f t="array" ref="J55">IFERROR(
SUM(
IF(
'PORTIFÓLIO'!$C$4:$C$564=$A55,
N(INDEX('PORTIFÓLIO'!$J$4:$Q$564,,MATCH(J$2,'PORTIFÓLIO'!$J$3:$Q$3,0))) *
N('PORTIFÓLIO'!$S$4:$S$564),
0
)
),
0)</f>
        <v/>
      </c>
      <c r="K55" s="47">
        <f>J55/$J$4</f>
        <v/>
      </c>
      <c r="L55" s="49">
        <f t="array" ref="L55">IFERROR(
SUM(
IF(
'PORTIFÓLIO'!$C$4:$C$564=$A55,
N(INDEX('PORTIFÓLIO'!$J$4:$Q$564,,MATCH(L$2,'PORTIFÓLIO'!$J$3:$Q$3,0))) *
N('PORTIFÓLIO'!$S$4:$S$564),
0
)
),
0)</f>
        <v/>
      </c>
      <c r="M55" s="47">
        <f>L55/$L$4</f>
        <v/>
      </c>
      <c r="N55" s="49">
        <f t="array" ref="N55">IFERROR(
SUM(
IF(
'PORTIFÓLIO'!$C$4:$C$564=$A55,
N(INDEX('PORTIFÓLIO'!$J$4:$Q$564,,MATCH(N$2,'PORTIFÓLIO'!$J$3:$Q$3,0))) *
N('PORTIFÓLIO'!$S$4:$S$564),
0
)
),
0)</f>
        <v/>
      </c>
      <c r="O55" s="49">
        <f>N55/$N$4</f>
        <v/>
      </c>
      <c r="P55" s="49">
        <f t="array" ref="P55">IFERROR(
SUM(
IF(
'PORTIFÓLIO'!$C$4:$C$564=$A55,
N(INDEX('PORTIFÓLIO'!$J$4:$Q$564,,MATCH(P$2,'PORTIFÓLIO'!$J$3:$Q$3,0))) *
N('PORTIFÓLIO'!$S$4:$S$564),
0
)
),
0)</f>
        <v/>
      </c>
      <c r="Q55" s="49">
        <f>P55/$P$4</f>
        <v/>
      </c>
      <c r="R55" s="49">
        <f>SUM(P55,N55,L55,J55,H55,D55,B55)</f>
        <v/>
      </c>
      <c r="S55" s="49">
        <f>R55/$R$4</f>
        <v/>
      </c>
    </row>
    <row r="56" hidden="1" outlineLevel="1" ht="15.75" customHeight="1" s="297">
      <c r="A56" s="48">
        <f>IFERROR(__xludf.DUMMYFUNCTION("""COMPUTED_VALUE"""),"ELEVORE")</f>
        <v/>
      </c>
      <c r="B56" s="49">
        <f t="array" ref="B56">IFERROR(
SUM(
IF(
'PORTIFÓLIO'!$C$4:$C$564=$A56,
N(INDEX('PORTIFÓLIO'!$J$4:$Q$564,,MATCH(B$2,'PORTIFÓLIO'!$J$3:$Q$3,0))) *
N('PORTIFÓLIO'!$S$4:$S$564),
0
)
),
0)</f>
        <v/>
      </c>
      <c r="C56" s="49">
        <f>B56/$B$4</f>
        <v/>
      </c>
      <c r="D56" s="49">
        <f t="array" ref="D56">IFERROR(
SUM(
IF(
'PORTIFÓLIO'!$C$4:$C$564=$A56,
N(INDEX('PORTIFÓLIO'!$J$4:$Q$564,,MATCH(D$2,'PORTIFÓLIO'!$J$3:$Q$3,0))) *
N('PORTIFÓLIO'!$S$4:$S$564),
0
)
),
0)</f>
        <v/>
      </c>
      <c r="E56" s="49">
        <f>D56/$D$4</f>
        <v/>
      </c>
      <c r="F56" s="49">
        <f t="array" ref="F56">IFERROR(
SUM(
IF(
'PORTIFÓLIO'!$C$4:$C$564=$A56,
N(INDEX('PORTIFÓLIO'!$J$4:$Q$564,,MATCH(F$2,'PORTIFÓLIO'!$J$3:$Q$3,0))) *
N('PORTIFÓLIO'!$S$4:$S$564),
0
)
),
0)</f>
        <v/>
      </c>
      <c r="G56" s="47">
        <f>F56/$F$4</f>
        <v/>
      </c>
      <c r="H56" s="49">
        <f t="array" ref="H56">IFERROR(
SUM(
IF(
'PORTIFÓLIO'!$C$4:$C$564=$A56,
N(INDEX('PORTIFÓLIO'!$J$4:$Q$564,,MATCH(H$2,'PORTIFÓLIO'!$J$3:$Q$3,0))) *
N('PORTIFÓLIO'!$S$4:$S$564),
0
)
),
0)</f>
        <v/>
      </c>
      <c r="I56" s="47">
        <f>H56/$H$4</f>
        <v/>
      </c>
      <c r="J56" s="49">
        <f t="array" ref="J56">IFERROR(
SUM(
IF(
'PORTIFÓLIO'!$C$4:$C$564=$A56,
N(INDEX('PORTIFÓLIO'!$J$4:$Q$564,,MATCH(J$2,'PORTIFÓLIO'!$J$3:$Q$3,0))) *
N('PORTIFÓLIO'!$S$4:$S$564),
0
)
),
0)</f>
        <v/>
      </c>
      <c r="K56" s="47">
        <f>J56/$J$4</f>
        <v/>
      </c>
      <c r="L56" s="49">
        <f t="array" ref="L56">IFERROR(
SUM(
IF(
'PORTIFÓLIO'!$C$4:$C$564=$A56,
N(INDEX('PORTIFÓLIO'!$J$4:$Q$564,,MATCH(L$2,'PORTIFÓLIO'!$J$3:$Q$3,0))) *
N('PORTIFÓLIO'!$S$4:$S$564),
0
)
),
0)</f>
        <v/>
      </c>
      <c r="M56" s="47">
        <f>L56/$L$4</f>
        <v/>
      </c>
      <c r="N56" s="49">
        <f t="array" ref="N56">IFERROR(
SUM(
IF(
'PORTIFÓLIO'!$C$4:$C$564=$A56,
N(INDEX('PORTIFÓLIO'!$J$4:$Q$564,,MATCH(N$2,'PORTIFÓLIO'!$J$3:$Q$3,0))) *
N('PORTIFÓLIO'!$S$4:$S$564),
0
)
),
0)</f>
        <v/>
      </c>
      <c r="O56" s="49">
        <f>N56/$N$4</f>
        <v/>
      </c>
      <c r="P56" s="49">
        <f t="array" ref="P56">IFERROR(
SUM(
IF(
'PORTIFÓLIO'!$C$4:$C$564=$A56,
N(INDEX('PORTIFÓLIO'!$J$4:$Q$564,,MATCH(P$2,'PORTIFÓLIO'!$J$3:$Q$3,0))) *
N('PORTIFÓLIO'!$S$4:$S$564),
0
)
),
0)</f>
        <v/>
      </c>
      <c r="Q56" s="49">
        <f>P56/$P$4</f>
        <v/>
      </c>
      <c r="R56" s="49">
        <f>SUM(P56,N56,L56,J56,H56,D56,B56)</f>
        <v/>
      </c>
      <c r="S56" s="49">
        <f>R56/$R$4</f>
        <v/>
      </c>
    </row>
    <row r="57" hidden="1" outlineLevel="1" ht="15.75" customHeight="1" s="297">
      <c r="A57" s="48">
        <f>IFERROR(__xludf.DUMMYFUNCTION("""COMPUTED_VALUE"""),"ENLIST COLEX-D")</f>
        <v/>
      </c>
      <c r="B57" s="49">
        <f t="array" ref="B57">IFERROR(
SUM(
IF(
'PORTIFÓLIO'!$C$4:$C$564=$A57,
N(INDEX('PORTIFÓLIO'!$J$4:$Q$564,,MATCH(B$2,'PORTIFÓLIO'!$J$3:$Q$3,0))) *
N('PORTIFÓLIO'!$S$4:$S$564),
0
)
),
0)</f>
        <v/>
      </c>
      <c r="C57" s="49">
        <f>B57/$B$4</f>
        <v/>
      </c>
      <c r="D57" s="49">
        <f t="array" ref="D57">IFERROR(
SUM(
IF(
'PORTIFÓLIO'!$C$4:$C$564=$A57,
N(INDEX('PORTIFÓLIO'!$J$4:$Q$564,,MATCH(D$2,'PORTIFÓLIO'!$J$3:$Q$3,0))) *
N('PORTIFÓLIO'!$S$4:$S$564),
0
)
),
0)</f>
        <v/>
      </c>
      <c r="E57" s="49">
        <f>D57/$D$4</f>
        <v/>
      </c>
      <c r="F57" s="49">
        <f t="array" ref="F57">IFERROR(
SUM(
IF(
'PORTIFÓLIO'!$C$4:$C$564=$A57,
N(INDEX('PORTIFÓLIO'!$J$4:$Q$564,,MATCH(F$2,'PORTIFÓLIO'!$J$3:$Q$3,0))) *
N('PORTIFÓLIO'!$S$4:$S$564),
0
)
),
0)</f>
        <v/>
      </c>
      <c r="G57" s="47">
        <f>F57/$F$4</f>
        <v/>
      </c>
      <c r="H57" s="49">
        <f t="array" ref="H57">IFERROR(
SUM(
IF(
'PORTIFÓLIO'!$C$4:$C$564=$A57,
N(INDEX('PORTIFÓLIO'!$J$4:$Q$564,,MATCH(H$2,'PORTIFÓLIO'!$J$3:$Q$3,0))) *
N('PORTIFÓLIO'!$S$4:$S$564),
0
)
),
0)</f>
        <v/>
      </c>
      <c r="I57" s="47">
        <f>H57/$H$4</f>
        <v/>
      </c>
      <c r="J57" s="49">
        <f t="array" ref="J57">IFERROR(
SUM(
IF(
'PORTIFÓLIO'!$C$4:$C$564=$A57,
N(INDEX('PORTIFÓLIO'!$J$4:$Q$564,,MATCH(J$2,'PORTIFÓLIO'!$J$3:$Q$3,0))) *
N('PORTIFÓLIO'!$S$4:$S$564),
0
)
),
0)</f>
        <v/>
      </c>
      <c r="K57" s="47">
        <f>J57/$J$4</f>
        <v/>
      </c>
      <c r="L57" s="49">
        <f t="array" ref="L57">IFERROR(
SUM(
IF(
'PORTIFÓLIO'!$C$4:$C$564=$A57,
N(INDEX('PORTIFÓLIO'!$J$4:$Q$564,,MATCH(L$2,'PORTIFÓLIO'!$J$3:$Q$3,0))) *
N('PORTIFÓLIO'!$S$4:$S$564),
0
)
),
0)</f>
        <v/>
      </c>
      <c r="M57" s="47">
        <f>L57/$L$4</f>
        <v/>
      </c>
      <c r="N57" s="49">
        <f t="array" ref="N57">IFERROR(
SUM(
IF(
'PORTIFÓLIO'!$C$4:$C$564=$A57,
N(INDEX('PORTIFÓLIO'!$J$4:$Q$564,,MATCH(N$2,'PORTIFÓLIO'!$J$3:$Q$3,0))) *
N('PORTIFÓLIO'!$S$4:$S$564),
0
)
),
0)</f>
        <v/>
      </c>
      <c r="O57" s="49">
        <f>N57/$N$4</f>
        <v/>
      </c>
      <c r="P57" s="49">
        <f t="array" ref="P57">IFERROR(
SUM(
IF(
'PORTIFÓLIO'!$C$4:$C$564=$A57,
N(INDEX('PORTIFÓLIO'!$J$4:$Q$564,,MATCH(P$2,'PORTIFÓLIO'!$J$3:$Q$3,0))) *
N('PORTIFÓLIO'!$S$4:$S$564),
0
)
),
0)</f>
        <v/>
      </c>
      <c r="Q57" s="49">
        <f>P57/$P$4</f>
        <v/>
      </c>
      <c r="R57" s="49">
        <f>SUM(P57,N57,L57,J57,H57,D57,B57)</f>
        <v/>
      </c>
      <c r="S57" s="49">
        <f>R57/$R$4</f>
        <v/>
      </c>
    </row>
    <row r="58" hidden="1" outlineLevel="1" ht="15.75" customHeight="1" s="297">
      <c r="A58" s="48">
        <f>IFERROR(__xludf.DUMMYFUNCTION("""COMPUTED_VALUE"""),"GAPPER")</f>
        <v/>
      </c>
      <c r="B58" s="49">
        <f t="array" ref="B58">IFERROR(
SUM(
IF(
'PORTIFÓLIO'!$C$4:$C$564=$A58,
N(INDEX('PORTIFÓLIO'!$J$4:$Q$564,,MATCH(B$2,'PORTIFÓLIO'!$J$3:$Q$3,0))) *
N('PORTIFÓLIO'!$S$4:$S$564),
0
)
),
0)</f>
        <v/>
      </c>
      <c r="C58" s="49">
        <f>B58/$B$4</f>
        <v/>
      </c>
      <c r="D58" s="49">
        <f t="array" ref="D58">IFERROR(
SUM(
IF(
'PORTIFÓLIO'!$C$4:$C$564=$A58,
N(INDEX('PORTIFÓLIO'!$J$4:$Q$564,,MATCH(D$2,'PORTIFÓLIO'!$J$3:$Q$3,0))) *
N('PORTIFÓLIO'!$S$4:$S$564),
0
)
),
0)</f>
        <v/>
      </c>
      <c r="E58" s="49">
        <f>D58/$D$4</f>
        <v/>
      </c>
      <c r="F58" s="49">
        <f t="array" ref="F58">IFERROR(
SUM(
IF(
'PORTIFÓLIO'!$C$4:$C$564=$A58,
N(INDEX('PORTIFÓLIO'!$J$4:$Q$564,,MATCH(F$2,'PORTIFÓLIO'!$J$3:$Q$3,0))) *
N('PORTIFÓLIO'!$S$4:$S$564),
0
)
),
0)</f>
        <v/>
      </c>
      <c r="G58" s="47">
        <f>F58/$F$4</f>
        <v/>
      </c>
      <c r="H58" s="49">
        <f t="array" ref="H58">IFERROR(
SUM(
IF(
'PORTIFÓLIO'!$C$4:$C$564=$A58,
N(INDEX('PORTIFÓLIO'!$J$4:$Q$564,,MATCH(H$2,'PORTIFÓLIO'!$J$3:$Q$3,0))) *
N('PORTIFÓLIO'!$S$4:$S$564),
0
)
),
0)</f>
        <v/>
      </c>
      <c r="I58" s="47">
        <f>H58/$H$4</f>
        <v/>
      </c>
      <c r="J58" s="49">
        <f t="array" ref="J58">IFERROR(
SUM(
IF(
'PORTIFÓLIO'!$C$4:$C$564=$A58,
N(INDEX('PORTIFÓLIO'!$J$4:$Q$564,,MATCH(J$2,'PORTIFÓLIO'!$J$3:$Q$3,0))) *
N('PORTIFÓLIO'!$S$4:$S$564),
0
)
),
0)</f>
        <v/>
      </c>
      <c r="K58" s="47">
        <f>J58/$J$4</f>
        <v/>
      </c>
      <c r="L58" s="49">
        <f t="array" ref="L58">IFERROR(
SUM(
IF(
'PORTIFÓLIO'!$C$4:$C$564=$A58,
N(INDEX('PORTIFÓLIO'!$J$4:$Q$564,,MATCH(L$2,'PORTIFÓLIO'!$J$3:$Q$3,0))) *
N('PORTIFÓLIO'!$S$4:$S$564),
0
)
),
0)</f>
        <v/>
      </c>
      <c r="M58" s="47">
        <f>L58/$L$4</f>
        <v/>
      </c>
      <c r="N58" s="49">
        <f t="array" ref="N58">IFERROR(
SUM(
IF(
'PORTIFÓLIO'!$C$4:$C$564=$A58,
N(INDEX('PORTIFÓLIO'!$J$4:$Q$564,,MATCH(N$2,'PORTIFÓLIO'!$J$3:$Q$3,0))) *
N('PORTIFÓLIO'!$S$4:$S$564),
0
)
),
0)</f>
        <v/>
      </c>
      <c r="O58" s="49">
        <f>N58/$N$4</f>
        <v/>
      </c>
      <c r="P58" s="49">
        <f t="array" ref="P58">IFERROR(
SUM(
IF(
'PORTIFÓLIO'!$C$4:$C$564=$A58,
N(INDEX('PORTIFÓLIO'!$J$4:$Q$564,,MATCH(P$2,'PORTIFÓLIO'!$J$3:$Q$3,0))) *
N('PORTIFÓLIO'!$S$4:$S$564),
0
)
),
0)</f>
        <v/>
      </c>
      <c r="Q58" s="49">
        <f>P58/$P$4</f>
        <v/>
      </c>
      <c r="R58" s="49">
        <f>SUM(P58,N58,L58,J58,H58,D58,B58)</f>
        <v/>
      </c>
      <c r="S58" s="49">
        <f>R58/$R$4</f>
        <v/>
      </c>
    </row>
    <row r="59" hidden="1" outlineLevel="1" ht="15.75" customHeight="1" s="297">
      <c r="A59" s="48">
        <f>IFERROR(__xludf.DUMMYFUNCTION("""COMPUTED_VALUE"""),"PACTO")</f>
        <v/>
      </c>
      <c r="B59" s="49">
        <f t="array" ref="B59">IFERROR(
SUM(
IF(
'PORTIFÓLIO'!$C$4:$C$564=$A59,
N(INDEX('PORTIFÓLIO'!$J$4:$Q$564,,MATCH(B$2,'PORTIFÓLIO'!$J$3:$Q$3,0))) *
N('PORTIFÓLIO'!$S$4:$S$564),
0
)
),
0)</f>
        <v/>
      </c>
      <c r="C59" s="49">
        <f>B59/$B$4</f>
        <v/>
      </c>
      <c r="D59" s="49">
        <f t="array" ref="D59">IFERROR(
SUM(
IF(
'PORTIFÓLIO'!$C$4:$C$564=$A59,
N(INDEX('PORTIFÓLIO'!$J$4:$Q$564,,MATCH(D$2,'PORTIFÓLIO'!$J$3:$Q$3,0))) *
N('PORTIFÓLIO'!$S$4:$S$564),
0
)
),
0)</f>
        <v/>
      </c>
      <c r="E59" s="49">
        <f>D59/$D$4</f>
        <v/>
      </c>
      <c r="F59" s="49">
        <f t="array" ref="F59">IFERROR(
SUM(
IF(
'PORTIFÓLIO'!$C$4:$C$564=$A59,
N(INDEX('PORTIFÓLIO'!$J$4:$Q$564,,MATCH(F$2,'PORTIFÓLIO'!$J$3:$Q$3,0))) *
N('PORTIFÓLIO'!$S$4:$S$564),
0
)
),
0)</f>
        <v/>
      </c>
      <c r="G59" s="47">
        <f>F59/$F$4</f>
        <v/>
      </c>
      <c r="H59" s="49">
        <f t="array" ref="H59">IFERROR(
SUM(
IF(
'PORTIFÓLIO'!$C$4:$C$564=$A59,
N(INDEX('PORTIFÓLIO'!$J$4:$Q$564,,MATCH(H$2,'PORTIFÓLIO'!$J$3:$Q$3,0))) *
N('PORTIFÓLIO'!$S$4:$S$564),
0
)
),
0)</f>
        <v/>
      </c>
      <c r="I59" s="47">
        <f>H59/$H$4</f>
        <v/>
      </c>
      <c r="J59" s="49">
        <f t="array" ref="J59">IFERROR(
SUM(
IF(
'PORTIFÓLIO'!$C$4:$C$564=$A59,
N(INDEX('PORTIFÓLIO'!$J$4:$Q$564,,MATCH(J$2,'PORTIFÓLIO'!$J$3:$Q$3,0))) *
N('PORTIFÓLIO'!$S$4:$S$564),
0
)
),
0)</f>
        <v/>
      </c>
      <c r="K59" s="47">
        <f>J59/$J$4</f>
        <v/>
      </c>
      <c r="L59" s="49">
        <f t="array" ref="L59">IFERROR(
SUM(
IF(
'PORTIFÓLIO'!$C$4:$C$564=$A59,
N(INDEX('PORTIFÓLIO'!$J$4:$Q$564,,MATCH(L$2,'PORTIFÓLIO'!$J$3:$Q$3,0))) *
N('PORTIFÓLIO'!$S$4:$S$564),
0
)
),
0)</f>
        <v/>
      </c>
      <c r="M59" s="47">
        <f>L59/$L$4</f>
        <v/>
      </c>
      <c r="N59" s="49">
        <f t="array" ref="N59">IFERROR(
SUM(
IF(
'PORTIFÓLIO'!$C$4:$C$564=$A59,
N(INDEX('PORTIFÓLIO'!$J$4:$Q$564,,MATCH(N$2,'PORTIFÓLIO'!$J$3:$Q$3,0))) *
N('PORTIFÓLIO'!$S$4:$S$564),
0
)
),
0)</f>
        <v/>
      </c>
      <c r="O59" s="49">
        <f>N59/$N$4</f>
        <v/>
      </c>
      <c r="P59" s="49">
        <f t="array" ref="P59">IFERROR(
SUM(
IF(
'PORTIFÓLIO'!$C$4:$C$564=$A59,
N(INDEX('PORTIFÓLIO'!$J$4:$Q$564,,MATCH(P$2,'PORTIFÓLIO'!$J$3:$Q$3,0))) *
N('PORTIFÓLIO'!$S$4:$S$564),
0
)
),
0)</f>
        <v/>
      </c>
      <c r="Q59" s="49">
        <f>P59/$P$4</f>
        <v/>
      </c>
      <c r="R59" s="49">
        <f>SUM(P59,N59,L59,J59,H59,D59,B59)</f>
        <v/>
      </c>
      <c r="S59" s="49">
        <f>R59/$R$4</f>
        <v/>
      </c>
    </row>
    <row r="60" hidden="1" outlineLevel="1" ht="15.75" customHeight="1" s="297">
      <c r="A60" s="48">
        <f>IFERROR(__xludf.DUMMYFUNCTION("""COMPUTED_VALUE"""),"PAXEO")</f>
        <v/>
      </c>
      <c r="B60" s="49">
        <f t="array" ref="B60">IFERROR(
SUM(
IF(
'PORTIFÓLIO'!$C$4:$C$564=$A60,
N(INDEX('PORTIFÓLIO'!$J$4:$Q$564,,MATCH(B$2,'PORTIFÓLIO'!$J$3:$Q$3,0))) *
N('PORTIFÓLIO'!$S$4:$S$564),
0
)
),
0)</f>
        <v/>
      </c>
      <c r="C60" s="49">
        <f>B60/$B$4</f>
        <v/>
      </c>
      <c r="D60" s="49">
        <f t="array" ref="D60">IFERROR(
SUM(
IF(
'PORTIFÓLIO'!$C$4:$C$564=$A60,
N(INDEX('PORTIFÓLIO'!$J$4:$Q$564,,MATCH(D$2,'PORTIFÓLIO'!$J$3:$Q$3,0))) *
N('PORTIFÓLIO'!$S$4:$S$564),
0
)
),
0)</f>
        <v/>
      </c>
      <c r="E60" s="49">
        <f>D60/$D$4</f>
        <v/>
      </c>
      <c r="F60" s="49">
        <f t="array" ref="F60">IFERROR(
SUM(
IF(
'PORTIFÓLIO'!$C$4:$C$564=$A60,
N(INDEX('PORTIFÓLIO'!$J$4:$Q$564,,MATCH(F$2,'PORTIFÓLIO'!$J$3:$Q$3,0))) *
N('PORTIFÓLIO'!$S$4:$S$564),
0
)
),
0)</f>
        <v/>
      </c>
      <c r="G60" s="47">
        <f>F60/$F$4</f>
        <v/>
      </c>
      <c r="H60" s="49">
        <f t="array" ref="H60">IFERROR(
SUM(
IF(
'PORTIFÓLIO'!$C$4:$C$564=$A60,
N(INDEX('PORTIFÓLIO'!$J$4:$Q$564,,MATCH(H$2,'PORTIFÓLIO'!$J$3:$Q$3,0))) *
N('PORTIFÓLIO'!$S$4:$S$564),
0
)
),
0)</f>
        <v/>
      </c>
      <c r="I60" s="47">
        <f>H60/$H$4</f>
        <v/>
      </c>
      <c r="J60" s="49">
        <f t="array" ref="J60">IFERROR(
SUM(
IF(
'PORTIFÓLIO'!$C$4:$C$564=$A60,
N(INDEX('PORTIFÓLIO'!$J$4:$Q$564,,MATCH(J$2,'PORTIFÓLIO'!$J$3:$Q$3,0))) *
N('PORTIFÓLIO'!$S$4:$S$564),
0
)
),
0)</f>
        <v/>
      </c>
      <c r="K60" s="47">
        <f>J60/$J$4</f>
        <v/>
      </c>
      <c r="L60" s="49">
        <f t="array" ref="L60">IFERROR(
SUM(
IF(
'PORTIFÓLIO'!$C$4:$C$564=$A60,
N(INDEX('PORTIFÓLIO'!$J$4:$Q$564,,MATCH(L$2,'PORTIFÓLIO'!$J$3:$Q$3,0))) *
N('PORTIFÓLIO'!$S$4:$S$564),
0
)
),
0)</f>
        <v/>
      </c>
      <c r="M60" s="47">
        <f>L60/$L$4</f>
        <v/>
      </c>
      <c r="N60" s="49">
        <f t="array" ref="N60">IFERROR(
SUM(
IF(
'PORTIFÓLIO'!$C$4:$C$564=$A60,
N(INDEX('PORTIFÓLIO'!$J$4:$Q$564,,MATCH(N$2,'PORTIFÓLIO'!$J$3:$Q$3,0))) *
N('PORTIFÓLIO'!$S$4:$S$564),
0
)
),
0)</f>
        <v/>
      </c>
      <c r="O60" s="49">
        <f>N60/$N$4</f>
        <v/>
      </c>
      <c r="P60" s="49">
        <f t="array" ref="P60">IFERROR(
SUM(
IF(
'PORTIFÓLIO'!$C$4:$C$564=$A60,
N(INDEX('PORTIFÓLIO'!$J$4:$Q$564,,MATCH(P$2,'PORTIFÓLIO'!$J$3:$Q$3,0))) *
N('PORTIFÓLIO'!$S$4:$S$564),
0
)
),
0)</f>
        <v/>
      </c>
      <c r="Q60" s="49">
        <f>P60/$P$4</f>
        <v/>
      </c>
      <c r="R60" s="49">
        <f>SUM(P60,N60,L60,J60,H60,D60,B60)</f>
        <v/>
      </c>
      <c r="S60" s="49">
        <f>R60/$R$4</f>
        <v/>
      </c>
    </row>
    <row r="61" hidden="1" outlineLevel="1" ht="15.75" customHeight="1" s="297">
      <c r="A61" s="48">
        <f>IFERROR(__xludf.DUMMYFUNCTION("""COMPUTED_VALUE"""),"SPIDER 840 WG")</f>
        <v/>
      </c>
      <c r="B61" s="49">
        <f t="array" ref="B61">IFERROR(
SUM(
IF(
'PORTIFÓLIO'!$C$4:$C$564=$A61,
N(INDEX('PORTIFÓLIO'!$J$4:$Q$564,,MATCH(B$2,'PORTIFÓLIO'!$J$3:$Q$3,0))) *
N('PORTIFÓLIO'!$S$4:$S$564),
0
)
),
0)</f>
        <v/>
      </c>
      <c r="C61" s="49">
        <f>B61/$B$4</f>
        <v/>
      </c>
      <c r="D61" s="49">
        <f t="array" ref="D61">IFERROR(
SUM(
IF(
'PORTIFÓLIO'!$C$4:$C$564=$A61,
N(INDEX('PORTIFÓLIO'!$J$4:$Q$564,,MATCH(D$2,'PORTIFÓLIO'!$J$3:$Q$3,0))) *
N('PORTIFÓLIO'!$S$4:$S$564),
0
)
),
0)</f>
        <v/>
      </c>
      <c r="E61" s="49">
        <f>D61/$D$4</f>
        <v/>
      </c>
      <c r="F61" s="49">
        <f t="array" ref="F61">IFERROR(
SUM(
IF(
'PORTIFÓLIO'!$C$4:$C$564=$A61,
N(INDEX('PORTIFÓLIO'!$J$4:$Q$564,,MATCH(F$2,'PORTIFÓLIO'!$J$3:$Q$3,0))) *
N('PORTIFÓLIO'!$S$4:$S$564),
0
)
),
0)</f>
        <v/>
      </c>
      <c r="G61" s="47">
        <f>F61/$F$4</f>
        <v/>
      </c>
      <c r="H61" s="49">
        <f t="array" ref="H61">IFERROR(
SUM(
IF(
'PORTIFÓLIO'!$C$4:$C$564=$A61,
N(INDEX('PORTIFÓLIO'!$J$4:$Q$564,,MATCH(H$2,'PORTIFÓLIO'!$J$3:$Q$3,0))) *
N('PORTIFÓLIO'!$S$4:$S$564),
0
)
),
0)</f>
        <v/>
      </c>
      <c r="I61" s="47">
        <f>H61/$H$4</f>
        <v/>
      </c>
      <c r="J61" s="49">
        <f t="array" ref="J61">IFERROR(
SUM(
IF(
'PORTIFÓLIO'!$C$4:$C$564=$A61,
N(INDEX('PORTIFÓLIO'!$J$4:$Q$564,,MATCH(J$2,'PORTIFÓLIO'!$J$3:$Q$3,0))) *
N('PORTIFÓLIO'!$S$4:$S$564),
0
)
),
0)</f>
        <v/>
      </c>
      <c r="K61" s="47">
        <f>J61/$J$4</f>
        <v/>
      </c>
      <c r="L61" s="49">
        <f t="array" ref="L61">IFERROR(
SUM(
IF(
'PORTIFÓLIO'!$C$4:$C$564=$A61,
N(INDEX('PORTIFÓLIO'!$J$4:$Q$564,,MATCH(L$2,'PORTIFÓLIO'!$J$3:$Q$3,0))) *
N('PORTIFÓLIO'!$S$4:$S$564),
0
)
),
0)</f>
        <v/>
      </c>
      <c r="M61" s="47">
        <f>L61/$L$4</f>
        <v/>
      </c>
      <c r="N61" s="49">
        <f t="array" ref="N61">IFERROR(
SUM(
IF(
'PORTIFÓLIO'!$C$4:$C$564=$A61,
N(INDEX('PORTIFÓLIO'!$J$4:$Q$564,,MATCH(N$2,'PORTIFÓLIO'!$J$3:$Q$3,0))) *
N('PORTIFÓLIO'!$S$4:$S$564),
0
)
),
0)</f>
        <v/>
      </c>
      <c r="O61" s="49">
        <f>N61/$N$4</f>
        <v/>
      </c>
      <c r="P61" s="49">
        <f t="array" ref="P61">IFERROR(
SUM(
IF(
'PORTIFÓLIO'!$C$4:$C$564=$A61,
N(INDEX('PORTIFÓLIO'!$J$4:$Q$564,,MATCH(P$2,'PORTIFÓLIO'!$J$3:$Q$3,0))) *
N('PORTIFÓLIO'!$S$4:$S$564),
0
)
),
0)</f>
        <v/>
      </c>
      <c r="Q61" s="49">
        <f>P61/$P$4</f>
        <v/>
      </c>
      <c r="R61" s="49">
        <f>SUM(P61,N61,L61,J61,H61,D61,B61)</f>
        <v/>
      </c>
      <c r="S61" s="49">
        <f>R61/$R$4</f>
        <v/>
      </c>
    </row>
    <row r="62" hidden="1" outlineLevel="1" ht="15.75" customHeight="1" s="297">
      <c r="A62" s="48">
        <f>IFERROR(__xludf.DUMMYFUNCTION("""COMPUTED_VALUE"""),"VERDICT ULTRA")</f>
        <v/>
      </c>
      <c r="B62" s="49">
        <f t="array" ref="B62">IFERROR(
SUM(
IF(
'PORTIFÓLIO'!$C$4:$C$564=$A62,
N(INDEX('PORTIFÓLIO'!$J$4:$Q$564,,MATCH(B$2,'PORTIFÓLIO'!$J$3:$Q$3,0))) *
N('PORTIFÓLIO'!$S$4:$S$564),
0
)
),
0)</f>
        <v/>
      </c>
      <c r="C62" s="49">
        <f>B62/$B$4</f>
        <v/>
      </c>
      <c r="D62" s="49">
        <f t="array" ref="D62">IFERROR(
SUM(
IF(
'PORTIFÓLIO'!$C$4:$C$564=$A62,
N(INDEX('PORTIFÓLIO'!$J$4:$Q$564,,MATCH(D$2,'PORTIFÓLIO'!$J$3:$Q$3,0))) *
N('PORTIFÓLIO'!$S$4:$S$564),
0
)
),
0)</f>
        <v/>
      </c>
      <c r="E62" s="49">
        <f>D62/$D$4</f>
        <v/>
      </c>
      <c r="F62" s="49">
        <f t="array" ref="F62">IFERROR(
SUM(
IF(
'PORTIFÓLIO'!$C$4:$C$564=$A62,
N(INDEX('PORTIFÓLIO'!$J$4:$Q$564,,MATCH(F$2,'PORTIFÓLIO'!$J$3:$Q$3,0))) *
N('PORTIFÓLIO'!$S$4:$S$564),
0
)
),
0)</f>
        <v/>
      </c>
      <c r="G62" s="47">
        <f>F62/$F$4</f>
        <v/>
      </c>
      <c r="H62" s="49">
        <f t="array" ref="H62">IFERROR(
SUM(
IF(
'PORTIFÓLIO'!$C$4:$C$564=$A62,
N(INDEX('PORTIFÓLIO'!$J$4:$Q$564,,MATCH(H$2,'PORTIFÓLIO'!$J$3:$Q$3,0))) *
N('PORTIFÓLIO'!$S$4:$S$564),
0
)
),
0)</f>
        <v/>
      </c>
      <c r="I62" s="47">
        <f>H62/$H$4</f>
        <v/>
      </c>
      <c r="J62" s="49">
        <f t="array" ref="J62">IFERROR(
SUM(
IF(
'PORTIFÓLIO'!$C$4:$C$564=$A62,
N(INDEX('PORTIFÓLIO'!$J$4:$Q$564,,MATCH(J$2,'PORTIFÓLIO'!$J$3:$Q$3,0))) *
N('PORTIFÓLIO'!$S$4:$S$564),
0
)
),
0)</f>
        <v/>
      </c>
      <c r="K62" s="47">
        <f>J62/$J$4</f>
        <v/>
      </c>
      <c r="L62" s="49">
        <f t="array" ref="L62">IFERROR(
SUM(
IF(
'PORTIFÓLIO'!$C$4:$C$564=$A62,
N(INDEX('PORTIFÓLIO'!$J$4:$Q$564,,MATCH(L$2,'PORTIFÓLIO'!$J$3:$Q$3,0))) *
N('PORTIFÓLIO'!$S$4:$S$564),
0
)
),
0)</f>
        <v/>
      </c>
      <c r="M62" s="47">
        <f>L62/$L$4</f>
        <v/>
      </c>
      <c r="N62" s="49">
        <f t="array" ref="N62">IFERROR(
SUM(
IF(
'PORTIFÓLIO'!$C$4:$C$564=$A62,
N(INDEX('PORTIFÓLIO'!$J$4:$Q$564,,MATCH(N$2,'PORTIFÓLIO'!$J$3:$Q$3,0))) *
N('PORTIFÓLIO'!$S$4:$S$564),
0
)
),
0)</f>
        <v/>
      </c>
      <c r="O62" s="49">
        <f>N62/$N$4</f>
        <v/>
      </c>
      <c r="P62" s="49">
        <f t="array" ref="P62">IFERROR(
SUM(
IF(
'PORTIFÓLIO'!$C$4:$C$564=$A62,
N(INDEX('PORTIFÓLIO'!$J$4:$Q$564,,MATCH(P$2,'PORTIFÓLIO'!$J$3:$Q$3,0))) *
N('PORTIFÓLIO'!$S$4:$S$564),
0
)
),
0)</f>
        <v/>
      </c>
      <c r="Q62" s="49">
        <f>P62/$P$4</f>
        <v/>
      </c>
      <c r="R62" s="49">
        <f>SUM(P62,N62,L62,J62,H62,D62,B62)</f>
        <v/>
      </c>
      <c r="S62" s="49">
        <f>R62/$R$4</f>
        <v/>
      </c>
    </row>
    <row r="63" hidden="1" outlineLevel="1" ht="15.75" customHeight="1" s="297">
      <c r="A63" s="48">
        <f>IFERROR(__xludf.DUMMYFUNCTION("""COMPUTED_VALUE"""),"BLOWOUT")</f>
        <v/>
      </c>
      <c r="B63" s="49">
        <f t="array" ref="B63">IFERROR(
SUM(
IF(
'PORTIFÓLIO'!$C$4:$C$564=$A63,
N(INDEX('PORTIFÓLIO'!$J$4:$Q$564,,MATCH(B$2,'PORTIFÓLIO'!$J$3:$Q$3,0))) *
N('PORTIFÓLIO'!$S$4:$S$564),
0
)
),
0)</f>
        <v/>
      </c>
      <c r="C63" s="49">
        <f>B63/$B$4</f>
        <v/>
      </c>
      <c r="D63" s="49">
        <f t="array" ref="D63">IFERROR(
SUM(
IF(
'PORTIFÓLIO'!$C$4:$C$564=$A63,
N(INDEX('PORTIFÓLIO'!$J$4:$Q$564,,MATCH(D$2,'PORTIFÓLIO'!$J$3:$Q$3,0))) *
N('PORTIFÓLIO'!$S$4:$S$564),
0
)
),
0)</f>
        <v/>
      </c>
      <c r="E63" s="49">
        <f>D63/$D$4</f>
        <v/>
      </c>
      <c r="F63" s="49">
        <f t="array" ref="F63">IFERROR(
SUM(
IF(
'PORTIFÓLIO'!$C$4:$C$564=$A63,
N(INDEX('PORTIFÓLIO'!$J$4:$Q$564,,MATCH(F$2,'PORTIFÓLIO'!$J$3:$Q$3,0))) *
N('PORTIFÓLIO'!$S$4:$S$564),
0
)
),
0)</f>
        <v/>
      </c>
      <c r="G63" s="47">
        <f>F63/$F$4</f>
        <v/>
      </c>
      <c r="H63" s="49">
        <f t="array" ref="H63">IFERROR(
SUM(
IF(
'PORTIFÓLIO'!$C$4:$C$564=$A63,
N(INDEX('PORTIFÓLIO'!$J$4:$Q$564,,MATCH(H$2,'PORTIFÓLIO'!$J$3:$Q$3,0))) *
N('PORTIFÓLIO'!$S$4:$S$564),
0
)
),
0)</f>
        <v/>
      </c>
      <c r="I63" s="47">
        <f>H63/$H$4</f>
        <v/>
      </c>
      <c r="J63" s="49">
        <f t="array" ref="J63">IFERROR(
SUM(
IF(
'PORTIFÓLIO'!$C$4:$C$564=$A63,
N(INDEX('PORTIFÓLIO'!$J$4:$Q$564,,MATCH(J$2,'PORTIFÓLIO'!$J$3:$Q$3,0))) *
N('PORTIFÓLIO'!$S$4:$S$564),
0
)
),
0)</f>
        <v/>
      </c>
      <c r="K63" s="47">
        <f>J63/$J$4</f>
        <v/>
      </c>
      <c r="L63" s="49">
        <f t="array" ref="L63">IFERROR(
SUM(
IF(
'PORTIFÓLIO'!$C$4:$C$564=$A63,
N(INDEX('PORTIFÓLIO'!$J$4:$Q$564,,MATCH(L$2,'PORTIFÓLIO'!$J$3:$Q$3,0))) *
N('PORTIFÓLIO'!$S$4:$S$564),
0
)
),
0)</f>
        <v/>
      </c>
      <c r="M63" s="47">
        <f>L63/$L$4</f>
        <v/>
      </c>
      <c r="N63" s="49">
        <f t="array" ref="N63">IFERROR(
SUM(
IF(
'PORTIFÓLIO'!$C$4:$C$564=$A63,
N(INDEX('PORTIFÓLIO'!$J$4:$Q$564,,MATCH(N$2,'PORTIFÓLIO'!$J$3:$Q$3,0))) *
N('PORTIFÓLIO'!$S$4:$S$564),
0
)
),
0)</f>
        <v/>
      </c>
      <c r="O63" s="49">
        <f>N63/$N$4</f>
        <v/>
      </c>
      <c r="P63" s="49">
        <f t="array" ref="P63">IFERROR(
SUM(
IF(
'PORTIFÓLIO'!$C$4:$C$564=$A63,
N(INDEX('PORTIFÓLIO'!$J$4:$Q$564,,MATCH(P$2,'PORTIFÓLIO'!$J$3:$Q$3,0))) *
N('PORTIFÓLIO'!$S$4:$S$564),
0
)
),
0)</f>
        <v/>
      </c>
      <c r="Q63" s="49">
        <f>P63/$P$4</f>
        <v/>
      </c>
      <c r="R63" s="49">
        <f>SUM(P63,N63,L63,J63,H63,D63,B63)</f>
        <v/>
      </c>
      <c r="S63" s="49">
        <f>R63/$R$4</f>
        <v/>
      </c>
    </row>
    <row r="64" hidden="1" outlineLevel="1" ht="15.75" customHeight="1" s="297">
      <c r="A64" s="48">
        <f>IFERROR(__xludf.DUMMYFUNCTION("""COMPUTED_VALUE"""),"CLETODIM 240 EC BRILLIANCE")</f>
        <v/>
      </c>
      <c r="B64" s="49">
        <f t="array" ref="B64">IFERROR(
SUM(
IF(
'PORTIFÓLIO'!$C$4:$C$564=$A64,
N(INDEX('PORTIFÓLIO'!$J$4:$Q$564,,MATCH(B$2,'PORTIFÓLIO'!$J$3:$Q$3,0))) *
N('PORTIFÓLIO'!$S$4:$S$564),
0
)
),
0)</f>
        <v/>
      </c>
      <c r="C64" s="49">
        <f>B64/$B$4</f>
        <v/>
      </c>
      <c r="D64" s="49">
        <f t="array" ref="D64">IFERROR(
SUM(
IF(
'PORTIFÓLIO'!$C$4:$C$564=$A64,
N(INDEX('PORTIFÓLIO'!$J$4:$Q$564,,MATCH(D$2,'PORTIFÓLIO'!$J$3:$Q$3,0))) *
N('PORTIFÓLIO'!$S$4:$S$564),
0
)
),
0)</f>
        <v/>
      </c>
      <c r="E64" s="49">
        <f>D64/$D$4</f>
        <v/>
      </c>
      <c r="F64" s="49">
        <f t="array" ref="F64">IFERROR(
SUM(
IF(
'PORTIFÓLIO'!$C$4:$C$564=$A64,
N(INDEX('PORTIFÓLIO'!$J$4:$Q$564,,MATCH(F$2,'PORTIFÓLIO'!$J$3:$Q$3,0))) *
N('PORTIFÓLIO'!$S$4:$S$564),
0
)
),
0)</f>
        <v/>
      </c>
      <c r="G64" s="47">
        <f>F64/$F$4</f>
        <v/>
      </c>
      <c r="H64" s="49">
        <f t="array" ref="H64">IFERROR(
SUM(
IF(
'PORTIFÓLIO'!$C$4:$C$564=$A64,
N(INDEX('PORTIFÓLIO'!$J$4:$Q$564,,MATCH(H$2,'PORTIFÓLIO'!$J$3:$Q$3,0))) *
N('PORTIFÓLIO'!$S$4:$S$564),
0
)
),
0)</f>
        <v/>
      </c>
      <c r="I64" s="47">
        <f>H64/$H$4</f>
        <v/>
      </c>
      <c r="J64" s="49">
        <f t="array" ref="J64">IFERROR(
SUM(
IF(
'PORTIFÓLIO'!$C$4:$C$564=$A64,
N(INDEX('PORTIFÓLIO'!$J$4:$Q$564,,MATCH(J$2,'PORTIFÓLIO'!$J$3:$Q$3,0))) *
N('PORTIFÓLIO'!$S$4:$S$564),
0
)
),
0)</f>
        <v/>
      </c>
      <c r="K64" s="47">
        <f>J64/$J$4</f>
        <v/>
      </c>
      <c r="L64" s="49">
        <f t="array" ref="L64">IFERROR(
SUM(
IF(
'PORTIFÓLIO'!$C$4:$C$564=$A64,
N(INDEX('PORTIFÓLIO'!$J$4:$Q$564,,MATCH(L$2,'PORTIFÓLIO'!$J$3:$Q$3,0))) *
N('PORTIFÓLIO'!$S$4:$S$564),
0
)
),
0)</f>
        <v/>
      </c>
      <c r="M64" s="47">
        <f>L64/$L$4</f>
        <v/>
      </c>
      <c r="N64" s="49">
        <f t="array" ref="N64">IFERROR(
SUM(
IF(
'PORTIFÓLIO'!$C$4:$C$564=$A64,
N(INDEX('PORTIFÓLIO'!$J$4:$Q$564,,MATCH(N$2,'PORTIFÓLIO'!$J$3:$Q$3,0))) *
N('PORTIFÓLIO'!$S$4:$S$564),
0
)
),
0)</f>
        <v/>
      </c>
      <c r="O64" s="49">
        <f>N64/$N$4</f>
        <v/>
      </c>
      <c r="P64" s="49">
        <f t="array" ref="P64">IFERROR(
SUM(
IF(
'PORTIFÓLIO'!$C$4:$C$564=$A64,
N(INDEX('PORTIFÓLIO'!$J$4:$Q$564,,MATCH(P$2,'PORTIFÓLIO'!$J$3:$Q$3,0))) *
N('PORTIFÓLIO'!$S$4:$S$564),
0
)
),
0)</f>
        <v/>
      </c>
      <c r="Q64" s="49">
        <f>P64/$P$4</f>
        <v/>
      </c>
      <c r="R64" s="49">
        <f>SUM(P64,N64,L64,J64,H64,D64,B64)</f>
        <v/>
      </c>
      <c r="S64" s="49">
        <f>R64/$R$4</f>
        <v/>
      </c>
    </row>
    <row r="65" hidden="1" outlineLevel="1" ht="15.75" customHeight="1" s="297">
      <c r="A65" s="48">
        <f>IFERROR(__xludf.DUMMYFUNCTION("""COMPUTED_VALUE"""),"GLUFOS-WYN 880")</f>
        <v/>
      </c>
      <c r="B65" s="49">
        <f t="array" ref="B65">IFERROR(
SUM(
IF(
'PORTIFÓLIO'!$C$4:$C$564=$A65,
N(INDEX('PORTIFÓLIO'!$J$4:$Q$564,,MATCH(B$2,'PORTIFÓLIO'!$J$3:$Q$3,0))) *
N('PORTIFÓLIO'!$S$4:$S$564),
0
)
),
0)</f>
        <v/>
      </c>
      <c r="C65" s="49">
        <f>B65/$B$4</f>
        <v/>
      </c>
      <c r="D65" s="49">
        <f t="array" ref="D65">IFERROR(
SUM(
IF(
'PORTIFÓLIO'!$C$4:$C$564=$A65,
N(INDEX('PORTIFÓLIO'!$J$4:$Q$564,,MATCH(D$2,'PORTIFÓLIO'!$J$3:$Q$3,0))) *
N('PORTIFÓLIO'!$S$4:$S$564),
0
)
),
0)</f>
        <v/>
      </c>
      <c r="E65" s="49">
        <f>D65/$D$4</f>
        <v/>
      </c>
      <c r="F65" s="49">
        <f t="array" ref="F65">IFERROR(
SUM(
IF(
'PORTIFÓLIO'!$C$4:$C$564=$A65,
N(INDEX('PORTIFÓLIO'!$J$4:$Q$564,,MATCH(F$2,'PORTIFÓLIO'!$J$3:$Q$3,0))) *
N('PORTIFÓLIO'!$S$4:$S$564),
0
)
),
0)</f>
        <v/>
      </c>
      <c r="G65" s="47">
        <f>F65/$F$4</f>
        <v/>
      </c>
      <c r="H65" s="49">
        <f t="array" ref="H65">IFERROR(
SUM(
IF(
'PORTIFÓLIO'!$C$4:$C$564=$A65,
N(INDEX('PORTIFÓLIO'!$J$4:$Q$564,,MATCH(H$2,'PORTIFÓLIO'!$J$3:$Q$3,0))) *
N('PORTIFÓLIO'!$S$4:$S$564),
0
)
),
0)</f>
        <v/>
      </c>
      <c r="I65" s="47">
        <f>H65/$H$4</f>
        <v/>
      </c>
      <c r="J65" s="49">
        <f t="array" ref="J65">IFERROR(
SUM(
IF(
'PORTIFÓLIO'!$C$4:$C$564=$A65,
N(INDEX('PORTIFÓLIO'!$J$4:$Q$564,,MATCH(J$2,'PORTIFÓLIO'!$J$3:$Q$3,0))) *
N('PORTIFÓLIO'!$S$4:$S$564),
0
)
),
0)</f>
        <v/>
      </c>
      <c r="K65" s="47">
        <f>J65/$J$4</f>
        <v/>
      </c>
      <c r="L65" s="49">
        <f t="array" ref="L65">IFERROR(
SUM(
IF(
'PORTIFÓLIO'!$C$4:$C$564=$A65,
N(INDEX('PORTIFÓLIO'!$J$4:$Q$564,,MATCH(L$2,'PORTIFÓLIO'!$J$3:$Q$3,0))) *
N('PORTIFÓLIO'!$S$4:$S$564),
0
)
),
0)</f>
        <v/>
      </c>
      <c r="M65" s="47">
        <f>L65/$L$4</f>
        <v/>
      </c>
      <c r="N65" s="49">
        <f t="array" ref="N65">IFERROR(
SUM(
IF(
'PORTIFÓLIO'!$C$4:$C$564=$A65,
N(INDEX('PORTIFÓLIO'!$J$4:$Q$564,,MATCH(N$2,'PORTIFÓLIO'!$J$3:$Q$3,0))) *
N('PORTIFÓLIO'!$S$4:$S$564),
0
)
),
0)</f>
        <v/>
      </c>
      <c r="O65" s="49">
        <f>N65/$N$4</f>
        <v/>
      </c>
      <c r="P65" s="49">
        <f t="array" ref="P65">IFERROR(
SUM(
IF(
'PORTIFÓLIO'!$C$4:$C$564=$A65,
N(INDEX('PORTIFÓLIO'!$J$4:$Q$564,,MATCH(P$2,'PORTIFÓLIO'!$J$3:$Q$3,0))) *
N('PORTIFÓLIO'!$S$4:$S$564),
0
)
),
0)</f>
        <v/>
      </c>
      <c r="Q65" s="49">
        <f>P65/$P$4</f>
        <v/>
      </c>
      <c r="R65" s="49">
        <f>SUM(P65,N65,L65,J65,H65,D65,B65)</f>
        <v/>
      </c>
      <c r="S65" s="49">
        <f>R65/$R$4</f>
        <v/>
      </c>
    </row>
    <row r="66" hidden="1" outlineLevel="1" ht="15.75" customHeight="1" s="297">
      <c r="A66" s="48">
        <f>IFERROR(__xludf.DUMMYFUNCTION("""COMPUTED_VALUE"""),"GINETE 212 SL")</f>
        <v/>
      </c>
      <c r="B66" s="49">
        <f t="array" ref="B66">IFERROR(
SUM(
IF(
'PORTIFÓLIO'!$C$4:$C$564=$A66,
N(INDEX('PORTIFÓLIO'!$J$4:$Q$564,,MATCH(B$2,'PORTIFÓLIO'!$J$3:$Q$3,0))) *
N('PORTIFÓLIO'!$S$4:$S$564),
0
)
),
0)</f>
        <v/>
      </c>
      <c r="C66" s="49">
        <f>B66/$B$4</f>
        <v/>
      </c>
      <c r="D66" s="49">
        <f t="array" ref="D66">IFERROR(
SUM(
IF(
'PORTIFÓLIO'!$C$4:$C$564=$A66,
N(INDEX('PORTIFÓLIO'!$J$4:$Q$564,,MATCH(D$2,'PORTIFÓLIO'!$J$3:$Q$3,0))) *
N('PORTIFÓLIO'!$S$4:$S$564),
0
)
),
0)</f>
        <v/>
      </c>
      <c r="E66" s="49">
        <f>D66/$D$4</f>
        <v/>
      </c>
      <c r="F66" s="49">
        <f t="array" ref="F66">IFERROR(
SUM(
IF(
'PORTIFÓLIO'!$C$4:$C$564=$A66,
N(INDEX('PORTIFÓLIO'!$J$4:$Q$564,,MATCH(F$2,'PORTIFÓLIO'!$J$3:$Q$3,0))) *
N('PORTIFÓLIO'!$S$4:$S$564),
0
)
),
0)</f>
        <v/>
      </c>
      <c r="G66" s="47">
        <f>F66/$F$4</f>
        <v/>
      </c>
      <c r="H66" s="49">
        <f t="array" ref="H66">IFERROR(
SUM(
IF(
'PORTIFÓLIO'!$C$4:$C$564=$A66,
N(INDEX('PORTIFÓLIO'!$J$4:$Q$564,,MATCH(H$2,'PORTIFÓLIO'!$J$3:$Q$3,0))) *
N('PORTIFÓLIO'!$S$4:$S$564),
0
)
),
0)</f>
        <v/>
      </c>
      <c r="I66" s="47">
        <f>H66/$H$4</f>
        <v/>
      </c>
      <c r="J66" s="49">
        <f t="array" ref="J66">IFERROR(
SUM(
IF(
'PORTIFÓLIO'!$C$4:$C$564=$A66,
N(INDEX('PORTIFÓLIO'!$J$4:$Q$564,,MATCH(J$2,'PORTIFÓLIO'!$J$3:$Q$3,0))) *
N('PORTIFÓLIO'!$S$4:$S$564),
0
)
),
0)</f>
        <v/>
      </c>
      <c r="K66" s="47">
        <f>J66/$J$4</f>
        <v/>
      </c>
      <c r="L66" s="49">
        <f t="array" ref="L66">IFERROR(
SUM(
IF(
'PORTIFÓLIO'!$C$4:$C$564=$A66,
N(INDEX('PORTIFÓLIO'!$J$4:$Q$564,,MATCH(L$2,'PORTIFÓLIO'!$J$3:$Q$3,0))) *
N('PORTIFÓLIO'!$S$4:$S$564),
0
)
),
0)</f>
        <v/>
      </c>
      <c r="M66" s="47">
        <f>L66/$L$4</f>
        <v/>
      </c>
      <c r="N66" s="49">
        <f t="array" ref="N66">IFERROR(
SUM(
IF(
'PORTIFÓLIO'!$C$4:$C$564=$A66,
N(INDEX('PORTIFÓLIO'!$J$4:$Q$564,,MATCH(N$2,'PORTIFÓLIO'!$J$3:$Q$3,0))) *
N('PORTIFÓLIO'!$S$4:$S$564),
0
)
),
0)</f>
        <v/>
      </c>
      <c r="O66" s="49">
        <f>N66/$N$4</f>
        <v/>
      </c>
      <c r="P66" s="49">
        <f t="array" ref="P66">IFERROR(
SUM(
IF(
'PORTIFÓLIO'!$C$4:$C$564=$A66,
N(INDEX('PORTIFÓLIO'!$J$4:$Q$564,,MATCH(P$2,'PORTIFÓLIO'!$J$3:$Q$3,0))) *
N('PORTIFÓLIO'!$S$4:$S$564),
0
)
),
0)</f>
        <v/>
      </c>
      <c r="Q66" s="49">
        <f>P66/$P$4</f>
        <v/>
      </c>
      <c r="R66" s="49">
        <f>SUM(P66,N66,L66,J66,H66,D66,B66)</f>
        <v/>
      </c>
      <c r="S66" s="49">
        <f>R66/$R$4</f>
        <v/>
      </c>
    </row>
    <row r="67" hidden="1" outlineLevel="1" ht="15.75" customHeight="1" s="297">
      <c r="A67" s="48">
        <f>IFERROR(__xludf.DUMMYFUNCTION("""COMPUTED_VALUE"""),"AURORA 400 EC")</f>
        <v/>
      </c>
      <c r="B67" s="49">
        <f t="array" ref="B67">IFERROR(
SUM(
IF(
'PORTIFÓLIO'!$C$4:$C$564=$A67,
N(INDEX('PORTIFÓLIO'!$J$4:$Q$564,,MATCH(B$2,'PORTIFÓLIO'!$J$3:$Q$3,0))) *
N('PORTIFÓLIO'!$S$4:$S$564),
0
)
),
0)</f>
        <v/>
      </c>
      <c r="C67" s="49">
        <f>B67/$B$4</f>
        <v/>
      </c>
      <c r="D67" s="49">
        <f t="array" ref="D67">IFERROR(
SUM(
IF(
'PORTIFÓLIO'!$C$4:$C$564=$A67,
N(INDEX('PORTIFÓLIO'!$J$4:$Q$564,,MATCH(D$2,'PORTIFÓLIO'!$J$3:$Q$3,0))) *
N('PORTIFÓLIO'!$S$4:$S$564),
0
)
),
0)</f>
        <v/>
      </c>
      <c r="E67" s="49">
        <f>D67/$D$4</f>
        <v/>
      </c>
      <c r="F67" s="49">
        <f t="array" ref="F67">IFERROR(
SUM(
IF(
'PORTIFÓLIO'!$C$4:$C$564=$A67,
N(INDEX('PORTIFÓLIO'!$J$4:$Q$564,,MATCH(F$2,'PORTIFÓLIO'!$J$3:$Q$3,0))) *
N('PORTIFÓLIO'!$S$4:$S$564),
0
)
),
0)</f>
        <v/>
      </c>
      <c r="G67" s="47">
        <f>F67/$F$4</f>
        <v/>
      </c>
      <c r="H67" s="49">
        <f t="array" ref="H67">IFERROR(
SUM(
IF(
'PORTIFÓLIO'!$C$4:$C$564=$A67,
N(INDEX('PORTIFÓLIO'!$J$4:$Q$564,,MATCH(H$2,'PORTIFÓLIO'!$J$3:$Q$3,0))) *
N('PORTIFÓLIO'!$S$4:$S$564),
0
)
),
0)</f>
        <v/>
      </c>
      <c r="I67" s="47">
        <f>H67/$H$4</f>
        <v/>
      </c>
      <c r="J67" s="49">
        <f t="array" ref="J67">IFERROR(
SUM(
IF(
'PORTIFÓLIO'!$C$4:$C$564=$A67,
N(INDEX('PORTIFÓLIO'!$J$4:$Q$564,,MATCH(J$2,'PORTIFÓLIO'!$J$3:$Q$3,0))) *
N('PORTIFÓLIO'!$S$4:$S$564),
0
)
),
0)</f>
        <v/>
      </c>
      <c r="K67" s="47">
        <f>J67/$J$4</f>
        <v/>
      </c>
      <c r="L67" s="49">
        <f t="array" ref="L67">IFERROR(
SUM(
IF(
'PORTIFÓLIO'!$C$4:$C$564=$A67,
N(INDEX('PORTIFÓLIO'!$J$4:$Q$564,,MATCH(L$2,'PORTIFÓLIO'!$J$3:$Q$3,0))) *
N('PORTIFÓLIO'!$S$4:$S$564),
0
)
),
0)</f>
        <v/>
      </c>
      <c r="M67" s="47">
        <f>L67/$L$4</f>
        <v/>
      </c>
      <c r="N67" s="49">
        <f t="array" ref="N67">IFERROR(
SUM(
IF(
'PORTIFÓLIO'!$C$4:$C$564=$A67,
N(INDEX('PORTIFÓLIO'!$J$4:$Q$564,,MATCH(N$2,'PORTIFÓLIO'!$J$3:$Q$3,0))) *
N('PORTIFÓLIO'!$S$4:$S$564),
0
)
),
0)</f>
        <v/>
      </c>
      <c r="O67" s="49">
        <f>N67/$N$4</f>
        <v/>
      </c>
      <c r="P67" s="49">
        <f t="array" ref="P67">IFERROR(
SUM(
IF(
'PORTIFÓLIO'!$C$4:$C$564=$A67,
N(INDEX('PORTIFÓLIO'!$J$4:$Q$564,,MATCH(P$2,'PORTIFÓLIO'!$J$3:$Q$3,0))) *
N('PORTIFÓLIO'!$S$4:$S$564),
0
)
),
0)</f>
        <v/>
      </c>
      <c r="Q67" s="49">
        <f>P67/$P$4</f>
        <v/>
      </c>
      <c r="R67" s="49">
        <f>SUM(P67,N67,L67,J67,H67,D67,B67)</f>
        <v/>
      </c>
      <c r="S67" s="49">
        <f>R67/$R$4</f>
        <v/>
      </c>
    </row>
    <row r="68" hidden="1" outlineLevel="1" ht="15.75" customHeight="1" s="297">
      <c r="A68" s="48">
        <f>IFERROR(__xludf.DUMMYFUNCTION("""COMPUTED_VALUE"""),"AZUGRO")</f>
        <v/>
      </c>
      <c r="B68" s="49">
        <f t="array" ref="B68">IFERROR(
SUM(
IF(
'PORTIFÓLIO'!$C$4:$C$564=$A68,
N(INDEX('PORTIFÓLIO'!$J$4:$Q$564,,MATCH(B$2,'PORTIFÓLIO'!$J$3:$Q$3,0))) *
N('PORTIFÓLIO'!$S$4:$S$564),
0
)
),
0)</f>
        <v/>
      </c>
      <c r="C68" s="49">
        <f>B68/$B$4</f>
        <v/>
      </c>
      <c r="D68" s="49">
        <f t="array" ref="D68">IFERROR(
SUM(
IF(
'PORTIFÓLIO'!$C$4:$C$564=$A68,
N(INDEX('PORTIFÓLIO'!$J$4:$Q$564,,MATCH(D$2,'PORTIFÓLIO'!$J$3:$Q$3,0))) *
N('PORTIFÓLIO'!$S$4:$S$564),
0
)
),
0)</f>
        <v/>
      </c>
      <c r="E68" s="49">
        <f>D68/$D$4</f>
        <v/>
      </c>
      <c r="F68" s="49">
        <f t="array" ref="F68">IFERROR(
SUM(
IF(
'PORTIFÓLIO'!$C$4:$C$564=$A68,
N(INDEX('PORTIFÓLIO'!$J$4:$Q$564,,MATCH(F$2,'PORTIFÓLIO'!$J$3:$Q$3,0))) *
N('PORTIFÓLIO'!$S$4:$S$564),
0
)
),
0)</f>
        <v/>
      </c>
      <c r="G68" s="47">
        <f>F68/$F$4</f>
        <v/>
      </c>
      <c r="H68" s="49">
        <f t="array" ref="H68">IFERROR(
SUM(
IF(
'PORTIFÓLIO'!$C$4:$C$564=$A68,
N(INDEX('PORTIFÓLIO'!$J$4:$Q$564,,MATCH(H$2,'PORTIFÓLIO'!$J$3:$Q$3,0))) *
N('PORTIFÓLIO'!$S$4:$S$564),
0
)
),
0)</f>
        <v/>
      </c>
      <c r="I68" s="47">
        <f>H68/$H$4</f>
        <v/>
      </c>
      <c r="J68" s="49">
        <f t="array" ref="J68">IFERROR(
SUM(
IF(
'PORTIFÓLIO'!$C$4:$C$564=$A68,
N(INDEX('PORTIFÓLIO'!$J$4:$Q$564,,MATCH(J$2,'PORTIFÓLIO'!$J$3:$Q$3,0))) *
N('PORTIFÓLIO'!$S$4:$S$564),
0
)
),
0)</f>
        <v/>
      </c>
      <c r="K68" s="47">
        <f>J68/$J$4</f>
        <v/>
      </c>
      <c r="L68" s="49">
        <f t="array" ref="L68">IFERROR(
SUM(
IF(
'PORTIFÓLIO'!$C$4:$C$564=$A68,
N(INDEX('PORTIFÓLIO'!$J$4:$Q$564,,MATCH(L$2,'PORTIFÓLIO'!$J$3:$Q$3,0))) *
N('PORTIFÓLIO'!$S$4:$S$564),
0
)
),
0)</f>
        <v/>
      </c>
      <c r="M68" s="47">
        <f>L68/$L$4</f>
        <v/>
      </c>
      <c r="N68" s="49">
        <f t="array" ref="N68">IFERROR(
SUM(
IF(
'PORTIFÓLIO'!$C$4:$C$564=$A68,
N(INDEX('PORTIFÓLIO'!$J$4:$Q$564,,MATCH(N$2,'PORTIFÓLIO'!$J$3:$Q$3,0))) *
N('PORTIFÓLIO'!$S$4:$S$564),
0
)
),
0)</f>
        <v/>
      </c>
      <c r="O68" s="49">
        <f>N68/$N$4</f>
        <v/>
      </c>
      <c r="P68" s="49">
        <f t="array" ref="P68">IFERROR(
SUM(
IF(
'PORTIFÓLIO'!$C$4:$C$564=$A68,
N(INDEX('PORTIFÓLIO'!$J$4:$Q$564,,MATCH(P$2,'PORTIFÓLIO'!$J$3:$Q$3,0))) *
N('PORTIFÓLIO'!$S$4:$S$564),
0
)
),
0)</f>
        <v/>
      </c>
      <c r="Q68" s="49">
        <f>P68/$P$4</f>
        <v/>
      </c>
      <c r="R68" s="49">
        <f>SUM(P68,N68,L68,J68,H68,D68,B68)</f>
        <v/>
      </c>
      <c r="S68" s="49">
        <f>R68/$R$4</f>
        <v/>
      </c>
    </row>
    <row r="69" hidden="1" outlineLevel="1" ht="15.75" customHeight="1" s="297">
      <c r="A69" s="48">
        <f>IFERROR(__xludf.DUMMYFUNCTION("""COMPUTED_VALUE"""),"BORAL")</f>
        <v/>
      </c>
      <c r="B69" s="49">
        <f t="array" ref="B69">IFERROR(
SUM(
IF(
'PORTIFÓLIO'!$C$4:$C$564=$A69,
N(INDEX('PORTIFÓLIO'!$J$4:$Q$564,,MATCH(B$2,'PORTIFÓLIO'!$J$3:$Q$3,0))) *
N('PORTIFÓLIO'!$S$4:$S$564),
0
)
),
0)</f>
        <v/>
      </c>
      <c r="C69" s="49">
        <f>B69/$B$4</f>
        <v/>
      </c>
      <c r="D69" s="49">
        <f t="array" ref="D69">IFERROR(
SUM(
IF(
'PORTIFÓLIO'!$C$4:$C$564=$A69,
N(INDEX('PORTIFÓLIO'!$J$4:$Q$564,,MATCH(D$2,'PORTIFÓLIO'!$J$3:$Q$3,0))) *
N('PORTIFÓLIO'!$S$4:$S$564),
0
)
),
0)</f>
        <v/>
      </c>
      <c r="E69" s="49">
        <f>D69/$D$4</f>
        <v/>
      </c>
      <c r="F69" s="49">
        <f t="array" ref="F69">IFERROR(
SUM(
IF(
'PORTIFÓLIO'!$C$4:$C$564=$A69,
N(INDEX('PORTIFÓLIO'!$J$4:$Q$564,,MATCH(F$2,'PORTIFÓLIO'!$J$3:$Q$3,0))) *
N('PORTIFÓLIO'!$S$4:$S$564),
0
)
),
0)</f>
        <v/>
      </c>
      <c r="G69" s="47">
        <f>F69/$F$4</f>
        <v/>
      </c>
      <c r="H69" s="49">
        <f t="array" ref="H69">IFERROR(
SUM(
IF(
'PORTIFÓLIO'!$C$4:$C$564=$A69,
N(INDEX('PORTIFÓLIO'!$J$4:$Q$564,,MATCH(H$2,'PORTIFÓLIO'!$J$3:$Q$3,0))) *
N('PORTIFÓLIO'!$S$4:$S$564),
0
)
),
0)</f>
        <v/>
      </c>
      <c r="I69" s="47">
        <f>H69/$H$4</f>
        <v/>
      </c>
      <c r="J69" s="49">
        <f t="array" ref="J69">IFERROR(
SUM(
IF(
'PORTIFÓLIO'!$C$4:$C$564=$A69,
N(INDEX('PORTIFÓLIO'!$J$4:$Q$564,,MATCH(J$2,'PORTIFÓLIO'!$J$3:$Q$3,0))) *
N('PORTIFÓLIO'!$S$4:$S$564),
0
)
),
0)</f>
        <v/>
      </c>
      <c r="K69" s="47">
        <f>J69/$J$4</f>
        <v/>
      </c>
      <c r="L69" s="49">
        <f t="array" ref="L69">IFERROR(
SUM(
IF(
'PORTIFÓLIO'!$C$4:$C$564=$A69,
N(INDEX('PORTIFÓLIO'!$J$4:$Q$564,,MATCH(L$2,'PORTIFÓLIO'!$J$3:$Q$3,0))) *
N('PORTIFÓLIO'!$S$4:$S$564),
0
)
),
0)</f>
        <v/>
      </c>
      <c r="M69" s="47">
        <f>L69/$L$4</f>
        <v/>
      </c>
      <c r="N69" s="49">
        <f t="array" ref="N69">IFERROR(
SUM(
IF(
'PORTIFÓLIO'!$C$4:$C$564=$A69,
N(INDEX('PORTIFÓLIO'!$J$4:$Q$564,,MATCH(N$2,'PORTIFÓLIO'!$J$3:$Q$3,0))) *
N('PORTIFÓLIO'!$S$4:$S$564),
0
)
),
0)</f>
        <v/>
      </c>
      <c r="O69" s="49">
        <f>N69/$N$4</f>
        <v/>
      </c>
      <c r="P69" s="49">
        <f t="array" ref="P69">IFERROR(
SUM(
IF(
'PORTIFÓLIO'!$C$4:$C$564=$A69,
N(INDEX('PORTIFÓLIO'!$J$4:$Q$564,,MATCH(P$2,'PORTIFÓLIO'!$J$3:$Q$3,0))) *
N('PORTIFÓLIO'!$S$4:$S$564),
0
)
),
0)</f>
        <v/>
      </c>
      <c r="Q69" s="49">
        <f>P69/$P$4</f>
        <v/>
      </c>
      <c r="R69" s="49">
        <f>SUM(P69,N69,L69,J69,H69,D69,B69)</f>
        <v/>
      </c>
      <c r="S69" s="49">
        <f>R69/$R$4</f>
        <v/>
      </c>
    </row>
    <row r="70" hidden="1" outlineLevel="1" ht="15.75" customHeight="1" s="297">
      <c r="A70" s="48">
        <f>IFERROR(__xludf.DUMMYFUNCTION("""COMPUTED_VALUE"""),"REATOR 360 CS")</f>
        <v/>
      </c>
      <c r="B70" s="49">
        <f t="array" ref="B70">IFERROR(
SUM(
IF(
'PORTIFÓLIO'!$C$4:$C$564=$A70,
N(INDEX('PORTIFÓLIO'!$J$4:$Q$564,,MATCH(B$2,'PORTIFÓLIO'!$J$3:$Q$3,0))) *
N('PORTIFÓLIO'!$S$4:$S$564),
0
)
),
0)</f>
        <v/>
      </c>
      <c r="C70" s="49">
        <f>B70/$B$4</f>
        <v/>
      </c>
      <c r="D70" s="49">
        <f t="array" ref="D70">IFERROR(
SUM(
IF(
'PORTIFÓLIO'!$C$4:$C$564=$A70,
N(INDEX('PORTIFÓLIO'!$J$4:$Q$564,,MATCH(D$2,'PORTIFÓLIO'!$J$3:$Q$3,0))) *
N('PORTIFÓLIO'!$S$4:$S$564),
0
)
),
0)</f>
        <v/>
      </c>
      <c r="E70" s="49">
        <f>D70/$D$4</f>
        <v/>
      </c>
      <c r="F70" s="49">
        <f t="array" ref="F70">IFERROR(
SUM(
IF(
'PORTIFÓLIO'!$C$4:$C$564=$A70,
N(INDEX('PORTIFÓLIO'!$J$4:$Q$564,,MATCH(F$2,'PORTIFÓLIO'!$J$3:$Q$3,0))) *
N('PORTIFÓLIO'!$S$4:$S$564),
0
)
),
0)</f>
        <v/>
      </c>
      <c r="G70" s="47">
        <f>F70/$F$4</f>
        <v/>
      </c>
      <c r="H70" s="49">
        <f t="array" ref="H70">IFERROR(
SUM(
IF(
'PORTIFÓLIO'!$C$4:$C$564=$A70,
N(INDEX('PORTIFÓLIO'!$J$4:$Q$564,,MATCH(H$2,'PORTIFÓLIO'!$J$3:$Q$3,0))) *
N('PORTIFÓLIO'!$S$4:$S$564),
0
)
),
0)</f>
        <v/>
      </c>
      <c r="I70" s="47">
        <f>H70/$H$4</f>
        <v/>
      </c>
      <c r="J70" s="49">
        <f t="array" ref="J70">IFERROR(
SUM(
IF(
'PORTIFÓLIO'!$C$4:$C$564=$A70,
N(INDEX('PORTIFÓLIO'!$J$4:$Q$564,,MATCH(J$2,'PORTIFÓLIO'!$J$3:$Q$3,0))) *
N('PORTIFÓLIO'!$S$4:$S$564),
0
)
),
0)</f>
        <v/>
      </c>
      <c r="K70" s="47">
        <f>J70/$J$4</f>
        <v/>
      </c>
      <c r="L70" s="49">
        <f t="array" ref="L70">IFERROR(
SUM(
IF(
'PORTIFÓLIO'!$C$4:$C$564=$A70,
N(INDEX('PORTIFÓLIO'!$J$4:$Q$564,,MATCH(L$2,'PORTIFÓLIO'!$J$3:$Q$3,0))) *
N('PORTIFÓLIO'!$S$4:$S$564),
0
)
),
0)</f>
        <v/>
      </c>
      <c r="M70" s="47">
        <f>L70/$L$4</f>
        <v/>
      </c>
      <c r="N70" s="49">
        <f t="array" ref="N70">IFERROR(
SUM(
IF(
'PORTIFÓLIO'!$C$4:$C$564=$A70,
N(INDEX('PORTIFÓLIO'!$J$4:$Q$564,,MATCH(N$2,'PORTIFÓLIO'!$J$3:$Q$3,0))) *
N('PORTIFÓLIO'!$S$4:$S$564),
0
)
),
0)</f>
        <v/>
      </c>
      <c r="O70" s="49">
        <f>N70/$N$4</f>
        <v/>
      </c>
      <c r="P70" s="49">
        <f t="array" ref="P70">IFERROR(
SUM(
IF(
'PORTIFÓLIO'!$C$4:$C$564=$A70,
N(INDEX('PORTIFÓLIO'!$J$4:$Q$564,,MATCH(P$2,'PORTIFÓLIO'!$J$3:$Q$3,0))) *
N('PORTIFÓLIO'!$S$4:$S$564),
0
)
),
0)</f>
        <v/>
      </c>
      <c r="Q70" s="49">
        <f>P70/$P$4</f>
        <v/>
      </c>
      <c r="R70" s="49">
        <f>SUM(P70,N70,L70,J70,H70,D70,B70)</f>
        <v/>
      </c>
      <c r="S70" s="49">
        <f>R70/$R$4</f>
        <v/>
      </c>
    </row>
    <row r="71" hidden="1" outlineLevel="1" ht="15.75" customHeight="1" s="297">
      <c r="A71" s="48">
        <f>IFERROR(__xludf.DUMMYFUNCTION("""COMPUTED_VALUE"""),"STONE")</f>
        <v/>
      </c>
      <c r="B71" s="49">
        <f t="array" ref="B71">IFERROR(
SUM(
IF(
'PORTIFÓLIO'!$C$4:$C$564=$A71,
N(INDEX('PORTIFÓLIO'!$J$4:$Q$564,,MATCH(B$2,'PORTIFÓLIO'!$J$3:$Q$3,0))) *
N('PORTIFÓLIO'!$S$4:$S$564),
0
)
),
0)</f>
        <v/>
      </c>
      <c r="C71" s="49">
        <f>B71/$B$4</f>
        <v/>
      </c>
      <c r="D71" s="49">
        <f t="array" ref="D71">IFERROR(
SUM(
IF(
'PORTIFÓLIO'!$C$4:$C$564=$A71,
N(INDEX('PORTIFÓLIO'!$J$4:$Q$564,,MATCH(D$2,'PORTIFÓLIO'!$J$3:$Q$3,0))) *
N('PORTIFÓLIO'!$S$4:$S$564),
0
)
),
0)</f>
        <v/>
      </c>
      <c r="E71" s="49">
        <f>D71/$D$4</f>
        <v/>
      </c>
      <c r="F71" s="49">
        <f t="array" ref="F71">IFERROR(
SUM(
IF(
'PORTIFÓLIO'!$C$4:$C$564=$A71,
N(INDEX('PORTIFÓLIO'!$J$4:$Q$564,,MATCH(F$2,'PORTIFÓLIO'!$J$3:$Q$3,0))) *
N('PORTIFÓLIO'!$S$4:$S$564),
0
)
),
0)</f>
        <v/>
      </c>
      <c r="G71" s="47">
        <f>F71/$F$4</f>
        <v/>
      </c>
      <c r="H71" s="49">
        <f t="array" ref="H71">IFERROR(
SUM(
IF(
'PORTIFÓLIO'!$C$4:$C$564=$A71,
N(INDEX('PORTIFÓLIO'!$J$4:$Q$564,,MATCH(H$2,'PORTIFÓLIO'!$J$3:$Q$3,0))) *
N('PORTIFÓLIO'!$S$4:$S$564),
0
)
),
0)</f>
        <v/>
      </c>
      <c r="I71" s="47">
        <f>H71/$H$4</f>
        <v/>
      </c>
      <c r="J71" s="49">
        <f t="array" ref="J71">IFERROR(
SUM(
IF(
'PORTIFÓLIO'!$C$4:$C$564=$A71,
N(INDEX('PORTIFÓLIO'!$J$4:$Q$564,,MATCH(J$2,'PORTIFÓLIO'!$J$3:$Q$3,0))) *
N('PORTIFÓLIO'!$S$4:$S$564),
0
)
),
0)</f>
        <v/>
      </c>
      <c r="K71" s="47">
        <f>J71/$J$4</f>
        <v/>
      </c>
      <c r="L71" s="49">
        <f t="array" ref="L71">IFERROR(
SUM(
IF(
'PORTIFÓLIO'!$C$4:$C$564=$A71,
N(INDEX('PORTIFÓLIO'!$J$4:$Q$564,,MATCH(L$2,'PORTIFÓLIO'!$J$3:$Q$3,0))) *
N('PORTIFÓLIO'!$S$4:$S$564),
0
)
),
0)</f>
        <v/>
      </c>
      <c r="M71" s="47">
        <f>L71/$L$4</f>
        <v/>
      </c>
      <c r="N71" s="49">
        <f t="array" ref="N71">IFERROR(
SUM(
IF(
'PORTIFÓLIO'!$C$4:$C$564=$A71,
N(INDEX('PORTIFÓLIO'!$J$4:$Q$564,,MATCH(N$2,'PORTIFÓLIO'!$J$3:$Q$3,0))) *
N('PORTIFÓLIO'!$S$4:$S$564),
0
)
),
0)</f>
        <v/>
      </c>
      <c r="O71" s="49">
        <f>N71/$N$4</f>
        <v/>
      </c>
      <c r="P71" s="49">
        <f t="array" ref="P71">IFERROR(
SUM(
IF(
'PORTIFÓLIO'!$C$4:$C$564=$A71,
N(INDEX('PORTIFÓLIO'!$J$4:$Q$564,,MATCH(P$2,'PORTIFÓLIO'!$J$3:$Q$3,0))) *
N('PORTIFÓLIO'!$S$4:$S$564),
0
)
),
0)</f>
        <v/>
      </c>
      <c r="Q71" s="49">
        <f>P71/$P$4</f>
        <v/>
      </c>
      <c r="R71" s="49">
        <f>SUM(P71,N71,L71,J71,H71,D71,B71)</f>
        <v/>
      </c>
      <c r="S71" s="49">
        <f>R71/$R$4</f>
        <v/>
      </c>
    </row>
    <row r="72" hidden="1" outlineLevel="1" ht="15.75" customHeight="1" s="297">
      <c r="A72" s="48">
        <f>IFERROR(__xludf.DUMMYFUNCTION("""COMPUTED_VALUE"""),"ARKEIRO NORTOX")</f>
        <v/>
      </c>
      <c r="B72" s="49">
        <f t="array" ref="B72">IFERROR(
SUM(
IF(
'PORTIFÓLIO'!$C$4:$C$564=$A72,
N(INDEX('PORTIFÓLIO'!$J$4:$Q$564,,MATCH(B$2,'PORTIFÓLIO'!$J$3:$Q$3,0))) *
N('PORTIFÓLIO'!$S$4:$S$564),
0
)
),
0)</f>
        <v/>
      </c>
      <c r="C72" s="49">
        <f>B72/$B$4</f>
        <v/>
      </c>
      <c r="D72" s="49">
        <f t="array" ref="D72">IFERROR(
SUM(
IF(
'PORTIFÓLIO'!$C$4:$C$564=$A72,
N(INDEX('PORTIFÓLIO'!$J$4:$Q$564,,MATCH(D$2,'PORTIFÓLIO'!$J$3:$Q$3,0))) *
N('PORTIFÓLIO'!$S$4:$S$564),
0
)
),
0)</f>
        <v/>
      </c>
      <c r="E72" s="49">
        <f>D72/$D$4</f>
        <v/>
      </c>
      <c r="F72" s="49">
        <f t="array" ref="F72">IFERROR(
SUM(
IF(
'PORTIFÓLIO'!$C$4:$C$564=$A72,
N(INDEX('PORTIFÓLIO'!$J$4:$Q$564,,MATCH(F$2,'PORTIFÓLIO'!$J$3:$Q$3,0))) *
N('PORTIFÓLIO'!$S$4:$S$564),
0
)
),
0)</f>
        <v/>
      </c>
      <c r="G72" s="47">
        <f>F72/$F$4</f>
        <v/>
      </c>
      <c r="H72" s="49">
        <f t="array" ref="H72">IFERROR(
SUM(
IF(
'PORTIFÓLIO'!$C$4:$C$564=$A72,
N(INDEX('PORTIFÓLIO'!$J$4:$Q$564,,MATCH(H$2,'PORTIFÓLIO'!$J$3:$Q$3,0))) *
N('PORTIFÓLIO'!$S$4:$S$564),
0
)
),
0)</f>
        <v/>
      </c>
      <c r="I72" s="47">
        <f>H72/$H$4</f>
        <v/>
      </c>
      <c r="J72" s="49">
        <f t="array" ref="J72">IFERROR(
SUM(
IF(
'PORTIFÓLIO'!$C$4:$C$564=$A72,
N(INDEX('PORTIFÓLIO'!$J$4:$Q$564,,MATCH(J$2,'PORTIFÓLIO'!$J$3:$Q$3,0))) *
N('PORTIFÓLIO'!$S$4:$S$564),
0
)
),
0)</f>
        <v/>
      </c>
      <c r="K72" s="47">
        <f>J72/$J$4</f>
        <v/>
      </c>
      <c r="L72" s="49">
        <f t="array" ref="L72">IFERROR(
SUM(
IF(
'PORTIFÓLIO'!$C$4:$C$564=$A72,
N(INDEX('PORTIFÓLIO'!$J$4:$Q$564,,MATCH(L$2,'PORTIFÓLIO'!$J$3:$Q$3,0))) *
N('PORTIFÓLIO'!$S$4:$S$564),
0
)
),
0)</f>
        <v/>
      </c>
      <c r="M72" s="47">
        <f>L72/$L$4</f>
        <v/>
      </c>
      <c r="N72" s="49">
        <f t="array" ref="N72">IFERROR(
SUM(
IF(
'PORTIFÓLIO'!$C$4:$C$564=$A72,
N(INDEX('PORTIFÓLIO'!$J$4:$Q$564,,MATCH(N$2,'PORTIFÓLIO'!$J$3:$Q$3,0))) *
N('PORTIFÓLIO'!$S$4:$S$564),
0
)
),
0)</f>
        <v/>
      </c>
      <c r="O72" s="49">
        <f>N72/$N$4</f>
        <v/>
      </c>
      <c r="P72" s="49">
        <f t="array" ref="P72">IFERROR(
SUM(
IF(
'PORTIFÓLIO'!$C$4:$C$564=$A72,
N(INDEX('PORTIFÓLIO'!$J$4:$Q$564,,MATCH(P$2,'PORTIFÓLIO'!$J$3:$Q$3,0))) *
N('PORTIFÓLIO'!$S$4:$S$564),
0
)
),
0)</f>
        <v/>
      </c>
      <c r="Q72" s="49">
        <f>P72/$P$4</f>
        <v/>
      </c>
      <c r="R72" s="49">
        <f>SUM(P72,N72,L72,J72,H72,D72,B72)</f>
        <v/>
      </c>
      <c r="S72" s="49">
        <f>R72/$R$4</f>
        <v/>
      </c>
    </row>
    <row r="73" hidden="1" outlineLevel="1" ht="15.75" customHeight="1" s="297">
      <c r="A73" s="48">
        <f>IFERROR(__xludf.DUMMYFUNCTION("""COMPUTED_VALUE"""),"CLETODIM OLEUM NORTOX")</f>
        <v/>
      </c>
      <c r="B73" s="49">
        <f t="array" ref="B73">IFERROR(
SUM(
IF(
'PORTIFÓLIO'!$C$4:$C$564=$A73,
N(INDEX('PORTIFÓLIO'!$J$4:$Q$564,,MATCH(B$2,'PORTIFÓLIO'!$J$3:$Q$3,0))) *
N('PORTIFÓLIO'!$S$4:$S$564),
0
)
),
0)</f>
        <v/>
      </c>
      <c r="C73" s="49">
        <f>B73/$B$4</f>
        <v/>
      </c>
      <c r="D73" s="49">
        <f t="array" ref="D73">IFERROR(
SUM(
IF(
'PORTIFÓLIO'!$C$4:$C$564=$A73,
N(INDEX('PORTIFÓLIO'!$J$4:$Q$564,,MATCH(D$2,'PORTIFÓLIO'!$J$3:$Q$3,0))) *
N('PORTIFÓLIO'!$S$4:$S$564),
0
)
),
0)</f>
        <v/>
      </c>
      <c r="E73" s="49">
        <f>D73/$D$4</f>
        <v/>
      </c>
      <c r="F73" s="49">
        <f t="array" ref="F73">IFERROR(
SUM(
IF(
'PORTIFÓLIO'!$C$4:$C$564=$A73,
N(INDEX('PORTIFÓLIO'!$J$4:$Q$564,,MATCH(F$2,'PORTIFÓLIO'!$J$3:$Q$3,0))) *
N('PORTIFÓLIO'!$S$4:$S$564),
0
)
),
0)</f>
        <v/>
      </c>
      <c r="G73" s="47">
        <f>F73/$F$4</f>
        <v/>
      </c>
      <c r="H73" s="49">
        <f t="array" ref="H73">IFERROR(
SUM(
IF(
'PORTIFÓLIO'!$C$4:$C$564=$A73,
N(INDEX('PORTIFÓLIO'!$J$4:$Q$564,,MATCH(H$2,'PORTIFÓLIO'!$J$3:$Q$3,0))) *
N('PORTIFÓLIO'!$S$4:$S$564),
0
)
),
0)</f>
        <v/>
      </c>
      <c r="I73" s="47">
        <f>H73/$H$4</f>
        <v/>
      </c>
      <c r="J73" s="49">
        <f t="array" ref="J73">IFERROR(
SUM(
IF(
'PORTIFÓLIO'!$C$4:$C$564=$A73,
N(INDEX('PORTIFÓLIO'!$J$4:$Q$564,,MATCH(J$2,'PORTIFÓLIO'!$J$3:$Q$3,0))) *
N('PORTIFÓLIO'!$S$4:$S$564),
0
)
),
0)</f>
        <v/>
      </c>
      <c r="K73" s="47">
        <f>J73/$J$4</f>
        <v/>
      </c>
      <c r="L73" s="49">
        <f t="array" ref="L73">IFERROR(
SUM(
IF(
'PORTIFÓLIO'!$C$4:$C$564=$A73,
N(INDEX('PORTIFÓLIO'!$J$4:$Q$564,,MATCH(L$2,'PORTIFÓLIO'!$J$3:$Q$3,0))) *
N('PORTIFÓLIO'!$S$4:$S$564),
0
)
),
0)</f>
        <v/>
      </c>
      <c r="M73" s="47">
        <f>L73/$L$4</f>
        <v/>
      </c>
      <c r="N73" s="49">
        <f t="array" ref="N73">IFERROR(
SUM(
IF(
'PORTIFÓLIO'!$C$4:$C$564=$A73,
N(INDEX('PORTIFÓLIO'!$J$4:$Q$564,,MATCH(N$2,'PORTIFÓLIO'!$J$3:$Q$3,0))) *
N('PORTIFÓLIO'!$S$4:$S$564),
0
)
),
0)</f>
        <v/>
      </c>
      <c r="O73" s="49">
        <f>N73/$N$4</f>
        <v/>
      </c>
      <c r="P73" s="49">
        <f t="array" ref="P73">IFERROR(
SUM(
IF(
'PORTIFÓLIO'!$C$4:$C$564=$A73,
N(INDEX('PORTIFÓLIO'!$J$4:$Q$564,,MATCH(P$2,'PORTIFÓLIO'!$J$3:$Q$3,0))) *
N('PORTIFÓLIO'!$S$4:$S$564),
0
)
),
0)</f>
        <v/>
      </c>
      <c r="Q73" s="49">
        <f>P73/$P$4</f>
        <v/>
      </c>
      <c r="R73" s="49">
        <f>SUM(P73,N73,L73,J73,H73,D73,B73)</f>
        <v/>
      </c>
      <c r="S73" s="49">
        <f>R73/$R$4</f>
        <v/>
      </c>
    </row>
    <row r="74" hidden="1" outlineLevel="1" ht="15.75" customHeight="1" s="297">
      <c r="A74" s="48">
        <f>IFERROR(__xludf.DUMMYFUNCTION("""COMPUTED_VALUE"""),"CLORIMUROM MAX NORTOX")</f>
        <v/>
      </c>
      <c r="B74" s="49">
        <f t="array" ref="B74">IFERROR(
SUM(
IF(
'PORTIFÓLIO'!$C$4:$C$564=$A74,
N(INDEX('PORTIFÓLIO'!$J$4:$Q$564,,MATCH(B$2,'PORTIFÓLIO'!$J$3:$Q$3,0))) *
N('PORTIFÓLIO'!$S$4:$S$564),
0
)
),
0)</f>
        <v/>
      </c>
      <c r="C74" s="49">
        <f>B74/$B$4</f>
        <v/>
      </c>
      <c r="D74" s="49">
        <f t="array" ref="D74">IFERROR(
SUM(
IF(
'PORTIFÓLIO'!$C$4:$C$564=$A74,
N(INDEX('PORTIFÓLIO'!$J$4:$Q$564,,MATCH(D$2,'PORTIFÓLIO'!$J$3:$Q$3,0))) *
N('PORTIFÓLIO'!$S$4:$S$564),
0
)
),
0)</f>
        <v/>
      </c>
      <c r="E74" s="49">
        <f>D74/$D$4</f>
        <v/>
      </c>
      <c r="F74" s="49">
        <f t="array" ref="F74">IFERROR(
SUM(
IF(
'PORTIFÓLIO'!$C$4:$C$564=$A74,
N(INDEX('PORTIFÓLIO'!$J$4:$Q$564,,MATCH(F$2,'PORTIFÓLIO'!$J$3:$Q$3,0))) *
N('PORTIFÓLIO'!$S$4:$S$564),
0
)
),
0)</f>
        <v/>
      </c>
      <c r="G74" s="47">
        <f>F74/$F$4</f>
        <v/>
      </c>
      <c r="H74" s="49">
        <f t="array" ref="H74">IFERROR(
SUM(
IF(
'PORTIFÓLIO'!$C$4:$C$564=$A74,
N(INDEX('PORTIFÓLIO'!$J$4:$Q$564,,MATCH(H$2,'PORTIFÓLIO'!$J$3:$Q$3,0))) *
N('PORTIFÓLIO'!$S$4:$S$564),
0
)
),
0)</f>
        <v/>
      </c>
      <c r="I74" s="47">
        <f>H74/$H$4</f>
        <v/>
      </c>
      <c r="J74" s="49">
        <f t="array" ref="J74">IFERROR(
SUM(
IF(
'PORTIFÓLIO'!$C$4:$C$564=$A74,
N(INDEX('PORTIFÓLIO'!$J$4:$Q$564,,MATCH(J$2,'PORTIFÓLIO'!$J$3:$Q$3,0))) *
N('PORTIFÓLIO'!$S$4:$S$564),
0
)
),
0)</f>
        <v/>
      </c>
      <c r="K74" s="47">
        <f>J74/$J$4</f>
        <v/>
      </c>
      <c r="L74" s="49">
        <f t="array" ref="L74">IFERROR(
SUM(
IF(
'PORTIFÓLIO'!$C$4:$C$564=$A74,
N(INDEX('PORTIFÓLIO'!$J$4:$Q$564,,MATCH(L$2,'PORTIFÓLIO'!$J$3:$Q$3,0))) *
N('PORTIFÓLIO'!$S$4:$S$564),
0
)
),
0)</f>
        <v/>
      </c>
      <c r="M74" s="47">
        <f>L74/$L$4</f>
        <v/>
      </c>
      <c r="N74" s="49">
        <f t="array" ref="N74">IFERROR(
SUM(
IF(
'PORTIFÓLIO'!$C$4:$C$564=$A74,
N(INDEX('PORTIFÓLIO'!$J$4:$Q$564,,MATCH(N$2,'PORTIFÓLIO'!$J$3:$Q$3,0))) *
N('PORTIFÓLIO'!$S$4:$S$564),
0
)
),
0)</f>
        <v/>
      </c>
      <c r="O74" s="49">
        <f>N74/$N$4</f>
        <v/>
      </c>
      <c r="P74" s="49">
        <f t="array" ref="P74">IFERROR(
SUM(
IF(
'PORTIFÓLIO'!$C$4:$C$564=$A74,
N(INDEX('PORTIFÓLIO'!$J$4:$Q$564,,MATCH(P$2,'PORTIFÓLIO'!$J$3:$Q$3,0))) *
N('PORTIFÓLIO'!$S$4:$S$564),
0
)
),
0)</f>
        <v/>
      </c>
      <c r="Q74" s="49">
        <f>P74/$P$4</f>
        <v/>
      </c>
      <c r="R74" s="49">
        <f>SUM(P74,N74,L74,J74,H74,D74,B74)</f>
        <v/>
      </c>
      <c r="S74" s="49">
        <f>R74/$R$4</f>
        <v/>
      </c>
    </row>
    <row r="75" hidden="1" outlineLevel="1" ht="15.75" customHeight="1" s="297">
      <c r="A75" s="48">
        <f>IFERROR(__xludf.DUMMYFUNCTION("""COMPUTED_VALUE"""),"FLUROXIPIR NORTOX")</f>
        <v/>
      </c>
      <c r="B75" s="49">
        <f t="array" ref="B75">IFERROR(
SUM(
IF(
'PORTIFÓLIO'!$C$4:$C$564=$A75,
N(INDEX('PORTIFÓLIO'!$J$4:$Q$564,,MATCH(B$2,'PORTIFÓLIO'!$J$3:$Q$3,0))) *
N('PORTIFÓLIO'!$S$4:$S$564),
0
)
),
0)</f>
        <v/>
      </c>
      <c r="C75" s="49">
        <f>B75/$B$4</f>
        <v/>
      </c>
      <c r="D75" s="49">
        <f t="array" ref="D75">IFERROR(
SUM(
IF(
'PORTIFÓLIO'!$C$4:$C$564=$A75,
N(INDEX('PORTIFÓLIO'!$J$4:$Q$564,,MATCH(D$2,'PORTIFÓLIO'!$J$3:$Q$3,0))) *
N('PORTIFÓLIO'!$S$4:$S$564),
0
)
),
0)</f>
        <v/>
      </c>
      <c r="E75" s="49">
        <f>D75/$D$4</f>
        <v/>
      </c>
      <c r="F75" s="49">
        <f t="array" ref="F75">IFERROR(
SUM(
IF(
'PORTIFÓLIO'!$C$4:$C$564=$A75,
N(INDEX('PORTIFÓLIO'!$J$4:$Q$564,,MATCH(F$2,'PORTIFÓLIO'!$J$3:$Q$3,0))) *
N('PORTIFÓLIO'!$S$4:$S$564),
0
)
),
0)</f>
        <v/>
      </c>
      <c r="G75" s="47">
        <f>F75/$F$4</f>
        <v/>
      </c>
      <c r="H75" s="49">
        <f t="array" ref="H75">IFERROR(
SUM(
IF(
'PORTIFÓLIO'!$C$4:$C$564=$A75,
N(INDEX('PORTIFÓLIO'!$J$4:$Q$564,,MATCH(H$2,'PORTIFÓLIO'!$J$3:$Q$3,0))) *
N('PORTIFÓLIO'!$S$4:$S$564),
0
)
),
0)</f>
        <v/>
      </c>
      <c r="I75" s="47">
        <f>H75/$H$4</f>
        <v/>
      </c>
      <c r="J75" s="49">
        <f t="array" ref="J75">IFERROR(
SUM(
IF(
'PORTIFÓLIO'!$C$4:$C$564=$A75,
N(INDEX('PORTIFÓLIO'!$J$4:$Q$564,,MATCH(J$2,'PORTIFÓLIO'!$J$3:$Q$3,0))) *
N('PORTIFÓLIO'!$S$4:$S$564),
0
)
),
0)</f>
        <v/>
      </c>
      <c r="K75" s="47">
        <f>J75/$J$4</f>
        <v/>
      </c>
      <c r="L75" s="49">
        <f t="array" ref="L75">IFERROR(
SUM(
IF(
'PORTIFÓLIO'!$C$4:$C$564=$A75,
N(INDEX('PORTIFÓLIO'!$J$4:$Q$564,,MATCH(L$2,'PORTIFÓLIO'!$J$3:$Q$3,0))) *
N('PORTIFÓLIO'!$S$4:$S$564),
0
)
),
0)</f>
        <v/>
      </c>
      <c r="M75" s="47">
        <f>L75/$L$4</f>
        <v/>
      </c>
      <c r="N75" s="49">
        <f t="array" ref="N75">IFERROR(
SUM(
IF(
'PORTIFÓLIO'!$C$4:$C$564=$A75,
N(INDEX('PORTIFÓLIO'!$J$4:$Q$564,,MATCH(N$2,'PORTIFÓLIO'!$J$3:$Q$3,0))) *
N('PORTIFÓLIO'!$S$4:$S$564),
0
)
),
0)</f>
        <v/>
      </c>
      <c r="O75" s="49">
        <f>N75/$N$4</f>
        <v/>
      </c>
      <c r="P75" s="49">
        <f t="array" ref="P75">IFERROR(
SUM(
IF(
'PORTIFÓLIO'!$C$4:$C$564=$A75,
N(INDEX('PORTIFÓLIO'!$J$4:$Q$564,,MATCH(P$2,'PORTIFÓLIO'!$J$3:$Q$3,0))) *
N('PORTIFÓLIO'!$S$4:$S$564),
0
)
),
0)</f>
        <v/>
      </c>
      <c r="Q75" s="49">
        <f>P75/$P$4</f>
        <v/>
      </c>
      <c r="R75" s="49">
        <f>SUM(P75,N75,L75,J75,H75,D75,B75)</f>
        <v/>
      </c>
      <c r="S75" s="49">
        <f>R75/$R$4</f>
        <v/>
      </c>
    </row>
    <row r="76" hidden="1" outlineLevel="1" ht="15.75" customHeight="1" s="297">
      <c r="A76" s="48">
        <f>IFERROR(__xludf.DUMMYFUNCTION("""COMPUTED_VALUE"""),"GLUFOSINATO NORTOX 880 SG")</f>
        <v/>
      </c>
      <c r="B76" s="49">
        <f t="array" ref="B76">IFERROR(
SUM(
IF(
'PORTIFÓLIO'!$C$4:$C$564=$A76,
N(INDEX('PORTIFÓLIO'!$J$4:$Q$564,,MATCH(B$2,'PORTIFÓLIO'!$J$3:$Q$3,0))) *
N('PORTIFÓLIO'!$S$4:$S$564),
0
)
),
0)</f>
        <v/>
      </c>
      <c r="C76" s="49">
        <f>B76/$B$4</f>
        <v/>
      </c>
      <c r="D76" s="49">
        <f t="array" ref="D76">IFERROR(
SUM(
IF(
'PORTIFÓLIO'!$C$4:$C$564=$A76,
N(INDEX('PORTIFÓLIO'!$J$4:$Q$564,,MATCH(D$2,'PORTIFÓLIO'!$J$3:$Q$3,0))) *
N('PORTIFÓLIO'!$S$4:$S$564),
0
)
),
0)</f>
        <v/>
      </c>
      <c r="E76" s="49">
        <f>D76/$D$4</f>
        <v/>
      </c>
      <c r="F76" s="49">
        <f t="array" ref="F76">IFERROR(
SUM(
IF(
'PORTIFÓLIO'!$C$4:$C$564=$A76,
N(INDEX('PORTIFÓLIO'!$J$4:$Q$564,,MATCH(F$2,'PORTIFÓLIO'!$J$3:$Q$3,0))) *
N('PORTIFÓLIO'!$S$4:$S$564),
0
)
),
0)</f>
        <v/>
      </c>
      <c r="G76" s="47">
        <f>F76/$F$4</f>
        <v/>
      </c>
      <c r="H76" s="49">
        <f t="array" ref="H76">IFERROR(
SUM(
IF(
'PORTIFÓLIO'!$C$4:$C$564=$A76,
N(INDEX('PORTIFÓLIO'!$J$4:$Q$564,,MATCH(H$2,'PORTIFÓLIO'!$J$3:$Q$3,0))) *
N('PORTIFÓLIO'!$S$4:$S$564),
0
)
),
0)</f>
        <v/>
      </c>
      <c r="I76" s="47">
        <f>H76/$H$4</f>
        <v/>
      </c>
      <c r="J76" s="49">
        <f t="array" ref="J76">IFERROR(
SUM(
IF(
'PORTIFÓLIO'!$C$4:$C$564=$A76,
N(INDEX('PORTIFÓLIO'!$J$4:$Q$564,,MATCH(J$2,'PORTIFÓLIO'!$J$3:$Q$3,0))) *
N('PORTIFÓLIO'!$S$4:$S$564),
0
)
),
0)</f>
        <v/>
      </c>
      <c r="K76" s="47">
        <f>J76/$J$4</f>
        <v/>
      </c>
      <c r="L76" s="49">
        <f t="array" ref="L76">IFERROR(
SUM(
IF(
'PORTIFÓLIO'!$C$4:$C$564=$A76,
N(INDEX('PORTIFÓLIO'!$J$4:$Q$564,,MATCH(L$2,'PORTIFÓLIO'!$J$3:$Q$3,0))) *
N('PORTIFÓLIO'!$S$4:$S$564),
0
)
),
0)</f>
        <v/>
      </c>
      <c r="M76" s="47">
        <f>L76/$L$4</f>
        <v/>
      </c>
      <c r="N76" s="49">
        <f t="array" ref="N76">IFERROR(
SUM(
IF(
'PORTIFÓLIO'!$C$4:$C$564=$A76,
N(INDEX('PORTIFÓLIO'!$J$4:$Q$564,,MATCH(N$2,'PORTIFÓLIO'!$J$3:$Q$3,0))) *
N('PORTIFÓLIO'!$S$4:$S$564),
0
)
),
0)</f>
        <v/>
      </c>
      <c r="O76" s="49">
        <f>N76/$N$4</f>
        <v/>
      </c>
      <c r="P76" s="49">
        <f t="array" ref="P76">IFERROR(
SUM(
IF(
'PORTIFÓLIO'!$C$4:$C$564=$A76,
N(INDEX('PORTIFÓLIO'!$J$4:$Q$564,,MATCH(P$2,'PORTIFÓLIO'!$J$3:$Q$3,0))) *
N('PORTIFÓLIO'!$S$4:$S$564),
0
)
),
0)</f>
        <v/>
      </c>
      <c r="Q76" s="49">
        <f>P76/$P$4</f>
        <v/>
      </c>
      <c r="R76" s="49">
        <f>SUM(P76,N76,L76,J76,H76,D76,B76)</f>
        <v/>
      </c>
      <c r="S76" s="49">
        <f>R76/$R$4</f>
        <v/>
      </c>
    </row>
    <row r="77" hidden="1" outlineLevel="1" ht="15.75" customHeight="1" s="297">
      <c r="A77" s="48">
        <f>IFERROR(__xludf.DUMMYFUNCTION("""COMPUTED_VALUE"""),"IMAZETAPIR NORTOX")</f>
        <v/>
      </c>
      <c r="B77" s="49">
        <f t="array" ref="B77">IFERROR(
SUM(
IF(
'PORTIFÓLIO'!$C$4:$C$564=$A77,
N(INDEX('PORTIFÓLIO'!$J$4:$Q$564,,MATCH(B$2,'PORTIFÓLIO'!$J$3:$Q$3,0))) *
N('PORTIFÓLIO'!$S$4:$S$564),
0
)
),
0)</f>
        <v/>
      </c>
      <c r="C77" s="49">
        <f>B77/$B$4</f>
        <v/>
      </c>
      <c r="D77" s="49">
        <f t="array" ref="D77">IFERROR(
SUM(
IF(
'PORTIFÓLIO'!$C$4:$C$564=$A77,
N(INDEX('PORTIFÓLIO'!$J$4:$Q$564,,MATCH(D$2,'PORTIFÓLIO'!$J$3:$Q$3,0))) *
N('PORTIFÓLIO'!$S$4:$S$564),
0
)
),
0)</f>
        <v/>
      </c>
      <c r="E77" s="49">
        <f>D77/$D$4</f>
        <v/>
      </c>
      <c r="F77" s="49">
        <f t="array" ref="F77">IFERROR(
SUM(
IF(
'PORTIFÓLIO'!$C$4:$C$564=$A77,
N(INDEX('PORTIFÓLIO'!$J$4:$Q$564,,MATCH(F$2,'PORTIFÓLIO'!$J$3:$Q$3,0))) *
N('PORTIFÓLIO'!$S$4:$S$564),
0
)
),
0)</f>
        <v/>
      </c>
      <c r="G77" s="47">
        <f>F77/$F$4</f>
        <v/>
      </c>
      <c r="H77" s="49">
        <f t="array" ref="H77">IFERROR(
SUM(
IF(
'PORTIFÓLIO'!$C$4:$C$564=$A77,
N(INDEX('PORTIFÓLIO'!$J$4:$Q$564,,MATCH(H$2,'PORTIFÓLIO'!$J$3:$Q$3,0))) *
N('PORTIFÓLIO'!$S$4:$S$564),
0
)
),
0)</f>
        <v/>
      </c>
      <c r="I77" s="47">
        <f>H77/$H$4</f>
        <v/>
      </c>
      <c r="J77" s="49">
        <f t="array" ref="J77">IFERROR(
SUM(
IF(
'PORTIFÓLIO'!$C$4:$C$564=$A77,
N(INDEX('PORTIFÓLIO'!$J$4:$Q$564,,MATCH(J$2,'PORTIFÓLIO'!$J$3:$Q$3,0))) *
N('PORTIFÓLIO'!$S$4:$S$564),
0
)
),
0)</f>
        <v/>
      </c>
      <c r="K77" s="47">
        <f>J77/$J$4</f>
        <v/>
      </c>
      <c r="L77" s="49">
        <f t="array" ref="L77">IFERROR(
SUM(
IF(
'PORTIFÓLIO'!$C$4:$C$564=$A77,
N(INDEX('PORTIFÓLIO'!$J$4:$Q$564,,MATCH(L$2,'PORTIFÓLIO'!$J$3:$Q$3,0))) *
N('PORTIFÓLIO'!$S$4:$S$564),
0
)
),
0)</f>
        <v/>
      </c>
      <c r="M77" s="47">
        <f>L77/$L$4</f>
        <v/>
      </c>
      <c r="N77" s="49">
        <f t="array" ref="N77">IFERROR(
SUM(
IF(
'PORTIFÓLIO'!$C$4:$C$564=$A77,
N(INDEX('PORTIFÓLIO'!$J$4:$Q$564,,MATCH(N$2,'PORTIFÓLIO'!$J$3:$Q$3,0))) *
N('PORTIFÓLIO'!$S$4:$S$564),
0
)
),
0)</f>
        <v/>
      </c>
      <c r="O77" s="49">
        <f>N77/$N$4</f>
        <v/>
      </c>
      <c r="P77" s="49">
        <f t="array" ref="P77">IFERROR(
SUM(
IF(
'PORTIFÓLIO'!$C$4:$C$564=$A77,
N(INDEX('PORTIFÓLIO'!$J$4:$Q$564,,MATCH(P$2,'PORTIFÓLIO'!$J$3:$Q$3,0))) *
N('PORTIFÓLIO'!$S$4:$S$564),
0
)
),
0)</f>
        <v/>
      </c>
      <c r="Q77" s="49">
        <f>P77/$P$4</f>
        <v/>
      </c>
      <c r="R77" s="49">
        <f>SUM(P77,N77,L77,J77,H77,D77,B77)</f>
        <v/>
      </c>
      <c r="S77" s="49">
        <f>R77/$R$4</f>
        <v/>
      </c>
    </row>
    <row r="78" hidden="1" outlineLevel="1" ht="15.75" customHeight="1" s="297">
      <c r="A78" s="48">
        <f>IFERROR(__xludf.DUMMYFUNCTION("""COMPUTED_VALUE"""),"MESOTRIONA NORTOX")</f>
        <v/>
      </c>
      <c r="B78" s="49">
        <f t="array" ref="B78">IFERROR(
SUM(
IF(
'PORTIFÓLIO'!$C$4:$C$564=$A78,
N(INDEX('PORTIFÓLIO'!$J$4:$Q$564,,MATCH(B$2,'PORTIFÓLIO'!$J$3:$Q$3,0))) *
N('PORTIFÓLIO'!$S$4:$S$564),
0
)
),
0)</f>
        <v/>
      </c>
      <c r="C78" s="49">
        <f>B78/$B$4</f>
        <v/>
      </c>
      <c r="D78" s="49">
        <f t="array" ref="D78">IFERROR(
SUM(
IF(
'PORTIFÓLIO'!$C$4:$C$564=$A78,
N(INDEX('PORTIFÓLIO'!$J$4:$Q$564,,MATCH(D$2,'PORTIFÓLIO'!$J$3:$Q$3,0))) *
N('PORTIFÓLIO'!$S$4:$S$564),
0
)
),
0)</f>
        <v/>
      </c>
      <c r="E78" s="49">
        <f>D78/$D$4</f>
        <v/>
      </c>
      <c r="F78" s="49">
        <f t="array" ref="F78">IFERROR(
SUM(
IF(
'PORTIFÓLIO'!$C$4:$C$564=$A78,
N(INDEX('PORTIFÓLIO'!$J$4:$Q$564,,MATCH(F$2,'PORTIFÓLIO'!$J$3:$Q$3,0))) *
N('PORTIFÓLIO'!$S$4:$S$564),
0
)
),
0)</f>
        <v/>
      </c>
      <c r="G78" s="47">
        <f>F78/$F$4</f>
        <v/>
      </c>
      <c r="H78" s="49">
        <f t="array" ref="H78">IFERROR(
SUM(
IF(
'PORTIFÓLIO'!$C$4:$C$564=$A78,
N(INDEX('PORTIFÓLIO'!$J$4:$Q$564,,MATCH(H$2,'PORTIFÓLIO'!$J$3:$Q$3,0))) *
N('PORTIFÓLIO'!$S$4:$S$564),
0
)
),
0)</f>
        <v/>
      </c>
      <c r="I78" s="47">
        <f>H78/$H$4</f>
        <v/>
      </c>
      <c r="J78" s="49">
        <f t="array" ref="J78">IFERROR(
SUM(
IF(
'PORTIFÓLIO'!$C$4:$C$564=$A78,
N(INDEX('PORTIFÓLIO'!$J$4:$Q$564,,MATCH(J$2,'PORTIFÓLIO'!$J$3:$Q$3,0))) *
N('PORTIFÓLIO'!$S$4:$S$564),
0
)
),
0)</f>
        <v/>
      </c>
      <c r="K78" s="47">
        <f>J78/$J$4</f>
        <v/>
      </c>
      <c r="L78" s="49">
        <f t="array" ref="L78">IFERROR(
SUM(
IF(
'PORTIFÓLIO'!$C$4:$C$564=$A78,
N(INDEX('PORTIFÓLIO'!$J$4:$Q$564,,MATCH(L$2,'PORTIFÓLIO'!$J$3:$Q$3,0))) *
N('PORTIFÓLIO'!$S$4:$S$564),
0
)
),
0)</f>
        <v/>
      </c>
      <c r="M78" s="47">
        <f>L78/$L$4</f>
        <v/>
      </c>
      <c r="N78" s="49">
        <f t="array" ref="N78">IFERROR(
SUM(
IF(
'PORTIFÓLIO'!$C$4:$C$564=$A78,
N(INDEX('PORTIFÓLIO'!$J$4:$Q$564,,MATCH(N$2,'PORTIFÓLIO'!$J$3:$Q$3,0))) *
N('PORTIFÓLIO'!$S$4:$S$564),
0
)
),
0)</f>
        <v/>
      </c>
      <c r="O78" s="49">
        <f>N78/$N$4</f>
        <v/>
      </c>
      <c r="P78" s="49">
        <f t="array" ref="P78">IFERROR(
SUM(
IF(
'PORTIFÓLIO'!$C$4:$C$564=$A78,
N(INDEX('PORTIFÓLIO'!$J$4:$Q$564,,MATCH(P$2,'PORTIFÓLIO'!$J$3:$Q$3,0))) *
N('PORTIFÓLIO'!$S$4:$S$564),
0
)
),
0)</f>
        <v/>
      </c>
      <c r="Q78" s="49">
        <f>P78/$P$4</f>
        <v/>
      </c>
      <c r="R78" s="49">
        <f>SUM(P78,N78,L78,J78,H78,D78,B78)</f>
        <v/>
      </c>
      <c r="S78" s="49">
        <f>R78/$R$4</f>
        <v/>
      </c>
    </row>
    <row r="79" hidden="1" outlineLevel="1" ht="15.75" customHeight="1" s="297">
      <c r="A79" s="48">
        <f>IFERROR(__xludf.DUMMYFUNCTION("""COMPUTED_VALUE"""),"TRIFLURALINA NORTOX GOLD")</f>
        <v/>
      </c>
      <c r="B79" s="49">
        <f t="array" ref="B79">IFERROR(
SUM(
IF(
'PORTIFÓLIO'!$C$4:$C$564=$A79,
N(INDEX('PORTIFÓLIO'!$J$4:$Q$564,,MATCH(B$2,'PORTIFÓLIO'!$J$3:$Q$3,0))) *
N('PORTIFÓLIO'!$S$4:$S$564),
0
)
),
0)</f>
        <v/>
      </c>
      <c r="C79" s="49">
        <f>B79/$B$4</f>
        <v/>
      </c>
      <c r="D79" s="49">
        <f t="array" ref="D79">IFERROR(
SUM(
IF(
'PORTIFÓLIO'!$C$4:$C$564=$A79,
N(INDEX('PORTIFÓLIO'!$J$4:$Q$564,,MATCH(D$2,'PORTIFÓLIO'!$J$3:$Q$3,0))) *
N('PORTIFÓLIO'!$S$4:$S$564),
0
)
),
0)</f>
        <v/>
      </c>
      <c r="E79" s="49">
        <f>D79/$D$4</f>
        <v/>
      </c>
      <c r="F79" s="49">
        <f t="array" ref="F79">IFERROR(
SUM(
IF(
'PORTIFÓLIO'!$C$4:$C$564=$A79,
N(INDEX('PORTIFÓLIO'!$J$4:$Q$564,,MATCH(F$2,'PORTIFÓLIO'!$J$3:$Q$3,0))) *
N('PORTIFÓLIO'!$S$4:$S$564),
0
)
),
0)</f>
        <v/>
      </c>
      <c r="G79" s="47">
        <f>F79/$F$4</f>
        <v/>
      </c>
      <c r="H79" s="49">
        <f t="array" ref="H79">IFERROR(
SUM(
IF(
'PORTIFÓLIO'!$C$4:$C$564=$A79,
N(INDEX('PORTIFÓLIO'!$J$4:$Q$564,,MATCH(H$2,'PORTIFÓLIO'!$J$3:$Q$3,0))) *
N('PORTIFÓLIO'!$S$4:$S$564),
0
)
),
0)</f>
        <v/>
      </c>
      <c r="I79" s="47">
        <f>H79/$H$4</f>
        <v/>
      </c>
      <c r="J79" s="49">
        <f t="array" ref="J79">IFERROR(
SUM(
IF(
'PORTIFÓLIO'!$C$4:$C$564=$A79,
N(INDEX('PORTIFÓLIO'!$J$4:$Q$564,,MATCH(J$2,'PORTIFÓLIO'!$J$3:$Q$3,0))) *
N('PORTIFÓLIO'!$S$4:$S$564),
0
)
),
0)</f>
        <v/>
      </c>
      <c r="K79" s="47">
        <f>J79/$J$4</f>
        <v/>
      </c>
      <c r="L79" s="49">
        <f t="array" ref="L79">IFERROR(
SUM(
IF(
'PORTIFÓLIO'!$C$4:$C$564=$A79,
N(INDEX('PORTIFÓLIO'!$J$4:$Q$564,,MATCH(L$2,'PORTIFÓLIO'!$J$3:$Q$3,0))) *
N('PORTIFÓLIO'!$S$4:$S$564),
0
)
),
0)</f>
        <v/>
      </c>
      <c r="M79" s="47">
        <f>L79/$L$4</f>
        <v/>
      </c>
      <c r="N79" s="49">
        <f t="array" ref="N79">IFERROR(
SUM(
IF(
'PORTIFÓLIO'!$C$4:$C$564=$A79,
N(INDEX('PORTIFÓLIO'!$J$4:$Q$564,,MATCH(N$2,'PORTIFÓLIO'!$J$3:$Q$3,0))) *
N('PORTIFÓLIO'!$S$4:$S$564),
0
)
),
0)</f>
        <v/>
      </c>
      <c r="O79" s="49">
        <f>N79/$N$4</f>
        <v/>
      </c>
      <c r="P79" s="49">
        <f t="array" ref="P79">IFERROR(
SUM(
IF(
'PORTIFÓLIO'!$C$4:$C$564=$A79,
N(INDEX('PORTIFÓLIO'!$J$4:$Q$564,,MATCH(P$2,'PORTIFÓLIO'!$J$3:$Q$3,0))) *
N('PORTIFÓLIO'!$S$4:$S$564),
0
)
),
0)</f>
        <v/>
      </c>
      <c r="Q79" s="49">
        <f>P79/$P$4</f>
        <v/>
      </c>
      <c r="R79" s="49">
        <f>SUM(P79,N79,L79,J79,H79,D79,B79)</f>
        <v/>
      </c>
      <c r="S79" s="49">
        <f>R79/$R$4</f>
        <v/>
      </c>
    </row>
    <row r="80" hidden="1" outlineLevel="1" ht="15.75" customHeight="1" s="297">
      <c r="A80" s="48">
        <f>IFERROR(__xludf.DUMMYFUNCTION("""COMPUTED_VALUE"""),"CLICK")</f>
        <v/>
      </c>
      <c r="B80" s="49">
        <f t="array" ref="B80">IFERROR(
SUM(
IF(
'PORTIFÓLIO'!$C$4:$C$564=$A80,
N(INDEX('PORTIFÓLIO'!$J$4:$Q$564,,MATCH(B$2,'PORTIFÓLIO'!$J$3:$Q$3,0))) *
N('PORTIFÓLIO'!$S$4:$S$564),
0
)
),
0)</f>
        <v/>
      </c>
      <c r="C80" s="49">
        <f>B80/$B$4</f>
        <v/>
      </c>
      <c r="D80" s="49">
        <f t="array" ref="D80">IFERROR(
SUM(
IF(
'PORTIFÓLIO'!$C$4:$C$564=$A80,
N(INDEX('PORTIFÓLIO'!$J$4:$Q$564,,MATCH(D$2,'PORTIFÓLIO'!$J$3:$Q$3,0))) *
N('PORTIFÓLIO'!$S$4:$S$564),
0
)
),
0)</f>
        <v/>
      </c>
      <c r="E80" s="49">
        <f>D80/$D$4</f>
        <v/>
      </c>
      <c r="F80" s="49">
        <f t="array" ref="F80">IFERROR(
SUM(
IF(
'PORTIFÓLIO'!$C$4:$C$564=$A80,
N(INDEX('PORTIFÓLIO'!$J$4:$Q$564,,MATCH(F$2,'PORTIFÓLIO'!$J$3:$Q$3,0))) *
N('PORTIFÓLIO'!$S$4:$S$564),
0
)
),
0)</f>
        <v/>
      </c>
      <c r="G80" s="47">
        <f>F80/$F$4</f>
        <v/>
      </c>
      <c r="H80" s="49">
        <f t="array" ref="H80">IFERROR(
SUM(
IF(
'PORTIFÓLIO'!$C$4:$C$564=$A80,
N(INDEX('PORTIFÓLIO'!$J$4:$Q$564,,MATCH(H$2,'PORTIFÓLIO'!$J$3:$Q$3,0))) *
N('PORTIFÓLIO'!$S$4:$S$564),
0
)
),
0)</f>
        <v/>
      </c>
      <c r="I80" s="47">
        <f>H80/$H$4</f>
        <v/>
      </c>
      <c r="J80" s="49">
        <f t="array" ref="J80">IFERROR(
SUM(
IF(
'PORTIFÓLIO'!$C$4:$C$564=$A80,
N(INDEX('PORTIFÓLIO'!$J$4:$Q$564,,MATCH(J$2,'PORTIFÓLIO'!$J$3:$Q$3,0))) *
N('PORTIFÓLIO'!$S$4:$S$564),
0
)
),
0)</f>
        <v/>
      </c>
      <c r="K80" s="47">
        <f>J80/$J$4</f>
        <v/>
      </c>
      <c r="L80" s="49">
        <f t="array" ref="L80">IFERROR(
SUM(
IF(
'PORTIFÓLIO'!$C$4:$C$564=$A80,
N(INDEX('PORTIFÓLIO'!$J$4:$Q$564,,MATCH(L$2,'PORTIFÓLIO'!$J$3:$Q$3,0))) *
N('PORTIFÓLIO'!$S$4:$S$564),
0
)
),
0)</f>
        <v/>
      </c>
      <c r="M80" s="47">
        <f>L80/$L$4</f>
        <v/>
      </c>
      <c r="N80" s="49">
        <f t="array" ref="N80">IFERROR(
SUM(
IF(
'PORTIFÓLIO'!$C$4:$C$564=$A80,
N(INDEX('PORTIFÓLIO'!$J$4:$Q$564,,MATCH(N$2,'PORTIFÓLIO'!$J$3:$Q$3,0))) *
N('PORTIFÓLIO'!$S$4:$S$564),
0
)
),
0)</f>
        <v/>
      </c>
      <c r="O80" s="49">
        <f>N80/$N$4</f>
        <v/>
      </c>
      <c r="P80" s="49">
        <f t="array" ref="P80">IFERROR(
SUM(
IF(
'PORTIFÓLIO'!$C$4:$C$564=$A80,
N(INDEX('PORTIFÓLIO'!$J$4:$Q$564,,MATCH(P$2,'PORTIFÓLIO'!$J$3:$Q$3,0))) *
N('PORTIFÓLIO'!$S$4:$S$564),
0
)
),
0)</f>
        <v/>
      </c>
      <c r="Q80" s="49">
        <f>P80/$P$4</f>
        <v/>
      </c>
      <c r="R80" s="49">
        <f>SUM(P80,N80,L80,J80,H80,D80,B80)</f>
        <v/>
      </c>
      <c r="S80" s="49">
        <f>R80/$R$4</f>
        <v/>
      </c>
    </row>
    <row r="81" hidden="1" outlineLevel="1" ht="15.75" customHeight="1" s="297">
      <c r="A81" s="48">
        <f>IFERROR(__xludf.DUMMYFUNCTION("""COMPUTED_VALUE"""),"VOLCANE")</f>
        <v/>
      </c>
      <c r="B81" s="49">
        <f t="array" ref="B81">IFERROR(
SUM(
IF(
'PORTIFÓLIO'!$C$4:$C$564=$A81,
N(INDEX('PORTIFÓLIO'!$J$4:$Q$564,,MATCH(B$2,'PORTIFÓLIO'!$J$3:$Q$3,0))) *
N('PORTIFÓLIO'!$S$4:$S$564),
0
)
),
0)</f>
        <v/>
      </c>
      <c r="C81" s="49">
        <f>B81/$B$4</f>
        <v/>
      </c>
      <c r="D81" s="49">
        <f t="array" ref="D81">IFERROR(
SUM(
IF(
'PORTIFÓLIO'!$C$4:$C$564=$A81,
N(INDEX('PORTIFÓLIO'!$J$4:$Q$564,,MATCH(D$2,'PORTIFÓLIO'!$J$3:$Q$3,0))) *
N('PORTIFÓLIO'!$S$4:$S$564),
0
)
),
0)</f>
        <v/>
      </c>
      <c r="E81" s="49">
        <f>D81/$D$4</f>
        <v/>
      </c>
      <c r="F81" s="49">
        <f t="array" ref="F81">IFERROR(
SUM(
IF(
'PORTIFÓLIO'!$C$4:$C$564=$A81,
N(INDEX('PORTIFÓLIO'!$J$4:$Q$564,,MATCH(F$2,'PORTIFÓLIO'!$J$3:$Q$3,0))) *
N('PORTIFÓLIO'!$S$4:$S$564),
0
)
),
0)</f>
        <v/>
      </c>
      <c r="G81" s="47">
        <f>F81/$F$4</f>
        <v/>
      </c>
      <c r="H81" s="49">
        <f t="array" ref="H81">IFERROR(
SUM(
IF(
'PORTIFÓLIO'!$C$4:$C$564=$A81,
N(INDEX('PORTIFÓLIO'!$J$4:$Q$564,,MATCH(H$2,'PORTIFÓLIO'!$J$3:$Q$3,0))) *
N('PORTIFÓLIO'!$S$4:$S$564),
0
)
),
0)</f>
        <v/>
      </c>
      <c r="I81" s="47">
        <f>H81/$H$4</f>
        <v/>
      </c>
      <c r="J81" s="49">
        <f t="array" ref="J81">IFERROR(
SUM(
IF(
'PORTIFÓLIO'!$C$4:$C$564=$A81,
N(INDEX('PORTIFÓLIO'!$J$4:$Q$564,,MATCH(J$2,'PORTIFÓLIO'!$J$3:$Q$3,0))) *
N('PORTIFÓLIO'!$S$4:$S$564),
0
)
),
0)</f>
        <v/>
      </c>
      <c r="K81" s="47">
        <f>J81/$J$4</f>
        <v/>
      </c>
      <c r="L81" s="49">
        <f t="array" ref="L81">IFERROR(
SUM(
IF(
'PORTIFÓLIO'!$C$4:$C$564=$A81,
N(INDEX('PORTIFÓLIO'!$J$4:$Q$564,,MATCH(L$2,'PORTIFÓLIO'!$J$3:$Q$3,0))) *
N('PORTIFÓLIO'!$S$4:$S$564),
0
)
),
0)</f>
        <v/>
      </c>
      <c r="M81" s="47">
        <f>L81/$L$4</f>
        <v/>
      </c>
      <c r="N81" s="49">
        <f t="array" ref="N81">IFERROR(
SUM(
IF(
'PORTIFÓLIO'!$C$4:$C$564=$A81,
N(INDEX('PORTIFÓLIO'!$J$4:$Q$564,,MATCH(N$2,'PORTIFÓLIO'!$J$3:$Q$3,0))) *
N('PORTIFÓLIO'!$S$4:$S$564),
0
)
),
0)</f>
        <v/>
      </c>
      <c r="O81" s="49">
        <f>N81/$N$4</f>
        <v/>
      </c>
      <c r="P81" s="49">
        <f t="array" ref="P81">IFERROR(
SUM(
IF(
'PORTIFÓLIO'!$C$4:$C$564=$A81,
N(INDEX('PORTIFÓLIO'!$J$4:$Q$564,,MATCH(P$2,'PORTIFÓLIO'!$J$3:$Q$3,0))) *
N('PORTIFÓLIO'!$S$4:$S$564),
0
)
),
0)</f>
        <v/>
      </c>
      <c r="Q81" s="49">
        <f>P81/$P$4</f>
        <v/>
      </c>
      <c r="R81" s="49">
        <f>SUM(P81,N81,L81,J81,H81,D81,B81)</f>
        <v/>
      </c>
      <c r="S81" s="49">
        <f>R81/$R$4</f>
        <v/>
      </c>
    </row>
    <row r="82" hidden="1" outlineLevel="1" ht="15.75" customHeight="1" s="297">
      <c r="A82" s="48">
        <f>IFERROR(__xludf.DUMMYFUNCTION("""COMPUTED_VALUE"""),"CRUCIAL")</f>
        <v/>
      </c>
      <c r="B82" s="49">
        <f t="array" ref="B82">IFERROR(
SUM(
IF(
'PORTIFÓLIO'!$C$4:$C$564=$A82,
N(INDEX('PORTIFÓLIO'!$J$4:$Q$564,,MATCH(B$2,'PORTIFÓLIO'!$J$3:$Q$3,0))) *
N('PORTIFÓLIO'!$S$4:$S$564),
0
)
),
0)</f>
        <v/>
      </c>
      <c r="C82" s="49">
        <f>B82/$B$4</f>
        <v/>
      </c>
      <c r="D82" s="49">
        <f t="array" ref="D82">IFERROR(
SUM(
IF(
'PORTIFÓLIO'!$C$4:$C$564=$A82,
N(INDEX('PORTIFÓLIO'!$J$4:$Q$564,,MATCH(D$2,'PORTIFÓLIO'!$J$3:$Q$3,0))) *
N('PORTIFÓLIO'!$S$4:$S$564),
0
)
),
0)</f>
        <v/>
      </c>
      <c r="E82" s="49">
        <f>D82/$D$4</f>
        <v/>
      </c>
      <c r="F82" s="49">
        <f t="array" ref="F82">IFERROR(
SUM(
IF(
'PORTIFÓLIO'!$C$4:$C$564=$A82,
N(INDEX('PORTIFÓLIO'!$J$4:$Q$564,,MATCH(F$2,'PORTIFÓLIO'!$J$3:$Q$3,0))) *
N('PORTIFÓLIO'!$S$4:$S$564),
0
)
),
0)</f>
        <v/>
      </c>
      <c r="G82" s="47">
        <f>F82/$F$4</f>
        <v/>
      </c>
      <c r="H82" s="49">
        <f t="array" ref="H82">IFERROR(
SUM(
IF(
'PORTIFÓLIO'!$C$4:$C$564=$A82,
N(INDEX('PORTIFÓLIO'!$J$4:$Q$564,,MATCH(H$2,'PORTIFÓLIO'!$J$3:$Q$3,0))) *
N('PORTIFÓLIO'!$S$4:$S$564),
0
)
),
0)</f>
        <v/>
      </c>
      <c r="I82" s="47">
        <f>H82/$H$4</f>
        <v/>
      </c>
      <c r="J82" s="49">
        <f t="array" ref="J82">IFERROR(
SUM(
IF(
'PORTIFÓLIO'!$C$4:$C$564=$A82,
N(INDEX('PORTIFÓLIO'!$J$4:$Q$564,,MATCH(J$2,'PORTIFÓLIO'!$J$3:$Q$3,0))) *
N('PORTIFÓLIO'!$S$4:$S$564),
0
)
),
0)</f>
        <v/>
      </c>
      <c r="K82" s="47">
        <f>J82/$J$4</f>
        <v/>
      </c>
      <c r="L82" s="49">
        <f t="array" ref="L82">IFERROR(
SUM(
IF(
'PORTIFÓLIO'!$C$4:$C$564=$A82,
N(INDEX('PORTIFÓLIO'!$J$4:$Q$564,,MATCH(L$2,'PORTIFÓLIO'!$J$3:$Q$3,0))) *
N('PORTIFÓLIO'!$S$4:$S$564),
0
)
),
0)</f>
        <v/>
      </c>
      <c r="M82" s="47">
        <f>L82/$L$4</f>
        <v/>
      </c>
      <c r="N82" s="49">
        <f t="array" ref="N82">IFERROR(
SUM(
IF(
'PORTIFÓLIO'!$C$4:$C$564=$A82,
N(INDEX('PORTIFÓLIO'!$J$4:$Q$564,,MATCH(N$2,'PORTIFÓLIO'!$J$3:$Q$3,0))) *
N('PORTIFÓLIO'!$S$4:$S$564),
0
)
),
0)</f>
        <v/>
      </c>
      <c r="O82" s="49">
        <f>N82/$N$4</f>
        <v/>
      </c>
      <c r="P82" s="49">
        <f t="array" ref="P82">IFERROR(
SUM(
IF(
'PORTIFÓLIO'!$C$4:$C$564=$A82,
N(INDEX('PORTIFÓLIO'!$J$4:$Q$564,,MATCH(P$2,'PORTIFÓLIO'!$J$3:$Q$3,0))) *
N('PORTIFÓLIO'!$S$4:$S$564),
0
)
),
0)</f>
        <v/>
      </c>
      <c r="Q82" s="49">
        <f>P82/$P$4</f>
        <v/>
      </c>
      <c r="R82" s="49">
        <f>SUM(P82,N82,L82,J82,H82,D82,B82)</f>
        <v/>
      </c>
      <c r="S82" s="49">
        <f>R82/$R$4</f>
        <v/>
      </c>
    </row>
    <row r="83" hidden="1" outlineLevel="1" ht="15.75" customHeight="1" s="297">
      <c r="A83" s="48">
        <f>IFERROR(__xludf.DUMMYFUNCTION("""COMPUTED_VALUE"""),"SUMYZIN 500 SC")</f>
        <v/>
      </c>
      <c r="B83" s="49">
        <f t="array" ref="B83">IFERROR(
SUM(
IF(
'PORTIFÓLIO'!$C$4:$C$564=$A83,
N(INDEX('PORTIFÓLIO'!$J$4:$Q$564,,MATCH(B$2,'PORTIFÓLIO'!$J$3:$Q$3,0))) *
N('PORTIFÓLIO'!$S$4:$S$564),
0
)
),
0)</f>
        <v/>
      </c>
      <c r="C83" s="49">
        <f>B83/$B$4</f>
        <v/>
      </c>
      <c r="D83" s="49">
        <f t="array" ref="D83">IFERROR(
SUM(
IF(
'PORTIFÓLIO'!$C$4:$C$564=$A83,
N(INDEX('PORTIFÓLIO'!$J$4:$Q$564,,MATCH(D$2,'PORTIFÓLIO'!$J$3:$Q$3,0))) *
N('PORTIFÓLIO'!$S$4:$S$564),
0
)
),
0)</f>
        <v/>
      </c>
      <c r="E83" s="49">
        <f>D83/$D$4</f>
        <v/>
      </c>
      <c r="F83" s="49">
        <f t="array" ref="F83">IFERROR(
SUM(
IF(
'PORTIFÓLIO'!$C$4:$C$564=$A83,
N(INDEX('PORTIFÓLIO'!$J$4:$Q$564,,MATCH(F$2,'PORTIFÓLIO'!$J$3:$Q$3,0))) *
N('PORTIFÓLIO'!$S$4:$S$564),
0
)
),
0)</f>
        <v/>
      </c>
      <c r="G83" s="47">
        <f>F83/$F$4</f>
        <v/>
      </c>
      <c r="H83" s="49">
        <f t="array" ref="H83">IFERROR(
SUM(
IF(
'PORTIFÓLIO'!$C$4:$C$564=$A83,
N(INDEX('PORTIFÓLIO'!$J$4:$Q$564,,MATCH(H$2,'PORTIFÓLIO'!$J$3:$Q$3,0))) *
N('PORTIFÓLIO'!$S$4:$S$564),
0
)
),
0)</f>
        <v/>
      </c>
      <c r="I83" s="47">
        <f>H83/$H$4</f>
        <v/>
      </c>
      <c r="J83" s="49">
        <f t="array" ref="J83">IFERROR(
SUM(
IF(
'PORTIFÓLIO'!$C$4:$C$564=$A83,
N(INDEX('PORTIFÓLIO'!$J$4:$Q$564,,MATCH(J$2,'PORTIFÓLIO'!$J$3:$Q$3,0))) *
N('PORTIFÓLIO'!$S$4:$S$564),
0
)
),
0)</f>
        <v/>
      </c>
      <c r="K83" s="47">
        <f>J83/$J$4</f>
        <v/>
      </c>
      <c r="L83" s="49">
        <f t="array" ref="L83">IFERROR(
SUM(
IF(
'PORTIFÓLIO'!$C$4:$C$564=$A83,
N(INDEX('PORTIFÓLIO'!$J$4:$Q$564,,MATCH(L$2,'PORTIFÓLIO'!$J$3:$Q$3,0))) *
N('PORTIFÓLIO'!$S$4:$S$564),
0
)
),
0)</f>
        <v/>
      </c>
      <c r="M83" s="47">
        <f>L83/$L$4</f>
        <v/>
      </c>
      <c r="N83" s="49">
        <f t="array" ref="N83">IFERROR(
SUM(
IF(
'PORTIFÓLIO'!$C$4:$C$564=$A83,
N(INDEX('PORTIFÓLIO'!$J$4:$Q$564,,MATCH(N$2,'PORTIFÓLIO'!$J$3:$Q$3,0))) *
N('PORTIFÓLIO'!$S$4:$S$564),
0
)
),
0)</f>
        <v/>
      </c>
      <c r="O83" s="49">
        <f>N83/$N$4</f>
        <v/>
      </c>
      <c r="P83" s="49">
        <f t="array" ref="P83">IFERROR(
SUM(
IF(
'PORTIFÓLIO'!$C$4:$C$564=$A83,
N(INDEX('PORTIFÓLIO'!$J$4:$Q$564,,MATCH(P$2,'PORTIFÓLIO'!$J$3:$Q$3,0))) *
N('PORTIFÓLIO'!$S$4:$S$564),
0
)
),
0)</f>
        <v/>
      </c>
      <c r="Q83" s="49">
        <f>P83/$P$4</f>
        <v/>
      </c>
      <c r="R83" s="49">
        <f>SUM(P83,N83,L83,J83,H83,D83,B83)</f>
        <v/>
      </c>
      <c r="S83" s="49">
        <f>R83/$R$4</f>
        <v/>
      </c>
    </row>
    <row r="84" hidden="1" outlineLevel="1" ht="15.75" customHeight="1" s="297">
      <c r="A84" s="48">
        <f>IFERROR(__xludf.DUMMYFUNCTION("""COMPUTED_VALUE"""),"U 46 BR")</f>
        <v/>
      </c>
      <c r="B84" s="49">
        <f t="array" ref="B84">IFERROR(
SUM(
IF(
'PORTIFÓLIO'!$C$4:$C$564=$A84,
N(INDEX('PORTIFÓLIO'!$J$4:$Q$564,,MATCH(B$2,'PORTIFÓLIO'!$J$3:$Q$3,0))) *
N('PORTIFÓLIO'!$S$4:$S$564),
0
)
),
0)</f>
        <v/>
      </c>
      <c r="C84" s="49">
        <f>B84/$B$4</f>
        <v/>
      </c>
      <c r="D84" s="49">
        <f t="array" ref="D84">IFERROR(
SUM(
IF(
'PORTIFÓLIO'!$C$4:$C$564=$A84,
N(INDEX('PORTIFÓLIO'!$J$4:$Q$564,,MATCH(D$2,'PORTIFÓLIO'!$J$3:$Q$3,0))) *
N('PORTIFÓLIO'!$S$4:$S$564),
0
)
),
0)</f>
        <v/>
      </c>
      <c r="E84" s="49">
        <f>D84/$D$4</f>
        <v/>
      </c>
      <c r="F84" s="49">
        <f t="array" ref="F84">IFERROR(
SUM(
IF(
'PORTIFÓLIO'!$C$4:$C$564=$A84,
N(INDEX('PORTIFÓLIO'!$J$4:$Q$564,,MATCH(F$2,'PORTIFÓLIO'!$J$3:$Q$3,0))) *
N('PORTIFÓLIO'!$S$4:$S$564),
0
)
),
0)</f>
        <v/>
      </c>
      <c r="G84" s="47">
        <f>F84/$F$4</f>
        <v/>
      </c>
      <c r="H84" s="49">
        <f t="array" ref="H84">IFERROR(
SUM(
IF(
'PORTIFÓLIO'!$C$4:$C$564=$A84,
N(INDEX('PORTIFÓLIO'!$J$4:$Q$564,,MATCH(H$2,'PORTIFÓLIO'!$J$3:$Q$3,0))) *
N('PORTIFÓLIO'!$S$4:$S$564),
0
)
),
0)</f>
        <v/>
      </c>
      <c r="I84" s="47">
        <f>H84/$H$4</f>
        <v/>
      </c>
      <c r="J84" s="49">
        <f t="array" ref="J84">IFERROR(
SUM(
IF(
'PORTIFÓLIO'!$C$4:$C$564=$A84,
N(INDEX('PORTIFÓLIO'!$J$4:$Q$564,,MATCH(J$2,'PORTIFÓLIO'!$J$3:$Q$3,0))) *
N('PORTIFÓLIO'!$S$4:$S$564),
0
)
),
0)</f>
        <v/>
      </c>
      <c r="K84" s="47">
        <f>J84/$J$4</f>
        <v/>
      </c>
      <c r="L84" s="49">
        <f t="array" ref="L84">IFERROR(
SUM(
IF(
'PORTIFÓLIO'!$C$4:$C$564=$A84,
N(INDEX('PORTIFÓLIO'!$J$4:$Q$564,,MATCH(L$2,'PORTIFÓLIO'!$J$3:$Q$3,0))) *
N('PORTIFÓLIO'!$S$4:$S$564),
0
)
),
0)</f>
        <v/>
      </c>
      <c r="M84" s="47">
        <f>L84/$L$4</f>
        <v/>
      </c>
      <c r="N84" s="49">
        <f t="array" ref="N84">IFERROR(
SUM(
IF(
'PORTIFÓLIO'!$C$4:$C$564=$A84,
N(INDEX('PORTIFÓLIO'!$J$4:$Q$564,,MATCH(N$2,'PORTIFÓLIO'!$J$3:$Q$3,0))) *
N('PORTIFÓLIO'!$S$4:$S$564),
0
)
),
0)</f>
        <v/>
      </c>
      <c r="O84" s="49">
        <f>N84/$N$4</f>
        <v/>
      </c>
      <c r="P84" s="49">
        <f t="array" ref="P84">IFERROR(
SUM(
IF(
'PORTIFÓLIO'!$C$4:$C$564=$A84,
N(INDEX('PORTIFÓLIO'!$J$4:$Q$564,,MATCH(P$2,'PORTIFÓLIO'!$J$3:$Q$3,0))) *
N('PORTIFÓLIO'!$S$4:$S$564),
0
)
),
0)</f>
        <v/>
      </c>
      <c r="Q84" s="49">
        <f>P84/$P$4</f>
        <v/>
      </c>
      <c r="R84" s="49">
        <f>SUM(P84,N84,L84,J84,H84,D84,B84)</f>
        <v/>
      </c>
      <c r="S84" s="49">
        <f>R84/$R$4</f>
        <v/>
      </c>
    </row>
    <row r="85" hidden="1" outlineLevel="1" ht="15.75" customHeight="1" s="297">
      <c r="A85" s="48">
        <f>IFERROR(__xludf.DUMMYFUNCTION("""COMPUTED_VALUE"""),"ZETHAMAXX")</f>
        <v/>
      </c>
      <c r="B85" s="49">
        <f t="array" ref="B85">IFERROR(
SUM(
IF(
'PORTIFÓLIO'!$C$4:$C$564=$A85,
N(INDEX('PORTIFÓLIO'!$J$4:$Q$564,,MATCH(B$2,'PORTIFÓLIO'!$J$3:$Q$3,0))) *
N('PORTIFÓLIO'!$S$4:$S$564),
0
)
),
0)</f>
        <v/>
      </c>
      <c r="C85" s="49">
        <f>B85/$B$4</f>
        <v/>
      </c>
      <c r="D85" s="49">
        <f t="array" ref="D85">IFERROR(
SUM(
IF(
'PORTIFÓLIO'!$C$4:$C$564=$A85,
N(INDEX('PORTIFÓLIO'!$J$4:$Q$564,,MATCH(D$2,'PORTIFÓLIO'!$J$3:$Q$3,0))) *
N('PORTIFÓLIO'!$S$4:$S$564),
0
)
),
0)</f>
        <v/>
      </c>
      <c r="E85" s="49">
        <f>D85/$D$4</f>
        <v/>
      </c>
      <c r="F85" s="49">
        <f t="array" ref="F85">IFERROR(
SUM(
IF(
'PORTIFÓLIO'!$C$4:$C$564=$A85,
N(INDEX('PORTIFÓLIO'!$J$4:$Q$564,,MATCH(F$2,'PORTIFÓLIO'!$J$3:$Q$3,0))) *
N('PORTIFÓLIO'!$S$4:$S$564),
0
)
),
0)</f>
        <v/>
      </c>
      <c r="G85" s="47">
        <f>F85/$F$4</f>
        <v/>
      </c>
      <c r="H85" s="49">
        <f t="array" ref="H85">IFERROR(
SUM(
IF(
'PORTIFÓLIO'!$C$4:$C$564=$A85,
N(INDEX('PORTIFÓLIO'!$J$4:$Q$564,,MATCH(H$2,'PORTIFÓLIO'!$J$3:$Q$3,0))) *
N('PORTIFÓLIO'!$S$4:$S$564),
0
)
),
0)</f>
        <v/>
      </c>
      <c r="I85" s="47">
        <f>H85/$H$4</f>
        <v/>
      </c>
      <c r="J85" s="49">
        <f t="array" ref="J85">IFERROR(
SUM(
IF(
'PORTIFÓLIO'!$C$4:$C$564=$A85,
N(INDEX('PORTIFÓLIO'!$J$4:$Q$564,,MATCH(J$2,'PORTIFÓLIO'!$J$3:$Q$3,0))) *
N('PORTIFÓLIO'!$S$4:$S$564),
0
)
),
0)</f>
        <v/>
      </c>
      <c r="K85" s="47">
        <f>J85/$J$4</f>
        <v/>
      </c>
      <c r="L85" s="49">
        <f t="array" ref="L85">IFERROR(
SUM(
IF(
'PORTIFÓLIO'!$C$4:$C$564=$A85,
N(INDEX('PORTIFÓLIO'!$J$4:$Q$564,,MATCH(L$2,'PORTIFÓLIO'!$J$3:$Q$3,0))) *
N('PORTIFÓLIO'!$S$4:$S$564),
0
)
),
0)</f>
        <v/>
      </c>
      <c r="M85" s="47">
        <f>L85/$L$4</f>
        <v/>
      </c>
      <c r="N85" s="49">
        <f t="array" ref="N85">IFERROR(
SUM(
IF(
'PORTIFÓLIO'!$C$4:$C$564=$A85,
N(INDEX('PORTIFÓLIO'!$J$4:$Q$564,,MATCH(N$2,'PORTIFÓLIO'!$J$3:$Q$3,0))) *
N('PORTIFÓLIO'!$S$4:$S$564),
0
)
),
0)</f>
        <v/>
      </c>
      <c r="O85" s="49">
        <f>N85/$N$4</f>
        <v/>
      </c>
      <c r="P85" s="49">
        <f t="array" ref="P85">IFERROR(
SUM(
IF(
'PORTIFÓLIO'!$C$4:$C$564=$A85,
N(INDEX('PORTIFÓLIO'!$J$4:$Q$564,,MATCH(P$2,'PORTIFÓLIO'!$J$3:$Q$3,0))) *
N('PORTIFÓLIO'!$S$4:$S$564),
0
)
),
0)</f>
        <v/>
      </c>
      <c r="Q85" s="49">
        <f>P85/$P$4</f>
        <v/>
      </c>
      <c r="R85" s="49">
        <f>SUM(P85,N85,L85,J85,H85,D85,B85)</f>
        <v/>
      </c>
      <c r="S85" s="49">
        <f>R85/$R$4</f>
        <v/>
      </c>
    </row>
    <row r="86" hidden="1" outlineLevel="1" ht="15.75" customHeight="1" s="297">
      <c r="A86" s="48">
        <f>IFERROR(__xludf.DUMMYFUNCTION("""COMPUTED_VALUE"""),"ZETHAMAXX EVO")</f>
        <v/>
      </c>
      <c r="B86" s="49">
        <f t="array" ref="B86">IFERROR(
SUM(
IF(
'PORTIFÓLIO'!$C$4:$C$564=$A86,
N(INDEX('PORTIFÓLIO'!$J$4:$Q$564,,MATCH(B$2,'PORTIFÓLIO'!$J$3:$Q$3,0))) *
N('PORTIFÓLIO'!$S$4:$S$564),
0
)
),
0)</f>
        <v/>
      </c>
      <c r="C86" s="49">
        <f>B86/$B$4</f>
        <v/>
      </c>
      <c r="D86" s="49">
        <f t="array" ref="D86">IFERROR(
SUM(
IF(
'PORTIFÓLIO'!$C$4:$C$564=$A86,
N(INDEX('PORTIFÓLIO'!$J$4:$Q$564,,MATCH(D$2,'PORTIFÓLIO'!$J$3:$Q$3,0))) *
N('PORTIFÓLIO'!$S$4:$S$564),
0
)
),
0)</f>
        <v/>
      </c>
      <c r="E86" s="49">
        <f>D86/$D$4</f>
        <v/>
      </c>
      <c r="F86" s="49">
        <f t="array" ref="F86">IFERROR(
SUM(
IF(
'PORTIFÓLIO'!$C$4:$C$564=$A86,
N(INDEX('PORTIFÓLIO'!$J$4:$Q$564,,MATCH(F$2,'PORTIFÓLIO'!$J$3:$Q$3,0))) *
N('PORTIFÓLIO'!$S$4:$S$564),
0
)
),
0)</f>
        <v/>
      </c>
      <c r="G86" s="47">
        <f>F86/$F$4</f>
        <v/>
      </c>
      <c r="H86" s="49">
        <f t="array" ref="H86">IFERROR(
SUM(
IF(
'PORTIFÓLIO'!$C$4:$C$564=$A86,
N(INDEX('PORTIFÓLIO'!$J$4:$Q$564,,MATCH(H$2,'PORTIFÓLIO'!$J$3:$Q$3,0))) *
N('PORTIFÓLIO'!$S$4:$S$564),
0
)
),
0)</f>
        <v/>
      </c>
      <c r="I86" s="47">
        <f>H86/$H$4</f>
        <v/>
      </c>
      <c r="J86" s="49">
        <f t="array" ref="J86">IFERROR(
SUM(
IF(
'PORTIFÓLIO'!$C$4:$C$564=$A86,
N(INDEX('PORTIFÓLIO'!$J$4:$Q$564,,MATCH(J$2,'PORTIFÓLIO'!$J$3:$Q$3,0))) *
N('PORTIFÓLIO'!$S$4:$S$564),
0
)
),
0)</f>
        <v/>
      </c>
      <c r="K86" s="47">
        <f>J86/$J$4</f>
        <v/>
      </c>
      <c r="L86" s="49">
        <f t="array" ref="L86">IFERROR(
SUM(
IF(
'PORTIFÓLIO'!$C$4:$C$564=$A86,
N(INDEX('PORTIFÓLIO'!$J$4:$Q$564,,MATCH(L$2,'PORTIFÓLIO'!$J$3:$Q$3,0))) *
N('PORTIFÓLIO'!$S$4:$S$564),
0
)
),
0)</f>
        <v/>
      </c>
      <c r="M86" s="47">
        <f>L86/$L$4</f>
        <v/>
      </c>
      <c r="N86" s="49">
        <f t="array" ref="N86">IFERROR(
SUM(
IF(
'PORTIFÓLIO'!$C$4:$C$564=$A86,
N(INDEX('PORTIFÓLIO'!$J$4:$Q$564,,MATCH(N$2,'PORTIFÓLIO'!$J$3:$Q$3,0))) *
N('PORTIFÓLIO'!$S$4:$S$564),
0
)
),
0)</f>
        <v/>
      </c>
      <c r="O86" s="49">
        <f>N86/$N$4</f>
        <v/>
      </c>
      <c r="P86" s="49">
        <f t="array" ref="P86">IFERROR(
SUM(
IF(
'PORTIFÓLIO'!$C$4:$C$564=$A86,
N(INDEX('PORTIFÓLIO'!$J$4:$Q$564,,MATCH(P$2,'PORTIFÓLIO'!$J$3:$Q$3,0))) *
N('PORTIFÓLIO'!$S$4:$S$564),
0
)
),
0)</f>
        <v/>
      </c>
      <c r="Q86" s="49">
        <f>P86/$P$4</f>
        <v/>
      </c>
      <c r="R86" s="49">
        <f>SUM(P86,N86,L86,J86,H86,D86,B86)</f>
        <v/>
      </c>
      <c r="S86" s="49">
        <f>R86/$R$4</f>
        <v/>
      </c>
    </row>
    <row r="87" hidden="1" outlineLevel="1" ht="15.75" customHeight="1" s="297">
      <c r="A87" s="48">
        <f>IFERROR(__xludf.DUMMYFUNCTION("""COMPUTED_VALUE"""),"CALARIS")</f>
        <v/>
      </c>
      <c r="B87" s="49">
        <f t="array" ref="B87">IFERROR(
SUM(
IF(
'PORTIFÓLIO'!$C$4:$C$564=$A87,
N(INDEX('PORTIFÓLIO'!$J$4:$Q$564,,MATCH(B$2,'PORTIFÓLIO'!$J$3:$Q$3,0))) *
N('PORTIFÓLIO'!$S$4:$S$564),
0
)
),
0)</f>
        <v/>
      </c>
      <c r="C87" s="49">
        <f>B87/$B$4</f>
        <v/>
      </c>
      <c r="D87" s="49">
        <f t="array" ref="D87">IFERROR(
SUM(
IF(
'PORTIFÓLIO'!$C$4:$C$564=$A87,
N(INDEX('PORTIFÓLIO'!$J$4:$Q$564,,MATCH(D$2,'PORTIFÓLIO'!$J$3:$Q$3,0))) *
N('PORTIFÓLIO'!$S$4:$S$564),
0
)
),
0)</f>
        <v/>
      </c>
      <c r="E87" s="49">
        <f>D87/$D$4</f>
        <v/>
      </c>
      <c r="F87" s="49">
        <f t="array" ref="F87">IFERROR(
SUM(
IF(
'PORTIFÓLIO'!$C$4:$C$564=$A87,
N(INDEX('PORTIFÓLIO'!$J$4:$Q$564,,MATCH(F$2,'PORTIFÓLIO'!$J$3:$Q$3,0))) *
N('PORTIFÓLIO'!$S$4:$S$564),
0
)
),
0)</f>
        <v/>
      </c>
      <c r="G87" s="47">
        <f>F87/$F$4</f>
        <v/>
      </c>
      <c r="H87" s="49">
        <f t="array" ref="H87">IFERROR(
SUM(
IF(
'PORTIFÓLIO'!$C$4:$C$564=$A87,
N(INDEX('PORTIFÓLIO'!$J$4:$Q$564,,MATCH(H$2,'PORTIFÓLIO'!$J$3:$Q$3,0))) *
N('PORTIFÓLIO'!$S$4:$S$564),
0
)
),
0)</f>
        <v/>
      </c>
      <c r="I87" s="47">
        <f>H87/$H$4</f>
        <v/>
      </c>
      <c r="J87" s="49">
        <f t="array" ref="J87">IFERROR(
SUM(
IF(
'PORTIFÓLIO'!$C$4:$C$564=$A87,
N(INDEX('PORTIFÓLIO'!$J$4:$Q$564,,MATCH(J$2,'PORTIFÓLIO'!$J$3:$Q$3,0))) *
N('PORTIFÓLIO'!$S$4:$S$564),
0
)
),
0)</f>
        <v/>
      </c>
      <c r="K87" s="47">
        <f>J87/$J$4</f>
        <v/>
      </c>
      <c r="L87" s="49">
        <f t="array" ref="L87">IFERROR(
SUM(
IF(
'PORTIFÓLIO'!$C$4:$C$564=$A87,
N(INDEX('PORTIFÓLIO'!$J$4:$Q$564,,MATCH(L$2,'PORTIFÓLIO'!$J$3:$Q$3,0))) *
N('PORTIFÓLIO'!$S$4:$S$564),
0
)
),
0)</f>
        <v/>
      </c>
      <c r="M87" s="47">
        <f>L87/$L$4</f>
        <v/>
      </c>
      <c r="N87" s="49">
        <f t="array" ref="N87">IFERROR(
SUM(
IF(
'PORTIFÓLIO'!$C$4:$C$564=$A87,
N(INDEX('PORTIFÓLIO'!$J$4:$Q$564,,MATCH(N$2,'PORTIFÓLIO'!$J$3:$Q$3,0))) *
N('PORTIFÓLIO'!$S$4:$S$564),
0
)
),
0)</f>
        <v/>
      </c>
      <c r="O87" s="49">
        <f>N87/$N$4</f>
        <v/>
      </c>
      <c r="P87" s="49">
        <f t="array" ref="P87">IFERROR(
SUM(
IF(
'PORTIFÓLIO'!$C$4:$C$564=$A87,
N(INDEX('PORTIFÓLIO'!$J$4:$Q$564,,MATCH(P$2,'PORTIFÓLIO'!$J$3:$Q$3,0))) *
N('PORTIFÓLIO'!$S$4:$S$564),
0
)
),
0)</f>
        <v/>
      </c>
      <c r="Q87" s="49">
        <f>P87/$P$4</f>
        <v/>
      </c>
      <c r="R87" s="49">
        <f>SUM(P87,N87,L87,J87,H87,D87,B87)</f>
        <v/>
      </c>
      <c r="S87" s="49">
        <f>R87/$R$4</f>
        <v/>
      </c>
    </row>
    <row r="88" hidden="1" outlineLevel="1" ht="15.75" customHeight="1" s="297">
      <c r="A88" s="48">
        <f>IFERROR(__xludf.DUMMYFUNCTION("""COMPUTED_VALUE"""),"DUAL GOLD")</f>
        <v/>
      </c>
      <c r="B88" s="49">
        <f t="array" ref="B88">IFERROR(
SUM(
IF(
'PORTIFÓLIO'!$C$4:$C$564=$A88,
N(INDEX('PORTIFÓLIO'!$J$4:$Q$564,,MATCH(B$2,'PORTIFÓLIO'!$J$3:$Q$3,0))) *
N('PORTIFÓLIO'!$S$4:$S$564),
0
)
),
0)</f>
        <v/>
      </c>
      <c r="C88" s="49">
        <f>B88/$B$4</f>
        <v/>
      </c>
      <c r="D88" s="49">
        <f t="array" ref="D88">IFERROR(
SUM(
IF(
'PORTIFÓLIO'!$C$4:$C$564=$A88,
N(INDEX('PORTIFÓLIO'!$J$4:$Q$564,,MATCH(D$2,'PORTIFÓLIO'!$J$3:$Q$3,0))) *
N('PORTIFÓLIO'!$S$4:$S$564),
0
)
),
0)</f>
        <v/>
      </c>
      <c r="E88" s="49">
        <f>D88/$D$4</f>
        <v/>
      </c>
      <c r="F88" s="49">
        <f t="array" ref="F88">IFERROR(
SUM(
IF(
'PORTIFÓLIO'!$C$4:$C$564=$A88,
N(INDEX('PORTIFÓLIO'!$J$4:$Q$564,,MATCH(F$2,'PORTIFÓLIO'!$J$3:$Q$3,0))) *
N('PORTIFÓLIO'!$S$4:$S$564),
0
)
),
0)</f>
        <v/>
      </c>
      <c r="G88" s="47">
        <f>F88/$F$4</f>
        <v/>
      </c>
      <c r="H88" s="49">
        <f t="array" ref="H88">IFERROR(
SUM(
IF(
'PORTIFÓLIO'!$C$4:$C$564=$A88,
N(INDEX('PORTIFÓLIO'!$J$4:$Q$564,,MATCH(H$2,'PORTIFÓLIO'!$J$3:$Q$3,0))) *
N('PORTIFÓLIO'!$S$4:$S$564),
0
)
),
0)</f>
        <v/>
      </c>
      <c r="I88" s="47">
        <f>H88/$H$4</f>
        <v/>
      </c>
      <c r="J88" s="49">
        <f t="array" ref="J88">IFERROR(
SUM(
IF(
'PORTIFÓLIO'!$C$4:$C$564=$A88,
N(INDEX('PORTIFÓLIO'!$J$4:$Q$564,,MATCH(J$2,'PORTIFÓLIO'!$J$3:$Q$3,0))) *
N('PORTIFÓLIO'!$S$4:$S$564),
0
)
),
0)</f>
        <v/>
      </c>
      <c r="K88" s="47">
        <f>J88/$J$4</f>
        <v/>
      </c>
      <c r="L88" s="49">
        <f t="array" ref="L88">IFERROR(
SUM(
IF(
'PORTIFÓLIO'!$C$4:$C$564=$A88,
N(INDEX('PORTIFÓLIO'!$J$4:$Q$564,,MATCH(L$2,'PORTIFÓLIO'!$J$3:$Q$3,0))) *
N('PORTIFÓLIO'!$S$4:$S$564),
0
)
),
0)</f>
        <v/>
      </c>
      <c r="M88" s="47">
        <f>L88/$L$4</f>
        <v/>
      </c>
      <c r="N88" s="49">
        <f t="array" ref="N88">IFERROR(
SUM(
IF(
'PORTIFÓLIO'!$C$4:$C$564=$A88,
N(INDEX('PORTIFÓLIO'!$J$4:$Q$564,,MATCH(N$2,'PORTIFÓLIO'!$J$3:$Q$3,0))) *
N('PORTIFÓLIO'!$S$4:$S$564),
0
)
),
0)</f>
        <v/>
      </c>
      <c r="O88" s="49">
        <f>N88/$N$4</f>
        <v/>
      </c>
      <c r="P88" s="49">
        <f t="array" ref="P88">IFERROR(
SUM(
IF(
'PORTIFÓLIO'!$C$4:$C$564=$A88,
N(INDEX('PORTIFÓLIO'!$J$4:$Q$564,,MATCH(P$2,'PORTIFÓLIO'!$J$3:$Q$3,0))) *
N('PORTIFÓLIO'!$S$4:$S$564),
0
)
),
0)</f>
        <v/>
      </c>
      <c r="Q88" s="49">
        <f>P88/$P$4</f>
        <v/>
      </c>
      <c r="R88" s="49">
        <f>SUM(P88,N88,L88,J88,H88,D88,B88)</f>
        <v/>
      </c>
      <c r="S88" s="49">
        <f>R88/$R$4</f>
        <v/>
      </c>
    </row>
    <row r="89" hidden="1" outlineLevel="1" ht="15.75" customHeight="1" s="297">
      <c r="A89" s="48">
        <f>IFERROR(__xludf.DUMMYFUNCTION("""COMPUTED_VALUE"""),"EDDUS")</f>
        <v/>
      </c>
      <c r="B89" s="49">
        <f t="array" ref="B89">IFERROR(
SUM(
IF(
'PORTIFÓLIO'!$C$4:$C$564=$A89,
N(INDEX('PORTIFÓLIO'!$J$4:$Q$564,,MATCH(B$2,'PORTIFÓLIO'!$J$3:$Q$3,0))) *
N('PORTIFÓLIO'!$S$4:$S$564),
0
)
),
0)</f>
        <v/>
      </c>
      <c r="C89" s="49">
        <f>B89/$B$4</f>
        <v/>
      </c>
      <c r="D89" s="49">
        <f t="array" ref="D89">IFERROR(
SUM(
IF(
'PORTIFÓLIO'!$C$4:$C$564=$A89,
N(INDEX('PORTIFÓLIO'!$J$4:$Q$564,,MATCH(D$2,'PORTIFÓLIO'!$J$3:$Q$3,0))) *
N('PORTIFÓLIO'!$S$4:$S$564),
0
)
),
0)</f>
        <v/>
      </c>
      <c r="E89" s="49">
        <f>D89/$D$4</f>
        <v/>
      </c>
      <c r="F89" s="49">
        <f t="array" ref="F89">IFERROR(
SUM(
IF(
'PORTIFÓLIO'!$C$4:$C$564=$A89,
N(INDEX('PORTIFÓLIO'!$J$4:$Q$564,,MATCH(F$2,'PORTIFÓLIO'!$J$3:$Q$3,0))) *
N('PORTIFÓLIO'!$S$4:$S$564),
0
)
),
0)</f>
        <v/>
      </c>
      <c r="G89" s="47">
        <f>F89/$F$4</f>
        <v/>
      </c>
      <c r="H89" s="49">
        <f t="array" ref="H89">IFERROR(
SUM(
IF(
'PORTIFÓLIO'!$C$4:$C$564=$A89,
N(INDEX('PORTIFÓLIO'!$J$4:$Q$564,,MATCH(H$2,'PORTIFÓLIO'!$J$3:$Q$3,0))) *
N('PORTIFÓLIO'!$S$4:$S$564),
0
)
),
0)</f>
        <v/>
      </c>
      <c r="I89" s="47">
        <f>H89/$H$4</f>
        <v/>
      </c>
      <c r="J89" s="49">
        <f t="array" ref="J89">IFERROR(
SUM(
IF(
'PORTIFÓLIO'!$C$4:$C$564=$A89,
N(INDEX('PORTIFÓLIO'!$J$4:$Q$564,,MATCH(J$2,'PORTIFÓLIO'!$J$3:$Q$3,0))) *
N('PORTIFÓLIO'!$S$4:$S$564),
0
)
),
0)</f>
        <v/>
      </c>
      <c r="K89" s="47">
        <f>J89/$J$4</f>
        <v/>
      </c>
      <c r="L89" s="49">
        <f t="array" ref="L89">IFERROR(
SUM(
IF(
'PORTIFÓLIO'!$C$4:$C$564=$A89,
N(INDEX('PORTIFÓLIO'!$J$4:$Q$564,,MATCH(L$2,'PORTIFÓLIO'!$J$3:$Q$3,0))) *
N('PORTIFÓLIO'!$S$4:$S$564),
0
)
),
0)</f>
        <v/>
      </c>
      <c r="M89" s="47">
        <f>L89/$L$4</f>
        <v/>
      </c>
      <c r="N89" s="49">
        <f t="array" ref="N89">IFERROR(
SUM(
IF(
'PORTIFÓLIO'!$C$4:$C$564=$A89,
N(INDEX('PORTIFÓLIO'!$J$4:$Q$564,,MATCH(N$2,'PORTIFÓLIO'!$J$3:$Q$3,0))) *
N('PORTIFÓLIO'!$S$4:$S$564),
0
)
),
0)</f>
        <v/>
      </c>
      <c r="O89" s="49">
        <f>N89/$N$4</f>
        <v/>
      </c>
      <c r="P89" s="49">
        <f t="array" ref="P89">IFERROR(
SUM(
IF(
'PORTIFÓLIO'!$C$4:$C$564=$A89,
N(INDEX('PORTIFÓLIO'!$J$4:$Q$564,,MATCH(P$2,'PORTIFÓLIO'!$J$3:$Q$3,0))) *
N('PORTIFÓLIO'!$S$4:$S$564),
0
)
),
0)</f>
        <v/>
      </c>
      <c r="Q89" s="49">
        <f>P89/$P$4</f>
        <v/>
      </c>
      <c r="R89" s="49">
        <f>SUM(P89,N89,L89,J89,H89,D89,B89)</f>
        <v/>
      </c>
      <c r="S89" s="49">
        <f>R89/$R$4</f>
        <v/>
      </c>
    </row>
    <row r="90" hidden="1" outlineLevel="1" ht="15.75" customHeight="1" s="297">
      <c r="A90" s="48">
        <f>IFERROR(__xludf.DUMMYFUNCTION("""COMPUTED_VALUE"""),"FLEX")</f>
        <v/>
      </c>
      <c r="B90" s="49">
        <f t="array" ref="B90">IFERROR(
SUM(
IF(
'PORTIFÓLIO'!$C$4:$C$564=$A90,
N(INDEX('PORTIFÓLIO'!$J$4:$Q$564,,MATCH(B$2,'PORTIFÓLIO'!$J$3:$Q$3,0))) *
N('PORTIFÓLIO'!$S$4:$S$564),
0
)
),
0)</f>
        <v/>
      </c>
      <c r="C90" s="49">
        <f>B90/$B$4</f>
        <v/>
      </c>
      <c r="D90" s="49">
        <f t="array" ref="D90">IFERROR(
SUM(
IF(
'PORTIFÓLIO'!$C$4:$C$564=$A90,
N(INDEX('PORTIFÓLIO'!$J$4:$Q$564,,MATCH(D$2,'PORTIFÓLIO'!$J$3:$Q$3,0))) *
N('PORTIFÓLIO'!$S$4:$S$564),
0
)
),
0)</f>
        <v/>
      </c>
      <c r="E90" s="49">
        <f>D90/$D$4</f>
        <v/>
      </c>
      <c r="F90" s="49">
        <f t="array" ref="F90">IFERROR(
SUM(
IF(
'PORTIFÓLIO'!$C$4:$C$564=$A90,
N(INDEX('PORTIFÓLIO'!$J$4:$Q$564,,MATCH(F$2,'PORTIFÓLIO'!$J$3:$Q$3,0))) *
N('PORTIFÓLIO'!$S$4:$S$564),
0
)
),
0)</f>
        <v/>
      </c>
      <c r="G90" s="47">
        <f>F90/$F$4</f>
        <v/>
      </c>
      <c r="H90" s="49">
        <f t="array" ref="H90">IFERROR(
SUM(
IF(
'PORTIFÓLIO'!$C$4:$C$564=$A90,
N(INDEX('PORTIFÓLIO'!$J$4:$Q$564,,MATCH(H$2,'PORTIFÓLIO'!$J$3:$Q$3,0))) *
N('PORTIFÓLIO'!$S$4:$S$564),
0
)
),
0)</f>
        <v/>
      </c>
      <c r="I90" s="47">
        <f>H90/$H$4</f>
        <v/>
      </c>
      <c r="J90" s="49">
        <f t="array" ref="J90">IFERROR(
SUM(
IF(
'PORTIFÓLIO'!$C$4:$C$564=$A90,
N(INDEX('PORTIFÓLIO'!$J$4:$Q$564,,MATCH(J$2,'PORTIFÓLIO'!$J$3:$Q$3,0))) *
N('PORTIFÓLIO'!$S$4:$S$564),
0
)
),
0)</f>
        <v/>
      </c>
      <c r="K90" s="47">
        <f>J90/$J$4</f>
        <v/>
      </c>
      <c r="L90" s="49">
        <f t="array" ref="L90">IFERROR(
SUM(
IF(
'PORTIFÓLIO'!$C$4:$C$564=$A90,
N(INDEX('PORTIFÓLIO'!$J$4:$Q$564,,MATCH(L$2,'PORTIFÓLIO'!$J$3:$Q$3,0))) *
N('PORTIFÓLIO'!$S$4:$S$564),
0
)
),
0)</f>
        <v/>
      </c>
      <c r="M90" s="47">
        <f>L90/$L$4</f>
        <v/>
      </c>
      <c r="N90" s="49">
        <f t="array" ref="N90">IFERROR(
SUM(
IF(
'PORTIFÓLIO'!$C$4:$C$564=$A90,
N(INDEX('PORTIFÓLIO'!$J$4:$Q$564,,MATCH(N$2,'PORTIFÓLIO'!$J$3:$Q$3,0))) *
N('PORTIFÓLIO'!$S$4:$S$564),
0
)
),
0)</f>
        <v/>
      </c>
      <c r="O90" s="49">
        <f>N90/$N$4</f>
        <v/>
      </c>
      <c r="P90" s="49">
        <f t="array" ref="P90">IFERROR(
SUM(
IF(
'PORTIFÓLIO'!$C$4:$C$564=$A90,
N(INDEX('PORTIFÓLIO'!$J$4:$Q$564,,MATCH(P$2,'PORTIFÓLIO'!$J$3:$Q$3,0))) *
N('PORTIFÓLIO'!$S$4:$S$564),
0
)
),
0)</f>
        <v/>
      </c>
      <c r="Q90" s="49">
        <f>P90/$P$4</f>
        <v/>
      </c>
      <c r="R90" s="49">
        <f>SUM(P90,N90,L90,J90,H90,D90,B90)</f>
        <v/>
      </c>
      <c r="S90" s="49">
        <f>R90/$R$4</f>
        <v/>
      </c>
    </row>
    <row r="91" hidden="1" outlineLevel="1" ht="15.75" customHeight="1" s="297">
      <c r="A91" s="48">
        <f>IFERROR(__xludf.DUMMYFUNCTION("""COMPUTED_VALUE"""),"FUSILADE")</f>
        <v/>
      </c>
      <c r="B91" s="49">
        <f t="array" ref="B91">IFERROR(
SUM(
IF(
'PORTIFÓLIO'!$C$4:$C$564=$A91,
N(INDEX('PORTIFÓLIO'!$J$4:$Q$564,,MATCH(B$2,'PORTIFÓLIO'!$J$3:$Q$3,0))) *
N('PORTIFÓLIO'!$S$4:$S$564),
0
)
),
0)</f>
        <v/>
      </c>
      <c r="C91" s="49">
        <f>B91/$B$4</f>
        <v/>
      </c>
      <c r="D91" s="49">
        <f t="array" ref="D91">IFERROR(
SUM(
IF(
'PORTIFÓLIO'!$C$4:$C$564=$A91,
N(INDEX('PORTIFÓLIO'!$J$4:$Q$564,,MATCH(D$2,'PORTIFÓLIO'!$J$3:$Q$3,0))) *
N('PORTIFÓLIO'!$S$4:$S$564),
0
)
),
0)</f>
        <v/>
      </c>
      <c r="E91" s="49">
        <f>D91/$D$4</f>
        <v/>
      </c>
      <c r="F91" s="49">
        <f t="array" ref="F91">IFERROR(
SUM(
IF(
'PORTIFÓLIO'!$C$4:$C$564=$A91,
N(INDEX('PORTIFÓLIO'!$J$4:$Q$564,,MATCH(F$2,'PORTIFÓLIO'!$J$3:$Q$3,0))) *
N('PORTIFÓLIO'!$S$4:$S$564),
0
)
),
0)</f>
        <v/>
      </c>
      <c r="G91" s="47">
        <f>F91/$F$4</f>
        <v/>
      </c>
      <c r="H91" s="49">
        <f t="array" ref="H91">IFERROR(
SUM(
IF(
'PORTIFÓLIO'!$C$4:$C$564=$A91,
N(INDEX('PORTIFÓLIO'!$J$4:$Q$564,,MATCH(H$2,'PORTIFÓLIO'!$J$3:$Q$3,0))) *
N('PORTIFÓLIO'!$S$4:$S$564),
0
)
),
0)</f>
        <v/>
      </c>
      <c r="I91" s="47">
        <f>H91/$H$4</f>
        <v/>
      </c>
      <c r="J91" s="49">
        <f t="array" ref="J91">IFERROR(
SUM(
IF(
'PORTIFÓLIO'!$C$4:$C$564=$A91,
N(INDEX('PORTIFÓLIO'!$J$4:$Q$564,,MATCH(J$2,'PORTIFÓLIO'!$J$3:$Q$3,0))) *
N('PORTIFÓLIO'!$S$4:$S$564),
0
)
),
0)</f>
        <v/>
      </c>
      <c r="K91" s="47">
        <f>J91/$J$4</f>
        <v/>
      </c>
      <c r="L91" s="49">
        <f t="array" ref="L91">IFERROR(
SUM(
IF(
'PORTIFÓLIO'!$C$4:$C$564=$A91,
N(INDEX('PORTIFÓLIO'!$J$4:$Q$564,,MATCH(L$2,'PORTIFÓLIO'!$J$3:$Q$3,0))) *
N('PORTIFÓLIO'!$S$4:$S$564),
0
)
),
0)</f>
        <v/>
      </c>
      <c r="M91" s="47">
        <f>L91/$L$4</f>
        <v/>
      </c>
      <c r="N91" s="49">
        <f t="array" ref="N91">IFERROR(
SUM(
IF(
'PORTIFÓLIO'!$C$4:$C$564=$A91,
N(INDEX('PORTIFÓLIO'!$J$4:$Q$564,,MATCH(N$2,'PORTIFÓLIO'!$J$3:$Q$3,0))) *
N('PORTIFÓLIO'!$S$4:$S$564),
0
)
),
0)</f>
        <v/>
      </c>
      <c r="O91" s="49">
        <f>N91/$N$4</f>
        <v/>
      </c>
      <c r="P91" s="49">
        <f t="array" ref="P91">IFERROR(
SUM(
IF(
'PORTIFÓLIO'!$C$4:$C$564=$A91,
N(INDEX('PORTIFÓLIO'!$J$4:$Q$564,,MATCH(P$2,'PORTIFÓLIO'!$J$3:$Q$3,0))) *
N('PORTIFÓLIO'!$S$4:$S$564),
0
)
),
0)</f>
        <v/>
      </c>
      <c r="Q91" s="49">
        <f>P91/$P$4</f>
        <v/>
      </c>
      <c r="R91" s="49">
        <f>SUM(P91,N91,L91,J91,H91,D91,B91)</f>
        <v/>
      </c>
      <c r="S91" s="49">
        <f>R91/$R$4</f>
        <v/>
      </c>
    </row>
    <row r="92" hidden="1" outlineLevel="1" ht="15.75" customHeight="1" s="297">
      <c r="A92" s="48">
        <f>IFERROR(__xludf.DUMMYFUNCTION("""COMPUTED_VALUE"""),"GESAPRIM GRDA")</f>
        <v/>
      </c>
      <c r="B92" s="49">
        <f t="array" ref="B92">IFERROR(
SUM(
IF(
'PORTIFÓLIO'!$C$4:$C$564=$A92,
N(INDEX('PORTIFÓLIO'!$J$4:$Q$564,,MATCH(B$2,'PORTIFÓLIO'!$J$3:$Q$3,0))) *
N('PORTIFÓLIO'!$S$4:$S$564),
0
)
),
0)</f>
        <v/>
      </c>
      <c r="C92" s="49">
        <f>B92/$B$4</f>
        <v/>
      </c>
      <c r="D92" s="49">
        <f t="array" ref="D92">IFERROR(
SUM(
IF(
'PORTIFÓLIO'!$C$4:$C$564=$A92,
N(INDEX('PORTIFÓLIO'!$J$4:$Q$564,,MATCH(D$2,'PORTIFÓLIO'!$J$3:$Q$3,0))) *
N('PORTIFÓLIO'!$S$4:$S$564),
0
)
),
0)</f>
        <v/>
      </c>
      <c r="E92" s="49">
        <f>D92/$D$4</f>
        <v/>
      </c>
      <c r="F92" s="49">
        <f t="array" ref="F92">IFERROR(
SUM(
IF(
'PORTIFÓLIO'!$C$4:$C$564=$A92,
N(INDEX('PORTIFÓLIO'!$J$4:$Q$564,,MATCH(F$2,'PORTIFÓLIO'!$J$3:$Q$3,0))) *
N('PORTIFÓLIO'!$S$4:$S$564),
0
)
),
0)</f>
        <v/>
      </c>
      <c r="G92" s="47">
        <f>F92/$F$4</f>
        <v/>
      </c>
      <c r="H92" s="49">
        <f t="array" ref="H92">IFERROR(
SUM(
IF(
'PORTIFÓLIO'!$C$4:$C$564=$A92,
N(INDEX('PORTIFÓLIO'!$J$4:$Q$564,,MATCH(H$2,'PORTIFÓLIO'!$J$3:$Q$3,0))) *
N('PORTIFÓLIO'!$S$4:$S$564),
0
)
),
0)</f>
        <v/>
      </c>
      <c r="I92" s="47">
        <f>H92/$H$4</f>
        <v/>
      </c>
      <c r="J92" s="49">
        <f t="array" ref="J92">IFERROR(
SUM(
IF(
'PORTIFÓLIO'!$C$4:$C$564=$A92,
N(INDEX('PORTIFÓLIO'!$J$4:$Q$564,,MATCH(J$2,'PORTIFÓLIO'!$J$3:$Q$3,0))) *
N('PORTIFÓLIO'!$S$4:$S$564),
0
)
),
0)</f>
        <v/>
      </c>
      <c r="K92" s="47">
        <f>J92/$J$4</f>
        <v/>
      </c>
      <c r="L92" s="49">
        <f t="array" ref="L92">IFERROR(
SUM(
IF(
'PORTIFÓLIO'!$C$4:$C$564=$A92,
N(INDEX('PORTIFÓLIO'!$J$4:$Q$564,,MATCH(L$2,'PORTIFÓLIO'!$J$3:$Q$3,0))) *
N('PORTIFÓLIO'!$S$4:$S$564),
0
)
),
0)</f>
        <v/>
      </c>
      <c r="M92" s="47">
        <f>L92/$L$4</f>
        <v/>
      </c>
      <c r="N92" s="49">
        <f t="array" ref="N92">IFERROR(
SUM(
IF(
'PORTIFÓLIO'!$C$4:$C$564=$A92,
N(INDEX('PORTIFÓLIO'!$J$4:$Q$564,,MATCH(N$2,'PORTIFÓLIO'!$J$3:$Q$3,0))) *
N('PORTIFÓLIO'!$S$4:$S$564),
0
)
),
0)</f>
        <v/>
      </c>
      <c r="O92" s="49">
        <f>N92/$N$4</f>
        <v/>
      </c>
      <c r="P92" s="49">
        <f t="array" ref="P92">IFERROR(
SUM(
IF(
'PORTIFÓLIO'!$C$4:$C$564=$A92,
N(INDEX('PORTIFÓLIO'!$J$4:$Q$564,,MATCH(P$2,'PORTIFÓLIO'!$J$3:$Q$3,0))) *
N('PORTIFÓLIO'!$S$4:$S$564),
0
)
),
0)</f>
        <v/>
      </c>
      <c r="Q92" s="49">
        <f>P92/$P$4</f>
        <v/>
      </c>
      <c r="R92" s="49">
        <f>SUM(P92,N92,L92,J92,H92,D92,B92)</f>
        <v/>
      </c>
      <c r="S92" s="49">
        <f>R92/$R$4</f>
        <v/>
      </c>
    </row>
    <row r="93" hidden="1" outlineLevel="1" ht="15.75" customHeight="1" s="297">
      <c r="A93" s="48">
        <f>IFERROR(__xludf.DUMMYFUNCTION("""COMPUTED_VALUE"""),"PRIMESTRA GOLD")</f>
        <v/>
      </c>
      <c r="B93" s="49">
        <f t="array" ref="B93">IFERROR(
SUM(
IF(
'PORTIFÓLIO'!$C$4:$C$564=$A93,
N(INDEX('PORTIFÓLIO'!$J$4:$Q$564,,MATCH(B$2,'PORTIFÓLIO'!$J$3:$Q$3,0))) *
N('PORTIFÓLIO'!$S$4:$S$564),
0
)
),
0)</f>
        <v/>
      </c>
      <c r="C93" s="49">
        <f>B93/$B$4</f>
        <v/>
      </c>
      <c r="D93" s="49">
        <f t="array" ref="D93">IFERROR(
SUM(
IF(
'PORTIFÓLIO'!$C$4:$C$564=$A93,
N(INDEX('PORTIFÓLIO'!$J$4:$Q$564,,MATCH(D$2,'PORTIFÓLIO'!$J$3:$Q$3,0))) *
N('PORTIFÓLIO'!$S$4:$S$564),
0
)
),
0)</f>
        <v/>
      </c>
      <c r="E93" s="49">
        <f>D93/$D$4</f>
        <v/>
      </c>
      <c r="F93" s="49">
        <f t="array" ref="F93">IFERROR(
SUM(
IF(
'PORTIFÓLIO'!$C$4:$C$564=$A93,
N(INDEX('PORTIFÓLIO'!$J$4:$Q$564,,MATCH(F$2,'PORTIFÓLIO'!$J$3:$Q$3,0))) *
N('PORTIFÓLIO'!$S$4:$S$564),
0
)
),
0)</f>
        <v/>
      </c>
      <c r="G93" s="47">
        <f>F93/$F$4</f>
        <v/>
      </c>
      <c r="H93" s="49">
        <f t="array" ref="H93">IFERROR(
SUM(
IF(
'PORTIFÓLIO'!$C$4:$C$564=$A93,
N(INDEX('PORTIFÓLIO'!$J$4:$Q$564,,MATCH(H$2,'PORTIFÓLIO'!$J$3:$Q$3,0))) *
N('PORTIFÓLIO'!$S$4:$S$564),
0
)
),
0)</f>
        <v/>
      </c>
      <c r="I93" s="47">
        <f>H93/$H$4</f>
        <v/>
      </c>
      <c r="J93" s="49">
        <f t="array" ref="J93">IFERROR(
SUM(
IF(
'PORTIFÓLIO'!$C$4:$C$564=$A93,
N(INDEX('PORTIFÓLIO'!$J$4:$Q$564,,MATCH(J$2,'PORTIFÓLIO'!$J$3:$Q$3,0))) *
N('PORTIFÓLIO'!$S$4:$S$564),
0
)
),
0)</f>
        <v/>
      </c>
      <c r="K93" s="47">
        <f>J93/$J$4</f>
        <v/>
      </c>
      <c r="L93" s="49">
        <f t="array" ref="L93">IFERROR(
SUM(
IF(
'PORTIFÓLIO'!$C$4:$C$564=$A93,
N(INDEX('PORTIFÓLIO'!$J$4:$Q$564,,MATCH(L$2,'PORTIFÓLIO'!$J$3:$Q$3,0))) *
N('PORTIFÓLIO'!$S$4:$S$564),
0
)
),
0)</f>
        <v/>
      </c>
      <c r="M93" s="47">
        <f>L93/$L$4</f>
        <v/>
      </c>
      <c r="N93" s="49">
        <f t="array" ref="N93">IFERROR(
SUM(
IF(
'PORTIFÓLIO'!$C$4:$C$564=$A93,
N(INDEX('PORTIFÓLIO'!$J$4:$Q$564,,MATCH(N$2,'PORTIFÓLIO'!$J$3:$Q$3,0))) *
N('PORTIFÓLIO'!$S$4:$S$564),
0
)
),
0)</f>
        <v/>
      </c>
      <c r="O93" s="49">
        <f>N93/$N$4</f>
        <v/>
      </c>
      <c r="P93" s="49">
        <f t="array" ref="P93">IFERROR(
SUM(
IF(
'PORTIFÓLIO'!$C$4:$C$564=$A93,
N(INDEX('PORTIFÓLIO'!$J$4:$Q$564,,MATCH(P$2,'PORTIFÓLIO'!$J$3:$Q$3,0))) *
N('PORTIFÓLIO'!$S$4:$S$564),
0
)
),
0)</f>
        <v/>
      </c>
      <c r="Q93" s="49">
        <f>P93/$P$4</f>
        <v/>
      </c>
      <c r="R93" s="49">
        <f>SUM(P93,N93,L93,J93,H93,D93,B93)</f>
        <v/>
      </c>
      <c r="S93" s="49">
        <f>R93/$R$4</f>
        <v/>
      </c>
    </row>
    <row r="94" hidden="1" outlineLevel="1" ht="15.75" customHeight="1" s="297">
      <c r="A94" s="48">
        <f>IFERROR(__xludf.DUMMYFUNCTION("""COMPUTED_VALUE"""),"PROOF")</f>
        <v/>
      </c>
      <c r="B94" s="49">
        <f t="array" ref="B94">IFERROR(
SUM(
IF(
'PORTIFÓLIO'!$C$4:$C$564=$A94,
N(INDEX('PORTIFÓLIO'!$J$4:$Q$564,,MATCH(B$2,'PORTIFÓLIO'!$J$3:$Q$3,0))) *
N('PORTIFÓLIO'!$S$4:$S$564),
0
)
),
0)</f>
        <v/>
      </c>
      <c r="C94" s="49">
        <f>B94/$B$4</f>
        <v/>
      </c>
      <c r="D94" s="49">
        <f t="array" ref="D94">IFERROR(
SUM(
IF(
'PORTIFÓLIO'!$C$4:$C$564=$A94,
N(INDEX('PORTIFÓLIO'!$J$4:$Q$564,,MATCH(D$2,'PORTIFÓLIO'!$J$3:$Q$3,0))) *
N('PORTIFÓLIO'!$S$4:$S$564),
0
)
),
0)</f>
        <v/>
      </c>
      <c r="E94" s="49">
        <f>D94/$D$4</f>
        <v/>
      </c>
      <c r="F94" s="49">
        <f t="array" ref="F94">IFERROR(
SUM(
IF(
'PORTIFÓLIO'!$C$4:$C$564=$A94,
N(INDEX('PORTIFÓLIO'!$J$4:$Q$564,,MATCH(F$2,'PORTIFÓLIO'!$J$3:$Q$3,0))) *
N('PORTIFÓLIO'!$S$4:$S$564),
0
)
),
0)</f>
        <v/>
      </c>
      <c r="G94" s="47">
        <f>F94/$F$4</f>
        <v/>
      </c>
      <c r="H94" s="49">
        <f t="array" ref="H94">IFERROR(
SUM(
IF(
'PORTIFÓLIO'!$C$4:$C$564=$A94,
N(INDEX('PORTIFÓLIO'!$J$4:$Q$564,,MATCH(H$2,'PORTIFÓLIO'!$J$3:$Q$3,0))) *
N('PORTIFÓLIO'!$S$4:$S$564),
0
)
),
0)</f>
        <v/>
      </c>
      <c r="I94" s="47">
        <f>H94/$H$4</f>
        <v/>
      </c>
      <c r="J94" s="49">
        <f t="array" ref="J94">IFERROR(
SUM(
IF(
'PORTIFÓLIO'!$C$4:$C$564=$A94,
N(INDEX('PORTIFÓLIO'!$J$4:$Q$564,,MATCH(J$2,'PORTIFÓLIO'!$J$3:$Q$3,0))) *
N('PORTIFÓLIO'!$S$4:$S$564),
0
)
),
0)</f>
        <v/>
      </c>
      <c r="K94" s="47">
        <f>J94/$J$4</f>
        <v/>
      </c>
      <c r="L94" s="49">
        <f t="array" ref="L94">IFERROR(
SUM(
IF(
'PORTIFÓLIO'!$C$4:$C$564=$A94,
N(INDEX('PORTIFÓLIO'!$J$4:$Q$564,,MATCH(L$2,'PORTIFÓLIO'!$J$3:$Q$3,0))) *
N('PORTIFÓLIO'!$S$4:$S$564),
0
)
),
0)</f>
        <v/>
      </c>
      <c r="M94" s="47">
        <f>L94/$L$4</f>
        <v/>
      </c>
      <c r="N94" s="49">
        <f t="array" ref="N94">IFERROR(
SUM(
IF(
'PORTIFÓLIO'!$C$4:$C$564=$A94,
N(INDEX('PORTIFÓLIO'!$J$4:$Q$564,,MATCH(N$2,'PORTIFÓLIO'!$J$3:$Q$3,0))) *
N('PORTIFÓLIO'!$S$4:$S$564),
0
)
),
0)</f>
        <v/>
      </c>
      <c r="O94" s="49">
        <f>N94/$N$4</f>
        <v/>
      </c>
      <c r="P94" s="49">
        <f t="array" ref="P94">IFERROR(
SUM(
IF(
'PORTIFÓLIO'!$C$4:$C$564=$A94,
N(INDEX('PORTIFÓLIO'!$J$4:$Q$564,,MATCH(P$2,'PORTIFÓLIO'!$J$3:$Q$3,0))) *
N('PORTIFÓLIO'!$S$4:$S$564),
0
)
),
0)</f>
        <v/>
      </c>
      <c r="Q94" s="49">
        <f>P94/$P$4</f>
        <v/>
      </c>
      <c r="R94" s="49">
        <f>SUM(P94,N94,L94,J94,H94,D94,B94)</f>
        <v/>
      </c>
      <c r="S94" s="49">
        <f>R94/$R$4</f>
        <v/>
      </c>
    </row>
    <row r="95" hidden="1" outlineLevel="1" ht="15.75" customHeight="1" s="297">
      <c r="A95" s="48">
        <f>IFERROR(__xludf.DUMMYFUNCTION("""COMPUTED_VALUE"""),"REGLONE")</f>
        <v/>
      </c>
      <c r="B95" s="49">
        <f t="array" ref="B95">IFERROR(
SUM(
IF(
'PORTIFÓLIO'!$C$4:$C$564=$A95,
N(INDEX('PORTIFÓLIO'!$J$4:$Q$564,,MATCH(B$2,'PORTIFÓLIO'!$J$3:$Q$3,0))) *
N('PORTIFÓLIO'!$S$4:$S$564),
0
)
),
0)</f>
        <v/>
      </c>
      <c r="C95" s="49">
        <f>B95/$B$4</f>
        <v/>
      </c>
      <c r="D95" s="49">
        <f t="array" ref="D95">IFERROR(
SUM(
IF(
'PORTIFÓLIO'!$C$4:$C$564=$A95,
N(INDEX('PORTIFÓLIO'!$J$4:$Q$564,,MATCH(D$2,'PORTIFÓLIO'!$J$3:$Q$3,0))) *
N('PORTIFÓLIO'!$S$4:$S$564),
0
)
),
0)</f>
        <v/>
      </c>
      <c r="E95" s="49">
        <f>D95/$D$4</f>
        <v/>
      </c>
      <c r="F95" s="49">
        <f t="array" ref="F95">IFERROR(
SUM(
IF(
'PORTIFÓLIO'!$C$4:$C$564=$A95,
N(INDEX('PORTIFÓLIO'!$J$4:$Q$564,,MATCH(F$2,'PORTIFÓLIO'!$J$3:$Q$3,0))) *
N('PORTIFÓLIO'!$S$4:$S$564),
0
)
),
0)</f>
        <v/>
      </c>
      <c r="G95" s="47">
        <f>F95/$F$4</f>
        <v/>
      </c>
      <c r="H95" s="49">
        <f t="array" ref="H95">IFERROR(
SUM(
IF(
'PORTIFÓLIO'!$C$4:$C$564=$A95,
N(INDEX('PORTIFÓLIO'!$J$4:$Q$564,,MATCH(H$2,'PORTIFÓLIO'!$J$3:$Q$3,0))) *
N('PORTIFÓLIO'!$S$4:$S$564),
0
)
),
0)</f>
        <v/>
      </c>
      <c r="I95" s="47">
        <f>H95/$H$4</f>
        <v/>
      </c>
      <c r="J95" s="49">
        <f t="array" ref="J95">IFERROR(
SUM(
IF(
'PORTIFÓLIO'!$C$4:$C$564=$A95,
N(INDEX('PORTIFÓLIO'!$J$4:$Q$564,,MATCH(J$2,'PORTIFÓLIO'!$J$3:$Q$3,0))) *
N('PORTIFÓLIO'!$S$4:$S$564),
0
)
),
0)</f>
        <v/>
      </c>
      <c r="K95" s="47">
        <f>J95/$J$4</f>
        <v/>
      </c>
      <c r="L95" s="49">
        <f t="array" ref="L95">IFERROR(
SUM(
IF(
'PORTIFÓLIO'!$C$4:$C$564=$A95,
N(INDEX('PORTIFÓLIO'!$J$4:$Q$564,,MATCH(L$2,'PORTIFÓLIO'!$J$3:$Q$3,0))) *
N('PORTIFÓLIO'!$S$4:$S$564),
0
)
),
0)</f>
        <v/>
      </c>
      <c r="M95" s="47">
        <f>L95/$L$4</f>
        <v/>
      </c>
      <c r="N95" s="49">
        <f t="array" ref="N95">IFERROR(
SUM(
IF(
'PORTIFÓLIO'!$C$4:$C$564=$A95,
N(INDEX('PORTIFÓLIO'!$J$4:$Q$564,,MATCH(N$2,'PORTIFÓLIO'!$J$3:$Q$3,0))) *
N('PORTIFÓLIO'!$S$4:$S$564),
0
)
),
0)</f>
        <v/>
      </c>
      <c r="O95" s="49">
        <f>N95/$N$4</f>
        <v/>
      </c>
      <c r="P95" s="49">
        <f t="array" ref="P95">IFERROR(
SUM(
IF(
'PORTIFÓLIO'!$C$4:$C$564=$A95,
N(INDEX('PORTIFÓLIO'!$J$4:$Q$564,,MATCH(P$2,'PORTIFÓLIO'!$J$3:$Q$3,0))) *
N('PORTIFÓLIO'!$S$4:$S$564),
0
)
),
0)</f>
        <v/>
      </c>
      <c r="Q95" s="49">
        <f>P95/$P$4</f>
        <v/>
      </c>
      <c r="R95" s="49">
        <f>SUM(P95,N95,L95,J95,H95,D95,B95)</f>
        <v/>
      </c>
      <c r="S95" s="49">
        <f>R95/$R$4</f>
        <v/>
      </c>
    </row>
    <row r="96" hidden="1" outlineLevel="1" ht="15.75" customHeight="1" s="297">
      <c r="A96" s="48">
        <f>IFERROR(__xludf.DUMMYFUNCTION("""COMPUTED_VALUE"""),"TOPIK 240 EC")</f>
        <v/>
      </c>
      <c r="B96" s="49">
        <f t="array" ref="B96">IFERROR(
SUM(
IF(
'PORTIFÓLIO'!$C$4:$C$564=$A96,
N(INDEX('PORTIFÓLIO'!$J$4:$Q$564,,MATCH(B$2,'PORTIFÓLIO'!$J$3:$Q$3,0))) *
N('PORTIFÓLIO'!$S$4:$S$564),
0
)
),
0)</f>
        <v/>
      </c>
      <c r="C96" s="49">
        <f>B96/$B$4</f>
        <v/>
      </c>
      <c r="D96" s="49">
        <f t="array" ref="D96">IFERROR(
SUM(
IF(
'PORTIFÓLIO'!$C$4:$C$564=$A96,
N(INDEX('PORTIFÓLIO'!$J$4:$Q$564,,MATCH(D$2,'PORTIFÓLIO'!$J$3:$Q$3,0))) *
N('PORTIFÓLIO'!$S$4:$S$564),
0
)
),
0)</f>
        <v/>
      </c>
      <c r="E96" s="49">
        <f>D96/$D$4</f>
        <v/>
      </c>
      <c r="F96" s="49">
        <f t="array" ref="F96">IFERROR(
SUM(
IF(
'PORTIFÓLIO'!$C$4:$C$564=$A96,
N(INDEX('PORTIFÓLIO'!$J$4:$Q$564,,MATCH(F$2,'PORTIFÓLIO'!$J$3:$Q$3,0))) *
N('PORTIFÓLIO'!$S$4:$S$564),
0
)
),
0)</f>
        <v/>
      </c>
      <c r="G96" s="47">
        <f>F96/$F$4</f>
        <v/>
      </c>
      <c r="H96" s="49">
        <f t="array" ref="H96">IFERROR(
SUM(
IF(
'PORTIFÓLIO'!$C$4:$C$564=$A96,
N(INDEX('PORTIFÓLIO'!$J$4:$Q$564,,MATCH(H$2,'PORTIFÓLIO'!$J$3:$Q$3,0))) *
N('PORTIFÓLIO'!$S$4:$S$564),
0
)
),
0)</f>
        <v/>
      </c>
      <c r="I96" s="47">
        <f>H96/$H$4</f>
        <v/>
      </c>
      <c r="J96" s="49">
        <f t="array" ref="J96">IFERROR(
SUM(
IF(
'PORTIFÓLIO'!$C$4:$C$564=$A96,
N(INDEX('PORTIFÓLIO'!$J$4:$Q$564,,MATCH(J$2,'PORTIFÓLIO'!$J$3:$Q$3,0))) *
N('PORTIFÓLIO'!$S$4:$S$564),
0
)
),
0)</f>
        <v/>
      </c>
      <c r="K96" s="47">
        <f>J96/$J$4</f>
        <v/>
      </c>
      <c r="L96" s="49">
        <f t="array" ref="L96">IFERROR(
SUM(
IF(
'PORTIFÓLIO'!$C$4:$C$564=$A96,
N(INDEX('PORTIFÓLIO'!$J$4:$Q$564,,MATCH(L$2,'PORTIFÓLIO'!$J$3:$Q$3,0))) *
N('PORTIFÓLIO'!$S$4:$S$564),
0
)
),
0)</f>
        <v/>
      </c>
      <c r="M96" s="47">
        <f>L96/$L$4</f>
        <v/>
      </c>
      <c r="N96" s="49">
        <f t="array" ref="N96">IFERROR(
SUM(
IF(
'PORTIFÓLIO'!$C$4:$C$564=$A96,
N(INDEX('PORTIFÓLIO'!$J$4:$Q$564,,MATCH(N$2,'PORTIFÓLIO'!$J$3:$Q$3,0))) *
N('PORTIFÓLIO'!$S$4:$S$564),
0
)
),
0)</f>
        <v/>
      </c>
      <c r="O96" s="49">
        <f>N96/$N$4</f>
        <v/>
      </c>
      <c r="P96" s="49">
        <f t="array" ref="P96">IFERROR(
SUM(
IF(
'PORTIFÓLIO'!$C$4:$C$564=$A96,
N(INDEX('PORTIFÓLIO'!$J$4:$Q$564,,MATCH(P$2,'PORTIFÓLIO'!$J$3:$Q$3,0))) *
N('PORTIFÓLIO'!$S$4:$S$564),
0
)
),
0)</f>
        <v/>
      </c>
      <c r="Q96" s="49">
        <f>P96/$P$4</f>
        <v/>
      </c>
      <c r="R96" s="49">
        <f>SUM(P96,N96,L96,J96,H96,D96,B96)</f>
        <v/>
      </c>
      <c r="S96" s="49">
        <f>R96/$R$4</f>
        <v/>
      </c>
    </row>
    <row r="97" hidden="1" outlineLevel="1" ht="15.75" customHeight="1" s="297">
      <c r="A97" s="48">
        <f>IFERROR(__xludf.DUMMYFUNCTION("""COMPUTED_VALUE"""),"ZAPP QI 620")</f>
        <v/>
      </c>
      <c r="B97" s="49">
        <f t="array" ref="B97">IFERROR(
SUM(
IF(
'PORTIFÓLIO'!$C$4:$C$564=$A97,
N(INDEX('PORTIFÓLIO'!$J$4:$Q$564,,MATCH(B$2,'PORTIFÓLIO'!$J$3:$Q$3,0))) *
N('PORTIFÓLIO'!$S$4:$S$564),
0
)
),
0)</f>
        <v/>
      </c>
      <c r="C97" s="49">
        <f>B97/$B$4</f>
        <v/>
      </c>
      <c r="D97" s="49">
        <f t="array" ref="D97">IFERROR(
SUM(
IF(
'PORTIFÓLIO'!$C$4:$C$564=$A97,
N(INDEX('PORTIFÓLIO'!$J$4:$Q$564,,MATCH(D$2,'PORTIFÓLIO'!$J$3:$Q$3,0))) *
N('PORTIFÓLIO'!$S$4:$S$564),
0
)
),
0)</f>
        <v/>
      </c>
      <c r="E97" s="49">
        <f>D97/$D$4</f>
        <v/>
      </c>
      <c r="F97" s="49">
        <f t="array" ref="F97">IFERROR(
SUM(
IF(
'PORTIFÓLIO'!$C$4:$C$564=$A97,
N(INDEX('PORTIFÓLIO'!$J$4:$Q$564,,MATCH(F$2,'PORTIFÓLIO'!$J$3:$Q$3,0))) *
N('PORTIFÓLIO'!$S$4:$S$564),
0
)
),
0)</f>
        <v/>
      </c>
      <c r="G97" s="47">
        <f>F97/$F$4</f>
        <v/>
      </c>
      <c r="H97" s="49">
        <f t="array" ref="H97">IFERROR(
SUM(
IF(
'PORTIFÓLIO'!$C$4:$C$564=$A97,
N(INDEX('PORTIFÓLIO'!$J$4:$Q$564,,MATCH(H$2,'PORTIFÓLIO'!$J$3:$Q$3,0))) *
N('PORTIFÓLIO'!$S$4:$S$564),
0
)
),
0)</f>
        <v/>
      </c>
      <c r="I97" s="47">
        <f>H97/$H$4</f>
        <v/>
      </c>
      <c r="J97" s="49">
        <f t="array" ref="J97">IFERROR(
SUM(
IF(
'PORTIFÓLIO'!$C$4:$C$564=$A97,
N(INDEX('PORTIFÓLIO'!$J$4:$Q$564,,MATCH(J$2,'PORTIFÓLIO'!$J$3:$Q$3,0))) *
N('PORTIFÓLIO'!$S$4:$S$564),
0
)
),
0)</f>
        <v/>
      </c>
      <c r="K97" s="47">
        <f>J97/$J$4</f>
        <v/>
      </c>
      <c r="L97" s="49">
        <f t="array" ref="L97">IFERROR(
SUM(
IF(
'PORTIFÓLIO'!$C$4:$C$564=$A97,
N(INDEX('PORTIFÓLIO'!$J$4:$Q$564,,MATCH(L$2,'PORTIFÓLIO'!$J$3:$Q$3,0))) *
N('PORTIFÓLIO'!$S$4:$S$564),
0
)
),
0)</f>
        <v/>
      </c>
      <c r="M97" s="47">
        <f>L97/$L$4</f>
        <v/>
      </c>
      <c r="N97" s="49">
        <f t="array" ref="N97">IFERROR(
SUM(
IF(
'PORTIFÓLIO'!$C$4:$C$564=$A97,
N(INDEX('PORTIFÓLIO'!$J$4:$Q$564,,MATCH(N$2,'PORTIFÓLIO'!$J$3:$Q$3,0))) *
N('PORTIFÓLIO'!$S$4:$S$564),
0
)
),
0)</f>
        <v/>
      </c>
      <c r="O97" s="49">
        <f>N97/$N$4</f>
        <v/>
      </c>
      <c r="P97" s="49">
        <f t="array" ref="P97">IFERROR(
SUM(
IF(
'PORTIFÓLIO'!$C$4:$C$564=$A97,
N(INDEX('PORTIFÓLIO'!$J$4:$Q$564,,MATCH(P$2,'PORTIFÓLIO'!$J$3:$Q$3,0))) *
N('PORTIFÓLIO'!$S$4:$S$564),
0
)
),
0)</f>
        <v/>
      </c>
      <c r="Q97" s="49">
        <f>P97/$P$4</f>
        <v/>
      </c>
      <c r="R97" s="49">
        <f>SUM(P97,N97,L97,J97,H97,D97,B97)</f>
        <v/>
      </c>
      <c r="S97" s="49">
        <f>R97/$R$4</f>
        <v/>
      </c>
    </row>
    <row r="98" hidden="1" outlineLevel="1" ht="15.75" customHeight="1" s="297">
      <c r="A98" s="48">
        <f>IFERROR(__xludf.DUMMYFUNCTION("""COMPUTED_VALUE"""),"MINOS CAPS 360 CS")</f>
        <v/>
      </c>
      <c r="B98" s="49">
        <f t="array" ref="B98">IFERROR(
SUM(
IF(
'PORTIFÓLIO'!$C$4:$C$564=$A98,
N(INDEX('PORTIFÓLIO'!$J$4:$Q$564,,MATCH(B$2,'PORTIFÓLIO'!$J$3:$Q$3,0))) *
N('PORTIFÓLIO'!$S$4:$S$564),
0
)
),
0)</f>
        <v/>
      </c>
      <c r="C98" s="49">
        <f>B98/$B$4</f>
        <v/>
      </c>
      <c r="D98" s="49">
        <f t="array" ref="D98">IFERROR(
SUM(
IF(
'PORTIFÓLIO'!$C$4:$C$564=$A98,
N(INDEX('PORTIFÓLIO'!$J$4:$Q$564,,MATCH(D$2,'PORTIFÓLIO'!$J$3:$Q$3,0))) *
N('PORTIFÓLIO'!$S$4:$S$564),
0
)
),
0)</f>
        <v/>
      </c>
      <c r="E98" s="49">
        <f>D98/$D$4</f>
        <v/>
      </c>
      <c r="F98" s="49">
        <f t="array" ref="F98">IFERROR(
SUM(
IF(
'PORTIFÓLIO'!$C$4:$C$564=$A98,
N(INDEX('PORTIFÓLIO'!$J$4:$Q$564,,MATCH(F$2,'PORTIFÓLIO'!$J$3:$Q$3,0))) *
N('PORTIFÓLIO'!$S$4:$S$564),
0
)
),
0)</f>
        <v/>
      </c>
      <c r="G98" s="47">
        <f>F98/$F$4</f>
        <v/>
      </c>
      <c r="H98" s="49">
        <f t="array" ref="H98">IFERROR(
SUM(
IF(
'PORTIFÓLIO'!$C$4:$C$564=$A98,
N(INDEX('PORTIFÓLIO'!$J$4:$Q$564,,MATCH(H$2,'PORTIFÓLIO'!$J$3:$Q$3,0))) *
N('PORTIFÓLIO'!$S$4:$S$564),
0
)
),
0)</f>
        <v/>
      </c>
      <c r="I98" s="47">
        <f>H98/$H$4</f>
        <v/>
      </c>
      <c r="J98" s="49">
        <f t="array" ref="J98">IFERROR(
SUM(
IF(
'PORTIFÓLIO'!$C$4:$C$564=$A98,
N(INDEX('PORTIFÓLIO'!$J$4:$Q$564,,MATCH(J$2,'PORTIFÓLIO'!$J$3:$Q$3,0))) *
N('PORTIFÓLIO'!$S$4:$S$564),
0
)
),
0)</f>
        <v/>
      </c>
      <c r="K98" s="47">
        <f>J98/$J$4</f>
        <v/>
      </c>
      <c r="L98" s="49">
        <f t="array" ref="L98">IFERROR(
SUM(
IF(
'PORTIFÓLIO'!$C$4:$C$564=$A98,
N(INDEX('PORTIFÓLIO'!$J$4:$Q$564,,MATCH(L$2,'PORTIFÓLIO'!$J$3:$Q$3,0))) *
N('PORTIFÓLIO'!$S$4:$S$564),
0
)
),
0)</f>
        <v/>
      </c>
      <c r="M98" s="47">
        <f>L98/$L$4</f>
        <v/>
      </c>
      <c r="N98" s="49">
        <f t="array" ref="N98">IFERROR(
SUM(
IF(
'PORTIFÓLIO'!$C$4:$C$564=$A98,
N(INDEX('PORTIFÓLIO'!$J$4:$Q$564,,MATCH(N$2,'PORTIFÓLIO'!$J$3:$Q$3,0))) *
N('PORTIFÓLIO'!$S$4:$S$564),
0
)
),
0)</f>
        <v/>
      </c>
      <c r="O98" s="49">
        <f>N98/$N$4</f>
        <v/>
      </c>
      <c r="P98" s="49">
        <f t="array" ref="P98">IFERROR(
SUM(
IF(
'PORTIFÓLIO'!$C$4:$C$564=$A98,
N(INDEX('PORTIFÓLIO'!$J$4:$Q$564,,MATCH(P$2,'PORTIFÓLIO'!$J$3:$Q$3,0))) *
N('PORTIFÓLIO'!$S$4:$S$564),
0
)
),
0)</f>
        <v/>
      </c>
      <c r="Q98" s="49">
        <f>P98/$P$4</f>
        <v/>
      </c>
      <c r="R98" s="49">
        <f>SUM(P98,N98,L98,J98,H98,D98,B98)</f>
        <v/>
      </c>
      <c r="S98" s="49">
        <f>R98/$R$4</f>
        <v/>
      </c>
    </row>
    <row r="99" hidden="1" outlineLevel="1" ht="15.75" customHeight="1" s="297">
      <c r="A99" s="48" t="n"/>
      <c r="B99" s="49">
        <f t="array" ref="B99">IFERROR(
SUM(
IF(
'PORTIFÓLIO'!$C$4:$C$564=$A99,
N(INDEX('PORTIFÓLIO'!$J$4:$Q$564,,MATCH(B$2,'PORTIFÓLIO'!$J$3:$Q$3,0))) *
N('PORTIFÓLIO'!$S$4:$S$564),
0
)
),
0)</f>
        <v/>
      </c>
      <c r="C99" s="49">
        <f>B99/$B$4</f>
        <v/>
      </c>
      <c r="D99" s="49">
        <f t="array" ref="D99">IFERROR(
SUM(
IF(
'PORTIFÓLIO'!$C$4:$C$564=$A99,
N(INDEX('PORTIFÓLIO'!$J$4:$Q$564,,MATCH(D$2,'PORTIFÓLIO'!$J$3:$Q$3,0))) *
N('PORTIFÓLIO'!$S$4:$S$564),
0
)
),
0)</f>
        <v/>
      </c>
      <c r="E99" s="49">
        <f>D99/$D$4</f>
        <v/>
      </c>
      <c r="F99" s="49">
        <f t="array" ref="F99">IFERROR(
SUM(
IF(
'PORTIFÓLIO'!$C$4:$C$564=$A99,
N(INDEX('PORTIFÓLIO'!$J$4:$Q$564,,MATCH(F$2,'PORTIFÓLIO'!$J$3:$Q$3,0))) *
N('PORTIFÓLIO'!$S$4:$S$564),
0
)
),
0)</f>
        <v/>
      </c>
      <c r="G99" s="47">
        <f>F99/$F$4</f>
        <v/>
      </c>
      <c r="H99" s="49">
        <f t="array" ref="H99">IFERROR(
SUM(
IF(
'PORTIFÓLIO'!$C$4:$C$564=$A99,
N(INDEX('PORTIFÓLIO'!$J$4:$Q$564,,MATCH(H$2,'PORTIFÓLIO'!$J$3:$Q$3,0))) *
N('PORTIFÓLIO'!$S$4:$S$564),
0
)
),
0)</f>
        <v/>
      </c>
      <c r="I99" s="47">
        <f>H99/$H$4</f>
        <v/>
      </c>
      <c r="J99" s="49">
        <f t="array" ref="J99">IFERROR(
SUM(
IF(
'PORTIFÓLIO'!$C$4:$C$564=$A99,
N(INDEX('PORTIFÓLIO'!$J$4:$Q$564,,MATCH(J$2,'PORTIFÓLIO'!$J$3:$Q$3,0))) *
N('PORTIFÓLIO'!$S$4:$S$564),
0
)
),
0)</f>
        <v/>
      </c>
      <c r="K99" s="47">
        <f>J99/$J$4</f>
        <v/>
      </c>
      <c r="L99" s="49">
        <f t="array" ref="L99">IFERROR(
SUM(
IF(
'PORTIFÓLIO'!$C$4:$C$564=$A99,
N(INDEX('PORTIFÓLIO'!$J$4:$Q$564,,MATCH(L$2,'PORTIFÓLIO'!$J$3:$Q$3,0))) *
N('PORTIFÓLIO'!$S$4:$S$564),
0
)
),
0)</f>
        <v/>
      </c>
      <c r="M99" s="47">
        <f>L99/$L$4</f>
        <v/>
      </c>
      <c r="N99" s="49">
        <f t="array" ref="N99">IFERROR(
SUM(
IF(
'PORTIFÓLIO'!$C$4:$C$564=$A99,
N(INDEX('PORTIFÓLIO'!$J$4:$Q$564,,MATCH(N$2,'PORTIFÓLIO'!$J$3:$Q$3,0))) *
N('PORTIFÓLIO'!$S$4:$S$564),
0
)
),
0)</f>
        <v/>
      </c>
      <c r="O99" s="49">
        <f>N99/$N$4</f>
        <v/>
      </c>
      <c r="P99" s="49">
        <f t="array" ref="P99">IFERROR(
SUM(
IF(
'PORTIFÓLIO'!$C$4:$C$564=$A99,
N(INDEX('PORTIFÓLIO'!$J$4:$Q$564,,MATCH(P$2,'PORTIFÓLIO'!$J$3:$Q$3,0))) *
N('PORTIFÓLIO'!$S$4:$S$564),
0
)
),
0)</f>
        <v/>
      </c>
      <c r="Q99" s="49">
        <f>P99/$P$4</f>
        <v/>
      </c>
      <c r="R99" s="49">
        <f>SUM(P99,N99,L99,J99,H99,D99,B99)</f>
        <v/>
      </c>
      <c r="S99" s="49">
        <f>R99/$R$4</f>
        <v/>
      </c>
    </row>
    <row r="100" hidden="1" outlineLevel="1" ht="15.75" customHeight="1" s="297">
      <c r="A100" s="48" t="n"/>
      <c r="B100" s="49">
        <f t="array" ref="B100">IFERROR(
SUM(
IF(
'PORTIFÓLIO'!$C$4:$C$564=$A100,
N(INDEX('PORTIFÓLIO'!$J$4:$Q$564,,MATCH(B$2,'PORTIFÓLIO'!$J$3:$Q$3,0))) *
N('PORTIFÓLIO'!$S$4:$S$564),
0
)
),
0)</f>
        <v/>
      </c>
      <c r="C100" s="49">
        <f>B100/$B$4</f>
        <v/>
      </c>
      <c r="D100" s="49">
        <f t="array" ref="D100">IFERROR(
SUM(
IF(
'PORTIFÓLIO'!$C$4:$C$564=$A100,
N(INDEX('PORTIFÓLIO'!$J$4:$Q$564,,MATCH(D$2,'PORTIFÓLIO'!$J$3:$Q$3,0))) *
N('PORTIFÓLIO'!$S$4:$S$564),
0
)
),
0)</f>
        <v/>
      </c>
      <c r="E100" s="49">
        <f>D100/$D$4</f>
        <v/>
      </c>
      <c r="F100" s="49">
        <f t="array" ref="F100">IFERROR(
SUM(
IF(
'PORTIFÓLIO'!$C$4:$C$564=$A100,
N(INDEX('PORTIFÓLIO'!$J$4:$Q$564,,MATCH(F$2,'PORTIFÓLIO'!$J$3:$Q$3,0))) *
N('PORTIFÓLIO'!$S$4:$S$564),
0
)
),
0)</f>
        <v/>
      </c>
      <c r="G100" s="47">
        <f>F100/$F$4</f>
        <v/>
      </c>
      <c r="H100" s="49">
        <f t="array" ref="H100">IFERROR(
SUM(
IF(
'PORTIFÓLIO'!$C$4:$C$564=$A100,
N(INDEX('PORTIFÓLIO'!$J$4:$Q$564,,MATCH(H$2,'PORTIFÓLIO'!$J$3:$Q$3,0))) *
N('PORTIFÓLIO'!$S$4:$S$564),
0
)
),
0)</f>
        <v/>
      </c>
      <c r="I100" s="47">
        <f>H100/$H$4</f>
        <v/>
      </c>
      <c r="J100" s="49">
        <f t="array" ref="J100">IFERROR(
SUM(
IF(
'PORTIFÓLIO'!$C$4:$C$564=$A100,
N(INDEX('PORTIFÓLIO'!$J$4:$Q$564,,MATCH(J$2,'PORTIFÓLIO'!$J$3:$Q$3,0))) *
N('PORTIFÓLIO'!$S$4:$S$564),
0
)
),
0)</f>
        <v/>
      </c>
      <c r="K100" s="47">
        <f>J100/$J$4</f>
        <v/>
      </c>
      <c r="L100" s="49">
        <f t="array" ref="L100">IFERROR(
SUM(
IF(
'PORTIFÓLIO'!$C$4:$C$564=$A100,
N(INDEX('PORTIFÓLIO'!$J$4:$Q$564,,MATCH(L$2,'PORTIFÓLIO'!$J$3:$Q$3,0))) *
N('PORTIFÓLIO'!$S$4:$S$564),
0
)
),
0)</f>
        <v/>
      </c>
      <c r="M100" s="47">
        <f>L100/$L$4</f>
        <v/>
      </c>
      <c r="N100" s="49">
        <f t="array" ref="N100">IFERROR(
SUM(
IF(
'PORTIFÓLIO'!$C$4:$C$564=$A100,
N(INDEX('PORTIFÓLIO'!$J$4:$Q$564,,MATCH(N$2,'PORTIFÓLIO'!$J$3:$Q$3,0))) *
N('PORTIFÓLIO'!$S$4:$S$564),
0
)
),
0)</f>
        <v/>
      </c>
      <c r="O100" s="49">
        <f>N100/$N$4</f>
        <v/>
      </c>
      <c r="P100" s="49">
        <f t="array" ref="P100">IFERROR(
SUM(
IF(
'PORTIFÓLIO'!$C$4:$C$564=$A100,
N(INDEX('PORTIFÓLIO'!$J$4:$Q$564,,MATCH(P$2,'PORTIFÓLIO'!$J$3:$Q$3,0))) *
N('PORTIFÓLIO'!$S$4:$S$564),
0
)
),
0)</f>
        <v/>
      </c>
      <c r="Q100" s="49">
        <f>P100/$P$4</f>
        <v/>
      </c>
      <c r="R100" s="49">
        <f>SUM(P100,N100,L100,J100,H100,D100,B100)</f>
        <v/>
      </c>
      <c r="S100" s="49">
        <f>R100/$R$4</f>
        <v/>
      </c>
    </row>
    <row r="101" hidden="1" outlineLevel="1" ht="15.75" customHeight="1" s="297">
      <c r="A101" s="48" t="n"/>
      <c r="B101" s="49">
        <f t="array" ref="B101">IFERROR(
SUM(
IF(
'PORTIFÓLIO'!$C$4:$C$564=$A101,
N(INDEX('PORTIFÓLIO'!$J$4:$Q$564,,MATCH(B$2,'PORTIFÓLIO'!$J$3:$Q$3,0))) *
N('PORTIFÓLIO'!$S$4:$S$564),
0
)
),
0)</f>
        <v/>
      </c>
      <c r="C101" s="49">
        <f>B101/$B$4</f>
        <v/>
      </c>
      <c r="D101" s="49">
        <f t="array" ref="D101">IFERROR(
SUM(
IF(
'PORTIFÓLIO'!$C$4:$C$564=$A101,
N(INDEX('PORTIFÓLIO'!$J$4:$Q$564,,MATCH(D$2,'PORTIFÓLIO'!$J$3:$Q$3,0))) *
N('PORTIFÓLIO'!$S$4:$S$564),
0
)
),
0)</f>
        <v/>
      </c>
      <c r="E101" s="49">
        <f>D101/$D$4</f>
        <v/>
      </c>
      <c r="F101" s="49">
        <f t="array" ref="F101">IFERROR(
SUM(
IF(
'PORTIFÓLIO'!$C$4:$C$564=$A101,
N(INDEX('PORTIFÓLIO'!$J$4:$Q$564,,MATCH(F$2,'PORTIFÓLIO'!$J$3:$Q$3,0))) *
N('PORTIFÓLIO'!$S$4:$S$564),
0
)
),
0)</f>
        <v/>
      </c>
      <c r="G101" s="47">
        <f>F101/$F$4</f>
        <v/>
      </c>
      <c r="H101" s="49">
        <f t="array" ref="H101">IFERROR(
SUM(
IF(
'PORTIFÓLIO'!$C$4:$C$564=$A101,
N(INDEX('PORTIFÓLIO'!$J$4:$Q$564,,MATCH(H$2,'PORTIFÓLIO'!$J$3:$Q$3,0))) *
N('PORTIFÓLIO'!$S$4:$S$564),
0
)
),
0)</f>
        <v/>
      </c>
      <c r="I101" s="47">
        <f>H101/$H$4</f>
        <v/>
      </c>
      <c r="J101" s="49">
        <f t="array" ref="J101">IFERROR(
SUM(
IF(
'PORTIFÓLIO'!$C$4:$C$564=$A101,
N(INDEX('PORTIFÓLIO'!$J$4:$Q$564,,MATCH(J$2,'PORTIFÓLIO'!$J$3:$Q$3,0))) *
N('PORTIFÓLIO'!$S$4:$S$564),
0
)
),
0)</f>
        <v/>
      </c>
      <c r="K101" s="47">
        <f>J101/$J$4</f>
        <v/>
      </c>
      <c r="L101" s="49">
        <f t="array" ref="L101">IFERROR(
SUM(
IF(
'PORTIFÓLIO'!$C$4:$C$564=$A101,
N(INDEX('PORTIFÓLIO'!$J$4:$Q$564,,MATCH(L$2,'PORTIFÓLIO'!$J$3:$Q$3,0))) *
N('PORTIFÓLIO'!$S$4:$S$564),
0
)
),
0)</f>
        <v/>
      </c>
      <c r="M101" s="47">
        <f>L101/$L$4</f>
        <v/>
      </c>
      <c r="N101" s="49">
        <f t="array" ref="N101">IFERROR(
SUM(
IF(
'PORTIFÓLIO'!$C$4:$C$564=$A101,
N(INDEX('PORTIFÓLIO'!$J$4:$Q$564,,MATCH(N$2,'PORTIFÓLIO'!$J$3:$Q$3,0))) *
N('PORTIFÓLIO'!$S$4:$S$564),
0
)
),
0)</f>
        <v/>
      </c>
      <c r="O101" s="49">
        <f>N101/$N$4</f>
        <v/>
      </c>
      <c r="P101" s="49">
        <f t="array" ref="P101">IFERROR(
SUM(
IF(
'PORTIFÓLIO'!$C$4:$C$564=$A101,
N(INDEX('PORTIFÓLIO'!$J$4:$Q$564,,MATCH(P$2,'PORTIFÓLIO'!$J$3:$Q$3,0))) *
N('PORTIFÓLIO'!$S$4:$S$564),
0
)
),
0)</f>
        <v/>
      </c>
      <c r="Q101" s="49">
        <f>P101/$P$4</f>
        <v/>
      </c>
      <c r="R101" s="49">
        <f>SUM(P101,N101,L101,J101,H101,D101,B101)</f>
        <v/>
      </c>
      <c r="S101" s="49">
        <f>R101/$R$4</f>
        <v/>
      </c>
    </row>
    <row r="102" hidden="1" outlineLevel="1" ht="15.75" customHeight="1" s="297">
      <c r="A102" s="48" t="n"/>
      <c r="B102" s="49">
        <f t="array" ref="B102">IFERROR(
SUM(
IF(
'PORTIFÓLIO'!$C$4:$C$564=$A102,
N(INDEX('PORTIFÓLIO'!$J$4:$Q$564,,MATCH(B$2,'PORTIFÓLIO'!$J$3:$Q$3,0))) *
N('PORTIFÓLIO'!$S$4:$S$564),
0
)
),
0)</f>
        <v/>
      </c>
      <c r="C102" s="49">
        <f>B102/$B$4</f>
        <v/>
      </c>
      <c r="D102" s="49">
        <f t="array" ref="D102">IFERROR(
SUM(
IF(
'PORTIFÓLIO'!$C$4:$C$564=$A102,
N(INDEX('PORTIFÓLIO'!$J$4:$Q$564,,MATCH(D$2,'PORTIFÓLIO'!$J$3:$Q$3,0))) *
N('PORTIFÓLIO'!$S$4:$S$564),
0
)
),
0)</f>
        <v/>
      </c>
      <c r="E102" s="49">
        <f>D102/$D$4</f>
        <v/>
      </c>
      <c r="F102" s="49">
        <f t="array" ref="F102">IFERROR(
SUM(
IF(
'PORTIFÓLIO'!$C$4:$C$564=$A102,
N(INDEX('PORTIFÓLIO'!$J$4:$Q$564,,MATCH(F$2,'PORTIFÓLIO'!$J$3:$Q$3,0))) *
N('PORTIFÓLIO'!$S$4:$S$564),
0
)
),
0)</f>
        <v/>
      </c>
      <c r="G102" s="47">
        <f>F102/$F$4</f>
        <v/>
      </c>
      <c r="H102" s="49">
        <f t="array" ref="H102">IFERROR(
SUM(
IF(
'PORTIFÓLIO'!$C$4:$C$564=$A102,
N(INDEX('PORTIFÓLIO'!$J$4:$Q$564,,MATCH(H$2,'PORTIFÓLIO'!$J$3:$Q$3,0))) *
N('PORTIFÓLIO'!$S$4:$S$564),
0
)
),
0)</f>
        <v/>
      </c>
      <c r="I102" s="47">
        <f>H102/$H$4</f>
        <v/>
      </c>
      <c r="J102" s="49">
        <f t="array" ref="J102">IFERROR(
SUM(
IF(
'PORTIFÓLIO'!$C$4:$C$564=$A102,
N(INDEX('PORTIFÓLIO'!$J$4:$Q$564,,MATCH(J$2,'PORTIFÓLIO'!$J$3:$Q$3,0))) *
N('PORTIFÓLIO'!$S$4:$S$564),
0
)
),
0)</f>
        <v/>
      </c>
      <c r="K102" s="47">
        <f>J102/$J$4</f>
        <v/>
      </c>
      <c r="L102" s="49">
        <f t="array" ref="L102">IFERROR(
SUM(
IF(
'PORTIFÓLIO'!$C$4:$C$564=$A102,
N(INDEX('PORTIFÓLIO'!$J$4:$Q$564,,MATCH(L$2,'PORTIFÓLIO'!$J$3:$Q$3,0))) *
N('PORTIFÓLIO'!$S$4:$S$564),
0
)
),
0)</f>
        <v/>
      </c>
      <c r="M102" s="47">
        <f>L102/$L$4</f>
        <v/>
      </c>
      <c r="N102" s="49">
        <f t="array" ref="N102">IFERROR(
SUM(
IF(
'PORTIFÓLIO'!$C$4:$C$564=$A102,
N(INDEX('PORTIFÓLIO'!$J$4:$Q$564,,MATCH(N$2,'PORTIFÓLIO'!$J$3:$Q$3,0))) *
N('PORTIFÓLIO'!$S$4:$S$564),
0
)
),
0)</f>
        <v/>
      </c>
      <c r="O102" s="49">
        <f>N102/$N$4</f>
        <v/>
      </c>
      <c r="P102" s="49">
        <f t="array" ref="P102">IFERROR(
SUM(
IF(
'PORTIFÓLIO'!$C$4:$C$564=$A102,
N(INDEX('PORTIFÓLIO'!$J$4:$Q$564,,MATCH(P$2,'PORTIFÓLIO'!$J$3:$Q$3,0))) *
N('PORTIFÓLIO'!$S$4:$S$564),
0
)
),
0)</f>
        <v/>
      </c>
      <c r="Q102" s="49">
        <f>P102/$P$4</f>
        <v/>
      </c>
      <c r="R102" s="49">
        <f>SUM(P102,N102,L102,J102,H102,D102,B102)</f>
        <v/>
      </c>
      <c r="S102" s="49">
        <f>R102/$R$4</f>
        <v/>
      </c>
    </row>
    <row r="103" hidden="1" outlineLevel="1" ht="15.75" customHeight="1" s="297">
      <c r="A103" s="48" t="n"/>
      <c r="B103" s="49">
        <f t="array" ref="B103">IFERROR(
SUM(
IF(
'PORTIFÓLIO'!$C$4:$C$564=$A103,
N(INDEX('PORTIFÓLIO'!$J$4:$Q$564,,MATCH(B$2,'PORTIFÓLIO'!$J$3:$Q$3,0))) *
N('PORTIFÓLIO'!$S$4:$S$564),
0
)
),
0)</f>
        <v/>
      </c>
      <c r="C103" s="49">
        <f>B103/$B$4</f>
        <v/>
      </c>
      <c r="D103" s="49">
        <f t="array" ref="D103">IFERROR(
SUM(
IF(
'PORTIFÓLIO'!$C$4:$C$564=$A103,
N(INDEX('PORTIFÓLIO'!$J$4:$Q$564,,MATCH(D$2,'PORTIFÓLIO'!$J$3:$Q$3,0))) *
N('PORTIFÓLIO'!$S$4:$S$564),
0
)
),
0)</f>
        <v/>
      </c>
      <c r="E103" s="49">
        <f>D103/$D$4</f>
        <v/>
      </c>
      <c r="F103" s="49">
        <f t="array" ref="F103">IFERROR(
SUM(
IF(
'PORTIFÓLIO'!$C$4:$C$564=$A103,
N(INDEX('PORTIFÓLIO'!$J$4:$Q$564,,MATCH(F$2,'PORTIFÓLIO'!$J$3:$Q$3,0))) *
N('PORTIFÓLIO'!$S$4:$S$564),
0
)
),
0)</f>
        <v/>
      </c>
      <c r="G103" s="47">
        <f>F103/$F$4</f>
        <v/>
      </c>
      <c r="H103" s="49">
        <f t="array" ref="H103">IFERROR(
SUM(
IF(
'PORTIFÓLIO'!$C$4:$C$564=$A103,
N(INDEX('PORTIFÓLIO'!$J$4:$Q$564,,MATCH(H$2,'PORTIFÓLIO'!$J$3:$Q$3,0))) *
N('PORTIFÓLIO'!$S$4:$S$564),
0
)
),
0)</f>
        <v/>
      </c>
      <c r="I103" s="47">
        <f>H103/$H$4</f>
        <v/>
      </c>
      <c r="J103" s="49">
        <f t="array" ref="J103">IFERROR(
SUM(
IF(
'PORTIFÓLIO'!$C$4:$C$564=$A103,
N(INDEX('PORTIFÓLIO'!$J$4:$Q$564,,MATCH(J$2,'PORTIFÓLIO'!$J$3:$Q$3,0))) *
N('PORTIFÓLIO'!$S$4:$S$564),
0
)
),
0)</f>
        <v/>
      </c>
      <c r="K103" s="47">
        <f>J103/$J$4</f>
        <v/>
      </c>
      <c r="L103" s="49">
        <f t="array" ref="L103">IFERROR(
SUM(
IF(
'PORTIFÓLIO'!$C$4:$C$564=$A103,
N(INDEX('PORTIFÓLIO'!$J$4:$Q$564,,MATCH(L$2,'PORTIFÓLIO'!$J$3:$Q$3,0))) *
N('PORTIFÓLIO'!$S$4:$S$564),
0
)
),
0)</f>
        <v/>
      </c>
      <c r="M103" s="47">
        <f>L103/$L$4</f>
        <v/>
      </c>
      <c r="N103" s="49">
        <f t="array" ref="N103">IFERROR(
SUM(
IF(
'PORTIFÓLIO'!$C$4:$C$564=$A103,
N(INDEX('PORTIFÓLIO'!$J$4:$Q$564,,MATCH(N$2,'PORTIFÓLIO'!$J$3:$Q$3,0))) *
N('PORTIFÓLIO'!$S$4:$S$564),
0
)
),
0)</f>
        <v/>
      </c>
      <c r="O103" s="49">
        <f>N103/$N$4</f>
        <v/>
      </c>
      <c r="P103" s="49">
        <f t="array" ref="P103">IFERROR(
SUM(
IF(
'PORTIFÓLIO'!$C$4:$C$564=$A103,
N(INDEX('PORTIFÓLIO'!$J$4:$Q$564,,MATCH(P$2,'PORTIFÓLIO'!$J$3:$Q$3,0))) *
N('PORTIFÓLIO'!$S$4:$S$564),
0
)
),
0)</f>
        <v/>
      </c>
      <c r="Q103" s="49">
        <f>P103/$P$4</f>
        <v/>
      </c>
      <c r="R103" s="49">
        <f>SUM(P103,N103,L103,J103,H103,D103,B103)</f>
        <v/>
      </c>
      <c r="S103" s="49">
        <f>R103/$R$4</f>
        <v/>
      </c>
    </row>
    <row r="104" collapsed="1" ht="15.75" customHeight="1" s="297">
      <c r="A104" s="46" t="inlineStr">
        <is>
          <t>FUNGICIDAS</t>
        </is>
      </c>
      <c r="B104" s="47">
        <f>SUM(B105:B174)</f>
        <v/>
      </c>
      <c r="C104" s="47">
        <f>B104/$B$4</f>
        <v/>
      </c>
      <c r="D104" s="47">
        <f>SUM(D105:D174)</f>
        <v/>
      </c>
      <c r="E104" s="47">
        <f>D104/$D$4</f>
        <v/>
      </c>
      <c r="F104" s="47">
        <f>SUM(F105:F174)</f>
        <v/>
      </c>
      <c r="G104" s="47">
        <f>F104/$F$4</f>
        <v/>
      </c>
      <c r="H104" s="47">
        <f>SUM(H105:H174)</f>
        <v/>
      </c>
      <c r="I104" s="47">
        <f>H104/$H$4</f>
        <v/>
      </c>
      <c r="J104" s="47">
        <f>SUM(J105:J174)</f>
        <v/>
      </c>
      <c r="K104" s="47">
        <f>J104/$J$4</f>
        <v/>
      </c>
      <c r="L104" s="47">
        <f>SUM(L105:L174)</f>
        <v/>
      </c>
      <c r="M104" s="47">
        <f>L104/$L$4</f>
        <v/>
      </c>
      <c r="N104" s="47">
        <f>SUM(N105:N174)</f>
        <v/>
      </c>
      <c r="O104" s="47">
        <f>N104/$N$4</f>
        <v/>
      </c>
      <c r="P104" s="47">
        <f>SUM(P105:P174)</f>
        <v/>
      </c>
      <c r="Q104" s="47">
        <f>P104/$P$4</f>
        <v/>
      </c>
      <c r="R104" s="47">
        <f>SUM(P104,N104,L104,J104,H104,D104,B104)</f>
        <v/>
      </c>
      <c r="S104" s="47">
        <f>R104/$R$4</f>
        <v/>
      </c>
    </row>
    <row r="105" hidden="1" outlineLevel="1" ht="15.75" customHeight="1" s="297">
      <c r="A105" s="48">
        <f>IFERROR(__xludf.DUMMYFUNCTION("UNIQUE(FILTER('PORTIFÓLIO'!C:C, 'PORTIFÓLIO'!B:B=""FUNGICIDA""))"),"ACROSS")</f>
        <v/>
      </c>
      <c r="B105" s="49">
        <f t="array" ref="B105">IFERROR(
SUM(
IF(
'PORTIFÓLIO'!$C$4:$C$564=$A105,
N(INDEX('PORTIFÓLIO'!$J$4:$Q$564,,MATCH(B$2,'PORTIFÓLIO'!$J$3:$Q$3,0))) *
N('PORTIFÓLIO'!$S$4:$S$564),
0
)
),
0)</f>
        <v/>
      </c>
      <c r="C105" s="49">
        <f>B105/$B$4</f>
        <v/>
      </c>
      <c r="D105" s="49">
        <f t="array" ref="D105">IFERROR(
SUM(
IF(
'PORTIFÓLIO'!$C$4:$C$564=$A105,
N(INDEX('PORTIFÓLIO'!$J$4:$Q$564,,MATCH(D$2,'PORTIFÓLIO'!$J$3:$Q$3,0))) *
N('PORTIFÓLIO'!$S$4:$S$564),
0
)
),
0)</f>
        <v/>
      </c>
      <c r="E105" s="49">
        <f>D105/$D$4</f>
        <v/>
      </c>
      <c r="F105" s="49">
        <f t="array" ref="F105">IFERROR(
SUM(
IF(
'PORTIFÓLIO'!$C$4:$C$564=$A105,
N(INDEX('PORTIFÓLIO'!$J$4:$Q$564,,MATCH(F$2,'PORTIFÓLIO'!$J$3:$Q$3,0))) *
N('PORTIFÓLIO'!$S$4:$S$564),
0
)
),
0)</f>
        <v/>
      </c>
      <c r="G105" s="47">
        <f>F105/$F$4</f>
        <v/>
      </c>
      <c r="H105" s="49">
        <f t="array" ref="H105">IFERROR(
SUM(
IF(
'PORTIFÓLIO'!$C$4:$C$564=$A105,
N(INDEX('PORTIFÓLIO'!$J$4:$Q$564,,MATCH(H$2,'PORTIFÓLIO'!$J$3:$Q$3,0))) *
N('PORTIFÓLIO'!$S$4:$S$564),
0
)
),
0)</f>
        <v/>
      </c>
      <c r="I105" s="47">
        <f>H105/$H$4</f>
        <v/>
      </c>
      <c r="J105" s="49">
        <f t="array" ref="J105">IFERROR(
SUM(
IF(
'PORTIFÓLIO'!$C$4:$C$564=$A105,
N(INDEX('PORTIFÓLIO'!$J$4:$Q$564,,MATCH(J$2,'PORTIFÓLIO'!$J$3:$Q$3,0))) *
N('PORTIFÓLIO'!$S$4:$S$564),
0
)
),
0)</f>
        <v/>
      </c>
      <c r="K105" s="47">
        <f>J105/$J$4</f>
        <v/>
      </c>
      <c r="L105" s="49">
        <f t="array" ref="L105">IFERROR(
SUM(
IF(
'PORTIFÓLIO'!$C$4:$C$564=$A105,
N(INDEX('PORTIFÓLIO'!$J$4:$Q$564,,MATCH(L$2,'PORTIFÓLIO'!$J$3:$Q$3,0))) *
N('PORTIFÓLIO'!$S$4:$S$564),
0
)
),
0)</f>
        <v/>
      </c>
      <c r="M105" s="47">
        <f>L105/$L$4</f>
        <v/>
      </c>
      <c r="N105" s="49">
        <f t="array" ref="N105">IFERROR(
SUM(
IF(
'PORTIFÓLIO'!$C$4:$C$564=$A105,
N(INDEX('PORTIFÓLIO'!$J$4:$Q$564,,MATCH(N$2,'PORTIFÓLIO'!$J$3:$Q$3,0))) *
N('PORTIFÓLIO'!$S$4:$S$564),
0
)
),
0)</f>
        <v/>
      </c>
      <c r="O105" s="49">
        <f>N105/$N$4</f>
        <v/>
      </c>
      <c r="P105" s="49">
        <f t="array" ref="P105">IFERROR(
SUM(
IF(
'PORTIFÓLIO'!$C$4:$C$564=$A105,
N(INDEX('PORTIFÓLIO'!$J$4:$Q$564,,MATCH(P$2,'PORTIFÓLIO'!$J$3:$Q$3,0))) *
N('PORTIFÓLIO'!$S$4:$S$564),
0
)
),
0)</f>
        <v/>
      </c>
      <c r="Q105" s="49">
        <f>P105/$P$4</f>
        <v/>
      </c>
      <c r="R105" s="49">
        <f>SUM(P105,N105,L105,J105,H105,D105,B105)</f>
        <v/>
      </c>
      <c r="S105" s="49">
        <f>R105/$R$4</f>
        <v/>
      </c>
    </row>
    <row r="106" hidden="1" outlineLevel="1" ht="15.75" customHeight="1" s="297">
      <c r="A106" s="48">
        <f>IFERROR(__xludf.DUMMYFUNCTION("""COMPUTED_VALUE"""),"AZIMUT")</f>
        <v/>
      </c>
      <c r="B106" s="49">
        <f t="array" ref="B106">IFERROR(
SUM(
IF(
'PORTIFÓLIO'!$C$4:$C$564=$A106,
N(INDEX('PORTIFÓLIO'!$J$4:$Q$564,,MATCH(B$2,'PORTIFÓLIO'!$J$3:$Q$3,0))) *
N('PORTIFÓLIO'!$S$4:$S$564),
0
)
),
0)</f>
        <v/>
      </c>
      <c r="C106" s="49">
        <f>B106/$B$4</f>
        <v/>
      </c>
      <c r="D106" s="49">
        <f t="array" ref="D106">IFERROR(
SUM(
IF(
'PORTIFÓLIO'!$C$4:$C$564=$A106,
N(INDEX('PORTIFÓLIO'!$J$4:$Q$564,,MATCH(D$2,'PORTIFÓLIO'!$J$3:$Q$3,0))) *
N('PORTIFÓLIO'!$S$4:$S$564),
0
)
),
0)</f>
        <v/>
      </c>
      <c r="E106" s="49">
        <f>D106/$D$4</f>
        <v/>
      </c>
      <c r="F106" s="49">
        <f t="array" ref="F106">IFERROR(
SUM(
IF(
'PORTIFÓLIO'!$C$4:$C$564=$A106,
N(INDEX('PORTIFÓLIO'!$J$4:$Q$564,,MATCH(F$2,'PORTIFÓLIO'!$J$3:$Q$3,0))) *
N('PORTIFÓLIO'!$S$4:$S$564),
0
)
),
0)</f>
        <v/>
      </c>
      <c r="G106" s="47">
        <f>F106/$F$4</f>
        <v/>
      </c>
      <c r="H106" s="49">
        <f t="array" ref="H106">IFERROR(
SUM(
IF(
'PORTIFÓLIO'!$C$4:$C$564=$A106,
N(INDEX('PORTIFÓLIO'!$J$4:$Q$564,,MATCH(H$2,'PORTIFÓLIO'!$J$3:$Q$3,0))) *
N('PORTIFÓLIO'!$S$4:$S$564),
0
)
),
0)</f>
        <v/>
      </c>
      <c r="I106" s="47">
        <f>H106/$H$4</f>
        <v/>
      </c>
      <c r="J106" s="49">
        <f t="array" ref="J106">IFERROR(
SUM(
IF(
'PORTIFÓLIO'!$C$4:$C$564=$A106,
N(INDEX('PORTIFÓLIO'!$J$4:$Q$564,,MATCH(J$2,'PORTIFÓLIO'!$J$3:$Q$3,0))) *
N('PORTIFÓLIO'!$S$4:$S$564),
0
)
),
0)</f>
        <v/>
      </c>
      <c r="K106" s="47">
        <f>J106/$J$4</f>
        <v/>
      </c>
      <c r="L106" s="49">
        <f t="array" ref="L106">IFERROR(
SUM(
IF(
'PORTIFÓLIO'!$C$4:$C$564=$A106,
N(INDEX('PORTIFÓLIO'!$J$4:$Q$564,,MATCH(L$2,'PORTIFÓLIO'!$J$3:$Q$3,0))) *
N('PORTIFÓLIO'!$S$4:$S$564),
0
)
),
0)</f>
        <v/>
      </c>
      <c r="M106" s="47">
        <f>L106/$L$4</f>
        <v/>
      </c>
      <c r="N106" s="49">
        <f t="array" ref="N106">IFERROR(
SUM(
IF(
'PORTIFÓLIO'!$C$4:$C$564=$A106,
N(INDEX('PORTIFÓLIO'!$J$4:$Q$564,,MATCH(N$2,'PORTIFÓLIO'!$J$3:$Q$3,0))) *
N('PORTIFÓLIO'!$S$4:$S$564),
0
)
),
0)</f>
        <v/>
      </c>
      <c r="O106" s="49">
        <f>N106/$N$4</f>
        <v/>
      </c>
      <c r="P106" s="49">
        <f t="array" ref="P106">IFERROR(
SUM(
IF(
'PORTIFÓLIO'!$C$4:$C$564=$A106,
N(INDEX('PORTIFÓLIO'!$J$4:$Q$564,,MATCH(P$2,'PORTIFÓLIO'!$J$3:$Q$3,0))) *
N('PORTIFÓLIO'!$S$4:$S$564),
0
)
),
0)</f>
        <v/>
      </c>
      <c r="Q106" s="49">
        <f>P106/$P$4</f>
        <v/>
      </c>
      <c r="R106" s="49">
        <f>SUM(P106,N106,L106,J106,H106,D106,B106)</f>
        <v/>
      </c>
      <c r="S106" s="49">
        <f>R106/$R$4</f>
        <v/>
      </c>
    </row>
    <row r="107" hidden="1" outlineLevel="1" ht="15.75" customHeight="1" s="297">
      <c r="A107" s="48">
        <f>IFERROR(__xludf.DUMMYFUNCTION("""COMPUTED_VALUE"""),"BLINDADO TOV")</f>
        <v/>
      </c>
      <c r="B107" s="49">
        <f t="array" ref="B107">IFERROR(
SUM(
IF(
'PORTIFÓLIO'!$C$4:$C$564=$A107,
N(INDEX('PORTIFÓLIO'!$J$4:$Q$564,,MATCH(B$2,'PORTIFÓLIO'!$J$3:$Q$3,0))) *
N('PORTIFÓLIO'!$S$4:$S$564),
0
)
),
0)</f>
        <v/>
      </c>
      <c r="C107" s="49">
        <f>B107/$B$4</f>
        <v/>
      </c>
      <c r="D107" s="49">
        <f t="array" ref="D107">IFERROR(
SUM(
IF(
'PORTIFÓLIO'!$C$4:$C$564=$A107,
N(INDEX('PORTIFÓLIO'!$J$4:$Q$564,,MATCH(D$2,'PORTIFÓLIO'!$J$3:$Q$3,0))) *
N('PORTIFÓLIO'!$S$4:$S$564),
0
)
),
0)</f>
        <v/>
      </c>
      <c r="E107" s="49">
        <f>D107/$D$4</f>
        <v/>
      </c>
      <c r="F107" s="49">
        <f t="array" ref="F107">IFERROR(
SUM(
IF(
'PORTIFÓLIO'!$C$4:$C$564=$A107,
N(INDEX('PORTIFÓLIO'!$J$4:$Q$564,,MATCH(F$2,'PORTIFÓLIO'!$J$3:$Q$3,0))) *
N('PORTIFÓLIO'!$S$4:$S$564),
0
)
),
0)</f>
        <v/>
      </c>
      <c r="G107" s="47">
        <f>F107/$F$4</f>
        <v/>
      </c>
      <c r="H107" s="49">
        <f t="array" ref="H107">IFERROR(
SUM(
IF(
'PORTIFÓLIO'!$C$4:$C$564=$A107,
N(INDEX('PORTIFÓLIO'!$J$4:$Q$564,,MATCH(H$2,'PORTIFÓLIO'!$J$3:$Q$3,0))) *
N('PORTIFÓLIO'!$S$4:$S$564),
0
)
),
0)</f>
        <v/>
      </c>
      <c r="I107" s="47">
        <f>H107/$H$4</f>
        <v/>
      </c>
      <c r="J107" s="49">
        <f t="array" ref="J107">IFERROR(
SUM(
IF(
'PORTIFÓLIO'!$C$4:$C$564=$A107,
N(INDEX('PORTIFÓLIO'!$J$4:$Q$564,,MATCH(J$2,'PORTIFÓLIO'!$J$3:$Q$3,0))) *
N('PORTIFÓLIO'!$S$4:$S$564),
0
)
),
0)</f>
        <v/>
      </c>
      <c r="K107" s="47">
        <f>J107/$J$4</f>
        <v/>
      </c>
      <c r="L107" s="49">
        <f t="array" ref="L107">IFERROR(
SUM(
IF(
'PORTIFÓLIO'!$C$4:$C$564=$A107,
N(INDEX('PORTIFÓLIO'!$J$4:$Q$564,,MATCH(L$2,'PORTIFÓLIO'!$J$3:$Q$3,0))) *
N('PORTIFÓLIO'!$S$4:$S$564),
0
)
),
0)</f>
        <v/>
      </c>
      <c r="M107" s="47">
        <f>L107/$L$4</f>
        <v/>
      </c>
      <c r="N107" s="49">
        <f t="array" ref="N107">IFERROR(
SUM(
IF(
'PORTIFÓLIO'!$C$4:$C$564=$A107,
N(INDEX('PORTIFÓLIO'!$J$4:$Q$564,,MATCH(N$2,'PORTIFÓLIO'!$J$3:$Q$3,0))) *
N('PORTIFÓLIO'!$S$4:$S$564),
0
)
),
0)</f>
        <v/>
      </c>
      <c r="O107" s="49">
        <f>N107/$N$4</f>
        <v/>
      </c>
      <c r="P107" s="49">
        <f t="array" ref="P107">IFERROR(
SUM(
IF(
'PORTIFÓLIO'!$C$4:$C$564=$A107,
N(INDEX('PORTIFÓLIO'!$J$4:$Q$564,,MATCH(P$2,'PORTIFÓLIO'!$J$3:$Q$3,0))) *
N('PORTIFÓLIO'!$S$4:$S$564),
0
)
),
0)</f>
        <v/>
      </c>
      <c r="Q107" s="49">
        <f>P107/$P$4</f>
        <v/>
      </c>
      <c r="R107" s="49">
        <f>SUM(P107,N107,L107,J107,H107,D107,B107)</f>
        <v/>
      </c>
      <c r="S107" s="49">
        <f>R107/$R$4</f>
        <v/>
      </c>
    </row>
    <row r="108" hidden="1" outlineLevel="1" ht="15.75" customHeight="1" s="297">
      <c r="A108" s="48">
        <f>IFERROR(__xludf.DUMMYFUNCTION("""COMPUTED_VALUE"""),"ABACUS HC")</f>
        <v/>
      </c>
      <c r="B108" s="49">
        <f t="array" ref="B108">IFERROR(
SUM(
IF(
'PORTIFÓLIO'!$C$4:$C$564=$A108,
N(INDEX('PORTIFÓLIO'!$J$4:$Q$564,,MATCH(B$2,'PORTIFÓLIO'!$J$3:$Q$3,0))) *
N('PORTIFÓLIO'!$S$4:$S$564),
0
)
),
0)</f>
        <v/>
      </c>
      <c r="C108" s="49">
        <f>B108/$B$4</f>
        <v/>
      </c>
      <c r="D108" s="49">
        <f t="array" ref="D108">IFERROR(
SUM(
IF(
'PORTIFÓLIO'!$C$4:$C$564=$A108,
N(INDEX('PORTIFÓLIO'!$J$4:$Q$564,,MATCH(D$2,'PORTIFÓLIO'!$J$3:$Q$3,0))) *
N('PORTIFÓLIO'!$S$4:$S$564),
0
)
),
0)</f>
        <v/>
      </c>
      <c r="E108" s="49">
        <f>D108/$D$4</f>
        <v/>
      </c>
      <c r="F108" s="49">
        <f t="array" ref="F108">IFERROR(
SUM(
IF(
'PORTIFÓLIO'!$C$4:$C$564=$A108,
N(INDEX('PORTIFÓLIO'!$J$4:$Q$564,,MATCH(F$2,'PORTIFÓLIO'!$J$3:$Q$3,0))) *
N('PORTIFÓLIO'!$S$4:$S$564),
0
)
),
0)</f>
        <v/>
      </c>
      <c r="G108" s="47">
        <f>F108/$F$4</f>
        <v/>
      </c>
      <c r="H108" s="49">
        <f t="array" ref="H108">IFERROR(
SUM(
IF(
'PORTIFÓLIO'!$C$4:$C$564=$A108,
N(INDEX('PORTIFÓLIO'!$J$4:$Q$564,,MATCH(H$2,'PORTIFÓLIO'!$J$3:$Q$3,0))) *
N('PORTIFÓLIO'!$S$4:$S$564),
0
)
),
0)</f>
        <v/>
      </c>
      <c r="I108" s="47">
        <f>H108/$H$4</f>
        <v/>
      </c>
      <c r="J108" s="49">
        <f t="array" ref="J108">IFERROR(
SUM(
IF(
'PORTIFÓLIO'!$C$4:$C$564=$A108,
N(INDEX('PORTIFÓLIO'!$J$4:$Q$564,,MATCH(J$2,'PORTIFÓLIO'!$J$3:$Q$3,0))) *
N('PORTIFÓLIO'!$S$4:$S$564),
0
)
),
0)</f>
        <v/>
      </c>
      <c r="K108" s="47">
        <f>J108/$J$4</f>
        <v/>
      </c>
      <c r="L108" s="49">
        <f t="array" ref="L108">IFERROR(
SUM(
IF(
'PORTIFÓLIO'!$C$4:$C$564=$A108,
N(INDEX('PORTIFÓLIO'!$J$4:$Q$564,,MATCH(L$2,'PORTIFÓLIO'!$J$3:$Q$3,0))) *
N('PORTIFÓLIO'!$S$4:$S$564),
0
)
),
0)</f>
        <v/>
      </c>
      <c r="M108" s="47">
        <f>L108/$L$4</f>
        <v/>
      </c>
      <c r="N108" s="49">
        <f t="array" ref="N108">IFERROR(
SUM(
IF(
'PORTIFÓLIO'!$C$4:$C$564=$A108,
N(INDEX('PORTIFÓLIO'!$J$4:$Q$564,,MATCH(N$2,'PORTIFÓLIO'!$J$3:$Q$3,0))) *
N('PORTIFÓLIO'!$S$4:$S$564),
0
)
),
0)</f>
        <v/>
      </c>
      <c r="O108" s="49">
        <f>N108/$N$4</f>
        <v/>
      </c>
      <c r="P108" s="49">
        <f t="array" ref="P108">IFERROR(
SUM(
IF(
'PORTIFÓLIO'!$C$4:$C$564=$A108,
N(INDEX('PORTIFÓLIO'!$J$4:$Q$564,,MATCH(P$2,'PORTIFÓLIO'!$J$3:$Q$3,0))) *
N('PORTIFÓLIO'!$S$4:$S$564),
0
)
),
0)</f>
        <v/>
      </c>
      <c r="Q108" s="49">
        <f>P108/$P$4</f>
        <v/>
      </c>
      <c r="R108" s="49">
        <f>SUM(P108,N108,L108,J108,H108,D108,B108)</f>
        <v/>
      </c>
      <c r="S108" s="49">
        <f>R108/$R$4</f>
        <v/>
      </c>
    </row>
    <row r="109" hidden="1" outlineLevel="1" ht="15.75" customHeight="1" s="297">
      <c r="A109" s="48">
        <f>IFERROR(__xludf.DUMMYFUNCTION("""COMPUTED_VALUE"""),"BELYAN")</f>
        <v/>
      </c>
      <c r="B109" s="49">
        <f t="array" ref="B109">IFERROR(
SUM(
IF(
'PORTIFÓLIO'!$C$4:$C$564=$A109,
N(INDEX('PORTIFÓLIO'!$J$4:$Q$564,,MATCH(B$2,'PORTIFÓLIO'!$J$3:$Q$3,0))) *
N('PORTIFÓLIO'!$S$4:$S$564),
0
)
),
0)</f>
        <v/>
      </c>
      <c r="C109" s="49">
        <f>B109/$B$4</f>
        <v/>
      </c>
      <c r="D109" s="49">
        <f t="array" ref="D109">IFERROR(
SUM(
IF(
'PORTIFÓLIO'!$C$4:$C$564=$A109,
N(INDEX('PORTIFÓLIO'!$J$4:$Q$564,,MATCH(D$2,'PORTIFÓLIO'!$J$3:$Q$3,0))) *
N('PORTIFÓLIO'!$S$4:$S$564),
0
)
),
0)</f>
        <v/>
      </c>
      <c r="E109" s="49">
        <f>D109/$D$4</f>
        <v/>
      </c>
      <c r="F109" s="49">
        <f t="array" ref="F109">IFERROR(
SUM(
IF(
'PORTIFÓLIO'!$C$4:$C$564=$A109,
N(INDEX('PORTIFÓLIO'!$J$4:$Q$564,,MATCH(F$2,'PORTIFÓLIO'!$J$3:$Q$3,0))) *
N('PORTIFÓLIO'!$S$4:$S$564),
0
)
),
0)</f>
        <v/>
      </c>
      <c r="G109" s="47">
        <f>F109/$F$4</f>
        <v/>
      </c>
      <c r="H109" s="49">
        <f t="array" ref="H109">IFERROR(
SUM(
IF(
'PORTIFÓLIO'!$C$4:$C$564=$A109,
N(INDEX('PORTIFÓLIO'!$J$4:$Q$564,,MATCH(H$2,'PORTIFÓLIO'!$J$3:$Q$3,0))) *
N('PORTIFÓLIO'!$S$4:$S$564),
0
)
),
0)</f>
        <v/>
      </c>
      <c r="I109" s="47">
        <f>H109/$H$4</f>
        <v/>
      </c>
      <c r="J109" s="49">
        <f t="array" ref="J109">IFERROR(
SUM(
IF(
'PORTIFÓLIO'!$C$4:$C$564=$A109,
N(INDEX('PORTIFÓLIO'!$J$4:$Q$564,,MATCH(J$2,'PORTIFÓLIO'!$J$3:$Q$3,0))) *
N('PORTIFÓLIO'!$S$4:$S$564),
0
)
),
0)</f>
        <v/>
      </c>
      <c r="K109" s="47">
        <f>J109/$J$4</f>
        <v/>
      </c>
      <c r="L109" s="49">
        <f t="array" ref="L109">IFERROR(
SUM(
IF(
'PORTIFÓLIO'!$C$4:$C$564=$A109,
N(INDEX('PORTIFÓLIO'!$J$4:$Q$564,,MATCH(L$2,'PORTIFÓLIO'!$J$3:$Q$3,0))) *
N('PORTIFÓLIO'!$S$4:$S$564),
0
)
),
0)</f>
        <v/>
      </c>
      <c r="M109" s="47">
        <f>L109/$L$4</f>
        <v/>
      </c>
      <c r="N109" s="49">
        <f t="array" ref="N109">IFERROR(
SUM(
IF(
'PORTIFÓLIO'!$C$4:$C$564=$A109,
N(INDEX('PORTIFÓLIO'!$J$4:$Q$564,,MATCH(N$2,'PORTIFÓLIO'!$J$3:$Q$3,0))) *
N('PORTIFÓLIO'!$S$4:$S$564),
0
)
),
0)</f>
        <v/>
      </c>
      <c r="O109" s="49">
        <f>N109/$N$4</f>
        <v/>
      </c>
      <c r="P109" s="49">
        <f t="array" ref="P109">IFERROR(
SUM(
IF(
'PORTIFÓLIO'!$C$4:$C$564=$A109,
N(INDEX('PORTIFÓLIO'!$J$4:$Q$564,,MATCH(P$2,'PORTIFÓLIO'!$J$3:$Q$3,0))) *
N('PORTIFÓLIO'!$S$4:$S$564),
0
)
),
0)</f>
        <v/>
      </c>
      <c r="Q109" s="49">
        <f>P109/$P$4</f>
        <v/>
      </c>
      <c r="R109" s="49">
        <f>SUM(P109,N109,L109,J109,H109,D109,B109)</f>
        <v/>
      </c>
      <c r="S109" s="49">
        <f>R109/$R$4</f>
        <v/>
      </c>
    </row>
    <row r="110" hidden="1" outlineLevel="1" ht="15.75" customHeight="1" s="297">
      <c r="A110" s="48">
        <f>IFERROR(__xludf.DUMMYFUNCTION("""COMPUTED_VALUE"""),"BLAVITY")</f>
        <v/>
      </c>
      <c r="B110" s="49">
        <f t="array" ref="B110">IFERROR(
SUM(
IF(
'PORTIFÓLIO'!$C$4:$C$564=$A110,
N(INDEX('PORTIFÓLIO'!$J$4:$Q$564,,MATCH(B$2,'PORTIFÓLIO'!$J$3:$Q$3,0))) *
N('PORTIFÓLIO'!$S$4:$S$564),
0
)
),
0)</f>
        <v/>
      </c>
      <c r="C110" s="49">
        <f>B110/$B$4</f>
        <v/>
      </c>
      <c r="D110" s="49">
        <f t="array" ref="D110">IFERROR(
SUM(
IF(
'PORTIFÓLIO'!$C$4:$C$564=$A110,
N(INDEX('PORTIFÓLIO'!$J$4:$Q$564,,MATCH(D$2,'PORTIFÓLIO'!$J$3:$Q$3,0))) *
N('PORTIFÓLIO'!$S$4:$S$564),
0
)
),
0)</f>
        <v/>
      </c>
      <c r="E110" s="49">
        <f>D110/$D$4</f>
        <v/>
      </c>
      <c r="F110" s="49">
        <f t="array" ref="F110">IFERROR(
SUM(
IF(
'PORTIFÓLIO'!$C$4:$C$564=$A110,
N(INDEX('PORTIFÓLIO'!$J$4:$Q$564,,MATCH(F$2,'PORTIFÓLIO'!$J$3:$Q$3,0))) *
N('PORTIFÓLIO'!$S$4:$S$564),
0
)
),
0)</f>
        <v/>
      </c>
      <c r="G110" s="47">
        <f>F110/$F$4</f>
        <v/>
      </c>
      <c r="H110" s="49">
        <f t="array" ref="H110">IFERROR(
SUM(
IF(
'PORTIFÓLIO'!$C$4:$C$564=$A110,
N(INDEX('PORTIFÓLIO'!$J$4:$Q$564,,MATCH(H$2,'PORTIFÓLIO'!$J$3:$Q$3,0))) *
N('PORTIFÓLIO'!$S$4:$S$564),
0
)
),
0)</f>
        <v/>
      </c>
      <c r="I110" s="47">
        <f>H110/$H$4</f>
        <v/>
      </c>
      <c r="J110" s="49">
        <f t="array" ref="J110">IFERROR(
SUM(
IF(
'PORTIFÓLIO'!$C$4:$C$564=$A110,
N(INDEX('PORTIFÓLIO'!$J$4:$Q$564,,MATCH(J$2,'PORTIFÓLIO'!$J$3:$Q$3,0))) *
N('PORTIFÓLIO'!$S$4:$S$564),
0
)
),
0)</f>
        <v/>
      </c>
      <c r="K110" s="47">
        <f>J110/$J$4</f>
        <v/>
      </c>
      <c r="L110" s="49">
        <f t="array" ref="L110">IFERROR(
SUM(
IF(
'PORTIFÓLIO'!$C$4:$C$564=$A110,
N(INDEX('PORTIFÓLIO'!$J$4:$Q$564,,MATCH(L$2,'PORTIFÓLIO'!$J$3:$Q$3,0))) *
N('PORTIFÓLIO'!$S$4:$S$564),
0
)
),
0)</f>
        <v/>
      </c>
      <c r="M110" s="47">
        <f>L110/$L$4</f>
        <v/>
      </c>
      <c r="N110" s="49">
        <f t="array" ref="N110">IFERROR(
SUM(
IF(
'PORTIFÓLIO'!$C$4:$C$564=$A110,
N(INDEX('PORTIFÓLIO'!$J$4:$Q$564,,MATCH(N$2,'PORTIFÓLIO'!$J$3:$Q$3,0))) *
N('PORTIFÓLIO'!$S$4:$S$564),
0
)
),
0)</f>
        <v/>
      </c>
      <c r="O110" s="49">
        <f>N110/$N$4</f>
        <v/>
      </c>
      <c r="P110" s="49">
        <f t="array" ref="P110">IFERROR(
SUM(
IF(
'PORTIFÓLIO'!$C$4:$C$564=$A110,
N(INDEX('PORTIFÓLIO'!$J$4:$Q$564,,MATCH(P$2,'PORTIFÓLIO'!$J$3:$Q$3,0))) *
N('PORTIFÓLIO'!$S$4:$S$564),
0
)
),
0)</f>
        <v/>
      </c>
      <c r="Q110" s="49">
        <f>P110/$P$4</f>
        <v/>
      </c>
      <c r="R110" s="49">
        <f>SUM(P110,N110,L110,J110,H110,D110,B110)</f>
        <v/>
      </c>
      <c r="S110" s="49">
        <f>R110/$R$4</f>
        <v/>
      </c>
    </row>
    <row r="111" hidden="1" outlineLevel="1" ht="15.75" customHeight="1" s="297">
      <c r="A111" s="48">
        <f>IFERROR(__xludf.DUMMYFUNCTION("""COMPUTED_VALUE"""),"CANTUS")</f>
        <v/>
      </c>
      <c r="B111" s="49">
        <f t="array" ref="B111">IFERROR(
SUM(
IF(
'PORTIFÓLIO'!$C$4:$C$564=$A111,
N(INDEX('PORTIFÓLIO'!$J$4:$Q$564,,MATCH(B$2,'PORTIFÓLIO'!$J$3:$Q$3,0))) *
N('PORTIFÓLIO'!$S$4:$S$564),
0
)
),
0)</f>
        <v/>
      </c>
      <c r="C111" s="49">
        <f>B111/$B$4</f>
        <v/>
      </c>
      <c r="D111" s="49">
        <f t="array" ref="D111">IFERROR(
SUM(
IF(
'PORTIFÓLIO'!$C$4:$C$564=$A111,
N(INDEX('PORTIFÓLIO'!$J$4:$Q$564,,MATCH(D$2,'PORTIFÓLIO'!$J$3:$Q$3,0))) *
N('PORTIFÓLIO'!$S$4:$S$564),
0
)
),
0)</f>
        <v/>
      </c>
      <c r="E111" s="49">
        <f>D111/$D$4</f>
        <v/>
      </c>
      <c r="F111" s="49">
        <f t="array" ref="F111">IFERROR(
SUM(
IF(
'PORTIFÓLIO'!$C$4:$C$564=$A111,
N(INDEX('PORTIFÓLIO'!$J$4:$Q$564,,MATCH(F$2,'PORTIFÓLIO'!$J$3:$Q$3,0))) *
N('PORTIFÓLIO'!$S$4:$S$564),
0
)
),
0)</f>
        <v/>
      </c>
      <c r="G111" s="47">
        <f>F111/$F$4</f>
        <v/>
      </c>
      <c r="H111" s="49">
        <f t="array" ref="H111">IFERROR(
SUM(
IF(
'PORTIFÓLIO'!$C$4:$C$564=$A111,
N(INDEX('PORTIFÓLIO'!$J$4:$Q$564,,MATCH(H$2,'PORTIFÓLIO'!$J$3:$Q$3,0))) *
N('PORTIFÓLIO'!$S$4:$S$564),
0
)
),
0)</f>
        <v/>
      </c>
      <c r="I111" s="47">
        <f>H111/$H$4</f>
        <v/>
      </c>
      <c r="J111" s="49">
        <f t="array" ref="J111">IFERROR(
SUM(
IF(
'PORTIFÓLIO'!$C$4:$C$564=$A111,
N(INDEX('PORTIFÓLIO'!$J$4:$Q$564,,MATCH(J$2,'PORTIFÓLIO'!$J$3:$Q$3,0))) *
N('PORTIFÓLIO'!$S$4:$S$564),
0
)
),
0)</f>
        <v/>
      </c>
      <c r="K111" s="47">
        <f>J111/$J$4</f>
        <v/>
      </c>
      <c r="L111" s="49">
        <f t="array" ref="L111">IFERROR(
SUM(
IF(
'PORTIFÓLIO'!$C$4:$C$564=$A111,
N(INDEX('PORTIFÓLIO'!$J$4:$Q$564,,MATCH(L$2,'PORTIFÓLIO'!$J$3:$Q$3,0))) *
N('PORTIFÓLIO'!$S$4:$S$564),
0
)
),
0)</f>
        <v/>
      </c>
      <c r="M111" s="47">
        <f>L111/$L$4</f>
        <v/>
      </c>
      <c r="N111" s="49">
        <f t="array" ref="N111">IFERROR(
SUM(
IF(
'PORTIFÓLIO'!$C$4:$C$564=$A111,
N(INDEX('PORTIFÓLIO'!$J$4:$Q$564,,MATCH(N$2,'PORTIFÓLIO'!$J$3:$Q$3,0))) *
N('PORTIFÓLIO'!$S$4:$S$564),
0
)
),
0)</f>
        <v/>
      </c>
      <c r="O111" s="49">
        <f>N111/$N$4</f>
        <v/>
      </c>
      <c r="P111" s="49">
        <f t="array" ref="P111">IFERROR(
SUM(
IF(
'PORTIFÓLIO'!$C$4:$C$564=$A111,
N(INDEX('PORTIFÓLIO'!$J$4:$Q$564,,MATCH(P$2,'PORTIFÓLIO'!$J$3:$Q$3,0))) *
N('PORTIFÓLIO'!$S$4:$S$564),
0
)
),
0)</f>
        <v/>
      </c>
      <c r="Q111" s="49">
        <f>P111/$P$4</f>
        <v/>
      </c>
      <c r="R111" s="49">
        <f>SUM(P111,N111,L111,J111,H111,D111,B111)</f>
        <v/>
      </c>
      <c r="S111" s="49">
        <f>R111/$R$4</f>
        <v/>
      </c>
    </row>
    <row r="112" hidden="1" outlineLevel="1" ht="15.75" customHeight="1" s="297">
      <c r="A112" s="48">
        <f>IFERROR(__xludf.DUMMYFUNCTION("""COMPUTED_VALUE"""),"KEYRA")</f>
        <v/>
      </c>
      <c r="B112" s="49">
        <f t="array" ref="B112">IFERROR(
SUM(
IF(
'PORTIFÓLIO'!$C$4:$C$564=$A112,
N(INDEX('PORTIFÓLIO'!$J$4:$Q$564,,MATCH(B$2,'PORTIFÓLIO'!$J$3:$Q$3,0))) *
N('PORTIFÓLIO'!$S$4:$S$564),
0
)
),
0)</f>
        <v/>
      </c>
      <c r="C112" s="49">
        <f>B112/$B$4</f>
        <v/>
      </c>
      <c r="D112" s="49">
        <f t="array" ref="D112">IFERROR(
SUM(
IF(
'PORTIFÓLIO'!$C$4:$C$564=$A112,
N(INDEX('PORTIFÓLIO'!$J$4:$Q$564,,MATCH(D$2,'PORTIFÓLIO'!$J$3:$Q$3,0))) *
N('PORTIFÓLIO'!$S$4:$S$564),
0
)
),
0)</f>
        <v/>
      </c>
      <c r="E112" s="49">
        <f>D112/$D$4</f>
        <v/>
      </c>
      <c r="F112" s="49">
        <f t="array" ref="F112">IFERROR(
SUM(
IF(
'PORTIFÓLIO'!$C$4:$C$564=$A112,
N(INDEX('PORTIFÓLIO'!$J$4:$Q$564,,MATCH(F$2,'PORTIFÓLIO'!$J$3:$Q$3,0))) *
N('PORTIFÓLIO'!$S$4:$S$564),
0
)
),
0)</f>
        <v/>
      </c>
      <c r="G112" s="47">
        <f>F112/$F$4</f>
        <v/>
      </c>
      <c r="H112" s="49">
        <f t="array" ref="H112">IFERROR(
SUM(
IF(
'PORTIFÓLIO'!$C$4:$C$564=$A112,
N(INDEX('PORTIFÓLIO'!$J$4:$Q$564,,MATCH(H$2,'PORTIFÓLIO'!$J$3:$Q$3,0))) *
N('PORTIFÓLIO'!$S$4:$S$564),
0
)
),
0)</f>
        <v/>
      </c>
      <c r="I112" s="47">
        <f>H112/$H$4</f>
        <v/>
      </c>
      <c r="J112" s="49">
        <f t="array" ref="J112">IFERROR(
SUM(
IF(
'PORTIFÓLIO'!$C$4:$C$564=$A112,
N(INDEX('PORTIFÓLIO'!$J$4:$Q$564,,MATCH(J$2,'PORTIFÓLIO'!$J$3:$Q$3,0))) *
N('PORTIFÓLIO'!$S$4:$S$564),
0
)
),
0)</f>
        <v/>
      </c>
      <c r="K112" s="47">
        <f>J112/$J$4</f>
        <v/>
      </c>
      <c r="L112" s="49">
        <f t="array" ref="L112">IFERROR(
SUM(
IF(
'PORTIFÓLIO'!$C$4:$C$564=$A112,
N(INDEX('PORTIFÓLIO'!$J$4:$Q$564,,MATCH(L$2,'PORTIFÓLIO'!$J$3:$Q$3,0))) *
N('PORTIFÓLIO'!$S$4:$S$564),
0
)
),
0)</f>
        <v/>
      </c>
      <c r="M112" s="47">
        <f>L112/$L$4</f>
        <v/>
      </c>
      <c r="N112" s="49">
        <f t="array" ref="N112">IFERROR(
SUM(
IF(
'PORTIFÓLIO'!$C$4:$C$564=$A112,
N(INDEX('PORTIFÓLIO'!$J$4:$Q$564,,MATCH(N$2,'PORTIFÓLIO'!$J$3:$Q$3,0))) *
N('PORTIFÓLIO'!$S$4:$S$564),
0
)
),
0)</f>
        <v/>
      </c>
      <c r="O112" s="49">
        <f>N112/$N$4</f>
        <v/>
      </c>
      <c r="P112" s="49">
        <f t="array" ref="P112">IFERROR(
SUM(
IF(
'PORTIFÓLIO'!$C$4:$C$564=$A112,
N(INDEX('PORTIFÓLIO'!$J$4:$Q$564,,MATCH(P$2,'PORTIFÓLIO'!$J$3:$Q$3,0))) *
N('PORTIFÓLIO'!$S$4:$S$564),
0
)
),
0)</f>
        <v/>
      </c>
      <c r="Q112" s="49">
        <f>P112/$P$4</f>
        <v/>
      </c>
      <c r="R112" s="49">
        <f>SUM(P112,N112,L112,J112,H112,D112,B112)</f>
        <v/>
      </c>
      <c r="S112" s="49">
        <f>R112/$R$4</f>
        <v/>
      </c>
    </row>
    <row r="113" hidden="1" outlineLevel="1" ht="15.75" customHeight="1" s="297">
      <c r="A113" s="48">
        <f>IFERROR(__xludf.DUMMYFUNCTION("""COMPUTED_VALUE"""),"MELYRA")</f>
        <v/>
      </c>
      <c r="B113" s="49">
        <f t="array" ref="B113">IFERROR(
SUM(
IF(
'PORTIFÓLIO'!$C$4:$C$564=$A113,
N(INDEX('PORTIFÓLIO'!$J$4:$Q$564,,MATCH(B$2,'PORTIFÓLIO'!$J$3:$Q$3,0))) *
N('PORTIFÓLIO'!$S$4:$S$564),
0
)
),
0)</f>
        <v/>
      </c>
      <c r="C113" s="49">
        <f>B113/$B$4</f>
        <v/>
      </c>
      <c r="D113" s="49">
        <f t="array" ref="D113">IFERROR(
SUM(
IF(
'PORTIFÓLIO'!$C$4:$C$564=$A113,
N(INDEX('PORTIFÓLIO'!$J$4:$Q$564,,MATCH(D$2,'PORTIFÓLIO'!$J$3:$Q$3,0))) *
N('PORTIFÓLIO'!$S$4:$S$564),
0
)
),
0)</f>
        <v/>
      </c>
      <c r="E113" s="49">
        <f>D113/$D$4</f>
        <v/>
      </c>
      <c r="F113" s="49">
        <f t="array" ref="F113">IFERROR(
SUM(
IF(
'PORTIFÓLIO'!$C$4:$C$564=$A113,
N(INDEX('PORTIFÓLIO'!$J$4:$Q$564,,MATCH(F$2,'PORTIFÓLIO'!$J$3:$Q$3,0))) *
N('PORTIFÓLIO'!$S$4:$S$564),
0
)
),
0)</f>
        <v/>
      </c>
      <c r="G113" s="47">
        <f>F113/$F$4</f>
        <v/>
      </c>
      <c r="H113" s="49">
        <f t="array" ref="H113">IFERROR(
SUM(
IF(
'PORTIFÓLIO'!$C$4:$C$564=$A113,
N(INDEX('PORTIFÓLIO'!$J$4:$Q$564,,MATCH(H$2,'PORTIFÓLIO'!$J$3:$Q$3,0))) *
N('PORTIFÓLIO'!$S$4:$S$564),
0
)
),
0)</f>
        <v/>
      </c>
      <c r="I113" s="47">
        <f>H113/$H$4</f>
        <v/>
      </c>
      <c r="J113" s="49">
        <f t="array" ref="J113">IFERROR(
SUM(
IF(
'PORTIFÓLIO'!$C$4:$C$564=$A113,
N(INDEX('PORTIFÓLIO'!$J$4:$Q$564,,MATCH(J$2,'PORTIFÓLIO'!$J$3:$Q$3,0))) *
N('PORTIFÓLIO'!$S$4:$S$564),
0
)
),
0)</f>
        <v/>
      </c>
      <c r="K113" s="47">
        <f>J113/$J$4</f>
        <v/>
      </c>
      <c r="L113" s="49">
        <f t="array" ref="L113">IFERROR(
SUM(
IF(
'PORTIFÓLIO'!$C$4:$C$564=$A113,
N(INDEX('PORTIFÓLIO'!$J$4:$Q$564,,MATCH(L$2,'PORTIFÓLIO'!$J$3:$Q$3,0))) *
N('PORTIFÓLIO'!$S$4:$S$564),
0
)
),
0)</f>
        <v/>
      </c>
      <c r="M113" s="47">
        <f>L113/$L$4</f>
        <v/>
      </c>
      <c r="N113" s="49">
        <f t="array" ref="N113">IFERROR(
SUM(
IF(
'PORTIFÓLIO'!$C$4:$C$564=$A113,
N(INDEX('PORTIFÓLIO'!$J$4:$Q$564,,MATCH(N$2,'PORTIFÓLIO'!$J$3:$Q$3,0))) *
N('PORTIFÓLIO'!$S$4:$S$564),
0
)
),
0)</f>
        <v/>
      </c>
      <c r="O113" s="49">
        <f>N113/$N$4</f>
        <v/>
      </c>
      <c r="P113" s="49">
        <f t="array" ref="P113">IFERROR(
SUM(
IF(
'PORTIFÓLIO'!$C$4:$C$564=$A113,
N(INDEX('PORTIFÓLIO'!$J$4:$Q$564,,MATCH(P$2,'PORTIFÓLIO'!$J$3:$Q$3,0))) *
N('PORTIFÓLIO'!$S$4:$S$564),
0
)
),
0)</f>
        <v/>
      </c>
      <c r="Q113" s="49">
        <f>P113/$P$4</f>
        <v/>
      </c>
      <c r="R113" s="49">
        <f>SUM(P113,N113,L113,J113,H113,D113,B113)</f>
        <v/>
      </c>
      <c r="S113" s="49">
        <f>R113/$R$4</f>
        <v/>
      </c>
    </row>
    <row r="114" hidden="1" outlineLevel="1" ht="15.75" customHeight="1" s="297">
      <c r="A114" s="48">
        <f>IFERROR(__xludf.DUMMYFUNCTION("""COMPUTED_VALUE"""),"ORKESTRA SC")</f>
        <v/>
      </c>
      <c r="B114" s="49">
        <f t="array" ref="B114">IFERROR(
SUM(
IF(
'PORTIFÓLIO'!$C$4:$C$564=$A114,
N(INDEX('PORTIFÓLIO'!$J$4:$Q$564,,MATCH(B$2,'PORTIFÓLIO'!$J$3:$Q$3,0))) *
N('PORTIFÓLIO'!$S$4:$S$564),
0
)
),
0)</f>
        <v/>
      </c>
      <c r="C114" s="49">
        <f>B114/$B$4</f>
        <v/>
      </c>
      <c r="D114" s="49">
        <f t="array" ref="D114">IFERROR(
SUM(
IF(
'PORTIFÓLIO'!$C$4:$C$564=$A114,
N(INDEX('PORTIFÓLIO'!$J$4:$Q$564,,MATCH(D$2,'PORTIFÓLIO'!$J$3:$Q$3,0))) *
N('PORTIFÓLIO'!$S$4:$S$564),
0
)
),
0)</f>
        <v/>
      </c>
      <c r="E114" s="49">
        <f>D114/$D$4</f>
        <v/>
      </c>
      <c r="F114" s="49">
        <f t="array" ref="F114">IFERROR(
SUM(
IF(
'PORTIFÓLIO'!$C$4:$C$564=$A114,
N(INDEX('PORTIFÓLIO'!$J$4:$Q$564,,MATCH(F$2,'PORTIFÓLIO'!$J$3:$Q$3,0))) *
N('PORTIFÓLIO'!$S$4:$S$564),
0
)
),
0)</f>
        <v/>
      </c>
      <c r="G114" s="47">
        <f>F114/$F$4</f>
        <v/>
      </c>
      <c r="H114" s="49">
        <f t="array" ref="H114">IFERROR(
SUM(
IF(
'PORTIFÓLIO'!$C$4:$C$564=$A114,
N(INDEX('PORTIFÓLIO'!$J$4:$Q$564,,MATCH(H$2,'PORTIFÓLIO'!$J$3:$Q$3,0))) *
N('PORTIFÓLIO'!$S$4:$S$564),
0
)
),
0)</f>
        <v/>
      </c>
      <c r="I114" s="47">
        <f>H114/$H$4</f>
        <v/>
      </c>
      <c r="J114" s="49">
        <f t="array" ref="J114">IFERROR(
SUM(
IF(
'PORTIFÓLIO'!$C$4:$C$564=$A114,
N(INDEX('PORTIFÓLIO'!$J$4:$Q$564,,MATCH(J$2,'PORTIFÓLIO'!$J$3:$Q$3,0))) *
N('PORTIFÓLIO'!$S$4:$S$564),
0
)
),
0)</f>
        <v/>
      </c>
      <c r="K114" s="47">
        <f>J114/$J$4</f>
        <v/>
      </c>
      <c r="L114" s="49">
        <f t="array" ref="L114">IFERROR(
SUM(
IF(
'PORTIFÓLIO'!$C$4:$C$564=$A114,
N(INDEX('PORTIFÓLIO'!$J$4:$Q$564,,MATCH(L$2,'PORTIFÓLIO'!$J$3:$Q$3,0))) *
N('PORTIFÓLIO'!$S$4:$S$564),
0
)
),
0)</f>
        <v/>
      </c>
      <c r="M114" s="47">
        <f>L114/$L$4</f>
        <v/>
      </c>
      <c r="N114" s="49">
        <f t="array" ref="N114">IFERROR(
SUM(
IF(
'PORTIFÓLIO'!$C$4:$C$564=$A114,
N(INDEX('PORTIFÓLIO'!$J$4:$Q$564,,MATCH(N$2,'PORTIFÓLIO'!$J$3:$Q$3,0))) *
N('PORTIFÓLIO'!$S$4:$S$564),
0
)
),
0)</f>
        <v/>
      </c>
      <c r="O114" s="49">
        <f>N114/$N$4</f>
        <v/>
      </c>
      <c r="P114" s="49">
        <f t="array" ref="P114">IFERROR(
SUM(
IF(
'PORTIFÓLIO'!$C$4:$C$564=$A114,
N(INDEX('PORTIFÓLIO'!$J$4:$Q$564,,MATCH(P$2,'PORTIFÓLIO'!$J$3:$Q$3,0))) *
N('PORTIFÓLIO'!$S$4:$S$564),
0
)
),
0)</f>
        <v/>
      </c>
      <c r="Q114" s="49">
        <f>P114/$P$4</f>
        <v/>
      </c>
      <c r="R114" s="49">
        <f>SUM(P114,N114,L114,J114,H114,D114,B114)</f>
        <v/>
      </c>
      <c r="S114" s="49">
        <f>R114/$R$4</f>
        <v/>
      </c>
    </row>
    <row r="115" hidden="1" outlineLevel="1" ht="15.75" customHeight="1" s="297">
      <c r="A115" s="48">
        <f>IFERROR(__xludf.DUMMYFUNCTION("""COMPUTED_VALUE"""),"SPOT SC")</f>
        <v/>
      </c>
      <c r="B115" s="49">
        <f t="array" ref="B115">IFERROR(
SUM(
IF(
'PORTIFÓLIO'!$C$4:$C$564=$A115,
N(INDEX('PORTIFÓLIO'!$J$4:$Q$564,,MATCH(B$2,'PORTIFÓLIO'!$J$3:$Q$3,0))) *
N('PORTIFÓLIO'!$S$4:$S$564),
0
)
),
0)</f>
        <v/>
      </c>
      <c r="C115" s="49">
        <f>B115/$B$4</f>
        <v/>
      </c>
      <c r="D115" s="49">
        <f t="array" ref="D115">IFERROR(
SUM(
IF(
'PORTIFÓLIO'!$C$4:$C$564=$A115,
N(INDEX('PORTIFÓLIO'!$J$4:$Q$564,,MATCH(D$2,'PORTIFÓLIO'!$J$3:$Q$3,0))) *
N('PORTIFÓLIO'!$S$4:$S$564),
0
)
),
0)</f>
        <v/>
      </c>
      <c r="E115" s="49">
        <f>D115/$D$4</f>
        <v/>
      </c>
      <c r="F115" s="49">
        <f t="array" ref="F115">IFERROR(
SUM(
IF(
'PORTIFÓLIO'!$C$4:$C$564=$A115,
N(INDEX('PORTIFÓLIO'!$J$4:$Q$564,,MATCH(F$2,'PORTIFÓLIO'!$J$3:$Q$3,0))) *
N('PORTIFÓLIO'!$S$4:$S$564),
0
)
),
0)</f>
        <v/>
      </c>
      <c r="G115" s="47">
        <f>F115/$F$4</f>
        <v/>
      </c>
      <c r="H115" s="49">
        <f t="array" ref="H115">IFERROR(
SUM(
IF(
'PORTIFÓLIO'!$C$4:$C$564=$A115,
N(INDEX('PORTIFÓLIO'!$J$4:$Q$564,,MATCH(H$2,'PORTIFÓLIO'!$J$3:$Q$3,0))) *
N('PORTIFÓLIO'!$S$4:$S$564),
0
)
),
0)</f>
        <v/>
      </c>
      <c r="I115" s="47">
        <f>H115/$H$4</f>
        <v/>
      </c>
      <c r="J115" s="49">
        <f t="array" ref="J115">IFERROR(
SUM(
IF(
'PORTIFÓLIO'!$C$4:$C$564=$A115,
N(INDEX('PORTIFÓLIO'!$J$4:$Q$564,,MATCH(J$2,'PORTIFÓLIO'!$J$3:$Q$3,0))) *
N('PORTIFÓLIO'!$S$4:$S$564),
0
)
),
0)</f>
        <v/>
      </c>
      <c r="K115" s="47">
        <f>J115/$J$4</f>
        <v/>
      </c>
      <c r="L115" s="49">
        <f t="array" ref="L115">IFERROR(
SUM(
IF(
'PORTIFÓLIO'!$C$4:$C$564=$A115,
N(INDEX('PORTIFÓLIO'!$J$4:$Q$564,,MATCH(L$2,'PORTIFÓLIO'!$J$3:$Q$3,0))) *
N('PORTIFÓLIO'!$S$4:$S$564),
0
)
),
0)</f>
        <v/>
      </c>
      <c r="M115" s="47">
        <f>L115/$L$4</f>
        <v/>
      </c>
      <c r="N115" s="49">
        <f t="array" ref="N115">IFERROR(
SUM(
IF(
'PORTIFÓLIO'!$C$4:$C$564=$A115,
N(INDEX('PORTIFÓLIO'!$J$4:$Q$564,,MATCH(N$2,'PORTIFÓLIO'!$J$3:$Q$3,0))) *
N('PORTIFÓLIO'!$S$4:$S$564),
0
)
),
0)</f>
        <v/>
      </c>
      <c r="O115" s="49">
        <f>N115/$N$4</f>
        <v/>
      </c>
      <c r="P115" s="49">
        <f t="array" ref="P115">IFERROR(
SUM(
IF(
'PORTIFÓLIO'!$C$4:$C$564=$A115,
N(INDEX('PORTIFÓLIO'!$J$4:$Q$564,,MATCH(P$2,'PORTIFÓLIO'!$J$3:$Q$3,0))) *
N('PORTIFÓLIO'!$S$4:$S$564),
0
)
),
0)</f>
        <v/>
      </c>
      <c r="Q115" s="49">
        <f>P115/$P$4</f>
        <v/>
      </c>
      <c r="R115" s="49">
        <f>SUM(P115,N115,L115,J115,H115,D115,B115)</f>
        <v/>
      </c>
      <c r="S115" s="49">
        <f>R115/$R$4</f>
        <v/>
      </c>
    </row>
    <row r="116" hidden="1" outlineLevel="1" ht="15.75" customHeight="1" s="297">
      <c r="A116" s="48">
        <f>IFERROR(__xludf.DUMMYFUNCTION("""COMPUTED_VALUE"""),"ATTILA")</f>
        <v/>
      </c>
      <c r="B116" s="49">
        <f t="array" ref="B116">IFERROR(
SUM(
IF(
'PORTIFÓLIO'!$C$4:$C$564=$A116,
N(INDEX('PORTIFÓLIO'!$J$4:$Q$564,,MATCH(B$2,'PORTIFÓLIO'!$J$3:$Q$3,0))) *
N('PORTIFÓLIO'!$S$4:$S$564),
0
)
),
0)</f>
        <v/>
      </c>
      <c r="C116" s="49">
        <f>B116/$B$4</f>
        <v/>
      </c>
      <c r="D116" s="49">
        <f t="array" ref="D116">IFERROR(
SUM(
IF(
'PORTIFÓLIO'!$C$4:$C$564=$A116,
N(INDEX('PORTIFÓLIO'!$J$4:$Q$564,,MATCH(D$2,'PORTIFÓLIO'!$J$3:$Q$3,0))) *
N('PORTIFÓLIO'!$S$4:$S$564),
0
)
),
0)</f>
        <v/>
      </c>
      <c r="E116" s="49">
        <f>D116/$D$4</f>
        <v/>
      </c>
      <c r="F116" s="49">
        <f t="array" ref="F116">IFERROR(
SUM(
IF(
'PORTIFÓLIO'!$C$4:$C$564=$A116,
N(INDEX('PORTIFÓLIO'!$J$4:$Q$564,,MATCH(F$2,'PORTIFÓLIO'!$J$3:$Q$3,0))) *
N('PORTIFÓLIO'!$S$4:$S$564),
0
)
),
0)</f>
        <v/>
      </c>
      <c r="G116" s="47">
        <f>F116/$F$4</f>
        <v/>
      </c>
      <c r="H116" s="49">
        <f t="array" ref="H116">IFERROR(
SUM(
IF(
'PORTIFÓLIO'!$C$4:$C$564=$A116,
N(INDEX('PORTIFÓLIO'!$J$4:$Q$564,,MATCH(H$2,'PORTIFÓLIO'!$J$3:$Q$3,0))) *
N('PORTIFÓLIO'!$S$4:$S$564),
0
)
),
0)</f>
        <v/>
      </c>
      <c r="I116" s="47">
        <f>H116/$H$4</f>
        <v/>
      </c>
      <c r="J116" s="49">
        <f t="array" ref="J116">IFERROR(
SUM(
IF(
'PORTIFÓLIO'!$C$4:$C$564=$A116,
N(INDEX('PORTIFÓLIO'!$J$4:$Q$564,,MATCH(J$2,'PORTIFÓLIO'!$J$3:$Q$3,0))) *
N('PORTIFÓLIO'!$S$4:$S$564),
0
)
),
0)</f>
        <v/>
      </c>
      <c r="K116" s="47">
        <f>J116/$J$4</f>
        <v/>
      </c>
      <c r="L116" s="49">
        <f t="array" ref="L116">IFERROR(
SUM(
IF(
'PORTIFÓLIO'!$C$4:$C$564=$A116,
N(INDEX('PORTIFÓLIO'!$J$4:$Q$564,,MATCH(L$2,'PORTIFÓLIO'!$J$3:$Q$3,0))) *
N('PORTIFÓLIO'!$S$4:$S$564),
0
)
),
0)</f>
        <v/>
      </c>
      <c r="M116" s="47">
        <f>L116/$L$4</f>
        <v/>
      </c>
      <c r="N116" s="49">
        <f t="array" ref="N116">IFERROR(
SUM(
IF(
'PORTIFÓLIO'!$C$4:$C$564=$A116,
N(INDEX('PORTIFÓLIO'!$J$4:$Q$564,,MATCH(N$2,'PORTIFÓLIO'!$J$3:$Q$3,0))) *
N('PORTIFÓLIO'!$S$4:$S$564),
0
)
),
0)</f>
        <v/>
      </c>
      <c r="O116" s="49">
        <f>N116/$N$4</f>
        <v/>
      </c>
      <c r="P116" s="49">
        <f t="array" ref="P116">IFERROR(
SUM(
IF(
'PORTIFÓLIO'!$C$4:$C$564=$A116,
N(INDEX('PORTIFÓLIO'!$J$4:$Q$564,,MATCH(P$2,'PORTIFÓLIO'!$J$3:$Q$3,0))) *
N('PORTIFÓLIO'!$S$4:$S$564),
0
)
),
0)</f>
        <v/>
      </c>
      <c r="Q116" s="49">
        <f>P116/$P$4</f>
        <v/>
      </c>
      <c r="R116" s="49">
        <f>SUM(P116,N116,L116,J116,H116,D116,B116)</f>
        <v/>
      </c>
      <c r="S116" s="49">
        <f>R116/$R$4</f>
        <v/>
      </c>
    </row>
    <row r="117" hidden="1" outlineLevel="1" ht="15.75" customHeight="1" s="297">
      <c r="A117" s="48">
        <f>IFERROR(__xludf.DUMMYFUNCTION("""COMPUTED_VALUE"""),"FOX SUPRA")</f>
        <v/>
      </c>
      <c r="B117" s="49">
        <f t="array" ref="B117">IFERROR(
SUM(
IF(
'PORTIFÓLIO'!$C$4:$C$564=$A117,
N(INDEX('PORTIFÓLIO'!$J$4:$Q$564,,MATCH(B$2,'PORTIFÓLIO'!$J$3:$Q$3,0))) *
N('PORTIFÓLIO'!$S$4:$S$564),
0
)
),
0)</f>
        <v/>
      </c>
      <c r="C117" s="49">
        <f>B117/$B$4</f>
        <v/>
      </c>
      <c r="D117" s="49">
        <f t="array" ref="D117">IFERROR(
SUM(
IF(
'PORTIFÓLIO'!$C$4:$C$564=$A117,
N(INDEX('PORTIFÓLIO'!$J$4:$Q$564,,MATCH(D$2,'PORTIFÓLIO'!$J$3:$Q$3,0))) *
N('PORTIFÓLIO'!$S$4:$S$564),
0
)
),
0)</f>
        <v/>
      </c>
      <c r="E117" s="49">
        <f>D117/$D$4</f>
        <v/>
      </c>
      <c r="F117" s="49">
        <f t="array" ref="F117">IFERROR(
SUM(
IF(
'PORTIFÓLIO'!$C$4:$C$564=$A117,
N(INDEX('PORTIFÓLIO'!$J$4:$Q$564,,MATCH(F$2,'PORTIFÓLIO'!$J$3:$Q$3,0))) *
N('PORTIFÓLIO'!$S$4:$S$564),
0
)
),
0)</f>
        <v/>
      </c>
      <c r="G117" s="47">
        <f>F117/$F$4</f>
        <v/>
      </c>
      <c r="H117" s="49">
        <f t="array" ref="H117">IFERROR(
SUM(
IF(
'PORTIFÓLIO'!$C$4:$C$564=$A117,
N(INDEX('PORTIFÓLIO'!$J$4:$Q$564,,MATCH(H$2,'PORTIFÓLIO'!$J$3:$Q$3,0))) *
N('PORTIFÓLIO'!$S$4:$S$564),
0
)
),
0)</f>
        <v/>
      </c>
      <c r="I117" s="47">
        <f>H117/$H$4</f>
        <v/>
      </c>
      <c r="J117" s="49">
        <f t="array" ref="J117">IFERROR(
SUM(
IF(
'PORTIFÓLIO'!$C$4:$C$564=$A117,
N(INDEX('PORTIFÓLIO'!$J$4:$Q$564,,MATCH(J$2,'PORTIFÓLIO'!$J$3:$Q$3,0))) *
N('PORTIFÓLIO'!$S$4:$S$564),
0
)
),
0)</f>
        <v/>
      </c>
      <c r="K117" s="47">
        <f>J117/$J$4</f>
        <v/>
      </c>
      <c r="L117" s="49">
        <f t="array" ref="L117">IFERROR(
SUM(
IF(
'PORTIFÓLIO'!$C$4:$C$564=$A117,
N(INDEX('PORTIFÓLIO'!$J$4:$Q$564,,MATCH(L$2,'PORTIFÓLIO'!$J$3:$Q$3,0))) *
N('PORTIFÓLIO'!$S$4:$S$564),
0
)
),
0)</f>
        <v/>
      </c>
      <c r="M117" s="47">
        <f>L117/$L$4</f>
        <v/>
      </c>
      <c r="N117" s="49">
        <f t="array" ref="N117">IFERROR(
SUM(
IF(
'PORTIFÓLIO'!$C$4:$C$564=$A117,
N(INDEX('PORTIFÓLIO'!$J$4:$Q$564,,MATCH(N$2,'PORTIFÓLIO'!$J$3:$Q$3,0))) *
N('PORTIFÓLIO'!$S$4:$S$564),
0
)
),
0)</f>
        <v/>
      </c>
      <c r="O117" s="49">
        <f>N117/$N$4</f>
        <v/>
      </c>
      <c r="P117" s="49">
        <f t="array" ref="P117">IFERROR(
SUM(
IF(
'PORTIFÓLIO'!$C$4:$C$564=$A117,
N(INDEX('PORTIFÓLIO'!$J$4:$Q$564,,MATCH(P$2,'PORTIFÓLIO'!$J$3:$Q$3,0))) *
N('PORTIFÓLIO'!$S$4:$S$564),
0
)
),
0)</f>
        <v/>
      </c>
      <c r="Q117" s="49">
        <f>P117/$P$4</f>
        <v/>
      </c>
      <c r="R117" s="49">
        <f>SUM(P117,N117,L117,J117,H117,D117,B117)</f>
        <v/>
      </c>
      <c r="S117" s="49">
        <f>R117/$R$4</f>
        <v/>
      </c>
    </row>
    <row r="118" hidden="1" outlineLevel="1" ht="15.75" customHeight="1" s="297">
      <c r="A118" s="48">
        <f>IFERROR(__xludf.DUMMYFUNCTION("""COMPUTED_VALUE"""),"FOX XPRO")</f>
        <v/>
      </c>
      <c r="B118" s="49">
        <f t="array" ref="B118">IFERROR(
SUM(
IF(
'PORTIFÓLIO'!$C$4:$C$564=$A118,
N(INDEX('PORTIFÓLIO'!$J$4:$Q$564,,MATCH(B$2,'PORTIFÓLIO'!$J$3:$Q$3,0))) *
N('PORTIFÓLIO'!$S$4:$S$564),
0
)
),
0)</f>
        <v/>
      </c>
      <c r="C118" s="49">
        <f>B118/$B$4</f>
        <v/>
      </c>
      <c r="D118" s="49">
        <f t="array" ref="D118">IFERROR(
SUM(
IF(
'PORTIFÓLIO'!$C$4:$C$564=$A118,
N(INDEX('PORTIFÓLIO'!$J$4:$Q$564,,MATCH(D$2,'PORTIFÓLIO'!$J$3:$Q$3,0))) *
N('PORTIFÓLIO'!$S$4:$S$564),
0
)
),
0)</f>
        <v/>
      </c>
      <c r="E118" s="49">
        <f>D118/$D$4</f>
        <v/>
      </c>
      <c r="F118" s="49">
        <f t="array" ref="F118">IFERROR(
SUM(
IF(
'PORTIFÓLIO'!$C$4:$C$564=$A118,
N(INDEX('PORTIFÓLIO'!$J$4:$Q$564,,MATCH(F$2,'PORTIFÓLIO'!$J$3:$Q$3,0))) *
N('PORTIFÓLIO'!$S$4:$S$564),
0
)
),
0)</f>
        <v/>
      </c>
      <c r="G118" s="47">
        <f>F118/$F$4</f>
        <v/>
      </c>
      <c r="H118" s="49">
        <f t="array" ref="H118">IFERROR(
SUM(
IF(
'PORTIFÓLIO'!$C$4:$C$564=$A118,
N(INDEX('PORTIFÓLIO'!$J$4:$Q$564,,MATCH(H$2,'PORTIFÓLIO'!$J$3:$Q$3,0))) *
N('PORTIFÓLIO'!$S$4:$S$564),
0
)
),
0)</f>
        <v/>
      </c>
      <c r="I118" s="47">
        <f>H118/$H$4</f>
        <v/>
      </c>
      <c r="J118" s="49">
        <f t="array" ref="J118">IFERROR(
SUM(
IF(
'PORTIFÓLIO'!$C$4:$C$564=$A118,
N(INDEX('PORTIFÓLIO'!$J$4:$Q$564,,MATCH(J$2,'PORTIFÓLIO'!$J$3:$Q$3,0))) *
N('PORTIFÓLIO'!$S$4:$S$564),
0
)
),
0)</f>
        <v/>
      </c>
      <c r="K118" s="47">
        <f>J118/$J$4</f>
        <v/>
      </c>
      <c r="L118" s="49">
        <f t="array" ref="L118">IFERROR(
SUM(
IF(
'PORTIFÓLIO'!$C$4:$C$564=$A118,
N(INDEX('PORTIFÓLIO'!$J$4:$Q$564,,MATCH(L$2,'PORTIFÓLIO'!$J$3:$Q$3,0))) *
N('PORTIFÓLIO'!$S$4:$S$564),
0
)
),
0)</f>
        <v/>
      </c>
      <c r="M118" s="47">
        <f>L118/$L$4</f>
        <v/>
      </c>
      <c r="N118" s="49">
        <f t="array" ref="N118">IFERROR(
SUM(
IF(
'PORTIFÓLIO'!$C$4:$C$564=$A118,
N(INDEX('PORTIFÓLIO'!$J$4:$Q$564,,MATCH(N$2,'PORTIFÓLIO'!$J$3:$Q$3,0))) *
N('PORTIFÓLIO'!$S$4:$S$564),
0
)
),
0)</f>
        <v/>
      </c>
      <c r="O118" s="49">
        <f>N118/$N$4</f>
        <v/>
      </c>
      <c r="P118" s="49">
        <f t="array" ref="P118">IFERROR(
SUM(
IF(
'PORTIFÓLIO'!$C$4:$C$564=$A118,
N(INDEX('PORTIFÓLIO'!$J$4:$Q$564,,MATCH(P$2,'PORTIFÓLIO'!$J$3:$Q$3,0))) *
N('PORTIFÓLIO'!$S$4:$S$564),
0
)
),
0)</f>
        <v/>
      </c>
      <c r="Q118" s="49">
        <f>P118/$P$4</f>
        <v/>
      </c>
      <c r="R118" s="49">
        <f>SUM(P118,N118,L118,J118,H118,D118,B118)</f>
        <v/>
      </c>
      <c r="S118" s="49">
        <f>R118/$R$4</f>
        <v/>
      </c>
    </row>
    <row r="119" hidden="1" outlineLevel="1" ht="15.75" customHeight="1" s="297">
      <c r="A119" s="48">
        <f>IFERROR(__xludf.DUMMYFUNCTION("""COMPUTED_VALUE"""),"NATIVO")</f>
        <v/>
      </c>
      <c r="B119" s="49">
        <f t="array" ref="B119">IFERROR(
SUM(
IF(
'PORTIFÓLIO'!$C$4:$C$564=$A119,
N(INDEX('PORTIFÓLIO'!$J$4:$Q$564,,MATCH(B$2,'PORTIFÓLIO'!$J$3:$Q$3,0))) *
N('PORTIFÓLIO'!$S$4:$S$564),
0
)
),
0)</f>
        <v/>
      </c>
      <c r="C119" s="49">
        <f>B119/$B$4</f>
        <v/>
      </c>
      <c r="D119" s="49">
        <f t="array" ref="D119">IFERROR(
SUM(
IF(
'PORTIFÓLIO'!$C$4:$C$564=$A119,
N(INDEX('PORTIFÓLIO'!$J$4:$Q$564,,MATCH(D$2,'PORTIFÓLIO'!$J$3:$Q$3,0))) *
N('PORTIFÓLIO'!$S$4:$S$564),
0
)
),
0)</f>
        <v/>
      </c>
      <c r="E119" s="49">
        <f>D119/$D$4</f>
        <v/>
      </c>
      <c r="F119" s="49">
        <f t="array" ref="F119">IFERROR(
SUM(
IF(
'PORTIFÓLIO'!$C$4:$C$564=$A119,
N(INDEX('PORTIFÓLIO'!$J$4:$Q$564,,MATCH(F$2,'PORTIFÓLIO'!$J$3:$Q$3,0))) *
N('PORTIFÓLIO'!$S$4:$S$564),
0
)
),
0)</f>
        <v/>
      </c>
      <c r="G119" s="47">
        <f>F119/$F$4</f>
        <v/>
      </c>
      <c r="H119" s="49">
        <f t="array" ref="H119">IFERROR(
SUM(
IF(
'PORTIFÓLIO'!$C$4:$C$564=$A119,
N(INDEX('PORTIFÓLIO'!$J$4:$Q$564,,MATCH(H$2,'PORTIFÓLIO'!$J$3:$Q$3,0))) *
N('PORTIFÓLIO'!$S$4:$S$564),
0
)
),
0)</f>
        <v/>
      </c>
      <c r="I119" s="47">
        <f>H119/$H$4</f>
        <v/>
      </c>
      <c r="J119" s="49">
        <f t="array" ref="J119">IFERROR(
SUM(
IF(
'PORTIFÓLIO'!$C$4:$C$564=$A119,
N(INDEX('PORTIFÓLIO'!$J$4:$Q$564,,MATCH(J$2,'PORTIFÓLIO'!$J$3:$Q$3,0))) *
N('PORTIFÓLIO'!$S$4:$S$564),
0
)
),
0)</f>
        <v/>
      </c>
      <c r="K119" s="47">
        <f>J119/$J$4</f>
        <v/>
      </c>
      <c r="L119" s="49">
        <f t="array" ref="L119">IFERROR(
SUM(
IF(
'PORTIFÓLIO'!$C$4:$C$564=$A119,
N(INDEX('PORTIFÓLIO'!$J$4:$Q$564,,MATCH(L$2,'PORTIFÓLIO'!$J$3:$Q$3,0))) *
N('PORTIFÓLIO'!$S$4:$S$564),
0
)
),
0)</f>
        <v/>
      </c>
      <c r="M119" s="47">
        <f>L119/$L$4</f>
        <v/>
      </c>
      <c r="N119" s="49">
        <f t="array" ref="N119">IFERROR(
SUM(
IF(
'PORTIFÓLIO'!$C$4:$C$564=$A119,
N(INDEX('PORTIFÓLIO'!$J$4:$Q$564,,MATCH(N$2,'PORTIFÓLIO'!$J$3:$Q$3,0))) *
N('PORTIFÓLIO'!$S$4:$S$564),
0
)
),
0)</f>
        <v/>
      </c>
      <c r="O119" s="49">
        <f>N119/$N$4</f>
        <v/>
      </c>
      <c r="P119" s="49">
        <f t="array" ref="P119">IFERROR(
SUM(
IF(
'PORTIFÓLIO'!$C$4:$C$564=$A119,
N(INDEX('PORTIFÓLIO'!$J$4:$Q$564,,MATCH(P$2,'PORTIFÓLIO'!$J$3:$Q$3,0))) *
N('PORTIFÓLIO'!$S$4:$S$564),
0
)
),
0)</f>
        <v/>
      </c>
      <c r="Q119" s="49">
        <f>P119/$P$4</f>
        <v/>
      </c>
      <c r="R119" s="49">
        <f>SUM(P119,N119,L119,J119,H119,D119,B119)</f>
        <v/>
      </c>
      <c r="S119" s="49">
        <f>R119/$R$4</f>
        <v/>
      </c>
    </row>
    <row r="120" hidden="1" outlineLevel="1" ht="15.75" customHeight="1" s="297">
      <c r="A120" s="48">
        <f>IFERROR(__xludf.DUMMYFUNCTION("""COMPUTED_VALUE"""),"NATIVO PLUS")</f>
        <v/>
      </c>
      <c r="B120" s="49">
        <f t="array" ref="B120">IFERROR(
SUM(
IF(
'PORTIFÓLIO'!$C$4:$C$564=$A120,
N(INDEX('PORTIFÓLIO'!$J$4:$Q$564,,MATCH(B$2,'PORTIFÓLIO'!$J$3:$Q$3,0))) *
N('PORTIFÓLIO'!$S$4:$S$564),
0
)
),
0)</f>
        <v/>
      </c>
      <c r="C120" s="49">
        <f>B120/$B$4</f>
        <v/>
      </c>
      <c r="D120" s="49">
        <f t="array" ref="D120">IFERROR(
SUM(
IF(
'PORTIFÓLIO'!$C$4:$C$564=$A120,
N(INDEX('PORTIFÓLIO'!$J$4:$Q$564,,MATCH(D$2,'PORTIFÓLIO'!$J$3:$Q$3,0))) *
N('PORTIFÓLIO'!$S$4:$S$564),
0
)
),
0)</f>
        <v/>
      </c>
      <c r="E120" s="49">
        <f>D120/$D$4</f>
        <v/>
      </c>
      <c r="F120" s="49">
        <f t="array" ref="F120">IFERROR(
SUM(
IF(
'PORTIFÓLIO'!$C$4:$C$564=$A120,
N(INDEX('PORTIFÓLIO'!$J$4:$Q$564,,MATCH(F$2,'PORTIFÓLIO'!$J$3:$Q$3,0))) *
N('PORTIFÓLIO'!$S$4:$S$564),
0
)
),
0)</f>
        <v/>
      </c>
      <c r="G120" s="47">
        <f>F120/$F$4</f>
        <v/>
      </c>
      <c r="H120" s="49">
        <f t="array" ref="H120">IFERROR(
SUM(
IF(
'PORTIFÓLIO'!$C$4:$C$564=$A120,
N(INDEX('PORTIFÓLIO'!$J$4:$Q$564,,MATCH(H$2,'PORTIFÓLIO'!$J$3:$Q$3,0))) *
N('PORTIFÓLIO'!$S$4:$S$564),
0
)
),
0)</f>
        <v/>
      </c>
      <c r="I120" s="47">
        <f>H120/$H$4</f>
        <v/>
      </c>
      <c r="J120" s="49">
        <f t="array" ref="J120">IFERROR(
SUM(
IF(
'PORTIFÓLIO'!$C$4:$C$564=$A120,
N(INDEX('PORTIFÓLIO'!$J$4:$Q$564,,MATCH(J$2,'PORTIFÓLIO'!$J$3:$Q$3,0))) *
N('PORTIFÓLIO'!$S$4:$S$564),
0
)
),
0)</f>
        <v/>
      </c>
      <c r="K120" s="47">
        <f>J120/$J$4</f>
        <v/>
      </c>
      <c r="L120" s="49">
        <f t="array" ref="L120">IFERROR(
SUM(
IF(
'PORTIFÓLIO'!$C$4:$C$564=$A120,
N(INDEX('PORTIFÓLIO'!$J$4:$Q$564,,MATCH(L$2,'PORTIFÓLIO'!$J$3:$Q$3,0))) *
N('PORTIFÓLIO'!$S$4:$S$564),
0
)
),
0)</f>
        <v/>
      </c>
      <c r="M120" s="47">
        <f>L120/$L$4</f>
        <v/>
      </c>
      <c r="N120" s="49">
        <f t="array" ref="N120">IFERROR(
SUM(
IF(
'PORTIFÓLIO'!$C$4:$C$564=$A120,
N(INDEX('PORTIFÓLIO'!$J$4:$Q$564,,MATCH(N$2,'PORTIFÓLIO'!$J$3:$Q$3,0))) *
N('PORTIFÓLIO'!$S$4:$S$564),
0
)
),
0)</f>
        <v/>
      </c>
      <c r="O120" s="49">
        <f>N120/$N$4</f>
        <v/>
      </c>
      <c r="P120" s="49">
        <f t="array" ref="P120">IFERROR(
SUM(
IF(
'PORTIFÓLIO'!$C$4:$C$564=$A120,
N(INDEX('PORTIFÓLIO'!$J$4:$Q$564,,MATCH(P$2,'PORTIFÓLIO'!$J$3:$Q$3,0))) *
N('PORTIFÓLIO'!$S$4:$S$564),
0
)
),
0)</f>
        <v/>
      </c>
      <c r="Q120" s="49">
        <f>P120/$P$4</f>
        <v/>
      </c>
      <c r="R120" s="49">
        <f>SUM(P120,N120,L120,J120,H120,D120,B120)</f>
        <v/>
      </c>
      <c r="S120" s="49">
        <f>R120/$R$4</f>
        <v/>
      </c>
    </row>
    <row r="121" hidden="1" outlineLevel="1" ht="15.75" customHeight="1" s="297">
      <c r="A121" s="48">
        <f>IFERROR(__xludf.DUMMYFUNCTION("""COMPUTED_VALUE"""),"SPHERE MAX")</f>
        <v/>
      </c>
      <c r="B121" s="49">
        <f t="array" ref="B121">IFERROR(
SUM(
IF(
'PORTIFÓLIO'!$C$4:$C$564=$A121,
N(INDEX('PORTIFÓLIO'!$J$4:$Q$564,,MATCH(B$2,'PORTIFÓLIO'!$J$3:$Q$3,0))) *
N('PORTIFÓLIO'!$S$4:$S$564),
0
)
),
0)</f>
        <v/>
      </c>
      <c r="C121" s="49">
        <f>B121/$B$4</f>
        <v/>
      </c>
      <c r="D121" s="49">
        <f t="array" ref="D121">IFERROR(
SUM(
IF(
'PORTIFÓLIO'!$C$4:$C$564=$A121,
N(INDEX('PORTIFÓLIO'!$J$4:$Q$564,,MATCH(D$2,'PORTIFÓLIO'!$J$3:$Q$3,0))) *
N('PORTIFÓLIO'!$S$4:$S$564),
0
)
),
0)</f>
        <v/>
      </c>
      <c r="E121" s="49">
        <f>D121/$D$4</f>
        <v/>
      </c>
      <c r="F121" s="49">
        <f t="array" ref="F121">IFERROR(
SUM(
IF(
'PORTIFÓLIO'!$C$4:$C$564=$A121,
N(INDEX('PORTIFÓLIO'!$J$4:$Q$564,,MATCH(F$2,'PORTIFÓLIO'!$J$3:$Q$3,0))) *
N('PORTIFÓLIO'!$S$4:$S$564),
0
)
),
0)</f>
        <v/>
      </c>
      <c r="G121" s="47">
        <f>F121/$F$4</f>
        <v/>
      </c>
      <c r="H121" s="49">
        <f t="array" ref="H121">IFERROR(
SUM(
IF(
'PORTIFÓLIO'!$C$4:$C$564=$A121,
N(INDEX('PORTIFÓLIO'!$J$4:$Q$564,,MATCH(H$2,'PORTIFÓLIO'!$J$3:$Q$3,0))) *
N('PORTIFÓLIO'!$S$4:$S$564),
0
)
),
0)</f>
        <v/>
      </c>
      <c r="I121" s="47">
        <f>H121/$H$4</f>
        <v/>
      </c>
      <c r="J121" s="49">
        <f t="array" ref="J121">IFERROR(
SUM(
IF(
'PORTIFÓLIO'!$C$4:$C$564=$A121,
N(INDEX('PORTIFÓLIO'!$J$4:$Q$564,,MATCH(J$2,'PORTIFÓLIO'!$J$3:$Q$3,0))) *
N('PORTIFÓLIO'!$S$4:$S$564),
0
)
),
0)</f>
        <v/>
      </c>
      <c r="K121" s="47">
        <f>J121/$J$4</f>
        <v/>
      </c>
      <c r="L121" s="49">
        <f t="array" ref="L121">IFERROR(
SUM(
IF(
'PORTIFÓLIO'!$C$4:$C$564=$A121,
N(INDEX('PORTIFÓLIO'!$J$4:$Q$564,,MATCH(L$2,'PORTIFÓLIO'!$J$3:$Q$3,0))) *
N('PORTIFÓLIO'!$S$4:$S$564),
0
)
),
0)</f>
        <v/>
      </c>
      <c r="M121" s="47">
        <f>L121/$L$4</f>
        <v/>
      </c>
      <c r="N121" s="49">
        <f t="array" ref="N121">IFERROR(
SUM(
IF(
'PORTIFÓLIO'!$C$4:$C$564=$A121,
N(INDEX('PORTIFÓLIO'!$J$4:$Q$564,,MATCH(N$2,'PORTIFÓLIO'!$J$3:$Q$3,0))) *
N('PORTIFÓLIO'!$S$4:$S$564),
0
)
),
0)</f>
        <v/>
      </c>
      <c r="O121" s="49">
        <f>N121/$N$4</f>
        <v/>
      </c>
      <c r="P121" s="49">
        <f t="array" ref="P121">IFERROR(
SUM(
IF(
'PORTIFÓLIO'!$C$4:$C$564=$A121,
N(INDEX('PORTIFÓLIO'!$J$4:$Q$564,,MATCH(P$2,'PORTIFÓLIO'!$J$3:$Q$3,0))) *
N('PORTIFÓLIO'!$S$4:$S$564),
0
)
),
0)</f>
        <v/>
      </c>
      <c r="Q121" s="49">
        <f>P121/$P$4</f>
        <v/>
      </c>
      <c r="R121" s="49">
        <f>SUM(P121,N121,L121,J121,H121,D121,B121)</f>
        <v/>
      </c>
      <c r="S121" s="49">
        <f>R121/$R$4</f>
        <v/>
      </c>
    </row>
    <row r="122" hidden="1" outlineLevel="1" ht="15.75" customHeight="1" s="297">
      <c r="A122" s="48">
        <f>IFERROR(__xludf.DUMMYFUNCTION("""COMPUTED_VALUE"""),"AZOXISTROBIN 200 + CIPROCONAZOL
 80 SC CCAB")</f>
        <v/>
      </c>
      <c r="B122" s="49">
        <f t="array" ref="B122">IFERROR(
SUM(
IF(
'PORTIFÓLIO'!$C$4:$C$564=$A122,
N(INDEX('PORTIFÓLIO'!$J$4:$Q$564,,MATCH(B$2,'PORTIFÓLIO'!$J$3:$Q$3,0))) *
N('PORTIFÓLIO'!$S$4:$S$564),
0
)
),
0)</f>
        <v/>
      </c>
      <c r="C122" s="49">
        <f>B122/$B$4</f>
        <v/>
      </c>
      <c r="D122" s="49">
        <f t="array" ref="D122">IFERROR(
SUM(
IF(
'PORTIFÓLIO'!$C$4:$C$564=$A122,
N(INDEX('PORTIFÓLIO'!$J$4:$Q$564,,MATCH(D$2,'PORTIFÓLIO'!$J$3:$Q$3,0))) *
N('PORTIFÓLIO'!$S$4:$S$564),
0
)
),
0)</f>
        <v/>
      </c>
      <c r="E122" s="49">
        <f>D122/$D$4</f>
        <v/>
      </c>
      <c r="F122" s="49">
        <f t="array" ref="F122">IFERROR(
SUM(
IF(
'PORTIFÓLIO'!$C$4:$C$564=$A122,
N(INDEX('PORTIFÓLIO'!$J$4:$Q$564,,MATCH(F$2,'PORTIFÓLIO'!$J$3:$Q$3,0))) *
N('PORTIFÓLIO'!$S$4:$S$564),
0
)
),
0)</f>
        <v/>
      </c>
      <c r="G122" s="47">
        <f>F122/$F$4</f>
        <v/>
      </c>
      <c r="H122" s="49">
        <f t="array" ref="H122">IFERROR(
SUM(
IF(
'PORTIFÓLIO'!$C$4:$C$564=$A122,
N(INDEX('PORTIFÓLIO'!$J$4:$Q$564,,MATCH(H$2,'PORTIFÓLIO'!$J$3:$Q$3,0))) *
N('PORTIFÓLIO'!$S$4:$S$564),
0
)
),
0)</f>
        <v/>
      </c>
      <c r="I122" s="47">
        <f>H122/$H$4</f>
        <v/>
      </c>
      <c r="J122" s="49">
        <f t="array" ref="J122">IFERROR(
SUM(
IF(
'PORTIFÓLIO'!$C$4:$C$564=$A122,
N(INDEX('PORTIFÓLIO'!$J$4:$Q$564,,MATCH(J$2,'PORTIFÓLIO'!$J$3:$Q$3,0))) *
N('PORTIFÓLIO'!$S$4:$S$564),
0
)
),
0)</f>
        <v/>
      </c>
      <c r="K122" s="47">
        <f>J122/$J$4</f>
        <v/>
      </c>
      <c r="L122" s="49">
        <f t="array" ref="L122">IFERROR(
SUM(
IF(
'PORTIFÓLIO'!$C$4:$C$564=$A122,
N(INDEX('PORTIFÓLIO'!$J$4:$Q$564,,MATCH(L$2,'PORTIFÓLIO'!$J$3:$Q$3,0))) *
N('PORTIFÓLIO'!$S$4:$S$564),
0
)
),
0)</f>
        <v/>
      </c>
      <c r="M122" s="47">
        <f>L122/$L$4</f>
        <v/>
      </c>
      <c r="N122" s="49">
        <f t="array" ref="N122">IFERROR(
SUM(
IF(
'PORTIFÓLIO'!$C$4:$C$564=$A122,
N(INDEX('PORTIFÓLIO'!$J$4:$Q$564,,MATCH(N$2,'PORTIFÓLIO'!$J$3:$Q$3,0))) *
N('PORTIFÓLIO'!$S$4:$S$564),
0
)
),
0)</f>
        <v/>
      </c>
      <c r="O122" s="49">
        <f>N122/$N$4</f>
        <v/>
      </c>
      <c r="P122" s="49">
        <f t="array" ref="P122">IFERROR(
SUM(
IF(
'PORTIFÓLIO'!$C$4:$C$564=$A122,
N(INDEX('PORTIFÓLIO'!$J$4:$Q$564,,MATCH(P$2,'PORTIFÓLIO'!$J$3:$Q$3,0))) *
N('PORTIFÓLIO'!$S$4:$S$564),
0
)
),
0)</f>
        <v/>
      </c>
      <c r="Q122" s="49">
        <f>P122/$P$4</f>
        <v/>
      </c>
      <c r="R122" s="49">
        <f>SUM(P122,N122,L122,J122,H122,D122,B122)</f>
        <v/>
      </c>
      <c r="S122" s="49">
        <f>R122/$R$4</f>
        <v/>
      </c>
    </row>
    <row r="123" hidden="1" outlineLevel="1" ht="15.75" customHeight="1" s="297">
      <c r="A123" s="48">
        <f>IFERROR(__xludf.DUMMYFUNCTION("""COMPUTED_VALUE"""),"MANCOZEB CCAB 750 WG")</f>
        <v/>
      </c>
      <c r="B123" s="49">
        <f t="array" ref="B123">IFERROR(
SUM(
IF(
'PORTIFÓLIO'!$C$4:$C$564=$A123,
N(INDEX('PORTIFÓLIO'!$J$4:$Q$564,,MATCH(B$2,'PORTIFÓLIO'!$J$3:$Q$3,0))) *
N('PORTIFÓLIO'!$S$4:$S$564),
0
)
),
0)</f>
        <v/>
      </c>
      <c r="C123" s="49">
        <f>B123/$B$4</f>
        <v/>
      </c>
      <c r="D123" s="49">
        <f t="array" ref="D123">IFERROR(
SUM(
IF(
'PORTIFÓLIO'!$C$4:$C$564=$A123,
N(INDEX('PORTIFÓLIO'!$J$4:$Q$564,,MATCH(D$2,'PORTIFÓLIO'!$J$3:$Q$3,0))) *
N('PORTIFÓLIO'!$S$4:$S$564),
0
)
),
0)</f>
        <v/>
      </c>
      <c r="E123" s="49">
        <f>D123/$D$4</f>
        <v/>
      </c>
      <c r="F123" s="49">
        <f t="array" ref="F123">IFERROR(
SUM(
IF(
'PORTIFÓLIO'!$C$4:$C$564=$A123,
N(INDEX('PORTIFÓLIO'!$J$4:$Q$564,,MATCH(F$2,'PORTIFÓLIO'!$J$3:$Q$3,0))) *
N('PORTIFÓLIO'!$S$4:$S$564),
0
)
),
0)</f>
        <v/>
      </c>
      <c r="G123" s="47">
        <f>F123/$F$4</f>
        <v/>
      </c>
      <c r="H123" s="49">
        <f t="array" ref="H123">IFERROR(
SUM(
IF(
'PORTIFÓLIO'!$C$4:$C$564=$A123,
N(INDEX('PORTIFÓLIO'!$J$4:$Q$564,,MATCH(H$2,'PORTIFÓLIO'!$J$3:$Q$3,0))) *
N('PORTIFÓLIO'!$S$4:$S$564),
0
)
),
0)</f>
        <v/>
      </c>
      <c r="I123" s="47">
        <f>H123/$H$4</f>
        <v/>
      </c>
      <c r="J123" s="49">
        <f t="array" ref="J123">IFERROR(
SUM(
IF(
'PORTIFÓLIO'!$C$4:$C$564=$A123,
N(INDEX('PORTIFÓLIO'!$J$4:$Q$564,,MATCH(J$2,'PORTIFÓLIO'!$J$3:$Q$3,0))) *
N('PORTIFÓLIO'!$S$4:$S$564),
0
)
),
0)</f>
        <v/>
      </c>
      <c r="K123" s="47">
        <f>J123/$J$4</f>
        <v/>
      </c>
      <c r="L123" s="49">
        <f t="array" ref="L123">IFERROR(
SUM(
IF(
'PORTIFÓLIO'!$C$4:$C$564=$A123,
N(INDEX('PORTIFÓLIO'!$J$4:$Q$564,,MATCH(L$2,'PORTIFÓLIO'!$J$3:$Q$3,0))) *
N('PORTIFÓLIO'!$S$4:$S$564),
0
)
),
0)</f>
        <v/>
      </c>
      <c r="M123" s="47">
        <f>L123/$L$4</f>
        <v/>
      </c>
      <c r="N123" s="49">
        <f t="array" ref="N123">IFERROR(
SUM(
IF(
'PORTIFÓLIO'!$C$4:$C$564=$A123,
N(INDEX('PORTIFÓLIO'!$J$4:$Q$564,,MATCH(N$2,'PORTIFÓLIO'!$J$3:$Q$3,0))) *
N('PORTIFÓLIO'!$S$4:$S$564),
0
)
),
0)</f>
        <v/>
      </c>
      <c r="O123" s="49">
        <f>N123/$N$4</f>
        <v/>
      </c>
      <c r="P123" s="49">
        <f t="array" ref="P123">IFERROR(
SUM(
IF(
'PORTIFÓLIO'!$C$4:$C$564=$A123,
N(INDEX('PORTIFÓLIO'!$J$4:$Q$564,,MATCH(P$2,'PORTIFÓLIO'!$J$3:$Q$3,0))) *
N('PORTIFÓLIO'!$S$4:$S$564),
0
)
),
0)</f>
        <v/>
      </c>
      <c r="Q123" s="49">
        <f>P123/$P$4</f>
        <v/>
      </c>
      <c r="R123" s="49">
        <f>SUM(P123,N123,L123,J123,H123,D123,B123)</f>
        <v/>
      </c>
      <c r="S123" s="49">
        <f>R123/$R$4</f>
        <v/>
      </c>
    </row>
    <row r="124" hidden="1" outlineLevel="1" ht="15.75" customHeight="1" s="297">
      <c r="A124" s="48">
        <f>IFERROR(__xludf.DUMMYFUNCTION("""COMPUTED_VALUE"""),"APROACH POWER")</f>
        <v/>
      </c>
      <c r="B124" s="49">
        <f t="array" ref="B124">IFERROR(
SUM(
IF(
'PORTIFÓLIO'!$C$4:$C$564=$A124,
N(INDEX('PORTIFÓLIO'!$J$4:$Q$564,,MATCH(B$2,'PORTIFÓLIO'!$J$3:$Q$3,0))) *
N('PORTIFÓLIO'!$S$4:$S$564),
0
)
),
0)</f>
        <v/>
      </c>
      <c r="C124" s="49">
        <f>B124/$B$4</f>
        <v/>
      </c>
      <c r="D124" s="49">
        <f t="array" ref="D124">IFERROR(
SUM(
IF(
'PORTIFÓLIO'!$C$4:$C$564=$A124,
N(INDEX('PORTIFÓLIO'!$J$4:$Q$564,,MATCH(D$2,'PORTIFÓLIO'!$J$3:$Q$3,0))) *
N('PORTIFÓLIO'!$S$4:$S$564),
0
)
),
0)</f>
        <v/>
      </c>
      <c r="E124" s="49">
        <f>D124/$D$4</f>
        <v/>
      </c>
      <c r="F124" s="49">
        <f t="array" ref="F124">IFERROR(
SUM(
IF(
'PORTIFÓLIO'!$C$4:$C$564=$A124,
N(INDEX('PORTIFÓLIO'!$J$4:$Q$564,,MATCH(F$2,'PORTIFÓLIO'!$J$3:$Q$3,0))) *
N('PORTIFÓLIO'!$S$4:$S$564),
0
)
),
0)</f>
        <v/>
      </c>
      <c r="G124" s="47">
        <f>F124/$F$4</f>
        <v/>
      </c>
      <c r="H124" s="49">
        <f t="array" ref="H124">IFERROR(
SUM(
IF(
'PORTIFÓLIO'!$C$4:$C$564=$A124,
N(INDEX('PORTIFÓLIO'!$J$4:$Q$564,,MATCH(H$2,'PORTIFÓLIO'!$J$3:$Q$3,0))) *
N('PORTIFÓLIO'!$S$4:$S$564),
0
)
),
0)</f>
        <v/>
      </c>
      <c r="I124" s="47">
        <f>H124/$H$4</f>
        <v/>
      </c>
      <c r="J124" s="49">
        <f t="array" ref="J124">IFERROR(
SUM(
IF(
'PORTIFÓLIO'!$C$4:$C$564=$A124,
N(INDEX('PORTIFÓLIO'!$J$4:$Q$564,,MATCH(J$2,'PORTIFÓLIO'!$J$3:$Q$3,0))) *
N('PORTIFÓLIO'!$S$4:$S$564),
0
)
),
0)</f>
        <v/>
      </c>
      <c r="K124" s="47">
        <f>J124/$J$4</f>
        <v/>
      </c>
      <c r="L124" s="49">
        <f t="array" ref="L124">IFERROR(
SUM(
IF(
'PORTIFÓLIO'!$C$4:$C$564=$A124,
N(INDEX('PORTIFÓLIO'!$J$4:$Q$564,,MATCH(L$2,'PORTIFÓLIO'!$J$3:$Q$3,0))) *
N('PORTIFÓLIO'!$S$4:$S$564),
0
)
),
0)</f>
        <v/>
      </c>
      <c r="M124" s="47">
        <f>L124/$L$4</f>
        <v/>
      </c>
      <c r="N124" s="49">
        <f t="array" ref="N124">IFERROR(
SUM(
IF(
'PORTIFÓLIO'!$C$4:$C$564=$A124,
N(INDEX('PORTIFÓLIO'!$J$4:$Q$564,,MATCH(N$2,'PORTIFÓLIO'!$J$3:$Q$3,0))) *
N('PORTIFÓLIO'!$S$4:$S$564),
0
)
),
0)</f>
        <v/>
      </c>
      <c r="O124" s="49">
        <f>N124/$N$4</f>
        <v/>
      </c>
      <c r="P124" s="49">
        <f t="array" ref="P124">IFERROR(
SUM(
IF(
'PORTIFÓLIO'!$C$4:$C$564=$A124,
N(INDEX('PORTIFÓLIO'!$J$4:$Q$564,,MATCH(P$2,'PORTIFÓLIO'!$J$3:$Q$3,0))) *
N('PORTIFÓLIO'!$S$4:$S$564),
0
)
),
0)</f>
        <v/>
      </c>
      <c r="Q124" s="49">
        <f>P124/$P$4</f>
        <v/>
      </c>
      <c r="R124" s="49">
        <f>SUM(P124,N124,L124,J124,H124,D124,B124)</f>
        <v/>
      </c>
      <c r="S124" s="49">
        <f>R124/$R$4</f>
        <v/>
      </c>
    </row>
    <row r="125" hidden="1" outlineLevel="1" ht="15.75" customHeight="1" s="297">
      <c r="A125" s="48">
        <f>IFERROR(__xludf.DUMMYFUNCTION("""COMPUTED_VALUE"""),"APROACH PREMIUM")</f>
        <v/>
      </c>
      <c r="B125" s="49">
        <f t="array" ref="B125">IFERROR(
SUM(
IF(
'PORTIFÓLIO'!$C$4:$C$564=$A125,
N(INDEX('PORTIFÓLIO'!$J$4:$Q$564,,MATCH(B$2,'PORTIFÓLIO'!$J$3:$Q$3,0))) *
N('PORTIFÓLIO'!$S$4:$S$564),
0
)
),
0)</f>
        <v/>
      </c>
      <c r="C125" s="49">
        <f>B125/$B$4</f>
        <v/>
      </c>
      <c r="D125" s="49">
        <f t="array" ref="D125">IFERROR(
SUM(
IF(
'PORTIFÓLIO'!$C$4:$C$564=$A125,
N(INDEX('PORTIFÓLIO'!$J$4:$Q$564,,MATCH(D$2,'PORTIFÓLIO'!$J$3:$Q$3,0))) *
N('PORTIFÓLIO'!$S$4:$S$564),
0
)
),
0)</f>
        <v/>
      </c>
      <c r="E125" s="49">
        <f>D125/$D$4</f>
        <v/>
      </c>
      <c r="F125" s="49">
        <f t="array" ref="F125">IFERROR(
SUM(
IF(
'PORTIFÓLIO'!$C$4:$C$564=$A125,
N(INDEX('PORTIFÓLIO'!$J$4:$Q$564,,MATCH(F$2,'PORTIFÓLIO'!$J$3:$Q$3,0))) *
N('PORTIFÓLIO'!$S$4:$S$564),
0
)
),
0)</f>
        <v/>
      </c>
      <c r="G125" s="47">
        <f>F125/$F$4</f>
        <v/>
      </c>
      <c r="H125" s="49">
        <f t="array" ref="H125">IFERROR(
SUM(
IF(
'PORTIFÓLIO'!$C$4:$C$564=$A125,
N(INDEX('PORTIFÓLIO'!$J$4:$Q$564,,MATCH(H$2,'PORTIFÓLIO'!$J$3:$Q$3,0))) *
N('PORTIFÓLIO'!$S$4:$S$564),
0
)
),
0)</f>
        <v/>
      </c>
      <c r="I125" s="47">
        <f>H125/$H$4</f>
        <v/>
      </c>
      <c r="J125" s="49">
        <f t="array" ref="J125">IFERROR(
SUM(
IF(
'PORTIFÓLIO'!$C$4:$C$564=$A125,
N(INDEX('PORTIFÓLIO'!$J$4:$Q$564,,MATCH(J$2,'PORTIFÓLIO'!$J$3:$Q$3,0))) *
N('PORTIFÓLIO'!$S$4:$S$564),
0
)
),
0)</f>
        <v/>
      </c>
      <c r="K125" s="47">
        <f>J125/$J$4</f>
        <v/>
      </c>
      <c r="L125" s="49">
        <f t="array" ref="L125">IFERROR(
SUM(
IF(
'PORTIFÓLIO'!$C$4:$C$564=$A125,
N(INDEX('PORTIFÓLIO'!$J$4:$Q$564,,MATCH(L$2,'PORTIFÓLIO'!$J$3:$Q$3,0))) *
N('PORTIFÓLIO'!$S$4:$S$564),
0
)
),
0)</f>
        <v/>
      </c>
      <c r="M125" s="47">
        <f>L125/$L$4</f>
        <v/>
      </c>
      <c r="N125" s="49">
        <f t="array" ref="N125">IFERROR(
SUM(
IF(
'PORTIFÓLIO'!$C$4:$C$564=$A125,
N(INDEX('PORTIFÓLIO'!$J$4:$Q$564,,MATCH(N$2,'PORTIFÓLIO'!$J$3:$Q$3,0))) *
N('PORTIFÓLIO'!$S$4:$S$564),
0
)
),
0)</f>
        <v/>
      </c>
      <c r="O125" s="49">
        <f>N125/$N$4</f>
        <v/>
      </c>
      <c r="P125" s="49">
        <f t="array" ref="P125">IFERROR(
SUM(
IF(
'PORTIFÓLIO'!$C$4:$C$564=$A125,
N(INDEX('PORTIFÓLIO'!$J$4:$Q$564,,MATCH(P$2,'PORTIFÓLIO'!$J$3:$Q$3,0))) *
N('PORTIFÓLIO'!$S$4:$S$564),
0
)
),
0)</f>
        <v/>
      </c>
      <c r="Q125" s="49">
        <f>P125/$P$4</f>
        <v/>
      </c>
      <c r="R125" s="49">
        <f>SUM(P125,N125,L125,J125,H125,D125,B125)</f>
        <v/>
      </c>
      <c r="S125" s="49">
        <f>R125/$R$4</f>
        <v/>
      </c>
    </row>
    <row r="126" hidden="1" outlineLevel="1" ht="15.75" customHeight="1" s="297">
      <c r="A126" s="48">
        <f>IFERROR(__xludf.DUMMYFUNCTION("""COMPUTED_VALUE"""),"BIM 750 BR")</f>
        <v/>
      </c>
      <c r="B126" s="49">
        <f t="array" ref="B126">IFERROR(
SUM(
IF(
'PORTIFÓLIO'!$C$4:$C$564=$A126,
N(INDEX('PORTIFÓLIO'!$J$4:$Q$564,,MATCH(B$2,'PORTIFÓLIO'!$J$3:$Q$3,0))) *
N('PORTIFÓLIO'!$S$4:$S$564),
0
)
),
0)</f>
        <v/>
      </c>
      <c r="C126" s="49">
        <f>B126/$B$4</f>
        <v/>
      </c>
      <c r="D126" s="49">
        <f t="array" ref="D126">IFERROR(
SUM(
IF(
'PORTIFÓLIO'!$C$4:$C$564=$A126,
N(INDEX('PORTIFÓLIO'!$J$4:$Q$564,,MATCH(D$2,'PORTIFÓLIO'!$J$3:$Q$3,0))) *
N('PORTIFÓLIO'!$S$4:$S$564),
0
)
),
0)</f>
        <v/>
      </c>
      <c r="E126" s="49">
        <f>D126/$D$4</f>
        <v/>
      </c>
      <c r="F126" s="49">
        <f t="array" ref="F126">IFERROR(
SUM(
IF(
'PORTIFÓLIO'!$C$4:$C$564=$A126,
N(INDEX('PORTIFÓLIO'!$J$4:$Q$564,,MATCH(F$2,'PORTIFÓLIO'!$J$3:$Q$3,0))) *
N('PORTIFÓLIO'!$S$4:$S$564),
0
)
),
0)</f>
        <v/>
      </c>
      <c r="G126" s="47">
        <f>F126/$F$4</f>
        <v/>
      </c>
      <c r="H126" s="49">
        <f t="array" ref="H126">IFERROR(
SUM(
IF(
'PORTIFÓLIO'!$C$4:$C$564=$A126,
N(INDEX('PORTIFÓLIO'!$J$4:$Q$564,,MATCH(H$2,'PORTIFÓLIO'!$J$3:$Q$3,0))) *
N('PORTIFÓLIO'!$S$4:$S$564),
0
)
),
0)</f>
        <v/>
      </c>
      <c r="I126" s="47">
        <f>H126/$H$4</f>
        <v/>
      </c>
      <c r="J126" s="49">
        <f t="array" ref="J126">IFERROR(
SUM(
IF(
'PORTIFÓLIO'!$C$4:$C$564=$A126,
N(INDEX('PORTIFÓLIO'!$J$4:$Q$564,,MATCH(J$2,'PORTIFÓLIO'!$J$3:$Q$3,0))) *
N('PORTIFÓLIO'!$S$4:$S$564),
0
)
),
0)</f>
        <v/>
      </c>
      <c r="K126" s="47">
        <f>J126/$J$4</f>
        <v/>
      </c>
      <c r="L126" s="49">
        <f t="array" ref="L126">IFERROR(
SUM(
IF(
'PORTIFÓLIO'!$C$4:$C$564=$A126,
N(INDEX('PORTIFÓLIO'!$J$4:$Q$564,,MATCH(L$2,'PORTIFÓLIO'!$J$3:$Q$3,0))) *
N('PORTIFÓLIO'!$S$4:$S$564),
0
)
),
0)</f>
        <v/>
      </c>
      <c r="M126" s="47">
        <f>L126/$L$4</f>
        <v/>
      </c>
      <c r="N126" s="49">
        <f t="array" ref="N126">IFERROR(
SUM(
IF(
'PORTIFÓLIO'!$C$4:$C$564=$A126,
N(INDEX('PORTIFÓLIO'!$J$4:$Q$564,,MATCH(N$2,'PORTIFÓLIO'!$J$3:$Q$3,0))) *
N('PORTIFÓLIO'!$S$4:$S$564),
0
)
),
0)</f>
        <v/>
      </c>
      <c r="O126" s="49">
        <f>N126/$N$4</f>
        <v/>
      </c>
      <c r="P126" s="49">
        <f t="array" ref="P126">IFERROR(
SUM(
IF(
'PORTIFÓLIO'!$C$4:$C$564=$A126,
N(INDEX('PORTIFÓLIO'!$J$4:$Q$564,,MATCH(P$2,'PORTIFÓLIO'!$J$3:$Q$3,0))) *
N('PORTIFÓLIO'!$S$4:$S$564),
0
)
),
0)</f>
        <v/>
      </c>
      <c r="Q126" s="49">
        <f>P126/$P$4</f>
        <v/>
      </c>
      <c r="R126" s="49">
        <f>SUM(P126,N126,L126,J126,H126,D126,B126)</f>
        <v/>
      </c>
      <c r="S126" s="49">
        <f>R126/$R$4</f>
        <v/>
      </c>
    </row>
    <row r="127" hidden="1" outlineLevel="1" ht="15.75" customHeight="1" s="297">
      <c r="A127" s="48">
        <f>IFERROR(__xludf.DUMMYFUNCTION("""COMPUTED_VALUE"""),"BIM MAX")</f>
        <v/>
      </c>
      <c r="B127" s="49">
        <f t="array" ref="B127">IFERROR(
SUM(
IF(
'PORTIFÓLIO'!$C$4:$C$564=$A127,
N(INDEX('PORTIFÓLIO'!$J$4:$Q$564,,MATCH(B$2,'PORTIFÓLIO'!$J$3:$Q$3,0))) *
N('PORTIFÓLIO'!$S$4:$S$564),
0
)
),
0)</f>
        <v/>
      </c>
      <c r="C127" s="49">
        <f>B127/$B$4</f>
        <v/>
      </c>
      <c r="D127" s="49">
        <f t="array" ref="D127">IFERROR(
SUM(
IF(
'PORTIFÓLIO'!$C$4:$C$564=$A127,
N(INDEX('PORTIFÓLIO'!$J$4:$Q$564,,MATCH(D$2,'PORTIFÓLIO'!$J$3:$Q$3,0))) *
N('PORTIFÓLIO'!$S$4:$S$564),
0
)
),
0)</f>
        <v/>
      </c>
      <c r="E127" s="49">
        <f>D127/$D$4</f>
        <v/>
      </c>
      <c r="F127" s="49">
        <f t="array" ref="F127">IFERROR(
SUM(
IF(
'PORTIFÓLIO'!$C$4:$C$564=$A127,
N(INDEX('PORTIFÓLIO'!$J$4:$Q$564,,MATCH(F$2,'PORTIFÓLIO'!$J$3:$Q$3,0))) *
N('PORTIFÓLIO'!$S$4:$S$564),
0
)
),
0)</f>
        <v/>
      </c>
      <c r="G127" s="47">
        <f>F127/$F$4</f>
        <v/>
      </c>
      <c r="H127" s="49">
        <f t="array" ref="H127">IFERROR(
SUM(
IF(
'PORTIFÓLIO'!$C$4:$C$564=$A127,
N(INDEX('PORTIFÓLIO'!$J$4:$Q$564,,MATCH(H$2,'PORTIFÓLIO'!$J$3:$Q$3,0))) *
N('PORTIFÓLIO'!$S$4:$S$564),
0
)
),
0)</f>
        <v/>
      </c>
      <c r="I127" s="47">
        <f>H127/$H$4</f>
        <v/>
      </c>
      <c r="J127" s="49">
        <f t="array" ref="J127">IFERROR(
SUM(
IF(
'PORTIFÓLIO'!$C$4:$C$564=$A127,
N(INDEX('PORTIFÓLIO'!$J$4:$Q$564,,MATCH(J$2,'PORTIFÓLIO'!$J$3:$Q$3,0))) *
N('PORTIFÓLIO'!$S$4:$S$564),
0
)
),
0)</f>
        <v/>
      </c>
      <c r="K127" s="47">
        <f>J127/$J$4</f>
        <v/>
      </c>
      <c r="L127" s="49">
        <f t="array" ref="L127">IFERROR(
SUM(
IF(
'PORTIFÓLIO'!$C$4:$C$564=$A127,
N(INDEX('PORTIFÓLIO'!$J$4:$Q$564,,MATCH(L$2,'PORTIFÓLIO'!$J$3:$Q$3,0))) *
N('PORTIFÓLIO'!$S$4:$S$564),
0
)
),
0)</f>
        <v/>
      </c>
      <c r="M127" s="47">
        <f>L127/$L$4</f>
        <v/>
      </c>
      <c r="N127" s="49">
        <f t="array" ref="N127">IFERROR(
SUM(
IF(
'PORTIFÓLIO'!$C$4:$C$564=$A127,
N(INDEX('PORTIFÓLIO'!$J$4:$Q$564,,MATCH(N$2,'PORTIFÓLIO'!$J$3:$Q$3,0))) *
N('PORTIFÓLIO'!$S$4:$S$564),
0
)
),
0)</f>
        <v/>
      </c>
      <c r="O127" s="49">
        <f>N127/$N$4</f>
        <v/>
      </c>
      <c r="P127" s="49">
        <f t="array" ref="P127">IFERROR(
SUM(
IF(
'PORTIFÓLIO'!$C$4:$C$564=$A127,
N(INDEX('PORTIFÓLIO'!$J$4:$Q$564,,MATCH(P$2,'PORTIFÓLIO'!$J$3:$Q$3,0))) *
N('PORTIFÓLIO'!$S$4:$S$564),
0
)
),
0)</f>
        <v/>
      </c>
      <c r="Q127" s="49">
        <f>P127/$P$4</f>
        <v/>
      </c>
      <c r="R127" s="49">
        <f>SUM(P127,N127,L127,J127,H127,D127,B127)</f>
        <v/>
      </c>
      <c r="S127" s="49">
        <f>R127/$R$4</f>
        <v/>
      </c>
    </row>
    <row r="128" hidden="1" outlineLevel="1" ht="15.75" customHeight="1" s="297">
      <c r="A128" s="48">
        <f>IFERROR(__xludf.DUMMYFUNCTION("""COMPUTED_VALUE"""),"ORANIS")</f>
        <v/>
      </c>
      <c r="B128" s="49">
        <f t="array" ref="B128">IFERROR(
SUM(
IF(
'PORTIFÓLIO'!$C$4:$C$564=$A128,
N(INDEX('PORTIFÓLIO'!$J$4:$Q$564,,MATCH(B$2,'PORTIFÓLIO'!$J$3:$Q$3,0))) *
N('PORTIFÓLIO'!$S$4:$S$564),
0
)
),
0)</f>
        <v/>
      </c>
      <c r="C128" s="49">
        <f>B128/$B$4</f>
        <v/>
      </c>
      <c r="D128" s="49">
        <f t="array" ref="D128">IFERROR(
SUM(
IF(
'PORTIFÓLIO'!$C$4:$C$564=$A128,
N(INDEX('PORTIFÓLIO'!$J$4:$Q$564,,MATCH(D$2,'PORTIFÓLIO'!$J$3:$Q$3,0))) *
N('PORTIFÓLIO'!$S$4:$S$564),
0
)
),
0)</f>
        <v/>
      </c>
      <c r="E128" s="49">
        <f>D128/$D$4</f>
        <v/>
      </c>
      <c r="F128" s="49">
        <f t="array" ref="F128">IFERROR(
SUM(
IF(
'PORTIFÓLIO'!$C$4:$C$564=$A128,
N(INDEX('PORTIFÓLIO'!$J$4:$Q$564,,MATCH(F$2,'PORTIFÓLIO'!$J$3:$Q$3,0))) *
N('PORTIFÓLIO'!$S$4:$S$564),
0
)
),
0)</f>
        <v/>
      </c>
      <c r="G128" s="47">
        <f>F128/$F$4</f>
        <v/>
      </c>
      <c r="H128" s="49">
        <f t="array" ref="H128">IFERROR(
SUM(
IF(
'PORTIFÓLIO'!$C$4:$C$564=$A128,
N(INDEX('PORTIFÓLIO'!$J$4:$Q$564,,MATCH(H$2,'PORTIFÓLIO'!$J$3:$Q$3,0))) *
N('PORTIFÓLIO'!$S$4:$S$564),
0
)
),
0)</f>
        <v/>
      </c>
      <c r="I128" s="47">
        <f>H128/$H$4</f>
        <v/>
      </c>
      <c r="J128" s="49">
        <f t="array" ref="J128">IFERROR(
SUM(
IF(
'PORTIFÓLIO'!$C$4:$C$564=$A128,
N(INDEX('PORTIFÓLIO'!$J$4:$Q$564,,MATCH(J$2,'PORTIFÓLIO'!$J$3:$Q$3,0))) *
N('PORTIFÓLIO'!$S$4:$S$564),
0
)
),
0)</f>
        <v/>
      </c>
      <c r="K128" s="47">
        <f>J128/$J$4</f>
        <v/>
      </c>
      <c r="L128" s="49">
        <f t="array" ref="L128">IFERROR(
SUM(
IF(
'PORTIFÓLIO'!$C$4:$C$564=$A128,
N(INDEX('PORTIFÓLIO'!$J$4:$Q$564,,MATCH(L$2,'PORTIFÓLIO'!$J$3:$Q$3,0))) *
N('PORTIFÓLIO'!$S$4:$S$564),
0
)
),
0)</f>
        <v/>
      </c>
      <c r="M128" s="47">
        <f>L128/$L$4</f>
        <v/>
      </c>
      <c r="N128" s="49">
        <f t="array" ref="N128">IFERROR(
SUM(
IF(
'PORTIFÓLIO'!$C$4:$C$564=$A128,
N(INDEX('PORTIFÓLIO'!$J$4:$Q$564,,MATCH(N$2,'PORTIFÓLIO'!$J$3:$Q$3,0))) *
N('PORTIFÓLIO'!$S$4:$S$564),
0
)
),
0)</f>
        <v/>
      </c>
      <c r="O128" s="49">
        <f>N128/$N$4</f>
        <v/>
      </c>
      <c r="P128" s="49">
        <f t="array" ref="P128">IFERROR(
SUM(
IF(
'PORTIFÓLIO'!$C$4:$C$564=$A128,
N(INDEX('PORTIFÓLIO'!$J$4:$Q$564,,MATCH(P$2,'PORTIFÓLIO'!$J$3:$Q$3,0))) *
N('PORTIFÓLIO'!$S$4:$S$564),
0
)
),
0)</f>
        <v/>
      </c>
      <c r="Q128" s="49">
        <f>P128/$P$4</f>
        <v/>
      </c>
      <c r="R128" s="49">
        <f>SUM(P128,N128,L128,J128,H128,D128,B128)</f>
        <v/>
      </c>
      <c r="S128" s="49">
        <f>R128/$R$4</f>
        <v/>
      </c>
    </row>
    <row r="129" hidden="1" outlineLevel="1" ht="15.75" customHeight="1" s="297">
      <c r="A129" s="48">
        <f>IFERROR(__xludf.DUMMYFUNCTION("""COMPUTED_VALUE"""),"VESSARYA")</f>
        <v/>
      </c>
      <c r="B129" s="49">
        <f t="array" ref="B129">IFERROR(
SUM(
IF(
'PORTIFÓLIO'!$C$4:$C$564=$A129,
N(INDEX('PORTIFÓLIO'!$J$4:$Q$564,,MATCH(B$2,'PORTIFÓLIO'!$J$3:$Q$3,0))) *
N('PORTIFÓLIO'!$S$4:$S$564),
0
)
),
0)</f>
        <v/>
      </c>
      <c r="C129" s="49">
        <f>B129/$B$4</f>
        <v/>
      </c>
      <c r="D129" s="49">
        <f t="array" ref="D129">IFERROR(
SUM(
IF(
'PORTIFÓLIO'!$C$4:$C$564=$A129,
N(INDEX('PORTIFÓLIO'!$J$4:$Q$564,,MATCH(D$2,'PORTIFÓLIO'!$J$3:$Q$3,0))) *
N('PORTIFÓLIO'!$S$4:$S$564),
0
)
),
0)</f>
        <v/>
      </c>
      <c r="E129" s="49">
        <f>D129/$D$4</f>
        <v/>
      </c>
      <c r="F129" s="49">
        <f t="array" ref="F129">IFERROR(
SUM(
IF(
'PORTIFÓLIO'!$C$4:$C$564=$A129,
N(INDEX('PORTIFÓLIO'!$J$4:$Q$564,,MATCH(F$2,'PORTIFÓLIO'!$J$3:$Q$3,0))) *
N('PORTIFÓLIO'!$S$4:$S$564),
0
)
),
0)</f>
        <v/>
      </c>
      <c r="G129" s="47">
        <f>F129/$F$4</f>
        <v/>
      </c>
      <c r="H129" s="49">
        <f t="array" ref="H129">IFERROR(
SUM(
IF(
'PORTIFÓLIO'!$C$4:$C$564=$A129,
N(INDEX('PORTIFÓLIO'!$J$4:$Q$564,,MATCH(H$2,'PORTIFÓLIO'!$J$3:$Q$3,0))) *
N('PORTIFÓLIO'!$S$4:$S$564),
0
)
),
0)</f>
        <v/>
      </c>
      <c r="I129" s="47">
        <f>H129/$H$4</f>
        <v/>
      </c>
      <c r="J129" s="49">
        <f t="array" ref="J129">IFERROR(
SUM(
IF(
'PORTIFÓLIO'!$C$4:$C$564=$A129,
N(INDEX('PORTIFÓLIO'!$J$4:$Q$564,,MATCH(J$2,'PORTIFÓLIO'!$J$3:$Q$3,0))) *
N('PORTIFÓLIO'!$S$4:$S$564),
0
)
),
0)</f>
        <v/>
      </c>
      <c r="K129" s="47">
        <f>J129/$J$4</f>
        <v/>
      </c>
      <c r="L129" s="49">
        <f t="array" ref="L129">IFERROR(
SUM(
IF(
'PORTIFÓLIO'!$C$4:$C$564=$A129,
N(INDEX('PORTIFÓLIO'!$J$4:$Q$564,,MATCH(L$2,'PORTIFÓLIO'!$J$3:$Q$3,0))) *
N('PORTIFÓLIO'!$S$4:$S$564),
0
)
),
0)</f>
        <v/>
      </c>
      <c r="M129" s="47">
        <f>L129/$L$4</f>
        <v/>
      </c>
      <c r="N129" s="49">
        <f t="array" ref="N129">IFERROR(
SUM(
IF(
'PORTIFÓLIO'!$C$4:$C$564=$A129,
N(INDEX('PORTIFÓLIO'!$J$4:$Q$564,,MATCH(N$2,'PORTIFÓLIO'!$J$3:$Q$3,0))) *
N('PORTIFÓLIO'!$S$4:$S$564),
0
)
),
0)</f>
        <v/>
      </c>
      <c r="O129" s="49">
        <f>N129/$N$4</f>
        <v/>
      </c>
      <c r="P129" s="49">
        <f t="array" ref="P129">IFERROR(
SUM(
IF(
'PORTIFÓLIO'!$C$4:$C$564=$A129,
N(INDEX('PORTIFÓLIO'!$J$4:$Q$564,,MATCH(P$2,'PORTIFÓLIO'!$J$3:$Q$3,0))) *
N('PORTIFÓLIO'!$S$4:$S$564),
0
)
),
0)</f>
        <v/>
      </c>
      <c r="Q129" s="49">
        <f>P129/$P$4</f>
        <v/>
      </c>
      <c r="R129" s="49">
        <f>SUM(P129,N129,L129,J129,H129,D129,B129)</f>
        <v/>
      </c>
      <c r="S129" s="49">
        <f>R129/$R$4</f>
        <v/>
      </c>
    </row>
    <row r="130" hidden="1" outlineLevel="1" ht="15.75" customHeight="1" s="297">
      <c r="A130" s="48">
        <f>IFERROR(__xludf.DUMMYFUNCTION("""COMPUTED_VALUE"""),"CHARRUA 430 SC")</f>
        <v/>
      </c>
      <c r="B130" s="49">
        <f t="array" ref="B130">IFERROR(
SUM(
IF(
'PORTIFÓLIO'!$C$4:$C$564=$A130,
N(INDEX('PORTIFÓLIO'!$J$4:$Q$564,,MATCH(B$2,'PORTIFÓLIO'!$J$3:$Q$3,0))) *
N('PORTIFÓLIO'!$S$4:$S$564),
0
)
),
0)</f>
        <v/>
      </c>
      <c r="C130" s="49">
        <f>B130/$B$4</f>
        <v/>
      </c>
      <c r="D130" s="49">
        <f t="array" ref="D130">IFERROR(
SUM(
IF(
'PORTIFÓLIO'!$C$4:$C$564=$A130,
N(INDEX('PORTIFÓLIO'!$J$4:$Q$564,,MATCH(D$2,'PORTIFÓLIO'!$J$3:$Q$3,0))) *
N('PORTIFÓLIO'!$S$4:$S$564),
0
)
),
0)</f>
        <v/>
      </c>
      <c r="E130" s="49">
        <f>D130/$D$4</f>
        <v/>
      </c>
      <c r="F130" s="49">
        <f t="array" ref="F130">IFERROR(
SUM(
IF(
'PORTIFÓLIO'!$C$4:$C$564=$A130,
N(INDEX('PORTIFÓLIO'!$J$4:$Q$564,,MATCH(F$2,'PORTIFÓLIO'!$J$3:$Q$3,0))) *
N('PORTIFÓLIO'!$S$4:$S$564),
0
)
),
0)</f>
        <v/>
      </c>
      <c r="G130" s="47">
        <f>F130/$F$4</f>
        <v/>
      </c>
      <c r="H130" s="49">
        <f t="array" ref="H130">IFERROR(
SUM(
IF(
'PORTIFÓLIO'!$C$4:$C$564=$A130,
N(INDEX('PORTIFÓLIO'!$J$4:$Q$564,,MATCH(H$2,'PORTIFÓLIO'!$J$3:$Q$3,0))) *
N('PORTIFÓLIO'!$S$4:$S$564),
0
)
),
0)</f>
        <v/>
      </c>
      <c r="I130" s="47">
        <f>H130/$H$4</f>
        <v/>
      </c>
      <c r="J130" s="49">
        <f t="array" ref="J130">IFERROR(
SUM(
IF(
'PORTIFÓLIO'!$C$4:$C$564=$A130,
N(INDEX('PORTIFÓLIO'!$J$4:$Q$564,,MATCH(J$2,'PORTIFÓLIO'!$J$3:$Q$3,0))) *
N('PORTIFÓLIO'!$S$4:$S$564),
0
)
),
0)</f>
        <v/>
      </c>
      <c r="K130" s="47">
        <f>J130/$J$4</f>
        <v/>
      </c>
      <c r="L130" s="49">
        <f t="array" ref="L130">IFERROR(
SUM(
IF(
'PORTIFÓLIO'!$C$4:$C$564=$A130,
N(INDEX('PORTIFÓLIO'!$J$4:$Q$564,,MATCH(L$2,'PORTIFÓLIO'!$J$3:$Q$3,0))) *
N('PORTIFÓLIO'!$S$4:$S$564),
0
)
),
0)</f>
        <v/>
      </c>
      <c r="M130" s="47">
        <f>L130/$L$4</f>
        <v/>
      </c>
      <c r="N130" s="49">
        <f t="array" ref="N130">IFERROR(
SUM(
IF(
'PORTIFÓLIO'!$C$4:$C$564=$A130,
N(INDEX('PORTIFÓLIO'!$J$4:$Q$564,,MATCH(N$2,'PORTIFÓLIO'!$J$3:$Q$3,0))) *
N('PORTIFÓLIO'!$S$4:$S$564),
0
)
),
0)</f>
        <v/>
      </c>
      <c r="O130" s="49">
        <f>N130/$N$4</f>
        <v/>
      </c>
      <c r="P130" s="49">
        <f t="array" ref="P130">IFERROR(
SUM(
IF(
'PORTIFÓLIO'!$C$4:$C$564=$A130,
N(INDEX('PORTIFÓLIO'!$J$4:$Q$564,,MATCH(P$2,'PORTIFÓLIO'!$J$3:$Q$3,0))) *
N('PORTIFÓLIO'!$S$4:$S$564),
0
)
),
0)</f>
        <v/>
      </c>
      <c r="Q130" s="49">
        <f>P130/$P$4</f>
        <v/>
      </c>
      <c r="R130" s="49">
        <f>SUM(P130,N130,L130,J130,H130,D130,B130)</f>
        <v/>
      </c>
      <c r="S130" s="49">
        <f>R130/$R$4</f>
        <v/>
      </c>
    </row>
    <row r="131" hidden="1" outlineLevel="1" ht="15.75" customHeight="1" s="297">
      <c r="A131" s="48">
        <f>IFERROR(__xludf.DUMMYFUNCTION("""COMPUTED_VALUE"""),"SEVARE 250 EC")</f>
        <v/>
      </c>
      <c r="B131" s="49">
        <f t="array" ref="B131">IFERROR(
SUM(
IF(
'PORTIFÓLIO'!$C$4:$C$564=$A131,
N(INDEX('PORTIFÓLIO'!$J$4:$Q$564,,MATCH(B$2,'PORTIFÓLIO'!$J$3:$Q$3,0))) *
N('PORTIFÓLIO'!$S$4:$S$564),
0
)
),
0)</f>
        <v/>
      </c>
      <c r="C131" s="49">
        <f>B131/$B$4</f>
        <v/>
      </c>
      <c r="D131" s="49">
        <f t="array" ref="D131">IFERROR(
SUM(
IF(
'PORTIFÓLIO'!$C$4:$C$564=$A131,
N(INDEX('PORTIFÓLIO'!$J$4:$Q$564,,MATCH(D$2,'PORTIFÓLIO'!$J$3:$Q$3,0))) *
N('PORTIFÓLIO'!$S$4:$S$564),
0
)
),
0)</f>
        <v/>
      </c>
      <c r="E131" s="49">
        <f>D131/$D$4</f>
        <v/>
      </c>
      <c r="F131" s="49">
        <f t="array" ref="F131">IFERROR(
SUM(
IF(
'PORTIFÓLIO'!$C$4:$C$564=$A131,
N(INDEX('PORTIFÓLIO'!$J$4:$Q$564,,MATCH(F$2,'PORTIFÓLIO'!$J$3:$Q$3,0))) *
N('PORTIFÓLIO'!$S$4:$S$564),
0
)
),
0)</f>
        <v/>
      </c>
      <c r="G131" s="47">
        <f>F131/$F$4</f>
        <v/>
      </c>
      <c r="H131" s="49">
        <f t="array" ref="H131">IFERROR(
SUM(
IF(
'PORTIFÓLIO'!$C$4:$C$564=$A131,
N(INDEX('PORTIFÓLIO'!$J$4:$Q$564,,MATCH(H$2,'PORTIFÓLIO'!$J$3:$Q$3,0))) *
N('PORTIFÓLIO'!$S$4:$S$564),
0
)
),
0)</f>
        <v/>
      </c>
      <c r="I131" s="47">
        <f>H131/$H$4</f>
        <v/>
      </c>
      <c r="J131" s="49">
        <f t="array" ref="J131">IFERROR(
SUM(
IF(
'PORTIFÓLIO'!$C$4:$C$564=$A131,
N(INDEX('PORTIFÓLIO'!$J$4:$Q$564,,MATCH(J$2,'PORTIFÓLIO'!$J$3:$Q$3,0))) *
N('PORTIFÓLIO'!$S$4:$S$564),
0
)
),
0)</f>
        <v/>
      </c>
      <c r="K131" s="47">
        <f>J131/$J$4</f>
        <v/>
      </c>
      <c r="L131" s="49">
        <f t="array" ref="L131">IFERROR(
SUM(
IF(
'PORTIFÓLIO'!$C$4:$C$564=$A131,
N(INDEX('PORTIFÓLIO'!$J$4:$Q$564,,MATCH(L$2,'PORTIFÓLIO'!$J$3:$Q$3,0))) *
N('PORTIFÓLIO'!$S$4:$S$564),
0
)
),
0)</f>
        <v/>
      </c>
      <c r="M131" s="47">
        <f>L131/$L$4</f>
        <v/>
      </c>
      <c r="N131" s="49">
        <f t="array" ref="N131">IFERROR(
SUM(
IF(
'PORTIFÓLIO'!$C$4:$C$564=$A131,
N(INDEX('PORTIFÓLIO'!$J$4:$Q$564,,MATCH(N$2,'PORTIFÓLIO'!$J$3:$Q$3,0))) *
N('PORTIFÓLIO'!$S$4:$S$564),
0
)
),
0)</f>
        <v/>
      </c>
      <c r="O131" s="49">
        <f>N131/$N$4</f>
        <v/>
      </c>
      <c r="P131" s="49">
        <f t="array" ref="P131">IFERROR(
SUM(
IF(
'PORTIFÓLIO'!$C$4:$C$564=$A131,
N(INDEX('PORTIFÓLIO'!$J$4:$Q$564,,MATCH(P$2,'PORTIFÓLIO'!$J$3:$Q$3,0))) *
N('PORTIFÓLIO'!$S$4:$S$564),
0
)
),
0)</f>
        <v/>
      </c>
      <c r="Q131" s="49">
        <f>P131/$P$4</f>
        <v/>
      </c>
      <c r="R131" s="49">
        <f>SUM(P131,N131,L131,J131,H131,D131,B131)</f>
        <v/>
      </c>
      <c r="S131" s="49">
        <f>R131/$R$4</f>
        <v/>
      </c>
    </row>
    <row r="132" hidden="1" outlineLevel="1" ht="15.75" customHeight="1" s="297">
      <c r="A132" s="48">
        <f>IFERROR(__xludf.DUMMYFUNCTION("""COMPUTED_VALUE"""),"VENCER DUO")</f>
        <v/>
      </c>
      <c r="B132" s="49">
        <f t="array" ref="B132">IFERROR(
SUM(
IF(
'PORTIFÓLIO'!$C$4:$C$564=$A132,
N(INDEX('PORTIFÓLIO'!$J$4:$Q$564,,MATCH(B$2,'PORTIFÓLIO'!$J$3:$Q$3,0))) *
N('PORTIFÓLIO'!$S$4:$S$564),
0
)
),
0)</f>
        <v/>
      </c>
      <c r="C132" s="49">
        <f>B132/$B$4</f>
        <v/>
      </c>
      <c r="D132" s="49">
        <f t="array" ref="D132">IFERROR(
SUM(
IF(
'PORTIFÓLIO'!$C$4:$C$564=$A132,
N(INDEX('PORTIFÓLIO'!$J$4:$Q$564,,MATCH(D$2,'PORTIFÓLIO'!$J$3:$Q$3,0))) *
N('PORTIFÓLIO'!$S$4:$S$564),
0
)
),
0)</f>
        <v/>
      </c>
      <c r="E132" s="49">
        <f>D132/$D$4</f>
        <v/>
      </c>
      <c r="F132" s="49">
        <f t="array" ref="F132">IFERROR(
SUM(
IF(
'PORTIFÓLIO'!$C$4:$C$564=$A132,
N(INDEX('PORTIFÓLIO'!$J$4:$Q$564,,MATCH(F$2,'PORTIFÓLIO'!$J$3:$Q$3,0))) *
N('PORTIFÓLIO'!$S$4:$S$564),
0
)
),
0)</f>
        <v/>
      </c>
      <c r="G132" s="47">
        <f>F132/$F$4</f>
        <v/>
      </c>
      <c r="H132" s="49">
        <f t="array" ref="H132">IFERROR(
SUM(
IF(
'PORTIFÓLIO'!$C$4:$C$564=$A132,
N(INDEX('PORTIFÓLIO'!$J$4:$Q$564,,MATCH(H$2,'PORTIFÓLIO'!$J$3:$Q$3,0))) *
N('PORTIFÓLIO'!$S$4:$S$564),
0
)
),
0)</f>
        <v/>
      </c>
      <c r="I132" s="47">
        <f>H132/$H$4</f>
        <v/>
      </c>
      <c r="J132" s="49">
        <f t="array" ref="J132">IFERROR(
SUM(
IF(
'PORTIFÓLIO'!$C$4:$C$564=$A132,
N(INDEX('PORTIFÓLIO'!$J$4:$Q$564,,MATCH(J$2,'PORTIFÓLIO'!$J$3:$Q$3,0))) *
N('PORTIFÓLIO'!$S$4:$S$564),
0
)
),
0)</f>
        <v/>
      </c>
      <c r="K132" s="47">
        <f>J132/$J$4</f>
        <v/>
      </c>
      <c r="L132" s="49">
        <f t="array" ref="L132">IFERROR(
SUM(
IF(
'PORTIFÓLIO'!$C$4:$C$564=$A132,
N(INDEX('PORTIFÓLIO'!$J$4:$Q$564,,MATCH(L$2,'PORTIFÓLIO'!$J$3:$Q$3,0))) *
N('PORTIFÓLIO'!$S$4:$S$564),
0
)
),
0)</f>
        <v/>
      </c>
      <c r="M132" s="47">
        <f>L132/$L$4</f>
        <v/>
      </c>
      <c r="N132" s="49">
        <f t="array" ref="N132">IFERROR(
SUM(
IF(
'PORTIFÓLIO'!$C$4:$C$564=$A132,
N(INDEX('PORTIFÓLIO'!$J$4:$Q$564,,MATCH(N$2,'PORTIFÓLIO'!$J$3:$Q$3,0))) *
N('PORTIFÓLIO'!$S$4:$S$564),
0
)
),
0)</f>
        <v/>
      </c>
      <c r="O132" s="49">
        <f>N132/$N$4</f>
        <v/>
      </c>
      <c r="P132" s="49">
        <f t="array" ref="P132">IFERROR(
SUM(
IF(
'PORTIFÓLIO'!$C$4:$C$564=$A132,
N(INDEX('PORTIFÓLIO'!$J$4:$Q$564,,MATCH(P$2,'PORTIFÓLIO'!$J$3:$Q$3,0))) *
N('PORTIFÓLIO'!$S$4:$S$564),
0
)
),
0)</f>
        <v/>
      </c>
      <c r="Q132" s="49">
        <f>P132/$P$4</f>
        <v/>
      </c>
      <c r="R132" s="49">
        <f>SUM(P132,N132,L132,J132,H132,D132,B132)</f>
        <v/>
      </c>
      <c r="S132" s="49">
        <f>R132/$R$4</f>
        <v/>
      </c>
    </row>
    <row r="133" hidden="1" outlineLevel="1" ht="15.75" customHeight="1" s="297">
      <c r="A133" s="48">
        <f>IFERROR(__xludf.DUMMYFUNCTION("""COMPUTED_VALUE"""),"ONSUVA")</f>
        <v/>
      </c>
      <c r="B133" s="49">
        <f t="array" ref="B133">IFERROR(
SUM(
IF(
'PORTIFÓLIO'!$C$4:$C$564=$A133,
N(INDEX('PORTIFÓLIO'!$J$4:$Q$564,,MATCH(B$2,'PORTIFÓLIO'!$J$3:$Q$3,0))) *
N('PORTIFÓLIO'!$S$4:$S$564),
0
)
),
0)</f>
        <v/>
      </c>
      <c r="C133" s="49">
        <f>B133/$B$4</f>
        <v/>
      </c>
      <c r="D133" s="49">
        <f t="array" ref="D133">IFERROR(
SUM(
IF(
'PORTIFÓLIO'!$C$4:$C$564=$A133,
N(INDEX('PORTIFÓLIO'!$J$4:$Q$564,,MATCH(D$2,'PORTIFÓLIO'!$J$3:$Q$3,0))) *
N('PORTIFÓLIO'!$S$4:$S$564),
0
)
),
0)</f>
        <v/>
      </c>
      <c r="E133" s="49">
        <f>D133/$D$4</f>
        <v/>
      </c>
      <c r="F133" s="49">
        <f t="array" ref="F133">IFERROR(
SUM(
IF(
'PORTIFÓLIO'!$C$4:$C$564=$A133,
N(INDEX('PORTIFÓLIO'!$J$4:$Q$564,,MATCH(F$2,'PORTIFÓLIO'!$J$3:$Q$3,0))) *
N('PORTIFÓLIO'!$S$4:$S$564),
0
)
),
0)</f>
        <v/>
      </c>
      <c r="G133" s="47">
        <f>F133/$F$4</f>
        <v/>
      </c>
      <c r="H133" s="49">
        <f t="array" ref="H133">IFERROR(
SUM(
IF(
'PORTIFÓLIO'!$C$4:$C$564=$A133,
N(INDEX('PORTIFÓLIO'!$J$4:$Q$564,,MATCH(H$2,'PORTIFÓLIO'!$J$3:$Q$3,0))) *
N('PORTIFÓLIO'!$S$4:$S$564),
0
)
),
0)</f>
        <v/>
      </c>
      <c r="I133" s="47">
        <f>H133/$H$4</f>
        <v/>
      </c>
      <c r="J133" s="49">
        <f t="array" ref="J133">IFERROR(
SUM(
IF(
'PORTIFÓLIO'!$C$4:$C$564=$A133,
N(INDEX('PORTIFÓLIO'!$J$4:$Q$564,,MATCH(J$2,'PORTIFÓLIO'!$J$3:$Q$3,0))) *
N('PORTIFÓLIO'!$S$4:$S$564),
0
)
),
0)</f>
        <v/>
      </c>
      <c r="K133" s="47">
        <f>J133/$J$4</f>
        <v/>
      </c>
      <c r="L133" s="49">
        <f t="array" ref="L133">IFERROR(
SUM(
IF(
'PORTIFÓLIO'!$C$4:$C$564=$A133,
N(INDEX('PORTIFÓLIO'!$J$4:$Q$564,,MATCH(L$2,'PORTIFÓLIO'!$J$3:$Q$3,0))) *
N('PORTIFÓLIO'!$S$4:$S$564),
0
)
),
0)</f>
        <v/>
      </c>
      <c r="M133" s="47">
        <f>L133/$L$4</f>
        <v/>
      </c>
      <c r="N133" s="49">
        <f t="array" ref="N133">IFERROR(
SUM(
IF(
'PORTIFÓLIO'!$C$4:$C$564=$A133,
N(INDEX('PORTIFÓLIO'!$J$4:$Q$564,,MATCH(N$2,'PORTIFÓLIO'!$J$3:$Q$3,0))) *
N('PORTIFÓLIO'!$S$4:$S$564),
0
)
),
0)</f>
        <v/>
      </c>
      <c r="O133" s="49">
        <f>N133/$N$4</f>
        <v/>
      </c>
      <c r="P133" s="49">
        <f t="array" ref="P133">IFERROR(
SUM(
IF(
'PORTIFÓLIO'!$C$4:$C$564=$A133,
N(INDEX('PORTIFÓLIO'!$J$4:$Q$564,,MATCH(P$2,'PORTIFÓLIO'!$J$3:$Q$3,0))) *
N('PORTIFÓLIO'!$S$4:$S$564),
0
)
),
0)</f>
        <v/>
      </c>
      <c r="Q133" s="49">
        <f>P133/$P$4</f>
        <v/>
      </c>
      <c r="R133" s="49">
        <f>SUM(P133,N133,L133,J133,H133,D133,B133)</f>
        <v/>
      </c>
      <c r="S133" s="49">
        <f>R133/$R$4</f>
        <v/>
      </c>
    </row>
    <row r="134" hidden="1" outlineLevel="1" ht="15.75" customHeight="1" s="297">
      <c r="A134" s="48">
        <f>IFERROR(__xludf.DUMMYFUNCTION("""COMPUTED_VALUE"""),"BOSCALID NORTOX 500 WG")</f>
        <v/>
      </c>
      <c r="B134" s="49">
        <f t="array" ref="B134">IFERROR(
SUM(
IF(
'PORTIFÓLIO'!$C$4:$C$564=$A134,
N(INDEX('PORTIFÓLIO'!$J$4:$Q$564,,MATCH(B$2,'PORTIFÓLIO'!$J$3:$Q$3,0))) *
N('PORTIFÓLIO'!$S$4:$S$564),
0
)
),
0)</f>
        <v/>
      </c>
      <c r="C134" s="49">
        <f>B134/$B$4</f>
        <v/>
      </c>
      <c r="D134" s="49">
        <f t="array" ref="D134">IFERROR(
SUM(
IF(
'PORTIFÓLIO'!$C$4:$C$564=$A134,
N(INDEX('PORTIFÓLIO'!$J$4:$Q$564,,MATCH(D$2,'PORTIFÓLIO'!$J$3:$Q$3,0))) *
N('PORTIFÓLIO'!$S$4:$S$564),
0
)
),
0)</f>
        <v/>
      </c>
      <c r="E134" s="49">
        <f>D134/$D$4</f>
        <v/>
      </c>
      <c r="F134" s="49">
        <f t="array" ref="F134">IFERROR(
SUM(
IF(
'PORTIFÓLIO'!$C$4:$C$564=$A134,
N(INDEX('PORTIFÓLIO'!$J$4:$Q$564,,MATCH(F$2,'PORTIFÓLIO'!$J$3:$Q$3,0))) *
N('PORTIFÓLIO'!$S$4:$S$564),
0
)
),
0)</f>
        <v/>
      </c>
      <c r="G134" s="47">
        <f>F134/$F$4</f>
        <v/>
      </c>
      <c r="H134" s="49">
        <f t="array" ref="H134">IFERROR(
SUM(
IF(
'PORTIFÓLIO'!$C$4:$C$564=$A134,
N(INDEX('PORTIFÓLIO'!$J$4:$Q$564,,MATCH(H$2,'PORTIFÓLIO'!$J$3:$Q$3,0))) *
N('PORTIFÓLIO'!$S$4:$S$564),
0
)
),
0)</f>
        <v/>
      </c>
      <c r="I134" s="47">
        <f>H134/$H$4</f>
        <v/>
      </c>
      <c r="J134" s="49">
        <f t="array" ref="J134">IFERROR(
SUM(
IF(
'PORTIFÓLIO'!$C$4:$C$564=$A134,
N(INDEX('PORTIFÓLIO'!$J$4:$Q$564,,MATCH(J$2,'PORTIFÓLIO'!$J$3:$Q$3,0))) *
N('PORTIFÓLIO'!$S$4:$S$564),
0
)
),
0)</f>
        <v/>
      </c>
      <c r="K134" s="47">
        <f>J134/$J$4</f>
        <v/>
      </c>
      <c r="L134" s="49">
        <f t="array" ref="L134">IFERROR(
SUM(
IF(
'PORTIFÓLIO'!$C$4:$C$564=$A134,
N(INDEX('PORTIFÓLIO'!$J$4:$Q$564,,MATCH(L$2,'PORTIFÓLIO'!$J$3:$Q$3,0))) *
N('PORTIFÓLIO'!$S$4:$S$564),
0
)
),
0)</f>
        <v/>
      </c>
      <c r="M134" s="47">
        <f>L134/$L$4</f>
        <v/>
      </c>
      <c r="N134" s="49">
        <f t="array" ref="N134">IFERROR(
SUM(
IF(
'PORTIFÓLIO'!$C$4:$C$564=$A134,
N(INDEX('PORTIFÓLIO'!$J$4:$Q$564,,MATCH(N$2,'PORTIFÓLIO'!$J$3:$Q$3,0))) *
N('PORTIFÓLIO'!$S$4:$S$564),
0
)
),
0)</f>
        <v/>
      </c>
      <c r="O134" s="49">
        <f>N134/$N$4</f>
        <v/>
      </c>
      <c r="P134" s="49">
        <f t="array" ref="P134">IFERROR(
SUM(
IF(
'PORTIFÓLIO'!$C$4:$C$564=$A134,
N(INDEX('PORTIFÓLIO'!$J$4:$Q$564,,MATCH(P$2,'PORTIFÓLIO'!$J$3:$Q$3,0))) *
N('PORTIFÓLIO'!$S$4:$S$564),
0
)
),
0)</f>
        <v/>
      </c>
      <c r="Q134" s="49">
        <f>P134/$P$4</f>
        <v/>
      </c>
      <c r="R134" s="49">
        <f>SUM(P134,N134,L134,J134,H134,D134,B134)</f>
        <v/>
      </c>
      <c r="S134" s="49">
        <f>R134/$R$4</f>
        <v/>
      </c>
    </row>
    <row r="135" hidden="1" outlineLevel="1" ht="15.75" customHeight="1" s="297">
      <c r="A135" s="48">
        <f>IFERROR(__xludf.DUMMYFUNCTION("""COMPUTED_VALUE"""),"DIFENOCONAZOL NORTOX 250 SC")</f>
        <v/>
      </c>
      <c r="B135" s="49">
        <f t="array" ref="B135">IFERROR(
SUM(
IF(
'PORTIFÓLIO'!$C$4:$C$564=$A135,
N(INDEX('PORTIFÓLIO'!$J$4:$Q$564,,MATCH(B$2,'PORTIFÓLIO'!$J$3:$Q$3,0))) *
N('PORTIFÓLIO'!$S$4:$S$564),
0
)
),
0)</f>
        <v/>
      </c>
      <c r="C135" s="49">
        <f>B135/$B$4</f>
        <v/>
      </c>
      <c r="D135" s="49">
        <f t="array" ref="D135">IFERROR(
SUM(
IF(
'PORTIFÓLIO'!$C$4:$C$564=$A135,
N(INDEX('PORTIFÓLIO'!$J$4:$Q$564,,MATCH(D$2,'PORTIFÓLIO'!$J$3:$Q$3,0))) *
N('PORTIFÓLIO'!$S$4:$S$564),
0
)
),
0)</f>
        <v/>
      </c>
      <c r="E135" s="49">
        <f>D135/$D$4</f>
        <v/>
      </c>
      <c r="F135" s="49">
        <f t="array" ref="F135">IFERROR(
SUM(
IF(
'PORTIFÓLIO'!$C$4:$C$564=$A135,
N(INDEX('PORTIFÓLIO'!$J$4:$Q$564,,MATCH(F$2,'PORTIFÓLIO'!$J$3:$Q$3,0))) *
N('PORTIFÓLIO'!$S$4:$S$564),
0
)
),
0)</f>
        <v/>
      </c>
      <c r="G135" s="47">
        <f>F135/$F$4</f>
        <v/>
      </c>
      <c r="H135" s="49">
        <f t="array" ref="H135">IFERROR(
SUM(
IF(
'PORTIFÓLIO'!$C$4:$C$564=$A135,
N(INDEX('PORTIFÓLIO'!$J$4:$Q$564,,MATCH(H$2,'PORTIFÓLIO'!$J$3:$Q$3,0))) *
N('PORTIFÓLIO'!$S$4:$S$564),
0
)
),
0)</f>
        <v/>
      </c>
      <c r="I135" s="47">
        <f>H135/$H$4</f>
        <v/>
      </c>
      <c r="J135" s="49">
        <f t="array" ref="J135">IFERROR(
SUM(
IF(
'PORTIFÓLIO'!$C$4:$C$564=$A135,
N(INDEX('PORTIFÓLIO'!$J$4:$Q$564,,MATCH(J$2,'PORTIFÓLIO'!$J$3:$Q$3,0))) *
N('PORTIFÓLIO'!$S$4:$S$564),
0
)
),
0)</f>
        <v/>
      </c>
      <c r="K135" s="47">
        <f>J135/$J$4</f>
        <v/>
      </c>
      <c r="L135" s="49">
        <f t="array" ref="L135">IFERROR(
SUM(
IF(
'PORTIFÓLIO'!$C$4:$C$564=$A135,
N(INDEX('PORTIFÓLIO'!$J$4:$Q$564,,MATCH(L$2,'PORTIFÓLIO'!$J$3:$Q$3,0))) *
N('PORTIFÓLIO'!$S$4:$S$564),
0
)
),
0)</f>
        <v/>
      </c>
      <c r="M135" s="47">
        <f>L135/$L$4</f>
        <v/>
      </c>
      <c r="N135" s="49">
        <f t="array" ref="N135">IFERROR(
SUM(
IF(
'PORTIFÓLIO'!$C$4:$C$564=$A135,
N(INDEX('PORTIFÓLIO'!$J$4:$Q$564,,MATCH(N$2,'PORTIFÓLIO'!$J$3:$Q$3,0))) *
N('PORTIFÓLIO'!$S$4:$S$564),
0
)
),
0)</f>
        <v/>
      </c>
      <c r="O135" s="49">
        <f>N135/$N$4</f>
        <v/>
      </c>
      <c r="P135" s="49">
        <f t="array" ref="P135">IFERROR(
SUM(
IF(
'PORTIFÓLIO'!$C$4:$C$564=$A135,
N(INDEX('PORTIFÓLIO'!$J$4:$Q$564,,MATCH(P$2,'PORTIFÓLIO'!$J$3:$Q$3,0))) *
N('PORTIFÓLIO'!$S$4:$S$564),
0
)
),
0)</f>
        <v/>
      </c>
      <c r="Q135" s="49">
        <f>P135/$P$4</f>
        <v/>
      </c>
      <c r="R135" s="49">
        <f>SUM(P135,N135,L135,J135,H135,D135,B135)</f>
        <v/>
      </c>
      <c r="S135" s="49">
        <f>R135/$R$4</f>
        <v/>
      </c>
    </row>
    <row r="136" hidden="1" outlineLevel="1" ht="15.75" customHeight="1" s="297">
      <c r="A136" s="48">
        <f>IFERROR(__xludf.DUMMYFUNCTION("""COMPUTED_VALUE"""),"FLUAZINAM NORTOX 500 SC")</f>
        <v/>
      </c>
      <c r="B136" s="49">
        <f t="array" ref="B136">IFERROR(
SUM(
IF(
'PORTIFÓLIO'!$C$4:$C$564=$A136,
N(INDEX('PORTIFÓLIO'!$J$4:$Q$564,,MATCH(B$2,'PORTIFÓLIO'!$J$3:$Q$3,0))) *
N('PORTIFÓLIO'!$S$4:$S$564),
0
)
),
0)</f>
        <v/>
      </c>
      <c r="C136" s="49">
        <f>B136/$B$4</f>
        <v/>
      </c>
      <c r="D136" s="49">
        <f t="array" ref="D136">IFERROR(
SUM(
IF(
'PORTIFÓLIO'!$C$4:$C$564=$A136,
N(INDEX('PORTIFÓLIO'!$J$4:$Q$564,,MATCH(D$2,'PORTIFÓLIO'!$J$3:$Q$3,0))) *
N('PORTIFÓLIO'!$S$4:$S$564),
0
)
),
0)</f>
        <v/>
      </c>
      <c r="E136" s="49">
        <f>D136/$D$4</f>
        <v/>
      </c>
      <c r="F136" s="49">
        <f t="array" ref="F136">IFERROR(
SUM(
IF(
'PORTIFÓLIO'!$C$4:$C$564=$A136,
N(INDEX('PORTIFÓLIO'!$J$4:$Q$564,,MATCH(F$2,'PORTIFÓLIO'!$J$3:$Q$3,0))) *
N('PORTIFÓLIO'!$S$4:$S$564),
0
)
),
0)</f>
        <v/>
      </c>
      <c r="G136" s="47">
        <f>F136/$F$4</f>
        <v/>
      </c>
      <c r="H136" s="49">
        <f t="array" ref="H136">IFERROR(
SUM(
IF(
'PORTIFÓLIO'!$C$4:$C$564=$A136,
N(INDEX('PORTIFÓLIO'!$J$4:$Q$564,,MATCH(H$2,'PORTIFÓLIO'!$J$3:$Q$3,0))) *
N('PORTIFÓLIO'!$S$4:$S$564),
0
)
),
0)</f>
        <v/>
      </c>
      <c r="I136" s="47">
        <f>H136/$H$4</f>
        <v/>
      </c>
      <c r="J136" s="49">
        <f t="array" ref="J136">IFERROR(
SUM(
IF(
'PORTIFÓLIO'!$C$4:$C$564=$A136,
N(INDEX('PORTIFÓLIO'!$J$4:$Q$564,,MATCH(J$2,'PORTIFÓLIO'!$J$3:$Q$3,0))) *
N('PORTIFÓLIO'!$S$4:$S$564),
0
)
),
0)</f>
        <v/>
      </c>
      <c r="K136" s="47">
        <f>J136/$J$4</f>
        <v/>
      </c>
      <c r="L136" s="49">
        <f t="array" ref="L136">IFERROR(
SUM(
IF(
'PORTIFÓLIO'!$C$4:$C$564=$A136,
N(INDEX('PORTIFÓLIO'!$J$4:$Q$564,,MATCH(L$2,'PORTIFÓLIO'!$J$3:$Q$3,0))) *
N('PORTIFÓLIO'!$S$4:$S$564),
0
)
),
0)</f>
        <v/>
      </c>
      <c r="M136" s="47">
        <f>L136/$L$4</f>
        <v/>
      </c>
      <c r="N136" s="49">
        <f t="array" ref="N136">IFERROR(
SUM(
IF(
'PORTIFÓLIO'!$C$4:$C$564=$A136,
N(INDEX('PORTIFÓLIO'!$J$4:$Q$564,,MATCH(N$2,'PORTIFÓLIO'!$J$3:$Q$3,0))) *
N('PORTIFÓLIO'!$S$4:$S$564),
0
)
),
0)</f>
        <v/>
      </c>
      <c r="O136" s="49">
        <f>N136/$N$4</f>
        <v/>
      </c>
      <c r="P136" s="49">
        <f t="array" ref="P136">IFERROR(
SUM(
IF(
'PORTIFÓLIO'!$C$4:$C$564=$A136,
N(INDEX('PORTIFÓLIO'!$J$4:$Q$564,,MATCH(P$2,'PORTIFÓLIO'!$J$3:$Q$3,0))) *
N('PORTIFÓLIO'!$S$4:$S$564),
0
)
),
0)</f>
        <v/>
      </c>
      <c r="Q136" s="49">
        <f>P136/$P$4</f>
        <v/>
      </c>
      <c r="R136" s="49">
        <f>SUM(P136,N136,L136,J136,H136,D136,B136)</f>
        <v/>
      </c>
      <c r="S136" s="49">
        <f>R136/$R$4</f>
        <v/>
      </c>
    </row>
    <row r="137" hidden="1" outlineLevel="1" ht="15.75" customHeight="1" s="297">
      <c r="A137" s="48">
        <f>IFERROR(__xludf.DUMMYFUNCTION("""COMPUTED_VALUE"""),"FLUTRIAFOL NORTOX")</f>
        <v/>
      </c>
      <c r="B137" s="49">
        <f t="array" ref="B137">IFERROR(
SUM(
IF(
'PORTIFÓLIO'!$C$4:$C$564=$A137,
N(INDEX('PORTIFÓLIO'!$J$4:$Q$564,,MATCH(B$2,'PORTIFÓLIO'!$J$3:$Q$3,0))) *
N('PORTIFÓLIO'!$S$4:$S$564),
0
)
),
0)</f>
        <v/>
      </c>
      <c r="C137" s="49">
        <f>B137/$B$4</f>
        <v/>
      </c>
      <c r="D137" s="49">
        <f t="array" ref="D137">IFERROR(
SUM(
IF(
'PORTIFÓLIO'!$C$4:$C$564=$A137,
N(INDEX('PORTIFÓLIO'!$J$4:$Q$564,,MATCH(D$2,'PORTIFÓLIO'!$J$3:$Q$3,0))) *
N('PORTIFÓLIO'!$S$4:$S$564),
0
)
),
0)</f>
        <v/>
      </c>
      <c r="E137" s="49">
        <f>D137/$D$4</f>
        <v/>
      </c>
      <c r="F137" s="49">
        <f t="array" ref="F137">IFERROR(
SUM(
IF(
'PORTIFÓLIO'!$C$4:$C$564=$A137,
N(INDEX('PORTIFÓLIO'!$J$4:$Q$564,,MATCH(F$2,'PORTIFÓLIO'!$J$3:$Q$3,0))) *
N('PORTIFÓLIO'!$S$4:$S$564),
0
)
),
0)</f>
        <v/>
      </c>
      <c r="G137" s="47">
        <f>F137/$F$4</f>
        <v/>
      </c>
      <c r="H137" s="49">
        <f t="array" ref="H137">IFERROR(
SUM(
IF(
'PORTIFÓLIO'!$C$4:$C$564=$A137,
N(INDEX('PORTIFÓLIO'!$J$4:$Q$564,,MATCH(H$2,'PORTIFÓLIO'!$J$3:$Q$3,0))) *
N('PORTIFÓLIO'!$S$4:$S$564),
0
)
),
0)</f>
        <v/>
      </c>
      <c r="I137" s="47">
        <f>H137/$H$4</f>
        <v/>
      </c>
      <c r="J137" s="49">
        <f t="array" ref="J137">IFERROR(
SUM(
IF(
'PORTIFÓLIO'!$C$4:$C$564=$A137,
N(INDEX('PORTIFÓLIO'!$J$4:$Q$564,,MATCH(J$2,'PORTIFÓLIO'!$J$3:$Q$3,0))) *
N('PORTIFÓLIO'!$S$4:$S$564),
0
)
),
0)</f>
        <v/>
      </c>
      <c r="K137" s="47">
        <f>J137/$J$4</f>
        <v/>
      </c>
      <c r="L137" s="49">
        <f t="array" ref="L137">IFERROR(
SUM(
IF(
'PORTIFÓLIO'!$C$4:$C$564=$A137,
N(INDEX('PORTIFÓLIO'!$J$4:$Q$564,,MATCH(L$2,'PORTIFÓLIO'!$J$3:$Q$3,0))) *
N('PORTIFÓLIO'!$S$4:$S$564),
0
)
),
0)</f>
        <v/>
      </c>
      <c r="M137" s="47">
        <f>L137/$L$4</f>
        <v/>
      </c>
      <c r="N137" s="49">
        <f t="array" ref="N137">IFERROR(
SUM(
IF(
'PORTIFÓLIO'!$C$4:$C$564=$A137,
N(INDEX('PORTIFÓLIO'!$J$4:$Q$564,,MATCH(N$2,'PORTIFÓLIO'!$J$3:$Q$3,0))) *
N('PORTIFÓLIO'!$S$4:$S$564),
0
)
),
0)</f>
        <v/>
      </c>
      <c r="O137" s="49">
        <f>N137/$N$4</f>
        <v/>
      </c>
      <c r="P137" s="49">
        <f t="array" ref="P137">IFERROR(
SUM(
IF(
'PORTIFÓLIO'!$C$4:$C$564=$A137,
N(INDEX('PORTIFÓLIO'!$J$4:$Q$564,,MATCH(P$2,'PORTIFÓLIO'!$J$3:$Q$3,0))) *
N('PORTIFÓLIO'!$S$4:$S$564),
0
)
),
0)</f>
        <v/>
      </c>
      <c r="Q137" s="49">
        <f>P137/$P$4</f>
        <v/>
      </c>
      <c r="R137" s="49">
        <f>SUM(P137,N137,L137,J137,H137,D137,B137)</f>
        <v/>
      </c>
      <c r="S137" s="49">
        <f>R137/$R$4</f>
        <v/>
      </c>
    </row>
    <row r="138" hidden="1" outlineLevel="1" ht="15.75" customHeight="1" s="297">
      <c r="A138" s="48">
        <f>IFERROR(__xludf.DUMMYFUNCTION("""COMPUTED_VALUE"""),"PROPICONAZOLE NORTOX 500 EC")</f>
        <v/>
      </c>
      <c r="B138" s="49">
        <f t="array" ref="B138">IFERROR(
SUM(
IF(
'PORTIFÓLIO'!$C$4:$C$564=$A138,
N(INDEX('PORTIFÓLIO'!$J$4:$Q$564,,MATCH(B$2,'PORTIFÓLIO'!$J$3:$Q$3,0))) *
N('PORTIFÓLIO'!$S$4:$S$564),
0
)
),
0)</f>
        <v/>
      </c>
      <c r="C138" s="49">
        <f>B138/$B$4</f>
        <v/>
      </c>
      <c r="D138" s="49">
        <f t="array" ref="D138">IFERROR(
SUM(
IF(
'PORTIFÓLIO'!$C$4:$C$564=$A138,
N(INDEX('PORTIFÓLIO'!$J$4:$Q$564,,MATCH(D$2,'PORTIFÓLIO'!$J$3:$Q$3,0))) *
N('PORTIFÓLIO'!$S$4:$S$564),
0
)
),
0)</f>
        <v/>
      </c>
      <c r="E138" s="49">
        <f>D138/$D$4</f>
        <v/>
      </c>
      <c r="F138" s="49">
        <f t="array" ref="F138">IFERROR(
SUM(
IF(
'PORTIFÓLIO'!$C$4:$C$564=$A138,
N(INDEX('PORTIFÓLIO'!$J$4:$Q$564,,MATCH(F$2,'PORTIFÓLIO'!$J$3:$Q$3,0))) *
N('PORTIFÓLIO'!$S$4:$S$564),
0
)
),
0)</f>
        <v/>
      </c>
      <c r="G138" s="47">
        <f>F138/$F$4</f>
        <v/>
      </c>
      <c r="H138" s="49">
        <f t="array" ref="H138">IFERROR(
SUM(
IF(
'PORTIFÓLIO'!$C$4:$C$564=$A138,
N(INDEX('PORTIFÓLIO'!$J$4:$Q$564,,MATCH(H$2,'PORTIFÓLIO'!$J$3:$Q$3,0))) *
N('PORTIFÓLIO'!$S$4:$S$564),
0
)
),
0)</f>
        <v/>
      </c>
      <c r="I138" s="47">
        <f>H138/$H$4</f>
        <v/>
      </c>
      <c r="J138" s="49">
        <f t="array" ref="J138">IFERROR(
SUM(
IF(
'PORTIFÓLIO'!$C$4:$C$564=$A138,
N(INDEX('PORTIFÓLIO'!$J$4:$Q$564,,MATCH(J$2,'PORTIFÓLIO'!$J$3:$Q$3,0))) *
N('PORTIFÓLIO'!$S$4:$S$564),
0
)
),
0)</f>
        <v/>
      </c>
      <c r="K138" s="47">
        <f>J138/$J$4</f>
        <v/>
      </c>
      <c r="L138" s="49">
        <f t="array" ref="L138">IFERROR(
SUM(
IF(
'PORTIFÓLIO'!$C$4:$C$564=$A138,
N(INDEX('PORTIFÓLIO'!$J$4:$Q$564,,MATCH(L$2,'PORTIFÓLIO'!$J$3:$Q$3,0))) *
N('PORTIFÓLIO'!$S$4:$S$564),
0
)
),
0)</f>
        <v/>
      </c>
      <c r="M138" s="47">
        <f>L138/$L$4</f>
        <v/>
      </c>
      <c r="N138" s="49">
        <f t="array" ref="N138">IFERROR(
SUM(
IF(
'PORTIFÓLIO'!$C$4:$C$564=$A138,
N(INDEX('PORTIFÓLIO'!$J$4:$Q$564,,MATCH(N$2,'PORTIFÓLIO'!$J$3:$Q$3,0))) *
N('PORTIFÓLIO'!$S$4:$S$564),
0
)
),
0)</f>
        <v/>
      </c>
      <c r="O138" s="49">
        <f>N138/$N$4</f>
        <v/>
      </c>
      <c r="P138" s="49">
        <f t="array" ref="P138">IFERROR(
SUM(
IF(
'PORTIFÓLIO'!$C$4:$C$564=$A138,
N(INDEX('PORTIFÓLIO'!$J$4:$Q$564,,MATCH(P$2,'PORTIFÓLIO'!$J$3:$Q$3,0))) *
N('PORTIFÓLIO'!$S$4:$S$564),
0
)
),
0)</f>
        <v/>
      </c>
      <c r="Q138" s="49">
        <f>P138/$P$4</f>
        <v/>
      </c>
      <c r="R138" s="49">
        <f>SUM(P138,N138,L138,J138,H138,D138,B138)</f>
        <v/>
      </c>
      <c r="S138" s="49">
        <f>R138/$R$4</f>
        <v/>
      </c>
    </row>
    <row r="139" hidden="1" outlineLevel="1" ht="15.75" customHeight="1" s="297">
      <c r="A139" s="48">
        <f>IFERROR(__xludf.DUMMYFUNCTION("""COMPUTED_VALUE"""),"PROTECTION NORTOX")</f>
        <v/>
      </c>
      <c r="B139" s="49">
        <f t="array" ref="B139">IFERROR(
SUM(
IF(
'PORTIFÓLIO'!$C$4:$C$564=$A139,
N(INDEX('PORTIFÓLIO'!$J$4:$Q$564,,MATCH(B$2,'PORTIFÓLIO'!$J$3:$Q$3,0))) *
N('PORTIFÓLIO'!$S$4:$S$564),
0
)
),
0)</f>
        <v/>
      </c>
      <c r="C139" s="49">
        <f>B139/$B$4</f>
        <v/>
      </c>
      <c r="D139" s="49">
        <f t="array" ref="D139">IFERROR(
SUM(
IF(
'PORTIFÓLIO'!$C$4:$C$564=$A139,
N(INDEX('PORTIFÓLIO'!$J$4:$Q$564,,MATCH(D$2,'PORTIFÓLIO'!$J$3:$Q$3,0))) *
N('PORTIFÓLIO'!$S$4:$S$564),
0
)
),
0)</f>
        <v/>
      </c>
      <c r="E139" s="49">
        <f>D139/$D$4</f>
        <v/>
      </c>
      <c r="F139" s="49">
        <f t="array" ref="F139">IFERROR(
SUM(
IF(
'PORTIFÓLIO'!$C$4:$C$564=$A139,
N(INDEX('PORTIFÓLIO'!$J$4:$Q$564,,MATCH(F$2,'PORTIFÓLIO'!$J$3:$Q$3,0))) *
N('PORTIFÓLIO'!$S$4:$S$564),
0
)
),
0)</f>
        <v/>
      </c>
      <c r="G139" s="47">
        <f>F139/$F$4</f>
        <v/>
      </c>
      <c r="H139" s="49">
        <f t="array" ref="H139">IFERROR(
SUM(
IF(
'PORTIFÓLIO'!$C$4:$C$564=$A139,
N(INDEX('PORTIFÓLIO'!$J$4:$Q$564,,MATCH(H$2,'PORTIFÓLIO'!$J$3:$Q$3,0))) *
N('PORTIFÓLIO'!$S$4:$S$564),
0
)
),
0)</f>
        <v/>
      </c>
      <c r="I139" s="47">
        <f>H139/$H$4</f>
        <v/>
      </c>
      <c r="J139" s="49">
        <f t="array" ref="J139">IFERROR(
SUM(
IF(
'PORTIFÓLIO'!$C$4:$C$564=$A139,
N(INDEX('PORTIFÓLIO'!$J$4:$Q$564,,MATCH(J$2,'PORTIFÓLIO'!$J$3:$Q$3,0))) *
N('PORTIFÓLIO'!$S$4:$S$564),
0
)
),
0)</f>
        <v/>
      </c>
      <c r="K139" s="47">
        <f>J139/$J$4</f>
        <v/>
      </c>
      <c r="L139" s="49">
        <f t="array" ref="L139">IFERROR(
SUM(
IF(
'PORTIFÓLIO'!$C$4:$C$564=$A139,
N(INDEX('PORTIFÓLIO'!$J$4:$Q$564,,MATCH(L$2,'PORTIFÓLIO'!$J$3:$Q$3,0))) *
N('PORTIFÓLIO'!$S$4:$S$564),
0
)
),
0)</f>
        <v/>
      </c>
      <c r="M139" s="47">
        <f>L139/$L$4</f>
        <v/>
      </c>
      <c r="N139" s="49">
        <f t="array" ref="N139">IFERROR(
SUM(
IF(
'PORTIFÓLIO'!$C$4:$C$564=$A139,
N(INDEX('PORTIFÓLIO'!$J$4:$Q$564,,MATCH(N$2,'PORTIFÓLIO'!$J$3:$Q$3,0))) *
N('PORTIFÓLIO'!$S$4:$S$564),
0
)
),
0)</f>
        <v/>
      </c>
      <c r="O139" s="49">
        <f>N139/$N$4</f>
        <v/>
      </c>
      <c r="P139" s="49">
        <f t="array" ref="P139">IFERROR(
SUM(
IF(
'PORTIFÓLIO'!$C$4:$C$564=$A139,
N(INDEX('PORTIFÓLIO'!$J$4:$Q$564,,MATCH(P$2,'PORTIFÓLIO'!$J$3:$Q$3,0))) *
N('PORTIFÓLIO'!$S$4:$S$564),
0
)
),
0)</f>
        <v/>
      </c>
      <c r="Q139" s="49">
        <f>P139/$P$4</f>
        <v/>
      </c>
      <c r="R139" s="49">
        <f>SUM(P139,N139,L139,J139,H139,D139,B139)</f>
        <v/>
      </c>
      <c r="S139" s="49">
        <f>R139/$R$4</f>
        <v/>
      </c>
    </row>
    <row r="140" hidden="1" outlineLevel="1" ht="15.75" customHeight="1" s="297">
      <c r="A140" s="48">
        <f>IFERROR(__xludf.DUMMYFUNCTION("""COMPUTED_VALUE"""),"TEBUCO 430 SC NORTOX")</f>
        <v/>
      </c>
      <c r="B140" s="49">
        <f t="array" ref="B140">IFERROR(
SUM(
IF(
'PORTIFÓLIO'!$C$4:$C$564=$A140,
N(INDEX('PORTIFÓLIO'!$J$4:$Q$564,,MATCH(B$2,'PORTIFÓLIO'!$J$3:$Q$3,0))) *
N('PORTIFÓLIO'!$S$4:$S$564),
0
)
),
0)</f>
        <v/>
      </c>
      <c r="C140" s="49">
        <f>B140/$B$4</f>
        <v/>
      </c>
      <c r="D140" s="49">
        <f t="array" ref="D140">IFERROR(
SUM(
IF(
'PORTIFÓLIO'!$C$4:$C$564=$A140,
N(INDEX('PORTIFÓLIO'!$J$4:$Q$564,,MATCH(D$2,'PORTIFÓLIO'!$J$3:$Q$3,0))) *
N('PORTIFÓLIO'!$S$4:$S$564),
0
)
),
0)</f>
        <v/>
      </c>
      <c r="E140" s="49">
        <f>D140/$D$4</f>
        <v/>
      </c>
      <c r="F140" s="49">
        <f t="array" ref="F140">IFERROR(
SUM(
IF(
'PORTIFÓLIO'!$C$4:$C$564=$A140,
N(INDEX('PORTIFÓLIO'!$J$4:$Q$564,,MATCH(F$2,'PORTIFÓLIO'!$J$3:$Q$3,0))) *
N('PORTIFÓLIO'!$S$4:$S$564),
0
)
),
0)</f>
        <v/>
      </c>
      <c r="G140" s="47">
        <f>F140/$F$4</f>
        <v/>
      </c>
      <c r="H140" s="49">
        <f t="array" ref="H140">IFERROR(
SUM(
IF(
'PORTIFÓLIO'!$C$4:$C$564=$A140,
N(INDEX('PORTIFÓLIO'!$J$4:$Q$564,,MATCH(H$2,'PORTIFÓLIO'!$J$3:$Q$3,0))) *
N('PORTIFÓLIO'!$S$4:$S$564),
0
)
),
0)</f>
        <v/>
      </c>
      <c r="I140" s="47">
        <f>H140/$H$4</f>
        <v/>
      </c>
      <c r="J140" s="49">
        <f t="array" ref="J140">IFERROR(
SUM(
IF(
'PORTIFÓLIO'!$C$4:$C$564=$A140,
N(INDEX('PORTIFÓLIO'!$J$4:$Q$564,,MATCH(J$2,'PORTIFÓLIO'!$J$3:$Q$3,0))) *
N('PORTIFÓLIO'!$S$4:$S$564),
0
)
),
0)</f>
        <v/>
      </c>
      <c r="K140" s="47">
        <f>J140/$J$4</f>
        <v/>
      </c>
      <c r="L140" s="49">
        <f t="array" ref="L140">IFERROR(
SUM(
IF(
'PORTIFÓLIO'!$C$4:$C$564=$A140,
N(INDEX('PORTIFÓLIO'!$J$4:$Q$564,,MATCH(L$2,'PORTIFÓLIO'!$J$3:$Q$3,0))) *
N('PORTIFÓLIO'!$S$4:$S$564),
0
)
),
0)</f>
        <v/>
      </c>
      <c r="M140" s="47">
        <f>L140/$L$4</f>
        <v/>
      </c>
      <c r="N140" s="49">
        <f t="array" ref="N140">IFERROR(
SUM(
IF(
'PORTIFÓLIO'!$C$4:$C$564=$A140,
N(INDEX('PORTIFÓLIO'!$J$4:$Q$564,,MATCH(N$2,'PORTIFÓLIO'!$J$3:$Q$3,0))) *
N('PORTIFÓLIO'!$S$4:$S$564),
0
)
),
0)</f>
        <v/>
      </c>
      <c r="O140" s="49">
        <f>N140/$N$4</f>
        <v/>
      </c>
      <c r="P140" s="49">
        <f t="array" ref="P140">IFERROR(
SUM(
IF(
'PORTIFÓLIO'!$C$4:$C$564=$A140,
N(INDEX('PORTIFÓLIO'!$J$4:$Q$564,,MATCH(P$2,'PORTIFÓLIO'!$J$3:$Q$3,0))) *
N('PORTIFÓLIO'!$S$4:$S$564),
0
)
),
0)</f>
        <v/>
      </c>
      <c r="Q140" s="49">
        <f>P140/$P$4</f>
        <v/>
      </c>
      <c r="R140" s="49">
        <f>SUM(P140,N140,L140,J140,H140,D140,B140)</f>
        <v/>
      </c>
      <c r="S140" s="49">
        <f>R140/$R$4</f>
        <v/>
      </c>
    </row>
    <row r="141" hidden="1" outlineLevel="1" ht="15.75" customHeight="1" s="297">
      <c r="A141" s="48">
        <f>IFERROR(__xludf.DUMMYFUNCTION("""COMPUTED_VALUE"""),"TEBUCO A NORTOX")</f>
        <v/>
      </c>
      <c r="B141" s="49">
        <f t="array" ref="B141">IFERROR(
SUM(
IF(
'PORTIFÓLIO'!$C$4:$C$564=$A141,
N(INDEX('PORTIFÓLIO'!$J$4:$Q$564,,MATCH(B$2,'PORTIFÓLIO'!$J$3:$Q$3,0))) *
N('PORTIFÓLIO'!$S$4:$S$564),
0
)
),
0)</f>
        <v/>
      </c>
      <c r="C141" s="49">
        <f>B141/$B$4</f>
        <v/>
      </c>
      <c r="D141" s="49">
        <f t="array" ref="D141">IFERROR(
SUM(
IF(
'PORTIFÓLIO'!$C$4:$C$564=$A141,
N(INDEX('PORTIFÓLIO'!$J$4:$Q$564,,MATCH(D$2,'PORTIFÓLIO'!$J$3:$Q$3,0))) *
N('PORTIFÓLIO'!$S$4:$S$564),
0
)
),
0)</f>
        <v/>
      </c>
      <c r="E141" s="49">
        <f>D141/$D$4</f>
        <v/>
      </c>
      <c r="F141" s="49">
        <f t="array" ref="F141">IFERROR(
SUM(
IF(
'PORTIFÓLIO'!$C$4:$C$564=$A141,
N(INDEX('PORTIFÓLIO'!$J$4:$Q$564,,MATCH(F$2,'PORTIFÓLIO'!$J$3:$Q$3,0))) *
N('PORTIFÓLIO'!$S$4:$S$564),
0
)
),
0)</f>
        <v/>
      </c>
      <c r="G141" s="47">
        <f>F141/$F$4</f>
        <v/>
      </c>
      <c r="H141" s="49">
        <f t="array" ref="H141">IFERROR(
SUM(
IF(
'PORTIFÓLIO'!$C$4:$C$564=$A141,
N(INDEX('PORTIFÓLIO'!$J$4:$Q$564,,MATCH(H$2,'PORTIFÓLIO'!$J$3:$Q$3,0))) *
N('PORTIFÓLIO'!$S$4:$S$564),
0
)
),
0)</f>
        <v/>
      </c>
      <c r="I141" s="47">
        <f>H141/$H$4</f>
        <v/>
      </c>
      <c r="J141" s="49">
        <f t="array" ref="J141">IFERROR(
SUM(
IF(
'PORTIFÓLIO'!$C$4:$C$564=$A141,
N(INDEX('PORTIFÓLIO'!$J$4:$Q$564,,MATCH(J$2,'PORTIFÓLIO'!$J$3:$Q$3,0))) *
N('PORTIFÓLIO'!$S$4:$S$564),
0
)
),
0)</f>
        <v/>
      </c>
      <c r="K141" s="47">
        <f>J141/$J$4</f>
        <v/>
      </c>
      <c r="L141" s="49">
        <f t="array" ref="L141">IFERROR(
SUM(
IF(
'PORTIFÓLIO'!$C$4:$C$564=$A141,
N(INDEX('PORTIFÓLIO'!$J$4:$Q$564,,MATCH(L$2,'PORTIFÓLIO'!$J$3:$Q$3,0))) *
N('PORTIFÓLIO'!$S$4:$S$564),
0
)
),
0)</f>
        <v/>
      </c>
      <c r="M141" s="47">
        <f>L141/$L$4</f>
        <v/>
      </c>
      <c r="N141" s="49">
        <f t="array" ref="N141">IFERROR(
SUM(
IF(
'PORTIFÓLIO'!$C$4:$C$564=$A141,
N(INDEX('PORTIFÓLIO'!$J$4:$Q$564,,MATCH(N$2,'PORTIFÓLIO'!$J$3:$Q$3,0))) *
N('PORTIFÓLIO'!$S$4:$S$564),
0
)
),
0)</f>
        <v/>
      </c>
      <c r="O141" s="49">
        <f>N141/$N$4</f>
        <v/>
      </c>
      <c r="P141" s="49">
        <f t="array" ref="P141">IFERROR(
SUM(
IF(
'PORTIFÓLIO'!$C$4:$C$564=$A141,
N(INDEX('PORTIFÓLIO'!$J$4:$Q$564,,MATCH(P$2,'PORTIFÓLIO'!$J$3:$Q$3,0))) *
N('PORTIFÓLIO'!$S$4:$S$564),
0
)
),
0)</f>
        <v/>
      </c>
      <c r="Q141" s="49">
        <f>P141/$P$4</f>
        <v/>
      </c>
      <c r="R141" s="49">
        <f>SUM(P141,N141,L141,J141,H141,D141,B141)</f>
        <v/>
      </c>
      <c r="S141" s="49">
        <f>R141/$R$4</f>
        <v/>
      </c>
    </row>
    <row r="142" hidden="1" outlineLevel="1" ht="15.75" customHeight="1" s="297">
      <c r="A142" s="48">
        <f>IFERROR(__xludf.DUMMYFUNCTION("""COMPUTED_VALUE"""),"TIOFANATO NORTOX")</f>
        <v/>
      </c>
      <c r="B142" s="49">
        <f t="array" ref="B142">IFERROR(
SUM(
IF(
'PORTIFÓLIO'!$C$4:$C$564=$A142,
N(INDEX('PORTIFÓLIO'!$J$4:$Q$564,,MATCH(B$2,'PORTIFÓLIO'!$J$3:$Q$3,0))) *
N('PORTIFÓLIO'!$S$4:$S$564),
0
)
),
0)</f>
        <v/>
      </c>
      <c r="C142" s="49">
        <f>B142/$B$4</f>
        <v/>
      </c>
      <c r="D142" s="49">
        <f t="array" ref="D142">IFERROR(
SUM(
IF(
'PORTIFÓLIO'!$C$4:$C$564=$A142,
N(INDEX('PORTIFÓLIO'!$J$4:$Q$564,,MATCH(D$2,'PORTIFÓLIO'!$J$3:$Q$3,0))) *
N('PORTIFÓLIO'!$S$4:$S$564),
0
)
),
0)</f>
        <v/>
      </c>
      <c r="E142" s="49">
        <f>D142/$D$4</f>
        <v/>
      </c>
      <c r="F142" s="49">
        <f t="array" ref="F142">IFERROR(
SUM(
IF(
'PORTIFÓLIO'!$C$4:$C$564=$A142,
N(INDEX('PORTIFÓLIO'!$J$4:$Q$564,,MATCH(F$2,'PORTIFÓLIO'!$J$3:$Q$3,0))) *
N('PORTIFÓLIO'!$S$4:$S$564),
0
)
),
0)</f>
        <v/>
      </c>
      <c r="G142" s="47">
        <f>F142/$F$4</f>
        <v/>
      </c>
      <c r="H142" s="49">
        <f t="array" ref="H142">IFERROR(
SUM(
IF(
'PORTIFÓLIO'!$C$4:$C$564=$A142,
N(INDEX('PORTIFÓLIO'!$J$4:$Q$564,,MATCH(H$2,'PORTIFÓLIO'!$J$3:$Q$3,0))) *
N('PORTIFÓLIO'!$S$4:$S$564),
0
)
),
0)</f>
        <v/>
      </c>
      <c r="I142" s="47">
        <f>H142/$H$4</f>
        <v/>
      </c>
      <c r="J142" s="49">
        <f t="array" ref="J142">IFERROR(
SUM(
IF(
'PORTIFÓLIO'!$C$4:$C$564=$A142,
N(INDEX('PORTIFÓLIO'!$J$4:$Q$564,,MATCH(J$2,'PORTIFÓLIO'!$J$3:$Q$3,0))) *
N('PORTIFÓLIO'!$S$4:$S$564),
0
)
),
0)</f>
        <v/>
      </c>
      <c r="K142" s="47">
        <f>J142/$J$4</f>
        <v/>
      </c>
      <c r="L142" s="49">
        <f t="array" ref="L142">IFERROR(
SUM(
IF(
'PORTIFÓLIO'!$C$4:$C$564=$A142,
N(INDEX('PORTIFÓLIO'!$J$4:$Q$564,,MATCH(L$2,'PORTIFÓLIO'!$J$3:$Q$3,0))) *
N('PORTIFÓLIO'!$S$4:$S$564),
0
)
),
0)</f>
        <v/>
      </c>
      <c r="M142" s="47">
        <f>L142/$L$4</f>
        <v/>
      </c>
      <c r="N142" s="49">
        <f t="array" ref="N142">IFERROR(
SUM(
IF(
'PORTIFÓLIO'!$C$4:$C$564=$A142,
N(INDEX('PORTIFÓLIO'!$J$4:$Q$564,,MATCH(N$2,'PORTIFÓLIO'!$J$3:$Q$3,0))) *
N('PORTIFÓLIO'!$S$4:$S$564),
0
)
),
0)</f>
        <v/>
      </c>
      <c r="O142" s="49">
        <f>N142/$N$4</f>
        <v/>
      </c>
      <c r="P142" s="49">
        <f t="array" ref="P142">IFERROR(
SUM(
IF(
'PORTIFÓLIO'!$C$4:$C$564=$A142,
N(INDEX('PORTIFÓLIO'!$J$4:$Q$564,,MATCH(P$2,'PORTIFÓLIO'!$J$3:$Q$3,0))) *
N('PORTIFÓLIO'!$S$4:$S$564),
0
)
),
0)</f>
        <v/>
      </c>
      <c r="Q142" s="49">
        <f>P142/$P$4</f>
        <v/>
      </c>
      <c r="R142" s="49">
        <f>SUM(P142,N142,L142,J142,H142,D142,B142)</f>
        <v/>
      </c>
      <c r="S142" s="49">
        <f>R142/$R$4</f>
        <v/>
      </c>
    </row>
    <row r="143" hidden="1" outlineLevel="1" ht="15.75" customHeight="1" s="297">
      <c r="A143" s="48">
        <f>IFERROR(__xludf.DUMMYFUNCTION("""COMPUTED_VALUE"""),"ACADEMIC")</f>
        <v/>
      </c>
      <c r="B143" s="49">
        <f t="array" ref="B143">IFERROR(
SUM(
IF(
'PORTIFÓLIO'!$C$4:$C$564=$A143,
N(INDEX('PORTIFÓLIO'!$J$4:$Q$564,,MATCH(B$2,'PORTIFÓLIO'!$J$3:$Q$3,0))) *
N('PORTIFÓLIO'!$S$4:$S$564),
0
)
),
0)</f>
        <v/>
      </c>
      <c r="C143" s="49">
        <f>B143/$B$4</f>
        <v/>
      </c>
      <c r="D143" s="49">
        <f t="array" ref="D143">IFERROR(
SUM(
IF(
'PORTIFÓLIO'!$C$4:$C$564=$A143,
N(INDEX('PORTIFÓLIO'!$J$4:$Q$564,,MATCH(D$2,'PORTIFÓLIO'!$J$3:$Q$3,0))) *
N('PORTIFÓLIO'!$S$4:$S$564),
0
)
),
0)</f>
        <v/>
      </c>
      <c r="E143" s="49">
        <f>D143/$D$4</f>
        <v/>
      </c>
      <c r="F143" s="49">
        <f t="array" ref="F143">IFERROR(
SUM(
IF(
'PORTIFÓLIO'!$C$4:$C$564=$A143,
N(INDEX('PORTIFÓLIO'!$J$4:$Q$564,,MATCH(F$2,'PORTIFÓLIO'!$J$3:$Q$3,0))) *
N('PORTIFÓLIO'!$S$4:$S$564),
0
)
),
0)</f>
        <v/>
      </c>
      <c r="G143" s="47">
        <f>F143/$F$4</f>
        <v/>
      </c>
      <c r="H143" s="49">
        <f t="array" ref="H143">IFERROR(
SUM(
IF(
'PORTIFÓLIO'!$C$4:$C$564=$A143,
N(INDEX('PORTIFÓLIO'!$J$4:$Q$564,,MATCH(H$2,'PORTIFÓLIO'!$J$3:$Q$3,0))) *
N('PORTIFÓLIO'!$S$4:$S$564),
0
)
),
0)</f>
        <v/>
      </c>
      <c r="I143" s="47">
        <f>H143/$H$4</f>
        <v/>
      </c>
      <c r="J143" s="49">
        <f t="array" ref="J143">IFERROR(
SUM(
IF(
'PORTIFÓLIO'!$C$4:$C$564=$A143,
N(INDEX('PORTIFÓLIO'!$J$4:$Q$564,,MATCH(J$2,'PORTIFÓLIO'!$J$3:$Q$3,0))) *
N('PORTIFÓLIO'!$S$4:$S$564),
0
)
),
0)</f>
        <v/>
      </c>
      <c r="K143" s="47">
        <f>J143/$J$4</f>
        <v/>
      </c>
      <c r="L143" s="49">
        <f t="array" ref="L143">IFERROR(
SUM(
IF(
'PORTIFÓLIO'!$C$4:$C$564=$A143,
N(INDEX('PORTIFÓLIO'!$J$4:$Q$564,,MATCH(L$2,'PORTIFÓLIO'!$J$3:$Q$3,0))) *
N('PORTIFÓLIO'!$S$4:$S$564),
0
)
),
0)</f>
        <v/>
      </c>
      <c r="M143" s="47">
        <f>L143/$L$4</f>
        <v/>
      </c>
      <c r="N143" s="49">
        <f t="array" ref="N143">IFERROR(
SUM(
IF(
'PORTIFÓLIO'!$C$4:$C$564=$A143,
N(INDEX('PORTIFÓLIO'!$J$4:$Q$564,,MATCH(N$2,'PORTIFÓLIO'!$J$3:$Q$3,0))) *
N('PORTIFÓLIO'!$S$4:$S$564),
0
)
),
0)</f>
        <v/>
      </c>
      <c r="O143" s="49">
        <f>N143/$N$4</f>
        <v/>
      </c>
      <c r="P143" s="49">
        <f t="array" ref="P143">IFERROR(
SUM(
IF(
'PORTIFÓLIO'!$C$4:$C$564=$A143,
N(INDEX('PORTIFÓLIO'!$J$4:$Q$564,,MATCH(P$2,'PORTIFÓLIO'!$J$3:$Q$3,0))) *
N('PORTIFÓLIO'!$S$4:$S$564),
0
)
),
0)</f>
        <v/>
      </c>
      <c r="Q143" s="49">
        <f>P143/$P$4</f>
        <v/>
      </c>
      <c r="R143" s="49">
        <f>SUM(P143,N143,L143,J143,H143,D143,B143)</f>
        <v/>
      </c>
      <c r="S143" s="49">
        <f>R143/$R$4</f>
        <v/>
      </c>
    </row>
    <row r="144" hidden="1" outlineLevel="1" ht="15.75" customHeight="1" s="297">
      <c r="A144" s="48">
        <f>IFERROR(__xludf.DUMMYFUNCTION("""COMPUTED_VALUE"""),"BRISA WG")</f>
        <v/>
      </c>
      <c r="B144" s="49">
        <f t="array" ref="B144">IFERROR(
SUM(
IF(
'PORTIFÓLIO'!$C$4:$C$564=$A144,
N(INDEX('PORTIFÓLIO'!$J$4:$Q$564,,MATCH(B$2,'PORTIFÓLIO'!$J$3:$Q$3,0))) *
N('PORTIFÓLIO'!$S$4:$S$564),
0
)
),
0)</f>
        <v/>
      </c>
      <c r="C144" s="49">
        <f>B144/$B$4</f>
        <v/>
      </c>
      <c r="D144" s="49">
        <f t="array" ref="D144">IFERROR(
SUM(
IF(
'PORTIFÓLIO'!$C$4:$C$564=$A144,
N(INDEX('PORTIFÓLIO'!$J$4:$Q$564,,MATCH(D$2,'PORTIFÓLIO'!$J$3:$Q$3,0))) *
N('PORTIFÓLIO'!$S$4:$S$564),
0
)
),
0)</f>
        <v/>
      </c>
      <c r="E144" s="49">
        <f>D144/$D$4</f>
        <v/>
      </c>
      <c r="F144" s="49">
        <f t="array" ref="F144">IFERROR(
SUM(
IF(
'PORTIFÓLIO'!$C$4:$C$564=$A144,
N(INDEX('PORTIFÓLIO'!$J$4:$Q$564,,MATCH(F$2,'PORTIFÓLIO'!$J$3:$Q$3,0))) *
N('PORTIFÓLIO'!$S$4:$S$564),
0
)
),
0)</f>
        <v/>
      </c>
      <c r="G144" s="47">
        <f>F144/$F$4</f>
        <v/>
      </c>
      <c r="H144" s="49">
        <f t="array" ref="H144">IFERROR(
SUM(
IF(
'PORTIFÓLIO'!$C$4:$C$564=$A144,
N(INDEX('PORTIFÓLIO'!$J$4:$Q$564,,MATCH(H$2,'PORTIFÓLIO'!$J$3:$Q$3,0))) *
N('PORTIFÓLIO'!$S$4:$S$564),
0
)
),
0)</f>
        <v/>
      </c>
      <c r="I144" s="47">
        <f>H144/$H$4</f>
        <v/>
      </c>
      <c r="J144" s="49">
        <f t="array" ref="J144">IFERROR(
SUM(
IF(
'PORTIFÓLIO'!$C$4:$C$564=$A144,
N(INDEX('PORTIFÓLIO'!$J$4:$Q$564,,MATCH(J$2,'PORTIFÓLIO'!$J$3:$Q$3,0))) *
N('PORTIFÓLIO'!$S$4:$S$564),
0
)
),
0)</f>
        <v/>
      </c>
      <c r="K144" s="47">
        <f>J144/$J$4</f>
        <v/>
      </c>
      <c r="L144" s="49">
        <f t="array" ref="L144">IFERROR(
SUM(
IF(
'PORTIFÓLIO'!$C$4:$C$564=$A144,
N(INDEX('PORTIFÓLIO'!$J$4:$Q$564,,MATCH(L$2,'PORTIFÓLIO'!$J$3:$Q$3,0))) *
N('PORTIFÓLIO'!$S$4:$S$564),
0
)
),
0)</f>
        <v/>
      </c>
      <c r="M144" s="47">
        <f>L144/$L$4</f>
        <v/>
      </c>
      <c r="N144" s="49">
        <f t="array" ref="N144">IFERROR(
SUM(
IF(
'PORTIFÓLIO'!$C$4:$C$564=$A144,
N(INDEX('PORTIFÓLIO'!$J$4:$Q$564,,MATCH(N$2,'PORTIFÓLIO'!$J$3:$Q$3,0))) *
N('PORTIFÓLIO'!$S$4:$S$564),
0
)
),
0)</f>
        <v/>
      </c>
      <c r="O144" s="49">
        <f>N144/$N$4</f>
        <v/>
      </c>
      <c r="P144" s="49">
        <f t="array" ref="P144">IFERROR(
SUM(
IF(
'PORTIFÓLIO'!$C$4:$C$564=$A144,
N(INDEX('PORTIFÓLIO'!$J$4:$Q$564,,MATCH(P$2,'PORTIFÓLIO'!$J$3:$Q$3,0))) *
N('PORTIFÓLIO'!$S$4:$S$564),
0
)
),
0)</f>
        <v/>
      </c>
      <c r="Q144" s="49">
        <f>P144/$P$4</f>
        <v/>
      </c>
      <c r="R144" s="49">
        <f>SUM(P144,N144,L144,J144,H144,D144,B144)</f>
        <v/>
      </c>
      <c r="S144" s="49">
        <f>R144/$R$4</f>
        <v/>
      </c>
    </row>
    <row r="145" hidden="1" outlineLevel="1" ht="15.75" customHeight="1" s="297">
      <c r="A145" s="48">
        <f>IFERROR(__xludf.DUMMYFUNCTION("""COMPUTED_VALUE"""),"CUPROZEB")</f>
        <v/>
      </c>
      <c r="B145" s="49">
        <f t="array" ref="B145">IFERROR(
SUM(
IF(
'PORTIFÓLIO'!$C$4:$C$564=$A145,
N(INDEX('PORTIFÓLIO'!$J$4:$Q$564,,MATCH(B$2,'PORTIFÓLIO'!$J$3:$Q$3,0))) *
N('PORTIFÓLIO'!$S$4:$S$564),
0
)
),
0)</f>
        <v/>
      </c>
      <c r="C145" s="49">
        <f>B145/$B$4</f>
        <v/>
      </c>
      <c r="D145" s="49">
        <f t="array" ref="D145">IFERROR(
SUM(
IF(
'PORTIFÓLIO'!$C$4:$C$564=$A145,
N(INDEX('PORTIFÓLIO'!$J$4:$Q$564,,MATCH(D$2,'PORTIFÓLIO'!$J$3:$Q$3,0))) *
N('PORTIFÓLIO'!$S$4:$S$564),
0
)
),
0)</f>
        <v/>
      </c>
      <c r="E145" s="49">
        <f>D145/$D$4</f>
        <v/>
      </c>
      <c r="F145" s="49">
        <f t="array" ref="F145">IFERROR(
SUM(
IF(
'PORTIFÓLIO'!$C$4:$C$564=$A145,
N(INDEX('PORTIFÓLIO'!$J$4:$Q$564,,MATCH(F$2,'PORTIFÓLIO'!$J$3:$Q$3,0))) *
N('PORTIFÓLIO'!$S$4:$S$564),
0
)
),
0)</f>
        <v/>
      </c>
      <c r="G145" s="47">
        <f>F145/$F$4</f>
        <v/>
      </c>
      <c r="H145" s="49">
        <f t="array" ref="H145">IFERROR(
SUM(
IF(
'PORTIFÓLIO'!$C$4:$C$564=$A145,
N(INDEX('PORTIFÓLIO'!$J$4:$Q$564,,MATCH(H$2,'PORTIFÓLIO'!$J$3:$Q$3,0))) *
N('PORTIFÓLIO'!$S$4:$S$564),
0
)
),
0)</f>
        <v/>
      </c>
      <c r="I145" s="47">
        <f>H145/$H$4</f>
        <v/>
      </c>
      <c r="J145" s="49">
        <f t="array" ref="J145">IFERROR(
SUM(
IF(
'PORTIFÓLIO'!$C$4:$C$564=$A145,
N(INDEX('PORTIFÓLIO'!$J$4:$Q$564,,MATCH(J$2,'PORTIFÓLIO'!$J$3:$Q$3,0))) *
N('PORTIFÓLIO'!$S$4:$S$564),
0
)
),
0)</f>
        <v/>
      </c>
      <c r="K145" s="47">
        <f>J145/$J$4</f>
        <v/>
      </c>
      <c r="L145" s="49">
        <f t="array" ref="L145">IFERROR(
SUM(
IF(
'PORTIFÓLIO'!$C$4:$C$564=$A145,
N(INDEX('PORTIFÓLIO'!$J$4:$Q$564,,MATCH(L$2,'PORTIFÓLIO'!$J$3:$Q$3,0))) *
N('PORTIFÓLIO'!$S$4:$S$564),
0
)
),
0)</f>
        <v/>
      </c>
      <c r="M145" s="47">
        <f>L145/$L$4</f>
        <v/>
      </c>
      <c r="N145" s="49">
        <f t="array" ref="N145">IFERROR(
SUM(
IF(
'PORTIFÓLIO'!$C$4:$C$564=$A145,
N(INDEX('PORTIFÓLIO'!$J$4:$Q$564,,MATCH(N$2,'PORTIFÓLIO'!$J$3:$Q$3,0))) *
N('PORTIFÓLIO'!$S$4:$S$564),
0
)
),
0)</f>
        <v/>
      </c>
      <c r="O145" s="49">
        <f>N145/$N$4</f>
        <v/>
      </c>
      <c r="P145" s="49">
        <f t="array" ref="P145">IFERROR(
SUM(
IF(
'PORTIFÓLIO'!$C$4:$C$564=$A145,
N(INDEX('PORTIFÓLIO'!$J$4:$Q$564,,MATCH(P$2,'PORTIFÓLIO'!$J$3:$Q$3,0))) *
N('PORTIFÓLIO'!$S$4:$S$564),
0
)
),
0)</f>
        <v/>
      </c>
      <c r="Q145" s="49">
        <f>P145/$P$4</f>
        <v/>
      </c>
      <c r="R145" s="49">
        <f>SUM(P145,N145,L145,J145,H145,D145,B145)</f>
        <v/>
      </c>
      <c r="S145" s="49">
        <f>R145/$R$4</f>
        <v/>
      </c>
    </row>
    <row r="146" hidden="1" outlineLevel="1" ht="15.75" customHeight="1" s="297">
      <c r="A146" s="48">
        <f>IFERROR(__xludf.DUMMYFUNCTION("""COMPUTED_VALUE"""),"SUPPORT WG")</f>
        <v/>
      </c>
      <c r="B146" s="49">
        <f t="array" ref="B146">IFERROR(
SUM(
IF(
'PORTIFÓLIO'!$C$4:$C$564=$A146,
N(INDEX('PORTIFÓLIO'!$J$4:$Q$564,,MATCH(B$2,'PORTIFÓLIO'!$J$3:$Q$3,0))) *
N('PORTIFÓLIO'!$S$4:$S$564),
0
)
),
0)</f>
        <v/>
      </c>
      <c r="C146" s="49">
        <f>B146/$B$4</f>
        <v/>
      </c>
      <c r="D146" s="49">
        <f t="array" ref="D146">IFERROR(
SUM(
IF(
'PORTIFÓLIO'!$C$4:$C$564=$A146,
N(INDEX('PORTIFÓLIO'!$J$4:$Q$564,,MATCH(D$2,'PORTIFÓLIO'!$J$3:$Q$3,0))) *
N('PORTIFÓLIO'!$S$4:$S$564),
0
)
),
0)</f>
        <v/>
      </c>
      <c r="E146" s="49">
        <f>D146/$D$4</f>
        <v/>
      </c>
      <c r="F146" s="49">
        <f t="array" ref="F146">IFERROR(
SUM(
IF(
'PORTIFÓLIO'!$C$4:$C$564=$A146,
N(INDEX('PORTIFÓLIO'!$J$4:$Q$564,,MATCH(F$2,'PORTIFÓLIO'!$J$3:$Q$3,0))) *
N('PORTIFÓLIO'!$S$4:$S$564),
0
)
),
0)</f>
        <v/>
      </c>
      <c r="G146" s="47">
        <f>F146/$F$4</f>
        <v/>
      </c>
      <c r="H146" s="49">
        <f t="array" ref="H146">IFERROR(
SUM(
IF(
'PORTIFÓLIO'!$C$4:$C$564=$A146,
N(INDEX('PORTIFÓLIO'!$J$4:$Q$564,,MATCH(H$2,'PORTIFÓLIO'!$J$3:$Q$3,0))) *
N('PORTIFÓLIO'!$S$4:$S$564),
0
)
),
0)</f>
        <v/>
      </c>
      <c r="I146" s="47">
        <f>H146/$H$4</f>
        <v/>
      </c>
      <c r="J146" s="49">
        <f t="array" ref="J146">IFERROR(
SUM(
IF(
'PORTIFÓLIO'!$C$4:$C$564=$A146,
N(INDEX('PORTIFÓLIO'!$J$4:$Q$564,,MATCH(J$2,'PORTIFÓLIO'!$J$3:$Q$3,0))) *
N('PORTIFÓLIO'!$S$4:$S$564),
0
)
),
0)</f>
        <v/>
      </c>
      <c r="K146" s="47">
        <f>J146/$J$4</f>
        <v/>
      </c>
      <c r="L146" s="49">
        <f t="array" ref="L146">IFERROR(
SUM(
IF(
'PORTIFÓLIO'!$C$4:$C$564=$A146,
N(INDEX('PORTIFÓLIO'!$J$4:$Q$564,,MATCH(L$2,'PORTIFÓLIO'!$J$3:$Q$3,0))) *
N('PORTIFÓLIO'!$S$4:$S$564),
0
)
),
0)</f>
        <v/>
      </c>
      <c r="M146" s="47">
        <f>L146/$L$4</f>
        <v/>
      </c>
      <c r="N146" s="49">
        <f t="array" ref="N146">IFERROR(
SUM(
IF(
'PORTIFÓLIO'!$C$4:$C$564=$A146,
N(INDEX('PORTIFÓLIO'!$J$4:$Q$564,,MATCH(N$2,'PORTIFÓLIO'!$J$3:$Q$3,0))) *
N('PORTIFÓLIO'!$S$4:$S$564),
0
)
),
0)</f>
        <v/>
      </c>
      <c r="O146" s="49">
        <f>N146/$N$4</f>
        <v/>
      </c>
      <c r="P146" s="49">
        <f t="array" ref="P146">IFERROR(
SUM(
IF(
'PORTIFÓLIO'!$C$4:$C$564=$A146,
N(INDEX('PORTIFÓLIO'!$J$4:$Q$564,,MATCH(P$2,'PORTIFÓLIO'!$J$3:$Q$3,0))) *
N('PORTIFÓLIO'!$S$4:$S$564),
0
)
),
0)</f>
        <v/>
      </c>
      <c r="Q146" s="49">
        <f>P146/$P$4</f>
        <v/>
      </c>
      <c r="R146" s="49">
        <f>SUM(P146,N146,L146,J146,H146,D146,B146)</f>
        <v/>
      </c>
      <c r="S146" s="49">
        <f>R146/$R$4</f>
        <v/>
      </c>
    </row>
    <row r="147" hidden="1" outlineLevel="1" ht="15.75" customHeight="1" s="297">
      <c r="A147" s="48">
        <f>IFERROR(__xludf.DUMMYFUNCTION("""COMPUTED_VALUE"""),"VITENE")</f>
        <v/>
      </c>
      <c r="B147" s="49">
        <f t="array" ref="B147">IFERROR(
SUM(
IF(
'PORTIFÓLIO'!$C$4:$C$564=$A147,
N(INDEX('PORTIFÓLIO'!$J$4:$Q$564,,MATCH(B$2,'PORTIFÓLIO'!$J$3:$Q$3,0))) *
N('PORTIFÓLIO'!$S$4:$S$564),
0
)
),
0)</f>
        <v/>
      </c>
      <c r="C147" s="49">
        <f>B147/$B$4</f>
        <v/>
      </c>
      <c r="D147" s="49">
        <f t="array" ref="D147">IFERROR(
SUM(
IF(
'PORTIFÓLIO'!$C$4:$C$564=$A147,
N(INDEX('PORTIFÓLIO'!$J$4:$Q$564,,MATCH(D$2,'PORTIFÓLIO'!$J$3:$Q$3,0))) *
N('PORTIFÓLIO'!$S$4:$S$564),
0
)
),
0)</f>
        <v/>
      </c>
      <c r="E147" s="49">
        <f>D147/$D$4</f>
        <v/>
      </c>
      <c r="F147" s="49">
        <f t="array" ref="F147">IFERROR(
SUM(
IF(
'PORTIFÓLIO'!$C$4:$C$564=$A147,
N(INDEX('PORTIFÓLIO'!$J$4:$Q$564,,MATCH(F$2,'PORTIFÓLIO'!$J$3:$Q$3,0))) *
N('PORTIFÓLIO'!$S$4:$S$564),
0
)
),
0)</f>
        <v/>
      </c>
      <c r="G147" s="47">
        <f>F147/$F$4</f>
        <v/>
      </c>
      <c r="H147" s="49">
        <f t="array" ref="H147">IFERROR(
SUM(
IF(
'PORTIFÓLIO'!$C$4:$C$564=$A147,
N(INDEX('PORTIFÓLIO'!$J$4:$Q$564,,MATCH(H$2,'PORTIFÓLIO'!$J$3:$Q$3,0))) *
N('PORTIFÓLIO'!$S$4:$S$564),
0
)
),
0)</f>
        <v/>
      </c>
      <c r="I147" s="47">
        <f>H147/$H$4</f>
        <v/>
      </c>
      <c r="J147" s="49">
        <f t="array" ref="J147">IFERROR(
SUM(
IF(
'PORTIFÓLIO'!$C$4:$C$564=$A147,
N(INDEX('PORTIFÓLIO'!$J$4:$Q$564,,MATCH(J$2,'PORTIFÓLIO'!$J$3:$Q$3,0))) *
N('PORTIFÓLIO'!$S$4:$S$564),
0
)
),
0)</f>
        <v/>
      </c>
      <c r="K147" s="47">
        <f>J147/$J$4</f>
        <v/>
      </c>
      <c r="L147" s="49">
        <f t="array" ref="L147">IFERROR(
SUM(
IF(
'PORTIFÓLIO'!$C$4:$C$564=$A147,
N(INDEX('PORTIFÓLIO'!$J$4:$Q$564,,MATCH(L$2,'PORTIFÓLIO'!$J$3:$Q$3,0))) *
N('PORTIFÓLIO'!$S$4:$S$564),
0
)
),
0)</f>
        <v/>
      </c>
      <c r="M147" s="47">
        <f>L147/$L$4</f>
        <v/>
      </c>
      <c r="N147" s="49">
        <f t="array" ref="N147">IFERROR(
SUM(
IF(
'PORTIFÓLIO'!$C$4:$C$564=$A147,
N(INDEX('PORTIFÓLIO'!$J$4:$Q$564,,MATCH(N$2,'PORTIFÓLIO'!$J$3:$Q$3,0))) *
N('PORTIFÓLIO'!$S$4:$S$564),
0
)
),
0)</f>
        <v/>
      </c>
      <c r="O147" s="49">
        <f>N147/$N$4</f>
        <v/>
      </c>
      <c r="P147" s="49">
        <f t="array" ref="P147">IFERROR(
SUM(
IF(
'PORTIFÓLIO'!$C$4:$C$564=$A147,
N(INDEX('PORTIFÓLIO'!$J$4:$Q$564,,MATCH(P$2,'PORTIFÓLIO'!$J$3:$Q$3,0))) *
N('PORTIFÓLIO'!$S$4:$S$564),
0
)
),
0)</f>
        <v/>
      </c>
      <c r="Q147" s="49">
        <f>P147/$P$4</f>
        <v/>
      </c>
      <c r="R147" s="49">
        <f>SUM(P147,N147,L147,J147,H147,D147,B147)</f>
        <v/>
      </c>
      <c r="S147" s="49">
        <f>R147/$R$4</f>
        <v/>
      </c>
    </row>
    <row r="148" hidden="1" outlineLevel="1" ht="15.75" customHeight="1" s="297">
      <c r="A148" s="48">
        <f>IFERROR(__xludf.DUMMYFUNCTION("""COMPUTED_VALUE"""),"CARTAP BR 500")</f>
        <v/>
      </c>
      <c r="B148" s="49">
        <f t="array" ref="B148">IFERROR(
SUM(
IF(
'PORTIFÓLIO'!$C$4:$C$564=$A148,
N(INDEX('PORTIFÓLIO'!$J$4:$Q$564,,MATCH(B$2,'PORTIFÓLIO'!$J$3:$Q$3,0))) *
N('PORTIFÓLIO'!$S$4:$S$564),
0
)
),
0)</f>
        <v/>
      </c>
      <c r="C148" s="49">
        <f>B148/$B$4</f>
        <v/>
      </c>
      <c r="D148" s="49">
        <f t="array" ref="D148">IFERROR(
SUM(
IF(
'PORTIFÓLIO'!$C$4:$C$564=$A148,
N(INDEX('PORTIFÓLIO'!$J$4:$Q$564,,MATCH(D$2,'PORTIFÓLIO'!$J$3:$Q$3,0))) *
N('PORTIFÓLIO'!$S$4:$S$564),
0
)
),
0)</f>
        <v/>
      </c>
      <c r="E148" s="49">
        <f>D148/$D$4</f>
        <v/>
      </c>
      <c r="F148" s="49">
        <f t="array" ref="F148">IFERROR(
SUM(
IF(
'PORTIFÓLIO'!$C$4:$C$564=$A148,
N(INDEX('PORTIFÓLIO'!$J$4:$Q$564,,MATCH(F$2,'PORTIFÓLIO'!$J$3:$Q$3,0))) *
N('PORTIFÓLIO'!$S$4:$S$564),
0
)
),
0)</f>
        <v/>
      </c>
      <c r="G148" s="47">
        <f>F148/$F$4</f>
        <v/>
      </c>
      <c r="H148" s="49">
        <f t="array" ref="H148">IFERROR(
SUM(
IF(
'PORTIFÓLIO'!$C$4:$C$564=$A148,
N(INDEX('PORTIFÓLIO'!$J$4:$Q$564,,MATCH(H$2,'PORTIFÓLIO'!$J$3:$Q$3,0))) *
N('PORTIFÓLIO'!$S$4:$S$564),
0
)
),
0)</f>
        <v/>
      </c>
      <c r="I148" s="47">
        <f>H148/$H$4</f>
        <v/>
      </c>
      <c r="J148" s="49">
        <f t="array" ref="J148">IFERROR(
SUM(
IF(
'PORTIFÓLIO'!$C$4:$C$564=$A148,
N(INDEX('PORTIFÓLIO'!$J$4:$Q$564,,MATCH(J$2,'PORTIFÓLIO'!$J$3:$Q$3,0))) *
N('PORTIFÓLIO'!$S$4:$S$564),
0
)
),
0)</f>
        <v/>
      </c>
      <c r="K148" s="47">
        <f>J148/$J$4</f>
        <v/>
      </c>
      <c r="L148" s="49">
        <f t="array" ref="L148">IFERROR(
SUM(
IF(
'PORTIFÓLIO'!$C$4:$C$564=$A148,
N(INDEX('PORTIFÓLIO'!$J$4:$Q$564,,MATCH(L$2,'PORTIFÓLIO'!$J$3:$Q$3,0))) *
N('PORTIFÓLIO'!$S$4:$S$564),
0
)
),
0)</f>
        <v/>
      </c>
      <c r="M148" s="47">
        <f>L148/$L$4</f>
        <v/>
      </c>
      <c r="N148" s="49">
        <f t="array" ref="N148">IFERROR(
SUM(
IF(
'PORTIFÓLIO'!$C$4:$C$564=$A148,
N(INDEX('PORTIFÓLIO'!$J$4:$Q$564,,MATCH(N$2,'PORTIFÓLIO'!$J$3:$Q$3,0))) *
N('PORTIFÓLIO'!$S$4:$S$564),
0
)
),
0)</f>
        <v/>
      </c>
      <c r="O148" s="49">
        <f>N148/$N$4</f>
        <v/>
      </c>
      <c r="P148" s="49">
        <f t="array" ref="P148">IFERROR(
SUM(
IF(
'PORTIFÓLIO'!$C$4:$C$564=$A148,
N(INDEX('PORTIFÓLIO'!$J$4:$Q$564,,MATCH(P$2,'PORTIFÓLIO'!$J$3:$Q$3,0))) *
N('PORTIFÓLIO'!$S$4:$S$564),
0
)
),
0)</f>
        <v/>
      </c>
      <c r="Q148" s="49">
        <f>P148/$P$4</f>
        <v/>
      </c>
      <c r="R148" s="49">
        <f>SUM(P148,N148,L148,J148,H148,D148,B148)</f>
        <v/>
      </c>
      <c r="S148" s="49">
        <f>R148/$R$4</f>
        <v/>
      </c>
    </row>
    <row r="149" hidden="1" outlineLevel="1" ht="15.75" customHeight="1" s="297">
      <c r="A149" s="48">
        <f>IFERROR(__xludf.DUMMYFUNCTION("""COMPUTED_VALUE"""),"CURADO")</f>
        <v/>
      </c>
      <c r="B149" s="49">
        <f t="array" ref="B149">IFERROR(
SUM(
IF(
'PORTIFÓLIO'!$C$4:$C$564=$A149,
N(INDEX('PORTIFÓLIO'!$J$4:$Q$564,,MATCH(B$2,'PORTIFÓLIO'!$J$3:$Q$3,0))) *
N('PORTIFÓLIO'!$S$4:$S$564),
0
)
),
0)</f>
        <v/>
      </c>
      <c r="C149" s="49">
        <f>B149/$B$4</f>
        <v/>
      </c>
      <c r="D149" s="49">
        <f t="array" ref="D149">IFERROR(
SUM(
IF(
'PORTIFÓLIO'!$C$4:$C$564=$A149,
N(INDEX('PORTIFÓLIO'!$J$4:$Q$564,,MATCH(D$2,'PORTIFÓLIO'!$J$3:$Q$3,0))) *
N('PORTIFÓLIO'!$S$4:$S$564),
0
)
),
0)</f>
        <v/>
      </c>
      <c r="E149" s="49">
        <f>D149/$D$4</f>
        <v/>
      </c>
      <c r="F149" s="49">
        <f t="array" ref="F149">IFERROR(
SUM(
IF(
'PORTIFÓLIO'!$C$4:$C$564=$A149,
N(INDEX('PORTIFÓLIO'!$J$4:$Q$564,,MATCH(F$2,'PORTIFÓLIO'!$J$3:$Q$3,0))) *
N('PORTIFÓLIO'!$S$4:$S$564),
0
)
),
0)</f>
        <v/>
      </c>
      <c r="G149" s="47">
        <f>F149/$F$4</f>
        <v/>
      </c>
      <c r="H149" s="49">
        <f t="array" ref="H149">IFERROR(
SUM(
IF(
'PORTIFÓLIO'!$C$4:$C$564=$A149,
N(INDEX('PORTIFÓLIO'!$J$4:$Q$564,,MATCH(H$2,'PORTIFÓLIO'!$J$3:$Q$3,0))) *
N('PORTIFÓLIO'!$S$4:$S$564),
0
)
),
0)</f>
        <v/>
      </c>
      <c r="I149" s="47">
        <f>H149/$H$4</f>
        <v/>
      </c>
      <c r="J149" s="49">
        <f t="array" ref="J149">IFERROR(
SUM(
IF(
'PORTIFÓLIO'!$C$4:$C$564=$A149,
N(INDEX('PORTIFÓLIO'!$J$4:$Q$564,,MATCH(J$2,'PORTIFÓLIO'!$J$3:$Q$3,0))) *
N('PORTIFÓLIO'!$S$4:$S$564),
0
)
),
0)</f>
        <v/>
      </c>
      <c r="K149" s="47">
        <f>J149/$J$4</f>
        <v/>
      </c>
      <c r="L149" s="49">
        <f t="array" ref="L149">IFERROR(
SUM(
IF(
'PORTIFÓLIO'!$C$4:$C$564=$A149,
N(INDEX('PORTIFÓLIO'!$J$4:$Q$564,,MATCH(L$2,'PORTIFÓLIO'!$J$3:$Q$3,0))) *
N('PORTIFÓLIO'!$S$4:$S$564),
0
)
),
0)</f>
        <v/>
      </c>
      <c r="M149" s="47">
        <f>L149/$L$4</f>
        <v/>
      </c>
      <c r="N149" s="49">
        <f t="array" ref="N149">IFERROR(
SUM(
IF(
'PORTIFÓLIO'!$C$4:$C$564=$A149,
N(INDEX('PORTIFÓLIO'!$J$4:$Q$564,,MATCH(N$2,'PORTIFÓLIO'!$J$3:$Q$3,0))) *
N('PORTIFÓLIO'!$S$4:$S$564),
0
)
),
0)</f>
        <v/>
      </c>
      <c r="O149" s="49">
        <f>N149/$N$4</f>
        <v/>
      </c>
      <c r="P149" s="49">
        <f t="array" ref="P149">IFERROR(
SUM(
IF(
'PORTIFÓLIO'!$C$4:$C$564=$A149,
N(INDEX('PORTIFÓLIO'!$J$4:$Q$564,,MATCH(P$2,'PORTIFÓLIO'!$J$3:$Q$3,0))) *
N('PORTIFÓLIO'!$S$4:$S$564),
0
)
),
0)</f>
        <v/>
      </c>
      <c r="Q149" s="49">
        <f>P149/$P$4</f>
        <v/>
      </c>
      <c r="R149" s="49">
        <f>SUM(P149,N149,L149,J149,H149,D149,B149)</f>
        <v/>
      </c>
      <c r="S149" s="49">
        <f>R149/$R$4</f>
        <v/>
      </c>
    </row>
    <row r="150" hidden="1" outlineLevel="1" ht="15.75" customHeight="1" s="297">
      <c r="A150" s="48">
        <f>IFERROR(__xludf.DUMMYFUNCTION("""COMPUTED_VALUE"""),"EXCALIA MAX")</f>
        <v/>
      </c>
      <c r="B150" s="49">
        <f t="array" ref="B150">IFERROR(
SUM(
IF(
'PORTIFÓLIO'!$C$4:$C$564=$A150,
N(INDEX('PORTIFÓLIO'!$J$4:$Q$564,,MATCH(B$2,'PORTIFÓLIO'!$J$3:$Q$3,0))) *
N('PORTIFÓLIO'!$S$4:$S$564),
0
)
),
0)</f>
        <v/>
      </c>
      <c r="C150" s="49">
        <f>B150/$B$4</f>
        <v/>
      </c>
      <c r="D150" s="49">
        <f t="array" ref="D150">IFERROR(
SUM(
IF(
'PORTIFÓLIO'!$C$4:$C$564=$A150,
N(INDEX('PORTIFÓLIO'!$J$4:$Q$564,,MATCH(D$2,'PORTIFÓLIO'!$J$3:$Q$3,0))) *
N('PORTIFÓLIO'!$S$4:$S$564),
0
)
),
0)</f>
        <v/>
      </c>
      <c r="E150" s="49">
        <f>D150/$D$4</f>
        <v/>
      </c>
      <c r="F150" s="49">
        <f t="array" ref="F150">IFERROR(
SUM(
IF(
'PORTIFÓLIO'!$C$4:$C$564=$A150,
N(INDEX('PORTIFÓLIO'!$J$4:$Q$564,,MATCH(F$2,'PORTIFÓLIO'!$J$3:$Q$3,0))) *
N('PORTIFÓLIO'!$S$4:$S$564),
0
)
),
0)</f>
        <v/>
      </c>
      <c r="G150" s="47">
        <f>F150/$F$4</f>
        <v/>
      </c>
      <c r="H150" s="49">
        <f t="array" ref="H150">IFERROR(
SUM(
IF(
'PORTIFÓLIO'!$C$4:$C$564=$A150,
N(INDEX('PORTIFÓLIO'!$J$4:$Q$564,,MATCH(H$2,'PORTIFÓLIO'!$J$3:$Q$3,0))) *
N('PORTIFÓLIO'!$S$4:$S$564),
0
)
),
0)</f>
        <v/>
      </c>
      <c r="I150" s="47">
        <f>H150/$H$4</f>
        <v/>
      </c>
      <c r="J150" s="49">
        <f t="array" ref="J150">IFERROR(
SUM(
IF(
'PORTIFÓLIO'!$C$4:$C$564=$A150,
N(INDEX('PORTIFÓLIO'!$J$4:$Q$564,,MATCH(J$2,'PORTIFÓLIO'!$J$3:$Q$3,0))) *
N('PORTIFÓLIO'!$S$4:$S$564),
0
)
),
0)</f>
        <v/>
      </c>
      <c r="K150" s="47">
        <f>J150/$J$4</f>
        <v/>
      </c>
      <c r="L150" s="49">
        <f t="array" ref="L150">IFERROR(
SUM(
IF(
'PORTIFÓLIO'!$C$4:$C$564=$A150,
N(INDEX('PORTIFÓLIO'!$J$4:$Q$564,,MATCH(L$2,'PORTIFÓLIO'!$J$3:$Q$3,0))) *
N('PORTIFÓLIO'!$S$4:$S$564),
0
)
),
0)</f>
        <v/>
      </c>
      <c r="M150" s="47">
        <f>L150/$L$4</f>
        <v/>
      </c>
      <c r="N150" s="49">
        <f t="array" ref="N150">IFERROR(
SUM(
IF(
'PORTIFÓLIO'!$C$4:$C$564=$A150,
N(INDEX('PORTIFÓLIO'!$J$4:$Q$564,,MATCH(N$2,'PORTIFÓLIO'!$J$3:$Q$3,0))) *
N('PORTIFÓLIO'!$S$4:$S$564),
0
)
),
0)</f>
        <v/>
      </c>
      <c r="O150" s="49">
        <f>N150/$N$4</f>
        <v/>
      </c>
      <c r="P150" s="49">
        <f t="array" ref="P150">IFERROR(
SUM(
IF(
'PORTIFÓLIO'!$C$4:$C$564=$A150,
N(INDEX('PORTIFÓLIO'!$J$4:$Q$564,,MATCH(P$2,'PORTIFÓLIO'!$J$3:$Q$3,0))) *
N('PORTIFÓLIO'!$S$4:$S$564),
0
)
),
0)</f>
        <v/>
      </c>
      <c r="Q150" s="49">
        <f>P150/$P$4</f>
        <v/>
      </c>
      <c r="R150" s="49">
        <f>SUM(P150,N150,L150,J150,H150,D150,B150)</f>
        <v/>
      </c>
      <c r="S150" s="49">
        <f>R150/$R$4</f>
        <v/>
      </c>
    </row>
    <row r="151" hidden="1" outlineLevel="1" ht="15.75" customHeight="1" s="297">
      <c r="A151" s="48">
        <f>IFERROR(__xludf.DUMMYFUNCTION("""COMPUTED_VALUE"""),"PLADIUS")</f>
        <v/>
      </c>
      <c r="B151" s="49">
        <f t="array" ref="B151">IFERROR(
SUM(
IF(
'PORTIFÓLIO'!$C$4:$C$564=$A151,
N(INDEX('PORTIFÓLIO'!$J$4:$Q$564,,MATCH(B$2,'PORTIFÓLIO'!$J$3:$Q$3,0))) *
N('PORTIFÓLIO'!$S$4:$S$564),
0
)
),
0)</f>
        <v/>
      </c>
      <c r="C151" s="49">
        <f>B151/$B$4</f>
        <v/>
      </c>
      <c r="D151" s="49">
        <f t="array" ref="D151">IFERROR(
SUM(
IF(
'PORTIFÓLIO'!$C$4:$C$564=$A151,
N(INDEX('PORTIFÓLIO'!$J$4:$Q$564,,MATCH(D$2,'PORTIFÓLIO'!$J$3:$Q$3,0))) *
N('PORTIFÓLIO'!$S$4:$S$564),
0
)
),
0)</f>
        <v/>
      </c>
      <c r="E151" s="49">
        <f>D151/$D$4</f>
        <v/>
      </c>
      <c r="F151" s="49">
        <f t="array" ref="F151">IFERROR(
SUM(
IF(
'PORTIFÓLIO'!$C$4:$C$564=$A151,
N(INDEX('PORTIFÓLIO'!$J$4:$Q$564,,MATCH(F$2,'PORTIFÓLIO'!$J$3:$Q$3,0))) *
N('PORTIFÓLIO'!$S$4:$S$564),
0
)
),
0)</f>
        <v/>
      </c>
      <c r="G151" s="47">
        <f>F151/$F$4</f>
        <v/>
      </c>
      <c r="H151" s="49">
        <f t="array" ref="H151">IFERROR(
SUM(
IF(
'PORTIFÓLIO'!$C$4:$C$564=$A151,
N(INDEX('PORTIFÓLIO'!$J$4:$Q$564,,MATCH(H$2,'PORTIFÓLIO'!$J$3:$Q$3,0))) *
N('PORTIFÓLIO'!$S$4:$S$564),
0
)
),
0)</f>
        <v/>
      </c>
      <c r="I151" s="47">
        <f>H151/$H$4</f>
        <v/>
      </c>
      <c r="J151" s="49">
        <f t="array" ref="J151">IFERROR(
SUM(
IF(
'PORTIFÓLIO'!$C$4:$C$564=$A151,
N(INDEX('PORTIFÓLIO'!$J$4:$Q$564,,MATCH(J$2,'PORTIFÓLIO'!$J$3:$Q$3,0))) *
N('PORTIFÓLIO'!$S$4:$S$564),
0
)
),
0)</f>
        <v/>
      </c>
      <c r="K151" s="47">
        <f>J151/$J$4</f>
        <v/>
      </c>
      <c r="L151" s="49">
        <f t="array" ref="L151">IFERROR(
SUM(
IF(
'PORTIFÓLIO'!$C$4:$C$564=$A151,
N(INDEX('PORTIFÓLIO'!$J$4:$Q$564,,MATCH(L$2,'PORTIFÓLIO'!$J$3:$Q$3,0))) *
N('PORTIFÓLIO'!$S$4:$S$564),
0
)
),
0)</f>
        <v/>
      </c>
      <c r="M151" s="47">
        <f>L151/$L$4</f>
        <v/>
      </c>
      <c r="N151" s="49">
        <f t="array" ref="N151">IFERROR(
SUM(
IF(
'PORTIFÓLIO'!$C$4:$C$564=$A151,
N(INDEX('PORTIFÓLIO'!$J$4:$Q$564,,MATCH(N$2,'PORTIFÓLIO'!$J$3:$Q$3,0))) *
N('PORTIFÓLIO'!$S$4:$S$564),
0
)
),
0)</f>
        <v/>
      </c>
      <c r="O151" s="49">
        <f>N151/$N$4</f>
        <v/>
      </c>
      <c r="P151" s="49">
        <f t="array" ref="P151">IFERROR(
SUM(
IF(
'PORTIFÓLIO'!$C$4:$C$564=$A151,
N(INDEX('PORTIFÓLIO'!$J$4:$Q$564,,MATCH(P$2,'PORTIFÓLIO'!$J$3:$Q$3,0))) *
N('PORTIFÓLIO'!$S$4:$S$564),
0
)
),
0)</f>
        <v/>
      </c>
      <c r="Q151" s="49">
        <f>P151/$P$4</f>
        <v/>
      </c>
      <c r="R151" s="49">
        <f>SUM(P151,N151,L151,J151,H151,D151,B151)</f>
        <v/>
      </c>
      <c r="S151" s="49">
        <f>R151/$R$4</f>
        <v/>
      </c>
    </row>
    <row r="152" hidden="1" outlineLevel="1" ht="15.75" customHeight="1" s="297">
      <c r="A152" s="48">
        <f>IFERROR(__xludf.DUMMYFUNCTION("""COMPUTED_VALUE"""),"SIALEX 500")</f>
        <v/>
      </c>
      <c r="B152" s="49">
        <f t="array" ref="B152">IFERROR(
SUM(
IF(
'PORTIFÓLIO'!$C$4:$C$564=$A152,
N(INDEX('PORTIFÓLIO'!$J$4:$Q$564,,MATCH(B$2,'PORTIFÓLIO'!$J$3:$Q$3,0))) *
N('PORTIFÓLIO'!$S$4:$S$564),
0
)
),
0)</f>
        <v/>
      </c>
      <c r="C152" s="49">
        <f>B152/$B$4</f>
        <v/>
      </c>
      <c r="D152" s="49">
        <f t="array" ref="D152">IFERROR(
SUM(
IF(
'PORTIFÓLIO'!$C$4:$C$564=$A152,
N(INDEX('PORTIFÓLIO'!$J$4:$Q$564,,MATCH(D$2,'PORTIFÓLIO'!$J$3:$Q$3,0))) *
N('PORTIFÓLIO'!$S$4:$S$564),
0
)
),
0)</f>
        <v/>
      </c>
      <c r="E152" s="49">
        <f>D152/$D$4</f>
        <v/>
      </c>
      <c r="F152" s="49">
        <f t="array" ref="F152">IFERROR(
SUM(
IF(
'PORTIFÓLIO'!$C$4:$C$564=$A152,
N(INDEX('PORTIFÓLIO'!$J$4:$Q$564,,MATCH(F$2,'PORTIFÓLIO'!$J$3:$Q$3,0))) *
N('PORTIFÓLIO'!$S$4:$S$564),
0
)
),
0)</f>
        <v/>
      </c>
      <c r="G152" s="47">
        <f>F152/$F$4</f>
        <v/>
      </c>
      <c r="H152" s="49">
        <f t="array" ref="H152">IFERROR(
SUM(
IF(
'PORTIFÓLIO'!$C$4:$C$564=$A152,
N(INDEX('PORTIFÓLIO'!$J$4:$Q$564,,MATCH(H$2,'PORTIFÓLIO'!$J$3:$Q$3,0))) *
N('PORTIFÓLIO'!$S$4:$S$564),
0
)
),
0)</f>
        <v/>
      </c>
      <c r="I152" s="47">
        <f>H152/$H$4</f>
        <v/>
      </c>
      <c r="J152" s="49">
        <f t="array" ref="J152">IFERROR(
SUM(
IF(
'PORTIFÓLIO'!$C$4:$C$564=$A152,
N(INDEX('PORTIFÓLIO'!$J$4:$Q$564,,MATCH(J$2,'PORTIFÓLIO'!$J$3:$Q$3,0))) *
N('PORTIFÓLIO'!$S$4:$S$564),
0
)
),
0)</f>
        <v/>
      </c>
      <c r="K152" s="47">
        <f>J152/$J$4</f>
        <v/>
      </c>
      <c r="L152" s="49">
        <f t="array" ref="L152">IFERROR(
SUM(
IF(
'PORTIFÓLIO'!$C$4:$C$564=$A152,
N(INDEX('PORTIFÓLIO'!$J$4:$Q$564,,MATCH(L$2,'PORTIFÓLIO'!$J$3:$Q$3,0))) *
N('PORTIFÓLIO'!$S$4:$S$564),
0
)
),
0)</f>
        <v/>
      </c>
      <c r="M152" s="47">
        <f>L152/$L$4</f>
        <v/>
      </c>
      <c r="N152" s="49">
        <f t="array" ref="N152">IFERROR(
SUM(
IF(
'PORTIFÓLIO'!$C$4:$C$564=$A152,
N(INDEX('PORTIFÓLIO'!$J$4:$Q$564,,MATCH(N$2,'PORTIFÓLIO'!$J$3:$Q$3,0))) *
N('PORTIFÓLIO'!$S$4:$S$564),
0
)
),
0)</f>
        <v/>
      </c>
      <c r="O152" s="49">
        <f>N152/$N$4</f>
        <v/>
      </c>
      <c r="P152" s="49">
        <f t="array" ref="P152">IFERROR(
SUM(
IF(
'PORTIFÓLIO'!$C$4:$C$564=$A152,
N(INDEX('PORTIFÓLIO'!$J$4:$Q$564,,MATCH(P$2,'PORTIFÓLIO'!$J$3:$Q$3,0))) *
N('PORTIFÓLIO'!$S$4:$S$564),
0
)
),
0)</f>
        <v/>
      </c>
      <c r="Q152" s="49">
        <f>P152/$P$4</f>
        <v/>
      </c>
      <c r="R152" s="49">
        <f>SUM(P152,N152,L152,J152,H152,D152,B152)</f>
        <v/>
      </c>
      <c r="S152" s="49">
        <f>R152/$R$4</f>
        <v/>
      </c>
    </row>
    <row r="153" hidden="1" outlineLevel="1" ht="15.75" customHeight="1" s="297">
      <c r="A153" s="48">
        <f>IFERROR(__xludf.DUMMYFUNCTION("""COMPUTED_VALUE"""),"TAMIZ")</f>
        <v/>
      </c>
      <c r="B153" s="49">
        <f t="array" ref="B153">IFERROR(
SUM(
IF(
'PORTIFÓLIO'!$C$4:$C$564=$A153,
N(INDEX('PORTIFÓLIO'!$J$4:$Q$564,,MATCH(B$2,'PORTIFÓLIO'!$J$3:$Q$3,0))) *
N('PORTIFÓLIO'!$S$4:$S$564),
0
)
),
0)</f>
        <v/>
      </c>
      <c r="C153" s="49">
        <f>B153/$B$4</f>
        <v/>
      </c>
      <c r="D153" s="49">
        <f t="array" ref="D153">IFERROR(
SUM(
IF(
'PORTIFÓLIO'!$C$4:$C$564=$A153,
N(INDEX('PORTIFÓLIO'!$J$4:$Q$564,,MATCH(D$2,'PORTIFÓLIO'!$J$3:$Q$3,0))) *
N('PORTIFÓLIO'!$S$4:$S$564),
0
)
),
0)</f>
        <v/>
      </c>
      <c r="E153" s="49">
        <f>D153/$D$4</f>
        <v/>
      </c>
      <c r="F153" s="49">
        <f t="array" ref="F153">IFERROR(
SUM(
IF(
'PORTIFÓLIO'!$C$4:$C$564=$A153,
N(INDEX('PORTIFÓLIO'!$J$4:$Q$564,,MATCH(F$2,'PORTIFÓLIO'!$J$3:$Q$3,0))) *
N('PORTIFÓLIO'!$S$4:$S$564),
0
)
),
0)</f>
        <v/>
      </c>
      <c r="G153" s="47">
        <f>F153/$F$4</f>
        <v/>
      </c>
      <c r="H153" s="49">
        <f t="array" ref="H153">IFERROR(
SUM(
IF(
'PORTIFÓLIO'!$C$4:$C$564=$A153,
N(INDEX('PORTIFÓLIO'!$J$4:$Q$564,,MATCH(H$2,'PORTIFÓLIO'!$J$3:$Q$3,0))) *
N('PORTIFÓLIO'!$S$4:$S$564),
0
)
),
0)</f>
        <v/>
      </c>
      <c r="I153" s="47">
        <f>H153/$H$4</f>
        <v/>
      </c>
      <c r="J153" s="49">
        <f t="array" ref="J153">IFERROR(
SUM(
IF(
'PORTIFÓLIO'!$C$4:$C$564=$A153,
N(INDEX('PORTIFÓLIO'!$J$4:$Q$564,,MATCH(J$2,'PORTIFÓLIO'!$J$3:$Q$3,0))) *
N('PORTIFÓLIO'!$S$4:$S$564),
0
)
),
0)</f>
        <v/>
      </c>
      <c r="K153" s="47">
        <f>J153/$J$4</f>
        <v/>
      </c>
      <c r="L153" s="49">
        <f t="array" ref="L153">IFERROR(
SUM(
IF(
'PORTIFÓLIO'!$C$4:$C$564=$A153,
N(INDEX('PORTIFÓLIO'!$J$4:$Q$564,,MATCH(L$2,'PORTIFÓLIO'!$J$3:$Q$3,0))) *
N('PORTIFÓLIO'!$S$4:$S$564),
0
)
),
0)</f>
        <v/>
      </c>
      <c r="M153" s="47">
        <f>L153/$L$4</f>
        <v/>
      </c>
      <c r="N153" s="49">
        <f t="array" ref="N153">IFERROR(
SUM(
IF(
'PORTIFÓLIO'!$C$4:$C$564=$A153,
N(INDEX('PORTIFÓLIO'!$J$4:$Q$564,,MATCH(N$2,'PORTIFÓLIO'!$J$3:$Q$3,0))) *
N('PORTIFÓLIO'!$S$4:$S$564),
0
)
),
0)</f>
        <v/>
      </c>
      <c r="O153" s="49">
        <f>N153/$N$4</f>
        <v/>
      </c>
      <c r="P153" s="49">
        <f t="array" ref="P153">IFERROR(
SUM(
IF(
'PORTIFÓLIO'!$C$4:$C$564=$A153,
N(INDEX('PORTIFÓLIO'!$J$4:$Q$564,,MATCH(P$2,'PORTIFÓLIO'!$J$3:$Q$3,0))) *
N('PORTIFÓLIO'!$S$4:$S$564),
0
)
),
0)</f>
        <v/>
      </c>
      <c r="Q153" s="49">
        <f>P153/$P$4</f>
        <v/>
      </c>
      <c r="R153" s="49">
        <f>SUM(P153,N153,L153,J153,H153,D153,B153)</f>
        <v/>
      </c>
      <c r="S153" s="49">
        <f>R153/$R$4</f>
        <v/>
      </c>
    </row>
    <row r="154" hidden="1" outlineLevel="1" ht="15.75" customHeight="1" s="297">
      <c r="A154" s="48">
        <f>IFERROR(__xludf.DUMMYFUNCTION("""COMPUTED_VALUE"""),"TROIA")</f>
        <v/>
      </c>
      <c r="B154" s="49">
        <f t="array" ref="B154">IFERROR(
SUM(
IF(
'PORTIFÓLIO'!$C$4:$C$564=$A154,
N(INDEX('PORTIFÓLIO'!$J$4:$Q$564,,MATCH(B$2,'PORTIFÓLIO'!$J$3:$Q$3,0))) *
N('PORTIFÓLIO'!$S$4:$S$564),
0
)
),
0)</f>
        <v/>
      </c>
      <c r="C154" s="49">
        <f>B154/$B$4</f>
        <v/>
      </c>
      <c r="D154" s="49">
        <f t="array" ref="D154">IFERROR(
SUM(
IF(
'PORTIFÓLIO'!$C$4:$C$564=$A154,
N(INDEX('PORTIFÓLIO'!$J$4:$Q$564,,MATCH(D$2,'PORTIFÓLIO'!$J$3:$Q$3,0))) *
N('PORTIFÓLIO'!$S$4:$S$564),
0
)
),
0)</f>
        <v/>
      </c>
      <c r="E154" s="49">
        <f>D154/$D$4</f>
        <v/>
      </c>
      <c r="F154" s="49">
        <f t="array" ref="F154">IFERROR(
SUM(
IF(
'PORTIFÓLIO'!$C$4:$C$564=$A154,
N(INDEX('PORTIFÓLIO'!$J$4:$Q$564,,MATCH(F$2,'PORTIFÓLIO'!$J$3:$Q$3,0))) *
N('PORTIFÓLIO'!$S$4:$S$564),
0
)
),
0)</f>
        <v/>
      </c>
      <c r="G154" s="47">
        <f>F154/$F$4</f>
        <v/>
      </c>
      <c r="H154" s="49">
        <f t="array" ref="H154">IFERROR(
SUM(
IF(
'PORTIFÓLIO'!$C$4:$C$564=$A154,
N(INDEX('PORTIFÓLIO'!$J$4:$Q$564,,MATCH(H$2,'PORTIFÓLIO'!$J$3:$Q$3,0))) *
N('PORTIFÓLIO'!$S$4:$S$564),
0
)
),
0)</f>
        <v/>
      </c>
      <c r="I154" s="47">
        <f>H154/$H$4</f>
        <v/>
      </c>
      <c r="J154" s="49">
        <f t="array" ref="J154">IFERROR(
SUM(
IF(
'PORTIFÓLIO'!$C$4:$C$564=$A154,
N(INDEX('PORTIFÓLIO'!$J$4:$Q$564,,MATCH(J$2,'PORTIFÓLIO'!$J$3:$Q$3,0))) *
N('PORTIFÓLIO'!$S$4:$S$564),
0
)
),
0)</f>
        <v/>
      </c>
      <c r="K154" s="47">
        <f>J154/$J$4</f>
        <v/>
      </c>
      <c r="L154" s="49">
        <f t="array" ref="L154">IFERROR(
SUM(
IF(
'PORTIFÓLIO'!$C$4:$C$564=$A154,
N(INDEX('PORTIFÓLIO'!$J$4:$Q$564,,MATCH(L$2,'PORTIFÓLIO'!$J$3:$Q$3,0))) *
N('PORTIFÓLIO'!$S$4:$S$564),
0
)
),
0)</f>
        <v/>
      </c>
      <c r="M154" s="47">
        <f>L154/$L$4</f>
        <v/>
      </c>
      <c r="N154" s="49">
        <f t="array" ref="N154">IFERROR(
SUM(
IF(
'PORTIFÓLIO'!$C$4:$C$564=$A154,
N(INDEX('PORTIFÓLIO'!$J$4:$Q$564,,MATCH(N$2,'PORTIFÓLIO'!$J$3:$Q$3,0))) *
N('PORTIFÓLIO'!$S$4:$S$564),
0
)
),
0)</f>
        <v/>
      </c>
      <c r="O154" s="49">
        <f>N154/$N$4</f>
        <v/>
      </c>
      <c r="P154" s="49">
        <f t="array" ref="P154">IFERROR(
SUM(
IF(
'PORTIFÓLIO'!$C$4:$C$564=$A154,
N(INDEX('PORTIFÓLIO'!$J$4:$Q$564,,MATCH(P$2,'PORTIFÓLIO'!$J$3:$Q$3,0))) *
N('PORTIFÓLIO'!$S$4:$S$564),
0
)
),
0)</f>
        <v/>
      </c>
      <c r="Q154" s="49">
        <f>P154/$P$4</f>
        <v/>
      </c>
      <c r="R154" s="49">
        <f>SUM(P154,N154,L154,J154,H154,D154,B154)</f>
        <v/>
      </c>
      <c r="S154" s="49">
        <f>R154/$R$4</f>
        <v/>
      </c>
    </row>
    <row r="155" hidden="1" outlineLevel="1" ht="15.75" customHeight="1" s="297">
      <c r="A155" s="48">
        <f>IFERROR(__xludf.DUMMYFUNCTION("""COMPUTED_VALUE"""),"ALADE")</f>
        <v/>
      </c>
      <c r="B155" s="49">
        <f t="array" ref="B155">IFERROR(
SUM(
IF(
'PORTIFÓLIO'!$C$4:$C$564=$A155,
N(INDEX('PORTIFÓLIO'!$J$4:$Q$564,,MATCH(B$2,'PORTIFÓLIO'!$J$3:$Q$3,0))) *
N('PORTIFÓLIO'!$S$4:$S$564),
0
)
),
0)</f>
        <v/>
      </c>
      <c r="C155" s="49">
        <f>B155/$B$4</f>
        <v/>
      </c>
      <c r="D155" s="49">
        <f t="array" ref="D155">IFERROR(
SUM(
IF(
'PORTIFÓLIO'!$C$4:$C$564=$A155,
N(INDEX('PORTIFÓLIO'!$J$4:$Q$564,,MATCH(D$2,'PORTIFÓLIO'!$J$3:$Q$3,0))) *
N('PORTIFÓLIO'!$S$4:$S$564),
0
)
),
0)</f>
        <v/>
      </c>
      <c r="E155" s="49">
        <f>D155/$D$4</f>
        <v/>
      </c>
      <c r="F155" s="49">
        <f t="array" ref="F155">IFERROR(
SUM(
IF(
'PORTIFÓLIO'!$C$4:$C$564=$A155,
N(INDEX('PORTIFÓLIO'!$J$4:$Q$564,,MATCH(F$2,'PORTIFÓLIO'!$J$3:$Q$3,0))) *
N('PORTIFÓLIO'!$S$4:$S$564),
0
)
),
0)</f>
        <v/>
      </c>
      <c r="G155" s="47">
        <f>F155/$F$4</f>
        <v/>
      </c>
      <c r="H155" s="49">
        <f t="array" ref="H155">IFERROR(
SUM(
IF(
'PORTIFÓLIO'!$C$4:$C$564=$A155,
N(INDEX('PORTIFÓLIO'!$J$4:$Q$564,,MATCH(H$2,'PORTIFÓLIO'!$J$3:$Q$3,0))) *
N('PORTIFÓLIO'!$S$4:$S$564),
0
)
),
0)</f>
        <v/>
      </c>
      <c r="I155" s="47">
        <f>H155/$H$4</f>
        <v/>
      </c>
      <c r="J155" s="49">
        <f t="array" ref="J155">IFERROR(
SUM(
IF(
'PORTIFÓLIO'!$C$4:$C$564=$A155,
N(INDEX('PORTIFÓLIO'!$J$4:$Q$564,,MATCH(J$2,'PORTIFÓLIO'!$J$3:$Q$3,0))) *
N('PORTIFÓLIO'!$S$4:$S$564),
0
)
),
0)</f>
        <v/>
      </c>
      <c r="K155" s="47">
        <f>J155/$J$4</f>
        <v/>
      </c>
      <c r="L155" s="49">
        <f t="array" ref="L155">IFERROR(
SUM(
IF(
'PORTIFÓLIO'!$C$4:$C$564=$A155,
N(INDEX('PORTIFÓLIO'!$J$4:$Q$564,,MATCH(L$2,'PORTIFÓLIO'!$J$3:$Q$3,0))) *
N('PORTIFÓLIO'!$S$4:$S$564),
0
)
),
0)</f>
        <v/>
      </c>
      <c r="M155" s="47">
        <f>L155/$L$4</f>
        <v/>
      </c>
      <c r="N155" s="49">
        <f t="array" ref="N155">IFERROR(
SUM(
IF(
'PORTIFÓLIO'!$C$4:$C$564=$A155,
N(INDEX('PORTIFÓLIO'!$J$4:$Q$564,,MATCH(N$2,'PORTIFÓLIO'!$J$3:$Q$3,0))) *
N('PORTIFÓLIO'!$S$4:$S$564),
0
)
),
0)</f>
        <v/>
      </c>
      <c r="O155" s="49">
        <f>N155/$N$4</f>
        <v/>
      </c>
      <c r="P155" s="49">
        <f t="array" ref="P155">IFERROR(
SUM(
IF(
'PORTIFÓLIO'!$C$4:$C$564=$A155,
N(INDEX('PORTIFÓLIO'!$J$4:$Q$564,,MATCH(P$2,'PORTIFÓLIO'!$J$3:$Q$3,0))) *
N('PORTIFÓLIO'!$S$4:$S$564),
0
)
),
0)</f>
        <v/>
      </c>
      <c r="Q155" s="49">
        <f>P155/$P$4</f>
        <v/>
      </c>
      <c r="R155" s="49">
        <f>SUM(P155,N155,L155,J155,H155,D155,B155)</f>
        <v/>
      </c>
      <c r="S155" s="49">
        <f>R155/$R$4</f>
        <v/>
      </c>
    </row>
    <row r="156" hidden="1" outlineLevel="1" ht="15.75" customHeight="1" s="297">
      <c r="A156" s="48">
        <f>IFERROR(__xludf.DUMMYFUNCTION("""COMPUTED_VALUE"""),"AMISTAR TOP")</f>
        <v/>
      </c>
      <c r="B156" s="49">
        <f t="array" ref="B156">IFERROR(
SUM(
IF(
'PORTIFÓLIO'!$C$4:$C$564=$A156,
N(INDEX('PORTIFÓLIO'!$J$4:$Q$564,,MATCH(B$2,'PORTIFÓLIO'!$J$3:$Q$3,0))) *
N('PORTIFÓLIO'!$S$4:$S$564),
0
)
),
0)</f>
        <v/>
      </c>
      <c r="C156" s="49">
        <f>B156/$B$4</f>
        <v/>
      </c>
      <c r="D156" s="49">
        <f t="array" ref="D156">IFERROR(
SUM(
IF(
'PORTIFÓLIO'!$C$4:$C$564=$A156,
N(INDEX('PORTIFÓLIO'!$J$4:$Q$564,,MATCH(D$2,'PORTIFÓLIO'!$J$3:$Q$3,0))) *
N('PORTIFÓLIO'!$S$4:$S$564),
0
)
),
0)</f>
        <v/>
      </c>
      <c r="E156" s="49">
        <f>D156/$D$4</f>
        <v/>
      </c>
      <c r="F156" s="49">
        <f t="array" ref="F156">IFERROR(
SUM(
IF(
'PORTIFÓLIO'!$C$4:$C$564=$A156,
N(INDEX('PORTIFÓLIO'!$J$4:$Q$564,,MATCH(F$2,'PORTIFÓLIO'!$J$3:$Q$3,0))) *
N('PORTIFÓLIO'!$S$4:$S$564),
0
)
),
0)</f>
        <v/>
      </c>
      <c r="G156" s="47">
        <f>F156/$F$4</f>
        <v/>
      </c>
      <c r="H156" s="49">
        <f t="array" ref="H156">IFERROR(
SUM(
IF(
'PORTIFÓLIO'!$C$4:$C$564=$A156,
N(INDEX('PORTIFÓLIO'!$J$4:$Q$564,,MATCH(H$2,'PORTIFÓLIO'!$J$3:$Q$3,0))) *
N('PORTIFÓLIO'!$S$4:$S$564),
0
)
),
0)</f>
        <v/>
      </c>
      <c r="I156" s="47">
        <f>H156/$H$4</f>
        <v/>
      </c>
      <c r="J156" s="49">
        <f t="array" ref="J156">IFERROR(
SUM(
IF(
'PORTIFÓLIO'!$C$4:$C$564=$A156,
N(INDEX('PORTIFÓLIO'!$J$4:$Q$564,,MATCH(J$2,'PORTIFÓLIO'!$J$3:$Q$3,0))) *
N('PORTIFÓLIO'!$S$4:$S$564),
0
)
),
0)</f>
        <v/>
      </c>
      <c r="K156" s="47">
        <f>J156/$J$4</f>
        <v/>
      </c>
      <c r="L156" s="49">
        <f t="array" ref="L156">IFERROR(
SUM(
IF(
'PORTIFÓLIO'!$C$4:$C$564=$A156,
N(INDEX('PORTIFÓLIO'!$J$4:$Q$564,,MATCH(L$2,'PORTIFÓLIO'!$J$3:$Q$3,0))) *
N('PORTIFÓLIO'!$S$4:$S$564),
0
)
),
0)</f>
        <v/>
      </c>
      <c r="M156" s="47">
        <f>L156/$L$4</f>
        <v/>
      </c>
      <c r="N156" s="49">
        <f t="array" ref="N156">IFERROR(
SUM(
IF(
'PORTIFÓLIO'!$C$4:$C$564=$A156,
N(INDEX('PORTIFÓLIO'!$J$4:$Q$564,,MATCH(N$2,'PORTIFÓLIO'!$J$3:$Q$3,0))) *
N('PORTIFÓLIO'!$S$4:$S$564),
0
)
),
0)</f>
        <v/>
      </c>
      <c r="O156" s="49">
        <f>N156/$N$4</f>
        <v/>
      </c>
      <c r="P156" s="49">
        <f t="array" ref="P156">IFERROR(
SUM(
IF(
'PORTIFÓLIO'!$C$4:$C$564=$A156,
N(INDEX('PORTIFÓLIO'!$J$4:$Q$564,,MATCH(P$2,'PORTIFÓLIO'!$J$3:$Q$3,0))) *
N('PORTIFÓLIO'!$S$4:$S$564),
0
)
),
0)</f>
        <v/>
      </c>
      <c r="Q156" s="49">
        <f>P156/$P$4</f>
        <v/>
      </c>
      <c r="R156" s="49">
        <f>SUM(P156,N156,L156,J156,H156,D156,B156)</f>
        <v/>
      </c>
      <c r="S156" s="49">
        <f>R156/$R$4</f>
        <v/>
      </c>
    </row>
    <row r="157" hidden="1" outlineLevel="1" ht="15.75" customHeight="1" s="297">
      <c r="A157" s="48">
        <f>IFERROR(__xludf.DUMMYFUNCTION("""COMPUTED_VALUE"""),"AUGE")</f>
        <v/>
      </c>
      <c r="B157" s="49">
        <f t="array" ref="B157">IFERROR(
SUM(
IF(
'PORTIFÓLIO'!$C$4:$C$564=$A157,
N(INDEX('PORTIFÓLIO'!$J$4:$Q$564,,MATCH(B$2,'PORTIFÓLIO'!$J$3:$Q$3,0))) *
N('PORTIFÓLIO'!$S$4:$S$564),
0
)
),
0)</f>
        <v/>
      </c>
      <c r="C157" s="49">
        <f>B157/$B$4</f>
        <v/>
      </c>
      <c r="D157" s="49">
        <f t="array" ref="D157">IFERROR(
SUM(
IF(
'PORTIFÓLIO'!$C$4:$C$564=$A157,
N(INDEX('PORTIFÓLIO'!$J$4:$Q$564,,MATCH(D$2,'PORTIFÓLIO'!$J$3:$Q$3,0))) *
N('PORTIFÓLIO'!$S$4:$S$564),
0
)
),
0)</f>
        <v/>
      </c>
      <c r="E157" s="49">
        <f>D157/$D$4</f>
        <v/>
      </c>
      <c r="F157" s="49">
        <f t="array" ref="F157">IFERROR(
SUM(
IF(
'PORTIFÓLIO'!$C$4:$C$564=$A157,
N(INDEX('PORTIFÓLIO'!$J$4:$Q$564,,MATCH(F$2,'PORTIFÓLIO'!$J$3:$Q$3,0))) *
N('PORTIFÓLIO'!$S$4:$S$564),
0
)
),
0)</f>
        <v/>
      </c>
      <c r="G157" s="47">
        <f>F157/$F$4</f>
        <v/>
      </c>
      <c r="H157" s="49">
        <f t="array" ref="H157">IFERROR(
SUM(
IF(
'PORTIFÓLIO'!$C$4:$C$564=$A157,
N(INDEX('PORTIFÓLIO'!$J$4:$Q$564,,MATCH(H$2,'PORTIFÓLIO'!$J$3:$Q$3,0))) *
N('PORTIFÓLIO'!$S$4:$S$564),
0
)
),
0)</f>
        <v/>
      </c>
      <c r="I157" s="47">
        <f>H157/$H$4</f>
        <v/>
      </c>
      <c r="J157" s="49">
        <f t="array" ref="J157">IFERROR(
SUM(
IF(
'PORTIFÓLIO'!$C$4:$C$564=$A157,
N(INDEX('PORTIFÓLIO'!$J$4:$Q$564,,MATCH(J$2,'PORTIFÓLIO'!$J$3:$Q$3,0))) *
N('PORTIFÓLIO'!$S$4:$S$564),
0
)
),
0)</f>
        <v/>
      </c>
      <c r="K157" s="47">
        <f>J157/$J$4</f>
        <v/>
      </c>
      <c r="L157" s="49">
        <f t="array" ref="L157">IFERROR(
SUM(
IF(
'PORTIFÓLIO'!$C$4:$C$564=$A157,
N(INDEX('PORTIFÓLIO'!$J$4:$Q$564,,MATCH(L$2,'PORTIFÓLIO'!$J$3:$Q$3,0))) *
N('PORTIFÓLIO'!$S$4:$S$564),
0
)
),
0)</f>
        <v/>
      </c>
      <c r="M157" s="47">
        <f>L157/$L$4</f>
        <v/>
      </c>
      <c r="N157" s="49">
        <f t="array" ref="N157">IFERROR(
SUM(
IF(
'PORTIFÓLIO'!$C$4:$C$564=$A157,
N(INDEX('PORTIFÓLIO'!$J$4:$Q$564,,MATCH(N$2,'PORTIFÓLIO'!$J$3:$Q$3,0))) *
N('PORTIFÓLIO'!$S$4:$S$564),
0
)
),
0)</f>
        <v/>
      </c>
      <c r="O157" s="49">
        <f>N157/$N$4</f>
        <v/>
      </c>
      <c r="P157" s="49">
        <f t="array" ref="P157">IFERROR(
SUM(
IF(
'PORTIFÓLIO'!$C$4:$C$564=$A157,
N(INDEX('PORTIFÓLIO'!$J$4:$Q$564,,MATCH(P$2,'PORTIFÓLIO'!$J$3:$Q$3,0))) *
N('PORTIFÓLIO'!$S$4:$S$564),
0
)
),
0)</f>
        <v/>
      </c>
      <c r="Q157" s="49">
        <f>P157/$P$4</f>
        <v/>
      </c>
      <c r="R157" s="49">
        <f>SUM(P157,N157,L157,J157,H157,D157,B157)</f>
        <v/>
      </c>
      <c r="S157" s="49">
        <f>R157/$R$4</f>
        <v/>
      </c>
    </row>
    <row r="158" hidden="1" outlineLevel="1" ht="15.75" customHeight="1" s="297">
      <c r="A158" s="48">
        <f>IFERROR(__xludf.DUMMYFUNCTION("""COMPUTED_VALUE"""),"BRAVONIL 720")</f>
        <v/>
      </c>
      <c r="B158" s="49">
        <f t="array" ref="B158">IFERROR(
SUM(
IF(
'PORTIFÓLIO'!$C$4:$C$564=$A158,
N(INDEX('PORTIFÓLIO'!$J$4:$Q$564,,MATCH(B$2,'PORTIFÓLIO'!$J$3:$Q$3,0))) *
N('PORTIFÓLIO'!$S$4:$S$564),
0
)
),
0)</f>
        <v/>
      </c>
      <c r="C158" s="49">
        <f>B158/$B$4</f>
        <v/>
      </c>
      <c r="D158" s="49">
        <f t="array" ref="D158">IFERROR(
SUM(
IF(
'PORTIFÓLIO'!$C$4:$C$564=$A158,
N(INDEX('PORTIFÓLIO'!$J$4:$Q$564,,MATCH(D$2,'PORTIFÓLIO'!$J$3:$Q$3,0))) *
N('PORTIFÓLIO'!$S$4:$S$564),
0
)
),
0)</f>
        <v/>
      </c>
      <c r="E158" s="49">
        <f>D158/$D$4</f>
        <v/>
      </c>
      <c r="F158" s="49">
        <f t="array" ref="F158">IFERROR(
SUM(
IF(
'PORTIFÓLIO'!$C$4:$C$564=$A158,
N(INDEX('PORTIFÓLIO'!$J$4:$Q$564,,MATCH(F$2,'PORTIFÓLIO'!$J$3:$Q$3,0))) *
N('PORTIFÓLIO'!$S$4:$S$564),
0
)
),
0)</f>
        <v/>
      </c>
      <c r="G158" s="47">
        <f>F158/$F$4</f>
        <v/>
      </c>
      <c r="H158" s="49">
        <f t="array" ref="H158">IFERROR(
SUM(
IF(
'PORTIFÓLIO'!$C$4:$C$564=$A158,
N(INDEX('PORTIFÓLIO'!$J$4:$Q$564,,MATCH(H$2,'PORTIFÓLIO'!$J$3:$Q$3,0))) *
N('PORTIFÓLIO'!$S$4:$S$564),
0
)
),
0)</f>
        <v/>
      </c>
      <c r="I158" s="47">
        <f>H158/$H$4</f>
        <v/>
      </c>
      <c r="J158" s="49">
        <f t="array" ref="J158">IFERROR(
SUM(
IF(
'PORTIFÓLIO'!$C$4:$C$564=$A158,
N(INDEX('PORTIFÓLIO'!$J$4:$Q$564,,MATCH(J$2,'PORTIFÓLIO'!$J$3:$Q$3,0))) *
N('PORTIFÓLIO'!$S$4:$S$564),
0
)
),
0)</f>
        <v/>
      </c>
      <c r="K158" s="47">
        <f>J158/$J$4</f>
        <v/>
      </c>
      <c r="L158" s="49">
        <f t="array" ref="L158">IFERROR(
SUM(
IF(
'PORTIFÓLIO'!$C$4:$C$564=$A158,
N(INDEX('PORTIFÓLIO'!$J$4:$Q$564,,MATCH(L$2,'PORTIFÓLIO'!$J$3:$Q$3,0))) *
N('PORTIFÓLIO'!$S$4:$S$564),
0
)
),
0)</f>
        <v/>
      </c>
      <c r="M158" s="47">
        <f>L158/$L$4</f>
        <v/>
      </c>
      <c r="N158" s="49">
        <f t="array" ref="N158">IFERROR(
SUM(
IF(
'PORTIFÓLIO'!$C$4:$C$564=$A158,
N(INDEX('PORTIFÓLIO'!$J$4:$Q$564,,MATCH(N$2,'PORTIFÓLIO'!$J$3:$Q$3,0))) *
N('PORTIFÓLIO'!$S$4:$S$564),
0
)
),
0)</f>
        <v/>
      </c>
      <c r="O158" s="49">
        <f>N158/$N$4</f>
        <v/>
      </c>
      <c r="P158" s="49">
        <f t="array" ref="P158">IFERROR(
SUM(
IF(
'PORTIFÓLIO'!$C$4:$C$564=$A158,
N(INDEX('PORTIFÓLIO'!$J$4:$Q$564,,MATCH(P$2,'PORTIFÓLIO'!$J$3:$Q$3,0))) *
N('PORTIFÓLIO'!$S$4:$S$564),
0
)
),
0)</f>
        <v/>
      </c>
      <c r="Q158" s="49">
        <f>P158/$P$4</f>
        <v/>
      </c>
      <c r="R158" s="49">
        <f>SUM(P158,N158,L158,J158,H158,D158,B158)</f>
        <v/>
      </c>
      <c r="S158" s="49">
        <f>R158/$R$4</f>
        <v/>
      </c>
    </row>
    <row r="159" hidden="1" outlineLevel="1" ht="15.75" customHeight="1" s="297">
      <c r="A159" s="48">
        <f>IFERROR(__xludf.DUMMYFUNCTION("""COMPUTED_VALUE"""),"BRAVONIL TOP")</f>
        <v/>
      </c>
      <c r="B159" s="49">
        <f t="array" ref="B159">IFERROR(
SUM(
IF(
'PORTIFÓLIO'!$C$4:$C$564=$A159,
N(INDEX('PORTIFÓLIO'!$J$4:$Q$564,,MATCH(B$2,'PORTIFÓLIO'!$J$3:$Q$3,0))) *
N('PORTIFÓLIO'!$S$4:$S$564),
0
)
),
0)</f>
        <v/>
      </c>
      <c r="C159" s="49">
        <f>B159/$B$4</f>
        <v/>
      </c>
      <c r="D159" s="49">
        <f t="array" ref="D159">IFERROR(
SUM(
IF(
'PORTIFÓLIO'!$C$4:$C$564=$A159,
N(INDEX('PORTIFÓLIO'!$J$4:$Q$564,,MATCH(D$2,'PORTIFÓLIO'!$J$3:$Q$3,0))) *
N('PORTIFÓLIO'!$S$4:$S$564),
0
)
),
0)</f>
        <v/>
      </c>
      <c r="E159" s="49">
        <f>D159/$D$4</f>
        <v/>
      </c>
      <c r="F159" s="49">
        <f t="array" ref="F159">IFERROR(
SUM(
IF(
'PORTIFÓLIO'!$C$4:$C$564=$A159,
N(INDEX('PORTIFÓLIO'!$J$4:$Q$564,,MATCH(F$2,'PORTIFÓLIO'!$J$3:$Q$3,0))) *
N('PORTIFÓLIO'!$S$4:$S$564),
0
)
),
0)</f>
        <v/>
      </c>
      <c r="G159" s="47">
        <f>F159/$F$4</f>
        <v/>
      </c>
      <c r="H159" s="49">
        <f t="array" ref="H159">IFERROR(
SUM(
IF(
'PORTIFÓLIO'!$C$4:$C$564=$A159,
N(INDEX('PORTIFÓLIO'!$J$4:$Q$564,,MATCH(H$2,'PORTIFÓLIO'!$J$3:$Q$3,0))) *
N('PORTIFÓLIO'!$S$4:$S$564),
0
)
),
0)</f>
        <v/>
      </c>
      <c r="I159" s="47">
        <f>H159/$H$4</f>
        <v/>
      </c>
      <c r="J159" s="49">
        <f t="array" ref="J159">IFERROR(
SUM(
IF(
'PORTIFÓLIO'!$C$4:$C$564=$A159,
N(INDEX('PORTIFÓLIO'!$J$4:$Q$564,,MATCH(J$2,'PORTIFÓLIO'!$J$3:$Q$3,0))) *
N('PORTIFÓLIO'!$S$4:$S$564),
0
)
),
0)</f>
        <v/>
      </c>
      <c r="K159" s="47">
        <f>J159/$J$4</f>
        <v/>
      </c>
      <c r="L159" s="49">
        <f t="array" ref="L159">IFERROR(
SUM(
IF(
'PORTIFÓLIO'!$C$4:$C$564=$A159,
N(INDEX('PORTIFÓLIO'!$J$4:$Q$564,,MATCH(L$2,'PORTIFÓLIO'!$J$3:$Q$3,0))) *
N('PORTIFÓLIO'!$S$4:$S$564),
0
)
),
0)</f>
        <v/>
      </c>
      <c r="M159" s="47">
        <f>L159/$L$4</f>
        <v/>
      </c>
      <c r="N159" s="49">
        <f t="array" ref="N159">IFERROR(
SUM(
IF(
'PORTIFÓLIO'!$C$4:$C$564=$A159,
N(INDEX('PORTIFÓLIO'!$J$4:$Q$564,,MATCH(N$2,'PORTIFÓLIO'!$J$3:$Q$3,0))) *
N('PORTIFÓLIO'!$S$4:$S$564),
0
)
),
0)</f>
        <v/>
      </c>
      <c r="O159" s="49">
        <f>N159/$N$4</f>
        <v/>
      </c>
      <c r="P159" s="49">
        <f t="array" ref="P159">IFERROR(
SUM(
IF(
'PORTIFÓLIO'!$C$4:$C$564=$A159,
N(INDEX('PORTIFÓLIO'!$J$4:$Q$564,,MATCH(P$2,'PORTIFÓLIO'!$J$3:$Q$3,0))) *
N('PORTIFÓLIO'!$S$4:$S$564),
0
)
),
0)</f>
        <v/>
      </c>
      <c r="Q159" s="49">
        <f>P159/$P$4</f>
        <v/>
      </c>
      <c r="R159" s="49">
        <f>SUM(P159,N159,L159,J159,H159,D159,B159)</f>
        <v/>
      </c>
      <c r="S159" s="49">
        <f>R159/$R$4</f>
        <v/>
      </c>
    </row>
    <row r="160" hidden="1" outlineLevel="1" ht="15.75" customHeight="1" s="297">
      <c r="A160" s="48">
        <f>IFERROR(__xludf.DUMMYFUNCTION("""COMPUTED_VALUE"""),"CYPRESS 400 EC")</f>
        <v/>
      </c>
      <c r="B160" s="49">
        <f t="array" ref="B160">IFERROR(
SUM(
IF(
'PORTIFÓLIO'!$C$4:$C$564=$A160,
N(INDEX('PORTIFÓLIO'!$J$4:$Q$564,,MATCH(B$2,'PORTIFÓLIO'!$J$3:$Q$3,0))) *
N('PORTIFÓLIO'!$S$4:$S$564),
0
)
),
0)</f>
        <v/>
      </c>
      <c r="C160" s="49">
        <f>B160/$B$4</f>
        <v/>
      </c>
      <c r="D160" s="49">
        <f t="array" ref="D160">IFERROR(
SUM(
IF(
'PORTIFÓLIO'!$C$4:$C$564=$A160,
N(INDEX('PORTIFÓLIO'!$J$4:$Q$564,,MATCH(D$2,'PORTIFÓLIO'!$J$3:$Q$3,0))) *
N('PORTIFÓLIO'!$S$4:$S$564),
0
)
),
0)</f>
        <v/>
      </c>
      <c r="E160" s="49">
        <f>D160/$D$4</f>
        <v/>
      </c>
      <c r="F160" s="49">
        <f t="array" ref="F160">IFERROR(
SUM(
IF(
'PORTIFÓLIO'!$C$4:$C$564=$A160,
N(INDEX('PORTIFÓLIO'!$J$4:$Q$564,,MATCH(F$2,'PORTIFÓLIO'!$J$3:$Q$3,0))) *
N('PORTIFÓLIO'!$S$4:$S$564),
0
)
),
0)</f>
        <v/>
      </c>
      <c r="G160" s="47">
        <f>F160/$F$4</f>
        <v/>
      </c>
      <c r="H160" s="49">
        <f t="array" ref="H160">IFERROR(
SUM(
IF(
'PORTIFÓLIO'!$C$4:$C$564=$A160,
N(INDEX('PORTIFÓLIO'!$J$4:$Q$564,,MATCH(H$2,'PORTIFÓLIO'!$J$3:$Q$3,0))) *
N('PORTIFÓLIO'!$S$4:$S$564),
0
)
),
0)</f>
        <v/>
      </c>
      <c r="I160" s="47">
        <f>H160/$H$4</f>
        <v/>
      </c>
      <c r="J160" s="49">
        <f t="array" ref="J160">IFERROR(
SUM(
IF(
'PORTIFÓLIO'!$C$4:$C$564=$A160,
N(INDEX('PORTIFÓLIO'!$J$4:$Q$564,,MATCH(J$2,'PORTIFÓLIO'!$J$3:$Q$3,0))) *
N('PORTIFÓLIO'!$S$4:$S$564),
0
)
),
0)</f>
        <v/>
      </c>
      <c r="K160" s="47">
        <f>J160/$J$4</f>
        <v/>
      </c>
      <c r="L160" s="49">
        <f t="array" ref="L160">IFERROR(
SUM(
IF(
'PORTIFÓLIO'!$C$4:$C$564=$A160,
N(INDEX('PORTIFÓLIO'!$J$4:$Q$564,,MATCH(L$2,'PORTIFÓLIO'!$J$3:$Q$3,0))) *
N('PORTIFÓLIO'!$S$4:$S$564),
0
)
),
0)</f>
        <v/>
      </c>
      <c r="M160" s="47">
        <f>L160/$L$4</f>
        <v/>
      </c>
      <c r="N160" s="49">
        <f t="array" ref="N160">IFERROR(
SUM(
IF(
'PORTIFÓLIO'!$C$4:$C$564=$A160,
N(INDEX('PORTIFÓLIO'!$J$4:$Q$564,,MATCH(N$2,'PORTIFÓLIO'!$J$3:$Q$3,0))) *
N('PORTIFÓLIO'!$S$4:$S$564),
0
)
),
0)</f>
        <v/>
      </c>
      <c r="O160" s="49">
        <f>N160/$N$4</f>
        <v/>
      </c>
      <c r="P160" s="49">
        <f t="array" ref="P160">IFERROR(
SUM(
IF(
'PORTIFÓLIO'!$C$4:$C$564=$A160,
N(INDEX('PORTIFÓLIO'!$J$4:$Q$564,,MATCH(P$2,'PORTIFÓLIO'!$J$3:$Q$3,0))) *
N('PORTIFÓLIO'!$S$4:$S$564),
0
)
),
0)</f>
        <v/>
      </c>
      <c r="Q160" s="49">
        <f>P160/$P$4</f>
        <v/>
      </c>
      <c r="R160" s="49">
        <f>SUM(P160,N160,L160,J160,H160,D160,B160)</f>
        <v/>
      </c>
      <c r="S160" s="49">
        <f>R160/$R$4</f>
        <v/>
      </c>
    </row>
    <row r="161" hidden="1" outlineLevel="1" ht="15.75" customHeight="1" s="297">
      <c r="A161" s="48">
        <f>IFERROR(__xludf.DUMMYFUNCTION("""COMPUTED_VALUE"""),"ELATUS")</f>
        <v/>
      </c>
      <c r="B161" s="49">
        <f t="array" ref="B161">IFERROR(
SUM(
IF(
'PORTIFÓLIO'!$C$4:$C$564=$A161,
N(INDEX('PORTIFÓLIO'!$J$4:$Q$564,,MATCH(B$2,'PORTIFÓLIO'!$J$3:$Q$3,0))) *
N('PORTIFÓLIO'!$S$4:$S$564),
0
)
),
0)</f>
        <v/>
      </c>
      <c r="C161" s="49">
        <f>B161/$B$4</f>
        <v/>
      </c>
      <c r="D161" s="49">
        <f t="array" ref="D161">IFERROR(
SUM(
IF(
'PORTIFÓLIO'!$C$4:$C$564=$A161,
N(INDEX('PORTIFÓLIO'!$J$4:$Q$564,,MATCH(D$2,'PORTIFÓLIO'!$J$3:$Q$3,0))) *
N('PORTIFÓLIO'!$S$4:$S$564),
0
)
),
0)</f>
        <v/>
      </c>
      <c r="E161" s="49">
        <f>D161/$D$4</f>
        <v/>
      </c>
      <c r="F161" s="49">
        <f t="array" ref="F161">IFERROR(
SUM(
IF(
'PORTIFÓLIO'!$C$4:$C$564=$A161,
N(INDEX('PORTIFÓLIO'!$J$4:$Q$564,,MATCH(F$2,'PORTIFÓLIO'!$J$3:$Q$3,0))) *
N('PORTIFÓLIO'!$S$4:$S$564),
0
)
),
0)</f>
        <v/>
      </c>
      <c r="G161" s="47">
        <f>F161/$F$4</f>
        <v/>
      </c>
      <c r="H161" s="49">
        <f t="array" ref="H161">IFERROR(
SUM(
IF(
'PORTIFÓLIO'!$C$4:$C$564=$A161,
N(INDEX('PORTIFÓLIO'!$J$4:$Q$564,,MATCH(H$2,'PORTIFÓLIO'!$J$3:$Q$3,0))) *
N('PORTIFÓLIO'!$S$4:$S$564),
0
)
),
0)</f>
        <v/>
      </c>
      <c r="I161" s="47">
        <f>H161/$H$4</f>
        <v/>
      </c>
      <c r="J161" s="49">
        <f t="array" ref="J161">IFERROR(
SUM(
IF(
'PORTIFÓLIO'!$C$4:$C$564=$A161,
N(INDEX('PORTIFÓLIO'!$J$4:$Q$564,,MATCH(J$2,'PORTIFÓLIO'!$J$3:$Q$3,0))) *
N('PORTIFÓLIO'!$S$4:$S$564),
0
)
),
0)</f>
        <v/>
      </c>
      <c r="K161" s="47">
        <f>J161/$J$4</f>
        <v/>
      </c>
      <c r="L161" s="49">
        <f t="array" ref="L161">IFERROR(
SUM(
IF(
'PORTIFÓLIO'!$C$4:$C$564=$A161,
N(INDEX('PORTIFÓLIO'!$J$4:$Q$564,,MATCH(L$2,'PORTIFÓLIO'!$J$3:$Q$3,0))) *
N('PORTIFÓLIO'!$S$4:$S$564),
0
)
),
0)</f>
        <v/>
      </c>
      <c r="M161" s="47">
        <f>L161/$L$4</f>
        <v/>
      </c>
      <c r="N161" s="49">
        <f t="array" ref="N161">IFERROR(
SUM(
IF(
'PORTIFÓLIO'!$C$4:$C$564=$A161,
N(INDEX('PORTIFÓLIO'!$J$4:$Q$564,,MATCH(N$2,'PORTIFÓLIO'!$J$3:$Q$3,0))) *
N('PORTIFÓLIO'!$S$4:$S$564),
0
)
),
0)</f>
        <v/>
      </c>
      <c r="O161" s="49">
        <f>N161/$N$4</f>
        <v/>
      </c>
      <c r="P161" s="49">
        <f t="array" ref="P161">IFERROR(
SUM(
IF(
'PORTIFÓLIO'!$C$4:$C$564=$A161,
N(INDEX('PORTIFÓLIO'!$J$4:$Q$564,,MATCH(P$2,'PORTIFÓLIO'!$J$3:$Q$3,0))) *
N('PORTIFÓLIO'!$S$4:$S$564),
0
)
),
0)</f>
        <v/>
      </c>
      <c r="Q161" s="49">
        <f>P161/$P$4</f>
        <v/>
      </c>
      <c r="R161" s="49">
        <f>SUM(P161,N161,L161,J161,H161,D161,B161)</f>
        <v/>
      </c>
      <c r="S161" s="49">
        <f>R161/$R$4</f>
        <v/>
      </c>
    </row>
    <row r="162" hidden="1" outlineLevel="1" ht="15.75" customHeight="1" s="297">
      <c r="A162" s="48">
        <f>IFERROR(__xludf.DUMMYFUNCTION("""COMPUTED_VALUE"""),"MERTIN 400")</f>
        <v/>
      </c>
      <c r="B162" s="49">
        <f t="array" ref="B162">IFERROR(
SUM(
IF(
'PORTIFÓLIO'!$C$4:$C$564=$A162,
N(INDEX('PORTIFÓLIO'!$J$4:$Q$564,,MATCH(B$2,'PORTIFÓLIO'!$J$3:$Q$3,0))) *
N('PORTIFÓLIO'!$S$4:$S$564),
0
)
),
0)</f>
        <v/>
      </c>
      <c r="C162" s="49">
        <f>B162/$B$4</f>
        <v/>
      </c>
      <c r="D162" s="49">
        <f t="array" ref="D162">IFERROR(
SUM(
IF(
'PORTIFÓLIO'!$C$4:$C$564=$A162,
N(INDEX('PORTIFÓLIO'!$J$4:$Q$564,,MATCH(D$2,'PORTIFÓLIO'!$J$3:$Q$3,0))) *
N('PORTIFÓLIO'!$S$4:$S$564),
0
)
),
0)</f>
        <v/>
      </c>
      <c r="E162" s="49">
        <f>D162/$D$4</f>
        <v/>
      </c>
      <c r="F162" s="49">
        <f t="array" ref="F162">IFERROR(
SUM(
IF(
'PORTIFÓLIO'!$C$4:$C$564=$A162,
N(INDEX('PORTIFÓLIO'!$J$4:$Q$564,,MATCH(F$2,'PORTIFÓLIO'!$J$3:$Q$3,0))) *
N('PORTIFÓLIO'!$S$4:$S$564),
0
)
),
0)</f>
        <v/>
      </c>
      <c r="G162" s="47">
        <f>F162/$F$4</f>
        <v/>
      </c>
      <c r="H162" s="49">
        <f t="array" ref="H162">IFERROR(
SUM(
IF(
'PORTIFÓLIO'!$C$4:$C$564=$A162,
N(INDEX('PORTIFÓLIO'!$J$4:$Q$564,,MATCH(H$2,'PORTIFÓLIO'!$J$3:$Q$3,0))) *
N('PORTIFÓLIO'!$S$4:$S$564),
0
)
),
0)</f>
        <v/>
      </c>
      <c r="I162" s="47">
        <f>H162/$H$4</f>
        <v/>
      </c>
      <c r="J162" s="49">
        <f t="array" ref="J162">IFERROR(
SUM(
IF(
'PORTIFÓLIO'!$C$4:$C$564=$A162,
N(INDEX('PORTIFÓLIO'!$J$4:$Q$564,,MATCH(J$2,'PORTIFÓLIO'!$J$3:$Q$3,0))) *
N('PORTIFÓLIO'!$S$4:$S$564),
0
)
),
0)</f>
        <v/>
      </c>
      <c r="K162" s="47">
        <f>J162/$J$4</f>
        <v/>
      </c>
      <c r="L162" s="49">
        <f t="array" ref="L162">IFERROR(
SUM(
IF(
'PORTIFÓLIO'!$C$4:$C$564=$A162,
N(INDEX('PORTIFÓLIO'!$J$4:$Q$564,,MATCH(L$2,'PORTIFÓLIO'!$J$3:$Q$3,0))) *
N('PORTIFÓLIO'!$S$4:$S$564),
0
)
),
0)</f>
        <v/>
      </c>
      <c r="M162" s="47">
        <f>L162/$L$4</f>
        <v/>
      </c>
      <c r="N162" s="49">
        <f t="array" ref="N162">IFERROR(
SUM(
IF(
'PORTIFÓLIO'!$C$4:$C$564=$A162,
N(INDEX('PORTIFÓLIO'!$J$4:$Q$564,,MATCH(N$2,'PORTIFÓLIO'!$J$3:$Q$3,0))) *
N('PORTIFÓLIO'!$S$4:$S$564),
0
)
),
0)</f>
        <v/>
      </c>
      <c r="O162" s="49">
        <f>N162/$N$4</f>
        <v/>
      </c>
      <c r="P162" s="49">
        <f t="array" ref="P162">IFERROR(
SUM(
IF(
'PORTIFÓLIO'!$C$4:$C$564=$A162,
N(INDEX('PORTIFÓLIO'!$J$4:$Q$564,,MATCH(P$2,'PORTIFÓLIO'!$J$3:$Q$3,0))) *
N('PORTIFÓLIO'!$S$4:$S$564),
0
)
),
0)</f>
        <v/>
      </c>
      <c r="Q162" s="49">
        <f>P162/$P$4</f>
        <v/>
      </c>
      <c r="R162" s="49">
        <f>SUM(P162,N162,L162,J162,H162,D162,B162)</f>
        <v/>
      </c>
      <c r="S162" s="49">
        <f>R162/$R$4</f>
        <v/>
      </c>
    </row>
    <row r="163" hidden="1" outlineLevel="1" ht="15.75" customHeight="1" s="297">
      <c r="A163" s="48">
        <f>IFERROR(__xludf.DUMMYFUNCTION("""COMPUTED_VALUE"""),"MIRAVIS")</f>
        <v/>
      </c>
      <c r="B163" s="49">
        <f t="array" ref="B163">IFERROR(
SUM(
IF(
'PORTIFÓLIO'!$C$4:$C$564=$A163,
N(INDEX('PORTIFÓLIO'!$J$4:$Q$564,,MATCH(B$2,'PORTIFÓLIO'!$J$3:$Q$3,0))) *
N('PORTIFÓLIO'!$S$4:$S$564),
0
)
),
0)</f>
        <v/>
      </c>
      <c r="C163" s="49">
        <f>B163/$B$4</f>
        <v/>
      </c>
      <c r="D163" s="49">
        <f t="array" ref="D163">IFERROR(
SUM(
IF(
'PORTIFÓLIO'!$C$4:$C$564=$A163,
N(INDEX('PORTIFÓLIO'!$J$4:$Q$564,,MATCH(D$2,'PORTIFÓLIO'!$J$3:$Q$3,0))) *
N('PORTIFÓLIO'!$S$4:$S$564),
0
)
),
0)</f>
        <v/>
      </c>
      <c r="E163" s="49">
        <f>D163/$D$4</f>
        <v/>
      </c>
      <c r="F163" s="49">
        <f t="array" ref="F163">IFERROR(
SUM(
IF(
'PORTIFÓLIO'!$C$4:$C$564=$A163,
N(INDEX('PORTIFÓLIO'!$J$4:$Q$564,,MATCH(F$2,'PORTIFÓLIO'!$J$3:$Q$3,0))) *
N('PORTIFÓLIO'!$S$4:$S$564),
0
)
),
0)</f>
        <v/>
      </c>
      <c r="G163" s="47">
        <f>F163/$F$4</f>
        <v/>
      </c>
      <c r="H163" s="49">
        <f t="array" ref="H163">IFERROR(
SUM(
IF(
'PORTIFÓLIO'!$C$4:$C$564=$A163,
N(INDEX('PORTIFÓLIO'!$J$4:$Q$564,,MATCH(H$2,'PORTIFÓLIO'!$J$3:$Q$3,0))) *
N('PORTIFÓLIO'!$S$4:$S$564),
0
)
),
0)</f>
        <v/>
      </c>
      <c r="I163" s="47">
        <f>H163/$H$4</f>
        <v/>
      </c>
      <c r="J163" s="49">
        <f t="array" ref="J163">IFERROR(
SUM(
IF(
'PORTIFÓLIO'!$C$4:$C$564=$A163,
N(INDEX('PORTIFÓLIO'!$J$4:$Q$564,,MATCH(J$2,'PORTIFÓLIO'!$J$3:$Q$3,0))) *
N('PORTIFÓLIO'!$S$4:$S$564),
0
)
),
0)</f>
        <v/>
      </c>
      <c r="K163" s="47">
        <f>J163/$J$4</f>
        <v/>
      </c>
      <c r="L163" s="49">
        <f t="array" ref="L163">IFERROR(
SUM(
IF(
'PORTIFÓLIO'!$C$4:$C$564=$A163,
N(INDEX('PORTIFÓLIO'!$J$4:$Q$564,,MATCH(L$2,'PORTIFÓLIO'!$J$3:$Q$3,0))) *
N('PORTIFÓLIO'!$S$4:$S$564),
0
)
),
0)</f>
        <v/>
      </c>
      <c r="M163" s="47">
        <f>L163/$L$4</f>
        <v/>
      </c>
      <c r="N163" s="49">
        <f t="array" ref="N163">IFERROR(
SUM(
IF(
'PORTIFÓLIO'!$C$4:$C$564=$A163,
N(INDEX('PORTIFÓLIO'!$J$4:$Q$564,,MATCH(N$2,'PORTIFÓLIO'!$J$3:$Q$3,0))) *
N('PORTIFÓLIO'!$S$4:$S$564),
0
)
),
0)</f>
        <v/>
      </c>
      <c r="O163" s="49">
        <f>N163/$N$4</f>
        <v/>
      </c>
      <c r="P163" s="49">
        <f t="array" ref="P163">IFERROR(
SUM(
IF(
'PORTIFÓLIO'!$C$4:$C$564=$A163,
N(INDEX('PORTIFÓLIO'!$J$4:$Q$564,,MATCH(P$2,'PORTIFÓLIO'!$J$3:$Q$3,0))) *
N('PORTIFÓLIO'!$S$4:$S$564),
0
)
),
0)</f>
        <v/>
      </c>
      <c r="Q163" s="49">
        <f>P163/$P$4</f>
        <v/>
      </c>
      <c r="R163" s="49">
        <f>SUM(P163,N163,L163,J163,H163,D163,B163)</f>
        <v/>
      </c>
      <c r="S163" s="49">
        <f>R163/$R$4</f>
        <v/>
      </c>
    </row>
    <row r="164" hidden="1" outlineLevel="1" ht="15.75" customHeight="1" s="297">
      <c r="A164" s="48">
        <f>IFERROR(__xludf.DUMMYFUNCTION("""COMPUTED_VALUE"""),"MIRAVIS DUO")</f>
        <v/>
      </c>
      <c r="B164" s="49">
        <f t="array" ref="B164">IFERROR(
SUM(
IF(
'PORTIFÓLIO'!$C$4:$C$564=$A164,
N(INDEX('PORTIFÓLIO'!$J$4:$Q$564,,MATCH(B$2,'PORTIFÓLIO'!$J$3:$Q$3,0))) *
N('PORTIFÓLIO'!$S$4:$S$564),
0
)
),
0)</f>
        <v/>
      </c>
      <c r="C164" s="49">
        <f>B164/$B$4</f>
        <v/>
      </c>
      <c r="D164" s="49">
        <f t="array" ref="D164">IFERROR(
SUM(
IF(
'PORTIFÓLIO'!$C$4:$C$564=$A164,
N(INDEX('PORTIFÓLIO'!$J$4:$Q$564,,MATCH(D$2,'PORTIFÓLIO'!$J$3:$Q$3,0))) *
N('PORTIFÓLIO'!$S$4:$S$564),
0
)
),
0)</f>
        <v/>
      </c>
      <c r="E164" s="49">
        <f>D164/$D$4</f>
        <v/>
      </c>
      <c r="F164" s="49">
        <f t="array" ref="F164">IFERROR(
SUM(
IF(
'PORTIFÓLIO'!$C$4:$C$564=$A164,
N(INDEX('PORTIFÓLIO'!$J$4:$Q$564,,MATCH(F$2,'PORTIFÓLIO'!$J$3:$Q$3,0))) *
N('PORTIFÓLIO'!$S$4:$S$564),
0
)
),
0)</f>
        <v/>
      </c>
      <c r="G164" s="47">
        <f>F164/$F$4</f>
        <v/>
      </c>
      <c r="H164" s="49">
        <f t="array" ref="H164">IFERROR(
SUM(
IF(
'PORTIFÓLIO'!$C$4:$C$564=$A164,
N(INDEX('PORTIFÓLIO'!$J$4:$Q$564,,MATCH(H$2,'PORTIFÓLIO'!$J$3:$Q$3,0))) *
N('PORTIFÓLIO'!$S$4:$S$564),
0
)
),
0)</f>
        <v/>
      </c>
      <c r="I164" s="47">
        <f>H164/$H$4</f>
        <v/>
      </c>
      <c r="J164" s="49">
        <f t="array" ref="J164">IFERROR(
SUM(
IF(
'PORTIFÓLIO'!$C$4:$C$564=$A164,
N(INDEX('PORTIFÓLIO'!$J$4:$Q$564,,MATCH(J$2,'PORTIFÓLIO'!$J$3:$Q$3,0))) *
N('PORTIFÓLIO'!$S$4:$S$564),
0
)
),
0)</f>
        <v/>
      </c>
      <c r="K164" s="47">
        <f>J164/$J$4</f>
        <v/>
      </c>
      <c r="L164" s="49">
        <f t="array" ref="L164">IFERROR(
SUM(
IF(
'PORTIFÓLIO'!$C$4:$C$564=$A164,
N(INDEX('PORTIFÓLIO'!$J$4:$Q$564,,MATCH(L$2,'PORTIFÓLIO'!$J$3:$Q$3,0))) *
N('PORTIFÓLIO'!$S$4:$S$564),
0
)
),
0)</f>
        <v/>
      </c>
      <c r="M164" s="47">
        <f>L164/$L$4</f>
        <v/>
      </c>
      <c r="N164" s="49">
        <f t="array" ref="N164">IFERROR(
SUM(
IF(
'PORTIFÓLIO'!$C$4:$C$564=$A164,
N(INDEX('PORTIFÓLIO'!$J$4:$Q$564,,MATCH(N$2,'PORTIFÓLIO'!$J$3:$Q$3,0))) *
N('PORTIFÓLIO'!$S$4:$S$564),
0
)
),
0)</f>
        <v/>
      </c>
      <c r="O164" s="49">
        <f>N164/$N$4</f>
        <v/>
      </c>
      <c r="P164" s="49">
        <f t="array" ref="P164">IFERROR(
SUM(
IF(
'PORTIFÓLIO'!$C$4:$C$564=$A164,
N(INDEX('PORTIFÓLIO'!$J$4:$Q$564,,MATCH(P$2,'PORTIFÓLIO'!$J$3:$Q$3,0))) *
N('PORTIFÓLIO'!$S$4:$S$564),
0
)
),
0)</f>
        <v/>
      </c>
      <c r="Q164" s="49">
        <f>P164/$P$4</f>
        <v/>
      </c>
      <c r="R164" s="49">
        <f>SUM(P164,N164,L164,J164,H164,D164,B164)</f>
        <v/>
      </c>
      <c r="S164" s="49">
        <f>R164/$R$4</f>
        <v/>
      </c>
    </row>
    <row r="165" hidden="1" outlineLevel="1" ht="15.75" customHeight="1" s="297">
      <c r="A165" s="48">
        <f>IFERROR(__xludf.DUMMYFUNCTION("""COMPUTED_VALUE"""),"MIRAVIS PRO")</f>
        <v/>
      </c>
      <c r="B165" s="49">
        <f t="array" ref="B165">IFERROR(
SUM(
IF(
'PORTIFÓLIO'!$C$4:$C$564=$A165,
N(INDEX('PORTIFÓLIO'!$J$4:$Q$564,,MATCH(B$2,'PORTIFÓLIO'!$J$3:$Q$3,0))) *
N('PORTIFÓLIO'!$S$4:$S$564),
0
)
),
0)</f>
        <v/>
      </c>
      <c r="C165" s="49">
        <f>B165/$B$4</f>
        <v/>
      </c>
      <c r="D165" s="49">
        <f t="array" ref="D165">IFERROR(
SUM(
IF(
'PORTIFÓLIO'!$C$4:$C$564=$A165,
N(INDEX('PORTIFÓLIO'!$J$4:$Q$564,,MATCH(D$2,'PORTIFÓLIO'!$J$3:$Q$3,0))) *
N('PORTIFÓLIO'!$S$4:$S$564),
0
)
),
0)</f>
        <v/>
      </c>
      <c r="E165" s="49">
        <f>D165/$D$4</f>
        <v/>
      </c>
      <c r="F165" s="49">
        <f t="array" ref="F165">IFERROR(
SUM(
IF(
'PORTIFÓLIO'!$C$4:$C$564=$A165,
N(INDEX('PORTIFÓLIO'!$J$4:$Q$564,,MATCH(F$2,'PORTIFÓLIO'!$J$3:$Q$3,0))) *
N('PORTIFÓLIO'!$S$4:$S$564),
0
)
),
0)</f>
        <v/>
      </c>
      <c r="G165" s="47">
        <f>F165/$F$4</f>
        <v/>
      </c>
      <c r="H165" s="49">
        <f t="array" ref="H165">IFERROR(
SUM(
IF(
'PORTIFÓLIO'!$C$4:$C$564=$A165,
N(INDEX('PORTIFÓLIO'!$J$4:$Q$564,,MATCH(H$2,'PORTIFÓLIO'!$J$3:$Q$3,0))) *
N('PORTIFÓLIO'!$S$4:$S$564),
0
)
),
0)</f>
        <v/>
      </c>
      <c r="I165" s="47">
        <f>H165/$H$4</f>
        <v/>
      </c>
      <c r="J165" s="49">
        <f t="array" ref="J165">IFERROR(
SUM(
IF(
'PORTIFÓLIO'!$C$4:$C$564=$A165,
N(INDEX('PORTIFÓLIO'!$J$4:$Q$564,,MATCH(J$2,'PORTIFÓLIO'!$J$3:$Q$3,0))) *
N('PORTIFÓLIO'!$S$4:$S$564),
0
)
),
0)</f>
        <v/>
      </c>
      <c r="K165" s="47">
        <f>J165/$J$4</f>
        <v/>
      </c>
      <c r="L165" s="49">
        <f t="array" ref="L165">IFERROR(
SUM(
IF(
'PORTIFÓLIO'!$C$4:$C$564=$A165,
N(INDEX('PORTIFÓLIO'!$J$4:$Q$564,,MATCH(L$2,'PORTIFÓLIO'!$J$3:$Q$3,0))) *
N('PORTIFÓLIO'!$S$4:$S$564),
0
)
),
0)</f>
        <v/>
      </c>
      <c r="M165" s="47">
        <f>L165/$L$4</f>
        <v/>
      </c>
      <c r="N165" s="49">
        <f t="array" ref="N165">IFERROR(
SUM(
IF(
'PORTIFÓLIO'!$C$4:$C$564=$A165,
N(INDEX('PORTIFÓLIO'!$J$4:$Q$564,,MATCH(N$2,'PORTIFÓLIO'!$J$3:$Q$3,0))) *
N('PORTIFÓLIO'!$S$4:$S$564),
0
)
),
0)</f>
        <v/>
      </c>
      <c r="O165" s="49">
        <f>N165/$N$4</f>
        <v/>
      </c>
      <c r="P165" s="49">
        <f t="array" ref="P165">IFERROR(
SUM(
IF(
'PORTIFÓLIO'!$C$4:$C$564=$A165,
N(INDEX('PORTIFÓLIO'!$J$4:$Q$564,,MATCH(P$2,'PORTIFÓLIO'!$J$3:$Q$3,0))) *
N('PORTIFÓLIO'!$S$4:$S$564),
0
)
),
0)</f>
        <v/>
      </c>
      <c r="Q165" s="49">
        <f>P165/$P$4</f>
        <v/>
      </c>
      <c r="R165" s="49">
        <f>SUM(P165,N165,L165,J165,H165,D165,B165)</f>
        <v/>
      </c>
      <c r="S165" s="49">
        <f>R165/$R$4</f>
        <v/>
      </c>
    </row>
    <row r="166" hidden="1" outlineLevel="1" ht="15.75" customHeight="1" s="297">
      <c r="A166" s="48">
        <f>IFERROR(__xludf.DUMMYFUNCTION("""COMPUTED_VALUE"""),"MITRION EC")</f>
        <v/>
      </c>
      <c r="B166" s="49">
        <f t="array" ref="B166">IFERROR(
SUM(
IF(
'PORTIFÓLIO'!$C$4:$C$564=$A166,
N(INDEX('PORTIFÓLIO'!$J$4:$Q$564,,MATCH(B$2,'PORTIFÓLIO'!$J$3:$Q$3,0))) *
N('PORTIFÓLIO'!$S$4:$S$564),
0
)
),
0)</f>
        <v/>
      </c>
      <c r="C166" s="49">
        <f>B166/$B$4</f>
        <v/>
      </c>
      <c r="D166" s="49">
        <f t="array" ref="D166">IFERROR(
SUM(
IF(
'PORTIFÓLIO'!$C$4:$C$564=$A166,
N(INDEX('PORTIFÓLIO'!$J$4:$Q$564,,MATCH(D$2,'PORTIFÓLIO'!$J$3:$Q$3,0))) *
N('PORTIFÓLIO'!$S$4:$S$564),
0
)
),
0)</f>
        <v/>
      </c>
      <c r="E166" s="49">
        <f>D166/$D$4</f>
        <v/>
      </c>
      <c r="F166" s="49">
        <f t="array" ref="F166">IFERROR(
SUM(
IF(
'PORTIFÓLIO'!$C$4:$C$564=$A166,
N(INDEX('PORTIFÓLIO'!$J$4:$Q$564,,MATCH(F$2,'PORTIFÓLIO'!$J$3:$Q$3,0))) *
N('PORTIFÓLIO'!$S$4:$S$564),
0
)
),
0)</f>
        <v/>
      </c>
      <c r="G166" s="47">
        <f>F166/$F$4</f>
        <v/>
      </c>
      <c r="H166" s="49">
        <f t="array" ref="H166">IFERROR(
SUM(
IF(
'PORTIFÓLIO'!$C$4:$C$564=$A166,
N(INDEX('PORTIFÓLIO'!$J$4:$Q$564,,MATCH(H$2,'PORTIFÓLIO'!$J$3:$Q$3,0))) *
N('PORTIFÓLIO'!$S$4:$S$564),
0
)
),
0)</f>
        <v/>
      </c>
      <c r="I166" s="47">
        <f>H166/$H$4</f>
        <v/>
      </c>
      <c r="J166" s="49">
        <f t="array" ref="J166">IFERROR(
SUM(
IF(
'PORTIFÓLIO'!$C$4:$C$564=$A166,
N(INDEX('PORTIFÓLIO'!$J$4:$Q$564,,MATCH(J$2,'PORTIFÓLIO'!$J$3:$Q$3,0))) *
N('PORTIFÓLIO'!$S$4:$S$564),
0
)
),
0)</f>
        <v/>
      </c>
      <c r="K166" s="47">
        <f>J166/$J$4</f>
        <v/>
      </c>
      <c r="L166" s="49">
        <f t="array" ref="L166">IFERROR(
SUM(
IF(
'PORTIFÓLIO'!$C$4:$C$564=$A166,
N(INDEX('PORTIFÓLIO'!$J$4:$Q$564,,MATCH(L$2,'PORTIFÓLIO'!$J$3:$Q$3,0))) *
N('PORTIFÓLIO'!$S$4:$S$564),
0
)
),
0)</f>
        <v/>
      </c>
      <c r="M166" s="47">
        <f>L166/$L$4</f>
        <v/>
      </c>
      <c r="N166" s="49">
        <f t="array" ref="N166">IFERROR(
SUM(
IF(
'PORTIFÓLIO'!$C$4:$C$564=$A166,
N(INDEX('PORTIFÓLIO'!$J$4:$Q$564,,MATCH(N$2,'PORTIFÓLIO'!$J$3:$Q$3,0))) *
N('PORTIFÓLIO'!$S$4:$S$564),
0
)
),
0)</f>
        <v/>
      </c>
      <c r="O166" s="49">
        <f>N166/$N$4</f>
        <v/>
      </c>
      <c r="P166" s="49">
        <f t="array" ref="P166">IFERROR(
SUM(
IF(
'PORTIFÓLIO'!$C$4:$C$564=$A166,
N(INDEX('PORTIFÓLIO'!$J$4:$Q$564,,MATCH(P$2,'PORTIFÓLIO'!$J$3:$Q$3,0))) *
N('PORTIFÓLIO'!$S$4:$S$564),
0
)
),
0)</f>
        <v/>
      </c>
      <c r="Q166" s="49">
        <f>P166/$P$4</f>
        <v/>
      </c>
      <c r="R166" s="49">
        <f>SUM(P166,N166,L166,J166,H166,D166,B166)</f>
        <v/>
      </c>
      <c r="S166" s="49">
        <f>R166/$R$4</f>
        <v/>
      </c>
    </row>
    <row r="167" hidden="1" outlineLevel="1" ht="15.75" customHeight="1" s="297">
      <c r="A167" s="48">
        <f>IFERROR(__xludf.DUMMYFUNCTION("""COMPUTED_VALUE"""),"PRIORI TOP")</f>
        <v/>
      </c>
      <c r="B167" s="49">
        <f t="array" ref="B167">IFERROR(
SUM(
IF(
'PORTIFÓLIO'!$C$4:$C$564=$A167,
N(INDEX('PORTIFÓLIO'!$J$4:$Q$564,,MATCH(B$2,'PORTIFÓLIO'!$J$3:$Q$3,0))) *
N('PORTIFÓLIO'!$S$4:$S$564),
0
)
),
0)</f>
        <v/>
      </c>
      <c r="C167" s="49">
        <f>B167/$B$4</f>
        <v/>
      </c>
      <c r="D167" s="49">
        <f t="array" ref="D167">IFERROR(
SUM(
IF(
'PORTIFÓLIO'!$C$4:$C$564=$A167,
N(INDEX('PORTIFÓLIO'!$J$4:$Q$564,,MATCH(D$2,'PORTIFÓLIO'!$J$3:$Q$3,0))) *
N('PORTIFÓLIO'!$S$4:$S$564),
0
)
),
0)</f>
        <v/>
      </c>
      <c r="E167" s="49">
        <f>D167/$D$4</f>
        <v/>
      </c>
      <c r="F167" s="49">
        <f t="array" ref="F167">IFERROR(
SUM(
IF(
'PORTIFÓLIO'!$C$4:$C$564=$A167,
N(INDEX('PORTIFÓLIO'!$J$4:$Q$564,,MATCH(F$2,'PORTIFÓLIO'!$J$3:$Q$3,0))) *
N('PORTIFÓLIO'!$S$4:$S$564),
0
)
),
0)</f>
        <v/>
      </c>
      <c r="G167" s="47">
        <f>F167/$F$4</f>
        <v/>
      </c>
      <c r="H167" s="49">
        <f t="array" ref="H167">IFERROR(
SUM(
IF(
'PORTIFÓLIO'!$C$4:$C$564=$A167,
N(INDEX('PORTIFÓLIO'!$J$4:$Q$564,,MATCH(H$2,'PORTIFÓLIO'!$J$3:$Q$3,0))) *
N('PORTIFÓLIO'!$S$4:$S$564),
0
)
),
0)</f>
        <v/>
      </c>
      <c r="I167" s="47">
        <f>H167/$H$4</f>
        <v/>
      </c>
      <c r="J167" s="49">
        <f t="array" ref="J167">IFERROR(
SUM(
IF(
'PORTIFÓLIO'!$C$4:$C$564=$A167,
N(INDEX('PORTIFÓLIO'!$J$4:$Q$564,,MATCH(J$2,'PORTIFÓLIO'!$J$3:$Q$3,0))) *
N('PORTIFÓLIO'!$S$4:$S$564),
0
)
),
0)</f>
        <v/>
      </c>
      <c r="K167" s="47">
        <f>J167/$J$4</f>
        <v/>
      </c>
      <c r="L167" s="49">
        <f t="array" ref="L167">IFERROR(
SUM(
IF(
'PORTIFÓLIO'!$C$4:$C$564=$A167,
N(INDEX('PORTIFÓLIO'!$J$4:$Q$564,,MATCH(L$2,'PORTIFÓLIO'!$J$3:$Q$3,0))) *
N('PORTIFÓLIO'!$S$4:$S$564),
0
)
),
0)</f>
        <v/>
      </c>
      <c r="M167" s="47">
        <f>L167/$L$4</f>
        <v/>
      </c>
      <c r="N167" s="49">
        <f t="array" ref="N167">IFERROR(
SUM(
IF(
'PORTIFÓLIO'!$C$4:$C$564=$A167,
N(INDEX('PORTIFÓLIO'!$J$4:$Q$564,,MATCH(N$2,'PORTIFÓLIO'!$J$3:$Q$3,0))) *
N('PORTIFÓLIO'!$S$4:$S$564),
0
)
),
0)</f>
        <v/>
      </c>
      <c r="O167" s="49">
        <f>N167/$N$4</f>
        <v/>
      </c>
      <c r="P167" s="49">
        <f t="array" ref="P167">IFERROR(
SUM(
IF(
'PORTIFÓLIO'!$C$4:$C$564=$A167,
N(INDEX('PORTIFÓLIO'!$J$4:$Q$564,,MATCH(P$2,'PORTIFÓLIO'!$J$3:$Q$3,0))) *
N('PORTIFÓLIO'!$S$4:$S$564),
0
)
),
0)</f>
        <v/>
      </c>
      <c r="Q167" s="49">
        <f>P167/$P$4</f>
        <v/>
      </c>
      <c r="R167" s="49">
        <f>SUM(P167,N167,L167,J167,H167,D167,B167)</f>
        <v/>
      </c>
      <c r="S167" s="49">
        <f>R167/$R$4</f>
        <v/>
      </c>
    </row>
    <row r="168" hidden="1" outlineLevel="1" ht="15.75" customHeight="1" s="297">
      <c r="A168" s="48">
        <f>IFERROR(__xludf.DUMMYFUNCTION("""COMPUTED_VALUE"""),"RIDOMIL GOLD BRAVO")</f>
        <v/>
      </c>
      <c r="B168" s="49">
        <f t="array" ref="B168">IFERROR(
SUM(
IF(
'PORTIFÓLIO'!$C$4:$C$564=$A168,
N(INDEX('PORTIFÓLIO'!$J$4:$Q$564,,MATCH(B$2,'PORTIFÓLIO'!$J$3:$Q$3,0))) *
N('PORTIFÓLIO'!$S$4:$S$564),
0
)
),
0)</f>
        <v/>
      </c>
      <c r="C168" s="49">
        <f>B168/$B$4</f>
        <v/>
      </c>
      <c r="D168" s="49">
        <f t="array" ref="D168">IFERROR(
SUM(
IF(
'PORTIFÓLIO'!$C$4:$C$564=$A168,
N(INDEX('PORTIFÓLIO'!$J$4:$Q$564,,MATCH(D$2,'PORTIFÓLIO'!$J$3:$Q$3,0))) *
N('PORTIFÓLIO'!$S$4:$S$564),
0
)
),
0)</f>
        <v/>
      </c>
      <c r="E168" s="49">
        <f>D168/$D$4</f>
        <v/>
      </c>
      <c r="F168" s="49">
        <f t="array" ref="F168">IFERROR(
SUM(
IF(
'PORTIFÓLIO'!$C$4:$C$564=$A168,
N(INDEX('PORTIFÓLIO'!$J$4:$Q$564,,MATCH(F$2,'PORTIFÓLIO'!$J$3:$Q$3,0))) *
N('PORTIFÓLIO'!$S$4:$S$564),
0
)
),
0)</f>
        <v/>
      </c>
      <c r="G168" s="47">
        <f>F168/$F$4</f>
        <v/>
      </c>
      <c r="H168" s="49">
        <f t="array" ref="H168">IFERROR(
SUM(
IF(
'PORTIFÓLIO'!$C$4:$C$564=$A168,
N(INDEX('PORTIFÓLIO'!$J$4:$Q$564,,MATCH(H$2,'PORTIFÓLIO'!$J$3:$Q$3,0))) *
N('PORTIFÓLIO'!$S$4:$S$564),
0
)
),
0)</f>
        <v/>
      </c>
      <c r="I168" s="47">
        <f>H168/$H$4</f>
        <v/>
      </c>
      <c r="J168" s="49">
        <f t="array" ref="J168">IFERROR(
SUM(
IF(
'PORTIFÓLIO'!$C$4:$C$564=$A168,
N(INDEX('PORTIFÓLIO'!$J$4:$Q$564,,MATCH(J$2,'PORTIFÓLIO'!$J$3:$Q$3,0))) *
N('PORTIFÓLIO'!$S$4:$S$564),
0
)
),
0)</f>
        <v/>
      </c>
      <c r="K168" s="47">
        <f>J168/$J$4</f>
        <v/>
      </c>
      <c r="L168" s="49">
        <f t="array" ref="L168">IFERROR(
SUM(
IF(
'PORTIFÓLIO'!$C$4:$C$564=$A168,
N(INDEX('PORTIFÓLIO'!$J$4:$Q$564,,MATCH(L$2,'PORTIFÓLIO'!$J$3:$Q$3,0))) *
N('PORTIFÓLIO'!$S$4:$S$564),
0
)
),
0)</f>
        <v/>
      </c>
      <c r="M168" s="47">
        <f>L168/$L$4</f>
        <v/>
      </c>
      <c r="N168" s="49">
        <f t="array" ref="N168">IFERROR(
SUM(
IF(
'PORTIFÓLIO'!$C$4:$C$564=$A168,
N(INDEX('PORTIFÓLIO'!$J$4:$Q$564,,MATCH(N$2,'PORTIFÓLIO'!$J$3:$Q$3,0))) *
N('PORTIFÓLIO'!$S$4:$S$564),
0
)
),
0)</f>
        <v/>
      </c>
      <c r="O168" s="49">
        <f>N168/$N$4</f>
        <v/>
      </c>
      <c r="P168" s="49">
        <f t="array" ref="P168">IFERROR(
SUM(
IF(
'PORTIFÓLIO'!$C$4:$C$564=$A168,
N(INDEX('PORTIFÓLIO'!$J$4:$Q$564,,MATCH(P$2,'PORTIFÓLIO'!$J$3:$Q$3,0))) *
N('PORTIFÓLIO'!$S$4:$S$564),
0
)
),
0)</f>
        <v/>
      </c>
      <c r="Q168" s="49">
        <f>P168/$P$4</f>
        <v/>
      </c>
      <c r="R168" s="49">
        <f>SUM(P168,N168,L168,J168,H168,D168,B168)</f>
        <v/>
      </c>
      <c r="S168" s="49">
        <f>R168/$R$4</f>
        <v/>
      </c>
    </row>
    <row r="169" hidden="1" outlineLevel="1" ht="15.75" customHeight="1" s="297">
      <c r="A169" s="48">
        <f>IFERROR(__xludf.DUMMYFUNCTION("""COMPUTED_VALUE"""),"SCORE FLEXI®")</f>
        <v/>
      </c>
      <c r="B169" s="49">
        <f t="array" ref="B169">IFERROR(
SUM(
IF(
'PORTIFÓLIO'!$C$4:$C$564=$A169,
N(INDEX('PORTIFÓLIO'!$J$4:$Q$564,,MATCH(B$2,'PORTIFÓLIO'!$J$3:$Q$3,0))) *
N('PORTIFÓLIO'!$S$4:$S$564),
0
)
),
0)</f>
        <v/>
      </c>
      <c r="C169" s="49">
        <f>B169/$B$4</f>
        <v/>
      </c>
      <c r="D169" s="49">
        <f t="array" ref="D169">IFERROR(
SUM(
IF(
'PORTIFÓLIO'!$C$4:$C$564=$A169,
N(INDEX('PORTIFÓLIO'!$J$4:$Q$564,,MATCH(D$2,'PORTIFÓLIO'!$J$3:$Q$3,0))) *
N('PORTIFÓLIO'!$S$4:$S$564),
0
)
),
0)</f>
        <v/>
      </c>
      <c r="E169" s="49">
        <f>D169/$D$4</f>
        <v/>
      </c>
      <c r="F169" s="49">
        <f t="array" ref="F169">IFERROR(
SUM(
IF(
'PORTIFÓLIO'!$C$4:$C$564=$A169,
N(INDEX('PORTIFÓLIO'!$J$4:$Q$564,,MATCH(F$2,'PORTIFÓLIO'!$J$3:$Q$3,0))) *
N('PORTIFÓLIO'!$S$4:$S$564),
0
)
),
0)</f>
        <v/>
      </c>
      <c r="G169" s="47">
        <f>F169/$F$4</f>
        <v/>
      </c>
      <c r="H169" s="49">
        <f t="array" ref="H169">IFERROR(
SUM(
IF(
'PORTIFÓLIO'!$C$4:$C$564=$A169,
N(INDEX('PORTIFÓLIO'!$J$4:$Q$564,,MATCH(H$2,'PORTIFÓLIO'!$J$3:$Q$3,0))) *
N('PORTIFÓLIO'!$S$4:$S$564),
0
)
),
0)</f>
        <v/>
      </c>
      <c r="I169" s="47">
        <f>H169/$H$4</f>
        <v/>
      </c>
      <c r="J169" s="49">
        <f t="array" ref="J169">IFERROR(
SUM(
IF(
'PORTIFÓLIO'!$C$4:$C$564=$A169,
N(INDEX('PORTIFÓLIO'!$J$4:$Q$564,,MATCH(J$2,'PORTIFÓLIO'!$J$3:$Q$3,0))) *
N('PORTIFÓLIO'!$S$4:$S$564),
0
)
),
0)</f>
        <v/>
      </c>
      <c r="K169" s="47">
        <f>J169/$J$4</f>
        <v/>
      </c>
      <c r="L169" s="49">
        <f t="array" ref="L169">IFERROR(
SUM(
IF(
'PORTIFÓLIO'!$C$4:$C$564=$A169,
N(INDEX('PORTIFÓLIO'!$J$4:$Q$564,,MATCH(L$2,'PORTIFÓLIO'!$J$3:$Q$3,0))) *
N('PORTIFÓLIO'!$S$4:$S$564),
0
)
),
0)</f>
        <v/>
      </c>
      <c r="M169" s="47">
        <f>L169/$L$4</f>
        <v/>
      </c>
      <c r="N169" s="49">
        <f t="array" ref="N169">IFERROR(
SUM(
IF(
'PORTIFÓLIO'!$C$4:$C$564=$A169,
N(INDEX('PORTIFÓLIO'!$J$4:$Q$564,,MATCH(N$2,'PORTIFÓLIO'!$J$3:$Q$3,0))) *
N('PORTIFÓLIO'!$S$4:$S$564),
0
)
),
0)</f>
        <v/>
      </c>
      <c r="O169" s="49">
        <f>N169/$N$4</f>
        <v/>
      </c>
      <c r="P169" s="49">
        <f t="array" ref="P169">IFERROR(
SUM(
IF(
'PORTIFÓLIO'!$C$4:$C$564=$A169,
N(INDEX('PORTIFÓLIO'!$J$4:$Q$564,,MATCH(P$2,'PORTIFÓLIO'!$J$3:$Q$3,0))) *
N('PORTIFÓLIO'!$S$4:$S$564),
0
)
),
0)</f>
        <v/>
      </c>
      <c r="Q169" s="49">
        <f>P169/$P$4</f>
        <v/>
      </c>
      <c r="R169" s="49">
        <f>SUM(P169,N169,L169,J169,H169,D169,B169)</f>
        <v/>
      </c>
      <c r="S169" s="49">
        <f>R169/$R$4</f>
        <v/>
      </c>
    </row>
    <row r="170" hidden="1" outlineLevel="1" ht="15.75" customHeight="1" s="297">
      <c r="A170" s="48">
        <f>IFERROR(__xludf.DUMMYFUNCTION("""COMPUTED_VALUE"""),"SEEKER")</f>
        <v/>
      </c>
      <c r="B170" s="49">
        <f t="array" ref="B170">IFERROR(
SUM(
IF(
'PORTIFÓLIO'!$C$4:$C$564=$A170,
N(INDEX('PORTIFÓLIO'!$J$4:$Q$564,,MATCH(B$2,'PORTIFÓLIO'!$J$3:$Q$3,0))) *
N('PORTIFÓLIO'!$S$4:$S$564),
0
)
),
0)</f>
        <v/>
      </c>
      <c r="C170" s="49">
        <f>B170/$B$4</f>
        <v/>
      </c>
      <c r="D170" s="49">
        <f t="array" ref="D170">IFERROR(
SUM(
IF(
'PORTIFÓLIO'!$C$4:$C$564=$A170,
N(INDEX('PORTIFÓLIO'!$J$4:$Q$564,,MATCH(D$2,'PORTIFÓLIO'!$J$3:$Q$3,0))) *
N('PORTIFÓLIO'!$S$4:$S$564),
0
)
),
0)</f>
        <v/>
      </c>
      <c r="E170" s="49">
        <f>D170/$D$4</f>
        <v/>
      </c>
      <c r="F170" s="49">
        <f t="array" ref="F170">IFERROR(
SUM(
IF(
'PORTIFÓLIO'!$C$4:$C$564=$A170,
N(INDEX('PORTIFÓLIO'!$J$4:$Q$564,,MATCH(F$2,'PORTIFÓLIO'!$J$3:$Q$3,0))) *
N('PORTIFÓLIO'!$S$4:$S$564),
0
)
),
0)</f>
        <v/>
      </c>
      <c r="G170" s="47">
        <f>F170/$F$4</f>
        <v/>
      </c>
      <c r="H170" s="49">
        <f t="array" ref="H170">IFERROR(
SUM(
IF(
'PORTIFÓLIO'!$C$4:$C$564=$A170,
N(INDEX('PORTIFÓLIO'!$J$4:$Q$564,,MATCH(H$2,'PORTIFÓLIO'!$J$3:$Q$3,0))) *
N('PORTIFÓLIO'!$S$4:$S$564),
0
)
),
0)</f>
        <v/>
      </c>
      <c r="I170" s="47">
        <f>H170/$H$4</f>
        <v/>
      </c>
      <c r="J170" s="49">
        <f t="array" ref="J170">IFERROR(
SUM(
IF(
'PORTIFÓLIO'!$C$4:$C$564=$A170,
N(INDEX('PORTIFÓLIO'!$J$4:$Q$564,,MATCH(J$2,'PORTIFÓLIO'!$J$3:$Q$3,0))) *
N('PORTIFÓLIO'!$S$4:$S$564),
0
)
),
0)</f>
        <v/>
      </c>
      <c r="K170" s="47">
        <f>J170/$J$4</f>
        <v/>
      </c>
      <c r="L170" s="49">
        <f t="array" ref="L170">IFERROR(
SUM(
IF(
'PORTIFÓLIO'!$C$4:$C$564=$A170,
N(INDEX('PORTIFÓLIO'!$J$4:$Q$564,,MATCH(L$2,'PORTIFÓLIO'!$J$3:$Q$3,0))) *
N('PORTIFÓLIO'!$S$4:$S$564),
0
)
),
0)</f>
        <v/>
      </c>
      <c r="M170" s="47">
        <f>L170/$L$4</f>
        <v/>
      </c>
      <c r="N170" s="49">
        <f t="array" ref="N170">IFERROR(
SUM(
IF(
'PORTIFÓLIO'!$C$4:$C$564=$A170,
N(INDEX('PORTIFÓLIO'!$J$4:$Q$564,,MATCH(N$2,'PORTIFÓLIO'!$J$3:$Q$3,0))) *
N('PORTIFÓLIO'!$S$4:$S$564),
0
)
),
0)</f>
        <v/>
      </c>
      <c r="O170" s="49">
        <f>N170/$N$4</f>
        <v/>
      </c>
      <c r="P170" s="49">
        <f t="array" ref="P170">IFERROR(
SUM(
IF(
'PORTIFÓLIO'!$C$4:$C$564=$A170,
N(INDEX('PORTIFÓLIO'!$J$4:$Q$564,,MATCH(P$2,'PORTIFÓLIO'!$J$3:$Q$3,0))) *
N('PORTIFÓLIO'!$S$4:$S$564),
0
)
),
0)</f>
        <v/>
      </c>
      <c r="Q170" s="49">
        <f>P170/$P$4</f>
        <v/>
      </c>
      <c r="R170" s="49">
        <f>SUM(P170,N170,L170,J170,H170,D170,B170)</f>
        <v/>
      </c>
      <c r="S170" s="49">
        <f>R170/$R$4</f>
        <v/>
      </c>
    </row>
    <row r="171" hidden="1" outlineLevel="1" ht="15.75" customHeight="1" s="297">
      <c r="A171" s="48" t="n"/>
      <c r="B171" s="49">
        <f t="array" ref="B171">IFERROR(
SUM(
IF(
'PORTIFÓLIO'!$C$4:$C$564=$A171,
N(INDEX('PORTIFÓLIO'!$J$4:$Q$564,,MATCH(B$2,'PORTIFÓLIO'!$J$3:$Q$3,0))) *
N('PORTIFÓLIO'!$S$4:$S$564),
0
)
),
0)</f>
        <v/>
      </c>
      <c r="C171" s="49">
        <f>B171/$B$4</f>
        <v/>
      </c>
      <c r="D171" s="49">
        <f t="array" ref="D171">IFERROR(
SUM(
IF(
'PORTIFÓLIO'!$C$4:$C$564=$A171,
N(INDEX('PORTIFÓLIO'!$J$4:$Q$564,,MATCH(D$2,'PORTIFÓLIO'!$J$3:$Q$3,0))) *
N('PORTIFÓLIO'!$S$4:$S$564),
0
)
),
0)</f>
        <v/>
      </c>
      <c r="E171" s="49">
        <f>D171/$D$4</f>
        <v/>
      </c>
      <c r="F171" s="49">
        <f t="array" ref="F171">IFERROR(
SUM(
IF(
'PORTIFÓLIO'!$C$4:$C$564=$A171,
N(INDEX('PORTIFÓLIO'!$J$4:$Q$564,,MATCH(F$2,'PORTIFÓLIO'!$J$3:$Q$3,0))) *
N('PORTIFÓLIO'!$S$4:$S$564),
0
)
),
0)</f>
        <v/>
      </c>
      <c r="G171" s="47">
        <f>F171/$F$4</f>
        <v/>
      </c>
      <c r="H171" s="49">
        <f t="array" ref="H171">IFERROR(
SUM(
IF(
'PORTIFÓLIO'!$C$4:$C$564=$A171,
N(INDEX('PORTIFÓLIO'!$J$4:$Q$564,,MATCH(H$2,'PORTIFÓLIO'!$J$3:$Q$3,0))) *
N('PORTIFÓLIO'!$S$4:$S$564),
0
)
),
0)</f>
        <v/>
      </c>
      <c r="I171" s="47">
        <f>H171/$H$4</f>
        <v/>
      </c>
      <c r="J171" s="49">
        <f t="array" ref="J171">IFERROR(
SUM(
IF(
'PORTIFÓLIO'!$C$4:$C$564=$A171,
N(INDEX('PORTIFÓLIO'!$J$4:$Q$564,,MATCH(J$2,'PORTIFÓLIO'!$J$3:$Q$3,0))) *
N('PORTIFÓLIO'!$S$4:$S$564),
0
)
),
0)</f>
        <v/>
      </c>
      <c r="K171" s="47">
        <f>J171/$J$4</f>
        <v/>
      </c>
      <c r="L171" s="49">
        <f t="array" ref="L171">IFERROR(
SUM(
IF(
'PORTIFÓLIO'!$C$4:$C$564=$A171,
N(INDEX('PORTIFÓLIO'!$J$4:$Q$564,,MATCH(L$2,'PORTIFÓLIO'!$J$3:$Q$3,0))) *
N('PORTIFÓLIO'!$S$4:$S$564),
0
)
),
0)</f>
        <v/>
      </c>
      <c r="M171" s="47">
        <f>L171/$L$4</f>
        <v/>
      </c>
      <c r="N171" s="49">
        <f t="array" ref="N171">IFERROR(
SUM(
IF(
'PORTIFÓLIO'!$C$4:$C$564=$A171,
N(INDEX('PORTIFÓLIO'!$J$4:$Q$564,,MATCH(N$2,'PORTIFÓLIO'!$J$3:$Q$3,0))) *
N('PORTIFÓLIO'!$S$4:$S$564),
0
)
),
0)</f>
        <v/>
      </c>
      <c r="O171" s="49">
        <f>N171/$N$4</f>
        <v/>
      </c>
      <c r="P171" s="49">
        <f t="array" ref="P171">IFERROR(
SUM(
IF(
'PORTIFÓLIO'!$C$4:$C$564=$A171,
N(INDEX('PORTIFÓLIO'!$J$4:$Q$564,,MATCH(P$2,'PORTIFÓLIO'!$J$3:$Q$3,0))) *
N('PORTIFÓLIO'!$S$4:$S$564),
0
)
),
0)</f>
        <v/>
      </c>
      <c r="Q171" s="49">
        <f>P171/$P$4</f>
        <v/>
      </c>
      <c r="R171" s="49">
        <f>SUM(P171,N171,L171,J171,H171,D171,B171)</f>
        <v/>
      </c>
      <c r="S171" s="49">
        <f>R171/$R$4</f>
        <v/>
      </c>
    </row>
    <row r="172" hidden="1" outlineLevel="1" ht="15.75" customHeight="1" s="297">
      <c r="A172" s="48" t="n"/>
      <c r="B172" s="49">
        <f t="array" ref="B172">IFERROR(
SUM(
IF(
'PORTIFÓLIO'!$C$4:$C$564=$A172,
N(INDEX('PORTIFÓLIO'!$J$4:$Q$564,,MATCH(B$2,'PORTIFÓLIO'!$J$3:$Q$3,0))) *
N('PORTIFÓLIO'!$S$4:$S$564),
0
)
),
0)</f>
        <v/>
      </c>
      <c r="C172" s="49">
        <f>B172/$B$4</f>
        <v/>
      </c>
      <c r="D172" s="49">
        <f t="array" ref="D172">IFERROR(
SUM(
IF(
'PORTIFÓLIO'!$C$4:$C$564=$A172,
N(INDEX('PORTIFÓLIO'!$J$4:$Q$564,,MATCH(D$2,'PORTIFÓLIO'!$J$3:$Q$3,0))) *
N('PORTIFÓLIO'!$S$4:$S$564),
0
)
),
0)</f>
        <v/>
      </c>
      <c r="E172" s="49">
        <f>D172/$D$4</f>
        <v/>
      </c>
      <c r="F172" s="49">
        <f t="array" ref="F172">IFERROR(
SUM(
IF(
'PORTIFÓLIO'!$C$4:$C$564=$A172,
N(INDEX('PORTIFÓLIO'!$J$4:$Q$564,,MATCH(F$2,'PORTIFÓLIO'!$J$3:$Q$3,0))) *
N('PORTIFÓLIO'!$S$4:$S$564),
0
)
),
0)</f>
        <v/>
      </c>
      <c r="G172" s="47">
        <f>F172/$F$4</f>
        <v/>
      </c>
      <c r="H172" s="49">
        <f t="array" ref="H172">IFERROR(
SUM(
IF(
'PORTIFÓLIO'!$C$4:$C$564=$A172,
N(INDEX('PORTIFÓLIO'!$J$4:$Q$564,,MATCH(H$2,'PORTIFÓLIO'!$J$3:$Q$3,0))) *
N('PORTIFÓLIO'!$S$4:$S$564),
0
)
),
0)</f>
        <v/>
      </c>
      <c r="I172" s="47">
        <f>H172/$H$4</f>
        <v/>
      </c>
      <c r="J172" s="49">
        <f t="array" ref="J172">IFERROR(
SUM(
IF(
'PORTIFÓLIO'!$C$4:$C$564=$A172,
N(INDEX('PORTIFÓLIO'!$J$4:$Q$564,,MATCH(J$2,'PORTIFÓLIO'!$J$3:$Q$3,0))) *
N('PORTIFÓLIO'!$S$4:$S$564),
0
)
),
0)</f>
        <v/>
      </c>
      <c r="K172" s="47">
        <f>J172/$J$4</f>
        <v/>
      </c>
      <c r="L172" s="49">
        <f t="array" ref="L172">IFERROR(
SUM(
IF(
'PORTIFÓLIO'!$C$4:$C$564=$A172,
N(INDEX('PORTIFÓLIO'!$J$4:$Q$564,,MATCH(L$2,'PORTIFÓLIO'!$J$3:$Q$3,0))) *
N('PORTIFÓLIO'!$S$4:$S$564),
0
)
),
0)</f>
        <v/>
      </c>
      <c r="M172" s="47">
        <f>L172/$L$4</f>
        <v/>
      </c>
      <c r="N172" s="49">
        <f t="array" ref="N172">IFERROR(
SUM(
IF(
'PORTIFÓLIO'!$C$4:$C$564=$A172,
N(INDEX('PORTIFÓLIO'!$J$4:$Q$564,,MATCH(N$2,'PORTIFÓLIO'!$J$3:$Q$3,0))) *
N('PORTIFÓLIO'!$S$4:$S$564),
0
)
),
0)</f>
        <v/>
      </c>
      <c r="O172" s="49">
        <f>N172/$N$4</f>
        <v/>
      </c>
      <c r="P172" s="49">
        <f t="array" ref="P172">IFERROR(
SUM(
IF(
'PORTIFÓLIO'!$C$4:$C$564=$A172,
N(INDEX('PORTIFÓLIO'!$J$4:$Q$564,,MATCH(P$2,'PORTIFÓLIO'!$J$3:$Q$3,0))) *
N('PORTIFÓLIO'!$S$4:$S$564),
0
)
),
0)</f>
        <v/>
      </c>
      <c r="Q172" s="49">
        <f>P172/$P$4</f>
        <v/>
      </c>
      <c r="R172" s="49">
        <f>SUM(P172,N172,L172,J172,H172,D172,B172)</f>
        <v/>
      </c>
      <c r="S172" s="49">
        <f>R172/$R$4</f>
        <v/>
      </c>
    </row>
    <row r="173" hidden="1" outlineLevel="1" ht="15.75" customHeight="1" s="297">
      <c r="A173" s="48" t="n"/>
      <c r="B173" s="49">
        <f t="array" ref="B173">IFERROR(
SUM(
IF(
'PORTIFÓLIO'!$C$4:$C$564=$A173,
N(INDEX('PORTIFÓLIO'!$J$4:$Q$564,,MATCH(B$2,'PORTIFÓLIO'!$J$3:$Q$3,0))) *
N('PORTIFÓLIO'!$S$4:$S$564),
0
)
),
0)</f>
        <v/>
      </c>
      <c r="C173" s="49">
        <f>B173/$B$4</f>
        <v/>
      </c>
      <c r="D173" s="49">
        <f t="array" ref="D173">IFERROR(
SUM(
IF(
'PORTIFÓLIO'!$C$4:$C$564=$A173,
N(INDEX('PORTIFÓLIO'!$J$4:$Q$564,,MATCH(D$2,'PORTIFÓLIO'!$J$3:$Q$3,0))) *
N('PORTIFÓLIO'!$S$4:$S$564),
0
)
),
0)</f>
        <v/>
      </c>
      <c r="E173" s="49">
        <f>D173/$D$4</f>
        <v/>
      </c>
      <c r="F173" s="49">
        <f t="array" ref="F173">IFERROR(
SUM(
IF(
'PORTIFÓLIO'!$C$4:$C$564=$A173,
N(INDEX('PORTIFÓLIO'!$J$4:$Q$564,,MATCH(F$2,'PORTIFÓLIO'!$J$3:$Q$3,0))) *
N('PORTIFÓLIO'!$S$4:$S$564),
0
)
),
0)</f>
        <v/>
      </c>
      <c r="G173" s="47">
        <f>F173/$F$4</f>
        <v/>
      </c>
      <c r="H173" s="49">
        <f t="array" ref="H173">IFERROR(
SUM(
IF(
'PORTIFÓLIO'!$C$4:$C$564=$A173,
N(INDEX('PORTIFÓLIO'!$J$4:$Q$564,,MATCH(H$2,'PORTIFÓLIO'!$J$3:$Q$3,0))) *
N('PORTIFÓLIO'!$S$4:$S$564),
0
)
),
0)</f>
        <v/>
      </c>
      <c r="I173" s="47">
        <f>H173/$H$4</f>
        <v/>
      </c>
      <c r="J173" s="49">
        <f t="array" ref="J173">IFERROR(
SUM(
IF(
'PORTIFÓLIO'!$C$4:$C$564=$A173,
N(INDEX('PORTIFÓLIO'!$J$4:$Q$564,,MATCH(J$2,'PORTIFÓLIO'!$J$3:$Q$3,0))) *
N('PORTIFÓLIO'!$S$4:$S$564),
0
)
),
0)</f>
        <v/>
      </c>
      <c r="K173" s="47">
        <f>J173/$J$4</f>
        <v/>
      </c>
      <c r="L173" s="49">
        <f t="array" ref="L173">IFERROR(
SUM(
IF(
'PORTIFÓLIO'!$C$4:$C$564=$A173,
N(INDEX('PORTIFÓLIO'!$J$4:$Q$564,,MATCH(L$2,'PORTIFÓLIO'!$J$3:$Q$3,0))) *
N('PORTIFÓLIO'!$S$4:$S$564),
0
)
),
0)</f>
        <v/>
      </c>
      <c r="M173" s="47">
        <f>L173/$L$4</f>
        <v/>
      </c>
      <c r="N173" s="49">
        <f t="array" ref="N173">IFERROR(
SUM(
IF(
'PORTIFÓLIO'!$C$4:$C$564=$A173,
N(INDEX('PORTIFÓLIO'!$J$4:$Q$564,,MATCH(N$2,'PORTIFÓLIO'!$J$3:$Q$3,0))) *
N('PORTIFÓLIO'!$S$4:$S$564),
0
)
),
0)</f>
        <v/>
      </c>
      <c r="O173" s="49">
        <f>N173/$N$4</f>
        <v/>
      </c>
      <c r="P173" s="49">
        <f t="array" ref="P173">IFERROR(
SUM(
IF(
'PORTIFÓLIO'!$C$4:$C$564=$A173,
N(INDEX('PORTIFÓLIO'!$J$4:$Q$564,,MATCH(P$2,'PORTIFÓLIO'!$J$3:$Q$3,0))) *
N('PORTIFÓLIO'!$S$4:$S$564),
0
)
),
0)</f>
        <v/>
      </c>
      <c r="Q173" s="49">
        <f>P173/$P$4</f>
        <v/>
      </c>
      <c r="R173" s="49">
        <f>SUM(P173,N173,L173,J173,H173,D173,B173)</f>
        <v/>
      </c>
      <c r="S173" s="49">
        <f>R173/$R$4</f>
        <v/>
      </c>
    </row>
    <row r="174" hidden="1" outlineLevel="1" ht="15.75" customHeight="1" s="297">
      <c r="A174" s="48" t="n"/>
      <c r="B174" s="49">
        <f t="array" ref="B174">IFERROR(
SUM(
IF(
'PORTIFÓLIO'!$C$4:$C$564=$A174,
N(INDEX('PORTIFÓLIO'!$J$4:$Q$564,,MATCH(B$2,'PORTIFÓLIO'!$J$3:$Q$3,0))) *
N('PORTIFÓLIO'!$S$4:$S$564),
0
)
),
0)</f>
        <v/>
      </c>
      <c r="C174" s="49">
        <f>B174/$B$4</f>
        <v/>
      </c>
      <c r="D174" s="49">
        <f t="array" ref="D174">IFERROR(
SUM(
IF(
'PORTIFÓLIO'!$C$4:$C$564=$A174,
N(INDEX('PORTIFÓLIO'!$J$4:$Q$564,,MATCH(D$2,'PORTIFÓLIO'!$J$3:$Q$3,0))) *
N('PORTIFÓLIO'!$S$4:$S$564),
0
)
),
0)</f>
        <v/>
      </c>
      <c r="E174" s="49">
        <f>D174/$D$4</f>
        <v/>
      </c>
      <c r="F174" s="49">
        <f t="array" ref="F174">IFERROR(
SUM(
IF(
'PORTIFÓLIO'!$C$4:$C$564=$A174,
N(INDEX('PORTIFÓLIO'!$J$4:$Q$564,,MATCH(F$2,'PORTIFÓLIO'!$J$3:$Q$3,0))) *
N('PORTIFÓLIO'!$S$4:$S$564),
0
)
),
0)</f>
        <v/>
      </c>
      <c r="G174" s="47">
        <f>F174/$F$4</f>
        <v/>
      </c>
      <c r="H174" s="49">
        <f t="array" ref="H174">IFERROR(
SUM(
IF(
'PORTIFÓLIO'!$C$4:$C$564=$A174,
N(INDEX('PORTIFÓLIO'!$J$4:$Q$564,,MATCH(H$2,'PORTIFÓLIO'!$J$3:$Q$3,0))) *
N('PORTIFÓLIO'!$S$4:$S$564),
0
)
),
0)</f>
        <v/>
      </c>
      <c r="I174" s="47">
        <f>H174/$H$4</f>
        <v/>
      </c>
      <c r="J174" s="49">
        <f t="array" ref="J174">IFERROR(
SUM(
IF(
'PORTIFÓLIO'!$C$4:$C$564=$A174,
N(INDEX('PORTIFÓLIO'!$J$4:$Q$564,,MATCH(J$2,'PORTIFÓLIO'!$J$3:$Q$3,0))) *
N('PORTIFÓLIO'!$S$4:$S$564),
0
)
),
0)</f>
        <v/>
      </c>
      <c r="K174" s="47">
        <f>J174/$J$4</f>
        <v/>
      </c>
      <c r="L174" s="49">
        <f t="array" ref="L174">IFERROR(
SUM(
IF(
'PORTIFÓLIO'!$C$4:$C$564=$A174,
N(INDEX('PORTIFÓLIO'!$J$4:$Q$564,,MATCH(L$2,'PORTIFÓLIO'!$J$3:$Q$3,0))) *
N('PORTIFÓLIO'!$S$4:$S$564),
0
)
),
0)</f>
        <v/>
      </c>
      <c r="M174" s="47">
        <f>L174/$L$4</f>
        <v/>
      </c>
      <c r="N174" s="49">
        <f t="array" ref="N174">IFERROR(
SUM(
IF(
'PORTIFÓLIO'!$C$4:$C$564=$A174,
N(INDEX('PORTIFÓLIO'!$J$4:$Q$564,,MATCH(N$2,'PORTIFÓLIO'!$J$3:$Q$3,0))) *
N('PORTIFÓLIO'!$S$4:$S$564),
0
)
),
0)</f>
        <v/>
      </c>
      <c r="O174" s="49">
        <f>N174/$N$4</f>
        <v/>
      </c>
      <c r="P174" s="49">
        <f t="array" ref="P174">IFERROR(
SUM(
IF(
'PORTIFÓLIO'!$C$4:$C$564=$A174,
N(INDEX('PORTIFÓLIO'!$J$4:$Q$564,,MATCH(P$2,'PORTIFÓLIO'!$J$3:$Q$3,0))) *
N('PORTIFÓLIO'!$S$4:$S$564),
0
)
),
0)</f>
        <v/>
      </c>
      <c r="Q174" s="49">
        <f>P174/$P$4</f>
        <v/>
      </c>
      <c r="R174" s="49">
        <f>SUM(P174,N174,L174,J174,H174,D174,B174)</f>
        <v/>
      </c>
      <c r="S174" s="49">
        <f>R174/$R$4</f>
        <v/>
      </c>
    </row>
    <row r="175" collapsed="1" ht="15.75" customHeight="1" s="297">
      <c r="A175" s="46" t="inlineStr">
        <is>
          <t>INSETICIDAS</t>
        </is>
      </c>
      <c r="B175" s="47">
        <f>SUM(B176:B255)</f>
        <v/>
      </c>
      <c r="C175" s="47">
        <f>B175/$B$4</f>
        <v/>
      </c>
      <c r="D175" s="47">
        <f>SUM(D176:D255)</f>
        <v/>
      </c>
      <c r="E175" s="47">
        <f>D175/$D$4</f>
        <v/>
      </c>
      <c r="F175" s="47">
        <f>SUM(F176:F255)</f>
        <v/>
      </c>
      <c r="G175" s="47">
        <f>F175/$F$4</f>
        <v/>
      </c>
      <c r="H175" s="47">
        <f>SUM(H176:H255)</f>
        <v/>
      </c>
      <c r="I175" s="47">
        <f>H175/$H$4</f>
        <v/>
      </c>
      <c r="J175" s="47">
        <f>SUM(J176:J255)</f>
        <v/>
      </c>
      <c r="K175" s="47">
        <f>J175/$J$4</f>
        <v/>
      </c>
      <c r="L175" s="47">
        <f>SUM(L176:L255)</f>
        <v/>
      </c>
      <c r="M175" s="47">
        <f>L175/$L$4</f>
        <v/>
      </c>
      <c r="N175" s="47">
        <f>SUM(N176:N255)</f>
        <v/>
      </c>
      <c r="O175" s="47">
        <f>N175/$N$4</f>
        <v/>
      </c>
      <c r="P175" s="47">
        <f>SUM(P176:P255)</f>
        <v/>
      </c>
      <c r="Q175" s="47">
        <f>P175/$P$4</f>
        <v/>
      </c>
      <c r="R175" s="47">
        <f>SUM(P175,N175,L175,J175,H175,D175,B175)</f>
        <v/>
      </c>
      <c r="S175" s="47">
        <f>R175/$R$4</f>
        <v/>
      </c>
    </row>
    <row r="176" hidden="1" outlineLevel="1" ht="15.75" customHeight="1" s="297">
      <c r="A176" s="48">
        <f>IFERROR(__xludf.DUMMYFUNCTION("UNIQUE(FILTER('PORTIFÓLIO'!C:C, 'PORTIFÓLIO'!B:B=""INSETICIDA""))"),"GALIL SC")</f>
        <v/>
      </c>
      <c r="B176" s="49">
        <f t="array" ref="B176">IFERROR(
SUM(
IF(
'PORTIFÓLIO'!$C$4:$C$564=$A176,
N(INDEX('PORTIFÓLIO'!$J$4:$Q$564,,MATCH(B$2,'PORTIFÓLIO'!$J$3:$Q$3,0))) *
N('PORTIFÓLIO'!$S$4:$S$564),
0
)
),
0)</f>
        <v/>
      </c>
      <c r="C176" s="49">
        <f>B176/$B$4</f>
        <v/>
      </c>
      <c r="D176" s="49">
        <f t="array" ref="D176">IFERROR(
SUM(
IF(
'PORTIFÓLIO'!$C$4:$C$564=$A176,
N(INDEX('PORTIFÓLIO'!$J$4:$Q$564,,MATCH(D$2,'PORTIFÓLIO'!$J$3:$Q$3,0))) *
N('PORTIFÓLIO'!$S$4:$S$564),
0
)
),
0)</f>
        <v/>
      </c>
      <c r="E176" s="49">
        <f>D176/$D$4</f>
        <v/>
      </c>
      <c r="F176" s="49">
        <f t="array" ref="F176">IFERROR(
SUM(
IF(
'PORTIFÓLIO'!$C$4:$C$564=$A176,
N(INDEX('PORTIFÓLIO'!$J$4:$Q$564,,MATCH(F$2,'PORTIFÓLIO'!$J$3:$Q$3,0))) *
N('PORTIFÓLIO'!$S$4:$S$564),
0
)
),
0)</f>
        <v/>
      </c>
      <c r="G176" s="47">
        <f>F176/$F$4</f>
        <v/>
      </c>
      <c r="H176" s="49">
        <f t="array" ref="H176">IFERROR(
SUM(
IF(
'PORTIFÓLIO'!$C$4:$C$564=$A176,
N(INDEX('PORTIFÓLIO'!$J$4:$Q$564,,MATCH(H$2,'PORTIFÓLIO'!$J$3:$Q$3,0))) *
N('PORTIFÓLIO'!$S$4:$S$564),
0
)
),
0)</f>
        <v/>
      </c>
      <c r="I176" s="47">
        <f>H176/$H$4</f>
        <v/>
      </c>
      <c r="J176" s="49">
        <f t="array" ref="J176">IFERROR(
SUM(
IF(
'PORTIFÓLIO'!$C$4:$C$564=$A176,
N(INDEX('PORTIFÓLIO'!$J$4:$Q$564,,MATCH(J$2,'PORTIFÓLIO'!$J$3:$Q$3,0))) *
N('PORTIFÓLIO'!$S$4:$S$564),
0
)
),
0)</f>
        <v/>
      </c>
      <c r="K176" s="47">
        <f>J176/$J$4</f>
        <v/>
      </c>
      <c r="L176" s="49">
        <f t="array" ref="L176">IFERROR(
SUM(
IF(
'PORTIFÓLIO'!$C$4:$C$564=$A176,
N(INDEX('PORTIFÓLIO'!$J$4:$Q$564,,MATCH(L$2,'PORTIFÓLIO'!$J$3:$Q$3,0))) *
N('PORTIFÓLIO'!$S$4:$S$564),
0
)
),
0)</f>
        <v/>
      </c>
      <c r="M176" s="47">
        <f>L176/$L$4</f>
        <v/>
      </c>
      <c r="N176" s="49">
        <f t="array" ref="N176">IFERROR(
SUM(
IF(
'PORTIFÓLIO'!$C$4:$C$564=$A176,
N(INDEX('PORTIFÓLIO'!$J$4:$Q$564,,MATCH(N$2,'PORTIFÓLIO'!$J$3:$Q$3,0))) *
N('PORTIFÓLIO'!$S$4:$S$564),
0
)
),
0)</f>
        <v/>
      </c>
      <c r="O176" s="49">
        <f>N176/$N$4</f>
        <v/>
      </c>
      <c r="P176" s="49">
        <f t="array" ref="P176">IFERROR(
SUM(
IF(
'PORTIFÓLIO'!$C$4:$C$564=$A176,
N(INDEX('PORTIFÓLIO'!$J$4:$Q$564,,MATCH(P$2,'PORTIFÓLIO'!$J$3:$Q$3,0))) *
N('PORTIFÓLIO'!$S$4:$S$564),
0
)
),
0)</f>
        <v/>
      </c>
      <c r="Q176" s="49">
        <f>P176/$P$4</f>
        <v/>
      </c>
      <c r="R176" s="49">
        <f>SUM(P176,N176,L176,J176,H176,D176,B176)</f>
        <v/>
      </c>
      <c r="S176" s="49">
        <f>R176/$R$4</f>
        <v/>
      </c>
    </row>
    <row r="177" hidden="1" outlineLevel="1" ht="15.75" customHeight="1" s="297">
      <c r="A177" s="48">
        <f>IFERROR(__xludf.DUMMYFUNCTION("""COMPUTED_VALUE"""),"MAGNUM")</f>
        <v/>
      </c>
      <c r="B177" s="49">
        <f t="array" ref="B177">IFERROR(
SUM(
IF(
'PORTIFÓLIO'!$C$4:$C$564=$A177,
N(INDEX('PORTIFÓLIO'!$J$4:$Q$564,,MATCH(B$2,'PORTIFÓLIO'!$J$3:$Q$3,0))) *
N('PORTIFÓLIO'!$S$4:$S$564),
0
)
),
0)</f>
        <v/>
      </c>
      <c r="C177" s="49">
        <f>B177/$B$4</f>
        <v/>
      </c>
      <c r="D177" s="49">
        <f t="array" ref="D177">IFERROR(
SUM(
IF(
'PORTIFÓLIO'!$C$4:$C$564=$A177,
N(INDEX('PORTIFÓLIO'!$J$4:$Q$564,,MATCH(D$2,'PORTIFÓLIO'!$J$3:$Q$3,0))) *
N('PORTIFÓLIO'!$S$4:$S$564),
0
)
),
0)</f>
        <v/>
      </c>
      <c r="E177" s="49">
        <f>D177/$D$4</f>
        <v/>
      </c>
      <c r="F177" s="49">
        <f t="array" ref="F177">IFERROR(
SUM(
IF(
'PORTIFÓLIO'!$C$4:$C$564=$A177,
N(INDEX('PORTIFÓLIO'!$J$4:$Q$564,,MATCH(F$2,'PORTIFÓLIO'!$J$3:$Q$3,0))) *
N('PORTIFÓLIO'!$S$4:$S$564),
0
)
),
0)</f>
        <v/>
      </c>
      <c r="G177" s="47">
        <f>F177/$F$4</f>
        <v/>
      </c>
      <c r="H177" s="49">
        <f t="array" ref="H177">IFERROR(
SUM(
IF(
'PORTIFÓLIO'!$C$4:$C$564=$A177,
N(INDEX('PORTIFÓLIO'!$J$4:$Q$564,,MATCH(H$2,'PORTIFÓLIO'!$J$3:$Q$3,0))) *
N('PORTIFÓLIO'!$S$4:$S$564),
0
)
),
0)</f>
        <v/>
      </c>
      <c r="I177" s="47">
        <f>H177/$H$4</f>
        <v/>
      </c>
      <c r="J177" s="49">
        <f t="array" ref="J177">IFERROR(
SUM(
IF(
'PORTIFÓLIO'!$C$4:$C$564=$A177,
N(INDEX('PORTIFÓLIO'!$J$4:$Q$564,,MATCH(J$2,'PORTIFÓLIO'!$J$3:$Q$3,0))) *
N('PORTIFÓLIO'!$S$4:$S$564),
0
)
),
0)</f>
        <v/>
      </c>
      <c r="K177" s="47">
        <f>J177/$J$4</f>
        <v/>
      </c>
      <c r="L177" s="49">
        <f t="array" ref="L177">IFERROR(
SUM(
IF(
'PORTIFÓLIO'!$C$4:$C$564=$A177,
N(INDEX('PORTIFÓLIO'!$J$4:$Q$564,,MATCH(L$2,'PORTIFÓLIO'!$J$3:$Q$3,0))) *
N('PORTIFÓLIO'!$S$4:$S$564),
0
)
),
0)</f>
        <v/>
      </c>
      <c r="M177" s="47">
        <f>L177/$L$4</f>
        <v/>
      </c>
      <c r="N177" s="49">
        <f t="array" ref="N177">IFERROR(
SUM(
IF(
'PORTIFÓLIO'!$C$4:$C$564=$A177,
N(INDEX('PORTIFÓLIO'!$J$4:$Q$564,,MATCH(N$2,'PORTIFÓLIO'!$J$3:$Q$3,0))) *
N('PORTIFÓLIO'!$S$4:$S$564),
0
)
),
0)</f>
        <v/>
      </c>
      <c r="O177" s="49">
        <f>N177/$N$4</f>
        <v/>
      </c>
      <c r="P177" s="49">
        <f t="array" ref="P177">IFERROR(
SUM(
IF(
'PORTIFÓLIO'!$C$4:$C$564=$A177,
N(INDEX('PORTIFÓLIO'!$J$4:$Q$564,,MATCH(P$2,'PORTIFÓLIO'!$J$3:$Q$3,0))) *
N('PORTIFÓLIO'!$S$4:$S$564),
0
)
),
0)</f>
        <v/>
      </c>
      <c r="Q177" s="49">
        <f>P177/$P$4</f>
        <v/>
      </c>
      <c r="R177" s="49">
        <f>SUM(P177,N177,L177,J177,H177,D177,B177)</f>
        <v/>
      </c>
      <c r="S177" s="49">
        <f>R177/$R$4</f>
        <v/>
      </c>
    </row>
    <row r="178" hidden="1" outlineLevel="1" ht="15.75" customHeight="1" s="297">
      <c r="A178" s="48">
        <f>IFERROR(__xludf.DUMMYFUNCTION("""COMPUTED_VALUE"""),"PLETHORA BR")</f>
        <v/>
      </c>
      <c r="B178" s="49">
        <f t="array" ref="B178">IFERROR(
SUM(
IF(
'PORTIFÓLIO'!$C$4:$C$564=$A178,
N(INDEX('PORTIFÓLIO'!$J$4:$Q$564,,MATCH(B$2,'PORTIFÓLIO'!$J$3:$Q$3,0))) *
N('PORTIFÓLIO'!$S$4:$S$564),
0
)
),
0)</f>
        <v/>
      </c>
      <c r="C178" s="49">
        <f>B178/$B$4</f>
        <v/>
      </c>
      <c r="D178" s="49">
        <f t="array" ref="D178">IFERROR(
SUM(
IF(
'PORTIFÓLIO'!$C$4:$C$564=$A178,
N(INDEX('PORTIFÓLIO'!$J$4:$Q$564,,MATCH(D$2,'PORTIFÓLIO'!$J$3:$Q$3,0))) *
N('PORTIFÓLIO'!$S$4:$S$564),
0
)
),
0)</f>
        <v/>
      </c>
      <c r="E178" s="49">
        <f>D178/$D$4</f>
        <v/>
      </c>
      <c r="F178" s="49">
        <f t="array" ref="F178">IFERROR(
SUM(
IF(
'PORTIFÓLIO'!$C$4:$C$564=$A178,
N(INDEX('PORTIFÓLIO'!$J$4:$Q$564,,MATCH(F$2,'PORTIFÓLIO'!$J$3:$Q$3,0))) *
N('PORTIFÓLIO'!$S$4:$S$564),
0
)
),
0)</f>
        <v/>
      </c>
      <c r="G178" s="47">
        <f>F178/$F$4</f>
        <v/>
      </c>
      <c r="H178" s="49">
        <f t="array" ref="H178">IFERROR(
SUM(
IF(
'PORTIFÓLIO'!$C$4:$C$564=$A178,
N(INDEX('PORTIFÓLIO'!$J$4:$Q$564,,MATCH(H$2,'PORTIFÓLIO'!$J$3:$Q$3,0))) *
N('PORTIFÓLIO'!$S$4:$S$564),
0
)
),
0)</f>
        <v/>
      </c>
      <c r="I178" s="47">
        <f>H178/$H$4</f>
        <v/>
      </c>
      <c r="J178" s="49">
        <f t="array" ref="J178">IFERROR(
SUM(
IF(
'PORTIFÓLIO'!$C$4:$C$564=$A178,
N(INDEX('PORTIFÓLIO'!$J$4:$Q$564,,MATCH(J$2,'PORTIFÓLIO'!$J$3:$Q$3,0))) *
N('PORTIFÓLIO'!$S$4:$S$564),
0
)
),
0)</f>
        <v/>
      </c>
      <c r="K178" s="47">
        <f>J178/$J$4</f>
        <v/>
      </c>
      <c r="L178" s="49">
        <f t="array" ref="L178">IFERROR(
SUM(
IF(
'PORTIFÓLIO'!$C$4:$C$564=$A178,
N(INDEX('PORTIFÓLIO'!$J$4:$Q$564,,MATCH(L$2,'PORTIFÓLIO'!$J$3:$Q$3,0))) *
N('PORTIFÓLIO'!$S$4:$S$564),
0
)
),
0)</f>
        <v/>
      </c>
      <c r="M178" s="47">
        <f>L178/$L$4</f>
        <v/>
      </c>
      <c r="N178" s="49">
        <f t="array" ref="N178">IFERROR(
SUM(
IF(
'PORTIFÓLIO'!$C$4:$C$564=$A178,
N(INDEX('PORTIFÓLIO'!$J$4:$Q$564,,MATCH(N$2,'PORTIFÓLIO'!$J$3:$Q$3,0))) *
N('PORTIFÓLIO'!$S$4:$S$564),
0
)
),
0)</f>
        <v/>
      </c>
      <c r="O178" s="49">
        <f>N178/$N$4</f>
        <v/>
      </c>
      <c r="P178" s="49">
        <f t="array" ref="P178">IFERROR(
SUM(
IF(
'PORTIFÓLIO'!$C$4:$C$564=$A178,
N(INDEX('PORTIFÓLIO'!$J$4:$Q$564,,MATCH(P$2,'PORTIFÓLIO'!$J$3:$Q$3,0))) *
N('PORTIFÓLIO'!$S$4:$S$564),
0
)
),
0)</f>
        <v/>
      </c>
      <c r="Q178" s="49">
        <f>P178/$P$4</f>
        <v/>
      </c>
      <c r="R178" s="49">
        <f>SUM(P178,N178,L178,J178,H178,D178,B178)</f>
        <v/>
      </c>
      <c r="S178" s="49">
        <f>R178/$R$4</f>
        <v/>
      </c>
    </row>
    <row r="179" hidden="1" outlineLevel="1" ht="15.75" customHeight="1" s="297">
      <c r="A179" s="48">
        <f>IFERROR(__xludf.DUMMYFUNCTION("""COMPUTED_VALUE"""),"RIMON SUPRA")</f>
        <v/>
      </c>
      <c r="B179" s="49">
        <f t="array" ref="B179">IFERROR(
SUM(
IF(
'PORTIFÓLIO'!$C$4:$C$564=$A179,
N(INDEX('PORTIFÓLIO'!$J$4:$Q$564,,MATCH(B$2,'PORTIFÓLIO'!$J$3:$Q$3,0))) *
N('PORTIFÓLIO'!$S$4:$S$564),
0
)
),
0)</f>
        <v/>
      </c>
      <c r="C179" s="49">
        <f>B179/$B$4</f>
        <v/>
      </c>
      <c r="D179" s="49">
        <f t="array" ref="D179">IFERROR(
SUM(
IF(
'PORTIFÓLIO'!$C$4:$C$564=$A179,
N(INDEX('PORTIFÓLIO'!$J$4:$Q$564,,MATCH(D$2,'PORTIFÓLIO'!$J$3:$Q$3,0))) *
N('PORTIFÓLIO'!$S$4:$S$564),
0
)
),
0)</f>
        <v/>
      </c>
      <c r="E179" s="49">
        <f>D179/$D$4</f>
        <v/>
      </c>
      <c r="F179" s="49">
        <f t="array" ref="F179">IFERROR(
SUM(
IF(
'PORTIFÓLIO'!$C$4:$C$564=$A179,
N(INDEX('PORTIFÓLIO'!$J$4:$Q$564,,MATCH(F$2,'PORTIFÓLIO'!$J$3:$Q$3,0))) *
N('PORTIFÓLIO'!$S$4:$S$564),
0
)
),
0)</f>
        <v/>
      </c>
      <c r="G179" s="47">
        <f>F179/$F$4</f>
        <v/>
      </c>
      <c r="H179" s="49">
        <f t="array" ref="H179">IFERROR(
SUM(
IF(
'PORTIFÓLIO'!$C$4:$C$564=$A179,
N(INDEX('PORTIFÓLIO'!$J$4:$Q$564,,MATCH(H$2,'PORTIFÓLIO'!$J$3:$Q$3,0))) *
N('PORTIFÓLIO'!$S$4:$S$564),
0
)
),
0)</f>
        <v/>
      </c>
      <c r="I179" s="47">
        <f>H179/$H$4</f>
        <v/>
      </c>
      <c r="J179" s="49">
        <f t="array" ref="J179">IFERROR(
SUM(
IF(
'PORTIFÓLIO'!$C$4:$C$564=$A179,
N(INDEX('PORTIFÓLIO'!$J$4:$Q$564,,MATCH(J$2,'PORTIFÓLIO'!$J$3:$Q$3,0))) *
N('PORTIFÓLIO'!$S$4:$S$564),
0
)
),
0)</f>
        <v/>
      </c>
      <c r="K179" s="47">
        <f>J179/$J$4</f>
        <v/>
      </c>
      <c r="L179" s="49">
        <f t="array" ref="L179">IFERROR(
SUM(
IF(
'PORTIFÓLIO'!$C$4:$C$564=$A179,
N(INDEX('PORTIFÓLIO'!$J$4:$Q$564,,MATCH(L$2,'PORTIFÓLIO'!$J$3:$Q$3,0))) *
N('PORTIFÓLIO'!$S$4:$S$564),
0
)
),
0)</f>
        <v/>
      </c>
      <c r="M179" s="47">
        <f>L179/$L$4</f>
        <v/>
      </c>
      <c r="N179" s="49">
        <f t="array" ref="N179">IFERROR(
SUM(
IF(
'PORTIFÓLIO'!$C$4:$C$564=$A179,
N(INDEX('PORTIFÓLIO'!$J$4:$Q$564,,MATCH(N$2,'PORTIFÓLIO'!$J$3:$Q$3,0))) *
N('PORTIFÓLIO'!$S$4:$S$564),
0
)
),
0)</f>
        <v/>
      </c>
      <c r="O179" s="49">
        <f>N179/$N$4</f>
        <v/>
      </c>
      <c r="P179" s="49">
        <f t="array" ref="P179">IFERROR(
SUM(
IF(
'PORTIFÓLIO'!$C$4:$C$564=$A179,
N(INDEX('PORTIFÓLIO'!$J$4:$Q$564,,MATCH(P$2,'PORTIFÓLIO'!$J$3:$Q$3,0))) *
N('PORTIFÓLIO'!$S$4:$S$564),
0
)
),
0)</f>
        <v/>
      </c>
      <c r="Q179" s="49">
        <f>P179/$P$4</f>
        <v/>
      </c>
      <c r="R179" s="49">
        <f>SUM(P179,N179,L179,J179,H179,D179,B179)</f>
        <v/>
      </c>
      <c r="S179" s="49">
        <f>R179/$R$4</f>
        <v/>
      </c>
    </row>
    <row r="180" hidden="1" outlineLevel="1" ht="15.75" customHeight="1" s="297">
      <c r="A180" s="48">
        <f>IFERROR(__xludf.DUMMYFUNCTION("""COMPUTED_VALUE"""),"SQUAD")</f>
        <v/>
      </c>
      <c r="B180" s="49">
        <f t="array" ref="B180">IFERROR(
SUM(
IF(
'PORTIFÓLIO'!$C$4:$C$564=$A180,
N(INDEX('PORTIFÓLIO'!$J$4:$Q$564,,MATCH(B$2,'PORTIFÓLIO'!$J$3:$Q$3,0))) *
N('PORTIFÓLIO'!$S$4:$S$564),
0
)
),
0)</f>
        <v/>
      </c>
      <c r="C180" s="49">
        <f>B180/$B$4</f>
        <v/>
      </c>
      <c r="D180" s="49">
        <f t="array" ref="D180">IFERROR(
SUM(
IF(
'PORTIFÓLIO'!$C$4:$C$564=$A180,
N(INDEX('PORTIFÓLIO'!$J$4:$Q$564,,MATCH(D$2,'PORTIFÓLIO'!$J$3:$Q$3,0))) *
N('PORTIFÓLIO'!$S$4:$S$564),
0
)
),
0)</f>
        <v/>
      </c>
      <c r="E180" s="49">
        <f>D180/$D$4</f>
        <v/>
      </c>
      <c r="F180" s="49">
        <f t="array" ref="F180">IFERROR(
SUM(
IF(
'PORTIFÓLIO'!$C$4:$C$564=$A180,
N(INDEX('PORTIFÓLIO'!$J$4:$Q$564,,MATCH(F$2,'PORTIFÓLIO'!$J$3:$Q$3,0))) *
N('PORTIFÓLIO'!$S$4:$S$564),
0
)
),
0)</f>
        <v/>
      </c>
      <c r="G180" s="47">
        <f>F180/$F$4</f>
        <v/>
      </c>
      <c r="H180" s="49">
        <f t="array" ref="H180">IFERROR(
SUM(
IF(
'PORTIFÓLIO'!$C$4:$C$564=$A180,
N(INDEX('PORTIFÓLIO'!$J$4:$Q$564,,MATCH(H$2,'PORTIFÓLIO'!$J$3:$Q$3,0))) *
N('PORTIFÓLIO'!$S$4:$S$564),
0
)
),
0)</f>
        <v/>
      </c>
      <c r="I180" s="47">
        <f>H180/$H$4</f>
        <v/>
      </c>
      <c r="J180" s="49">
        <f t="array" ref="J180">IFERROR(
SUM(
IF(
'PORTIFÓLIO'!$C$4:$C$564=$A180,
N(INDEX('PORTIFÓLIO'!$J$4:$Q$564,,MATCH(J$2,'PORTIFÓLIO'!$J$3:$Q$3,0))) *
N('PORTIFÓLIO'!$S$4:$S$564),
0
)
),
0)</f>
        <v/>
      </c>
      <c r="K180" s="47">
        <f>J180/$J$4</f>
        <v/>
      </c>
      <c r="L180" s="49">
        <f t="array" ref="L180">IFERROR(
SUM(
IF(
'PORTIFÓLIO'!$C$4:$C$564=$A180,
N(INDEX('PORTIFÓLIO'!$J$4:$Q$564,,MATCH(L$2,'PORTIFÓLIO'!$J$3:$Q$3,0))) *
N('PORTIFÓLIO'!$S$4:$S$564),
0
)
),
0)</f>
        <v/>
      </c>
      <c r="M180" s="47">
        <f>L180/$L$4</f>
        <v/>
      </c>
      <c r="N180" s="49">
        <f t="array" ref="N180">IFERROR(
SUM(
IF(
'PORTIFÓLIO'!$C$4:$C$564=$A180,
N(INDEX('PORTIFÓLIO'!$J$4:$Q$564,,MATCH(N$2,'PORTIFÓLIO'!$J$3:$Q$3,0))) *
N('PORTIFÓLIO'!$S$4:$S$564),
0
)
),
0)</f>
        <v/>
      </c>
      <c r="O180" s="49">
        <f>N180/$N$4</f>
        <v/>
      </c>
      <c r="P180" s="49">
        <f t="array" ref="P180">IFERROR(
SUM(
IF(
'PORTIFÓLIO'!$C$4:$C$564=$A180,
N(INDEX('PORTIFÓLIO'!$J$4:$Q$564,,MATCH(P$2,'PORTIFÓLIO'!$J$3:$Q$3,0))) *
N('PORTIFÓLIO'!$S$4:$S$564),
0
)
),
0)</f>
        <v/>
      </c>
      <c r="Q180" s="49">
        <f>P180/$P$4</f>
        <v/>
      </c>
      <c r="R180" s="49">
        <f>SUM(P180,N180,L180,J180,H180,D180,B180)</f>
        <v/>
      </c>
      <c r="S180" s="49">
        <f>R180/$R$4</f>
        <v/>
      </c>
    </row>
    <row r="181" hidden="1" outlineLevel="1" ht="15.75" customHeight="1" s="297">
      <c r="A181" s="48">
        <f>IFERROR(__xludf.DUMMYFUNCTION("""COMPUTED_VALUE"""),"TRIVOR")</f>
        <v/>
      </c>
      <c r="B181" s="49">
        <f t="array" ref="B181">IFERROR(
SUM(
IF(
'PORTIFÓLIO'!$C$4:$C$564=$A181,
N(INDEX('PORTIFÓLIO'!$J$4:$Q$564,,MATCH(B$2,'PORTIFÓLIO'!$J$3:$Q$3,0))) *
N('PORTIFÓLIO'!$S$4:$S$564),
0
)
),
0)</f>
        <v/>
      </c>
      <c r="C181" s="49">
        <f>B181/$B$4</f>
        <v/>
      </c>
      <c r="D181" s="49">
        <f t="array" ref="D181">IFERROR(
SUM(
IF(
'PORTIFÓLIO'!$C$4:$C$564=$A181,
N(INDEX('PORTIFÓLIO'!$J$4:$Q$564,,MATCH(D$2,'PORTIFÓLIO'!$J$3:$Q$3,0))) *
N('PORTIFÓLIO'!$S$4:$S$564),
0
)
),
0)</f>
        <v/>
      </c>
      <c r="E181" s="49">
        <f>D181/$D$4</f>
        <v/>
      </c>
      <c r="F181" s="49">
        <f t="array" ref="F181">IFERROR(
SUM(
IF(
'PORTIFÓLIO'!$C$4:$C$564=$A181,
N(INDEX('PORTIFÓLIO'!$J$4:$Q$564,,MATCH(F$2,'PORTIFÓLIO'!$J$3:$Q$3,0))) *
N('PORTIFÓLIO'!$S$4:$S$564),
0
)
),
0)</f>
        <v/>
      </c>
      <c r="G181" s="47">
        <f>F181/$F$4</f>
        <v/>
      </c>
      <c r="H181" s="49">
        <f t="array" ref="H181">IFERROR(
SUM(
IF(
'PORTIFÓLIO'!$C$4:$C$564=$A181,
N(INDEX('PORTIFÓLIO'!$J$4:$Q$564,,MATCH(H$2,'PORTIFÓLIO'!$J$3:$Q$3,0))) *
N('PORTIFÓLIO'!$S$4:$S$564),
0
)
),
0)</f>
        <v/>
      </c>
      <c r="I181" s="47">
        <f>H181/$H$4</f>
        <v/>
      </c>
      <c r="J181" s="49">
        <f t="array" ref="J181">IFERROR(
SUM(
IF(
'PORTIFÓLIO'!$C$4:$C$564=$A181,
N(INDEX('PORTIFÓLIO'!$J$4:$Q$564,,MATCH(J$2,'PORTIFÓLIO'!$J$3:$Q$3,0))) *
N('PORTIFÓLIO'!$S$4:$S$564),
0
)
),
0)</f>
        <v/>
      </c>
      <c r="K181" s="47">
        <f>J181/$J$4</f>
        <v/>
      </c>
      <c r="L181" s="49">
        <f t="array" ref="L181">IFERROR(
SUM(
IF(
'PORTIFÓLIO'!$C$4:$C$564=$A181,
N(INDEX('PORTIFÓLIO'!$J$4:$Q$564,,MATCH(L$2,'PORTIFÓLIO'!$J$3:$Q$3,0))) *
N('PORTIFÓLIO'!$S$4:$S$564),
0
)
),
0)</f>
        <v/>
      </c>
      <c r="M181" s="47">
        <f>L181/$L$4</f>
        <v/>
      </c>
      <c r="N181" s="49">
        <f t="array" ref="N181">IFERROR(
SUM(
IF(
'PORTIFÓLIO'!$C$4:$C$564=$A181,
N(INDEX('PORTIFÓLIO'!$J$4:$Q$564,,MATCH(N$2,'PORTIFÓLIO'!$J$3:$Q$3,0))) *
N('PORTIFÓLIO'!$S$4:$S$564),
0
)
),
0)</f>
        <v/>
      </c>
      <c r="O181" s="49">
        <f>N181/$N$4</f>
        <v/>
      </c>
      <c r="P181" s="49">
        <f t="array" ref="P181">IFERROR(
SUM(
IF(
'PORTIFÓLIO'!$C$4:$C$564=$A181,
N(INDEX('PORTIFÓLIO'!$J$4:$Q$564,,MATCH(P$2,'PORTIFÓLIO'!$J$3:$Q$3,0))) *
N('PORTIFÓLIO'!$S$4:$S$564),
0
)
),
0)</f>
        <v/>
      </c>
      <c r="Q181" s="49">
        <f>P181/$P$4</f>
        <v/>
      </c>
      <c r="R181" s="49">
        <f>SUM(P181,N181,L181,J181,H181,D181,B181)</f>
        <v/>
      </c>
      <c r="S181" s="49">
        <f>R181/$R$4</f>
        <v/>
      </c>
    </row>
    <row r="182" hidden="1" outlineLevel="1" ht="15.75" customHeight="1" s="297">
      <c r="A182" s="48">
        <f>IFERROR(__xludf.DUMMYFUNCTION("""COMPUTED_VALUE"""),"EFFICON")</f>
        <v/>
      </c>
      <c r="B182" s="49">
        <f t="array" ref="B182">IFERROR(
SUM(
IF(
'PORTIFÓLIO'!$C$4:$C$564=$A182,
N(INDEX('PORTIFÓLIO'!$J$4:$Q$564,,MATCH(B$2,'PORTIFÓLIO'!$J$3:$Q$3,0))) *
N('PORTIFÓLIO'!$S$4:$S$564),
0
)
),
0)</f>
        <v/>
      </c>
      <c r="C182" s="49">
        <f>B182/$B$4</f>
        <v/>
      </c>
      <c r="D182" s="49">
        <f t="array" ref="D182">IFERROR(
SUM(
IF(
'PORTIFÓLIO'!$C$4:$C$564=$A182,
N(INDEX('PORTIFÓLIO'!$J$4:$Q$564,,MATCH(D$2,'PORTIFÓLIO'!$J$3:$Q$3,0))) *
N('PORTIFÓLIO'!$S$4:$S$564),
0
)
),
0)</f>
        <v/>
      </c>
      <c r="E182" s="49">
        <f>D182/$D$4</f>
        <v/>
      </c>
      <c r="F182" s="49">
        <f t="array" ref="F182">IFERROR(
SUM(
IF(
'PORTIFÓLIO'!$C$4:$C$564=$A182,
N(INDEX('PORTIFÓLIO'!$J$4:$Q$564,,MATCH(F$2,'PORTIFÓLIO'!$J$3:$Q$3,0))) *
N('PORTIFÓLIO'!$S$4:$S$564),
0
)
),
0)</f>
        <v/>
      </c>
      <c r="G182" s="47">
        <f>F182/$F$4</f>
        <v/>
      </c>
      <c r="H182" s="49">
        <f t="array" ref="H182">IFERROR(
SUM(
IF(
'PORTIFÓLIO'!$C$4:$C$564=$A182,
N(INDEX('PORTIFÓLIO'!$J$4:$Q$564,,MATCH(H$2,'PORTIFÓLIO'!$J$3:$Q$3,0))) *
N('PORTIFÓLIO'!$S$4:$S$564),
0
)
),
0)</f>
        <v/>
      </c>
      <c r="I182" s="47">
        <f>H182/$H$4</f>
        <v/>
      </c>
      <c r="J182" s="49">
        <f t="array" ref="J182">IFERROR(
SUM(
IF(
'PORTIFÓLIO'!$C$4:$C$564=$A182,
N(INDEX('PORTIFÓLIO'!$J$4:$Q$564,,MATCH(J$2,'PORTIFÓLIO'!$J$3:$Q$3,0))) *
N('PORTIFÓLIO'!$S$4:$S$564),
0
)
),
0)</f>
        <v/>
      </c>
      <c r="K182" s="47">
        <f>J182/$J$4</f>
        <v/>
      </c>
      <c r="L182" s="49">
        <f t="array" ref="L182">IFERROR(
SUM(
IF(
'PORTIFÓLIO'!$C$4:$C$564=$A182,
N(INDEX('PORTIFÓLIO'!$J$4:$Q$564,,MATCH(L$2,'PORTIFÓLIO'!$J$3:$Q$3,0))) *
N('PORTIFÓLIO'!$S$4:$S$564),
0
)
),
0)</f>
        <v/>
      </c>
      <c r="M182" s="47">
        <f>L182/$L$4</f>
        <v/>
      </c>
      <c r="N182" s="49">
        <f t="array" ref="N182">IFERROR(
SUM(
IF(
'PORTIFÓLIO'!$C$4:$C$564=$A182,
N(INDEX('PORTIFÓLIO'!$J$4:$Q$564,,MATCH(N$2,'PORTIFÓLIO'!$J$3:$Q$3,0))) *
N('PORTIFÓLIO'!$S$4:$S$564),
0
)
),
0)</f>
        <v/>
      </c>
      <c r="O182" s="49">
        <f>N182/$N$4</f>
        <v/>
      </c>
      <c r="P182" s="49">
        <f t="array" ref="P182">IFERROR(
SUM(
IF(
'PORTIFÓLIO'!$C$4:$C$564=$A182,
N(INDEX('PORTIFÓLIO'!$J$4:$Q$564,,MATCH(P$2,'PORTIFÓLIO'!$J$3:$Q$3,0))) *
N('PORTIFÓLIO'!$S$4:$S$564),
0
)
),
0)</f>
        <v/>
      </c>
      <c r="Q182" s="49">
        <f>P182/$P$4</f>
        <v/>
      </c>
      <c r="R182" s="49">
        <f>SUM(P182,N182,L182,J182,H182,D182,B182)</f>
        <v/>
      </c>
      <c r="S182" s="49">
        <f>R182/$R$4</f>
        <v/>
      </c>
    </row>
    <row r="183" hidden="1" outlineLevel="1" ht="15.75" customHeight="1" s="297">
      <c r="A183" s="48">
        <f>IFERROR(__xludf.DUMMYFUNCTION("""COMPUTED_VALUE"""),"NOMOLT 150")</f>
        <v/>
      </c>
      <c r="B183" s="49">
        <f t="array" ref="B183">IFERROR(
SUM(
IF(
'PORTIFÓLIO'!$C$4:$C$564=$A183,
N(INDEX('PORTIFÓLIO'!$J$4:$Q$564,,MATCH(B$2,'PORTIFÓLIO'!$J$3:$Q$3,0))) *
N('PORTIFÓLIO'!$S$4:$S$564),
0
)
),
0)</f>
        <v/>
      </c>
      <c r="C183" s="49">
        <f>B183/$B$4</f>
        <v/>
      </c>
      <c r="D183" s="49">
        <f t="array" ref="D183">IFERROR(
SUM(
IF(
'PORTIFÓLIO'!$C$4:$C$564=$A183,
N(INDEX('PORTIFÓLIO'!$J$4:$Q$564,,MATCH(D$2,'PORTIFÓLIO'!$J$3:$Q$3,0))) *
N('PORTIFÓLIO'!$S$4:$S$564),
0
)
),
0)</f>
        <v/>
      </c>
      <c r="E183" s="49">
        <f>D183/$D$4</f>
        <v/>
      </c>
      <c r="F183" s="49">
        <f t="array" ref="F183">IFERROR(
SUM(
IF(
'PORTIFÓLIO'!$C$4:$C$564=$A183,
N(INDEX('PORTIFÓLIO'!$J$4:$Q$564,,MATCH(F$2,'PORTIFÓLIO'!$J$3:$Q$3,0))) *
N('PORTIFÓLIO'!$S$4:$S$564),
0
)
),
0)</f>
        <v/>
      </c>
      <c r="G183" s="47">
        <f>F183/$F$4</f>
        <v/>
      </c>
      <c r="H183" s="49">
        <f t="array" ref="H183">IFERROR(
SUM(
IF(
'PORTIFÓLIO'!$C$4:$C$564=$A183,
N(INDEX('PORTIFÓLIO'!$J$4:$Q$564,,MATCH(H$2,'PORTIFÓLIO'!$J$3:$Q$3,0))) *
N('PORTIFÓLIO'!$S$4:$S$564),
0
)
),
0)</f>
        <v/>
      </c>
      <c r="I183" s="47">
        <f>H183/$H$4</f>
        <v/>
      </c>
      <c r="J183" s="49">
        <f t="array" ref="J183">IFERROR(
SUM(
IF(
'PORTIFÓLIO'!$C$4:$C$564=$A183,
N(INDEX('PORTIFÓLIO'!$J$4:$Q$564,,MATCH(J$2,'PORTIFÓLIO'!$J$3:$Q$3,0))) *
N('PORTIFÓLIO'!$S$4:$S$564),
0
)
),
0)</f>
        <v/>
      </c>
      <c r="K183" s="47">
        <f>J183/$J$4</f>
        <v/>
      </c>
      <c r="L183" s="49">
        <f t="array" ref="L183">IFERROR(
SUM(
IF(
'PORTIFÓLIO'!$C$4:$C$564=$A183,
N(INDEX('PORTIFÓLIO'!$J$4:$Q$564,,MATCH(L$2,'PORTIFÓLIO'!$J$3:$Q$3,0))) *
N('PORTIFÓLIO'!$S$4:$S$564),
0
)
),
0)</f>
        <v/>
      </c>
      <c r="M183" s="47">
        <f>L183/$L$4</f>
        <v/>
      </c>
      <c r="N183" s="49">
        <f t="array" ref="N183">IFERROR(
SUM(
IF(
'PORTIFÓLIO'!$C$4:$C$564=$A183,
N(INDEX('PORTIFÓLIO'!$J$4:$Q$564,,MATCH(N$2,'PORTIFÓLIO'!$J$3:$Q$3,0))) *
N('PORTIFÓLIO'!$S$4:$S$564),
0
)
),
0)</f>
        <v/>
      </c>
      <c r="O183" s="49">
        <f>N183/$N$4</f>
        <v/>
      </c>
      <c r="P183" s="49">
        <f t="array" ref="P183">IFERROR(
SUM(
IF(
'PORTIFÓLIO'!$C$4:$C$564=$A183,
N(INDEX('PORTIFÓLIO'!$J$4:$Q$564,,MATCH(P$2,'PORTIFÓLIO'!$J$3:$Q$3,0))) *
N('PORTIFÓLIO'!$S$4:$S$564),
0
)
),
0)</f>
        <v/>
      </c>
      <c r="Q183" s="49">
        <f>P183/$P$4</f>
        <v/>
      </c>
      <c r="R183" s="49">
        <f>SUM(P183,N183,L183,J183,H183,D183,B183)</f>
        <v/>
      </c>
      <c r="S183" s="49">
        <f>R183/$R$4</f>
        <v/>
      </c>
    </row>
    <row r="184" hidden="1" outlineLevel="1" ht="15.75" customHeight="1" s="297">
      <c r="A184" s="48">
        <f>IFERROR(__xludf.DUMMYFUNCTION("""COMPUTED_VALUE"""),"PIRATE")</f>
        <v/>
      </c>
      <c r="B184" s="49">
        <f t="array" ref="B184">IFERROR(
SUM(
IF(
'PORTIFÓLIO'!$C$4:$C$564=$A184,
N(INDEX('PORTIFÓLIO'!$J$4:$Q$564,,MATCH(B$2,'PORTIFÓLIO'!$J$3:$Q$3,0))) *
N('PORTIFÓLIO'!$S$4:$S$564),
0
)
),
0)</f>
        <v/>
      </c>
      <c r="C184" s="49">
        <f>B184/$B$4</f>
        <v/>
      </c>
      <c r="D184" s="49">
        <f t="array" ref="D184">IFERROR(
SUM(
IF(
'PORTIFÓLIO'!$C$4:$C$564=$A184,
N(INDEX('PORTIFÓLIO'!$J$4:$Q$564,,MATCH(D$2,'PORTIFÓLIO'!$J$3:$Q$3,0))) *
N('PORTIFÓLIO'!$S$4:$S$564),
0
)
),
0)</f>
        <v/>
      </c>
      <c r="E184" s="49">
        <f>D184/$D$4</f>
        <v/>
      </c>
      <c r="F184" s="49">
        <f t="array" ref="F184">IFERROR(
SUM(
IF(
'PORTIFÓLIO'!$C$4:$C$564=$A184,
N(INDEX('PORTIFÓLIO'!$J$4:$Q$564,,MATCH(F$2,'PORTIFÓLIO'!$J$3:$Q$3,0))) *
N('PORTIFÓLIO'!$S$4:$S$564),
0
)
),
0)</f>
        <v/>
      </c>
      <c r="G184" s="47">
        <f>F184/$F$4</f>
        <v/>
      </c>
      <c r="H184" s="49">
        <f t="array" ref="H184">IFERROR(
SUM(
IF(
'PORTIFÓLIO'!$C$4:$C$564=$A184,
N(INDEX('PORTIFÓLIO'!$J$4:$Q$564,,MATCH(H$2,'PORTIFÓLIO'!$J$3:$Q$3,0))) *
N('PORTIFÓLIO'!$S$4:$S$564),
0
)
),
0)</f>
        <v/>
      </c>
      <c r="I184" s="47">
        <f>H184/$H$4</f>
        <v/>
      </c>
      <c r="J184" s="49">
        <f t="array" ref="J184">IFERROR(
SUM(
IF(
'PORTIFÓLIO'!$C$4:$C$564=$A184,
N(INDEX('PORTIFÓLIO'!$J$4:$Q$564,,MATCH(J$2,'PORTIFÓLIO'!$J$3:$Q$3,0))) *
N('PORTIFÓLIO'!$S$4:$S$564),
0
)
),
0)</f>
        <v/>
      </c>
      <c r="K184" s="47">
        <f>J184/$J$4</f>
        <v/>
      </c>
      <c r="L184" s="49">
        <f t="array" ref="L184">IFERROR(
SUM(
IF(
'PORTIFÓLIO'!$C$4:$C$564=$A184,
N(INDEX('PORTIFÓLIO'!$J$4:$Q$564,,MATCH(L$2,'PORTIFÓLIO'!$J$3:$Q$3,0))) *
N('PORTIFÓLIO'!$S$4:$S$564),
0
)
),
0)</f>
        <v/>
      </c>
      <c r="M184" s="47">
        <f>L184/$L$4</f>
        <v/>
      </c>
      <c r="N184" s="49">
        <f t="array" ref="N184">IFERROR(
SUM(
IF(
'PORTIFÓLIO'!$C$4:$C$564=$A184,
N(INDEX('PORTIFÓLIO'!$J$4:$Q$564,,MATCH(N$2,'PORTIFÓLIO'!$J$3:$Q$3,0))) *
N('PORTIFÓLIO'!$S$4:$S$564),
0
)
),
0)</f>
        <v/>
      </c>
      <c r="O184" s="49">
        <f>N184/$N$4</f>
        <v/>
      </c>
      <c r="P184" s="49">
        <f t="array" ref="P184">IFERROR(
SUM(
IF(
'PORTIFÓLIO'!$C$4:$C$564=$A184,
N(INDEX('PORTIFÓLIO'!$J$4:$Q$564,,MATCH(P$2,'PORTIFÓLIO'!$J$3:$Q$3,0))) *
N('PORTIFÓLIO'!$S$4:$S$564),
0
)
),
0)</f>
        <v/>
      </c>
      <c r="Q184" s="49">
        <f>P184/$P$4</f>
        <v/>
      </c>
      <c r="R184" s="49">
        <f>SUM(P184,N184,L184,J184,H184,D184,B184)</f>
        <v/>
      </c>
      <c r="S184" s="49">
        <f>R184/$R$4</f>
        <v/>
      </c>
    </row>
    <row r="185" hidden="1" outlineLevel="1" ht="15.75" customHeight="1" s="297">
      <c r="A185" s="48">
        <f>IFERROR(__xludf.DUMMYFUNCTION("""COMPUTED_VALUE"""),"BELT")</f>
        <v/>
      </c>
      <c r="B185" s="49">
        <f t="array" ref="B185">IFERROR(
SUM(
IF(
'PORTIFÓLIO'!$C$4:$C$564=$A185,
N(INDEX('PORTIFÓLIO'!$J$4:$Q$564,,MATCH(B$2,'PORTIFÓLIO'!$J$3:$Q$3,0))) *
N('PORTIFÓLIO'!$S$4:$S$564),
0
)
),
0)</f>
        <v/>
      </c>
      <c r="C185" s="49">
        <f>B185/$B$4</f>
        <v/>
      </c>
      <c r="D185" s="49">
        <f t="array" ref="D185">IFERROR(
SUM(
IF(
'PORTIFÓLIO'!$C$4:$C$564=$A185,
N(INDEX('PORTIFÓLIO'!$J$4:$Q$564,,MATCH(D$2,'PORTIFÓLIO'!$J$3:$Q$3,0))) *
N('PORTIFÓLIO'!$S$4:$S$564),
0
)
),
0)</f>
        <v/>
      </c>
      <c r="E185" s="49">
        <f>D185/$D$4</f>
        <v/>
      </c>
      <c r="F185" s="49">
        <f t="array" ref="F185">IFERROR(
SUM(
IF(
'PORTIFÓLIO'!$C$4:$C$564=$A185,
N(INDEX('PORTIFÓLIO'!$J$4:$Q$564,,MATCH(F$2,'PORTIFÓLIO'!$J$3:$Q$3,0))) *
N('PORTIFÓLIO'!$S$4:$S$564),
0
)
),
0)</f>
        <v/>
      </c>
      <c r="G185" s="47">
        <f>F185/$F$4</f>
        <v/>
      </c>
      <c r="H185" s="49">
        <f t="array" ref="H185">IFERROR(
SUM(
IF(
'PORTIFÓLIO'!$C$4:$C$564=$A185,
N(INDEX('PORTIFÓLIO'!$J$4:$Q$564,,MATCH(H$2,'PORTIFÓLIO'!$J$3:$Q$3,0))) *
N('PORTIFÓLIO'!$S$4:$S$564),
0
)
),
0)</f>
        <v/>
      </c>
      <c r="I185" s="47">
        <f>H185/$H$4</f>
        <v/>
      </c>
      <c r="J185" s="49">
        <f t="array" ref="J185">IFERROR(
SUM(
IF(
'PORTIFÓLIO'!$C$4:$C$564=$A185,
N(INDEX('PORTIFÓLIO'!$J$4:$Q$564,,MATCH(J$2,'PORTIFÓLIO'!$J$3:$Q$3,0))) *
N('PORTIFÓLIO'!$S$4:$S$564),
0
)
),
0)</f>
        <v/>
      </c>
      <c r="K185" s="47">
        <f>J185/$J$4</f>
        <v/>
      </c>
      <c r="L185" s="49">
        <f t="array" ref="L185">IFERROR(
SUM(
IF(
'PORTIFÓLIO'!$C$4:$C$564=$A185,
N(INDEX('PORTIFÓLIO'!$J$4:$Q$564,,MATCH(L$2,'PORTIFÓLIO'!$J$3:$Q$3,0))) *
N('PORTIFÓLIO'!$S$4:$S$564),
0
)
),
0)</f>
        <v/>
      </c>
      <c r="M185" s="47">
        <f>L185/$L$4</f>
        <v/>
      </c>
      <c r="N185" s="49">
        <f t="array" ref="N185">IFERROR(
SUM(
IF(
'PORTIFÓLIO'!$C$4:$C$564=$A185,
N(INDEX('PORTIFÓLIO'!$J$4:$Q$564,,MATCH(N$2,'PORTIFÓLIO'!$J$3:$Q$3,0))) *
N('PORTIFÓLIO'!$S$4:$S$564),
0
)
),
0)</f>
        <v/>
      </c>
      <c r="O185" s="49">
        <f>N185/$N$4</f>
        <v/>
      </c>
      <c r="P185" s="49">
        <f t="array" ref="P185">IFERROR(
SUM(
IF(
'PORTIFÓLIO'!$C$4:$C$564=$A185,
N(INDEX('PORTIFÓLIO'!$J$4:$Q$564,,MATCH(P$2,'PORTIFÓLIO'!$J$3:$Q$3,0))) *
N('PORTIFÓLIO'!$S$4:$S$564),
0
)
),
0)</f>
        <v/>
      </c>
      <c r="Q185" s="49">
        <f>P185/$P$4</f>
        <v/>
      </c>
      <c r="R185" s="49">
        <f>SUM(P185,N185,L185,J185,H185,D185,B185)</f>
        <v/>
      </c>
      <c r="S185" s="49">
        <f>R185/$R$4</f>
        <v/>
      </c>
    </row>
    <row r="186" hidden="1" outlineLevel="1" ht="15.75" customHeight="1" s="297">
      <c r="A186" s="48">
        <f>IFERROR(__xludf.DUMMYFUNCTION("""COMPUTED_VALUE"""),"BULLDOCK 125 SC")</f>
        <v/>
      </c>
      <c r="B186" s="49">
        <f t="array" ref="B186">IFERROR(
SUM(
IF(
'PORTIFÓLIO'!$C$4:$C$564=$A186,
N(INDEX('PORTIFÓLIO'!$J$4:$Q$564,,MATCH(B$2,'PORTIFÓLIO'!$J$3:$Q$3,0))) *
N('PORTIFÓLIO'!$S$4:$S$564),
0
)
),
0)</f>
        <v/>
      </c>
      <c r="C186" s="49">
        <f>B186/$B$4</f>
        <v/>
      </c>
      <c r="D186" s="49">
        <f t="array" ref="D186">IFERROR(
SUM(
IF(
'PORTIFÓLIO'!$C$4:$C$564=$A186,
N(INDEX('PORTIFÓLIO'!$J$4:$Q$564,,MATCH(D$2,'PORTIFÓLIO'!$J$3:$Q$3,0))) *
N('PORTIFÓLIO'!$S$4:$S$564),
0
)
),
0)</f>
        <v/>
      </c>
      <c r="E186" s="49">
        <f>D186/$D$4</f>
        <v/>
      </c>
      <c r="F186" s="49">
        <f t="array" ref="F186">IFERROR(
SUM(
IF(
'PORTIFÓLIO'!$C$4:$C$564=$A186,
N(INDEX('PORTIFÓLIO'!$J$4:$Q$564,,MATCH(F$2,'PORTIFÓLIO'!$J$3:$Q$3,0))) *
N('PORTIFÓLIO'!$S$4:$S$564),
0
)
),
0)</f>
        <v/>
      </c>
      <c r="G186" s="47">
        <f>F186/$F$4</f>
        <v/>
      </c>
      <c r="H186" s="49">
        <f t="array" ref="H186">IFERROR(
SUM(
IF(
'PORTIFÓLIO'!$C$4:$C$564=$A186,
N(INDEX('PORTIFÓLIO'!$J$4:$Q$564,,MATCH(H$2,'PORTIFÓLIO'!$J$3:$Q$3,0))) *
N('PORTIFÓLIO'!$S$4:$S$564),
0
)
),
0)</f>
        <v/>
      </c>
      <c r="I186" s="47">
        <f>H186/$H$4</f>
        <v/>
      </c>
      <c r="J186" s="49">
        <f t="array" ref="J186">IFERROR(
SUM(
IF(
'PORTIFÓLIO'!$C$4:$C$564=$A186,
N(INDEX('PORTIFÓLIO'!$J$4:$Q$564,,MATCH(J$2,'PORTIFÓLIO'!$J$3:$Q$3,0))) *
N('PORTIFÓLIO'!$S$4:$S$564),
0
)
),
0)</f>
        <v/>
      </c>
      <c r="K186" s="47">
        <f>J186/$J$4</f>
        <v/>
      </c>
      <c r="L186" s="49">
        <f t="array" ref="L186">IFERROR(
SUM(
IF(
'PORTIFÓLIO'!$C$4:$C$564=$A186,
N(INDEX('PORTIFÓLIO'!$J$4:$Q$564,,MATCH(L$2,'PORTIFÓLIO'!$J$3:$Q$3,0))) *
N('PORTIFÓLIO'!$S$4:$S$564),
0
)
),
0)</f>
        <v/>
      </c>
      <c r="M186" s="47">
        <f>L186/$L$4</f>
        <v/>
      </c>
      <c r="N186" s="49">
        <f t="array" ref="N186">IFERROR(
SUM(
IF(
'PORTIFÓLIO'!$C$4:$C$564=$A186,
N(INDEX('PORTIFÓLIO'!$J$4:$Q$564,,MATCH(N$2,'PORTIFÓLIO'!$J$3:$Q$3,0))) *
N('PORTIFÓLIO'!$S$4:$S$564),
0
)
),
0)</f>
        <v/>
      </c>
      <c r="O186" s="49">
        <f>N186/$N$4</f>
        <v/>
      </c>
      <c r="P186" s="49">
        <f t="array" ref="P186">IFERROR(
SUM(
IF(
'PORTIFÓLIO'!$C$4:$C$564=$A186,
N(INDEX('PORTIFÓLIO'!$J$4:$Q$564,,MATCH(P$2,'PORTIFÓLIO'!$J$3:$Q$3,0))) *
N('PORTIFÓLIO'!$S$4:$S$564),
0
)
),
0)</f>
        <v/>
      </c>
      <c r="Q186" s="49">
        <f>P186/$P$4</f>
        <v/>
      </c>
      <c r="R186" s="49">
        <f>SUM(P186,N186,L186,J186,H186,D186,B186)</f>
        <v/>
      </c>
      <c r="S186" s="49">
        <f>R186/$R$4</f>
        <v/>
      </c>
    </row>
    <row r="187" hidden="1" outlineLevel="1" ht="15.75" customHeight="1" s="297">
      <c r="A187" s="48">
        <f>IFERROR(__xludf.DUMMYFUNCTION("""COMPUTED_VALUE"""),"CERTERO")</f>
        <v/>
      </c>
      <c r="B187" s="49">
        <f t="array" ref="B187">IFERROR(
SUM(
IF(
'PORTIFÓLIO'!$C$4:$C$564=$A187,
N(INDEX('PORTIFÓLIO'!$J$4:$Q$564,,MATCH(B$2,'PORTIFÓLIO'!$J$3:$Q$3,0))) *
N('PORTIFÓLIO'!$S$4:$S$564),
0
)
),
0)</f>
        <v/>
      </c>
      <c r="C187" s="49">
        <f>B187/$B$4</f>
        <v/>
      </c>
      <c r="D187" s="49">
        <f t="array" ref="D187">IFERROR(
SUM(
IF(
'PORTIFÓLIO'!$C$4:$C$564=$A187,
N(INDEX('PORTIFÓLIO'!$J$4:$Q$564,,MATCH(D$2,'PORTIFÓLIO'!$J$3:$Q$3,0))) *
N('PORTIFÓLIO'!$S$4:$S$564),
0
)
),
0)</f>
        <v/>
      </c>
      <c r="E187" s="49">
        <f>D187/$D$4</f>
        <v/>
      </c>
      <c r="F187" s="49">
        <f t="array" ref="F187">IFERROR(
SUM(
IF(
'PORTIFÓLIO'!$C$4:$C$564=$A187,
N(INDEX('PORTIFÓLIO'!$J$4:$Q$564,,MATCH(F$2,'PORTIFÓLIO'!$J$3:$Q$3,0))) *
N('PORTIFÓLIO'!$S$4:$S$564),
0
)
),
0)</f>
        <v/>
      </c>
      <c r="G187" s="47">
        <f>F187/$F$4</f>
        <v/>
      </c>
      <c r="H187" s="49">
        <f t="array" ref="H187">IFERROR(
SUM(
IF(
'PORTIFÓLIO'!$C$4:$C$564=$A187,
N(INDEX('PORTIFÓLIO'!$J$4:$Q$564,,MATCH(H$2,'PORTIFÓLIO'!$J$3:$Q$3,0))) *
N('PORTIFÓLIO'!$S$4:$S$564),
0
)
),
0)</f>
        <v/>
      </c>
      <c r="I187" s="47">
        <f>H187/$H$4</f>
        <v/>
      </c>
      <c r="J187" s="49">
        <f t="array" ref="J187">IFERROR(
SUM(
IF(
'PORTIFÓLIO'!$C$4:$C$564=$A187,
N(INDEX('PORTIFÓLIO'!$J$4:$Q$564,,MATCH(J$2,'PORTIFÓLIO'!$J$3:$Q$3,0))) *
N('PORTIFÓLIO'!$S$4:$S$564),
0
)
),
0)</f>
        <v/>
      </c>
      <c r="K187" s="47">
        <f>J187/$J$4</f>
        <v/>
      </c>
      <c r="L187" s="49">
        <f t="array" ref="L187">IFERROR(
SUM(
IF(
'PORTIFÓLIO'!$C$4:$C$564=$A187,
N(INDEX('PORTIFÓLIO'!$J$4:$Q$564,,MATCH(L$2,'PORTIFÓLIO'!$J$3:$Q$3,0))) *
N('PORTIFÓLIO'!$S$4:$S$564),
0
)
),
0)</f>
        <v/>
      </c>
      <c r="M187" s="47">
        <f>L187/$L$4</f>
        <v/>
      </c>
      <c r="N187" s="49">
        <f t="array" ref="N187">IFERROR(
SUM(
IF(
'PORTIFÓLIO'!$C$4:$C$564=$A187,
N(INDEX('PORTIFÓLIO'!$J$4:$Q$564,,MATCH(N$2,'PORTIFÓLIO'!$J$3:$Q$3,0))) *
N('PORTIFÓLIO'!$S$4:$S$564),
0
)
),
0)</f>
        <v/>
      </c>
      <c r="O187" s="49">
        <f>N187/$N$4</f>
        <v/>
      </c>
      <c r="P187" s="49">
        <f t="array" ref="P187">IFERROR(
SUM(
IF(
'PORTIFÓLIO'!$C$4:$C$564=$A187,
N(INDEX('PORTIFÓLIO'!$J$4:$Q$564,,MATCH(P$2,'PORTIFÓLIO'!$J$3:$Q$3,0))) *
N('PORTIFÓLIO'!$S$4:$S$564),
0
)
),
0)</f>
        <v/>
      </c>
      <c r="Q187" s="49">
        <f>P187/$P$4</f>
        <v/>
      </c>
      <c r="R187" s="49">
        <f>SUM(P187,N187,L187,J187,H187,D187,B187)</f>
        <v/>
      </c>
      <c r="S187" s="49">
        <f>R187/$R$4</f>
        <v/>
      </c>
    </row>
    <row r="188" hidden="1" outlineLevel="1" ht="15.75" customHeight="1" s="297">
      <c r="A188" s="48">
        <f>IFERROR(__xludf.DUMMYFUNCTION("""COMPUTED_VALUE"""),"CONNECT")</f>
        <v/>
      </c>
      <c r="B188" s="49">
        <f t="array" ref="B188">IFERROR(
SUM(
IF(
'PORTIFÓLIO'!$C$4:$C$564=$A188,
N(INDEX('PORTIFÓLIO'!$J$4:$Q$564,,MATCH(B$2,'PORTIFÓLIO'!$J$3:$Q$3,0))) *
N('PORTIFÓLIO'!$S$4:$S$564),
0
)
),
0)</f>
        <v/>
      </c>
      <c r="C188" s="49">
        <f>B188/$B$4</f>
        <v/>
      </c>
      <c r="D188" s="49">
        <f t="array" ref="D188">IFERROR(
SUM(
IF(
'PORTIFÓLIO'!$C$4:$C$564=$A188,
N(INDEX('PORTIFÓLIO'!$J$4:$Q$564,,MATCH(D$2,'PORTIFÓLIO'!$J$3:$Q$3,0))) *
N('PORTIFÓLIO'!$S$4:$S$564),
0
)
),
0)</f>
        <v/>
      </c>
      <c r="E188" s="49">
        <f>D188/$D$4</f>
        <v/>
      </c>
      <c r="F188" s="49">
        <f t="array" ref="F188">IFERROR(
SUM(
IF(
'PORTIFÓLIO'!$C$4:$C$564=$A188,
N(INDEX('PORTIFÓLIO'!$J$4:$Q$564,,MATCH(F$2,'PORTIFÓLIO'!$J$3:$Q$3,0))) *
N('PORTIFÓLIO'!$S$4:$S$564),
0
)
),
0)</f>
        <v/>
      </c>
      <c r="G188" s="47">
        <f>F188/$F$4</f>
        <v/>
      </c>
      <c r="H188" s="49">
        <f t="array" ref="H188">IFERROR(
SUM(
IF(
'PORTIFÓLIO'!$C$4:$C$564=$A188,
N(INDEX('PORTIFÓLIO'!$J$4:$Q$564,,MATCH(H$2,'PORTIFÓLIO'!$J$3:$Q$3,0))) *
N('PORTIFÓLIO'!$S$4:$S$564),
0
)
),
0)</f>
        <v/>
      </c>
      <c r="I188" s="47">
        <f>H188/$H$4</f>
        <v/>
      </c>
      <c r="J188" s="49">
        <f t="array" ref="J188">IFERROR(
SUM(
IF(
'PORTIFÓLIO'!$C$4:$C$564=$A188,
N(INDEX('PORTIFÓLIO'!$J$4:$Q$564,,MATCH(J$2,'PORTIFÓLIO'!$J$3:$Q$3,0))) *
N('PORTIFÓLIO'!$S$4:$S$564),
0
)
),
0)</f>
        <v/>
      </c>
      <c r="K188" s="47">
        <f>J188/$J$4</f>
        <v/>
      </c>
      <c r="L188" s="49">
        <f t="array" ref="L188">IFERROR(
SUM(
IF(
'PORTIFÓLIO'!$C$4:$C$564=$A188,
N(INDEX('PORTIFÓLIO'!$J$4:$Q$564,,MATCH(L$2,'PORTIFÓLIO'!$J$3:$Q$3,0))) *
N('PORTIFÓLIO'!$S$4:$S$564),
0
)
),
0)</f>
        <v/>
      </c>
      <c r="M188" s="47">
        <f>L188/$L$4</f>
        <v/>
      </c>
      <c r="N188" s="49">
        <f t="array" ref="N188">IFERROR(
SUM(
IF(
'PORTIFÓLIO'!$C$4:$C$564=$A188,
N(INDEX('PORTIFÓLIO'!$J$4:$Q$564,,MATCH(N$2,'PORTIFÓLIO'!$J$3:$Q$3,0))) *
N('PORTIFÓLIO'!$S$4:$S$564),
0
)
),
0)</f>
        <v/>
      </c>
      <c r="O188" s="49">
        <f>N188/$N$4</f>
        <v/>
      </c>
      <c r="P188" s="49">
        <f t="array" ref="P188">IFERROR(
SUM(
IF(
'PORTIFÓLIO'!$C$4:$C$564=$A188,
N(INDEX('PORTIFÓLIO'!$J$4:$Q$564,,MATCH(P$2,'PORTIFÓLIO'!$J$3:$Q$3,0))) *
N('PORTIFÓLIO'!$S$4:$S$564),
0
)
),
0)</f>
        <v/>
      </c>
      <c r="Q188" s="49">
        <f>P188/$P$4</f>
        <v/>
      </c>
      <c r="R188" s="49">
        <f>SUM(P188,N188,L188,J188,H188,D188,B188)</f>
        <v/>
      </c>
      <c r="S188" s="49">
        <f>R188/$R$4</f>
        <v/>
      </c>
    </row>
    <row r="189" hidden="1" outlineLevel="1" ht="15.75" customHeight="1" s="297">
      <c r="A189" s="48">
        <f>IFERROR(__xludf.DUMMYFUNCTION("""COMPUTED_VALUE"""),"CURBIX 200 SC")</f>
        <v/>
      </c>
      <c r="B189" s="49">
        <f t="array" ref="B189">IFERROR(
SUM(
IF(
'PORTIFÓLIO'!$C$4:$C$564=$A189,
N(INDEX('PORTIFÓLIO'!$J$4:$Q$564,,MATCH(B$2,'PORTIFÓLIO'!$J$3:$Q$3,0))) *
N('PORTIFÓLIO'!$S$4:$S$564),
0
)
),
0)</f>
        <v/>
      </c>
      <c r="C189" s="49">
        <f>B189/$B$4</f>
        <v/>
      </c>
      <c r="D189" s="49">
        <f t="array" ref="D189">IFERROR(
SUM(
IF(
'PORTIFÓLIO'!$C$4:$C$564=$A189,
N(INDEX('PORTIFÓLIO'!$J$4:$Q$564,,MATCH(D$2,'PORTIFÓLIO'!$J$3:$Q$3,0))) *
N('PORTIFÓLIO'!$S$4:$S$564),
0
)
),
0)</f>
        <v/>
      </c>
      <c r="E189" s="49">
        <f>D189/$D$4</f>
        <v/>
      </c>
      <c r="F189" s="49">
        <f t="array" ref="F189">IFERROR(
SUM(
IF(
'PORTIFÓLIO'!$C$4:$C$564=$A189,
N(INDEX('PORTIFÓLIO'!$J$4:$Q$564,,MATCH(F$2,'PORTIFÓLIO'!$J$3:$Q$3,0))) *
N('PORTIFÓLIO'!$S$4:$S$564),
0
)
),
0)</f>
        <v/>
      </c>
      <c r="G189" s="47">
        <f>F189/$F$4</f>
        <v/>
      </c>
      <c r="H189" s="49">
        <f t="array" ref="H189">IFERROR(
SUM(
IF(
'PORTIFÓLIO'!$C$4:$C$564=$A189,
N(INDEX('PORTIFÓLIO'!$J$4:$Q$564,,MATCH(H$2,'PORTIFÓLIO'!$J$3:$Q$3,0))) *
N('PORTIFÓLIO'!$S$4:$S$564),
0
)
),
0)</f>
        <v/>
      </c>
      <c r="I189" s="47">
        <f>H189/$H$4</f>
        <v/>
      </c>
      <c r="J189" s="49">
        <f t="array" ref="J189">IFERROR(
SUM(
IF(
'PORTIFÓLIO'!$C$4:$C$564=$A189,
N(INDEX('PORTIFÓLIO'!$J$4:$Q$564,,MATCH(J$2,'PORTIFÓLIO'!$J$3:$Q$3,0))) *
N('PORTIFÓLIO'!$S$4:$S$564),
0
)
),
0)</f>
        <v/>
      </c>
      <c r="K189" s="47">
        <f>J189/$J$4</f>
        <v/>
      </c>
      <c r="L189" s="49">
        <f t="array" ref="L189">IFERROR(
SUM(
IF(
'PORTIFÓLIO'!$C$4:$C$564=$A189,
N(INDEX('PORTIFÓLIO'!$J$4:$Q$564,,MATCH(L$2,'PORTIFÓLIO'!$J$3:$Q$3,0))) *
N('PORTIFÓLIO'!$S$4:$S$564),
0
)
),
0)</f>
        <v/>
      </c>
      <c r="M189" s="47">
        <f>L189/$L$4</f>
        <v/>
      </c>
      <c r="N189" s="49">
        <f t="array" ref="N189">IFERROR(
SUM(
IF(
'PORTIFÓLIO'!$C$4:$C$564=$A189,
N(INDEX('PORTIFÓLIO'!$J$4:$Q$564,,MATCH(N$2,'PORTIFÓLIO'!$J$3:$Q$3,0))) *
N('PORTIFÓLIO'!$S$4:$S$564),
0
)
),
0)</f>
        <v/>
      </c>
      <c r="O189" s="49">
        <f>N189/$N$4</f>
        <v/>
      </c>
      <c r="P189" s="49">
        <f t="array" ref="P189">IFERROR(
SUM(
IF(
'PORTIFÓLIO'!$C$4:$C$564=$A189,
N(INDEX('PORTIFÓLIO'!$J$4:$Q$564,,MATCH(P$2,'PORTIFÓLIO'!$J$3:$Q$3,0))) *
N('PORTIFÓLIO'!$S$4:$S$564),
0
)
),
0)</f>
        <v/>
      </c>
      <c r="Q189" s="49">
        <f>P189/$P$4</f>
        <v/>
      </c>
      <c r="R189" s="49">
        <f>SUM(P189,N189,L189,J189,H189,D189,B189)</f>
        <v/>
      </c>
      <c r="S189" s="49">
        <f>R189/$R$4</f>
        <v/>
      </c>
    </row>
    <row r="190" hidden="1" outlineLevel="1" ht="15.75" customHeight="1" s="297">
      <c r="A190" s="48">
        <f>IFERROR(__xludf.DUMMYFUNCTION("""COMPUTED_VALUE"""),"OBERON")</f>
        <v/>
      </c>
      <c r="B190" s="49">
        <f t="array" ref="B190">IFERROR(
SUM(
IF(
'PORTIFÓLIO'!$C$4:$C$564=$A190,
N(INDEX('PORTIFÓLIO'!$J$4:$Q$564,,MATCH(B$2,'PORTIFÓLIO'!$J$3:$Q$3,0))) *
N('PORTIFÓLIO'!$S$4:$S$564),
0
)
),
0)</f>
        <v/>
      </c>
      <c r="C190" s="49">
        <f>B190/$B$4</f>
        <v/>
      </c>
      <c r="D190" s="49">
        <f t="array" ref="D190">IFERROR(
SUM(
IF(
'PORTIFÓLIO'!$C$4:$C$564=$A190,
N(INDEX('PORTIFÓLIO'!$J$4:$Q$564,,MATCH(D$2,'PORTIFÓLIO'!$J$3:$Q$3,0))) *
N('PORTIFÓLIO'!$S$4:$S$564),
0
)
),
0)</f>
        <v/>
      </c>
      <c r="E190" s="49">
        <f>D190/$D$4</f>
        <v/>
      </c>
      <c r="F190" s="49">
        <f t="array" ref="F190">IFERROR(
SUM(
IF(
'PORTIFÓLIO'!$C$4:$C$564=$A190,
N(INDEX('PORTIFÓLIO'!$J$4:$Q$564,,MATCH(F$2,'PORTIFÓLIO'!$J$3:$Q$3,0))) *
N('PORTIFÓLIO'!$S$4:$S$564),
0
)
),
0)</f>
        <v/>
      </c>
      <c r="G190" s="47">
        <f>F190/$F$4</f>
        <v/>
      </c>
      <c r="H190" s="49">
        <f t="array" ref="H190">IFERROR(
SUM(
IF(
'PORTIFÓLIO'!$C$4:$C$564=$A190,
N(INDEX('PORTIFÓLIO'!$J$4:$Q$564,,MATCH(H$2,'PORTIFÓLIO'!$J$3:$Q$3,0))) *
N('PORTIFÓLIO'!$S$4:$S$564),
0
)
),
0)</f>
        <v/>
      </c>
      <c r="I190" s="47">
        <f>H190/$H$4</f>
        <v/>
      </c>
      <c r="J190" s="49">
        <f t="array" ref="J190">IFERROR(
SUM(
IF(
'PORTIFÓLIO'!$C$4:$C$564=$A190,
N(INDEX('PORTIFÓLIO'!$J$4:$Q$564,,MATCH(J$2,'PORTIFÓLIO'!$J$3:$Q$3,0))) *
N('PORTIFÓLIO'!$S$4:$S$564),
0
)
),
0)</f>
        <v/>
      </c>
      <c r="K190" s="47">
        <f>J190/$J$4</f>
        <v/>
      </c>
      <c r="L190" s="49">
        <f t="array" ref="L190">IFERROR(
SUM(
IF(
'PORTIFÓLIO'!$C$4:$C$564=$A190,
N(INDEX('PORTIFÓLIO'!$J$4:$Q$564,,MATCH(L$2,'PORTIFÓLIO'!$J$3:$Q$3,0))) *
N('PORTIFÓLIO'!$S$4:$S$564),
0
)
),
0)</f>
        <v/>
      </c>
      <c r="M190" s="47">
        <f>L190/$L$4</f>
        <v/>
      </c>
      <c r="N190" s="49">
        <f t="array" ref="N190">IFERROR(
SUM(
IF(
'PORTIFÓLIO'!$C$4:$C$564=$A190,
N(INDEX('PORTIFÓLIO'!$J$4:$Q$564,,MATCH(N$2,'PORTIFÓLIO'!$J$3:$Q$3,0))) *
N('PORTIFÓLIO'!$S$4:$S$564),
0
)
),
0)</f>
        <v/>
      </c>
      <c r="O190" s="49">
        <f>N190/$N$4</f>
        <v/>
      </c>
      <c r="P190" s="49">
        <f t="array" ref="P190">IFERROR(
SUM(
IF(
'PORTIFÓLIO'!$C$4:$C$564=$A190,
N(INDEX('PORTIFÓLIO'!$J$4:$Q$564,,MATCH(P$2,'PORTIFÓLIO'!$J$3:$Q$3,0))) *
N('PORTIFÓLIO'!$S$4:$S$564),
0
)
),
0)</f>
        <v/>
      </c>
      <c r="Q190" s="49">
        <f>P190/$P$4</f>
        <v/>
      </c>
      <c r="R190" s="49">
        <f>SUM(P190,N190,L190,J190,H190,D190,B190)</f>
        <v/>
      </c>
      <c r="S190" s="49">
        <f>R190/$R$4</f>
        <v/>
      </c>
    </row>
    <row r="191" hidden="1" outlineLevel="1" ht="15.75" customHeight="1" s="297">
      <c r="A191" s="48">
        <f>IFERROR(__xludf.DUMMYFUNCTION("""COMPUTED_VALUE"""),"ACETAMIPRID CCAB 200 SP")</f>
        <v/>
      </c>
      <c r="B191" s="49">
        <f t="array" ref="B191">IFERROR(
SUM(
IF(
'PORTIFÓLIO'!$C$4:$C$564=$A191,
N(INDEX('PORTIFÓLIO'!$J$4:$Q$564,,MATCH(B$2,'PORTIFÓLIO'!$J$3:$Q$3,0))) *
N('PORTIFÓLIO'!$S$4:$S$564),
0
)
),
0)</f>
        <v/>
      </c>
      <c r="C191" s="49">
        <f>B191/$B$4</f>
        <v/>
      </c>
      <c r="D191" s="49">
        <f t="array" ref="D191">IFERROR(
SUM(
IF(
'PORTIFÓLIO'!$C$4:$C$564=$A191,
N(INDEX('PORTIFÓLIO'!$J$4:$Q$564,,MATCH(D$2,'PORTIFÓLIO'!$J$3:$Q$3,0))) *
N('PORTIFÓLIO'!$S$4:$S$564),
0
)
),
0)</f>
        <v/>
      </c>
      <c r="E191" s="49">
        <f>D191/$D$4</f>
        <v/>
      </c>
      <c r="F191" s="49">
        <f t="array" ref="F191">IFERROR(
SUM(
IF(
'PORTIFÓLIO'!$C$4:$C$564=$A191,
N(INDEX('PORTIFÓLIO'!$J$4:$Q$564,,MATCH(F$2,'PORTIFÓLIO'!$J$3:$Q$3,0))) *
N('PORTIFÓLIO'!$S$4:$S$564),
0
)
),
0)</f>
        <v/>
      </c>
      <c r="G191" s="47">
        <f>F191/$F$4</f>
        <v/>
      </c>
      <c r="H191" s="49">
        <f t="array" ref="H191">IFERROR(
SUM(
IF(
'PORTIFÓLIO'!$C$4:$C$564=$A191,
N(INDEX('PORTIFÓLIO'!$J$4:$Q$564,,MATCH(H$2,'PORTIFÓLIO'!$J$3:$Q$3,0))) *
N('PORTIFÓLIO'!$S$4:$S$564),
0
)
),
0)</f>
        <v/>
      </c>
      <c r="I191" s="47">
        <f>H191/$H$4</f>
        <v/>
      </c>
      <c r="J191" s="49">
        <f t="array" ref="J191">IFERROR(
SUM(
IF(
'PORTIFÓLIO'!$C$4:$C$564=$A191,
N(INDEX('PORTIFÓLIO'!$J$4:$Q$564,,MATCH(J$2,'PORTIFÓLIO'!$J$3:$Q$3,0))) *
N('PORTIFÓLIO'!$S$4:$S$564),
0
)
),
0)</f>
        <v/>
      </c>
      <c r="K191" s="47">
        <f>J191/$J$4</f>
        <v/>
      </c>
      <c r="L191" s="49">
        <f t="array" ref="L191">IFERROR(
SUM(
IF(
'PORTIFÓLIO'!$C$4:$C$564=$A191,
N(INDEX('PORTIFÓLIO'!$J$4:$Q$564,,MATCH(L$2,'PORTIFÓLIO'!$J$3:$Q$3,0))) *
N('PORTIFÓLIO'!$S$4:$S$564),
0
)
),
0)</f>
        <v/>
      </c>
      <c r="M191" s="47">
        <f>L191/$L$4</f>
        <v/>
      </c>
      <c r="N191" s="49">
        <f t="array" ref="N191">IFERROR(
SUM(
IF(
'PORTIFÓLIO'!$C$4:$C$564=$A191,
N(INDEX('PORTIFÓLIO'!$J$4:$Q$564,,MATCH(N$2,'PORTIFÓLIO'!$J$3:$Q$3,0))) *
N('PORTIFÓLIO'!$S$4:$S$564),
0
)
),
0)</f>
        <v/>
      </c>
      <c r="O191" s="49">
        <f>N191/$N$4</f>
        <v/>
      </c>
      <c r="P191" s="49">
        <f t="array" ref="P191">IFERROR(
SUM(
IF(
'PORTIFÓLIO'!$C$4:$C$564=$A191,
N(INDEX('PORTIFÓLIO'!$J$4:$Q$564,,MATCH(P$2,'PORTIFÓLIO'!$J$3:$Q$3,0))) *
N('PORTIFÓLIO'!$S$4:$S$564),
0
)
),
0)</f>
        <v/>
      </c>
      <c r="Q191" s="49">
        <f>P191/$P$4</f>
        <v/>
      </c>
      <c r="R191" s="49">
        <f>SUM(P191,N191,L191,J191,H191,D191,B191)</f>
        <v/>
      </c>
      <c r="S191" s="49">
        <f>R191/$R$4</f>
        <v/>
      </c>
    </row>
    <row r="192" hidden="1" outlineLevel="1" ht="15.75" customHeight="1" s="297">
      <c r="A192" s="48">
        <f>IFERROR(__xludf.DUMMYFUNCTION("""COMPUTED_VALUE"""),"DIFLUBENZURON CCAB 480 SC")</f>
        <v/>
      </c>
      <c r="B192" s="49">
        <f t="array" ref="B192">IFERROR(
SUM(
IF(
'PORTIFÓLIO'!$C$4:$C$564=$A192,
N(INDEX('PORTIFÓLIO'!$J$4:$Q$564,,MATCH(B$2,'PORTIFÓLIO'!$J$3:$Q$3,0))) *
N('PORTIFÓLIO'!$S$4:$S$564),
0
)
),
0)</f>
        <v/>
      </c>
      <c r="C192" s="49">
        <f>B192/$B$4</f>
        <v/>
      </c>
      <c r="D192" s="49">
        <f t="array" ref="D192">IFERROR(
SUM(
IF(
'PORTIFÓLIO'!$C$4:$C$564=$A192,
N(INDEX('PORTIFÓLIO'!$J$4:$Q$564,,MATCH(D$2,'PORTIFÓLIO'!$J$3:$Q$3,0))) *
N('PORTIFÓLIO'!$S$4:$S$564),
0
)
),
0)</f>
        <v/>
      </c>
      <c r="E192" s="49">
        <f>D192/$D$4</f>
        <v/>
      </c>
      <c r="F192" s="49">
        <f t="array" ref="F192">IFERROR(
SUM(
IF(
'PORTIFÓLIO'!$C$4:$C$564=$A192,
N(INDEX('PORTIFÓLIO'!$J$4:$Q$564,,MATCH(F$2,'PORTIFÓLIO'!$J$3:$Q$3,0))) *
N('PORTIFÓLIO'!$S$4:$S$564),
0
)
),
0)</f>
        <v/>
      </c>
      <c r="G192" s="47">
        <f>F192/$F$4</f>
        <v/>
      </c>
      <c r="H192" s="49">
        <f t="array" ref="H192">IFERROR(
SUM(
IF(
'PORTIFÓLIO'!$C$4:$C$564=$A192,
N(INDEX('PORTIFÓLIO'!$J$4:$Q$564,,MATCH(H$2,'PORTIFÓLIO'!$J$3:$Q$3,0))) *
N('PORTIFÓLIO'!$S$4:$S$564),
0
)
),
0)</f>
        <v/>
      </c>
      <c r="I192" s="47">
        <f>H192/$H$4</f>
        <v/>
      </c>
      <c r="J192" s="49">
        <f t="array" ref="J192">IFERROR(
SUM(
IF(
'PORTIFÓLIO'!$C$4:$C$564=$A192,
N(INDEX('PORTIFÓLIO'!$J$4:$Q$564,,MATCH(J$2,'PORTIFÓLIO'!$J$3:$Q$3,0))) *
N('PORTIFÓLIO'!$S$4:$S$564),
0
)
),
0)</f>
        <v/>
      </c>
      <c r="K192" s="47">
        <f>J192/$J$4</f>
        <v/>
      </c>
      <c r="L192" s="49">
        <f t="array" ref="L192">IFERROR(
SUM(
IF(
'PORTIFÓLIO'!$C$4:$C$564=$A192,
N(INDEX('PORTIFÓLIO'!$J$4:$Q$564,,MATCH(L$2,'PORTIFÓLIO'!$J$3:$Q$3,0))) *
N('PORTIFÓLIO'!$S$4:$S$564),
0
)
),
0)</f>
        <v/>
      </c>
      <c r="M192" s="47">
        <f>L192/$L$4</f>
        <v/>
      </c>
      <c r="N192" s="49">
        <f t="array" ref="N192">IFERROR(
SUM(
IF(
'PORTIFÓLIO'!$C$4:$C$564=$A192,
N(INDEX('PORTIFÓLIO'!$J$4:$Q$564,,MATCH(N$2,'PORTIFÓLIO'!$J$3:$Q$3,0))) *
N('PORTIFÓLIO'!$S$4:$S$564),
0
)
),
0)</f>
        <v/>
      </c>
      <c r="O192" s="49">
        <f>N192/$N$4</f>
        <v/>
      </c>
      <c r="P192" s="49">
        <f t="array" ref="P192">IFERROR(
SUM(
IF(
'PORTIFÓLIO'!$C$4:$C$564=$A192,
N(INDEX('PORTIFÓLIO'!$J$4:$Q$564,,MATCH(P$2,'PORTIFÓLIO'!$J$3:$Q$3,0))) *
N('PORTIFÓLIO'!$S$4:$S$564),
0
)
),
0)</f>
        <v/>
      </c>
      <c r="Q192" s="49">
        <f>P192/$P$4</f>
        <v/>
      </c>
      <c r="R192" s="49">
        <f>SUM(P192,N192,L192,J192,H192,D192,B192)</f>
        <v/>
      </c>
      <c r="S192" s="49">
        <f>R192/$R$4</f>
        <v/>
      </c>
    </row>
    <row r="193" hidden="1" outlineLevel="1" ht="15.75" customHeight="1" s="297">
      <c r="A193" s="48">
        <f>IFERROR(__xludf.DUMMYFUNCTION("""COMPUTED_VALUE"""),"FIPRONIL 800 WG CCAB")</f>
        <v/>
      </c>
      <c r="B193" s="49">
        <f t="array" ref="B193">IFERROR(
SUM(
IF(
'PORTIFÓLIO'!$C$4:$C$564=$A193,
N(INDEX('PORTIFÓLIO'!$J$4:$Q$564,,MATCH(B$2,'PORTIFÓLIO'!$J$3:$Q$3,0))) *
N('PORTIFÓLIO'!$S$4:$S$564),
0
)
),
0)</f>
        <v/>
      </c>
      <c r="C193" s="49">
        <f>B193/$B$4</f>
        <v/>
      </c>
      <c r="D193" s="49">
        <f t="array" ref="D193">IFERROR(
SUM(
IF(
'PORTIFÓLIO'!$C$4:$C$564=$A193,
N(INDEX('PORTIFÓLIO'!$J$4:$Q$564,,MATCH(D$2,'PORTIFÓLIO'!$J$3:$Q$3,0))) *
N('PORTIFÓLIO'!$S$4:$S$564),
0
)
),
0)</f>
        <v/>
      </c>
      <c r="E193" s="49">
        <f>D193/$D$4</f>
        <v/>
      </c>
      <c r="F193" s="49">
        <f t="array" ref="F193">IFERROR(
SUM(
IF(
'PORTIFÓLIO'!$C$4:$C$564=$A193,
N(INDEX('PORTIFÓLIO'!$J$4:$Q$564,,MATCH(F$2,'PORTIFÓLIO'!$J$3:$Q$3,0))) *
N('PORTIFÓLIO'!$S$4:$S$564),
0
)
),
0)</f>
        <v/>
      </c>
      <c r="G193" s="47">
        <f>F193/$F$4</f>
        <v/>
      </c>
      <c r="H193" s="49">
        <f t="array" ref="H193">IFERROR(
SUM(
IF(
'PORTIFÓLIO'!$C$4:$C$564=$A193,
N(INDEX('PORTIFÓLIO'!$J$4:$Q$564,,MATCH(H$2,'PORTIFÓLIO'!$J$3:$Q$3,0))) *
N('PORTIFÓLIO'!$S$4:$S$564),
0
)
),
0)</f>
        <v/>
      </c>
      <c r="I193" s="47">
        <f>H193/$H$4</f>
        <v/>
      </c>
      <c r="J193" s="49">
        <f t="array" ref="J193">IFERROR(
SUM(
IF(
'PORTIFÓLIO'!$C$4:$C$564=$A193,
N(INDEX('PORTIFÓLIO'!$J$4:$Q$564,,MATCH(J$2,'PORTIFÓLIO'!$J$3:$Q$3,0))) *
N('PORTIFÓLIO'!$S$4:$S$564),
0
)
),
0)</f>
        <v/>
      </c>
      <c r="K193" s="47">
        <f>J193/$J$4</f>
        <v/>
      </c>
      <c r="L193" s="49">
        <f t="array" ref="L193">IFERROR(
SUM(
IF(
'PORTIFÓLIO'!$C$4:$C$564=$A193,
N(INDEX('PORTIFÓLIO'!$J$4:$Q$564,,MATCH(L$2,'PORTIFÓLIO'!$J$3:$Q$3,0))) *
N('PORTIFÓLIO'!$S$4:$S$564),
0
)
),
0)</f>
        <v/>
      </c>
      <c r="M193" s="47">
        <f>L193/$L$4</f>
        <v/>
      </c>
      <c r="N193" s="49">
        <f t="array" ref="N193">IFERROR(
SUM(
IF(
'PORTIFÓLIO'!$C$4:$C$564=$A193,
N(INDEX('PORTIFÓLIO'!$J$4:$Q$564,,MATCH(N$2,'PORTIFÓLIO'!$J$3:$Q$3,0))) *
N('PORTIFÓLIO'!$S$4:$S$564),
0
)
),
0)</f>
        <v/>
      </c>
      <c r="O193" s="49">
        <f>N193/$N$4</f>
        <v/>
      </c>
      <c r="P193" s="49">
        <f t="array" ref="P193">IFERROR(
SUM(
IF(
'PORTIFÓLIO'!$C$4:$C$564=$A193,
N(INDEX('PORTIFÓLIO'!$J$4:$Q$564,,MATCH(P$2,'PORTIFÓLIO'!$J$3:$Q$3,0))) *
N('PORTIFÓLIO'!$S$4:$S$564),
0
)
),
0)</f>
        <v/>
      </c>
      <c r="Q193" s="49">
        <f>P193/$P$4</f>
        <v/>
      </c>
      <c r="R193" s="49">
        <f>SUM(P193,N193,L193,J193,H193,D193,B193)</f>
        <v/>
      </c>
      <c r="S193" s="49">
        <f>R193/$R$4</f>
        <v/>
      </c>
    </row>
    <row r="194" hidden="1" outlineLevel="1" ht="15.75" customHeight="1" s="297">
      <c r="A194" s="48">
        <f>IFERROR(__xludf.DUMMYFUNCTION("""COMPUTED_VALUE"""),"INDOXACARB CCAB 150 SC")</f>
        <v/>
      </c>
      <c r="B194" s="49">
        <f t="array" ref="B194">IFERROR(
SUM(
IF(
'PORTIFÓLIO'!$C$4:$C$564=$A194,
N(INDEX('PORTIFÓLIO'!$J$4:$Q$564,,MATCH(B$2,'PORTIFÓLIO'!$J$3:$Q$3,0))) *
N('PORTIFÓLIO'!$S$4:$S$564),
0
)
),
0)</f>
        <v/>
      </c>
      <c r="C194" s="49">
        <f>B194/$B$4</f>
        <v/>
      </c>
      <c r="D194" s="49">
        <f t="array" ref="D194">IFERROR(
SUM(
IF(
'PORTIFÓLIO'!$C$4:$C$564=$A194,
N(INDEX('PORTIFÓLIO'!$J$4:$Q$564,,MATCH(D$2,'PORTIFÓLIO'!$J$3:$Q$3,0))) *
N('PORTIFÓLIO'!$S$4:$S$564),
0
)
),
0)</f>
        <v/>
      </c>
      <c r="E194" s="49">
        <f>D194/$D$4</f>
        <v/>
      </c>
      <c r="F194" s="49">
        <f t="array" ref="F194">IFERROR(
SUM(
IF(
'PORTIFÓLIO'!$C$4:$C$564=$A194,
N(INDEX('PORTIFÓLIO'!$J$4:$Q$564,,MATCH(F$2,'PORTIFÓLIO'!$J$3:$Q$3,0))) *
N('PORTIFÓLIO'!$S$4:$S$564),
0
)
),
0)</f>
        <v/>
      </c>
      <c r="G194" s="47">
        <f>F194/$F$4</f>
        <v/>
      </c>
      <c r="H194" s="49">
        <f t="array" ref="H194">IFERROR(
SUM(
IF(
'PORTIFÓLIO'!$C$4:$C$564=$A194,
N(INDEX('PORTIFÓLIO'!$J$4:$Q$564,,MATCH(H$2,'PORTIFÓLIO'!$J$3:$Q$3,0))) *
N('PORTIFÓLIO'!$S$4:$S$564),
0
)
),
0)</f>
        <v/>
      </c>
      <c r="I194" s="47">
        <f>H194/$H$4</f>
        <v/>
      </c>
      <c r="J194" s="49">
        <f t="array" ref="J194">IFERROR(
SUM(
IF(
'PORTIFÓLIO'!$C$4:$C$564=$A194,
N(INDEX('PORTIFÓLIO'!$J$4:$Q$564,,MATCH(J$2,'PORTIFÓLIO'!$J$3:$Q$3,0))) *
N('PORTIFÓLIO'!$S$4:$S$564),
0
)
),
0)</f>
        <v/>
      </c>
      <c r="K194" s="47">
        <f>J194/$J$4</f>
        <v/>
      </c>
      <c r="L194" s="49">
        <f t="array" ref="L194">IFERROR(
SUM(
IF(
'PORTIFÓLIO'!$C$4:$C$564=$A194,
N(INDEX('PORTIFÓLIO'!$J$4:$Q$564,,MATCH(L$2,'PORTIFÓLIO'!$J$3:$Q$3,0))) *
N('PORTIFÓLIO'!$S$4:$S$564),
0
)
),
0)</f>
        <v/>
      </c>
      <c r="M194" s="47">
        <f>L194/$L$4</f>
        <v/>
      </c>
      <c r="N194" s="49">
        <f t="array" ref="N194">IFERROR(
SUM(
IF(
'PORTIFÓLIO'!$C$4:$C$564=$A194,
N(INDEX('PORTIFÓLIO'!$J$4:$Q$564,,MATCH(N$2,'PORTIFÓLIO'!$J$3:$Q$3,0))) *
N('PORTIFÓLIO'!$S$4:$S$564),
0
)
),
0)</f>
        <v/>
      </c>
      <c r="O194" s="49">
        <f>N194/$N$4</f>
        <v/>
      </c>
      <c r="P194" s="49">
        <f t="array" ref="P194">IFERROR(
SUM(
IF(
'PORTIFÓLIO'!$C$4:$C$564=$A194,
N(INDEX('PORTIFÓLIO'!$J$4:$Q$564,,MATCH(P$2,'PORTIFÓLIO'!$J$3:$Q$3,0))) *
N('PORTIFÓLIO'!$S$4:$S$564),
0
)
),
0)</f>
        <v/>
      </c>
      <c r="Q194" s="49">
        <f>P194/$P$4</f>
        <v/>
      </c>
      <c r="R194" s="49">
        <f>SUM(P194,N194,L194,J194,H194,D194,B194)</f>
        <v/>
      </c>
      <c r="S194" s="49">
        <f>R194/$R$4</f>
        <v/>
      </c>
    </row>
    <row r="195" hidden="1" outlineLevel="1" ht="15.75" customHeight="1" s="297">
      <c r="A195" s="48">
        <f>IFERROR(__xludf.DUMMYFUNCTION("""COMPUTED_VALUE"""),"EXALT")</f>
        <v/>
      </c>
      <c r="B195" s="49">
        <f t="array" ref="B195">IFERROR(
SUM(
IF(
'PORTIFÓLIO'!$C$4:$C$564=$A195,
N(INDEX('PORTIFÓLIO'!$J$4:$Q$564,,MATCH(B$2,'PORTIFÓLIO'!$J$3:$Q$3,0))) *
N('PORTIFÓLIO'!$S$4:$S$564),
0
)
),
0)</f>
        <v/>
      </c>
      <c r="C195" s="49">
        <f>B195/$B$4</f>
        <v/>
      </c>
      <c r="D195" s="49">
        <f t="array" ref="D195">IFERROR(
SUM(
IF(
'PORTIFÓLIO'!$C$4:$C$564=$A195,
N(INDEX('PORTIFÓLIO'!$J$4:$Q$564,,MATCH(D$2,'PORTIFÓLIO'!$J$3:$Q$3,0))) *
N('PORTIFÓLIO'!$S$4:$S$564),
0
)
),
0)</f>
        <v/>
      </c>
      <c r="E195" s="49">
        <f>D195/$D$4</f>
        <v/>
      </c>
      <c r="F195" s="49">
        <f t="array" ref="F195">IFERROR(
SUM(
IF(
'PORTIFÓLIO'!$C$4:$C$564=$A195,
N(INDEX('PORTIFÓLIO'!$J$4:$Q$564,,MATCH(F$2,'PORTIFÓLIO'!$J$3:$Q$3,0))) *
N('PORTIFÓLIO'!$S$4:$S$564),
0
)
),
0)</f>
        <v/>
      </c>
      <c r="G195" s="47">
        <f>F195/$F$4</f>
        <v/>
      </c>
      <c r="H195" s="49">
        <f t="array" ref="H195">IFERROR(
SUM(
IF(
'PORTIFÓLIO'!$C$4:$C$564=$A195,
N(INDEX('PORTIFÓLIO'!$J$4:$Q$564,,MATCH(H$2,'PORTIFÓLIO'!$J$3:$Q$3,0))) *
N('PORTIFÓLIO'!$S$4:$S$564),
0
)
),
0)</f>
        <v/>
      </c>
      <c r="I195" s="47">
        <f>H195/$H$4</f>
        <v/>
      </c>
      <c r="J195" s="49">
        <f t="array" ref="J195">IFERROR(
SUM(
IF(
'PORTIFÓLIO'!$C$4:$C$564=$A195,
N(INDEX('PORTIFÓLIO'!$J$4:$Q$564,,MATCH(J$2,'PORTIFÓLIO'!$J$3:$Q$3,0))) *
N('PORTIFÓLIO'!$S$4:$S$564),
0
)
),
0)</f>
        <v/>
      </c>
      <c r="K195" s="47">
        <f>J195/$J$4</f>
        <v/>
      </c>
      <c r="L195" s="49">
        <f t="array" ref="L195">IFERROR(
SUM(
IF(
'PORTIFÓLIO'!$C$4:$C$564=$A195,
N(INDEX('PORTIFÓLIO'!$J$4:$Q$564,,MATCH(L$2,'PORTIFÓLIO'!$J$3:$Q$3,0))) *
N('PORTIFÓLIO'!$S$4:$S$564),
0
)
),
0)</f>
        <v/>
      </c>
      <c r="M195" s="47">
        <f>L195/$L$4</f>
        <v/>
      </c>
      <c r="N195" s="49">
        <f t="array" ref="N195">IFERROR(
SUM(
IF(
'PORTIFÓLIO'!$C$4:$C$564=$A195,
N(INDEX('PORTIFÓLIO'!$J$4:$Q$564,,MATCH(N$2,'PORTIFÓLIO'!$J$3:$Q$3,0))) *
N('PORTIFÓLIO'!$S$4:$S$564),
0
)
),
0)</f>
        <v/>
      </c>
      <c r="O195" s="49">
        <f>N195/$N$4</f>
        <v/>
      </c>
      <c r="P195" s="49">
        <f t="array" ref="P195">IFERROR(
SUM(
IF(
'PORTIFÓLIO'!$C$4:$C$564=$A195,
N(INDEX('PORTIFÓLIO'!$J$4:$Q$564,,MATCH(P$2,'PORTIFÓLIO'!$J$3:$Q$3,0))) *
N('PORTIFÓLIO'!$S$4:$S$564),
0
)
),
0)</f>
        <v/>
      </c>
      <c r="Q195" s="49">
        <f>P195/$P$4</f>
        <v/>
      </c>
      <c r="R195" s="49">
        <f>SUM(P195,N195,L195,J195,H195,D195,B195)</f>
        <v/>
      </c>
      <c r="S195" s="49">
        <f>R195/$R$4</f>
        <v/>
      </c>
    </row>
    <row r="196" hidden="1" outlineLevel="1" ht="15.75" customHeight="1" s="297">
      <c r="A196" s="48">
        <f>IFERROR(__xludf.DUMMYFUNCTION("""COMPUTED_VALUE"""),"EXPEDITION")</f>
        <v/>
      </c>
      <c r="B196" s="49">
        <f t="array" ref="B196">IFERROR(
SUM(
IF(
'PORTIFÓLIO'!$C$4:$C$564=$A196,
N(INDEX('PORTIFÓLIO'!$J$4:$Q$564,,MATCH(B$2,'PORTIFÓLIO'!$J$3:$Q$3,0))) *
N('PORTIFÓLIO'!$S$4:$S$564),
0
)
),
0)</f>
        <v/>
      </c>
      <c r="C196" s="49">
        <f>B196/$B$4</f>
        <v/>
      </c>
      <c r="D196" s="49">
        <f t="array" ref="D196">IFERROR(
SUM(
IF(
'PORTIFÓLIO'!$C$4:$C$564=$A196,
N(INDEX('PORTIFÓLIO'!$J$4:$Q$564,,MATCH(D$2,'PORTIFÓLIO'!$J$3:$Q$3,0))) *
N('PORTIFÓLIO'!$S$4:$S$564),
0
)
),
0)</f>
        <v/>
      </c>
      <c r="E196" s="49">
        <f>D196/$D$4</f>
        <v/>
      </c>
      <c r="F196" s="49">
        <f t="array" ref="F196">IFERROR(
SUM(
IF(
'PORTIFÓLIO'!$C$4:$C$564=$A196,
N(INDEX('PORTIFÓLIO'!$J$4:$Q$564,,MATCH(F$2,'PORTIFÓLIO'!$J$3:$Q$3,0))) *
N('PORTIFÓLIO'!$S$4:$S$564),
0
)
),
0)</f>
        <v/>
      </c>
      <c r="G196" s="47">
        <f>F196/$F$4</f>
        <v/>
      </c>
      <c r="H196" s="49">
        <f t="array" ref="H196">IFERROR(
SUM(
IF(
'PORTIFÓLIO'!$C$4:$C$564=$A196,
N(INDEX('PORTIFÓLIO'!$J$4:$Q$564,,MATCH(H$2,'PORTIFÓLIO'!$J$3:$Q$3,0))) *
N('PORTIFÓLIO'!$S$4:$S$564),
0
)
),
0)</f>
        <v/>
      </c>
      <c r="I196" s="47">
        <f>H196/$H$4</f>
        <v/>
      </c>
      <c r="J196" s="49">
        <f t="array" ref="J196">IFERROR(
SUM(
IF(
'PORTIFÓLIO'!$C$4:$C$564=$A196,
N(INDEX('PORTIFÓLIO'!$J$4:$Q$564,,MATCH(J$2,'PORTIFÓLIO'!$J$3:$Q$3,0))) *
N('PORTIFÓLIO'!$S$4:$S$564),
0
)
),
0)</f>
        <v/>
      </c>
      <c r="K196" s="47">
        <f>J196/$J$4</f>
        <v/>
      </c>
      <c r="L196" s="49">
        <f t="array" ref="L196">IFERROR(
SUM(
IF(
'PORTIFÓLIO'!$C$4:$C$564=$A196,
N(INDEX('PORTIFÓLIO'!$J$4:$Q$564,,MATCH(L$2,'PORTIFÓLIO'!$J$3:$Q$3,0))) *
N('PORTIFÓLIO'!$S$4:$S$564),
0
)
),
0)</f>
        <v/>
      </c>
      <c r="M196" s="47">
        <f>L196/$L$4</f>
        <v/>
      </c>
      <c r="N196" s="49">
        <f t="array" ref="N196">IFERROR(
SUM(
IF(
'PORTIFÓLIO'!$C$4:$C$564=$A196,
N(INDEX('PORTIFÓLIO'!$J$4:$Q$564,,MATCH(N$2,'PORTIFÓLIO'!$J$3:$Q$3,0))) *
N('PORTIFÓLIO'!$S$4:$S$564),
0
)
),
0)</f>
        <v/>
      </c>
      <c r="O196" s="49">
        <f>N196/$N$4</f>
        <v/>
      </c>
      <c r="P196" s="49">
        <f t="array" ref="P196">IFERROR(
SUM(
IF(
'PORTIFÓLIO'!$C$4:$C$564=$A196,
N(INDEX('PORTIFÓLIO'!$J$4:$Q$564,,MATCH(P$2,'PORTIFÓLIO'!$J$3:$Q$3,0))) *
N('PORTIFÓLIO'!$S$4:$S$564),
0
)
),
0)</f>
        <v/>
      </c>
      <c r="Q196" s="49">
        <f>P196/$P$4</f>
        <v/>
      </c>
      <c r="R196" s="49">
        <f>SUM(P196,N196,L196,J196,H196,D196,B196)</f>
        <v/>
      </c>
      <c r="S196" s="49">
        <f>R196/$R$4</f>
        <v/>
      </c>
    </row>
    <row r="197" hidden="1" outlineLevel="1" ht="15.75" customHeight="1" s="297">
      <c r="A197" s="48">
        <f>IFERROR(__xludf.DUMMYFUNCTION("""COMPUTED_VALUE"""),"INTREPID 240 SC")</f>
        <v/>
      </c>
      <c r="B197" s="49">
        <f t="array" ref="B197">IFERROR(
SUM(
IF(
'PORTIFÓLIO'!$C$4:$C$564=$A197,
N(INDEX('PORTIFÓLIO'!$J$4:$Q$564,,MATCH(B$2,'PORTIFÓLIO'!$J$3:$Q$3,0))) *
N('PORTIFÓLIO'!$S$4:$S$564),
0
)
),
0)</f>
        <v/>
      </c>
      <c r="C197" s="49">
        <f>B197/$B$4</f>
        <v/>
      </c>
      <c r="D197" s="49">
        <f t="array" ref="D197">IFERROR(
SUM(
IF(
'PORTIFÓLIO'!$C$4:$C$564=$A197,
N(INDEX('PORTIFÓLIO'!$J$4:$Q$564,,MATCH(D$2,'PORTIFÓLIO'!$J$3:$Q$3,0))) *
N('PORTIFÓLIO'!$S$4:$S$564),
0
)
),
0)</f>
        <v/>
      </c>
      <c r="E197" s="49">
        <f>D197/$D$4</f>
        <v/>
      </c>
      <c r="F197" s="49">
        <f t="array" ref="F197">IFERROR(
SUM(
IF(
'PORTIFÓLIO'!$C$4:$C$564=$A197,
N(INDEX('PORTIFÓLIO'!$J$4:$Q$564,,MATCH(F$2,'PORTIFÓLIO'!$J$3:$Q$3,0))) *
N('PORTIFÓLIO'!$S$4:$S$564),
0
)
),
0)</f>
        <v/>
      </c>
      <c r="G197" s="47">
        <f>F197/$F$4</f>
        <v/>
      </c>
      <c r="H197" s="49">
        <f t="array" ref="H197">IFERROR(
SUM(
IF(
'PORTIFÓLIO'!$C$4:$C$564=$A197,
N(INDEX('PORTIFÓLIO'!$J$4:$Q$564,,MATCH(H$2,'PORTIFÓLIO'!$J$3:$Q$3,0))) *
N('PORTIFÓLIO'!$S$4:$S$564),
0
)
),
0)</f>
        <v/>
      </c>
      <c r="I197" s="47">
        <f>H197/$H$4</f>
        <v/>
      </c>
      <c r="J197" s="49">
        <f t="array" ref="J197">IFERROR(
SUM(
IF(
'PORTIFÓLIO'!$C$4:$C$564=$A197,
N(INDEX('PORTIFÓLIO'!$J$4:$Q$564,,MATCH(J$2,'PORTIFÓLIO'!$J$3:$Q$3,0))) *
N('PORTIFÓLIO'!$S$4:$S$564),
0
)
),
0)</f>
        <v/>
      </c>
      <c r="K197" s="47">
        <f>J197/$J$4</f>
        <v/>
      </c>
      <c r="L197" s="49">
        <f t="array" ref="L197">IFERROR(
SUM(
IF(
'PORTIFÓLIO'!$C$4:$C$564=$A197,
N(INDEX('PORTIFÓLIO'!$J$4:$Q$564,,MATCH(L$2,'PORTIFÓLIO'!$J$3:$Q$3,0))) *
N('PORTIFÓLIO'!$S$4:$S$564),
0
)
),
0)</f>
        <v/>
      </c>
      <c r="M197" s="47">
        <f>L197/$L$4</f>
        <v/>
      </c>
      <c r="N197" s="49">
        <f t="array" ref="N197">IFERROR(
SUM(
IF(
'PORTIFÓLIO'!$C$4:$C$564=$A197,
N(INDEX('PORTIFÓLIO'!$J$4:$Q$564,,MATCH(N$2,'PORTIFÓLIO'!$J$3:$Q$3,0))) *
N('PORTIFÓLIO'!$S$4:$S$564),
0
)
),
0)</f>
        <v/>
      </c>
      <c r="O197" s="49">
        <f>N197/$N$4</f>
        <v/>
      </c>
      <c r="P197" s="49">
        <f t="array" ref="P197">IFERROR(
SUM(
IF(
'PORTIFÓLIO'!$C$4:$C$564=$A197,
N(INDEX('PORTIFÓLIO'!$J$4:$Q$564,,MATCH(P$2,'PORTIFÓLIO'!$J$3:$Q$3,0))) *
N('PORTIFÓLIO'!$S$4:$S$564),
0
)
),
0)</f>
        <v/>
      </c>
      <c r="Q197" s="49">
        <f>P197/$P$4</f>
        <v/>
      </c>
      <c r="R197" s="49">
        <f>SUM(P197,N197,L197,J197,H197,D197,B197)</f>
        <v/>
      </c>
      <c r="S197" s="49">
        <f>R197/$R$4</f>
        <v/>
      </c>
    </row>
    <row r="198" hidden="1" outlineLevel="1" ht="15.75" customHeight="1" s="297">
      <c r="A198" s="48">
        <f>IFERROR(__xludf.DUMMYFUNCTION("""COMPUTED_VALUE"""),"INTREPID EDGE")</f>
        <v/>
      </c>
      <c r="B198" s="49">
        <f t="array" ref="B198">IFERROR(
SUM(
IF(
'PORTIFÓLIO'!$C$4:$C$564=$A198,
N(INDEX('PORTIFÓLIO'!$J$4:$Q$564,,MATCH(B$2,'PORTIFÓLIO'!$J$3:$Q$3,0))) *
N('PORTIFÓLIO'!$S$4:$S$564),
0
)
),
0)</f>
        <v/>
      </c>
      <c r="C198" s="49">
        <f>B198/$B$4</f>
        <v/>
      </c>
      <c r="D198" s="49">
        <f t="array" ref="D198">IFERROR(
SUM(
IF(
'PORTIFÓLIO'!$C$4:$C$564=$A198,
N(INDEX('PORTIFÓLIO'!$J$4:$Q$564,,MATCH(D$2,'PORTIFÓLIO'!$J$3:$Q$3,0))) *
N('PORTIFÓLIO'!$S$4:$S$564),
0
)
),
0)</f>
        <v/>
      </c>
      <c r="E198" s="49">
        <f>D198/$D$4</f>
        <v/>
      </c>
      <c r="F198" s="49">
        <f t="array" ref="F198">IFERROR(
SUM(
IF(
'PORTIFÓLIO'!$C$4:$C$564=$A198,
N(INDEX('PORTIFÓLIO'!$J$4:$Q$564,,MATCH(F$2,'PORTIFÓLIO'!$J$3:$Q$3,0))) *
N('PORTIFÓLIO'!$S$4:$S$564),
0
)
),
0)</f>
        <v/>
      </c>
      <c r="G198" s="47">
        <f>F198/$F$4</f>
        <v/>
      </c>
      <c r="H198" s="49">
        <f t="array" ref="H198">IFERROR(
SUM(
IF(
'PORTIFÓLIO'!$C$4:$C$564=$A198,
N(INDEX('PORTIFÓLIO'!$J$4:$Q$564,,MATCH(H$2,'PORTIFÓLIO'!$J$3:$Q$3,0))) *
N('PORTIFÓLIO'!$S$4:$S$564),
0
)
),
0)</f>
        <v/>
      </c>
      <c r="I198" s="47">
        <f>H198/$H$4</f>
        <v/>
      </c>
      <c r="J198" s="49">
        <f t="array" ref="J198">IFERROR(
SUM(
IF(
'PORTIFÓLIO'!$C$4:$C$564=$A198,
N(INDEX('PORTIFÓLIO'!$J$4:$Q$564,,MATCH(J$2,'PORTIFÓLIO'!$J$3:$Q$3,0))) *
N('PORTIFÓLIO'!$S$4:$S$564),
0
)
),
0)</f>
        <v/>
      </c>
      <c r="K198" s="47">
        <f>J198/$J$4</f>
        <v/>
      </c>
      <c r="L198" s="49">
        <f t="array" ref="L198">IFERROR(
SUM(
IF(
'PORTIFÓLIO'!$C$4:$C$564=$A198,
N(INDEX('PORTIFÓLIO'!$J$4:$Q$564,,MATCH(L$2,'PORTIFÓLIO'!$J$3:$Q$3,0))) *
N('PORTIFÓLIO'!$S$4:$S$564),
0
)
),
0)</f>
        <v/>
      </c>
      <c r="M198" s="47">
        <f>L198/$L$4</f>
        <v/>
      </c>
      <c r="N198" s="49">
        <f t="array" ref="N198">IFERROR(
SUM(
IF(
'PORTIFÓLIO'!$C$4:$C$564=$A198,
N(INDEX('PORTIFÓLIO'!$J$4:$Q$564,,MATCH(N$2,'PORTIFÓLIO'!$J$3:$Q$3,0))) *
N('PORTIFÓLIO'!$S$4:$S$564),
0
)
),
0)</f>
        <v/>
      </c>
      <c r="O198" s="49">
        <f>N198/$N$4</f>
        <v/>
      </c>
      <c r="P198" s="49">
        <f t="array" ref="P198">IFERROR(
SUM(
IF(
'PORTIFÓLIO'!$C$4:$C$564=$A198,
N(INDEX('PORTIFÓLIO'!$J$4:$Q$564,,MATCH(P$2,'PORTIFÓLIO'!$J$3:$Q$3,0))) *
N('PORTIFÓLIO'!$S$4:$S$564),
0
)
),
0)</f>
        <v/>
      </c>
      <c r="Q198" s="49">
        <f>P198/$P$4</f>
        <v/>
      </c>
      <c r="R198" s="49">
        <f>SUM(P198,N198,L198,J198,H198,D198,B198)</f>
        <v/>
      </c>
      <c r="S198" s="49">
        <f>R198/$R$4</f>
        <v/>
      </c>
    </row>
    <row r="199" hidden="1" outlineLevel="1" ht="15.75" customHeight="1" s="297">
      <c r="A199" s="48">
        <f>IFERROR(__xludf.DUMMYFUNCTION("""COMPUTED_VALUE"""),"LANNATE BR")</f>
        <v/>
      </c>
      <c r="B199" s="49">
        <f t="array" ref="B199">IFERROR(
SUM(
IF(
'PORTIFÓLIO'!$C$4:$C$564=$A199,
N(INDEX('PORTIFÓLIO'!$J$4:$Q$564,,MATCH(B$2,'PORTIFÓLIO'!$J$3:$Q$3,0))) *
N('PORTIFÓLIO'!$S$4:$S$564),
0
)
),
0)</f>
        <v/>
      </c>
      <c r="C199" s="49">
        <f>B199/$B$4</f>
        <v/>
      </c>
      <c r="D199" s="49">
        <f t="array" ref="D199">IFERROR(
SUM(
IF(
'PORTIFÓLIO'!$C$4:$C$564=$A199,
N(INDEX('PORTIFÓLIO'!$J$4:$Q$564,,MATCH(D$2,'PORTIFÓLIO'!$J$3:$Q$3,0))) *
N('PORTIFÓLIO'!$S$4:$S$564),
0
)
),
0)</f>
        <v/>
      </c>
      <c r="E199" s="49">
        <f>D199/$D$4</f>
        <v/>
      </c>
      <c r="F199" s="49">
        <f t="array" ref="F199">IFERROR(
SUM(
IF(
'PORTIFÓLIO'!$C$4:$C$564=$A199,
N(INDEX('PORTIFÓLIO'!$J$4:$Q$564,,MATCH(F$2,'PORTIFÓLIO'!$J$3:$Q$3,0))) *
N('PORTIFÓLIO'!$S$4:$S$564),
0
)
),
0)</f>
        <v/>
      </c>
      <c r="G199" s="47">
        <f>F199/$F$4</f>
        <v/>
      </c>
      <c r="H199" s="49">
        <f t="array" ref="H199">IFERROR(
SUM(
IF(
'PORTIFÓLIO'!$C$4:$C$564=$A199,
N(INDEX('PORTIFÓLIO'!$J$4:$Q$564,,MATCH(H$2,'PORTIFÓLIO'!$J$3:$Q$3,0))) *
N('PORTIFÓLIO'!$S$4:$S$564),
0
)
),
0)</f>
        <v/>
      </c>
      <c r="I199" s="47">
        <f>H199/$H$4</f>
        <v/>
      </c>
      <c r="J199" s="49">
        <f t="array" ref="J199">IFERROR(
SUM(
IF(
'PORTIFÓLIO'!$C$4:$C$564=$A199,
N(INDEX('PORTIFÓLIO'!$J$4:$Q$564,,MATCH(J$2,'PORTIFÓLIO'!$J$3:$Q$3,0))) *
N('PORTIFÓLIO'!$S$4:$S$564),
0
)
),
0)</f>
        <v/>
      </c>
      <c r="K199" s="47">
        <f>J199/$J$4</f>
        <v/>
      </c>
      <c r="L199" s="49">
        <f t="array" ref="L199">IFERROR(
SUM(
IF(
'PORTIFÓLIO'!$C$4:$C$564=$A199,
N(INDEX('PORTIFÓLIO'!$J$4:$Q$564,,MATCH(L$2,'PORTIFÓLIO'!$J$3:$Q$3,0))) *
N('PORTIFÓLIO'!$S$4:$S$564),
0
)
),
0)</f>
        <v/>
      </c>
      <c r="M199" s="47">
        <f>L199/$L$4</f>
        <v/>
      </c>
      <c r="N199" s="49">
        <f t="array" ref="N199">IFERROR(
SUM(
IF(
'PORTIFÓLIO'!$C$4:$C$564=$A199,
N(INDEX('PORTIFÓLIO'!$J$4:$Q$564,,MATCH(N$2,'PORTIFÓLIO'!$J$3:$Q$3,0))) *
N('PORTIFÓLIO'!$S$4:$S$564),
0
)
),
0)</f>
        <v/>
      </c>
      <c r="O199" s="49">
        <f>N199/$N$4</f>
        <v/>
      </c>
      <c r="P199" s="49">
        <f t="array" ref="P199">IFERROR(
SUM(
IF(
'PORTIFÓLIO'!$C$4:$C$564=$A199,
N(INDEX('PORTIFÓLIO'!$J$4:$Q$564,,MATCH(P$2,'PORTIFÓLIO'!$J$3:$Q$3,0))) *
N('PORTIFÓLIO'!$S$4:$S$564),
0
)
),
0)</f>
        <v/>
      </c>
      <c r="Q199" s="49">
        <f>P199/$P$4</f>
        <v/>
      </c>
      <c r="R199" s="49">
        <f>SUM(P199,N199,L199,J199,H199,D199,B199)</f>
        <v/>
      </c>
      <c r="S199" s="49">
        <f>R199/$R$4</f>
        <v/>
      </c>
    </row>
    <row r="200" hidden="1" outlineLevel="1" ht="15.75" customHeight="1" s="297">
      <c r="A200" s="48">
        <f>IFERROR(__xludf.DUMMYFUNCTION("""COMPUTED_VALUE"""),"ACETAMIPRID 250 G/KG + BIFENTHRIN
 250G/KG WG")</f>
        <v/>
      </c>
      <c r="B200" s="49">
        <f t="array" ref="B200">IFERROR(
SUM(
IF(
'PORTIFÓLIO'!$C$4:$C$564=$A200,
N(INDEX('PORTIFÓLIO'!$J$4:$Q$564,,MATCH(B$2,'PORTIFÓLIO'!$J$3:$Q$3,0))) *
N('PORTIFÓLIO'!$S$4:$S$564),
0
)
),
0)</f>
        <v/>
      </c>
      <c r="C200" s="49">
        <f>B200/$B$4</f>
        <v/>
      </c>
      <c r="D200" s="49">
        <f t="array" ref="D200">IFERROR(
SUM(
IF(
'PORTIFÓLIO'!$C$4:$C$564=$A200,
N(INDEX('PORTIFÓLIO'!$J$4:$Q$564,,MATCH(D$2,'PORTIFÓLIO'!$J$3:$Q$3,0))) *
N('PORTIFÓLIO'!$S$4:$S$564),
0
)
),
0)</f>
        <v/>
      </c>
      <c r="E200" s="49">
        <f>D200/$D$4</f>
        <v/>
      </c>
      <c r="F200" s="49">
        <f t="array" ref="F200">IFERROR(
SUM(
IF(
'PORTIFÓLIO'!$C$4:$C$564=$A200,
N(INDEX('PORTIFÓLIO'!$J$4:$Q$564,,MATCH(F$2,'PORTIFÓLIO'!$J$3:$Q$3,0))) *
N('PORTIFÓLIO'!$S$4:$S$564),
0
)
),
0)</f>
        <v/>
      </c>
      <c r="G200" s="47">
        <f>F200/$F$4</f>
        <v/>
      </c>
      <c r="H200" s="49">
        <f t="array" ref="H200">IFERROR(
SUM(
IF(
'PORTIFÓLIO'!$C$4:$C$564=$A200,
N(INDEX('PORTIFÓLIO'!$J$4:$Q$564,,MATCH(H$2,'PORTIFÓLIO'!$J$3:$Q$3,0))) *
N('PORTIFÓLIO'!$S$4:$S$564),
0
)
),
0)</f>
        <v/>
      </c>
      <c r="I200" s="47">
        <f>H200/$H$4</f>
        <v/>
      </c>
      <c r="J200" s="49">
        <f t="array" ref="J200">IFERROR(
SUM(
IF(
'PORTIFÓLIO'!$C$4:$C$564=$A200,
N(INDEX('PORTIFÓLIO'!$J$4:$Q$564,,MATCH(J$2,'PORTIFÓLIO'!$J$3:$Q$3,0))) *
N('PORTIFÓLIO'!$S$4:$S$564),
0
)
),
0)</f>
        <v/>
      </c>
      <c r="K200" s="47">
        <f>J200/$J$4</f>
        <v/>
      </c>
      <c r="L200" s="49">
        <f t="array" ref="L200">IFERROR(
SUM(
IF(
'PORTIFÓLIO'!$C$4:$C$564=$A200,
N(INDEX('PORTIFÓLIO'!$J$4:$Q$564,,MATCH(L$2,'PORTIFÓLIO'!$J$3:$Q$3,0))) *
N('PORTIFÓLIO'!$S$4:$S$564),
0
)
),
0)</f>
        <v/>
      </c>
      <c r="M200" s="47">
        <f>L200/$L$4</f>
        <v/>
      </c>
      <c r="N200" s="49">
        <f t="array" ref="N200">IFERROR(
SUM(
IF(
'PORTIFÓLIO'!$C$4:$C$564=$A200,
N(INDEX('PORTIFÓLIO'!$J$4:$Q$564,,MATCH(N$2,'PORTIFÓLIO'!$J$3:$Q$3,0))) *
N('PORTIFÓLIO'!$S$4:$S$564),
0
)
),
0)</f>
        <v/>
      </c>
      <c r="O200" s="49">
        <f>N200/$N$4</f>
        <v/>
      </c>
      <c r="P200" s="49">
        <f t="array" ref="P200">IFERROR(
SUM(
IF(
'PORTIFÓLIO'!$C$4:$C$564=$A200,
N(INDEX('PORTIFÓLIO'!$J$4:$Q$564,,MATCH(P$2,'PORTIFÓLIO'!$J$3:$Q$3,0))) *
N('PORTIFÓLIO'!$S$4:$S$564),
0
)
),
0)</f>
        <v/>
      </c>
      <c r="Q200" s="49">
        <f>P200/$P$4</f>
        <v/>
      </c>
      <c r="R200" s="49">
        <f>SUM(P200,N200,L200,J200,H200,D200,B200)</f>
        <v/>
      </c>
      <c r="S200" s="49">
        <f>R200/$R$4</f>
        <v/>
      </c>
    </row>
    <row r="201" hidden="1" outlineLevel="1" ht="15.75" customHeight="1" s="297">
      <c r="A201" s="48">
        <f>IFERROR(__xludf.DUMMYFUNCTION("""COMPUTED_VALUE"""),"BAKANA 400 SC")</f>
        <v/>
      </c>
      <c r="B201" s="49">
        <f t="array" ref="B201">IFERROR(
SUM(
IF(
'PORTIFÓLIO'!$C$4:$C$564=$A201,
N(INDEX('PORTIFÓLIO'!$J$4:$Q$564,,MATCH(B$2,'PORTIFÓLIO'!$J$3:$Q$3,0))) *
N('PORTIFÓLIO'!$S$4:$S$564),
0
)
),
0)</f>
        <v/>
      </c>
      <c r="C201" s="49">
        <f>B201/$B$4</f>
        <v/>
      </c>
      <c r="D201" s="49">
        <f t="array" ref="D201">IFERROR(
SUM(
IF(
'PORTIFÓLIO'!$C$4:$C$564=$A201,
N(INDEX('PORTIFÓLIO'!$J$4:$Q$564,,MATCH(D$2,'PORTIFÓLIO'!$J$3:$Q$3,0))) *
N('PORTIFÓLIO'!$S$4:$S$564),
0
)
),
0)</f>
        <v/>
      </c>
      <c r="E201" s="49">
        <f>D201/$D$4</f>
        <v/>
      </c>
      <c r="F201" s="49">
        <f t="array" ref="F201">IFERROR(
SUM(
IF(
'PORTIFÓLIO'!$C$4:$C$564=$A201,
N(INDEX('PORTIFÓLIO'!$J$4:$Q$564,,MATCH(F$2,'PORTIFÓLIO'!$J$3:$Q$3,0))) *
N('PORTIFÓLIO'!$S$4:$S$564),
0
)
),
0)</f>
        <v/>
      </c>
      <c r="G201" s="47">
        <f>F201/$F$4</f>
        <v/>
      </c>
      <c r="H201" s="49">
        <f t="array" ref="H201">IFERROR(
SUM(
IF(
'PORTIFÓLIO'!$C$4:$C$564=$A201,
N(INDEX('PORTIFÓLIO'!$J$4:$Q$564,,MATCH(H$2,'PORTIFÓLIO'!$J$3:$Q$3,0))) *
N('PORTIFÓLIO'!$S$4:$S$564),
0
)
),
0)</f>
        <v/>
      </c>
      <c r="I201" s="47">
        <f>H201/$H$4</f>
        <v/>
      </c>
      <c r="J201" s="49">
        <f t="array" ref="J201">IFERROR(
SUM(
IF(
'PORTIFÓLIO'!$C$4:$C$564=$A201,
N(INDEX('PORTIFÓLIO'!$J$4:$Q$564,,MATCH(J$2,'PORTIFÓLIO'!$J$3:$Q$3,0))) *
N('PORTIFÓLIO'!$S$4:$S$564),
0
)
),
0)</f>
        <v/>
      </c>
      <c r="K201" s="47">
        <f>J201/$J$4</f>
        <v/>
      </c>
      <c r="L201" s="49">
        <f t="array" ref="L201">IFERROR(
SUM(
IF(
'PORTIFÓLIO'!$C$4:$C$564=$A201,
N(INDEX('PORTIFÓLIO'!$J$4:$Q$564,,MATCH(L$2,'PORTIFÓLIO'!$J$3:$Q$3,0))) *
N('PORTIFÓLIO'!$S$4:$S$564),
0
)
),
0)</f>
        <v/>
      </c>
      <c r="M201" s="47">
        <f>L201/$L$4</f>
        <v/>
      </c>
      <c r="N201" s="49">
        <f t="array" ref="N201">IFERROR(
SUM(
IF(
'PORTIFÓLIO'!$C$4:$C$564=$A201,
N(INDEX('PORTIFÓLIO'!$J$4:$Q$564,,MATCH(N$2,'PORTIFÓLIO'!$J$3:$Q$3,0))) *
N('PORTIFÓLIO'!$S$4:$S$564),
0
)
),
0)</f>
        <v/>
      </c>
      <c r="O201" s="49">
        <f>N201/$N$4</f>
        <v/>
      </c>
      <c r="P201" s="49">
        <f t="array" ref="P201">IFERROR(
SUM(
IF(
'PORTIFÓLIO'!$C$4:$C$564=$A201,
N(INDEX('PORTIFÓLIO'!$J$4:$Q$564,,MATCH(P$2,'PORTIFÓLIO'!$J$3:$Q$3,0))) *
N('PORTIFÓLIO'!$S$4:$S$564),
0
)
),
0)</f>
        <v/>
      </c>
      <c r="Q201" s="49">
        <f>P201/$P$4</f>
        <v/>
      </c>
      <c r="R201" s="49">
        <f>SUM(P201,N201,L201,J201,H201,D201,B201)</f>
        <v/>
      </c>
      <c r="S201" s="49">
        <f>R201/$R$4</f>
        <v/>
      </c>
    </row>
    <row r="202" hidden="1" outlineLevel="1" ht="15.75" customHeight="1" s="297">
      <c r="A202" s="48">
        <f>IFERROR(__xludf.DUMMYFUNCTION("""COMPUTED_VALUE"""),"KRATON 100 EC")</f>
        <v/>
      </c>
      <c r="B202" s="49">
        <f t="array" ref="B202">IFERROR(
SUM(
IF(
'PORTIFÓLIO'!$C$4:$C$564=$A202,
N(INDEX('PORTIFÓLIO'!$J$4:$Q$564,,MATCH(B$2,'PORTIFÓLIO'!$J$3:$Q$3,0))) *
N('PORTIFÓLIO'!$S$4:$S$564),
0
)
),
0)</f>
        <v/>
      </c>
      <c r="C202" s="49">
        <f>B202/$B$4</f>
        <v/>
      </c>
      <c r="D202" s="49">
        <f t="array" ref="D202">IFERROR(
SUM(
IF(
'PORTIFÓLIO'!$C$4:$C$564=$A202,
N(INDEX('PORTIFÓLIO'!$J$4:$Q$564,,MATCH(D$2,'PORTIFÓLIO'!$J$3:$Q$3,0))) *
N('PORTIFÓLIO'!$S$4:$S$564),
0
)
),
0)</f>
        <v/>
      </c>
      <c r="E202" s="49">
        <f>D202/$D$4</f>
        <v/>
      </c>
      <c r="F202" s="49">
        <f t="array" ref="F202">IFERROR(
SUM(
IF(
'PORTIFÓLIO'!$C$4:$C$564=$A202,
N(INDEX('PORTIFÓLIO'!$J$4:$Q$564,,MATCH(F$2,'PORTIFÓLIO'!$J$3:$Q$3,0))) *
N('PORTIFÓLIO'!$S$4:$S$564),
0
)
),
0)</f>
        <v/>
      </c>
      <c r="G202" s="47">
        <f>F202/$F$4</f>
        <v/>
      </c>
      <c r="H202" s="49">
        <f t="array" ref="H202">IFERROR(
SUM(
IF(
'PORTIFÓLIO'!$C$4:$C$564=$A202,
N(INDEX('PORTIFÓLIO'!$J$4:$Q$564,,MATCH(H$2,'PORTIFÓLIO'!$J$3:$Q$3,0))) *
N('PORTIFÓLIO'!$S$4:$S$564),
0
)
),
0)</f>
        <v/>
      </c>
      <c r="I202" s="47">
        <f>H202/$H$4</f>
        <v/>
      </c>
      <c r="J202" s="49">
        <f t="array" ref="J202">IFERROR(
SUM(
IF(
'PORTIFÓLIO'!$C$4:$C$564=$A202,
N(INDEX('PORTIFÓLIO'!$J$4:$Q$564,,MATCH(J$2,'PORTIFÓLIO'!$J$3:$Q$3,0))) *
N('PORTIFÓLIO'!$S$4:$S$564),
0
)
),
0)</f>
        <v/>
      </c>
      <c r="K202" s="47">
        <f>J202/$J$4</f>
        <v/>
      </c>
      <c r="L202" s="49">
        <f t="array" ref="L202">IFERROR(
SUM(
IF(
'PORTIFÓLIO'!$C$4:$C$564=$A202,
N(INDEX('PORTIFÓLIO'!$J$4:$Q$564,,MATCH(L$2,'PORTIFÓLIO'!$J$3:$Q$3,0))) *
N('PORTIFÓLIO'!$S$4:$S$564),
0
)
),
0)</f>
        <v/>
      </c>
      <c r="M202" s="47">
        <f>L202/$L$4</f>
        <v/>
      </c>
      <c r="N202" s="49">
        <f t="array" ref="N202">IFERROR(
SUM(
IF(
'PORTIFÓLIO'!$C$4:$C$564=$A202,
N(INDEX('PORTIFÓLIO'!$J$4:$Q$564,,MATCH(N$2,'PORTIFÓLIO'!$J$3:$Q$3,0))) *
N('PORTIFÓLIO'!$S$4:$S$564),
0
)
),
0)</f>
        <v/>
      </c>
      <c r="O202" s="49">
        <f>N202/$N$4</f>
        <v/>
      </c>
      <c r="P202" s="49">
        <f t="array" ref="P202">IFERROR(
SUM(
IF(
'PORTIFÓLIO'!$C$4:$C$564=$A202,
N(INDEX('PORTIFÓLIO'!$J$4:$Q$564,,MATCH(P$2,'PORTIFÓLIO'!$J$3:$Q$3,0))) *
N('PORTIFÓLIO'!$S$4:$S$564),
0
)
),
0)</f>
        <v/>
      </c>
      <c r="Q202" s="49">
        <f>P202/$P$4</f>
        <v/>
      </c>
      <c r="R202" s="49">
        <f>SUM(P202,N202,L202,J202,H202,D202,B202)</f>
        <v/>
      </c>
      <c r="S202" s="49">
        <f>R202/$R$4</f>
        <v/>
      </c>
    </row>
    <row r="203" hidden="1" outlineLevel="1" ht="15.75" customHeight="1" s="297">
      <c r="A203" s="48">
        <f>IFERROR(__xludf.DUMMYFUNCTION("""COMPUTED_VALUE"""),"TAURA 200 EC")</f>
        <v/>
      </c>
      <c r="B203" s="49">
        <f t="array" ref="B203">IFERROR(
SUM(
IF(
'PORTIFÓLIO'!$C$4:$C$564=$A203,
N(INDEX('PORTIFÓLIO'!$J$4:$Q$564,,MATCH(B$2,'PORTIFÓLIO'!$J$3:$Q$3,0))) *
N('PORTIFÓLIO'!$S$4:$S$564),
0
)
),
0)</f>
        <v/>
      </c>
      <c r="C203" s="49">
        <f>B203/$B$4</f>
        <v/>
      </c>
      <c r="D203" s="49">
        <f t="array" ref="D203">IFERROR(
SUM(
IF(
'PORTIFÓLIO'!$C$4:$C$564=$A203,
N(INDEX('PORTIFÓLIO'!$J$4:$Q$564,,MATCH(D$2,'PORTIFÓLIO'!$J$3:$Q$3,0))) *
N('PORTIFÓLIO'!$S$4:$S$564),
0
)
),
0)</f>
        <v/>
      </c>
      <c r="E203" s="49">
        <f>D203/$D$4</f>
        <v/>
      </c>
      <c r="F203" s="49">
        <f t="array" ref="F203">IFERROR(
SUM(
IF(
'PORTIFÓLIO'!$C$4:$C$564=$A203,
N(INDEX('PORTIFÓLIO'!$J$4:$Q$564,,MATCH(F$2,'PORTIFÓLIO'!$J$3:$Q$3,0))) *
N('PORTIFÓLIO'!$S$4:$S$564),
0
)
),
0)</f>
        <v/>
      </c>
      <c r="G203" s="47">
        <f>F203/$F$4</f>
        <v/>
      </c>
      <c r="H203" s="49">
        <f t="array" ref="H203">IFERROR(
SUM(
IF(
'PORTIFÓLIO'!$C$4:$C$564=$A203,
N(INDEX('PORTIFÓLIO'!$J$4:$Q$564,,MATCH(H$2,'PORTIFÓLIO'!$J$3:$Q$3,0))) *
N('PORTIFÓLIO'!$S$4:$S$564),
0
)
),
0)</f>
        <v/>
      </c>
      <c r="I203" s="47">
        <f>H203/$H$4</f>
        <v/>
      </c>
      <c r="J203" s="49">
        <f t="array" ref="J203">IFERROR(
SUM(
IF(
'PORTIFÓLIO'!$C$4:$C$564=$A203,
N(INDEX('PORTIFÓLIO'!$J$4:$Q$564,,MATCH(J$2,'PORTIFÓLIO'!$J$3:$Q$3,0))) *
N('PORTIFÓLIO'!$S$4:$S$564),
0
)
),
0)</f>
        <v/>
      </c>
      <c r="K203" s="47">
        <f>J203/$J$4</f>
        <v/>
      </c>
      <c r="L203" s="49">
        <f t="array" ref="L203">IFERROR(
SUM(
IF(
'PORTIFÓLIO'!$C$4:$C$564=$A203,
N(INDEX('PORTIFÓLIO'!$J$4:$Q$564,,MATCH(L$2,'PORTIFÓLIO'!$J$3:$Q$3,0))) *
N('PORTIFÓLIO'!$S$4:$S$564),
0
)
),
0)</f>
        <v/>
      </c>
      <c r="M203" s="47">
        <f>L203/$L$4</f>
        <v/>
      </c>
      <c r="N203" s="49">
        <f t="array" ref="N203">IFERROR(
SUM(
IF(
'PORTIFÓLIO'!$C$4:$C$564=$A203,
N(INDEX('PORTIFÓLIO'!$J$4:$Q$564,,MATCH(N$2,'PORTIFÓLIO'!$J$3:$Q$3,0))) *
N('PORTIFÓLIO'!$S$4:$S$564),
0
)
),
0)</f>
        <v/>
      </c>
      <c r="O203" s="49">
        <f>N203/$N$4</f>
        <v/>
      </c>
      <c r="P203" s="49">
        <f t="array" ref="P203">IFERROR(
SUM(
IF(
'PORTIFÓLIO'!$C$4:$C$564=$A203,
N(INDEX('PORTIFÓLIO'!$J$4:$Q$564,,MATCH(P$2,'PORTIFÓLIO'!$J$3:$Q$3,0))) *
N('PORTIFÓLIO'!$S$4:$S$564),
0
)
),
0)</f>
        <v/>
      </c>
      <c r="Q203" s="49">
        <f>P203/$P$4</f>
        <v/>
      </c>
      <c r="R203" s="49">
        <f>SUM(P203,N203,L203,J203,H203,D203,B203)</f>
        <v/>
      </c>
      <c r="S203" s="49">
        <f>R203/$R$4</f>
        <v/>
      </c>
    </row>
    <row r="204" hidden="1" outlineLevel="1" ht="15.75" customHeight="1" s="297">
      <c r="A204" s="48">
        <f>IFERROR(__xludf.DUMMYFUNCTION("""COMPUTED_VALUE"""),"BENEVIA")</f>
        <v/>
      </c>
      <c r="B204" s="49">
        <f t="array" ref="B204">IFERROR(
SUM(
IF(
'PORTIFÓLIO'!$C$4:$C$564=$A204,
N(INDEX('PORTIFÓLIO'!$J$4:$Q$564,,MATCH(B$2,'PORTIFÓLIO'!$J$3:$Q$3,0))) *
N('PORTIFÓLIO'!$S$4:$S$564),
0
)
),
0)</f>
        <v/>
      </c>
      <c r="C204" s="49">
        <f>B204/$B$4</f>
        <v/>
      </c>
      <c r="D204" s="49">
        <f t="array" ref="D204">IFERROR(
SUM(
IF(
'PORTIFÓLIO'!$C$4:$C$564=$A204,
N(INDEX('PORTIFÓLIO'!$J$4:$Q$564,,MATCH(D$2,'PORTIFÓLIO'!$J$3:$Q$3,0))) *
N('PORTIFÓLIO'!$S$4:$S$564),
0
)
),
0)</f>
        <v/>
      </c>
      <c r="E204" s="49">
        <f>D204/$D$4</f>
        <v/>
      </c>
      <c r="F204" s="49">
        <f t="array" ref="F204">IFERROR(
SUM(
IF(
'PORTIFÓLIO'!$C$4:$C$564=$A204,
N(INDEX('PORTIFÓLIO'!$J$4:$Q$564,,MATCH(F$2,'PORTIFÓLIO'!$J$3:$Q$3,0))) *
N('PORTIFÓLIO'!$S$4:$S$564),
0
)
),
0)</f>
        <v/>
      </c>
      <c r="G204" s="47">
        <f>F204/$F$4</f>
        <v/>
      </c>
      <c r="H204" s="49">
        <f t="array" ref="H204">IFERROR(
SUM(
IF(
'PORTIFÓLIO'!$C$4:$C$564=$A204,
N(INDEX('PORTIFÓLIO'!$J$4:$Q$564,,MATCH(H$2,'PORTIFÓLIO'!$J$3:$Q$3,0))) *
N('PORTIFÓLIO'!$S$4:$S$564),
0
)
),
0)</f>
        <v/>
      </c>
      <c r="I204" s="47">
        <f>H204/$H$4</f>
        <v/>
      </c>
      <c r="J204" s="49">
        <f t="array" ref="J204">IFERROR(
SUM(
IF(
'PORTIFÓLIO'!$C$4:$C$564=$A204,
N(INDEX('PORTIFÓLIO'!$J$4:$Q$564,,MATCH(J$2,'PORTIFÓLIO'!$J$3:$Q$3,0))) *
N('PORTIFÓLIO'!$S$4:$S$564),
0
)
),
0)</f>
        <v/>
      </c>
      <c r="K204" s="47">
        <f>J204/$J$4</f>
        <v/>
      </c>
      <c r="L204" s="49">
        <f t="array" ref="L204">IFERROR(
SUM(
IF(
'PORTIFÓLIO'!$C$4:$C$564=$A204,
N(INDEX('PORTIFÓLIO'!$J$4:$Q$564,,MATCH(L$2,'PORTIFÓLIO'!$J$3:$Q$3,0))) *
N('PORTIFÓLIO'!$S$4:$S$564),
0
)
),
0)</f>
        <v/>
      </c>
      <c r="M204" s="47">
        <f>L204/$L$4</f>
        <v/>
      </c>
      <c r="N204" s="49">
        <f t="array" ref="N204">IFERROR(
SUM(
IF(
'PORTIFÓLIO'!$C$4:$C$564=$A204,
N(INDEX('PORTIFÓLIO'!$J$4:$Q$564,,MATCH(N$2,'PORTIFÓLIO'!$J$3:$Q$3,0))) *
N('PORTIFÓLIO'!$S$4:$S$564),
0
)
),
0)</f>
        <v/>
      </c>
      <c r="O204" s="49">
        <f>N204/$N$4</f>
        <v/>
      </c>
      <c r="P204" s="49">
        <f t="array" ref="P204">IFERROR(
SUM(
IF(
'PORTIFÓLIO'!$C$4:$C$564=$A204,
N(INDEX('PORTIFÓLIO'!$J$4:$Q$564,,MATCH(P$2,'PORTIFÓLIO'!$J$3:$Q$3,0))) *
N('PORTIFÓLIO'!$S$4:$S$564),
0
)
),
0)</f>
        <v/>
      </c>
      <c r="Q204" s="49">
        <f>P204/$P$4</f>
        <v/>
      </c>
      <c r="R204" s="49">
        <f>SUM(P204,N204,L204,J204,H204,D204,B204)</f>
        <v/>
      </c>
      <c r="S204" s="49">
        <f>R204/$R$4</f>
        <v/>
      </c>
    </row>
    <row r="205" hidden="1" outlineLevel="1" ht="15.75" customHeight="1" s="297">
      <c r="A205" s="48">
        <f>IFERROR(__xludf.DUMMYFUNCTION("""COMPUTED_VALUE"""),"HERO")</f>
        <v/>
      </c>
      <c r="B205" s="49">
        <f t="array" ref="B205">IFERROR(
SUM(
IF(
'PORTIFÓLIO'!$C$4:$C$564=$A205,
N(INDEX('PORTIFÓLIO'!$J$4:$Q$564,,MATCH(B$2,'PORTIFÓLIO'!$J$3:$Q$3,0))) *
N('PORTIFÓLIO'!$S$4:$S$564),
0
)
),
0)</f>
        <v/>
      </c>
      <c r="C205" s="49">
        <f>B205/$B$4</f>
        <v/>
      </c>
      <c r="D205" s="49">
        <f t="array" ref="D205">IFERROR(
SUM(
IF(
'PORTIFÓLIO'!$C$4:$C$564=$A205,
N(INDEX('PORTIFÓLIO'!$J$4:$Q$564,,MATCH(D$2,'PORTIFÓLIO'!$J$3:$Q$3,0))) *
N('PORTIFÓLIO'!$S$4:$S$564),
0
)
),
0)</f>
        <v/>
      </c>
      <c r="E205" s="49">
        <f>D205/$D$4</f>
        <v/>
      </c>
      <c r="F205" s="49">
        <f t="array" ref="F205">IFERROR(
SUM(
IF(
'PORTIFÓLIO'!$C$4:$C$564=$A205,
N(INDEX('PORTIFÓLIO'!$J$4:$Q$564,,MATCH(F$2,'PORTIFÓLIO'!$J$3:$Q$3,0))) *
N('PORTIFÓLIO'!$S$4:$S$564),
0
)
),
0)</f>
        <v/>
      </c>
      <c r="G205" s="47">
        <f>F205/$F$4</f>
        <v/>
      </c>
      <c r="H205" s="49">
        <f t="array" ref="H205">IFERROR(
SUM(
IF(
'PORTIFÓLIO'!$C$4:$C$564=$A205,
N(INDEX('PORTIFÓLIO'!$J$4:$Q$564,,MATCH(H$2,'PORTIFÓLIO'!$J$3:$Q$3,0))) *
N('PORTIFÓLIO'!$S$4:$S$564),
0
)
),
0)</f>
        <v/>
      </c>
      <c r="I205" s="47">
        <f>H205/$H$4</f>
        <v/>
      </c>
      <c r="J205" s="49">
        <f t="array" ref="J205">IFERROR(
SUM(
IF(
'PORTIFÓLIO'!$C$4:$C$564=$A205,
N(INDEX('PORTIFÓLIO'!$J$4:$Q$564,,MATCH(J$2,'PORTIFÓLIO'!$J$3:$Q$3,0))) *
N('PORTIFÓLIO'!$S$4:$S$564),
0
)
),
0)</f>
        <v/>
      </c>
      <c r="K205" s="47">
        <f>J205/$J$4</f>
        <v/>
      </c>
      <c r="L205" s="49">
        <f t="array" ref="L205">IFERROR(
SUM(
IF(
'PORTIFÓLIO'!$C$4:$C$564=$A205,
N(INDEX('PORTIFÓLIO'!$J$4:$Q$564,,MATCH(L$2,'PORTIFÓLIO'!$J$3:$Q$3,0))) *
N('PORTIFÓLIO'!$S$4:$S$564),
0
)
),
0)</f>
        <v/>
      </c>
      <c r="M205" s="47">
        <f>L205/$L$4</f>
        <v/>
      </c>
      <c r="N205" s="49">
        <f t="array" ref="N205">IFERROR(
SUM(
IF(
'PORTIFÓLIO'!$C$4:$C$564=$A205,
N(INDEX('PORTIFÓLIO'!$J$4:$Q$564,,MATCH(N$2,'PORTIFÓLIO'!$J$3:$Q$3,0))) *
N('PORTIFÓLIO'!$S$4:$S$564),
0
)
),
0)</f>
        <v/>
      </c>
      <c r="O205" s="49">
        <f>N205/$N$4</f>
        <v/>
      </c>
      <c r="P205" s="49">
        <f t="array" ref="P205">IFERROR(
SUM(
IF(
'PORTIFÓLIO'!$C$4:$C$564=$A205,
N(INDEX('PORTIFÓLIO'!$J$4:$Q$564,,MATCH(P$2,'PORTIFÓLIO'!$J$3:$Q$3,0))) *
N('PORTIFÓLIO'!$S$4:$S$564),
0
)
),
0)</f>
        <v/>
      </c>
      <c r="Q205" s="49">
        <f>P205/$P$4</f>
        <v/>
      </c>
      <c r="R205" s="49">
        <f>SUM(P205,N205,L205,J205,H205,D205,B205)</f>
        <v/>
      </c>
      <c r="S205" s="49">
        <f>R205/$R$4</f>
        <v/>
      </c>
    </row>
    <row r="206" hidden="1" outlineLevel="1" ht="15.75" customHeight="1" s="297">
      <c r="A206" s="48">
        <f>IFERROR(__xludf.DUMMYFUNCTION("""COMPUTED_VALUE"""),"MALATHION UL")</f>
        <v/>
      </c>
      <c r="B206" s="49">
        <f t="array" ref="B206">IFERROR(
SUM(
IF(
'PORTIFÓLIO'!$C$4:$C$564=$A206,
N(INDEX('PORTIFÓLIO'!$J$4:$Q$564,,MATCH(B$2,'PORTIFÓLIO'!$J$3:$Q$3,0))) *
N('PORTIFÓLIO'!$S$4:$S$564),
0
)
),
0)</f>
        <v/>
      </c>
      <c r="C206" s="49">
        <f>B206/$B$4</f>
        <v/>
      </c>
      <c r="D206" s="49">
        <f t="array" ref="D206">IFERROR(
SUM(
IF(
'PORTIFÓLIO'!$C$4:$C$564=$A206,
N(INDEX('PORTIFÓLIO'!$J$4:$Q$564,,MATCH(D$2,'PORTIFÓLIO'!$J$3:$Q$3,0))) *
N('PORTIFÓLIO'!$S$4:$S$564),
0
)
),
0)</f>
        <v/>
      </c>
      <c r="E206" s="49">
        <f>D206/$D$4</f>
        <v/>
      </c>
      <c r="F206" s="49">
        <f t="array" ref="F206">IFERROR(
SUM(
IF(
'PORTIFÓLIO'!$C$4:$C$564=$A206,
N(INDEX('PORTIFÓLIO'!$J$4:$Q$564,,MATCH(F$2,'PORTIFÓLIO'!$J$3:$Q$3,0))) *
N('PORTIFÓLIO'!$S$4:$S$564),
0
)
),
0)</f>
        <v/>
      </c>
      <c r="G206" s="47">
        <f>F206/$F$4</f>
        <v/>
      </c>
      <c r="H206" s="49">
        <f t="array" ref="H206">IFERROR(
SUM(
IF(
'PORTIFÓLIO'!$C$4:$C$564=$A206,
N(INDEX('PORTIFÓLIO'!$J$4:$Q$564,,MATCH(H$2,'PORTIFÓLIO'!$J$3:$Q$3,0))) *
N('PORTIFÓLIO'!$S$4:$S$564),
0
)
),
0)</f>
        <v/>
      </c>
      <c r="I206" s="47">
        <f>H206/$H$4</f>
        <v/>
      </c>
      <c r="J206" s="49">
        <f t="array" ref="J206">IFERROR(
SUM(
IF(
'PORTIFÓLIO'!$C$4:$C$564=$A206,
N(INDEX('PORTIFÓLIO'!$J$4:$Q$564,,MATCH(J$2,'PORTIFÓLIO'!$J$3:$Q$3,0))) *
N('PORTIFÓLIO'!$S$4:$S$564),
0
)
),
0)</f>
        <v/>
      </c>
      <c r="K206" s="47">
        <f>J206/$J$4</f>
        <v/>
      </c>
      <c r="L206" s="49">
        <f t="array" ref="L206">IFERROR(
SUM(
IF(
'PORTIFÓLIO'!$C$4:$C$564=$A206,
N(INDEX('PORTIFÓLIO'!$J$4:$Q$564,,MATCH(L$2,'PORTIFÓLIO'!$J$3:$Q$3,0))) *
N('PORTIFÓLIO'!$S$4:$S$564),
0
)
),
0)</f>
        <v/>
      </c>
      <c r="M206" s="47">
        <f>L206/$L$4</f>
        <v/>
      </c>
      <c r="N206" s="49">
        <f t="array" ref="N206">IFERROR(
SUM(
IF(
'PORTIFÓLIO'!$C$4:$C$564=$A206,
N(INDEX('PORTIFÓLIO'!$J$4:$Q$564,,MATCH(N$2,'PORTIFÓLIO'!$J$3:$Q$3,0))) *
N('PORTIFÓLIO'!$S$4:$S$564),
0
)
),
0)</f>
        <v/>
      </c>
      <c r="O206" s="49">
        <f>N206/$N$4</f>
        <v/>
      </c>
      <c r="P206" s="49">
        <f t="array" ref="P206">IFERROR(
SUM(
IF(
'PORTIFÓLIO'!$C$4:$C$564=$A206,
N(INDEX('PORTIFÓLIO'!$J$4:$Q$564,,MATCH(P$2,'PORTIFÓLIO'!$J$3:$Q$3,0))) *
N('PORTIFÓLIO'!$S$4:$S$564),
0
)
),
0)</f>
        <v/>
      </c>
      <c r="Q206" s="49">
        <f>P206/$P$4</f>
        <v/>
      </c>
      <c r="R206" s="49">
        <f>SUM(P206,N206,L206,J206,H206,D206,B206)</f>
        <v/>
      </c>
      <c r="S206" s="49">
        <f>R206/$R$4</f>
        <v/>
      </c>
    </row>
    <row r="207" hidden="1" outlineLevel="1" ht="15.75" customHeight="1" s="297">
      <c r="A207" s="48">
        <f>IFERROR(__xludf.DUMMYFUNCTION("""COMPUTED_VALUE"""),"MUSTANG 350 EC")</f>
        <v/>
      </c>
      <c r="B207" s="49">
        <f t="array" ref="B207">IFERROR(
SUM(
IF(
'PORTIFÓLIO'!$C$4:$C$564=$A207,
N(INDEX('PORTIFÓLIO'!$J$4:$Q$564,,MATCH(B$2,'PORTIFÓLIO'!$J$3:$Q$3,0))) *
N('PORTIFÓLIO'!$S$4:$S$564),
0
)
),
0)</f>
        <v/>
      </c>
      <c r="C207" s="49">
        <f>B207/$B$4</f>
        <v/>
      </c>
      <c r="D207" s="49">
        <f t="array" ref="D207">IFERROR(
SUM(
IF(
'PORTIFÓLIO'!$C$4:$C$564=$A207,
N(INDEX('PORTIFÓLIO'!$J$4:$Q$564,,MATCH(D$2,'PORTIFÓLIO'!$J$3:$Q$3,0))) *
N('PORTIFÓLIO'!$S$4:$S$564),
0
)
),
0)</f>
        <v/>
      </c>
      <c r="E207" s="49">
        <f>D207/$D$4</f>
        <v/>
      </c>
      <c r="F207" s="49">
        <f t="array" ref="F207">IFERROR(
SUM(
IF(
'PORTIFÓLIO'!$C$4:$C$564=$A207,
N(INDEX('PORTIFÓLIO'!$J$4:$Q$564,,MATCH(F$2,'PORTIFÓLIO'!$J$3:$Q$3,0))) *
N('PORTIFÓLIO'!$S$4:$S$564),
0
)
),
0)</f>
        <v/>
      </c>
      <c r="G207" s="47">
        <f>F207/$F$4</f>
        <v/>
      </c>
      <c r="H207" s="49">
        <f t="array" ref="H207">IFERROR(
SUM(
IF(
'PORTIFÓLIO'!$C$4:$C$564=$A207,
N(INDEX('PORTIFÓLIO'!$J$4:$Q$564,,MATCH(H$2,'PORTIFÓLIO'!$J$3:$Q$3,0))) *
N('PORTIFÓLIO'!$S$4:$S$564),
0
)
),
0)</f>
        <v/>
      </c>
      <c r="I207" s="47">
        <f>H207/$H$4</f>
        <v/>
      </c>
      <c r="J207" s="49">
        <f t="array" ref="J207">IFERROR(
SUM(
IF(
'PORTIFÓLIO'!$C$4:$C$564=$A207,
N(INDEX('PORTIFÓLIO'!$J$4:$Q$564,,MATCH(J$2,'PORTIFÓLIO'!$J$3:$Q$3,0))) *
N('PORTIFÓLIO'!$S$4:$S$564),
0
)
),
0)</f>
        <v/>
      </c>
      <c r="K207" s="47">
        <f>J207/$J$4</f>
        <v/>
      </c>
      <c r="L207" s="49">
        <f t="array" ref="L207">IFERROR(
SUM(
IF(
'PORTIFÓLIO'!$C$4:$C$564=$A207,
N(INDEX('PORTIFÓLIO'!$J$4:$Q$564,,MATCH(L$2,'PORTIFÓLIO'!$J$3:$Q$3,0))) *
N('PORTIFÓLIO'!$S$4:$S$564),
0
)
),
0)</f>
        <v/>
      </c>
      <c r="M207" s="47">
        <f>L207/$L$4</f>
        <v/>
      </c>
      <c r="N207" s="49">
        <f t="array" ref="N207">IFERROR(
SUM(
IF(
'PORTIFÓLIO'!$C$4:$C$564=$A207,
N(INDEX('PORTIFÓLIO'!$J$4:$Q$564,,MATCH(N$2,'PORTIFÓLIO'!$J$3:$Q$3,0))) *
N('PORTIFÓLIO'!$S$4:$S$564),
0
)
),
0)</f>
        <v/>
      </c>
      <c r="O207" s="49">
        <f>N207/$N$4</f>
        <v/>
      </c>
      <c r="P207" s="49">
        <f t="array" ref="P207">IFERROR(
SUM(
IF(
'PORTIFÓLIO'!$C$4:$C$564=$A207,
N(INDEX('PORTIFÓLIO'!$J$4:$Q$564,,MATCH(P$2,'PORTIFÓLIO'!$J$3:$Q$3,0))) *
N('PORTIFÓLIO'!$S$4:$S$564),
0
)
),
0)</f>
        <v/>
      </c>
      <c r="Q207" s="49">
        <f>P207/$P$4</f>
        <v/>
      </c>
      <c r="R207" s="49">
        <f>SUM(P207,N207,L207,J207,H207,D207,B207)</f>
        <v/>
      </c>
      <c r="S207" s="49">
        <f>R207/$R$4</f>
        <v/>
      </c>
    </row>
    <row r="208" hidden="1" outlineLevel="1" ht="15.75" customHeight="1" s="297">
      <c r="A208" s="48">
        <f>IFERROR(__xludf.DUMMYFUNCTION("""COMPUTED_VALUE"""),"PREMIO")</f>
        <v/>
      </c>
      <c r="B208" s="49">
        <f t="array" ref="B208">IFERROR(
SUM(
IF(
'PORTIFÓLIO'!$C$4:$C$564=$A208,
N(INDEX('PORTIFÓLIO'!$J$4:$Q$564,,MATCH(B$2,'PORTIFÓLIO'!$J$3:$Q$3,0))) *
N('PORTIFÓLIO'!$S$4:$S$564),
0
)
),
0)</f>
        <v/>
      </c>
      <c r="C208" s="49">
        <f>B208/$B$4</f>
        <v/>
      </c>
      <c r="D208" s="49">
        <f t="array" ref="D208">IFERROR(
SUM(
IF(
'PORTIFÓLIO'!$C$4:$C$564=$A208,
N(INDEX('PORTIFÓLIO'!$J$4:$Q$564,,MATCH(D$2,'PORTIFÓLIO'!$J$3:$Q$3,0))) *
N('PORTIFÓLIO'!$S$4:$S$564),
0
)
),
0)</f>
        <v/>
      </c>
      <c r="E208" s="49">
        <f>D208/$D$4</f>
        <v/>
      </c>
      <c r="F208" s="49">
        <f t="array" ref="F208">IFERROR(
SUM(
IF(
'PORTIFÓLIO'!$C$4:$C$564=$A208,
N(INDEX('PORTIFÓLIO'!$J$4:$Q$564,,MATCH(F$2,'PORTIFÓLIO'!$J$3:$Q$3,0))) *
N('PORTIFÓLIO'!$S$4:$S$564),
0
)
),
0)</f>
        <v/>
      </c>
      <c r="G208" s="47">
        <f>F208/$F$4</f>
        <v/>
      </c>
      <c r="H208" s="49">
        <f t="array" ref="H208">IFERROR(
SUM(
IF(
'PORTIFÓLIO'!$C$4:$C$564=$A208,
N(INDEX('PORTIFÓLIO'!$J$4:$Q$564,,MATCH(H$2,'PORTIFÓLIO'!$J$3:$Q$3,0))) *
N('PORTIFÓLIO'!$S$4:$S$564),
0
)
),
0)</f>
        <v/>
      </c>
      <c r="I208" s="47">
        <f>H208/$H$4</f>
        <v/>
      </c>
      <c r="J208" s="49">
        <f t="array" ref="J208">IFERROR(
SUM(
IF(
'PORTIFÓLIO'!$C$4:$C$564=$A208,
N(INDEX('PORTIFÓLIO'!$J$4:$Q$564,,MATCH(J$2,'PORTIFÓLIO'!$J$3:$Q$3,0))) *
N('PORTIFÓLIO'!$S$4:$S$564),
0
)
),
0)</f>
        <v/>
      </c>
      <c r="K208" s="47">
        <f>J208/$J$4</f>
        <v/>
      </c>
      <c r="L208" s="49">
        <f t="array" ref="L208">IFERROR(
SUM(
IF(
'PORTIFÓLIO'!$C$4:$C$564=$A208,
N(INDEX('PORTIFÓLIO'!$J$4:$Q$564,,MATCH(L$2,'PORTIFÓLIO'!$J$3:$Q$3,0))) *
N('PORTIFÓLIO'!$S$4:$S$564),
0
)
),
0)</f>
        <v/>
      </c>
      <c r="M208" s="47">
        <f>L208/$L$4</f>
        <v/>
      </c>
      <c r="N208" s="49">
        <f t="array" ref="N208">IFERROR(
SUM(
IF(
'PORTIFÓLIO'!$C$4:$C$564=$A208,
N(INDEX('PORTIFÓLIO'!$J$4:$Q$564,,MATCH(N$2,'PORTIFÓLIO'!$J$3:$Q$3,0))) *
N('PORTIFÓLIO'!$S$4:$S$564),
0
)
),
0)</f>
        <v/>
      </c>
      <c r="O208" s="49">
        <f>N208/$N$4</f>
        <v/>
      </c>
      <c r="P208" s="49">
        <f t="array" ref="P208">IFERROR(
SUM(
IF(
'PORTIFÓLIO'!$C$4:$C$564=$A208,
N(INDEX('PORTIFÓLIO'!$J$4:$Q$564,,MATCH(P$2,'PORTIFÓLIO'!$J$3:$Q$3,0))) *
N('PORTIFÓLIO'!$S$4:$S$564),
0
)
),
0)</f>
        <v/>
      </c>
      <c r="Q208" s="49">
        <f>P208/$P$4</f>
        <v/>
      </c>
      <c r="R208" s="49">
        <f>SUM(P208,N208,L208,J208,H208,D208,B208)</f>
        <v/>
      </c>
      <c r="S208" s="49">
        <f>R208/$R$4</f>
        <v/>
      </c>
    </row>
    <row r="209" hidden="1" outlineLevel="1" ht="15.75" customHeight="1" s="297">
      <c r="A209" s="48">
        <f>IFERROR(__xludf.DUMMYFUNCTION("""COMPUTED_VALUE"""),"TALISMAN")</f>
        <v/>
      </c>
      <c r="B209" s="49">
        <f t="array" ref="B209">IFERROR(
SUM(
IF(
'PORTIFÓLIO'!$C$4:$C$564=$A209,
N(INDEX('PORTIFÓLIO'!$J$4:$Q$564,,MATCH(B$2,'PORTIFÓLIO'!$J$3:$Q$3,0))) *
N('PORTIFÓLIO'!$S$4:$S$564),
0
)
),
0)</f>
        <v/>
      </c>
      <c r="C209" s="49">
        <f>B209/$B$4</f>
        <v/>
      </c>
      <c r="D209" s="49">
        <f t="array" ref="D209">IFERROR(
SUM(
IF(
'PORTIFÓLIO'!$C$4:$C$564=$A209,
N(INDEX('PORTIFÓLIO'!$J$4:$Q$564,,MATCH(D$2,'PORTIFÓLIO'!$J$3:$Q$3,0))) *
N('PORTIFÓLIO'!$S$4:$S$564),
0
)
),
0)</f>
        <v/>
      </c>
      <c r="E209" s="49">
        <f>D209/$D$4</f>
        <v/>
      </c>
      <c r="F209" s="49">
        <f t="array" ref="F209">IFERROR(
SUM(
IF(
'PORTIFÓLIO'!$C$4:$C$564=$A209,
N(INDEX('PORTIFÓLIO'!$J$4:$Q$564,,MATCH(F$2,'PORTIFÓLIO'!$J$3:$Q$3,0))) *
N('PORTIFÓLIO'!$S$4:$S$564),
0
)
),
0)</f>
        <v/>
      </c>
      <c r="G209" s="47">
        <f>F209/$F$4</f>
        <v/>
      </c>
      <c r="H209" s="49">
        <f t="array" ref="H209">IFERROR(
SUM(
IF(
'PORTIFÓLIO'!$C$4:$C$564=$A209,
N(INDEX('PORTIFÓLIO'!$J$4:$Q$564,,MATCH(H$2,'PORTIFÓLIO'!$J$3:$Q$3,0))) *
N('PORTIFÓLIO'!$S$4:$S$564),
0
)
),
0)</f>
        <v/>
      </c>
      <c r="I209" s="47">
        <f>H209/$H$4</f>
        <v/>
      </c>
      <c r="J209" s="49">
        <f t="array" ref="J209">IFERROR(
SUM(
IF(
'PORTIFÓLIO'!$C$4:$C$564=$A209,
N(INDEX('PORTIFÓLIO'!$J$4:$Q$564,,MATCH(J$2,'PORTIFÓLIO'!$J$3:$Q$3,0))) *
N('PORTIFÓLIO'!$S$4:$S$564),
0
)
),
0)</f>
        <v/>
      </c>
      <c r="K209" s="47">
        <f>J209/$J$4</f>
        <v/>
      </c>
      <c r="L209" s="49">
        <f t="array" ref="L209">IFERROR(
SUM(
IF(
'PORTIFÓLIO'!$C$4:$C$564=$A209,
N(INDEX('PORTIFÓLIO'!$J$4:$Q$564,,MATCH(L$2,'PORTIFÓLIO'!$J$3:$Q$3,0))) *
N('PORTIFÓLIO'!$S$4:$S$564),
0
)
),
0)</f>
        <v/>
      </c>
      <c r="M209" s="47">
        <f>L209/$L$4</f>
        <v/>
      </c>
      <c r="N209" s="49">
        <f t="array" ref="N209">IFERROR(
SUM(
IF(
'PORTIFÓLIO'!$C$4:$C$564=$A209,
N(INDEX('PORTIFÓLIO'!$J$4:$Q$564,,MATCH(N$2,'PORTIFÓLIO'!$J$3:$Q$3,0))) *
N('PORTIFÓLIO'!$S$4:$S$564),
0
)
),
0)</f>
        <v/>
      </c>
      <c r="O209" s="49">
        <f>N209/$N$4</f>
        <v/>
      </c>
      <c r="P209" s="49">
        <f t="array" ref="P209">IFERROR(
SUM(
IF(
'PORTIFÓLIO'!$C$4:$C$564=$A209,
N(INDEX('PORTIFÓLIO'!$J$4:$Q$564,,MATCH(P$2,'PORTIFÓLIO'!$J$3:$Q$3,0))) *
N('PORTIFÓLIO'!$S$4:$S$564),
0
)
),
0)</f>
        <v/>
      </c>
      <c r="Q209" s="49">
        <f>P209/$P$4</f>
        <v/>
      </c>
      <c r="R209" s="49">
        <f>SUM(P209,N209,L209,J209,H209,D209,B209)</f>
        <v/>
      </c>
      <c r="S209" s="49">
        <f>R209/$R$4</f>
        <v/>
      </c>
    </row>
    <row r="210" hidden="1" outlineLevel="1" ht="15.75" customHeight="1" s="297">
      <c r="A210" s="48">
        <f>IFERROR(__xludf.DUMMYFUNCTION("""COMPUTED_VALUE"""),"TALSTAR 400")</f>
        <v/>
      </c>
      <c r="B210" s="49">
        <f t="array" ref="B210">IFERROR(
SUM(
IF(
'PORTIFÓLIO'!$C$4:$C$564=$A210,
N(INDEX('PORTIFÓLIO'!$J$4:$Q$564,,MATCH(B$2,'PORTIFÓLIO'!$J$3:$Q$3,0))) *
N('PORTIFÓLIO'!$S$4:$S$564),
0
)
),
0)</f>
        <v/>
      </c>
      <c r="C210" s="49">
        <f>B210/$B$4</f>
        <v/>
      </c>
      <c r="D210" s="49">
        <f t="array" ref="D210">IFERROR(
SUM(
IF(
'PORTIFÓLIO'!$C$4:$C$564=$A210,
N(INDEX('PORTIFÓLIO'!$J$4:$Q$564,,MATCH(D$2,'PORTIFÓLIO'!$J$3:$Q$3,0))) *
N('PORTIFÓLIO'!$S$4:$S$564),
0
)
),
0)</f>
        <v/>
      </c>
      <c r="E210" s="49">
        <f>D210/$D$4</f>
        <v/>
      </c>
      <c r="F210" s="49">
        <f t="array" ref="F210">IFERROR(
SUM(
IF(
'PORTIFÓLIO'!$C$4:$C$564=$A210,
N(INDEX('PORTIFÓLIO'!$J$4:$Q$564,,MATCH(F$2,'PORTIFÓLIO'!$J$3:$Q$3,0))) *
N('PORTIFÓLIO'!$S$4:$S$564),
0
)
),
0)</f>
        <v/>
      </c>
      <c r="G210" s="47">
        <f>F210/$F$4</f>
        <v/>
      </c>
      <c r="H210" s="49">
        <f t="array" ref="H210">IFERROR(
SUM(
IF(
'PORTIFÓLIO'!$C$4:$C$564=$A210,
N(INDEX('PORTIFÓLIO'!$J$4:$Q$564,,MATCH(H$2,'PORTIFÓLIO'!$J$3:$Q$3,0))) *
N('PORTIFÓLIO'!$S$4:$S$564),
0
)
),
0)</f>
        <v/>
      </c>
      <c r="I210" s="47">
        <f>H210/$H$4</f>
        <v/>
      </c>
      <c r="J210" s="49">
        <f t="array" ref="J210">IFERROR(
SUM(
IF(
'PORTIFÓLIO'!$C$4:$C$564=$A210,
N(INDEX('PORTIFÓLIO'!$J$4:$Q$564,,MATCH(J$2,'PORTIFÓLIO'!$J$3:$Q$3,0))) *
N('PORTIFÓLIO'!$S$4:$S$564),
0
)
),
0)</f>
        <v/>
      </c>
      <c r="K210" s="47">
        <f>J210/$J$4</f>
        <v/>
      </c>
      <c r="L210" s="49">
        <f t="array" ref="L210">IFERROR(
SUM(
IF(
'PORTIFÓLIO'!$C$4:$C$564=$A210,
N(INDEX('PORTIFÓLIO'!$J$4:$Q$564,,MATCH(L$2,'PORTIFÓLIO'!$J$3:$Q$3,0))) *
N('PORTIFÓLIO'!$S$4:$S$564),
0
)
),
0)</f>
        <v/>
      </c>
      <c r="M210" s="47">
        <f>L210/$L$4</f>
        <v/>
      </c>
      <c r="N210" s="49">
        <f t="array" ref="N210">IFERROR(
SUM(
IF(
'PORTIFÓLIO'!$C$4:$C$564=$A210,
N(INDEX('PORTIFÓLIO'!$J$4:$Q$564,,MATCH(N$2,'PORTIFÓLIO'!$J$3:$Q$3,0))) *
N('PORTIFÓLIO'!$S$4:$S$564),
0
)
),
0)</f>
        <v/>
      </c>
      <c r="O210" s="49">
        <f>N210/$N$4</f>
        <v/>
      </c>
      <c r="P210" s="49">
        <f t="array" ref="P210">IFERROR(
SUM(
IF(
'PORTIFÓLIO'!$C$4:$C$564=$A210,
N(INDEX('PORTIFÓLIO'!$J$4:$Q$564,,MATCH(P$2,'PORTIFÓLIO'!$J$3:$Q$3,0))) *
N('PORTIFÓLIO'!$S$4:$S$564),
0
)
),
0)</f>
        <v/>
      </c>
      <c r="Q210" s="49">
        <f>P210/$P$4</f>
        <v/>
      </c>
      <c r="R210" s="49">
        <f>SUM(P210,N210,L210,J210,H210,D210,B210)</f>
        <v/>
      </c>
      <c r="S210" s="49">
        <f>R210/$R$4</f>
        <v/>
      </c>
    </row>
    <row r="211" hidden="1" outlineLevel="1" ht="15.75" customHeight="1" s="297">
      <c r="A211" s="48">
        <f>IFERROR(__xludf.DUMMYFUNCTION("""COMPUTED_VALUE"""),"VERIMARK")</f>
        <v/>
      </c>
      <c r="B211" s="49">
        <f t="array" ref="B211">IFERROR(
SUM(
IF(
'PORTIFÓLIO'!$C$4:$C$564=$A211,
N(INDEX('PORTIFÓLIO'!$J$4:$Q$564,,MATCH(B$2,'PORTIFÓLIO'!$J$3:$Q$3,0))) *
N('PORTIFÓLIO'!$S$4:$S$564),
0
)
),
0)</f>
        <v/>
      </c>
      <c r="C211" s="49">
        <f>B211/$B$4</f>
        <v/>
      </c>
      <c r="D211" s="49">
        <f t="array" ref="D211">IFERROR(
SUM(
IF(
'PORTIFÓLIO'!$C$4:$C$564=$A211,
N(INDEX('PORTIFÓLIO'!$J$4:$Q$564,,MATCH(D$2,'PORTIFÓLIO'!$J$3:$Q$3,0))) *
N('PORTIFÓLIO'!$S$4:$S$564),
0
)
),
0)</f>
        <v/>
      </c>
      <c r="E211" s="49">
        <f>D211/$D$4</f>
        <v/>
      </c>
      <c r="F211" s="49">
        <f t="array" ref="F211">IFERROR(
SUM(
IF(
'PORTIFÓLIO'!$C$4:$C$564=$A211,
N(INDEX('PORTIFÓLIO'!$J$4:$Q$564,,MATCH(F$2,'PORTIFÓLIO'!$J$3:$Q$3,0))) *
N('PORTIFÓLIO'!$S$4:$S$564),
0
)
),
0)</f>
        <v/>
      </c>
      <c r="G211" s="47">
        <f>F211/$F$4</f>
        <v/>
      </c>
      <c r="H211" s="49">
        <f t="array" ref="H211">IFERROR(
SUM(
IF(
'PORTIFÓLIO'!$C$4:$C$564=$A211,
N(INDEX('PORTIFÓLIO'!$J$4:$Q$564,,MATCH(H$2,'PORTIFÓLIO'!$J$3:$Q$3,0))) *
N('PORTIFÓLIO'!$S$4:$S$564),
0
)
),
0)</f>
        <v/>
      </c>
      <c r="I211" s="47">
        <f>H211/$H$4</f>
        <v/>
      </c>
      <c r="J211" s="49">
        <f t="array" ref="J211">IFERROR(
SUM(
IF(
'PORTIFÓLIO'!$C$4:$C$564=$A211,
N(INDEX('PORTIFÓLIO'!$J$4:$Q$564,,MATCH(J$2,'PORTIFÓLIO'!$J$3:$Q$3,0))) *
N('PORTIFÓLIO'!$S$4:$S$564),
0
)
),
0)</f>
        <v/>
      </c>
      <c r="K211" s="47">
        <f>J211/$J$4</f>
        <v/>
      </c>
      <c r="L211" s="49">
        <f t="array" ref="L211">IFERROR(
SUM(
IF(
'PORTIFÓLIO'!$C$4:$C$564=$A211,
N(INDEX('PORTIFÓLIO'!$J$4:$Q$564,,MATCH(L$2,'PORTIFÓLIO'!$J$3:$Q$3,0))) *
N('PORTIFÓLIO'!$S$4:$S$564),
0
)
),
0)</f>
        <v/>
      </c>
      <c r="M211" s="47">
        <f>L211/$L$4</f>
        <v/>
      </c>
      <c r="N211" s="49">
        <f t="array" ref="N211">IFERROR(
SUM(
IF(
'PORTIFÓLIO'!$C$4:$C$564=$A211,
N(INDEX('PORTIFÓLIO'!$J$4:$Q$564,,MATCH(N$2,'PORTIFÓLIO'!$J$3:$Q$3,0))) *
N('PORTIFÓLIO'!$S$4:$S$564),
0
)
),
0)</f>
        <v/>
      </c>
      <c r="O211" s="49">
        <f>N211/$N$4</f>
        <v/>
      </c>
      <c r="P211" s="49">
        <f t="array" ref="P211">IFERROR(
SUM(
IF(
'PORTIFÓLIO'!$C$4:$C$564=$A211,
N(INDEX('PORTIFÓLIO'!$J$4:$Q$564,,MATCH(P$2,'PORTIFÓLIO'!$J$3:$Q$3,0))) *
N('PORTIFÓLIO'!$S$4:$S$564),
0
)
),
0)</f>
        <v/>
      </c>
      <c r="Q211" s="49">
        <f>P211/$P$4</f>
        <v/>
      </c>
      <c r="R211" s="49">
        <f>SUM(P211,N211,L211,J211,H211,D211,B211)</f>
        <v/>
      </c>
      <c r="S211" s="49">
        <f>R211/$R$4</f>
        <v/>
      </c>
    </row>
    <row r="212" hidden="1" outlineLevel="1" ht="15.75" customHeight="1" s="297">
      <c r="A212" s="48">
        <f>IFERROR(__xludf.DUMMYFUNCTION("""COMPUTED_VALUE"""),"ABAMECTIN 72 EC NORTOX")</f>
        <v/>
      </c>
      <c r="B212" s="49">
        <f t="array" ref="B212">IFERROR(
SUM(
IF(
'PORTIFÓLIO'!$C$4:$C$564=$A212,
N(INDEX('PORTIFÓLIO'!$J$4:$Q$564,,MATCH(B$2,'PORTIFÓLIO'!$J$3:$Q$3,0))) *
N('PORTIFÓLIO'!$S$4:$S$564),
0
)
),
0)</f>
        <v/>
      </c>
      <c r="C212" s="49">
        <f>B212/$B$4</f>
        <v/>
      </c>
      <c r="D212" s="49">
        <f t="array" ref="D212">IFERROR(
SUM(
IF(
'PORTIFÓLIO'!$C$4:$C$564=$A212,
N(INDEX('PORTIFÓLIO'!$J$4:$Q$564,,MATCH(D$2,'PORTIFÓLIO'!$J$3:$Q$3,0))) *
N('PORTIFÓLIO'!$S$4:$S$564),
0
)
),
0)</f>
        <v/>
      </c>
      <c r="E212" s="49">
        <f>D212/$D$4</f>
        <v/>
      </c>
      <c r="F212" s="49">
        <f t="array" ref="F212">IFERROR(
SUM(
IF(
'PORTIFÓLIO'!$C$4:$C$564=$A212,
N(INDEX('PORTIFÓLIO'!$J$4:$Q$564,,MATCH(F$2,'PORTIFÓLIO'!$J$3:$Q$3,0))) *
N('PORTIFÓLIO'!$S$4:$S$564),
0
)
),
0)</f>
        <v/>
      </c>
      <c r="G212" s="47">
        <f>F212/$F$4</f>
        <v/>
      </c>
      <c r="H212" s="49">
        <f t="array" ref="H212">IFERROR(
SUM(
IF(
'PORTIFÓLIO'!$C$4:$C$564=$A212,
N(INDEX('PORTIFÓLIO'!$J$4:$Q$564,,MATCH(H$2,'PORTIFÓLIO'!$J$3:$Q$3,0))) *
N('PORTIFÓLIO'!$S$4:$S$564),
0
)
),
0)</f>
        <v/>
      </c>
      <c r="I212" s="47">
        <f>H212/$H$4</f>
        <v/>
      </c>
      <c r="J212" s="49">
        <f t="array" ref="J212">IFERROR(
SUM(
IF(
'PORTIFÓLIO'!$C$4:$C$564=$A212,
N(INDEX('PORTIFÓLIO'!$J$4:$Q$564,,MATCH(J$2,'PORTIFÓLIO'!$J$3:$Q$3,0))) *
N('PORTIFÓLIO'!$S$4:$S$564),
0
)
),
0)</f>
        <v/>
      </c>
      <c r="K212" s="47">
        <f>J212/$J$4</f>
        <v/>
      </c>
      <c r="L212" s="49">
        <f t="array" ref="L212">IFERROR(
SUM(
IF(
'PORTIFÓLIO'!$C$4:$C$564=$A212,
N(INDEX('PORTIFÓLIO'!$J$4:$Q$564,,MATCH(L$2,'PORTIFÓLIO'!$J$3:$Q$3,0))) *
N('PORTIFÓLIO'!$S$4:$S$564),
0
)
),
0)</f>
        <v/>
      </c>
      <c r="M212" s="47">
        <f>L212/$L$4</f>
        <v/>
      </c>
      <c r="N212" s="49">
        <f t="array" ref="N212">IFERROR(
SUM(
IF(
'PORTIFÓLIO'!$C$4:$C$564=$A212,
N(INDEX('PORTIFÓLIO'!$J$4:$Q$564,,MATCH(N$2,'PORTIFÓLIO'!$J$3:$Q$3,0))) *
N('PORTIFÓLIO'!$S$4:$S$564),
0
)
),
0)</f>
        <v/>
      </c>
      <c r="O212" s="49">
        <f>N212/$N$4</f>
        <v/>
      </c>
      <c r="P212" s="49">
        <f t="array" ref="P212">IFERROR(
SUM(
IF(
'PORTIFÓLIO'!$C$4:$C$564=$A212,
N(INDEX('PORTIFÓLIO'!$J$4:$Q$564,,MATCH(P$2,'PORTIFÓLIO'!$J$3:$Q$3,0))) *
N('PORTIFÓLIO'!$S$4:$S$564),
0
)
),
0)</f>
        <v/>
      </c>
      <c r="Q212" s="49">
        <f>P212/$P$4</f>
        <v/>
      </c>
      <c r="R212" s="49">
        <f>SUM(P212,N212,L212,J212,H212,D212,B212)</f>
        <v/>
      </c>
      <c r="S212" s="49">
        <f>R212/$R$4</f>
        <v/>
      </c>
    </row>
    <row r="213" hidden="1" outlineLevel="1" ht="15.75" customHeight="1" s="297">
      <c r="A213" s="48">
        <f>IFERROR(__xludf.DUMMYFUNCTION("""COMPUTED_VALUE"""),"CIPERMETRINA NORTOX")</f>
        <v/>
      </c>
      <c r="B213" s="49">
        <f t="array" ref="B213">IFERROR(
SUM(
IF(
'PORTIFÓLIO'!$C$4:$C$564=$A213,
N(INDEX('PORTIFÓLIO'!$J$4:$Q$564,,MATCH(B$2,'PORTIFÓLIO'!$J$3:$Q$3,0))) *
N('PORTIFÓLIO'!$S$4:$S$564),
0
)
),
0)</f>
        <v/>
      </c>
      <c r="C213" s="49">
        <f>B213/$B$4</f>
        <v/>
      </c>
      <c r="D213" s="49">
        <f t="array" ref="D213">IFERROR(
SUM(
IF(
'PORTIFÓLIO'!$C$4:$C$564=$A213,
N(INDEX('PORTIFÓLIO'!$J$4:$Q$564,,MATCH(D$2,'PORTIFÓLIO'!$J$3:$Q$3,0))) *
N('PORTIFÓLIO'!$S$4:$S$564),
0
)
),
0)</f>
        <v/>
      </c>
      <c r="E213" s="49">
        <f>D213/$D$4</f>
        <v/>
      </c>
      <c r="F213" s="49">
        <f t="array" ref="F213">IFERROR(
SUM(
IF(
'PORTIFÓLIO'!$C$4:$C$564=$A213,
N(INDEX('PORTIFÓLIO'!$J$4:$Q$564,,MATCH(F$2,'PORTIFÓLIO'!$J$3:$Q$3,0))) *
N('PORTIFÓLIO'!$S$4:$S$564),
0
)
),
0)</f>
        <v/>
      </c>
      <c r="G213" s="47">
        <f>F213/$F$4</f>
        <v/>
      </c>
      <c r="H213" s="49">
        <f t="array" ref="H213">IFERROR(
SUM(
IF(
'PORTIFÓLIO'!$C$4:$C$564=$A213,
N(INDEX('PORTIFÓLIO'!$J$4:$Q$564,,MATCH(H$2,'PORTIFÓLIO'!$J$3:$Q$3,0))) *
N('PORTIFÓLIO'!$S$4:$S$564),
0
)
),
0)</f>
        <v/>
      </c>
      <c r="I213" s="47">
        <f>H213/$H$4</f>
        <v/>
      </c>
      <c r="J213" s="49">
        <f t="array" ref="J213">IFERROR(
SUM(
IF(
'PORTIFÓLIO'!$C$4:$C$564=$A213,
N(INDEX('PORTIFÓLIO'!$J$4:$Q$564,,MATCH(J$2,'PORTIFÓLIO'!$J$3:$Q$3,0))) *
N('PORTIFÓLIO'!$S$4:$S$564),
0
)
),
0)</f>
        <v/>
      </c>
      <c r="K213" s="47">
        <f>J213/$J$4</f>
        <v/>
      </c>
      <c r="L213" s="49">
        <f t="array" ref="L213">IFERROR(
SUM(
IF(
'PORTIFÓLIO'!$C$4:$C$564=$A213,
N(INDEX('PORTIFÓLIO'!$J$4:$Q$564,,MATCH(L$2,'PORTIFÓLIO'!$J$3:$Q$3,0))) *
N('PORTIFÓLIO'!$S$4:$S$564),
0
)
),
0)</f>
        <v/>
      </c>
      <c r="M213" s="47">
        <f>L213/$L$4</f>
        <v/>
      </c>
      <c r="N213" s="49">
        <f t="array" ref="N213">IFERROR(
SUM(
IF(
'PORTIFÓLIO'!$C$4:$C$564=$A213,
N(INDEX('PORTIFÓLIO'!$J$4:$Q$564,,MATCH(N$2,'PORTIFÓLIO'!$J$3:$Q$3,0))) *
N('PORTIFÓLIO'!$S$4:$S$564),
0
)
),
0)</f>
        <v/>
      </c>
      <c r="O213" s="49">
        <f>N213/$N$4</f>
        <v/>
      </c>
      <c r="P213" s="49">
        <f t="array" ref="P213">IFERROR(
SUM(
IF(
'PORTIFÓLIO'!$C$4:$C$564=$A213,
N(INDEX('PORTIFÓLIO'!$J$4:$Q$564,,MATCH(P$2,'PORTIFÓLIO'!$J$3:$Q$3,0))) *
N('PORTIFÓLIO'!$S$4:$S$564),
0
)
),
0)</f>
        <v/>
      </c>
      <c r="Q213" s="49">
        <f>P213/$P$4</f>
        <v/>
      </c>
      <c r="R213" s="49">
        <f>SUM(P213,N213,L213,J213,H213,D213,B213)</f>
        <v/>
      </c>
      <c r="S213" s="49">
        <f>R213/$R$4</f>
        <v/>
      </c>
    </row>
    <row r="214" hidden="1" outlineLevel="1" ht="15.75" customHeight="1" s="297">
      <c r="A214" s="48">
        <f>IFERROR(__xludf.DUMMYFUNCTION("""COMPUTED_VALUE"""),"CLORANTRANILIPROLE NORTOX 400 SC")</f>
        <v/>
      </c>
      <c r="B214" s="49">
        <f t="array" ref="B214">IFERROR(
SUM(
IF(
'PORTIFÓLIO'!$C$4:$C$564=$A214,
N(INDEX('PORTIFÓLIO'!$J$4:$Q$564,,MATCH(B$2,'PORTIFÓLIO'!$J$3:$Q$3,0))) *
N('PORTIFÓLIO'!$S$4:$S$564),
0
)
),
0)</f>
        <v/>
      </c>
      <c r="C214" s="49">
        <f>B214/$B$4</f>
        <v/>
      </c>
      <c r="D214" s="49">
        <f t="array" ref="D214">IFERROR(
SUM(
IF(
'PORTIFÓLIO'!$C$4:$C$564=$A214,
N(INDEX('PORTIFÓLIO'!$J$4:$Q$564,,MATCH(D$2,'PORTIFÓLIO'!$J$3:$Q$3,0))) *
N('PORTIFÓLIO'!$S$4:$S$564),
0
)
),
0)</f>
        <v/>
      </c>
      <c r="E214" s="49">
        <f>D214/$D$4</f>
        <v/>
      </c>
      <c r="F214" s="49">
        <f t="array" ref="F214">IFERROR(
SUM(
IF(
'PORTIFÓLIO'!$C$4:$C$564=$A214,
N(INDEX('PORTIFÓLIO'!$J$4:$Q$564,,MATCH(F$2,'PORTIFÓLIO'!$J$3:$Q$3,0))) *
N('PORTIFÓLIO'!$S$4:$S$564),
0
)
),
0)</f>
        <v/>
      </c>
      <c r="G214" s="47">
        <f>F214/$F$4</f>
        <v/>
      </c>
      <c r="H214" s="49">
        <f t="array" ref="H214">IFERROR(
SUM(
IF(
'PORTIFÓLIO'!$C$4:$C$564=$A214,
N(INDEX('PORTIFÓLIO'!$J$4:$Q$564,,MATCH(H$2,'PORTIFÓLIO'!$J$3:$Q$3,0))) *
N('PORTIFÓLIO'!$S$4:$S$564),
0
)
),
0)</f>
        <v/>
      </c>
      <c r="I214" s="47">
        <f>H214/$H$4</f>
        <v/>
      </c>
      <c r="J214" s="49">
        <f t="array" ref="J214">IFERROR(
SUM(
IF(
'PORTIFÓLIO'!$C$4:$C$564=$A214,
N(INDEX('PORTIFÓLIO'!$J$4:$Q$564,,MATCH(J$2,'PORTIFÓLIO'!$J$3:$Q$3,0))) *
N('PORTIFÓLIO'!$S$4:$S$564),
0
)
),
0)</f>
        <v/>
      </c>
      <c r="K214" s="47">
        <f>J214/$J$4</f>
        <v/>
      </c>
      <c r="L214" s="49">
        <f t="array" ref="L214">IFERROR(
SUM(
IF(
'PORTIFÓLIO'!$C$4:$C$564=$A214,
N(INDEX('PORTIFÓLIO'!$J$4:$Q$564,,MATCH(L$2,'PORTIFÓLIO'!$J$3:$Q$3,0))) *
N('PORTIFÓLIO'!$S$4:$S$564),
0
)
),
0)</f>
        <v/>
      </c>
      <c r="M214" s="47">
        <f>L214/$L$4</f>
        <v/>
      </c>
      <c r="N214" s="49">
        <f t="array" ref="N214">IFERROR(
SUM(
IF(
'PORTIFÓLIO'!$C$4:$C$564=$A214,
N(INDEX('PORTIFÓLIO'!$J$4:$Q$564,,MATCH(N$2,'PORTIFÓLIO'!$J$3:$Q$3,0))) *
N('PORTIFÓLIO'!$S$4:$S$564),
0
)
),
0)</f>
        <v/>
      </c>
      <c r="O214" s="49">
        <f>N214/$N$4</f>
        <v/>
      </c>
      <c r="P214" s="49">
        <f t="array" ref="P214">IFERROR(
SUM(
IF(
'PORTIFÓLIO'!$C$4:$C$564=$A214,
N(INDEX('PORTIFÓLIO'!$J$4:$Q$564,,MATCH(P$2,'PORTIFÓLIO'!$J$3:$Q$3,0))) *
N('PORTIFÓLIO'!$S$4:$S$564),
0
)
),
0)</f>
        <v/>
      </c>
      <c r="Q214" s="49">
        <f>P214/$P$4</f>
        <v/>
      </c>
      <c r="R214" s="49">
        <f>SUM(P214,N214,L214,J214,H214,D214,B214)</f>
        <v/>
      </c>
      <c r="S214" s="49">
        <f>R214/$R$4</f>
        <v/>
      </c>
    </row>
    <row r="215" hidden="1" outlineLevel="1" ht="15.75" customHeight="1" s="297">
      <c r="A215" s="48">
        <f>IFERROR(__xludf.DUMMYFUNCTION("""COMPUTED_VALUE"""),"CLORFENAPIR NORTOX")</f>
        <v/>
      </c>
      <c r="B215" s="49">
        <f t="array" ref="B215">IFERROR(
SUM(
IF(
'PORTIFÓLIO'!$C$4:$C$564=$A215,
N(INDEX('PORTIFÓLIO'!$J$4:$Q$564,,MATCH(B$2,'PORTIFÓLIO'!$J$3:$Q$3,0))) *
N('PORTIFÓLIO'!$S$4:$S$564),
0
)
),
0)</f>
        <v/>
      </c>
      <c r="C215" s="49">
        <f>B215/$B$4</f>
        <v/>
      </c>
      <c r="D215" s="49">
        <f t="array" ref="D215">IFERROR(
SUM(
IF(
'PORTIFÓLIO'!$C$4:$C$564=$A215,
N(INDEX('PORTIFÓLIO'!$J$4:$Q$564,,MATCH(D$2,'PORTIFÓLIO'!$J$3:$Q$3,0))) *
N('PORTIFÓLIO'!$S$4:$S$564),
0
)
),
0)</f>
        <v/>
      </c>
      <c r="E215" s="49">
        <f>D215/$D$4</f>
        <v/>
      </c>
      <c r="F215" s="49">
        <f t="array" ref="F215">IFERROR(
SUM(
IF(
'PORTIFÓLIO'!$C$4:$C$564=$A215,
N(INDEX('PORTIFÓLIO'!$J$4:$Q$564,,MATCH(F$2,'PORTIFÓLIO'!$J$3:$Q$3,0))) *
N('PORTIFÓLIO'!$S$4:$S$564),
0
)
),
0)</f>
        <v/>
      </c>
      <c r="G215" s="47">
        <f>F215/$F$4</f>
        <v/>
      </c>
      <c r="H215" s="49">
        <f t="array" ref="H215">IFERROR(
SUM(
IF(
'PORTIFÓLIO'!$C$4:$C$564=$A215,
N(INDEX('PORTIFÓLIO'!$J$4:$Q$564,,MATCH(H$2,'PORTIFÓLIO'!$J$3:$Q$3,0))) *
N('PORTIFÓLIO'!$S$4:$S$564),
0
)
),
0)</f>
        <v/>
      </c>
      <c r="I215" s="47">
        <f>H215/$H$4</f>
        <v/>
      </c>
      <c r="J215" s="49">
        <f t="array" ref="J215">IFERROR(
SUM(
IF(
'PORTIFÓLIO'!$C$4:$C$564=$A215,
N(INDEX('PORTIFÓLIO'!$J$4:$Q$564,,MATCH(J$2,'PORTIFÓLIO'!$J$3:$Q$3,0))) *
N('PORTIFÓLIO'!$S$4:$S$564),
0
)
),
0)</f>
        <v/>
      </c>
      <c r="K215" s="47">
        <f>J215/$J$4</f>
        <v/>
      </c>
      <c r="L215" s="49">
        <f t="array" ref="L215">IFERROR(
SUM(
IF(
'PORTIFÓLIO'!$C$4:$C$564=$A215,
N(INDEX('PORTIFÓLIO'!$J$4:$Q$564,,MATCH(L$2,'PORTIFÓLIO'!$J$3:$Q$3,0))) *
N('PORTIFÓLIO'!$S$4:$S$564),
0
)
),
0)</f>
        <v/>
      </c>
      <c r="M215" s="47">
        <f>L215/$L$4</f>
        <v/>
      </c>
      <c r="N215" s="49">
        <f t="array" ref="N215">IFERROR(
SUM(
IF(
'PORTIFÓLIO'!$C$4:$C$564=$A215,
N(INDEX('PORTIFÓLIO'!$J$4:$Q$564,,MATCH(N$2,'PORTIFÓLIO'!$J$3:$Q$3,0))) *
N('PORTIFÓLIO'!$S$4:$S$564),
0
)
),
0)</f>
        <v/>
      </c>
      <c r="O215" s="49">
        <f>N215/$N$4</f>
        <v/>
      </c>
      <c r="P215" s="49">
        <f t="array" ref="P215">IFERROR(
SUM(
IF(
'PORTIFÓLIO'!$C$4:$C$564=$A215,
N(INDEX('PORTIFÓLIO'!$J$4:$Q$564,,MATCH(P$2,'PORTIFÓLIO'!$J$3:$Q$3,0))) *
N('PORTIFÓLIO'!$S$4:$S$564),
0
)
),
0)</f>
        <v/>
      </c>
      <c r="Q215" s="49">
        <f>P215/$P$4</f>
        <v/>
      </c>
      <c r="R215" s="49">
        <f>SUM(P215,N215,L215,J215,H215,D215,B215)</f>
        <v/>
      </c>
      <c r="S215" s="49">
        <f>R215/$R$4</f>
        <v/>
      </c>
    </row>
    <row r="216" hidden="1" outlineLevel="1" ht="15.75" customHeight="1" s="297">
      <c r="A216" s="48">
        <f>IFERROR(__xludf.DUMMYFUNCTION("""COMPUTED_VALUE"""),"CLORPIRIFÓS NORTOX EC")</f>
        <v/>
      </c>
      <c r="B216" s="49">
        <f t="array" ref="B216">IFERROR(
SUM(
IF(
'PORTIFÓLIO'!$C$4:$C$564=$A216,
N(INDEX('PORTIFÓLIO'!$J$4:$Q$564,,MATCH(B$2,'PORTIFÓLIO'!$J$3:$Q$3,0))) *
N('PORTIFÓLIO'!$S$4:$S$564),
0
)
),
0)</f>
        <v/>
      </c>
      <c r="C216" s="49">
        <f>B216/$B$4</f>
        <v/>
      </c>
      <c r="D216" s="49">
        <f t="array" ref="D216">IFERROR(
SUM(
IF(
'PORTIFÓLIO'!$C$4:$C$564=$A216,
N(INDEX('PORTIFÓLIO'!$J$4:$Q$564,,MATCH(D$2,'PORTIFÓLIO'!$J$3:$Q$3,0))) *
N('PORTIFÓLIO'!$S$4:$S$564),
0
)
),
0)</f>
        <v/>
      </c>
      <c r="E216" s="49">
        <f>D216/$D$4</f>
        <v/>
      </c>
      <c r="F216" s="49">
        <f t="array" ref="F216">IFERROR(
SUM(
IF(
'PORTIFÓLIO'!$C$4:$C$564=$A216,
N(INDEX('PORTIFÓLIO'!$J$4:$Q$564,,MATCH(F$2,'PORTIFÓLIO'!$J$3:$Q$3,0))) *
N('PORTIFÓLIO'!$S$4:$S$564),
0
)
),
0)</f>
        <v/>
      </c>
      <c r="G216" s="47">
        <f>F216/$F$4</f>
        <v/>
      </c>
      <c r="H216" s="49">
        <f t="array" ref="H216">IFERROR(
SUM(
IF(
'PORTIFÓLIO'!$C$4:$C$564=$A216,
N(INDEX('PORTIFÓLIO'!$J$4:$Q$564,,MATCH(H$2,'PORTIFÓLIO'!$J$3:$Q$3,0))) *
N('PORTIFÓLIO'!$S$4:$S$564),
0
)
),
0)</f>
        <v/>
      </c>
      <c r="I216" s="47">
        <f>H216/$H$4</f>
        <v/>
      </c>
      <c r="J216" s="49">
        <f t="array" ref="J216">IFERROR(
SUM(
IF(
'PORTIFÓLIO'!$C$4:$C$564=$A216,
N(INDEX('PORTIFÓLIO'!$J$4:$Q$564,,MATCH(J$2,'PORTIFÓLIO'!$J$3:$Q$3,0))) *
N('PORTIFÓLIO'!$S$4:$S$564),
0
)
),
0)</f>
        <v/>
      </c>
      <c r="K216" s="47">
        <f>J216/$J$4</f>
        <v/>
      </c>
      <c r="L216" s="49">
        <f t="array" ref="L216">IFERROR(
SUM(
IF(
'PORTIFÓLIO'!$C$4:$C$564=$A216,
N(INDEX('PORTIFÓLIO'!$J$4:$Q$564,,MATCH(L$2,'PORTIFÓLIO'!$J$3:$Q$3,0))) *
N('PORTIFÓLIO'!$S$4:$S$564),
0
)
),
0)</f>
        <v/>
      </c>
      <c r="M216" s="47">
        <f>L216/$L$4</f>
        <v/>
      </c>
      <c r="N216" s="49">
        <f t="array" ref="N216">IFERROR(
SUM(
IF(
'PORTIFÓLIO'!$C$4:$C$564=$A216,
N(INDEX('PORTIFÓLIO'!$J$4:$Q$564,,MATCH(N$2,'PORTIFÓLIO'!$J$3:$Q$3,0))) *
N('PORTIFÓLIO'!$S$4:$S$564),
0
)
),
0)</f>
        <v/>
      </c>
      <c r="O216" s="49">
        <f>N216/$N$4</f>
        <v/>
      </c>
      <c r="P216" s="49">
        <f t="array" ref="P216">IFERROR(
SUM(
IF(
'PORTIFÓLIO'!$C$4:$C$564=$A216,
N(INDEX('PORTIFÓLIO'!$J$4:$Q$564,,MATCH(P$2,'PORTIFÓLIO'!$J$3:$Q$3,0))) *
N('PORTIFÓLIO'!$S$4:$S$564),
0
)
),
0)</f>
        <v/>
      </c>
      <c r="Q216" s="49">
        <f>P216/$P$4</f>
        <v/>
      </c>
      <c r="R216" s="49">
        <f>SUM(P216,N216,L216,J216,H216,D216,B216)</f>
        <v/>
      </c>
      <c r="S216" s="49">
        <f>R216/$R$4</f>
        <v/>
      </c>
    </row>
    <row r="217" hidden="1" outlineLevel="1" ht="15.75" customHeight="1" s="297">
      <c r="A217" s="48">
        <f>IFERROR(__xludf.DUMMYFUNCTION("""COMPUTED_VALUE"""),"DIAFENTIURON NORTOX")</f>
        <v/>
      </c>
      <c r="B217" s="49">
        <f t="array" ref="B217">IFERROR(
SUM(
IF(
'PORTIFÓLIO'!$C$4:$C$564=$A217,
N(INDEX('PORTIFÓLIO'!$J$4:$Q$564,,MATCH(B$2,'PORTIFÓLIO'!$J$3:$Q$3,0))) *
N('PORTIFÓLIO'!$S$4:$S$564),
0
)
),
0)</f>
        <v/>
      </c>
      <c r="C217" s="49">
        <f>B217/$B$4</f>
        <v/>
      </c>
      <c r="D217" s="49">
        <f t="array" ref="D217">IFERROR(
SUM(
IF(
'PORTIFÓLIO'!$C$4:$C$564=$A217,
N(INDEX('PORTIFÓLIO'!$J$4:$Q$564,,MATCH(D$2,'PORTIFÓLIO'!$J$3:$Q$3,0))) *
N('PORTIFÓLIO'!$S$4:$S$564),
0
)
),
0)</f>
        <v/>
      </c>
      <c r="E217" s="49">
        <f>D217/$D$4</f>
        <v/>
      </c>
      <c r="F217" s="49">
        <f t="array" ref="F217">IFERROR(
SUM(
IF(
'PORTIFÓLIO'!$C$4:$C$564=$A217,
N(INDEX('PORTIFÓLIO'!$J$4:$Q$564,,MATCH(F$2,'PORTIFÓLIO'!$J$3:$Q$3,0))) *
N('PORTIFÓLIO'!$S$4:$S$564),
0
)
),
0)</f>
        <v/>
      </c>
      <c r="G217" s="47">
        <f>F217/$F$4</f>
        <v/>
      </c>
      <c r="H217" s="49">
        <f t="array" ref="H217">IFERROR(
SUM(
IF(
'PORTIFÓLIO'!$C$4:$C$564=$A217,
N(INDEX('PORTIFÓLIO'!$J$4:$Q$564,,MATCH(H$2,'PORTIFÓLIO'!$J$3:$Q$3,0))) *
N('PORTIFÓLIO'!$S$4:$S$564),
0
)
),
0)</f>
        <v/>
      </c>
      <c r="I217" s="47">
        <f>H217/$H$4</f>
        <v/>
      </c>
      <c r="J217" s="49">
        <f t="array" ref="J217">IFERROR(
SUM(
IF(
'PORTIFÓLIO'!$C$4:$C$564=$A217,
N(INDEX('PORTIFÓLIO'!$J$4:$Q$564,,MATCH(J$2,'PORTIFÓLIO'!$J$3:$Q$3,0))) *
N('PORTIFÓLIO'!$S$4:$S$564),
0
)
),
0)</f>
        <v/>
      </c>
      <c r="K217" s="47">
        <f>J217/$J$4</f>
        <v/>
      </c>
      <c r="L217" s="49">
        <f t="array" ref="L217">IFERROR(
SUM(
IF(
'PORTIFÓLIO'!$C$4:$C$564=$A217,
N(INDEX('PORTIFÓLIO'!$J$4:$Q$564,,MATCH(L$2,'PORTIFÓLIO'!$J$3:$Q$3,0))) *
N('PORTIFÓLIO'!$S$4:$S$564),
0
)
),
0)</f>
        <v/>
      </c>
      <c r="M217" s="47">
        <f>L217/$L$4</f>
        <v/>
      </c>
      <c r="N217" s="49">
        <f t="array" ref="N217">IFERROR(
SUM(
IF(
'PORTIFÓLIO'!$C$4:$C$564=$A217,
N(INDEX('PORTIFÓLIO'!$J$4:$Q$564,,MATCH(N$2,'PORTIFÓLIO'!$J$3:$Q$3,0))) *
N('PORTIFÓLIO'!$S$4:$S$564),
0
)
),
0)</f>
        <v/>
      </c>
      <c r="O217" s="49">
        <f>N217/$N$4</f>
        <v/>
      </c>
      <c r="P217" s="49">
        <f t="array" ref="P217">IFERROR(
SUM(
IF(
'PORTIFÓLIO'!$C$4:$C$564=$A217,
N(INDEX('PORTIFÓLIO'!$J$4:$Q$564,,MATCH(P$2,'PORTIFÓLIO'!$J$3:$Q$3,0))) *
N('PORTIFÓLIO'!$S$4:$S$564),
0
)
),
0)</f>
        <v/>
      </c>
      <c r="Q217" s="49">
        <f>P217/$P$4</f>
        <v/>
      </c>
      <c r="R217" s="49">
        <f>SUM(P217,N217,L217,J217,H217,D217,B217)</f>
        <v/>
      </c>
      <c r="S217" s="49">
        <f>R217/$R$4</f>
        <v/>
      </c>
    </row>
    <row r="218" hidden="1" outlineLevel="1" ht="15.75" customHeight="1" s="297">
      <c r="A218" s="48">
        <f>IFERROR(__xludf.DUMMYFUNCTION("""COMPUTED_VALUE"""),"IMIDACLOPRID NORTOX 480 SC")</f>
        <v/>
      </c>
      <c r="B218" s="49">
        <f t="array" ref="B218">IFERROR(
SUM(
IF(
'PORTIFÓLIO'!$C$4:$C$564=$A218,
N(INDEX('PORTIFÓLIO'!$J$4:$Q$564,,MATCH(B$2,'PORTIFÓLIO'!$J$3:$Q$3,0))) *
N('PORTIFÓLIO'!$S$4:$S$564),
0
)
),
0)</f>
        <v/>
      </c>
      <c r="C218" s="49">
        <f>B218/$B$4</f>
        <v/>
      </c>
      <c r="D218" s="49">
        <f t="array" ref="D218">IFERROR(
SUM(
IF(
'PORTIFÓLIO'!$C$4:$C$564=$A218,
N(INDEX('PORTIFÓLIO'!$J$4:$Q$564,,MATCH(D$2,'PORTIFÓLIO'!$J$3:$Q$3,0))) *
N('PORTIFÓLIO'!$S$4:$S$564),
0
)
),
0)</f>
        <v/>
      </c>
      <c r="E218" s="49">
        <f>D218/$D$4</f>
        <v/>
      </c>
      <c r="F218" s="49">
        <f t="array" ref="F218">IFERROR(
SUM(
IF(
'PORTIFÓLIO'!$C$4:$C$564=$A218,
N(INDEX('PORTIFÓLIO'!$J$4:$Q$564,,MATCH(F$2,'PORTIFÓLIO'!$J$3:$Q$3,0))) *
N('PORTIFÓLIO'!$S$4:$S$564),
0
)
),
0)</f>
        <v/>
      </c>
      <c r="G218" s="47">
        <f>F218/$F$4</f>
        <v/>
      </c>
      <c r="H218" s="49">
        <f t="array" ref="H218">IFERROR(
SUM(
IF(
'PORTIFÓLIO'!$C$4:$C$564=$A218,
N(INDEX('PORTIFÓLIO'!$J$4:$Q$564,,MATCH(H$2,'PORTIFÓLIO'!$J$3:$Q$3,0))) *
N('PORTIFÓLIO'!$S$4:$S$564),
0
)
),
0)</f>
        <v/>
      </c>
      <c r="I218" s="47">
        <f>H218/$H$4</f>
        <v/>
      </c>
      <c r="J218" s="49">
        <f t="array" ref="J218">IFERROR(
SUM(
IF(
'PORTIFÓLIO'!$C$4:$C$564=$A218,
N(INDEX('PORTIFÓLIO'!$J$4:$Q$564,,MATCH(J$2,'PORTIFÓLIO'!$J$3:$Q$3,0))) *
N('PORTIFÓLIO'!$S$4:$S$564),
0
)
),
0)</f>
        <v/>
      </c>
      <c r="K218" s="47">
        <f>J218/$J$4</f>
        <v/>
      </c>
      <c r="L218" s="49">
        <f t="array" ref="L218">IFERROR(
SUM(
IF(
'PORTIFÓLIO'!$C$4:$C$564=$A218,
N(INDEX('PORTIFÓLIO'!$J$4:$Q$564,,MATCH(L$2,'PORTIFÓLIO'!$J$3:$Q$3,0))) *
N('PORTIFÓLIO'!$S$4:$S$564),
0
)
),
0)</f>
        <v/>
      </c>
      <c r="M218" s="47">
        <f>L218/$L$4</f>
        <v/>
      </c>
      <c r="N218" s="49">
        <f t="array" ref="N218">IFERROR(
SUM(
IF(
'PORTIFÓLIO'!$C$4:$C$564=$A218,
N(INDEX('PORTIFÓLIO'!$J$4:$Q$564,,MATCH(N$2,'PORTIFÓLIO'!$J$3:$Q$3,0))) *
N('PORTIFÓLIO'!$S$4:$S$564),
0
)
),
0)</f>
        <v/>
      </c>
      <c r="O218" s="49">
        <f>N218/$N$4</f>
        <v/>
      </c>
      <c r="P218" s="49">
        <f t="array" ref="P218">IFERROR(
SUM(
IF(
'PORTIFÓLIO'!$C$4:$C$564=$A218,
N(INDEX('PORTIFÓLIO'!$J$4:$Q$564,,MATCH(P$2,'PORTIFÓLIO'!$J$3:$Q$3,0))) *
N('PORTIFÓLIO'!$S$4:$S$564),
0
)
),
0)</f>
        <v/>
      </c>
      <c r="Q218" s="49">
        <f>P218/$P$4</f>
        <v/>
      </c>
      <c r="R218" s="49">
        <f>SUM(P218,N218,L218,J218,H218,D218,B218)</f>
        <v/>
      </c>
      <c r="S218" s="49">
        <f>R218/$R$4</f>
        <v/>
      </c>
    </row>
    <row r="219" hidden="1" outlineLevel="1" ht="15.75" customHeight="1" s="297">
      <c r="A219" s="48">
        <f>IFERROR(__xludf.DUMMYFUNCTION("""COMPUTED_VALUE"""),"METOMIL 215 SL NORTOX")</f>
        <v/>
      </c>
      <c r="B219" s="49">
        <f t="array" ref="B219">IFERROR(
SUM(
IF(
'PORTIFÓLIO'!$C$4:$C$564=$A219,
N(INDEX('PORTIFÓLIO'!$J$4:$Q$564,,MATCH(B$2,'PORTIFÓLIO'!$J$3:$Q$3,0))) *
N('PORTIFÓLIO'!$S$4:$S$564),
0
)
),
0)</f>
        <v/>
      </c>
      <c r="C219" s="49">
        <f>B219/$B$4</f>
        <v/>
      </c>
      <c r="D219" s="49">
        <f t="array" ref="D219">IFERROR(
SUM(
IF(
'PORTIFÓLIO'!$C$4:$C$564=$A219,
N(INDEX('PORTIFÓLIO'!$J$4:$Q$564,,MATCH(D$2,'PORTIFÓLIO'!$J$3:$Q$3,0))) *
N('PORTIFÓLIO'!$S$4:$S$564),
0
)
),
0)</f>
        <v/>
      </c>
      <c r="E219" s="49">
        <f>D219/$D$4</f>
        <v/>
      </c>
      <c r="F219" s="49">
        <f t="array" ref="F219">IFERROR(
SUM(
IF(
'PORTIFÓLIO'!$C$4:$C$564=$A219,
N(INDEX('PORTIFÓLIO'!$J$4:$Q$564,,MATCH(F$2,'PORTIFÓLIO'!$J$3:$Q$3,0))) *
N('PORTIFÓLIO'!$S$4:$S$564),
0
)
),
0)</f>
        <v/>
      </c>
      <c r="G219" s="47">
        <f>F219/$F$4</f>
        <v/>
      </c>
      <c r="H219" s="49">
        <f t="array" ref="H219">IFERROR(
SUM(
IF(
'PORTIFÓLIO'!$C$4:$C$564=$A219,
N(INDEX('PORTIFÓLIO'!$J$4:$Q$564,,MATCH(H$2,'PORTIFÓLIO'!$J$3:$Q$3,0))) *
N('PORTIFÓLIO'!$S$4:$S$564),
0
)
),
0)</f>
        <v/>
      </c>
      <c r="I219" s="47">
        <f>H219/$H$4</f>
        <v/>
      </c>
      <c r="J219" s="49">
        <f t="array" ref="J219">IFERROR(
SUM(
IF(
'PORTIFÓLIO'!$C$4:$C$564=$A219,
N(INDEX('PORTIFÓLIO'!$J$4:$Q$564,,MATCH(J$2,'PORTIFÓLIO'!$J$3:$Q$3,0))) *
N('PORTIFÓLIO'!$S$4:$S$564),
0
)
),
0)</f>
        <v/>
      </c>
      <c r="K219" s="47">
        <f>J219/$J$4</f>
        <v/>
      </c>
      <c r="L219" s="49">
        <f t="array" ref="L219">IFERROR(
SUM(
IF(
'PORTIFÓLIO'!$C$4:$C$564=$A219,
N(INDEX('PORTIFÓLIO'!$J$4:$Q$564,,MATCH(L$2,'PORTIFÓLIO'!$J$3:$Q$3,0))) *
N('PORTIFÓLIO'!$S$4:$S$564),
0
)
),
0)</f>
        <v/>
      </c>
      <c r="M219" s="47">
        <f>L219/$L$4</f>
        <v/>
      </c>
      <c r="N219" s="49">
        <f t="array" ref="N219">IFERROR(
SUM(
IF(
'PORTIFÓLIO'!$C$4:$C$564=$A219,
N(INDEX('PORTIFÓLIO'!$J$4:$Q$564,,MATCH(N$2,'PORTIFÓLIO'!$J$3:$Q$3,0))) *
N('PORTIFÓLIO'!$S$4:$S$564),
0
)
),
0)</f>
        <v/>
      </c>
      <c r="O219" s="49">
        <f>N219/$N$4</f>
        <v/>
      </c>
      <c r="P219" s="49">
        <f t="array" ref="P219">IFERROR(
SUM(
IF(
'PORTIFÓLIO'!$C$4:$C$564=$A219,
N(INDEX('PORTIFÓLIO'!$J$4:$Q$564,,MATCH(P$2,'PORTIFÓLIO'!$J$3:$Q$3,0))) *
N('PORTIFÓLIO'!$S$4:$S$564),
0
)
),
0)</f>
        <v/>
      </c>
      <c r="Q219" s="49">
        <f>P219/$P$4</f>
        <v/>
      </c>
      <c r="R219" s="49">
        <f>SUM(P219,N219,L219,J219,H219,D219,B219)</f>
        <v/>
      </c>
      <c r="S219" s="49">
        <f>R219/$R$4</f>
        <v/>
      </c>
    </row>
    <row r="220" hidden="1" outlineLevel="1" ht="15.75" customHeight="1" s="297">
      <c r="A220" s="48">
        <f>IFERROR(__xludf.DUMMYFUNCTION("""COMPUTED_VALUE"""),"PIRIPROXIFEN NORTOX")</f>
        <v/>
      </c>
      <c r="B220" s="49">
        <f t="array" ref="B220">IFERROR(
SUM(
IF(
'PORTIFÓLIO'!$C$4:$C$564=$A220,
N(INDEX('PORTIFÓLIO'!$J$4:$Q$564,,MATCH(B$2,'PORTIFÓLIO'!$J$3:$Q$3,0))) *
N('PORTIFÓLIO'!$S$4:$S$564),
0
)
),
0)</f>
        <v/>
      </c>
      <c r="C220" s="49">
        <f>B220/$B$4</f>
        <v/>
      </c>
      <c r="D220" s="49">
        <f t="array" ref="D220">IFERROR(
SUM(
IF(
'PORTIFÓLIO'!$C$4:$C$564=$A220,
N(INDEX('PORTIFÓLIO'!$J$4:$Q$564,,MATCH(D$2,'PORTIFÓLIO'!$J$3:$Q$3,0))) *
N('PORTIFÓLIO'!$S$4:$S$564),
0
)
),
0)</f>
        <v/>
      </c>
      <c r="E220" s="49">
        <f>D220/$D$4</f>
        <v/>
      </c>
      <c r="F220" s="49">
        <f t="array" ref="F220">IFERROR(
SUM(
IF(
'PORTIFÓLIO'!$C$4:$C$564=$A220,
N(INDEX('PORTIFÓLIO'!$J$4:$Q$564,,MATCH(F$2,'PORTIFÓLIO'!$J$3:$Q$3,0))) *
N('PORTIFÓLIO'!$S$4:$S$564),
0
)
),
0)</f>
        <v/>
      </c>
      <c r="G220" s="47">
        <f>F220/$F$4</f>
        <v/>
      </c>
      <c r="H220" s="49">
        <f t="array" ref="H220">IFERROR(
SUM(
IF(
'PORTIFÓLIO'!$C$4:$C$564=$A220,
N(INDEX('PORTIFÓLIO'!$J$4:$Q$564,,MATCH(H$2,'PORTIFÓLIO'!$J$3:$Q$3,0))) *
N('PORTIFÓLIO'!$S$4:$S$564),
0
)
),
0)</f>
        <v/>
      </c>
      <c r="I220" s="47">
        <f>H220/$H$4</f>
        <v/>
      </c>
      <c r="J220" s="49">
        <f t="array" ref="J220">IFERROR(
SUM(
IF(
'PORTIFÓLIO'!$C$4:$C$564=$A220,
N(INDEX('PORTIFÓLIO'!$J$4:$Q$564,,MATCH(J$2,'PORTIFÓLIO'!$J$3:$Q$3,0))) *
N('PORTIFÓLIO'!$S$4:$S$564),
0
)
),
0)</f>
        <v/>
      </c>
      <c r="K220" s="47">
        <f>J220/$J$4</f>
        <v/>
      </c>
      <c r="L220" s="49">
        <f t="array" ref="L220">IFERROR(
SUM(
IF(
'PORTIFÓLIO'!$C$4:$C$564=$A220,
N(INDEX('PORTIFÓLIO'!$J$4:$Q$564,,MATCH(L$2,'PORTIFÓLIO'!$J$3:$Q$3,0))) *
N('PORTIFÓLIO'!$S$4:$S$564),
0
)
),
0)</f>
        <v/>
      </c>
      <c r="M220" s="47">
        <f>L220/$L$4</f>
        <v/>
      </c>
      <c r="N220" s="49">
        <f t="array" ref="N220">IFERROR(
SUM(
IF(
'PORTIFÓLIO'!$C$4:$C$564=$A220,
N(INDEX('PORTIFÓLIO'!$J$4:$Q$564,,MATCH(N$2,'PORTIFÓLIO'!$J$3:$Q$3,0))) *
N('PORTIFÓLIO'!$S$4:$S$564),
0
)
),
0)</f>
        <v/>
      </c>
      <c r="O220" s="49">
        <f>N220/$N$4</f>
        <v/>
      </c>
      <c r="P220" s="49">
        <f t="array" ref="P220">IFERROR(
SUM(
IF(
'PORTIFÓLIO'!$C$4:$C$564=$A220,
N(INDEX('PORTIFÓLIO'!$J$4:$Q$564,,MATCH(P$2,'PORTIFÓLIO'!$J$3:$Q$3,0))) *
N('PORTIFÓLIO'!$S$4:$S$564),
0
)
),
0)</f>
        <v/>
      </c>
      <c r="Q220" s="49">
        <f>P220/$P$4</f>
        <v/>
      </c>
      <c r="R220" s="49">
        <f>SUM(P220,N220,L220,J220,H220,D220,B220)</f>
        <v/>
      </c>
      <c r="S220" s="49">
        <f>R220/$R$4</f>
        <v/>
      </c>
    </row>
    <row r="221" hidden="1" outlineLevel="1" ht="15.75" customHeight="1" s="297">
      <c r="A221" s="48">
        <f>IFERROR(__xludf.DUMMYFUNCTION("""COMPUTED_VALUE"""),"TEMPUS NORTOX")</f>
        <v/>
      </c>
      <c r="B221" s="49">
        <f t="array" ref="B221">IFERROR(
SUM(
IF(
'PORTIFÓLIO'!$C$4:$C$564=$A221,
N(INDEX('PORTIFÓLIO'!$J$4:$Q$564,,MATCH(B$2,'PORTIFÓLIO'!$J$3:$Q$3,0))) *
N('PORTIFÓLIO'!$S$4:$S$564),
0
)
),
0)</f>
        <v/>
      </c>
      <c r="C221" s="49">
        <f>B221/$B$4</f>
        <v/>
      </c>
      <c r="D221" s="49">
        <f t="array" ref="D221">IFERROR(
SUM(
IF(
'PORTIFÓLIO'!$C$4:$C$564=$A221,
N(INDEX('PORTIFÓLIO'!$J$4:$Q$564,,MATCH(D$2,'PORTIFÓLIO'!$J$3:$Q$3,0))) *
N('PORTIFÓLIO'!$S$4:$S$564),
0
)
),
0)</f>
        <v/>
      </c>
      <c r="E221" s="49">
        <f>D221/$D$4</f>
        <v/>
      </c>
      <c r="F221" s="49">
        <f t="array" ref="F221">IFERROR(
SUM(
IF(
'PORTIFÓLIO'!$C$4:$C$564=$A221,
N(INDEX('PORTIFÓLIO'!$J$4:$Q$564,,MATCH(F$2,'PORTIFÓLIO'!$J$3:$Q$3,0))) *
N('PORTIFÓLIO'!$S$4:$S$564),
0
)
),
0)</f>
        <v/>
      </c>
      <c r="G221" s="47">
        <f>F221/$F$4</f>
        <v/>
      </c>
      <c r="H221" s="49">
        <f t="array" ref="H221">IFERROR(
SUM(
IF(
'PORTIFÓLIO'!$C$4:$C$564=$A221,
N(INDEX('PORTIFÓLIO'!$J$4:$Q$564,,MATCH(H$2,'PORTIFÓLIO'!$J$3:$Q$3,0))) *
N('PORTIFÓLIO'!$S$4:$S$564),
0
)
),
0)</f>
        <v/>
      </c>
      <c r="I221" s="47">
        <f>H221/$H$4</f>
        <v/>
      </c>
      <c r="J221" s="49">
        <f t="array" ref="J221">IFERROR(
SUM(
IF(
'PORTIFÓLIO'!$C$4:$C$564=$A221,
N(INDEX('PORTIFÓLIO'!$J$4:$Q$564,,MATCH(J$2,'PORTIFÓLIO'!$J$3:$Q$3,0))) *
N('PORTIFÓLIO'!$S$4:$S$564),
0
)
),
0)</f>
        <v/>
      </c>
      <c r="K221" s="47">
        <f>J221/$J$4</f>
        <v/>
      </c>
      <c r="L221" s="49">
        <f t="array" ref="L221">IFERROR(
SUM(
IF(
'PORTIFÓLIO'!$C$4:$C$564=$A221,
N(INDEX('PORTIFÓLIO'!$J$4:$Q$564,,MATCH(L$2,'PORTIFÓLIO'!$J$3:$Q$3,0))) *
N('PORTIFÓLIO'!$S$4:$S$564),
0
)
),
0)</f>
        <v/>
      </c>
      <c r="M221" s="47">
        <f>L221/$L$4</f>
        <v/>
      </c>
      <c r="N221" s="49">
        <f t="array" ref="N221">IFERROR(
SUM(
IF(
'PORTIFÓLIO'!$C$4:$C$564=$A221,
N(INDEX('PORTIFÓLIO'!$J$4:$Q$564,,MATCH(N$2,'PORTIFÓLIO'!$J$3:$Q$3,0))) *
N('PORTIFÓLIO'!$S$4:$S$564),
0
)
),
0)</f>
        <v/>
      </c>
      <c r="O221" s="49">
        <f>N221/$N$4</f>
        <v/>
      </c>
      <c r="P221" s="49">
        <f t="array" ref="P221">IFERROR(
SUM(
IF(
'PORTIFÓLIO'!$C$4:$C$564=$A221,
N(INDEX('PORTIFÓLIO'!$J$4:$Q$564,,MATCH(P$2,'PORTIFÓLIO'!$J$3:$Q$3,0))) *
N('PORTIFÓLIO'!$S$4:$S$564),
0
)
),
0)</f>
        <v/>
      </c>
      <c r="Q221" s="49">
        <f>P221/$P$4</f>
        <v/>
      </c>
      <c r="R221" s="49">
        <f>SUM(P221,N221,L221,J221,H221,D221,B221)</f>
        <v/>
      </c>
      <c r="S221" s="49">
        <f>R221/$R$4</f>
        <v/>
      </c>
    </row>
    <row r="222" hidden="1" outlineLevel="1" ht="15.75" customHeight="1" s="297">
      <c r="A222" s="48">
        <f>IFERROR(__xludf.DUMMYFUNCTION("""COMPUTED_VALUE"""),"TYPHOON NORTOX")</f>
        <v/>
      </c>
      <c r="B222" s="49">
        <f t="array" ref="B222">IFERROR(
SUM(
IF(
'PORTIFÓLIO'!$C$4:$C$564=$A222,
N(INDEX('PORTIFÓLIO'!$J$4:$Q$564,,MATCH(B$2,'PORTIFÓLIO'!$J$3:$Q$3,0))) *
N('PORTIFÓLIO'!$S$4:$S$564),
0
)
),
0)</f>
        <v/>
      </c>
      <c r="C222" s="49">
        <f>B222/$B$4</f>
        <v/>
      </c>
      <c r="D222" s="49">
        <f t="array" ref="D222">IFERROR(
SUM(
IF(
'PORTIFÓLIO'!$C$4:$C$564=$A222,
N(INDEX('PORTIFÓLIO'!$J$4:$Q$564,,MATCH(D$2,'PORTIFÓLIO'!$J$3:$Q$3,0))) *
N('PORTIFÓLIO'!$S$4:$S$564),
0
)
),
0)</f>
        <v/>
      </c>
      <c r="E222" s="49">
        <f>D222/$D$4</f>
        <v/>
      </c>
      <c r="F222" s="49">
        <f t="array" ref="F222">IFERROR(
SUM(
IF(
'PORTIFÓLIO'!$C$4:$C$564=$A222,
N(INDEX('PORTIFÓLIO'!$J$4:$Q$564,,MATCH(F$2,'PORTIFÓLIO'!$J$3:$Q$3,0))) *
N('PORTIFÓLIO'!$S$4:$S$564),
0
)
),
0)</f>
        <v/>
      </c>
      <c r="G222" s="47">
        <f>F222/$F$4</f>
        <v/>
      </c>
      <c r="H222" s="49">
        <f t="array" ref="H222">IFERROR(
SUM(
IF(
'PORTIFÓLIO'!$C$4:$C$564=$A222,
N(INDEX('PORTIFÓLIO'!$J$4:$Q$564,,MATCH(H$2,'PORTIFÓLIO'!$J$3:$Q$3,0))) *
N('PORTIFÓLIO'!$S$4:$S$564),
0
)
),
0)</f>
        <v/>
      </c>
      <c r="I222" s="47">
        <f>H222/$H$4</f>
        <v/>
      </c>
      <c r="J222" s="49">
        <f t="array" ref="J222">IFERROR(
SUM(
IF(
'PORTIFÓLIO'!$C$4:$C$564=$A222,
N(INDEX('PORTIFÓLIO'!$J$4:$Q$564,,MATCH(J$2,'PORTIFÓLIO'!$J$3:$Q$3,0))) *
N('PORTIFÓLIO'!$S$4:$S$564),
0
)
),
0)</f>
        <v/>
      </c>
      <c r="K222" s="47">
        <f>J222/$J$4</f>
        <v/>
      </c>
      <c r="L222" s="49">
        <f t="array" ref="L222">IFERROR(
SUM(
IF(
'PORTIFÓLIO'!$C$4:$C$564=$A222,
N(INDEX('PORTIFÓLIO'!$J$4:$Q$564,,MATCH(L$2,'PORTIFÓLIO'!$J$3:$Q$3,0))) *
N('PORTIFÓLIO'!$S$4:$S$564),
0
)
),
0)</f>
        <v/>
      </c>
      <c r="M222" s="47">
        <f>L222/$L$4</f>
        <v/>
      </c>
      <c r="N222" s="49">
        <f t="array" ref="N222">IFERROR(
SUM(
IF(
'PORTIFÓLIO'!$C$4:$C$564=$A222,
N(INDEX('PORTIFÓLIO'!$J$4:$Q$564,,MATCH(N$2,'PORTIFÓLIO'!$J$3:$Q$3,0))) *
N('PORTIFÓLIO'!$S$4:$S$564),
0
)
),
0)</f>
        <v/>
      </c>
      <c r="O222" s="49">
        <f>N222/$N$4</f>
        <v/>
      </c>
      <c r="P222" s="49">
        <f t="array" ref="P222">IFERROR(
SUM(
IF(
'PORTIFÓLIO'!$C$4:$C$564=$A222,
N(INDEX('PORTIFÓLIO'!$J$4:$Q$564,,MATCH(P$2,'PORTIFÓLIO'!$J$3:$Q$3,0))) *
N('PORTIFÓLIO'!$S$4:$S$564),
0
)
),
0)</f>
        <v/>
      </c>
      <c r="Q222" s="49">
        <f>P222/$P$4</f>
        <v/>
      </c>
      <c r="R222" s="49">
        <f>SUM(P222,N222,L222,J222,H222,D222,B222)</f>
        <v/>
      </c>
      <c r="S222" s="49">
        <f>R222/$R$4</f>
        <v/>
      </c>
    </row>
    <row r="223" hidden="1" outlineLevel="1" ht="15.75" customHeight="1" s="297">
      <c r="A223" s="48">
        <f>IFERROR(__xludf.DUMMYFUNCTION("""COMPUTED_VALUE"""),"ABADAY")</f>
        <v/>
      </c>
      <c r="B223" s="49">
        <f t="array" ref="B223">IFERROR(
SUM(
IF(
'PORTIFÓLIO'!$C$4:$C$564=$A223,
N(INDEX('PORTIFÓLIO'!$J$4:$Q$564,,MATCH(B$2,'PORTIFÓLIO'!$J$3:$Q$3,0))) *
N('PORTIFÓLIO'!$S$4:$S$564),
0
)
),
0)</f>
        <v/>
      </c>
      <c r="C223" s="49">
        <f>B223/$B$4</f>
        <v/>
      </c>
      <c r="D223" s="49">
        <f t="array" ref="D223">IFERROR(
SUM(
IF(
'PORTIFÓLIO'!$C$4:$C$564=$A223,
N(INDEX('PORTIFÓLIO'!$J$4:$Q$564,,MATCH(D$2,'PORTIFÓLIO'!$J$3:$Q$3,0))) *
N('PORTIFÓLIO'!$S$4:$S$564),
0
)
),
0)</f>
        <v/>
      </c>
      <c r="E223" s="49">
        <f>D223/$D$4</f>
        <v/>
      </c>
      <c r="F223" s="49">
        <f t="array" ref="F223">IFERROR(
SUM(
IF(
'PORTIFÓLIO'!$C$4:$C$564=$A223,
N(INDEX('PORTIFÓLIO'!$J$4:$Q$564,,MATCH(F$2,'PORTIFÓLIO'!$J$3:$Q$3,0))) *
N('PORTIFÓLIO'!$S$4:$S$564),
0
)
),
0)</f>
        <v/>
      </c>
      <c r="G223" s="47">
        <f>F223/$F$4</f>
        <v/>
      </c>
      <c r="H223" s="49">
        <f t="array" ref="H223">IFERROR(
SUM(
IF(
'PORTIFÓLIO'!$C$4:$C$564=$A223,
N(INDEX('PORTIFÓLIO'!$J$4:$Q$564,,MATCH(H$2,'PORTIFÓLIO'!$J$3:$Q$3,0))) *
N('PORTIFÓLIO'!$S$4:$S$564),
0
)
),
0)</f>
        <v/>
      </c>
      <c r="I223" s="47">
        <f>H223/$H$4</f>
        <v/>
      </c>
      <c r="J223" s="49">
        <f t="array" ref="J223">IFERROR(
SUM(
IF(
'PORTIFÓLIO'!$C$4:$C$564=$A223,
N(INDEX('PORTIFÓLIO'!$J$4:$Q$564,,MATCH(J$2,'PORTIFÓLIO'!$J$3:$Q$3,0))) *
N('PORTIFÓLIO'!$S$4:$S$564),
0
)
),
0)</f>
        <v/>
      </c>
      <c r="K223" s="47">
        <f>J223/$J$4</f>
        <v/>
      </c>
      <c r="L223" s="49">
        <f t="array" ref="L223">IFERROR(
SUM(
IF(
'PORTIFÓLIO'!$C$4:$C$564=$A223,
N(INDEX('PORTIFÓLIO'!$J$4:$Q$564,,MATCH(L$2,'PORTIFÓLIO'!$J$3:$Q$3,0))) *
N('PORTIFÓLIO'!$S$4:$S$564),
0
)
),
0)</f>
        <v/>
      </c>
      <c r="M223" s="47">
        <f>L223/$L$4</f>
        <v/>
      </c>
      <c r="N223" s="49">
        <f t="array" ref="N223">IFERROR(
SUM(
IF(
'PORTIFÓLIO'!$C$4:$C$564=$A223,
N(INDEX('PORTIFÓLIO'!$J$4:$Q$564,,MATCH(N$2,'PORTIFÓLIO'!$J$3:$Q$3,0))) *
N('PORTIFÓLIO'!$S$4:$S$564),
0
)
),
0)</f>
        <v/>
      </c>
      <c r="O223" s="49">
        <f>N223/$N$4</f>
        <v/>
      </c>
      <c r="P223" s="49">
        <f t="array" ref="P223">IFERROR(
SUM(
IF(
'PORTIFÓLIO'!$C$4:$C$564=$A223,
N(INDEX('PORTIFÓLIO'!$J$4:$Q$564,,MATCH(P$2,'PORTIFÓLIO'!$J$3:$Q$3,0))) *
N('PORTIFÓLIO'!$S$4:$S$564),
0
)
),
0)</f>
        <v/>
      </c>
      <c r="Q223" s="49">
        <f>P223/$P$4</f>
        <v/>
      </c>
      <c r="R223" s="49">
        <f>SUM(P223,N223,L223,J223,H223,D223,B223)</f>
        <v/>
      </c>
      <c r="S223" s="49">
        <f>R223/$R$4</f>
        <v/>
      </c>
    </row>
    <row r="224" hidden="1" outlineLevel="1" ht="15.75" customHeight="1" s="297">
      <c r="A224" s="48">
        <f>IFERROR(__xludf.DUMMYFUNCTION("""COMPUTED_VALUE"""),"CARNADINE")</f>
        <v/>
      </c>
      <c r="B224" s="49">
        <f t="array" ref="B224">IFERROR(
SUM(
IF(
'PORTIFÓLIO'!$C$4:$C$564=$A224,
N(INDEX('PORTIFÓLIO'!$J$4:$Q$564,,MATCH(B$2,'PORTIFÓLIO'!$J$3:$Q$3,0))) *
N('PORTIFÓLIO'!$S$4:$S$564),
0
)
),
0)</f>
        <v/>
      </c>
      <c r="C224" s="49">
        <f>B224/$B$4</f>
        <v/>
      </c>
      <c r="D224" s="49">
        <f t="array" ref="D224">IFERROR(
SUM(
IF(
'PORTIFÓLIO'!$C$4:$C$564=$A224,
N(INDEX('PORTIFÓLIO'!$J$4:$Q$564,,MATCH(D$2,'PORTIFÓLIO'!$J$3:$Q$3,0))) *
N('PORTIFÓLIO'!$S$4:$S$564),
0
)
),
0)</f>
        <v/>
      </c>
      <c r="E224" s="49">
        <f>D224/$D$4</f>
        <v/>
      </c>
      <c r="F224" s="49">
        <f t="array" ref="F224">IFERROR(
SUM(
IF(
'PORTIFÓLIO'!$C$4:$C$564=$A224,
N(INDEX('PORTIFÓLIO'!$J$4:$Q$564,,MATCH(F$2,'PORTIFÓLIO'!$J$3:$Q$3,0))) *
N('PORTIFÓLIO'!$S$4:$S$564),
0
)
),
0)</f>
        <v/>
      </c>
      <c r="G224" s="47">
        <f>F224/$F$4</f>
        <v/>
      </c>
      <c r="H224" s="49">
        <f t="array" ref="H224">IFERROR(
SUM(
IF(
'PORTIFÓLIO'!$C$4:$C$564=$A224,
N(INDEX('PORTIFÓLIO'!$J$4:$Q$564,,MATCH(H$2,'PORTIFÓLIO'!$J$3:$Q$3,0))) *
N('PORTIFÓLIO'!$S$4:$S$564),
0
)
),
0)</f>
        <v/>
      </c>
      <c r="I224" s="47">
        <f>H224/$H$4</f>
        <v/>
      </c>
      <c r="J224" s="49">
        <f t="array" ref="J224">IFERROR(
SUM(
IF(
'PORTIFÓLIO'!$C$4:$C$564=$A224,
N(INDEX('PORTIFÓLIO'!$J$4:$Q$564,,MATCH(J$2,'PORTIFÓLIO'!$J$3:$Q$3,0))) *
N('PORTIFÓLIO'!$S$4:$S$564),
0
)
),
0)</f>
        <v/>
      </c>
      <c r="K224" s="47">
        <f>J224/$J$4</f>
        <v/>
      </c>
      <c r="L224" s="49">
        <f t="array" ref="L224">IFERROR(
SUM(
IF(
'PORTIFÓLIO'!$C$4:$C$564=$A224,
N(INDEX('PORTIFÓLIO'!$J$4:$Q$564,,MATCH(L$2,'PORTIFÓLIO'!$J$3:$Q$3,0))) *
N('PORTIFÓLIO'!$S$4:$S$564),
0
)
),
0)</f>
        <v/>
      </c>
      <c r="M224" s="47">
        <f>L224/$L$4</f>
        <v/>
      </c>
      <c r="N224" s="49">
        <f t="array" ref="N224">IFERROR(
SUM(
IF(
'PORTIFÓLIO'!$C$4:$C$564=$A224,
N(INDEX('PORTIFÓLIO'!$J$4:$Q$564,,MATCH(N$2,'PORTIFÓLIO'!$J$3:$Q$3,0))) *
N('PORTIFÓLIO'!$S$4:$S$564),
0
)
),
0)</f>
        <v/>
      </c>
      <c r="O224" s="49">
        <f>N224/$N$4</f>
        <v/>
      </c>
      <c r="P224" s="49">
        <f t="array" ref="P224">IFERROR(
SUM(
IF(
'PORTIFÓLIO'!$C$4:$C$564=$A224,
N(INDEX('PORTIFÓLIO'!$J$4:$Q$564,,MATCH(P$2,'PORTIFÓLIO'!$J$3:$Q$3,0))) *
N('PORTIFÓLIO'!$S$4:$S$564),
0
)
),
0)</f>
        <v/>
      </c>
      <c r="Q224" s="49">
        <f>P224/$P$4</f>
        <v/>
      </c>
      <c r="R224" s="49">
        <f>SUM(P224,N224,L224,J224,H224,D224,B224)</f>
        <v/>
      </c>
      <c r="S224" s="49">
        <f>R224/$R$4</f>
        <v/>
      </c>
    </row>
    <row r="225" hidden="1" outlineLevel="1" ht="15.75" customHeight="1" s="297">
      <c r="A225" s="48">
        <f>IFERROR(__xludf.DUMMYFUNCTION("""COMPUTED_VALUE"""),"CARTAP BR 500")</f>
        <v/>
      </c>
      <c r="B225" s="49">
        <f t="array" ref="B225">IFERROR(
SUM(
IF(
'PORTIFÓLIO'!$C$4:$C$564=$A225,
N(INDEX('PORTIFÓLIO'!$J$4:$Q$564,,MATCH(B$2,'PORTIFÓLIO'!$J$3:$Q$3,0))) *
N('PORTIFÓLIO'!$S$4:$S$564),
0
)
),
0)</f>
        <v/>
      </c>
      <c r="C225" s="49">
        <f>B225/$B$4</f>
        <v/>
      </c>
      <c r="D225" s="49">
        <f t="array" ref="D225">IFERROR(
SUM(
IF(
'PORTIFÓLIO'!$C$4:$C$564=$A225,
N(INDEX('PORTIFÓLIO'!$J$4:$Q$564,,MATCH(D$2,'PORTIFÓLIO'!$J$3:$Q$3,0))) *
N('PORTIFÓLIO'!$S$4:$S$564),
0
)
),
0)</f>
        <v/>
      </c>
      <c r="E225" s="49">
        <f>D225/$D$4</f>
        <v/>
      </c>
      <c r="F225" s="49">
        <f t="array" ref="F225">IFERROR(
SUM(
IF(
'PORTIFÓLIO'!$C$4:$C$564=$A225,
N(INDEX('PORTIFÓLIO'!$J$4:$Q$564,,MATCH(F$2,'PORTIFÓLIO'!$J$3:$Q$3,0))) *
N('PORTIFÓLIO'!$S$4:$S$564),
0
)
),
0)</f>
        <v/>
      </c>
      <c r="G225" s="47">
        <f>F225/$F$4</f>
        <v/>
      </c>
      <c r="H225" s="49">
        <f t="array" ref="H225">IFERROR(
SUM(
IF(
'PORTIFÓLIO'!$C$4:$C$564=$A225,
N(INDEX('PORTIFÓLIO'!$J$4:$Q$564,,MATCH(H$2,'PORTIFÓLIO'!$J$3:$Q$3,0))) *
N('PORTIFÓLIO'!$S$4:$S$564),
0
)
),
0)</f>
        <v/>
      </c>
      <c r="I225" s="47">
        <f>H225/$H$4</f>
        <v/>
      </c>
      <c r="J225" s="49">
        <f t="array" ref="J225">IFERROR(
SUM(
IF(
'PORTIFÓLIO'!$C$4:$C$564=$A225,
N(INDEX('PORTIFÓLIO'!$J$4:$Q$564,,MATCH(J$2,'PORTIFÓLIO'!$J$3:$Q$3,0))) *
N('PORTIFÓLIO'!$S$4:$S$564),
0
)
),
0)</f>
        <v/>
      </c>
      <c r="K225" s="47">
        <f>J225/$J$4</f>
        <v/>
      </c>
      <c r="L225" s="49">
        <f t="array" ref="L225">IFERROR(
SUM(
IF(
'PORTIFÓLIO'!$C$4:$C$564=$A225,
N(INDEX('PORTIFÓLIO'!$J$4:$Q$564,,MATCH(L$2,'PORTIFÓLIO'!$J$3:$Q$3,0))) *
N('PORTIFÓLIO'!$S$4:$S$564),
0
)
),
0)</f>
        <v/>
      </c>
      <c r="M225" s="47">
        <f>L225/$L$4</f>
        <v/>
      </c>
      <c r="N225" s="49">
        <f t="array" ref="N225">IFERROR(
SUM(
IF(
'PORTIFÓLIO'!$C$4:$C$564=$A225,
N(INDEX('PORTIFÓLIO'!$J$4:$Q$564,,MATCH(N$2,'PORTIFÓLIO'!$J$3:$Q$3,0))) *
N('PORTIFÓLIO'!$S$4:$S$564),
0
)
),
0)</f>
        <v/>
      </c>
      <c r="O225" s="49">
        <f>N225/$N$4</f>
        <v/>
      </c>
      <c r="P225" s="49">
        <f t="array" ref="P225">IFERROR(
SUM(
IF(
'PORTIFÓLIO'!$C$4:$C$564=$A225,
N(INDEX('PORTIFÓLIO'!$J$4:$Q$564,,MATCH(P$2,'PORTIFÓLIO'!$J$3:$Q$3,0))) *
N('PORTIFÓLIO'!$S$4:$S$564),
0
)
),
0)</f>
        <v/>
      </c>
      <c r="Q225" s="49">
        <f>P225/$P$4</f>
        <v/>
      </c>
      <c r="R225" s="49">
        <f>SUM(P225,N225,L225,J225,H225,D225,B225)</f>
        <v/>
      </c>
      <c r="S225" s="49">
        <f>R225/$R$4</f>
        <v/>
      </c>
    </row>
    <row r="226" hidden="1" outlineLevel="1" ht="15.75" customHeight="1" s="297">
      <c r="A226" s="48">
        <f>IFERROR(__xludf.DUMMYFUNCTION("""COMPUTED_VALUE"""),"INSIDE FS")</f>
        <v/>
      </c>
      <c r="B226" s="49">
        <f t="array" ref="B226">IFERROR(
SUM(
IF(
'PORTIFÓLIO'!$C$4:$C$564=$A226,
N(INDEX('PORTIFÓLIO'!$J$4:$Q$564,,MATCH(B$2,'PORTIFÓLIO'!$J$3:$Q$3,0))) *
N('PORTIFÓLIO'!$S$4:$S$564),
0
)
),
0)</f>
        <v/>
      </c>
      <c r="C226" s="49">
        <f>B226/$B$4</f>
        <v/>
      </c>
      <c r="D226" s="49">
        <f t="array" ref="D226">IFERROR(
SUM(
IF(
'PORTIFÓLIO'!$C$4:$C$564=$A226,
N(INDEX('PORTIFÓLIO'!$J$4:$Q$564,,MATCH(D$2,'PORTIFÓLIO'!$J$3:$Q$3,0))) *
N('PORTIFÓLIO'!$S$4:$S$564),
0
)
),
0)</f>
        <v/>
      </c>
      <c r="E226" s="49">
        <f>D226/$D$4</f>
        <v/>
      </c>
      <c r="F226" s="49">
        <f t="array" ref="F226">IFERROR(
SUM(
IF(
'PORTIFÓLIO'!$C$4:$C$564=$A226,
N(INDEX('PORTIFÓLIO'!$J$4:$Q$564,,MATCH(F$2,'PORTIFÓLIO'!$J$3:$Q$3,0))) *
N('PORTIFÓLIO'!$S$4:$S$564),
0
)
),
0)</f>
        <v/>
      </c>
      <c r="G226" s="47">
        <f>F226/$F$4</f>
        <v/>
      </c>
      <c r="H226" s="49">
        <f t="array" ref="H226">IFERROR(
SUM(
IF(
'PORTIFÓLIO'!$C$4:$C$564=$A226,
N(INDEX('PORTIFÓLIO'!$J$4:$Q$564,,MATCH(H$2,'PORTIFÓLIO'!$J$3:$Q$3,0))) *
N('PORTIFÓLIO'!$S$4:$S$564),
0
)
),
0)</f>
        <v/>
      </c>
      <c r="I226" s="47">
        <f>H226/$H$4</f>
        <v/>
      </c>
      <c r="J226" s="49">
        <f t="array" ref="J226">IFERROR(
SUM(
IF(
'PORTIFÓLIO'!$C$4:$C$564=$A226,
N(INDEX('PORTIFÓLIO'!$J$4:$Q$564,,MATCH(J$2,'PORTIFÓLIO'!$J$3:$Q$3,0))) *
N('PORTIFÓLIO'!$S$4:$S$564),
0
)
),
0)</f>
        <v/>
      </c>
      <c r="K226" s="47">
        <f>J226/$J$4</f>
        <v/>
      </c>
      <c r="L226" s="49">
        <f t="array" ref="L226">IFERROR(
SUM(
IF(
'PORTIFÓLIO'!$C$4:$C$564=$A226,
N(INDEX('PORTIFÓLIO'!$J$4:$Q$564,,MATCH(L$2,'PORTIFÓLIO'!$J$3:$Q$3,0))) *
N('PORTIFÓLIO'!$S$4:$S$564),
0
)
),
0)</f>
        <v/>
      </c>
      <c r="M226" s="47">
        <f>L226/$L$4</f>
        <v/>
      </c>
      <c r="N226" s="49">
        <f t="array" ref="N226">IFERROR(
SUM(
IF(
'PORTIFÓLIO'!$C$4:$C$564=$A226,
N(INDEX('PORTIFÓLIO'!$J$4:$Q$564,,MATCH(N$2,'PORTIFÓLIO'!$J$3:$Q$3,0))) *
N('PORTIFÓLIO'!$S$4:$S$564),
0
)
),
0)</f>
        <v/>
      </c>
      <c r="O226" s="49">
        <f>N226/$N$4</f>
        <v/>
      </c>
      <c r="P226" s="49">
        <f t="array" ref="P226">IFERROR(
SUM(
IF(
'PORTIFÓLIO'!$C$4:$C$564=$A226,
N(INDEX('PORTIFÓLIO'!$J$4:$Q$564,,MATCH(P$2,'PORTIFÓLIO'!$J$3:$Q$3,0))) *
N('PORTIFÓLIO'!$S$4:$S$564),
0
)
),
0)</f>
        <v/>
      </c>
      <c r="Q226" s="49">
        <f>P226/$P$4</f>
        <v/>
      </c>
      <c r="R226" s="49">
        <f>SUM(P226,N226,L226,J226,H226,D226,B226)</f>
        <v/>
      </c>
      <c r="S226" s="49">
        <f>R226/$R$4</f>
        <v/>
      </c>
    </row>
    <row r="227" hidden="1" outlineLevel="1" ht="15.75" customHeight="1" s="297">
      <c r="A227" s="48">
        <f>IFERROR(__xludf.DUMMYFUNCTION("""COMPUTED_VALUE"""),"KAISO MAX")</f>
        <v/>
      </c>
      <c r="B227" s="49">
        <f t="array" ref="B227">IFERROR(
SUM(
IF(
'PORTIFÓLIO'!$C$4:$C$564=$A227,
N(INDEX('PORTIFÓLIO'!$J$4:$Q$564,,MATCH(B$2,'PORTIFÓLIO'!$J$3:$Q$3,0))) *
N('PORTIFÓLIO'!$S$4:$S$564),
0
)
),
0)</f>
        <v/>
      </c>
      <c r="C227" s="49">
        <f>B227/$B$4</f>
        <v/>
      </c>
      <c r="D227" s="49">
        <f t="array" ref="D227">IFERROR(
SUM(
IF(
'PORTIFÓLIO'!$C$4:$C$564=$A227,
N(INDEX('PORTIFÓLIO'!$J$4:$Q$564,,MATCH(D$2,'PORTIFÓLIO'!$J$3:$Q$3,0))) *
N('PORTIFÓLIO'!$S$4:$S$564),
0
)
),
0)</f>
        <v/>
      </c>
      <c r="E227" s="49">
        <f>D227/$D$4</f>
        <v/>
      </c>
      <c r="F227" s="49">
        <f t="array" ref="F227">IFERROR(
SUM(
IF(
'PORTIFÓLIO'!$C$4:$C$564=$A227,
N(INDEX('PORTIFÓLIO'!$J$4:$Q$564,,MATCH(F$2,'PORTIFÓLIO'!$J$3:$Q$3,0))) *
N('PORTIFÓLIO'!$S$4:$S$564),
0
)
),
0)</f>
        <v/>
      </c>
      <c r="G227" s="47">
        <f>F227/$F$4</f>
        <v/>
      </c>
      <c r="H227" s="49">
        <f t="array" ref="H227">IFERROR(
SUM(
IF(
'PORTIFÓLIO'!$C$4:$C$564=$A227,
N(INDEX('PORTIFÓLIO'!$J$4:$Q$564,,MATCH(H$2,'PORTIFÓLIO'!$J$3:$Q$3,0))) *
N('PORTIFÓLIO'!$S$4:$S$564),
0
)
),
0)</f>
        <v/>
      </c>
      <c r="I227" s="47">
        <f>H227/$H$4</f>
        <v/>
      </c>
      <c r="J227" s="49">
        <f t="array" ref="J227">IFERROR(
SUM(
IF(
'PORTIFÓLIO'!$C$4:$C$564=$A227,
N(INDEX('PORTIFÓLIO'!$J$4:$Q$564,,MATCH(J$2,'PORTIFÓLIO'!$J$3:$Q$3,0))) *
N('PORTIFÓLIO'!$S$4:$S$564),
0
)
),
0)</f>
        <v/>
      </c>
      <c r="K227" s="47">
        <f>J227/$J$4</f>
        <v/>
      </c>
      <c r="L227" s="49">
        <f t="array" ref="L227">IFERROR(
SUM(
IF(
'PORTIFÓLIO'!$C$4:$C$564=$A227,
N(INDEX('PORTIFÓLIO'!$J$4:$Q$564,,MATCH(L$2,'PORTIFÓLIO'!$J$3:$Q$3,0))) *
N('PORTIFÓLIO'!$S$4:$S$564),
0
)
),
0)</f>
        <v/>
      </c>
      <c r="M227" s="47">
        <f>L227/$L$4</f>
        <v/>
      </c>
      <c r="N227" s="49">
        <f t="array" ref="N227">IFERROR(
SUM(
IF(
'PORTIFÓLIO'!$C$4:$C$564=$A227,
N(INDEX('PORTIFÓLIO'!$J$4:$Q$564,,MATCH(N$2,'PORTIFÓLIO'!$J$3:$Q$3,0))) *
N('PORTIFÓLIO'!$S$4:$S$564),
0
)
),
0)</f>
        <v/>
      </c>
      <c r="O227" s="49">
        <f>N227/$N$4</f>
        <v/>
      </c>
      <c r="P227" s="49">
        <f t="array" ref="P227">IFERROR(
SUM(
IF(
'PORTIFÓLIO'!$C$4:$C$564=$A227,
N(INDEX('PORTIFÓLIO'!$J$4:$Q$564,,MATCH(P$2,'PORTIFÓLIO'!$J$3:$Q$3,0))) *
N('PORTIFÓLIO'!$S$4:$S$564),
0
)
),
0)</f>
        <v/>
      </c>
      <c r="Q227" s="49">
        <f>P227/$P$4</f>
        <v/>
      </c>
      <c r="R227" s="49">
        <f>SUM(P227,N227,L227,J227,H227,D227,B227)</f>
        <v/>
      </c>
      <c r="S227" s="49">
        <f>R227/$R$4</f>
        <v/>
      </c>
    </row>
    <row r="228" hidden="1" outlineLevel="1" ht="15.75" customHeight="1" s="297">
      <c r="A228" s="48">
        <f>IFERROR(__xludf.DUMMYFUNCTION("""COMPUTED_VALUE"""),"KLORPAN 480 EC")</f>
        <v/>
      </c>
      <c r="B228" s="49">
        <f t="array" ref="B228">IFERROR(
SUM(
IF(
'PORTIFÓLIO'!$C$4:$C$564=$A228,
N(INDEX('PORTIFÓLIO'!$J$4:$Q$564,,MATCH(B$2,'PORTIFÓLIO'!$J$3:$Q$3,0))) *
N('PORTIFÓLIO'!$S$4:$S$564),
0
)
),
0)</f>
        <v/>
      </c>
      <c r="C228" s="49">
        <f>B228/$B$4</f>
        <v/>
      </c>
      <c r="D228" s="49">
        <f t="array" ref="D228">IFERROR(
SUM(
IF(
'PORTIFÓLIO'!$C$4:$C$564=$A228,
N(INDEX('PORTIFÓLIO'!$J$4:$Q$564,,MATCH(D$2,'PORTIFÓLIO'!$J$3:$Q$3,0))) *
N('PORTIFÓLIO'!$S$4:$S$564),
0
)
),
0)</f>
        <v/>
      </c>
      <c r="E228" s="49">
        <f>D228/$D$4</f>
        <v/>
      </c>
      <c r="F228" s="49">
        <f t="array" ref="F228">IFERROR(
SUM(
IF(
'PORTIFÓLIO'!$C$4:$C$564=$A228,
N(INDEX('PORTIFÓLIO'!$J$4:$Q$564,,MATCH(F$2,'PORTIFÓLIO'!$J$3:$Q$3,0))) *
N('PORTIFÓLIO'!$S$4:$S$564),
0
)
),
0)</f>
        <v/>
      </c>
      <c r="G228" s="47">
        <f>F228/$F$4</f>
        <v/>
      </c>
      <c r="H228" s="49">
        <f t="array" ref="H228">IFERROR(
SUM(
IF(
'PORTIFÓLIO'!$C$4:$C$564=$A228,
N(INDEX('PORTIFÓLIO'!$J$4:$Q$564,,MATCH(H$2,'PORTIFÓLIO'!$J$3:$Q$3,0))) *
N('PORTIFÓLIO'!$S$4:$S$564),
0
)
),
0)</f>
        <v/>
      </c>
      <c r="I228" s="47">
        <f>H228/$H$4</f>
        <v/>
      </c>
      <c r="J228" s="49">
        <f t="array" ref="J228">IFERROR(
SUM(
IF(
'PORTIFÓLIO'!$C$4:$C$564=$A228,
N(INDEX('PORTIFÓLIO'!$J$4:$Q$564,,MATCH(J$2,'PORTIFÓLIO'!$J$3:$Q$3,0))) *
N('PORTIFÓLIO'!$S$4:$S$564),
0
)
),
0)</f>
        <v/>
      </c>
      <c r="K228" s="47">
        <f>J228/$J$4</f>
        <v/>
      </c>
      <c r="L228" s="49">
        <f t="array" ref="L228">IFERROR(
SUM(
IF(
'PORTIFÓLIO'!$C$4:$C$564=$A228,
N(INDEX('PORTIFÓLIO'!$J$4:$Q$564,,MATCH(L$2,'PORTIFÓLIO'!$J$3:$Q$3,0))) *
N('PORTIFÓLIO'!$S$4:$S$564),
0
)
),
0)</f>
        <v/>
      </c>
      <c r="M228" s="47">
        <f>L228/$L$4</f>
        <v/>
      </c>
      <c r="N228" s="49">
        <f t="array" ref="N228">IFERROR(
SUM(
IF(
'PORTIFÓLIO'!$C$4:$C$564=$A228,
N(INDEX('PORTIFÓLIO'!$J$4:$Q$564,,MATCH(N$2,'PORTIFÓLIO'!$J$3:$Q$3,0))) *
N('PORTIFÓLIO'!$S$4:$S$564),
0
)
),
0)</f>
        <v/>
      </c>
      <c r="O228" s="49">
        <f>N228/$N$4</f>
        <v/>
      </c>
      <c r="P228" s="49">
        <f t="array" ref="P228">IFERROR(
SUM(
IF(
'PORTIFÓLIO'!$C$4:$C$564=$A228,
N(INDEX('PORTIFÓLIO'!$J$4:$Q$564,,MATCH(P$2,'PORTIFÓLIO'!$J$3:$Q$3,0))) *
N('PORTIFÓLIO'!$S$4:$S$564),
0
)
),
0)</f>
        <v/>
      </c>
      <c r="Q228" s="49">
        <f>P228/$P$4</f>
        <v/>
      </c>
      <c r="R228" s="49">
        <f>SUM(P228,N228,L228,J228,H228,D228,B228)</f>
        <v/>
      </c>
      <c r="S228" s="49">
        <f>R228/$R$4</f>
        <v/>
      </c>
    </row>
    <row r="229" hidden="1" outlineLevel="1" ht="15.75" customHeight="1" s="297">
      <c r="A229" s="48">
        <f>IFERROR(__xludf.DUMMYFUNCTION("""COMPUTED_VALUE"""),"LEGION")</f>
        <v/>
      </c>
      <c r="B229" s="49">
        <f t="array" ref="B229">IFERROR(
SUM(
IF(
'PORTIFÓLIO'!$C$4:$C$564=$A229,
N(INDEX('PORTIFÓLIO'!$J$4:$Q$564,,MATCH(B$2,'PORTIFÓLIO'!$J$3:$Q$3,0))) *
N('PORTIFÓLIO'!$S$4:$S$564),
0
)
),
0)</f>
        <v/>
      </c>
      <c r="C229" s="49">
        <f>B229/$B$4</f>
        <v/>
      </c>
      <c r="D229" s="49">
        <f t="array" ref="D229">IFERROR(
SUM(
IF(
'PORTIFÓLIO'!$C$4:$C$564=$A229,
N(INDEX('PORTIFÓLIO'!$J$4:$Q$564,,MATCH(D$2,'PORTIFÓLIO'!$J$3:$Q$3,0))) *
N('PORTIFÓLIO'!$S$4:$S$564),
0
)
),
0)</f>
        <v/>
      </c>
      <c r="E229" s="49">
        <f>D229/$D$4</f>
        <v/>
      </c>
      <c r="F229" s="49">
        <f t="array" ref="F229">IFERROR(
SUM(
IF(
'PORTIFÓLIO'!$C$4:$C$564=$A229,
N(INDEX('PORTIFÓLIO'!$J$4:$Q$564,,MATCH(F$2,'PORTIFÓLIO'!$J$3:$Q$3,0))) *
N('PORTIFÓLIO'!$S$4:$S$564),
0
)
),
0)</f>
        <v/>
      </c>
      <c r="G229" s="47">
        <f>F229/$F$4</f>
        <v/>
      </c>
      <c r="H229" s="49">
        <f t="array" ref="H229">IFERROR(
SUM(
IF(
'PORTIFÓLIO'!$C$4:$C$564=$A229,
N(INDEX('PORTIFÓLIO'!$J$4:$Q$564,,MATCH(H$2,'PORTIFÓLIO'!$J$3:$Q$3,0))) *
N('PORTIFÓLIO'!$S$4:$S$564),
0
)
),
0)</f>
        <v/>
      </c>
      <c r="I229" s="47">
        <f>H229/$H$4</f>
        <v/>
      </c>
      <c r="J229" s="49">
        <f t="array" ref="J229">IFERROR(
SUM(
IF(
'PORTIFÓLIO'!$C$4:$C$564=$A229,
N(INDEX('PORTIFÓLIO'!$J$4:$Q$564,,MATCH(J$2,'PORTIFÓLIO'!$J$3:$Q$3,0))) *
N('PORTIFÓLIO'!$S$4:$S$564),
0
)
),
0)</f>
        <v/>
      </c>
      <c r="K229" s="47">
        <f>J229/$J$4</f>
        <v/>
      </c>
      <c r="L229" s="49">
        <f t="array" ref="L229">IFERROR(
SUM(
IF(
'PORTIFÓLIO'!$C$4:$C$564=$A229,
N(INDEX('PORTIFÓLIO'!$J$4:$Q$564,,MATCH(L$2,'PORTIFÓLIO'!$J$3:$Q$3,0))) *
N('PORTIFÓLIO'!$S$4:$S$564),
0
)
),
0)</f>
        <v/>
      </c>
      <c r="M229" s="47">
        <f>L229/$L$4</f>
        <v/>
      </c>
      <c r="N229" s="49">
        <f t="array" ref="N229">IFERROR(
SUM(
IF(
'PORTIFÓLIO'!$C$4:$C$564=$A229,
N(INDEX('PORTIFÓLIO'!$J$4:$Q$564,,MATCH(N$2,'PORTIFÓLIO'!$J$3:$Q$3,0))) *
N('PORTIFÓLIO'!$S$4:$S$564),
0
)
),
0)</f>
        <v/>
      </c>
      <c r="O229" s="49">
        <f>N229/$N$4</f>
        <v/>
      </c>
      <c r="P229" s="49">
        <f t="array" ref="P229">IFERROR(
SUM(
IF(
'PORTIFÓLIO'!$C$4:$C$564=$A229,
N(INDEX('PORTIFÓLIO'!$J$4:$Q$564,,MATCH(P$2,'PORTIFÓLIO'!$J$3:$Q$3,0))) *
N('PORTIFÓLIO'!$S$4:$S$564),
0
)
),
0)</f>
        <v/>
      </c>
      <c r="Q229" s="49">
        <f>P229/$P$4</f>
        <v/>
      </c>
      <c r="R229" s="49">
        <f>SUM(P229,N229,L229,J229,H229,D229,B229)</f>
        <v/>
      </c>
      <c r="S229" s="49">
        <f>R229/$R$4</f>
        <v/>
      </c>
    </row>
    <row r="230" hidden="1" outlineLevel="1" ht="15.75" customHeight="1" s="297">
      <c r="A230" s="48">
        <f>IFERROR(__xludf.DUMMYFUNCTION("""COMPUTED_VALUE"""),"OPTERADUO")</f>
        <v/>
      </c>
      <c r="B230" s="49">
        <f t="array" ref="B230">IFERROR(
SUM(
IF(
'PORTIFÓLIO'!$C$4:$C$564=$A230,
N(INDEX('PORTIFÓLIO'!$J$4:$Q$564,,MATCH(B$2,'PORTIFÓLIO'!$J$3:$Q$3,0))) *
N('PORTIFÓLIO'!$S$4:$S$564),
0
)
),
0)</f>
        <v/>
      </c>
      <c r="C230" s="49">
        <f>B230/$B$4</f>
        <v/>
      </c>
      <c r="D230" s="49">
        <f t="array" ref="D230">IFERROR(
SUM(
IF(
'PORTIFÓLIO'!$C$4:$C$564=$A230,
N(INDEX('PORTIFÓLIO'!$J$4:$Q$564,,MATCH(D$2,'PORTIFÓLIO'!$J$3:$Q$3,0))) *
N('PORTIFÓLIO'!$S$4:$S$564),
0
)
),
0)</f>
        <v/>
      </c>
      <c r="E230" s="49">
        <f>D230/$D$4</f>
        <v/>
      </c>
      <c r="F230" s="49">
        <f t="array" ref="F230">IFERROR(
SUM(
IF(
'PORTIFÓLIO'!$C$4:$C$564=$A230,
N(INDEX('PORTIFÓLIO'!$J$4:$Q$564,,MATCH(F$2,'PORTIFÓLIO'!$J$3:$Q$3,0))) *
N('PORTIFÓLIO'!$S$4:$S$564),
0
)
),
0)</f>
        <v/>
      </c>
      <c r="G230" s="47">
        <f>F230/$F$4</f>
        <v/>
      </c>
      <c r="H230" s="49">
        <f t="array" ref="H230">IFERROR(
SUM(
IF(
'PORTIFÓLIO'!$C$4:$C$564=$A230,
N(INDEX('PORTIFÓLIO'!$J$4:$Q$564,,MATCH(H$2,'PORTIFÓLIO'!$J$3:$Q$3,0))) *
N('PORTIFÓLIO'!$S$4:$S$564),
0
)
),
0)</f>
        <v/>
      </c>
      <c r="I230" s="47">
        <f>H230/$H$4</f>
        <v/>
      </c>
      <c r="J230" s="49">
        <f t="array" ref="J230">IFERROR(
SUM(
IF(
'PORTIFÓLIO'!$C$4:$C$564=$A230,
N(INDEX('PORTIFÓLIO'!$J$4:$Q$564,,MATCH(J$2,'PORTIFÓLIO'!$J$3:$Q$3,0))) *
N('PORTIFÓLIO'!$S$4:$S$564),
0
)
),
0)</f>
        <v/>
      </c>
      <c r="K230" s="47">
        <f>J230/$J$4</f>
        <v/>
      </c>
      <c r="L230" s="49">
        <f t="array" ref="L230">IFERROR(
SUM(
IF(
'PORTIFÓLIO'!$C$4:$C$564=$A230,
N(INDEX('PORTIFÓLIO'!$J$4:$Q$564,,MATCH(L$2,'PORTIFÓLIO'!$J$3:$Q$3,0))) *
N('PORTIFÓLIO'!$S$4:$S$564),
0
)
),
0)</f>
        <v/>
      </c>
      <c r="M230" s="47">
        <f>L230/$L$4</f>
        <v/>
      </c>
      <c r="N230" s="49">
        <f t="array" ref="N230">IFERROR(
SUM(
IF(
'PORTIFÓLIO'!$C$4:$C$564=$A230,
N(INDEX('PORTIFÓLIO'!$J$4:$Q$564,,MATCH(N$2,'PORTIFÓLIO'!$J$3:$Q$3,0))) *
N('PORTIFÓLIO'!$S$4:$S$564),
0
)
),
0)</f>
        <v/>
      </c>
      <c r="O230" s="49">
        <f>N230/$N$4</f>
        <v/>
      </c>
      <c r="P230" s="49">
        <f t="array" ref="P230">IFERROR(
SUM(
IF(
'PORTIFÓLIO'!$C$4:$C$564=$A230,
N(INDEX('PORTIFÓLIO'!$J$4:$Q$564,,MATCH(P$2,'PORTIFÓLIO'!$J$3:$Q$3,0))) *
N('PORTIFÓLIO'!$S$4:$S$564),
0
)
),
0)</f>
        <v/>
      </c>
      <c r="Q230" s="49">
        <f>P230/$P$4</f>
        <v/>
      </c>
      <c r="R230" s="49">
        <f>SUM(P230,N230,L230,J230,H230,D230,B230)</f>
        <v/>
      </c>
      <c r="S230" s="49">
        <f>R230/$R$4</f>
        <v/>
      </c>
    </row>
    <row r="231" hidden="1" outlineLevel="1" ht="15.75" customHeight="1" s="297">
      <c r="A231" s="48">
        <f>IFERROR(__xludf.DUMMYFUNCTION("""COMPUTED_VALUE"""),"SUMIRODY")</f>
        <v/>
      </c>
      <c r="B231" s="49">
        <f t="array" ref="B231">IFERROR(
SUM(
IF(
'PORTIFÓLIO'!$C$4:$C$564=$A231,
N(INDEX('PORTIFÓLIO'!$J$4:$Q$564,,MATCH(B$2,'PORTIFÓLIO'!$J$3:$Q$3,0))) *
N('PORTIFÓLIO'!$S$4:$S$564),
0
)
),
0)</f>
        <v/>
      </c>
      <c r="C231" s="49">
        <f>B231/$B$4</f>
        <v/>
      </c>
      <c r="D231" s="49">
        <f t="array" ref="D231">IFERROR(
SUM(
IF(
'PORTIFÓLIO'!$C$4:$C$564=$A231,
N(INDEX('PORTIFÓLIO'!$J$4:$Q$564,,MATCH(D$2,'PORTIFÓLIO'!$J$3:$Q$3,0))) *
N('PORTIFÓLIO'!$S$4:$S$564),
0
)
),
0)</f>
        <v/>
      </c>
      <c r="E231" s="49">
        <f>D231/$D$4</f>
        <v/>
      </c>
      <c r="F231" s="49">
        <f t="array" ref="F231">IFERROR(
SUM(
IF(
'PORTIFÓLIO'!$C$4:$C$564=$A231,
N(INDEX('PORTIFÓLIO'!$J$4:$Q$564,,MATCH(F$2,'PORTIFÓLIO'!$J$3:$Q$3,0))) *
N('PORTIFÓLIO'!$S$4:$S$564),
0
)
),
0)</f>
        <v/>
      </c>
      <c r="G231" s="47">
        <f>F231/$F$4</f>
        <v/>
      </c>
      <c r="H231" s="49">
        <f t="array" ref="H231">IFERROR(
SUM(
IF(
'PORTIFÓLIO'!$C$4:$C$564=$A231,
N(INDEX('PORTIFÓLIO'!$J$4:$Q$564,,MATCH(H$2,'PORTIFÓLIO'!$J$3:$Q$3,0))) *
N('PORTIFÓLIO'!$S$4:$S$564),
0
)
),
0)</f>
        <v/>
      </c>
      <c r="I231" s="47">
        <f>H231/$H$4</f>
        <v/>
      </c>
      <c r="J231" s="49">
        <f t="array" ref="J231">IFERROR(
SUM(
IF(
'PORTIFÓLIO'!$C$4:$C$564=$A231,
N(INDEX('PORTIFÓLIO'!$J$4:$Q$564,,MATCH(J$2,'PORTIFÓLIO'!$J$3:$Q$3,0))) *
N('PORTIFÓLIO'!$S$4:$S$564),
0
)
),
0)</f>
        <v/>
      </c>
      <c r="K231" s="47">
        <f>J231/$J$4</f>
        <v/>
      </c>
      <c r="L231" s="49">
        <f t="array" ref="L231">IFERROR(
SUM(
IF(
'PORTIFÓLIO'!$C$4:$C$564=$A231,
N(INDEX('PORTIFÓLIO'!$J$4:$Q$564,,MATCH(L$2,'PORTIFÓLIO'!$J$3:$Q$3,0))) *
N('PORTIFÓLIO'!$S$4:$S$564),
0
)
),
0)</f>
        <v/>
      </c>
      <c r="M231" s="47">
        <f>L231/$L$4</f>
        <v/>
      </c>
      <c r="N231" s="49">
        <f t="array" ref="N231">IFERROR(
SUM(
IF(
'PORTIFÓLIO'!$C$4:$C$564=$A231,
N(INDEX('PORTIFÓLIO'!$J$4:$Q$564,,MATCH(N$2,'PORTIFÓLIO'!$J$3:$Q$3,0))) *
N('PORTIFÓLIO'!$S$4:$S$564),
0
)
),
0)</f>
        <v/>
      </c>
      <c r="O231" s="49">
        <f>N231/$N$4</f>
        <v/>
      </c>
      <c r="P231" s="49">
        <f t="array" ref="P231">IFERROR(
SUM(
IF(
'PORTIFÓLIO'!$C$4:$C$564=$A231,
N(INDEX('PORTIFÓLIO'!$J$4:$Q$564,,MATCH(P$2,'PORTIFÓLIO'!$J$3:$Q$3,0))) *
N('PORTIFÓLIO'!$S$4:$S$564),
0
)
),
0)</f>
        <v/>
      </c>
      <c r="Q231" s="49">
        <f>P231/$P$4</f>
        <v/>
      </c>
      <c r="R231" s="49">
        <f>SUM(P231,N231,L231,J231,H231,D231,B231)</f>
        <v/>
      </c>
      <c r="S231" s="49">
        <f>R231/$R$4</f>
        <v/>
      </c>
    </row>
    <row r="232" hidden="1" outlineLevel="1" ht="15.75" customHeight="1" s="297">
      <c r="A232" s="48">
        <f>IFERROR(__xludf.DUMMYFUNCTION("""COMPUTED_VALUE"""),"XENTARI")</f>
        <v/>
      </c>
      <c r="B232" s="49">
        <f t="array" ref="B232">IFERROR(
SUM(
IF(
'PORTIFÓLIO'!$C$4:$C$564=$A232,
N(INDEX('PORTIFÓLIO'!$J$4:$Q$564,,MATCH(B$2,'PORTIFÓLIO'!$J$3:$Q$3,0))) *
N('PORTIFÓLIO'!$S$4:$S$564),
0
)
),
0)</f>
        <v/>
      </c>
      <c r="C232" s="49">
        <f>B232/$B$4</f>
        <v/>
      </c>
      <c r="D232" s="49">
        <f t="array" ref="D232">IFERROR(
SUM(
IF(
'PORTIFÓLIO'!$C$4:$C$564=$A232,
N(INDEX('PORTIFÓLIO'!$J$4:$Q$564,,MATCH(D$2,'PORTIFÓLIO'!$J$3:$Q$3,0))) *
N('PORTIFÓLIO'!$S$4:$S$564),
0
)
),
0)</f>
        <v/>
      </c>
      <c r="E232" s="49">
        <f>D232/$D$4</f>
        <v/>
      </c>
      <c r="F232" s="49">
        <f t="array" ref="F232">IFERROR(
SUM(
IF(
'PORTIFÓLIO'!$C$4:$C$564=$A232,
N(INDEX('PORTIFÓLIO'!$J$4:$Q$564,,MATCH(F$2,'PORTIFÓLIO'!$J$3:$Q$3,0))) *
N('PORTIFÓLIO'!$S$4:$S$564),
0
)
),
0)</f>
        <v/>
      </c>
      <c r="G232" s="47">
        <f>F232/$F$4</f>
        <v/>
      </c>
      <c r="H232" s="49">
        <f t="array" ref="H232">IFERROR(
SUM(
IF(
'PORTIFÓLIO'!$C$4:$C$564=$A232,
N(INDEX('PORTIFÓLIO'!$J$4:$Q$564,,MATCH(H$2,'PORTIFÓLIO'!$J$3:$Q$3,0))) *
N('PORTIFÓLIO'!$S$4:$S$564),
0
)
),
0)</f>
        <v/>
      </c>
      <c r="I232" s="47">
        <f>H232/$H$4</f>
        <v/>
      </c>
      <c r="J232" s="49">
        <f t="array" ref="J232">IFERROR(
SUM(
IF(
'PORTIFÓLIO'!$C$4:$C$564=$A232,
N(INDEX('PORTIFÓLIO'!$J$4:$Q$564,,MATCH(J$2,'PORTIFÓLIO'!$J$3:$Q$3,0))) *
N('PORTIFÓLIO'!$S$4:$S$564),
0
)
),
0)</f>
        <v/>
      </c>
      <c r="K232" s="47">
        <f>J232/$J$4</f>
        <v/>
      </c>
      <c r="L232" s="49">
        <f t="array" ref="L232">IFERROR(
SUM(
IF(
'PORTIFÓLIO'!$C$4:$C$564=$A232,
N(INDEX('PORTIFÓLIO'!$J$4:$Q$564,,MATCH(L$2,'PORTIFÓLIO'!$J$3:$Q$3,0))) *
N('PORTIFÓLIO'!$S$4:$S$564),
0
)
),
0)</f>
        <v/>
      </c>
      <c r="M232" s="47">
        <f>L232/$L$4</f>
        <v/>
      </c>
      <c r="N232" s="49">
        <f t="array" ref="N232">IFERROR(
SUM(
IF(
'PORTIFÓLIO'!$C$4:$C$564=$A232,
N(INDEX('PORTIFÓLIO'!$J$4:$Q$564,,MATCH(N$2,'PORTIFÓLIO'!$J$3:$Q$3,0))) *
N('PORTIFÓLIO'!$S$4:$S$564),
0
)
),
0)</f>
        <v/>
      </c>
      <c r="O232" s="49">
        <f>N232/$N$4</f>
        <v/>
      </c>
      <c r="P232" s="49">
        <f t="array" ref="P232">IFERROR(
SUM(
IF(
'PORTIFÓLIO'!$C$4:$C$564=$A232,
N(INDEX('PORTIFÓLIO'!$J$4:$Q$564,,MATCH(P$2,'PORTIFÓLIO'!$J$3:$Q$3,0))) *
N('PORTIFÓLIO'!$S$4:$S$564),
0
)
),
0)</f>
        <v/>
      </c>
      <c r="Q232" s="49">
        <f>P232/$P$4</f>
        <v/>
      </c>
      <c r="R232" s="49">
        <f>SUM(P232,N232,L232,J232,H232,D232,B232)</f>
        <v/>
      </c>
      <c r="S232" s="49">
        <f>R232/$R$4</f>
        <v/>
      </c>
    </row>
    <row r="233" hidden="1" outlineLevel="1" ht="15.75" customHeight="1" s="297">
      <c r="A233" s="48">
        <f>IFERROR(__xludf.DUMMYFUNCTION("""COMPUTED_VALUE"""),"ACTARA 250 WG")</f>
        <v/>
      </c>
      <c r="B233" s="49">
        <f t="array" ref="B233">IFERROR(
SUM(
IF(
'PORTIFÓLIO'!$C$4:$C$564=$A233,
N(INDEX('PORTIFÓLIO'!$J$4:$Q$564,,MATCH(B$2,'PORTIFÓLIO'!$J$3:$Q$3,0))) *
N('PORTIFÓLIO'!$S$4:$S$564),
0
)
),
0)</f>
        <v/>
      </c>
      <c r="C233" s="49">
        <f>B233/$B$4</f>
        <v/>
      </c>
      <c r="D233" s="49">
        <f t="array" ref="D233">IFERROR(
SUM(
IF(
'PORTIFÓLIO'!$C$4:$C$564=$A233,
N(INDEX('PORTIFÓLIO'!$J$4:$Q$564,,MATCH(D$2,'PORTIFÓLIO'!$J$3:$Q$3,0))) *
N('PORTIFÓLIO'!$S$4:$S$564),
0
)
),
0)</f>
        <v/>
      </c>
      <c r="E233" s="49">
        <f>D233/$D$4</f>
        <v/>
      </c>
      <c r="F233" s="49">
        <f t="array" ref="F233">IFERROR(
SUM(
IF(
'PORTIFÓLIO'!$C$4:$C$564=$A233,
N(INDEX('PORTIFÓLIO'!$J$4:$Q$564,,MATCH(F$2,'PORTIFÓLIO'!$J$3:$Q$3,0))) *
N('PORTIFÓLIO'!$S$4:$S$564),
0
)
),
0)</f>
        <v/>
      </c>
      <c r="G233" s="47">
        <f>F233/$F$4</f>
        <v/>
      </c>
      <c r="H233" s="49">
        <f t="array" ref="H233">IFERROR(
SUM(
IF(
'PORTIFÓLIO'!$C$4:$C$564=$A233,
N(INDEX('PORTIFÓLIO'!$J$4:$Q$564,,MATCH(H$2,'PORTIFÓLIO'!$J$3:$Q$3,0))) *
N('PORTIFÓLIO'!$S$4:$S$564),
0
)
),
0)</f>
        <v/>
      </c>
      <c r="I233" s="47">
        <f>H233/$H$4</f>
        <v/>
      </c>
      <c r="J233" s="49">
        <f t="array" ref="J233">IFERROR(
SUM(
IF(
'PORTIFÓLIO'!$C$4:$C$564=$A233,
N(INDEX('PORTIFÓLIO'!$J$4:$Q$564,,MATCH(J$2,'PORTIFÓLIO'!$J$3:$Q$3,0))) *
N('PORTIFÓLIO'!$S$4:$S$564),
0
)
),
0)</f>
        <v/>
      </c>
      <c r="K233" s="47">
        <f>J233/$J$4</f>
        <v/>
      </c>
      <c r="L233" s="49">
        <f t="array" ref="L233">IFERROR(
SUM(
IF(
'PORTIFÓLIO'!$C$4:$C$564=$A233,
N(INDEX('PORTIFÓLIO'!$J$4:$Q$564,,MATCH(L$2,'PORTIFÓLIO'!$J$3:$Q$3,0))) *
N('PORTIFÓLIO'!$S$4:$S$564),
0
)
),
0)</f>
        <v/>
      </c>
      <c r="M233" s="47">
        <f>L233/$L$4</f>
        <v/>
      </c>
      <c r="N233" s="49">
        <f t="array" ref="N233">IFERROR(
SUM(
IF(
'PORTIFÓLIO'!$C$4:$C$564=$A233,
N(INDEX('PORTIFÓLIO'!$J$4:$Q$564,,MATCH(N$2,'PORTIFÓLIO'!$J$3:$Q$3,0))) *
N('PORTIFÓLIO'!$S$4:$S$564),
0
)
),
0)</f>
        <v/>
      </c>
      <c r="O233" s="49">
        <f>N233/$N$4</f>
        <v/>
      </c>
      <c r="P233" s="49">
        <f t="array" ref="P233">IFERROR(
SUM(
IF(
'PORTIFÓLIO'!$C$4:$C$564=$A233,
N(INDEX('PORTIFÓLIO'!$J$4:$Q$564,,MATCH(P$2,'PORTIFÓLIO'!$J$3:$Q$3,0))) *
N('PORTIFÓLIO'!$S$4:$S$564),
0
)
),
0)</f>
        <v/>
      </c>
      <c r="Q233" s="49">
        <f>P233/$P$4</f>
        <v/>
      </c>
      <c r="R233" s="49">
        <f>SUM(P233,N233,L233,J233,H233,D233,B233)</f>
        <v/>
      </c>
      <c r="S233" s="49">
        <f>R233/$R$4</f>
        <v/>
      </c>
    </row>
    <row r="234" hidden="1" outlineLevel="1" ht="15.75" customHeight="1" s="297">
      <c r="A234" s="48">
        <f>IFERROR(__xludf.DUMMYFUNCTION("""COMPUTED_VALUE"""),"AMPLIGO")</f>
        <v/>
      </c>
      <c r="B234" s="49">
        <f t="array" ref="B234">IFERROR(
SUM(
IF(
'PORTIFÓLIO'!$C$4:$C$564=$A234,
N(INDEX('PORTIFÓLIO'!$J$4:$Q$564,,MATCH(B$2,'PORTIFÓLIO'!$J$3:$Q$3,0))) *
N('PORTIFÓLIO'!$S$4:$S$564),
0
)
),
0)</f>
        <v/>
      </c>
      <c r="C234" s="49">
        <f>B234/$B$4</f>
        <v/>
      </c>
      <c r="D234" s="49">
        <f t="array" ref="D234">IFERROR(
SUM(
IF(
'PORTIFÓLIO'!$C$4:$C$564=$A234,
N(INDEX('PORTIFÓLIO'!$J$4:$Q$564,,MATCH(D$2,'PORTIFÓLIO'!$J$3:$Q$3,0))) *
N('PORTIFÓLIO'!$S$4:$S$564),
0
)
),
0)</f>
        <v/>
      </c>
      <c r="E234" s="49">
        <f>D234/$D$4</f>
        <v/>
      </c>
      <c r="F234" s="49">
        <f t="array" ref="F234">IFERROR(
SUM(
IF(
'PORTIFÓLIO'!$C$4:$C$564=$A234,
N(INDEX('PORTIFÓLIO'!$J$4:$Q$564,,MATCH(F$2,'PORTIFÓLIO'!$J$3:$Q$3,0))) *
N('PORTIFÓLIO'!$S$4:$S$564),
0
)
),
0)</f>
        <v/>
      </c>
      <c r="G234" s="47">
        <f>F234/$F$4</f>
        <v/>
      </c>
      <c r="H234" s="49">
        <f t="array" ref="H234">IFERROR(
SUM(
IF(
'PORTIFÓLIO'!$C$4:$C$564=$A234,
N(INDEX('PORTIFÓLIO'!$J$4:$Q$564,,MATCH(H$2,'PORTIFÓLIO'!$J$3:$Q$3,0))) *
N('PORTIFÓLIO'!$S$4:$S$564),
0
)
),
0)</f>
        <v/>
      </c>
      <c r="I234" s="47">
        <f>H234/$H$4</f>
        <v/>
      </c>
      <c r="J234" s="49">
        <f t="array" ref="J234">IFERROR(
SUM(
IF(
'PORTIFÓLIO'!$C$4:$C$564=$A234,
N(INDEX('PORTIFÓLIO'!$J$4:$Q$564,,MATCH(J$2,'PORTIFÓLIO'!$J$3:$Q$3,0))) *
N('PORTIFÓLIO'!$S$4:$S$564),
0
)
),
0)</f>
        <v/>
      </c>
      <c r="K234" s="47">
        <f>J234/$J$4</f>
        <v/>
      </c>
      <c r="L234" s="49">
        <f t="array" ref="L234">IFERROR(
SUM(
IF(
'PORTIFÓLIO'!$C$4:$C$564=$A234,
N(INDEX('PORTIFÓLIO'!$J$4:$Q$564,,MATCH(L$2,'PORTIFÓLIO'!$J$3:$Q$3,0))) *
N('PORTIFÓLIO'!$S$4:$S$564),
0
)
),
0)</f>
        <v/>
      </c>
      <c r="M234" s="47">
        <f>L234/$L$4</f>
        <v/>
      </c>
      <c r="N234" s="49">
        <f t="array" ref="N234">IFERROR(
SUM(
IF(
'PORTIFÓLIO'!$C$4:$C$564=$A234,
N(INDEX('PORTIFÓLIO'!$J$4:$Q$564,,MATCH(N$2,'PORTIFÓLIO'!$J$3:$Q$3,0))) *
N('PORTIFÓLIO'!$S$4:$S$564),
0
)
),
0)</f>
        <v/>
      </c>
      <c r="O234" s="49">
        <f>N234/$N$4</f>
        <v/>
      </c>
      <c r="P234" s="49">
        <f t="array" ref="P234">IFERROR(
SUM(
IF(
'PORTIFÓLIO'!$C$4:$C$564=$A234,
N(INDEX('PORTIFÓLIO'!$J$4:$Q$564,,MATCH(P$2,'PORTIFÓLIO'!$J$3:$Q$3,0))) *
N('PORTIFÓLIO'!$S$4:$S$564),
0
)
),
0)</f>
        <v/>
      </c>
      <c r="Q234" s="49">
        <f>P234/$P$4</f>
        <v/>
      </c>
      <c r="R234" s="49">
        <f>SUM(P234,N234,L234,J234,H234,D234,B234)</f>
        <v/>
      </c>
      <c r="S234" s="49">
        <f>R234/$R$4</f>
        <v/>
      </c>
    </row>
    <row r="235" hidden="1" outlineLevel="1" ht="15.75" customHeight="1" s="297">
      <c r="A235" s="48">
        <f>IFERROR(__xludf.DUMMYFUNCTION("""COMPUTED_VALUE"""),"CURYOM 550 EC")</f>
        <v/>
      </c>
      <c r="B235" s="49">
        <f t="array" ref="B235">IFERROR(
SUM(
IF(
'PORTIFÓLIO'!$C$4:$C$564=$A235,
N(INDEX('PORTIFÓLIO'!$J$4:$Q$564,,MATCH(B$2,'PORTIFÓLIO'!$J$3:$Q$3,0))) *
N('PORTIFÓLIO'!$S$4:$S$564),
0
)
),
0)</f>
        <v/>
      </c>
      <c r="C235" s="49">
        <f>B235/$B$4</f>
        <v/>
      </c>
      <c r="D235" s="49">
        <f t="array" ref="D235">IFERROR(
SUM(
IF(
'PORTIFÓLIO'!$C$4:$C$564=$A235,
N(INDEX('PORTIFÓLIO'!$J$4:$Q$564,,MATCH(D$2,'PORTIFÓLIO'!$J$3:$Q$3,0))) *
N('PORTIFÓLIO'!$S$4:$S$564),
0
)
),
0)</f>
        <v/>
      </c>
      <c r="E235" s="49">
        <f>D235/$D$4</f>
        <v/>
      </c>
      <c r="F235" s="49">
        <f t="array" ref="F235">IFERROR(
SUM(
IF(
'PORTIFÓLIO'!$C$4:$C$564=$A235,
N(INDEX('PORTIFÓLIO'!$J$4:$Q$564,,MATCH(F$2,'PORTIFÓLIO'!$J$3:$Q$3,0))) *
N('PORTIFÓLIO'!$S$4:$S$564),
0
)
),
0)</f>
        <v/>
      </c>
      <c r="G235" s="47">
        <f>F235/$F$4</f>
        <v/>
      </c>
      <c r="H235" s="49">
        <f t="array" ref="H235">IFERROR(
SUM(
IF(
'PORTIFÓLIO'!$C$4:$C$564=$A235,
N(INDEX('PORTIFÓLIO'!$J$4:$Q$564,,MATCH(H$2,'PORTIFÓLIO'!$J$3:$Q$3,0))) *
N('PORTIFÓLIO'!$S$4:$S$564),
0
)
),
0)</f>
        <v/>
      </c>
      <c r="I235" s="47">
        <f>H235/$H$4</f>
        <v/>
      </c>
      <c r="J235" s="49">
        <f t="array" ref="J235">IFERROR(
SUM(
IF(
'PORTIFÓLIO'!$C$4:$C$564=$A235,
N(INDEX('PORTIFÓLIO'!$J$4:$Q$564,,MATCH(J$2,'PORTIFÓLIO'!$J$3:$Q$3,0))) *
N('PORTIFÓLIO'!$S$4:$S$564),
0
)
),
0)</f>
        <v/>
      </c>
      <c r="K235" s="47">
        <f>J235/$J$4</f>
        <v/>
      </c>
      <c r="L235" s="49">
        <f t="array" ref="L235">IFERROR(
SUM(
IF(
'PORTIFÓLIO'!$C$4:$C$564=$A235,
N(INDEX('PORTIFÓLIO'!$J$4:$Q$564,,MATCH(L$2,'PORTIFÓLIO'!$J$3:$Q$3,0))) *
N('PORTIFÓLIO'!$S$4:$S$564),
0
)
),
0)</f>
        <v/>
      </c>
      <c r="M235" s="47">
        <f>L235/$L$4</f>
        <v/>
      </c>
      <c r="N235" s="49">
        <f t="array" ref="N235">IFERROR(
SUM(
IF(
'PORTIFÓLIO'!$C$4:$C$564=$A235,
N(INDEX('PORTIFÓLIO'!$J$4:$Q$564,,MATCH(N$2,'PORTIFÓLIO'!$J$3:$Q$3,0))) *
N('PORTIFÓLIO'!$S$4:$S$564),
0
)
),
0)</f>
        <v/>
      </c>
      <c r="O235" s="49">
        <f>N235/$N$4</f>
        <v/>
      </c>
      <c r="P235" s="49">
        <f t="array" ref="P235">IFERROR(
SUM(
IF(
'PORTIFÓLIO'!$C$4:$C$564=$A235,
N(INDEX('PORTIFÓLIO'!$J$4:$Q$564,,MATCH(P$2,'PORTIFÓLIO'!$J$3:$Q$3,0))) *
N('PORTIFÓLIO'!$S$4:$S$564),
0
)
),
0)</f>
        <v/>
      </c>
      <c r="Q235" s="49">
        <f>P235/$P$4</f>
        <v/>
      </c>
      <c r="R235" s="49">
        <f>SUM(P235,N235,L235,J235,H235,D235,B235)</f>
        <v/>
      </c>
      <c r="S235" s="49">
        <f>R235/$R$4</f>
        <v/>
      </c>
    </row>
    <row r="236" hidden="1" outlineLevel="1" ht="15.75" customHeight="1" s="297">
      <c r="A236" s="48">
        <f>IFERROR(__xludf.DUMMYFUNCTION("""COMPUTED_VALUE"""),"ELESTAL NEO")</f>
        <v/>
      </c>
      <c r="B236" s="49">
        <f t="array" ref="B236">IFERROR(
SUM(
IF(
'PORTIFÓLIO'!$C$4:$C$564=$A236,
N(INDEX('PORTIFÓLIO'!$J$4:$Q$564,,MATCH(B$2,'PORTIFÓLIO'!$J$3:$Q$3,0))) *
N('PORTIFÓLIO'!$S$4:$S$564),
0
)
),
0)</f>
        <v/>
      </c>
      <c r="C236" s="49">
        <f>B236/$B$4</f>
        <v/>
      </c>
      <c r="D236" s="49">
        <f t="array" ref="D236">IFERROR(
SUM(
IF(
'PORTIFÓLIO'!$C$4:$C$564=$A236,
N(INDEX('PORTIFÓLIO'!$J$4:$Q$564,,MATCH(D$2,'PORTIFÓLIO'!$J$3:$Q$3,0))) *
N('PORTIFÓLIO'!$S$4:$S$564),
0
)
),
0)</f>
        <v/>
      </c>
      <c r="E236" s="49">
        <f>D236/$D$4</f>
        <v/>
      </c>
      <c r="F236" s="49">
        <f t="array" ref="F236">IFERROR(
SUM(
IF(
'PORTIFÓLIO'!$C$4:$C$564=$A236,
N(INDEX('PORTIFÓLIO'!$J$4:$Q$564,,MATCH(F$2,'PORTIFÓLIO'!$J$3:$Q$3,0))) *
N('PORTIFÓLIO'!$S$4:$S$564),
0
)
),
0)</f>
        <v/>
      </c>
      <c r="G236" s="47">
        <f>F236/$F$4</f>
        <v/>
      </c>
      <c r="H236" s="49">
        <f t="array" ref="H236">IFERROR(
SUM(
IF(
'PORTIFÓLIO'!$C$4:$C$564=$A236,
N(INDEX('PORTIFÓLIO'!$J$4:$Q$564,,MATCH(H$2,'PORTIFÓLIO'!$J$3:$Q$3,0))) *
N('PORTIFÓLIO'!$S$4:$S$564),
0
)
),
0)</f>
        <v/>
      </c>
      <c r="I236" s="47">
        <f>H236/$H$4</f>
        <v/>
      </c>
      <c r="J236" s="49">
        <f t="array" ref="J236">IFERROR(
SUM(
IF(
'PORTIFÓLIO'!$C$4:$C$564=$A236,
N(INDEX('PORTIFÓLIO'!$J$4:$Q$564,,MATCH(J$2,'PORTIFÓLIO'!$J$3:$Q$3,0))) *
N('PORTIFÓLIO'!$S$4:$S$564),
0
)
),
0)</f>
        <v/>
      </c>
      <c r="K236" s="47">
        <f>J236/$J$4</f>
        <v/>
      </c>
      <c r="L236" s="49">
        <f t="array" ref="L236">IFERROR(
SUM(
IF(
'PORTIFÓLIO'!$C$4:$C$564=$A236,
N(INDEX('PORTIFÓLIO'!$J$4:$Q$564,,MATCH(L$2,'PORTIFÓLIO'!$J$3:$Q$3,0))) *
N('PORTIFÓLIO'!$S$4:$S$564),
0
)
),
0)</f>
        <v/>
      </c>
      <c r="M236" s="47">
        <f>L236/$L$4</f>
        <v/>
      </c>
      <c r="N236" s="49">
        <f t="array" ref="N236">IFERROR(
SUM(
IF(
'PORTIFÓLIO'!$C$4:$C$564=$A236,
N(INDEX('PORTIFÓLIO'!$J$4:$Q$564,,MATCH(N$2,'PORTIFÓLIO'!$J$3:$Q$3,0))) *
N('PORTIFÓLIO'!$S$4:$S$564),
0
)
),
0)</f>
        <v/>
      </c>
      <c r="O236" s="49">
        <f>N236/$N$4</f>
        <v/>
      </c>
      <c r="P236" s="49">
        <f t="array" ref="P236">IFERROR(
SUM(
IF(
'PORTIFÓLIO'!$C$4:$C$564=$A236,
N(INDEX('PORTIFÓLIO'!$J$4:$Q$564,,MATCH(P$2,'PORTIFÓLIO'!$J$3:$Q$3,0))) *
N('PORTIFÓLIO'!$S$4:$S$564),
0
)
),
0)</f>
        <v/>
      </c>
      <c r="Q236" s="49">
        <f>P236/$P$4</f>
        <v/>
      </c>
      <c r="R236" s="49">
        <f>SUM(P236,N236,L236,J236,H236,D236,B236)</f>
        <v/>
      </c>
      <c r="S236" s="49">
        <f>R236/$R$4</f>
        <v/>
      </c>
    </row>
    <row r="237" hidden="1" outlineLevel="1" ht="15.75" customHeight="1" s="297">
      <c r="A237" s="48">
        <f>IFERROR(__xludf.DUMMYFUNCTION("""COMPUTED_VALUE"""),"ENGEO PLENO S")</f>
        <v/>
      </c>
      <c r="B237" s="49">
        <f t="array" ref="B237">IFERROR(
SUM(
IF(
'PORTIFÓLIO'!$C$4:$C$564=$A237,
N(INDEX('PORTIFÓLIO'!$J$4:$Q$564,,MATCH(B$2,'PORTIFÓLIO'!$J$3:$Q$3,0))) *
N('PORTIFÓLIO'!$S$4:$S$564),
0
)
),
0)</f>
        <v/>
      </c>
      <c r="C237" s="49">
        <f>B237/$B$4</f>
        <v/>
      </c>
      <c r="D237" s="49">
        <f t="array" ref="D237">IFERROR(
SUM(
IF(
'PORTIFÓLIO'!$C$4:$C$564=$A237,
N(INDEX('PORTIFÓLIO'!$J$4:$Q$564,,MATCH(D$2,'PORTIFÓLIO'!$J$3:$Q$3,0))) *
N('PORTIFÓLIO'!$S$4:$S$564),
0
)
),
0)</f>
        <v/>
      </c>
      <c r="E237" s="49">
        <f>D237/$D$4</f>
        <v/>
      </c>
      <c r="F237" s="49">
        <f t="array" ref="F237">IFERROR(
SUM(
IF(
'PORTIFÓLIO'!$C$4:$C$564=$A237,
N(INDEX('PORTIFÓLIO'!$J$4:$Q$564,,MATCH(F$2,'PORTIFÓLIO'!$J$3:$Q$3,0))) *
N('PORTIFÓLIO'!$S$4:$S$564),
0
)
),
0)</f>
        <v/>
      </c>
      <c r="G237" s="47">
        <f>F237/$F$4</f>
        <v/>
      </c>
      <c r="H237" s="49">
        <f t="array" ref="H237">IFERROR(
SUM(
IF(
'PORTIFÓLIO'!$C$4:$C$564=$A237,
N(INDEX('PORTIFÓLIO'!$J$4:$Q$564,,MATCH(H$2,'PORTIFÓLIO'!$J$3:$Q$3,0))) *
N('PORTIFÓLIO'!$S$4:$S$564),
0
)
),
0)</f>
        <v/>
      </c>
      <c r="I237" s="47">
        <f>H237/$H$4</f>
        <v/>
      </c>
      <c r="J237" s="49">
        <f t="array" ref="J237">IFERROR(
SUM(
IF(
'PORTIFÓLIO'!$C$4:$C$564=$A237,
N(INDEX('PORTIFÓLIO'!$J$4:$Q$564,,MATCH(J$2,'PORTIFÓLIO'!$J$3:$Q$3,0))) *
N('PORTIFÓLIO'!$S$4:$S$564),
0
)
),
0)</f>
        <v/>
      </c>
      <c r="K237" s="47">
        <f>J237/$J$4</f>
        <v/>
      </c>
      <c r="L237" s="49">
        <f t="array" ref="L237">IFERROR(
SUM(
IF(
'PORTIFÓLIO'!$C$4:$C$564=$A237,
N(INDEX('PORTIFÓLIO'!$J$4:$Q$564,,MATCH(L$2,'PORTIFÓLIO'!$J$3:$Q$3,0))) *
N('PORTIFÓLIO'!$S$4:$S$564),
0
)
),
0)</f>
        <v/>
      </c>
      <c r="M237" s="47">
        <f>L237/$L$4</f>
        <v/>
      </c>
      <c r="N237" s="49">
        <f t="array" ref="N237">IFERROR(
SUM(
IF(
'PORTIFÓLIO'!$C$4:$C$564=$A237,
N(INDEX('PORTIFÓLIO'!$J$4:$Q$564,,MATCH(N$2,'PORTIFÓLIO'!$J$3:$Q$3,0))) *
N('PORTIFÓLIO'!$S$4:$S$564),
0
)
),
0)</f>
        <v/>
      </c>
      <c r="O237" s="49">
        <f>N237/$N$4</f>
        <v/>
      </c>
      <c r="P237" s="49">
        <f t="array" ref="P237">IFERROR(
SUM(
IF(
'PORTIFÓLIO'!$C$4:$C$564=$A237,
N(INDEX('PORTIFÓLIO'!$J$4:$Q$564,,MATCH(P$2,'PORTIFÓLIO'!$J$3:$Q$3,0))) *
N('PORTIFÓLIO'!$S$4:$S$564),
0
)
),
0)</f>
        <v/>
      </c>
      <c r="Q237" s="49">
        <f>P237/$P$4</f>
        <v/>
      </c>
      <c r="R237" s="49">
        <f>SUM(P237,N237,L237,J237,H237,D237,B237)</f>
        <v/>
      </c>
      <c r="S237" s="49">
        <f>R237/$R$4</f>
        <v/>
      </c>
    </row>
    <row r="238" hidden="1" outlineLevel="1" ht="15.75" customHeight="1" s="297">
      <c r="A238" s="48">
        <f>IFERROR(__xludf.DUMMYFUNCTION("""COMPUTED_VALUE"""),"KARATE ZEON 250 CS")</f>
        <v/>
      </c>
      <c r="B238" s="49">
        <f t="array" ref="B238">IFERROR(
SUM(
IF(
'PORTIFÓLIO'!$C$4:$C$564=$A238,
N(INDEX('PORTIFÓLIO'!$J$4:$Q$564,,MATCH(B$2,'PORTIFÓLIO'!$J$3:$Q$3,0))) *
N('PORTIFÓLIO'!$S$4:$S$564),
0
)
),
0)</f>
        <v/>
      </c>
      <c r="C238" s="49">
        <f>B238/$B$4</f>
        <v/>
      </c>
      <c r="D238" s="49">
        <f t="array" ref="D238">IFERROR(
SUM(
IF(
'PORTIFÓLIO'!$C$4:$C$564=$A238,
N(INDEX('PORTIFÓLIO'!$J$4:$Q$564,,MATCH(D$2,'PORTIFÓLIO'!$J$3:$Q$3,0))) *
N('PORTIFÓLIO'!$S$4:$S$564),
0
)
),
0)</f>
        <v/>
      </c>
      <c r="E238" s="49">
        <f>D238/$D$4</f>
        <v/>
      </c>
      <c r="F238" s="49">
        <f t="array" ref="F238">IFERROR(
SUM(
IF(
'PORTIFÓLIO'!$C$4:$C$564=$A238,
N(INDEX('PORTIFÓLIO'!$J$4:$Q$564,,MATCH(F$2,'PORTIFÓLIO'!$J$3:$Q$3,0))) *
N('PORTIFÓLIO'!$S$4:$S$564),
0
)
),
0)</f>
        <v/>
      </c>
      <c r="G238" s="47">
        <f>F238/$F$4</f>
        <v/>
      </c>
      <c r="H238" s="49">
        <f t="array" ref="H238">IFERROR(
SUM(
IF(
'PORTIFÓLIO'!$C$4:$C$564=$A238,
N(INDEX('PORTIFÓLIO'!$J$4:$Q$564,,MATCH(H$2,'PORTIFÓLIO'!$J$3:$Q$3,0))) *
N('PORTIFÓLIO'!$S$4:$S$564),
0
)
),
0)</f>
        <v/>
      </c>
      <c r="I238" s="47">
        <f>H238/$H$4</f>
        <v/>
      </c>
      <c r="J238" s="49">
        <f t="array" ref="J238">IFERROR(
SUM(
IF(
'PORTIFÓLIO'!$C$4:$C$564=$A238,
N(INDEX('PORTIFÓLIO'!$J$4:$Q$564,,MATCH(J$2,'PORTIFÓLIO'!$J$3:$Q$3,0))) *
N('PORTIFÓLIO'!$S$4:$S$564),
0
)
),
0)</f>
        <v/>
      </c>
      <c r="K238" s="47">
        <f>J238/$J$4</f>
        <v/>
      </c>
      <c r="L238" s="49">
        <f t="array" ref="L238">IFERROR(
SUM(
IF(
'PORTIFÓLIO'!$C$4:$C$564=$A238,
N(INDEX('PORTIFÓLIO'!$J$4:$Q$564,,MATCH(L$2,'PORTIFÓLIO'!$J$3:$Q$3,0))) *
N('PORTIFÓLIO'!$S$4:$S$564),
0
)
),
0)</f>
        <v/>
      </c>
      <c r="M238" s="47">
        <f>L238/$L$4</f>
        <v/>
      </c>
      <c r="N238" s="49">
        <f t="array" ref="N238">IFERROR(
SUM(
IF(
'PORTIFÓLIO'!$C$4:$C$564=$A238,
N(INDEX('PORTIFÓLIO'!$J$4:$Q$564,,MATCH(N$2,'PORTIFÓLIO'!$J$3:$Q$3,0))) *
N('PORTIFÓLIO'!$S$4:$S$564),
0
)
),
0)</f>
        <v/>
      </c>
      <c r="O238" s="49">
        <f>N238/$N$4</f>
        <v/>
      </c>
      <c r="P238" s="49">
        <f t="array" ref="P238">IFERROR(
SUM(
IF(
'PORTIFÓLIO'!$C$4:$C$564=$A238,
N(INDEX('PORTIFÓLIO'!$J$4:$Q$564,,MATCH(P$2,'PORTIFÓLIO'!$J$3:$Q$3,0))) *
N('PORTIFÓLIO'!$S$4:$S$564),
0
)
),
0)</f>
        <v/>
      </c>
      <c r="Q238" s="49">
        <f>P238/$P$4</f>
        <v/>
      </c>
      <c r="R238" s="49">
        <f>SUM(P238,N238,L238,J238,H238,D238,B238)</f>
        <v/>
      </c>
      <c r="S238" s="49">
        <f>R238/$R$4</f>
        <v/>
      </c>
    </row>
    <row r="239" hidden="1" outlineLevel="1" ht="15.75" customHeight="1" s="297">
      <c r="A239" s="48">
        <f>IFERROR(__xludf.DUMMYFUNCTION("""COMPUTED_VALUE"""),"MINECTO PRO")</f>
        <v/>
      </c>
      <c r="B239" s="49">
        <f t="array" ref="B239">IFERROR(
SUM(
IF(
'PORTIFÓLIO'!$C$4:$C$564=$A239,
N(INDEX('PORTIFÓLIO'!$J$4:$Q$564,,MATCH(B$2,'PORTIFÓLIO'!$J$3:$Q$3,0))) *
N('PORTIFÓLIO'!$S$4:$S$564),
0
)
),
0)</f>
        <v/>
      </c>
      <c r="C239" s="49">
        <f>B239/$B$4</f>
        <v/>
      </c>
      <c r="D239" s="49">
        <f t="array" ref="D239">IFERROR(
SUM(
IF(
'PORTIFÓLIO'!$C$4:$C$564=$A239,
N(INDEX('PORTIFÓLIO'!$J$4:$Q$564,,MATCH(D$2,'PORTIFÓLIO'!$J$3:$Q$3,0))) *
N('PORTIFÓLIO'!$S$4:$S$564),
0
)
),
0)</f>
        <v/>
      </c>
      <c r="E239" s="49">
        <f>D239/$D$4</f>
        <v/>
      </c>
      <c r="F239" s="49">
        <f t="array" ref="F239">IFERROR(
SUM(
IF(
'PORTIFÓLIO'!$C$4:$C$564=$A239,
N(INDEX('PORTIFÓLIO'!$J$4:$Q$564,,MATCH(F$2,'PORTIFÓLIO'!$J$3:$Q$3,0))) *
N('PORTIFÓLIO'!$S$4:$S$564),
0
)
),
0)</f>
        <v/>
      </c>
      <c r="G239" s="47">
        <f>F239/$F$4</f>
        <v/>
      </c>
      <c r="H239" s="49">
        <f t="array" ref="H239">IFERROR(
SUM(
IF(
'PORTIFÓLIO'!$C$4:$C$564=$A239,
N(INDEX('PORTIFÓLIO'!$J$4:$Q$564,,MATCH(H$2,'PORTIFÓLIO'!$J$3:$Q$3,0))) *
N('PORTIFÓLIO'!$S$4:$S$564),
0
)
),
0)</f>
        <v/>
      </c>
      <c r="I239" s="47">
        <f>H239/$H$4</f>
        <v/>
      </c>
      <c r="J239" s="49">
        <f t="array" ref="J239">IFERROR(
SUM(
IF(
'PORTIFÓLIO'!$C$4:$C$564=$A239,
N(INDEX('PORTIFÓLIO'!$J$4:$Q$564,,MATCH(J$2,'PORTIFÓLIO'!$J$3:$Q$3,0))) *
N('PORTIFÓLIO'!$S$4:$S$564),
0
)
),
0)</f>
        <v/>
      </c>
      <c r="K239" s="47">
        <f>J239/$J$4</f>
        <v/>
      </c>
      <c r="L239" s="49">
        <f t="array" ref="L239">IFERROR(
SUM(
IF(
'PORTIFÓLIO'!$C$4:$C$564=$A239,
N(INDEX('PORTIFÓLIO'!$J$4:$Q$564,,MATCH(L$2,'PORTIFÓLIO'!$J$3:$Q$3,0))) *
N('PORTIFÓLIO'!$S$4:$S$564),
0
)
),
0)</f>
        <v/>
      </c>
      <c r="M239" s="47">
        <f>L239/$L$4</f>
        <v/>
      </c>
      <c r="N239" s="49">
        <f t="array" ref="N239">IFERROR(
SUM(
IF(
'PORTIFÓLIO'!$C$4:$C$564=$A239,
N(INDEX('PORTIFÓLIO'!$J$4:$Q$564,,MATCH(N$2,'PORTIFÓLIO'!$J$3:$Q$3,0))) *
N('PORTIFÓLIO'!$S$4:$S$564),
0
)
),
0)</f>
        <v/>
      </c>
      <c r="O239" s="49">
        <f>N239/$N$4</f>
        <v/>
      </c>
      <c r="P239" s="49">
        <f t="array" ref="P239">IFERROR(
SUM(
IF(
'PORTIFÓLIO'!$C$4:$C$564=$A239,
N(INDEX('PORTIFÓLIO'!$J$4:$Q$564,,MATCH(P$2,'PORTIFÓLIO'!$J$3:$Q$3,0))) *
N('PORTIFÓLIO'!$S$4:$S$564),
0
)
),
0)</f>
        <v/>
      </c>
      <c r="Q239" s="49">
        <f>P239/$P$4</f>
        <v/>
      </c>
      <c r="R239" s="49">
        <f>SUM(P239,N239,L239,J239,H239,D239,B239)</f>
        <v/>
      </c>
      <c r="S239" s="49">
        <f>R239/$R$4</f>
        <v/>
      </c>
    </row>
    <row r="240" hidden="1" outlineLevel="1" ht="15.75" customHeight="1" s="297">
      <c r="A240" s="48">
        <f>IFERROR(__xludf.DUMMYFUNCTION("""COMPUTED_VALUE"""),"POLO 500 SC")</f>
        <v/>
      </c>
      <c r="B240" s="49">
        <f t="array" ref="B240">IFERROR(
SUM(
IF(
'PORTIFÓLIO'!$C$4:$C$564=$A240,
N(INDEX('PORTIFÓLIO'!$J$4:$Q$564,,MATCH(B$2,'PORTIFÓLIO'!$J$3:$Q$3,0))) *
N('PORTIFÓLIO'!$S$4:$S$564),
0
)
),
0)</f>
        <v/>
      </c>
      <c r="C240" s="49">
        <f>B240/$B$4</f>
        <v/>
      </c>
      <c r="D240" s="49">
        <f t="array" ref="D240">IFERROR(
SUM(
IF(
'PORTIFÓLIO'!$C$4:$C$564=$A240,
N(INDEX('PORTIFÓLIO'!$J$4:$Q$564,,MATCH(D$2,'PORTIFÓLIO'!$J$3:$Q$3,0))) *
N('PORTIFÓLIO'!$S$4:$S$564),
0
)
),
0)</f>
        <v/>
      </c>
      <c r="E240" s="49">
        <f>D240/$D$4</f>
        <v/>
      </c>
      <c r="F240" s="49">
        <f t="array" ref="F240">IFERROR(
SUM(
IF(
'PORTIFÓLIO'!$C$4:$C$564=$A240,
N(INDEX('PORTIFÓLIO'!$J$4:$Q$564,,MATCH(F$2,'PORTIFÓLIO'!$J$3:$Q$3,0))) *
N('PORTIFÓLIO'!$S$4:$S$564),
0
)
),
0)</f>
        <v/>
      </c>
      <c r="G240" s="47">
        <f>F240/$F$4</f>
        <v/>
      </c>
      <c r="H240" s="49">
        <f t="array" ref="H240">IFERROR(
SUM(
IF(
'PORTIFÓLIO'!$C$4:$C$564=$A240,
N(INDEX('PORTIFÓLIO'!$J$4:$Q$564,,MATCH(H$2,'PORTIFÓLIO'!$J$3:$Q$3,0))) *
N('PORTIFÓLIO'!$S$4:$S$564),
0
)
),
0)</f>
        <v/>
      </c>
      <c r="I240" s="47">
        <f>H240/$H$4</f>
        <v/>
      </c>
      <c r="J240" s="49">
        <f t="array" ref="J240">IFERROR(
SUM(
IF(
'PORTIFÓLIO'!$C$4:$C$564=$A240,
N(INDEX('PORTIFÓLIO'!$J$4:$Q$564,,MATCH(J$2,'PORTIFÓLIO'!$J$3:$Q$3,0))) *
N('PORTIFÓLIO'!$S$4:$S$564),
0
)
),
0)</f>
        <v/>
      </c>
      <c r="K240" s="47">
        <f>J240/$J$4</f>
        <v/>
      </c>
      <c r="L240" s="49">
        <f t="array" ref="L240">IFERROR(
SUM(
IF(
'PORTIFÓLIO'!$C$4:$C$564=$A240,
N(INDEX('PORTIFÓLIO'!$J$4:$Q$564,,MATCH(L$2,'PORTIFÓLIO'!$J$3:$Q$3,0))) *
N('PORTIFÓLIO'!$S$4:$S$564),
0
)
),
0)</f>
        <v/>
      </c>
      <c r="M240" s="47">
        <f>L240/$L$4</f>
        <v/>
      </c>
      <c r="N240" s="49">
        <f t="array" ref="N240">IFERROR(
SUM(
IF(
'PORTIFÓLIO'!$C$4:$C$564=$A240,
N(INDEX('PORTIFÓLIO'!$J$4:$Q$564,,MATCH(N$2,'PORTIFÓLIO'!$J$3:$Q$3,0))) *
N('PORTIFÓLIO'!$S$4:$S$564),
0
)
),
0)</f>
        <v/>
      </c>
      <c r="O240" s="49">
        <f>N240/$N$4</f>
        <v/>
      </c>
      <c r="P240" s="49">
        <f t="array" ref="P240">IFERROR(
SUM(
IF(
'PORTIFÓLIO'!$C$4:$C$564=$A240,
N(INDEX('PORTIFÓLIO'!$J$4:$Q$564,,MATCH(P$2,'PORTIFÓLIO'!$J$3:$Q$3,0))) *
N('PORTIFÓLIO'!$S$4:$S$564),
0
)
),
0)</f>
        <v/>
      </c>
      <c r="Q240" s="49">
        <f>P240/$P$4</f>
        <v/>
      </c>
      <c r="R240" s="49">
        <f>SUM(P240,N240,L240,J240,H240,D240,B240)</f>
        <v/>
      </c>
      <c r="S240" s="49">
        <f>R240/$R$4</f>
        <v/>
      </c>
    </row>
    <row r="241" hidden="1" outlineLevel="1" ht="15.75" customHeight="1" s="297">
      <c r="A241" s="48">
        <f>IFERROR(__xludf.DUMMYFUNCTION("""COMPUTED_VALUE"""),"POLYTRIN")</f>
        <v/>
      </c>
      <c r="B241" s="49">
        <f t="array" ref="B241">IFERROR(
SUM(
IF(
'PORTIFÓLIO'!$C$4:$C$564=$A241,
N(INDEX('PORTIFÓLIO'!$J$4:$Q$564,,MATCH(B$2,'PORTIFÓLIO'!$J$3:$Q$3,0))) *
N('PORTIFÓLIO'!$S$4:$S$564),
0
)
),
0)</f>
        <v/>
      </c>
      <c r="C241" s="49">
        <f>B241/$B$4</f>
        <v/>
      </c>
      <c r="D241" s="49">
        <f t="array" ref="D241">IFERROR(
SUM(
IF(
'PORTIFÓLIO'!$C$4:$C$564=$A241,
N(INDEX('PORTIFÓLIO'!$J$4:$Q$564,,MATCH(D$2,'PORTIFÓLIO'!$J$3:$Q$3,0))) *
N('PORTIFÓLIO'!$S$4:$S$564),
0
)
),
0)</f>
        <v/>
      </c>
      <c r="E241" s="49">
        <f>D241/$D$4</f>
        <v/>
      </c>
      <c r="F241" s="49">
        <f t="array" ref="F241">IFERROR(
SUM(
IF(
'PORTIFÓLIO'!$C$4:$C$564=$A241,
N(INDEX('PORTIFÓLIO'!$J$4:$Q$564,,MATCH(F$2,'PORTIFÓLIO'!$J$3:$Q$3,0))) *
N('PORTIFÓLIO'!$S$4:$S$564),
0
)
),
0)</f>
        <v/>
      </c>
      <c r="G241" s="47">
        <f>F241/$F$4</f>
        <v/>
      </c>
      <c r="H241" s="49">
        <f t="array" ref="H241">IFERROR(
SUM(
IF(
'PORTIFÓLIO'!$C$4:$C$564=$A241,
N(INDEX('PORTIFÓLIO'!$J$4:$Q$564,,MATCH(H$2,'PORTIFÓLIO'!$J$3:$Q$3,0))) *
N('PORTIFÓLIO'!$S$4:$S$564),
0
)
),
0)</f>
        <v/>
      </c>
      <c r="I241" s="47">
        <f>H241/$H$4</f>
        <v/>
      </c>
      <c r="J241" s="49">
        <f t="array" ref="J241">IFERROR(
SUM(
IF(
'PORTIFÓLIO'!$C$4:$C$564=$A241,
N(INDEX('PORTIFÓLIO'!$J$4:$Q$564,,MATCH(J$2,'PORTIFÓLIO'!$J$3:$Q$3,0))) *
N('PORTIFÓLIO'!$S$4:$S$564),
0
)
),
0)</f>
        <v/>
      </c>
      <c r="K241" s="47">
        <f>J241/$J$4</f>
        <v/>
      </c>
      <c r="L241" s="49">
        <f t="array" ref="L241">IFERROR(
SUM(
IF(
'PORTIFÓLIO'!$C$4:$C$564=$A241,
N(INDEX('PORTIFÓLIO'!$J$4:$Q$564,,MATCH(L$2,'PORTIFÓLIO'!$J$3:$Q$3,0))) *
N('PORTIFÓLIO'!$S$4:$S$564),
0
)
),
0)</f>
        <v/>
      </c>
      <c r="M241" s="47">
        <f>L241/$L$4</f>
        <v/>
      </c>
      <c r="N241" s="49">
        <f t="array" ref="N241">IFERROR(
SUM(
IF(
'PORTIFÓLIO'!$C$4:$C$564=$A241,
N(INDEX('PORTIFÓLIO'!$J$4:$Q$564,,MATCH(N$2,'PORTIFÓLIO'!$J$3:$Q$3,0))) *
N('PORTIFÓLIO'!$S$4:$S$564),
0
)
),
0)</f>
        <v/>
      </c>
      <c r="O241" s="49">
        <f>N241/$N$4</f>
        <v/>
      </c>
      <c r="P241" s="49">
        <f t="array" ref="P241">IFERROR(
SUM(
IF(
'PORTIFÓLIO'!$C$4:$C$564=$A241,
N(INDEX('PORTIFÓLIO'!$J$4:$Q$564,,MATCH(P$2,'PORTIFÓLIO'!$J$3:$Q$3,0))) *
N('PORTIFÓLIO'!$S$4:$S$564),
0
)
),
0)</f>
        <v/>
      </c>
      <c r="Q241" s="49">
        <f>P241/$P$4</f>
        <v/>
      </c>
      <c r="R241" s="49">
        <f>SUM(P241,N241,L241,J241,H241,D241,B241)</f>
        <v/>
      </c>
      <c r="S241" s="49">
        <f>R241/$R$4</f>
        <v/>
      </c>
    </row>
    <row r="242" hidden="1" outlineLevel="1" ht="15.75" customHeight="1" s="297">
      <c r="A242" s="48">
        <f>IFERROR(__xludf.DUMMYFUNCTION("""COMPUTED_VALUE"""),"PROCLAIM 50")</f>
        <v/>
      </c>
      <c r="B242" s="49">
        <f t="array" ref="B242">IFERROR(
SUM(
IF(
'PORTIFÓLIO'!$C$4:$C$564=$A242,
N(INDEX('PORTIFÓLIO'!$J$4:$Q$564,,MATCH(B$2,'PORTIFÓLIO'!$J$3:$Q$3,0))) *
N('PORTIFÓLIO'!$S$4:$S$564),
0
)
),
0)</f>
        <v/>
      </c>
      <c r="C242" s="49">
        <f>B242/$B$4</f>
        <v/>
      </c>
      <c r="D242" s="49">
        <f t="array" ref="D242">IFERROR(
SUM(
IF(
'PORTIFÓLIO'!$C$4:$C$564=$A242,
N(INDEX('PORTIFÓLIO'!$J$4:$Q$564,,MATCH(D$2,'PORTIFÓLIO'!$J$3:$Q$3,0))) *
N('PORTIFÓLIO'!$S$4:$S$564),
0
)
),
0)</f>
        <v/>
      </c>
      <c r="E242" s="49">
        <f>D242/$D$4</f>
        <v/>
      </c>
      <c r="F242" s="49">
        <f t="array" ref="F242">IFERROR(
SUM(
IF(
'PORTIFÓLIO'!$C$4:$C$564=$A242,
N(INDEX('PORTIFÓLIO'!$J$4:$Q$564,,MATCH(F$2,'PORTIFÓLIO'!$J$3:$Q$3,0))) *
N('PORTIFÓLIO'!$S$4:$S$564),
0
)
),
0)</f>
        <v/>
      </c>
      <c r="G242" s="47">
        <f>F242/$F$4</f>
        <v/>
      </c>
      <c r="H242" s="49">
        <f t="array" ref="H242">IFERROR(
SUM(
IF(
'PORTIFÓLIO'!$C$4:$C$564=$A242,
N(INDEX('PORTIFÓLIO'!$J$4:$Q$564,,MATCH(H$2,'PORTIFÓLIO'!$J$3:$Q$3,0))) *
N('PORTIFÓLIO'!$S$4:$S$564),
0
)
),
0)</f>
        <v/>
      </c>
      <c r="I242" s="47">
        <f>H242/$H$4</f>
        <v/>
      </c>
      <c r="J242" s="49">
        <f t="array" ref="J242">IFERROR(
SUM(
IF(
'PORTIFÓLIO'!$C$4:$C$564=$A242,
N(INDEX('PORTIFÓLIO'!$J$4:$Q$564,,MATCH(J$2,'PORTIFÓLIO'!$J$3:$Q$3,0))) *
N('PORTIFÓLIO'!$S$4:$S$564),
0
)
),
0)</f>
        <v/>
      </c>
      <c r="K242" s="47">
        <f>J242/$J$4</f>
        <v/>
      </c>
      <c r="L242" s="49">
        <f t="array" ref="L242">IFERROR(
SUM(
IF(
'PORTIFÓLIO'!$C$4:$C$564=$A242,
N(INDEX('PORTIFÓLIO'!$J$4:$Q$564,,MATCH(L$2,'PORTIFÓLIO'!$J$3:$Q$3,0))) *
N('PORTIFÓLIO'!$S$4:$S$564),
0
)
),
0)</f>
        <v/>
      </c>
      <c r="M242" s="47">
        <f>L242/$L$4</f>
        <v/>
      </c>
      <c r="N242" s="49">
        <f t="array" ref="N242">IFERROR(
SUM(
IF(
'PORTIFÓLIO'!$C$4:$C$564=$A242,
N(INDEX('PORTIFÓLIO'!$J$4:$Q$564,,MATCH(N$2,'PORTIFÓLIO'!$J$3:$Q$3,0))) *
N('PORTIFÓLIO'!$S$4:$S$564),
0
)
),
0)</f>
        <v/>
      </c>
      <c r="O242" s="49">
        <f>N242/$N$4</f>
        <v/>
      </c>
      <c r="P242" s="49">
        <f t="array" ref="P242">IFERROR(
SUM(
IF(
'PORTIFÓLIO'!$C$4:$C$564=$A242,
N(INDEX('PORTIFÓLIO'!$J$4:$Q$564,,MATCH(P$2,'PORTIFÓLIO'!$J$3:$Q$3,0))) *
N('PORTIFÓLIO'!$S$4:$S$564),
0
)
),
0)</f>
        <v/>
      </c>
      <c r="Q242" s="49">
        <f>P242/$P$4</f>
        <v/>
      </c>
      <c r="R242" s="49">
        <f>SUM(P242,N242,L242,J242,H242,D242,B242)</f>
        <v/>
      </c>
      <c r="S242" s="49">
        <f>R242/$R$4</f>
        <v/>
      </c>
    </row>
    <row r="243" hidden="1" outlineLevel="1" ht="15.75" customHeight="1" s="297">
      <c r="A243" s="48">
        <f>IFERROR(__xludf.DUMMYFUNCTION("""COMPUTED_VALUE"""),"SPONTA")</f>
        <v/>
      </c>
      <c r="B243" s="49">
        <f t="array" ref="B243">IFERROR(
SUM(
IF(
'PORTIFÓLIO'!$C$4:$C$564=$A243,
N(INDEX('PORTIFÓLIO'!$J$4:$Q$564,,MATCH(B$2,'PORTIFÓLIO'!$J$3:$Q$3,0))) *
N('PORTIFÓLIO'!$S$4:$S$564),
0
)
),
0)</f>
        <v/>
      </c>
      <c r="C243" s="49">
        <f>B243/$B$4</f>
        <v/>
      </c>
      <c r="D243" s="49">
        <f t="array" ref="D243">IFERROR(
SUM(
IF(
'PORTIFÓLIO'!$C$4:$C$564=$A243,
N(INDEX('PORTIFÓLIO'!$J$4:$Q$564,,MATCH(D$2,'PORTIFÓLIO'!$J$3:$Q$3,0))) *
N('PORTIFÓLIO'!$S$4:$S$564),
0
)
),
0)</f>
        <v/>
      </c>
      <c r="E243" s="49">
        <f>D243/$D$4</f>
        <v/>
      </c>
      <c r="F243" s="49">
        <f t="array" ref="F243">IFERROR(
SUM(
IF(
'PORTIFÓLIO'!$C$4:$C$564=$A243,
N(INDEX('PORTIFÓLIO'!$J$4:$Q$564,,MATCH(F$2,'PORTIFÓLIO'!$J$3:$Q$3,0))) *
N('PORTIFÓLIO'!$S$4:$S$564),
0
)
),
0)</f>
        <v/>
      </c>
      <c r="G243" s="47">
        <f>F243/$F$4</f>
        <v/>
      </c>
      <c r="H243" s="49">
        <f t="array" ref="H243">IFERROR(
SUM(
IF(
'PORTIFÓLIO'!$C$4:$C$564=$A243,
N(INDEX('PORTIFÓLIO'!$J$4:$Q$564,,MATCH(H$2,'PORTIFÓLIO'!$J$3:$Q$3,0))) *
N('PORTIFÓLIO'!$S$4:$S$564),
0
)
),
0)</f>
        <v/>
      </c>
      <c r="I243" s="47">
        <f>H243/$H$4</f>
        <v/>
      </c>
      <c r="J243" s="49">
        <f t="array" ref="J243">IFERROR(
SUM(
IF(
'PORTIFÓLIO'!$C$4:$C$564=$A243,
N(INDEX('PORTIFÓLIO'!$J$4:$Q$564,,MATCH(J$2,'PORTIFÓLIO'!$J$3:$Q$3,0))) *
N('PORTIFÓLIO'!$S$4:$S$564),
0
)
),
0)</f>
        <v/>
      </c>
      <c r="K243" s="47">
        <f>J243/$J$4</f>
        <v/>
      </c>
      <c r="L243" s="49">
        <f t="array" ref="L243">IFERROR(
SUM(
IF(
'PORTIFÓLIO'!$C$4:$C$564=$A243,
N(INDEX('PORTIFÓLIO'!$J$4:$Q$564,,MATCH(L$2,'PORTIFÓLIO'!$J$3:$Q$3,0))) *
N('PORTIFÓLIO'!$S$4:$S$564),
0
)
),
0)</f>
        <v/>
      </c>
      <c r="M243" s="47">
        <f>L243/$L$4</f>
        <v/>
      </c>
      <c r="N243" s="49">
        <f t="array" ref="N243">IFERROR(
SUM(
IF(
'PORTIFÓLIO'!$C$4:$C$564=$A243,
N(INDEX('PORTIFÓLIO'!$J$4:$Q$564,,MATCH(N$2,'PORTIFÓLIO'!$J$3:$Q$3,0))) *
N('PORTIFÓLIO'!$S$4:$S$564),
0
)
),
0)</f>
        <v/>
      </c>
      <c r="O243" s="49">
        <f>N243/$N$4</f>
        <v/>
      </c>
      <c r="P243" s="49">
        <f t="array" ref="P243">IFERROR(
SUM(
IF(
'PORTIFÓLIO'!$C$4:$C$564=$A243,
N(INDEX('PORTIFÓLIO'!$J$4:$Q$564,,MATCH(P$2,'PORTIFÓLIO'!$J$3:$Q$3,0))) *
N('PORTIFÓLIO'!$S$4:$S$564),
0
)
),
0)</f>
        <v/>
      </c>
      <c r="Q243" s="49">
        <f>P243/$P$4</f>
        <v/>
      </c>
      <c r="R243" s="49">
        <f>SUM(P243,N243,L243,J243,H243,D243,B243)</f>
        <v/>
      </c>
      <c r="S243" s="49">
        <f>R243/$R$4</f>
        <v/>
      </c>
    </row>
    <row r="244" hidden="1" outlineLevel="1" ht="15.75" customHeight="1" s="297">
      <c r="A244" s="48">
        <f>IFERROR(__xludf.DUMMYFUNCTION("""COMPUTED_VALUE"""),"VERDAVIS")</f>
        <v/>
      </c>
      <c r="B244" s="49">
        <f t="array" ref="B244">IFERROR(
SUM(
IF(
'PORTIFÓLIO'!$C$4:$C$564=$A244,
N(INDEX('PORTIFÓLIO'!$J$4:$Q$564,,MATCH(B$2,'PORTIFÓLIO'!$J$3:$Q$3,0))) *
N('PORTIFÓLIO'!$S$4:$S$564),
0
)
),
0)</f>
        <v/>
      </c>
      <c r="C244" s="49">
        <f>B244/$B$4</f>
        <v/>
      </c>
      <c r="D244" s="49">
        <f t="array" ref="D244">IFERROR(
SUM(
IF(
'PORTIFÓLIO'!$C$4:$C$564=$A244,
N(INDEX('PORTIFÓLIO'!$J$4:$Q$564,,MATCH(D$2,'PORTIFÓLIO'!$J$3:$Q$3,0))) *
N('PORTIFÓLIO'!$S$4:$S$564),
0
)
),
0)</f>
        <v/>
      </c>
      <c r="E244" s="49">
        <f>D244/$D$4</f>
        <v/>
      </c>
      <c r="F244" s="49">
        <f t="array" ref="F244">IFERROR(
SUM(
IF(
'PORTIFÓLIO'!$C$4:$C$564=$A244,
N(INDEX('PORTIFÓLIO'!$J$4:$Q$564,,MATCH(F$2,'PORTIFÓLIO'!$J$3:$Q$3,0))) *
N('PORTIFÓLIO'!$S$4:$S$564),
0
)
),
0)</f>
        <v/>
      </c>
      <c r="G244" s="47">
        <f>F244/$F$4</f>
        <v/>
      </c>
      <c r="H244" s="49">
        <f t="array" ref="H244">IFERROR(
SUM(
IF(
'PORTIFÓLIO'!$C$4:$C$564=$A244,
N(INDEX('PORTIFÓLIO'!$J$4:$Q$564,,MATCH(H$2,'PORTIFÓLIO'!$J$3:$Q$3,0))) *
N('PORTIFÓLIO'!$S$4:$S$564),
0
)
),
0)</f>
        <v/>
      </c>
      <c r="I244" s="47">
        <f>H244/$H$4</f>
        <v/>
      </c>
      <c r="J244" s="49">
        <f t="array" ref="J244">IFERROR(
SUM(
IF(
'PORTIFÓLIO'!$C$4:$C$564=$A244,
N(INDEX('PORTIFÓLIO'!$J$4:$Q$564,,MATCH(J$2,'PORTIFÓLIO'!$J$3:$Q$3,0))) *
N('PORTIFÓLIO'!$S$4:$S$564),
0
)
),
0)</f>
        <v/>
      </c>
      <c r="K244" s="47">
        <f>J244/$J$4</f>
        <v/>
      </c>
      <c r="L244" s="49">
        <f t="array" ref="L244">IFERROR(
SUM(
IF(
'PORTIFÓLIO'!$C$4:$C$564=$A244,
N(INDEX('PORTIFÓLIO'!$J$4:$Q$564,,MATCH(L$2,'PORTIFÓLIO'!$J$3:$Q$3,0))) *
N('PORTIFÓLIO'!$S$4:$S$564),
0
)
),
0)</f>
        <v/>
      </c>
      <c r="M244" s="47">
        <f>L244/$L$4</f>
        <v/>
      </c>
      <c r="N244" s="49">
        <f t="array" ref="N244">IFERROR(
SUM(
IF(
'PORTIFÓLIO'!$C$4:$C$564=$A244,
N(INDEX('PORTIFÓLIO'!$J$4:$Q$564,,MATCH(N$2,'PORTIFÓLIO'!$J$3:$Q$3,0))) *
N('PORTIFÓLIO'!$S$4:$S$564),
0
)
),
0)</f>
        <v/>
      </c>
      <c r="O244" s="49">
        <f>N244/$N$4</f>
        <v/>
      </c>
      <c r="P244" s="49">
        <f t="array" ref="P244">IFERROR(
SUM(
IF(
'PORTIFÓLIO'!$C$4:$C$564=$A244,
N(INDEX('PORTIFÓLIO'!$J$4:$Q$564,,MATCH(P$2,'PORTIFÓLIO'!$J$3:$Q$3,0))) *
N('PORTIFÓLIO'!$S$4:$S$564),
0
)
),
0)</f>
        <v/>
      </c>
      <c r="Q244" s="49">
        <f>P244/$P$4</f>
        <v/>
      </c>
      <c r="R244" s="49">
        <f>SUM(P244,N244,L244,J244,H244,D244,B244)</f>
        <v/>
      </c>
      <c r="S244" s="49">
        <f>R244/$R$4</f>
        <v/>
      </c>
    </row>
    <row r="245" hidden="1" outlineLevel="1" ht="15.75" customHeight="1" s="297">
      <c r="A245" s="48">
        <f>IFERROR(__xludf.DUMMYFUNCTION("""COMPUTED_VALUE"""),"VERTIMEC 84 SC")</f>
        <v/>
      </c>
      <c r="B245" s="49">
        <f t="array" ref="B245">IFERROR(
SUM(
IF(
'PORTIFÓLIO'!$C$4:$C$564=$A245,
N(INDEX('PORTIFÓLIO'!$J$4:$Q$564,,MATCH(B$2,'PORTIFÓLIO'!$J$3:$Q$3,0))) *
N('PORTIFÓLIO'!$S$4:$S$564),
0
)
),
0)</f>
        <v/>
      </c>
      <c r="C245" s="49">
        <f>B245/$B$4</f>
        <v/>
      </c>
      <c r="D245" s="49">
        <f t="array" ref="D245">IFERROR(
SUM(
IF(
'PORTIFÓLIO'!$C$4:$C$564=$A245,
N(INDEX('PORTIFÓLIO'!$J$4:$Q$564,,MATCH(D$2,'PORTIFÓLIO'!$J$3:$Q$3,0))) *
N('PORTIFÓLIO'!$S$4:$S$564),
0
)
),
0)</f>
        <v/>
      </c>
      <c r="E245" s="49">
        <f>D245/$D$4</f>
        <v/>
      </c>
      <c r="F245" s="49">
        <f t="array" ref="F245">IFERROR(
SUM(
IF(
'PORTIFÓLIO'!$C$4:$C$564=$A245,
N(INDEX('PORTIFÓLIO'!$J$4:$Q$564,,MATCH(F$2,'PORTIFÓLIO'!$J$3:$Q$3,0))) *
N('PORTIFÓLIO'!$S$4:$S$564),
0
)
),
0)</f>
        <v/>
      </c>
      <c r="G245" s="47">
        <f>F245/$F$4</f>
        <v/>
      </c>
      <c r="H245" s="49">
        <f t="array" ref="H245">IFERROR(
SUM(
IF(
'PORTIFÓLIO'!$C$4:$C$564=$A245,
N(INDEX('PORTIFÓLIO'!$J$4:$Q$564,,MATCH(H$2,'PORTIFÓLIO'!$J$3:$Q$3,0))) *
N('PORTIFÓLIO'!$S$4:$S$564),
0
)
),
0)</f>
        <v/>
      </c>
      <c r="I245" s="47">
        <f>H245/$H$4</f>
        <v/>
      </c>
      <c r="J245" s="49">
        <f t="array" ref="J245">IFERROR(
SUM(
IF(
'PORTIFÓLIO'!$C$4:$C$564=$A245,
N(INDEX('PORTIFÓLIO'!$J$4:$Q$564,,MATCH(J$2,'PORTIFÓLIO'!$J$3:$Q$3,0))) *
N('PORTIFÓLIO'!$S$4:$S$564),
0
)
),
0)</f>
        <v/>
      </c>
      <c r="K245" s="47">
        <f>J245/$J$4</f>
        <v/>
      </c>
      <c r="L245" s="49">
        <f t="array" ref="L245">IFERROR(
SUM(
IF(
'PORTIFÓLIO'!$C$4:$C$564=$A245,
N(INDEX('PORTIFÓLIO'!$J$4:$Q$564,,MATCH(L$2,'PORTIFÓLIO'!$J$3:$Q$3,0))) *
N('PORTIFÓLIO'!$S$4:$S$564),
0
)
),
0)</f>
        <v/>
      </c>
      <c r="M245" s="47">
        <f>L245/$L$4</f>
        <v/>
      </c>
      <c r="N245" s="49">
        <f t="array" ref="N245">IFERROR(
SUM(
IF(
'PORTIFÓLIO'!$C$4:$C$564=$A245,
N(INDEX('PORTIFÓLIO'!$J$4:$Q$564,,MATCH(N$2,'PORTIFÓLIO'!$J$3:$Q$3,0))) *
N('PORTIFÓLIO'!$S$4:$S$564),
0
)
),
0)</f>
        <v/>
      </c>
      <c r="O245" s="49">
        <f>N245/$N$4</f>
        <v/>
      </c>
      <c r="P245" s="49">
        <f t="array" ref="P245">IFERROR(
SUM(
IF(
'PORTIFÓLIO'!$C$4:$C$564=$A245,
N(INDEX('PORTIFÓLIO'!$J$4:$Q$564,,MATCH(P$2,'PORTIFÓLIO'!$J$3:$Q$3,0))) *
N('PORTIFÓLIO'!$S$4:$S$564),
0
)
),
0)</f>
        <v/>
      </c>
      <c r="Q245" s="49">
        <f>P245/$P$4</f>
        <v/>
      </c>
      <c r="R245" s="49">
        <f>SUM(P245,N245,L245,J245,H245,D245,B245)</f>
        <v/>
      </c>
      <c r="S245" s="49">
        <f>R245/$R$4</f>
        <v/>
      </c>
    </row>
    <row r="246" hidden="1" outlineLevel="1" ht="15.75" customHeight="1" s="297">
      <c r="A246" s="48" t="n"/>
      <c r="B246" s="49">
        <f t="array" ref="B246">IFERROR(
SUM(
IF(
'PORTIFÓLIO'!$C$4:$C$564=$A246,
N(INDEX('PORTIFÓLIO'!$J$4:$Q$564,,MATCH(B$2,'PORTIFÓLIO'!$J$3:$Q$3,0))) *
N('PORTIFÓLIO'!$S$4:$S$564),
0
)
),
0)</f>
        <v/>
      </c>
      <c r="C246" s="49">
        <f>B246/$B$4</f>
        <v/>
      </c>
      <c r="D246" s="49">
        <f t="array" ref="D246">IFERROR(
SUM(
IF(
'PORTIFÓLIO'!$C$4:$C$564=$A246,
N(INDEX('PORTIFÓLIO'!$J$4:$Q$564,,MATCH(D$2,'PORTIFÓLIO'!$J$3:$Q$3,0))) *
N('PORTIFÓLIO'!$S$4:$S$564),
0
)
),
0)</f>
        <v/>
      </c>
      <c r="E246" s="49">
        <f>D246/$D$4</f>
        <v/>
      </c>
      <c r="F246" s="49">
        <f t="array" ref="F246">IFERROR(
SUM(
IF(
'PORTIFÓLIO'!$C$4:$C$564=$A246,
N(INDEX('PORTIFÓLIO'!$J$4:$Q$564,,MATCH(F$2,'PORTIFÓLIO'!$J$3:$Q$3,0))) *
N('PORTIFÓLIO'!$S$4:$S$564),
0
)
),
0)</f>
        <v/>
      </c>
      <c r="G246" s="47">
        <f>F246/$F$4</f>
        <v/>
      </c>
      <c r="H246" s="49">
        <f t="array" ref="H246">IFERROR(
SUM(
IF(
'PORTIFÓLIO'!$C$4:$C$564=$A246,
N(INDEX('PORTIFÓLIO'!$J$4:$Q$564,,MATCH(H$2,'PORTIFÓLIO'!$J$3:$Q$3,0))) *
N('PORTIFÓLIO'!$S$4:$S$564),
0
)
),
0)</f>
        <v/>
      </c>
      <c r="I246" s="47">
        <f>H246/$H$4</f>
        <v/>
      </c>
      <c r="J246" s="49">
        <f t="array" ref="J246">IFERROR(
SUM(
IF(
'PORTIFÓLIO'!$C$4:$C$564=$A246,
N(INDEX('PORTIFÓLIO'!$J$4:$Q$564,,MATCH(J$2,'PORTIFÓLIO'!$J$3:$Q$3,0))) *
N('PORTIFÓLIO'!$S$4:$S$564),
0
)
),
0)</f>
        <v/>
      </c>
      <c r="K246" s="47">
        <f>J246/$J$4</f>
        <v/>
      </c>
      <c r="L246" s="49">
        <f t="array" ref="L246">IFERROR(
SUM(
IF(
'PORTIFÓLIO'!$C$4:$C$564=$A246,
N(INDEX('PORTIFÓLIO'!$J$4:$Q$564,,MATCH(L$2,'PORTIFÓLIO'!$J$3:$Q$3,0))) *
N('PORTIFÓLIO'!$S$4:$S$564),
0
)
),
0)</f>
        <v/>
      </c>
      <c r="M246" s="47">
        <f>L246/$L$4</f>
        <v/>
      </c>
      <c r="N246" s="49">
        <f t="array" ref="N246">IFERROR(
SUM(
IF(
'PORTIFÓLIO'!$C$4:$C$564=$A246,
N(INDEX('PORTIFÓLIO'!$J$4:$Q$564,,MATCH(N$2,'PORTIFÓLIO'!$J$3:$Q$3,0))) *
N('PORTIFÓLIO'!$S$4:$S$564),
0
)
),
0)</f>
        <v/>
      </c>
      <c r="O246" s="49">
        <f>N246/$N$4</f>
        <v/>
      </c>
      <c r="P246" s="49">
        <f t="array" ref="P246">IFERROR(
SUM(
IF(
'PORTIFÓLIO'!$C$4:$C$564=$A246,
N(INDEX('PORTIFÓLIO'!$J$4:$Q$564,,MATCH(P$2,'PORTIFÓLIO'!$J$3:$Q$3,0))) *
N('PORTIFÓLIO'!$S$4:$S$564),
0
)
),
0)</f>
        <v/>
      </c>
      <c r="Q246" s="49">
        <f>P246/$P$4</f>
        <v/>
      </c>
      <c r="R246" s="49">
        <f>SUM(P246,N246,L246,J246,H246,D246,B246)</f>
        <v/>
      </c>
      <c r="S246" s="49">
        <f>R246/$R$4</f>
        <v/>
      </c>
    </row>
    <row r="247" hidden="1" outlineLevel="1" ht="15.75" customHeight="1" s="297">
      <c r="A247" s="48" t="n"/>
      <c r="B247" s="49">
        <f t="array" ref="B247">IFERROR(
SUM(
IF(
'PORTIFÓLIO'!$C$4:$C$564=$A247,
N(INDEX('PORTIFÓLIO'!$J$4:$Q$564,,MATCH(B$2,'PORTIFÓLIO'!$J$3:$Q$3,0))) *
N('PORTIFÓLIO'!$S$4:$S$564),
0
)
),
0)</f>
        <v/>
      </c>
      <c r="C247" s="49">
        <f>B247/$B$4</f>
        <v/>
      </c>
      <c r="D247" s="49">
        <f t="array" ref="D247">IFERROR(
SUM(
IF(
'PORTIFÓLIO'!$C$4:$C$564=$A247,
N(INDEX('PORTIFÓLIO'!$J$4:$Q$564,,MATCH(D$2,'PORTIFÓLIO'!$J$3:$Q$3,0))) *
N('PORTIFÓLIO'!$S$4:$S$564),
0
)
),
0)</f>
        <v/>
      </c>
      <c r="E247" s="49">
        <f>D247/$D$4</f>
        <v/>
      </c>
      <c r="F247" s="49">
        <f t="array" ref="F247">IFERROR(
SUM(
IF(
'PORTIFÓLIO'!$C$4:$C$564=$A247,
N(INDEX('PORTIFÓLIO'!$J$4:$Q$564,,MATCH(F$2,'PORTIFÓLIO'!$J$3:$Q$3,0))) *
N('PORTIFÓLIO'!$S$4:$S$564),
0
)
),
0)</f>
        <v/>
      </c>
      <c r="G247" s="47">
        <f>F247/$F$4</f>
        <v/>
      </c>
      <c r="H247" s="49">
        <f t="array" ref="H247">IFERROR(
SUM(
IF(
'PORTIFÓLIO'!$C$4:$C$564=$A247,
N(INDEX('PORTIFÓLIO'!$J$4:$Q$564,,MATCH(H$2,'PORTIFÓLIO'!$J$3:$Q$3,0))) *
N('PORTIFÓLIO'!$S$4:$S$564),
0
)
),
0)</f>
        <v/>
      </c>
      <c r="I247" s="47">
        <f>H247/$H$4</f>
        <v/>
      </c>
      <c r="J247" s="49">
        <f t="array" ref="J247">IFERROR(
SUM(
IF(
'PORTIFÓLIO'!$C$4:$C$564=$A247,
N(INDEX('PORTIFÓLIO'!$J$4:$Q$564,,MATCH(J$2,'PORTIFÓLIO'!$J$3:$Q$3,0))) *
N('PORTIFÓLIO'!$S$4:$S$564),
0
)
),
0)</f>
        <v/>
      </c>
      <c r="K247" s="47">
        <f>J247/$J$4</f>
        <v/>
      </c>
      <c r="L247" s="49">
        <f t="array" ref="L247">IFERROR(
SUM(
IF(
'PORTIFÓLIO'!$C$4:$C$564=$A247,
N(INDEX('PORTIFÓLIO'!$J$4:$Q$564,,MATCH(L$2,'PORTIFÓLIO'!$J$3:$Q$3,0))) *
N('PORTIFÓLIO'!$S$4:$S$564),
0
)
),
0)</f>
        <v/>
      </c>
      <c r="M247" s="47">
        <f>L247/$L$4</f>
        <v/>
      </c>
      <c r="N247" s="49">
        <f t="array" ref="N247">IFERROR(
SUM(
IF(
'PORTIFÓLIO'!$C$4:$C$564=$A247,
N(INDEX('PORTIFÓLIO'!$J$4:$Q$564,,MATCH(N$2,'PORTIFÓLIO'!$J$3:$Q$3,0))) *
N('PORTIFÓLIO'!$S$4:$S$564),
0
)
),
0)</f>
        <v/>
      </c>
      <c r="O247" s="49">
        <f>N247/$N$4</f>
        <v/>
      </c>
      <c r="P247" s="49">
        <f t="array" ref="P247">IFERROR(
SUM(
IF(
'PORTIFÓLIO'!$C$4:$C$564=$A247,
N(INDEX('PORTIFÓLIO'!$J$4:$Q$564,,MATCH(P$2,'PORTIFÓLIO'!$J$3:$Q$3,0))) *
N('PORTIFÓLIO'!$S$4:$S$564),
0
)
),
0)</f>
        <v/>
      </c>
      <c r="Q247" s="49">
        <f>P247/$P$4</f>
        <v/>
      </c>
      <c r="R247" s="49">
        <f>SUM(P247,N247,L247,J247,H247,D247,B247)</f>
        <v/>
      </c>
      <c r="S247" s="49">
        <f>R247/$R$4</f>
        <v/>
      </c>
    </row>
    <row r="248" hidden="1" outlineLevel="1" ht="15.75" customHeight="1" s="297">
      <c r="A248" s="48" t="n"/>
      <c r="B248" s="49">
        <f t="array" ref="B248">IFERROR(
SUM(
IF(
'PORTIFÓLIO'!$C$4:$C$564=$A248,
N(INDEX('PORTIFÓLIO'!$J$4:$Q$564,,MATCH(B$2,'PORTIFÓLIO'!$J$3:$Q$3,0))) *
N('PORTIFÓLIO'!$S$4:$S$564),
0
)
),
0)</f>
        <v/>
      </c>
      <c r="C248" s="49">
        <f>B248/$B$4</f>
        <v/>
      </c>
      <c r="D248" s="49">
        <f t="array" ref="D248">IFERROR(
SUM(
IF(
'PORTIFÓLIO'!$C$4:$C$564=$A248,
N(INDEX('PORTIFÓLIO'!$J$4:$Q$564,,MATCH(D$2,'PORTIFÓLIO'!$J$3:$Q$3,0))) *
N('PORTIFÓLIO'!$S$4:$S$564),
0
)
),
0)</f>
        <v/>
      </c>
      <c r="E248" s="49">
        <f>D248/$D$4</f>
        <v/>
      </c>
      <c r="F248" s="49">
        <f t="array" ref="F248">IFERROR(
SUM(
IF(
'PORTIFÓLIO'!$C$4:$C$564=$A248,
N(INDEX('PORTIFÓLIO'!$J$4:$Q$564,,MATCH(F$2,'PORTIFÓLIO'!$J$3:$Q$3,0))) *
N('PORTIFÓLIO'!$S$4:$S$564),
0
)
),
0)</f>
        <v/>
      </c>
      <c r="G248" s="47">
        <f>F248/$F$4</f>
        <v/>
      </c>
      <c r="H248" s="49">
        <f t="array" ref="H248">IFERROR(
SUM(
IF(
'PORTIFÓLIO'!$C$4:$C$564=$A248,
N(INDEX('PORTIFÓLIO'!$J$4:$Q$564,,MATCH(H$2,'PORTIFÓLIO'!$J$3:$Q$3,0))) *
N('PORTIFÓLIO'!$S$4:$S$564),
0
)
),
0)</f>
        <v/>
      </c>
      <c r="I248" s="47">
        <f>H248/$H$4</f>
        <v/>
      </c>
      <c r="J248" s="49">
        <f t="array" ref="J248">IFERROR(
SUM(
IF(
'PORTIFÓLIO'!$C$4:$C$564=$A248,
N(INDEX('PORTIFÓLIO'!$J$4:$Q$564,,MATCH(J$2,'PORTIFÓLIO'!$J$3:$Q$3,0))) *
N('PORTIFÓLIO'!$S$4:$S$564),
0
)
),
0)</f>
        <v/>
      </c>
      <c r="K248" s="47">
        <f>J248/$J$4</f>
        <v/>
      </c>
      <c r="L248" s="49">
        <f t="array" ref="L248">IFERROR(
SUM(
IF(
'PORTIFÓLIO'!$C$4:$C$564=$A248,
N(INDEX('PORTIFÓLIO'!$J$4:$Q$564,,MATCH(L$2,'PORTIFÓLIO'!$J$3:$Q$3,0))) *
N('PORTIFÓLIO'!$S$4:$S$564),
0
)
),
0)</f>
        <v/>
      </c>
      <c r="M248" s="47">
        <f>L248/$L$4</f>
        <v/>
      </c>
      <c r="N248" s="49">
        <f t="array" ref="N248">IFERROR(
SUM(
IF(
'PORTIFÓLIO'!$C$4:$C$564=$A248,
N(INDEX('PORTIFÓLIO'!$J$4:$Q$564,,MATCH(N$2,'PORTIFÓLIO'!$J$3:$Q$3,0))) *
N('PORTIFÓLIO'!$S$4:$S$564),
0
)
),
0)</f>
        <v/>
      </c>
      <c r="O248" s="49">
        <f>N248/$N$4</f>
        <v/>
      </c>
      <c r="P248" s="49">
        <f t="array" ref="P248">IFERROR(
SUM(
IF(
'PORTIFÓLIO'!$C$4:$C$564=$A248,
N(INDEX('PORTIFÓLIO'!$J$4:$Q$564,,MATCH(P$2,'PORTIFÓLIO'!$J$3:$Q$3,0))) *
N('PORTIFÓLIO'!$S$4:$S$564),
0
)
),
0)</f>
        <v/>
      </c>
      <c r="Q248" s="49">
        <f>P248/$P$4</f>
        <v/>
      </c>
      <c r="R248" s="49">
        <f>SUM(P248,N248,L248,J248,H248,D248,B248)</f>
        <v/>
      </c>
      <c r="S248" s="49">
        <f>R248/$R$4</f>
        <v/>
      </c>
    </row>
    <row r="249" hidden="1" outlineLevel="1" ht="15.75" customHeight="1" s="297">
      <c r="A249" s="48" t="n"/>
      <c r="B249" s="49">
        <f t="array" ref="B249">IFERROR(
SUM(
IF(
'PORTIFÓLIO'!$C$4:$C$564=$A249,
N(INDEX('PORTIFÓLIO'!$J$4:$Q$564,,MATCH(B$2,'PORTIFÓLIO'!$J$3:$Q$3,0))) *
N('PORTIFÓLIO'!$S$4:$S$564),
0
)
),
0)</f>
        <v/>
      </c>
      <c r="C249" s="49">
        <f>B249/$B$4</f>
        <v/>
      </c>
      <c r="D249" s="49">
        <f t="array" ref="D249">IFERROR(
SUM(
IF(
'PORTIFÓLIO'!$C$4:$C$564=$A249,
N(INDEX('PORTIFÓLIO'!$J$4:$Q$564,,MATCH(D$2,'PORTIFÓLIO'!$J$3:$Q$3,0))) *
N('PORTIFÓLIO'!$S$4:$S$564),
0
)
),
0)</f>
        <v/>
      </c>
      <c r="E249" s="49">
        <f>D249/$D$4</f>
        <v/>
      </c>
      <c r="F249" s="49">
        <f t="array" ref="F249">IFERROR(
SUM(
IF(
'PORTIFÓLIO'!$C$4:$C$564=$A249,
N(INDEX('PORTIFÓLIO'!$J$4:$Q$564,,MATCH(F$2,'PORTIFÓLIO'!$J$3:$Q$3,0))) *
N('PORTIFÓLIO'!$S$4:$S$564),
0
)
),
0)</f>
        <v/>
      </c>
      <c r="G249" s="47">
        <f>F249/$F$4</f>
        <v/>
      </c>
      <c r="H249" s="49">
        <f t="array" ref="H249">IFERROR(
SUM(
IF(
'PORTIFÓLIO'!$C$4:$C$564=$A249,
N(INDEX('PORTIFÓLIO'!$J$4:$Q$564,,MATCH(H$2,'PORTIFÓLIO'!$J$3:$Q$3,0))) *
N('PORTIFÓLIO'!$S$4:$S$564),
0
)
),
0)</f>
        <v/>
      </c>
      <c r="I249" s="47">
        <f>H249/$H$4</f>
        <v/>
      </c>
      <c r="J249" s="49">
        <f t="array" ref="J249">IFERROR(
SUM(
IF(
'PORTIFÓLIO'!$C$4:$C$564=$A249,
N(INDEX('PORTIFÓLIO'!$J$4:$Q$564,,MATCH(J$2,'PORTIFÓLIO'!$J$3:$Q$3,0))) *
N('PORTIFÓLIO'!$S$4:$S$564),
0
)
),
0)</f>
        <v/>
      </c>
      <c r="K249" s="47">
        <f>J249/$J$4</f>
        <v/>
      </c>
      <c r="L249" s="49">
        <f t="array" ref="L249">IFERROR(
SUM(
IF(
'PORTIFÓLIO'!$C$4:$C$564=$A249,
N(INDEX('PORTIFÓLIO'!$J$4:$Q$564,,MATCH(L$2,'PORTIFÓLIO'!$J$3:$Q$3,0))) *
N('PORTIFÓLIO'!$S$4:$S$564),
0
)
),
0)</f>
        <v/>
      </c>
      <c r="M249" s="47">
        <f>L249/$L$4</f>
        <v/>
      </c>
      <c r="N249" s="49">
        <f t="array" ref="N249">IFERROR(
SUM(
IF(
'PORTIFÓLIO'!$C$4:$C$564=$A249,
N(INDEX('PORTIFÓLIO'!$J$4:$Q$564,,MATCH(N$2,'PORTIFÓLIO'!$J$3:$Q$3,0))) *
N('PORTIFÓLIO'!$S$4:$S$564),
0
)
),
0)</f>
        <v/>
      </c>
      <c r="O249" s="49">
        <f>N249/$N$4</f>
        <v/>
      </c>
      <c r="P249" s="49">
        <f t="array" ref="P249">IFERROR(
SUM(
IF(
'PORTIFÓLIO'!$C$4:$C$564=$A249,
N(INDEX('PORTIFÓLIO'!$J$4:$Q$564,,MATCH(P$2,'PORTIFÓLIO'!$J$3:$Q$3,0))) *
N('PORTIFÓLIO'!$S$4:$S$564),
0
)
),
0)</f>
        <v/>
      </c>
      <c r="Q249" s="49">
        <f>P249/$P$4</f>
        <v/>
      </c>
      <c r="R249" s="49">
        <f>SUM(P249,N249,L249,J249,H249,D249,B249)</f>
        <v/>
      </c>
      <c r="S249" s="49">
        <f>R249/$R$4</f>
        <v/>
      </c>
    </row>
    <row r="250" hidden="1" outlineLevel="1" ht="15.75" customHeight="1" s="297">
      <c r="A250" s="48" t="n"/>
      <c r="B250" s="49">
        <f t="array" ref="B250">IFERROR(
SUM(
IF(
'PORTIFÓLIO'!$C$4:$C$564=$A250,
N(INDEX('PORTIFÓLIO'!$J$4:$Q$564,,MATCH(B$2,'PORTIFÓLIO'!$J$3:$Q$3,0))) *
N('PORTIFÓLIO'!$S$4:$S$564),
0
)
),
0)</f>
        <v/>
      </c>
      <c r="C250" s="49">
        <f>B250/$B$4</f>
        <v/>
      </c>
      <c r="D250" s="49">
        <f t="array" ref="D250">IFERROR(
SUM(
IF(
'PORTIFÓLIO'!$C$4:$C$564=$A250,
N(INDEX('PORTIFÓLIO'!$J$4:$Q$564,,MATCH(D$2,'PORTIFÓLIO'!$J$3:$Q$3,0))) *
N('PORTIFÓLIO'!$S$4:$S$564),
0
)
),
0)</f>
        <v/>
      </c>
      <c r="E250" s="49">
        <f>D250/$D$4</f>
        <v/>
      </c>
      <c r="F250" s="49">
        <f t="array" ref="F250">IFERROR(
SUM(
IF(
'PORTIFÓLIO'!$C$4:$C$564=$A250,
N(INDEX('PORTIFÓLIO'!$J$4:$Q$564,,MATCH(F$2,'PORTIFÓLIO'!$J$3:$Q$3,0))) *
N('PORTIFÓLIO'!$S$4:$S$564),
0
)
),
0)</f>
        <v/>
      </c>
      <c r="G250" s="47">
        <f>F250/$F$4</f>
        <v/>
      </c>
      <c r="H250" s="49">
        <f t="array" ref="H250">IFERROR(
SUM(
IF(
'PORTIFÓLIO'!$C$4:$C$564=$A250,
N(INDEX('PORTIFÓLIO'!$J$4:$Q$564,,MATCH(H$2,'PORTIFÓLIO'!$J$3:$Q$3,0))) *
N('PORTIFÓLIO'!$S$4:$S$564),
0
)
),
0)</f>
        <v/>
      </c>
      <c r="I250" s="47">
        <f>H250/$H$4</f>
        <v/>
      </c>
      <c r="J250" s="49">
        <f t="array" ref="J250">IFERROR(
SUM(
IF(
'PORTIFÓLIO'!$C$4:$C$564=$A250,
N(INDEX('PORTIFÓLIO'!$J$4:$Q$564,,MATCH(J$2,'PORTIFÓLIO'!$J$3:$Q$3,0))) *
N('PORTIFÓLIO'!$S$4:$S$564),
0
)
),
0)</f>
        <v/>
      </c>
      <c r="K250" s="47">
        <f>J250/$J$4</f>
        <v/>
      </c>
      <c r="L250" s="49">
        <f t="array" ref="L250">IFERROR(
SUM(
IF(
'PORTIFÓLIO'!$C$4:$C$564=$A250,
N(INDEX('PORTIFÓLIO'!$J$4:$Q$564,,MATCH(L$2,'PORTIFÓLIO'!$J$3:$Q$3,0))) *
N('PORTIFÓLIO'!$S$4:$S$564),
0
)
),
0)</f>
        <v/>
      </c>
      <c r="M250" s="47">
        <f>L250/$L$4</f>
        <v/>
      </c>
      <c r="N250" s="49">
        <f t="array" ref="N250">IFERROR(
SUM(
IF(
'PORTIFÓLIO'!$C$4:$C$564=$A250,
N(INDEX('PORTIFÓLIO'!$J$4:$Q$564,,MATCH(N$2,'PORTIFÓLIO'!$J$3:$Q$3,0))) *
N('PORTIFÓLIO'!$S$4:$S$564),
0
)
),
0)</f>
        <v/>
      </c>
      <c r="O250" s="49">
        <f>N250/$N$4</f>
        <v/>
      </c>
      <c r="P250" s="49">
        <f t="array" ref="P250">IFERROR(
SUM(
IF(
'PORTIFÓLIO'!$C$4:$C$564=$A250,
N(INDEX('PORTIFÓLIO'!$J$4:$Q$564,,MATCH(P$2,'PORTIFÓLIO'!$J$3:$Q$3,0))) *
N('PORTIFÓLIO'!$S$4:$S$564),
0
)
),
0)</f>
        <v/>
      </c>
      <c r="Q250" s="49">
        <f>P250/$P$4</f>
        <v/>
      </c>
      <c r="R250" s="49">
        <f>SUM(P250,N250,L250,J250,H250,D250,B250)</f>
        <v/>
      </c>
      <c r="S250" s="49">
        <f>R250/$R$4</f>
        <v/>
      </c>
    </row>
    <row r="251" hidden="1" outlineLevel="1" ht="15.75" customHeight="1" s="297">
      <c r="A251" s="48" t="n"/>
      <c r="B251" s="49">
        <f t="array" ref="B251">IFERROR(
SUM(
IF(
'PORTIFÓLIO'!$C$4:$C$564=$A251,
N(INDEX('PORTIFÓLIO'!$J$4:$Q$564,,MATCH(B$2,'PORTIFÓLIO'!$J$3:$Q$3,0))) *
N('PORTIFÓLIO'!$S$4:$S$564),
0
)
),
0)</f>
        <v/>
      </c>
      <c r="C251" s="49">
        <f>B251/$B$4</f>
        <v/>
      </c>
      <c r="D251" s="49">
        <f t="array" ref="D251">IFERROR(
SUM(
IF(
'PORTIFÓLIO'!$C$4:$C$564=$A251,
N(INDEX('PORTIFÓLIO'!$J$4:$Q$564,,MATCH(D$2,'PORTIFÓLIO'!$J$3:$Q$3,0))) *
N('PORTIFÓLIO'!$S$4:$S$564),
0
)
),
0)</f>
        <v/>
      </c>
      <c r="E251" s="49">
        <f>D251/$D$4</f>
        <v/>
      </c>
      <c r="F251" s="49">
        <f t="array" ref="F251">IFERROR(
SUM(
IF(
'PORTIFÓLIO'!$C$4:$C$564=$A251,
N(INDEX('PORTIFÓLIO'!$J$4:$Q$564,,MATCH(F$2,'PORTIFÓLIO'!$J$3:$Q$3,0))) *
N('PORTIFÓLIO'!$S$4:$S$564),
0
)
),
0)</f>
        <v/>
      </c>
      <c r="G251" s="47">
        <f>F251/$F$4</f>
        <v/>
      </c>
      <c r="H251" s="49">
        <f t="array" ref="H251">IFERROR(
SUM(
IF(
'PORTIFÓLIO'!$C$4:$C$564=$A251,
N(INDEX('PORTIFÓLIO'!$J$4:$Q$564,,MATCH(H$2,'PORTIFÓLIO'!$J$3:$Q$3,0))) *
N('PORTIFÓLIO'!$S$4:$S$564),
0
)
),
0)</f>
        <v/>
      </c>
      <c r="I251" s="47">
        <f>H251/$H$4</f>
        <v/>
      </c>
      <c r="J251" s="49">
        <f t="array" ref="J251">IFERROR(
SUM(
IF(
'PORTIFÓLIO'!$C$4:$C$564=$A251,
N(INDEX('PORTIFÓLIO'!$J$4:$Q$564,,MATCH(J$2,'PORTIFÓLIO'!$J$3:$Q$3,0))) *
N('PORTIFÓLIO'!$S$4:$S$564),
0
)
),
0)</f>
        <v/>
      </c>
      <c r="K251" s="47">
        <f>J251/$J$4</f>
        <v/>
      </c>
      <c r="L251" s="49">
        <f t="array" ref="L251">IFERROR(
SUM(
IF(
'PORTIFÓLIO'!$C$4:$C$564=$A251,
N(INDEX('PORTIFÓLIO'!$J$4:$Q$564,,MATCH(L$2,'PORTIFÓLIO'!$J$3:$Q$3,0))) *
N('PORTIFÓLIO'!$S$4:$S$564),
0
)
),
0)</f>
        <v/>
      </c>
      <c r="M251" s="47">
        <f>L251/$L$4</f>
        <v/>
      </c>
      <c r="N251" s="49">
        <f t="array" ref="N251">IFERROR(
SUM(
IF(
'PORTIFÓLIO'!$C$4:$C$564=$A251,
N(INDEX('PORTIFÓLIO'!$J$4:$Q$564,,MATCH(N$2,'PORTIFÓLIO'!$J$3:$Q$3,0))) *
N('PORTIFÓLIO'!$S$4:$S$564),
0
)
),
0)</f>
        <v/>
      </c>
      <c r="O251" s="49">
        <f>N251/$N$4</f>
        <v/>
      </c>
      <c r="P251" s="49">
        <f t="array" ref="P251">IFERROR(
SUM(
IF(
'PORTIFÓLIO'!$C$4:$C$564=$A251,
N(INDEX('PORTIFÓLIO'!$J$4:$Q$564,,MATCH(P$2,'PORTIFÓLIO'!$J$3:$Q$3,0))) *
N('PORTIFÓLIO'!$S$4:$S$564),
0
)
),
0)</f>
        <v/>
      </c>
      <c r="Q251" s="49">
        <f>P251/$P$4</f>
        <v/>
      </c>
      <c r="R251" s="49">
        <f>SUM(P251,N251,L251,J251,H251,D251,B251)</f>
        <v/>
      </c>
      <c r="S251" s="49">
        <f>R251/$R$4</f>
        <v/>
      </c>
    </row>
    <row r="252" hidden="1" outlineLevel="1" ht="15.75" customHeight="1" s="297">
      <c r="A252" s="48" t="n"/>
      <c r="B252" s="49">
        <f t="array" ref="B252">IFERROR(
SUM(
IF(
'PORTIFÓLIO'!$C$4:$C$564=$A252,
N(INDEX('PORTIFÓLIO'!$J$4:$Q$564,,MATCH(B$2,'PORTIFÓLIO'!$J$3:$Q$3,0))) *
N('PORTIFÓLIO'!$S$4:$S$564),
0
)
),
0)</f>
        <v/>
      </c>
      <c r="C252" s="49">
        <f>B252/$B$4</f>
        <v/>
      </c>
      <c r="D252" s="49">
        <f t="array" ref="D252">IFERROR(
SUM(
IF(
'PORTIFÓLIO'!$C$4:$C$564=$A252,
N(INDEX('PORTIFÓLIO'!$J$4:$Q$564,,MATCH(D$2,'PORTIFÓLIO'!$J$3:$Q$3,0))) *
N('PORTIFÓLIO'!$S$4:$S$564),
0
)
),
0)</f>
        <v/>
      </c>
      <c r="E252" s="49">
        <f>D252/$D$4</f>
        <v/>
      </c>
      <c r="F252" s="49">
        <f t="array" ref="F252">IFERROR(
SUM(
IF(
'PORTIFÓLIO'!$C$4:$C$564=$A252,
N(INDEX('PORTIFÓLIO'!$J$4:$Q$564,,MATCH(F$2,'PORTIFÓLIO'!$J$3:$Q$3,0))) *
N('PORTIFÓLIO'!$S$4:$S$564),
0
)
),
0)</f>
        <v/>
      </c>
      <c r="G252" s="47">
        <f>F252/$F$4</f>
        <v/>
      </c>
      <c r="H252" s="49">
        <f t="array" ref="H252">IFERROR(
SUM(
IF(
'PORTIFÓLIO'!$C$4:$C$564=$A252,
N(INDEX('PORTIFÓLIO'!$J$4:$Q$564,,MATCH(H$2,'PORTIFÓLIO'!$J$3:$Q$3,0))) *
N('PORTIFÓLIO'!$S$4:$S$564),
0
)
),
0)</f>
        <v/>
      </c>
      <c r="I252" s="47">
        <f>H252/$H$4</f>
        <v/>
      </c>
      <c r="J252" s="49">
        <f t="array" ref="J252">IFERROR(
SUM(
IF(
'PORTIFÓLIO'!$C$4:$C$564=$A252,
N(INDEX('PORTIFÓLIO'!$J$4:$Q$564,,MATCH(J$2,'PORTIFÓLIO'!$J$3:$Q$3,0))) *
N('PORTIFÓLIO'!$S$4:$S$564),
0
)
),
0)</f>
        <v/>
      </c>
      <c r="K252" s="47">
        <f>J252/$J$4</f>
        <v/>
      </c>
      <c r="L252" s="49">
        <f t="array" ref="L252">IFERROR(
SUM(
IF(
'PORTIFÓLIO'!$C$4:$C$564=$A252,
N(INDEX('PORTIFÓLIO'!$J$4:$Q$564,,MATCH(L$2,'PORTIFÓLIO'!$J$3:$Q$3,0))) *
N('PORTIFÓLIO'!$S$4:$S$564),
0
)
),
0)</f>
        <v/>
      </c>
      <c r="M252" s="47">
        <f>L252/$L$4</f>
        <v/>
      </c>
      <c r="N252" s="49">
        <f t="array" ref="N252">IFERROR(
SUM(
IF(
'PORTIFÓLIO'!$C$4:$C$564=$A252,
N(INDEX('PORTIFÓLIO'!$J$4:$Q$564,,MATCH(N$2,'PORTIFÓLIO'!$J$3:$Q$3,0))) *
N('PORTIFÓLIO'!$S$4:$S$564),
0
)
),
0)</f>
        <v/>
      </c>
      <c r="O252" s="49">
        <f>N252/$N$4</f>
        <v/>
      </c>
      <c r="P252" s="49">
        <f t="array" ref="P252">IFERROR(
SUM(
IF(
'PORTIFÓLIO'!$C$4:$C$564=$A252,
N(INDEX('PORTIFÓLIO'!$J$4:$Q$564,,MATCH(P$2,'PORTIFÓLIO'!$J$3:$Q$3,0))) *
N('PORTIFÓLIO'!$S$4:$S$564),
0
)
),
0)</f>
        <v/>
      </c>
      <c r="Q252" s="49">
        <f>P252/$P$4</f>
        <v/>
      </c>
      <c r="R252" s="49">
        <f>SUM(P252,N252,L252,J252,H252,D252,B252)</f>
        <v/>
      </c>
      <c r="S252" s="49">
        <f>R252/$R$4</f>
        <v/>
      </c>
    </row>
    <row r="253" hidden="1" outlineLevel="1" ht="15.75" customHeight="1" s="297">
      <c r="A253" s="48" t="n"/>
      <c r="B253" s="49">
        <f t="array" ref="B253">IFERROR(
SUM(
IF(
'PORTIFÓLIO'!$C$4:$C$564=$A253,
N(INDEX('PORTIFÓLIO'!$J$4:$Q$564,,MATCH(B$2,'PORTIFÓLIO'!$J$3:$Q$3,0))) *
N('PORTIFÓLIO'!$S$4:$S$564),
0
)
),
0)</f>
        <v/>
      </c>
      <c r="C253" s="49">
        <f>B253/$B$4</f>
        <v/>
      </c>
      <c r="D253" s="49">
        <f t="array" ref="D253">IFERROR(
SUM(
IF(
'PORTIFÓLIO'!$C$4:$C$564=$A253,
N(INDEX('PORTIFÓLIO'!$J$4:$Q$564,,MATCH(D$2,'PORTIFÓLIO'!$J$3:$Q$3,0))) *
N('PORTIFÓLIO'!$S$4:$S$564),
0
)
),
0)</f>
        <v/>
      </c>
      <c r="E253" s="49">
        <f>D253/$D$4</f>
        <v/>
      </c>
      <c r="F253" s="49">
        <f t="array" ref="F253">IFERROR(
SUM(
IF(
'PORTIFÓLIO'!$C$4:$C$564=$A253,
N(INDEX('PORTIFÓLIO'!$J$4:$Q$564,,MATCH(F$2,'PORTIFÓLIO'!$J$3:$Q$3,0))) *
N('PORTIFÓLIO'!$S$4:$S$564),
0
)
),
0)</f>
        <v/>
      </c>
      <c r="G253" s="47">
        <f>F253/$F$4</f>
        <v/>
      </c>
      <c r="H253" s="49">
        <f t="array" ref="H253">IFERROR(
SUM(
IF(
'PORTIFÓLIO'!$C$4:$C$564=$A253,
N(INDEX('PORTIFÓLIO'!$J$4:$Q$564,,MATCH(H$2,'PORTIFÓLIO'!$J$3:$Q$3,0))) *
N('PORTIFÓLIO'!$S$4:$S$564),
0
)
),
0)</f>
        <v/>
      </c>
      <c r="I253" s="47">
        <f>H253/$H$4</f>
        <v/>
      </c>
      <c r="J253" s="49">
        <f t="array" ref="J253">IFERROR(
SUM(
IF(
'PORTIFÓLIO'!$C$4:$C$564=$A253,
N(INDEX('PORTIFÓLIO'!$J$4:$Q$564,,MATCH(J$2,'PORTIFÓLIO'!$J$3:$Q$3,0))) *
N('PORTIFÓLIO'!$S$4:$S$564),
0
)
),
0)</f>
        <v/>
      </c>
      <c r="K253" s="47">
        <f>J253/$J$4</f>
        <v/>
      </c>
      <c r="L253" s="49">
        <f t="array" ref="L253">IFERROR(
SUM(
IF(
'PORTIFÓLIO'!$C$4:$C$564=$A253,
N(INDEX('PORTIFÓLIO'!$J$4:$Q$564,,MATCH(L$2,'PORTIFÓLIO'!$J$3:$Q$3,0))) *
N('PORTIFÓLIO'!$S$4:$S$564),
0
)
),
0)</f>
        <v/>
      </c>
      <c r="M253" s="47">
        <f>L253/$L$4</f>
        <v/>
      </c>
      <c r="N253" s="49">
        <f t="array" ref="N253">IFERROR(
SUM(
IF(
'PORTIFÓLIO'!$C$4:$C$564=$A253,
N(INDEX('PORTIFÓLIO'!$J$4:$Q$564,,MATCH(N$2,'PORTIFÓLIO'!$J$3:$Q$3,0))) *
N('PORTIFÓLIO'!$S$4:$S$564),
0
)
),
0)</f>
        <v/>
      </c>
      <c r="O253" s="49">
        <f>N253/$N$4</f>
        <v/>
      </c>
      <c r="P253" s="49">
        <f t="array" ref="P253">IFERROR(
SUM(
IF(
'PORTIFÓLIO'!$C$4:$C$564=$A253,
N(INDEX('PORTIFÓLIO'!$J$4:$Q$564,,MATCH(P$2,'PORTIFÓLIO'!$J$3:$Q$3,0))) *
N('PORTIFÓLIO'!$S$4:$S$564),
0
)
),
0)</f>
        <v/>
      </c>
      <c r="Q253" s="49">
        <f>P253/$P$4</f>
        <v/>
      </c>
      <c r="R253" s="49">
        <f>SUM(P253,N253,L253,J253,H253,D253,B253)</f>
        <v/>
      </c>
      <c r="S253" s="49">
        <f>R253/$R$4</f>
        <v/>
      </c>
    </row>
    <row r="254" hidden="1" outlineLevel="1" ht="15.75" customHeight="1" s="297">
      <c r="A254" s="48" t="n"/>
      <c r="B254" s="49">
        <f t="array" ref="B254">IFERROR(
SUM(
IF(
'PORTIFÓLIO'!$C$4:$C$564=$A254,
N(INDEX('PORTIFÓLIO'!$J$4:$Q$564,,MATCH(B$2,'PORTIFÓLIO'!$J$3:$Q$3,0))) *
N('PORTIFÓLIO'!$S$4:$S$564),
0
)
),
0)</f>
        <v/>
      </c>
      <c r="C254" s="49">
        <f>B254/$B$4</f>
        <v/>
      </c>
      <c r="D254" s="49">
        <f t="array" ref="D254">IFERROR(
SUM(
IF(
'PORTIFÓLIO'!$C$4:$C$564=$A254,
N(INDEX('PORTIFÓLIO'!$J$4:$Q$564,,MATCH(D$2,'PORTIFÓLIO'!$J$3:$Q$3,0))) *
N('PORTIFÓLIO'!$S$4:$S$564),
0
)
),
0)</f>
        <v/>
      </c>
      <c r="E254" s="49">
        <f>D254/$D$4</f>
        <v/>
      </c>
      <c r="F254" s="49">
        <f t="array" ref="F254">IFERROR(
SUM(
IF(
'PORTIFÓLIO'!$C$4:$C$564=$A254,
N(INDEX('PORTIFÓLIO'!$J$4:$Q$564,,MATCH(F$2,'PORTIFÓLIO'!$J$3:$Q$3,0))) *
N('PORTIFÓLIO'!$S$4:$S$564),
0
)
),
0)</f>
        <v/>
      </c>
      <c r="G254" s="47">
        <f>F254/$F$4</f>
        <v/>
      </c>
      <c r="H254" s="49">
        <f t="array" ref="H254">IFERROR(
SUM(
IF(
'PORTIFÓLIO'!$C$4:$C$564=$A254,
N(INDEX('PORTIFÓLIO'!$J$4:$Q$564,,MATCH(H$2,'PORTIFÓLIO'!$J$3:$Q$3,0))) *
N('PORTIFÓLIO'!$S$4:$S$564),
0
)
),
0)</f>
        <v/>
      </c>
      <c r="I254" s="47">
        <f>H254/$H$4</f>
        <v/>
      </c>
      <c r="J254" s="49">
        <f t="array" ref="J254">IFERROR(
SUM(
IF(
'PORTIFÓLIO'!$C$4:$C$564=$A254,
N(INDEX('PORTIFÓLIO'!$J$4:$Q$564,,MATCH(J$2,'PORTIFÓLIO'!$J$3:$Q$3,0))) *
N('PORTIFÓLIO'!$S$4:$S$564),
0
)
),
0)</f>
        <v/>
      </c>
      <c r="K254" s="47">
        <f>J254/$J$4</f>
        <v/>
      </c>
      <c r="L254" s="49">
        <f t="array" ref="L254">IFERROR(
SUM(
IF(
'PORTIFÓLIO'!$C$4:$C$564=$A254,
N(INDEX('PORTIFÓLIO'!$J$4:$Q$564,,MATCH(L$2,'PORTIFÓLIO'!$J$3:$Q$3,0))) *
N('PORTIFÓLIO'!$S$4:$S$564),
0
)
),
0)</f>
        <v/>
      </c>
      <c r="M254" s="47">
        <f>L254/$L$4</f>
        <v/>
      </c>
      <c r="N254" s="49">
        <f t="array" ref="N254">IFERROR(
SUM(
IF(
'PORTIFÓLIO'!$C$4:$C$564=$A254,
N(INDEX('PORTIFÓLIO'!$J$4:$Q$564,,MATCH(N$2,'PORTIFÓLIO'!$J$3:$Q$3,0))) *
N('PORTIFÓLIO'!$S$4:$S$564),
0
)
),
0)</f>
        <v/>
      </c>
      <c r="O254" s="49">
        <f>N254/$N$4</f>
        <v/>
      </c>
      <c r="P254" s="49">
        <f t="array" ref="P254">IFERROR(
SUM(
IF(
'PORTIFÓLIO'!$C$4:$C$564=$A254,
N(INDEX('PORTIFÓLIO'!$J$4:$Q$564,,MATCH(P$2,'PORTIFÓLIO'!$J$3:$Q$3,0))) *
N('PORTIFÓLIO'!$S$4:$S$564),
0
)
),
0)</f>
        <v/>
      </c>
      <c r="Q254" s="49">
        <f>P254/$P$4</f>
        <v/>
      </c>
      <c r="R254" s="49">
        <f>SUM(P254,N254,L254,J254,H254,D254,B254)</f>
        <v/>
      </c>
      <c r="S254" s="49">
        <f>R254/$R$4</f>
        <v/>
      </c>
    </row>
    <row r="255" hidden="1" outlineLevel="1" ht="15.75" customHeight="1" s="297">
      <c r="A255" s="48" t="n"/>
      <c r="B255" s="49">
        <f t="array" ref="B255">IFERROR(
SUM(
IF(
'PORTIFÓLIO'!$C$4:$C$564=$A255,
N(INDEX('PORTIFÓLIO'!$J$4:$Q$564,,MATCH(B$2,'PORTIFÓLIO'!$J$3:$Q$3,0))) *
N('PORTIFÓLIO'!$S$4:$S$564),
0
)
),
0)</f>
        <v/>
      </c>
      <c r="C255" s="49">
        <f>B255/$B$4</f>
        <v/>
      </c>
      <c r="D255" s="49">
        <f t="array" ref="D255">IFERROR(
SUM(
IF(
'PORTIFÓLIO'!$C$4:$C$564=$A255,
N(INDEX('PORTIFÓLIO'!$J$4:$Q$564,,MATCH(D$2,'PORTIFÓLIO'!$J$3:$Q$3,0))) *
N('PORTIFÓLIO'!$S$4:$S$564),
0
)
),
0)</f>
        <v/>
      </c>
      <c r="E255" s="49">
        <f>D255/$D$4</f>
        <v/>
      </c>
      <c r="F255" s="49">
        <f t="array" ref="F255">IFERROR(
SUM(
IF(
'PORTIFÓLIO'!$C$4:$C$564=$A255,
N(INDEX('PORTIFÓLIO'!$J$4:$Q$564,,MATCH(F$2,'PORTIFÓLIO'!$J$3:$Q$3,0))) *
N('PORTIFÓLIO'!$S$4:$S$564),
0
)
),
0)</f>
        <v/>
      </c>
      <c r="G255" s="47">
        <f>F255/$F$4</f>
        <v/>
      </c>
      <c r="H255" s="49">
        <f t="array" ref="H255">IFERROR(
SUM(
IF(
'PORTIFÓLIO'!$C$4:$C$564=$A255,
N(INDEX('PORTIFÓLIO'!$J$4:$Q$564,,MATCH(H$2,'PORTIFÓLIO'!$J$3:$Q$3,0))) *
N('PORTIFÓLIO'!$S$4:$S$564),
0
)
),
0)</f>
        <v/>
      </c>
      <c r="I255" s="47">
        <f>H255/$H$4</f>
        <v/>
      </c>
      <c r="J255" s="49">
        <f t="array" ref="J255">IFERROR(
SUM(
IF(
'PORTIFÓLIO'!$C$4:$C$564=$A255,
N(INDEX('PORTIFÓLIO'!$J$4:$Q$564,,MATCH(J$2,'PORTIFÓLIO'!$J$3:$Q$3,0))) *
N('PORTIFÓLIO'!$S$4:$S$564),
0
)
),
0)</f>
        <v/>
      </c>
      <c r="K255" s="47">
        <f>J255/$J$4</f>
        <v/>
      </c>
      <c r="L255" s="49">
        <f t="array" ref="L255">IFERROR(
SUM(
IF(
'PORTIFÓLIO'!$C$4:$C$564=$A255,
N(INDEX('PORTIFÓLIO'!$J$4:$Q$564,,MATCH(L$2,'PORTIFÓLIO'!$J$3:$Q$3,0))) *
N('PORTIFÓLIO'!$S$4:$S$564),
0
)
),
0)</f>
        <v/>
      </c>
      <c r="M255" s="47">
        <f>L255/$L$4</f>
        <v/>
      </c>
      <c r="N255" s="49">
        <f t="array" ref="N255">IFERROR(
SUM(
IF(
'PORTIFÓLIO'!$C$4:$C$564=$A255,
N(INDEX('PORTIFÓLIO'!$J$4:$Q$564,,MATCH(N$2,'PORTIFÓLIO'!$J$3:$Q$3,0))) *
N('PORTIFÓLIO'!$S$4:$S$564),
0
)
),
0)</f>
        <v/>
      </c>
      <c r="O255" s="49">
        <f>N255/$N$4</f>
        <v/>
      </c>
      <c r="P255" s="49">
        <f t="array" ref="P255">IFERROR(
SUM(
IF(
'PORTIFÓLIO'!$C$4:$C$564=$A255,
N(INDEX('PORTIFÓLIO'!$J$4:$Q$564,,MATCH(P$2,'PORTIFÓLIO'!$J$3:$Q$3,0))) *
N('PORTIFÓLIO'!$S$4:$S$564),
0
)
),
0)</f>
        <v/>
      </c>
      <c r="Q255" s="49">
        <f>P255/$P$4</f>
        <v/>
      </c>
      <c r="R255" s="49">
        <f>SUM(P255,N255,L255,J255,H255,D255,B255)</f>
        <v/>
      </c>
      <c r="S255" s="49">
        <f>R255/$R$4</f>
        <v/>
      </c>
    </row>
    <row r="256" collapsed="1" ht="15.75" customHeight="1" s="297">
      <c r="A256" s="46" t="inlineStr">
        <is>
          <t>SEMENTE</t>
        </is>
      </c>
      <c r="B256" s="47">
        <f>SUM(B257:B292)</f>
        <v/>
      </c>
      <c r="C256" s="47">
        <f>B256/$B$4</f>
        <v/>
      </c>
      <c r="D256" s="47">
        <f>SUM(D257:D292)</f>
        <v/>
      </c>
      <c r="E256" s="47">
        <f>D256/$D$4</f>
        <v/>
      </c>
      <c r="F256" s="47">
        <f>SUM(F257:F292)</f>
        <v/>
      </c>
      <c r="G256" s="47">
        <f>F256/$F$4</f>
        <v/>
      </c>
      <c r="H256" s="47">
        <f>SUM(H257:H292)</f>
        <v/>
      </c>
      <c r="I256" s="47">
        <f>H256/$H$4</f>
        <v/>
      </c>
      <c r="J256" s="47">
        <f>SUM(J257:J292)</f>
        <v/>
      </c>
      <c r="K256" s="47">
        <f>J256/$J$4</f>
        <v/>
      </c>
      <c r="L256" s="47">
        <f>SUM(L257:L292)</f>
        <v/>
      </c>
      <c r="M256" s="47">
        <f>L256/$L$4</f>
        <v/>
      </c>
      <c r="N256" s="47">
        <f>SUM(N257:N292)</f>
        <v/>
      </c>
      <c r="O256" s="47">
        <f>N256/$N$4</f>
        <v/>
      </c>
      <c r="P256" s="47">
        <f>SUM(P257:P292)</f>
        <v/>
      </c>
      <c r="Q256" s="47">
        <f>P256/$P$4</f>
        <v/>
      </c>
      <c r="R256" s="47">
        <f>SUM(P256,N256,L256,J256,H256,D256,B256)</f>
        <v/>
      </c>
      <c r="S256" s="47">
        <f>R256/$R$4</f>
        <v/>
      </c>
    </row>
    <row r="257" hidden="1" outlineLevel="1" ht="15.75" customHeight="1" s="297">
      <c r="A257" s="48">
        <f>IFERROR(__xludf.DUMMYFUNCTION("UNIQUE(FILTER('PORTIFÓLIO'!C:C, 'PORTIFÓLIO'!B:B=""SEMENTE""))"),"#REF!")</f>
        <v/>
      </c>
      <c r="B257" s="49">
        <f t="array" ref="B257">IFERROR(
SUM(
IF(
'PORTIFÓLIO'!$C$4:$C$564=$A257,
N(INDEX('PORTIFÓLIO'!$J$4:$Q$564,,MATCH(B$2,'PORTIFÓLIO'!$J$3:$Q$3,0))) *
N('PORTIFÓLIO'!$S$4:$S$564),
0
)
),
0)</f>
        <v/>
      </c>
      <c r="C257" s="49">
        <f>B257/$B$4</f>
        <v/>
      </c>
      <c r="D257" s="49">
        <f t="array" ref="D257">IFERROR(
SUM(
IF(
'PORTIFÓLIO'!$C$4:$C$564=$A257,
N(INDEX('PORTIFÓLIO'!$J$4:$Q$564,,MATCH(D$2,'PORTIFÓLIO'!$J$3:$Q$3,0))) *
N('PORTIFÓLIO'!$S$4:$S$564),
0
)
),
0)</f>
        <v/>
      </c>
      <c r="E257" s="49">
        <f>D257/$D$4</f>
        <v/>
      </c>
      <c r="F257" s="49">
        <f t="array" ref="F257">IFERROR(
SUM(
IF(
'PORTIFÓLIO'!$C$4:$C$564=$A257,
N(INDEX('PORTIFÓLIO'!$J$4:$Q$564,,MATCH(F$2,'PORTIFÓLIO'!$J$3:$Q$3,0))) *
N('PORTIFÓLIO'!$S$4:$S$564),
0
)
),
0)</f>
        <v/>
      </c>
      <c r="G257" s="47">
        <f>F257/$F$4</f>
        <v/>
      </c>
      <c r="H257" s="49">
        <f t="array" ref="H257">IFERROR(
SUM(
IF(
'PORTIFÓLIO'!$C$4:$C$564=$A257,
N(INDEX('PORTIFÓLIO'!$J$4:$Q$564,,MATCH(H$2,'PORTIFÓLIO'!$J$3:$Q$3,0))) *
N('PORTIFÓLIO'!$S$4:$S$564),
0
)
),
0)</f>
        <v/>
      </c>
      <c r="I257" s="47">
        <f>H257/$H$4</f>
        <v/>
      </c>
      <c r="J257" s="49">
        <f t="array" ref="J257">IFERROR(
SUM(
IF(
'PORTIFÓLIO'!$C$4:$C$564=$A257,
N(INDEX('PORTIFÓLIO'!$J$4:$Q$564,,MATCH(J$2,'PORTIFÓLIO'!$J$3:$Q$3,0))) *
N('PORTIFÓLIO'!$S$4:$S$564),
0
)
),
0)</f>
        <v/>
      </c>
      <c r="K257" s="47">
        <f>J257/$J$4</f>
        <v/>
      </c>
      <c r="L257" s="49">
        <f t="array" ref="L257">IFERROR(
SUM(
IF(
'PORTIFÓLIO'!$C$4:$C$564=$A257,
N(INDEX('PORTIFÓLIO'!$J$4:$Q$564,,MATCH(L$2,'PORTIFÓLIO'!$J$3:$Q$3,0))) *
N('PORTIFÓLIO'!$S$4:$S$564),
0
)
),
0)</f>
        <v/>
      </c>
      <c r="M257" s="47">
        <f>L257/$L$4</f>
        <v/>
      </c>
      <c r="N257" s="49">
        <f t="array" ref="N257">IFERROR(
SUM(
IF(
'PORTIFÓLIO'!$C$4:$C$564=$A257,
N(INDEX('PORTIFÓLIO'!$J$4:$Q$564,,MATCH(N$2,'PORTIFÓLIO'!$J$3:$Q$3,0))) *
N('PORTIFÓLIO'!$S$4:$S$564),
0
)
),
0)</f>
        <v/>
      </c>
      <c r="O257" s="49">
        <f>N257/$N$4</f>
        <v/>
      </c>
      <c r="P257" s="49">
        <f t="array" ref="P257">IFERROR(
SUM(
IF(
'PORTIFÓLIO'!$C$4:$C$564=$A257,
N(INDEX('PORTIFÓLIO'!$J$4:$Q$564,,MATCH(P$2,'PORTIFÓLIO'!$J$3:$Q$3,0))) *
N('PORTIFÓLIO'!$S$4:$S$564),
0
)
),
0)</f>
        <v/>
      </c>
      <c r="Q257" s="49">
        <f>P257/$P$4</f>
        <v/>
      </c>
      <c r="R257" s="49">
        <f>SUM(P257,N257,L257,J257,H257,D257,B257)</f>
        <v/>
      </c>
      <c r="S257" s="49">
        <f>R257/$R$4</f>
        <v/>
      </c>
    </row>
    <row r="258" hidden="1" outlineLevel="1" ht="15.75" customHeight="1" s="297">
      <c r="A258" s="48" t="n"/>
      <c r="B258" s="49">
        <f t="array" ref="B258">IFERROR(
SUM(
IF(
'PORTIFÓLIO'!$C$4:$C$564=$A258,
N(INDEX('PORTIFÓLIO'!$J$4:$Q$564,,MATCH(B$2,'PORTIFÓLIO'!$J$3:$Q$3,0))) *
N('PORTIFÓLIO'!$S$4:$S$564),
0
)
),
0)</f>
        <v/>
      </c>
      <c r="C258" s="49">
        <f>B258/$B$4</f>
        <v/>
      </c>
      <c r="D258" s="49">
        <f t="array" ref="D258">IFERROR(
SUM(
IF(
'PORTIFÓLIO'!$C$4:$C$564=$A258,
N(INDEX('PORTIFÓLIO'!$J$4:$Q$564,,MATCH(D$2,'PORTIFÓLIO'!$J$3:$Q$3,0))) *
N('PORTIFÓLIO'!$S$4:$S$564),
0
)
),
0)</f>
        <v/>
      </c>
      <c r="E258" s="49">
        <f>D258/$D$4</f>
        <v/>
      </c>
      <c r="F258" s="49">
        <f t="array" ref="F258">IFERROR(
SUM(
IF(
'PORTIFÓLIO'!$C$4:$C$564=$A258,
N(INDEX('PORTIFÓLIO'!$J$4:$Q$564,,MATCH(F$2,'PORTIFÓLIO'!$J$3:$Q$3,0))) *
N('PORTIFÓLIO'!$S$4:$S$564),
0
)
),
0)</f>
        <v/>
      </c>
      <c r="G258" s="47">
        <f>F258/$F$4</f>
        <v/>
      </c>
      <c r="H258" s="49">
        <f t="array" ref="H258">IFERROR(
SUM(
IF(
'PORTIFÓLIO'!$C$4:$C$564=$A258,
N(INDEX('PORTIFÓLIO'!$J$4:$Q$564,,MATCH(H$2,'PORTIFÓLIO'!$J$3:$Q$3,0))) *
N('PORTIFÓLIO'!$S$4:$S$564),
0
)
),
0)</f>
        <v/>
      </c>
      <c r="I258" s="47">
        <f>H258/$H$4</f>
        <v/>
      </c>
      <c r="J258" s="49">
        <f t="array" ref="J258">IFERROR(
SUM(
IF(
'PORTIFÓLIO'!$C$4:$C$564=$A258,
N(INDEX('PORTIFÓLIO'!$J$4:$Q$564,,MATCH(J$2,'PORTIFÓLIO'!$J$3:$Q$3,0))) *
N('PORTIFÓLIO'!$S$4:$S$564),
0
)
),
0)</f>
        <v/>
      </c>
      <c r="K258" s="47">
        <f>J258/$J$4</f>
        <v/>
      </c>
      <c r="L258" s="49">
        <f t="array" ref="L258">IFERROR(
SUM(
IF(
'PORTIFÓLIO'!$C$4:$C$564=$A258,
N(INDEX('PORTIFÓLIO'!$J$4:$Q$564,,MATCH(L$2,'PORTIFÓLIO'!$J$3:$Q$3,0))) *
N('PORTIFÓLIO'!$S$4:$S$564),
0
)
),
0)</f>
        <v/>
      </c>
      <c r="M258" s="47">
        <f>L258/$L$4</f>
        <v/>
      </c>
      <c r="N258" s="49">
        <f t="array" ref="N258">IFERROR(
SUM(
IF(
'PORTIFÓLIO'!$C$4:$C$564=$A258,
N(INDEX('PORTIFÓLIO'!$J$4:$Q$564,,MATCH(N$2,'PORTIFÓLIO'!$J$3:$Q$3,0))) *
N('PORTIFÓLIO'!$S$4:$S$564),
0
)
),
0)</f>
        <v/>
      </c>
      <c r="O258" s="49">
        <f>N258/$N$4</f>
        <v/>
      </c>
      <c r="P258" s="49">
        <f t="array" ref="P258">IFERROR(
SUM(
IF(
'PORTIFÓLIO'!$C$4:$C$564=$A258,
N(INDEX('PORTIFÓLIO'!$J$4:$Q$564,,MATCH(P$2,'PORTIFÓLIO'!$J$3:$Q$3,0))) *
N('PORTIFÓLIO'!$S$4:$S$564),
0
)
),
0)</f>
        <v/>
      </c>
      <c r="Q258" s="49">
        <f>P258/$P$4</f>
        <v/>
      </c>
      <c r="R258" s="49">
        <f>SUM(P258,N258,L258,J258,H258,D258,B258)</f>
        <v/>
      </c>
      <c r="S258" s="49">
        <f>R258/$R$4</f>
        <v/>
      </c>
    </row>
    <row r="259" hidden="1" outlineLevel="1" ht="15.75" customHeight="1" s="297">
      <c r="A259" s="48" t="n"/>
      <c r="B259" s="49">
        <f t="array" ref="B259">IFERROR(
SUM(
IF(
'PORTIFÓLIO'!$C$4:$C$564=$A259,
N(INDEX('PORTIFÓLIO'!$J$4:$Q$564,,MATCH(B$2,'PORTIFÓLIO'!$J$3:$Q$3,0))) *
N('PORTIFÓLIO'!$S$4:$S$564),
0
)
),
0)</f>
        <v/>
      </c>
      <c r="C259" s="49">
        <f>B259/$B$4</f>
        <v/>
      </c>
      <c r="D259" s="49">
        <f t="array" ref="D259">IFERROR(
SUM(
IF(
'PORTIFÓLIO'!$C$4:$C$564=$A259,
N(INDEX('PORTIFÓLIO'!$J$4:$Q$564,,MATCH(D$2,'PORTIFÓLIO'!$J$3:$Q$3,0))) *
N('PORTIFÓLIO'!$S$4:$S$564),
0
)
),
0)</f>
        <v/>
      </c>
      <c r="E259" s="49">
        <f>D259/$D$4</f>
        <v/>
      </c>
      <c r="F259" s="49">
        <f t="array" ref="F259">IFERROR(
SUM(
IF(
'PORTIFÓLIO'!$C$4:$C$564=$A259,
N(INDEX('PORTIFÓLIO'!$J$4:$Q$564,,MATCH(F$2,'PORTIFÓLIO'!$J$3:$Q$3,0))) *
N('PORTIFÓLIO'!$S$4:$S$564),
0
)
),
0)</f>
        <v/>
      </c>
      <c r="G259" s="47">
        <f>F259/$F$4</f>
        <v/>
      </c>
      <c r="H259" s="49">
        <f t="array" ref="H259">IFERROR(
SUM(
IF(
'PORTIFÓLIO'!$C$4:$C$564=$A259,
N(INDEX('PORTIFÓLIO'!$J$4:$Q$564,,MATCH(H$2,'PORTIFÓLIO'!$J$3:$Q$3,0))) *
N('PORTIFÓLIO'!$S$4:$S$564),
0
)
),
0)</f>
        <v/>
      </c>
      <c r="I259" s="47">
        <f>H259/$H$4</f>
        <v/>
      </c>
      <c r="J259" s="49">
        <f t="array" ref="J259">IFERROR(
SUM(
IF(
'PORTIFÓLIO'!$C$4:$C$564=$A259,
N(INDEX('PORTIFÓLIO'!$J$4:$Q$564,,MATCH(J$2,'PORTIFÓLIO'!$J$3:$Q$3,0))) *
N('PORTIFÓLIO'!$S$4:$S$564),
0
)
),
0)</f>
        <v/>
      </c>
      <c r="K259" s="47">
        <f>J259/$J$4</f>
        <v/>
      </c>
      <c r="L259" s="49">
        <f t="array" ref="L259">IFERROR(
SUM(
IF(
'PORTIFÓLIO'!$C$4:$C$564=$A259,
N(INDEX('PORTIFÓLIO'!$J$4:$Q$564,,MATCH(L$2,'PORTIFÓLIO'!$J$3:$Q$3,0))) *
N('PORTIFÓLIO'!$S$4:$S$564),
0
)
),
0)</f>
        <v/>
      </c>
      <c r="M259" s="47">
        <f>L259/$L$4</f>
        <v/>
      </c>
      <c r="N259" s="49">
        <f t="array" ref="N259">IFERROR(
SUM(
IF(
'PORTIFÓLIO'!$C$4:$C$564=$A259,
N(INDEX('PORTIFÓLIO'!$J$4:$Q$564,,MATCH(N$2,'PORTIFÓLIO'!$J$3:$Q$3,0))) *
N('PORTIFÓLIO'!$S$4:$S$564),
0
)
),
0)</f>
        <v/>
      </c>
      <c r="O259" s="49">
        <f>N259/$N$4</f>
        <v/>
      </c>
      <c r="P259" s="49">
        <f t="array" ref="P259">IFERROR(
SUM(
IF(
'PORTIFÓLIO'!$C$4:$C$564=$A259,
N(INDEX('PORTIFÓLIO'!$J$4:$Q$564,,MATCH(P$2,'PORTIFÓLIO'!$J$3:$Q$3,0))) *
N('PORTIFÓLIO'!$S$4:$S$564),
0
)
),
0)</f>
        <v/>
      </c>
      <c r="Q259" s="49">
        <f>P259/$P$4</f>
        <v/>
      </c>
      <c r="R259" s="49">
        <f>SUM(P259,N259,L259,J259,H259,D259,B259)</f>
        <v/>
      </c>
      <c r="S259" s="49">
        <f>R259/$R$4</f>
        <v/>
      </c>
    </row>
    <row r="260" hidden="1" outlineLevel="1" ht="15.75" customHeight="1" s="297">
      <c r="A260" s="48" t="n"/>
      <c r="B260" s="49">
        <f t="array" ref="B260">IFERROR(
SUM(
IF(
'PORTIFÓLIO'!$C$4:$C$564=$A260,
N(INDEX('PORTIFÓLIO'!$J$4:$Q$564,,MATCH(B$2,'PORTIFÓLIO'!$J$3:$Q$3,0))) *
N('PORTIFÓLIO'!$S$4:$S$564),
0
)
),
0)</f>
        <v/>
      </c>
      <c r="C260" s="49">
        <f>B260/$B$4</f>
        <v/>
      </c>
      <c r="D260" s="49">
        <f t="array" ref="D260">IFERROR(
SUM(
IF(
'PORTIFÓLIO'!$C$4:$C$564=$A260,
N(INDEX('PORTIFÓLIO'!$J$4:$Q$564,,MATCH(D$2,'PORTIFÓLIO'!$J$3:$Q$3,0))) *
N('PORTIFÓLIO'!$S$4:$S$564),
0
)
),
0)</f>
        <v/>
      </c>
      <c r="E260" s="49">
        <f>D260/$D$4</f>
        <v/>
      </c>
      <c r="F260" s="49">
        <f t="array" ref="F260">IFERROR(
SUM(
IF(
'PORTIFÓLIO'!$C$4:$C$564=$A260,
N(INDEX('PORTIFÓLIO'!$J$4:$Q$564,,MATCH(F$2,'PORTIFÓLIO'!$J$3:$Q$3,0))) *
N('PORTIFÓLIO'!$S$4:$S$564),
0
)
),
0)</f>
        <v/>
      </c>
      <c r="G260" s="47">
        <f>F260/$F$4</f>
        <v/>
      </c>
      <c r="H260" s="49">
        <f t="array" ref="H260">IFERROR(
SUM(
IF(
'PORTIFÓLIO'!$C$4:$C$564=$A260,
N(INDEX('PORTIFÓLIO'!$J$4:$Q$564,,MATCH(H$2,'PORTIFÓLIO'!$J$3:$Q$3,0))) *
N('PORTIFÓLIO'!$S$4:$S$564),
0
)
),
0)</f>
        <v/>
      </c>
      <c r="I260" s="47">
        <f>H260/$H$4</f>
        <v/>
      </c>
      <c r="J260" s="49">
        <f t="array" ref="J260">IFERROR(
SUM(
IF(
'PORTIFÓLIO'!$C$4:$C$564=$A260,
N(INDEX('PORTIFÓLIO'!$J$4:$Q$564,,MATCH(J$2,'PORTIFÓLIO'!$J$3:$Q$3,0))) *
N('PORTIFÓLIO'!$S$4:$S$564),
0
)
),
0)</f>
        <v/>
      </c>
      <c r="K260" s="47">
        <f>J260/$J$4</f>
        <v/>
      </c>
      <c r="L260" s="49">
        <f t="array" ref="L260">IFERROR(
SUM(
IF(
'PORTIFÓLIO'!$C$4:$C$564=$A260,
N(INDEX('PORTIFÓLIO'!$J$4:$Q$564,,MATCH(L$2,'PORTIFÓLIO'!$J$3:$Q$3,0))) *
N('PORTIFÓLIO'!$S$4:$S$564),
0
)
),
0)</f>
        <v/>
      </c>
      <c r="M260" s="47">
        <f>L260/$L$4</f>
        <v/>
      </c>
      <c r="N260" s="49">
        <f t="array" ref="N260">IFERROR(
SUM(
IF(
'PORTIFÓLIO'!$C$4:$C$564=$A260,
N(INDEX('PORTIFÓLIO'!$J$4:$Q$564,,MATCH(N$2,'PORTIFÓLIO'!$J$3:$Q$3,0))) *
N('PORTIFÓLIO'!$S$4:$S$564),
0
)
),
0)</f>
        <v/>
      </c>
      <c r="O260" s="49">
        <f>N260/$N$4</f>
        <v/>
      </c>
      <c r="P260" s="49">
        <f t="array" ref="P260">IFERROR(
SUM(
IF(
'PORTIFÓLIO'!$C$4:$C$564=$A260,
N(INDEX('PORTIFÓLIO'!$J$4:$Q$564,,MATCH(P$2,'PORTIFÓLIO'!$J$3:$Q$3,0))) *
N('PORTIFÓLIO'!$S$4:$S$564),
0
)
),
0)</f>
        <v/>
      </c>
      <c r="Q260" s="49">
        <f>P260/$P$4</f>
        <v/>
      </c>
      <c r="R260" s="49">
        <f>SUM(P260,N260,L260,J260,H260,D260,B260)</f>
        <v/>
      </c>
      <c r="S260" s="49">
        <f>R260/$R$4</f>
        <v/>
      </c>
    </row>
    <row r="261" hidden="1" outlineLevel="1" ht="15.75" customHeight="1" s="297">
      <c r="A261" s="48" t="n"/>
      <c r="B261" s="49">
        <f t="array" ref="B261">IFERROR(
SUM(
IF(
'PORTIFÓLIO'!$C$4:$C$564=$A261,
N(INDEX('PORTIFÓLIO'!$J$4:$Q$564,,MATCH(B$2,'PORTIFÓLIO'!$J$3:$Q$3,0))) *
N('PORTIFÓLIO'!$S$4:$S$564),
0
)
),
0)</f>
        <v/>
      </c>
      <c r="C261" s="49">
        <f>B261/$B$4</f>
        <v/>
      </c>
      <c r="D261" s="49">
        <f t="array" ref="D261">IFERROR(
SUM(
IF(
'PORTIFÓLIO'!$C$4:$C$564=$A261,
N(INDEX('PORTIFÓLIO'!$J$4:$Q$564,,MATCH(D$2,'PORTIFÓLIO'!$J$3:$Q$3,0))) *
N('PORTIFÓLIO'!$S$4:$S$564),
0
)
),
0)</f>
        <v/>
      </c>
      <c r="E261" s="49">
        <f>D261/$D$4</f>
        <v/>
      </c>
      <c r="F261" s="49">
        <f t="array" ref="F261">IFERROR(
SUM(
IF(
'PORTIFÓLIO'!$C$4:$C$564=$A261,
N(INDEX('PORTIFÓLIO'!$J$4:$Q$564,,MATCH(F$2,'PORTIFÓLIO'!$J$3:$Q$3,0))) *
N('PORTIFÓLIO'!$S$4:$S$564),
0
)
),
0)</f>
        <v/>
      </c>
      <c r="G261" s="47">
        <f>F261/$F$4</f>
        <v/>
      </c>
      <c r="H261" s="49">
        <f t="array" ref="H261">IFERROR(
SUM(
IF(
'PORTIFÓLIO'!$C$4:$C$564=$A261,
N(INDEX('PORTIFÓLIO'!$J$4:$Q$564,,MATCH(H$2,'PORTIFÓLIO'!$J$3:$Q$3,0))) *
N('PORTIFÓLIO'!$S$4:$S$564),
0
)
),
0)</f>
        <v/>
      </c>
      <c r="I261" s="47">
        <f>H261/$H$4</f>
        <v/>
      </c>
      <c r="J261" s="49">
        <f t="array" ref="J261">IFERROR(
SUM(
IF(
'PORTIFÓLIO'!$C$4:$C$564=$A261,
N(INDEX('PORTIFÓLIO'!$J$4:$Q$564,,MATCH(J$2,'PORTIFÓLIO'!$J$3:$Q$3,0))) *
N('PORTIFÓLIO'!$S$4:$S$564),
0
)
),
0)</f>
        <v/>
      </c>
      <c r="K261" s="47">
        <f>J261/$J$4</f>
        <v/>
      </c>
      <c r="L261" s="49">
        <f t="array" ref="L261">IFERROR(
SUM(
IF(
'PORTIFÓLIO'!$C$4:$C$564=$A261,
N(INDEX('PORTIFÓLIO'!$J$4:$Q$564,,MATCH(L$2,'PORTIFÓLIO'!$J$3:$Q$3,0))) *
N('PORTIFÓLIO'!$S$4:$S$564),
0
)
),
0)</f>
        <v/>
      </c>
      <c r="M261" s="47">
        <f>L261/$L$4</f>
        <v/>
      </c>
      <c r="N261" s="49">
        <f t="array" ref="N261">IFERROR(
SUM(
IF(
'PORTIFÓLIO'!$C$4:$C$564=$A261,
N(INDEX('PORTIFÓLIO'!$J$4:$Q$564,,MATCH(N$2,'PORTIFÓLIO'!$J$3:$Q$3,0))) *
N('PORTIFÓLIO'!$S$4:$S$564),
0
)
),
0)</f>
        <v/>
      </c>
      <c r="O261" s="49">
        <f>N261/$N$4</f>
        <v/>
      </c>
      <c r="P261" s="49">
        <f t="array" ref="P261">IFERROR(
SUM(
IF(
'PORTIFÓLIO'!$C$4:$C$564=$A261,
N(INDEX('PORTIFÓLIO'!$J$4:$Q$564,,MATCH(P$2,'PORTIFÓLIO'!$J$3:$Q$3,0))) *
N('PORTIFÓLIO'!$S$4:$S$564),
0
)
),
0)</f>
        <v/>
      </c>
      <c r="Q261" s="49">
        <f>P261/$P$4</f>
        <v/>
      </c>
      <c r="R261" s="49">
        <f>SUM(P261,N261,L261,J261,H261,D261,B261)</f>
        <v/>
      </c>
      <c r="S261" s="49">
        <f>R261/$R$4</f>
        <v/>
      </c>
    </row>
    <row r="262" hidden="1" outlineLevel="1" ht="15.75" customHeight="1" s="297">
      <c r="A262" s="48" t="n"/>
      <c r="B262" s="49">
        <f t="array" ref="B262">IFERROR(
SUM(
IF(
'PORTIFÓLIO'!$C$4:$C$564=$A262,
N(INDEX('PORTIFÓLIO'!$J$4:$Q$564,,MATCH(B$2,'PORTIFÓLIO'!$J$3:$Q$3,0))) *
N('PORTIFÓLIO'!$S$4:$S$564),
0
)
),
0)</f>
        <v/>
      </c>
      <c r="C262" s="49">
        <f>B262/$B$4</f>
        <v/>
      </c>
      <c r="D262" s="49">
        <f t="array" ref="D262">IFERROR(
SUM(
IF(
'PORTIFÓLIO'!$C$4:$C$564=$A262,
N(INDEX('PORTIFÓLIO'!$J$4:$Q$564,,MATCH(D$2,'PORTIFÓLIO'!$J$3:$Q$3,0))) *
N('PORTIFÓLIO'!$S$4:$S$564),
0
)
),
0)</f>
        <v/>
      </c>
      <c r="E262" s="49">
        <f>D262/$D$4</f>
        <v/>
      </c>
      <c r="F262" s="49">
        <f t="array" ref="F262">IFERROR(
SUM(
IF(
'PORTIFÓLIO'!$C$4:$C$564=$A262,
N(INDEX('PORTIFÓLIO'!$J$4:$Q$564,,MATCH(F$2,'PORTIFÓLIO'!$J$3:$Q$3,0))) *
N('PORTIFÓLIO'!$S$4:$S$564),
0
)
),
0)</f>
        <v/>
      </c>
      <c r="G262" s="47">
        <f>F262/$F$4</f>
        <v/>
      </c>
      <c r="H262" s="49">
        <f t="array" ref="H262">IFERROR(
SUM(
IF(
'PORTIFÓLIO'!$C$4:$C$564=$A262,
N(INDEX('PORTIFÓLIO'!$J$4:$Q$564,,MATCH(H$2,'PORTIFÓLIO'!$J$3:$Q$3,0))) *
N('PORTIFÓLIO'!$S$4:$S$564),
0
)
),
0)</f>
        <v/>
      </c>
      <c r="I262" s="47">
        <f>H262/$H$4</f>
        <v/>
      </c>
      <c r="J262" s="49">
        <f t="array" ref="J262">IFERROR(
SUM(
IF(
'PORTIFÓLIO'!$C$4:$C$564=$A262,
N(INDEX('PORTIFÓLIO'!$J$4:$Q$564,,MATCH(J$2,'PORTIFÓLIO'!$J$3:$Q$3,0))) *
N('PORTIFÓLIO'!$S$4:$S$564),
0
)
),
0)</f>
        <v/>
      </c>
      <c r="K262" s="47">
        <f>J262/$J$4</f>
        <v/>
      </c>
      <c r="L262" s="49">
        <f t="array" ref="L262">IFERROR(
SUM(
IF(
'PORTIFÓLIO'!$C$4:$C$564=$A262,
N(INDEX('PORTIFÓLIO'!$J$4:$Q$564,,MATCH(L$2,'PORTIFÓLIO'!$J$3:$Q$3,0))) *
N('PORTIFÓLIO'!$S$4:$S$564),
0
)
),
0)</f>
        <v/>
      </c>
      <c r="M262" s="47">
        <f>L262/$L$4</f>
        <v/>
      </c>
      <c r="N262" s="49">
        <f t="array" ref="N262">IFERROR(
SUM(
IF(
'PORTIFÓLIO'!$C$4:$C$564=$A262,
N(INDEX('PORTIFÓLIO'!$J$4:$Q$564,,MATCH(N$2,'PORTIFÓLIO'!$J$3:$Q$3,0))) *
N('PORTIFÓLIO'!$S$4:$S$564),
0
)
),
0)</f>
        <v/>
      </c>
      <c r="O262" s="49">
        <f>N262/$N$4</f>
        <v/>
      </c>
      <c r="P262" s="49">
        <f t="array" ref="P262">IFERROR(
SUM(
IF(
'PORTIFÓLIO'!$C$4:$C$564=$A262,
N(INDEX('PORTIFÓLIO'!$J$4:$Q$564,,MATCH(P$2,'PORTIFÓLIO'!$J$3:$Q$3,0))) *
N('PORTIFÓLIO'!$S$4:$S$564),
0
)
),
0)</f>
        <v/>
      </c>
      <c r="Q262" s="49">
        <f>P262/$P$4</f>
        <v/>
      </c>
      <c r="R262" s="49">
        <f>SUM(P262,N262,L262,J262,H262,D262,B262)</f>
        <v/>
      </c>
      <c r="S262" s="49">
        <f>R262/$R$4</f>
        <v/>
      </c>
    </row>
    <row r="263" hidden="1" outlineLevel="1" ht="15.75" customHeight="1" s="297">
      <c r="A263" s="48" t="n"/>
      <c r="B263" s="49">
        <f t="array" ref="B263">IFERROR(
SUM(
IF(
'PORTIFÓLIO'!$C$4:$C$564=$A263,
N(INDEX('PORTIFÓLIO'!$J$4:$Q$564,,MATCH(B$2,'PORTIFÓLIO'!$J$3:$Q$3,0))) *
N('PORTIFÓLIO'!$S$4:$S$564),
0
)
),
0)</f>
        <v/>
      </c>
      <c r="C263" s="49">
        <f>B263/$B$4</f>
        <v/>
      </c>
      <c r="D263" s="49">
        <f t="array" ref="D263">IFERROR(
SUM(
IF(
'PORTIFÓLIO'!$C$4:$C$564=$A263,
N(INDEX('PORTIFÓLIO'!$J$4:$Q$564,,MATCH(D$2,'PORTIFÓLIO'!$J$3:$Q$3,0))) *
N('PORTIFÓLIO'!$S$4:$S$564),
0
)
),
0)</f>
        <v/>
      </c>
      <c r="E263" s="49">
        <f>D263/$D$4</f>
        <v/>
      </c>
      <c r="F263" s="49">
        <f t="array" ref="F263">IFERROR(
SUM(
IF(
'PORTIFÓLIO'!$C$4:$C$564=$A263,
N(INDEX('PORTIFÓLIO'!$J$4:$Q$564,,MATCH(F$2,'PORTIFÓLIO'!$J$3:$Q$3,0))) *
N('PORTIFÓLIO'!$S$4:$S$564),
0
)
),
0)</f>
        <v/>
      </c>
      <c r="G263" s="47">
        <f>F263/$F$4</f>
        <v/>
      </c>
      <c r="H263" s="49">
        <f t="array" ref="H263">IFERROR(
SUM(
IF(
'PORTIFÓLIO'!$C$4:$C$564=$A263,
N(INDEX('PORTIFÓLIO'!$J$4:$Q$564,,MATCH(H$2,'PORTIFÓLIO'!$J$3:$Q$3,0))) *
N('PORTIFÓLIO'!$S$4:$S$564),
0
)
),
0)</f>
        <v/>
      </c>
      <c r="I263" s="47">
        <f>H263/$H$4</f>
        <v/>
      </c>
      <c r="J263" s="49">
        <f t="array" ref="J263">IFERROR(
SUM(
IF(
'PORTIFÓLIO'!$C$4:$C$564=$A263,
N(INDEX('PORTIFÓLIO'!$J$4:$Q$564,,MATCH(J$2,'PORTIFÓLIO'!$J$3:$Q$3,0))) *
N('PORTIFÓLIO'!$S$4:$S$564),
0
)
),
0)</f>
        <v/>
      </c>
      <c r="K263" s="47">
        <f>J263/$J$4</f>
        <v/>
      </c>
      <c r="L263" s="49">
        <f t="array" ref="L263">IFERROR(
SUM(
IF(
'PORTIFÓLIO'!$C$4:$C$564=$A263,
N(INDEX('PORTIFÓLIO'!$J$4:$Q$564,,MATCH(L$2,'PORTIFÓLIO'!$J$3:$Q$3,0))) *
N('PORTIFÓLIO'!$S$4:$S$564),
0
)
),
0)</f>
        <v/>
      </c>
      <c r="M263" s="47">
        <f>L263/$L$4</f>
        <v/>
      </c>
      <c r="N263" s="49">
        <f t="array" ref="N263">IFERROR(
SUM(
IF(
'PORTIFÓLIO'!$C$4:$C$564=$A263,
N(INDEX('PORTIFÓLIO'!$J$4:$Q$564,,MATCH(N$2,'PORTIFÓLIO'!$J$3:$Q$3,0))) *
N('PORTIFÓLIO'!$S$4:$S$564),
0
)
),
0)</f>
        <v/>
      </c>
      <c r="O263" s="49">
        <f>N263/$N$4</f>
        <v/>
      </c>
      <c r="P263" s="49">
        <f t="array" ref="P263">IFERROR(
SUM(
IF(
'PORTIFÓLIO'!$C$4:$C$564=$A263,
N(INDEX('PORTIFÓLIO'!$J$4:$Q$564,,MATCH(P$2,'PORTIFÓLIO'!$J$3:$Q$3,0))) *
N('PORTIFÓLIO'!$S$4:$S$564),
0
)
),
0)</f>
        <v/>
      </c>
      <c r="Q263" s="49">
        <f>P263/$P$4</f>
        <v/>
      </c>
      <c r="R263" s="49">
        <f>SUM(P263,N263,L263,J263,H263,D263,B263)</f>
        <v/>
      </c>
      <c r="S263" s="49">
        <f>R263/$R$4</f>
        <v/>
      </c>
    </row>
    <row r="264" hidden="1" outlineLevel="1" ht="15.75" customHeight="1" s="297">
      <c r="A264" s="48" t="n"/>
      <c r="B264" s="49">
        <f t="array" ref="B264">IFERROR(
SUM(
IF(
'PORTIFÓLIO'!$C$4:$C$564=$A264,
N(INDEX('PORTIFÓLIO'!$J$4:$Q$564,,MATCH(B$2,'PORTIFÓLIO'!$J$3:$Q$3,0))) *
N('PORTIFÓLIO'!$S$4:$S$564),
0
)
),
0)</f>
        <v/>
      </c>
      <c r="C264" s="49">
        <f>B264/$B$4</f>
        <v/>
      </c>
      <c r="D264" s="49">
        <f t="array" ref="D264">IFERROR(
SUM(
IF(
'PORTIFÓLIO'!$C$4:$C$564=$A264,
N(INDEX('PORTIFÓLIO'!$J$4:$Q$564,,MATCH(D$2,'PORTIFÓLIO'!$J$3:$Q$3,0))) *
N('PORTIFÓLIO'!$S$4:$S$564),
0
)
),
0)</f>
        <v/>
      </c>
      <c r="E264" s="49">
        <f>D264/$D$4</f>
        <v/>
      </c>
      <c r="F264" s="49">
        <f t="array" ref="F264">IFERROR(
SUM(
IF(
'PORTIFÓLIO'!$C$4:$C$564=$A264,
N(INDEX('PORTIFÓLIO'!$J$4:$Q$564,,MATCH(F$2,'PORTIFÓLIO'!$J$3:$Q$3,0))) *
N('PORTIFÓLIO'!$S$4:$S$564),
0
)
),
0)</f>
        <v/>
      </c>
      <c r="G264" s="47">
        <f>F264/$F$4</f>
        <v/>
      </c>
      <c r="H264" s="49">
        <f t="array" ref="H264">IFERROR(
SUM(
IF(
'PORTIFÓLIO'!$C$4:$C$564=$A264,
N(INDEX('PORTIFÓLIO'!$J$4:$Q$564,,MATCH(H$2,'PORTIFÓLIO'!$J$3:$Q$3,0))) *
N('PORTIFÓLIO'!$S$4:$S$564),
0
)
),
0)</f>
        <v/>
      </c>
      <c r="I264" s="47">
        <f>H264/$H$4</f>
        <v/>
      </c>
      <c r="J264" s="49">
        <f t="array" ref="J264">IFERROR(
SUM(
IF(
'PORTIFÓLIO'!$C$4:$C$564=$A264,
N(INDEX('PORTIFÓLIO'!$J$4:$Q$564,,MATCH(J$2,'PORTIFÓLIO'!$J$3:$Q$3,0))) *
N('PORTIFÓLIO'!$S$4:$S$564),
0
)
),
0)</f>
        <v/>
      </c>
      <c r="K264" s="47">
        <f>J264/$J$4</f>
        <v/>
      </c>
      <c r="L264" s="49">
        <f t="array" ref="L264">IFERROR(
SUM(
IF(
'PORTIFÓLIO'!$C$4:$C$564=$A264,
N(INDEX('PORTIFÓLIO'!$J$4:$Q$564,,MATCH(L$2,'PORTIFÓLIO'!$J$3:$Q$3,0))) *
N('PORTIFÓLIO'!$S$4:$S$564),
0
)
),
0)</f>
        <v/>
      </c>
      <c r="M264" s="47">
        <f>L264/$L$4</f>
        <v/>
      </c>
      <c r="N264" s="49">
        <f t="array" ref="N264">IFERROR(
SUM(
IF(
'PORTIFÓLIO'!$C$4:$C$564=$A264,
N(INDEX('PORTIFÓLIO'!$J$4:$Q$564,,MATCH(N$2,'PORTIFÓLIO'!$J$3:$Q$3,0))) *
N('PORTIFÓLIO'!$S$4:$S$564),
0
)
),
0)</f>
        <v/>
      </c>
      <c r="O264" s="49">
        <f>N264/$N$4</f>
        <v/>
      </c>
      <c r="P264" s="49">
        <f t="array" ref="P264">IFERROR(
SUM(
IF(
'PORTIFÓLIO'!$C$4:$C$564=$A264,
N(INDEX('PORTIFÓLIO'!$J$4:$Q$564,,MATCH(P$2,'PORTIFÓLIO'!$J$3:$Q$3,0))) *
N('PORTIFÓLIO'!$S$4:$S$564),
0
)
),
0)</f>
        <v/>
      </c>
      <c r="Q264" s="49">
        <f>P264/$P$4</f>
        <v/>
      </c>
      <c r="R264" s="49">
        <f>SUM(P264,N264,L264,J264,H264,D264,B264)</f>
        <v/>
      </c>
      <c r="S264" s="49">
        <f>R264/$R$4</f>
        <v/>
      </c>
    </row>
    <row r="265" hidden="1" outlineLevel="1" ht="15.75" customHeight="1" s="297">
      <c r="A265" s="48" t="n"/>
      <c r="B265" s="49">
        <f t="array" ref="B265">IFERROR(
SUM(
IF(
'PORTIFÓLIO'!$C$4:$C$564=$A265,
N(INDEX('PORTIFÓLIO'!$J$4:$Q$564,,MATCH(B$2,'PORTIFÓLIO'!$J$3:$Q$3,0))) *
N('PORTIFÓLIO'!$S$4:$S$564),
0
)
),
0)</f>
        <v/>
      </c>
      <c r="C265" s="49">
        <f>B265/$B$4</f>
        <v/>
      </c>
      <c r="D265" s="49">
        <f t="array" ref="D265">IFERROR(
SUM(
IF(
'PORTIFÓLIO'!$C$4:$C$564=$A265,
N(INDEX('PORTIFÓLIO'!$J$4:$Q$564,,MATCH(D$2,'PORTIFÓLIO'!$J$3:$Q$3,0))) *
N('PORTIFÓLIO'!$S$4:$S$564),
0
)
),
0)</f>
        <v/>
      </c>
      <c r="E265" s="49">
        <f>D265/$D$4</f>
        <v/>
      </c>
      <c r="F265" s="49">
        <f t="array" ref="F265">IFERROR(
SUM(
IF(
'PORTIFÓLIO'!$C$4:$C$564=$A265,
N(INDEX('PORTIFÓLIO'!$J$4:$Q$564,,MATCH(F$2,'PORTIFÓLIO'!$J$3:$Q$3,0))) *
N('PORTIFÓLIO'!$S$4:$S$564),
0
)
),
0)</f>
        <v/>
      </c>
      <c r="G265" s="47">
        <f>F265/$F$4</f>
        <v/>
      </c>
      <c r="H265" s="49">
        <f t="array" ref="H265">IFERROR(
SUM(
IF(
'PORTIFÓLIO'!$C$4:$C$564=$A265,
N(INDEX('PORTIFÓLIO'!$J$4:$Q$564,,MATCH(H$2,'PORTIFÓLIO'!$J$3:$Q$3,0))) *
N('PORTIFÓLIO'!$S$4:$S$564),
0
)
),
0)</f>
        <v/>
      </c>
      <c r="I265" s="47">
        <f>H265/$H$4</f>
        <v/>
      </c>
      <c r="J265" s="49">
        <f t="array" ref="J265">IFERROR(
SUM(
IF(
'PORTIFÓLIO'!$C$4:$C$564=$A265,
N(INDEX('PORTIFÓLIO'!$J$4:$Q$564,,MATCH(J$2,'PORTIFÓLIO'!$J$3:$Q$3,0))) *
N('PORTIFÓLIO'!$S$4:$S$564),
0
)
),
0)</f>
        <v/>
      </c>
      <c r="K265" s="47">
        <f>J265/$J$4</f>
        <v/>
      </c>
      <c r="L265" s="49">
        <f t="array" ref="L265">IFERROR(
SUM(
IF(
'PORTIFÓLIO'!$C$4:$C$564=$A265,
N(INDEX('PORTIFÓLIO'!$J$4:$Q$564,,MATCH(L$2,'PORTIFÓLIO'!$J$3:$Q$3,0))) *
N('PORTIFÓLIO'!$S$4:$S$564),
0
)
),
0)</f>
        <v/>
      </c>
      <c r="M265" s="47">
        <f>L265/$L$4</f>
        <v/>
      </c>
      <c r="N265" s="49">
        <f t="array" ref="N265">IFERROR(
SUM(
IF(
'PORTIFÓLIO'!$C$4:$C$564=$A265,
N(INDEX('PORTIFÓLIO'!$J$4:$Q$564,,MATCH(N$2,'PORTIFÓLIO'!$J$3:$Q$3,0))) *
N('PORTIFÓLIO'!$S$4:$S$564),
0
)
),
0)</f>
        <v/>
      </c>
      <c r="O265" s="49">
        <f>N265/$N$4</f>
        <v/>
      </c>
      <c r="P265" s="49">
        <f t="array" ref="P265">IFERROR(
SUM(
IF(
'PORTIFÓLIO'!$C$4:$C$564=$A265,
N(INDEX('PORTIFÓLIO'!$J$4:$Q$564,,MATCH(P$2,'PORTIFÓLIO'!$J$3:$Q$3,0))) *
N('PORTIFÓLIO'!$S$4:$S$564),
0
)
),
0)</f>
        <v/>
      </c>
      <c r="Q265" s="49">
        <f>P265/$P$4</f>
        <v/>
      </c>
      <c r="R265" s="49">
        <f>SUM(P265,N265,L265,J265,H265,D265,B265)</f>
        <v/>
      </c>
      <c r="S265" s="49">
        <f>R265/$R$4</f>
        <v/>
      </c>
    </row>
    <row r="266" hidden="1" outlineLevel="1" ht="15.75" customHeight="1" s="297">
      <c r="A266" s="48" t="n"/>
      <c r="B266" s="49">
        <f t="array" ref="B266">IFERROR(
SUM(
IF(
'PORTIFÓLIO'!$C$4:$C$564=$A266,
N(INDEX('PORTIFÓLIO'!$J$4:$Q$564,,MATCH(B$2,'PORTIFÓLIO'!$J$3:$Q$3,0))) *
N('PORTIFÓLIO'!$S$4:$S$564),
0
)
),
0)</f>
        <v/>
      </c>
      <c r="C266" s="49">
        <f>B266/$B$4</f>
        <v/>
      </c>
      <c r="D266" s="49">
        <f t="array" ref="D266">IFERROR(
SUM(
IF(
'PORTIFÓLIO'!$C$4:$C$564=$A266,
N(INDEX('PORTIFÓLIO'!$J$4:$Q$564,,MATCH(D$2,'PORTIFÓLIO'!$J$3:$Q$3,0))) *
N('PORTIFÓLIO'!$S$4:$S$564),
0
)
),
0)</f>
        <v/>
      </c>
      <c r="E266" s="49">
        <f>D266/$D$4</f>
        <v/>
      </c>
      <c r="F266" s="49">
        <f t="array" ref="F266">IFERROR(
SUM(
IF(
'PORTIFÓLIO'!$C$4:$C$564=$A266,
N(INDEX('PORTIFÓLIO'!$J$4:$Q$564,,MATCH(F$2,'PORTIFÓLIO'!$J$3:$Q$3,0))) *
N('PORTIFÓLIO'!$S$4:$S$564),
0
)
),
0)</f>
        <v/>
      </c>
      <c r="G266" s="47">
        <f>F266/$F$4</f>
        <v/>
      </c>
      <c r="H266" s="49">
        <f t="array" ref="H266">IFERROR(
SUM(
IF(
'PORTIFÓLIO'!$C$4:$C$564=$A266,
N(INDEX('PORTIFÓLIO'!$J$4:$Q$564,,MATCH(H$2,'PORTIFÓLIO'!$J$3:$Q$3,0))) *
N('PORTIFÓLIO'!$S$4:$S$564),
0
)
),
0)</f>
        <v/>
      </c>
      <c r="I266" s="47">
        <f>H266/$H$4</f>
        <v/>
      </c>
      <c r="J266" s="49">
        <f t="array" ref="J266">IFERROR(
SUM(
IF(
'PORTIFÓLIO'!$C$4:$C$564=$A266,
N(INDEX('PORTIFÓLIO'!$J$4:$Q$564,,MATCH(J$2,'PORTIFÓLIO'!$J$3:$Q$3,0))) *
N('PORTIFÓLIO'!$S$4:$S$564),
0
)
),
0)</f>
        <v/>
      </c>
      <c r="K266" s="47">
        <f>J266/$J$4</f>
        <v/>
      </c>
      <c r="L266" s="49">
        <f t="array" ref="L266">IFERROR(
SUM(
IF(
'PORTIFÓLIO'!$C$4:$C$564=$A266,
N(INDEX('PORTIFÓLIO'!$J$4:$Q$564,,MATCH(L$2,'PORTIFÓLIO'!$J$3:$Q$3,0))) *
N('PORTIFÓLIO'!$S$4:$S$564),
0
)
),
0)</f>
        <v/>
      </c>
      <c r="M266" s="47">
        <f>L266/$L$4</f>
        <v/>
      </c>
      <c r="N266" s="49">
        <f t="array" ref="N266">IFERROR(
SUM(
IF(
'PORTIFÓLIO'!$C$4:$C$564=$A266,
N(INDEX('PORTIFÓLIO'!$J$4:$Q$564,,MATCH(N$2,'PORTIFÓLIO'!$J$3:$Q$3,0))) *
N('PORTIFÓLIO'!$S$4:$S$564),
0
)
),
0)</f>
        <v/>
      </c>
      <c r="O266" s="49">
        <f>N266/$N$4</f>
        <v/>
      </c>
      <c r="P266" s="49">
        <f t="array" ref="P266">IFERROR(
SUM(
IF(
'PORTIFÓLIO'!$C$4:$C$564=$A266,
N(INDEX('PORTIFÓLIO'!$J$4:$Q$564,,MATCH(P$2,'PORTIFÓLIO'!$J$3:$Q$3,0))) *
N('PORTIFÓLIO'!$S$4:$S$564),
0
)
),
0)</f>
        <v/>
      </c>
      <c r="Q266" s="49">
        <f>P266/$P$4</f>
        <v/>
      </c>
      <c r="R266" s="49">
        <f>SUM(P266,N266,L266,J266,H266,D266,B266)</f>
        <v/>
      </c>
      <c r="S266" s="49">
        <f>R266/$R$4</f>
        <v/>
      </c>
    </row>
    <row r="267" hidden="1" outlineLevel="1" ht="15.75" customHeight="1" s="297">
      <c r="A267" s="48" t="n"/>
      <c r="B267" s="49">
        <f t="array" ref="B267">IFERROR(
SUM(
IF(
'PORTIFÓLIO'!$C$4:$C$564=$A267,
N(INDEX('PORTIFÓLIO'!$J$4:$Q$564,,MATCH(B$2,'PORTIFÓLIO'!$J$3:$Q$3,0))) *
N('PORTIFÓLIO'!$S$4:$S$564),
0
)
),
0)</f>
        <v/>
      </c>
      <c r="C267" s="49">
        <f>B267/$B$4</f>
        <v/>
      </c>
      <c r="D267" s="49">
        <f t="array" ref="D267">IFERROR(
SUM(
IF(
'PORTIFÓLIO'!$C$4:$C$564=$A267,
N(INDEX('PORTIFÓLIO'!$J$4:$Q$564,,MATCH(D$2,'PORTIFÓLIO'!$J$3:$Q$3,0))) *
N('PORTIFÓLIO'!$S$4:$S$564),
0
)
),
0)</f>
        <v/>
      </c>
      <c r="E267" s="49">
        <f>D267/$D$4</f>
        <v/>
      </c>
      <c r="F267" s="49">
        <f t="array" ref="F267">IFERROR(
SUM(
IF(
'PORTIFÓLIO'!$C$4:$C$564=$A267,
N(INDEX('PORTIFÓLIO'!$J$4:$Q$564,,MATCH(F$2,'PORTIFÓLIO'!$J$3:$Q$3,0))) *
N('PORTIFÓLIO'!$S$4:$S$564),
0
)
),
0)</f>
        <v/>
      </c>
      <c r="G267" s="47">
        <f>F267/$F$4</f>
        <v/>
      </c>
      <c r="H267" s="49">
        <f t="array" ref="H267">IFERROR(
SUM(
IF(
'PORTIFÓLIO'!$C$4:$C$564=$A267,
N(INDEX('PORTIFÓLIO'!$J$4:$Q$564,,MATCH(H$2,'PORTIFÓLIO'!$J$3:$Q$3,0))) *
N('PORTIFÓLIO'!$S$4:$S$564),
0
)
),
0)</f>
        <v/>
      </c>
      <c r="I267" s="47">
        <f>H267/$H$4</f>
        <v/>
      </c>
      <c r="J267" s="49">
        <f t="array" ref="J267">IFERROR(
SUM(
IF(
'PORTIFÓLIO'!$C$4:$C$564=$A267,
N(INDEX('PORTIFÓLIO'!$J$4:$Q$564,,MATCH(J$2,'PORTIFÓLIO'!$J$3:$Q$3,0))) *
N('PORTIFÓLIO'!$S$4:$S$564),
0
)
),
0)</f>
        <v/>
      </c>
      <c r="K267" s="47">
        <f>J267/$J$4</f>
        <v/>
      </c>
      <c r="L267" s="49">
        <f t="array" ref="L267">IFERROR(
SUM(
IF(
'PORTIFÓLIO'!$C$4:$C$564=$A267,
N(INDEX('PORTIFÓLIO'!$J$4:$Q$564,,MATCH(L$2,'PORTIFÓLIO'!$J$3:$Q$3,0))) *
N('PORTIFÓLIO'!$S$4:$S$564),
0
)
),
0)</f>
        <v/>
      </c>
      <c r="M267" s="47">
        <f>L267/$L$4</f>
        <v/>
      </c>
      <c r="N267" s="49">
        <f t="array" ref="N267">IFERROR(
SUM(
IF(
'PORTIFÓLIO'!$C$4:$C$564=$A267,
N(INDEX('PORTIFÓLIO'!$J$4:$Q$564,,MATCH(N$2,'PORTIFÓLIO'!$J$3:$Q$3,0))) *
N('PORTIFÓLIO'!$S$4:$S$564),
0
)
),
0)</f>
        <v/>
      </c>
      <c r="O267" s="49">
        <f>N267/$N$4</f>
        <v/>
      </c>
      <c r="P267" s="49">
        <f t="array" ref="P267">IFERROR(
SUM(
IF(
'PORTIFÓLIO'!$C$4:$C$564=$A267,
N(INDEX('PORTIFÓLIO'!$J$4:$Q$564,,MATCH(P$2,'PORTIFÓLIO'!$J$3:$Q$3,0))) *
N('PORTIFÓLIO'!$S$4:$S$564),
0
)
),
0)</f>
        <v/>
      </c>
      <c r="Q267" s="49">
        <f>P267/$P$4</f>
        <v/>
      </c>
      <c r="R267" s="49">
        <f>SUM(P267,N267,L267,J267,H267,D267,B267)</f>
        <v/>
      </c>
      <c r="S267" s="49">
        <f>R267/$R$4</f>
        <v/>
      </c>
    </row>
    <row r="268" hidden="1" outlineLevel="1" ht="15.75" customHeight="1" s="297">
      <c r="A268" s="48" t="n"/>
      <c r="B268" s="49">
        <f t="array" ref="B268">IFERROR(
SUM(
IF(
'PORTIFÓLIO'!$C$4:$C$564=$A268,
N(INDEX('PORTIFÓLIO'!$J$4:$Q$564,,MATCH(B$2,'PORTIFÓLIO'!$J$3:$Q$3,0))) *
N('PORTIFÓLIO'!$S$4:$S$564),
0
)
),
0)</f>
        <v/>
      </c>
      <c r="C268" s="49">
        <f>B268/$B$4</f>
        <v/>
      </c>
      <c r="D268" s="49">
        <f t="array" ref="D268">IFERROR(
SUM(
IF(
'PORTIFÓLIO'!$C$4:$C$564=$A268,
N(INDEX('PORTIFÓLIO'!$J$4:$Q$564,,MATCH(D$2,'PORTIFÓLIO'!$J$3:$Q$3,0))) *
N('PORTIFÓLIO'!$S$4:$S$564),
0
)
),
0)</f>
        <v/>
      </c>
      <c r="E268" s="49">
        <f>D268/$D$4</f>
        <v/>
      </c>
      <c r="F268" s="49">
        <f t="array" ref="F268">IFERROR(
SUM(
IF(
'PORTIFÓLIO'!$C$4:$C$564=$A268,
N(INDEX('PORTIFÓLIO'!$J$4:$Q$564,,MATCH(F$2,'PORTIFÓLIO'!$J$3:$Q$3,0))) *
N('PORTIFÓLIO'!$S$4:$S$564),
0
)
),
0)</f>
        <v/>
      </c>
      <c r="G268" s="47">
        <f>F268/$F$4</f>
        <v/>
      </c>
      <c r="H268" s="49">
        <f t="array" ref="H268">IFERROR(
SUM(
IF(
'PORTIFÓLIO'!$C$4:$C$564=$A268,
N(INDEX('PORTIFÓLIO'!$J$4:$Q$564,,MATCH(H$2,'PORTIFÓLIO'!$J$3:$Q$3,0))) *
N('PORTIFÓLIO'!$S$4:$S$564),
0
)
),
0)</f>
        <v/>
      </c>
      <c r="I268" s="47">
        <f>H268/$H$4</f>
        <v/>
      </c>
      <c r="J268" s="49">
        <f t="array" ref="J268">IFERROR(
SUM(
IF(
'PORTIFÓLIO'!$C$4:$C$564=$A268,
N(INDEX('PORTIFÓLIO'!$J$4:$Q$564,,MATCH(J$2,'PORTIFÓLIO'!$J$3:$Q$3,0))) *
N('PORTIFÓLIO'!$S$4:$S$564),
0
)
),
0)</f>
        <v/>
      </c>
      <c r="K268" s="47">
        <f>J268/$J$4</f>
        <v/>
      </c>
      <c r="L268" s="49">
        <f t="array" ref="L268">IFERROR(
SUM(
IF(
'PORTIFÓLIO'!$C$4:$C$564=$A268,
N(INDEX('PORTIFÓLIO'!$J$4:$Q$564,,MATCH(L$2,'PORTIFÓLIO'!$J$3:$Q$3,0))) *
N('PORTIFÓLIO'!$S$4:$S$564),
0
)
),
0)</f>
        <v/>
      </c>
      <c r="M268" s="47">
        <f>L268/$L$4</f>
        <v/>
      </c>
      <c r="N268" s="49">
        <f t="array" ref="N268">IFERROR(
SUM(
IF(
'PORTIFÓLIO'!$C$4:$C$564=$A268,
N(INDEX('PORTIFÓLIO'!$J$4:$Q$564,,MATCH(N$2,'PORTIFÓLIO'!$J$3:$Q$3,0))) *
N('PORTIFÓLIO'!$S$4:$S$564),
0
)
),
0)</f>
        <v/>
      </c>
      <c r="O268" s="49">
        <f>N268/$N$4</f>
        <v/>
      </c>
      <c r="P268" s="49">
        <f t="array" ref="P268">IFERROR(
SUM(
IF(
'PORTIFÓLIO'!$C$4:$C$564=$A268,
N(INDEX('PORTIFÓLIO'!$J$4:$Q$564,,MATCH(P$2,'PORTIFÓLIO'!$J$3:$Q$3,0))) *
N('PORTIFÓLIO'!$S$4:$S$564),
0
)
),
0)</f>
        <v/>
      </c>
      <c r="Q268" s="49">
        <f>P268/$P$4</f>
        <v/>
      </c>
      <c r="R268" s="49">
        <f>SUM(P268,N268,L268,J268,H268,D268,B268)</f>
        <v/>
      </c>
      <c r="S268" s="49">
        <f>R268/$R$4</f>
        <v/>
      </c>
    </row>
    <row r="269" hidden="1" outlineLevel="1" ht="15.75" customHeight="1" s="297">
      <c r="A269" s="48" t="n"/>
      <c r="B269" s="49">
        <f t="array" ref="B269">IFERROR(
SUM(
IF(
'PORTIFÓLIO'!$C$4:$C$564=$A269,
N(INDEX('PORTIFÓLIO'!$J$4:$Q$564,,MATCH(B$2,'PORTIFÓLIO'!$J$3:$Q$3,0))) *
N('PORTIFÓLIO'!$S$4:$S$564),
0
)
),
0)</f>
        <v/>
      </c>
      <c r="C269" s="49">
        <f>B269/$B$4</f>
        <v/>
      </c>
      <c r="D269" s="49">
        <f t="array" ref="D269">IFERROR(
SUM(
IF(
'PORTIFÓLIO'!$C$4:$C$564=$A269,
N(INDEX('PORTIFÓLIO'!$J$4:$Q$564,,MATCH(D$2,'PORTIFÓLIO'!$J$3:$Q$3,0))) *
N('PORTIFÓLIO'!$S$4:$S$564),
0
)
),
0)</f>
        <v/>
      </c>
      <c r="E269" s="49">
        <f>D269/$D$4</f>
        <v/>
      </c>
      <c r="F269" s="49">
        <f t="array" ref="F269">IFERROR(
SUM(
IF(
'PORTIFÓLIO'!$C$4:$C$564=$A269,
N(INDEX('PORTIFÓLIO'!$J$4:$Q$564,,MATCH(F$2,'PORTIFÓLIO'!$J$3:$Q$3,0))) *
N('PORTIFÓLIO'!$S$4:$S$564),
0
)
),
0)</f>
        <v/>
      </c>
      <c r="G269" s="47">
        <f>F269/$F$4</f>
        <v/>
      </c>
      <c r="H269" s="49">
        <f t="array" ref="H269">IFERROR(
SUM(
IF(
'PORTIFÓLIO'!$C$4:$C$564=$A269,
N(INDEX('PORTIFÓLIO'!$J$4:$Q$564,,MATCH(H$2,'PORTIFÓLIO'!$J$3:$Q$3,0))) *
N('PORTIFÓLIO'!$S$4:$S$564),
0
)
),
0)</f>
        <v/>
      </c>
      <c r="I269" s="47">
        <f>H269/$H$4</f>
        <v/>
      </c>
      <c r="J269" s="49">
        <f t="array" ref="J269">IFERROR(
SUM(
IF(
'PORTIFÓLIO'!$C$4:$C$564=$A269,
N(INDEX('PORTIFÓLIO'!$J$4:$Q$564,,MATCH(J$2,'PORTIFÓLIO'!$J$3:$Q$3,0))) *
N('PORTIFÓLIO'!$S$4:$S$564),
0
)
),
0)</f>
        <v/>
      </c>
      <c r="K269" s="47">
        <f>J269/$J$4</f>
        <v/>
      </c>
      <c r="L269" s="49">
        <f t="array" ref="L269">IFERROR(
SUM(
IF(
'PORTIFÓLIO'!$C$4:$C$564=$A269,
N(INDEX('PORTIFÓLIO'!$J$4:$Q$564,,MATCH(L$2,'PORTIFÓLIO'!$J$3:$Q$3,0))) *
N('PORTIFÓLIO'!$S$4:$S$564),
0
)
),
0)</f>
        <v/>
      </c>
      <c r="M269" s="47">
        <f>L269/$L$4</f>
        <v/>
      </c>
      <c r="N269" s="49">
        <f t="array" ref="N269">IFERROR(
SUM(
IF(
'PORTIFÓLIO'!$C$4:$C$564=$A269,
N(INDEX('PORTIFÓLIO'!$J$4:$Q$564,,MATCH(N$2,'PORTIFÓLIO'!$J$3:$Q$3,0))) *
N('PORTIFÓLIO'!$S$4:$S$564),
0
)
),
0)</f>
        <v/>
      </c>
      <c r="O269" s="49">
        <f>N269/$N$4</f>
        <v/>
      </c>
      <c r="P269" s="49">
        <f t="array" ref="P269">IFERROR(
SUM(
IF(
'PORTIFÓLIO'!$C$4:$C$564=$A269,
N(INDEX('PORTIFÓLIO'!$J$4:$Q$564,,MATCH(P$2,'PORTIFÓLIO'!$J$3:$Q$3,0))) *
N('PORTIFÓLIO'!$S$4:$S$564),
0
)
),
0)</f>
        <v/>
      </c>
      <c r="Q269" s="49">
        <f>P269/$P$4</f>
        <v/>
      </c>
      <c r="R269" s="49">
        <f>SUM(P269,N269,L269,J269,H269,D269,B269)</f>
        <v/>
      </c>
      <c r="S269" s="49">
        <f>R269/$R$4</f>
        <v/>
      </c>
    </row>
    <row r="270" hidden="1" outlineLevel="1" ht="15.75" customHeight="1" s="297">
      <c r="A270" s="48" t="n"/>
      <c r="B270" s="49">
        <f t="array" ref="B270">IFERROR(
SUM(
IF(
'PORTIFÓLIO'!$C$4:$C$564=$A270,
N(INDEX('PORTIFÓLIO'!$J$4:$Q$564,,MATCH(B$2,'PORTIFÓLIO'!$J$3:$Q$3,0))) *
N('PORTIFÓLIO'!$S$4:$S$564),
0
)
),
0)</f>
        <v/>
      </c>
      <c r="C270" s="49">
        <f>B270/$B$4</f>
        <v/>
      </c>
      <c r="D270" s="49">
        <f t="array" ref="D270">IFERROR(
SUM(
IF(
'PORTIFÓLIO'!$C$4:$C$564=$A270,
N(INDEX('PORTIFÓLIO'!$J$4:$Q$564,,MATCH(D$2,'PORTIFÓLIO'!$J$3:$Q$3,0))) *
N('PORTIFÓLIO'!$S$4:$S$564),
0
)
),
0)</f>
        <v/>
      </c>
      <c r="E270" s="49">
        <f>D270/$D$4</f>
        <v/>
      </c>
      <c r="F270" s="49">
        <f t="array" ref="F270">IFERROR(
SUM(
IF(
'PORTIFÓLIO'!$C$4:$C$564=$A270,
N(INDEX('PORTIFÓLIO'!$J$4:$Q$564,,MATCH(F$2,'PORTIFÓLIO'!$J$3:$Q$3,0))) *
N('PORTIFÓLIO'!$S$4:$S$564),
0
)
),
0)</f>
        <v/>
      </c>
      <c r="G270" s="47">
        <f>F270/$F$4</f>
        <v/>
      </c>
      <c r="H270" s="49">
        <f t="array" ref="H270">IFERROR(
SUM(
IF(
'PORTIFÓLIO'!$C$4:$C$564=$A270,
N(INDEX('PORTIFÓLIO'!$J$4:$Q$564,,MATCH(H$2,'PORTIFÓLIO'!$J$3:$Q$3,0))) *
N('PORTIFÓLIO'!$S$4:$S$564),
0
)
),
0)</f>
        <v/>
      </c>
      <c r="I270" s="47">
        <f>H270/$H$4</f>
        <v/>
      </c>
      <c r="J270" s="49">
        <f t="array" ref="J270">IFERROR(
SUM(
IF(
'PORTIFÓLIO'!$C$4:$C$564=$A270,
N(INDEX('PORTIFÓLIO'!$J$4:$Q$564,,MATCH(J$2,'PORTIFÓLIO'!$J$3:$Q$3,0))) *
N('PORTIFÓLIO'!$S$4:$S$564),
0
)
),
0)</f>
        <v/>
      </c>
      <c r="K270" s="47">
        <f>J270/$J$4</f>
        <v/>
      </c>
      <c r="L270" s="49">
        <f t="array" ref="L270">IFERROR(
SUM(
IF(
'PORTIFÓLIO'!$C$4:$C$564=$A270,
N(INDEX('PORTIFÓLIO'!$J$4:$Q$564,,MATCH(L$2,'PORTIFÓLIO'!$J$3:$Q$3,0))) *
N('PORTIFÓLIO'!$S$4:$S$564),
0
)
),
0)</f>
        <v/>
      </c>
      <c r="M270" s="47">
        <f>L270/$L$4</f>
        <v/>
      </c>
      <c r="N270" s="49">
        <f t="array" ref="N270">IFERROR(
SUM(
IF(
'PORTIFÓLIO'!$C$4:$C$564=$A270,
N(INDEX('PORTIFÓLIO'!$J$4:$Q$564,,MATCH(N$2,'PORTIFÓLIO'!$J$3:$Q$3,0))) *
N('PORTIFÓLIO'!$S$4:$S$564),
0
)
),
0)</f>
        <v/>
      </c>
      <c r="O270" s="49">
        <f>N270/$N$4</f>
        <v/>
      </c>
      <c r="P270" s="49">
        <f t="array" ref="P270">IFERROR(
SUM(
IF(
'PORTIFÓLIO'!$C$4:$C$564=$A270,
N(INDEX('PORTIFÓLIO'!$J$4:$Q$564,,MATCH(P$2,'PORTIFÓLIO'!$J$3:$Q$3,0))) *
N('PORTIFÓLIO'!$S$4:$S$564),
0
)
),
0)</f>
        <v/>
      </c>
      <c r="Q270" s="49">
        <f>P270/$P$4</f>
        <v/>
      </c>
      <c r="R270" s="49">
        <f>SUM(P270,N270,L270,J270,H270,D270,B270)</f>
        <v/>
      </c>
      <c r="S270" s="49">
        <f>R270/$R$4</f>
        <v/>
      </c>
    </row>
    <row r="271" hidden="1" outlineLevel="1" ht="15.75" customHeight="1" s="297">
      <c r="A271" s="48" t="n"/>
      <c r="B271" s="49">
        <f t="array" ref="B271">IFERROR(
SUM(
IF(
'PORTIFÓLIO'!$C$4:$C$564=$A271,
N(INDEX('PORTIFÓLIO'!$J$4:$Q$564,,MATCH(B$2,'PORTIFÓLIO'!$J$3:$Q$3,0))) *
N('PORTIFÓLIO'!$S$4:$S$564),
0
)
),
0)</f>
        <v/>
      </c>
      <c r="C271" s="49">
        <f>B271/$B$4</f>
        <v/>
      </c>
      <c r="D271" s="49">
        <f t="array" ref="D271">IFERROR(
SUM(
IF(
'PORTIFÓLIO'!$C$4:$C$564=$A271,
N(INDEX('PORTIFÓLIO'!$J$4:$Q$564,,MATCH(D$2,'PORTIFÓLIO'!$J$3:$Q$3,0))) *
N('PORTIFÓLIO'!$S$4:$S$564),
0
)
),
0)</f>
        <v/>
      </c>
      <c r="E271" s="49">
        <f>D271/$D$4</f>
        <v/>
      </c>
      <c r="F271" s="49">
        <f t="array" ref="F271">IFERROR(
SUM(
IF(
'PORTIFÓLIO'!$C$4:$C$564=$A271,
N(INDEX('PORTIFÓLIO'!$J$4:$Q$564,,MATCH(F$2,'PORTIFÓLIO'!$J$3:$Q$3,0))) *
N('PORTIFÓLIO'!$S$4:$S$564),
0
)
),
0)</f>
        <v/>
      </c>
      <c r="G271" s="47">
        <f>F271/$F$4</f>
        <v/>
      </c>
      <c r="H271" s="49">
        <f t="array" ref="H271">IFERROR(
SUM(
IF(
'PORTIFÓLIO'!$C$4:$C$564=$A271,
N(INDEX('PORTIFÓLIO'!$J$4:$Q$564,,MATCH(H$2,'PORTIFÓLIO'!$J$3:$Q$3,0))) *
N('PORTIFÓLIO'!$S$4:$S$564),
0
)
),
0)</f>
        <v/>
      </c>
      <c r="I271" s="47">
        <f>H271/$H$4</f>
        <v/>
      </c>
      <c r="J271" s="49">
        <f t="array" ref="J271">IFERROR(
SUM(
IF(
'PORTIFÓLIO'!$C$4:$C$564=$A271,
N(INDEX('PORTIFÓLIO'!$J$4:$Q$564,,MATCH(J$2,'PORTIFÓLIO'!$J$3:$Q$3,0))) *
N('PORTIFÓLIO'!$S$4:$S$564),
0
)
),
0)</f>
        <v/>
      </c>
      <c r="K271" s="47">
        <f>J271/$J$4</f>
        <v/>
      </c>
      <c r="L271" s="49">
        <f t="array" ref="L271">IFERROR(
SUM(
IF(
'PORTIFÓLIO'!$C$4:$C$564=$A271,
N(INDEX('PORTIFÓLIO'!$J$4:$Q$564,,MATCH(L$2,'PORTIFÓLIO'!$J$3:$Q$3,0))) *
N('PORTIFÓLIO'!$S$4:$S$564),
0
)
),
0)</f>
        <v/>
      </c>
      <c r="M271" s="47">
        <f>L271/$L$4</f>
        <v/>
      </c>
      <c r="N271" s="49">
        <f t="array" ref="N271">IFERROR(
SUM(
IF(
'PORTIFÓLIO'!$C$4:$C$564=$A271,
N(INDEX('PORTIFÓLIO'!$J$4:$Q$564,,MATCH(N$2,'PORTIFÓLIO'!$J$3:$Q$3,0))) *
N('PORTIFÓLIO'!$S$4:$S$564),
0
)
),
0)</f>
        <v/>
      </c>
      <c r="O271" s="49">
        <f>N271/$N$4</f>
        <v/>
      </c>
      <c r="P271" s="49">
        <f t="array" ref="P271">IFERROR(
SUM(
IF(
'PORTIFÓLIO'!$C$4:$C$564=$A271,
N(INDEX('PORTIFÓLIO'!$J$4:$Q$564,,MATCH(P$2,'PORTIFÓLIO'!$J$3:$Q$3,0))) *
N('PORTIFÓLIO'!$S$4:$S$564),
0
)
),
0)</f>
        <v/>
      </c>
      <c r="Q271" s="49">
        <f>P271/$P$4</f>
        <v/>
      </c>
      <c r="R271" s="49">
        <f>SUM(P271,N271,L271,J271,H271,D271,B271)</f>
        <v/>
      </c>
      <c r="S271" s="49">
        <f>R271/$R$4</f>
        <v/>
      </c>
    </row>
    <row r="272" hidden="1" outlineLevel="1" ht="15.75" customHeight="1" s="297">
      <c r="A272" s="48" t="n"/>
      <c r="B272" s="49">
        <f t="array" ref="B272">IFERROR(
SUM(
IF(
'PORTIFÓLIO'!$C$4:$C$564=$A272,
N(INDEX('PORTIFÓLIO'!$J$4:$Q$564,,MATCH(B$2,'PORTIFÓLIO'!$J$3:$Q$3,0))) *
N('PORTIFÓLIO'!$S$4:$S$564),
0
)
),
0)</f>
        <v/>
      </c>
      <c r="C272" s="49">
        <f>B272/$B$4</f>
        <v/>
      </c>
      <c r="D272" s="49">
        <f t="array" ref="D272">IFERROR(
SUM(
IF(
'PORTIFÓLIO'!$C$4:$C$564=$A272,
N(INDEX('PORTIFÓLIO'!$J$4:$Q$564,,MATCH(D$2,'PORTIFÓLIO'!$J$3:$Q$3,0))) *
N('PORTIFÓLIO'!$S$4:$S$564),
0
)
),
0)</f>
        <v/>
      </c>
      <c r="E272" s="49">
        <f>D272/$D$4</f>
        <v/>
      </c>
      <c r="F272" s="49">
        <f t="array" ref="F272">IFERROR(
SUM(
IF(
'PORTIFÓLIO'!$C$4:$C$564=$A272,
N(INDEX('PORTIFÓLIO'!$J$4:$Q$564,,MATCH(F$2,'PORTIFÓLIO'!$J$3:$Q$3,0))) *
N('PORTIFÓLIO'!$S$4:$S$564),
0
)
),
0)</f>
        <v/>
      </c>
      <c r="G272" s="47">
        <f>F272/$F$4</f>
        <v/>
      </c>
      <c r="H272" s="49">
        <f t="array" ref="H272">IFERROR(
SUM(
IF(
'PORTIFÓLIO'!$C$4:$C$564=$A272,
N(INDEX('PORTIFÓLIO'!$J$4:$Q$564,,MATCH(H$2,'PORTIFÓLIO'!$J$3:$Q$3,0))) *
N('PORTIFÓLIO'!$S$4:$S$564),
0
)
),
0)</f>
        <v/>
      </c>
      <c r="I272" s="47">
        <f>H272/$H$4</f>
        <v/>
      </c>
      <c r="J272" s="49">
        <f t="array" ref="J272">IFERROR(
SUM(
IF(
'PORTIFÓLIO'!$C$4:$C$564=$A272,
N(INDEX('PORTIFÓLIO'!$J$4:$Q$564,,MATCH(J$2,'PORTIFÓLIO'!$J$3:$Q$3,0))) *
N('PORTIFÓLIO'!$S$4:$S$564),
0
)
),
0)</f>
        <v/>
      </c>
      <c r="K272" s="47">
        <f>J272/$J$4</f>
        <v/>
      </c>
      <c r="L272" s="49">
        <f t="array" ref="L272">IFERROR(
SUM(
IF(
'PORTIFÓLIO'!$C$4:$C$564=$A272,
N(INDEX('PORTIFÓLIO'!$J$4:$Q$564,,MATCH(L$2,'PORTIFÓLIO'!$J$3:$Q$3,0))) *
N('PORTIFÓLIO'!$S$4:$S$564),
0
)
),
0)</f>
        <v/>
      </c>
      <c r="M272" s="47">
        <f>L272/$L$4</f>
        <v/>
      </c>
      <c r="N272" s="49">
        <f t="array" ref="N272">IFERROR(
SUM(
IF(
'PORTIFÓLIO'!$C$4:$C$564=$A272,
N(INDEX('PORTIFÓLIO'!$J$4:$Q$564,,MATCH(N$2,'PORTIFÓLIO'!$J$3:$Q$3,0))) *
N('PORTIFÓLIO'!$S$4:$S$564),
0
)
),
0)</f>
        <v/>
      </c>
      <c r="O272" s="49">
        <f>N272/$N$4</f>
        <v/>
      </c>
      <c r="P272" s="49">
        <f t="array" ref="P272">IFERROR(
SUM(
IF(
'PORTIFÓLIO'!$C$4:$C$564=$A272,
N(INDEX('PORTIFÓLIO'!$J$4:$Q$564,,MATCH(P$2,'PORTIFÓLIO'!$J$3:$Q$3,0))) *
N('PORTIFÓLIO'!$S$4:$S$564),
0
)
),
0)</f>
        <v/>
      </c>
      <c r="Q272" s="49">
        <f>P272/$P$4</f>
        <v/>
      </c>
      <c r="R272" s="49">
        <f>SUM(P272,N272,L272,J272,H272,D272,B272)</f>
        <v/>
      </c>
      <c r="S272" s="49">
        <f>R272/$R$4</f>
        <v/>
      </c>
    </row>
    <row r="273" hidden="1" outlineLevel="1" ht="15.75" customHeight="1" s="297">
      <c r="A273" s="48" t="n"/>
      <c r="B273" s="49">
        <f t="array" ref="B273">IFERROR(
SUM(
IF(
'PORTIFÓLIO'!$C$4:$C$564=$A273,
N(INDEX('PORTIFÓLIO'!$J$4:$Q$564,,MATCH(B$2,'PORTIFÓLIO'!$J$3:$Q$3,0))) *
N('PORTIFÓLIO'!$S$4:$S$564),
0
)
),
0)</f>
        <v/>
      </c>
      <c r="C273" s="49">
        <f>B273/$B$4</f>
        <v/>
      </c>
      <c r="D273" s="49">
        <f t="array" ref="D273">IFERROR(
SUM(
IF(
'PORTIFÓLIO'!$C$4:$C$564=$A273,
N(INDEX('PORTIFÓLIO'!$J$4:$Q$564,,MATCH(D$2,'PORTIFÓLIO'!$J$3:$Q$3,0))) *
N('PORTIFÓLIO'!$S$4:$S$564),
0
)
),
0)</f>
        <v/>
      </c>
      <c r="E273" s="49">
        <f>D273/$D$4</f>
        <v/>
      </c>
      <c r="F273" s="49">
        <f t="array" ref="F273">IFERROR(
SUM(
IF(
'PORTIFÓLIO'!$C$4:$C$564=$A273,
N(INDEX('PORTIFÓLIO'!$J$4:$Q$564,,MATCH(F$2,'PORTIFÓLIO'!$J$3:$Q$3,0))) *
N('PORTIFÓLIO'!$S$4:$S$564),
0
)
),
0)</f>
        <v/>
      </c>
      <c r="G273" s="47">
        <f>F273/$F$4</f>
        <v/>
      </c>
      <c r="H273" s="49">
        <f t="array" ref="H273">IFERROR(
SUM(
IF(
'PORTIFÓLIO'!$C$4:$C$564=$A273,
N(INDEX('PORTIFÓLIO'!$J$4:$Q$564,,MATCH(H$2,'PORTIFÓLIO'!$J$3:$Q$3,0))) *
N('PORTIFÓLIO'!$S$4:$S$564),
0
)
),
0)</f>
        <v/>
      </c>
      <c r="I273" s="47">
        <f>H273/$H$4</f>
        <v/>
      </c>
      <c r="J273" s="49">
        <f t="array" ref="J273">IFERROR(
SUM(
IF(
'PORTIFÓLIO'!$C$4:$C$564=$A273,
N(INDEX('PORTIFÓLIO'!$J$4:$Q$564,,MATCH(J$2,'PORTIFÓLIO'!$J$3:$Q$3,0))) *
N('PORTIFÓLIO'!$S$4:$S$564),
0
)
),
0)</f>
        <v/>
      </c>
      <c r="K273" s="47">
        <f>J273/$J$4</f>
        <v/>
      </c>
      <c r="L273" s="49">
        <f t="array" ref="L273">IFERROR(
SUM(
IF(
'PORTIFÓLIO'!$C$4:$C$564=$A273,
N(INDEX('PORTIFÓLIO'!$J$4:$Q$564,,MATCH(L$2,'PORTIFÓLIO'!$J$3:$Q$3,0))) *
N('PORTIFÓLIO'!$S$4:$S$564),
0
)
),
0)</f>
        <v/>
      </c>
      <c r="M273" s="47">
        <f>L273/$L$4</f>
        <v/>
      </c>
      <c r="N273" s="49">
        <f t="array" ref="N273">IFERROR(
SUM(
IF(
'PORTIFÓLIO'!$C$4:$C$564=$A273,
N(INDEX('PORTIFÓLIO'!$J$4:$Q$564,,MATCH(N$2,'PORTIFÓLIO'!$J$3:$Q$3,0))) *
N('PORTIFÓLIO'!$S$4:$S$564),
0
)
),
0)</f>
        <v/>
      </c>
      <c r="O273" s="49">
        <f>N273/$N$4</f>
        <v/>
      </c>
      <c r="P273" s="49">
        <f t="array" ref="P273">IFERROR(
SUM(
IF(
'PORTIFÓLIO'!$C$4:$C$564=$A273,
N(INDEX('PORTIFÓLIO'!$J$4:$Q$564,,MATCH(P$2,'PORTIFÓLIO'!$J$3:$Q$3,0))) *
N('PORTIFÓLIO'!$S$4:$S$564),
0
)
),
0)</f>
        <v/>
      </c>
      <c r="Q273" s="49">
        <f>P273/$P$4</f>
        <v/>
      </c>
      <c r="R273" s="49">
        <f>SUM(P273,N273,L273,J273,H273,D273,B273)</f>
        <v/>
      </c>
      <c r="S273" s="49">
        <f>R273/$R$4</f>
        <v/>
      </c>
    </row>
    <row r="274" hidden="1" outlineLevel="1" ht="15.75" customHeight="1" s="297">
      <c r="A274" s="48" t="n"/>
      <c r="B274" s="49">
        <f t="array" ref="B274">IFERROR(
SUM(
IF(
'PORTIFÓLIO'!$C$4:$C$564=$A274,
N(INDEX('PORTIFÓLIO'!$J$4:$Q$564,,MATCH(B$2,'PORTIFÓLIO'!$J$3:$Q$3,0))) *
N('PORTIFÓLIO'!$S$4:$S$564),
0
)
),
0)</f>
        <v/>
      </c>
      <c r="C274" s="49">
        <f>B274/$B$4</f>
        <v/>
      </c>
      <c r="D274" s="49">
        <f t="array" ref="D274">IFERROR(
SUM(
IF(
'PORTIFÓLIO'!$C$4:$C$564=$A274,
N(INDEX('PORTIFÓLIO'!$J$4:$Q$564,,MATCH(D$2,'PORTIFÓLIO'!$J$3:$Q$3,0))) *
N('PORTIFÓLIO'!$S$4:$S$564),
0
)
),
0)</f>
        <v/>
      </c>
      <c r="E274" s="49">
        <f>D274/$D$4</f>
        <v/>
      </c>
      <c r="F274" s="49">
        <f t="array" ref="F274">IFERROR(
SUM(
IF(
'PORTIFÓLIO'!$C$4:$C$564=$A274,
N(INDEX('PORTIFÓLIO'!$J$4:$Q$564,,MATCH(F$2,'PORTIFÓLIO'!$J$3:$Q$3,0))) *
N('PORTIFÓLIO'!$S$4:$S$564),
0
)
),
0)</f>
        <v/>
      </c>
      <c r="G274" s="47">
        <f>F274/$F$4</f>
        <v/>
      </c>
      <c r="H274" s="49">
        <f t="array" ref="H274">IFERROR(
SUM(
IF(
'PORTIFÓLIO'!$C$4:$C$564=$A274,
N(INDEX('PORTIFÓLIO'!$J$4:$Q$564,,MATCH(H$2,'PORTIFÓLIO'!$J$3:$Q$3,0))) *
N('PORTIFÓLIO'!$S$4:$S$564),
0
)
),
0)</f>
        <v/>
      </c>
      <c r="I274" s="47">
        <f>H274/$H$4</f>
        <v/>
      </c>
      <c r="J274" s="49">
        <f t="array" ref="J274">IFERROR(
SUM(
IF(
'PORTIFÓLIO'!$C$4:$C$564=$A274,
N(INDEX('PORTIFÓLIO'!$J$4:$Q$564,,MATCH(J$2,'PORTIFÓLIO'!$J$3:$Q$3,0))) *
N('PORTIFÓLIO'!$S$4:$S$564),
0
)
),
0)</f>
        <v/>
      </c>
      <c r="K274" s="47">
        <f>J274/$J$4</f>
        <v/>
      </c>
      <c r="L274" s="49">
        <f t="array" ref="L274">IFERROR(
SUM(
IF(
'PORTIFÓLIO'!$C$4:$C$564=$A274,
N(INDEX('PORTIFÓLIO'!$J$4:$Q$564,,MATCH(L$2,'PORTIFÓLIO'!$J$3:$Q$3,0))) *
N('PORTIFÓLIO'!$S$4:$S$564),
0
)
),
0)</f>
        <v/>
      </c>
      <c r="M274" s="47">
        <f>L274/$L$4</f>
        <v/>
      </c>
      <c r="N274" s="49">
        <f t="array" ref="N274">IFERROR(
SUM(
IF(
'PORTIFÓLIO'!$C$4:$C$564=$A274,
N(INDEX('PORTIFÓLIO'!$J$4:$Q$564,,MATCH(N$2,'PORTIFÓLIO'!$J$3:$Q$3,0))) *
N('PORTIFÓLIO'!$S$4:$S$564),
0
)
),
0)</f>
        <v/>
      </c>
      <c r="O274" s="49">
        <f>N274/$N$4</f>
        <v/>
      </c>
      <c r="P274" s="49">
        <f t="array" ref="P274">IFERROR(
SUM(
IF(
'PORTIFÓLIO'!$C$4:$C$564=$A274,
N(INDEX('PORTIFÓLIO'!$J$4:$Q$564,,MATCH(P$2,'PORTIFÓLIO'!$J$3:$Q$3,0))) *
N('PORTIFÓLIO'!$S$4:$S$564),
0
)
),
0)</f>
        <v/>
      </c>
      <c r="Q274" s="49">
        <f>P274/$P$4</f>
        <v/>
      </c>
      <c r="R274" s="49">
        <f>SUM(P274,N274,L274,J274,H274,D274,B274)</f>
        <v/>
      </c>
      <c r="S274" s="49">
        <f>R274/$R$4</f>
        <v/>
      </c>
    </row>
    <row r="275" hidden="1" outlineLevel="1" ht="15.75" customHeight="1" s="297">
      <c r="A275" s="48" t="n"/>
      <c r="B275" s="49">
        <f t="array" ref="B275">IFERROR(
SUM(
IF(
'PORTIFÓLIO'!$C$4:$C$564=$A275,
N(INDEX('PORTIFÓLIO'!$J$4:$Q$564,,MATCH(B$2,'PORTIFÓLIO'!$J$3:$Q$3,0))) *
N('PORTIFÓLIO'!$S$4:$S$564),
0
)
),
0)</f>
        <v/>
      </c>
      <c r="C275" s="49">
        <f>B275/$B$4</f>
        <v/>
      </c>
      <c r="D275" s="49">
        <f t="array" ref="D275">IFERROR(
SUM(
IF(
'PORTIFÓLIO'!$C$4:$C$564=$A275,
N(INDEX('PORTIFÓLIO'!$J$4:$Q$564,,MATCH(D$2,'PORTIFÓLIO'!$J$3:$Q$3,0))) *
N('PORTIFÓLIO'!$S$4:$S$564),
0
)
),
0)</f>
        <v/>
      </c>
      <c r="E275" s="49">
        <f>D275/$D$4</f>
        <v/>
      </c>
      <c r="F275" s="49">
        <f t="array" ref="F275">IFERROR(
SUM(
IF(
'PORTIFÓLIO'!$C$4:$C$564=$A275,
N(INDEX('PORTIFÓLIO'!$J$4:$Q$564,,MATCH(F$2,'PORTIFÓLIO'!$J$3:$Q$3,0))) *
N('PORTIFÓLIO'!$S$4:$S$564),
0
)
),
0)</f>
        <v/>
      </c>
      <c r="G275" s="47">
        <f>F275/$F$4</f>
        <v/>
      </c>
      <c r="H275" s="49">
        <f t="array" ref="H275">IFERROR(
SUM(
IF(
'PORTIFÓLIO'!$C$4:$C$564=$A275,
N(INDEX('PORTIFÓLIO'!$J$4:$Q$564,,MATCH(H$2,'PORTIFÓLIO'!$J$3:$Q$3,0))) *
N('PORTIFÓLIO'!$S$4:$S$564),
0
)
),
0)</f>
        <v/>
      </c>
      <c r="I275" s="47">
        <f>H275/$H$4</f>
        <v/>
      </c>
      <c r="J275" s="49">
        <f t="array" ref="J275">IFERROR(
SUM(
IF(
'PORTIFÓLIO'!$C$4:$C$564=$A275,
N(INDEX('PORTIFÓLIO'!$J$4:$Q$564,,MATCH(J$2,'PORTIFÓLIO'!$J$3:$Q$3,0))) *
N('PORTIFÓLIO'!$S$4:$S$564),
0
)
),
0)</f>
        <v/>
      </c>
      <c r="K275" s="47">
        <f>J275/$J$4</f>
        <v/>
      </c>
      <c r="L275" s="49">
        <f t="array" ref="L275">IFERROR(
SUM(
IF(
'PORTIFÓLIO'!$C$4:$C$564=$A275,
N(INDEX('PORTIFÓLIO'!$J$4:$Q$564,,MATCH(L$2,'PORTIFÓLIO'!$J$3:$Q$3,0))) *
N('PORTIFÓLIO'!$S$4:$S$564),
0
)
),
0)</f>
        <v/>
      </c>
      <c r="M275" s="47">
        <f>L275/$L$4</f>
        <v/>
      </c>
      <c r="N275" s="49">
        <f t="array" ref="N275">IFERROR(
SUM(
IF(
'PORTIFÓLIO'!$C$4:$C$564=$A275,
N(INDEX('PORTIFÓLIO'!$J$4:$Q$564,,MATCH(N$2,'PORTIFÓLIO'!$J$3:$Q$3,0))) *
N('PORTIFÓLIO'!$S$4:$S$564),
0
)
),
0)</f>
        <v/>
      </c>
      <c r="O275" s="49">
        <f>N275/$N$4</f>
        <v/>
      </c>
      <c r="P275" s="49">
        <f t="array" ref="P275">IFERROR(
SUM(
IF(
'PORTIFÓLIO'!$C$4:$C$564=$A275,
N(INDEX('PORTIFÓLIO'!$J$4:$Q$564,,MATCH(P$2,'PORTIFÓLIO'!$J$3:$Q$3,0))) *
N('PORTIFÓLIO'!$S$4:$S$564),
0
)
),
0)</f>
        <v/>
      </c>
      <c r="Q275" s="49">
        <f>P275/$P$4</f>
        <v/>
      </c>
      <c r="R275" s="49">
        <f>SUM(P275,N275,L275,J275,H275,D275,B275)</f>
        <v/>
      </c>
      <c r="S275" s="49">
        <f>R275/$R$4</f>
        <v/>
      </c>
    </row>
    <row r="276" hidden="1" outlineLevel="1" ht="15.75" customHeight="1" s="297">
      <c r="A276" s="48" t="n"/>
      <c r="B276" s="49">
        <f t="array" ref="B276">IFERROR(
SUM(
IF(
'PORTIFÓLIO'!$C$4:$C$564=$A276,
N(INDEX('PORTIFÓLIO'!$J$4:$Q$564,,MATCH(B$2,'PORTIFÓLIO'!$J$3:$Q$3,0))) *
N('PORTIFÓLIO'!$S$4:$S$564),
0
)
),
0)</f>
        <v/>
      </c>
      <c r="C276" s="49">
        <f>B276/$B$4</f>
        <v/>
      </c>
      <c r="D276" s="49">
        <f t="array" ref="D276">IFERROR(
SUM(
IF(
'PORTIFÓLIO'!$C$4:$C$564=$A276,
N(INDEX('PORTIFÓLIO'!$J$4:$Q$564,,MATCH(D$2,'PORTIFÓLIO'!$J$3:$Q$3,0))) *
N('PORTIFÓLIO'!$S$4:$S$564),
0
)
),
0)</f>
        <v/>
      </c>
      <c r="E276" s="49">
        <f>D276/$D$4</f>
        <v/>
      </c>
      <c r="F276" s="49">
        <f t="array" ref="F276">IFERROR(
SUM(
IF(
'PORTIFÓLIO'!$C$4:$C$564=$A276,
N(INDEX('PORTIFÓLIO'!$J$4:$Q$564,,MATCH(F$2,'PORTIFÓLIO'!$J$3:$Q$3,0))) *
N('PORTIFÓLIO'!$S$4:$S$564),
0
)
),
0)</f>
        <v/>
      </c>
      <c r="G276" s="47">
        <f>F276/$F$4</f>
        <v/>
      </c>
      <c r="H276" s="49">
        <f t="array" ref="H276">IFERROR(
SUM(
IF(
'PORTIFÓLIO'!$C$4:$C$564=$A276,
N(INDEX('PORTIFÓLIO'!$J$4:$Q$564,,MATCH(H$2,'PORTIFÓLIO'!$J$3:$Q$3,0))) *
N('PORTIFÓLIO'!$S$4:$S$564),
0
)
),
0)</f>
        <v/>
      </c>
      <c r="I276" s="47">
        <f>H276/$H$4</f>
        <v/>
      </c>
      <c r="J276" s="49">
        <f t="array" ref="J276">IFERROR(
SUM(
IF(
'PORTIFÓLIO'!$C$4:$C$564=$A276,
N(INDEX('PORTIFÓLIO'!$J$4:$Q$564,,MATCH(J$2,'PORTIFÓLIO'!$J$3:$Q$3,0))) *
N('PORTIFÓLIO'!$S$4:$S$564),
0
)
),
0)</f>
        <v/>
      </c>
      <c r="K276" s="47">
        <f>J276/$J$4</f>
        <v/>
      </c>
      <c r="L276" s="49">
        <f t="array" ref="L276">IFERROR(
SUM(
IF(
'PORTIFÓLIO'!$C$4:$C$564=$A276,
N(INDEX('PORTIFÓLIO'!$J$4:$Q$564,,MATCH(L$2,'PORTIFÓLIO'!$J$3:$Q$3,0))) *
N('PORTIFÓLIO'!$S$4:$S$564),
0
)
),
0)</f>
        <v/>
      </c>
      <c r="M276" s="47">
        <f>L276/$L$4</f>
        <v/>
      </c>
      <c r="N276" s="49">
        <f t="array" ref="N276">IFERROR(
SUM(
IF(
'PORTIFÓLIO'!$C$4:$C$564=$A276,
N(INDEX('PORTIFÓLIO'!$J$4:$Q$564,,MATCH(N$2,'PORTIFÓLIO'!$J$3:$Q$3,0))) *
N('PORTIFÓLIO'!$S$4:$S$564),
0
)
),
0)</f>
        <v/>
      </c>
      <c r="O276" s="49">
        <f>N276/$N$4</f>
        <v/>
      </c>
      <c r="P276" s="49">
        <f t="array" ref="P276">IFERROR(
SUM(
IF(
'PORTIFÓLIO'!$C$4:$C$564=$A276,
N(INDEX('PORTIFÓLIO'!$J$4:$Q$564,,MATCH(P$2,'PORTIFÓLIO'!$J$3:$Q$3,0))) *
N('PORTIFÓLIO'!$S$4:$S$564),
0
)
),
0)</f>
        <v/>
      </c>
      <c r="Q276" s="49">
        <f>P276/$P$4</f>
        <v/>
      </c>
      <c r="R276" s="49">
        <f>SUM(P276,N276,L276,J276,H276,D276,B276)</f>
        <v/>
      </c>
      <c r="S276" s="49">
        <f>R276/$R$4</f>
        <v/>
      </c>
    </row>
    <row r="277" hidden="1" outlineLevel="1" ht="15.75" customHeight="1" s="297">
      <c r="A277" s="48" t="n"/>
      <c r="B277" s="49">
        <f t="array" ref="B277">IFERROR(
SUM(
IF(
'PORTIFÓLIO'!$C$4:$C$564=$A277,
N(INDEX('PORTIFÓLIO'!$J$4:$Q$564,,MATCH(B$2,'PORTIFÓLIO'!$J$3:$Q$3,0))) *
N('PORTIFÓLIO'!$S$4:$S$564),
0
)
),
0)</f>
        <v/>
      </c>
      <c r="C277" s="49">
        <f>B277/$B$4</f>
        <v/>
      </c>
      <c r="D277" s="49">
        <f t="array" ref="D277">IFERROR(
SUM(
IF(
'PORTIFÓLIO'!$C$4:$C$564=$A277,
N(INDEX('PORTIFÓLIO'!$J$4:$Q$564,,MATCH(D$2,'PORTIFÓLIO'!$J$3:$Q$3,0))) *
N('PORTIFÓLIO'!$S$4:$S$564),
0
)
),
0)</f>
        <v/>
      </c>
      <c r="E277" s="49">
        <f>D277/$D$4</f>
        <v/>
      </c>
      <c r="F277" s="49">
        <f t="array" ref="F277">IFERROR(
SUM(
IF(
'PORTIFÓLIO'!$C$4:$C$564=$A277,
N(INDEX('PORTIFÓLIO'!$J$4:$Q$564,,MATCH(F$2,'PORTIFÓLIO'!$J$3:$Q$3,0))) *
N('PORTIFÓLIO'!$S$4:$S$564),
0
)
),
0)</f>
        <v/>
      </c>
      <c r="G277" s="47">
        <f>F277/$F$4</f>
        <v/>
      </c>
      <c r="H277" s="49">
        <f t="array" ref="H277">IFERROR(
SUM(
IF(
'PORTIFÓLIO'!$C$4:$C$564=$A277,
N(INDEX('PORTIFÓLIO'!$J$4:$Q$564,,MATCH(H$2,'PORTIFÓLIO'!$J$3:$Q$3,0))) *
N('PORTIFÓLIO'!$S$4:$S$564),
0
)
),
0)</f>
        <v/>
      </c>
      <c r="I277" s="47">
        <f>H277/$H$4</f>
        <v/>
      </c>
      <c r="J277" s="49">
        <f t="array" ref="J277">IFERROR(
SUM(
IF(
'PORTIFÓLIO'!$C$4:$C$564=$A277,
N(INDEX('PORTIFÓLIO'!$J$4:$Q$564,,MATCH(J$2,'PORTIFÓLIO'!$J$3:$Q$3,0))) *
N('PORTIFÓLIO'!$S$4:$S$564),
0
)
),
0)</f>
        <v/>
      </c>
      <c r="K277" s="47">
        <f>J277/$J$4</f>
        <v/>
      </c>
      <c r="L277" s="49">
        <f t="array" ref="L277">IFERROR(
SUM(
IF(
'PORTIFÓLIO'!$C$4:$C$564=$A277,
N(INDEX('PORTIFÓLIO'!$J$4:$Q$564,,MATCH(L$2,'PORTIFÓLIO'!$J$3:$Q$3,0))) *
N('PORTIFÓLIO'!$S$4:$S$564),
0
)
),
0)</f>
        <v/>
      </c>
      <c r="M277" s="47">
        <f>L277/$L$4</f>
        <v/>
      </c>
      <c r="N277" s="49">
        <f t="array" ref="N277">IFERROR(
SUM(
IF(
'PORTIFÓLIO'!$C$4:$C$564=$A277,
N(INDEX('PORTIFÓLIO'!$J$4:$Q$564,,MATCH(N$2,'PORTIFÓLIO'!$J$3:$Q$3,0))) *
N('PORTIFÓLIO'!$S$4:$S$564),
0
)
),
0)</f>
        <v/>
      </c>
      <c r="O277" s="49">
        <f>N277/$N$4</f>
        <v/>
      </c>
      <c r="P277" s="49">
        <f t="array" ref="P277">IFERROR(
SUM(
IF(
'PORTIFÓLIO'!$C$4:$C$564=$A277,
N(INDEX('PORTIFÓLIO'!$J$4:$Q$564,,MATCH(P$2,'PORTIFÓLIO'!$J$3:$Q$3,0))) *
N('PORTIFÓLIO'!$S$4:$S$564),
0
)
),
0)</f>
        <v/>
      </c>
      <c r="Q277" s="49">
        <f>P277/$P$4</f>
        <v/>
      </c>
      <c r="R277" s="49">
        <f>SUM(P277,N277,L277,J277,H277,D277,B277)</f>
        <v/>
      </c>
      <c r="S277" s="49">
        <f>R277/$R$4</f>
        <v/>
      </c>
    </row>
    <row r="278" hidden="1" outlineLevel="1" ht="15.75" customHeight="1" s="297">
      <c r="A278" s="48" t="n"/>
      <c r="B278" s="49">
        <f t="array" ref="B278">IFERROR(
SUM(
IF(
'PORTIFÓLIO'!$C$4:$C$564=$A278,
N(INDEX('PORTIFÓLIO'!$J$4:$Q$564,,MATCH(B$2,'PORTIFÓLIO'!$J$3:$Q$3,0))) *
N('PORTIFÓLIO'!$S$4:$S$564),
0
)
),
0)</f>
        <v/>
      </c>
      <c r="C278" s="49">
        <f>B278/$B$4</f>
        <v/>
      </c>
      <c r="D278" s="49">
        <f t="array" ref="D278">IFERROR(
SUM(
IF(
'PORTIFÓLIO'!$C$4:$C$564=$A278,
N(INDEX('PORTIFÓLIO'!$J$4:$Q$564,,MATCH(D$2,'PORTIFÓLIO'!$J$3:$Q$3,0))) *
N('PORTIFÓLIO'!$S$4:$S$564),
0
)
),
0)</f>
        <v/>
      </c>
      <c r="E278" s="49">
        <f>D278/$D$4</f>
        <v/>
      </c>
      <c r="F278" s="49">
        <f t="array" ref="F278">IFERROR(
SUM(
IF(
'PORTIFÓLIO'!$C$4:$C$564=$A278,
N(INDEX('PORTIFÓLIO'!$J$4:$Q$564,,MATCH(F$2,'PORTIFÓLIO'!$J$3:$Q$3,0))) *
N('PORTIFÓLIO'!$S$4:$S$564),
0
)
),
0)</f>
        <v/>
      </c>
      <c r="G278" s="47">
        <f>F278/$F$4</f>
        <v/>
      </c>
      <c r="H278" s="49">
        <f t="array" ref="H278">IFERROR(
SUM(
IF(
'PORTIFÓLIO'!$C$4:$C$564=$A278,
N(INDEX('PORTIFÓLIO'!$J$4:$Q$564,,MATCH(H$2,'PORTIFÓLIO'!$J$3:$Q$3,0))) *
N('PORTIFÓLIO'!$S$4:$S$564),
0
)
),
0)</f>
        <v/>
      </c>
      <c r="I278" s="47">
        <f>H278/$H$4</f>
        <v/>
      </c>
      <c r="J278" s="49">
        <f t="array" ref="J278">IFERROR(
SUM(
IF(
'PORTIFÓLIO'!$C$4:$C$564=$A278,
N(INDEX('PORTIFÓLIO'!$J$4:$Q$564,,MATCH(J$2,'PORTIFÓLIO'!$J$3:$Q$3,0))) *
N('PORTIFÓLIO'!$S$4:$S$564),
0
)
),
0)</f>
        <v/>
      </c>
      <c r="K278" s="47">
        <f>J278/$J$4</f>
        <v/>
      </c>
      <c r="L278" s="49">
        <f t="array" ref="L278">IFERROR(
SUM(
IF(
'PORTIFÓLIO'!$C$4:$C$564=$A278,
N(INDEX('PORTIFÓLIO'!$J$4:$Q$564,,MATCH(L$2,'PORTIFÓLIO'!$J$3:$Q$3,0))) *
N('PORTIFÓLIO'!$S$4:$S$564),
0
)
),
0)</f>
        <v/>
      </c>
      <c r="M278" s="47">
        <f>L278/$L$4</f>
        <v/>
      </c>
      <c r="N278" s="49">
        <f t="array" ref="N278">IFERROR(
SUM(
IF(
'PORTIFÓLIO'!$C$4:$C$564=$A278,
N(INDEX('PORTIFÓLIO'!$J$4:$Q$564,,MATCH(N$2,'PORTIFÓLIO'!$J$3:$Q$3,0))) *
N('PORTIFÓLIO'!$S$4:$S$564),
0
)
),
0)</f>
        <v/>
      </c>
      <c r="O278" s="49">
        <f>N278/$N$4</f>
        <v/>
      </c>
      <c r="P278" s="49">
        <f t="array" ref="P278">IFERROR(
SUM(
IF(
'PORTIFÓLIO'!$C$4:$C$564=$A278,
N(INDEX('PORTIFÓLIO'!$J$4:$Q$564,,MATCH(P$2,'PORTIFÓLIO'!$J$3:$Q$3,0))) *
N('PORTIFÓLIO'!$S$4:$S$564),
0
)
),
0)</f>
        <v/>
      </c>
      <c r="Q278" s="49">
        <f>P278/$P$4</f>
        <v/>
      </c>
      <c r="R278" s="49">
        <f>SUM(P278,N278,L278,J278,H278,D278,B278)</f>
        <v/>
      </c>
      <c r="S278" s="49">
        <f>R278/$R$4</f>
        <v/>
      </c>
    </row>
    <row r="279" hidden="1" outlineLevel="1" ht="15.75" customHeight="1" s="297">
      <c r="A279" s="48" t="n"/>
      <c r="B279" s="49">
        <f t="array" ref="B279">IFERROR(
SUM(
IF(
'PORTIFÓLIO'!$C$4:$C$564=$A279,
N(INDEX('PORTIFÓLIO'!$J$4:$Q$564,,MATCH(B$2,'PORTIFÓLIO'!$J$3:$Q$3,0))) *
N('PORTIFÓLIO'!$S$4:$S$564),
0
)
),
0)</f>
        <v/>
      </c>
      <c r="C279" s="49">
        <f>B279/$B$4</f>
        <v/>
      </c>
      <c r="D279" s="49">
        <f t="array" ref="D279">IFERROR(
SUM(
IF(
'PORTIFÓLIO'!$C$4:$C$564=$A279,
N(INDEX('PORTIFÓLIO'!$J$4:$Q$564,,MATCH(D$2,'PORTIFÓLIO'!$J$3:$Q$3,0))) *
N('PORTIFÓLIO'!$S$4:$S$564),
0
)
),
0)</f>
        <v/>
      </c>
      <c r="E279" s="49">
        <f>D279/$D$4</f>
        <v/>
      </c>
      <c r="F279" s="49">
        <f t="array" ref="F279">IFERROR(
SUM(
IF(
'PORTIFÓLIO'!$C$4:$C$564=$A279,
N(INDEX('PORTIFÓLIO'!$J$4:$Q$564,,MATCH(F$2,'PORTIFÓLIO'!$J$3:$Q$3,0))) *
N('PORTIFÓLIO'!$S$4:$S$564),
0
)
),
0)</f>
        <v/>
      </c>
      <c r="G279" s="47">
        <f>F279/$F$4</f>
        <v/>
      </c>
      <c r="H279" s="49">
        <f t="array" ref="H279">IFERROR(
SUM(
IF(
'PORTIFÓLIO'!$C$4:$C$564=$A279,
N(INDEX('PORTIFÓLIO'!$J$4:$Q$564,,MATCH(H$2,'PORTIFÓLIO'!$J$3:$Q$3,0))) *
N('PORTIFÓLIO'!$S$4:$S$564),
0
)
),
0)</f>
        <v/>
      </c>
      <c r="I279" s="47">
        <f>H279/$H$4</f>
        <v/>
      </c>
      <c r="J279" s="49">
        <f t="array" ref="J279">IFERROR(
SUM(
IF(
'PORTIFÓLIO'!$C$4:$C$564=$A279,
N(INDEX('PORTIFÓLIO'!$J$4:$Q$564,,MATCH(J$2,'PORTIFÓLIO'!$J$3:$Q$3,0))) *
N('PORTIFÓLIO'!$S$4:$S$564),
0
)
),
0)</f>
        <v/>
      </c>
      <c r="K279" s="47">
        <f>J279/$J$4</f>
        <v/>
      </c>
      <c r="L279" s="49">
        <f t="array" ref="L279">IFERROR(
SUM(
IF(
'PORTIFÓLIO'!$C$4:$C$564=$A279,
N(INDEX('PORTIFÓLIO'!$J$4:$Q$564,,MATCH(L$2,'PORTIFÓLIO'!$J$3:$Q$3,0))) *
N('PORTIFÓLIO'!$S$4:$S$564),
0
)
),
0)</f>
        <v/>
      </c>
      <c r="M279" s="47">
        <f>L279/$L$4</f>
        <v/>
      </c>
      <c r="N279" s="49">
        <f t="array" ref="N279">IFERROR(
SUM(
IF(
'PORTIFÓLIO'!$C$4:$C$564=$A279,
N(INDEX('PORTIFÓLIO'!$J$4:$Q$564,,MATCH(N$2,'PORTIFÓLIO'!$J$3:$Q$3,0))) *
N('PORTIFÓLIO'!$S$4:$S$564),
0
)
),
0)</f>
        <v/>
      </c>
      <c r="O279" s="49">
        <f>N279/$N$4</f>
        <v/>
      </c>
      <c r="P279" s="49">
        <f t="array" ref="P279">IFERROR(
SUM(
IF(
'PORTIFÓLIO'!$C$4:$C$564=$A279,
N(INDEX('PORTIFÓLIO'!$J$4:$Q$564,,MATCH(P$2,'PORTIFÓLIO'!$J$3:$Q$3,0))) *
N('PORTIFÓLIO'!$S$4:$S$564),
0
)
),
0)</f>
        <v/>
      </c>
      <c r="Q279" s="49">
        <f>P279/$P$4</f>
        <v/>
      </c>
      <c r="R279" s="49">
        <f>SUM(P279,N279,L279,J279,H279,D279,B279)</f>
        <v/>
      </c>
      <c r="S279" s="49">
        <f>R279/$R$4</f>
        <v/>
      </c>
    </row>
    <row r="280" hidden="1" outlineLevel="1" ht="15.75" customHeight="1" s="297">
      <c r="A280" s="48" t="n"/>
      <c r="B280" s="49">
        <f t="array" ref="B280">IFERROR(
SUM(
IF(
'PORTIFÓLIO'!$C$4:$C$564=$A280,
N(INDEX('PORTIFÓLIO'!$J$4:$Q$564,,MATCH(B$2,'PORTIFÓLIO'!$J$3:$Q$3,0))) *
N('PORTIFÓLIO'!$S$4:$S$564),
0
)
),
0)</f>
        <v/>
      </c>
      <c r="C280" s="49">
        <f>B280/$B$4</f>
        <v/>
      </c>
      <c r="D280" s="49">
        <f t="array" ref="D280">IFERROR(
SUM(
IF(
'PORTIFÓLIO'!$C$4:$C$564=$A280,
N(INDEX('PORTIFÓLIO'!$J$4:$Q$564,,MATCH(D$2,'PORTIFÓLIO'!$J$3:$Q$3,0))) *
N('PORTIFÓLIO'!$S$4:$S$564),
0
)
),
0)</f>
        <v/>
      </c>
      <c r="E280" s="49">
        <f>D280/$D$4</f>
        <v/>
      </c>
      <c r="F280" s="49">
        <f t="array" ref="F280">IFERROR(
SUM(
IF(
'PORTIFÓLIO'!$C$4:$C$564=$A280,
N(INDEX('PORTIFÓLIO'!$J$4:$Q$564,,MATCH(F$2,'PORTIFÓLIO'!$J$3:$Q$3,0))) *
N('PORTIFÓLIO'!$S$4:$S$564),
0
)
),
0)</f>
        <v/>
      </c>
      <c r="G280" s="47">
        <f>F280/$F$4</f>
        <v/>
      </c>
      <c r="H280" s="49">
        <f t="array" ref="H280">IFERROR(
SUM(
IF(
'PORTIFÓLIO'!$C$4:$C$564=$A280,
N(INDEX('PORTIFÓLIO'!$J$4:$Q$564,,MATCH(H$2,'PORTIFÓLIO'!$J$3:$Q$3,0))) *
N('PORTIFÓLIO'!$S$4:$S$564),
0
)
),
0)</f>
        <v/>
      </c>
      <c r="I280" s="47">
        <f>H280/$H$4</f>
        <v/>
      </c>
      <c r="J280" s="49">
        <f t="array" ref="J280">IFERROR(
SUM(
IF(
'PORTIFÓLIO'!$C$4:$C$564=$A280,
N(INDEX('PORTIFÓLIO'!$J$4:$Q$564,,MATCH(J$2,'PORTIFÓLIO'!$J$3:$Q$3,0))) *
N('PORTIFÓLIO'!$S$4:$S$564),
0
)
),
0)</f>
        <v/>
      </c>
      <c r="K280" s="47">
        <f>J280/$J$4</f>
        <v/>
      </c>
      <c r="L280" s="49">
        <f t="array" ref="L280">IFERROR(
SUM(
IF(
'PORTIFÓLIO'!$C$4:$C$564=$A280,
N(INDEX('PORTIFÓLIO'!$J$4:$Q$564,,MATCH(L$2,'PORTIFÓLIO'!$J$3:$Q$3,0))) *
N('PORTIFÓLIO'!$S$4:$S$564),
0
)
),
0)</f>
        <v/>
      </c>
      <c r="M280" s="47">
        <f>L280/$L$4</f>
        <v/>
      </c>
      <c r="N280" s="49">
        <f t="array" ref="N280">IFERROR(
SUM(
IF(
'PORTIFÓLIO'!$C$4:$C$564=$A280,
N(INDEX('PORTIFÓLIO'!$J$4:$Q$564,,MATCH(N$2,'PORTIFÓLIO'!$J$3:$Q$3,0))) *
N('PORTIFÓLIO'!$S$4:$S$564),
0
)
),
0)</f>
        <v/>
      </c>
      <c r="O280" s="49">
        <f>N280/$N$4</f>
        <v/>
      </c>
      <c r="P280" s="49">
        <f t="array" ref="P280">IFERROR(
SUM(
IF(
'PORTIFÓLIO'!$C$4:$C$564=$A280,
N(INDEX('PORTIFÓLIO'!$J$4:$Q$564,,MATCH(P$2,'PORTIFÓLIO'!$J$3:$Q$3,0))) *
N('PORTIFÓLIO'!$S$4:$S$564),
0
)
),
0)</f>
        <v/>
      </c>
      <c r="Q280" s="49">
        <f>P280/$P$4</f>
        <v/>
      </c>
      <c r="R280" s="49">
        <f>SUM(P280,N280,L280,J280,H280,D280,B280)</f>
        <v/>
      </c>
      <c r="S280" s="49">
        <f>R280/$R$4</f>
        <v/>
      </c>
    </row>
    <row r="281" hidden="1" outlineLevel="1" ht="15.75" customHeight="1" s="297">
      <c r="A281" s="48" t="n"/>
      <c r="B281" s="49">
        <f t="array" ref="B281">IFERROR(
SUM(
IF(
'PORTIFÓLIO'!$C$4:$C$564=$A281,
N(INDEX('PORTIFÓLIO'!$J$4:$Q$564,,MATCH(B$2,'PORTIFÓLIO'!$J$3:$Q$3,0))) *
N('PORTIFÓLIO'!$S$4:$S$564),
0
)
),
0)</f>
        <v/>
      </c>
      <c r="C281" s="49">
        <f>B281/$B$4</f>
        <v/>
      </c>
      <c r="D281" s="49">
        <f t="array" ref="D281">IFERROR(
SUM(
IF(
'PORTIFÓLIO'!$C$4:$C$564=$A281,
N(INDEX('PORTIFÓLIO'!$J$4:$Q$564,,MATCH(D$2,'PORTIFÓLIO'!$J$3:$Q$3,0))) *
N('PORTIFÓLIO'!$S$4:$S$564),
0
)
),
0)</f>
        <v/>
      </c>
      <c r="E281" s="49">
        <f>D281/$D$4</f>
        <v/>
      </c>
      <c r="F281" s="49">
        <f t="array" ref="F281">IFERROR(
SUM(
IF(
'PORTIFÓLIO'!$C$4:$C$564=$A281,
N(INDEX('PORTIFÓLIO'!$J$4:$Q$564,,MATCH(F$2,'PORTIFÓLIO'!$J$3:$Q$3,0))) *
N('PORTIFÓLIO'!$S$4:$S$564),
0
)
),
0)</f>
        <v/>
      </c>
      <c r="G281" s="47">
        <f>F281/$F$4</f>
        <v/>
      </c>
      <c r="H281" s="49">
        <f t="array" ref="H281">IFERROR(
SUM(
IF(
'PORTIFÓLIO'!$C$4:$C$564=$A281,
N(INDEX('PORTIFÓLIO'!$J$4:$Q$564,,MATCH(H$2,'PORTIFÓLIO'!$J$3:$Q$3,0))) *
N('PORTIFÓLIO'!$S$4:$S$564),
0
)
),
0)</f>
        <v/>
      </c>
      <c r="I281" s="47">
        <f>H281/$H$4</f>
        <v/>
      </c>
      <c r="J281" s="49">
        <f t="array" ref="J281">IFERROR(
SUM(
IF(
'PORTIFÓLIO'!$C$4:$C$564=$A281,
N(INDEX('PORTIFÓLIO'!$J$4:$Q$564,,MATCH(J$2,'PORTIFÓLIO'!$J$3:$Q$3,0))) *
N('PORTIFÓLIO'!$S$4:$S$564),
0
)
),
0)</f>
        <v/>
      </c>
      <c r="K281" s="47">
        <f>J281/$J$4</f>
        <v/>
      </c>
      <c r="L281" s="49">
        <f t="array" ref="L281">IFERROR(
SUM(
IF(
'PORTIFÓLIO'!$C$4:$C$564=$A281,
N(INDEX('PORTIFÓLIO'!$J$4:$Q$564,,MATCH(L$2,'PORTIFÓLIO'!$J$3:$Q$3,0))) *
N('PORTIFÓLIO'!$S$4:$S$564),
0
)
),
0)</f>
        <v/>
      </c>
      <c r="M281" s="47">
        <f>L281/$L$4</f>
        <v/>
      </c>
      <c r="N281" s="49">
        <f t="array" ref="N281">IFERROR(
SUM(
IF(
'PORTIFÓLIO'!$C$4:$C$564=$A281,
N(INDEX('PORTIFÓLIO'!$J$4:$Q$564,,MATCH(N$2,'PORTIFÓLIO'!$J$3:$Q$3,0))) *
N('PORTIFÓLIO'!$S$4:$S$564),
0
)
),
0)</f>
        <v/>
      </c>
      <c r="O281" s="49">
        <f>N281/$N$4</f>
        <v/>
      </c>
      <c r="P281" s="49">
        <f t="array" ref="P281">IFERROR(
SUM(
IF(
'PORTIFÓLIO'!$C$4:$C$564=$A281,
N(INDEX('PORTIFÓLIO'!$J$4:$Q$564,,MATCH(P$2,'PORTIFÓLIO'!$J$3:$Q$3,0))) *
N('PORTIFÓLIO'!$S$4:$S$564),
0
)
),
0)</f>
        <v/>
      </c>
      <c r="Q281" s="49">
        <f>P281/$P$4</f>
        <v/>
      </c>
      <c r="R281" s="49">
        <f>SUM(P281,N281,L281,J281,H281,D281,B281)</f>
        <v/>
      </c>
      <c r="S281" s="49">
        <f>R281/$R$4</f>
        <v/>
      </c>
    </row>
    <row r="282" hidden="1" outlineLevel="1" ht="15.75" customHeight="1" s="297">
      <c r="A282" s="48" t="n"/>
      <c r="B282" s="49">
        <f t="array" ref="B282">IFERROR(
SUM(
IF(
'PORTIFÓLIO'!$C$4:$C$564=$A282,
N(INDEX('PORTIFÓLIO'!$J$4:$Q$564,,MATCH(B$2,'PORTIFÓLIO'!$J$3:$Q$3,0))) *
N('PORTIFÓLIO'!$S$4:$S$564),
0
)
),
0)</f>
        <v/>
      </c>
      <c r="C282" s="49">
        <f>B282/$B$4</f>
        <v/>
      </c>
      <c r="D282" s="49">
        <f t="array" ref="D282">IFERROR(
SUM(
IF(
'PORTIFÓLIO'!$C$4:$C$564=$A282,
N(INDEX('PORTIFÓLIO'!$J$4:$Q$564,,MATCH(D$2,'PORTIFÓLIO'!$J$3:$Q$3,0))) *
N('PORTIFÓLIO'!$S$4:$S$564),
0
)
),
0)</f>
        <v/>
      </c>
      <c r="E282" s="49">
        <f>D282/$D$4</f>
        <v/>
      </c>
      <c r="F282" s="49">
        <f t="array" ref="F282">IFERROR(
SUM(
IF(
'PORTIFÓLIO'!$C$4:$C$564=$A282,
N(INDEX('PORTIFÓLIO'!$J$4:$Q$564,,MATCH(F$2,'PORTIFÓLIO'!$J$3:$Q$3,0))) *
N('PORTIFÓLIO'!$S$4:$S$564),
0
)
),
0)</f>
        <v/>
      </c>
      <c r="G282" s="47">
        <f>F282/$F$4</f>
        <v/>
      </c>
      <c r="H282" s="49">
        <f t="array" ref="H282">IFERROR(
SUM(
IF(
'PORTIFÓLIO'!$C$4:$C$564=$A282,
N(INDEX('PORTIFÓLIO'!$J$4:$Q$564,,MATCH(H$2,'PORTIFÓLIO'!$J$3:$Q$3,0))) *
N('PORTIFÓLIO'!$S$4:$S$564),
0
)
),
0)</f>
        <v/>
      </c>
      <c r="I282" s="47">
        <f>H282/$H$4</f>
        <v/>
      </c>
      <c r="J282" s="49">
        <f t="array" ref="J282">IFERROR(
SUM(
IF(
'PORTIFÓLIO'!$C$4:$C$564=$A282,
N(INDEX('PORTIFÓLIO'!$J$4:$Q$564,,MATCH(J$2,'PORTIFÓLIO'!$J$3:$Q$3,0))) *
N('PORTIFÓLIO'!$S$4:$S$564),
0
)
),
0)</f>
        <v/>
      </c>
      <c r="K282" s="47">
        <f>J282/$J$4</f>
        <v/>
      </c>
      <c r="L282" s="49">
        <f t="array" ref="L282">IFERROR(
SUM(
IF(
'PORTIFÓLIO'!$C$4:$C$564=$A282,
N(INDEX('PORTIFÓLIO'!$J$4:$Q$564,,MATCH(L$2,'PORTIFÓLIO'!$J$3:$Q$3,0))) *
N('PORTIFÓLIO'!$S$4:$S$564),
0
)
),
0)</f>
        <v/>
      </c>
      <c r="M282" s="47">
        <f>L282/$L$4</f>
        <v/>
      </c>
      <c r="N282" s="49">
        <f t="array" ref="N282">IFERROR(
SUM(
IF(
'PORTIFÓLIO'!$C$4:$C$564=$A282,
N(INDEX('PORTIFÓLIO'!$J$4:$Q$564,,MATCH(N$2,'PORTIFÓLIO'!$J$3:$Q$3,0))) *
N('PORTIFÓLIO'!$S$4:$S$564),
0
)
),
0)</f>
        <v/>
      </c>
      <c r="O282" s="49">
        <f>N282/$N$4</f>
        <v/>
      </c>
      <c r="P282" s="49">
        <f t="array" ref="P282">IFERROR(
SUM(
IF(
'PORTIFÓLIO'!$C$4:$C$564=$A282,
N(INDEX('PORTIFÓLIO'!$J$4:$Q$564,,MATCH(P$2,'PORTIFÓLIO'!$J$3:$Q$3,0))) *
N('PORTIFÓLIO'!$S$4:$S$564),
0
)
),
0)</f>
        <v/>
      </c>
      <c r="Q282" s="49">
        <f>P282/$P$4</f>
        <v/>
      </c>
      <c r="R282" s="49">
        <f>SUM(P282,N282,L282,J282,H282,D282,B282)</f>
        <v/>
      </c>
      <c r="S282" s="49">
        <f>R282/$R$4</f>
        <v/>
      </c>
    </row>
    <row r="283" hidden="1" outlineLevel="1" ht="15.75" customHeight="1" s="297">
      <c r="A283" s="48" t="n"/>
      <c r="B283" s="49">
        <f t="array" ref="B283">IFERROR(
SUM(
IF(
'PORTIFÓLIO'!$C$4:$C$564=$A283,
N(INDEX('PORTIFÓLIO'!$J$4:$Q$564,,MATCH(B$2,'PORTIFÓLIO'!$J$3:$Q$3,0))) *
N('PORTIFÓLIO'!$S$4:$S$564),
0
)
),
0)</f>
        <v/>
      </c>
      <c r="C283" s="49">
        <f>B283/$B$4</f>
        <v/>
      </c>
      <c r="D283" s="49">
        <f t="array" ref="D283">IFERROR(
SUM(
IF(
'PORTIFÓLIO'!$C$4:$C$564=$A283,
N(INDEX('PORTIFÓLIO'!$J$4:$Q$564,,MATCH(D$2,'PORTIFÓLIO'!$J$3:$Q$3,0))) *
N('PORTIFÓLIO'!$S$4:$S$564),
0
)
),
0)</f>
        <v/>
      </c>
      <c r="E283" s="49">
        <f>D283/$D$4</f>
        <v/>
      </c>
      <c r="F283" s="49">
        <f t="array" ref="F283">IFERROR(
SUM(
IF(
'PORTIFÓLIO'!$C$4:$C$564=$A283,
N(INDEX('PORTIFÓLIO'!$J$4:$Q$564,,MATCH(F$2,'PORTIFÓLIO'!$J$3:$Q$3,0))) *
N('PORTIFÓLIO'!$S$4:$S$564),
0
)
),
0)</f>
        <v/>
      </c>
      <c r="G283" s="47">
        <f>F283/$F$4</f>
        <v/>
      </c>
      <c r="H283" s="49">
        <f t="array" ref="H283">IFERROR(
SUM(
IF(
'PORTIFÓLIO'!$C$4:$C$564=$A283,
N(INDEX('PORTIFÓLIO'!$J$4:$Q$564,,MATCH(H$2,'PORTIFÓLIO'!$J$3:$Q$3,0))) *
N('PORTIFÓLIO'!$S$4:$S$564),
0
)
),
0)</f>
        <v/>
      </c>
      <c r="I283" s="47">
        <f>H283/$H$4</f>
        <v/>
      </c>
      <c r="J283" s="49">
        <f t="array" ref="J283">IFERROR(
SUM(
IF(
'PORTIFÓLIO'!$C$4:$C$564=$A283,
N(INDEX('PORTIFÓLIO'!$J$4:$Q$564,,MATCH(J$2,'PORTIFÓLIO'!$J$3:$Q$3,0))) *
N('PORTIFÓLIO'!$S$4:$S$564),
0
)
),
0)</f>
        <v/>
      </c>
      <c r="K283" s="47">
        <f>J283/$J$4</f>
        <v/>
      </c>
      <c r="L283" s="49">
        <f t="array" ref="L283">IFERROR(
SUM(
IF(
'PORTIFÓLIO'!$C$4:$C$564=$A283,
N(INDEX('PORTIFÓLIO'!$J$4:$Q$564,,MATCH(L$2,'PORTIFÓLIO'!$J$3:$Q$3,0))) *
N('PORTIFÓLIO'!$S$4:$S$564),
0
)
),
0)</f>
        <v/>
      </c>
      <c r="M283" s="47">
        <f>L283/$L$4</f>
        <v/>
      </c>
      <c r="N283" s="49">
        <f t="array" ref="N283">IFERROR(
SUM(
IF(
'PORTIFÓLIO'!$C$4:$C$564=$A283,
N(INDEX('PORTIFÓLIO'!$J$4:$Q$564,,MATCH(N$2,'PORTIFÓLIO'!$J$3:$Q$3,0))) *
N('PORTIFÓLIO'!$S$4:$S$564),
0
)
),
0)</f>
        <v/>
      </c>
      <c r="O283" s="49">
        <f>N283/$N$4</f>
        <v/>
      </c>
      <c r="P283" s="49">
        <f t="array" ref="P283">IFERROR(
SUM(
IF(
'PORTIFÓLIO'!$C$4:$C$564=$A283,
N(INDEX('PORTIFÓLIO'!$J$4:$Q$564,,MATCH(P$2,'PORTIFÓLIO'!$J$3:$Q$3,0))) *
N('PORTIFÓLIO'!$S$4:$S$564),
0
)
),
0)</f>
        <v/>
      </c>
      <c r="Q283" s="49">
        <f>P283/$P$4</f>
        <v/>
      </c>
      <c r="R283" s="49">
        <f>SUM(P283,N283,L283,J283,H283,D283,B283)</f>
        <v/>
      </c>
      <c r="S283" s="49">
        <f>R283/$R$4</f>
        <v/>
      </c>
    </row>
    <row r="284" hidden="1" outlineLevel="1" ht="15.75" customHeight="1" s="297">
      <c r="A284" s="48" t="n"/>
      <c r="B284" s="49">
        <f t="array" ref="B284">IFERROR(
SUM(
IF(
'PORTIFÓLIO'!$C$4:$C$564=$A284,
N(INDEX('PORTIFÓLIO'!$J$4:$Q$564,,MATCH(B$2,'PORTIFÓLIO'!$J$3:$Q$3,0))) *
N('PORTIFÓLIO'!$S$4:$S$564),
0
)
),
0)</f>
        <v/>
      </c>
      <c r="C284" s="49">
        <f>B284/$B$4</f>
        <v/>
      </c>
      <c r="D284" s="49">
        <f t="array" ref="D284">IFERROR(
SUM(
IF(
'PORTIFÓLIO'!$C$4:$C$564=$A284,
N(INDEX('PORTIFÓLIO'!$J$4:$Q$564,,MATCH(D$2,'PORTIFÓLIO'!$J$3:$Q$3,0))) *
N('PORTIFÓLIO'!$S$4:$S$564),
0
)
),
0)</f>
        <v/>
      </c>
      <c r="E284" s="49">
        <f>D284/$D$4</f>
        <v/>
      </c>
      <c r="F284" s="49">
        <f t="array" ref="F284">IFERROR(
SUM(
IF(
'PORTIFÓLIO'!$C$4:$C$564=$A284,
N(INDEX('PORTIFÓLIO'!$J$4:$Q$564,,MATCH(F$2,'PORTIFÓLIO'!$J$3:$Q$3,0))) *
N('PORTIFÓLIO'!$S$4:$S$564),
0
)
),
0)</f>
        <v/>
      </c>
      <c r="G284" s="47">
        <f>F284/$F$4</f>
        <v/>
      </c>
      <c r="H284" s="49">
        <f t="array" ref="H284">IFERROR(
SUM(
IF(
'PORTIFÓLIO'!$C$4:$C$564=$A284,
N(INDEX('PORTIFÓLIO'!$J$4:$Q$564,,MATCH(H$2,'PORTIFÓLIO'!$J$3:$Q$3,0))) *
N('PORTIFÓLIO'!$S$4:$S$564),
0
)
),
0)</f>
        <v/>
      </c>
      <c r="I284" s="47">
        <f>H284/$H$4</f>
        <v/>
      </c>
      <c r="J284" s="49">
        <f t="array" ref="J284">IFERROR(
SUM(
IF(
'PORTIFÓLIO'!$C$4:$C$564=$A284,
N(INDEX('PORTIFÓLIO'!$J$4:$Q$564,,MATCH(J$2,'PORTIFÓLIO'!$J$3:$Q$3,0))) *
N('PORTIFÓLIO'!$S$4:$S$564),
0
)
),
0)</f>
        <v/>
      </c>
      <c r="K284" s="47">
        <f>J284/$J$4</f>
        <v/>
      </c>
      <c r="L284" s="49">
        <f t="array" ref="L284">IFERROR(
SUM(
IF(
'PORTIFÓLIO'!$C$4:$C$564=$A284,
N(INDEX('PORTIFÓLIO'!$J$4:$Q$564,,MATCH(L$2,'PORTIFÓLIO'!$J$3:$Q$3,0))) *
N('PORTIFÓLIO'!$S$4:$S$564),
0
)
),
0)</f>
        <v/>
      </c>
      <c r="M284" s="47">
        <f>L284/$L$4</f>
        <v/>
      </c>
      <c r="N284" s="49">
        <f t="array" ref="N284">IFERROR(
SUM(
IF(
'PORTIFÓLIO'!$C$4:$C$564=$A284,
N(INDEX('PORTIFÓLIO'!$J$4:$Q$564,,MATCH(N$2,'PORTIFÓLIO'!$J$3:$Q$3,0))) *
N('PORTIFÓLIO'!$S$4:$S$564),
0
)
),
0)</f>
        <v/>
      </c>
      <c r="O284" s="49">
        <f>N284/$N$4</f>
        <v/>
      </c>
      <c r="P284" s="49">
        <f t="array" ref="P284">IFERROR(
SUM(
IF(
'PORTIFÓLIO'!$C$4:$C$564=$A284,
N(INDEX('PORTIFÓLIO'!$J$4:$Q$564,,MATCH(P$2,'PORTIFÓLIO'!$J$3:$Q$3,0))) *
N('PORTIFÓLIO'!$S$4:$S$564),
0
)
),
0)</f>
        <v/>
      </c>
      <c r="Q284" s="49">
        <f>P284/$P$4</f>
        <v/>
      </c>
      <c r="R284" s="49">
        <f>SUM(P284,N284,L284,J284,H284,D284,B284)</f>
        <v/>
      </c>
      <c r="S284" s="49">
        <f>R284/$R$4</f>
        <v/>
      </c>
    </row>
    <row r="285" hidden="1" outlineLevel="1" ht="15.75" customHeight="1" s="297">
      <c r="A285" s="48" t="n"/>
      <c r="B285" s="49">
        <f t="array" ref="B285">IFERROR(
SUM(
IF(
'PORTIFÓLIO'!$C$4:$C$564=$A285,
N(INDEX('PORTIFÓLIO'!$J$4:$Q$564,,MATCH(B$2,'PORTIFÓLIO'!$J$3:$Q$3,0))) *
N('PORTIFÓLIO'!$S$4:$S$564),
0
)
),
0)</f>
        <v/>
      </c>
      <c r="C285" s="49">
        <f>B285/$B$4</f>
        <v/>
      </c>
      <c r="D285" s="49">
        <f t="array" ref="D285">IFERROR(
SUM(
IF(
'PORTIFÓLIO'!$C$4:$C$564=$A285,
N(INDEX('PORTIFÓLIO'!$J$4:$Q$564,,MATCH(D$2,'PORTIFÓLIO'!$J$3:$Q$3,0))) *
N('PORTIFÓLIO'!$S$4:$S$564),
0
)
),
0)</f>
        <v/>
      </c>
      <c r="E285" s="49">
        <f>D285/$D$4</f>
        <v/>
      </c>
      <c r="F285" s="49">
        <f t="array" ref="F285">IFERROR(
SUM(
IF(
'PORTIFÓLIO'!$C$4:$C$564=$A285,
N(INDEX('PORTIFÓLIO'!$J$4:$Q$564,,MATCH(F$2,'PORTIFÓLIO'!$J$3:$Q$3,0))) *
N('PORTIFÓLIO'!$S$4:$S$564),
0
)
),
0)</f>
        <v/>
      </c>
      <c r="G285" s="47">
        <f>F285/$F$4</f>
        <v/>
      </c>
      <c r="H285" s="49">
        <f t="array" ref="H285">IFERROR(
SUM(
IF(
'PORTIFÓLIO'!$C$4:$C$564=$A285,
N(INDEX('PORTIFÓLIO'!$J$4:$Q$564,,MATCH(H$2,'PORTIFÓLIO'!$J$3:$Q$3,0))) *
N('PORTIFÓLIO'!$S$4:$S$564),
0
)
),
0)</f>
        <v/>
      </c>
      <c r="I285" s="47">
        <f>H285/$H$4</f>
        <v/>
      </c>
      <c r="J285" s="49">
        <f t="array" ref="J285">IFERROR(
SUM(
IF(
'PORTIFÓLIO'!$C$4:$C$564=$A285,
N(INDEX('PORTIFÓLIO'!$J$4:$Q$564,,MATCH(J$2,'PORTIFÓLIO'!$J$3:$Q$3,0))) *
N('PORTIFÓLIO'!$S$4:$S$564),
0
)
),
0)</f>
        <v/>
      </c>
      <c r="K285" s="47">
        <f>J285/$J$4</f>
        <v/>
      </c>
      <c r="L285" s="49">
        <f t="array" ref="L285">IFERROR(
SUM(
IF(
'PORTIFÓLIO'!$C$4:$C$564=$A285,
N(INDEX('PORTIFÓLIO'!$J$4:$Q$564,,MATCH(L$2,'PORTIFÓLIO'!$J$3:$Q$3,0))) *
N('PORTIFÓLIO'!$S$4:$S$564),
0
)
),
0)</f>
        <v/>
      </c>
      <c r="M285" s="47">
        <f>L285/$L$4</f>
        <v/>
      </c>
      <c r="N285" s="49">
        <f t="array" ref="N285">IFERROR(
SUM(
IF(
'PORTIFÓLIO'!$C$4:$C$564=$A285,
N(INDEX('PORTIFÓLIO'!$J$4:$Q$564,,MATCH(N$2,'PORTIFÓLIO'!$J$3:$Q$3,0))) *
N('PORTIFÓLIO'!$S$4:$S$564),
0
)
),
0)</f>
        <v/>
      </c>
      <c r="O285" s="49">
        <f>N285/$N$4</f>
        <v/>
      </c>
      <c r="P285" s="49">
        <f t="array" ref="P285">IFERROR(
SUM(
IF(
'PORTIFÓLIO'!$C$4:$C$564=$A285,
N(INDEX('PORTIFÓLIO'!$J$4:$Q$564,,MATCH(P$2,'PORTIFÓLIO'!$J$3:$Q$3,0))) *
N('PORTIFÓLIO'!$S$4:$S$564),
0
)
),
0)</f>
        <v/>
      </c>
      <c r="Q285" s="49">
        <f>P285/$P$4</f>
        <v/>
      </c>
      <c r="R285" s="49">
        <f>SUM(P285,N285,L285,J285,H285,D285,B285)</f>
        <v/>
      </c>
      <c r="S285" s="49">
        <f>R285/$R$4</f>
        <v/>
      </c>
    </row>
    <row r="286" hidden="1" outlineLevel="1" ht="15.75" customHeight="1" s="297">
      <c r="A286" s="48" t="n"/>
      <c r="B286" s="49">
        <f t="array" ref="B286">IFERROR(
SUM(
IF(
'PORTIFÓLIO'!$C$4:$C$564=$A286,
N(INDEX('PORTIFÓLIO'!$J$4:$Q$564,,MATCH(B$2,'PORTIFÓLIO'!$J$3:$Q$3,0))) *
N('PORTIFÓLIO'!$S$4:$S$564),
0
)
),
0)</f>
        <v/>
      </c>
      <c r="C286" s="49">
        <f>B286/$B$4</f>
        <v/>
      </c>
      <c r="D286" s="49">
        <f t="array" ref="D286">IFERROR(
SUM(
IF(
'PORTIFÓLIO'!$C$4:$C$564=$A286,
N(INDEX('PORTIFÓLIO'!$J$4:$Q$564,,MATCH(D$2,'PORTIFÓLIO'!$J$3:$Q$3,0))) *
N('PORTIFÓLIO'!$S$4:$S$564),
0
)
),
0)</f>
        <v/>
      </c>
      <c r="E286" s="49">
        <f>D286/$D$4</f>
        <v/>
      </c>
      <c r="F286" s="49">
        <f t="array" ref="F286">IFERROR(
SUM(
IF(
'PORTIFÓLIO'!$C$4:$C$564=$A286,
N(INDEX('PORTIFÓLIO'!$J$4:$Q$564,,MATCH(F$2,'PORTIFÓLIO'!$J$3:$Q$3,0))) *
N('PORTIFÓLIO'!$S$4:$S$564),
0
)
),
0)</f>
        <v/>
      </c>
      <c r="G286" s="47">
        <f>F286/$F$4</f>
        <v/>
      </c>
      <c r="H286" s="49">
        <f t="array" ref="H286">IFERROR(
SUM(
IF(
'PORTIFÓLIO'!$C$4:$C$564=$A286,
N(INDEX('PORTIFÓLIO'!$J$4:$Q$564,,MATCH(H$2,'PORTIFÓLIO'!$J$3:$Q$3,0))) *
N('PORTIFÓLIO'!$S$4:$S$564),
0
)
),
0)</f>
        <v/>
      </c>
      <c r="I286" s="47">
        <f>H286/$H$4</f>
        <v/>
      </c>
      <c r="J286" s="49">
        <f t="array" ref="J286">IFERROR(
SUM(
IF(
'PORTIFÓLIO'!$C$4:$C$564=$A286,
N(INDEX('PORTIFÓLIO'!$J$4:$Q$564,,MATCH(J$2,'PORTIFÓLIO'!$J$3:$Q$3,0))) *
N('PORTIFÓLIO'!$S$4:$S$564),
0
)
),
0)</f>
        <v/>
      </c>
      <c r="K286" s="47">
        <f>J286/$J$4</f>
        <v/>
      </c>
      <c r="L286" s="49">
        <f t="array" ref="L286">IFERROR(
SUM(
IF(
'PORTIFÓLIO'!$C$4:$C$564=$A286,
N(INDEX('PORTIFÓLIO'!$J$4:$Q$564,,MATCH(L$2,'PORTIFÓLIO'!$J$3:$Q$3,0))) *
N('PORTIFÓLIO'!$S$4:$S$564),
0
)
),
0)</f>
        <v/>
      </c>
      <c r="M286" s="47">
        <f>L286/$L$4</f>
        <v/>
      </c>
      <c r="N286" s="49">
        <f t="array" ref="N286">IFERROR(
SUM(
IF(
'PORTIFÓLIO'!$C$4:$C$564=$A286,
N(INDEX('PORTIFÓLIO'!$J$4:$Q$564,,MATCH(N$2,'PORTIFÓLIO'!$J$3:$Q$3,0))) *
N('PORTIFÓLIO'!$S$4:$S$564),
0
)
),
0)</f>
        <v/>
      </c>
      <c r="O286" s="49">
        <f>N286/$N$4</f>
        <v/>
      </c>
      <c r="P286" s="49">
        <f t="array" ref="P286">IFERROR(
SUM(
IF(
'PORTIFÓLIO'!$C$4:$C$564=$A286,
N(INDEX('PORTIFÓLIO'!$J$4:$Q$564,,MATCH(P$2,'PORTIFÓLIO'!$J$3:$Q$3,0))) *
N('PORTIFÓLIO'!$S$4:$S$564),
0
)
),
0)</f>
        <v/>
      </c>
      <c r="Q286" s="49">
        <f>P286/$P$4</f>
        <v/>
      </c>
      <c r="R286" s="49">
        <f>SUM(P286,N286,L286,J286,H286,D286,B286)</f>
        <v/>
      </c>
      <c r="S286" s="49">
        <f>R286/$R$4</f>
        <v/>
      </c>
    </row>
    <row r="287" hidden="1" outlineLevel="1" ht="15.75" customHeight="1" s="297">
      <c r="A287" s="48" t="n"/>
      <c r="B287" s="49">
        <f t="array" ref="B287">IFERROR(
SUM(
IF(
'PORTIFÓLIO'!$C$4:$C$564=$A287,
N(INDEX('PORTIFÓLIO'!$J$4:$Q$564,,MATCH(B$2,'PORTIFÓLIO'!$J$3:$Q$3,0))) *
N('PORTIFÓLIO'!$S$4:$S$564),
0
)
),
0)</f>
        <v/>
      </c>
      <c r="C287" s="49">
        <f>B287/$B$4</f>
        <v/>
      </c>
      <c r="D287" s="49">
        <f t="array" ref="D287">IFERROR(
SUM(
IF(
'PORTIFÓLIO'!$C$4:$C$564=$A287,
N(INDEX('PORTIFÓLIO'!$J$4:$Q$564,,MATCH(D$2,'PORTIFÓLIO'!$J$3:$Q$3,0))) *
N('PORTIFÓLIO'!$S$4:$S$564),
0
)
),
0)</f>
        <v/>
      </c>
      <c r="E287" s="49">
        <f>D287/$D$4</f>
        <v/>
      </c>
      <c r="F287" s="49">
        <f t="array" ref="F287">IFERROR(
SUM(
IF(
'PORTIFÓLIO'!$C$4:$C$564=$A287,
N(INDEX('PORTIFÓLIO'!$J$4:$Q$564,,MATCH(F$2,'PORTIFÓLIO'!$J$3:$Q$3,0))) *
N('PORTIFÓLIO'!$S$4:$S$564),
0
)
),
0)</f>
        <v/>
      </c>
      <c r="G287" s="47">
        <f>F287/$F$4</f>
        <v/>
      </c>
      <c r="H287" s="49">
        <f t="array" ref="H287">IFERROR(
SUM(
IF(
'PORTIFÓLIO'!$C$4:$C$564=$A287,
N(INDEX('PORTIFÓLIO'!$J$4:$Q$564,,MATCH(H$2,'PORTIFÓLIO'!$J$3:$Q$3,0))) *
N('PORTIFÓLIO'!$S$4:$S$564),
0
)
),
0)</f>
        <v/>
      </c>
      <c r="I287" s="47">
        <f>H287/$H$4</f>
        <v/>
      </c>
      <c r="J287" s="49">
        <f t="array" ref="J287">IFERROR(
SUM(
IF(
'PORTIFÓLIO'!$C$4:$C$564=$A287,
N(INDEX('PORTIFÓLIO'!$J$4:$Q$564,,MATCH(J$2,'PORTIFÓLIO'!$J$3:$Q$3,0))) *
N('PORTIFÓLIO'!$S$4:$S$564),
0
)
),
0)</f>
        <v/>
      </c>
      <c r="K287" s="47">
        <f>J287/$J$4</f>
        <v/>
      </c>
      <c r="L287" s="49">
        <f t="array" ref="L287">IFERROR(
SUM(
IF(
'PORTIFÓLIO'!$C$4:$C$564=$A287,
N(INDEX('PORTIFÓLIO'!$J$4:$Q$564,,MATCH(L$2,'PORTIFÓLIO'!$J$3:$Q$3,0))) *
N('PORTIFÓLIO'!$S$4:$S$564),
0
)
),
0)</f>
        <v/>
      </c>
      <c r="M287" s="47">
        <f>L287/$L$4</f>
        <v/>
      </c>
      <c r="N287" s="49">
        <f t="array" ref="N287">IFERROR(
SUM(
IF(
'PORTIFÓLIO'!$C$4:$C$564=$A287,
N(INDEX('PORTIFÓLIO'!$J$4:$Q$564,,MATCH(N$2,'PORTIFÓLIO'!$J$3:$Q$3,0))) *
N('PORTIFÓLIO'!$S$4:$S$564),
0
)
),
0)</f>
        <v/>
      </c>
      <c r="O287" s="49">
        <f>N287/$N$4</f>
        <v/>
      </c>
      <c r="P287" s="49">
        <f t="array" ref="P287">IFERROR(
SUM(
IF(
'PORTIFÓLIO'!$C$4:$C$564=$A287,
N(INDEX('PORTIFÓLIO'!$J$4:$Q$564,,MATCH(P$2,'PORTIFÓLIO'!$J$3:$Q$3,0))) *
N('PORTIFÓLIO'!$S$4:$S$564),
0
)
),
0)</f>
        <v/>
      </c>
      <c r="Q287" s="49">
        <f>P287/$P$4</f>
        <v/>
      </c>
      <c r="R287" s="49">
        <f>SUM(P287,N287,L287,J287,H287,D287,B287)</f>
        <v/>
      </c>
      <c r="S287" s="49">
        <f>R287/$R$4</f>
        <v/>
      </c>
    </row>
    <row r="288" hidden="1" outlineLevel="1" ht="15.75" customHeight="1" s="297">
      <c r="A288" s="48" t="n"/>
      <c r="B288" s="49">
        <f t="array" ref="B288">IFERROR(
SUM(
IF(
'PORTIFÓLIO'!$C$4:$C$564=$A288,
N(INDEX('PORTIFÓLIO'!$J$4:$Q$564,,MATCH(B$2,'PORTIFÓLIO'!$J$3:$Q$3,0))) *
N('PORTIFÓLIO'!$S$4:$S$564),
0
)
),
0)</f>
        <v/>
      </c>
      <c r="C288" s="49">
        <f>B288/$B$4</f>
        <v/>
      </c>
      <c r="D288" s="49">
        <f t="array" ref="D288">IFERROR(
SUM(
IF(
'PORTIFÓLIO'!$C$4:$C$564=$A288,
N(INDEX('PORTIFÓLIO'!$J$4:$Q$564,,MATCH(D$2,'PORTIFÓLIO'!$J$3:$Q$3,0))) *
N('PORTIFÓLIO'!$S$4:$S$564),
0
)
),
0)</f>
        <v/>
      </c>
      <c r="E288" s="49">
        <f>D288/$D$4</f>
        <v/>
      </c>
      <c r="F288" s="49">
        <f t="array" ref="F288">IFERROR(
SUM(
IF(
'PORTIFÓLIO'!$C$4:$C$564=$A288,
N(INDEX('PORTIFÓLIO'!$J$4:$Q$564,,MATCH(F$2,'PORTIFÓLIO'!$J$3:$Q$3,0))) *
N('PORTIFÓLIO'!$S$4:$S$564),
0
)
),
0)</f>
        <v/>
      </c>
      <c r="G288" s="47">
        <f>F288/$F$4</f>
        <v/>
      </c>
      <c r="H288" s="49">
        <f t="array" ref="H288">IFERROR(
SUM(
IF(
'PORTIFÓLIO'!$C$4:$C$564=$A288,
N(INDEX('PORTIFÓLIO'!$J$4:$Q$564,,MATCH(H$2,'PORTIFÓLIO'!$J$3:$Q$3,0))) *
N('PORTIFÓLIO'!$S$4:$S$564),
0
)
),
0)</f>
        <v/>
      </c>
      <c r="I288" s="47">
        <f>H288/$H$4</f>
        <v/>
      </c>
      <c r="J288" s="49">
        <f t="array" ref="J288">IFERROR(
SUM(
IF(
'PORTIFÓLIO'!$C$4:$C$564=$A288,
N(INDEX('PORTIFÓLIO'!$J$4:$Q$564,,MATCH(J$2,'PORTIFÓLIO'!$J$3:$Q$3,0))) *
N('PORTIFÓLIO'!$S$4:$S$564),
0
)
),
0)</f>
        <v/>
      </c>
      <c r="K288" s="47">
        <f>J288/$J$4</f>
        <v/>
      </c>
      <c r="L288" s="49">
        <f t="array" ref="L288">IFERROR(
SUM(
IF(
'PORTIFÓLIO'!$C$4:$C$564=$A288,
N(INDEX('PORTIFÓLIO'!$J$4:$Q$564,,MATCH(L$2,'PORTIFÓLIO'!$J$3:$Q$3,0))) *
N('PORTIFÓLIO'!$S$4:$S$564),
0
)
),
0)</f>
        <v/>
      </c>
      <c r="M288" s="47">
        <f>L288/$L$4</f>
        <v/>
      </c>
      <c r="N288" s="49">
        <f t="array" ref="N288">IFERROR(
SUM(
IF(
'PORTIFÓLIO'!$C$4:$C$564=$A288,
N(INDEX('PORTIFÓLIO'!$J$4:$Q$564,,MATCH(N$2,'PORTIFÓLIO'!$J$3:$Q$3,0))) *
N('PORTIFÓLIO'!$S$4:$S$564),
0
)
),
0)</f>
        <v/>
      </c>
      <c r="O288" s="49">
        <f>N288/$N$4</f>
        <v/>
      </c>
      <c r="P288" s="49">
        <f t="array" ref="P288">IFERROR(
SUM(
IF(
'PORTIFÓLIO'!$C$4:$C$564=$A288,
N(INDEX('PORTIFÓLIO'!$J$4:$Q$564,,MATCH(P$2,'PORTIFÓLIO'!$J$3:$Q$3,0))) *
N('PORTIFÓLIO'!$S$4:$S$564),
0
)
),
0)</f>
        <v/>
      </c>
      <c r="Q288" s="49">
        <f>P288/$P$4</f>
        <v/>
      </c>
      <c r="R288" s="49">
        <f>SUM(P288,N288,L288,J288,H288,D288,B288)</f>
        <v/>
      </c>
      <c r="S288" s="49">
        <f>R288/$R$4</f>
        <v/>
      </c>
    </row>
    <row r="289" hidden="1" outlineLevel="1" ht="15.75" customHeight="1" s="297">
      <c r="A289" s="48" t="n"/>
      <c r="B289" s="49">
        <f t="array" ref="B289">IFERROR(
SUM(
IF(
'PORTIFÓLIO'!$C$4:$C$564=$A289,
N(INDEX('PORTIFÓLIO'!$J$4:$Q$564,,MATCH(B$2,'PORTIFÓLIO'!$J$3:$Q$3,0))) *
N('PORTIFÓLIO'!$S$4:$S$564),
0
)
),
0)</f>
        <v/>
      </c>
      <c r="C289" s="49">
        <f>B289/$B$4</f>
        <v/>
      </c>
      <c r="D289" s="49">
        <f t="array" ref="D289">IFERROR(
SUM(
IF(
'PORTIFÓLIO'!$C$4:$C$564=$A289,
N(INDEX('PORTIFÓLIO'!$J$4:$Q$564,,MATCH(D$2,'PORTIFÓLIO'!$J$3:$Q$3,0))) *
N('PORTIFÓLIO'!$S$4:$S$564),
0
)
),
0)</f>
        <v/>
      </c>
      <c r="E289" s="49">
        <f>D289/$D$4</f>
        <v/>
      </c>
      <c r="F289" s="49">
        <f t="array" ref="F289">IFERROR(
SUM(
IF(
'PORTIFÓLIO'!$C$4:$C$564=$A289,
N(INDEX('PORTIFÓLIO'!$J$4:$Q$564,,MATCH(F$2,'PORTIFÓLIO'!$J$3:$Q$3,0))) *
N('PORTIFÓLIO'!$S$4:$S$564),
0
)
),
0)</f>
        <v/>
      </c>
      <c r="G289" s="47">
        <f>F289/$F$4</f>
        <v/>
      </c>
      <c r="H289" s="49">
        <f t="array" ref="H289">IFERROR(
SUM(
IF(
'PORTIFÓLIO'!$C$4:$C$564=$A289,
N(INDEX('PORTIFÓLIO'!$J$4:$Q$564,,MATCH(H$2,'PORTIFÓLIO'!$J$3:$Q$3,0))) *
N('PORTIFÓLIO'!$S$4:$S$564),
0
)
),
0)</f>
        <v/>
      </c>
      <c r="I289" s="47">
        <f>H289/$H$4</f>
        <v/>
      </c>
      <c r="J289" s="49">
        <f t="array" ref="J289">IFERROR(
SUM(
IF(
'PORTIFÓLIO'!$C$4:$C$564=$A289,
N(INDEX('PORTIFÓLIO'!$J$4:$Q$564,,MATCH(J$2,'PORTIFÓLIO'!$J$3:$Q$3,0))) *
N('PORTIFÓLIO'!$S$4:$S$564),
0
)
),
0)</f>
        <v/>
      </c>
      <c r="K289" s="47">
        <f>J289/$J$4</f>
        <v/>
      </c>
      <c r="L289" s="49">
        <f t="array" ref="L289">IFERROR(
SUM(
IF(
'PORTIFÓLIO'!$C$4:$C$564=$A289,
N(INDEX('PORTIFÓLIO'!$J$4:$Q$564,,MATCH(L$2,'PORTIFÓLIO'!$J$3:$Q$3,0))) *
N('PORTIFÓLIO'!$S$4:$S$564),
0
)
),
0)</f>
        <v/>
      </c>
      <c r="M289" s="47">
        <f>L289/$L$4</f>
        <v/>
      </c>
      <c r="N289" s="49">
        <f t="array" ref="N289">IFERROR(
SUM(
IF(
'PORTIFÓLIO'!$C$4:$C$564=$A289,
N(INDEX('PORTIFÓLIO'!$J$4:$Q$564,,MATCH(N$2,'PORTIFÓLIO'!$J$3:$Q$3,0))) *
N('PORTIFÓLIO'!$S$4:$S$564),
0
)
),
0)</f>
        <v/>
      </c>
      <c r="O289" s="49">
        <f>N289/$N$4</f>
        <v/>
      </c>
      <c r="P289" s="49">
        <f t="array" ref="P289">IFERROR(
SUM(
IF(
'PORTIFÓLIO'!$C$4:$C$564=$A289,
N(INDEX('PORTIFÓLIO'!$J$4:$Q$564,,MATCH(P$2,'PORTIFÓLIO'!$J$3:$Q$3,0))) *
N('PORTIFÓLIO'!$S$4:$S$564),
0
)
),
0)</f>
        <v/>
      </c>
      <c r="Q289" s="49">
        <f>P289/$P$4</f>
        <v/>
      </c>
      <c r="R289" s="49">
        <f>SUM(P289,N289,L289,J289,H289,D289,B289)</f>
        <v/>
      </c>
      <c r="S289" s="49">
        <f>R289/$R$4</f>
        <v/>
      </c>
    </row>
    <row r="290" hidden="1" outlineLevel="1" ht="15.75" customHeight="1" s="297">
      <c r="A290" s="48" t="n"/>
      <c r="B290" s="49">
        <f t="array" ref="B290">IFERROR(
SUM(
IF(
'PORTIFÓLIO'!$C$4:$C$564=$A290,
N(INDEX('PORTIFÓLIO'!$J$4:$Q$564,,MATCH(B$2,'PORTIFÓLIO'!$J$3:$Q$3,0))) *
N('PORTIFÓLIO'!$S$4:$S$564),
0
)
),
0)</f>
        <v/>
      </c>
      <c r="C290" s="49">
        <f>B290/$B$4</f>
        <v/>
      </c>
      <c r="D290" s="49">
        <f t="array" ref="D290">IFERROR(
SUM(
IF(
'PORTIFÓLIO'!$C$4:$C$564=$A290,
N(INDEX('PORTIFÓLIO'!$J$4:$Q$564,,MATCH(D$2,'PORTIFÓLIO'!$J$3:$Q$3,0))) *
N('PORTIFÓLIO'!$S$4:$S$564),
0
)
),
0)</f>
        <v/>
      </c>
      <c r="E290" s="49">
        <f>D290/$D$4</f>
        <v/>
      </c>
      <c r="F290" s="49">
        <f t="array" ref="F290">IFERROR(
SUM(
IF(
'PORTIFÓLIO'!$C$4:$C$564=$A290,
N(INDEX('PORTIFÓLIO'!$J$4:$Q$564,,MATCH(F$2,'PORTIFÓLIO'!$J$3:$Q$3,0))) *
N('PORTIFÓLIO'!$S$4:$S$564),
0
)
),
0)</f>
        <v/>
      </c>
      <c r="G290" s="47">
        <f>F290/$F$4</f>
        <v/>
      </c>
      <c r="H290" s="49">
        <f t="array" ref="H290">IFERROR(
SUM(
IF(
'PORTIFÓLIO'!$C$4:$C$564=$A290,
N(INDEX('PORTIFÓLIO'!$J$4:$Q$564,,MATCH(H$2,'PORTIFÓLIO'!$J$3:$Q$3,0))) *
N('PORTIFÓLIO'!$S$4:$S$564),
0
)
),
0)</f>
        <v/>
      </c>
      <c r="I290" s="47">
        <f>H290/$H$4</f>
        <v/>
      </c>
      <c r="J290" s="49">
        <f t="array" ref="J290">IFERROR(
SUM(
IF(
'PORTIFÓLIO'!$C$4:$C$564=$A290,
N(INDEX('PORTIFÓLIO'!$J$4:$Q$564,,MATCH(J$2,'PORTIFÓLIO'!$J$3:$Q$3,0))) *
N('PORTIFÓLIO'!$S$4:$S$564),
0
)
),
0)</f>
        <v/>
      </c>
      <c r="K290" s="47">
        <f>J290/$J$4</f>
        <v/>
      </c>
      <c r="L290" s="49">
        <f t="array" ref="L290">IFERROR(
SUM(
IF(
'PORTIFÓLIO'!$C$4:$C$564=$A290,
N(INDEX('PORTIFÓLIO'!$J$4:$Q$564,,MATCH(L$2,'PORTIFÓLIO'!$J$3:$Q$3,0))) *
N('PORTIFÓLIO'!$S$4:$S$564),
0
)
),
0)</f>
        <v/>
      </c>
      <c r="M290" s="47">
        <f>L290/$L$4</f>
        <v/>
      </c>
      <c r="N290" s="49">
        <f t="array" ref="N290">IFERROR(
SUM(
IF(
'PORTIFÓLIO'!$C$4:$C$564=$A290,
N(INDEX('PORTIFÓLIO'!$J$4:$Q$564,,MATCH(N$2,'PORTIFÓLIO'!$J$3:$Q$3,0))) *
N('PORTIFÓLIO'!$S$4:$S$564),
0
)
),
0)</f>
        <v/>
      </c>
      <c r="O290" s="49">
        <f>N290/$N$4</f>
        <v/>
      </c>
      <c r="P290" s="49">
        <f t="array" ref="P290">IFERROR(
SUM(
IF(
'PORTIFÓLIO'!$C$4:$C$564=$A290,
N(INDEX('PORTIFÓLIO'!$J$4:$Q$564,,MATCH(P$2,'PORTIFÓLIO'!$J$3:$Q$3,0))) *
N('PORTIFÓLIO'!$S$4:$S$564),
0
)
),
0)</f>
        <v/>
      </c>
      <c r="Q290" s="49">
        <f>P290/$P$4</f>
        <v/>
      </c>
      <c r="R290" s="49">
        <f>SUM(P290,N290,L290,J290,H290,D290,B290)</f>
        <v/>
      </c>
      <c r="S290" s="49">
        <f>R290/$R$4</f>
        <v/>
      </c>
    </row>
    <row r="291" hidden="1" outlineLevel="1" ht="15.75" customHeight="1" s="297">
      <c r="A291" s="48" t="n"/>
      <c r="B291" s="49">
        <f t="array" ref="B291">IFERROR(
SUM(
IF(
'PORTIFÓLIO'!$C$4:$C$564=$A291,
N(INDEX('PORTIFÓLIO'!$J$4:$Q$564,,MATCH(B$2,'PORTIFÓLIO'!$J$3:$Q$3,0))) *
N('PORTIFÓLIO'!$S$4:$S$564),
0
)
),
0)</f>
        <v/>
      </c>
      <c r="C291" s="49">
        <f>B291/$B$4</f>
        <v/>
      </c>
      <c r="D291" s="49">
        <f t="array" ref="D291">IFERROR(
SUM(
IF(
'PORTIFÓLIO'!$C$4:$C$564=$A291,
N(INDEX('PORTIFÓLIO'!$J$4:$Q$564,,MATCH(D$2,'PORTIFÓLIO'!$J$3:$Q$3,0))) *
N('PORTIFÓLIO'!$S$4:$S$564),
0
)
),
0)</f>
        <v/>
      </c>
      <c r="E291" s="49">
        <f>D291/$D$4</f>
        <v/>
      </c>
      <c r="F291" s="49">
        <f t="array" ref="F291">IFERROR(
SUM(
IF(
'PORTIFÓLIO'!$C$4:$C$564=$A291,
N(INDEX('PORTIFÓLIO'!$J$4:$Q$564,,MATCH(F$2,'PORTIFÓLIO'!$J$3:$Q$3,0))) *
N('PORTIFÓLIO'!$S$4:$S$564),
0
)
),
0)</f>
        <v/>
      </c>
      <c r="G291" s="47">
        <f>F291/$F$4</f>
        <v/>
      </c>
      <c r="H291" s="49">
        <f t="array" ref="H291">IFERROR(
SUM(
IF(
'PORTIFÓLIO'!$C$4:$C$564=$A291,
N(INDEX('PORTIFÓLIO'!$J$4:$Q$564,,MATCH(H$2,'PORTIFÓLIO'!$J$3:$Q$3,0))) *
N('PORTIFÓLIO'!$S$4:$S$564),
0
)
),
0)</f>
        <v/>
      </c>
      <c r="I291" s="47">
        <f>H291/$H$4</f>
        <v/>
      </c>
      <c r="J291" s="49">
        <f t="array" ref="J291">IFERROR(
SUM(
IF(
'PORTIFÓLIO'!$C$4:$C$564=$A291,
N(INDEX('PORTIFÓLIO'!$J$4:$Q$564,,MATCH(J$2,'PORTIFÓLIO'!$J$3:$Q$3,0))) *
N('PORTIFÓLIO'!$S$4:$S$564),
0
)
),
0)</f>
        <v/>
      </c>
      <c r="K291" s="47">
        <f>J291/$J$4</f>
        <v/>
      </c>
      <c r="L291" s="49">
        <f t="array" ref="L291">IFERROR(
SUM(
IF(
'PORTIFÓLIO'!$C$4:$C$564=$A291,
N(INDEX('PORTIFÓLIO'!$J$4:$Q$564,,MATCH(L$2,'PORTIFÓLIO'!$J$3:$Q$3,0))) *
N('PORTIFÓLIO'!$S$4:$S$564),
0
)
),
0)</f>
        <v/>
      </c>
      <c r="M291" s="47">
        <f>L291/$L$4</f>
        <v/>
      </c>
      <c r="N291" s="49">
        <f t="array" ref="N291">IFERROR(
SUM(
IF(
'PORTIFÓLIO'!$C$4:$C$564=$A291,
N(INDEX('PORTIFÓLIO'!$J$4:$Q$564,,MATCH(N$2,'PORTIFÓLIO'!$J$3:$Q$3,0))) *
N('PORTIFÓLIO'!$S$4:$S$564),
0
)
),
0)</f>
        <v/>
      </c>
      <c r="O291" s="49">
        <f>N291/$N$4</f>
        <v/>
      </c>
      <c r="P291" s="49">
        <f t="array" ref="P291">IFERROR(
SUM(
IF(
'PORTIFÓLIO'!$C$4:$C$564=$A291,
N(INDEX('PORTIFÓLIO'!$J$4:$Q$564,,MATCH(P$2,'PORTIFÓLIO'!$J$3:$Q$3,0))) *
N('PORTIFÓLIO'!$S$4:$S$564),
0
)
),
0)</f>
        <v/>
      </c>
      <c r="Q291" s="49">
        <f>P291/$P$4</f>
        <v/>
      </c>
      <c r="R291" s="49">
        <f>SUM(P291,N291,L291,J291,H291,D291,B291)</f>
        <v/>
      </c>
      <c r="S291" s="49">
        <f>R291/$R$4</f>
        <v/>
      </c>
    </row>
    <row r="292" hidden="1" outlineLevel="1" ht="15.75" customHeight="1" s="297">
      <c r="A292" s="48" t="n"/>
      <c r="B292" s="49">
        <f t="array" ref="B292">IFERROR(
SUM(
IF(
'PORTIFÓLIO'!$C$4:$C$564=$A292,
N(INDEX('PORTIFÓLIO'!$J$4:$Q$564,,MATCH(B$2,'PORTIFÓLIO'!$J$3:$Q$3,0))) *
N('PORTIFÓLIO'!$S$4:$S$564),
0
)
),
0)</f>
        <v/>
      </c>
      <c r="C292" s="49">
        <f>B292/$B$4</f>
        <v/>
      </c>
      <c r="D292" s="49">
        <f t="array" ref="D292">IFERROR(
SUM(
IF(
'PORTIFÓLIO'!$C$4:$C$564=$A292,
N(INDEX('PORTIFÓLIO'!$J$4:$Q$564,,MATCH(D$2,'PORTIFÓLIO'!$J$3:$Q$3,0))) *
N('PORTIFÓLIO'!$S$4:$S$564),
0
)
),
0)</f>
        <v/>
      </c>
      <c r="E292" s="49">
        <f>D292/$D$4</f>
        <v/>
      </c>
      <c r="F292" s="49">
        <f t="array" ref="F292">IFERROR(
SUM(
IF(
'PORTIFÓLIO'!$C$4:$C$564=$A292,
N(INDEX('PORTIFÓLIO'!$J$4:$Q$564,,MATCH(F$2,'PORTIFÓLIO'!$J$3:$Q$3,0))) *
N('PORTIFÓLIO'!$S$4:$S$564),
0
)
),
0)</f>
        <v/>
      </c>
      <c r="G292" s="47">
        <f>F292/$F$4</f>
        <v/>
      </c>
      <c r="H292" s="49">
        <f t="array" ref="H292">IFERROR(
SUM(
IF(
'PORTIFÓLIO'!$C$4:$C$564=$A292,
N(INDEX('PORTIFÓLIO'!$J$4:$Q$564,,MATCH(H$2,'PORTIFÓLIO'!$J$3:$Q$3,0))) *
N('PORTIFÓLIO'!$S$4:$S$564),
0
)
),
0)</f>
        <v/>
      </c>
      <c r="I292" s="47">
        <f>H292/$H$4</f>
        <v/>
      </c>
      <c r="J292" s="49">
        <f t="array" ref="J292">IFERROR(
SUM(
IF(
'PORTIFÓLIO'!$C$4:$C$564=$A292,
N(INDEX('PORTIFÓLIO'!$J$4:$Q$564,,MATCH(J$2,'PORTIFÓLIO'!$J$3:$Q$3,0))) *
N('PORTIFÓLIO'!$S$4:$S$564),
0
)
),
0)</f>
        <v/>
      </c>
      <c r="K292" s="47">
        <f>J292/$J$4</f>
        <v/>
      </c>
      <c r="L292" s="49">
        <f t="array" ref="L292">IFERROR(
SUM(
IF(
'PORTIFÓLIO'!$C$4:$C$564=$A292,
N(INDEX('PORTIFÓLIO'!$J$4:$Q$564,,MATCH(L$2,'PORTIFÓLIO'!$J$3:$Q$3,0))) *
N('PORTIFÓLIO'!$S$4:$S$564),
0
)
),
0)</f>
        <v/>
      </c>
      <c r="M292" s="47">
        <f>L292/$L$4</f>
        <v/>
      </c>
      <c r="N292" s="49">
        <f t="array" ref="N292">IFERROR(
SUM(
IF(
'PORTIFÓLIO'!$C$4:$C$564=$A292,
N(INDEX('PORTIFÓLIO'!$J$4:$Q$564,,MATCH(N$2,'PORTIFÓLIO'!$J$3:$Q$3,0))) *
N('PORTIFÓLIO'!$S$4:$S$564),
0
)
),
0)</f>
        <v/>
      </c>
      <c r="O292" s="49">
        <f>N292/$N$4</f>
        <v/>
      </c>
      <c r="P292" s="49">
        <f t="array" ref="P292">IFERROR(
SUM(
IF(
'PORTIFÓLIO'!$C$4:$C$564=$A292,
N(INDEX('PORTIFÓLIO'!$J$4:$Q$564,,MATCH(P$2,'PORTIFÓLIO'!$J$3:$Q$3,0))) *
N('PORTIFÓLIO'!$S$4:$S$564),
0
)
),
0)</f>
        <v/>
      </c>
      <c r="Q292" s="49">
        <f>P292/$P$4</f>
        <v/>
      </c>
      <c r="R292" s="49">
        <f>SUM(P292,N292,L292,J292,H292,D292,B292)</f>
        <v/>
      </c>
      <c r="S292" s="49">
        <f>R292/$R$4</f>
        <v/>
      </c>
    </row>
    <row r="293" collapsed="1" ht="15.75" customHeight="1" s="297">
      <c r="A293" s="46" t="inlineStr">
        <is>
          <t>TS</t>
        </is>
      </c>
      <c r="B293" s="47">
        <f>SUM(B294:B321)</f>
        <v/>
      </c>
      <c r="C293" s="47">
        <f>B293/$B$4</f>
        <v/>
      </c>
      <c r="D293" s="47">
        <f>SUM(D294:D321)</f>
        <v/>
      </c>
      <c r="E293" s="47">
        <f>D293/$D$4</f>
        <v/>
      </c>
      <c r="F293" s="47">
        <f>SUM(F294:F321)</f>
        <v/>
      </c>
      <c r="G293" s="47">
        <f>F293/$F$4</f>
        <v/>
      </c>
      <c r="H293" s="47">
        <f>SUM(H294:H321)</f>
        <v/>
      </c>
      <c r="I293" s="47">
        <f>H293/$H$4</f>
        <v/>
      </c>
      <c r="J293" s="47">
        <f>SUM(J294:J321)</f>
        <v/>
      </c>
      <c r="K293" s="47">
        <f>J293/$J$4</f>
        <v/>
      </c>
      <c r="L293" s="47">
        <f>SUM(L294:L321)</f>
        <v/>
      </c>
      <c r="M293" s="47">
        <f>L293/$L$4</f>
        <v/>
      </c>
      <c r="N293" s="47">
        <f>SUM(N294:N321)</f>
        <v/>
      </c>
      <c r="O293" s="47">
        <f>N293/$N$4</f>
        <v/>
      </c>
      <c r="P293" s="47">
        <f>SUM(P294:P321)</f>
        <v/>
      </c>
      <c r="Q293" s="47">
        <f>P293/$P$4</f>
        <v/>
      </c>
      <c r="R293" s="47">
        <f>SUM(P293,N293,L293,J293,H293,D293,B293)</f>
        <v/>
      </c>
      <c r="S293" s="47">
        <f>R293/$R$4</f>
        <v/>
      </c>
    </row>
    <row r="294" hidden="1" outlineLevel="1" ht="15.75" customHeight="1" s="297">
      <c r="A294" s="48">
        <f>IFERROR(__xludf.DUMMYFUNCTION("UNIQUE(FILTER('PORTIFÓLIO'!C:C, 'PORTIFÓLIO'!B:B=""TS""))"),"ENDOFUSE")</f>
        <v/>
      </c>
      <c r="B294" s="49">
        <f t="array" ref="B294">IFERROR(
SUM(
IF(
'PORTIFÓLIO'!$C$4:$C$564=$A294,
N(INDEX('PORTIFÓLIO'!$J$4:$Q$564,,MATCH(B$2,'PORTIFÓLIO'!$J$3:$Q$3,0))) *
N('PORTIFÓLIO'!$S$4:$S$564),
0
)
),
0)</f>
        <v/>
      </c>
      <c r="C294" s="49">
        <f>B294/$B$4</f>
        <v/>
      </c>
      <c r="D294" s="49">
        <f t="array" ref="D294">IFERROR(
SUM(
IF(
'PORTIFÓLIO'!$C$4:$C$564=$A294,
N(INDEX('PORTIFÓLIO'!$J$4:$Q$564,,MATCH(D$2,'PORTIFÓLIO'!$J$3:$Q$3,0))) *
N('PORTIFÓLIO'!$S$4:$S$564),
0
)
),
0)</f>
        <v/>
      </c>
      <c r="E294" s="49">
        <f>D294/$D$4</f>
        <v/>
      </c>
      <c r="F294" s="49">
        <f t="array" ref="F294">IFERROR(
SUM(
IF(
'PORTIFÓLIO'!$C$4:$C$564=$A294,
N(INDEX('PORTIFÓLIO'!$J$4:$Q$564,,MATCH(F$2,'PORTIFÓLIO'!$J$3:$Q$3,0))) *
N('PORTIFÓLIO'!$S$4:$S$564),
0
)
),
0)</f>
        <v/>
      </c>
      <c r="G294" s="47">
        <f>F294/$F$4</f>
        <v/>
      </c>
      <c r="H294" s="49">
        <f t="array" ref="H294">IFERROR(
SUM(
IF(
'PORTIFÓLIO'!$C$4:$C$564=$A294,
N(INDEX('PORTIFÓLIO'!$J$4:$Q$564,,MATCH(H$2,'PORTIFÓLIO'!$J$3:$Q$3,0))) *
N('PORTIFÓLIO'!$S$4:$S$564),
0
)
),
0)</f>
        <v/>
      </c>
      <c r="I294" s="47">
        <f>H294/$H$4</f>
        <v/>
      </c>
      <c r="J294" s="49">
        <f t="array" ref="J294">IFERROR(
SUM(
IF(
'PORTIFÓLIO'!$C$4:$C$564=$A294,
N(INDEX('PORTIFÓLIO'!$J$4:$Q$564,,MATCH(J$2,'PORTIFÓLIO'!$J$3:$Q$3,0))) *
N('PORTIFÓLIO'!$S$4:$S$564),
0
)
),
0)</f>
        <v/>
      </c>
      <c r="K294" s="47">
        <f>J294/$J$4</f>
        <v/>
      </c>
      <c r="L294" s="49">
        <f t="array" ref="L294">IFERROR(
SUM(
IF(
'PORTIFÓLIO'!$C$4:$C$564=$A294,
N(INDEX('PORTIFÓLIO'!$J$4:$Q$564,,MATCH(L$2,'PORTIFÓLIO'!$J$3:$Q$3,0))) *
N('PORTIFÓLIO'!$S$4:$S$564),
0
)
),
0)</f>
        <v/>
      </c>
      <c r="M294" s="47">
        <f>L294/$L$4</f>
        <v/>
      </c>
      <c r="N294" s="49">
        <f t="array" ref="N294">IFERROR(
SUM(
IF(
'PORTIFÓLIO'!$C$4:$C$564=$A294,
N(INDEX('PORTIFÓLIO'!$J$4:$Q$564,,MATCH(N$2,'PORTIFÓLIO'!$J$3:$Q$3,0))) *
N('PORTIFÓLIO'!$S$4:$S$564),
0
)
),
0)</f>
        <v/>
      </c>
      <c r="O294" s="49">
        <f>N294/$N$4</f>
        <v/>
      </c>
      <c r="P294" s="49">
        <f t="array" ref="P294">IFERROR(
SUM(
IF(
'PORTIFÓLIO'!$C$4:$C$564=$A294,
N(INDEX('PORTIFÓLIO'!$J$4:$Q$564,,MATCH(P$2,'PORTIFÓLIO'!$J$3:$Q$3,0))) *
N('PORTIFÓLIO'!$S$4:$S$564),
0
)
),
0)</f>
        <v/>
      </c>
      <c r="Q294" s="49">
        <f>P294/$P$4</f>
        <v/>
      </c>
      <c r="R294" s="49">
        <f>SUM(P294,N294,L294,J294,H294,D294,B294)</f>
        <v/>
      </c>
      <c r="S294" s="49">
        <f>R294/$R$4</f>
        <v/>
      </c>
    </row>
    <row r="295" hidden="1" outlineLevel="1" ht="15.75" customHeight="1" s="297">
      <c r="A295" s="48">
        <f>IFERROR(__xludf.DUMMYFUNCTION("""COMPUTED_VALUE"""),"ENDOMAXX")</f>
        <v/>
      </c>
      <c r="B295" s="49">
        <f t="array" ref="B295">IFERROR(
SUM(
IF(
'PORTIFÓLIO'!$C$4:$C$564=$A295,
N(INDEX('PORTIFÓLIO'!$J$4:$Q$564,,MATCH(B$2,'PORTIFÓLIO'!$J$3:$Q$3,0))) *
N('PORTIFÓLIO'!$S$4:$S$564),
0
)
),
0)</f>
        <v/>
      </c>
      <c r="C295" s="49">
        <f>B295/$B$4</f>
        <v/>
      </c>
      <c r="D295" s="49">
        <f t="array" ref="D295">IFERROR(
SUM(
IF(
'PORTIFÓLIO'!$C$4:$C$564=$A295,
N(INDEX('PORTIFÓLIO'!$J$4:$Q$564,,MATCH(D$2,'PORTIFÓLIO'!$J$3:$Q$3,0))) *
N('PORTIFÓLIO'!$S$4:$S$564),
0
)
),
0)</f>
        <v/>
      </c>
      <c r="E295" s="49">
        <f>D295/$D$4</f>
        <v/>
      </c>
      <c r="F295" s="49">
        <f t="array" ref="F295">IFERROR(
SUM(
IF(
'PORTIFÓLIO'!$C$4:$C$564=$A295,
N(INDEX('PORTIFÓLIO'!$J$4:$Q$564,,MATCH(F$2,'PORTIFÓLIO'!$J$3:$Q$3,0))) *
N('PORTIFÓLIO'!$S$4:$S$564),
0
)
),
0)</f>
        <v/>
      </c>
      <c r="G295" s="47">
        <f>F295/$F$4</f>
        <v/>
      </c>
      <c r="H295" s="49">
        <f t="array" ref="H295">IFERROR(
SUM(
IF(
'PORTIFÓLIO'!$C$4:$C$564=$A295,
N(INDEX('PORTIFÓLIO'!$J$4:$Q$564,,MATCH(H$2,'PORTIFÓLIO'!$J$3:$Q$3,0))) *
N('PORTIFÓLIO'!$S$4:$S$564),
0
)
),
0)</f>
        <v/>
      </c>
      <c r="I295" s="47">
        <f>H295/$H$4</f>
        <v/>
      </c>
      <c r="J295" s="49">
        <f t="array" ref="J295">IFERROR(
SUM(
IF(
'PORTIFÓLIO'!$C$4:$C$564=$A295,
N(INDEX('PORTIFÓLIO'!$J$4:$Q$564,,MATCH(J$2,'PORTIFÓLIO'!$J$3:$Q$3,0))) *
N('PORTIFÓLIO'!$S$4:$S$564),
0
)
),
0)</f>
        <v/>
      </c>
      <c r="K295" s="47">
        <f>J295/$J$4</f>
        <v/>
      </c>
      <c r="L295" s="49">
        <f t="array" ref="L295">IFERROR(
SUM(
IF(
'PORTIFÓLIO'!$C$4:$C$564=$A295,
N(INDEX('PORTIFÓLIO'!$J$4:$Q$564,,MATCH(L$2,'PORTIFÓLIO'!$J$3:$Q$3,0))) *
N('PORTIFÓLIO'!$S$4:$S$564),
0
)
),
0)</f>
        <v/>
      </c>
      <c r="M295" s="47">
        <f>L295/$L$4</f>
        <v/>
      </c>
      <c r="N295" s="49">
        <f t="array" ref="N295">IFERROR(
SUM(
IF(
'PORTIFÓLIO'!$C$4:$C$564=$A295,
N(INDEX('PORTIFÓLIO'!$J$4:$Q$564,,MATCH(N$2,'PORTIFÓLIO'!$J$3:$Q$3,0))) *
N('PORTIFÓLIO'!$S$4:$S$564),
0
)
),
0)</f>
        <v/>
      </c>
      <c r="O295" s="49">
        <f>N295/$N$4</f>
        <v/>
      </c>
      <c r="P295" s="49">
        <f t="array" ref="P295">IFERROR(
SUM(
IF(
'PORTIFÓLIO'!$C$4:$C$564=$A295,
N(INDEX('PORTIFÓLIO'!$J$4:$Q$564,,MATCH(P$2,'PORTIFÓLIO'!$J$3:$Q$3,0))) *
N('PORTIFÓLIO'!$S$4:$S$564),
0
)
),
0)</f>
        <v/>
      </c>
      <c r="Q295" s="49">
        <f>P295/$P$4</f>
        <v/>
      </c>
      <c r="R295" s="49">
        <f>SUM(P295,N295,L295,J295,H295,D295,B295)</f>
        <v/>
      </c>
      <c r="S295" s="49">
        <f>R295/$R$4</f>
        <v/>
      </c>
    </row>
    <row r="296" hidden="1" outlineLevel="1" ht="15.75" customHeight="1" s="297">
      <c r="A296" s="48">
        <f>IFERROR(__xludf.DUMMYFUNCTION("""COMPUTED_VALUE"""),"RIZOLIQ LLI")</f>
        <v/>
      </c>
      <c r="B296" s="49">
        <f t="array" ref="B296">IFERROR(
SUM(
IF(
'PORTIFÓLIO'!$C$4:$C$564=$A296,
N(INDEX('PORTIFÓLIO'!$J$4:$Q$564,,MATCH(B$2,'PORTIFÓLIO'!$J$3:$Q$3,0))) *
N('PORTIFÓLIO'!$S$4:$S$564),
0
)
),
0)</f>
        <v/>
      </c>
      <c r="C296" s="49">
        <f>B296/$B$4</f>
        <v/>
      </c>
      <c r="D296" s="49">
        <f t="array" ref="D296">IFERROR(
SUM(
IF(
'PORTIFÓLIO'!$C$4:$C$564=$A296,
N(INDEX('PORTIFÓLIO'!$J$4:$Q$564,,MATCH(D$2,'PORTIFÓLIO'!$J$3:$Q$3,0))) *
N('PORTIFÓLIO'!$S$4:$S$564),
0
)
),
0)</f>
        <v/>
      </c>
      <c r="E296" s="49">
        <f>D296/$D$4</f>
        <v/>
      </c>
      <c r="F296" s="49">
        <f t="array" ref="F296">IFERROR(
SUM(
IF(
'PORTIFÓLIO'!$C$4:$C$564=$A296,
N(INDEX('PORTIFÓLIO'!$J$4:$Q$564,,MATCH(F$2,'PORTIFÓLIO'!$J$3:$Q$3,0))) *
N('PORTIFÓLIO'!$S$4:$S$564),
0
)
),
0)</f>
        <v/>
      </c>
      <c r="G296" s="47">
        <f>F296/$F$4</f>
        <v/>
      </c>
      <c r="H296" s="49">
        <f t="array" ref="H296">IFERROR(
SUM(
IF(
'PORTIFÓLIO'!$C$4:$C$564=$A296,
N(INDEX('PORTIFÓLIO'!$J$4:$Q$564,,MATCH(H$2,'PORTIFÓLIO'!$J$3:$Q$3,0))) *
N('PORTIFÓLIO'!$S$4:$S$564),
0
)
),
0)</f>
        <v/>
      </c>
      <c r="I296" s="47">
        <f>H296/$H$4</f>
        <v/>
      </c>
      <c r="J296" s="49">
        <f t="array" ref="J296">IFERROR(
SUM(
IF(
'PORTIFÓLIO'!$C$4:$C$564=$A296,
N(INDEX('PORTIFÓLIO'!$J$4:$Q$564,,MATCH(J$2,'PORTIFÓLIO'!$J$3:$Q$3,0))) *
N('PORTIFÓLIO'!$S$4:$S$564),
0
)
),
0)</f>
        <v/>
      </c>
      <c r="K296" s="47">
        <f>J296/$J$4</f>
        <v/>
      </c>
      <c r="L296" s="49">
        <f t="array" ref="L296">IFERROR(
SUM(
IF(
'PORTIFÓLIO'!$C$4:$C$564=$A296,
N(INDEX('PORTIFÓLIO'!$J$4:$Q$564,,MATCH(L$2,'PORTIFÓLIO'!$J$3:$Q$3,0))) *
N('PORTIFÓLIO'!$S$4:$S$564),
0
)
),
0)</f>
        <v/>
      </c>
      <c r="M296" s="47">
        <f>L296/$L$4</f>
        <v/>
      </c>
      <c r="N296" s="49">
        <f t="array" ref="N296">IFERROR(
SUM(
IF(
'PORTIFÓLIO'!$C$4:$C$564=$A296,
N(INDEX('PORTIFÓLIO'!$J$4:$Q$564,,MATCH(N$2,'PORTIFÓLIO'!$J$3:$Q$3,0))) *
N('PORTIFÓLIO'!$S$4:$S$564),
0
)
),
0)</f>
        <v/>
      </c>
      <c r="O296" s="49">
        <f>N296/$N$4</f>
        <v/>
      </c>
      <c r="P296" s="49">
        <f t="array" ref="P296">IFERROR(
SUM(
IF(
'PORTIFÓLIO'!$C$4:$C$564=$A296,
N(INDEX('PORTIFÓLIO'!$J$4:$Q$564,,MATCH(P$2,'PORTIFÓLIO'!$J$3:$Q$3,0))) *
N('PORTIFÓLIO'!$S$4:$S$564),
0
)
),
0)</f>
        <v/>
      </c>
      <c r="Q296" s="49">
        <f>P296/$P$4</f>
        <v/>
      </c>
      <c r="R296" s="49">
        <f>SUM(P296,N296,L296,J296,H296,D296,B296)</f>
        <v/>
      </c>
      <c r="S296" s="49">
        <f>R296/$R$4</f>
        <v/>
      </c>
    </row>
    <row r="297" hidden="1" outlineLevel="1" ht="15.75" customHeight="1" s="297">
      <c r="A297" s="48">
        <f>IFERROR(__xludf.DUMMYFUNCTION("""COMPUTED_VALUE"""),"PROVILAR")</f>
        <v/>
      </c>
      <c r="B297" s="49">
        <f t="array" ref="B297">IFERROR(
SUM(
IF(
'PORTIFÓLIO'!$C$4:$C$564=$A297,
N(INDEX('PORTIFÓLIO'!$J$4:$Q$564,,MATCH(B$2,'PORTIFÓLIO'!$J$3:$Q$3,0))) *
N('PORTIFÓLIO'!$S$4:$S$564),
0
)
),
0)</f>
        <v/>
      </c>
      <c r="C297" s="49">
        <f>B297/$B$4</f>
        <v/>
      </c>
      <c r="D297" s="49">
        <f t="array" ref="D297">IFERROR(
SUM(
IF(
'PORTIFÓLIO'!$C$4:$C$564=$A297,
N(INDEX('PORTIFÓLIO'!$J$4:$Q$564,,MATCH(D$2,'PORTIFÓLIO'!$J$3:$Q$3,0))) *
N('PORTIFÓLIO'!$S$4:$S$564),
0
)
),
0)</f>
        <v/>
      </c>
      <c r="E297" s="49">
        <f>D297/$D$4</f>
        <v/>
      </c>
      <c r="F297" s="49">
        <f t="array" ref="F297">IFERROR(
SUM(
IF(
'PORTIFÓLIO'!$C$4:$C$564=$A297,
N(INDEX('PORTIFÓLIO'!$J$4:$Q$564,,MATCH(F$2,'PORTIFÓLIO'!$J$3:$Q$3,0))) *
N('PORTIFÓLIO'!$S$4:$S$564),
0
)
),
0)</f>
        <v/>
      </c>
      <c r="G297" s="47">
        <f>F297/$F$4</f>
        <v/>
      </c>
      <c r="H297" s="49">
        <f t="array" ref="H297">IFERROR(
SUM(
IF(
'PORTIFÓLIO'!$C$4:$C$564=$A297,
N(INDEX('PORTIFÓLIO'!$J$4:$Q$564,,MATCH(H$2,'PORTIFÓLIO'!$J$3:$Q$3,0))) *
N('PORTIFÓLIO'!$S$4:$S$564),
0
)
),
0)</f>
        <v/>
      </c>
      <c r="I297" s="47">
        <f>H297/$H$4</f>
        <v/>
      </c>
      <c r="J297" s="49">
        <f t="array" ref="J297">IFERROR(
SUM(
IF(
'PORTIFÓLIO'!$C$4:$C$564=$A297,
N(INDEX('PORTIFÓLIO'!$J$4:$Q$564,,MATCH(J$2,'PORTIFÓLIO'!$J$3:$Q$3,0))) *
N('PORTIFÓLIO'!$S$4:$S$564),
0
)
),
0)</f>
        <v/>
      </c>
      <c r="K297" s="47">
        <f>J297/$J$4</f>
        <v/>
      </c>
      <c r="L297" s="49">
        <f t="array" ref="L297">IFERROR(
SUM(
IF(
'PORTIFÓLIO'!$C$4:$C$564=$A297,
N(INDEX('PORTIFÓLIO'!$J$4:$Q$564,,MATCH(L$2,'PORTIFÓLIO'!$J$3:$Q$3,0))) *
N('PORTIFÓLIO'!$S$4:$S$564),
0
)
),
0)</f>
        <v/>
      </c>
      <c r="M297" s="47">
        <f>L297/$L$4</f>
        <v/>
      </c>
      <c r="N297" s="49">
        <f t="array" ref="N297">IFERROR(
SUM(
IF(
'PORTIFÓLIO'!$C$4:$C$564=$A297,
N(INDEX('PORTIFÓLIO'!$J$4:$Q$564,,MATCH(N$2,'PORTIFÓLIO'!$J$3:$Q$3,0))) *
N('PORTIFÓLIO'!$S$4:$S$564),
0
)
),
0)</f>
        <v/>
      </c>
      <c r="O297" s="49">
        <f>N297/$N$4</f>
        <v/>
      </c>
      <c r="P297" s="49">
        <f t="array" ref="P297">IFERROR(
SUM(
IF(
'PORTIFÓLIO'!$C$4:$C$564=$A297,
N(INDEX('PORTIFÓLIO'!$J$4:$Q$564,,MATCH(P$2,'PORTIFÓLIO'!$J$3:$Q$3,0))) *
N('PORTIFÓLIO'!$S$4:$S$564),
0
)
),
0)</f>
        <v/>
      </c>
      <c r="Q297" s="49">
        <f>P297/$P$4</f>
        <v/>
      </c>
      <c r="R297" s="49">
        <f>SUM(P297,N297,L297,J297,H297,D297,B297)</f>
        <v/>
      </c>
      <c r="S297" s="49">
        <f>R297/$R$4</f>
        <v/>
      </c>
    </row>
    <row r="298" hidden="1" outlineLevel="1" ht="15.75" customHeight="1" s="297">
      <c r="A298" s="48">
        <f>IFERROR(__xludf.DUMMYFUNCTION("""COMPUTED_VALUE"""),"REVERB")</f>
        <v/>
      </c>
      <c r="B298" s="49">
        <f t="array" ref="B298">IFERROR(
SUM(
IF(
'PORTIFÓLIO'!$C$4:$C$564=$A298,
N(INDEX('PORTIFÓLIO'!$J$4:$Q$564,,MATCH(B$2,'PORTIFÓLIO'!$J$3:$Q$3,0))) *
N('PORTIFÓLIO'!$S$4:$S$564),
0
)
),
0)</f>
        <v/>
      </c>
      <c r="C298" s="49">
        <f>B298/$B$4</f>
        <v/>
      </c>
      <c r="D298" s="49">
        <f t="array" ref="D298">IFERROR(
SUM(
IF(
'PORTIFÓLIO'!$C$4:$C$564=$A298,
N(INDEX('PORTIFÓLIO'!$J$4:$Q$564,,MATCH(D$2,'PORTIFÓLIO'!$J$3:$Q$3,0))) *
N('PORTIFÓLIO'!$S$4:$S$564),
0
)
),
0)</f>
        <v/>
      </c>
      <c r="E298" s="49">
        <f>D298/$D$4</f>
        <v/>
      </c>
      <c r="F298" s="49">
        <f t="array" ref="F298">IFERROR(
SUM(
IF(
'PORTIFÓLIO'!$C$4:$C$564=$A298,
N(INDEX('PORTIFÓLIO'!$J$4:$Q$564,,MATCH(F$2,'PORTIFÓLIO'!$J$3:$Q$3,0))) *
N('PORTIFÓLIO'!$S$4:$S$564),
0
)
),
0)</f>
        <v/>
      </c>
      <c r="G298" s="47">
        <f>F298/$F$4</f>
        <v/>
      </c>
      <c r="H298" s="49">
        <f t="array" ref="H298">IFERROR(
SUM(
IF(
'PORTIFÓLIO'!$C$4:$C$564=$A298,
N(INDEX('PORTIFÓLIO'!$J$4:$Q$564,,MATCH(H$2,'PORTIFÓLIO'!$J$3:$Q$3,0))) *
N('PORTIFÓLIO'!$S$4:$S$564),
0
)
),
0)</f>
        <v/>
      </c>
      <c r="I298" s="47">
        <f>H298/$H$4</f>
        <v/>
      </c>
      <c r="J298" s="49">
        <f t="array" ref="J298">IFERROR(
SUM(
IF(
'PORTIFÓLIO'!$C$4:$C$564=$A298,
N(INDEX('PORTIFÓLIO'!$J$4:$Q$564,,MATCH(J$2,'PORTIFÓLIO'!$J$3:$Q$3,0))) *
N('PORTIFÓLIO'!$S$4:$S$564),
0
)
),
0)</f>
        <v/>
      </c>
      <c r="K298" s="47">
        <f>J298/$J$4</f>
        <v/>
      </c>
      <c r="L298" s="49">
        <f t="array" ref="L298">IFERROR(
SUM(
IF(
'PORTIFÓLIO'!$C$4:$C$564=$A298,
N(INDEX('PORTIFÓLIO'!$J$4:$Q$564,,MATCH(L$2,'PORTIFÓLIO'!$J$3:$Q$3,0))) *
N('PORTIFÓLIO'!$S$4:$S$564),
0
)
),
0)</f>
        <v/>
      </c>
      <c r="M298" s="47">
        <f>L298/$L$4</f>
        <v/>
      </c>
      <c r="N298" s="49">
        <f t="array" ref="N298">IFERROR(
SUM(
IF(
'PORTIFÓLIO'!$C$4:$C$564=$A298,
N(INDEX('PORTIFÓLIO'!$J$4:$Q$564,,MATCH(N$2,'PORTIFÓLIO'!$J$3:$Q$3,0))) *
N('PORTIFÓLIO'!$S$4:$S$564),
0
)
),
0)</f>
        <v/>
      </c>
      <c r="O298" s="49">
        <f>N298/$N$4</f>
        <v/>
      </c>
      <c r="P298" s="49">
        <f t="array" ref="P298">IFERROR(
SUM(
IF(
'PORTIFÓLIO'!$C$4:$C$564=$A298,
N(INDEX('PORTIFÓLIO'!$J$4:$Q$564,,MATCH(P$2,'PORTIFÓLIO'!$J$3:$Q$3,0))) *
N('PORTIFÓLIO'!$S$4:$S$564),
0
)
),
0)</f>
        <v/>
      </c>
      <c r="Q298" s="49">
        <f>P298/$P$4</f>
        <v/>
      </c>
      <c r="R298" s="49">
        <f>SUM(P298,N298,L298,J298,H298,D298,B298)</f>
        <v/>
      </c>
      <c r="S298" s="49">
        <f>R298/$R$4</f>
        <v/>
      </c>
    </row>
    <row r="299" hidden="1" outlineLevel="1" ht="15.75" customHeight="1" s="297">
      <c r="A299" s="48">
        <f>IFERROR(__xludf.DUMMYFUNCTION("""COMPUTED_VALUE"""),"ARVATICO")</f>
        <v/>
      </c>
      <c r="B299" s="49">
        <f t="array" ref="B299">IFERROR(
SUM(
IF(
'PORTIFÓLIO'!$C$4:$C$564=$A299,
N(INDEX('PORTIFÓLIO'!$J$4:$Q$564,,MATCH(B$2,'PORTIFÓLIO'!$J$3:$Q$3,0))) *
N('PORTIFÓLIO'!$S$4:$S$564),
0
)
),
0)</f>
        <v/>
      </c>
      <c r="C299" s="49">
        <f>B299/$B$4</f>
        <v/>
      </c>
      <c r="D299" s="49">
        <f t="array" ref="D299">IFERROR(
SUM(
IF(
'PORTIFÓLIO'!$C$4:$C$564=$A299,
N(INDEX('PORTIFÓLIO'!$J$4:$Q$564,,MATCH(D$2,'PORTIFÓLIO'!$J$3:$Q$3,0))) *
N('PORTIFÓLIO'!$S$4:$S$564),
0
)
),
0)</f>
        <v/>
      </c>
      <c r="E299" s="49">
        <f>D299/$D$4</f>
        <v/>
      </c>
      <c r="F299" s="49">
        <f t="array" ref="F299">IFERROR(
SUM(
IF(
'PORTIFÓLIO'!$C$4:$C$564=$A299,
N(INDEX('PORTIFÓLIO'!$J$4:$Q$564,,MATCH(F$2,'PORTIFÓLIO'!$J$3:$Q$3,0))) *
N('PORTIFÓLIO'!$S$4:$S$564),
0
)
),
0)</f>
        <v/>
      </c>
      <c r="G299" s="47">
        <f>F299/$F$4</f>
        <v/>
      </c>
      <c r="H299" s="49">
        <f t="array" ref="H299">IFERROR(
SUM(
IF(
'PORTIFÓLIO'!$C$4:$C$564=$A299,
N(INDEX('PORTIFÓLIO'!$J$4:$Q$564,,MATCH(H$2,'PORTIFÓLIO'!$J$3:$Q$3,0))) *
N('PORTIFÓLIO'!$S$4:$S$564),
0
)
),
0)</f>
        <v/>
      </c>
      <c r="I299" s="47">
        <f>H299/$H$4</f>
        <v/>
      </c>
      <c r="J299" s="49">
        <f t="array" ref="J299">IFERROR(
SUM(
IF(
'PORTIFÓLIO'!$C$4:$C$564=$A299,
N(INDEX('PORTIFÓLIO'!$J$4:$Q$564,,MATCH(J$2,'PORTIFÓLIO'!$J$3:$Q$3,0))) *
N('PORTIFÓLIO'!$S$4:$S$564),
0
)
),
0)</f>
        <v/>
      </c>
      <c r="K299" s="47">
        <f>J299/$J$4</f>
        <v/>
      </c>
      <c r="L299" s="49">
        <f t="array" ref="L299">IFERROR(
SUM(
IF(
'PORTIFÓLIO'!$C$4:$C$564=$A299,
N(INDEX('PORTIFÓLIO'!$J$4:$Q$564,,MATCH(L$2,'PORTIFÓLIO'!$J$3:$Q$3,0))) *
N('PORTIFÓLIO'!$S$4:$S$564),
0
)
),
0)</f>
        <v/>
      </c>
      <c r="M299" s="47">
        <f>L299/$L$4</f>
        <v/>
      </c>
      <c r="N299" s="49">
        <f t="array" ref="N299">IFERROR(
SUM(
IF(
'PORTIFÓLIO'!$C$4:$C$564=$A299,
N(INDEX('PORTIFÓLIO'!$J$4:$Q$564,,MATCH(N$2,'PORTIFÓLIO'!$J$3:$Q$3,0))) *
N('PORTIFÓLIO'!$S$4:$S$564),
0
)
),
0)</f>
        <v/>
      </c>
      <c r="O299" s="49">
        <f>N299/$N$4</f>
        <v/>
      </c>
      <c r="P299" s="49">
        <f t="array" ref="P299">IFERROR(
SUM(
IF(
'PORTIFÓLIO'!$C$4:$C$564=$A299,
N(INDEX('PORTIFÓLIO'!$J$4:$Q$564,,MATCH(P$2,'PORTIFÓLIO'!$J$3:$Q$3,0))) *
N('PORTIFÓLIO'!$S$4:$S$564),
0
)
),
0)</f>
        <v/>
      </c>
      <c r="Q299" s="49">
        <f>P299/$P$4</f>
        <v/>
      </c>
      <c r="R299" s="49">
        <f>SUM(P299,N299,L299,J299,H299,D299,B299)</f>
        <v/>
      </c>
      <c r="S299" s="49">
        <f>R299/$R$4</f>
        <v/>
      </c>
    </row>
    <row r="300" hidden="1" outlineLevel="1" ht="15.75" customHeight="1" s="297">
      <c r="A300" s="48">
        <f>IFERROR(__xludf.DUMMYFUNCTION("""COMPUTED_VALUE"""),"VERANGO PRIME")</f>
        <v/>
      </c>
      <c r="B300" s="49">
        <f t="array" ref="B300">IFERROR(
SUM(
IF(
'PORTIFÓLIO'!$C$4:$C$564=$A300,
N(INDEX('PORTIFÓLIO'!$J$4:$Q$564,,MATCH(B$2,'PORTIFÓLIO'!$J$3:$Q$3,0))) *
N('PORTIFÓLIO'!$S$4:$S$564),
0
)
),
0)</f>
        <v/>
      </c>
      <c r="C300" s="49">
        <f>B300/$B$4</f>
        <v/>
      </c>
      <c r="D300" s="49">
        <f t="array" ref="D300">IFERROR(
SUM(
IF(
'PORTIFÓLIO'!$C$4:$C$564=$A300,
N(INDEX('PORTIFÓLIO'!$J$4:$Q$564,,MATCH(D$2,'PORTIFÓLIO'!$J$3:$Q$3,0))) *
N('PORTIFÓLIO'!$S$4:$S$564),
0
)
),
0)</f>
        <v/>
      </c>
      <c r="E300" s="49">
        <f>D300/$D$4</f>
        <v/>
      </c>
      <c r="F300" s="49">
        <f t="array" ref="F300">IFERROR(
SUM(
IF(
'PORTIFÓLIO'!$C$4:$C$564=$A300,
N(INDEX('PORTIFÓLIO'!$J$4:$Q$564,,MATCH(F$2,'PORTIFÓLIO'!$J$3:$Q$3,0))) *
N('PORTIFÓLIO'!$S$4:$S$564),
0
)
),
0)</f>
        <v/>
      </c>
      <c r="G300" s="47">
        <f>F300/$F$4</f>
        <v/>
      </c>
      <c r="H300" s="49">
        <f t="array" ref="H300">IFERROR(
SUM(
IF(
'PORTIFÓLIO'!$C$4:$C$564=$A300,
N(INDEX('PORTIFÓLIO'!$J$4:$Q$564,,MATCH(H$2,'PORTIFÓLIO'!$J$3:$Q$3,0))) *
N('PORTIFÓLIO'!$S$4:$S$564),
0
)
),
0)</f>
        <v/>
      </c>
      <c r="I300" s="47">
        <f>H300/$H$4</f>
        <v/>
      </c>
      <c r="J300" s="49">
        <f t="array" ref="J300">IFERROR(
SUM(
IF(
'PORTIFÓLIO'!$C$4:$C$564=$A300,
N(INDEX('PORTIFÓLIO'!$J$4:$Q$564,,MATCH(J$2,'PORTIFÓLIO'!$J$3:$Q$3,0))) *
N('PORTIFÓLIO'!$S$4:$S$564),
0
)
),
0)</f>
        <v/>
      </c>
      <c r="K300" s="47">
        <f>J300/$J$4</f>
        <v/>
      </c>
      <c r="L300" s="49">
        <f t="array" ref="L300">IFERROR(
SUM(
IF(
'PORTIFÓLIO'!$C$4:$C$564=$A300,
N(INDEX('PORTIFÓLIO'!$J$4:$Q$564,,MATCH(L$2,'PORTIFÓLIO'!$J$3:$Q$3,0))) *
N('PORTIFÓLIO'!$S$4:$S$564),
0
)
),
0)</f>
        <v/>
      </c>
      <c r="M300" s="47">
        <f>L300/$L$4</f>
        <v/>
      </c>
      <c r="N300" s="49">
        <f t="array" ref="N300">IFERROR(
SUM(
IF(
'PORTIFÓLIO'!$C$4:$C$564=$A300,
N(INDEX('PORTIFÓLIO'!$J$4:$Q$564,,MATCH(N$2,'PORTIFÓLIO'!$J$3:$Q$3,0))) *
N('PORTIFÓLIO'!$S$4:$S$564),
0
)
),
0)</f>
        <v/>
      </c>
      <c r="O300" s="49">
        <f>N300/$N$4</f>
        <v/>
      </c>
      <c r="P300" s="49">
        <f t="array" ref="P300">IFERROR(
SUM(
IF(
'PORTIFÓLIO'!$C$4:$C$564=$A300,
N(INDEX('PORTIFÓLIO'!$J$4:$Q$564,,MATCH(P$2,'PORTIFÓLIO'!$J$3:$Q$3,0))) *
N('PORTIFÓLIO'!$S$4:$S$564),
0
)
),
0)</f>
        <v/>
      </c>
      <c r="Q300" s="49">
        <f>P300/$P$4</f>
        <v/>
      </c>
      <c r="R300" s="49">
        <f>SUM(P300,N300,L300,J300,H300,D300,B300)</f>
        <v/>
      </c>
      <c r="S300" s="49">
        <f>R300/$R$4</f>
        <v/>
      </c>
    </row>
    <row r="301" hidden="1" outlineLevel="1" ht="15.75" customHeight="1" s="297">
      <c r="A301" s="48">
        <f>IFERROR(__xludf.DUMMYFUNCTION("""COMPUTED_VALUE"""),"FIPRONIL NORTOX MAX")</f>
        <v/>
      </c>
      <c r="B301" s="49">
        <f t="array" ref="B301">IFERROR(
SUM(
IF(
'PORTIFÓLIO'!$C$4:$C$564=$A301,
N(INDEX('PORTIFÓLIO'!$J$4:$Q$564,,MATCH(B$2,'PORTIFÓLIO'!$J$3:$Q$3,0))) *
N('PORTIFÓLIO'!$S$4:$S$564),
0
)
),
0)</f>
        <v/>
      </c>
      <c r="C301" s="49">
        <f>B301/$B$4</f>
        <v/>
      </c>
      <c r="D301" s="49">
        <f t="array" ref="D301">IFERROR(
SUM(
IF(
'PORTIFÓLIO'!$C$4:$C$564=$A301,
N(INDEX('PORTIFÓLIO'!$J$4:$Q$564,,MATCH(D$2,'PORTIFÓLIO'!$J$3:$Q$3,0))) *
N('PORTIFÓLIO'!$S$4:$S$564),
0
)
),
0)</f>
        <v/>
      </c>
      <c r="E301" s="49">
        <f>D301/$D$4</f>
        <v/>
      </c>
      <c r="F301" s="49">
        <f t="array" ref="F301">IFERROR(
SUM(
IF(
'PORTIFÓLIO'!$C$4:$C$564=$A301,
N(INDEX('PORTIFÓLIO'!$J$4:$Q$564,,MATCH(F$2,'PORTIFÓLIO'!$J$3:$Q$3,0))) *
N('PORTIFÓLIO'!$S$4:$S$564),
0
)
),
0)</f>
        <v/>
      </c>
      <c r="G301" s="47">
        <f>F301/$F$4</f>
        <v/>
      </c>
      <c r="H301" s="49">
        <f t="array" ref="H301">IFERROR(
SUM(
IF(
'PORTIFÓLIO'!$C$4:$C$564=$A301,
N(INDEX('PORTIFÓLIO'!$J$4:$Q$564,,MATCH(H$2,'PORTIFÓLIO'!$J$3:$Q$3,0))) *
N('PORTIFÓLIO'!$S$4:$S$564),
0
)
),
0)</f>
        <v/>
      </c>
      <c r="I301" s="47">
        <f>H301/$H$4</f>
        <v/>
      </c>
      <c r="J301" s="49">
        <f t="array" ref="J301">IFERROR(
SUM(
IF(
'PORTIFÓLIO'!$C$4:$C$564=$A301,
N(INDEX('PORTIFÓLIO'!$J$4:$Q$564,,MATCH(J$2,'PORTIFÓLIO'!$J$3:$Q$3,0))) *
N('PORTIFÓLIO'!$S$4:$S$564),
0
)
),
0)</f>
        <v/>
      </c>
      <c r="K301" s="47">
        <f>J301/$J$4</f>
        <v/>
      </c>
      <c r="L301" s="49">
        <f t="array" ref="L301">IFERROR(
SUM(
IF(
'PORTIFÓLIO'!$C$4:$C$564=$A301,
N(INDEX('PORTIFÓLIO'!$J$4:$Q$564,,MATCH(L$2,'PORTIFÓLIO'!$J$3:$Q$3,0))) *
N('PORTIFÓLIO'!$S$4:$S$564),
0
)
),
0)</f>
        <v/>
      </c>
      <c r="M301" s="47">
        <f>L301/$L$4</f>
        <v/>
      </c>
      <c r="N301" s="49">
        <f t="array" ref="N301">IFERROR(
SUM(
IF(
'PORTIFÓLIO'!$C$4:$C$564=$A301,
N(INDEX('PORTIFÓLIO'!$J$4:$Q$564,,MATCH(N$2,'PORTIFÓLIO'!$J$3:$Q$3,0))) *
N('PORTIFÓLIO'!$S$4:$S$564),
0
)
),
0)</f>
        <v/>
      </c>
      <c r="O301" s="49">
        <f>N301/$N$4</f>
        <v/>
      </c>
      <c r="P301" s="49">
        <f t="array" ref="P301">IFERROR(
SUM(
IF(
'PORTIFÓLIO'!$C$4:$C$564=$A301,
N(INDEX('PORTIFÓLIO'!$J$4:$Q$564,,MATCH(P$2,'PORTIFÓLIO'!$J$3:$Q$3,0))) *
N('PORTIFÓLIO'!$S$4:$S$564),
0
)
),
0)</f>
        <v/>
      </c>
      <c r="Q301" s="49">
        <f>P301/$P$4</f>
        <v/>
      </c>
      <c r="R301" s="49">
        <f>SUM(P301,N301,L301,J301,H301,D301,B301)</f>
        <v/>
      </c>
      <c r="S301" s="49">
        <f>R301/$R$4</f>
        <v/>
      </c>
    </row>
    <row r="302" hidden="1" outlineLevel="1" ht="15.75" customHeight="1" s="297">
      <c r="A302" s="48">
        <f>IFERROR(__xludf.DUMMYFUNCTION("""COMPUTED_VALUE"""),"MAXIM ADVANCED")</f>
        <v/>
      </c>
      <c r="B302" s="49">
        <f t="array" ref="B302">IFERROR(
SUM(
IF(
'PORTIFÓLIO'!$C$4:$C$564=$A302,
N(INDEX('PORTIFÓLIO'!$J$4:$Q$564,,MATCH(B$2,'PORTIFÓLIO'!$J$3:$Q$3,0))) *
N('PORTIFÓLIO'!$S$4:$S$564),
0
)
),
0)</f>
        <v/>
      </c>
      <c r="C302" s="49">
        <f>B302/$B$4</f>
        <v/>
      </c>
      <c r="D302" s="49">
        <f t="array" ref="D302">IFERROR(
SUM(
IF(
'PORTIFÓLIO'!$C$4:$C$564=$A302,
N(INDEX('PORTIFÓLIO'!$J$4:$Q$564,,MATCH(D$2,'PORTIFÓLIO'!$J$3:$Q$3,0))) *
N('PORTIFÓLIO'!$S$4:$S$564),
0
)
),
0)</f>
        <v/>
      </c>
      <c r="E302" s="49">
        <f>D302/$D$4</f>
        <v/>
      </c>
      <c r="F302" s="49">
        <f t="array" ref="F302">IFERROR(
SUM(
IF(
'PORTIFÓLIO'!$C$4:$C$564=$A302,
N(INDEX('PORTIFÓLIO'!$J$4:$Q$564,,MATCH(F$2,'PORTIFÓLIO'!$J$3:$Q$3,0))) *
N('PORTIFÓLIO'!$S$4:$S$564),
0
)
),
0)</f>
        <v/>
      </c>
      <c r="G302" s="47">
        <f>F302/$F$4</f>
        <v/>
      </c>
      <c r="H302" s="49">
        <f t="array" ref="H302">IFERROR(
SUM(
IF(
'PORTIFÓLIO'!$C$4:$C$564=$A302,
N(INDEX('PORTIFÓLIO'!$J$4:$Q$564,,MATCH(H$2,'PORTIFÓLIO'!$J$3:$Q$3,0))) *
N('PORTIFÓLIO'!$S$4:$S$564),
0
)
),
0)</f>
        <v/>
      </c>
      <c r="I302" s="47">
        <f>H302/$H$4</f>
        <v/>
      </c>
      <c r="J302" s="49">
        <f t="array" ref="J302">IFERROR(
SUM(
IF(
'PORTIFÓLIO'!$C$4:$C$564=$A302,
N(INDEX('PORTIFÓLIO'!$J$4:$Q$564,,MATCH(J$2,'PORTIFÓLIO'!$J$3:$Q$3,0))) *
N('PORTIFÓLIO'!$S$4:$S$564),
0
)
),
0)</f>
        <v/>
      </c>
      <c r="K302" s="47">
        <f>J302/$J$4</f>
        <v/>
      </c>
      <c r="L302" s="49">
        <f t="array" ref="L302">IFERROR(
SUM(
IF(
'PORTIFÓLIO'!$C$4:$C$564=$A302,
N(INDEX('PORTIFÓLIO'!$J$4:$Q$564,,MATCH(L$2,'PORTIFÓLIO'!$J$3:$Q$3,0))) *
N('PORTIFÓLIO'!$S$4:$S$564),
0
)
),
0)</f>
        <v/>
      </c>
      <c r="M302" s="47">
        <f>L302/$L$4</f>
        <v/>
      </c>
      <c r="N302" s="49">
        <f t="array" ref="N302">IFERROR(
SUM(
IF(
'PORTIFÓLIO'!$C$4:$C$564=$A302,
N(INDEX('PORTIFÓLIO'!$J$4:$Q$564,,MATCH(N$2,'PORTIFÓLIO'!$J$3:$Q$3,0))) *
N('PORTIFÓLIO'!$S$4:$S$564),
0
)
),
0)</f>
        <v/>
      </c>
      <c r="O302" s="49">
        <f>N302/$N$4</f>
        <v/>
      </c>
      <c r="P302" s="49">
        <f t="array" ref="P302">IFERROR(
SUM(
IF(
'PORTIFÓLIO'!$C$4:$C$564=$A302,
N(INDEX('PORTIFÓLIO'!$J$4:$Q$564,,MATCH(P$2,'PORTIFÓLIO'!$J$3:$Q$3,0))) *
N('PORTIFÓLIO'!$S$4:$S$564),
0
)
),
0)</f>
        <v/>
      </c>
      <c r="Q302" s="49">
        <f>P302/$P$4</f>
        <v/>
      </c>
      <c r="R302" s="49">
        <f>SUM(P302,N302,L302,J302,H302,D302,B302)</f>
        <v/>
      </c>
      <c r="S302" s="49">
        <f>R302/$R$4</f>
        <v/>
      </c>
    </row>
    <row r="303" hidden="1" outlineLevel="1" ht="15.75" customHeight="1" s="297">
      <c r="A303" s="48">
        <f>IFERROR(__xludf.DUMMYFUNCTION("""COMPUTED_VALUE"""),"MAXIM XL")</f>
        <v/>
      </c>
      <c r="B303" s="49">
        <f t="array" ref="B303">IFERROR(
SUM(
IF(
'PORTIFÓLIO'!$C$4:$C$564=$A303,
N(INDEX('PORTIFÓLIO'!$J$4:$Q$564,,MATCH(B$2,'PORTIFÓLIO'!$J$3:$Q$3,0))) *
N('PORTIFÓLIO'!$S$4:$S$564),
0
)
),
0)</f>
        <v/>
      </c>
      <c r="C303" s="49">
        <f>B303/$B$4</f>
        <v/>
      </c>
      <c r="D303" s="49">
        <f t="array" ref="D303">IFERROR(
SUM(
IF(
'PORTIFÓLIO'!$C$4:$C$564=$A303,
N(INDEX('PORTIFÓLIO'!$J$4:$Q$564,,MATCH(D$2,'PORTIFÓLIO'!$J$3:$Q$3,0))) *
N('PORTIFÓLIO'!$S$4:$S$564),
0
)
),
0)</f>
        <v/>
      </c>
      <c r="E303" s="49">
        <f>D303/$D$4</f>
        <v/>
      </c>
      <c r="F303" s="49">
        <f t="array" ref="F303">IFERROR(
SUM(
IF(
'PORTIFÓLIO'!$C$4:$C$564=$A303,
N(INDEX('PORTIFÓLIO'!$J$4:$Q$564,,MATCH(F$2,'PORTIFÓLIO'!$J$3:$Q$3,0))) *
N('PORTIFÓLIO'!$S$4:$S$564),
0
)
),
0)</f>
        <v/>
      </c>
      <c r="G303" s="47">
        <f>F303/$F$4</f>
        <v/>
      </c>
      <c r="H303" s="49">
        <f t="array" ref="H303">IFERROR(
SUM(
IF(
'PORTIFÓLIO'!$C$4:$C$564=$A303,
N(INDEX('PORTIFÓLIO'!$J$4:$Q$564,,MATCH(H$2,'PORTIFÓLIO'!$J$3:$Q$3,0))) *
N('PORTIFÓLIO'!$S$4:$S$564),
0
)
),
0)</f>
        <v/>
      </c>
      <c r="I303" s="47">
        <f>H303/$H$4</f>
        <v/>
      </c>
      <c r="J303" s="49">
        <f t="array" ref="J303">IFERROR(
SUM(
IF(
'PORTIFÓLIO'!$C$4:$C$564=$A303,
N(INDEX('PORTIFÓLIO'!$J$4:$Q$564,,MATCH(J$2,'PORTIFÓLIO'!$J$3:$Q$3,0))) *
N('PORTIFÓLIO'!$S$4:$S$564),
0
)
),
0)</f>
        <v/>
      </c>
      <c r="K303" s="47">
        <f>J303/$J$4</f>
        <v/>
      </c>
      <c r="L303" s="49">
        <f t="array" ref="L303">IFERROR(
SUM(
IF(
'PORTIFÓLIO'!$C$4:$C$564=$A303,
N(INDEX('PORTIFÓLIO'!$J$4:$Q$564,,MATCH(L$2,'PORTIFÓLIO'!$J$3:$Q$3,0))) *
N('PORTIFÓLIO'!$S$4:$S$564),
0
)
),
0)</f>
        <v/>
      </c>
      <c r="M303" s="47">
        <f>L303/$L$4</f>
        <v/>
      </c>
      <c r="N303" s="49">
        <f t="array" ref="N303">IFERROR(
SUM(
IF(
'PORTIFÓLIO'!$C$4:$C$564=$A303,
N(INDEX('PORTIFÓLIO'!$J$4:$Q$564,,MATCH(N$2,'PORTIFÓLIO'!$J$3:$Q$3,0))) *
N('PORTIFÓLIO'!$S$4:$S$564),
0
)
),
0)</f>
        <v/>
      </c>
      <c r="O303" s="49">
        <f>N303/$N$4</f>
        <v/>
      </c>
      <c r="P303" s="49">
        <f t="array" ref="P303">IFERROR(
SUM(
IF(
'PORTIFÓLIO'!$C$4:$C$564=$A303,
N(INDEX('PORTIFÓLIO'!$J$4:$Q$564,,MATCH(P$2,'PORTIFÓLIO'!$J$3:$Q$3,0))) *
N('PORTIFÓLIO'!$S$4:$S$564),
0
)
),
0)</f>
        <v/>
      </c>
      <c r="Q303" s="49">
        <f>P303/$P$4</f>
        <v/>
      </c>
      <c r="R303" s="49">
        <f>SUM(P303,N303,L303,J303,H303,D303,B303)</f>
        <v/>
      </c>
      <c r="S303" s="49">
        <f>R303/$R$4</f>
        <v/>
      </c>
    </row>
    <row r="304" hidden="1" outlineLevel="1" ht="15.75" customHeight="1" s="297">
      <c r="A304" s="48">
        <f>IFERROR(__xludf.DUMMYFUNCTION("""COMPUTED_VALUE"""),"VICTRATO")</f>
        <v/>
      </c>
      <c r="B304" s="49">
        <f t="array" ref="B304">IFERROR(
SUM(
IF(
'PORTIFÓLIO'!$C$4:$C$564=$A304,
N(INDEX('PORTIFÓLIO'!$J$4:$Q$564,,MATCH(B$2,'PORTIFÓLIO'!$J$3:$Q$3,0))) *
N('PORTIFÓLIO'!$S$4:$S$564),
0
)
),
0)</f>
        <v/>
      </c>
      <c r="C304" s="49">
        <f>B304/$B$4</f>
        <v/>
      </c>
      <c r="D304" s="49">
        <f t="array" ref="D304">IFERROR(
SUM(
IF(
'PORTIFÓLIO'!$C$4:$C$564=$A304,
N(INDEX('PORTIFÓLIO'!$J$4:$Q$564,,MATCH(D$2,'PORTIFÓLIO'!$J$3:$Q$3,0))) *
N('PORTIFÓLIO'!$S$4:$S$564),
0
)
),
0)</f>
        <v/>
      </c>
      <c r="E304" s="49">
        <f>D304/$D$4</f>
        <v/>
      </c>
      <c r="F304" s="49">
        <f t="array" ref="F304">IFERROR(
SUM(
IF(
'PORTIFÓLIO'!$C$4:$C$564=$A304,
N(INDEX('PORTIFÓLIO'!$J$4:$Q$564,,MATCH(F$2,'PORTIFÓLIO'!$J$3:$Q$3,0))) *
N('PORTIFÓLIO'!$S$4:$S$564),
0
)
),
0)</f>
        <v/>
      </c>
      <c r="G304" s="47">
        <f>F304/$F$4</f>
        <v/>
      </c>
      <c r="H304" s="49">
        <f t="array" ref="H304">IFERROR(
SUM(
IF(
'PORTIFÓLIO'!$C$4:$C$564=$A304,
N(INDEX('PORTIFÓLIO'!$J$4:$Q$564,,MATCH(H$2,'PORTIFÓLIO'!$J$3:$Q$3,0))) *
N('PORTIFÓLIO'!$S$4:$S$564),
0
)
),
0)</f>
        <v/>
      </c>
      <c r="I304" s="47">
        <f>H304/$H$4</f>
        <v/>
      </c>
      <c r="J304" s="49">
        <f t="array" ref="J304">IFERROR(
SUM(
IF(
'PORTIFÓLIO'!$C$4:$C$564=$A304,
N(INDEX('PORTIFÓLIO'!$J$4:$Q$564,,MATCH(J$2,'PORTIFÓLIO'!$J$3:$Q$3,0))) *
N('PORTIFÓLIO'!$S$4:$S$564),
0
)
),
0)</f>
        <v/>
      </c>
      <c r="K304" s="47">
        <f>J304/$J$4</f>
        <v/>
      </c>
      <c r="L304" s="49">
        <f t="array" ref="L304">IFERROR(
SUM(
IF(
'PORTIFÓLIO'!$C$4:$C$564=$A304,
N(INDEX('PORTIFÓLIO'!$J$4:$Q$564,,MATCH(L$2,'PORTIFÓLIO'!$J$3:$Q$3,0))) *
N('PORTIFÓLIO'!$S$4:$S$564),
0
)
),
0)</f>
        <v/>
      </c>
      <c r="M304" s="47">
        <f>L304/$L$4</f>
        <v/>
      </c>
      <c r="N304" s="49">
        <f t="array" ref="N304">IFERROR(
SUM(
IF(
'PORTIFÓLIO'!$C$4:$C$564=$A304,
N(INDEX('PORTIFÓLIO'!$J$4:$Q$564,,MATCH(N$2,'PORTIFÓLIO'!$J$3:$Q$3,0))) *
N('PORTIFÓLIO'!$S$4:$S$564),
0
)
),
0)</f>
        <v/>
      </c>
      <c r="O304" s="49">
        <f>N304/$N$4</f>
        <v/>
      </c>
      <c r="P304" s="49">
        <f t="array" ref="P304">IFERROR(
SUM(
IF(
'PORTIFÓLIO'!$C$4:$C$564=$A304,
N(INDEX('PORTIFÓLIO'!$J$4:$Q$564,,MATCH(P$2,'PORTIFÓLIO'!$J$3:$Q$3,0))) *
N('PORTIFÓLIO'!$S$4:$S$564),
0
)
),
0)</f>
        <v/>
      </c>
      <c r="Q304" s="49">
        <f>P304/$P$4</f>
        <v/>
      </c>
      <c r="R304" s="49">
        <f>SUM(P304,N304,L304,J304,H304,D304,B304)</f>
        <v/>
      </c>
      <c r="S304" s="49">
        <f>R304/$R$4</f>
        <v/>
      </c>
    </row>
    <row r="305" hidden="1" outlineLevel="1" ht="15.75" customHeight="1" s="297">
      <c r="A305" s="48">
        <f>IFERROR(__xludf.DUMMYFUNCTION("""COMPUTED_VALUE"""),"SPECTRO")</f>
        <v/>
      </c>
      <c r="B305" s="49">
        <f t="array" ref="B305">IFERROR(
SUM(
IF(
'PORTIFÓLIO'!$C$4:$C$564=$A305,
N(INDEX('PORTIFÓLIO'!$J$4:$Q$564,,MATCH(B$2,'PORTIFÓLIO'!$J$3:$Q$3,0))) *
N('PORTIFÓLIO'!$S$4:$S$564),
0
)
),
0)</f>
        <v/>
      </c>
      <c r="C305" s="49">
        <f>B305/$B$4</f>
        <v/>
      </c>
      <c r="D305" s="49">
        <f t="array" ref="D305">IFERROR(
SUM(
IF(
'PORTIFÓLIO'!$C$4:$C$564=$A305,
N(INDEX('PORTIFÓLIO'!$J$4:$Q$564,,MATCH(D$2,'PORTIFÓLIO'!$J$3:$Q$3,0))) *
N('PORTIFÓLIO'!$S$4:$S$564),
0
)
),
0)</f>
        <v/>
      </c>
      <c r="E305" s="49">
        <f>D305/$D$4</f>
        <v/>
      </c>
      <c r="F305" s="49">
        <f t="array" ref="F305">IFERROR(
SUM(
IF(
'PORTIFÓLIO'!$C$4:$C$564=$A305,
N(INDEX('PORTIFÓLIO'!$J$4:$Q$564,,MATCH(F$2,'PORTIFÓLIO'!$J$3:$Q$3,0))) *
N('PORTIFÓLIO'!$S$4:$S$564),
0
)
),
0)</f>
        <v/>
      </c>
      <c r="G305" s="47">
        <f>F305/$F$4</f>
        <v/>
      </c>
      <c r="H305" s="49">
        <f t="array" ref="H305">IFERROR(
SUM(
IF(
'PORTIFÓLIO'!$C$4:$C$564=$A305,
N(INDEX('PORTIFÓLIO'!$J$4:$Q$564,,MATCH(H$2,'PORTIFÓLIO'!$J$3:$Q$3,0))) *
N('PORTIFÓLIO'!$S$4:$S$564),
0
)
),
0)</f>
        <v/>
      </c>
      <c r="I305" s="47">
        <f>H305/$H$4</f>
        <v/>
      </c>
      <c r="J305" s="49">
        <f t="array" ref="J305">IFERROR(
SUM(
IF(
'PORTIFÓLIO'!$C$4:$C$564=$A305,
N(INDEX('PORTIFÓLIO'!$J$4:$Q$564,,MATCH(J$2,'PORTIFÓLIO'!$J$3:$Q$3,0))) *
N('PORTIFÓLIO'!$S$4:$S$564),
0
)
),
0)</f>
        <v/>
      </c>
      <c r="K305" s="47">
        <f>J305/$J$4</f>
        <v/>
      </c>
      <c r="L305" s="49">
        <f t="array" ref="L305">IFERROR(
SUM(
IF(
'PORTIFÓLIO'!$C$4:$C$564=$A305,
N(INDEX('PORTIFÓLIO'!$J$4:$Q$564,,MATCH(L$2,'PORTIFÓLIO'!$J$3:$Q$3,0))) *
N('PORTIFÓLIO'!$S$4:$S$564),
0
)
),
0)</f>
        <v/>
      </c>
      <c r="M305" s="47">
        <f>L305/$L$4</f>
        <v/>
      </c>
      <c r="N305" s="49">
        <f t="array" ref="N305">IFERROR(
SUM(
IF(
'PORTIFÓLIO'!$C$4:$C$564=$A305,
N(INDEX('PORTIFÓLIO'!$J$4:$Q$564,,MATCH(N$2,'PORTIFÓLIO'!$J$3:$Q$3,0))) *
N('PORTIFÓLIO'!$S$4:$S$564),
0
)
),
0)</f>
        <v/>
      </c>
      <c r="O305" s="49">
        <f>N305/$N$4</f>
        <v/>
      </c>
      <c r="P305" s="49">
        <f t="array" ref="P305">IFERROR(
SUM(
IF(
'PORTIFÓLIO'!$C$4:$C$564=$A305,
N(INDEX('PORTIFÓLIO'!$J$4:$Q$564,,MATCH(P$2,'PORTIFÓLIO'!$J$3:$Q$3,0))) *
N('PORTIFÓLIO'!$S$4:$S$564),
0
)
),
0)</f>
        <v/>
      </c>
      <c r="Q305" s="49">
        <f>P305/$P$4</f>
        <v/>
      </c>
      <c r="R305" s="49">
        <f>SUM(P305,N305,L305,J305,H305,D305,B305)</f>
        <v/>
      </c>
      <c r="S305" s="49">
        <f>R305/$R$4</f>
        <v/>
      </c>
    </row>
    <row r="306" hidden="1" outlineLevel="1" ht="15.75" customHeight="1" s="297">
      <c r="A306" s="48">
        <f>IFERROR(__xludf.DUMMYFUNCTION("""COMPUTED_VALUE"""),"STANDAK TOP")</f>
        <v/>
      </c>
      <c r="B306" s="49">
        <f t="array" ref="B306">IFERROR(
SUM(
IF(
'PORTIFÓLIO'!$C$4:$C$564=$A306,
N(INDEX('PORTIFÓLIO'!$J$4:$Q$564,,MATCH(B$2,'PORTIFÓLIO'!$J$3:$Q$3,0))) *
N('PORTIFÓLIO'!$S$4:$S$564),
0
)
),
0)</f>
        <v/>
      </c>
      <c r="C306" s="49">
        <f>B306/$B$4</f>
        <v/>
      </c>
      <c r="D306" s="49">
        <f t="array" ref="D306">IFERROR(
SUM(
IF(
'PORTIFÓLIO'!$C$4:$C$564=$A306,
N(INDEX('PORTIFÓLIO'!$J$4:$Q$564,,MATCH(D$2,'PORTIFÓLIO'!$J$3:$Q$3,0))) *
N('PORTIFÓLIO'!$S$4:$S$564),
0
)
),
0)</f>
        <v/>
      </c>
      <c r="E306" s="49">
        <f>D306/$D$4</f>
        <v/>
      </c>
      <c r="F306" s="49">
        <f t="array" ref="F306">IFERROR(
SUM(
IF(
'PORTIFÓLIO'!$C$4:$C$564=$A306,
N(INDEX('PORTIFÓLIO'!$J$4:$Q$564,,MATCH(F$2,'PORTIFÓLIO'!$J$3:$Q$3,0))) *
N('PORTIFÓLIO'!$S$4:$S$564),
0
)
),
0)</f>
        <v/>
      </c>
      <c r="G306" s="47">
        <f>F306/$F$4</f>
        <v/>
      </c>
      <c r="H306" s="49">
        <f t="array" ref="H306">IFERROR(
SUM(
IF(
'PORTIFÓLIO'!$C$4:$C$564=$A306,
N(INDEX('PORTIFÓLIO'!$J$4:$Q$564,,MATCH(H$2,'PORTIFÓLIO'!$J$3:$Q$3,0))) *
N('PORTIFÓLIO'!$S$4:$S$564),
0
)
),
0)</f>
        <v/>
      </c>
      <c r="I306" s="47">
        <f>H306/$H$4</f>
        <v/>
      </c>
      <c r="J306" s="49">
        <f t="array" ref="J306">IFERROR(
SUM(
IF(
'PORTIFÓLIO'!$C$4:$C$564=$A306,
N(INDEX('PORTIFÓLIO'!$J$4:$Q$564,,MATCH(J$2,'PORTIFÓLIO'!$J$3:$Q$3,0))) *
N('PORTIFÓLIO'!$S$4:$S$564),
0
)
),
0)</f>
        <v/>
      </c>
      <c r="K306" s="47">
        <f>J306/$J$4</f>
        <v/>
      </c>
      <c r="L306" s="49">
        <f t="array" ref="L306">IFERROR(
SUM(
IF(
'PORTIFÓLIO'!$C$4:$C$564=$A306,
N(INDEX('PORTIFÓLIO'!$J$4:$Q$564,,MATCH(L$2,'PORTIFÓLIO'!$J$3:$Q$3,0))) *
N('PORTIFÓLIO'!$S$4:$S$564),
0
)
),
0)</f>
        <v/>
      </c>
      <c r="M306" s="47">
        <f>L306/$L$4</f>
        <v/>
      </c>
      <c r="N306" s="49">
        <f t="array" ref="N306">IFERROR(
SUM(
IF(
'PORTIFÓLIO'!$C$4:$C$564=$A306,
N(INDEX('PORTIFÓLIO'!$J$4:$Q$564,,MATCH(N$2,'PORTIFÓLIO'!$J$3:$Q$3,0))) *
N('PORTIFÓLIO'!$S$4:$S$564),
0
)
),
0)</f>
        <v/>
      </c>
      <c r="O306" s="49">
        <f>N306/$N$4</f>
        <v/>
      </c>
      <c r="P306" s="49">
        <f t="array" ref="P306">IFERROR(
SUM(
IF(
'PORTIFÓLIO'!$C$4:$C$564=$A306,
N(INDEX('PORTIFÓLIO'!$J$4:$Q$564,,MATCH(P$2,'PORTIFÓLIO'!$J$3:$Q$3,0))) *
N('PORTIFÓLIO'!$S$4:$S$564),
0
)
),
0)</f>
        <v/>
      </c>
      <c r="Q306" s="49">
        <f>P306/$P$4</f>
        <v/>
      </c>
      <c r="R306" s="49">
        <f>SUM(P306,N306,L306,J306,H306,D306,B306)</f>
        <v/>
      </c>
      <c r="S306" s="49">
        <f>R306/$R$4</f>
        <v/>
      </c>
    </row>
    <row r="307" hidden="1" outlineLevel="1" ht="15.75" customHeight="1" s="297">
      <c r="A307" s="48">
        <f>IFERROR(__xludf.DUMMYFUNCTION("""COMPUTED_VALUE"""),"CRUISER ADVANCED")</f>
        <v/>
      </c>
      <c r="B307" s="49">
        <f t="array" ref="B307">IFERROR(
SUM(
IF(
'PORTIFÓLIO'!$C$4:$C$564=$A307,
N(INDEX('PORTIFÓLIO'!$J$4:$Q$564,,MATCH(B$2,'PORTIFÓLIO'!$J$3:$Q$3,0))) *
N('PORTIFÓLIO'!$S$4:$S$564),
0
)
),
0)</f>
        <v/>
      </c>
      <c r="C307" s="49">
        <f>B307/$B$4</f>
        <v/>
      </c>
      <c r="D307" s="49">
        <f t="array" ref="D307">IFERROR(
SUM(
IF(
'PORTIFÓLIO'!$C$4:$C$564=$A307,
N(INDEX('PORTIFÓLIO'!$J$4:$Q$564,,MATCH(D$2,'PORTIFÓLIO'!$J$3:$Q$3,0))) *
N('PORTIFÓLIO'!$S$4:$S$564),
0
)
),
0)</f>
        <v/>
      </c>
      <c r="E307" s="49">
        <f>D307/$D$4</f>
        <v/>
      </c>
      <c r="F307" s="49">
        <f t="array" ref="F307">IFERROR(
SUM(
IF(
'PORTIFÓLIO'!$C$4:$C$564=$A307,
N(INDEX('PORTIFÓLIO'!$J$4:$Q$564,,MATCH(F$2,'PORTIFÓLIO'!$J$3:$Q$3,0))) *
N('PORTIFÓLIO'!$S$4:$S$564),
0
)
),
0)</f>
        <v/>
      </c>
      <c r="G307" s="47">
        <f>F307/$F$4</f>
        <v/>
      </c>
      <c r="H307" s="49">
        <f t="array" ref="H307">IFERROR(
SUM(
IF(
'PORTIFÓLIO'!$C$4:$C$564=$A307,
N(INDEX('PORTIFÓLIO'!$J$4:$Q$564,,MATCH(H$2,'PORTIFÓLIO'!$J$3:$Q$3,0))) *
N('PORTIFÓLIO'!$S$4:$S$564),
0
)
),
0)</f>
        <v/>
      </c>
      <c r="I307" s="47">
        <f>H307/$H$4</f>
        <v/>
      </c>
      <c r="J307" s="49">
        <f t="array" ref="J307">IFERROR(
SUM(
IF(
'PORTIFÓLIO'!$C$4:$C$564=$A307,
N(INDEX('PORTIFÓLIO'!$J$4:$Q$564,,MATCH(J$2,'PORTIFÓLIO'!$J$3:$Q$3,0))) *
N('PORTIFÓLIO'!$S$4:$S$564),
0
)
),
0)</f>
        <v/>
      </c>
      <c r="K307" s="47">
        <f>J307/$J$4</f>
        <v/>
      </c>
      <c r="L307" s="49">
        <f t="array" ref="L307">IFERROR(
SUM(
IF(
'PORTIFÓLIO'!$C$4:$C$564=$A307,
N(INDEX('PORTIFÓLIO'!$J$4:$Q$564,,MATCH(L$2,'PORTIFÓLIO'!$J$3:$Q$3,0))) *
N('PORTIFÓLIO'!$S$4:$S$564),
0
)
),
0)</f>
        <v/>
      </c>
      <c r="M307" s="47">
        <f>L307/$L$4</f>
        <v/>
      </c>
      <c r="N307" s="49">
        <f t="array" ref="N307">IFERROR(
SUM(
IF(
'PORTIFÓLIO'!$C$4:$C$564=$A307,
N(INDEX('PORTIFÓLIO'!$J$4:$Q$564,,MATCH(N$2,'PORTIFÓLIO'!$J$3:$Q$3,0))) *
N('PORTIFÓLIO'!$S$4:$S$564),
0
)
),
0)</f>
        <v/>
      </c>
      <c r="O307" s="49">
        <f>N307/$N$4</f>
        <v/>
      </c>
      <c r="P307" s="49">
        <f t="array" ref="P307">IFERROR(
SUM(
IF(
'PORTIFÓLIO'!$C$4:$C$564=$A307,
N(INDEX('PORTIFÓLIO'!$J$4:$Q$564,,MATCH(P$2,'PORTIFÓLIO'!$J$3:$Q$3,0))) *
N('PORTIFÓLIO'!$S$4:$S$564),
0
)
),
0)</f>
        <v/>
      </c>
      <c r="Q307" s="49">
        <f>P307/$P$4</f>
        <v/>
      </c>
      <c r="R307" s="49">
        <f>SUM(P307,N307,L307,J307,H307,D307,B307)</f>
        <v/>
      </c>
      <c r="S307" s="49">
        <f>R307/$R$4</f>
        <v/>
      </c>
    </row>
    <row r="308" hidden="1" outlineLevel="1" ht="15.75" customHeight="1" s="297">
      <c r="A308" s="48">
        <f>IFERROR(__xludf.DUMMYFUNCTION("""COMPUTED_VALUE"""),"PLUST")</f>
        <v/>
      </c>
      <c r="B308" s="49">
        <f t="array" ref="B308">IFERROR(
SUM(
IF(
'PORTIFÓLIO'!$C$4:$C$564=$A308,
N(INDEX('PORTIFÓLIO'!$J$4:$Q$564,,MATCH(B$2,'PORTIFÓLIO'!$J$3:$Q$3,0))) *
N('PORTIFÓLIO'!$S$4:$S$564),
0
)
),
0)</f>
        <v/>
      </c>
      <c r="C308" s="49">
        <f>B308/$B$4</f>
        <v/>
      </c>
      <c r="D308" s="49">
        <f t="array" ref="D308">IFERROR(
SUM(
IF(
'PORTIFÓLIO'!$C$4:$C$564=$A308,
N(INDEX('PORTIFÓLIO'!$J$4:$Q$564,,MATCH(D$2,'PORTIFÓLIO'!$J$3:$Q$3,0))) *
N('PORTIFÓLIO'!$S$4:$S$564),
0
)
),
0)</f>
        <v/>
      </c>
      <c r="E308" s="49">
        <f>D308/$D$4</f>
        <v/>
      </c>
      <c r="F308" s="49">
        <f t="array" ref="F308">IFERROR(
SUM(
IF(
'PORTIFÓLIO'!$C$4:$C$564=$A308,
N(INDEX('PORTIFÓLIO'!$J$4:$Q$564,,MATCH(F$2,'PORTIFÓLIO'!$J$3:$Q$3,0))) *
N('PORTIFÓLIO'!$S$4:$S$564),
0
)
),
0)</f>
        <v/>
      </c>
      <c r="G308" s="47">
        <f>F308/$F$4</f>
        <v/>
      </c>
      <c r="H308" s="49">
        <f t="array" ref="H308">IFERROR(
SUM(
IF(
'PORTIFÓLIO'!$C$4:$C$564=$A308,
N(INDEX('PORTIFÓLIO'!$J$4:$Q$564,,MATCH(H$2,'PORTIFÓLIO'!$J$3:$Q$3,0))) *
N('PORTIFÓLIO'!$S$4:$S$564),
0
)
),
0)</f>
        <v/>
      </c>
      <c r="I308" s="47">
        <f>H308/$H$4</f>
        <v/>
      </c>
      <c r="J308" s="49">
        <f t="array" ref="J308">IFERROR(
SUM(
IF(
'PORTIFÓLIO'!$C$4:$C$564=$A308,
N(INDEX('PORTIFÓLIO'!$J$4:$Q$564,,MATCH(J$2,'PORTIFÓLIO'!$J$3:$Q$3,0))) *
N('PORTIFÓLIO'!$S$4:$S$564),
0
)
),
0)</f>
        <v/>
      </c>
      <c r="K308" s="47">
        <f>J308/$J$4</f>
        <v/>
      </c>
      <c r="L308" s="49">
        <f t="array" ref="L308">IFERROR(
SUM(
IF(
'PORTIFÓLIO'!$C$4:$C$564=$A308,
N(INDEX('PORTIFÓLIO'!$J$4:$Q$564,,MATCH(L$2,'PORTIFÓLIO'!$J$3:$Q$3,0))) *
N('PORTIFÓLIO'!$S$4:$S$564),
0
)
),
0)</f>
        <v/>
      </c>
      <c r="M308" s="47">
        <f>L308/$L$4</f>
        <v/>
      </c>
      <c r="N308" s="49">
        <f t="array" ref="N308">IFERROR(
SUM(
IF(
'PORTIFÓLIO'!$C$4:$C$564=$A308,
N(INDEX('PORTIFÓLIO'!$J$4:$Q$564,,MATCH(N$2,'PORTIFÓLIO'!$J$3:$Q$3,0))) *
N('PORTIFÓLIO'!$S$4:$S$564),
0
)
),
0)</f>
        <v/>
      </c>
      <c r="O308" s="49">
        <f>N308/$N$4</f>
        <v/>
      </c>
      <c r="P308" s="49">
        <f t="array" ref="P308">IFERROR(
SUM(
IF(
'PORTIFÓLIO'!$C$4:$C$564=$A308,
N(INDEX('PORTIFÓLIO'!$J$4:$Q$564,,MATCH(P$2,'PORTIFÓLIO'!$J$3:$Q$3,0))) *
N('PORTIFÓLIO'!$S$4:$S$564),
0
)
),
0)</f>
        <v/>
      </c>
      <c r="Q308" s="49">
        <f>P308/$P$4</f>
        <v/>
      </c>
      <c r="R308" s="49">
        <f>SUM(P308,N308,L308,J308,H308,D308,B308)</f>
        <v/>
      </c>
      <c r="S308" s="49">
        <f>R308/$R$4</f>
        <v/>
      </c>
    </row>
    <row r="309" hidden="1" outlineLevel="1" ht="15.75" customHeight="1" s="297">
      <c r="A309" s="48">
        <f>IFERROR(__xludf.DUMMYFUNCTION("""COMPUTED_VALUE"""),"SOMBRERO")</f>
        <v/>
      </c>
      <c r="B309" s="49">
        <f t="array" ref="B309">IFERROR(
SUM(
IF(
'PORTIFÓLIO'!$C$4:$C$564=$A309,
N(INDEX('PORTIFÓLIO'!$J$4:$Q$564,,MATCH(B$2,'PORTIFÓLIO'!$J$3:$Q$3,0))) *
N('PORTIFÓLIO'!$S$4:$S$564),
0
)
),
0)</f>
        <v/>
      </c>
      <c r="C309" s="49">
        <f>B309/$B$4</f>
        <v/>
      </c>
      <c r="D309" s="49">
        <f t="array" ref="D309">IFERROR(
SUM(
IF(
'PORTIFÓLIO'!$C$4:$C$564=$A309,
N(INDEX('PORTIFÓLIO'!$J$4:$Q$564,,MATCH(D$2,'PORTIFÓLIO'!$J$3:$Q$3,0))) *
N('PORTIFÓLIO'!$S$4:$S$564),
0
)
),
0)</f>
        <v/>
      </c>
      <c r="E309" s="49">
        <f>D309/$D$4</f>
        <v/>
      </c>
      <c r="F309" s="49">
        <f t="array" ref="F309">IFERROR(
SUM(
IF(
'PORTIFÓLIO'!$C$4:$C$564=$A309,
N(INDEX('PORTIFÓLIO'!$J$4:$Q$564,,MATCH(F$2,'PORTIFÓLIO'!$J$3:$Q$3,0))) *
N('PORTIFÓLIO'!$S$4:$S$564),
0
)
),
0)</f>
        <v/>
      </c>
      <c r="G309" s="47">
        <f>F309/$F$4</f>
        <v/>
      </c>
      <c r="H309" s="49">
        <f t="array" ref="H309">IFERROR(
SUM(
IF(
'PORTIFÓLIO'!$C$4:$C$564=$A309,
N(INDEX('PORTIFÓLIO'!$J$4:$Q$564,,MATCH(H$2,'PORTIFÓLIO'!$J$3:$Q$3,0))) *
N('PORTIFÓLIO'!$S$4:$S$564),
0
)
),
0)</f>
        <v/>
      </c>
      <c r="I309" s="47">
        <f>H309/$H$4</f>
        <v/>
      </c>
      <c r="J309" s="49">
        <f t="array" ref="J309">IFERROR(
SUM(
IF(
'PORTIFÓLIO'!$C$4:$C$564=$A309,
N(INDEX('PORTIFÓLIO'!$J$4:$Q$564,,MATCH(J$2,'PORTIFÓLIO'!$J$3:$Q$3,0))) *
N('PORTIFÓLIO'!$S$4:$S$564),
0
)
),
0)</f>
        <v/>
      </c>
      <c r="K309" s="47">
        <f>J309/$J$4</f>
        <v/>
      </c>
      <c r="L309" s="49">
        <f t="array" ref="L309">IFERROR(
SUM(
IF(
'PORTIFÓLIO'!$C$4:$C$564=$A309,
N(INDEX('PORTIFÓLIO'!$J$4:$Q$564,,MATCH(L$2,'PORTIFÓLIO'!$J$3:$Q$3,0))) *
N('PORTIFÓLIO'!$S$4:$S$564),
0
)
),
0)</f>
        <v/>
      </c>
      <c r="M309" s="47">
        <f>L309/$L$4</f>
        <v/>
      </c>
      <c r="N309" s="49">
        <f t="array" ref="N309">IFERROR(
SUM(
IF(
'PORTIFÓLIO'!$C$4:$C$564=$A309,
N(INDEX('PORTIFÓLIO'!$J$4:$Q$564,,MATCH(N$2,'PORTIFÓLIO'!$J$3:$Q$3,0))) *
N('PORTIFÓLIO'!$S$4:$S$564),
0
)
),
0)</f>
        <v/>
      </c>
      <c r="O309" s="49">
        <f>N309/$N$4</f>
        <v/>
      </c>
      <c r="P309" s="49">
        <f t="array" ref="P309">IFERROR(
SUM(
IF(
'PORTIFÓLIO'!$C$4:$C$564=$A309,
N(INDEX('PORTIFÓLIO'!$J$4:$Q$564,,MATCH(P$2,'PORTIFÓLIO'!$J$3:$Q$3,0))) *
N('PORTIFÓLIO'!$S$4:$S$564),
0
)
),
0)</f>
        <v/>
      </c>
      <c r="Q309" s="49">
        <f>P309/$P$4</f>
        <v/>
      </c>
      <c r="R309" s="49">
        <f>SUM(P309,N309,L309,J309,H309,D309,B309)</f>
        <v/>
      </c>
      <c r="S309" s="49">
        <f>R309/$R$4</f>
        <v/>
      </c>
    </row>
    <row r="310" hidden="1" outlineLevel="1" ht="15.75" customHeight="1" s="297">
      <c r="A310" s="48">
        <f>IFERROR(__xludf.DUMMYFUNCTION("""COMPUTED_VALUE"""),"CROPSTAR")</f>
        <v/>
      </c>
      <c r="B310" s="49">
        <f t="array" ref="B310">IFERROR(
SUM(
IF(
'PORTIFÓLIO'!$C$4:$C$564=$A310,
N(INDEX('PORTIFÓLIO'!$J$4:$Q$564,,MATCH(B$2,'PORTIFÓLIO'!$J$3:$Q$3,0))) *
N('PORTIFÓLIO'!$S$4:$S$564),
0
)
),
0)</f>
        <v/>
      </c>
      <c r="C310" s="49">
        <f>B310/$B$4</f>
        <v/>
      </c>
      <c r="D310" s="49">
        <f t="array" ref="D310">IFERROR(
SUM(
IF(
'PORTIFÓLIO'!$C$4:$C$564=$A310,
N(INDEX('PORTIFÓLIO'!$J$4:$Q$564,,MATCH(D$2,'PORTIFÓLIO'!$J$3:$Q$3,0))) *
N('PORTIFÓLIO'!$S$4:$S$564),
0
)
),
0)</f>
        <v/>
      </c>
      <c r="E310" s="49">
        <f>D310/$D$4</f>
        <v/>
      </c>
      <c r="F310" s="49">
        <f t="array" ref="F310">IFERROR(
SUM(
IF(
'PORTIFÓLIO'!$C$4:$C$564=$A310,
N(INDEX('PORTIFÓLIO'!$J$4:$Q$564,,MATCH(F$2,'PORTIFÓLIO'!$J$3:$Q$3,0))) *
N('PORTIFÓLIO'!$S$4:$S$564),
0
)
),
0)</f>
        <v/>
      </c>
      <c r="G310" s="47">
        <f>F310/$F$4</f>
        <v/>
      </c>
      <c r="H310" s="49">
        <f t="array" ref="H310">IFERROR(
SUM(
IF(
'PORTIFÓLIO'!$C$4:$C$564=$A310,
N(INDEX('PORTIFÓLIO'!$J$4:$Q$564,,MATCH(H$2,'PORTIFÓLIO'!$J$3:$Q$3,0))) *
N('PORTIFÓLIO'!$S$4:$S$564),
0
)
),
0)</f>
        <v/>
      </c>
      <c r="I310" s="47">
        <f>H310/$H$4</f>
        <v/>
      </c>
      <c r="J310" s="49">
        <f t="array" ref="J310">IFERROR(
SUM(
IF(
'PORTIFÓLIO'!$C$4:$C$564=$A310,
N(INDEX('PORTIFÓLIO'!$J$4:$Q$564,,MATCH(J$2,'PORTIFÓLIO'!$J$3:$Q$3,0))) *
N('PORTIFÓLIO'!$S$4:$S$564),
0
)
),
0)</f>
        <v/>
      </c>
      <c r="K310" s="47">
        <f>J310/$J$4</f>
        <v/>
      </c>
      <c r="L310" s="49">
        <f t="array" ref="L310">IFERROR(
SUM(
IF(
'PORTIFÓLIO'!$C$4:$C$564=$A310,
N(INDEX('PORTIFÓLIO'!$J$4:$Q$564,,MATCH(L$2,'PORTIFÓLIO'!$J$3:$Q$3,0))) *
N('PORTIFÓLIO'!$S$4:$S$564),
0
)
),
0)</f>
        <v/>
      </c>
      <c r="M310" s="47">
        <f>L310/$L$4</f>
        <v/>
      </c>
      <c r="N310" s="49">
        <f t="array" ref="N310">IFERROR(
SUM(
IF(
'PORTIFÓLIO'!$C$4:$C$564=$A310,
N(INDEX('PORTIFÓLIO'!$J$4:$Q$564,,MATCH(N$2,'PORTIFÓLIO'!$J$3:$Q$3,0))) *
N('PORTIFÓLIO'!$S$4:$S$564),
0
)
),
0)</f>
        <v/>
      </c>
      <c r="O310" s="49">
        <f>N310/$N$4</f>
        <v/>
      </c>
      <c r="P310" s="49">
        <f t="array" ref="P310">IFERROR(
SUM(
IF(
'PORTIFÓLIO'!$C$4:$C$564=$A310,
N(INDEX('PORTIFÓLIO'!$J$4:$Q$564,,MATCH(P$2,'PORTIFÓLIO'!$J$3:$Q$3,0))) *
N('PORTIFÓLIO'!$S$4:$S$564),
0
)
),
0)</f>
        <v/>
      </c>
      <c r="Q310" s="49">
        <f>P310/$P$4</f>
        <v/>
      </c>
      <c r="R310" s="49">
        <f>SUM(P310,N310,L310,J310,H310,D310,B310)</f>
        <v/>
      </c>
      <c r="S310" s="49">
        <f>R310/$R$4</f>
        <v/>
      </c>
    </row>
    <row r="311" hidden="1" outlineLevel="1" ht="15.75" customHeight="1" s="297">
      <c r="A311" s="48">
        <f>IFERROR(__xludf.DUMMYFUNCTION("""COMPUTED_VALUE"""),"DERMACOR")</f>
        <v/>
      </c>
      <c r="B311" s="49">
        <f t="array" ref="B311">IFERROR(
SUM(
IF(
'PORTIFÓLIO'!$C$4:$C$564=$A311,
N(INDEX('PORTIFÓLIO'!$J$4:$Q$564,,MATCH(B$2,'PORTIFÓLIO'!$J$3:$Q$3,0))) *
N('PORTIFÓLIO'!$S$4:$S$564),
0
)
),
0)</f>
        <v/>
      </c>
      <c r="C311" s="49">
        <f>B311/$B$4</f>
        <v/>
      </c>
      <c r="D311" s="49">
        <f t="array" ref="D311">IFERROR(
SUM(
IF(
'PORTIFÓLIO'!$C$4:$C$564=$A311,
N(INDEX('PORTIFÓLIO'!$J$4:$Q$564,,MATCH(D$2,'PORTIFÓLIO'!$J$3:$Q$3,0))) *
N('PORTIFÓLIO'!$S$4:$S$564),
0
)
),
0)</f>
        <v/>
      </c>
      <c r="E311" s="49">
        <f>D311/$D$4</f>
        <v/>
      </c>
      <c r="F311" s="49">
        <f t="array" ref="F311">IFERROR(
SUM(
IF(
'PORTIFÓLIO'!$C$4:$C$564=$A311,
N(INDEX('PORTIFÓLIO'!$J$4:$Q$564,,MATCH(F$2,'PORTIFÓLIO'!$J$3:$Q$3,0))) *
N('PORTIFÓLIO'!$S$4:$S$564),
0
)
),
0)</f>
        <v/>
      </c>
      <c r="G311" s="47">
        <f>F311/$F$4</f>
        <v/>
      </c>
      <c r="H311" s="49">
        <f t="array" ref="H311">IFERROR(
SUM(
IF(
'PORTIFÓLIO'!$C$4:$C$564=$A311,
N(INDEX('PORTIFÓLIO'!$J$4:$Q$564,,MATCH(H$2,'PORTIFÓLIO'!$J$3:$Q$3,0))) *
N('PORTIFÓLIO'!$S$4:$S$564),
0
)
),
0)</f>
        <v/>
      </c>
      <c r="I311" s="47">
        <f>H311/$H$4</f>
        <v/>
      </c>
      <c r="J311" s="49">
        <f t="array" ref="J311">IFERROR(
SUM(
IF(
'PORTIFÓLIO'!$C$4:$C$564=$A311,
N(INDEX('PORTIFÓLIO'!$J$4:$Q$564,,MATCH(J$2,'PORTIFÓLIO'!$J$3:$Q$3,0))) *
N('PORTIFÓLIO'!$S$4:$S$564),
0
)
),
0)</f>
        <v/>
      </c>
      <c r="K311" s="47">
        <f>J311/$J$4</f>
        <v/>
      </c>
      <c r="L311" s="49">
        <f t="array" ref="L311">IFERROR(
SUM(
IF(
'PORTIFÓLIO'!$C$4:$C$564=$A311,
N(INDEX('PORTIFÓLIO'!$J$4:$Q$564,,MATCH(L$2,'PORTIFÓLIO'!$J$3:$Q$3,0))) *
N('PORTIFÓLIO'!$S$4:$S$564),
0
)
),
0)</f>
        <v/>
      </c>
      <c r="M311" s="47">
        <f>L311/$L$4</f>
        <v/>
      </c>
      <c r="N311" s="49">
        <f t="array" ref="N311">IFERROR(
SUM(
IF(
'PORTIFÓLIO'!$C$4:$C$564=$A311,
N(INDEX('PORTIFÓLIO'!$J$4:$Q$564,,MATCH(N$2,'PORTIFÓLIO'!$J$3:$Q$3,0))) *
N('PORTIFÓLIO'!$S$4:$S$564),
0
)
),
0)</f>
        <v/>
      </c>
      <c r="O311" s="49">
        <f>N311/$N$4</f>
        <v/>
      </c>
      <c r="P311" s="49">
        <f t="array" ref="P311">IFERROR(
SUM(
IF(
'PORTIFÓLIO'!$C$4:$C$564=$A311,
N(INDEX('PORTIFÓLIO'!$J$4:$Q$564,,MATCH(P$2,'PORTIFÓLIO'!$J$3:$Q$3,0))) *
N('PORTIFÓLIO'!$S$4:$S$564),
0
)
),
0)</f>
        <v/>
      </c>
      <c r="Q311" s="49">
        <f>P311/$P$4</f>
        <v/>
      </c>
      <c r="R311" s="49">
        <f>SUM(P311,N311,L311,J311,H311,D311,B311)</f>
        <v/>
      </c>
      <c r="S311" s="49">
        <f>R311/$R$4</f>
        <v/>
      </c>
    </row>
    <row r="312" hidden="1" outlineLevel="1" ht="15.75" customHeight="1" s="297">
      <c r="A312" s="48">
        <f>IFERROR(__xludf.DUMMYFUNCTION("""COMPUTED_VALUE"""),"OPTERASEED")</f>
        <v/>
      </c>
      <c r="B312" s="49">
        <f t="array" ref="B312">IFERROR(
SUM(
IF(
'PORTIFÓLIO'!$C$4:$C$564=$A312,
N(INDEX('PORTIFÓLIO'!$J$4:$Q$564,,MATCH(B$2,'PORTIFÓLIO'!$J$3:$Q$3,0))) *
N('PORTIFÓLIO'!$S$4:$S$564),
0
)
),
0)</f>
        <v/>
      </c>
      <c r="C312" s="49">
        <f>B312/$B$4</f>
        <v/>
      </c>
      <c r="D312" s="49">
        <f t="array" ref="D312">IFERROR(
SUM(
IF(
'PORTIFÓLIO'!$C$4:$C$564=$A312,
N(INDEX('PORTIFÓLIO'!$J$4:$Q$564,,MATCH(D$2,'PORTIFÓLIO'!$J$3:$Q$3,0))) *
N('PORTIFÓLIO'!$S$4:$S$564),
0
)
),
0)</f>
        <v/>
      </c>
      <c r="E312" s="49">
        <f>D312/$D$4</f>
        <v/>
      </c>
      <c r="F312" s="49">
        <f t="array" ref="F312">IFERROR(
SUM(
IF(
'PORTIFÓLIO'!$C$4:$C$564=$A312,
N(INDEX('PORTIFÓLIO'!$J$4:$Q$564,,MATCH(F$2,'PORTIFÓLIO'!$J$3:$Q$3,0))) *
N('PORTIFÓLIO'!$S$4:$S$564),
0
)
),
0)</f>
        <v/>
      </c>
      <c r="G312" s="47">
        <f>F312/$F$4</f>
        <v/>
      </c>
      <c r="H312" s="49">
        <f t="array" ref="H312">IFERROR(
SUM(
IF(
'PORTIFÓLIO'!$C$4:$C$564=$A312,
N(INDEX('PORTIFÓLIO'!$J$4:$Q$564,,MATCH(H$2,'PORTIFÓLIO'!$J$3:$Q$3,0))) *
N('PORTIFÓLIO'!$S$4:$S$564),
0
)
),
0)</f>
        <v/>
      </c>
      <c r="I312" s="47">
        <f>H312/$H$4</f>
        <v/>
      </c>
      <c r="J312" s="49">
        <f t="array" ref="J312">IFERROR(
SUM(
IF(
'PORTIFÓLIO'!$C$4:$C$564=$A312,
N(INDEX('PORTIFÓLIO'!$J$4:$Q$564,,MATCH(J$2,'PORTIFÓLIO'!$J$3:$Q$3,0))) *
N('PORTIFÓLIO'!$S$4:$S$564),
0
)
),
0)</f>
        <v/>
      </c>
      <c r="K312" s="47">
        <f>J312/$J$4</f>
        <v/>
      </c>
      <c r="L312" s="49">
        <f t="array" ref="L312">IFERROR(
SUM(
IF(
'PORTIFÓLIO'!$C$4:$C$564=$A312,
N(INDEX('PORTIFÓLIO'!$J$4:$Q$564,,MATCH(L$2,'PORTIFÓLIO'!$J$3:$Q$3,0))) *
N('PORTIFÓLIO'!$S$4:$S$564),
0
)
),
0)</f>
        <v/>
      </c>
      <c r="M312" s="47">
        <f>L312/$L$4</f>
        <v/>
      </c>
      <c r="N312" s="49">
        <f t="array" ref="N312">IFERROR(
SUM(
IF(
'PORTIFÓLIO'!$C$4:$C$564=$A312,
N(INDEX('PORTIFÓLIO'!$J$4:$Q$564,,MATCH(N$2,'PORTIFÓLIO'!$J$3:$Q$3,0))) *
N('PORTIFÓLIO'!$S$4:$S$564),
0
)
),
0)</f>
        <v/>
      </c>
      <c r="O312" s="49">
        <f>N312/$N$4</f>
        <v/>
      </c>
      <c r="P312" s="49">
        <f t="array" ref="P312">IFERROR(
SUM(
IF(
'PORTIFÓLIO'!$C$4:$C$564=$A312,
N(INDEX('PORTIFÓLIO'!$J$4:$Q$564,,MATCH(P$2,'PORTIFÓLIO'!$J$3:$Q$3,0))) *
N('PORTIFÓLIO'!$S$4:$S$564),
0
)
),
0)</f>
        <v/>
      </c>
      <c r="Q312" s="49">
        <f>P312/$P$4</f>
        <v/>
      </c>
      <c r="R312" s="49">
        <f>SUM(P312,N312,L312,J312,H312,D312,B312)</f>
        <v/>
      </c>
      <c r="S312" s="49">
        <f>R312/$R$4</f>
        <v/>
      </c>
    </row>
    <row r="313" hidden="1" outlineLevel="1" ht="15.75" customHeight="1" s="297">
      <c r="A313" s="48">
        <f>IFERROR(__xludf.DUMMYFUNCTION("""COMPUTED_VALUE"""),"AVICTA 500 FS")</f>
        <v/>
      </c>
      <c r="B313" s="49">
        <f t="array" ref="B313">IFERROR(
SUM(
IF(
'PORTIFÓLIO'!$C$4:$C$564=$A313,
N(INDEX('PORTIFÓLIO'!$J$4:$Q$564,,MATCH(B$2,'PORTIFÓLIO'!$J$3:$Q$3,0))) *
N('PORTIFÓLIO'!$S$4:$S$564),
0
)
),
0)</f>
        <v/>
      </c>
      <c r="C313" s="49">
        <f>B313/$B$4</f>
        <v/>
      </c>
      <c r="D313" s="49">
        <f t="array" ref="D313">IFERROR(
SUM(
IF(
'PORTIFÓLIO'!$C$4:$C$564=$A313,
N(INDEX('PORTIFÓLIO'!$J$4:$Q$564,,MATCH(D$2,'PORTIFÓLIO'!$J$3:$Q$3,0))) *
N('PORTIFÓLIO'!$S$4:$S$564),
0
)
),
0)</f>
        <v/>
      </c>
      <c r="E313" s="49">
        <f>D313/$D$4</f>
        <v/>
      </c>
      <c r="F313" s="49">
        <f t="array" ref="F313">IFERROR(
SUM(
IF(
'PORTIFÓLIO'!$C$4:$C$564=$A313,
N(INDEX('PORTIFÓLIO'!$J$4:$Q$564,,MATCH(F$2,'PORTIFÓLIO'!$J$3:$Q$3,0))) *
N('PORTIFÓLIO'!$S$4:$S$564),
0
)
),
0)</f>
        <v/>
      </c>
      <c r="G313" s="47">
        <f>F313/$F$4</f>
        <v/>
      </c>
      <c r="H313" s="49">
        <f t="array" ref="H313">IFERROR(
SUM(
IF(
'PORTIFÓLIO'!$C$4:$C$564=$A313,
N(INDEX('PORTIFÓLIO'!$J$4:$Q$564,,MATCH(H$2,'PORTIFÓLIO'!$J$3:$Q$3,0))) *
N('PORTIFÓLIO'!$S$4:$S$564),
0
)
),
0)</f>
        <v/>
      </c>
      <c r="I313" s="47">
        <f>H313/$H$4</f>
        <v/>
      </c>
      <c r="J313" s="49">
        <f t="array" ref="J313">IFERROR(
SUM(
IF(
'PORTIFÓLIO'!$C$4:$C$564=$A313,
N(INDEX('PORTIFÓLIO'!$J$4:$Q$564,,MATCH(J$2,'PORTIFÓLIO'!$J$3:$Q$3,0))) *
N('PORTIFÓLIO'!$S$4:$S$564),
0
)
),
0)</f>
        <v/>
      </c>
      <c r="K313" s="47">
        <f>J313/$J$4</f>
        <v/>
      </c>
      <c r="L313" s="49">
        <f t="array" ref="L313">IFERROR(
SUM(
IF(
'PORTIFÓLIO'!$C$4:$C$564=$A313,
N(INDEX('PORTIFÓLIO'!$J$4:$Q$564,,MATCH(L$2,'PORTIFÓLIO'!$J$3:$Q$3,0))) *
N('PORTIFÓLIO'!$S$4:$S$564),
0
)
),
0)</f>
        <v/>
      </c>
      <c r="M313" s="47">
        <f>L313/$L$4</f>
        <v/>
      </c>
      <c r="N313" s="49">
        <f t="array" ref="N313">IFERROR(
SUM(
IF(
'PORTIFÓLIO'!$C$4:$C$564=$A313,
N(INDEX('PORTIFÓLIO'!$J$4:$Q$564,,MATCH(N$2,'PORTIFÓLIO'!$J$3:$Q$3,0))) *
N('PORTIFÓLIO'!$S$4:$S$564),
0
)
),
0)</f>
        <v/>
      </c>
      <c r="O313" s="49">
        <f>N313/$N$4</f>
        <v/>
      </c>
      <c r="P313" s="49">
        <f t="array" ref="P313">IFERROR(
SUM(
IF(
'PORTIFÓLIO'!$C$4:$C$564=$A313,
N(INDEX('PORTIFÓLIO'!$J$4:$Q$564,,MATCH(P$2,'PORTIFÓLIO'!$J$3:$Q$3,0))) *
N('PORTIFÓLIO'!$S$4:$S$564),
0
)
),
0)</f>
        <v/>
      </c>
      <c r="Q313" s="49">
        <f>P313/$P$4</f>
        <v/>
      </c>
      <c r="R313" s="49">
        <f>SUM(P313,N313,L313,J313,H313,D313,B313)</f>
        <v/>
      </c>
      <c r="S313" s="49">
        <f>R313/$R$4</f>
        <v/>
      </c>
    </row>
    <row r="314" hidden="1" outlineLevel="1" ht="15.75" customHeight="1" s="297">
      <c r="A314" s="48">
        <f>IFERROR(__xludf.DUMMYFUNCTION("""COMPUTED_VALUE"""),"CRUISER 350 FS")</f>
        <v/>
      </c>
      <c r="B314" s="49">
        <f t="array" ref="B314">IFERROR(
SUM(
IF(
'PORTIFÓLIO'!$C$4:$C$564=$A314,
N(INDEX('PORTIFÓLIO'!$J$4:$Q$564,,MATCH(B$2,'PORTIFÓLIO'!$J$3:$Q$3,0))) *
N('PORTIFÓLIO'!$S$4:$S$564),
0
)
),
0)</f>
        <v/>
      </c>
      <c r="C314" s="49">
        <f>B314/$B$4</f>
        <v/>
      </c>
      <c r="D314" s="49">
        <f t="array" ref="D314">IFERROR(
SUM(
IF(
'PORTIFÓLIO'!$C$4:$C$564=$A314,
N(INDEX('PORTIFÓLIO'!$J$4:$Q$564,,MATCH(D$2,'PORTIFÓLIO'!$J$3:$Q$3,0))) *
N('PORTIFÓLIO'!$S$4:$S$564),
0
)
),
0)</f>
        <v/>
      </c>
      <c r="E314" s="49">
        <f>D314/$D$4</f>
        <v/>
      </c>
      <c r="F314" s="49">
        <f t="array" ref="F314">IFERROR(
SUM(
IF(
'PORTIFÓLIO'!$C$4:$C$564=$A314,
N(INDEX('PORTIFÓLIO'!$J$4:$Q$564,,MATCH(F$2,'PORTIFÓLIO'!$J$3:$Q$3,0))) *
N('PORTIFÓLIO'!$S$4:$S$564),
0
)
),
0)</f>
        <v/>
      </c>
      <c r="G314" s="47">
        <f>F314/$F$4</f>
        <v/>
      </c>
      <c r="H314" s="49">
        <f t="array" ref="H314">IFERROR(
SUM(
IF(
'PORTIFÓLIO'!$C$4:$C$564=$A314,
N(INDEX('PORTIFÓLIO'!$J$4:$Q$564,,MATCH(H$2,'PORTIFÓLIO'!$J$3:$Q$3,0))) *
N('PORTIFÓLIO'!$S$4:$S$564),
0
)
),
0)</f>
        <v/>
      </c>
      <c r="I314" s="47">
        <f>H314/$H$4</f>
        <v/>
      </c>
      <c r="J314" s="49">
        <f t="array" ref="J314">IFERROR(
SUM(
IF(
'PORTIFÓLIO'!$C$4:$C$564=$A314,
N(INDEX('PORTIFÓLIO'!$J$4:$Q$564,,MATCH(J$2,'PORTIFÓLIO'!$J$3:$Q$3,0))) *
N('PORTIFÓLIO'!$S$4:$S$564),
0
)
),
0)</f>
        <v/>
      </c>
      <c r="K314" s="47">
        <f>J314/$J$4</f>
        <v/>
      </c>
      <c r="L314" s="49">
        <f t="array" ref="L314">IFERROR(
SUM(
IF(
'PORTIFÓLIO'!$C$4:$C$564=$A314,
N(INDEX('PORTIFÓLIO'!$J$4:$Q$564,,MATCH(L$2,'PORTIFÓLIO'!$J$3:$Q$3,0))) *
N('PORTIFÓLIO'!$S$4:$S$564),
0
)
),
0)</f>
        <v/>
      </c>
      <c r="M314" s="47">
        <f>L314/$L$4</f>
        <v/>
      </c>
      <c r="N314" s="49">
        <f t="array" ref="N314">IFERROR(
SUM(
IF(
'PORTIFÓLIO'!$C$4:$C$564=$A314,
N(INDEX('PORTIFÓLIO'!$J$4:$Q$564,,MATCH(N$2,'PORTIFÓLIO'!$J$3:$Q$3,0))) *
N('PORTIFÓLIO'!$S$4:$S$564),
0
)
),
0)</f>
        <v/>
      </c>
      <c r="O314" s="49">
        <f>N314/$N$4</f>
        <v/>
      </c>
      <c r="P314" s="49">
        <f t="array" ref="P314">IFERROR(
SUM(
IF(
'PORTIFÓLIO'!$C$4:$C$564=$A314,
N(INDEX('PORTIFÓLIO'!$J$4:$Q$564,,MATCH(P$2,'PORTIFÓLIO'!$J$3:$Q$3,0))) *
N('PORTIFÓLIO'!$S$4:$S$564),
0
)
),
0)</f>
        <v/>
      </c>
      <c r="Q314" s="49">
        <f>P314/$P$4</f>
        <v/>
      </c>
      <c r="R314" s="49">
        <f>SUM(P314,N314,L314,J314,H314,D314,B314)</f>
        <v/>
      </c>
      <c r="S314" s="49">
        <f>R314/$R$4</f>
        <v/>
      </c>
    </row>
    <row r="315" hidden="1" outlineLevel="1" ht="15.75" customHeight="1" s="297">
      <c r="A315" s="48">
        <f>IFERROR(__xludf.DUMMYFUNCTION("""COMPUTED_VALUE"""),"FORTENZA 600 FS")</f>
        <v/>
      </c>
      <c r="B315" s="49">
        <f t="array" ref="B315">IFERROR(
SUM(
IF(
'PORTIFÓLIO'!$C$4:$C$564=$A315,
N(INDEX('PORTIFÓLIO'!$J$4:$Q$564,,MATCH(B$2,'PORTIFÓLIO'!$J$3:$Q$3,0))) *
N('PORTIFÓLIO'!$S$4:$S$564),
0
)
),
0)</f>
        <v/>
      </c>
      <c r="C315" s="49">
        <f>B315/$B$4</f>
        <v/>
      </c>
      <c r="D315" s="49">
        <f t="array" ref="D315">IFERROR(
SUM(
IF(
'PORTIFÓLIO'!$C$4:$C$564=$A315,
N(INDEX('PORTIFÓLIO'!$J$4:$Q$564,,MATCH(D$2,'PORTIFÓLIO'!$J$3:$Q$3,0))) *
N('PORTIFÓLIO'!$S$4:$S$564),
0
)
),
0)</f>
        <v/>
      </c>
      <c r="E315" s="49">
        <f>D315/$D$4</f>
        <v/>
      </c>
      <c r="F315" s="49">
        <f t="array" ref="F315">IFERROR(
SUM(
IF(
'PORTIFÓLIO'!$C$4:$C$564=$A315,
N(INDEX('PORTIFÓLIO'!$J$4:$Q$564,,MATCH(F$2,'PORTIFÓLIO'!$J$3:$Q$3,0))) *
N('PORTIFÓLIO'!$S$4:$S$564),
0
)
),
0)</f>
        <v/>
      </c>
      <c r="G315" s="47">
        <f>F315/$F$4</f>
        <v/>
      </c>
      <c r="H315" s="49">
        <f t="array" ref="H315">IFERROR(
SUM(
IF(
'PORTIFÓLIO'!$C$4:$C$564=$A315,
N(INDEX('PORTIFÓLIO'!$J$4:$Q$564,,MATCH(H$2,'PORTIFÓLIO'!$J$3:$Q$3,0))) *
N('PORTIFÓLIO'!$S$4:$S$564),
0
)
),
0)</f>
        <v/>
      </c>
      <c r="I315" s="47">
        <f>H315/$H$4</f>
        <v/>
      </c>
      <c r="J315" s="49">
        <f t="array" ref="J315">IFERROR(
SUM(
IF(
'PORTIFÓLIO'!$C$4:$C$564=$A315,
N(INDEX('PORTIFÓLIO'!$J$4:$Q$564,,MATCH(J$2,'PORTIFÓLIO'!$J$3:$Q$3,0))) *
N('PORTIFÓLIO'!$S$4:$S$564),
0
)
),
0)</f>
        <v/>
      </c>
      <c r="K315" s="47">
        <f>J315/$J$4</f>
        <v/>
      </c>
      <c r="L315" s="49">
        <f t="array" ref="L315">IFERROR(
SUM(
IF(
'PORTIFÓLIO'!$C$4:$C$564=$A315,
N(INDEX('PORTIFÓLIO'!$J$4:$Q$564,,MATCH(L$2,'PORTIFÓLIO'!$J$3:$Q$3,0))) *
N('PORTIFÓLIO'!$S$4:$S$564),
0
)
),
0)</f>
        <v/>
      </c>
      <c r="M315" s="47">
        <f>L315/$L$4</f>
        <v/>
      </c>
      <c r="N315" s="49">
        <f t="array" ref="N315">IFERROR(
SUM(
IF(
'PORTIFÓLIO'!$C$4:$C$564=$A315,
N(INDEX('PORTIFÓLIO'!$J$4:$Q$564,,MATCH(N$2,'PORTIFÓLIO'!$J$3:$Q$3,0))) *
N('PORTIFÓLIO'!$S$4:$S$564),
0
)
),
0)</f>
        <v/>
      </c>
      <c r="O315" s="49">
        <f>N315/$N$4</f>
        <v/>
      </c>
      <c r="P315" s="49">
        <f t="array" ref="P315">IFERROR(
SUM(
IF(
'PORTIFÓLIO'!$C$4:$C$564=$A315,
N(INDEX('PORTIFÓLIO'!$J$4:$Q$564,,MATCH(P$2,'PORTIFÓLIO'!$J$3:$Q$3,0))) *
N('PORTIFÓLIO'!$S$4:$S$564),
0
)
),
0)</f>
        <v/>
      </c>
      <c r="Q315" s="49">
        <f>P315/$P$4</f>
        <v/>
      </c>
      <c r="R315" s="49">
        <f>SUM(P315,N315,L315,J315,H315,D315,B315)</f>
        <v/>
      </c>
      <c r="S315" s="49">
        <f>R315/$R$4</f>
        <v/>
      </c>
    </row>
    <row r="316" hidden="1" outlineLevel="1" ht="15.75" customHeight="1" s="297">
      <c r="A316" s="48">
        <f>IFERROR(__xludf.DUMMYFUNCTION("""COMPUTED_VALUE"""),"ILEVO")</f>
        <v/>
      </c>
      <c r="B316" s="49">
        <f t="array" ref="B316">IFERROR(
SUM(
IF(
'PORTIFÓLIO'!$C$4:$C$564=$A316,
N(INDEX('PORTIFÓLIO'!$J$4:$Q$564,,MATCH(B$2,'PORTIFÓLIO'!$J$3:$Q$3,0))) *
N('PORTIFÓLIO'!$S$4:$S$564),
0
)
),
0)</f>
        <v/>
      </c>
      <c r="C316" s="49">
        <f>B316/$B$4</f>
        <v/>
      </c>
      <c r="D316" s="49">
        <f t="array" ref="D316">IFERROR(
SUM(
IF(
'PORTIFÓLIO'!$C$4:$C$564=$A316,
N(INDEX('PORTIFÓLIO'!$J$4:$Q$564,,MATCH(D$2,'PORTIFÓLIO'!$J$3:$Q$3,0))) *
N('PORTIFÓLIO'!$S$4:$S$564),
0
)
),
0)</f>
        <v/>
      </c>
      <c r="E316" s="49">
        <f>D316/$D$4</f>
        <v/>
      </c>
      <c r="F316" s="49">
        <f t="array" ref="F316">IFERROR(
SUM(
IF(
'PORTIFÓLIO'!$C$4:$C$564=$A316,
N(INDEX('PORTIFÓLIO'!$J$4:$Q$564,,MATCH(F$2,'PORTIFÓLIO'!$J$3:$Q$3,0))) *
N('PORTIFÓLIO'!$S$4:$S$564),
0
)
),
0)</f>
        <v/>
      </c>
      <c r="G316" s="47">
        <f>F316/$F$4</f>
        <v/>
      </c>
      <c r="H316" s="49">
        <f t="array" ref="H316">IFERROR(
SUM(
IF(
'PORTIFÓLIO'!$C$4:$C$564=$A316,
N(INDEX('PORTIFÓLIO'!$J$4:$Q$564,,MATCH(H$2,'PORTIFÓLIO'!$J$3:$Q$3,0))) *
N('PORTIFÓLIO'!$S$4:$S$564),
0
)
),
0)</f>
        <v/>
      </c>
      <c r="I316" s="47">
        <f>H316/$H$4</f>
        <v/>
      </c>
      <c r="J316" s="49">
        <f t="array" ref="J316">IFERROR(
SUM(
IF(
'PORTIFÓLIO'!$C$4:$C$564=$A316,
N(INDEX('PORTIFÓLIO'!$J$4:$Q$564,,MATCH(J$2,'PORTIFÓLIO'!$J$3:$Q$3,0))) *
N('PORTIFÓLIO'!$S$4:$S$564),
0
)
),
0)</f>
        <v/>
      </c>
      <c r="K316" s="47">
        <f>J316/$J$4</f>
        <v/>
      </c>
      <c r="L316" s="49">
        <f t="array" ref="L316">IFERROR(
SUM(
IF(
'PORTIFÓLIO'!$C$4:$C$564=$A316,
N(INDEX('PORTIFÓLIO'!$J$4:$Q$564,,MATCH(L$2,'PORTIFÓLIO'!$J$3:$Q$3,0))) *
N('PORTIFÓLIO'!$S$4:$S$564),
0
)
),
0)</f>
        <v/>
      </c>
      <c r="M316" s="47">
        <f>L316/$L$4</f>
        <v/>
      </c>
      <c r="N316" s="49">
        <f t="array" ref="N316">IFERROR(
SUM(
IF(
'PORTIFÓLIO'!$C$4:$C$564=$A316,
N(INDEX('PORTIFÓLIO'!$J$4:$Q$564,,MATCH(N$2,'PORTIFÓLIO'!$J$3:$Q$3,0))) *
N('PORTIFÓLIO'!$S$4:$S$564),
0
)
),
0)</f>
        <v/>
      </c>
      <c r="O316" s="49">
        <f>N316/$N$4</f>
        <v/>
      </c>
      <c r="P316" s="49">
        <f t="array" ref="P316">IFERROR(
SUM(
IF(
'PORTIFÓLIO'!$C$4:$C$564=$A316,
N(INDEX('PORTIFÓLIO'!$J$4:$Q$564,,MATCH(P$2,'PORTIFÓLIO'!$J$3:$Q$3,0))) *
N('PORTIFÓLIO'!$S$4:$S$564),
0
)
),
0)</f>
        <v/>
      </c>
      <c r="Q316" s="49">
        <f>P316/$P$4</f>
        <v/>
      </c>
      <c r="R316" s="49">
        <f>SUM(P316,N316,L316,J316,H316,D316,B316)</f>
        <v/>
      </c>
      <c r="S316" s="49">
        <f>R316/$R$4</f>
        <v/>
      </c>
    </row>
    <row r="317" hidden="1" outlineLevel="1" ht="15.75" customHeight="1" s="297">
      <c r="A317" s="48">
        <f>IFERROR(__xludf.DUMMYFUNCTION("""COMPUTED_VALUE"""),"PERMIT STAR")</f>
        <v/>
      </c>
      <c r="B317" s="49">
        <f t="array" ref="B317">IFERROR(
SUM(
IF(
'PORTIFÓLIO'!$C$4:$C$564=$A317,
N(INDEX('PORTIFÓLIO'!$J$4:$Q$564,,MATCH(B$2,'PORTIFÓLIO'!$J$3:$Q$3,0))) *
N('PORTIFÓLIO'!$S$4:$S$564),
0
)
),
0)</f>
        <v/>
      </c>
      <c r="C317" s="49">
        <f>B317/$B$4</f>
        <v/>
      </c>
      <c r="D317" s="49">
        <f t="array" ref="D317">IFERROR(
SUM(
IF(
'PORTIFÓLIO'!$C$4:$C$564=$A317,
N(INDEX('PORTIFÓLIO'!$J$4:$Q$564,,MATCH(D$2,'PORTIFÓLIO'!$J$3:$Q$3,0))) *
N('PORTIFÓLIO'!$S$4:$S$564),
0
)
),
0)</f>
        <v/>
      </c>
      <c r="E317" s="49">
        <f>D317/$D$4</f>
        <v/>
      </c>
      <c r="F317" s="49">
        <f t="array" ref="F317">IFERROR(
SUM(
IF(
'PORTIFÓLIO'!$C$4:$C$564=$A317,
N(INDEX('PORTIFÓLIO'!$J$4:$Q$564,,MATCH(F$2,'PORTIFÓLIO'!$J$3:$Q$3,0))) *
N('PORTIFÓLIO'!$S$4:$S$564),
0
)
),
0)</f>
        <v/>
      </c>
      <c r="G317" s="47">
        <f>F317/$F$4</f>
        <v/>
      </c>
      <c r="H317" s="49">
        <f t="array" ref="H317">IFERROR(
SUM(
IF(
'PORTIFÓLIO'!$C$4:$C$564=$A317,
N(INDEX('PORTIFÓLIO'!$J$4:$Q$564,,MATCH(H$2,'PORTIFÓLIO'!$J$3:$Q$3,0))) *
N('PORTIFÓLIO'!$S$4:$S$564),
0
)
),
0)</f>
        <v/>
      </c>
      <c r="I317" s="47">
        <f>H317/$H$4</f>
        <v/>
      </c>
      <c r="J317" s="49">
        <f t="array" ref="J317">IFERROR(
SUM(
IF(
'PORTIFÓLIO'!$C$4:$C$564=$A317,
N(INDEX('PORTIFÓLIO'!$J$4:$Q$564,,MATCH(J$2,'PORTIFÓLIO'!$J$3:$Q$3,0))) *
N('PORTIFÓLIO'!$S$4:$S$564),
0
)
),
0)</f>
        <v/>
      </c>
      <c r="K317" s="47">
        <f>J317/$J$4</f>
        <v/>
      </c>
      <c r="L317" s="49">
        <f t="array" ref="L317">IFERROR(
SUM(
IF(
'PORTIFÓLIO'!$C$4:$C$564=$A317,
N(INDEX('PORTIFÓLIO'!$J$4:$Q$564,,MATCH(L$2,'PORTIFÓLIO'!$J$3:$Q$3,0))) *
N('PORTIFÓLIO'!$S$4:$S$564),
0
)
),
0)</f>
        <v/>
      </c>
      <c r="M317" s="47">
        <f>L317/$L$4</f>
        <v/>
      </c>
      <c r="N317" s="49">
        <f t="array" ref="N317">IFERROR(
SUM(
IF(
'PORTIFÓLIO'!$C$4:$C$564=$A317,
N(INDEX('PORTIFÓLIO'!$J$4:$Q$564,,MATCH(N$2,'PORTIFÓLIO'!$J$3:$Q$3,0))) *
N('PORTIFÓLIO'!$S$4:$S$564),
0
)
),
0)</f>
        <v/>
      </c>
      <c r="O317" s="49">
        <f>N317/$N$4</f>
        <v/>
      </c>
      <c r="P317" s="49">
        <f t="array" ref="P317">IFERROR(
SUM(
IF(
'PORTIFÓLIO'!$C$4:$C$564=$A317,
N(INDEX('PORTIFÓLIO'!$J$4:$Q$564,,MATCH(P$2,'PORTIFÓLIO'!$J$3:$Q$3,0))) *
N('PORTIFÓLIO'!$S$4:$S$564),
0
)
),
0)</f>
        <v/>
      </c>
      <c r="Q317" s="49">
        <f>P317/$P$4</f>
        <v/>
      </c>
      <c r="R317" s="49">
        <f>SUM(P317,N317,L317,J317,H317,D317,B317)</f>
        <v/>
      </c>
      <c r="S317" s="49">
        <f>R317/$R$4</f>
        <v/>
      </c>
    </row>
    <row r="318" hidden="1" outlineLevel="1" ht="15.75" customHeight="1" s="297">
      <c r="A318" s="48" t="n"/>
      <c r="B318" s="49">
        <f t="array" ref="B318">IFERROR(
SUM(
IF(
'PORTIFÓLIO'!$C$4:$C$564=$A318,
N(INDEX('PORTIFÓLIO'!$J$4:$Q$564,,MATCH(B$2,'PORTIFÓLIO'!$J$3:$Q$3,0))) *
N('PORTIFÓLIO'!$S$4:$S$564),
0
)
),
0)</f>
        <v/>
      </c>
      <c r="C318" s="49">
        <f>B318/$B$4</f>
        <v/>
      </c>
      <c r="D318" s="49">
        <f t="array" ref="D318">IFERROR(
SUM(
IF(
'PORTIFÓLIO'!$C$4:$C$564=$A318,
N(INDEX('PORTIFÓLIO'!$J$4:$Q$564,,MATCH(D$2,'PORTIFÓLIO'!$J$3:$Q$3,0))) *
N('PORTIFÓLIO'!$S$4:$S$564),
0
)
),
0)</f>
        <v/>
      </c>
      <c r="E318" s="49">
        <f>D318/$D$4</f>
        <v/>
      </c>
      <c r="F318" s="49">
        <f t="array" ref="F318">IFERROR(
SUM(
IF(
'PORTIFÓLIO'!$C$4:$C$564=$A318,
N(INDEX('PORTIFÓLIO'!$J$4:$Q$564,,MATCH(F$2,'PORTIFÓLIO'!$J$3:$Q$3,0))) *
N('PORTIFÓLIO'!$S$4:$S$564),
0
)
),
0)</f>
        <v/>
      </c>
      <c r="G318" s="47">
        <f>F318/$F$4</f>
        <v/>
      </c>
      <c r="H318" s="49">
        <f t="array" ref="H318">IFERROR(
SUM(
IF(
'PORTIFÓLIO'!$C$4:$C$564=$A318,
N(INDEX('PORTIFÓLIO'!$J$4:$Q$564,,MATCH(H$2,'PORTIFÓLIO'!$J$3:$Q$3,0))) *
N('PORTIFÓLIO'!$S$4:$S$564),
0
)
),
0)</f>
        <v/>
      </c>
      <c r="I318" s="47">
        <f>H318/$H$4</f>
        <v/>
      </c>
      <c r="J318" s="49">
        <f t="array" ref="J318">IFERROR(
SUM(
IF(
'PORTIFÓLIO'!$C$4:$C$564=$A318,
N(INDEX('PORTIFÓLIO'!$J$4:$Q$564,,MATCH(J$2,'PORTIFÓLIO'!$J$3:$Q$3,0))) *
N('PORTIFÓLIO'!$S$4:$S$564),
0
)
),
0)</f>
        <v/>
      </c>
      <c r="K318" s="47">
        <f>J318/$J$4</f>
        <v/>
      </c>
      <c r="L318" s="49">
        <f t="array" ref="L318">IFERROR(
SUM(
IF(
'PORTIFÓLIO'!$C$4:$C$564=$A318,
N(INDEX('PORTIFÓLIO'!$J$4:$Q$564,,MATCH(L$2,'PORTIFÓLIO'!$J$3:$Q$3,0))) *
N('PORTIFÓLIO'!$S$4:$S$564),
0
)
),
0)</f>
        <v/>
      </c>
      <c r="M318" s="47">
        <f>L318/$L$4</f>
        <v/>
      </c>
      <c r="N318" s="49">
        <f t="array" ref="N318">IFERROR(
SUM(
IF(
'PORTIFÓLIO'!$C$4:$C$564=$A318,
N(INDEX('PORTIFÓLIO'!$J$4:$Q$564,,MATCH(N$2,'PORTIFÓLIO'!$J$3:$Q$3,0))) *
N('PORTIFÓLIO'!$S$4:$S$564),
0
)
),
0)</f>
        <v/>
      </c>
      <c r="O318" s="49">
        <f>N318/$N$4</f>
        <v/>
      </c>
      <c r="P318" s="49">
        <f t="array" ref="P318">IFERROR(
SUM(
IF(
'PORTIFÓLIO'!$C$4:$C$564=$A318,
N(INDEX('PORTIFÓLIO'!$J$4:$Q$564,,MATCH(P$2,'PORTIFÓLIO'!$J$3:$Q$3,0))) *
N('PORTIFÓLIO'!$S$4:$S$564),
0
)
),
0)</f>
        <v/>
      </c>
      <c r="Q318" s="49">
        <f>P318/$P$4</f>
        <v/>
      </c>
      <c r="R318" s="49">
        <f>SUM(P318,N318,L318,J318,H318,D318,B318)</f>
        <v/>
      </c>
      <c r="S318" s="49">
        <f>R318/$R$4</f>
        <v/>
      </c>
    </row>
    <row r="319" hidden="1" outlineLevel="1" ht="15.75" customHeight="1" s="297">
      <c r="A319" s="48" t="n"/>
      <c r="B319" s="49">
        <f t="array" ref="B319">IFERROR(
SUM(
IF(
'PORTIFÓLIO'!$C$4:$C$564=$A319,
N(INDEX('PORTIFÓLIO'!$J$4:$Q$564,,MATCH(B$2,'PORTIFÓLIO'!$J$3:$Q$3,0))) *
N('PORTIFÓLIO'!$S$4:$S$564),
0
)
),
0)</f>
        <v/>
      </c>
      <c r="C319" s="49">
        <f>B319/$B$4</f>
        <v/>
      </c>
      <c r="D319" s="49">
        <f t="array" ref="D319">IFERROR(
SUM(
IF(
'PORTIFÓLIO'!$C$4:$C$564=$A319,
N(INDEX('PORTIFÓLIO'!$J$4:$Q$564,,MATCH(D$2,'PORTIFÓLIO'!$J$3:$Q$3,0))) *
N('PORTIFÓLIO'!$S$4:$S$564),
0
)
),
0)</f>
        <v/>
      </c>
      <c r="E319" s="49">
        <f>D319/$D$4</f>
        <v/>
      </c>
      <c r="F319" s="49">
        <f t="array" ref="F319">IFERROR(
SUM(
IF(
'PORTIFÓLIO'!$C$4:$C$564=$A319,
N(INDEX('PORTIFÓLIO'!$J$4:$Q$564,,MATCH(F$2,'PORTIFÓLIO'!$J$3:$Q$3,0))) *
N('PORTIFÓLIO'!$S$4:$S$564),
0
)
),
0)</f>
        <v/>
      </c>
      <c r="G319" s="47">
        <f>F319/$F$4</f>
        <v/>
      </c>
      <c r="H319" s="49">
        <f t="array" ref="H319">IFERROR(
SUM(
IF(
'PORTIFÓLIO'!$C$4:$C$564=$A319,
N(INDEX('PORTIFÓLIO'!$J$4:$Q$564,,MATCH(H$2,'PORTIFÓLIO'!$J$3:$Q$3,0))) *
N('PORTIFÓLIO'!$S$4:$S$564),
0
)
),
0)</f>
        <v/>
      </c>
      <c r="I319" s="47">
        <f>H319/$H$4</f>
        <v/>
      </c>
      <c r="J319" s="49">
        <f t="array" ref="J319">IFERROR(
SUM(
IF(
'PORTIFÓLIO'!$C$4:$C$564=$A319,
N(INDEX('PORTIFÓLIO'!$J$4:$Q$564,,MATCH(J$2,'PORTIFÓLIO'!$J$3:$Q$3,0))) *
N('PORTIFÓLIO'!$S$4:$S$564),
0
)
),
0)</f>
        <v/>
      </c>
      <c r="K319" s="47">
        <f>J319/$J$4</f>
        <v/>
      </c>
      <c r="L319" s="49">
        <f t="array" ref="L319">IFERROR(
SUM(
IF(
'PORTIFÓLIO'!$C$4:$C$564=$A319,
N(INDEX('PORTIFÓLIO'!$J$4:$Q$564,,MATCH(L$2,'PORTIFÓLIO'!$J$3:$Q$3,0))) *
N('PORTIFÓLIO'!$S$4:$S$564),
0
)
),
0)</f>
        <v/>
      </c>
      <c r="M319" s="47">
        <f>L319/$L$4</f>
        <v/>
      </c>
      <c r="N319" s="49">
        <f t="array" ref="N319">IFERROR(
SUM(
IF(
'PORTIFÓLIO'!$C$4:$C$564=$A319,
N(INDEX('PORTIFÓLIO'!$J$4:$Q$564,,MATCH(N$2,'PORTIFÓLIO'!$J$3:$Q$3,0))) *
N('PORTIFÓLIO'!$S$4:$S$564),
0
)
),
0)</f>
        <v/>
      </c>
      <c r="O319" s="49">
        <f>N319/$N$4</f>
        <v/>
      </c>
      <c r="P319" s="49">
        <f t="array" ref="P319">IFERROR(
SUM(
IF(
'PORTIFÓLIO'!$C$4:$C$564=$A319,
N(INDEX('PORTIFÓLIO'!$J$4:$Q$564,,MATCH(P$2,'PORTIFÓLIO'!$J$3:$Q$3,0))) *
N('PORTIFÓLIO'!$S$4:$S$564),
0
)
),
0)</f>
        <v/>
      </c>
      <c r="Q319" s="49">
        <f>P319/$P$4</f>
        <v/>
      </c>
      <c r="R319" s="49">
        <f>SUM(P319,N319,L319,J319,H319,D319,B319)</f>
        <v/>
      </c>
      <c r="S319" s="49">
        <f>R319/$R$4</f>
        <v/>
      </c>
    </row>
    <row r="320" hidden="1" outlineLevel="1" ht="15.75" customHeight="1" s="297">
      <c r="A320" s="48" t="n"/>
      <c r="B320" s="49">
        <f t="array" ref="B320">IFERROR(
SUM(
IF(
'PORTIFÓLIO'!$C$4:$C$564=$A320,
N(INDEX('PORTIFÓLIO'!$J$4:$Q$564,,MATCH(B$2,'PORTIFÓLIO'!$J$3:$Q$3,0))) *
N('PORTIFÓLIO'!$S$4:$S$564),
0
)
),
0)</f>
        <v/>
      </c>
      <c r="C320" s="49">
        <f>B320/$B$4</f>
        <v/>
      </c>
      <c r="D320" s="49">
        <f t="array" ref="D320">IFERROR(
SUM(
IF(
'PORTIFÓLIO'!$C$4:$C$564=$A320,
N(INDEX('PORTIFÓLIO'!$J$4:$Q$564,,MATCH(D$2,'PORTIFÓLIO'!$J$3:$Q$3,0))) *
N('PORTIFÓLIO'!$S$4:$S$564),
0
)
),
0)</f>
        <v/>
      </c>
      <c r="E320" s="49">
        <f>D320/$D$4</f>
        <v/>
      </c>
      <c r="F320" s="49">
        <f t="array" ref="F320">IFERROR(
SUM(
IF(
'PORTIFÓLIO'!$C$4:$C$564=$A320,
N(INDEX('PORTIFÓLIO'!$J$4:$Q$564,,MATCH(F$2,'PORTIFÓLIO'!$J$3:$Q$3,0))) *
N('PORTIFÓLIO'!$S$4:$S$564),
0
)
),
0)</f>
        <v/>
      </c>
      <c r="G320" s="47">
        <f>F320/$F$4</f>
        <v/>
      </c>
      <c r="H320" s="49">
        <f t="array" ref="H320">IFERROR(
SUM(
IF(
'PORTIFÓLIO'!$C$4:$C$564=$A320,
N(INDEX('PORTIFÓLIO'!$J$4:$Q$564,,MATCH(H$2,'PORTIFÓLIO'!$J$3:$Q$3,0))) *
N('PORTIFÓLIO'!$S$4:$S$564),
0
)
),
0)</f>
        <v/>
      </c>
      <c r="I320" s="47">
        <f>H320/$H$4</f>
        <v/>
      </c>
      <c r="J320" s="49">
        <f t="array" ref="J320">IFERROR(
SUM(
IF(
'PORTIFÓLIO'!$C$4:$C$564=$A320,
N(INDEX('PORTIFÓLIO'!$J$4:$Q$564,,MATCH(J$2,'PORTIFÓLIO'!$J$3:$Q$3,0))) *
N('PORTIFÓLIO'!$S$4:$S$564),
0
)
),
0)</f>
        <v/>
      </c>
      <c r="K320" s="47">
        <f>J320/$J$4</f>
        <v/>
      </c>
      <c r="L320" s="49">
        <f t="array" ref="L320">IFERROR(
SUM(
IF(
'PORTIFÓLIO'!$C$4:$C$564=$A320,
N(INDEX('PORTIFÓLIO'!$J$4:$Q$564,,MATCH(L$2,'PORTIFÓLIO'!$J$3:$Q$3,0))) *
N('PORTIFÓLIO'!$S$4:$S$564),
0
)
),
0)</f>
        <v/>
      </c>
      <c r="M320" s="47">
        <f>L320/$L$4</f>
        <v/>
      </c>
      <c r="N320" s="49">
        <f t="array" ref="N320">IFERROR(
SUM(
IF(
'PORTIFÓLIO'!$C$4:$C$564=$A320,
N(INDEX('PORTIFÓLIO'!$J$4:$Q$564,,MATCH(N$2,'PORTIFÓLIO'!$J$3:$Q$3,0))) *
N('PORTIFÓLIO'!$S$4:$S$564),
0
)
),
0)</f>
        <v/>
      </c>
      <c r="O320" s="49">
        <f>N320/$N$4</f>
        <v/>
      </c>
      <c r="P320" s="49">
        <f t="array" ref="P320">IFERROR(
SUM(
IF(
'PORTIFÓLIO'!$C$4:$C$564=$A320,
N(INDEX('PORTIFÓLIO'!$J$4:$Q$564,,MATCH(P$2,'PORTIFÓLIO'!$J$3:$Q$3,0))) *
N('PORTIFÓLIO'!$S$4:$S$564),
0
)
),
0)</f>
        <v/>
      </c>
      <c r="Q320" s="49">
        <f>P320/$P$4</f>
        <v/>
      </c>
      <c r="R320" s="49">
        <f>SUM(P320,N320,L320,J320,H320,D320,B320)</f>
        <v/>
      </c>
      <c r="S320" s="49">
        <f>R320/$R$4</f>
        <v/>
      </c>
    </row>
    <row r="321" hidden="1" outlineLevel="1" ht="15.75" customHeight="1" s="297">
      <c r="A321" s="48" t="n"/>
      <c r="B321" s="49">
        <f t="array" ref="B321">IFERROR(
SUM(
IF(
'PORTIFÓLIO'!$C$4:$C$564=$A321,
N(INDEX('PORTIFÓLIO'!$J$4:$Q$564,,MATCH(B$2,'PORTIFÓLIO'!$J$3:$Q$3,0))) *
N('PORTIFÓLIO'!$S$4:$S$564),
0
)
),
0)</f>
        <v/>
      </c>
      <c r="C321" s="49">
        <f>B321/$B$4</f>
        <v/>
      </c>
      <c r="D321" s="49">
        <f t="array" ref="D321">IFERROR(
SUM(
IF(
'PORTIFÓLIO'!$C$4:$C$564=$A321,
N(INDEX('PORTIFÓLIO'!$J$4:$Q$564,,MATCH(D$2,'PORTIFÓLIO'!$J$3:$Q$3,0))) *
N('PORTIFÓLIO'!$S$4:$S$564),
0
)
),
0)</f>
        <v/>
      </c>
      <c r="E321" s="49">
        <f>D321/$D$4</f>
        <v/>
      </c>
      <c r="F321" s="49">
        <f t="array" ref="F321">IFERROR(
SUM(
IF(
'PORTIFÓLIO'!$C$4:$C$564=$A321,
N(INDEX('PORTIFÓLIO'!$J$4:$Q$564,,MATCH(F$2,'PORTIFÓLIO'!$J$3:$Q$3,0))) *
N('PORTIFÓLIO'!$S$4:$S$564),
0
)
),
0)</f>
        <v/>
      </c>
      <c r="G321" s="47">
        <f>F321/$F$4</f>
        <v/>
      </c>
      <c r="H321" s="49">
        <f t="array" ref="H321">IFERROR(
SUM(
IF(
'PORTIFÓLIO'!$C$4:$C$564=$A321,
N(INDEX('PORTIFÓLIO'!$J$4:$Q$564,,MATCH(H$2,'PORTIFÓLIO'!$J$3:$Q$3,0))) *
N('PORTIFÓLIO'!$S$4:$S$564),
0
)
),
0)</f>
        <v/>
      </c>
      <c r="I321" s="47">
        <f>H321/$H$4</f>
        <v/>
      </c>
      <c r="J321" s="49">
        <f t="array" ref="J321">IFERROR(
SUM(
IF(
'PORTIFÓLIO'!$C$4:$C$564=$A321,
N(INDEX('PORTIFÓLIO'!$J$4:$Q$564,,MATCH(J$2,'PORTIFÓLIO'!$J$3:$Q$3,0))) *
N('PORTIFÓLIO'!$S$4:$S$564),
0
)
),
0)</f>
        <v/>
      </c>
      <c r="K321" s="47">
        <f>J321/$J$4</f>
        <v/>
      </c>
      <c r="L321" s="49">
        <f t="array" ref="L321">IFERROR(
SUM(
IF(
'PORTIFÓLIO'!$C$4:$C$564=$A321,
N(INDEX('PORTIFÓLIO'!$J$4:$Q$564,,MATCH(L$2,'PORTIFÓLIO'!$J$3:$Q$3,0))) *
N('PORTIFÓLIO'!$S$4:$S$564),
0
)
),
0)</f>
        <v/>
      </c>
      <c r="M321" s="47">
        <f>L321/$L$4</f>
        <v/>
      </c>
      <c r="N321" s="49">
        <f t="array" ref="N321">IFERROR(
SUM(
IF(
'PORTIFÓLIO'!$C$4:$C$564=$A321,
N(INDEX('PORTIFÓLIO'!$J$4:$Q$564,,MATCH(N$2,'PORTIFÓLIO'!$J$3:$Q$3,0))) *
N('PORTIFÓLIO'!$S$4:$S$564),
0
)
),
0)</f>
        <v/>
      </c>
      <c r="O321" s="49">
        <f>N321/$N$4</f>
        <v/>
      </c>
      <c r="P321" s="49">
        <f t="array" ref="P321">IFERROR(
SUM(
IF(
'PORTIFÓLIO'!$C$4:$C$564=$A321,
N(INDEX('PORTIFÓLIO'!$J$4:$Q$564,,MATCH(P$2,'PORTIFÓLIO'!$J$3:$Q$3,0))) *
N('PORTIFÓLIO'!$S$4:$S$564),
0
)
),
0)</f>
        <v/>
      </c>
      <c r="Q321" s="49">
        <f>P321/$P$4</f>
        <v/>
      </c>
      <c r="R321" s="49">
        <f>SUM(P321,N321,L321,J321,H321,D321,B321)</f>
        <v/>
      </c>
      <c r="S321" s="49">
        <f>R321/$R$4</f>
        <v/>
      </c>
    </row>
    <row r="322" collapsed="1" ht="15.75" customHeight="1" s="297">
      <c r="A322" s="46" t="inlineStr">
        <is>
          <t>ADJUVANTE</t>
        </is>
      </c>
      <c r="B322" s="47">
        <f>SUM(B323:B339)</f>
        <v/>
      </c>
      <c r="C322" s="47">
        <f>B322/$B$4</f>
        <v/>
      </c>
      <c r="D322" s="47">
        <f>SUM(D323:D339)</f>
        <v/>
      </c>
      <c r="E322" s="47">
        <f>D322/$D$4</f>
        <v/>
      </c>
      <c r="F322" s="47">
        <f>SUM(F323:F339)</f>
        <v/>
      </c>
      <c r="G322" s="47">
        <f>F322/$F$4</f>
        <v/>
      </c>
      <c r="H322" s="47">
        <f>SUM(H323:H339)</f>
        <v/>
      </c>
      <c r="I322" s="47">
        <f>H322/$H$4</f>
        <v/>
      </c>
      <c r="J322" s="47">
        <f>SUM(J323:J339)</f>
        <v/>
      </c>
      <c r="K322" s="47">
        <f>J322/$J$4</f>
        <v/>
      </c>
      <c r="L322" s="47">
        <f>SUM(L323:L339)</f>
        <v/>
      </c>
      <c r="M322" s="47">
        <f>L322/$L$4</f>
        <v/>
      </c>
      <c r="N322" s="47">
        <f>SUM(N323:N339)</f>
        <v/>
      </c>
      <c r="O322" s="47">
        <f>N322/$N$4</f>
        <v/>
      </c>
      <c r="P322" s="47">
        <f>SUM(P323:P339)</f>
        <v/>
      </c>
      <c r="Q322" s="47">
        <f>P322/$P$4</f>
        <v/>
      </c>
      <c r="R322" s="47">
        <f>SUM(P322,N322,L322,J322,H322,D322,B322)</f>
        <v/>
      </c>
      <c r="S322" s="47">
        <f>R322/$R$4</f>
        <v/>
      </c>
    </row>
    <row r="323" hidden="1" outlineLevel="1" ht="15.75" customHeight="1" s="297">
      <c r="A323" s="48">
        <f>IFERROR(__xludf.DUMMYFUNCTION("UNIQUE(FILTER('PORTIFÓLIO'!C:C, 'PORTIFÓLIO'!B:B=""ADJUVANTE""))"),"RUMBA")</f>
        <v/>
      </c>
      <c r="B323" s="49">
        <f t="array" ref="B323">IFERROR(
SUM(
IF(
'PORTIFÓLIO'!$C$4:$C$564=$A323,
N(INDEX('PORTIFÓLIO'!$J$4:$Q$564,,MATCH(B$2,'PORTIFÓLIO'!$J$3:$Q$3,0))) *
N('PORTIFÓLIO'!$S$4:$S$564),
0
)
),
0)</f>
        <v/>
      </c>
      <c r="C323" s="49">
        <f>B323/$B$4</f>
        <v/>
      </c>
      <c r="D323" s="49">
        <f t="array" ref="D323">IFERROR(
SUM(
IF(
'PORTIFÓLIO'!$C$4:$C$564=$A323,
N(INDEX('PORTIFÓLIO'!$J$4:$Q$564,,MATCH(D$2,'PORTIFÓLIO'!$J$3:$Q$3,0))) *
N('PORTIFÓLIO'!$S$4:$S$564),
0
)
),
0)</f>
        <v/>
      </c>
      <c r="E323" s="49">
        <f>D323/$D$4</f>
        <v/>
      </c>
      <c r="F323" s="49">
        <f t="array" ref="F323">IFERROR(
SUM(
IF(
'PORTIFÓLIO'!$C$4:$C$564=$A323,
N(INDEX('PORTIFÓLIO'!$J$4:$Q$564,,MATCH(F$2,'PORTIFÓLIO'!$J$3:$Q$3,0))) *
N('PORTIFÓLIO'!$S$4:$S$564),
0
)
),
0)</f>
        <v/>
      </c>
      <c r="G323" s="47">
        <f>F323/$F$4</f>
        <v/>
      </c>
      <c r="H323" s="49">
        <f t="array" ref="H323">IFERROR(
SUM(
IF(
'PORTIFÓLIO'!$C$4:$C$564=$A323,
N(INDEX('PORTIFÓLIO'!$J$4:$Q$564,,MATCH(H$2,'PORTIFÓLIO'!$J$3:$Q$3,0))) *
N('PORTIFÓLIO'!$S$4:$S$564),
0
)
),
0)</f>
        <v/>
      </c>
      <c r="I323" s="47">
        <f>H323/$H$4</f>
        <v/>
      </c>
      <c r="J323" s="49">
        <f t="array" ref="J323">IFERROR(
SUM(
IF(
'PORTIFÓLIO'!$C$4:$C$564=$A323,
N(INDEX('PORTIFÓLIO'!$J$4:$Q$564,,MATCH(J$2,'PORTIFÓLIO'!$J$3:$Q$3,0))) *
N('PORTIFÓLIO'!$S$4:$S$564),
0
)
),
0)</f>
        <v/>
      </c>
      <c r="K323" s="47">
        <f>J323/$J$4</f>
        <v/>
      </c>
      <c r="L323" s="49">
        <f t="array" ref="L323">IFERROR(
SUM(
IF(
'PORTIFÓLIO'!$C$4:$C$564=$A323,
N(INDEX('PORTIFÓLIO'!$J$4:$Q$564,,MATCH(L$2,'PORTIFÓLIO'!$J$3:$Q$3,0))) *
N('PORTIFÓLIO'!$S$4:$S$564),
0
)
),
0)</f>
        <v/>
      </c>
      <c r="M323" s="47">
        <f>L323/$L$4</f>
        <v/>
      </c>
      <c r="N323" s="49">
        <f t="array" ref="N323">IFERROR(
SUM(
IF(
'PORTIFÓLIO'!$C$4:$C$564=$A323,
N(INDEX('PORTIFÓLIO'!$J$4:$Q$564,,MATCH(N$2,'PORTIFÓLIO'!$J$3:$Q$3,0))) *
N('PORTIFÓLIO'!$S$4:$S$564),
0
)
),
0)</f>
        <v/>
      </c>
      <c r="O323" s="49">
        <f>N323/$N$4</f>
        <v/>
      </c>
      <c r="P323" s="49">
        <f t="array" ref="P323">IFERROR(
SUM(
IF(
'PORTIFÓLIO'!$C$4:$C$564=$A323,
N(INDEX('PORTIFÓLIO'!$J$4:$Q$564,,MATCH(P$2,'PORTIFÓLIO'!$J$3:$Q$3,0))) *
N('PORTIFÓLIO'!$S$4:$S$564),
0
)
),
0)</f>
        <v/>
      </c>
      <c r="Q323" s="49">
        <f>P323/$P$4</f>
        <v/>
      </c>
      <c r="R323" s="49">
        <f>SUM(P323,N323,L323,J323,H323,D323,B323)</f>
        <v/>
      </c>
      <c r="S323" s="49">
        <f>R323/$R$4</f>
        <v/>
      </c>
    </row>
    <row r="324" hidden="1" outlineLevel="1" ht="15.75" customHeight="1" s="297">
      <c r="A324" s="48">
        <f>IFERROR(__xludf.DUMMYFUNCTION("""COMPUTED_VALUE"""),"ASSIST")</f>
        <v/>
      </c>
      <c r="B324" s="49">
        <f t="array" ref="B324">IFERROR(
SUM(
IF(
'PORTIFÓLIO'!$C$4:$C$564=$A324,
N(INDEX('PORTIFÓLIO'!$J$4:$Q$564,,MATCH(B$2,'PORTIFÓLIO'!$J$3:$Q$3,0))) *
N('PORTIFÓLIO'!$S$4:$S$564),
0
)
),
0)</f>
        <v/>
      </c>
      <c r="C324" s="49">
        <f>B324/$B$4</f>
        <v/>
      </c>
      <c r="D324" s="49">
        <f t="array" ref="D324">IFERROR(
SUM(
IF(
'PORTIFÓLIO'!$C$4:$C$564=$A324,
N(INDEX('PORTIFÓLIO'!$J$4:$Q$564,,MATCH(D$2,'PORTIFÓLIO'!$J$3:$Q$3,0))) *
N('PORTIFÓLIO'!$S$4:$S$564),
0
)
),
0)</f>
        <v/>
      </c>
      <c r="E324" s="49">
        <f>D324/$D$4</f>
        <v/>
      </c>
      <c r="F324" s="49">
        <f t="array" ref="F324">IFERROR(
SUM(
IF(
'PORTIFÓLIO'!$C$4:$C$564=$A324,
N(INDEX('PORTIFÓLIO'!$J$4:$Q$564,,MATCH(F$2,'PORTIFÓLIO'!$J$3:$Q$3,0))) *
N('PORTIFÓLIO'!$S$4:$S$564),
0
)
),
0)</f>
        <v/>
      </c>
      <c r="G324" s="47">
        <f>F324/$F$4</f>
        <v/>
      </c>
      <c r="H324" s="49">
        <f t="array" ref="H324">IFERROR(
SUM(
IF(
'PORTIFÓLIO'!$C$4:$C$564=$A324,
N(INDEX('PORTIFÓLIO'!$J$4:$Q$564,,MATCH(H$2,'PORTIFÓLIO'!$J$3:$Q$3,0))) *
N('PORTIFÓLIO'!$S$4:$S$564),
0
)
),
0)</f>
        <v/>
      </c>
      <c r="I324" s="47">
        <f>H324/$H$4</f>
        <v/>
      </c>
      <c r="J324" s="49">
        <f t="array" ref="J324">IFERROR(
SUM(
IF(
'PORTIFÓLIO'!$C$4:$C$564=$A324,
N(INDEX('PORTIFÓLIO'!$J$4:$Q$564,,MATCH(J$2,'PORTIFÓLIO'!$J$3:$Q$3,0))) *
N('PORTIFÓLIO'!$S$4:$S$564),
0
)
),
0)</f>
        <v/>
      </c>
      <c r="K324" s="47">
        <f>J324/$J$4</f>
        <v/>
      </c>
      <c r="L324" s="49">
        <f t="array" ref="L324">IFERROR(
SUM(
IF(
'PORTIFÓLIO'!$C$4:$C$564=$A324,
N(INDEX('PORTIFÓLIO'!$J$4:$Q$564,,MATCH(L$2,'PORTIFÓLIO'!$J$3:$Q$3,0))) *
N('PORTIFÓLIO'!$S$4:$S$564),
0
)
),
0)</f>
        <v/>
      </c>
      <c r="M324" s="47">
        <f>L324/$L$4</f>
        <v/>
      </c>
      <c r="N324" s="49">
        <f t="array" ref="N324">IFERROR(
SUM(
IF(
'PORTIFÓLIO'!$C$4:$C$564=$A324,
N(INDEX('PORTIFÓLIO'!$J$4:$Q$564,,MATCH(N$2,'PORTIFÓLIO'!$J$3:$Q$3,0))) *
N('PORTIFÓLIO'!$S$4:$S$564),
0
)
),
0)</f>
        <v/>
      </c>
      <c r="O324" s="49">
        <f>N324/$N$4</f>
        <v/>
      </c>
      <c r="P324" s="49">
        <f t="array" ref="P324">IFERROR(
SUM(
IF(
'PORTIFÓLIO'!$C$4:$C$564=$A324,
N(INDEX('PORTIFÓLIO'!$J$4:$Q$564,,MATCH(P$2,'PORTIFÓLIO'!$J$3:$Q$3,0))) *
N('PORTIFÓLIO'!$S$4:$S$564),
0
)
),
0)</f>
        <v/>
      </c>
      <c r="Q324" s="49">
        <f>P324/$P$4</f>
        <v/>
      </c>
      <c r="R324" s="49">
        <f>SUM(P324,N324,L324,J324,H324,D324,B324)</f>
        <v/>
      </c>
      <c r="S324" s="49">
        <f>R324/$R$4</f>
        <v/>
      </c>
    </row>
    <row r="325" hidden="1" outlineLevel="1" ht="15.75" customHeight="1" s="297">
      <c r="A325" s="48">
        <f>IFERROR(__xludf.DUMMYFUNCTION("""COMPUTED_VALUE"""),"MEES")</f>
        <v/>
      </c>
      <c r="B325" s="49">
        <f t="array" ref="B325">IFERROR(
SUM(
IF(
'PORTIFÓLIO'!$C$4:$C$564=$A325,
N(INDEX('PORTIFÓLIO'!$J$4:$Q$564,,MATCH(B$2,'PORTIFÓLIO'!$J$3:$Q$3,0))) *
N('PORTIFÓLIO'!$S$4:$S$564),
0
)
),
0)</f>
        <v/>
      </c>
      <c r="C325" s="49">
        <f>B325/$B$4</f>
        <v/>
      </c>
      <c r="D325" s="49">
        <f t="array" ref="D325">IFERROR(
SUM(
IF(
'PORTIFÓLIO'!$C$4:$C$564=$A325,
N(INDEX('PORTIFÓLIO'!$J$4:$Q$564,,MATCH(D$2,'PORTIFÓLIO'!$J$3:$Q$3,0))) *
N('PORTIFÓLIO'!$S$4:$S$564),
0
)
),
0)</f>
        <v/>
      </c>
      <c r="E325" s="49">
        <f>D325/$D$4</f>
        <v/>
      </c>
      <c r="F325" s="49">
        <f t="array" ref="F325">IFERROR(
SUM(
IF(
'PORTIFÓLIO'!$C$4:$C$564=$A325,
N(INDEX('PORTIFÓLIO'!$J$4:$Q$564,,MATCH(F$2,'PORTIFÓLIO'!$J$3:$Q$3,0))) *
N('PORTIFÓLIO'!$S$4:$S$564),
0
)
),
0)</f>
        <v/>
      </c>
      <c r="G325" s="47">
        <f>F325/$F$4</f>
        <v/>
      </c>
      <c r="H325" s="49">
        <f t="array" ref="H325">IFERROR(
SUM(
IF(
'PORTIFÓLIO'!$C$4:$C$564=$A325,
N(INDEX('PORTIFÓLIO'!$J$4:$Q$564,,MATCH(H$2,'PORTIFÓLIO'!$J$3:$Q$3,0))) *
N('PORTIFÓLIO'!$S$4:$S$564),
0
)
),
0)</f>
        <v/>
      </c>
      <c r="I325" s="47">
        <f>H325/$H$4</f>
        <v/>
      </c>
      <c r="J325" s="49">
        <f t="array" ref="J325">IFERROR(
SUM(
IF(
'PORTIFÓLIO'!$C$4:$C$564=$A325,
N(INDEX('PORTIFÓLIO'!$J$4:$Q$564,,MATCH(J$2,'PORTIFÓLIO'!$J$3:$Q$3,0))) *
N('PORTIFÓLIO'!$S$4:$S$564),
0
)
),
0)</f>
        <v/>
      </c>
      <c r="K325" s="47">
        <f>J325/$J$4</f>
        <v/>
      </c>
      <c r="L325" s="49">
        <f t="array" ref="L325">IFERROR(
SUM(
IF(
'PORTIFÓLIO'!$C$4:$C$564=$A325,
N(INDEX('PORTIFÓLIO'!$J$4:$Q$564,,MATCH(L$2,'PORTIFÓLIO'!$J$3:$Q$3,0))) *
N('PORTIFÓLIO'!$S$4:$S$564),
0
)
),
0)</f>
        <v/>
      </c>
      <c r="M325" s="47">
        <f>L325/$L$4</f>
        <v/>
      </c>
      <c r="N325" s="49">
        <f t="array" ref="N325">IFERROR(
SUM(
IF(
'PORTIFÓLIO'!$C$4:$C$564=$A325,
N(INDEX('PORTIFÓLIO'!$J$4:$Q$564,,MATCH(N$2,'PORTIFÓLIO'!$J$3:$Q$3,0))) *
N('PORTIFÓLIO'!$S$4:$S$564),
0
)
),
0)</f>
        <v/>
      </c>
      <c r="O325" s="49">
        <f>N325/$N$4</f>
        <v/>
      </c>
      <c r="P325" s="49">
        <f t="array" ref="P325">IFERROR(
SUM(
IF(
'PORTIFÓLIO'!$C$4:$C$564=$A325,
N(INDEX('PORTIFÓLIO'!$J$4:$Q$564,,MATCH(P$2,'PORTIFÓLIO'!$J$3:$Q$3,0))) *
N('PORTIFÓLIO'!$S$4:$S$564),
0
)
),
0)</f>
        <v/>
      </c>
      <c r="Q325" s="49">
        <f>P325/$P$4</f>
        <v/>
      </c>
      <c r="R325" s="49">
        <f>SUM(P325,N325,L325,J325,H325,D325,B325)</f>
        <v/>
      </c>
      <c r="S325" s="49">
        <f>R325/$R$4</f>
        <v/>
      </c>
    </row>
    <row r="326" hidden="1" outlineLevel="1" ht="15.75" customHeight="1" s="297">
      <c r="A326" s="48">
        <f>IFERROR(__xludf.DUMMYFUNCTION("""COMPUTED_VALUE"""),"AUREO")</f>
        <v/>
      </c>
      <c r="B326" s="49">
        <f t="array" ref="B326">IFERROR(
SUM(
IF(
'PORTIFÓLIO'!$C$4:$C$564=$A326,
N(INDEX('PORTIFÓLIO'!$J$4:$Q$564,,MATCH(B$2,'PORTIFÓLIO'!$J$3:$Q$3,0))) *
N('PORTIFÓLIO'!$S$4:$S$564),
0
)
),
0)</f>
        <v/>
      </c>
      <c r="C326" s="49">
        <f>B326/$B$4</f>
        <v/>
      </c>
      <c r="D326" s="49">
        <f t="array" ref="D326">IFERROR(
SUM(
IF(
'PORTIFÓLIO'!$C$4:$C$564=$A326,
N(INDEX('PORTIFÓLIO'!$J$4:$Q$564,,MATCH(D$2,'PORTIFÓLIO'!$J$3:$Q$3,0))) *
N('PORTIFÓLIO'!$S$4:$S$564),
0
)
),
0)</f>
        <v/>
      </c>
      <c r="E326" s="49">
        <f>D326/$D$4</f>
        <v/>
      </c>
      <c r="F326" s="49">
        <f t="array" ref="F326">IFERROR(
SUM(
IF(
'PORTIFÓLIO'!$C$4:$C$564=$A326,
N(INDEX('PORTIFÓLIO'!$J$4:$Q$564,,MATCH(F$2,'PORTIFÓLIO'!$J$3:$Q$3,0))) *
N('PORTIFÓLIO'!$S$4:$S$564),
0
)
),
0)</f>
        <v/>
      </c>
      <c r="G326" s="47">
        <f>F326/$F$4</f>
        <v/>
      </c>
      <c r="H326" s="49">
        <f t="array" ref="H326">IFERROR(
SUM(
IF(
'PORTIFÓLIO'!$C$4:$C$564=$A326,
N(INDEX('PORTIFÓLIO'!$J$4:$Q$564,,MATCH(H$2,'PORTIFÓLIO'!$J$3:$Q$3,0))) *
N('PORTIFÓLIO'!$S$4:$S$564),
0
)
),
0)</f>
        <v/>
      </c>
      <c r="I326" s="47">
        <f>H326/$H$4</f>
        <v/>
      </c>
      <c r="J326" s="49">
        <f t="array" ref="J326">IFERROR(
SUM(
IF(
'PORTIFÓLIO'!$C$4:$C$564=$A326,
N(INDEX('PORTIFÓLIO'!$J$4:$Q$564,,MATCH(J$2,'PORTIFÓLIO'!$J$3:$Q$3,0))) *
N('PORTIFÓLIO'!$S$4:$S$564),
0
)
),
0)</f>
        <v/>
      </c>
      <c r="K326" s="47">
        <f>J326/$J$4</f>
        <v/>
      </c>
      <c r="L326" s="49">
        <f t="array" ref="L326">IFERROR(
SUM(
IF(
'PORTIFÓLIO'!$C$4:$C$564=$A326,
N(INDEX('PORTIFÓLIO'!$J$4:$Q$564,,MATCH(L$2,'PORTIFÓLIO'!$J$3:$Q$3,0))) *
N('PORTIFÓLIO'!$S$4:$S$564),
0
)
),
0)</f>
        <v/>
      </c>
      <c r="M326" s="47">
        <f>L326/$L$4</f>
        <v/>
      </c>
      <c r="N326" s="49">
        <f t="array" ref="N326">IFERROR(
SUM(
IF(
'PORTIFÓLIO'!$C$4:$C$564=$A326,
N(INDEX('PORTIFÓLIO'!$J$4:$Q$564,,MATCH(N$2,'PORTIFÓLIO'!$J$3:$Q$3,0))) *
N('PORTIFÓLIO'!$S$4:$S$564),
0
)
),
0)</f>
        <v/>
      </c>
      <c r="O326" s="49">
        <f>N326/$N$4</f>
        <v/>
      </c>
      <c r="P326" s="49">
        <f t="array" ref="P326">IFERROR(
SUM(
IF(
'PORTIFÓLIO'!$C$4:$C$564=$A326,
N(INDEX('PORTIFÓLIO'!$J$4:$Q$564,,MATCH(P$2,'PORTIFÓLIO'!$J$3:$Q$3,0))) *
N('PORTIFÓLIO'!$S$4:$S$564),
0
)
),
0)</f>
        <v/>
      </c>
      <c r="Q326" s="49">
        <f>P326/$P$4</f>
        <v/>
      </c>
      <c r="R326" s="49">
        <f>SUM(P326,N326,L326,J326,H326,D326,B326)</f>
        <v/>
      </c>
      <c r="S326" s="49">
        <f>R326/$R$4</f>
        <v/>
      </c>
    </row>
    <row r="327" hidden="1" outlineLevel="1" ht="15.75" customHeight="1" s="297">
      <c r="A327" s="48">
        <f>IFERROR(__xludf.DUMMYFUNCTION("""COMPUTED_VALUE"""),"JOINT ULTRA")</f>
        <v/>
      </c>
      <c r="B327" s="49">
        <f t="array" ref="B327">IFERROR(
SUM(
IF(
'PORTIFÓLIO'!$C$4:$C$564=$A327,
N(INDEX('PORTIFÓLIO'!$J$4:$Q$564,,MATCH(B$2,'PORTIFÓLIO'!$J$3:$Q$3,0))) *
N('PORTIFÓLIO'!$S$4:$S$564),
0
)
),
0)</f>
        <v/>
      </c>
      <c r="C327" s="49">
        <f>B327/$B$4</f>
        <v/>
      </c>
      <c r="D327" s="49">
        <f t="array" ref="D327">IFERROR(
SUM(
IF(
'PORTIFÓLIO'!$C$4:$C$564=$A327,
N(INDEX('PORTIFÓLIO'!$J$4:$Q$564,,MATCH(D$2,'PORTIFÓLIO'!$J$3:$Q$3,0))) *
N('PORTIFÓLIO'!$S$4:$S$564),
0
)
),
0)</f>
        <v/>
      </c>
      <c r="E327" s="49">
        <f>D327/$D$4</f>
        <v/>
      </c>
      <c r="F327" s="49">
        <f t="array" ref="F327">IFERROR(
SUM(
IF(
'PORTIFÓLIO'!$C$4:$C$564=$A327,
N(INDEX('PORTIFÓLIO'!$J$4:$Q$564,,MATCH(F$2,'PORTIFÓLIO'!$J$3:$Q$3,0))) *
N('PORTIFÓLIO'!$S$4:$S$564),
0
)
),
0)</f>
        <v/>
      </c>
      <c r="G327" s="47">
        <f>F327/$F$4</f>
        <v/>
      </c>
      <c r="H327" s="49">
        <f t="array" ref="H327">IFERROR(
SUM(
IF(
'PORTIFÓLIO'!$C$4:$C$564=$A327,
N(INDEX('PORTIFÓLIO'!$J$4:$Q$564,,MATCH(H$2,'PORTIFÓLIO'!$J$3:$Q$3,0))) *
N('PORTIFÓLIO'!$S$4:$S$564),
0
)
),
0)</f>
        <v/>
      </c>
      <c r="I327" s="47">
        <f>H327/$H$4</f>
        <v/>
      </c>
      <c r="J327" s="49">
        <f t="array" ref="J327">IFERROR(
SUM(
IF(
'PORTIFÓLIO'!$C$4:$C$564=$A327,
N(INDEX('PORTIFÓLIO'!$J$4:$Q$564,,MATCH(J$2,'PORTIFÓLIO'!$J$3:$Q$3,0))) *
N('PORTIFÓLIO'!$S$4:$S$564),
0
)
),
0)</f>
        <v/>
      </c>
      <c r="K327" s="47">
        <f>J327/$J$4</f>
        <v/>
      </c>
      <c r="L327" s="49">
        <f t="array" ref="L327">IFERROR(
SUM(
IF(
'PORTIFÓLIO'!$C$4:$C$564=$A327,
N(INDEX('PORTIFÓLIO'!$J$4:$Q$564,,MATCH(L$2,'PORTIFÓLIO'!$J$3:$Q$3,0))) *
N('PORTIFÓLIO'!$S$4:$S$564),
0
)
),
0)</f>
        <v/>
      </c>
      <c r="M327" s="47">
        <f>L327/$L$4</f>
        <v/>
      </c>
      <c r="N327" s="49">
        <f t="array" ref="N327">IFERROR(
SUM(
IF(
'PORTIFÓLIO'!$C$4:$C$564=$A327,
N(INDEX('PORTIFÓLIO'!$J$4:$Q$564,,MATCH(N$2,'PORTIFÓLIO'!$J$3:$Q$3,0))) *
N('PORTIFÓLIO'!$S$4:$S$564),
0
)
),
0)</f>
        <v/>
      </c>
      <c r="O327" s="49">
        <f>N327/$N$4</f>
        <v/>
      </c>
      <c r="P327" s="49">
        <f t="array" ref="P327">IFERROR(
SUM(
IF(
'PORTIFÓLIO'!$C$4:$C$564=$A327,
N(INDEX('PORTIFÓLIO'!$J$4:$Q$564,,MATCH(P$2,'PORTIFÓLIO'!$J$3:$Q$3,0))) *
N('PORTIFÓLIO'!$S$4:$S$564),
0
)
),
0)</f>
        <v/>
      </c>
      <c r="Q327" s="49">
        <f>P327/$P$4</f>
        <v/>
      </c>
      <c r="R327" s="49">
        <f>SUM(P327,N327,L327,J327,H327,D327,B327)</f>
        <v/>
      </c>
      <c r="S327" s="49">
        <f>R327/$R$4</f>
        <v/>
      </c>
    </row>
    <row r="328" hidden="1" outlineLevel="1" ht="15.75" customHeight="1" s="297">
      <c r="A328" s="48">
        <f>IFERROR(__xludf.DUMMYFUNCTION("""COMPUTED_VALUE"""),"ADGREEN")</f>
        <v/>
      </c>
      <c r="B328" s="49">
        <f t="array" ref="B328">IFERROR(
SUM(
IF(
'PORTIFÓLIO'!$C$4:$C$564=$A328,
N(INDEX('PORTIFÓLIO'!$J$4:$Q$564,,MATCH(B$2,'PORTIFÓLIO'!$J$3:$Q$3,0))) *
N('PORTIFÓLIO'!$S$4:$S$564),
0
)
),
0)</f>
        <v/>
      </c>
      <c r="C328" s="49">
        <f>B328/$B$4</f>
        <v/>
      </c>
      <c r="D328" s="49">
        <f t="array" ref="D328">IFERROR(
SUM(
IF(
'PORTIFÓLIO'!$C$4:$C$564=$A328,
N(INDEX('PORTIFÓLIO'!$J$4:$Q$564,,MATCH(D$2,'PORTIFÓLIO'!$J$3:$Q$3,0))) *
N('PORTIFÓLIO'!$S$4:$S$564),
0
)
),
0)</f>
        <v/>
      </c>
      <c r="E328" s="49">
        <f>D328/$D$4</f>
        <v/>
      </c>
      <c r="F328" s="49">
        <f t="array" ref="F328">IFERROR(
SUM(
IF(
'PORTIFÓLIO'!$C$4:$C$564=$A328,
N(INDEX('PORTIFÓLIO'!$J$4:$Q$564,,MATCH(F$2,'PORTIFÓLIO'!$J$3:$Q$3,0))) *
N('PORTIFÓLIO'!$S$4:$S$564),
0
)
),
0)</f>
        <v/>
      </c>
      <c r="G328" s="47">
        <f>F328/$F$4</f>
        <v/>
      </c>
      <c r="H328" s="49">
        <f t="array" ref="H328">IFERROR(
SUM(
IF(
'PORTIFÓLIO'!$C$4:$C$564=$A328,
N(INDEX('PORTIFÓLIO'!$J$4:$Q$564,,MATCH(H$2,'PORTIFÓLIO'!$J$3:$Q$3,0))) *
N('PORTIFÓLIO'!$S$4:$S$564),
0
)
),
0)</f>
        <v/>
      </c>
      <c r="I328" s="47">
        <f>H328/$H$4</f>
        <v/>
      </c>
      <c r="J328" s="49">
        <f t="array" ref="J328">IFERROR(
SUM(
IF(
'PORTIFÓLIO'!$C$4:$C$564=$A328,
N(INDEX('PORTIFÓLIO'!$J$4:$Q$564,,MATCH(J$2,'PORTIFÓLIO'!$J$3:$Q$3,0))) *
N('PORTIFÓLIO'!$S$4:$S$564),
0
)
),
0)</f>
        <v/>
      </c>
      <c r="K328" s="47">
        <f>J328/$J$4</f>
        <v/>
      </c>
      <c r="L328" s="49">
        <f t="array" ref="L328">IFERROR(
SUM(
IF(
'PORTIFÓLIO'!$C$4:$C$564=$A328,
N(INDEX('PORTIFÓLIO'!$J$4:$Q$564,,MATCH(L$2,'PORTIFÓLIO'!$J$3:$Q$3,0))) *
N('PORTIFÓLIO'!$S$4:$S$564),
0
)
),
0)</f>
        <v/>
      </c>
      <c r="M328" s="47">
        <f>L328/$L$4</f>
        <v/>
      </c>
      <c r="N328" s="49">
        <f t="array" ref="N328">IFERROR(
SUM(
IF(
'PORTIFÓLIO'!$C$4:$C$564=$A328,
N(INDEX('PORTIFÓLIO'!$J$4:$Q$564,,MATCH(N$2,'PORTIFÓLIO'!$J$3:$Q$3,0))) *
N('PORTIFÓLIO'!$S$4:$S$564),
0
)
),
0)</f>
        <v/>
      </c>
      <c r="O328" s="49">
        <f>N328/$N$4</f>
        <v/>
      </c>
      <c r="P328" s="49">
        <f t="array" ref="P328">IFERROR(
SUM(
IF(
'PORTIFÓLIO'!$C$4:$C$564=$A328,
N(INDEX('PORTIFÓLIO'!$J$4:$Q$564,,MATCH(P$2,'PORTIFÓLIO'!$J$3:$Q$3,0))) *
N('PORTIFÓLIO'!$S$4:$S$564),
0
)
),
0)</f>
        <v/>
      </c>
      <c r="Q328" s="49">
        <f>P328/$P$4</f>
        <v/>
      </c>
      <c r="R328" s="49">
        <f>SUM(P328,N328,L328,J328,H328,D328,B328)</f>
        <v/>
      </c>
      <c r="S328" s="49">
        <f>R328/$R$4</f>
        <v/>
      </c>
    </row>
    <row r="329" hidden="1" outlineLevel="1" ht="15.75" customHeight="1" s="297">
      <c r="A329" s="48">
        <f>IFERROR(__xludf.DUMMYFUNCTION("""COMPUTED_VALUE"""),"ENERGIC")</f>
        <v/>
      </c>
      <c r="B329" s="49">
        <f t="array" ref="B329">IFERROR(
SUM(
IF(
'PORTIFÓLIO'!$C$4:$C$564=$A329,
N(INDEX('PORTIFÓLIO'!$J$4:$Q$564,,MATCH(B$2,'PORTIFÓLIO'!$J$3:$Q$3,0))) *
N('PORTIFÓLIO'!$S$4:$S$564),
0
)
),
0)</f>
        <v/>
      </c>
      <c r="C329" s="49">
        <f>B329/$B$4</f>
        <v/>
      </c>
      <c r="D329" s="49">
        <f t="array" ref="D329">IFERROR(
SUM(
IF(
'PORTIFÓLIO'!$C$4:$C$564=$A329,
N(INDEX('PORTIFÓLIO'!$J$4:$Q$564,,MATCH(D$2,'PORTIFÓLIO'!$J$3:$Q$3,0))) *
N('PORTIFÓLIO'!$S$4:$S$564),
0
)
),
0)</f>
        <v/>
      </c>
      <c r="E329" s="49">
        <f>D329/$D$4</f>
        <v/>
      </c>
      <c r="F329" s="49">
        <f t="array" ref="F329">IFERROR(
SUM(
IF(
'PORTIFÓLIO'!$C$4:$C$564=$A329,
N(INDEX('PORTIFÓLIO'!$J$4:$Q$564,,MATCH(F$2,'PORTIFÓLIO'!$J$3:$Q$3,0))) *
N('PORTIFÓLIO'!$S$4:$S$564),
0
)
),
0)</f>
        <v/>
      </c>
      <c r="G329" s="47">
        <f>F329/$F$4</f>
        <v/>
      </c>
      <c r="H329" s="49">
        <f t="array" ref="H329">IFERROR(
SUM(
IF(
'PORTIFÓLIO'!$C$4:$C$564=$A329,
N(INDEX('PORTIFÓLIO'!$J$4:$Q$564,,MATCH(H$2,'PORTIFÓLIO'!$J$3:$Q$3,0))) *
N('PORTIFÓLIO'!$S$4:$S$564),
0
)
),
0)</f>
        <v/>
      </c>
      <c r="I329" s="47">
        <f>H329/$H$4</f>
        <v/>
      </c>
      <c r="J329" s="49">
        <f t="array" ref="J329">IFERROR(
SUM(
IF(
'PORTIFÓLIO'!$C$4:$C$564=$A329,
N(INDEX('PORTIFÓLIO'!$J$4:$Q$564,,MATCH(J$2,'PORTIFÓLIO'!$J$3:$Q$3,0))) *
N('PORTIFÓLIO'!$S$4:$S$564),
0
)
),
0)</f>
        <v/>
      </c>
      <c r="K329" s="47">
        <f>J329/$J$4</f>
        <v/>
      </c>
      <c r="L329" s="49">
        <f t="array" ref="L329">IFERROR(
SUM(
IF(
'PORTIFÓLIO'!$C$4:$C$564=$A329,
N(INDEX('PORTIFÓLIO'!$J$4:$Q$564,,MATCH(L$2,'PORTIFÓLIO'!$J$3:$Q$3,0))) *
N('PORTIFÓLIO'!$S$4:$S$564),
0
)
),
0)</f>
        <v/>
      </c>
      <c r="M329" s="47">
        <f>L329/$L$4</f>
        <v/>
      </c>
      <c r="N329" s="49">
        <f t="array" ref="N329">IFERROR(
SUM(
IF(
'PORTIFÓLIO'!$C$4:$C$564=$A329,
N(INDEX('PORTIFÓLIO'!$J$4:$Q$564,,MATCH(N$2,'PORTIFÓLIO'!$J$3:$Q$3,0))) *
N('PORTIFÓLIO'!$S$4:$S$564),
0
)
),
0)</f>
        <v/>
      </c>
      <c r="O329" s="49">
        <f>N329/$N$4</f>
        <v/>
      </c>
      <c r="P329" s="49">
        <f t="array" ref="P329">IFERROR(
SUM(
IF(
'PORTIFÓLIO'!$C$4:$C$564=$A329,
N(INDEX('PORTIFÓLIO'!$J$4:$Q$564,,MATCH(P$2,'PORTIFÓLIO'!$J$3:$Q$3,0))) *
N('PORTIFÓLIO'!$S$4:$S$564),
0
)
),
0)</f>
        <v/>
      </c>
      <c r="Q329" s="49">
        <f>P329/$P$4</f>
        <v/>
      </c>
      <c r="R329" s="49">
        <f>SUM(P329,N329,L329,J329,H329,D329,B329)</f>
        <v/>
      </c>
      <c r="S329" s="49">
        <f>R329/$R$4</f>
        <v/>
      </c>
    </row>
    <row r="330" hidden="1" outlineLevel="1" ht="15.75" customHeight="1" s="297">
      <c r="A330" s="48">
        <f>IFERROR(__xludf.DUMMYFUNCTION("""COMPUTED_VALUE"""),"EXTRAVON")</f>
        <v/>
      </c>
      <c r="B330" s="49">
        <f t="array" ref="B330">IFERROR(
SUM(
IF(
'PORTIFÓLIO'!$C$4:$C$564=$A330,
N(INDEX('PORTIFÓLIO'!$J$4:$Q$564,,MATCH(B$2,'PORTIFÓLIO'!$J$3:$Q$3,0))) *
N('PORTIFÓLIO'!$S$4:$S$564),
0
)
),
0)</f>
        <v/>
      </c>
      <c r="C330" s="49">
        <f>B330/$B$4</f>
        <v/>
      </c>
      <c r="D330" s="49">
        <f t="array" ref="D330">IFERROR(
SUM(
IF(
'PORTIFÓLIO'!$C$4:$C$564=$A330,
N(INDEX('PORTIFÓLIO'!$J$4:$Q$564,,MATCH(D$2,'PORTIFÓLIO'!$J$3:$Q$3,0))) *
N('PORTIFÓLIO'!$S$4:$S$564),
0
)
),
0)</f>
        <v/>
      </c>
      <c r="E330" s="49">
        <f>D330/$D$4</f>
        <v/>
      </c>
      <c r="F330" s="49">
        <f t="array" ref="F330">IFERROR(
SUM(
IF(
'PORTIFÓLIO'!$C$4:$C$564=$A330,
N(INDEX('PORTIFÓLIO'!$J$4:$Q$564,,MATCH(F$2,'PORTIFÓLIO'!$J$3:$Q$3,0))) *
N('PORTIFÓLIO'!$S$4:$S$564),
0
)
),
0)</f>
        <v/>
      </c>
      <c r="G330" s="47">
        <f>F330/$F$4</f>
        <v/>
      </c>
      <c r="H330" s="49">
        <f t="array" ref="H330">IFERROR(
SUM(
IF(
'PORTIFÓLIO'!$C$4:$C$564=$A330,
N(INDEX('PORTIFÓLIO'!$J$4:$Q$564,,MATCH(H$2,'PORTIFÓLIO'!$J$3:$Q$3,0))) *
N('PORTIFÓLIO'!$S$4:$S$564),
0
)
),
0)</f>
        <v/>
      </c>
      <c r="I330" s="47">
        <f>H330/$H$4</f>
        <v/>
      </c>
      <c r="J330" s="49">
        <f t="array" ref="J330">IFERROR(
SUM(
IF(
'PORTIFÓLIO'!$C$4:$C$564=$A330,
N(INDEX('PORTIFÓLIO'!$J$4:$Q$564,,MATCH(J$2,'PORTIFÓLIO'!$J$3:$Q$3,0))) *
N('PORTIFÓLIO'!$S$4:$S$564),
0
)
),
0)</f>
        <v/>
      </c>
      <c r="K330" s="47">
        <f>J330/$J$4</f>
        <v/>
      </c>
      <c r="L330" s="49">
        <f t="array" ref="L330">IFERROR(
SUM(
IF(
'PORTIFÓLIO'!$C$4:$C$564=$A330,
N(INDEX('PORTIFÓLIO'!$J$4:$Q$564,,MATCH(L$2,'PORTIFÓLIO'!$J$3:$Q$3,0))) *
N('PORTIFÓLIO'!$S$4:$S$564),
0
)
),
0)</f>
        <v/>
      </c>
      <c r="M330" s="47">
        <f>L330/$L$4</f>
        <v/>
      </c>
      <c r="N330" s="49">
        <f t="array" ref="N330">IFERROR(
SUM(
IF(
'PORTIFÓLIO'!$C$4:$C$564=$A330,
N(INDEX('PORTIFÓLIO'!$J$4:$Q$564,,MATCH(N$2,'PORTIFÓLIO'!$J$3:$Q$3,0))) *
N('PORTIFÓLIO'!$S$4:$S$564),
0
)
),
0)</f>
        <v/>
      </c>
      <c r="O330" s="49">
        <f>N330/$N$4</f>
        <v/>
      </c>
      <c r="P330" s="49">
        <f t="array" ref="P330">IFERROR(
SUM(
IF(
'PORTIFÓLIO'!$C$4:$C$564=$A330,
N(INDEX('PORTIFÓLIO'!$J$4:$Q$564,,MATCH(P$2,'PORTIFÓLIO'!$J$3:$Q$3,0))) *
N('PORTIFÓLIO'!$S$4:$S$564),
0
)
),
0)</f>
        <v/>
      </c>
      <c r="Q330" s="49">
        <f>P330/$P$4</f>
        <v/>
      </c>
      <c r="R330" s="49">
        <f>SUM(P330,N330,L330,J330,H330,D330,B330)</f>
        <v/>
      </c>
      <c r="S330" s="49">
        <f>R330/$R$4</f>
        <v/>
      </c>
    </row>
    <row r="331" hidden="1" outlineLevel="1" ht="15.75" customHeight="1" s="297">
      <c r="A331" s="48">
        <f>IFERROR(__xludf.DUMMYFUNCTION("""COMPUTED_VALUE"""),"OCHIMA")</f>
        <v/>
      </c>
      <c r="B331" s="49">
        <f t="array" ref="B331">IFERROR(
SUM(
IF(
'PORTIFÓLIO'!$C$4:$C$564=$A331,
N(INDEX('PORTIFÓLIO'!$J$4:$Q$564,,MATCH(B$2,'PORTIFÓLIO'!$J$3:$Q$3,0))) *
N('PORTIFÓLIO'!$S$4:$S$564),
0
)
),
0)</f>
        <v/>
      </c>
      <c r="C331" s="49">
        <f>B331/$B$4</f>
        <v/>
      </c>
      <c r="D331" s="49">
        <f t="array" ref="D331">IFERROR(
SUM(
IF(
'PORTIFÓLIO'!$C$4:$C$564=$A331,
N(INDEX('PORTIFÓLIO'!$J$4:$Q$564,,MATCH(D$2,'PORTIFÓLIO'!$J$3:$Q$3,0))) *
N('PORTIFÓLIO'!$S$4:$S$564),
0
)
),
0)</f>
        <v/>
      </c>
      <c r="E331" s="49">
        <f>D331/$D$4</f>
        <v/>
      </c>
      <c r="F331" s="49">
        <f t="array" ref="F331">IFERROR(
SUM(
IF(
'PORTIFÓLIO'!$C$4:$C$564=$A331,
N(INDEX('PORTIFÓLIO'!$J$4:$Q$564,,MATCH(F$2,'PORTIFÓLIO'!$J$3:$Q$3,0))) *
N('PORTIFÓLIO'!$S$4:$S$564),
0
)
),
0)</f>
        <v/>
      </c>
      <c r="G331" s="47">
        <f>F331/$F$4</f>
        <v/>
      </c>
      <c r="H331" s="49">
        <f t="array" ref="H331">IFERROR(
SUM(
IF(
'PORTIFÓLIO'!$C$4:$C$564=$A331,
N(INDEX('PORTIFÓLIO'!$J$4:$Q$564,,MATCH(H$2,'PORTIFÓLIO'!$J$3:$Q$3,0))) *
N('PORTIFÓLIO'!$S$4:$S$564),
0
)
),
0)</f>
        <v/>
      </c>
      <c r="I331" s="47">
        <f>H331/$H$4</f>
        <v/>
      </c>
      <c r="J331" s="49">
        <f t="array" ref="J331">IFERROR(
SUM(
IF(
'PORTIFÓLIO'!$C$4:$C$564=$A331,
N(INDEX('PORTIFÓLIO'!$J$4:$Q$564,,MATCH(J$2,'PORTIFÓLIO'!$J$3:$Q$3,0))) *
N('PORTIFÓLIO'!$S$4:$S$564),
0
)
),
0)</f>
        <v/>
      </c>
      <c r="K331" s="47">
        <f>J331/$J$4</f>
        <v/>
      </c>
      <c r="L331" s="49">
        <f t="array" ref="L331">IFERROR(
SUM(
IF(
'PORTIFÓLIO'!$C$4:$C$564=$A331,
N(INDEX('PORTIFÓLIO'!$J$4:$Q$564,,MATCH(L$2,'PORTIFÓLIO'!$J$3:$Q$3,0))) *
N('PORTIFÓLIO'!$S$4:$S$564),
0
)
),
0)</f>
        <v/>
      </c>
      <c r="M331" s="47">
        <f>L331/$L$4</f>
        <v/>
      </c>
      <c r="N331" s="49">
        <f t="array" ref="N331">IFERROR(
SUM(
IF(
'PORTIFÓLIO'!$C$4:$C$564=$A331,
N(INDEX('PORTIFÓLIO'!$J$4:$Q$564,,MATCH(N$2,'PORTIFÓLIO'!$J$3:$Q$3,0))) *
N('PORTIFÓLIO'!$S$4:$S$564),
0
)
),
0)</f>
        <v/>
      </c>
      <c r="O331" s="49">
        <f>N331/$N$4</f>
        <v/>
      </c>
      <c r="P331" s="49">
        <f t="array" ref="P331">IFERROR(
SUM(
IF(
'PORTIFÓLIO'!$C$4:$C$564=$A331,
N(INDEX('PORTIFÓLIO'!$J$4:$Q$564,,MATCH(P$2,'PORTIFÓLIO'!$J$3:$Q$3,0))) *
N('PORTIFÓLIO'!$S$4:$S$564),
0
)
),
0)</f>
        <v/>
      </c>
      <c r="Q331" s="49">
        <f>P331/$P$4</f>
        <v/>
      </c>
      <c r="R331" s="49">
        <f>SUM(P331,N331,L331,J331,H331,D331,B331)</f>
        <v/>
      </c>
      <c r="S331" s="49">
        <f>R331/$R$4</f>
        <v/>
      </c>
    </row>
    <row r="332" hidden="1" outlineLevel="1" ht="15.75" customHeight="1" s="297">
      <c r="A332" s="48" t="n"/>
      <c r="B332" s="49">
        <f t="array" ref="B332">IFERROR(
SUM(
IF(
'PORTIFÓLIO'!$C$4:$C$564=$A332,
N(INDEX('PORTIFÓLIO'!$J$4:$Q$564,,MATCH(B$2,'PORTIFÓLIO'!$J$3:$Q$3,0))) *
N('PORTIFÓLIO'!$S$4:$S$564),
0
)
),
0)</f>
        <v/>
      </c>
      <c r="C332" s="49">
        <f>B332/$B$4</f>
        <v/>
      </c>
      <c r="D332" s="49">
        <f t="array" ref="D332">IFERROR(
SUM(
IF(
'PORTIFÓLIO'!$C$4:$C$564=$A332,
N(INDEX('PORTIFÓLIO'!$J$4:$Q$564,,MATCH(D$2,'PORTIFÓLIO'!$J$3:$Q$3,0))) *
N('PORTIFÓLIO'!$S$4:$S$564),
0
)
),
0)</f>
        <v/>
      </c>
      <c r="E332" s="49">
        <f>D332/$D$4</f>
        <v/>
      </c>
      <c r="F332" s="49">
        <f t="array" ref="F332">IFERROR(
SUM(
IF(
'PORTIFÓLIO'!$C$4:$C$564=$A332,
N(INDEX('PORTIFÓLIO'!$J$4:$Q$564,,MATCH(F$2,'PORTIFÓLIO'!$J$3:$Q$3,0))) *
N('PORTIFÓLIO'!$S$4:$S$564),
0
)
),
0)</f>
        <v/>
      </c>
      <c r="G332" s="47">
        <f>F332/$F$4</f>
        <v/>
      </c>
      <c r="H332" s="49">
        <f t="array" ref="H332">IFERROR(
SUM(
IF(
'PORTIFÓLIO'!$C$4:$C$564=$A332,
N(INDEX('PORTIFÓLIO'!$J$4:$Q$564,,MATCH(H$2,'PORTIFÓLIO'!$J$3:$Q$3,0))) *
N('PORTIFÓLIO'!$S$4:$S$564),
0
)
),
0)</f>
        <v/>
      </c>
      <c r="I332" s="47">
        <f>H332/$H$4</f>
        <v/>
      </c>
      <c r="J332" s="49">
        <f t="array" ref="J332">IFERROR(
SUM(
IF(
'PORTIFÓLIO'!$C$4:$C$564=$A332,
N(INDEX('PORTIFÓLIO'!$J$4:$Q$564,,MATCH(J$2,'PORTIFÓLIO'!$J$3:$Q$3,0))) *
N('PORTIFÓLIO'!$S$4:$S$564),
0
)
),
0)</f>
        <v/>
      </c>
      <c r="K332" s="47">
        <f>J332/$J$4</f>
        <v/>
      </c>
      <c r="L332" s="49">
        <f t="array" ref="L332">IFERROR(
SUM(
IF(
'PORTIFÓLIO'!$C$4:$C$564=$A332,
N(INDEX('PORTIFÓLIO'!$J$4:$Q$564,,MATCH(L$2,'PORTIFÓLIO'!$J$3:$Q$3,0))) *
N('PORTIFÓLIO'!$S$4:$S$564),
0
)
),
0)</f>
        <v/>
      </c>
      <c r="M332" s="47">
        <f>L332/$L$4</f>
        <v/>
      </c>
      <c r="N332" s="49">
        <f t="array" ref="N332">IFERROR(
SUM(
IF(
'PORTIFÓLIO'!$C$4:$C$564=$A332,
N(INDEX('PORTIFÓLIO'!$J$4:$Q$564,,MATCH(N$2,'PORTIFÓLIO'!$J$3:$Q$3,0))) *
N('PORTIFÓLIO'!$S$4:$S$564),
0
)
),
0)</f>
        <v/>
      </c>
      <c r="O332" s="49">
        <f>N332/$N$4</f>
        <v/>
      </c>
      <c r="P332" s="49">
        <f t="array" ref="P332">IFERROR(
SUM(
IF(
'PORTIFÓLIO'!$C$4:$C$564=$A332,
N(INDEX('PORTIFÓLIO'!$J$4:$Q$564,,MATCH(P$2,'PORTIFÓLIO'!$J$3:$Q$3,0))) *
N('PORTIFÓLIO'!$S$4:$S$564),
0
)
),
0)</f>
        <v/>
      </c>
      <c r="Q332" s="49">
        <f>P332/$P$4</f>
        <v/>
      </c>
      <c r="R332" s="49">
        <f>SUM(P332,N332,L332,J332,H332,D332,B332)</f>
        <v/>
      </c>
      <c r="S332" s="49">
        <f>R332/$R$4</f>
        <v/>
      </c>
    </row>
    <row r="333" hidden="1" outlineLevel="1" ht="15.75" customHeight="1" s="297">
      <c r="A333" s="48" t="n"/>
      <c r="B333" s="49">
        <f t="array" ref="B333">IFERROR(
SUM(
IF(
'PORTIFÓLIO'!$C$4:$C$564=$A333,
N(INDEX('PORTIFÓLIO'!$J$4:$Q$564,,MATCH(B$2,'PORTIFÓLIO'!$J$3:$Q$3,0))) *
N('PORTIFÓLIO'!$S$4:$S$564),
0
)
),
0)</f>
        <v/>
      </c>
      <c r="C333" s="49">
        <f>B333/$B$4</f>
        <v/>
      </c>
      <c r="D333" s="49">
        <f t="array" ref="D333">IFERROR(
SUM(
IF(
'PORTIFÓLIO'!$C$4:$C$564=$A333,
N(INDEX('PORTIFÓLIO'!$J$4:$Q$564,,MATCH(D$2,'PORTIFÓLIO'!$J$3:$Q$3,0))) *
N('PORTIFÓLIO'!$S$4:$S$564),
0
)
),
0)</f>
        <v/>
      </c>
      <c r="E333" s="49">
        <f>D333/$D$4</f>
        <v/>
      </c>
      <c r="F333" s="49">
        <f t="array" ref="F333">IFERROR(
SUM(
IF(
'PORTIFÓLIO'!$C$4:$C$564=$A333,
N(INDEX('PORTIFÓLIO'!$J$4:$Q$564,,MATCH(F$2,'PORTIFÓLIO'!$J$3:$Q$3,0))) *
N('PORTIFÓLIO'!$S$4:$S$564),
0
)
),
0)</f>
        <v/>
      </c>
      <c r="G333" s="47">
        <f>F333/$F$4</f>
        <v/>
      </c>
      <c r="H333" s="49">
        <f t="array" ref="H333">IFERROR(
SUM(
IF(
'PORTIFÓLIO'!$C$4:$C$564=$A333,
N(INDEX('PORTIFÓLIO'!$J$4:$Q$564,,MATCH(H$2,'PORTIFÓLIO'!$J$3:$Q$3,0))) *
N('PORTIFÓLIO'!$S$4:$S$564),
0
)
),
0)</f>
        <v/>
      </c>
      <c r="I333" s="47">
        <f>H333/$H$4</f>
        <v/>
      </c>
      <c r="J333" s="49">
        <f t="array" ref="J333">IFERROR(
SUM(
IF(
'PORTIFÓLIO'!$C$4:$C$564=$A333,
N(INDEX('PORTIFÓLIO'!$J$4:$Q$564,,MATCH(J$2,'PORTIFÓLIO'!$J$3:$Q$3,0))) *
N('PORTIFÓLIO'!$S$4:$S$564),
0
)
),
0)</f>
        <v/>
      </c>
      <c r="K333" s="47">
        <f>J333/$J$4</f>
        <v/>
      </c>
      <c r="L333" s="49">
        <f t="array" ref="L333">IFERROR(
SUM(
IF(
'PORTIFÓLIO'!$C$4:$C$564=$A333,
N(INDEX('PORTIFÓLIO'!$J$4:$Q$564,,MATCH(L$2,'PORTIFÓLIO'!$J$3:$Q$3,0))) *
N('PORTIFÓLIO'!$S$4:$S$564),
0
)
),
0)</f>
        <v/>
      </c>
      <c r="M333" s="47">
        <f>L333/$L$4</f>
        <v/>
      </c>
      <c r="N333" s="49">
        <f t="array" ref="N333">IFERROR(
SUM(
IF(
'PORTIFÓLIO'!$C$4:$C$564=$A333,
N(INDEX('PORTIFÓLIO'!$J$4:$Q$564,,MATCH(N$2,'PORTIFÓLIO'!$J$3:$Q$3,0))) *
N('PORTIFÓLIO'!$S$4:$S$564),
0
)
),
0)</f>
        <v/>
      </c>
      <c r="O333" s="49">
        <f>N333/$N$4</f>
        <v/>
      </c>
      <c r="P333" s="49">
        <f t="array" ref="P333">IFERROR(
SUM(
IF(
'PORTIFÓLIO'!$C$4:$C$564=$A333,
N(INDEX('PORTIFÓLIO'!$J$4:$Q$564,,MATCH(P$2,'PORTIFÓLIO'!$J$3:$Q$3,0))) *
N('PORTIFÓLIO'!$S$4:$S$564),
0
)
),
0)</f>
        <v/>
      </c>
      <c r="Q333" s="49">
        <f>P333/$P$4</f>
        <v/>
      </c>
      <c r="R333" s="49">
        <f>SUM(P333,N333,L333,J333,H333,D333,B333)</f>
        <v/>
      </c>
      <c r="S333" s="49">
        <f>R333/$R$4</f>
        <v/>
      </c>
    </row>
    <row r="334" hidden="1" outlineLevel="1" ht="15.75" customHeight="1" s="297">
      <c r="A334" s="48" t="n"/>
      <c r="B334" s="49">
        <f t="array" ref="B334">IFERROR(
SUM(
IF(
'PORTIFÓLIO'!$C$4:$C$564=$A334,
N(INDEX('PORTIFÓLIO'!$J$4:$Q$564,,MATCH(B$2,'PORTIFÓLIO'!$J$3:$Q$3,0))) *
N('PORTIFÓLIO'!$S$4:$S$564),
0
)
),
0)</f>
        <v/>
      </c>
      <c r="C334" s="49">
        <f>B334/$B$4</f>
        <v/>
      </c>
      <c r="D334" s="49">
        <f t="array" ref="D334">IFERROR(
SUM(
IF(
'PORTIFÓLIO'!$C$4:$C$564=$A334,
N(INDEX('PORTIFÓLIO'!$J$4:$Q$564,,MATCH(D$2,'PORTIFÓLIO'!$J$3:$Q$3,0))) *
N('PORTIFÓLIO'!$S$4:$S$564),
0
)
),
0)</f>
        <v/>
      </c>
      <c r="E334" s="49">
        <f>D334/$D$4</f>
        <v/>
      </c>
      <c r="F334" s="49">
        <f t="array" ref="F334">IFERROR(
SUM(
IF(
'PORTIFÓLIO'!$C$4:$C$564=$A334,
N(INDEX('PORTIFÓLIO'!$J$4:$Q$564,,MATCH(F$2,'PORTIFÓLIO'!$J$3:$Q$3,0))) *
N('PORTIFÓLIO'!$S$4:$S$564),
0
)
),
0)</f>
        <v/>
      </c>
      <c r="G334" s="47">
        <f>F334/$F$4</f>
        <v/>
      </c>
      <c r="H334" s="49">
        <f t="array" ref="H334">IFERROR(
SUM(
IF(
'PORTIFÓLIO'!$C$4:$C$564=$A334,
N(INDEX('PORTIFÓLIO'!$J$4:$Q$564,,MATCH(H$2,'PORTIFÓLIO'!$J$3:$Q$3,0))) *
N('PORTIFÓLIO'!$S$4:$S$564),
0
)
),
0)</f>
        <v/>
      </c>
      <c r="I334" s="47">
        <f>H334/$H$4</f>
        <v/>
      </c>
      <c r="J334" s="49">
        <f t="array" ref="J334">IFERROR(
SUM(
IF(
'PORTIFÓLIO'!$C$4:$C$564=$A334,
N(INDEX('PORTIFÓLIO'!$J$4:$Q$564,,MATCH(J$2,'PORTIFÓLIO'!$J$3:$Q$3,0))) *
N('PORTIFÓLIO'!$S$4:$S$564),
0
)
),
0)</f>
        <v/>
      </c>
      <c r="K334" s="47">
        <f>J334/$J$4</f>
        <v/>
      </c>
      <c r="L334" s="49">
        <f t="array" ref="L334">IFERROR(
SUM(
IF(
'PORTIFÓLIO'!$C$4:$C$564=$A334,
N(INDEX('PORTIFÓLIO'!$J$4:$Q$564,,MATCH(L$2,'PORTIFÓLIO'!$J$3:$Q$3,0))) *
N('PORTIFÓLIO'!$S$4:$S$564),
0
)
),
0)</f>
        <v/>
      </c>
      <c r="M334" s="47">
        <f>L334/$L$4</f>
        <v/>
      </c>
      <c r="N334" s="49">
        <f t="array" ref="N334">IFERROR(
SUM(
IF(
'PORTIFÓLIO'!$C$4:$C$564=$A334,
N(INDEX('PORTIFÓLIO'!$J$4:$Q$564,,MATCH(N$2,'PORTIFÓLIO'!$J$3:$Q$3,0))) *
N('PORTIFÓLIO'!$S$4:$S$564),
0
)
),
0)</f>
        <v/>
      </c>
      <c r="O334" s="49">
        <f>N334/$N$4</f>
        <v/>
      </c>
      <c r="P334" s="49">
        <f t="array" ref="P334">IFERROR(
SUM(
IF(
'PORTIFÓLIO'!$C$4:$C$564=$A334,
N(INDEX('PORTIFÓLIO'!$J$4:$Q$564,,MATCH(P$2,'PORTIFÓLIO'!$J$3:$Q$3,0))) *
N('PORTIFÓLIO'!$S$4:$S$564),
0
)
),
0)</f>
        <v/>
      </c>
      <c r="Q334" s="49">
        <f>P334/$P$4</f>
        <v/>
      </c>
      <c r="R334" s="49">
        <f>SUM(P334,N334,L334,J334,H334,D334,B334)</f>
        <v/>
      </c>
      <c r="S334" s="49">
        <f>R334/$R$4</f>
        <v/>
      </c>
    </row>
    <row r="335" hidden="1" outlineLevel="1" ht="15.75" customHeight="1" s="297">
      <c r="A335" s="48" t="n"/>
      <c r="B335" s="49">
        <f t="array" ref="B335">IFERROR(
SUM(
IF(
'PORTIFÓLIO'!$C$4:$C$564=$A335,
N(INDEX('PORTIFÓLIO'!$J$4:$Q$564,,MATCH(B$2,'PORTIFÓLIO'!$J$3:$Q$3,0))) *
N('PORTIFÓLIO'!$S$4:$S$564),
0
)
),
0)</f>
        <v/>
      </c>
      <c r="C335" s="49">
        <f>B335/$B$4</f>
        <v/>
      </c>
      <c r="D335" s="49">
        <f t="array" ref="D335">IFERROR(
SUM(
IF(
'PORTIFÓLIO'!$C$4:$C$564=$A335,
N(INDEX('PORTIFÓLIO'!$J$4:$Q$564,,MATCH(D$2,'PORTIFÓLIO'!$J$3:$Q$3,0))) *
N('PORTIFÓLIO'!$S$4:$S$564),
0
)
),
0)</f>
        <v/>
      </c>
      <c r="E335" s="49">
        <f>D335/$D$4</f>
        <v/>
      </c>
      <c r="F335" s="49">
        <f t="array" ref="F335">IFERROR(
SUM(
IF(
'PORTIFÓLIO'!$C$4:$C$564=$A335,
N(INDEX('PORTIFÓLIO'!$J$4:$Q$564,,MATCH(F$2,'PORTIFÓLIO'!$J$3:$Q$3,0))) *
N('PORTIFÓLIO'!$S$4:$S$564),
0
)
),
0)</f>
        <v/>
      </c>
      <c r="G335" s="47">
        <f>F335/$F$4</f>
        <v/>
      </c>
      <c r="H335" s="49">
        <f t="array" ref="H335">IFERROR(
SUM(
IF(
'PORTIFÓLIO'!$C$4:$C$564=$A335,
N(INDEX('PORTIFÓLIO'!$J$4:$Q$564,,MATCH(H$2,'PORTIFÓLIO'!$J$3:$Q$3,0))) *
N('PORTIFÓLIO'!$S$4:$S$564),
0
)
),
0)</f>
        <v/>
      </c>
      <c r="I335" s="47">
        <f>H335/$H$4</f>
        <v/>
      </c>
      <c r="J335" s="49">
        <f t="array" ref="J335">IFERROR(
SUM(
IF(
'PORTIFÓLIO'!$C$4:$C$564=$A335,
N(INDEX('PORTIFÓLIO'!$J$4:$Q$564,,MATCH(J$2,'PORTIFÓLIO'!$J$3:$Q$3,0))) *
N('PORTIFÓLIO'!$S$4:$S$564),
0
)
),
0)</f>
        <v/>
      </c>
      <c r="K335" s="47">
        <f>J335/$J$4</f>
        <v/>
      </c>
      <c r="L335" s="49">
        <f t="array" ref="L335">IFERROR(
SUM(
IF(
'PORTIFÓLIO'!$C$4:$C$564=$A335,
N(INDEX('PORTIFÓLIO'!$J$4:$Q$564,,MATCH(L$2,'PORTIFÓLIO'!$J$3:$Q$3,0))) *
N('PORTIFÓLIO'!$S$4:$S$564),
0
)
),
0)</f>
        <v/>
      </c>
      <c r="M335" s="47">
        <f>L335/$L$4</f>
        <v/>
      </c>
      <c r="N335" s="49">
        <f t="array" ref="N335">IFERROR(
SUM(
IF(
'PORTIFÓLIO'!$C$4:$C$564=$A335,
N(INDEX('PORTIFÓLIO'!$J$4:$Q$564,,MATCH(N$2,'PORTIFÓLIO'!$J$3:$Q$3,0))) *
N('PORTIFÓLIO'!$S$4:$S$564),
0
)
),
0)</f>
        <v/>
      </c>
      <c r="O335" s="49">
        <f>N335/$N$4</f>
        <v/>
      </c>
      <c r="P335" s="49">
        <f t="array" ref="P335">IFERROR(
SUM(
IF(
'PORTIFÓLIO'!$C$4:$C$564=$A335,
N(INDEX('PORTIFÓLIO'!$J$4:$Q$564,,MATCH(P$2,'PORTIFÓLIO'!$J$3:$Q$3,0))) *
N('PORTIFÓLIO'!$S$4:$S$564),
0
)
),
0)</f>
        <v/>
      </c>
      <c r="Q335" s="49">
        <f>P335/$P$4</f>
        <v/>
      </c>
      <c r="R335" s="49">
        <f>SUM(P335,N335,L335,J335,H335,D335,B335)</f>
        <v/>
      </c>
      <c r="S335" s="49">
        <f>R335/$R$4</f>
        <v/>
      </c>
    </row>
    <row r="336" hidden="1" outlineLevel="1" ht="15.75" customHeight="1" s="297">
      <c r="A336" s="48" t="n"/>
      <c r="B336" s="49">
        <f t="array" ref="B336">IFERROR(
SUM(
IF(
'PORTIFÓLIO'!$C$4:$C$564=$A336,
N(INDEX('PORTIFÓLIO'!$J$4:$Q$564,,MATCH(B$2,'PORTIFÓLIO'!$J$3:$Q$3,0))) *
N('PORTIFÓLIO'!$S$4:$S$564),
0
)
),
0)</f>
        <v/>
      </c>
      <c r="C336" s="49">
        <f>B336/$B$4</f>
        <v/>
      </c>
      <c r="D336" s="49">
        <f t="array" ref="D336">IFERROR(
SUM(
IF(
'PORTIFÓLIO'!$C$4:$C$564=$A336,
N(INDEX('PORTIFÓLIO'!$J$4:$Q$564,,MATCH(D$2,'PORTIFÓLIO'!$J$3:$Q$3,0))) *
N('PORTIFÓLIO'!$S$4:$S$564),
0
)
),
0)</f>
        <v/>
      </c>
      <c r="E336" s="49">
        <f>D336/$D$4</f>
        <v/>
      </c>
      <c r="F336" s="49">
        <f t="array" ref="F336">IFERROR(
SUM(
IF(
'PORTIFÓLIO'!$C$4:$C$564=$A336,
N(INDEX('PORTIFÓLIO'!$J$4:$Q$564,,MATCH(F$2,'PORTIFÓLIO'!$J$3:$Q$3,0))) *
N('PORTIFÓLIO'!$S$4:$S$564),
0
)
),
0)</f>
        <v/>
      </c>
      <c r="G336" s="47">
        <f>F336/$F$4</f>
        <v/>
      </c>
      <c r="H336" s="49">
        <f t="array" ref="H336">IFERROR(
SUM(
IF(
'PORTIFÓLIO'!$C$4:$C$564=$A336,
N(INDEX('PORTIFÓLIO'!$J$4:$Q$564,,MATCH(H$2,'PORTIFÓLIO'!$J$3:$Q$3,0))) *
N('PORTIFÓLIO'!$S$4:$S$564),
0
)
),
0)</f>
        <v/>
      </c>
      <c r="I336" s="47">
        <f>H336/$H$4</f>
        <v/>
      </c>
      <c r="J336" s="49">
        <f t="array" ref="J336">IFERROR(
SUM(
IF(
'PORTIFÓLIO'!$C$4:$C$564=$A336,
N(INDEX('PORTIFÓLIO'!$J$4:$Q$564,,MATCH(J$2,'PORTIFÓLIO'!$J$3:$Q$3,0))) *
N('PORTIFÓLIO'!$S$4:$S$564),
0
)
),
0)</f>
        <v/>
      </c>
      <c r="K336" s="47">
        <f>J336/$J$4</f>
        <v/>
      </c>
      <c r="L336" s="49">
        <f t="array" ref="L336">IFERROR(
SUM(
IF(
'PORTIFÓLIO'!$C$4:$C$564=$A336,
N(INDEX('PORTIFÓLIO'!$J$4:$Q$564,,MATCH(L$2,'PORTIFÓLIO'!$J$3:$Q$3,0))) *
N('PORTIFÓLIO'!$S$4:$S$564),
0
)
),
0)</f>
        <v/>
      </c>
      <c r="M336" s="47">
        <f>L336/$L$4</f>
        <v/>
      </c>
      <c r="N336" s="49">
        <f t="array" ref="N336">IFERROR(
SUM(
IF(
'PORTIFÓLIO'!$C$4:$C$564=$A336,
N(INDEX('PORTIFÓLIO'!$J$4:$Q$564,,MATCH(N$2,'PORTIFÓLIO'!$J$3:$Q$3,0))) *
N('PORTIFÓLIO'!$S$4:$S$564),
0
)
),
0)</f>
        <v/>
      </c>
      <c r="O336" s="49">
        <f>N336/$N$4</f>
        <v/>
      </c>
      <c r="P336" s="49">
        <f t="array" ref="P336">IFERROR(
SUM(
IF(
'PORTIFÓLIO'!$C$4:$C$564=$A336,
N(INDEX('PORTIFÓLIO'!$J$4:$Q$564,,MATCH(P$2,'PORTIFÓLIO'!$J$3:$Q$3,0))) *
N('PORTIFÓLIO'!$S$4:$S$564),
0
)
),
0)</f>
        <v/>
      </c>
      <c r="Q336" s="49">
        <f>P336/$P$4</f>
        <v/>
      </c>
      <c r="R336" s="49">
        <f>SUM(P336,N336,L336,J336,H336,D336,B336)</f>
        <v/>
      </c>
      <c r="S336" s="49">
        <f>R336/$R$4</f>
        <v/>
      </c>
    </row>
    <row r="337" hidden="1" outlineLevel="1" ht="15.75" customHeight="1" s="297">
      <c r="A337" s="48" t="n"/>
      <c r="B337" s="49">
        <f t="array" ref="B337">IFERROR(
SUM(
IF(
'PORTIFÓLIO'!$C$4:$C$564=$A337,
N(INDEX('PORTIFÓLIO'!$J$4:$Q$564,,MATCH(B$2,'PORTIFÓLIO'!$J$3:$Q$3,0))) *
N('PORTIFÓLIO'!$S$4:$S$564),
0
)
),
0)</f>
        <v/>
      </c>
      <c r="C337" s="49">
        <f>B337/$B$4</f>
        <v/>
      </c>
      <c r="D337" s="49">
        <f t="array" ref="D337">IFERROR(
SUM(
IF(
'PORTIFÓLIO'!$C$4:$C$564=$A337,
N(INDEX('PORTIFÓLIO'!$J$4:$Q$564,,MATCH(D$2,'PORTIFÓLIO'!$J$3:$Q$3,0))) *
N('PORTIFÓLIO'!$S$4:$S$564),
0
)
),
0)</f>
        <v/>
      </c>
      <c r="E337" s="49">
        <f>D337/$D$4</f>
        <v/>
      </c>
      <c r="F337" s="49">
        <f t="array" ref="F337">IFERROR(
SUM(
IF(
'PORTIFÓLIO'!$C$4:$C$564=$A337,
N(INDEX('PORTIFÓLIO'!$J$4:$Q$564,,MATCH(F$2,'PORTIFÓLIO'!$J$3:$Q$3,0))) *
N('PORTIFÓLIO'!$S$4:$S$564),
0
)
),
0)</f>
        <v/>
      </c>
      <c r="G337" s="47">
        <f>F337/$F$4</f>
        <v/>
      </c>
      <c r="H337" s="49">
        <f t="array" ref="H337">IFERROR(
SUM(
IF(
'PORTIFÓLIO'!$C$4:$C$564=$A337,
N(INDEX('PORTIFÓLIO'!$J$4:$Q$564,,MATCH(H$2,'PORTIFÓLIO'!$J$3:$Q$3,0))) *
N('PORTIFÓLIO'!$S$4:$S$564),
0
)
),
0)</f>
        <v/>
      </c>
      <c r="I337" s="47">
        <f>H337/$H$4</f>
        <v/>
      </c>
      <c r="J337" s="49">
        <f t="array" ref="J337">IFERROR(
SUM(
IF(
'PORTIFÓLIO'!$C$4:$C$564=$A337,
N(INDEX('PORTIFÓLIO'!$J$4:$Q$564,,MATCH(J$2,'PORTIFÓLIO'!$J$3:$Q$3,0))) *
N('PORTIFÓLIO'!$S$4:$S$564),
0
)
),
0)</f>
        <v/>
      </c>
      <c r="K337" s="47">
        <f>J337/$J$4</f>
        <v/>
      </c>
      <c r="L337" s="49">
        <f t="array" ref="L337">IFERROR(
SUM(
IF(
'PORTIFÓLIO'!$C$4:$C$564=$A337,
N(INDEX('PORTIFÓLIO'!$J$4:$Q$564,,MATCH(L$2,'PORTIFÓLIO'!$J$3:$Q$3,0))) *
N('PORTIFÓLIO'!$S$4:$S$564),
0
)
),
0)</f>
        <v/>
      </c>
      <c r="M337" s="47">
        <f>L337/$L$4</f>
        <v/>
      </c>
      <c r="N337" s="49">
        <f t="array" ref="N337">IFERROR(
SUM(
IF(
'PORTIFÓLIO'!$C$4:$C$564=$A337,
N(INDEX('PORTIFÓLIO'!$J$4:$Q$564,,MATCH(N$2,'PORTIFÓLIO'!$J$3:$Q$3,0))) *
N('PORTIFÓLIO'!$S$4:$S$564),
0
)
),
0)</f>
        <v/>
      </c>
      <c r="O337" s="49">
        <f>N337/$N$4</f>
        <v/>
      </c>
      <c r="P337" s="49">
        <f t="array" ref="P337">IFERROR(
SUM(
IF(
'PORTIFÓLIO'!$C$4:$C$564=$A337,
N(INDEX('PORTIFÓLIO'!$J$4:$Q$564,,MATCH(P$2,'PORTIFÓLIO'!$J$3:$Q$3,0))) *
N('PORTIFÓLIO'!$S$4:$S$564),
0
)
),
0)</f>
        <v/>
      </c>
      <c r="Q337" s="49">
        <f>P337/$P$4</f>
        <v/>
      </c>
      <c r="R337" s="49">
        <f>SUM(P337,N337,L337,J337,H337,D337,B337)</f>
        <v/>
      </c>
      <c r="S337" s="49">
        <f>R337/$R$4</f>
        <v/>
      </c>
    </row>
    <row r="338" hidden="1" outlineLevel="1" ht="15.75" customHeight="1" s="297">
      <c r="A338" s="48" t="n"/>
      <c r="B338" s="49">
        <f t="array" ref="B338">IFERROR(
SUM(
IF(
'PORTIFÓLIO'!$C$4:$C$564=$A338,
N(INDEX('PORTIFÓLIO'!$J$4:$Q$564,,MATCH(B$2,'PORTIFÓLIO'!$J$3:$Q$3,0))) *
N('PORTIFÓLIO'!$S$4:$S$564),
0
)
),
0)</f>
        <v/>
      </c>
      <c r="C338" s="49">
        <f>B338/$B$4</f>
        <v/>
      </c>
      <c r="D338" s="49">
        <f t="array" ref="D338">IFERROR(
SUM(
IF(
'PORTIFÓLIO'!$C$4:$C$564=$A338,
N(INDEX('PORTIFÓLIO'!$J$4:$Q$564,,MATCH(D$2,'PORTIFÓLIO'!$J$3:$Q$3,0))) *
N('PORTIFÓLIO'!$S$4:$S$564),
0
)
),
0)</f>
        <v/>
      </c>
      <c r="E338" s="49">
        <f>D338/$D$4</f>
        <v/>
      </c>
      <c r="F338" s="49">
        <f t="array" ref="F338">IFERROR(
SUM(
IF(
'PORTIFÓLIO'!$C$4:$C$564=$A338,
N(INDEX('PORTIFÓLIO'!$J$4:$Q$564,,MATCH(F$2,'PORTIFÓLIO'!$J$3:$Q$3,0))) *
N('PORTIFÓLIO'!$S$4:$S$564),
0
)
),
0)</f>
        <v/>
      </c>
      <c r="G338" s="47">
        <f>F338/$F$4</f>
        <v/>
      </c>
      <c r="H338" s="49">
        <f t="array" ref="H338">IFERROR(
SUM(
IF(
'PORTIFÓLIO'!$C$4:$C$564=$A338,
N(INDEX('PORTIFÓLIO'!$J$4:$Q$564,,MATCH(H$2,'PORTIFÓLIO'!$J$3:$Q$3,0))) *
N('PORTIFÓLIO'!$S$4:$S$564),
0
)
),
0)</f>
        <v/>
      </c>
      <c r="I338" s="47">
        <f>H338/$H$4</f>
        <v/>
      </c>
      <c r="J338" s="49">
        <f t="array" ref="J338">IFERROR(
SUM(
IF(
'PORTIFÓLIO'!$C$4:$C$564=$A338,
N(INDEX('PORTIFÓLIO'!$J$4:$Q$564,,MATCH(J$2,'PORTIFÓLIO'!$J$3:$Q$3,0))) *
N('PORTIFÓLIO'!$S$4:$S$564),
0
)
),
0)</f>
        <v/>
      </c>
      <c r="K338" s="47">
        <f>J338/$J$4</f>
        <v/>
      </c>
      <c r="L338" s="49">
        <f t="array" ref="L338">IFERROR(
SUM(
IF(
'PORTIFÓLIO'!$C$4:$C$564=$A338,
N(INDEX('PORTIFÓLIO'!$J$4:$Q$564,,MATCH(L$2,'PORTIFÓLIO'!$J$3:$Q$3,0))) *
N('PORTIFÓLIO'!$S$4:$S$564),
0
)
),
0)</f>
        <v/>
      </c>
      <c r="M338" s="47">
        <f>L338/$L$4</f>
        <v/>
      </c>
      <c r="N338" s="49">
        <f t="array" ref="N338">IFERROR(
SUM(
IF(
'PORTIFÓLIO'!$C$4:$C$564=$A338,
N(INDEX('PORTIFÓLIO'!$J$4:$Q$564,,MATCH(N$2,'PORTIFÓLIO'!$J$3:$Q$3,0))) *
N('PORTIFÓLIO'!$S$4:$S$564),
0
)
),
0)</f>
        <v/>
      </c>
      <c r="O338" s="49">
        <f>N338/$N$4</f>
        <v/>
      </c>
      <c r="P338" s="49">
        <f t="array" ref="P338">IFERROR(
SUM(
IF(
'PORTIFÓLIO'!$C$4:$C$564=$A338,
N(INDEX('PORTIFÓLIO'!$J$4:$Q$564,,MATCH(P$2,'PORTIFÓLIO'!$J$3:$Q$3,0))) *
N('PORTIFÓLIO'!$S$4:$S$564),
0
)
),
0)</f>
        <v/>
      </c>
      <c r="Q338" s="49">
        <f>P338/$P$4</f>
        <v/>
      </c>
      <c r="R338" s="49">
        <f>SUM(P338,N338,L338,J338,H338,D338,B338)</f>
        <v/>
      </c>
      <c r="S338" s="49">
        <f>R338/$R$4</f>
        <v/>
      </c>
    </row>
    <row r="339" hidden="1" outlineLevel="1" ht="15.75" customHeight="1" s="297">
      <c r="A339" s="48" t="n"/>
      <c r="B339" s="49">
        <f t="array" ref="B339">IFERROR(
SUM(
IF(
'PORTIFÓLIO'!$C$4:$C$564=$A339,
N(INDEX('PORTIFÓLIO'!$J$4:$Q$564,,MATCH(B$2,'PORTIFÓLIO'!$J$3:$Q$3,0))) *
N('PORTIFÓLIO'!$S$4:$S$564),
0
)
),
0)</f>
        <v/>
      </c>
      <c r="C339" s="49">
        <f>B339/$B$4</f>
        <v/>
      </c>
      <c r="D339" s="49">
        <f t="array" ref="D339">IFERROR(
SUM(
IF(
'PORTIFÓLIO'!$C$4:$C$564=$A339,
N(INDEX('PORTIFÓLIO'!$J$4:$Q$564,,MATCH(D$2,'PORTIFÓLIO'!$J$3:$Q$3,0))) *
N('PORTIFÓLIO'!$S$4:$S$564),
0
)
),
0)</f>
        <v/>
      </c>
      <c r="E339" s="49">
        <f>D339/$D$4</f>
        <v/>
      </c>
      <c r="F339" s="49">
        <f t="array" ref="F339">IFERROR(
SUM(
IF(
'PORTIFÓLIO'!$C$4:$C$564=$A339,
N(INDEX('PORTIFÓLIO'!$J$4:$Q$564,,MATCH(F$2,'PORTIFÓLIO'!$J$3:$Q$3,0))) *
N('PORTIFÓLIO'!$S$4:$S$564),
0
)
),
0)</f>
        <v/>
      </c>
      <c r="G339" s="47">
        <f>F339/$F$4</f>
        <v/>
      </c>
      <c r="H339" s="49">
        <f t="array" ref="H339">IFERROR(
SUM(
IF(
'PORTIFÓLIO'!$C$4:$C$564=$A339,
N(INDEX('PORTIFÓLIO'!$J$4:$Q$564,,MATCH(H$2,'PORTIFÓLIO'!$J$3:$Q$3,0))) *
N('PORTIFÓLIO'!$S$4:$S$564),
0
)
),
0)</f>
        <v/>
      </c>
      <c r="I339" s="47">
        <f>H339/$H$4</f>
        <v/>
      </c>
      <c r="J339" s="49">
        <f t="array" ref="J339">IFERROR(
SUM(
IF(
'PORTIFÓLIO'!$C$4:$C$564=$A339,
N(INDEX('PORTIFÓLIO'!$J$4:$Q$564,,MATCH(J$2,'PORTIFÓLIO'!$J$3:$Q$3,0))) *
N('PORTIFÓLIO'!$S$4:$S$564),
0
)
),
0)</f>
        <v/>
      </c>
      <c r="K339" s="47">
        <f>J339/$J$4</f>
        <v/>
      </c>
      <c r="L339" s="49">
        <f t="array" ref="L339">IFERROR(
SUM(
IF(
'PORTIFÓLIO'!$C$4:$C$564=$A339,
N(INDEX('PORTIFÓLIO'!$J$4:$Q$564,,MATCH(L$2,'PORTIFÓLIO'!$J$3:$Q$3,0))) *
N('PORTIFÓLIO'!$S$4:$S$564),
0
)
),
0)</f>
        <v/>
      </c>
      <c r="M339" s="47">
        <f>L339/$L$4</f>
        <v/>
      </c>
      <c r="N339" s="49">
        <f t="array" ref="N339">IFERROR(
SUM(
IF(
'PORTIFÓLIO'!$C$4:$C$564=$A339,
N(INDEX('PORTIFÓLIO'!$J$4:$Q$564,,MATCH(N$2,'PORTIFÓLIO'!$J$3:$Q$3,0))) *
N('PORTIFÓLIO'!$S$4:$S$564),
0
)
),
0)</f>
        <v/>
      </c>
      <c r="O339" s="49">
        <f>N339/$N$4</f>
        <v/>
      </c>
      <c r="P339" s="49">
        <f t="array" ref="P339">IFERROR(
SUM(
IF(
'PORTIFÓLIO'!$C$4:$C$564=$A339,
N(INDEX('PORTIFÓLIO'!$J$4:$Q$564,,MATCH(P$2,'PORTIFÓLIO'!$J$3:$Q$3,0))) *
N('PORTIFÓLIO'!$S$4:$S$564),
0
)
),
0)</f>
        <v/>
      </c>
      <c r="Q339" s="49">
        <f>P339/$P$4</f>
        <v/>
      </c>
      <c r="R339" s="49">
        <f>SUM(P339,N339,L339,J339,H339,D339,B339)</f>
        <v/>
      </c>
      <c r="S339" s="49">
        <f>R339/$R$4</f>
        <v/>
      </c>
    </row>
    <row r="340" collapsed="1" ht="15.75" customHeight="1" s="297">
      <c r="A340" s="46" t="inlineStr">
        <is>
          <t>CORRETIVOS</t>
        </is>
      </c>
      <c r="B340" s="47">
        <f>SUM(B341:B356)</f>
        <v/>
      </c>
      <c r="C340" s="47">
        <f>B340/$B$4</f>
        <v/>
      </c>
      <c r="D340" s="47">
        <f>SUM(D341:D356)</f>
        <v/>
      </c>
      <c r="E340" s="47">
        <f>D340/$D$4</f>
        <v/>
      </c>
      <c r="F340" s="47">
        <f>SUM(F341:F356)</f>
        <v/>
      </c>
      <c r="G340" s="47">
        <f>F340/$F$4</f>
        <v/>
      </c>
      <c r="H340" s="47">
        <f>SUM(H341:H356)</f>
        <v/>
      </c>
      <c r="I340" s="47">
        <f>H340/$H$4</f>
        <v/>
      </c>
      <c r="J340" s="47">
        <f>SUM(J341:J356)</f>
        <v/>
      </c>
      <c r="K340" s="47">
        <f>J340/$J$4</f>
        <v/>
      </c>
      <c r="L340" s="47">
        <f>SUM(L341:L356)</f>
        <v/>
      </c>
      <c r="M340" s="47">
        <f>L340/$L$4</f>
        <v/>
      </c>
      <c r="N340" s="47">
        <f>SUM(N341:N356)</f>
        <v/>
      </c>
      <c r="O340" s="47">
        <f>N340/$N$4</f>
        <v/>
      </c>
      <c r="P340" s="47">
        <f>SUM(P341:P356)</f>
        <v/>
      </c>
      <c r="Q340" s="47">
        <f>P340/$P$4</f>
        <v/>
      </c>
      <c r="R340" s="47">
        <f>SUM(P340,N340,L340,J340,H340,D340,B340)</f>
        <v/>
      </c>
      <c r="S340" s="47">
        <f>R340/$R$4</f>
        <v/>
      </c>
    </row>
    <row r="341" hidden="1" outlineLevel="1" ht="15.75" customHeight="1" s="297">
      <c r="A341" s="42">
        <f>IFERROR(__xludf.DUMMYFUNCTION("UNIQUE(FILTER('PORTIFÓLIO'!C:C, 'PORTIFÓLIO'!B:B=""corretivos""))"),"CALCÁRIO DOLOMITICO")</f>
        <v/>
      </c>
      <c r="B341" s="49">
        <f t="array" ref="B341">IFERROR(
SUM(
IF(
'PORTIFÓLIO'!$C$4:$C$564=$A341,
N(INDEX('PORTIFÓLIO'!$J$4:$Q$564,,MATCH(B$2,'PORTIFÓLIO'!$J$3:$Q$3,0))) *
N('PORTIFÓLIO'!$S$4:$S$564),
0
)
),
0)</f>
        <v/>
      </c>
      <c r="C341" s="49">
        <f>B341/$B$4</f>
        <v/>
      </c>
      <c r="D341" s="49">
        <f t="array" ref="D341">IFERROR(
SUM(
IF(
'PORTIFÓLIO'!$C$4:$C$564=$A341,
N(INDEX('PORTIFÓLIO'!$J$4:$Q$564,,MATCH(D$2,'PORTIFÓLIO'!$J$3:$Q$3,0))) *
N('PORTIFÓLIO'!$S$4:$S$564),
0
)
),
0)</f>
        <v/>
      </c>
      <c r="E341" s="49">
        <f>D341/$D$4</f>
        <v/>
      </c>
      <c r="F341" s="49">
        <f t="array" ref="F341">IFERROR(
SUM(
IF(
'PORTIFÓLIO'!$C$4:$C$564=$A341,
N(INDEX('PORTIFÓLIO'!$J$4:$Q$564,,MATCH(F$2,'PORTIFÓLIO'!$J$3:$Q$3,0))) *
N('PORTIFÓLIO'!$S$4:$S$564),
0
)
),
0)</f>
        <v/>
      </c>
      <c r="G341" s="47">
        <f>F341/$F$4</f>
        <v/>
      </c>
      <c r="H341" s="49">
        <f t="array" ref="H341">IFERROR(
SUM(
IF(
'PORTIFÓLIO'!$C$4:$C$564=$A341,
N(INDEX('PORTIFÓLIO'!$J$4:$Q$564,,MATCH(H$2,'PORTIFÓLIO'!$J$3:$Q$3,0))) *
N('PORTIFÓLIO'!$S$4:$S$564),
0
)
),
0)</f>
        <v/>
      </c>
      <c r="I341" s="47">
        <f>H341/$H$4</f>
        <v/>
      </c>
      <c r="J341" s="49">
        <f t="array" ref="J341">IFERROR(
SUM(
IF(
'PORTIFÓLIO'!$C$4:$C$564=$A341,
N(INDEX('PORTIFÓLIO'!$J$4:$Q$564,,MATCH(J$2,'PORTIFÓLIO'!$J$3:$Q$3,0))) *
N('PORTIFÓLIO'!$S$4:$S$564),
0
)
),
0)</f>
        <v/>
      </c>
      <c r="K341" s="47">
        <f>J341/$J$4</f>
        <v/>
      </c>
      <c r="L341" s="49">
        <f t="array" ref="L341">IFERROR(
SUM(
IF(
'PORTIFÓLIO'!$C$4:$C$564=$A341,
N(INDEX('PORTIFÓLIO'!$J$4:$Q$564,,MATCH(L$2,'PORTIFÓLIO'!$J$3:$Q$3,0))) *
N('PORTIFÓLIO'!$S$4:$S$564),
0
)
),
0)</f>
        <v/>
      </c>
      <c r="M341" s="47">
        <f>L341/$L$4</f>
        <v/>
      </c>
      <c r="N341" s="49">
        <f t="array" ref="N341">IFERROR(
SUM(
IF(
'PORTIFÓLIO'!$C$4:$C$564=$A341,
N(INDEX('PORTIFÓLIO'!$J$4:$Q$564,,MATCH(N$2,'PORTIFÓLIO'!$J$3:$Q$3,0))) *
N('PORTIFÓLIO'!$S$4:$S$564),
0
)
),
0)</f>
        <v/>
      </c>
      <c r="O341" s="49">
        <f>N341/$N$4</f>
        <v/>
      </c>
      <c r="P341" s="49">
        <f t="array" ref="P341">IFERROR(
SUM(
IF(
'PORTIFÓLIO'!$C$4:$C$564=$A341,
N(INDEX('PORTIFÓLIO'!$J$4:$Q$564,,MATCH(P$2,'PORTIFÓLIO'!$J$3:$Q$3,0))) *
N('PORTIFÓLIO'!$S$4:$S$564),
0
)
),
0)</f>
        <v/>
      </c>
      <c r="Q341" s="49">
        <f>P341/$P$4</f>
        <v/>
      </c>
      <c r="R341" s="49">
        <f>SUM(P341,N341,L341,J341,H341,D341,B341)</f>
        <v/>
      </c>
      <c r="S341" s="49">
        <f>R341/$R$4</f>
        <v/>
      </c>
    </row>
    <row r="342" hidden="1" outlineLevel="1" ht="15.75" customHeight="1" s="297">
      <c r="A342" s="42">
        <f>IFERROR(__xludf.DUMMYFUNCTION("""COMPUTED_VALUE"""),"GESSO AGRICOLA")</f>
        <v/>
      </c>
      <c r="B342" s="49">
        <f t="array" ref="B342">IFERROR(
SUM(
IF(
'PORTIFÓLIO'!$C$4:$C$564=$A342,
N(INDEX('PORTIFÓLIO'!$J$4:$Q$564,,MATCH(B$2,'PORTIFÓLIO'!$J$3:$Q$3,0))) *
N('PORTIFÓLIO'!$S$4:$S$564),
0
)
),
0)</f>
        <v/>
      </c>
      <c r="C342" s="49">
        <f>B342/$B$4</f>
        <v/>
      </c>
      <c r="D342" s="49">
        <f t="array" ref="D342">IFERROR(
SUM(
IF(
'PORTIFÓLIO'!$C$4:$C$564=$A342,
N(INDEX('PORTIFÓLIO'!$J$4:$Q$564,,MATCH(D$2,'PORTIFÓLIO'!$J$3:$Q$3,0))) *
N('PORTIFÓLIO'!$S$4:$S$564),
0
)
),
0)</f>
        <v/>
      </c>
      <c r="E342" s="49">
        <f>D342/$D$4</f>
        <v/>
      </c>
      <c r="F342" s="49">
        <f t="array" ref="F342">IFERROR(
SUM(
IF(
'PORTIFÓLIO'!$C$4:$C$564=$A342,
N(INDEX('PORTIFÓLIO'!$J$4:$Q$564,,MATCH(F$2,'PORTIFÓLIO'!$J$3:$Q$3,0))) *
N('PORTIFÓLIO'!$S$4:$S$564),
0
)
),
0)</f>
        <v/>
      </c>
      <c r="G342" s="47">
        <f>F342/$F$4</f>
        <v/>
      </c>
      <c r="H342" s="49">
        <f t="array" ref="H342">IFERROR(
SUM(
IF(
'PORTIFÓLIO'!$C$4:$C$564=$A342,
N(INDEX('PORTIFÓLIO'!$J$4:$Q$564,,MATCH(H$2,'PORTIFÓLIO'!$J$3:$Q$3,0))) *
N('PORTIFÓLIO'!$S$4:$S$564),
0
)
),
0)</f>
        <v/>
      </c>
      <c r="I342" s="47">
        <f>H342/$H$4</f>
        <v/>
      </c>
      <c r="J342" s="49">
        <f t="array" ref="J342">IFERROR(
SUM(
IF(
'PORTIFÓLIO'!$C$4:$C$564=$A342,
N(INDEX('PORTIFÓLIO'!$J$4:$Q$564,,MATCH(J$2,'PORTIFÓLIO'!$J$3:$Q$3,0))) *
N('PORTIFÓLIO'!$S$4:$S$564),
0
)
),
0)</f>
        <v/>
      </c>
      <c r="K342" s="47">
        <f>J342/$J$4</f>
        <v/>
      </c>
      <c r="L342" s="49">
        <f t="array" ref="L342">IFERROR(
SUM(
IF(
'PORTIFÓLIO'!$C$4:$C$564=$A342,
N(INDEX('PORTIFÓLIO'!$J$4:$Q$564,,MATCH(L$2,'PORTIFÓLIO'!$J$3:$Q$3,0))) *
N('PORTIFÓLIO'!$S$4:$S$564),
0
)
),
0)</f>
        <v/>
      </c>
      <c r="M342" s="47">
        <f>L342/$L$4</f>
        <v/>
      </c>
      <c r="N342" s="49">
        <f t="array" ref="N342">IFERROR(
SUM(
IF(
'PORTIFÓLIO'!$C$4:$C$564=$A342,
N(INDEX('PORTIFÓLIO'!$J$4:$Q$564,,MATCH(N$2,'PORTIFÓLIO'!$J$3:$Q$3,0))) *
N('PORTIFÓLIO'!$S$4:$S$564),
0
)
),
0)</f>
        <v/>
      </c>
      <c r="O342" s="49">
        <f>N342/$N$4</f>
        <v/>
      </c>
      <c r="P342" s="49">
        <f t="array" ref="P342">IFERROR(
SUM(
IF(
'PORTIFÓLIO'!$C$4:$C$564=$A342,
N(INDEX('PORTIFÓLIO'!$J$4:$Q$564,,MATCH(P$2,'PORTIFÓLIO'!$J$3:$Q$3,0))) *
N('PORTIFÓLIO'!$S$4:$S$564),
0
)
),
0)</f>
        <v/>
      </c>
      <c r="Q342" s="49">
        <f>P342/$P$4</f>
        <v/>
      </c>
      <c r="R342" s="49">
        <f>SUM(P342,N342,L342,J342,H342,D342,B342)</f>
        <v/>
      </c>
      <c r="S342" s="49">
        <f>R342/$R$4</f>
        <v/>
      </c>
    </row>
    <row r="343" hidden="1" outlineLevel="1" ht="15.75" customHeight="1" s="297">
      <c r="A343" s="42" t="n"/>
      <c r="B343" s="49">
        <f t="array" ref="B343">IFERROR(
SUM(
IF(
'PORTIFÓLIO'!$C$4:$C$564=$A343,
N(INDEX('PORTIFÓLIO'!$J$4:$Q$564,,MATCH(B$2,'PORTIFÓLIO'!$J$3:$Q$3,0))) *
N('PORTIFÓLIO'!$S$4:$S$564),
0
)
),
0)</f>
        <v/>
      </c>
      <c r="C343" s="49">
        <f>B343/$B$4</f>
        <v/>
      </c>
      <c r="D343" s="49">
        <f t="array" ref="D343">IFERROR(
SUM(
IF(
'PORTIFÓLIO'!$C$4:$C$564=$A343,
N(INDEX('PORTIFÓLIO'!$J$4:$Q$564,,MATCH(D$2,'PORTIFÓLIO'!$J$3:$Q$3,0))) *
N('PORTIFÓLIO'!$S$4:$S$564),
0
)
),
0)</f>
        <v/>
      </c>
      <c r="E343" s="49">
        <f>D343/$D$4</f>
        <v/>
      </c>
      <c r="F343" s="49">
        <f t="array" ref="F343">IFERROR(
SUM(
IF(
'PORTIFÓLIO'!$C$4:$C$564=$A343,
N(INDEX('PORTIFÓLIO'!$J$4:$Q$564,,MATCH(F$2,'PORTIFÓLIO'!$J$3:$Q$3,0))) *
N('PORTIFÓLIO'!$S$4:$S$564),
0
)
),
0)</f>
        <v/>
      </c>
      <c r="G343" s="47">
        <f>F343/$F$4</f>
        <v/>
      </c>
      <c r="H343" s="49">
        <f t="array" ref="H343">IFERROR(
SUM(
IF(
'PORTIFÓLIO'!$C$4:$C$564=$A343,
N(INDEX('PORTIFÓLIO'!$J$4:$Q$564,,MATCH(H$2,'PORTIFÓLIO'!$J$3:$Q$3,0))) *
N('PORTIFÓLIO'!$S$4:$S$564),
0
)
),
0)</f>
        <v/>
      </c>
      <c r="I343" s="47">
        <f>H343/$H$4</f>
        <v/>
      </c>
      <c r="J343" s="49">
        <f t="array" ref="J343">IFERROR(
SUM(
IF(
'PORTIFÓLIO'!$C$4:$C$564=$A343,
N(INDEX('PORTIFÓLIO'!$J$4:$Q$564,,MATCH(J$2,'PORTIFÓLIO'!$J$3:$Q$3,0))) *
N('PORTIFÓLIO'!$S$4:$S$564),
0
)
),
0)</f>
        <v/>
      </c>
      <c r="K343" s="47">
        <f>J343/$J$4</f>
        <v/>
      </c>
      <c r="L343" s="49">
        <f t="array" ref="L343">IFERROR(
SUM(
IF(
'PORTIFÓLIO'!$C$4:$C$564=$A343,
N(INDEX('PORTIFÓLIO'!$J$4:$Q$564,,MATCH(L$2,'PORTIFÓLIO'!$J$3:$Q$3,0))) *
N('PORTIFÓLIO'!$S$4:$S$564),
0
)
),
0)</f>
        <v/>
      </c>
      <c r="M343" s="47">
        <f>L343/$L$4</f>
        <v/>
      </c>
      <c r="N343" s="49">
        <f t="array" ref="N343">IFERROR(
SUM(
IF(
'PORTIFÓLIO'!$C$4:$C$564=$A343,
N(INDEX('PORTIFÓLIO'!$J$4:$Q$564,,MATCH(N$2,'PORTIFÓLIO'!$J$3:$Q$3,0))) *
N('PORTIFÓLIO'!$S$4:$S$564),
0
)
),
0)</f>
        <v/>
      </c>
      <c r="O343" s="49">
        <f>N343/$N$4</f>
        <v/>
      </c>
      <c r="P343" s="49">
        <f t="array" ref="P343">IFERROR(
SUM(
IF(
'PORTIFÓLIO'!$C$4:$C$564=$A343,
N(INDEX('PORTIFÓLIO'!$J$4:$Q$564,,MATCH(P$2,'PORTIFÓLIO'!$J$3:$Q$3,0))) *
N('PORTIFÓLIO'!$S$4:$S$564),
0
)
),
0)</f>
        <v/>
      </c>
      <c r="Q343" s="49">
        <f>P343/$P$4</f>
        <v/>
      </c>
      <c r="R343" s="49">
        <f>SUM(P343,N343,L343,J343,H343,D343,B343)</f>
        <v/>
      </c>
      <c r="S343" s="49">
        <f>R343/$R$4</f>
        <v/>
      </c>
    </row>
    <row r="344" hidden="1" outlineLevel="1" ht="15.75" customHeight="1" s="297">
      <c r="A344" s="42" t="n"/>
      <c r="B344" s="49">
        <f t="array" ref="B344">IFERROR(
SUM(
IF(
'PORTIFÓLIO'!$C$4:$C$564=$A344,
N(INDEX('PORTIFÓLIO'!$J$4:$Q$564,,MATCH(B$2,'PORTIFÓLIO'!$J$3:$Q$3,0))) *
N('PORTIFÓLIO'!$S$4:$S$564),
0
)
),
0)</f>
        <v/>
      </c>
      <c r="C344" s="49">
        <f>B344/$B$4</f>
        <v/>
      </c>
      <c r="D344" s="49">
        <f t="array" ref="D344">IFERROR(
SUM(
IF(
'PORTIFÓLIO'!$C$4:$C$564=$A344,
N(INDEX('PORTIFÓLIO'!$J$4:$Q$564,,MATCH(D$2,'PORTIFÓLIO'!$J$3:$Q$3,0))) *
N('PORTIFÓLIO'!$S$4:$S$564),
0
)
),
0)</f>
        <v/>
      </c>
      <c r="E344" s="49">
        <f>D344/$D$4</f>
        <v/>
      </c>
      <c r="F344" s="49">
        <f t="array" ref="F344">IFERROR(
SUM(
IF(
'PORTIFÓLIO'!$C$4:$C$564=$A344,
N(INDEX('PORTIFÓLIO'!$J$4:$Q$564,,MATCH(F$2,'PORTIFÓLIO'!$J$3:$Q$3,0))) *
N('PORTIFÓLIO'!$S$4:$S$564),
0
)
),
0)</f>
        <v/>
      </c>
      <c r="G344" s="47">
        <f>F344/$F$4</f>
        <v/>
      </c>
      <c r="H344" s="49">
        <f t="array" ref="H344">IFERROR(
SUM(
IF(
'PORTIFÓLIO'!$C$4:$C$564=$A344,
N(INDEX('PORTIFÓLIO'!$J$4:$Q$564,,MATCH(H$2,'PORTIFÓLIO'!$J$3:$Q$3,0))) *
N('PORTIFÓLIO'!$S$4:$S$564),
0
)
),
0)</f>
        <v/>
      </c>
      <c r="I344" s="47">
        <f>H344/$H$4</f>
        <v/>
      </c>
      <c r="J344" s="49">
        <f t="array" ref="J344">IFERROR(
SUM(
IF(
'PORTIFÓLIO'!$C$4:$C$564=$A344,
N(INDEX('PORTIFÓLIO'!$J$4:$Q$564,,MATCH(J$2,'PORTIFÓLIO'!$J$3:$Q$3,0))) *
N('PORTIFÓLIO'!$S$4:$S$564),
0
)
),
0)</f>
        <v/>
      </c>
      <c r="K344" s="47">
        <f>J344/$J$4</f>
        <v/>
      </c>
      <c r="L344" s="49">
        <f t="array" ref="L344">IFERROR(
SUM(
IF(
'PORTIFÓLIO'!$C$4:$C$564=$A344,
N(INDEX('PORTIFÓLIO'!$J$4:$Q$564,,MATCH(L$2,'PORTIFÓLIO'!$J$3:$Q$3,0))) *
N('PORTIFÓLIO'!$S$4:$S$564),
0
)
),
0)</f>
        <v/>
      </c>
      <c r="M344" s="47">
        <f>L344/$L$4</f>
        <v/>
      </c>
      <c r="N344" s="49">
        <f t="array" ref="N344">IFERROR(
SUM(
IF(
'PORTIFÓLIO'!$C$4:$C$564=$A344,
N(INDEX('PORTIFÓLIO'!$J$4:$Q$564,,MATCH(N$2,'PORTIFÓLIO'!$J$3:$Q$3,0))) *
N('PORTIFÓLIO'!$S$4:$S$564),
0
)
),
0)</f>
        <v/>
      </c>
      <c r="O344" s="49">
        <f>N344/$N$4</f>
        <v/>
      </c>
      <c r="P344" s="49">
        <f t="array" ref="P344">IFERROR(
SUM(
IF(
'PORTIFÓLIO'!$C$4:$C$564=$A344,
N(INDEX('PORTIFÓLIO'!$J$4:$Q$564,,MATCH(P$2,'PORTIFÓLIO'!$J$3:$Q$3,0))) *
N('PORTIFÓLIO'!$S$4:$S$564),
0
)
),
0)</f>
        <v/>
      </c>
      <c r="Q344" s="49">
        <f>P344/$P$4</f>
        <v/>
      </c>
      <c r="R344" s="49">
        <f>SUM(P344,N344,L344,J344,H344,D344,B344)</f>
        <v/>
      </c>
      <c r="S344" s="49">
        <f>R344/$R$4</f>
        <v/>
      </c>
    </row>
    <row r="345" hidden="1" outlineLevel="1" ht="15.75" customHeight="1" s="297">
      <c r="A345" s="42" t="n"/>
      <c r="B345" s="49">
        <f t="array" ref="B345">IFERROR(
SUM(
IF(
'PORTIFÓLIO'!$C$4:$C$564=$A345,
N(INDEX('PORTIFÓLIO'!$J$4:$Q$564,,MATCH(B$2,'PORTIFÓLIO'!$J$3:$Q$3,0))) *
N('PORTIFÓLIO'!$S$4:$S$564),
0
)
),
0)</f>
        <v/>
      </c>
      <c r="C345" s="49">
        <f>B345/$B$4</f>
        <v/>
      </c>
      <c r="D345" s="49">
        <f t="array" ref="D345">IFERROR(
SUM(
IF(
'PORTIFÓLIO'!$C$4:$C$564=$A345,
N(INDEX('PORTIFÓLIO'!$J$4:$Q$564,,MATCH(D$2,'PORTIFÓLIO'!$J$3:$Q$3,0))) *
N('PORTIFÓLIO'!$S$4:$S$564),
0
)
),
0)</f>
        <v/>
      </c>
      <c r="E345" s="49">
        <f>D345/$D$4</f>
        <v/>
      </c>
      <c r="F345" s="49">
        <f t="array" ref="F345">IFERROR(
SUM(
IF(
'PORTIFÓLIO'!$C$4:$C$564=$A345,
N(INDEX('PORTIFÓLIO'!$J$4:$Q$564,,MATCH(F$2,'PORTIFÓLIO'!$J$3:$Q$3,0))) *
N('PORTIFÓLIO'!$S$4:$S$564),
0
)
),
0)</f>
        <v/>
      </c>
      <c r="G345" s="47">
        <f>F345/$F$4</f>
        <v/>
      </c>
      <c r="H345" s="49">
        <f t="array" ref="H345">IFERROR(
SUM(
IF(
'PORTIFÓLIO'!$C$4:$C$564=$A345,
N(INDEX('PORTIFÓLIO'!$J$4:$Q$564,,MATCH(H$2,'PORTIFÓLIO'!$J$3:$Q$3,0))) *
N('PORTIFÓLIO'!$S$4:$S$564),
0
)
),
0)</f>
        <v/>
      </c>
      <c r="I345" s="47">
        <f>H345/$H$4</f>
        <v/>
      </c>
      <c r="J345" s="49">
        <f t="array" ref="J345">IFERROR(
SUM(
IF(
'PORTIFÓLIO'!$C$4:$C$564=$A345,
N(INDEX('PORTIFÓLIO'!$J$4:$Q$564,,MATCH(J$2,'PORTIFÓLIO'!$J$3:$Q$3,0))) *
N('PORTIFÓLIO'!$S$4:$S$564),
0
)
),
0)</f>
        <v/>
      </c>
      <c r="K345" s="47">
        <f>J345/$J$4</f>
        <v/>
      </c>
      <c r="L345" s="49">
        <f t="array" ref="L345">IFERROR(
SUM(
IF(
'PORTIFÓLIO'!$C$4:$C$564=$A345,
N(INDEX('PORTIFÓLIO'!$J$4:$Q$564,,MATCH(L$2,'PORTIFÓLIO'!$J$3:$Q$3,0))) *
N('PORTIFÓLIO'!$S$4:$S$564),
0
)
),
0)</f>
        <v/>
      </c>
      <c r="M345" s="47">
        <f>L345/$L$4</f>
        <v/>
      </c>
      <c r="N345" s="49">
        <f t="array" ref="N345">IFERROR(
SUM(
IF(
'PORTIFÓLIO'!$C$4:$C$564=$A345,
N(INDEX('PORTIFÓLIO'!$J$4:$Q$564,,MATCH(N$2,'PORTIFÓLIO'!$J$3:$Q$3,0))) *
N('PORTIFÓLIO'!$S$4:$S$564),
0
)
),
0)</f>
        <v/>
      </c>
      <c r="O345" s="49">
        <f>N345/$N$4</f>
        <v/>
      </c>
      <c r="P345" s="49">
        <f t="array" ref="P345">IFERROR(
SUM(
IF(
'PORTIFÓLIO'!$C$4:$C$564=$A345,
N(INDEX('PORTIFÓLIO'!$J$4:$Q$564,,MATCH(P$2,'PORTIFÓLIO'!$J$3:$Q$3,0))) *
N('PORTIFÓLIO'!$S$4:$S$564),
0
)
),
0)</f>
        <v/>
      </c>
      <c r="Q345" s="49">
        <f>P345/$P$4</f>
        <v/>
      </c>
      <c r="R345" s="49">
        <f>SUM(P345,N345,L345,J345,H345,D345,B345)</f>
        <v/>
      </c>
      <c r="S345" s="49">
        <f>R345/$R$4</f>
        <v/>
      </c>
    </row>
    <row r="346" hidden="1" outlineLevel="1" ht="15.75" customHeight="1" s="297">
      <c r="A346" s="42" t="n"/>
      <c r="B346" s="49">
        <f t="array" ref="B346">IFERROR(
SUM(
IF(
'PORTIFÓLIO'!$C$4:$C$564=$A346,
N(INDEX('PORTIFÓLIO'!$J$4:$Q$564,,MATCH(B$2,'PORTIFÓLIO'!$J$3:$Q$3,0))) *
N('PORTIFÓLIO'!$S$4:$S$564),
0
)
),
0)</f>
        <v/>
      </c>
      <c r="C346" s="49">
        <f>B346/$B$4</f>
        <v/>
      </c>
      <c r="D346" s="49">
        <f t="array" ref="D346">IFERROR(
SUM(
IF(
'PORTIFÓLIO'!$C$4:$C$564=$A346,
N(INDEX('PORTIFÓLIO'!$J$4:$Q$564,,MATCH(D$2,'PORTIFÓLIO'!$J$3:$Q$3,0))) *
N('PORTIFÓLIO'!$S$4:$S$564),
0
)
),
0)</f>
        <v/>
      </c>
      <c r="E346" s="49">
        <f>D346/$D$4</f>
        <v/>
      </c>
      <c r="F346" s="49">
        <f t="array" ref="F346">IFERROR(
SUM(
IF(
'PORTIFÓLIO'!$C$4:$C$564=$A346,
N(INDEX('PORTIFÓLIO'!$J$4:$Q$564,,MATCH(F$2,'PORTIFÓLIO'!$J$3:$Q$3,0))) *
N('PORTIFÓLIO'!$S$4:$S$564),
0
)
),
0)</f>
        <v/>
      </c>
      <c r="G346" s="47">
        <f>F346/$F$4</f>
        <v/>
      </c>
      <c r="H346" s="49">
        <f t="array" ref="H346">IFERROR(
SUM(
IF(
'PORTIFÓLIO'!$C$4:$C$564=$A346,
N(INDEX('PORTIFÓLIO'!$J$4:$Q$564,,MATCH(H$2,'PORTIFÓLIO'!$J$3:$Q$3,0))) *
N('PORTIFÓLIO'!$S$4:$S$564),
0
)
),
0)</f>
        <v/>
      </c>
      <c r="I346" s="47">
        <f>H346/$H$4</f>
        <v/>
      </c>
      <c r="J346" s="49">
        <f t="array" ref="J346">IFERROR(
SUM(
IF(
'PORTIFÓLIO'!$C$4:$C$564=$A346,
N(INDEX('PORTIFÓLIO'!$J$4:$Q$564,,MATCH(J$2,'PORTIFÓLIO'!$J$3:$Q$3,0))) *
N('PORTIFÓLIO'!$S$4:$S$564),
0
)
),
0)</f>
        <v/>
      </c>
      <c r="K346" s="47">
        <f>J346/$J$4</f>
        <v/>
      </c>
      <c r="L346" s="49">
        <f t="array" ref="L346">IFERROR(
SUM(
IF(
'PORTIFÓLIO'!$C$4:$C$564=$A346,
N(INDEX('PORTIFÓLIO'!$J$4:$Q$564,,MATCH(L$2,'PORTIFÓLIO'!$J$3:$Q$3,0))) *
N('PORTIFÓLIO'!$S$4:$S$564),
0
)
),
0)</f>
        <v/>
      </c>
      <c r="M346" s="47">
        <f>L346/$L$4</f>
        <v/>
      </c>
      <c r="N346" s="49">
        <f t="array" ref="N346">IFERROR(
SUM(
IF(
'PORTIFÓLIO'!$C$4:$C$564=$A346,
N(INDEX('PORTIFÓLIO'!$J$4:$Q$564,,MATCH(N$2,'PORTIFÓLIO'!$J$3:$Q$3,0))) *
N('PORTIFÓLIO'!$S$4:$S$564),
0
)
),
0)</f>
        <v/>
      </c>
      <c r="O346" s="49">
        <f>N346/$N$4</f>
        <v/>
      </c>
      <c r="P346" s="49">
        <f t="array" ref="P346">IFERROR(
SUM(
IF(
'PORTIFÓLIO'!$C$4:$C$564=$A346,
N(INDEX('PORTIFÓLIO'!$J$4:$Q$564,,MATCH(P$2,'PORTIFÓLIO'!$J$3:$Q$3,0))) *
N('PORTIFÓLIO'!$S$4:$S$564),
0
)
),
0)</f>
        <v/>
      </c>
      <c r="Q346" s="49">
        <f>P346/$P$4</f>
        <v/>
      </c>
      <c r="R346" s="49">
        <f>SUM(P346,N346,L346,J346,H346,D346,B346)</f>
        <v/>
      </c>
      <c r="S346" s="49">
        <f>R346/$R$4</f>
        <v/>
      </c>
    </row>
    <row r="347" hidden="1" outlineLevel="1" ht="15.75" customHeight="1" s="297">
      <c r="A347" s="42" t="n"/>
      <c r="B347" s="49">
        <f t="array" ref="B347">IFERROR(
SUM(
IF(
'PORTIFÓLIO'!$C$4:$C$564=$A347,
N(INDEX('PORTIFÓLIO'!$J$4:$Q$564,,MATCH(B$2,'PORTIFÓLIO'!$J$3:$Q$3,0))) *
N('PORTIFÓLIO'!$S$4:$S$564),
0
)
),
0)</f>
        <v/>
      </c>
      <c r="C347" s="49">
        <f>B347/$B$4</f>
        <v/>
      </c>
      <c r="D347" s="49">
        <f t="array" ref="D347">IFERROR(
SUM(
IF(
'PORTIFÓLIO'!$C$4:$C$564=$A347,
N(INDEX('PORTIFÓLIO'!$J$4:$Q$564,,MATCH(D$2,'PORTIFÓLIO'!$J$3:$Q$3,0))) *
N('PORTIFÓLIO'!$S$4:$S$564),
0
)
),
0)</f>
        <v/>
      </c>
      <c r="E347" s="49">
        <f>D347/$D$4</f>
        <v/>
      </c>
      <c r="F347" s="49">
        <f t="array" ref="F347">IFERROR(
SUM(
IF(
'PORTIFÓLIO'!$C$4:$C$564=$A347,
N(INDEX('PORTIFÓLIO'!$J$4:$Q$564,,MATCH(F$2,'PORTIFÓLIO'!$J$3:$Q$3,0))) *
N('PORTIFÓLIO'!$S$4:$S$564),
0
)
),
0)</f>
        <v/>
      </c>
      <c r="G347" s="47">
        <f>F347/$F$4</f>
        <v/>
      </c>
      <c r="H347" s="49">
        <f t="array" ref="H347">IFERROR(
SUM(
IF(
'PORTIFÓLIO'!$C$4:$C$564=$A347,
N(INDEX('PORTIFÓLIO'!$J$4:$Q$564,,MATCH(H$2,'PORTIFÓLIO'!$J$3:$Q$3,0))) *
N('PORTIFÓLIO'!$S$4:$S$564),
0
)
),
0)</f>
        <v/>
      </c>
      <c r="I347" s="47">
        <f>H347/$H$4</f>
        <v/>
      </c>
      <c r="J347" s="49">
        <f t="array" ref="J347">IFERROR(
SUM(
IF(
'PORTIFÓLIO'!$C$4:$C$564=$A347,
N(INDEX('PORTIFÓLIO'!$J$4:$Q$564,,MATCH(J$2,'PORTIFÓLIO'!$J$3:$Q$3,0))) *
N('PORTIFÓLIO'!$S$4:$S$564),
0
)
),
0)</f>
        <v/>
      </c>
      <c r="K347" s="47">
        <f>J347/$J$4</f>
        <v/>
      </c>
      <c r="L347" s="49">
        <f t="array" ref="L347">IFERROR(
SUM(
IF(
'PORTIFÓLIO'!$C$4:$C$564=$A347,
N(INDEX('PORTIFÓLIO'!$J$4:$Q$564,,MATCH(L$2,'PORTIFÓLIO'!$J$3:$Q$3,0))) *
N('PORTIFÓLIO'!$S$4:$S$564),
0
)
),
0)</f>
        <v/>
      </c>
      <c r="M347" s="47">
        <f>L347/$L$4</f>
        <v/>
      </c>
      <c r="N347" s="49">
        <f t="array" ref="N347">IFERROR(
SUM(
IF(
'PORTIFÓLIO'!$C$4:$C$564=$A347,
N(INDEX('PORTIFÓLIO'!$J$4:$Q$564,,MATCH(N$2,'PORTIFÓLIO'!$J$3:$Q$3,0))) *
N('PORTIFÓLIO'!$S$4:$S$564),
0
)
),
0)</f>
        <v/>
      </c>
      <c r="O347" s="49">
        <f>N347/$N$4</f>
        <v/>
      </c>
      <c r="P347" s="49">
        <f t="array" ref="P347">IFERROR(
SUM(
IF(
'PORTIFÓLIO'!$C$4:$C$564=$A347,
N(INDEX('PORTIFÓLIO'!$J$4:$Q$564,,MATCH(P$2,'PORTIFÓLIO'!$J$3:$Q$3,0))) *
N('PORTIFÓLIO'!$S$4:$S$564),
0
)
),
0)</f>
        <v/>
      </c>
      <c r="Q347" s="49">
        <f>P347/$P$4</f>
        <v/>
      </c>
      <c r="R347" s="49">
        <f>SUM(P347,N347,L347,J347,H347,D347,B347)</f>
        <v/>
      </c>
      <c r="S347" s="49">
        <f>R347/$R$4</f>
        <v/>
      </c>
    </row>
    <row r="348" hidden="1" outlineLevel="1" ht="15.75" customHeight="1" s="297">
      <c r="A348" s="42" t="n"/>
      <c r="B348" s="49">
        <f t="array" ref="B348">IFERROR(
SUM(
IF(
'PORTIFÓLIO'!$C$4:$C$564=$A348,
N(INDEX('PORTIFÓLIO'!$J$4:$Q$564,,MATCH(B$2,'PORTIFÓLIO'!$J$3:$Q$3,0))) *
N('PORTIFÓLIO'!$S$4:$S$564),
0
)
),
0)</f>
        <v/>
      </c>
      <c r="C348" s="49">
        <f>B348/$B$4</f>
        <v/>
      </c>
      <c r="D348" s="49">
        <f t="array" ref="D348">IFERROR(
SUM(
IF(
'PORTIFÓLIO'!$C$4:$C$564=$A348,
N(INDEX('PORTIFÓLIO'!$J$4:$Q$564,,MATCH(D$2,'PORTIFÓLIO'!$J$3:$Q$3,0))) *
N('PORTIFÓLIO'!$S$4:$S$564),
0
)
),
0)</f>
        <v/>
      </c>
      <c r="E348" s="49">
        <f>D348/$D$4</f>
        <v/>
      </c>
      <c r="F348" s="49">
        <f t="array" ref="F348">IFERROR(
SUM(
IF(
'PORTIFÓLIO'!$C$4:$C$564=$A348,
N(INDEX('PORTIFÓLIO'!$J$4:$Q$564,,MATCH(F$2,'PORTIFÓLIO'!$J$3:$Q$3,0))) *
N('PORTIFÓLIO'!$S$4:$S$564),
0
)
),
0)</f>
        <v/>
      </c>
      <c r="G348" s="47">
        <f>F348/$F$4</f>
        <v/>
      </c>
      <c r="H348" s="49">
        <f t="array" ref="H348">IFERROR(
SUM(
IF(
'PORTIFÓLIO'!$C$4:$C$564=$A348,
N(INDEX('PORTIFÓLIO'!$J$4:$Q$564,,MATCH(H$2,'PORTIFÓLIO'!$J$3:$Q$3,0))) *
N('PORTIFÓLIO'!$S$4:$S$564),
0
)
),
0)</f>
        <v/>
      </c>
      <c r="I348" s="47">
        <f>H348/$H$4</f>
        <v/>
      </c>
      <c r="J348" s="49">
        <f t="array" ref="J348">IFERROR(
SUM(
IF(
'PORTIFÓLIO'!$C$4:$C$564=$A348,
N(INDEX('PORTIFÓLIO'!$J$4:$Q$564,,MATCH(J$2,'PORTIFÓLIO'!$J$3:$Q$3,0))) *
N('PORTIFÓLIO'!$S$4:$S$564),
0
)
),
0)</f>
        <v/>
      </c>
      <c r="K348" s="47">
        <f>J348/$J$4</f>
        <v/>
      </c>
      <c r="L348" s="49">
        <f t="array" ref="L348">IFERROR(
SUM(
IF(
'PORTIFÓLIO'!$C$4:$C$564=$A348,
N(INDEX('PORTIFÓLIO'!$J$4:$Q$564,,MATCH(L$2,'PORTIFÓLIO'!$J$3:$Q$3,0))) *
N('PORTIFÓLIO'!$S$4:$S$564),
0
)
),
0)</f>
        <v/>
      </c>
      <c r="M348" s="47">
        <f>L348/$L$4</f>
        <v/>
      </c>
      <c r="N348" s="49">
        <f t="array" ref="N348">IFERROR(
SUM(
IF(
'PORTIFÓLIO'!$C$4:$C$564=$A348,
N(INDEX('PORTIFÓLIO'!$J$4:$Q$564,,MATCH(N$2,'PORTIFÓLIO'!$J$3:$Q$3,0))) *
N('PORTIFÓLIO'!$S$4:$S$564),
0
)
),
0)</f>
        <v/>
      </c>
      <c r="O348" s="49">
        <f>N348/$N$4</f>
        <v/>
      </c>
      <c r="P348" s="49">
        <f t="array" ref="P348">IFERROR(
SUM(
IF(
'PORTIFÓLIO'!$C$4:$C$564=$A348,
N(INDEX('PORTIFÓLIO'!$J$4:$Q$564,,MATCH(P$2,'PORTIFÓLIO'!$J$3:$Q$3,0))) *
N('PORTIFÓLIO'!$S$4:$S$564),
0
)
),
0)</f>
        <v/>
      </c>
      <c r="Q348" s="49">
        <f>P348/$P$4</f>
        <v/>
      </c>
      <c r="R348" s="49">
        <f>SUM(P348,N348,L348,J348,H348,D348,B348)</f>
        <v/>
      </c>
      <c r="S348" s="49">
        <f>R348/$R$4</f>
        <v/>
      </c>
    </row>
    <row r="349" hidden="1" outlineLevel="1" ht="15.75" customHeight="1" s="297">
      <c r="A349" s="42" t="n"/>
      <c r="B349" s="49">
        <f t="array" ref="B349">IFERROR(
SUM(
IF(
'PORTIFÓLIO'!$C$4:$C$564=$A349,
N(INDEX('PORTIFÓLIO'!$J$4:$Q$564,,MATCH(B$2,'PORTIFÓLIO'!$J$3:$Q$3,0))) *
N('PORTIFÓLIO'!$S$4:$S$564),
0
)
),
0)</f>
        <v/>
      </c>
      <c r="C349" s="49">
        <f>B349/$B$4</f>
        <v/>
      </c>
      <c r="D349" s="49">
        <f t="array" ref="D349">IFERROR(
SUM(
IF(
'PORTIFÓLIO'!$C$4:$C$564=$A349,
N(INDEX('PORTIFÓLIO'!$J$4:$Q$564,,MATCH(D$2,'PORTIFÓLIO'!$J$3:$Q$3,0))) *
N('PORTIFÓLIO'!$S$4:$S$564),
0
)
),
0)</f>
        <v/>
      </c>
      <c r="E349" s="49">
        <f>D349/$D$4</f>
        <v/>
      </c>
      <c r="F349" s="49">
        <f t="array" ref="F349">IFERROR(
SUM(
IF(
'PORTIFÓLIO'!$C$4:$C$564=$A349,
N(INDEX('PORTIFÓLIO'!$J$4:$Q$564,,MATCH(F$2,'PORTIFÓLIO'!$J$3:$Q$3,0))) *
N('PORTIFÓLIO'!$S$4:$S$564),
0
)
),
0)</f>
        <v/>
      </c>
      <c r="G349" s="47">
        <f>F349/$F$4</f>
        <v/>
      </c>
      <c r="H349" s="49">
        <f t="array" ref="H349">IFERROR(
SUM(
IF(
'PORTIFÓLIO'!$C$4:$C$564=$A349,
N(INDEX('PORTIFÓLIO'!$J$4:$Q$564,,MATCH(H$2,'PORTIFÓLIO'!$J$3:$Q$3,0))) *
N('PORTIFÓLIO'!$S$4:$S$564),
0
)
),
0)</f>
        <v/>
      </c>
      <c r="I349" s="47">
        <f>H349/$H$4</f>
        <v/>
      </c>
      <c r="J349" s="49">
        <f t="array" ref="J349">IFERROR(
SUM(
IF(
'PORTIFÓLIO'!$C$4:$C$564=$A349,
N(INDEX('PORTIFÓLIO'!$J$4:$Q$564,,MATCH(J$2,'PORTIFÓLIO'!$J$3:$Q$3,0))) *
N('PORTIFÓLIO'!$S$4:$S$564),
0
)
),
0)</f>
        <v/>
      </c>
      <c r="K349" s="47">
        <f>J349/$J$4</f>
        <v/>
      </c>
      <c r="L349" s="49">
        <f t="array" ref="L349">IFERROR(
SUM(
IF(
'PORTIFÓLIO'!$C$4:$C$564=$A349,
N(INDEX('PORTIFÓLIO'!$J$4:$Q$564,,MATCH(L$2,'PORTIFÓLIO'!$J$3:$Q$3,0))) *
N('PORTIFÓLIO'!$S$4:$S$564),
0
)
),
0)</f>
        <v/>
      </c>
      <c r="M349" s="47">
        <f>L349/$L$4</f>
        <v/>
      </c>
      <c r="N349" s="49">
        <f t="array" ref="N349">IFERROR(
SUM(
IF(
'PORTIFÓLIO'!$C$4:$C$564=$A349,
N(INDEX('PORTIFÓLIO'!$J$4:$Q$564,,MATCH(N$2,'PORTIFÓLIO'!$J$3:$Q$3,0))) *
N('PORTIFÓLIO'!$S$4:$S$564),
0
)
),
0)</f>
        <v/>
      </c>
      <c r="O349" s="49">
        <f>N349/$N$4</f>
        <v/>
      </c>
      <c r="P349" s="49">
        <f t="array" ref="P349">IFERROR(
SUM(
IF(
'PORTIFÓLIO'!$C$4:$C$564=$A349,
N(INDEX('PORTIFÓLIO'!$J$4:$Q$564,,MATCH(P$2,'PORTIFÓLIO'!$J$3:$Q$3,0))) *
N('PORTIFÓLIO'!$S$4:$S$564),
0
)
),
0)</f>
        <v/>
      </c>
      <c r="Q349" s="49">
        <f>P349/$P$4</f>
        <v/>
      </c>
      <c r="R349" s="49">
        <f>SUM(P349,N349,L349,J349,H349,D349,B349)</f>
        <v/>
      </c>
      <c r="S349" s="49">
        <f>R349/$R$4</f>
        <v/>
      </c>
    </row>
    <row r="350" hidden="1" outlineLevel="1" ht="15.75" customHeight="1" s="297">
      <c r="A350" s="42" t="n"/>
      <c r="B350" s="49">
        <f t="array" ref="B350">IFERROR(
SUM(
IF(
'PORTIFÓLIO'!$C$4:$C$564=$A350,
N(INDEX('PORTIFÓLIO'!$J$4:$Q$564,,MATCH(B$2,'PORTIFÓLIO'!$J$3:$Q$3,0))) *
N('PORTIFÓLIO'!$S$4:$S$564),
0
)
),
0)</f>
        <v/>
      </c>
      <c r="C350" s="49">
        <f>B350/$B$4</f>
        <v/>
      </c>
      <c r="D350" s="49">
        <f t="array" ref="D350">IFERROR(
SUM(
IF(
'PORTIFÓLIO'!$C$4:$C$564=$A350,
N(INDEX('PORTIFÓLIO'!$J$4:$Q$564,,MATCH(D$2,'PORTIFÓLIO'!$J$3:$Q$3,0))) *
N('PORTIFÓLIO'!$S$4:$S$564),
0
)
),
0)</f>
        <v/>
      </c>
      <c r="E350" s="49">
        <f>D350/$D$4</f>
        <v/>
      </c>
      <c r="F350" s="49">
        <f t="array" ref="F350">IFERROR(
SUM(
IF(
'PORTIFÓLIO'!$C$4:$C$564=$A350,
N(INDEX('PORTIFÓLIO'!$J$4:$Q$564,,MATCH(F$2,'PORTIFÓLIO'!$J$3:$Q$3,0))) *
N('PORTIFÓLIO'!$S$4:$S$564),
0
)
),
0)</f>
        <v/>
      </c>
      <c r="G350" s="47">
        <f>F350/$F$4</f>
        <v/>
      </c>
      <c r="H350" s="49">
        <f t="array" ref="H350">IFERROR(
SUM(
IF(
'PORTIFÓLIO'!$C$4:$C$564=$A350,
N(INDEX('PORTIFÓLIO'!$J$4:$Q$564,,MATCH(H$2,'PORTIFÓLIO'!$J$3:$Q$3,0))) *
N('PORTIFÓLIO'!$S$4:$S$564),
0
)
),
0)</f>
        <v/>
      </c>
      <c r="I350" s="47">
        <f>H350/$H$4</f>
        <v/>
      </c>
      <c r="J350" s="49">
        <f t="array" ref="J350">IFERROR(
SUM(
IF(
'PORTIFÓLIO'!$C$4:$C$564=$A350,
N(INDEX('PORTIFÓLIO'!$J$4:$Q$564,,MATCH(J$2,'PORTIFÓLIO'!$J$3:$Q$3,0))) *
N('PORTIFÓLIO'!$S$4:$S$564),
0
)
),
0)</f>
        <v/>
      </c>
      <c r="K350" s="47">
        <f>J350/$J$4</f>
        <v/>
      </c>
      <c r="L350" s="49">
        <f t="array" ref="L350">IFERROR(
SUM(
IF(
'PORTIFÓLIO'!$C$4:$C$564=$A350,
N(INDEX('PORTIFÓLIO'!$J$4:$Q$564,,MATCH(L$2,'PORTIFÓLIO'!$J$3:$Q$3,0))) *
N('PORTIFÓLIO'!$S$4:$S$564),
0
)
),
0)</f>
        <v/>
      </c>
      <c r="M350" s="47">
        <f>L350/$L$4</f>
        <v/>
      </c>
      <c r="N350" s="49">
        <f t="array" ref="N350">IFERROR(
SUM(
IF(
'PORTIFÓLIO'!$C$4:$C$564=$A350,
N(INDEX('PORTIFÓLIO'!$J$4:$Q$564,,MATCH(N$2,'PORTIFÓLIO'!$J$3:$Q$3,0))) *
N('PORTIFÓLIO'!$S$4:$S$564),
0
)
),
0)</f>
        <v/>
      </c>
      <c r="O350" s="49">
        <f>N350/$N$4</f>
        <v/>
      </c>
      <c r="P350" s="49">
        <f t="array" ref="P350">IFERROR(
SUM(
IF(
'PORTIFÓLIO'!$C$4:$C$564=$A350,
N(INDEX('PORTIFÓLIO'!$J$4:$Q$564,,MATCH(P$2,'PORTIFÓLIO'!$J$3:$Q$3,0))) *
N('PORTIFÓLIO'!$S$4:$S$564),
0
)
),
0)</f>
        <v/>
      </c>
      <c r="Q350" s="49">
        <f>P350/$P$4</f>
        <v/>
      </c>
      <c r="R350" s="49">
        <f>SUM(P350,N350,L350,J350,H350,D350,B350)</f>
        <v/>
      </c>
      <c r="S350" s="49">
        <f>R350/$R$4</f>
        <v/>
      </c>
    </row>
    <row r="351" hidden="1" outlineLevel="1" ht="15.75" customHeight="1" s="297">
      <c r="A351" s="42" t="n"/>
      <c r="B351" s="49">
        <f t="array" ref="B351">IFERROR(
SUM(
IF(
'PORTIFÓLIO'!$C$4:$C$564=$A351,
N(INDEX('PORTIFÓLIO'!$J$4:$Q$564,,MATCH(B$2,'PORTIFÓLIO'!$J$3:$Q$3,0))) *
N('PORTIFÓLIO'!$S$4:$S$564),
0
)
),
0)</f>
        <v/>
      </c>
      <c r="C351" s="49">
        <f>B351/$B$4</f>
        <v/>
      </c>
      <c r="D351" s="49">
        <f t="array" ref="D351">IFERROR(
SUM(
IF(
'PORTIFÓLIO'!$C$4:$C$564=$A351,
N(INDEX('PORTIFÓLIO'!$J$4:$Q$564,,MATCH(D$2,'PORTIFÓLIO'!$J$3:$Q$3,0))) *
N('PORTIFÓLIO'!$S$4:$S$564),
0
)
),
0)</f>
        <v/>
      </c>
      <c r="E351" s="49">
        <f>D351/$D$4</f>
        <v/>
      </c>
      <c r="F351" s="49">
        <f t="array" ref="F351">IFERROR(
SUM(
IF(
'PORTIFÓLIO'!$C$4:$C$564=$A351,
N(INDEX('PORTIFÓLIO'!$J$4:$Q$564,,MATCH(F$2,'PORTIFÓLIO'!$J$3:$Q$3,0))) *
N('PORTIFÓLIO'!$S$4:$S$564),
0
)
),
0)</f>
        <v/>
      </c>
      <c r="G351" s="47">
        <f>F351/$F$4</f>
        <v/>
      </c>
      <c r="H351" s="49">
        <f t="array" ref="H351">IFERROR(
SUM(
IF(
'PORTIFÓLIO'!$C$4:$C$564=$A351,
N(INDEX('PORTIFÓLIO'!$J$4:$Q$564,,MATCH(H$2,'PORTIFÓLIO'!$J$3:$Q$3,0))) *
N('PORTIFÓLIO'!$S$4:$S$564),
0
)
),
0)</f>
        <v/>
      </c>
      <c r="I351" s="47">
        <f>H351/$H$4</f>
        <v/>
      </c>
      <c r="J351" s="49">
        <f t="array" ref="J351">IFERROR(
SUM(
IF(
'PORTIFÓLIO'!$C$4:$C$564=$A351,
N(INDEX('PORTIFÓLIO'!$J$4:$Q$564,,MATCH(J$2,'PORTIFÓLIO'!$J$3:$Q$3,0))) *
N('PORTIFÓLIO'!$S$4:$S$564),
0
)
),
0)</f>
        <v/>
      </c>
      <c r="K351" s="47">
        <f>J351/$J$4</f>
        <v/>
      </c>
      <c r="L351" s="49">
        <f t="array" ref="L351">IFERROR(
SUM(
IF(
'PORTIFÓLIO'!$C$4:$C$564=$A351,
N(INDEX('PORTIFÓLIO'!$J$4:$Q$564,,MATCH(L$2,'PORTIFÓLIO'!$J$3:$Q$3,0))) *
N('PORTIFÓLIO'!$S$4:$S$564),
0
)
),
0)</f>
        <v/>
      </c>
      <c r="M351" s="47">
        <f>L351/$L$4</f>
        <v/>
      </c>
      <c r="N351" s="49">
        <f t="array" ref="N351">IFERROR(
SUM(
IF(
'PORTIFÓLIO'!$C$4:$C$564=$A351,
N(INDEX('PORTIFÓLIO'!$J$4:$Q$564,,MATCH(N$2,'PORTIFÓLIO'!$J$3:$Q$3,0))) *
N('PORTIFÓLIO'!$S$4:$S$564),
0
)
),
0)</f>
        <v/>
      </c>
      <c r="O351" s="49">
        <f>N351/$N$4</f>
        <v/>
      </c>
      <c r="P351" s="49">
        <f t="array" ref="P351">IFERROR(
SUM(
IF(
'PORTIFÓLIO'!$C$4:$C$564=$A351,
N(INDEX('PORTIFÓLIO'!$J$4:$Q$564,,MATCH(P$2,'PORTIFÓLIO'!$J$3:$Q$3,0))) *
N('PORTIFÓLIO'!$S$4:$S$564),
0
)
),
0)</f>
        <v/>
      </c>
      <c r="Q351" s="49">
        <f>P351/$P$4</f>
        <v/>
      </c>
      <c r="R351" s="49">
        <f>SUM(P351,N351,L351,J351,H351,D351,B351)</f>
        <v/>
      </c>
      <c r="S351" s="49">
        <f>R351/$R$4</f>
        <v/>
      </c>
    </row>
    <row r="352" hidden="1" outlineLevel="1" ht="15.75" customHeight="1" s="297">
      <c r="A352" s="42" t="n"/>
      <c r="B352" s="49">
        <f t="array" ref="B352">IFERROR(
SUM(
IF(
'PORTIFÓLIO'!$C$4:$C$564=$A352,
N(INDEX('PORTIFÓLIO'!$J$4:$Q$564,,MATCH(B$2,'PORTIFÓLIO'!$J$3:$Q$3,0))) *
N('PORTIFÓLIO'!$S$4:$S$564),
0
)
),
0)</f>
        <v/>
      </c>
      <c r="C352" s="49">
        <f>B352/$B$4</f>
        <v/>
      </c>
      <c r="D352" s="49">
        <f t="array" ref="D352">IFERROR(
SUM(
IF(
'PORTIFÓLIO'!$C$4:$C$564=$A352,
N(INDEX('PORTIFÓLIO'!$J$4:$Q$564,,MATCH(D$2,'PORTIFÓLIO'!$J$3:$Q$3,0))) *
N('PORTIFÓLIO'!$S$4:$S$564),
0
)
),
0)</f>
        <v/>
      </c>
      <c r="E352" s="49">
        <f>D352/$D$4</f>
        <v/>
      </c>
      <c r="F352" s="49">
        <f t="array" ref="F352">IFERROR(
SUM(
IF(
'PORTIFÓLIO'!$C$4:$C$564=$A352,
N(INDEX('PORTIFÓLIO'!$J$4:$Q$564,,MATCH(F$2,'PORTIFÓLIO'!$J$3:$Q$3,0))) *
N('PORTIFÓLIO'!$S$4:$S$564),
0
)
),
0)</f>
        <v/>
      </c>
      <c r="G352" s="47">
        <f>F352/$F$4</f>
        <v/>
      </c>
      <c r="H352" s="49">
        <f t="array" ref="H352">IFERROR(
SUM(
IF(
'PORTIFÓLIO'!$C$4:$C$564=$A352,
N(INDEX('PORTIFÓLIO'!$J$4:$Q$564,,MATCH(H$2,'PORTIFÓLIO'!$J$3:$Q$3,0))) *
N('PORTIFÓLIO'!$S$4:$S$564),
0
)
),
0)</f>
        <v/>
      </c>
      <c r="I352" s="47">
        <f>H352/$H$4</f>
        <v/>
      </c>
      <c r="J352" s="49">
        <f t="array" ref="J352">IFERROR(
SUM(
IF(
'PORTIFÓLIO'!$C$4:$C$564=$A352,
N(INDEX('PORTIFÓLIO'!$J$4:$Q$564,,MATCH(J$2,'PORTIFÓLIO'!$J$3:$Q$3,0))) *
N('PORTIFÓLIO'!$S$4:$S$564),
0
)
),
0)</f>
        <v/>
      </c>
      <c r="K352" s="47">
        <f>J352/$J$4</f>
        <v/>
      </c>
      <c r="L352" s="49">
        <f t="array" ref="L352">IFERROR(
SUM(
IF(
'PORTIFÓLIO'!$C$4:$C$564=$A352,
N(INDEX('PORTIFÓLIO'!$J$4:$Q$564,,MATCH(L$2,'PORTIFÓLIO'!$J$3:$Q$3,0))) *
N('PORTIFÓLIO'!$S$4:$S$564),
0
)
),
0)</f>
        <v/>
      </c>
      <c r="M352" s="47">
        <f>L352/$L$4</f>
        <v/>
      </c>
      <c r="N352" s="49">
        <f t="array" ref="N352">IFERROR(
SUM(
IF(
'PORTIFÓLIO'!$C$4:$C$564=$A352,
N(INDEX('PORTIFÓLIO'!$J$4:$Q$564,,MATCH(N$2,'PORTIFÓLIO'!$J$3:$Q$3,0))) *
N('PORTIFÓLIO'!$S$4:$S$564),
0
)
),
0)</f>
        <v/>
      </c>
      <c r="O352" s="49">
        <f>N352/$N$4</f>
        <v/>
      </c>
      <c r="P352" s="49">
        <f t="array" ref="P352">IFERROR(
SUM(
IF(
'PORTIFÓLIO'!$C$4:$C$564=$A352,
N(INDEX('PORTIFÓLIO'!$J$4:$Q$564,,MATCH(P$2,'PORTIFÓLIO'!$J$3:$Q$3,0))) *
N('PORTIFÓLIO'!$S$4:$S$564),
0
)
),
0)</f>
        <v/>
      </c>
      <c r="Q352" s="49">
        <f>P352/$P$4</f>
        <v/>
      </c>
      <c r="R352" s="49">
        <f>SUM(P352,N352,L352,J352,H352,D352,B352)</f>
        <v/>
      </c>
      <c r="S352" s="49">
        <f>R352/$R$4</f>
        <v/>
      </c>
    </row>
    <row r="353" hidden="1" outlineLevel="1" ht="15.75" customHeight="1" s="297">
      <c r="A353" s="42" t="n"/>
      <c r="B353" s="49">
        <f t="array" ref="B353">IFERROR(
SUM(
IF(
'PORTIFÓLIO'!$C$4:$C$564=$A353,
N(INDEX('PORTIFÓLIO'!$J$4:$Q$564,,MATCH(B$2,'PORTIFÓLIO'!$J$3:$Q$3,0))) *
N('PORTIFÓLIO'!$S$4:$S$564),
0
)
),
0)</f>
        <v/>
      </c>
      <c r="C353" s="49">
        <f>B353/$B$4</f>
        <v/>
      </c>
      <c r="D353" s="49">
        <f t="array" ref="D353">IFERROR(
SUM(
IF(
'PORTIFÓLIO'!$C$4:$C$564=$A353,
N(INDEX('PORTIFÓLIO'!$J$4:$Q$564,,MATCH(D$2,'PORTIFÓLIO'!$J$3:$Q$3,0))) *
N('PORTIFÓLIO'!$S$4:$S$564),
0
)
),
0)</f>
        <v/>
      </c>
      <c r="E353" s="49">
        <f>D353/$D$4</f>
        <v/>
      </c>
      <c r="F353" s="49">
        <f t="array" ref="F353">IFERROR(
SUM(
IF(
'PORTIFÓLIO'!$C$4:$C$564=$A353,
N(INDEX('PORTIFÓLIO'!$J$4:$Q$564,,MATCH(F$2,'PORTIFÓLIO'!$J$3:$Q$3,0))) *
N('PORTIFÓLIO'!$S$4:$S$564),
0
)
),
0)</f>
        <v/>
      </c>
      <c r="G353" s="47">
        <f>F353/$F$4</f>
        <v/>
      </c>
      <c r="H353" s="49">
        <f t="array" ref="H353">IFERROR(
SUM(
IF(
'PORTIFÓLIO'!$C$4:$C$564=$A353,
N(INDEX('PORTIFÓLIO'!$J$4:$Q$564,,MATCH(H$2,'PORTIFÓLIO'!$J$3:$Q$3,0))) *
N('PORTIFÓLIO'!$S$4:$S$564),
0
)
),
0)</f>
        <v/>
      </c>
      <c r="I353" s="47">
        <f>H353/$H$4</f>
        <v/>
      </c>
      <c r="J353" s="49">
        <f t="array" ref="J353">IFERROR(
SUM(
IF(
'PORTIFÓLIO'!$C$4:$C$564=$A353,
N(INDEX('PORTIFÓLIO'!$J$4:$Q$564,,MATCH(J$2,'PORTIFÓLIO'!$J$3:$Q$3,0))) *
N('PORTIFÓLIO'!$S$4:$S$564),
0
)
),
0)</f>
        <v/>
      </c>
      <c r="K353" s="47">
        <f>J353/$J$4</f>
        <v/>
      </c>
      <c r="L353" s="49">
        <f t="array" ref="L353">IFERROR(
SUM(
IF(
'PORTIFÓLIO'!$C$4:$C$564=$A353,
N(INDEX('PORTIFÓLIO'!$J$4:$Q$564,,MATCH(L$2,'PORTIFÓLIO'!$J$3:$Q$3,0))) *
N('PORTIFÓLIO'!$S$4:$S$564),
0
)
),
0)</f>
        <v/>
      </c>
      <c r="M353" s="47">
        <f>L353/$L$4</f>
        <v/>
      </c>
      <c r="N353" s="49">
        <f t="array" ref="N353">IFERROR(
SUM(
IF(
'PORTIFÓLIO'!$C$4:$C$564=$A353,
N(INDEX('PORTIFÓLIO'!$J$4:$Q$564,,MATCH(N$2,'PORTIFÓLIO'!$J$3:$Q$3,0))) *
N('PORTIFÓLIO'!$S$4:$S$564),
0
)
),
0)</f>
        <v/>
      </c>
      <c r="O353" s="49">
        <f>N353/$N$4</f>
        <v/>
      </c>
      <c r="P353" s="49">
        <f t="array" ref="P353">IFERROR(
SUM(
IF(
'PORTIFÓLIO'!$C$4:$C$564=$A353,
N(INDEX('PORTIFÓLIO'!$J$4:$Q$564,,MATCH(P$2,'PORTIFÓLIO'!$J$3:$Q$3,0))) *
N('PORTIFÓLIO'!$S$4:$S$564),
0
)
),
0)</f>
        <v/>
      </c>
      <c r="Q353" s="49">
        <f>P353/$P$4</f>
        <v/>
      </c>
      <c r="R353" s="49">
        <f>SUM(P353,N353,L353,J353,H353,D353,B353)</f>
        <v/>
      </c>
      <c r="S353" s="49">
        <f>R353/$R$4</f>
        <v/>
      </c>
    </row>
    <row r="354" hidden="1" outlineLevel="1" ht="15.75" customHeight="1" s="297">
      <c r="A354" s="42" t="n"/>
      <c r="B354" s="49">
        <f t="array" ref="B354">IFERROR(
SUM(
IF(
'PORTIFÓLIO'!$C$4:$C$564=$A354,
N(INDEX('PORTIFÓLIO'!$J$4:$Q$564,,MATCH(B$2,'PORTIFÓLIO'!$J$3:$Q$3,0))) *
N('PORTIFÓLIO'!$S$4:$S$564),
0
)
),
0)</f>
        <v/>
      </c>
      <c r="C354" s="49">
        <f>B354/$B$4</f>
        <v/>
      </c>
      <c r="D354" s="49">
        <f t="array" ref="D354">IFERROR(
SUM(
IF(
'PORTIFÓLIO'!$C$4:$C$564=$A354,
N(INDEX('PORTIFÓLIO'!$J$4:$Q$564,,MATCH(D$2,'PORTIFÓLIO'!$J$3:$Q$3,0))) *
N('PORTIFÓLIO'!$S$4:$S$564),
0
)
),
0)</f>
        <v/>
      </c>
      <c r="E354" s="49">
        <f>D354/$D$4</f>
        <v/>
      </c>
      <c r="F354" s="49">
        <f t="array" ref="F354">IFERROR(
SUM(
IF(
'PORTIFÓLIO'!$C$4:$C$564=$A354,
N(INDEX('PORTIFÓLIO'!$J$4:$Q$564,,MATCH(F$2,'PORTIFÓLIO'!$J$3:$Q$3,0))) *
N('PORTIFÓLIO'!$S$4:$S$564),
0
)
),
0)</f>
        <v/>
      </c>
      <c r="G354" s="47">
        <f>F354/$F$4</f>
        <v/>
      </c>
      <c r="H354" s="49">
        <f t="array" ref="H354">IFERROR(
SUM(
IF(
'PORTIFÓLIO'!$C$4:$C$564=$A354,
N(INDEX('PORTIFÓLIO'!$J$4:$Q$564,,MATCH(H$2,'PORTIFÓLIO'!$J$3:$Q$3,0))) *
N('PORTIFÓLIO'!$S$4:$S$564),
0
)
),
0)</f>
        <v/>
      </c>
      <c r="I354" s="47">
        <f>H354/$H$4</f>
        <v/>
      </c>
      <c r="J354" s="49">
        <f t="array" ref="J354">IFERROR(
SUM(
IF(
'PORTIFÓLIO'!$C$4:$C$564=$A354,
N(INDEX('PORTIFÓLIO'!$J$4:$Q$564,,MATCH(J$2,'PORTIFÓLIO'!$J$3:$Q$3,0))) *
N('PORTIFÓLIO'!$S$4:$S$564),
0
)
),
0)</f>
        <v/>
      </c>
      <c r="K354" s="47">
        <f>J354/$J$4</f>
        <v/>
      </c>
      <c r="L354" s="49">
        <f t="array" ref="L354">IFERROR(
SUM(
IF(
'PORTIFÓLIO'!$C$4:$C$564=$A354,
N(INDEX('PORTIFÓLIO'!$J$4:$Q$564,,MATCH(L$2,'PORTIFÓLIO'!$J$3:$Q$3,0))) *
N('PORTIFÓLIO'!$S$4:$S$564),
0
)
),
0)</f>
        <v/>
      </c>
      <c r="M354" s="47">
        <f>L354/$L$4</f>
        <v/>
      </c>
      <c r="N354" s="49">
        <f t="array" ref="N354">IFERROR(
SUM(
IF(
'PORTIFÓLIO'!$C$4:$C$564=$A354,
N(INDEX('PORTIFÓLIO'!$J$4:$Q$564,,MATCH(N$2,'PORTIFÓLIO'!$J$3:$Q$3,0))) *
N('PORTIFÓLIO'!$S$4:$S$564),
0
)
),
0)</f>
        <v/>
      </c>
      <c r="O354" s="49">
        <f>N354/$N$4</f>
        <v/>
      </c>
      <c r="P354" s="49">
        <f t="array" ref="P354">IFERROR(
SUM(
IF(
'PORTIFÓLIO'!$C$4:$C$564=$A354,
N(INDEX('PORTIFÓLIO'!$J$4:$Q$564,,MATCH(P$2,'PORTIFÓLIO'!$J$3:$Q$3,0))) *
N('PORTIFÓLIO'!$S$4:$S$564),
0
)
),
0)</f>
        <v/>
      </c>
      <c r="Q354" s="49">
        <f>P354/$P$4</f>
        <v/>
      </c>
      <c r="R354" s="49">
        <f>SUM(P354,N354,L354,J354,H354,D354,B354)</f>
        <v/>
      </c>
      <c r="S354" s="49">
        <f>R354/$R$4</f>
        <v/>
      </c>
    </row>
    <row r="355" hidden="1" outlineLevel="1" ht="15.75" customHeight="1" s="297">
      <c r="A355" s="42" t="n"/>
      <c r="B355" s="49">
        <f t="array" ref="B355">IFERROR(
SUM(
IF(
'PORTIFÓLIO'!$C$4:$C$564=$A355,
N(INDEX('PORTIFÓLIO'!$J$4:$Q$564,,MATCH(B$2,'PORTIFÓLIO'!$J$3:$Q$3,0))) *
N('PORTIFÓLIO'!$S$4:$S$564),
0
)
),
0)</f>
        <v/>
      </c>
      <c r="C355" s="49">
        <f>B355/$B$4</f>
        <v/>
      </c>
      <c r="D355" s="49">
        <f t="array" ref="D355">IFERROR(
SUM(
IF(
'PORTIFÓLIO'!$C$4:$C$564=$A355,
N(INDEX('PORTIFÓLIO'!$J$4:$Q$564,,MATCH(D$2,'PORTIFÓLIO'!$J$3:$Q$3,0))) *
N('PORTIFÓLIO'!$S$4:$S$564),
0
)
),
0)</f>
        <v/>
      </c>
      <c r="E355" s="49">
        <f>D355/$D$4</f>
        <v/>
      </c>
      <c r="F355" s="49">
        <f t="array" ref="F355">IFERROR(
SUM(
IF(
'PORTIFÓLIO'!$C$4:$C$564=$A355,
N(INDEX('PORTIFÓLIO'!$J$4:$Q$564,,MATCH(F$2,'PORTIFÓLIO'!$J$3:$Q$3,0))) *
N('PORTIFÓLIO'!$S$4:$S$564),
0
)
),
0)</f>
        <v/>
      </c>
      <c r="G355" s="47">
        <f>F355/$F$4</f>
        <v/>
      </c>
      <c r="H355" s="49">
        <f t="array" ref="H355">IFERROR(
SUM(
IF(
'PORTIFÓLIO'!$C$4:$C$564=$A355,
N(INDEX('PORTIFÓLIO'!$J$4:$Q$564,,MATCH(H$2,'PORTIFÓLIO'!$J$3:$Q$3,0))) *
N('PORTIFÓLIO'!$S$4:$S$564),
0
)
),
0)</f>
        <v/>
      </c>
      <c r="I355" s="47">
        <f>H355/$H$4</f>
        <v/>
      </c>
      <c r="J355" s="49">
        <f t="array" ref="J355">IFERROR(
SUM(
IF(
'PORTIFÓLIO'!$C$4:$C$564=$A355,
N(INDEX('PORTIFÓLIO'!$J$4:$Q$564,,MATCH(J$2,'PORTIFÓLIO'!$J$3:$Q$3,0))) *
N('PORTIFÓLIO'!$S$4:$S$564),
0
)
),
0)</f>
        <v/>
      </c>
      <c r="K355" s="47">
        <f>J355/$J$4</f>
        <v/>
      </c>
      <c r="L355" s="49">
        <f t="array" ref="L355">IFERROR(
SUM(
IF(
'PORTIFÓLIO'!$C$4:$C$564=$A355,
N(INDEX('PORTIFÓLIO'!$J$4:$Q$564,,MATCH(L$2,'PORTIFÓLIO'!$J$3:$Q$3,0))) *
N('PORTIFÓLIO'!$S$4:$S$564),
0
)
),
0)</f>
        <v/>
      </c>
      <c r="M355" s="47">
        <f>L355/$L$4</f>
        <v/>
      </c>
      <c r="N355" s="49">
        <f t="array" ref="N355">IFERROR(
SUM(
IF(
'PORTIFÓLIO'!$C$4:$C$564=$A355,
N(INDEX('PORTIFÓLIO'!$J$4:$Q$564,,MATCH(N$2,'PORTIFÓLIO'!$J$3:$Q$3,0))) *
N('PORTIFÓLIO'!$S$4:$S$564),
0
)
),
0)</f>
        <v/>
      </c>
      <c r="O355" s="49">
        <f>N355/$N$4</f>
        <v/>
      </c>
      <c r="P355" s="49">
        <f t="array" ref="P355">IFERROR(
SUM(
IF(
'PORTIFÓLIO'!$C$4:$C$564=$A355,
N(INDEX('PORTIFÓLIO'!$J$4:$Q$564,,MATCH(P$2,'PORTIFÓLIO'!$J$3:$Q$3,0))) *
N('PORTIFÓLIO'!$S$4:$S$564),
0
)
),
0)</f>
        <v/>
      </c>
      <c r="Q355" s="49">
        <f>P355/$P$4</f>
        <v/>
      </c>
      <c r="R355" s="49">
        <f>SUM(P355,N355,L355,J355,H355,D355,B355)</f>
        <v/>
      </c>
      <c r="S355" s="49">
        <f>R355/$R$4</f>
        <v/>
      </c>
    </row>
    <row r="356" hidden="1" outlineLevel="1" ht="15.75" customHeight="1" s="297">
      <c r="A356" s="42" t="n"/>
      <c r="B356" s="49">
        <f t="array" ref="B356">IFERROR(
SUM(
IF(
'PORTIFÓLIO'!$C$4:$C$564=$A356,
N(INDEX('PORTIFÓLIO'!$J$4:$Q$564,,MATCH(B$2,'PORTIFÓLIO'!$J$3:$Q$3,0))) *
N('PORTIFÓLIO'!$S$4:$S$564),
0
)
),
0)</f>
        <v/>
      </c>
      <c r="C356" s="49">
        <f>B356/$B$4</f>
        <v/>
      </c>
      <c r="D356" s="49">
        <f t="array" ref="D356">IFERROR(
SUM(
IF(
'PORTIFÓLIO'!$C$4:$C$564=$A356,
N(INDEX('PORTIFÓLIO'!$J$4:$Q$564,,MATCH(D$2,'PORTIFÓLIO'!$J$3:$Q$3,0))) *
N('PORTIFÓLIO'!$S$4:$S$564),
0
)
),
0)</f>
        <v/>
      </c>
      <c r="E356" s="49">
        <f>D356/$D$4</f>
        <v/>
      </c>
      <c r="F356" s="49">
        <f t="array" ref="F356">IFERROR(
SUM(
IF(
'PORTIFÓLIO'!$C$4:$C$564=$A356,
N(INDEX('PORTIFÓLIO'!$J$4:$Q$564,,MATCH(F$2,'PORTIFÓLIO'!$J$3:$Q$3,0))) *
N('PORTIFÓLIO'!$S$4:$S$564),
0
)
),
0)</f>
        <v/>
      </c>
      <c r="G356" s="47">
        <f>F356/$F$4</f>
        <v/>
      </c>
      <c r="H356" s="49">
        <f t="array" ref="H356">IFERROR(
SUM(
IF(
'PORTIFÓLIO'!$C$4:$C$564=$A356,
N(INDEX('PORTIFÓLIO'!$J$4:$Q$564,,MATCH(H$2,'PORTIFÓLIO'!$J$3:$Q$3,0))) *
N('PORTIFÓLIO'!$S$4:$S$564),
0
)
),
0)</f>
        <v/>
      </c>
      <c r="I356" s="47">
        <f>H356/$H$4</f>
        <v/>
      </c>
      <c r="J356" s="49">
        <f t="array" ref="J356">IFERROR(
SUM(
IF(
'PORTIFÓLIO'!$C$4:$C$564=$A356,
N(INDEX('PORTIFÓLIO'!$J$4:$Q$564,,MATCH(J$2,'PORTIFÓLIO'!$J$3:$Q$3,0))) *
N('PORTIFÓLIO'!$S$4:$S$564),
0
)
),
0)</f>
        <v/>
      </c>
      <c r="K356" s="47">
        <f>J356/$J$4</f>
        <v/>
      </c>
      <c r="L356" s="49">
        <f t="array" ref="L356">IFERROR(
SUM(
IF(
'PORTIFÓLIO'!$C$4:$C$564=$A356,
N(INDEX('PORTIFÓLIO'!$J$4:$Q$564,,MATCH(L$2,'PORTIFÓLIO'!$J$3:$Q$3,0))) *
N('PORTIFÓLIO'!$S$4:$S$564),
0
)
),
0)</f>
        <v/>
      </c>
      <c r="M356" s="47">
        <f>L356/$L$4</f>
        <v/>
      </c>
      <c r="N356" s="49">
        <f t="array" ref="N356">IFERROR(
SUM(
IF(
'PORTIFÓLIO'!$C$4:$C$564=$A356,
N(INDEX('PORTIFÓLIO'!$J$4:$Q$564,,MATCH(N$2,'PORTIFÓLIO'!$J$3:$Q$3,0))) *
N('PORTIFÓLIO'!$S$4:$S$564),
0
)
),
0)</f>
        <v/>
      </c>
      <c r="O356" s="49">
        <f>N356/$N$4</f>
        <v/>
      </c>
      <c r="P356" s="49">
        <f t="array" ref="P356">IFERROR(
SUM(
IF(
'PORTIFÓLIO'!$C$4:$C$564=$A356,
N(INDEX('PORTIFÓLIO'!$J$4:$Q$564,,MATCH(P$2,'PORTIFÓLIO'!$J$3:$Q$3,0))) *
N('PORTIFÓLIO'!$S$4:$S$564),
0
)
),
0)</f>
        <v/>
      </c>
      <c r="Q356" s="49">
        <f>P356/$P$4</f>
        <v/>
      </c>
      <c r="R356" s="49">
        <f>SUM(P356,N356,L356,J356,H356,D356,B356)</f>
        <v/>
      </c>
      <c r="S356" s="49">
        <f>R356/$R$4</f>
        <v/>
      </c>
    </row>
    <row r="357" collapsed="1" ht="15.75" customHeight="1" s="297">
      <c r="A357" s="46" t="inlineStr">
        <is>
          <t>NUTRIÇÃO</t>
        </is>
      </c>
      <c r="B357" s="47">
        <f>SUM(B358:B420)</f>
        <v/>
      </c>
      <c r="C357" s="47">
        <f>B357/$B$4</f>
        <v/>
      </c>
      <c r="D357" s="47">
        <f>SUM(D358:D420)</f>
        <v/>
      </c>
      <c r="E357" s="47">
        <f>D357/$D$4</f>
        <v/>
      </c>
      <c r="F357" s="47">
        <f>SUM(F358:F420)</f>
        <v/>
      </c>
      <c r="G357" s="47">
        <f>F357/$F$4</f>
        <v/>
      </c>
      <c r="H357" s="47">
        <f>SUM(H358:H420)</f>
        <v/>
      </c>
      <c r="I357" s="47">
        <f>H357/$H$4</f>
        <v/>
      </c>
      <c r="J357" s="47">
        <f>SUM(J358:J420)</f>
        <v/>
      </c>
      <c r="K357" s="47">
        <f>J357/$J$4</f>
        <v/>
      </c>
      <c r="L357" s="47">
        <f>SUM(L358:L420)</f>
        <v/>
      </c>
      <c r="M357" s="47">
        <f>L357/$L$4</f>
        <v/>
      </c>
      <c r="N357" s="47">
        <f>SUM(N358:N420)</f>
        <v/>
      </c>
      <c r="O357" s="47">
        <f>N357/$N$4</f>
        <v/>
      </c>
      <c r="P357" s="47">
        <f>SUM(P358:P420)</f>
        <v/>
      </c>
      <c r="Q357" s="49">
        <f>P357/$P$4</f>
        <v/>
      </c>
      <c r="R357" s="47">
        <f>SUM(P357,N357,L357,J357,H357,D357,B357)</f>
        <v/>
      </c>
      <c r="S357" s="47">
        <f>R357/$R$4</f>
        <v/>
      </c>
    </row>
    <row r="358" hidden="1" outlineLevel="1" ht="15.75" customHeight="1" s="297">
      <c r="A358" s="42">
        <f>IFERROR(__xludf.DUMMYFUNCTION("UNIQUE(FILTER('PORTIFÓLIO'!C:C, 'PORTIFÓLIO'!B:B=""NUTRIÇÃO""))"),"RADIFARM")</f>
        <v/>
      </c>
      <c r="B358" s="49">
        <f t="array" ref="B358">IFERROR(
SUM(
IF(
'PORTIFÓLIO'!$C$4:$C$564=$A358,
N(INDEX('PORTIFÓLIO'!$J$4:$Q$564,,MATCH(B$2,'PORTIFÓLIO'!$J$3:$Q$3,0))) *
N('PORTIFÓLIO'!$S$4:$S$564),
0
)
),
0)</f>
        <v/>
      </c>
      <c r="C358" s="49">
        <f>B358/$B$4</f>
        <v/>
      </c>
      <c r="D358" s="49">
        <f t="array" ref="D358">IFERROR(
SUM(
IF(
'PORTIFÓLIO'!$C$4:$C$564=$A358,
N(INDEX('PORTIFÓLIO'!$J$4:$Q$564,,MATCH(D$2,'PORTIFÓLIO'!$J$3:$Q$3,0))) *
N('PORTIFÓLIO'!$S$4:$S$564),
0
)
),
0)</f>
        <v/>
      </c>
      <c r="E358" s="49">
        <f>D358/$B$4</f>
        <v/>
      </c>
      <c r="F358" s="49">
        <f t="array" ref="F358">IFERROR(
SUM(
IF(
'PORTIFÓLIO'!$C$4:$C$564=$A358,
N(INDEX('PORTIFÓLIO'!$J$4:$Q$564,,MATCH(F$2,'PORTIFÓLIO'!$J$3:$Q$3,0))) *
N('PORTIFÓLIO'!$S$4:$S$564),
0
)
),
0)</f>
        <v/>
      </c>
      <c r="G358" s="47">
        <f>F358/$F$4</f>
        <v/>
      </c>
      <c r="H358" s="49">
        <f t="array" ref="H358">IFERROR(
SUM(
IF(
'PORTIFÓLIO'!$C$4:$C$564=$A358,
N(INDEX('PORTIFÓLIO'!$J$4:$Q$564,,MATCH(H$2,'PORTIFÓLIO'!$J$3:$Q$3,0))) *
N('PORTIFÓLIO'!$S$4:$S$564),
0
)
),
0)</f>
        <v/>
      </c>
      <c r="I358" s="47">
        <f>H358/$H$4</f>
        <v/>
      </c>
      <c r="J358" s="49">
        <f t="array" ref="J358">IFERROR(
SUM(
IF(
'PORTIFÓLIO'!$C$4:$C$564=$A358,
N(INDEX('PORTIFÓLIO'!$J$4:$Q$564,,MATCH(J$2,'PORTIFÓLIO'!$J$3:$Q$3,0))) *
N('PORTIFÓLIO'!$S$4:$S$564),
0
)
),
0)</f>
        <v/>
      </c>
      <c r="K358" s="47">
        <f>J358/$J$4</f>
        <v/>
      </c>
      <c r="L358" s="49">
        <f t="array" ref="L358">IFERROR(
SUM(
IF(
'PORTIFÓLIO'!$C$4:$C$564=$A358,
N(INDEX('PORTIFÓLIO'!$J$4:$Q$564,,MATCH(L$2,'PORTIFÓLIO'!$J$3:$Q$3,0))) *
N('PORTIFÓLIO'!$S$4:$S$564),
0
)
),
0)</f>
        <v/>
      </c>
      <c r="M358" s="47">
        <f>L358/$L$4</f>
        <v/>
      </c>
      <c r="N358" s="49">
        <f t="array" ref="N358">IFERROR(
SUM(
IF(
'PORTIFÓLIO'!$C$4:$C$564=$A358,
N(INDEX('PORTIFÓLIO'!$J$4:$Q$564,,MATCH(N$2,'PORTIFÓLIO'!$J$3:$Q$3,0))) *
N('PORTIFÓLIO'!$S$4:$S$564),
0
)
),
0)</f>
        <v/>
      </c>
      <c r="O358" s="49">
        <f>N358/$N$4</f>
        <v/>
      </c>
      <c r="P358" s="49">
        <f t="array" ref="P358">IFERROR(
SUM(
IF(
'PORTIFÓLIO'!$C$4:$C$564=$A358,
N(INDEX('PORTIFÓLIO'!$J$4:$Q$564,,MATCH(P$2,'PORTIFÓLIO'!$J$3:$Q$3,0))) *
N('PORTIFÓLIO'!$S$4:$S$564),
0
)
),
0)</f>
        <v/>
      </c>
      <c r="Q358" s="49">
        <f>P358/$P$4</f>
        <v/>
      </c>
      <c r="R358" s="49">
        <f>SUM(P358,N358,L358,J358,H358,D358,B358)</f>
        <v/>
      </c>
      <c r="S358" s="49">
        <f>R358/$R$4</f>
        <v/>
      </c>
    </row>
    <row r="359" hidden="1" outlineLevel="1" ht="15.75" customHeight="1" s="297">
      <c r="A359" s="42">
        <f>IFERROR(__xludf.DUMMYFUNCTION("""COMPUTED_VALUE"""),"MEGAFOL")</f>
        <v/>
      </c>
      <c r="B359" s="49">
        <f t="array" ref="B359">IFERROR(
SUM(
IF(
'PORTIFÓLIO'!$C$4:$C$564=$A359,
N(INDEX('PORTIFÓLIO'!$J$4:$Q$564,,MATCH(B$2,'PORTIFÓLIO'!$J$3:$Q$3,0))) *
N('PORTIFÓLIO'!$S$4:$S$564),
0
)
),
0)</f>
        <v/>
      </c>
      <c r="C359" s="49">
        <f>B359/$B$4</f>
        <v/>
      </c>
      <c r="D359" s="49">
        <f t="array" ref="D359">IFERROR(
SUM(
IF(
'PORTIFÓLIO'!$C$4:$C$564=$A359,
N(INDEX('PORTIFÓLIO'!$J$4:$Q$564,,MATCH(D$2,'PORTIFÓLIO'!$J$3:$Q$3,0))) *
N('PORTIFÓLIO'!$S$4:$S$564),
0
)
),
0)</f>
        <v/>
      </c>
      <c r="E359" s="49">
        <f>D359/$B$4</f>
        <v/>
      </c>
      <c r="F359" s="49">
        <f t="array" ref="F359">IFERROR(
SUM(
IF(
'PORTIFÓLIO'!$C$4:$C$564=$A359,
N(INDEX('PORTIFÓLIO'!$J$4:$Q$564,,MATCH(F$2,'PORTIFÓLIO'!$J$3:$Q$3,0))) *
N('PORTIFÓLIO'!$S$4:$S$564),
0
)
),
0)</f>
        <v/>
      </c>
      <c r="G359" s="47">
        <f>F359/$F$4</f>
        <v/>
      </c>
      <c r="H359" s="49">
        <f t="array" ref="H359">IFERROR(
SUM(
IF(
'PORTIFÓLIO'!$C$4:$C$564=$A359,
N(INDEX('PORTIFÓLIO'!$J$4:$Q$564,,MATCH(H$2,'PORTIFÓLIO'!$J$3:$Q$3,0))) *
N('PORTIFÓLIO'!$S$4:$S$564),
0
)
),
0)</f>
        <v/>
      </c>
      <c r="I359" s="47">
        <f>H359/$H$4</f>
        <v/>
      </c>
      <c r="J359" s="49">
        <f t="array" ref="J359">IFERROR(
SUM(
IF(
'PORTIFÓLIO'!$C$4:$C$564=$A359,
N(INDEX('PORTIFÓLIO'!$J$4:$Q$564,,MATCH(J$2,'PORTIFÓLIO'!$J$3:$Q$3,0))) *
N('PORTIFÓLIO'!$S$4:$S$564),
0
)
),
0)</f>
        <v/>
      </c>
      <c r="K359" s="47">
        <f>J359/$J$4</f>
        <v/>
      </c>
      <c r="L359" s="49">
        <f t="array" ref="L359">IFERROR(
SUM(
IF(
'PORTIFÓLIO'!$C$4:$C$564=$A359,
N(INDEX('PORTIFÓLIO'!$J$4:$Q$564,,MATCH(L$2,'PORTIFÓLIO'!$J$3:$Q$3,0))) *
N('PORTIFÓLIO'!$S$4:$S$564),
0
)
),
0)</f>
        <v/>
      </c>
      <c r="M359" s="47">
        <f>L359/$L$4</f>
        <v/>
      </c>
      <c r="N359" s="49">
        <f t="array" ref="N359">IFERROR(
SUM(
IF(
'PORTIFÓLIO'!$C$4:$C$564=$A359,
N(INDEX('PORTIFÓLIO'!$J$4:$Q$564,,MATCH(N$2,'PORTIFÓLIO'!$J$3:$Q$3,0))) *
N('PORTIFÓLIO'!$S$4:$S$564),
0
)
),
0)</f>
        <v/>
      </c>
      <c r="O359" s="49">
        <f>N359/$N$4</f>
        <v/>
      </c>
      <c r="P359" s="49">
        <f t="array" ref="P359">IFERROR(
SUM(
IF(
'PORTIFÓLIO'!$C$4:$C$564=$A359,
N(INDEX('PORTIFÓLIO'!$J$4:$Q$564,,MATCH(P$2,'PORTIFÓLIO'!$J$3:$Q$3,0))) *
N('PORTIFÓLIO'!$S$4:$S$564),
0
)
),
0)</f>
        <v/>
      </c>
      <c r="Q359" s="49">
        <f>P359/$P$4</f>
        <v/>
      </c>
      <c r="R359" s="49">
        <f>SUM(P359,N359,L359,J359,H359,D359,B359)</f>
        <v/>
      </c>
      <c r="S359" s="49">
        <f>R359/$R$4</f>
        <v/>
      </c>
    </row>
    <row r="360" hidden="1" outlineLevel="1" ht="15.75" customHeight="1" s="297">
      <c r="A360" s="42">
        <f>IFERROR(__xludf.DUMMYFUNCTION("""COMPUTED_VALUE"""),"OCTABORATO")</f>
        <v/>
      </c>
      <c r="B360" s="49">
        <f t="array" ref="B360">IFERROR(
SUM(
IF(
'PORTIFÓLIO'!$C$4:$C$564=$A360,
N(INDEX('PORTIFÓLIO'!$J$4:$Q$564,,MATCH(B$2,'PORTIFÓLIO'!$J$3:$Q$3,0))) *
N('PORTIFÓLIO'!$S$4:$S$564),
0
)
),
0)</f>
        <v/>
      </c>
      <c r="C360" s="49">
        <f>B360/$B$4</f>
        <v/>
      </c>
      <c r="D360" s="49">
        <f t="array" ref="D360">IFERROR(
SUM(
IF(
'PORTIFÓLIO'!$C$4:$C$564=$A360,
N(INDEX('PORTIFÓLIO'!$J$4:$Q$564,,MATCH(D$2,'PORTIFÓLIO'!$J$3:$Q$3,0))) *
N('PORTIFÓLIO'!$S$4:$S$564),
0
)
),
0)</f>
        <v/>
      </c>
      <c r="E360" s="49">
        <f>D360/$B$4</f>
        <v/>
      </c>
      <c r="F360" s="49">
        <f t="array" ref="F360">IFERROR(
SUM(
IF(
'PORTIFÓLIO'!$C$4:$C$564=$A360,
N(INDEX('PORTIFÓLIO'!$J$4:$Q$564,,MATCH(F$2,'PORTIFÓLIO'!$J$3:$Q$3,0))) *
N('PORTIFÓLIO'!$S$4:$S$564),
0
)
),
0)</f>
        <v/>
      </c>
      <c r="G360" s="47">
        <f>F360/$F$4</f>
        <v/>
      </c>
      <c r="H360" s="49">
        <f t="array" ref="H360">IFERROR(
SUM(
IF(
'PORTIFÓLIO'!$C$4:$C$564=$A360,
N(INDEX('PORTIFÓLIO'!$J$4:$Q$564,,MATCH(H$2,'PORTIFÓLIO'!$J$3:$Q$3,0))) *
N('PORTIFÓLIO'!$S$4:$S$564),
0
)
),
0)</f>
        <v/>
      </c>
      <c r="I360" s="47">
        <f>H360/$H$4</f>
        <v/>
      </c>
      <c r="J360" s="49">
        <f t="array" ref="J360">IFERROR(
SUM(
IF(
'PORTIFÓLIO'!$C$4:$C$564=$A360,
N(INDEX('PORTIFÓLIO'!$J$4:$Q$564,,MATCH(J$2,'PORTIFÓLIO'!$J$3:$Q$3,0))) *
N('PORTIFÓLIO'!$S$4:$S$564),
0
)
),
0)</f>
        <v/>
      </c>
      <c r="K360" s="47">
        <f>J360/$J$4</f>
        <v/>
      </c>
      <c r="L360" s="49">
        <f t="array" ref="L360">IFERROR(
SUM(
IF(
'PORTIFÓLIO'!$C$4:$C$564=$A360,
N(INDEX('PORTIFÓLIO'!$J$4:$Q$564,,MATCH(L$2,'PORTIFÓLIO'!$J$3:$Q$3,0))) *
N('PORTIFÓLIO'!$S$4:$S$564),
0
)
),
0)</f>
        <v/>
      </c>
      <c r="M360" s="47">
        <f>L360/$L$4</f>
        <v/>
      </c>
      <c r="N360" s="49">
        <f t="array" ref="N360">IFERROR(
SUM(
IF(
'PORTIFÓLIO'!$C$4:$C$564=$A360,
N(INDEX('PORTIFÓLIO'!$J$4:$Q$564,,MATCH(N$2,'PORTIFÓLIO'!$J$3:$Q$3,0))) *
N('PORTIFÓLIO'!$S$4:$S$564),
0
)
),
0)</f>
        <v/>
      </c>
      <c r="O360" s="49">
        <f>N360/$N$4</f>
        <v/>
      </c>
      <c r="P360" s="49">
        <f t="array" ref="P360">IFERROR(
SUM(
IF(
'PORTIFÓLIO'!$C$4:$C$564=$A360,
N(INDEX('PORTIFÓLIO'!$J$4:$Q$564,,MATCH(P$2,'PORTIFÓLIO'!$J$3:$Q$3,0))) *
N('PORTIFÓLIO'!$S$4:$S$564),
0
)
),
0)</f>
        <v/>
      </c>
      <c r="Q360" s="49">
        <f>P360/$P$4</f>
        <v/>
      </c>
      <c r="R360" s="49">
        <f>SUM(P360,N360,L360,J360,H360,D360,B360)</f>
        <v/>
      </c>
      <c r="S360" s="49">
        <f>R360/$R$4</f>
        <v/>
      </c>
    </row>
    <row r="361" hidden="1" outlineLevel="1" ht="15.75" customHeight="1" s="297">
      <c r="A361" s="42">
        <f>IFERROR(__xludf.DUMMYFUNCTION("""COMPUTED_VALUE"""),"BOP")</f>
        <v/>
      </c>
      <c r="B361" s="49">
        <f t="array" ref="B361">IFERROR(
SUM(
IF(
'PORTIFÓLIO'!$C$4:$C$564=$A361,
N(INDEX('PORTIFÓLIO'!$J$4:$Q$564,,MATCH(B$2,'PORTIFÓLIO'!$J$3:$Q$3,0))) *
N('PORTIFÓLIO'!$S$4:$S$564),
0
)
),
0)</f>
        <v/>
      </c>
      <c r="C361" s="49">
        <f>B361/$B$4</f>
        <v/>
      </c>
      <c r="D361" s="49">
        <f t="array" ref="D361">IFERROR(
SUM(
IF(
'PORTIFÓLIO'!$C$4:$C$564=$A361,
N(INDEX('PORTIFÓLIO'!$J$4:$Q$564,,MATCH(D$2,'PORTIFÓLIO'!$J$3:$Q$3,0))) *
N('PORTIFÓLIO'!$S$4:$S$564),
0
)
),
0)</f>
        <v/>
      </c>
      <c r="E361" s="49">
        <f>D361/$B$4</f>
        <v/>
      </c>
      <c r="F361" s="49">
        <f t="array" ref="F361">IFERROR(
SUM(
IF(
'PORTIFÓLIO'!$C$4:$C$564=$A361,
N(INDEX('PORTIFÓLIO'!$J$4:$Q$564,,MATCH(F$2,'PORTIFÓLIO'!$J$3:$Q$3,0))) *
N('PORTIFÓLIO'!$S$4:$S$564),
0
)
),
0)</f>
        <v/>
      </c>
      <c r="G361" s="47">
        <f>F361/$F$4</f>
        <v/>
      </c>
      <c r="H361" s="49">
        <f t="array" ref="H361">IFERROR(
SUM(
IF(
'PORTIFÓLIO'!$C$4:$C$564=$A361,
N(INDEX('PORTIFÓLIO'!$J$4:$Q$564,,MATCH(H$2,'PORTIFÓLIO'!$J$3:$Q$3,0))) *
N('PORTIFÓLIO'!$S$4:$S$564),
0
)
),
0)</f>
        <v/>
      </c>
      <c r="I361" s="47">
        <f>H361/$H$4</f>
        <v/>
      </c>
      <c r="J361" s="49">
        <f t="array" ref="J361">IFERROR(
SUM(
IF(
'PORTIFÓLIO'!$C$4:$C$564=$A361,
N(INDEX('PORTIFÓLIO'!$J$4:$Q$564,,MATCH(J$2,'PORTIFÓLIO'!$J$3:$Q$3,0))) *
N('PORTIFÓLIO'!$S$4:$S$564),
0
)
),
0)</f>
        <v/>
      </c>
      <c r="K361" s="47">
        <f>J361/$J$4</f>
        <v/>
      </c>
      <c r="L361" s="49">
        <f t="array" ref="L361">IFERROR(
SUM(
IF(
'PORTIFÓLIO'!$C$4:$C$564=$A361,
N(INDEX('PORTIFÓLIO'!$J$4:$Q$564,,MATCH(L$2,'PORTIFÓLIO'!$J$3:$Q$3,0))) *
N('PORTIFÓLIO'!$S$4:$S$564),
0
)
),
0)</f>
        <v/>
      </c>
      <c r="M361" s="47">
        <f>L361/$L$4</f>
        <v/>
      </c>
      <c r="N361" s="49">
        <f t="array" ref="N361">IFERROR(
SUM(
IF(
'PORTIFÓLIO'!$C$4:$C$564=$A361,
N(INDEX('PORTIFÓLIO'!$J$4:$Q$564,,MATCH(N$2,'PORTIFÓLIO'!$J$3:$Q$3,0))) *
N('PORTIFÓLIO'!$S$4:$S$564),
0
)
),
0)</f>
        <v/>
      </c>
      <c r="O361" s="49">
        <f>N361/$N$4</f>
        <v/>
      </c>
      <c r="P361" s="49">
        <f t="array" ref="P361">IFERROR(
SUM(
IF(
'PORTIFÓLIO'!$C$4:$C$564=$A361,
N(INDEX('PORTIFÓLIO'!$J$4:$Q$564,,MATCH(P$2,'PORTIFÓLIO'!$J$3:$Q$3,0))) *
N('PORTIFÓLIO'!$S$4:$S$564),
0
)
),
0)</f>
        <v/>
      </c>
      <c r="Q361" s="49">
        <f>P361/$P$4</f>
        <v/>
      </c>
      <c r="R361" s="49">
        <f>SUM(P361,N361,L361,J361,H361,D361,B361)</f>
        <v/>
      </c>
      <c r="S361" s="49">
        <f>R361/$R$4</f>
        <v/>
      </c>
    </row>
    <row r="362" hidden="1" outlineLevel="1" ht="15.75" customHeight="1" s="297">
      <c r="A362" s="42">
        <f>IFERROR(__xludf.DUMMYFUNCTION("""COMPUTED_VALUE"""),"METAL NUTRE")</f>
        <v/>
      </c>
      <c r="B362" s="49">
        <f t="array" ref="B362">IFERROR(
SUM(
IF(
'PORTIFÓLIO'!$C$4:$C$564=$A362,
N(INDEX('PORTIFÓLIO'!$J$4:$Q$564,,MATCH(B$2,'PORTIFÓLIO'!$J$3:$Q$3,0))) *
N('PORTIFÓLIO'!$S$4:$S$564),
0
)
),
0)</f>
        <v/>
      </c>
      <c r="C362" s="49">
        <f>B362/$B$4</f>
        <v/>
      </c>
      <c r="D362" s="49">
        <f t="array" ref="D362">IFERROR(
SUM(
IF(
'PORTIFÓLIO'!$C$4:$C$564=$A362,
N(INDEX('PORTIFÓLIO'!$J$4:$Q$564,,MATCH(D$2,'PORTIFÓLIO'!$J$3:$Q$3,0))) *
N('PORTIFÓLIO'!$S$4:$S$564),
0
)
),
0)</f>
        <v/>
      </c>
      <c r="E362" s="49">
        <f>D362/$B$4</f>
        <v/>
      </c>
      <c r="F362" s="49">
        <f t="array" ref="F362">IFERROR(
SUM(
IF(
'PORTIFÓLIO'!$C$4:$C$564=$A362,
N(INDEX('PORTIFÓLIO'!$J$4:$Q$564,,MATCH(F$2,'PORTIFÓLIO'!$J$3:$Q$3,0))) *
N('PORTIFÓLIO'!$S$4:$S$564),
0
)
),
0)</f>
        <v/>
      </c>
      <c r="G362" s="47">
        <f>F362/$F$4</f>
        <v/>
      </c>
      <c r="H362" s="49">
        <f t="array" ref="H362">IFERROR(
SUM(
IF(
'PORTIFÓLIO'!$C$4:$C$564=$A362,
N(INDEX('PORTIFÓLIO'!$J$4:$Q$564,,MATCH(H$2,'PORTIFÓLIO'!$J$3:$Q$3,0))) *
N('PORTIFÓLIO'!$S$4:$S$564),
0
)
),
0)</f>
        <v/>
      </c>
      <c r="I362" s="47">
        <f>H362/$H$4</f>
        <v/>
      </c>
      <c r="J362" s="49">
        <f t="array" ref="J362">IFERROR(
SUM(
IF(
'PORTIFÓLIO'!$C$4:$C$564=$A362,
N(INDEX('PORTIFÓLIO'!$J$4:$Q$564,,MATCH(J$2,'PORTIFÓLIO'!$J$3:$Q$3,0))) *
N('PORTIFÓLIO'!$S$4:$S$564),
0
)
),
0)</f>
        <v/>
      </c>
      <c r="K362" s="47">
        <f>J362/$J$4</f>
        <v/>
      </c>
      <c r="L362" s="49">
        <f t="array" ref="L362">IFERROR(
SUM(
IF(
'PORTIFÓLIO'!$C$4:$C$564=$A362,
N(INDEX('PORTIFÓLIO'!$J$4:$Q$564,,MATCH(L$2,'PORTIFÓLIO'!$J$3:$Q$3,0))) *
N('PORTIFÓLIO'!$S$4:$S$564),
0
)
),
0)</f>
        <v/>
      </c>
      <c r="M362" s="47">
        <f>L362/$L$4</f>
        <v/>
      </c>
      <c r="N362" s="49">
        <f t="array" ref="N362">IFERROR(
SUM(
IF(
'PORTIFÓLIO'!$C$4:$C$564=$A362,
N(INDEX('PORTIFÓLIO'!$J$4:$Q$564,,MATCH(N$2,'PORTIFÓLIO'!$J$3:$Q$3,0))) *
N('PORTIFÓLIO'!$S$4:$S$564),
0
)
),
0)</f>
        <v/>
      </c>
      <c r="O362" s="49">
        <f>N362/$N$4</f>
        <v/>
      </c>
      <c r="P362" s="49">
        <f t="array" ref="P362">IFERROR(
SUM(
IF(
'PORTIFÓLIO'!$C$4:$C$564=$A362,
N(INDEX('PORTIFÓLIO'!$J$4:$Q$564,,MATCH(P$2,'PORTIFÓLIO'!$J$3:$Q$3,0))) *
N('PORTIFÓLIO'!$S$4:$S$564),
0
)
),
0)</f>
        <v/>
      </c>
      <c r="Q362" s="49">
        <f>P362/$P$4</f>
        <v/>
      </c>
      <c r="R362" s="49">
        <f>SUM(P362,N362,L362,J362,H362,D362,B362)</f>
        <v/>
      </c>
      <c r="S362" s="49">
        <f>R362/$R$4</f>
        <v/>
      </c>
    </row>
    <row r="363" hidden="1" outlineLevel="1" ht="15.75" customHeight="1" s="297">
      <c r="A363" s="42">
        <f>IFERROR(__xludf.DUMMYFUNCTION("""COMPUTED_VALUE"""),"MONIC")</f>
        <v/>
      </c>
      <c r="B363" s="49">
        <f t="array" ref="B363">IFERROR(
SUM(
IF(
'PORTIFÓLIO'!$C$4:$C$564=$A363,
N(INDEX('PORTIFÓLIO'!$J$4:$Q$564,,MATCH(B$2,'PORTIFÓLIO'!$J$3:$Q$3,0))) *
N('PORTIFÓLIO'!$S$4:$S$564),
0
)
),
0)</f>
        <v/>
      </c>
      <c r="C363" s="49">
        <f>B363/$B$4</f>
        <v/>
      </c>
      <c r="D363" s="49">
        <f t="array" ref="D363">IFERROR(
SUM(
IF(
'PORTIFÓLIO'!$C$4:$C$564=$A363,
N(INDEX('PORTIFÓLIO'!$J$4:$Q$564,,MATCH(D$2,'PORTIFÓLIO'!$J$3:$Q$3,0))) *
N('PORTIFÓLIO'!$S$4:$S$564),
0
)
),
0)</f>
        <v/>
      </c>
      <c r="E363" s="49">
        <f>D363/$B$4</f>
        <v/>
      </c>
      <c r="F363" s="49">
        <f t="array" ref="F363">IFERROR(
SUM(
IF(
'PORTIFÓLIO'!$C$4:$C$564=$A363,
N(INDEX('PORTIFÓLIO'!$J$4:$Q$564,,MATCH(F$2,'PORTIFÓLIO'!$J$3:$Q$3,0))) *
N('PORTIFÓLIO'!$S$4:$S$564),
0
)
),
0)</f>
        <v/>
      </c>
      <c r="G363" s="47">
        <f>F363/$F$4</f>
        <v/>
      </c>
      <c r="H363" s="49">
        <f t="array" ref="H363">IFERROR(
SUM(
IF(
'PORTIFÓLIO'!$C$4:$C$564=$A363,
N(INDEX('PORTIFÓLIO'!$J$4:$Q$564,,MATCH(H$2,'PORTIFÓLIO'!$J$3:$Q$3,0))) *
N('PORTIFÓLIO'!$S$4:$S$564),
0
)
),
0)</f>
        <v/>
      </c>
      <c r="I363" s="47">
        <f>H363/$H$4</f>
        <v/>
      </c>
      <c r="J363" s="49">
        <f t="array" ref="J363">IFERROR(
SUM(
IF(
'PORTIFÓLIO'!$C$4:$C$564=$A363,
N(INDEX('PORTIFÓLIO'!$J$4:$Q$564,,MATCH(J$2,'PORTIFÓLIO'!$J$3:$Q$3,0))) *
N('PORTIFÓLIO'!$S$4:$S$564),
0
)
),
0)</f>
        <v/>
      </c>
      <c r="K363" s="47">
        <f>J363/$J$4</f>
        <v/>
      </c>
      <c r="L363" s="49">
        <f t="array" ref="L363">IFERROR(
SUM(
IF(
'PORTIFÓLIO'!$C$4:$C$564=$A363,
N(INDEX('PORTIFÓLIO'!$J$4:$Q$564,,MATCH(L$2,'PORTIFÓLIO'!$J$3:$Q$3,0))) *
N('PORTIFÓLIO'!$S$4:$S$564),
0
)
),
0)</f>
        <v/>
      </c>
      <c r="M363" s="47">
        <f>L363/$L$4</f>
        <v/>
      </c>
      <c r="N363" s="49">
        <f t="array" ref="N363">IFERROR(
SUM(
IF(
'PORTIFÓLIO'!$C$4:$C$564=$A363,
N(INDEX('PORTIFÓLIO'!$J$4:$Q$564,,MATCH(N$2,'PORTIFÓLIO'!$J$3:$Q$3,0))) *
N('PORTIFÓLIO'!$S$4:$S$564),
0
)
),
0)</f>
        <v/>
      </c>
      <c r="O363" s="49">
        <f>N363/$N$4</f>
        <v/>
      </c>
      <c r="P363" s="49">
        <f t="array" ref="P363">IFERROR(
SUM(
IF(
'PORTIFÓLIO'!$C$4:$C$564=$A363,
N(INDEX('PORTIFÓLIO'!$J$4:$Q$564,,MATCH(P$2,'PORTIFÓLIO'!$J$3:$Q$3,0))) *
N('PORTIFÓLIO'!$S$4:$S$564),
0
)
),
0)</f>
        <v/>
      </c>
      <c r="Q363" s="49">
        <f>P363/$P$4</f>
        <v/>
      </c>
      <c r="R363" s="49">
        <f>SUM(P363,N363,L363,J363,H363,D363,B363)</f>
        <v/>
      </c>
      <c r="S363" s="49">
        <f>R363/$R$4</f>
        <v/>
      </c>
    </row>
    <row r="364" hidden="1" outlineLevel="1" ht="15.75" customHeight="1" s="297">
      <c r="A364" s="42">
        <f>IFERROR(__xludf.DUMMYFUNCTION("""COMPUTED_VALUE"""),"AP MAGNÉSIO")</f>
        <v/>
      </c>
      <c r="B364" s="49">
        <f t="array" ref="B364">IFERROR(
SUM(
IF(
'PORTIFÓLIO'!$C$4:$C$564=$A364,
N(INDEX('PORTIFÓLIO'!$J$4:$Q$564,,MATCH(B$2,'PORTIFÓLIO'!$J$3:$Q$3,0))) *
N('PORTIFÓLIO'!$S$4:$S$564),
0
)
),
0)</f>
        <v/>
      </c>
      <c r="C364" s="49">
        <f>B364/$B$4</f>
        <v/>
      </c>
      <c r="D364" s="49">
        <f t="array" ref="D364">IFERROR(
SUM(
IF(
'PORTIFÓLIO'!$C$4:$C$564=$A364,
N(INDEX('PORTIFÓLIO'!$J$4:$Q$564,,MATCH(D$2,'PORTIFÓLIO'!$J$3:$Q$3,0))) *
N('PORTIFÓLIO'!$S$4:$S$564),
0
)
),
0)</f>
        <v/>
      </c>
      <c r="E364" s="49">
        <f>D364/$B$4</f>
        <v/>
      </c>
      <c r="F364" s="49">
        <f t="array" ref="F364">IFERROR(
SUM(
IF(
'PORTIFÓLIO'!$C$4:$C$564=$A364,
N(INDEX('PORTIFÓLIO'!$J$4:$Q$564,,MATCH(F$2,'PORTIFÓLIO'!$J$3:$Q$3,0))) *
N('PORTIFÓLIO'!$S$4:$S$564),
0
)
),
0)</f>
        <v/>
      </c>
      <c r="G364" s="47">
        <f>F364/$F$4</f>
        <v/>
      </c>
      <c r="H364" s="49">
        <f t="array" ref="H364">IFERROR(
SUM(
IF(
'PORTIFÓLIO'!$C$4:$C$564=$A364,
N(INDEX('PORTIFÓLIO'!$J$4:$Q$564,,MATCH(H$2,'PORTIFÓLIO'!$J$3:$Q$3,0))) *
N('PORTIFÓLIO'!$S$4:$S$564),
0
)
),
0)</f>
        <v/>
      </c>
      <c r="I364" s="47">
        <f>H364/$H$4</f>
        <v/>
      </c>
      <c r="J364" s="49">
        <f t="array" ref="J364">IFERROR(
SUM(
IF(
'PORTIFÓLIO'!$C$4:$C$564=$A364,
N(INDEX('PORTIFÓLIO'!$J$4:$Q$564,,MATCH(J$2,'PORTIFÓLIO'!$J$3:$Q$3,0))) *
N('PORTIFÓLIO'!$S$4:$S$564),
0
)
),
0)</f>
        <v/>
      </c>
      <c r="K364" s="47">
        <f>J364/$J$4</f>
        <v/>
      </c>
      <c r="L364" s="49">
        <f t="array" ref="L364">IFERROR(
SUM(
IF(
'PORTIFÓLIO'!$C$4:$C$564=$A364,
N(INDEX('PORTIFÓLIO'!$J$4:$Q$564,,MATCH(L$2,'PORTIFÓLIO'!$J$3:$Q$3,0))) *
N('PORTIFÓLIO'!$S$4:$S$564),
0
)
),
0)</f>
        <v/>
      </c>
      <c r="M364" s="47">
        <f>L364/$L$4</f>
        <v/>
      </c>
      <c r="N364" s="49">
        <f t="array" ref="N364">IFERROR(
SUM(
IF(
'PORTIFÓLIO'!$C$4:$C$564=$A364,
N(INDEX('PORTIFÓLIO'!$J$4:$Q$564,,MATCH(N$2,'PORTIFÓLIO'!$J$3:$Q$3,0))) *
N('PORTIFÓLIO'!$S$4:$S$564),
0
)
),
0)</f>
        <v/>
      </c>
      <c r="O364" s="49">
        <f>N364/$N$4</f>
        <v/>
      </c>
      <c r="P364" s="49">
        <f t="array" ref="P364">IFERROR(
SUM(
IF(
'PORTIFÓLIO'!$C$4:$C$564=$A364,
N(INDEX('PORTIFÓLIO'!$J$4:$Q$564,,MATCH(P$2,'PORTIFÓLIO'!$J$3:$Q$3,0))) *
N('PORTIFÓLIO'!$S$4:$S$564),
0
)
),
0)</f>
        <v/>
      </c>
      <c r="Q364" s="49">
        <f>P364/$P$4</f>
        <v/>
      </c>
      <c r="R364" s="49">
        <f>SUM(P364,N364,L364,J364,H364,D364,B364)</f>
        <v/>
      </c>
      <c r="S364" s="49">
        <f>R364/$R$4</f>
        <v/>
      </c>
    </row>
    <row r="365" hidden="1" outlineLevel="1" ht="15.75" customHeight="1" s="297">
      <c r="A365" s="42">
        <f>IFERROR(__xludf.DUMMYFUNCTION("""COMPUTED_VALUE"""),"GRANO KMG")</f>
        <v/>
      </c>
      <c r="B365" s="49">
        <f t="array" ref="B365">IFERROR(
SUM(
IF(
'PORTIFÓLIO'!$C$4:$C$564=$A365,
N(INDEX('PORTIFÓLIO'!$J$4:$Q$564,,MATCH(B$2,'PORTIFÓLIO'!$J$3:$Q$3,0))) *
N('PORTIFÓLIO'!$S$4:$S$564),
0
)
),
0)</f>
        <v/>
      </c>
      <c r="C365" s="49">
        <f>B365/$B$4</f>
        <v/>
      </c>
      <c r="D365" s="49">
        <f t="array" ref="D365">IFERROR(
SUM(
IF(
'PORTIFÓLIO'!$C$4:$C$564=$A365,
N(INDEX('PORTIFÓLIO'!$J$4:$Q$564,,MATCH(D$2,'PORTIFÓLIO'!$J$3:$Q$3,0))) *
N('PORTIFÓLIO'!$S$4:$S$564),
0
)
),
0)</f>
        <v/>
      </c>
      <c r="E365" s="49">
        <f>D365/$B$4</f>
        <v/>
      </c>
      <c r="F365" s="49">
        <f t="array" ref="F365">IFERROR(
SUM(
IF(
'PORTIFÓLIO'!$C$4:$C$564=$A365,
N(INDEX('PORTIFÓLIO'!$J$4:$Q$564,,MATCH(F$2,'PORTIFÓLIO'!$J$3:$Q$3,0))) *
N('PORTIFÓLIO'!$S$4:$S$564),
0
)
),
0)</f>
        <v/>
      </c>
      <c r="G365" s="47">
        <f>F365/$F$4</f>
        <v/>
      </c>
      <c r="H365" s="49">
        <f t="array" ref="H365">IFERROR(
SUM(
IF(
'PORTIFÓLIO'!$C$4:$C$564=$A365,
N(INDEX('PORTIFÓLIO'!$J$4:$Q$564,,MATCH(H$2,'PORTIFÓLIO'!$J$3:$Q$3,0))) *
N('PORTIFÓLIO'!$S$4:$S$564),
0
)
),
0)</f>
        <v/>
      </c>
      <c r="I365" s="47">
        <f>H365/$H$4</f>
        <v/>
      </c>
      <c r="J365" s="49">
        <f t="array" ref="J365">IFERROR(
SUM(
IF(
'PORTIFÓLIO'!$C$4:$C$564=$A365,
N(INDEX('PORTIFÓLIO'!$J$4:$Q$564,,MATCH(J$2,'PORTIFÓLIO'!$J$3:$Q$3,0))) *
N('PORTIFÓLIO'!$S$4:$S$564),
0
)
),
0)</f>
        <v/>
      </c>
      <c r="K365" s="47">
        <f>J365/$J$4</f>
        <v/>
      </c>
      <c r="L365" s="49">
        <f t="array" ref="L365">IFERROR(
SUM(
IF(
'PORTIFÓLIO'!$C$4:$C$564=$A365,
N(INDEX('PORTIFÓLIO'!$J$4:$Q$564,,MATCH(L$2,'PORTIFÓLIO'!$J$3:$Q$3,0))) *
N('PORTIFÓLIO'!$S$4:$S$564),
0
)
),
0)</f>
        <v/>
      </c>
      <c r="M365" s="47">
        <f>L365/$L$4</f>
        <v/>
      </c>
      <c r="N365" s="49">
        <f t="array" ref="N365">IFERROR(
SUM(
IF(
'PORTIFÓLIO'!$C$4:$C$564=$A365,
N(INDEX('PORTIFÓLIO'!$J$4:$Q$564,,MATCH(N$2,'PORTIFÓLIO'!$J$3:$Q$3,0))) *
N('PORTIFÓLIO'!$S$4:$S$564),
0
)
),
0)</f>
        <v/>
      </c>
      <c r="O365" s="49">
        <f>N365/$N$4</f>
        <v/>
      </c>
      <c r="P365" s="49">
        <f t="array" ref="P365">IFERROR(
SUM(
IF(
'PORTIFÓLIO'!$C$4:$C$564=$A365,
N(INDEX('PORTIFÓLIO'!$J$4:$Q$564,,MATCH(P$2,'PORTIFÓLIO'!$J$3:$Q$3,0))) *
N('PORTIFÓLIO'!$S$4:$S$564),
0
)
),
0)</f>
        <v/>
      </c>
      <c r="Q365" s="49">
        <f>P365/$P$4</f>
        <v/>
      </c>
      <c r="R365" s="49">
        <f>SUM(P365,N365,L365,J365,H365,D365,B365)</f>
        <v/>
      </c>
      <c r="S365" s="49">
        <f>R365/$R$4</f>
        <v/>
      </c>
    </row>
    <row r="366" hidden="1" outlineLevel="1" ht="15.75" customHeight="1" s="297">
      <c r="A366" s="42">
        <f>IFERROR(__xludf.DUMMYFUNCTION("""COMPUTED_VALUE"""),"AP MANGANÊS")</f>
        <v/>
      </c>
      <c r="B366" s="49">
        <f t="array" ref="B366">IFERROR(
SUM(
IF(
'PORTIFÓLIO'!$C$4:$C$564=$A366,
N(INDEX('PORTIFÓLIO'!$J$4:$Q$564,,MATCH(B$2,'PORTIFÓLIO'!$J$3:$Q$3,0))) *
N('PORTIFÓLIO'!$S$4:$S$564),
0
)
),
0)</f>
        <v/>
      </c>
      <c r="C366" s="49">
        <f>B366/$B$4</f>
        <v/>
      </c>
      <c r="D366" s="49">
        <f t="array" ref="D366">IFERROR(
SUM(
IF(
'PORTIFÓLIO'!$C$4:$C$564=$A366,
N(INDEX('PORTIFÓLIO'!$J$4:$Q$564,,MATCH(D$2,'PORTIFÓLIO'!$J$3:$Q$3,0))) *
N('PORTIFÓLIO'!$S$4:$S$564),
0
)
),
0)</f>
        <v/>
      </c>
      <c r="E366" s="49">
        <f>D366/$B$4</f>
        <v/>
      </c>
      <c r="F366" s="49">
        <f t="array" ref="F366">IFERROR(
SUM(
IF(
'PORTIFÓLIO'!$C$4:$C$564=$A366,
N(INDEX('PORTIFÓLIO'!$J$4:$Q$564,,MATCH(F$2,'PORTIFÓLIO'!$J$3:$Q$3,0))) *
N('PORTIFÓLIO'!$S$4:$S$564),
0
)
),
0)</f>
        <v/>
      </c>
      <c r="G366" s="47">
        <f>F366/$F$4</f>
        <v/>
      </c>
      <c r="H366" s="49">
        <f t="array" ref="H366">IFERROR(
SUM(
IF(
'PORTIFÓLIO'!$C$4:$C$564=$A366,
N(INDEX('PORTIFÓLIO'!$J$4:$Q$564,,MATCH(H$2,'PORTIFÓLIO'!$J$3:$Q$3,0))) *
N('PORTIFÓLIO'!$S$4:$S$564),
0
)
),
0)</f>
        <v/>
      </c>
      <c r="I366" s="47">
        <f>H366/$H$4</f>
        <v/>
      </c>
      <c r="J366" s="49">
        <f t="array" ref="J366">IFERROR(
SUM(
IF(
'PORTIFÓLIO'!$C$4:$C$564=$A366,
N(INDEX('PORTIFÓLIO'!$J$4:$Q$564,,MATCH(J$2,'PORTIFÓLIO'!$J$3:$Q$3,0))) *
N('PORTIFÓLIO'!$S$4:$S$564),
0
)
),
0)</f>
        <v/>
      </c>
      <c r="K366" s="47">
        <f>J366/$J$4</f>
        <v/>
      </c>
      <c r="L366" s="49">
        <f t="array" ref="L366">IFERROR(
SUM(
IF(
'PORTIFÓLIO'!$C$4:$C$564=$A366,
N(INDEX('PORTIFÓLIO'!$J$4:$Q$564,,MATCH(L$2,'PORTIFÓLIO'!$J$3:$Q$3,0))) *
N('PORTIFÓLIO'!$S$4:$S$564),
0
)
),
0)</f>
        <v/>
      </c>
      <c r="M366" s="47">
        <f>L366/$L$4</f>
        <v/>
      </c>
      <c r="N366" s="49">
        <f t="array" ref="N366">IFERROR(
SUM(
IF(
'PORTIFÓLIO'!$C$4:$C$564=$A366,
N(INDEX('PORTIFÓLIO'!$J$4:$Q$564,,MATCH(N$2,'PORTIFÓLIO'!$J$3:$Q$3,0))) *
N('PORTIFÓLIO'!$S$4:$S$564),
0
)
),
0)</f>
        <v/>
      </c>
      <c r="O366" s="49">
        <f>N366/$N$4</f>
        <v/>
      </c>
      <c r="P366" s="49">
        <f t="array" ref="P366">IFERROR(
SUM(
IF(
'PORTIFÓLIO'!$C$4:$C$564=$A366,
N(INDEX('PORTIFÓLIO'!$J$4:$Q$564,,MATCH(P$2,'PORTIFÓLIO'!$J$3:$Q$3,0))) *
N('PORTIFÓLIO'!$S$4:$S$564),
0
)
),
0)</f>
        <v/>
      </c>
      <c r="Q366" s="49">
        <f>P366/$P$4</f>
        <v/>
      </c>
      <c r="R366" s="49">
        <f>SUM(P366,N366,L366,J366,H366,D366,B366)</f>
        <v/>
      </c>
      <c r="S366" s="49">
        <f>R366/$R$4</f>
        <v/>
      </c>
    </row>
    <row r="367" hidden="1" outlineLevel="1" ht="15.75" customHeight="1" s="297">
      <c r="A367" s="42">
        <f>IFERROR(__xludf.DUMMYFUNCTION("""COMPUTED_VALUE"""),"AMINOS Mn")</f>
        <v/>
      </c>
      <c r="B367" s="49">
        <f t="array" ref="B367">IFERROR(
SUM(
IF(
'PORTIFÓLIO'!$C$4:$C$564=$A367,
N(INDEX('PORTIFÓLIO'!$J$4:$Q$564,,MATCH(B$2,'PORTIFÓLIO'!$J$3:$Q$3,0))) *
N('PORTIFÓLIO'!$S$4:$S$564),
0
)
),
0)</f>
        <v/>
      </c>
      <c r="C367" s="49">
        <f>B367/$B$4</f>
        <v/>
      </c>
      <c r="D367" s="49">
        <f t="array" ref="D367">IFERROR(
SUM(
IF(
'PORTIFÓLIO'!$C$4:$C$564=$A367,
N(INDEX('PORTIFÓLIO'!$J$4:$Q$564,,MATCH(D$2,'PORTIFÓLIO'!$J$3:$Q$3,0))) *
N('PORTIFÓLIO'!$S$4:$S$564),
0
)
),
0)</f>
        <v/>
      </c>
      <c r="E367" s="49">
        <f>D367/$B$4</f>
        <v/>
      </c>
      <c r="F367" s="49">
        <f t="array" ref="F367">IFERROR(
SUM(
IF(
'PORTIFÓLIO'!$C$4:$C$564=$A367,
N(INDEX('PORTIFÓLIO'!$J$4:$Q$564,,MATCH(F$2,'PORTIFÓLIO'!$J$3:$Q$3,0))) *
N('PORTIFÓLIO'!$S$4:$S$564),
0
)
),
0)</f>
        <v/>
      </c>
      <c r="G367" s="47">
        <f>F367/$F$4</f>
        <v/>
      </c>
      <c r="H367" s="49">
        <f t="array" ref="H367">IFERROR(
SUM(
IF(
'PORTIFÓLIO'!$C$4:$C$564=$A367,
N(INDEX('PORTIFÓLIO'!$J$4:$Q$564,,MATCH(H$2,'PORTIFÓLIO'!$J$3:$Q$3,0))) *
N('PORTIFÓLIO'!$S$4:$S$564),
0
)
),
0)</f>
        <v/>
      </c>
      <c r="I367" s="47">
        <f>H367/$H$4</f>
        <v/>
      </c>
      <c r="J367" s="49">
        <f t="array" ref="J367">IFERROR(
SUM(
IF(
'PORTIFÓLIO'!$C$4:$C$564=$A367,
N(INDEX('PORTIFÓLIO'!$J$4:$Q$564,,MATCH(J$2,'PORTIFÓLIO'!$J$3:$Q$3,0))) *
N('PORTIFÓLIO'!$S$4:$S$564),
0
)
),
0)</f>
        <v/>
      </c>
      <c r="K367" s="47">
        <f>J367/$J$4</f>
        <v/>
      </c>
      <c r="L367" s="49">
        <f t="array" ref="L367">IFERROR(
SUM(
IF(
'PORTIFÓLIO'!$C$4:$C$564=$A367,
N(INDEX('PORTIFÓLIO'!$J$4:$Q$564,,MATCH(L$2,'PORTIFÓLIO'!$J$3:$Q$3,0))) *
N('PORTIFÓLIO'!$S$4:$S$564),
0
)
),
0)</f>
        <v/>
      </c>
      <c r="M367" s="47">
        <f>L367/$L$4</f>
        <v/>
      </c>
      <c r="N367" s="49">
        <f t="array" ref="N367">IFERROR(
SUM(
IF(
'PORTIFÓLIO'!$C$4:$C$564=$A367,
N(INDEX('PORTIFÓLIO'!$J$4:$Q$564,,MATCH(N$2,'PORTIFÓLIO'!$J$3:$Q$3,0))) *
N('PORTIFÓLIO'!$S$4:$S$564),
0
)
),
0)</f>
        <v/>
      </c>
      <c r="O367" s="49">
        <f>N367/$N$4</f>
        <v/>
      </c>
      <c r="P367" s="49">
        <f t="array" ref="P367">IFERROR(
SUM(
IF(
'PORTIFÓLIO'!$C$4:$C$564=$A367,
N(INDEX('PORTIFÓLIO'!$J$4:$Q$564,,MATCH(P$2,'PORTIFÓLIO'!$J$3:$Q$3,0))) *
N('PORTIFÓLIO'!$S$4:$S$564),
0
)
),
0)</f>
        <v/>
      </c>
      <c r="Q367" s="49">
        <f>P367/$P$4</f>
        <v/>
      </c>
      <c r="R367" s="49">
        <f>SUM(P367,N367,L367,J367,H367,D367,B367)</f>
        <v/>
      </c>
      <c r="S367" s="49">
        <f>R367/$R$4</f>
        <v/>
      </c>
    </row>
    <row r="368" hidden="1" outlineLevel="1" ht="15.75" customHeight="1" s="297">
      <c r="A368" s="42">
        <f>IFERROR(__xludf.DUMMYFUNCTION("""COMPUTED_VALUE"""),"MICROBOX")</f>
        <v/>
      </c>
      <c r="B368" s="49">
        <f t="array" ref="B368">IFERROR(
SUM(
IF(
'PORTIFÓLIO'!$C$4:$C$564=$A368,
N(INDEX('PORTIFÓLIO'!$J$4:$Q$564,,MATCH(B$2,'PORTIFÓLIO'!$J$3:$Q$3,0))) *
N('PORTIFÓLIO'!$S$4:$S$564),
0
)
),
0)</f>
        <v/>
      </c>
      <c r="C368" s="49">
        <f>B368/$B$4</f>
        <v/>
      </c>
      <c r="D368" s="49">
        <f t="array" ref="D368">IFERROR(
SUM(
IF(
'PORTIFÓLIO'!$C$4:$C$564=$A368,
N(INDEX('PORTIFÓLIO'!$J$4:$Q$564,,MATCH(D$2,'PORTIFÓLIO'!$J$3:$Q$3,0))) *
N('PORTIFÓLIO'!$S$4:$S$564),
0
)
),
0)</f>
        <v/>
      </c>
      <c r="E368" s="49">
        <f>D368/$B$4</f>
        <v/>
      </c>
      <c r="F368" s="49">
        <f t="array" ref="F368">IFERROR(
SUM(
IF(
'PORTIFÓLIO'!$C$4:$C$564=$A368,
N(INDEX('PORTIFÓLIO'!$J$4:$Q$564,,MATCH(F$2,'PORTIFÓLIO'!$J$3:$Q$3,0))) *
N('PORTIFÓLIO'!$S$4:$S$564),
0
)
),
0)</f>
        <v/>
      </c>
      <c r="G368" s="47">
        <f>F368/$F$4</f>
        <v/>
      </c>
      <c r="H368" s="49">
        <f t="array" ref="H368">IFERROR(
SUM(
IF(
'PORTIFÓLIO'!$C$4:$C$564=$A368,
N(INDEX('PORTIFÓLIO'!$J$4:$Q$564,,MATCH(H$2,'PORTIFÓLIO'!$J$3:$Q$3,0))) *
N('PORTIFÓLIO'!$S$4:$S$564),
0
)
),
0)</f>
        <v/>
      </c>
      <c r="I368" s="47">
        <f>H368/$H$4</f>
        <v/>
      </c>
      <c r="J368" s="49">
        <f t="array" ref="J368">IFERROR(
SUM(
IF(
'PORTIFÓLIO'!$C$4:$C$564=$A368,
N(INDEX('PORTIFÓLIO'!$J$4:$Q$564,,MATCH(J$2,'PORTIFÓLIO'!$J$3:$Q$3,0))) *
N('PORTIFÓLIO'!$S$4:$S$564),
0
)
),
0)</f>
        <v/>
      </c>
      <c r="K368" s="47">
        <f>J368/$J$4</f>
        <v/>
      </c>
      <c r="L368" s="49">
        <f t="array" ref="L368">IFERROR(
SUM(
IF(
'PORTIFÓLIO'!$C$4:$C$564=$A368,
N(INDEX('PORTIFÓLIO'!$J$4:$Q$564,,MATCH(L$2,'PORTIFÓLIO'!$J$3:$Q$3,0))) *
N('PORTIFÓLIO'!$S$4:$S$564),
0
)
),
0)</f>
        <v/>
      </c>
      <c r="M368" s="47">
        <f>L368/$L$4</f>
        <v/>
      </c>
      <c r="N368" s="49">
        <f t="array" ref="N368">IFERROR(
SUM(
IF(
'PORTIFÓLIO'!$C$4:$C$564=$A368,
N(INDEX('PORTIFÓLIO'!$J$4:$Q$564,,MATCH(N$2,'PORTIFÓLIO'!$J$3:$Q$3,0))) *
N('PORTIFÓLIO'!$S$4:$S$564),
0
)
),
0)</f>
        <v/>
      </c>
      <c r="O368" s="49">
        <f>N368/$N$4</f>
        <v/>
      </c>
      <c r="P368" s="49">
        <f t="array" ref="P368">IFERROR(
SUM(
IF(
'PORTIFÓLIO'!$C$4:$C$564=$A368,
N(INDEX('PORTIFÓLIO'!$J$4:$Q$564,,MATCH(P$2,'PORTIFÓLIO'!$J$3:$Q$3,0))) *
N('PORTIFÓLIO'!$S$4:$S$564),
0
)
),
0)</f>
        <v/>
      </c>
      <c r="Q368" s="49">
        <f>P368/$P$4</f>
        <v/>
      </c>
      <c r="R368" s="49">
        <f>SUM(P368,N368,L368,J368,H368,D368,B368)</f>
        <v/>
      </c>
      <c r="S368" s="49">
        <f>R368/$R$4</f>
        <v/>
      </c>
    </row>
    <row r="369" hidden="1" outlineLevel="1" ht="15.75" customHeight="1" s="297">
      <c r="A369" s="42">
        <f>IFERROR(__xludf.DUMMYFUNCTION("""COMPUTED_VALUE"""),"ACRESECENT ALGA")</f>
        <v/>
      </c>
      <c r="B369" s="49">
        <f t="array" ref="B369">IFERROR(
SUM(
IF(
'PORTIFÓLIO'!$C$4:$C$564=$A369,
N(INDEX('PORTIFÓLIO'!$J$4:$Q$564,,MATCH(B$2,'PORTIFÓLIO'!$J$3:$Q$3,0))) *
N('PORTIFÓLIO'!$S$4:$S$564),
0
)
),
0)</f>
        <v/>
      </c>
      <c r="C369" s="49">
        <f>B369/$B$4</f>
        <v/>
      </c>
      <c r="D369" s="49">
        <f t="array" ref="D369">IFERROR(
SUM(
IF(
'PORTIFÓLIO'!$C$4:$C$564=$A369,
N(INDEX('PORTIFÓLIO'!$J$4:$Q$564,,MATCH(D$2,'PORTIFÓLIO'!$J$3:$Q$3,0))) *
N('PORTIFÓLIO'!$S$4:$S$564),
0
)
),
0)</f>
        <v/>
      </c>
      <c r="E369" s="49">
        <f>D369/$B$4</f>
        <v/>
      </c>
      <c r="F369" s="49">
        <f t="array" ref="F369">IFERROR(
SUM(
IF(
'PORTIFÓLIO'!$C$4:$C$564=$A369,
N(INDEX('PORTIFÓLIO'!$J$4:$Q$564,,MATCH(F$2,'PORTIFÓLIO'!$J$3:$Q$3,0))) *
N('PORTIFÓLIO'!$S$4:$S$564),
0
)
),
0)</f>
        <v/>
      </c>
      <c r="G369" s="47">
        <f>F369/$F$4</f>
        <v/>
      </c>
      <c r="H369" s="49">
        <f t="array" ref="H369">IFERROR(
SUM(
IF(
'PORTIFÓLIO'!$C$4:$C$564=$A369,
N(INDEX('PORTIFÓLIO'!$J$4:$Q$564,,MATCH(H$2,'PORTIFÓLIO'!$J$3:$Q$3,0))) *
N('PORTIFÓLIO'!$S$4:$S$564),
0
)
),
0)</f>
        <v/>
      </c>
      <c r="I369" s="47">
        <f>H369/$H$4</f>
        <v/>
      </c>
      <c r="J369" s="49">
        <f t="array" ref="J369">IFERROR(
SUM(
IF(
'PORTIFÓLIO'!$C$4:$C$564=$A369,
N(INDEX('PORTIFÓLIO'!$J$4:$Q$564,,MATCH(J$2,'PORTIFÓLIO'!$J$3:$Q$3,0))) *
N('PORTIFÓLIO'!$S$4:$S$564),
0
)
),
0)</f>
        <v/>
      </c>
      <c r="K369" s="47">
        <f>J369/$J$4</f>
        <v/>
      </c>
      <c r="L369" s="49">
        <f t="array" ref="L369">IFERROR(
SUM(
IF(
'PORTIFÓLIO'!$C$4:$C$564=$A369,
N(INDEX('PORTIFÓLIO'!$J$4:$Q$564,,MATCH(L$2,'PORTIFÓLIO'!$J$3:$Q$3,0))) *
N('PORTIFÓLIO'!$S$4:$S$564),
0
)
),
0)</f>
        <v/>
      </c>
      <c r="M369" s="47">
        <f>L369/$L$4</f>
        <v/>
      </c>
      <c r="N369" s="49">
        <f t="array" ref="N369">IFERROR(
SUM(
IF(
'PORTIFÓLIO'!$C$4:$C$564=$A369,
N(INDEX('PORTIFÓLIO'!$J$4:$Q$564,,MATCH(N$2,'PORTIFÓLIO'!$J$3:$Q$3,0))) *
N('PORTIFÓLIO'!$S$4:$S$564),
0
)
),
0)</f>
        <v/>
      </c>
      <c r="O369" s="49">
        <f>N369/$N$4</f>
        <v/>
      </c>
      <c r="P369" s="49">
        <f t="array" ref="P369">IFERROR(
SUM(
IF(
'PORTIFÓLIO'!$C$4:$C$564=$A369,
N(INDEX('PORTIFÓLIO'!$J$4:$Q$564,,MATCH(P$2,'PORTIFÓLIO'!$J$3:$Q$3,0))) *
N('PORTIFÓLIO'!$S$4:$S$564),
0
)
),
0)</f>
        <v/>
      </c>
      <c r="Q369" s="49">
        <f>P369/$P$4</f>
        <v/>
      </c>
      <c r="R369" s="49">
        <f>SUM(P369,N369,L369,J369,H369,D369,B369)</f>
        <v/>
      </c>
      <c r="S369" s="49">
        <f>R369/$R$4</f>
        <v/>
      </c>
    </row>
    <row r="370" hidden="1" outlineLevel="1" ht="15.75" customHeight="1" s="297">
      <c r="A370" s="42">
        <f>IFERROR(__xludf.DUMMYFUNCTION("""COMPUTED_VALUE"""),"RAIZ F")</f>
        <v/>
      </c>
      <c r="B370" s="49">
        <f t="array" ref="B370">IFERROR(
SUM(
IF(
'PORTIFÓLIO'!$C$4:$C$564=$A370,
N(INDEX('PORTIFÓLIO'!$J$4:$Q$564,,MATCH(B$2,'PORTIFÓLIO'!$J$3:$Q$3,0))) *
N('PORTIFÓLIO'!$S$4:$S$564),
0
)
),
0)</f>
        <v/>
      </c>
      <c r="C370" s="49">
        <f>B370/$B$4</f>
        <v/>
      </c>
      <c r="D370" s="49">
        <f t="array" ref="D370">IFERROR(
SUM(
IF(
'PORTIFÓLIO'!$C$4:$C$564=$A370,
N(INDEX('PORTIFÓLIO'!$J$4:$Q$564,,MATCH(D$2,'PORTIFÓLIO'!$J$3:$Q$3,0))) *
N('PORTIFÓLIO'!$S$4:$S$564),
0
)
),
0)</f>
        <v/>
      </c>
      <c r="E370" s="49">
        <f>D370/$B$4</f>
        <v/>
      </c>
      <c r="F370" s="49">
        <f t="array" ref="F370">IFERROR(
SUM(
IF(
'PORTIFÓLIO'!$C$4:$C$564=$A370,
N(INDEX('PORTIFÓLIO'!$J$4:$Q$564,,MATCH(F$2,'PORTIFÓLIO'!$J$3:$Q$3,0))) *
N('PORTIFÓLIO'!$S$4:$S$564),
0
)
),
0)</f>
        <v/>
      </c>
      <c r="G370" s="47">
        <f>F370/$F$4</f>
        <v/>
      </c>
      <c r="H370" s="49">
        <f t="array" ref="H370">IFERROR(
SUM(
IF(
'PORTIFÓLIO'!$C$4:$C$564=$A370,
N(INDEX('PORTIFÓLIO'!$J$4:$Q$564,,MATCH(H$2,'PORTIFÓLIO'!$J$3:$Q$3,0))) *
N('PORTIFÓLIO'!$S$4:$S$564),
0
)
),
0)</f>
        <v/>
      </c>
      <c r="I370" s="47">
        <f>H370/$H$4</f>
        <v/>
      </c>
      <c r="J370" s="49">
        <f t="array" ref="J370">IFERROR(
SUM(
IF(
'PORTIFÓLIO'!$C$4:$C$564=$A370,
N(INDEX('PORTIFÓLIO'!$J$4:$Q$564,,MATCH(J$2,'PORTIFÓLIO'!$J$3:$Q$3,0))) *
N('PORTIFÓLIO'!$S$4:$S$564),
0
)
),
0)</f>
        <v/>
      </c>
      <c r="K370" s="47">
        <f>J370/$J$4</f>
        <v/>
      </c>
      <c r="L370" s="49">
        <f t="array" ref="L370">IFERROR(
SUM(
IF(
'PORTIFÓLIO'!$C$4:$C$564=$A370,
N(INDEX('PORTIFÓLIO'!$J$4:$Q$564,,MATCH(L$2,'PORTIFÓLIO'!$J$3:$Q$3,0))) *
N('PORTIFÓLIO'!$S$4:$S$564),
0
)
),
0)</f>
        <v/>
      </c>
      <c r="M370" s="47">
        <f>L370/$L$4</f>
        <v/>
      </c>
      <c r="N370" s="49">
        <f t="array" ref="N370">IFERROR(
SUM(
IF(
'PORTIFÓLIO'!$C$4:$C$564=$A370,
N(INDEX('PORTIFÓLIO'!$J$4:$Q$564,,MATCH(N$2,'PORTIFÓLIO'!$J$3:$Q$3,0))) *
N('PORTIFÓLIO'!$S$4:$S$564),
0
)
),
0)</f>
        <v/>
      </c>
      <c r="O370" s="49">
        <f>N370/$N$4</f>
        <v/>
      </c>
      <c r="P370" s="49">
        <f t="array" ref="P370">IFERROR(
SUM(
IF(
'PORTIFÓLIO'!$C$4:$C$564=$A370,
N(INDEX('PORTIFÓLIO'!$J$4:$Q$564,,MATCH(P$2,'PORTIFÓLIO'!$J$3:$Q$3,0))) *
N('PORTIFÓLIO'!$S$4:$S$564),
0
)
),
0)</f>
        <v/>
      </c>
      <c r="Q370" s="49">
        <f>P370/$P$4</f>
        <v/>
      </c>
      <c r="R370" s="49">
        <f>SUM(P370,N370,L370,J370,H370,D370,B370)</f>
        <v/>
      </c>
      <c r="S370" s="49">
        <f>R370/$R$4</f>
        <v/>
      </c>
    </row>
    <row r="371" hidden="1" outlineLevel="1" ht="15.75" customHeight="1" s="297">
      <c r="A371" s="42">
        <f>IFERROR(__xludf.DUMMYFUNCTION("""COMPUTED_VALUE"""),"ACRESCENTE SOLUS F")</f>
        <v/>
      </c>
      <c r="B371" s="49">
        <f t="array" ref="B371">IFERROR(
SUM(
IF(
'PORTIFÓLIO'!$C$4:$C$564=$A371,
N(INDEX('PORTIFÓLIO'!$J$4:$Q$564,,MATCH(B$2,'PORTIFÓLIO'!$J$3:$Q$3,0))) *
N('PORTIFÓLIO'!$S$4:$S$564),
0
)
),
0)</f>
        <v/>
      </c>
      <c r="C371" s="49">
        <f>B371/$B$4</f>
        <v/>
      </c>
      <c r="D371" s="49">
        <f t="array" ref="D371">IFERROR(
SUM(
IF(
'PORTIFÓLIO'!$C$4:$C$564=$A371,
N(INDEX('PORTIFÓLIO'!$J$4:$Q$564,,MATCH(D$2,'PORTIFÓLIO'!$J$3:$Q$3,0))) *
N('PORTIFÓLIO'!$S$4:$S$564),
0
)
),
0)</f>
        <v/>
      </c>
      <c r="E371" s="49">
        <f>D371/$B$4</f>
        <v/>
      </c>
      <c r="F371" s="49">
        <f t="array" ref="F371">IFERROR(
SUM(
IF(
'PORTIFÓLIO'!$C$4:$C$564=$A371,
N(INDEX('PORTIFÓLIO'!$J$4:$Q$564,,MATCH(F$2,'PORTIFÓLIO'!$J$3:$Q$3,0))) *
N('PORTIFÓLIO'!$S$4:$S$564),
0
)
),
0)</f>
        <v/>
      </c>
      <c r="G371" s="47">
        <f>F371/$F$4</f>
        <v/>
      </c>
      <c r="H371" s="49">
        <f t="array" ref="H371">IFERROR(
SUM(
IF(
'PORTIFÓLIO'!$C$4:$C$564=$A371,
N(INDEX('PORTIFÓLIO'!$J$4:$Q$564,,MATCH(H$2,'PORTIFÓLIO'!$J$3:$Q$3,0))) *
N('PORTIFÓLIO'!$S$4:$S$564),
0
)
),
0)</f>
        <v/>
      </c>
      <c r="I371" s="47">
        <f>H371/$H$4</f>
        <v/>
      </c>
      <c r="J371" s="49">
        <f t="array" ref="J371">IFERROR(
SUM(
IF(
'PORTIFÓLIO'!$C$4:$C$564=$A371,
N(INDEX('PORTIFÓLIO'!$J$4:$Q$564,,MATCH(J$2,'PORTIFÓLIO'!$J$3:$Q$3,0))) *
N('PORTIFÓLIO'!$S$4:$S$564),
0
)
),
0)</f>
        <v/>
      </c>
      <c r="K371" s="47">
        <f>J371/$J$4</f>
        <v/>
      </c>
      <c r="L371" s="49">
        <f t="array" ref="L371">IFERROR(
SUM(
IF(
'PORTIFÓLIO'!$C$4:$C$564=$A371,
N(INDEX('PORTIFÓLIO'!$J$4:$Q$564,,MATCH(L$2,'PORTIFÓLIO'!$J$3:$Q$3,0))) *
N('PORTIFÓLIO'!$S$4:$S$564),
0
)
),
0)</f>
        <v/>
      </c>
      <c r="M371" s="47">
        <f>L371/$L$4</f>
        <v/>
      </c>
      <c r="N371" s="49">
        <f t="array" ref="N371">IFERROR(
SUM(
IF(
'PORTIFÓLIO'!$C$4:$C$564=$A371,
N(INDEX('PORTIFÓLIO'!$J$4:$Q$564,,MATCH(N$2,'PORTIFÓLIO'!$J$3:$Q$3,0))) *
N('PORTIFÓLIO'!$S$4:$S$564),
0
)
),
0)</f>
        <v/>
      </c>
      <c r="O371" s="49">
        <f>N371/$N$4</f>
        <v/>
      </c>
      <c r="P371" s="49">
        <f t="array" ref="P371">IFERROR(
SUM(
IF(
'PORTIFÓLIO'!$C$4:$C$564=$A371,
N(INDEX('PORTIFÓLIO'!$J$4:$Q$564,,MATCH(P$2,'PORTIFÓLIO'!$J$3:$Q$3,0))) *
N('PORTIFÓLIO'!$S$4:$S$564),
0
)
),
0)</f>
        <v/>
      </c>
      <c r="Q371" s="49">
        <f>P371/$P$4</f>
        <v/>
      </c>
      <c r="R371" s="49">
        <f>SUM(P371,N371,L371,J371,H371,D371,B371)</f>
        <v/>
      </c>
      <c r="S371" s="49">
        <f>R371/$R$4</f>
        <v/>
      </c>
    </row>
    <row r="372" hidden="1" outlineLevel="1" ht="15.75" customHeight="1" s="297">
      <c r="A372" s="42">
        <f>IFERROR(__xludf.DUMMYFUNCTION("""COMPUTED_VALUE"""),"SALUT")</f>
        <v/>
      </c>
      <c r="B372" s="49">
        <f t="array" ref="B372">IFERROR(
SUM(
IF(
'PORTIFÓLIO'!$C$4:$C$564=$A372,
N(INDEX('PORTIFÓLIO'!$J$4:$Q$564,,MATCH(B$2,'PORTIFÓLIO'!$J$3:$Q$3,0))) *
N('PORTIFÓLIO'!$S$4:$S$564),
0
)
),
0)</f>
        <v/>
      </c>
      <c r="C372" s="49">
        <f>B372/$B$4</f>
        <v/>
      </c>
      <c r="D372" s="49">
        <f t="array" ref="D372">IFERROR(
SUM(
IF(
'PORTIFÓLIO'!$C$4:$C$564=$A372,
N(INDEX('PORTIFÓLIO'!$J$4:$Q$564,,MATCH(D$2,'PORTIFÓLIO'!$J$3:$Q$3,0))) *
N('PORTIFÓLIO'!$S$4:$S$564),
0
)
),
0)</f>
        <v/>
      </c>
      <c r="E372" s="49">
        <f>D372/$B$4</f>
        <v/>
      </c>
      <c r="F372" s="49">
        <f t="array" ref="F372">IFERROR(
SUM(
IF(
'PORTIFÓLIO'!$C$4:$C$564=$A372,
N(INDEX('PORTIFÓLIO'!$J$4:$Q$564,,MATCH(F$2,'PORTIFÓLIO'!$J$3:$Q$3,0))) *
N('PORTIFÓLIO'!$S$4:$S$564),
0
)
),
0)</f>
        <v/>
      </c>
      <c r="G372" s="47">
        <f>F372/$F$4</f>
        <v/>
      </c>
      <c r="H372" s="49">
        <f t="array" ref="H372">IFERROR(
SUM(
IF(
'PORTIFÓLIO'!$C$4:$C$564=$A372,
N(INDEX('PORTIFÓLIO'!$J$4:$Q$564,,MATCH(H$2,'PORTIFÓLIO'!$J$3:$Q$3,0))) *
N('PORTIFÓLIO'!$S$4:$S$564),
0
)
),
0)</f>
        <v/>
      </c>
      <c r="I372" s="47">
        <f>H372/$H$4</f>
        <v/>
      </c>
      <c r="J372" s="49">
        <f t="array" ref="J372">IFERROR(
SUM(
IF(
'PORTIFÓLIO'!$C$4:$C$564=$A372,
N(INDEX('PORTIFÓLIO'!$J$4:$Q$564,,MATCH(J$2,'PORTIFÓLIO'!$J$3:$Q$3,0))) *
N('PORTIFÓLIO'!$S$4:$S$564),
0
)
),
0)</f>
        <v/>
      </c>
      <c r="K372" s="47">
        <f>J372/$J$4</f>
        <v/>
      </c>
      <c r="L372" s="49">
        <f t="array" ref="L372">IFERROR(
SUM(
IF(
'PORTIFÓLIO'!$C$4:$C$564=$A372,
N(INDEX('PORTIFÓLIO'!$J$4:$Q$564,,MATCH(L$2,'PORTIFÓLIO'!$J$3:$Q$3,0))) *
N('PORTIFÓLIO'!$S$4:$S$564),
0
)
),
0)</f>
        <v/>
      </c>
      <c r="M372" s="47">
        <f>L372/$L$4</f>
        <v/>
      </c>
      <c r="N372" s="49">
        <f t="array" ref="N372">IFERROR(
SUM(
IF(
'PORTIFÓLIO'!$C$4:$C$564=$A372,
N(INDEX('PORTIFÓLIO'!$J$4:$Q$564,,MATCH(N$2,'PORTIFÓLIO'!$J$3:$Q$3,0))) *
N('PORTIFÓLIO'!$S$4:$S$564),
0
)
),
0)</f>
        <v/>
      </c>
      <c r="O372" s="49">
        <f>N372/$N$4</f>
        <v/>
      </c>
      <c r="P372" s="49">
        <f t="array" ref="P372">IFERROR(
SUM(
IF(
'PORTIFÓLIO'!$C$4:$C$564=$A372,
N(INDEX('PORTIFÓLIO'!$J$4:$Q$564,,MATCH(P$2,'PORTIFÓLIO'!$J$3:$Q$3,0))) *
N('PORTIFÓLIO'!$S$4:$S$564),
0
)
),
0)</f>
        <v/>
      </c>
      <c r="Q372" s="49">
        <f>P372/$P$4</f>
        <v/>
      </c>
      <c r="R372" s="49">
        <f>SUM(P372,N372,L372,J372,H372,D372,B372)</f>
        <v/>
      </c>
      <c r="S372" s="49">
        <f>R372/$R$4</f>
        <v/>
      </c>
    </row>
    <row r="373" hidden="1" outlineLevel="1" ht="15.75" customHeight="1" s="297">
      <c r="A373" s="42">
        <f>IFERROR(__xludf.DUMMYFUNCTION("""COMPUTED_VALUE"""),"MATRIZ D")</f>
        <v/>
      </c>
      <c r="B373" s="49">
        <f t="array" ref="B373">IFERROR(
SUM(
IF(
'PORTIFÓLIO'!$C$4:$C$564=$A373,
N(INDEX('PORTIFÓLIO'!$J$4:$Q$564,,MATCH(B$2,'PORTIFÓLIO'!$J$3:$Q$3,0))) *
N('PORTIFÓLIO'!$S$4:$S$564),
0
)
),
0)</f>
        <v/>
      </c>
      <c r="C373" s="49">
        <f>B373/$B$4</f>
        <v/>
      </c>
      <c r="D373" s="49">
        <f t="array" ref="D373">IFERROR(
SUM(
IF(
'PORTIFÓLIO'!$C$4:$C$564=$A373,
N(INDEX('PORTIFÓLIO'!$J$4:$Q$564,,MATCH(D$2,'PORTIFÓLIO'!$J$3:$Q$3,0))) *
N('PORTIFÓLIO'!$S$4:$S$564),
0
)
),
0)</f>
        <v/>
      </c>
      <c r="E373" s="49">
        <f>D373/$B$4</f>
        <v/>
      </c>
      <c r="F373" s="49">
        <f t="array" ref="F373">IFERROR(
SUM(
IF(
'PORTIFÓLIO'!$C$4:$C$564=$A373,
N(INDEX('PORTIFÓLIO'!$J$4:$Q$564,,MATCH(F$2,'PORTIFÓLIO'!$J$3:$Q$3,0))) *
N('PORTIFÓLIO'!$S$4:$S$564),
0
)
),
0)</f>
        <v/>
      </c>
      <c r="G373" s="47">
        <f>F373/$F$4</f>
        <v/>
      </c>
      <c r="H373" s="49">
        <f t="array" ref="H373">IFERROR(
SUM(
IF(
'PORTIFÓLIO'!$C$4:$C$564=$A373,
N(INDEX('PORTIFÓLIO'!$J$4:$Q$564,,MATCH(H$2,'PORTIFÓLIO'!$J$3:$Q$3,0))) *
N('PORTIFÓLIO'!$S$4:$S$564),
0
)
),
0)</f>
        <v/>
      </c>
      <c r="I373" s="47">
        <f>H373/$H$4</f>
        <v/>
      </c>
      <c r="J373" s="49">
        <f t="array" ref="J373">IFERROR(
SUM(
IF(
'PORTIFÓLIO'!$C$4:$C$564=$A373,
N(INDEX('PORTIFÓLIO'!$J$4:$Q$564,,MATCH(J$2,'PORTIFÓLIO'!$J$3:$Q$3,0))) *
N('PORTIFÓLIO'!$S$4:$S$564),
0
)
),
0)</f>
        <v/>
      </c>
      <c r="K373" s="47">
        <f>J373/$J$4</f>
        <v/>
      </c>
      <c r="L373" s="49">
        <f t="array" ref="L373">IFERROR(
SUM(
IF(
'PORTIFÓLIO'!$C$4:$C$564=$A373,
N(INDEX('PORTIFÓLIO'!$J$4:$Q$564,,MATCH(L$2,'PORTIFÓLIO'!$J$3:$Q$3,0))) *
N('PORTIFÓLIO'!$S$4:$S$564),
0
)
),
0)</f>
        <v/>
      </c>
      <c r="M373" s="47">
        <f>L373/$L$4</f>
        <v/>
      </c>
      <c r="N373" s="49">
        <f t="array" ref="N373">IFERROR(
SUM(
IF(
'PORTIFÓLIO'!$C$4:$C$564=$A373,
N(INDEX('PORTIFÓLIO'!$J$4:$Q$564,,MATCH(N$2,'PORTIFÓLIO'!$J$3:$Q$3,0))) *
N('PORTIFÓLIO'!$S$4:$S$564),
0
)
),
0)</f>
        <v/>
      </c>
      <c r="O373" s="49">
        <f>N373/$N$4</f>
        <v/>
      </c>
      <c r="P373" s="49">
        <f t="array" ref="P373">IFERROR(
SUM(
IF(
'PORTIFÓLIO'!$C$4:$C$564=$A373,
N(INDEX('PORTIFÓLIO'!$J$4:$Q$564,,MATCH(P$2,'PORTIFÓLIO'!$J$3:$Q$3,0))) *
N('PORTIFÓLIO'!$S$4:$S$564),
0
)
),
0)</f>
        <v/>
      </c>
      <c r="Q373" s="49">
        <f>P373/$P$4</f>
        <v/>
      </c>
      <c r="R373" s="49">
        <f>SUM(P373,N373,L373,J373,H373,D373,B373)</f>
        <v/>
      </c>
      <c r="S373" s="49">
        <f>R373/$R$4</f>
        <v/>
      </c>
    </row>
    <row r="374" hidden="1" outlineLevel="1" ht="15.75" customHeight="1" s="297">
      <c r="A374" s="42">
        <f>IFERROR(__xludf.DUMMYFUNCTION("""COMPUTED_VALUE"""),"BRAVERO")</f>
        <v/>
      </c>
      <c r="B374" s="49">
        <f t="array" ref="B374">IFERROR(
SUM(
IF(
'PORTIFÓLIO'!$C$4:$C$564=$A374,
N(INDEX('PORTIFÓLIO'!$J$4:$Q$564,,MATCH(B$2,'PORTIFÓLIO'!$J$3:$Q$3,0))) *
N('PORTIFÓLIO'!$S$4:$S$564),
0
)
),
0)</f>
        <v/>
      </c>
      <c r="C374" s="49">
        <f>B374/$B$4</f>
        <v/>
      </c>
      <c r="D374" s="49">
        <f t="array" ref="D374">IFERROR(
SUM(
IF(
'PORTIFÓLIO'!$C$4:$C$564=$A374,
N(INDEX('PORTIFÓLIO'!$J$4:$Q$564,,MATCH(D$2,'PORTIFÓLIO'!$J$3:$Q$3,0))) *
N('PORTIFÓLIO'!$S$4:$S$564),
0
)
),
0)</f>
        <v/>
      </c>
      <c r="E374" s="49">
        <f>D374/$B$4</f>
        <v/>
      </c>
      <c r="F374" s="49">
        <f t="array" ref="F374">IFERROR(
SUM(
IF(
'PORTIFÓLIO'!$C$4:$C$564=$A374,
N(INDEX('PORTIFÓLIO'!$J$4:$Q$564,,MATCH(F$2,'PORTIFÓLIO'!$J$3:$Q$3,0))) *
N('PORTIFÓLIO'!$S$4:$S$564),
0
)
),
0)</f>
        <v/>
      </c>
      <c r="G374" s="47">
        <f>F374/$F$4</f>
        <v/>
      </c>
      <c r="H374" s="49">
        <f t="array" ref="H374">IFERROR(
SUM(
IF(
'PORTIFÓLIO'!$C$4:$C$564=$A374,
N(INDEX('PORTIFÓLIO'!$J$4:$Q$564,,MATCH(H$2,'PORTIFÓLIO'!$J$3:$Q$3,0))) *
N('PORTIFÓLIO'!$S$4:$S$564),
0
)
),
0)</f>
        <v/>
      </c>
      <c r="I374" s="47">
        <f>H374/$H$4</f>
        <v/>
      </c>
      <c r="J374" s="49">
        <f t="array" ref="J374">IFERROR(
SUM(
IF(
'PORTIFÓLIO'!$C$4:$C$564=$A374,
N(INDEX('PORTIFÓLIO'!$J$4:$Q$564,,MATCH(J$2,'PORTIFÓLIO'!$J$3:$Q$3,0))) *
N('PORTIFÓLIO'!$S$4:$S$564),
0
)
),
0)</f>
        <v/>
      </c>
      <c r="K374" s="47">
        <f>J374/$J$4</f>
        <v/>
      </c>
      <c r="L374" s="49">
        <f t="array" ref="L374">IFERROR(
SUM(
IF(
'PORTIFÓLIO'!$C$4:$C$564=$A374,
N(INDEX('PORTIFÓLIO'!$J$4:$Q$564,,MATCH(L$2,'PORTIFÓLIO'!$J$3:$Q$3,0))) *
N('PORTIFÓLIO'!$S$4:$S$564),
0
)
),
0)</f>
        <v/>
      </c>
      <c r="M374" s="47">
        <f>L374/$L$4</f>
        <v/>
      </c>
      <c r="N374" s="49">
        <f t="array" ref="N374">IFERROR(
SUM(
IF(
'PORTIFÓLIO'!$C$4:$C$564=$A374,
N(INDEX('PORTIFÓLIO'!$J$4:$Q$564,,MATCH(N$2,'PORTIFÓLIO'!$J$3:$Q$3,0))) *
N('PORTIFÓLIO'!$S$4:$S$564),
0
)
),
0)</f>
        <v/>
      </c>
      <c r="O374" s="49">
        <f>N374/$N$4</f>
        <v/>
      </c>
      <c r="P374" s="49">
        <f t="array" ref="P374">IFERROR(
SUM(
IF(
'PORTIFÓLIO'!$C$4:$C$564=$A374,
N(INDEX('PORTIFÓLIO'!$J$4:$Q$564,,MATCH(P$2,'PORTIFÓLIO'!$J$3:$Q$3,0))) *
N('PORTIFÓLIO'!$S$4:$S$564),
0
)
),
0)</f>
        <v/>
      </c>
      <c r="Q374" s="49">
        <f>P374/$P$4</f>
        <v/>
      </c>
      <c r="R374" s="49">
        <f>SUM(P374,N374,L374,J374,H374,D374,B374)</f>
        <v/>
      </c>
      <c r="S374" s="49">
        <f>R374/$R$4</f>
        <v/>
      </c>
    </row>
    <row r="375" hidden="1" outlineLevel="1" ht="15.75" customHeight="1" s="297">
      <c r="A375" s="42">
        <f>IFERROR(__xludf.DUMMYFUNCTION("""COMPUTED_VALUE"""),"Glyfort")</f>
        <v/>
      </c>
      <c r="B375" s="49">
        <f t="array" ref="B375">IFERROR(
SUM(
IF(
'PORTIFÓLIO'!$C$4:$C$564=$A375,
N(INDEX('PORTIFÓLIO'!$J$4:$Q$564,,MATCH(B$2,'PORTIFÓLIO'!$J$3:$Q$3,0))) *
N('PORTIFÓLIO'!$S$4:$S$564),
0
)
),
0)</f>
        <v/>
      </c>
      <c r="C375" s="49">
        <f>B375/$B$4</f>
        <v/>
      </c>
      <c r="D375" s="49">
        <f t="array" ref="D375">IFERROR(
SUM(
IF(
'PORTIFÓLIO'!$C$4:$C$564=$A375,
N(INDEX('PORTIFÓLIO'!$J$4:$Q$564,,MATCH(D$2,'PORTIFÓLIO'!$J$3:$Q$3,0))) *
N('PORTIFÓLIO'!$S$4:$S$564),
0
)
),
0)</f>
        <v/>
      </c>
      <c r="E375" s="49">
        <f>D375/$B$4</f>
        <v/>
      </c>
      <c r="F375" s="49">
        <f t="array" ref="F375">IFERROR(
SUM(
IF(
'PORTIFÓLIO'!$C$4:$C$564=$A375,
N(INDEX('PORTIFÓLIO'!$J$4:$Q$564,,MATCH(F$2,'PORTIFÓLIO'!$J$3:$Q$3,0))) *
N('PORTIFÓLIO'!$S$4:$S$564),
0
)
),
0)</f>
        <v/>
      </c>
      <c r="G375" s="47">
        <f>F375/$F$4</f>
        <v/>
      </c>
      <c r="H375" s="49">
        <f t="array" ref="H375">IFERROR(
SUM(
IF(
'PORTIFÓLIO'!$C$4:$C$564=$A375,
N(INDEX('PORTIFÓLIO'!$J$4:$Q$564,,MATCH(H$2,'PORTIFÓLIO'!$J$3:$Q$3,0))) *
N('PORTIFÓLIO'!$S$4:$S$564),
0
)
),
0)</f>
        <v/>
      </c>
      <c r="I375" s="47">
        <f>H375/$H$4</f>
        <v/>
      </c>
      <c r="J375" s="49">
        <f t="array" ref="J375">IFERROR(
SUM(
IF(
'PORTIFÓLIO'!$C$4:$C$564=$A375,
N(INDEX('PORTIFÓLIO'!$J$4:$Q$564,,MATCH(J$2,'PORTIFÓLIO'!$J$3:$Q$3,0))) *
N('PORTIFÓLIO'!$S$4:$S$564),
0
)
),
0)</f>
        <v/>
      </c>
      <c r="K375" s="47">
        <f>J375/$J$4</f>
        <v/>
      </c>
      <c r="L375" s="49">
        <f t="array" ref="L375">IFERROR(
SUM(
IF(
'PORTIFÓLIO'!$C$4:$C$564=$A375,
N(INDEX('PORTIFÓLIO'!$J$4:$Q$564,,MATCH(L$2,'PORTIFÓLIO'!$J$3:$Q$3,0))) *
N('PORTIFÓLIO'!$S$4:$S$564),
0
)
),
0)</f>
        <v/>
      </c>
      <c r="M375" s="47">
        <f>L375/$L$4</f>
        <v/>
      </c>
      <c r="N375" s="49">
        <f t="array" ref="N375">IFERROR(
SUM(
IF(
'PORTIFÓLIO'!$C$4:$C$564=$A375,
N(INDEX('PORTIFÓLIO'!$J$4:$Q$564,,MATCH(N$2,'PORTIFÓLIO'!$J$3:$Q$3,0))) *
N('PORTIFÓLIO'!$S$4:$S$564),
0
)
),
0)</f>
        <v/>
      </c>
      <c r="O375" s="49">
        <f>N375/$N$4</f>
        <v/>
      </c>
      <c r="P375" s="49">
        <f t="array" ref="P375">IFERROR(
SUM(
IF(
'PORTIFÓLIO'!$C$4:$C$564=$A375,
N(INDEX('PORTIFÓLIO'!$J$4:$Q$564,,MATCH(P$2,'PORTIFÓLIO'!$J$3:$Q$3,0))) *
N('PORTIFÓLIO'!$S$4:$S$564),
0
)
),
0)</f>
        <v/>
      </c>
      <c r="Q375" s="49">
        <f>P375/$P$4</f>
        <v/>
      </c>
      <c r="R375" s="49">
        <f>SUM(P375,N375,L375,J375,H375,D375,B375)</f>
        <v/>
      </c>
      <c r="S375" s="49">
        <f>R375/$R$4</f>
        <v/>
      </c>
    </row>
    <row r="376" hidden="1" outlineLevel="1" ht="15.75" customHeight="1" s="297">
      <c r="A376" s="42">
        <f>IFERROR(__xludf.DUMMYFUNCTION("""COMPUTED_VALUE"""),"Fergsum")</f>
        <v/>
      </c>
      <c r="B376" s="49">
        <f t="array" ref="B376">IFERROR(
SUM(
IF(
'PORTIFÓLIO'!$C$4:$C$564=$A376,
N(INDEX('PORTIFÓLIO'!$J$4:$Q$564,,MATCH(B$2,'PORTIFÓLIO'!$J$3:$Q$3,0))) *
N('PORTIFÓLIO'!$S$4:$S$564),
0
)
),
0)</f>
        <v/>
      </c>
      <c r="C376" s="49">
        <f>B376/$B$4</f>
        <v/>
      </c>
      <c r="D376" s="49">
        <f t="array" ref="D376">IFERROR(
SUM(
IF(
'PORTIFÓLIO'!$C$4:$C$564=$A376,
N(INDEX('PORTIFÓLIO'!$J$4:$Q$564,,MATCH(D$2,'PORTIFÓLIO'!$J$3:$Q$3,0))) *
N('PORTIFÓLIO'!$S$4:$S$564),
0
)
),
0)</f>
        <v/>
      </c>
      <c r="E376" s="49">
        <f>D376/$B$4</f>
        <v/>
      </c>
      <c r="F376" s="49">
        <f t="array" ref="F376">IFERROR(
SUM(
IF(
'PORTIFÓLIO'!$C$4:$C$564=$A376,
N(INDEX('PORTIFÓLIO'!$J$4:$Q$564,,MATCH(F$2,'PORTIFÓLIO'!$J$3:$Q$3,0))) *
N('PORTIFÓLIO'!$S$4:$S$564),
0
)
),
0)</f>
        <v/>
      </c>
      <c r="G376" s="47">
        <f>F376/$F$4</f>
        <v/>
      </c>
      <c r="H376" s="49">
        <f t="array" ref="H376">IFERROR(
SUM(
IF(
'PORTIFÓLIO'!$C$4:$C$564=$A376,
N(INDEX('PORTIFÓLIO'!$J$4:$Q$564,,MATCH(H$2,'PORTIFÓLIO'!$J$3:$Q$3,0))) *
N('PORTIFÓLIO'!$S$4:$S$564),
0
)
),
0)</f>
        <v/>
      </c>
      <c r="I376" s="47">
        <f>H376/$H$4</f>
        <v/>
      </c>
      <c r="J376" s="49">
        <f t="array" ref="J376">IFERROR(
SUM(
IF(
'PORTIFÓLIO'!$C$4:$C$564=$A376,
N(INDEX('PORTIFÓLIO'!$J$4:$Q$564,,MATCH(J$2,'PORTIFÓLIO'!$J$3:$Q$3,0))) *
N('PORTIFÓLIO'!$S$4:$S$564),
0
)
),
0)</f>
        <v/>
      </c>
      <c r="K376" s="47">
        <f>J376/$J$4</f>
        <v/>
      </c>
      <c r="L376" s="49">
        <f t="array" ref="L376">IFERROR(
SUM(
IF(
'PORTIFÓLIO'!$C$4:$C$564=$A376,
N(INDEX('PORTIFÓLIO'!$J$4:$Q$564,,MATCH(L$2,'PORTIFÓLIO'!$J$3:$Q$3,0))) *
N('PORTIFÓLIO'!$S$4:$S$564),
0
)
),
0)</f>
        <v/>
      </c>
      <c r="M376" s="47">
        <f>L376/$L$4</f>
        <v/>
      </c>
      <c r="N376" s="49">
        <f t="array" ref="N376">IFERROR(
SUM(
IF(
'PORTIFÓLIO'!$C$4:$C$564=$A376,
N(INDEX('PORTIFÓLIO'!$J$4:$Q$564,,MATCH(N$2,'PORTIFÓLIO'!$J$3:$Q$3,0))) *
N('PORTIFÓLIO'!$S$4:$S$564),
0
)
),
0)</f>
        <v/>
      </c>
      <c r="O376" s="49">
        <f>N376/$N$4</f>
        <v/>
      </c>
      <c r="P376" s="49">
        <f t="array" ref="P376">IFERROR(
SUM(
IF(
'PORTIFÓLIO'!$C$4:$C$564=$A376,
N(INDEX('PORTIFÓLIO'!$J$4:$Q$564,,MATCH(P$2,'PORTIFÓLIO'!$J$3:$Q$3,0))) *
N('PORTIFÓLIO'!$S$4:$S$564),
0
)
),
0)</f>
        <v/>
      </c>
      <c r="Q376" s="49">
        <f>P376/$P$4</f>
        <v/>
      </c>
      <c r="R376" s="49">
        <f>SUM(P376,N376,L376,J376,H376,D376,B376)</f>
        <v/>
      </c>
      <c r="S376" s="49">
        <f>R376/$R$4</f>
        <v/>
      </c>
    </row>
    <row r="377" hidden="1" outlineLevel="1" ht="15.75" customHeight="1" s="297">
      <c r="A377" s="42">
        <f>IFERROR(__xludf.DUMMYFUNCTION("""COMPUTED_VALUE"""),"Spander")</f>
        <v/>
      </c>
      <c r="B377" s="49">
        <f t="array" ref="B377">IFERROR(
SUM(
IF(
'PORTIFÓLIO'!$C$4:$C$564=$A377,
N(INDEX('PORTIFÓLIO'!$J$4:$Q$564,,MATCH(B$2,'PORTIFÓLIO'!$J$3:$Q$3,0))) *
N('PORTIFÓLIO'!$S$4:$S$564),
0
)
),
0)</f>
        <v/>
      </c>
      <c r="C377" s="49">
        <f>B377/$B$4</f>
        <v/>
      </c>
      <c r="D377" s="49">
        <f t="array" ref="D377">IFERROR(
SUM(
IF(
'PORTIFÓLIO'!$C$4:$C$564=$A377,
N(INDEX('PORTIFÓLIO'!$J$4:$Q$564,,MATCH(D$2,'PORTIFÓLIO'!$J$3:$Q$3,0))) *
N('PORTIFÓLIO'!$S$4:$S$564),
0
)
),
0)</f>
        <v/>
      </c>
      <c r="E377" s="49">
        <f>D377/$B$4</f>
        <v/>
      </c>
      <c r="F377" s="49">
        <f t="array" ref="F377">IFERROR(
SUM(
IF(
'PORTIFÓLIO'!$C$4:$C$564=$A377,
N(INDEX('PORTIFÓLIO'!$J$4:$Q$564,,MATCH(F$2,'PORTIFÓLIO'!$J$3:$Q$3,0))) *
N('PORTIFÓLIO'!$S$4:$S$564),
0
)
),
0)</f>
        <v/>
      </c>
      <c r="G377" s="47">
        <f>F377/$F$4</f>
        <v/>
      </c>
      <c r="H377" s="49">
        <f t="array" ref="H377">IFERROR(
SUM(
IF(
'PORTIFÓLIO'!$C$4:$C$564=$A377,
N(INDEX('PORTIFÓLIO'!$J$4:$Q$564,,MATCH(H$2,'PORTIFÓLIO'!$J$3:$Q$3,0))) *
N('PORTIFÓLIO'!$S$4:$S$564),
0
)
),
0)</f>
        <v/>
      </c>
      <c r="I377" s="47">
        <f>H377/$H$4</f>
        <v/>
      </c>
      <c r="J377" s="49">
        <f t="array" ref="J377">IFERROR(
SUM(
IF(
'PORTIFÓLIO'!$C$4:$C$564=$A377,
N(INDEX('PORTIFÓLIO'!$J$4:$Q$564,,MATCH(J$2,'PORTIFÓLIO'!$J$3:$Q$3,0))) *
N('PORTIFÓLIO'!$S$4:$S$564),
0
)
),
0)</f>
        <v/>
      </c>
      <c r="K377" s="47">
        <f>J377/$J$4</f>
        <v/>
      </c>
      <c r="L377" s="49">
        <f t="array" ref="L377">IFERROR(
SUM(
IF(
'PORTIFÓLIO'!$C$4:$C$564=$A377,
N(INDEX('PORTIFÓLIO'!$J$4:$Q$564,,MATCH(L$2,'PORTIFÓLIO'!$J$3:$Q$3,0))) *
N('PORTIFÓLIO'!$S$4:$S$564),
0
)
),
0)</f>
        <v/>
      </c>
      <c r="M377" s="47">
        <f>L377/$L$4</f>
        <v/>
      </c>
      <c r="N377" s="49">
        <f t="array" ref="N377">IFERROR(
SUM(
IF(
'PORTIFÓLIO'!$C$4:$C$564=$A377,
N(INDEX('PORTIFÓLIO'!$J$4:$Q$564,,MATCH(N$2,'PORTIFÓLIO'!$J$3:$Q$3,0))) *
N('PORTIFÓLIO'!$S$4:$S$564),
0
)
),
0)</f>
        <v/>
      </c>
      <c r="O377" s="49">
        <f>N377/$N$4</f>
        <v/>
      </c>
      <c r="P377" s="49">
        <f t="array" ref="P377">IFERROR(
SUM(
IF(
'PORTIFÓLIO'!$C$4:$C$564=$A377,
N(INDEX('PORTIFÓLIO'!$J$4:$Q$564,,MATCH(P$2,'PORTIFÓLIO'!$J$3:$Q$3,0))) *
N('PORTIFÓLIO'!$S$4:$S$564),
0
)
),
0)</f>
        <v/>
      </c>
      <c r="Q377" s="49">
        <f>P377/$P$4</f>
        <v/>
      </c>
      <c r="R377" s="49">
        <f>SUM(P377,N377,L377,J377,H377,D377,B377)</f>
        <v/>
      </c>
      <c r="S377" s="49">
        <f>R377/$R$4</f>
        <v/>
      </c>
    </row>
    <row r="378" hidden="1" outlineLevel="1" ht="15.75" customHeight="1" s="297">
      <c r="A378" s="42">
        <f>IFERROR(__xludf.DUMMYFUNCTION("""COMPUTED_VALUE"""),"Halattus")</f>
        <v/>
      </c>
      <c r="B378" s="49">
        <f t="array" ref="B378">IFERROR(
SUM(
IF(
'PORTIFÓLIO'!$C$4:$C$564=$A378,
N(INDEX('PORTIFÓLIO'!$J$4:$Q$564,,MATCH(B$2,'PORTIFÓLIO'!$J$3:$Q$3,0))) *
N('PORTIFÓLIO'!$S$4:$S$564),
0
)
),
0)</f>
        <v/>
      </c>
      <c r="C378" s="49">
        <f>B378/$B$4</f>
        <v/>
      </c>
      <c r="D378" s="49">
        <f t="array" ref="D378">IFERROR(
SUM(
IF(
'PORTIFÓLIO'!$C$4:$C$564=$A378,
N(INDEX('PORTIFÓLIO'!$J$4:$Q$564,,MATCH(D$2,'PORTIFÓLIO'!$J$3:$Q$3,0))) *
N('PORTIFÓLIO'!$S$4:$S$564),
0
)
),
0)</f>
        <v/>
      </c>
      <c r="E378" s="49">
        <f>D378/$B$4</f>
        <v/>
      </c>
      <c r="F378" s="49">
        <f t="array" ref="F378">IFERROR(
SUM(
IF(
'PORTIFÓLIO'!$C$4:$C$564=$A378,
N(INDEX('PORTIFÓLIO'!$J$4:$Q$564,,MATCH(F$2,'PORTIFÓLIO'!$J$3:$Q$3,0))) *
N('PORTIFÓLIO'!$S$4:$S$564),
0
)
),
0)</f>
        <v/>
      </c>
      <c r="G378" s="47">
        <f>F378/$F$4</f>
        <v/>
      </c>
      <c r="H378" s="49">
        <f t="array" ref="H378">IFERROR(
SUM(
IF(
'PORTIFÓLIO'!$C$4:$C$564=$A378,
N(INDEX('PORTIFÓLIO'!$J$4:$Q$564,,MATCH(H$2,'PORTIFÓLIO'!$J$3:$Q$3,0))) *
N('PORTIFÓLIO'!$S$4:$S$564),
0
)
),
0)</f>
        <v/>
      </c>
      <c r="I378" s="47">
        <f>H378/$H$4</f>
        <v/>
      </c>
      <c r="J378" s="49">
        <f t="array" ref="J378">IFERROR(
SUM(
IF(
'PORTIFÓLIO'!$C$4:$C$564=$A378,
N(INDEX('PORTIFÓLIO'!$J$4:$Q$564,,MATCH(J$2,'PORTIFÓLIO'!$J$3:$Q$3,0))) *
N('PORTIFÓLIO'!$S$4:$S$564),
0
)
),
0)</f>
        <v/>
      </c>
      <c r="K378" s="47">
        <f>J378/$J$4</f>
        <v/>
      </c>
      <c r="L378" s="49">
        <f t="array" ref="L378">IFERROR(
SUM(
IF(
'PORTIFÓLIO'!$C$4:$C$564=$A378,
N(INDEX('PORTIFÓLIO'!$J$4:$Q$564,,MATCH(L$2,'PORTIFÓLIO'!$J$3:$Q$3,0))) *
N('PORTIFÓLIO'!$S$4:$S$564),
0
)
),
0)</f>
        <v/>
      </c>
      <c r="M378" s="47">
        <f>L378/$L$4</f>
        <v/>
      </c>
      <c r="N378" s="49">
        <f t="array" ref="N378">IFERROR(
SUM(
IF(
'PORTIFÓLIO'!$C$4:$C$564=$A378,
N(INDEX('PORTIFÓLIO'!$J$4:$Q$564,,MATCH(N$2,'PORTIFÓLIO'!$J$3:$Q$3,0))) *
N('PORTIFÓLIO'!$S$4:$S$564),
0
)
),
0)</f>
        <v/>
      </c>
      <c r="O378" s="49">
        <f>N378/$N$4</f>
        <v/>
      </c>
      <c r="P378" s="49">
        <f t="array" ref="P378">IFERROR(
SUM(
IF(
'PORTIFÓLIO'!$C$4:$C$564=$A378,
N(INDEX('PORTIFÓLIO'!$J$4:$Q$564,,MATCH(P$2,'PORTIFÓLIO'!$J$3:$Q$3,0))) *
N('PORTIFÓLIO'!$S$4:$S$564),
0
)
),
0)</f>
        <v/>
      </c>
      <c r="Q378" s="49">
        <f>P378/$P$4</f>
        <v/>
      </c>
      <c r="R378" s="49">
        <f>SUM(P378,N378,L378,J378,H378,D378,B378)</f>
        <v/>
      </c>
      <c r="S378" s="49">
        <f>R378/$R$4</f>
        <v/>
      </c>
    </row>
    <row r="379" hidden="1" outlineLevel="1" ht="15.75" customHeight="1" s="297">
      <c r="A379" s="42">
        <f>IFERROR(__xludf.DUMMYFUNCTION("""COMPUTED_VALUE"""),"Sallvare Complex")</f>
        <v/>
      </c>
      <c r="B379" s="49">
        <f t="array" ref="B379">IFERROR(
SUM(
IF(
'PORTIFÓLIO'!$C$4:$C$564=$A379,
N(INDEX('PORTIFÓLIO'!$J$4:$Q$564,,MATCH(B$2,'PORTIFÓLIO'!$J$3:$Q$3,0))) *
N('PORTIFÓLIO'!$S$4:$S$564),
0
)
),
0)</f>
        <v/>
      </c>
      <c r="C379" s="49">
        <f>B379/$B$4</f>
        <v/>
      </c>
      <c r="D379" s="49">
        <f t="array" ref="D379">IFERROR(
SUM(
IF(
'PORTIFÓLIO'!$C$4:$C$564=$A379,
N(INDEX('PORTIFÓLIO'!$J$4:$Q$564,,MATCH(D$2,'PORTIFÓLIO'!$J$3:$Q$3,0))) *
N('PORTIFÓLIO'!$S$4:$S$564),
0
)
),
0)</f>
        <v/>
      </c>
      <c r="E379" s="49">
        <f>D379/$B$4</f>
        <v/>
      </c>
      <c r="F379" s="49">
        <f t="array" ref="F379">IFERROR(
SUM(
IF(
'PORTIFÓLIO'!$C$4:$C$564=$A379,
N(INDEX('PORTIFÓLIO'!$J$4:$Q$564,,MATCH(F$2,'PORTIFÓLIO'!$J$3:$Q$3,0))) *
N('PORTIFÓLIO'!$S$4:$S$564),
0
)
),
0)</f>
        <v/>
      </c>
      <c r="G379" s="47">
        <f>F379/$F$4</f>
        <v/>
      </c>
      <c r="H379" s="49">
        <f t="array" ref="H379">IFERROR(
SUM(
IF(
'PORTIFÓLIO'!$C$4:$C$564=$A379,
N(INDEX('PORTIFÓLIO'!$J$4:$Q$564,,MATCH(H$2,'PORTIFÓLIO'!$J$3:$Q$3,0))) *
N('PORTIFÓLIO'!$S$4:$S$564),
0
)
),
0)</f>
        <v/>
      </c>
      <c r="I379" s="47">
        <f>H379/$H$4</f>
        <v/>
      </c>
      <c r="J379" s="49">
        <f t="array" ref="J379">IFERROR(
SUM(
IF(
'PORTIFÓLIO'!$C$4:$C$564=$A379,
N(INDEX('PORTIFÓLIO'!$J$4:$Q$564,,MATCH(J$2,'PORTIFÓLIO'!$J$3:$Q$3,0))) *
N('PORTIFÓLIO'!$S$4:$S$564),
0
)
),
0)</f>
        <v/>
      </c>
      <c r="K379" s="47">
        <f>J379/$J$4</f>
        <v/>
      </c>
      <c r="L379" s="49">
        <f t="array" ref="L379">IFERROR(
SUM(
IF(
'PORTIFÓLIO'!$C$4:$C$564=$A379,
N(INDEX('PORTIFÓLIO'!$J$4:$Q$564,,MATCH(L$2,'PORTIFÓLIO'!$J$3:$Q$3,0))) *
N('PORTIFÓLIO'!$S$4:$S$564),
0
)
),
0)</f>
        <v/>
      </c>
      <c r="M379" s="47">
        <f>L379/$L$4</f>
        <v/>
      </c>
      <c r="N379" s="49">
        <f t="array" ref="N379">IFERROR(
SUM(
IF(
'PORTIFÓLIO'!$C$4:$C$564=$A379,
N(INDEX('PORTIFÓLIO'!$J$4:$Q$564,,MATCH(N$2,'PORTIFÓLIO'!$J$3:$Q$3,0))) *
N('PORTIFÓLIO'!$S$4:$S$564),
0
)
),
0)</f>
        <v/>
      </c>
      <c r="O379" s="49">
        <f>N379/$N$4</f>
        <v/>
      </c>
      <c r="P379" s="49">
        <f t="array" ref="P379">IFERROR(
SUM(
IF(
'PORTIFÓLIO'!$C$4:$C$564=$A379,
N(INDEX('PORTIFÓLIO'!$J$4:$Q$564,,MATCH(P$2,'PORTIFÓLIO'!$J$3:$Q$3,0))) *
N('PORTIFÓLIO'!$S$4:$S$564),
0
)
),
0)</f>
        <v/>
      </c>
      <c r="Q379" s="49">
        <f>P379/$P$4</f>
        <v/>
      </c>
      <c r="R379" s="49">
        <f>SUM(P379,N379,L379,J379,H379,D379,B379)</f>
        <v/>
      </c>
      <c r="S379" s="49">
        <f>R379/$R$4</f>
        <v/>
      </c>
    </row>
    <row r="380" hidden="1" outlineLevel="1" ht="15.75" customHeight="1" s="297">
      <c r="A380" s="42">
        <f>IFERROR(__xludf.DUMMYFUNCTION("""COMPUTED_VALUE"""),"Zinctaus Complex")</f>
        <v/>
      </c>
      <c r="B380" s="49">
        <f t="array" ref="B380">IFERROR(
SUM(
IF(
'PORTIFÓLIO'!$C$4:$C$564=$A380,
N(INDEX('PORTIFÓLIO'!$J$4:$Q$564,,MATCH(B$2,'PORTIFÓLIO'!$J$3:$Q$3,0))) *
N('PORTIFÓLIO'!$S$4:$S$564),
0
)
),
0)</f>
        <v/>
      </c>
      <c r="C380" s="49">
        <f>B380/$B$4</f>
        <v/>
      </c>
      <c r="D380" s="49">
        <f t="array" ref="D380">IFERROR(
SUM(
IF(
'PORTIFÓLIO'!$C$4:$C$564=$A380,
N(INDEX('PORTIFÓLIO'!$J$4:$Q$564,,MATCH(D$2,'PORTIFÓLIO'!$J$3:$Q$3,0))) *
N('PORTIFÓLIO'!$S$4:$S$564),
0
)
),
0)</f>
        <v/>
      </c>
      <c r="E380" s="49">
        <f>D380/$B$4</f>
        <v/>
      </c>
      <c r="F380" s="49">
        <f t="array" ref="F380">IFERROR(
SUM(
IF(
'PORTIFÓLIO'!$C$4:$C$564=$A380,
N(INDEX('PORTIFÓLIO'!$J$4:$Q$564,,MATCH(F$2,'PORTIFÓLIO'!$J$3:$Q$3,0))) *
N('PORTIFÓLIO'!$S$4:$S$564),
0
)
),
0)</f>
        <v/>
      </c>
      <c r="G380" s="47">
        <f>F380/$F$4</f>
        <v/>
      </c>
      <c r="H380" s="49">
        <f t="array" ref="H380">IFERROR(
SUM(
IF(
'PORTIFÓLIO'!$C$4:$C$564=$A380,
N(INDEX('PORTIFÓLIO'!$J$4:$Q$564,,MATCH(H$2,'PORTIFÓLIO'!$J$3:$Q$3,0))) *
N('PORTIFÓLIO'!$S$4:$S$564),
0
)
),
0)</f>
        <v/>
      </c>
      <c r="I380" s="47">
        <f>H380/$H$4</f>
        <v/>
      </c>
      <c r="J380" s="49">
        <f t="array" ref="J380">IFERROR(
SUM(
IF(
'PORTIFÓLIO'!$C$4:$C$564=$A380,
N(INDEX('PORTIFÓLIO'!$J$4:$Q$564,,MATCH(J$2,'PORTIFÓLIO'!$J$3:$Q$3,0))) *
N('PORTIFÓLIO'!$S$4:$S$564),
0
)
),
0)</f>
        <v/>
      </c>
      <c r="K380" s="47">
        <f>J380/$J$4</f>
        <v/>
      </c>
      <c r="L380" s="49">
        <f t="array" ref="L380">IFERROR(
SUM(
IF(
'PORTIFÓLIO'!$C$4:$C$564=$A380,
N(INDEX('PORTIFÓLIO'!$J$4:$Q$564,,MATCH(L$2,'PORTIFÓLIO'!$J$3:$Q$3,0))) *
N('PORTIFÓLIO'!$S$4:$S$564),
0
)
),
0)</f>
        <v/>
      </c>
      <c r="M380" s="47">
        <f>L380/$L$4</f>
        <v/>
      </c>
      <c r="N380" s="49">
        <f t="array" ref="N380">IFERROR(
SUM(
IF(
'PORTIFÓLIO'!$C$4:$C$564=$A380,
N(INDEX('PORTIFÓLIO'!$J$4:$Q$564,,MATCH(N$2,'PORTIFÓLIO'!$J$3:$Q$3,0))) *
N('PORTIFÓLIO'!$S$4:$S$564),
0
)
),
0)</f>
        <v/>
      </c>
      <c r="O380" s="49">
        <f>N380/$N$4</f>
        <v/>
      </c>
      <c r="P380" s="49">
        <f t="array" ref="P380">IFERROR(
SUM(
IF(
'PORTIFÓLIO'!$C$4:$C$564=$A380,
N(INDEX('PORTIFÓLIO'!$J$4:$Q$564,,MATCH(P$2,'PORTIFÓLIO'!$J$3:$Q$3,0))) *
N('PORTIFÓLIO'!$S$4:$S$564),
0
)
),
0)</f>
        <v/>
      </c>
      <c r="Q380" s="49">
        <f>P380/$P$4</f>
        <v/>
      </c>
      <c r="R380" s="49">
        <f>SUM(P380,N380,L380,J380,H380,D380,B380)</f>
        <v/>
      </c>
      <c r="S380" s="49">
        <f>R380/$R$4</f>
        <v/>
      </c>
    </row>
    <row r="381" hidden="1" outlineLevel="1" ht="15.75" customHeight="1" s="297">
      <c r="A381" s="42">
        <f>IFERROR(__xludf.DUMMYFUNCTION("""COMPUTED_VALUE"""),"Emezine Complex")</f>
        <v/>
      </c>
      <c r="B381" s="49">
        <f t="array" ref="B381">IFERROR(
SUM(
IF(
'PORTIFÓLIO'!$C$4:$C$564=$A381,
N(INDEX('PORTIFÓLIO'!$J$4:$Q$564,,MATCH(B$2,'PORTIFÓLIO'!$J$3:$Q$3,0))) *
N('PORTIFÓLIO'!$S$4:$S$564),
0
)
),
0)</f>
        <v/>
      </c>
      <c r="C381" s="49">
        <f>B381/$B$4</f>
        <v/>
      </c>
      <c r="D381" s="49">
        <f t="array" ref="D381">IFERROR(
SUM(
IF(
'PORTIFÓLIO'!$C$4:$C$564=$A381,
N(INDEX('PORTIFÓLIO'!$J$4:$Q$564,,MATCH(D$2,'PORTIFÓLIO'!$J$3:$Q$3,0))) *
N('PORTIFÓLIO'!$S$4:$S$564),
0
)
),
0)</f>
        <v/>
      </c>
      <c r="E381" s="49">
        <f>D381/$B$4</f>
        <v/>
      </c>
      <c r="F381" s="49">
        <f t="array" ref="F381">IFERROR(
SUM(
IF(
'PORTIFÓLIO'!$C$4:$C$564=$A381,
N(INDEX('PORTIFÓLIO'!$J$4:$Q$564,,MATCH(F$2,'PORTIFÓLIO'!$J$3:$Q$3,0))) *
N('PORTIFÓLIO'!$S$4:$S$564),
0
)
),
0)</f>
        <v/>
      </c>
      <c r="G381" s="47">
        <f>F381/$F$4</f>
        <v/>
      </c>
      <c r="H381" s="49">
        <f t="array" ref="H381">IFERROR(
SUM(
IF(
'PORTIFÓLIO'!$C$4:$C$564=$A381,
N(INDEX('PORTIFÓLIO'!$J$4:$Q$564,,MATCH(H$2,'PORTIFÓLIO'!$J$3:$Q$3,0))) *
N('PORTIFÓLIO'!$S$4:$S$564),
0
)
),
0)</f>
        <v/>
      </c>
      <c r="I381" s="47">
        <f>H381/$H$4</f>
        <v/>
      </c>
      <c r="J381" s="49">
        <f t="array" ref="J381">IFERROR(
SUM(
IF(
'PORTIFÓLIO'!$C$4:$C$564=$A381,
N(INDEX('PORTIFÓLIO'!$J$4:$Q$564,,MATCH(J$2,'PORTIFÓLIO'!$J$3:$Q$3,0))) *
N('PORTIFÓLIO'!$S$4:$S$564),
0
)
),
0)</f>
        <v/>
      </c>
      <c r="K381" s="47">
        <f>J381/$J$4</f>
        <v/>
      </c>
      <c r="L381" s="49">
        <f t="array" ref="L381">IFERROR(
SUM(
IF(
'PORTIFÓLIO'!$C$4:$C$564=$A381,
N(INDEX('PORTIFÓLIO'!$J$4:$Q$564,,MATCH(L$2,'PORTIFÓLIO'!$J$3:$Q$3,0))) *
N('PORTIFÓLIO'!$S$4:$S$564),
0
)
),
0)</f>
        <v/>
      </c>
      <c r="M381" s="47">
        <f>L381/$L$4</f>
        <v/>
      </c>
      <c r="N381" s="49">
        <f t="array" ref="N381">IFERROR(
SUM(
IF(
'PORTIFÓLIO'!$C$4:$C$564=$A381,
N(INDEX('PORTIFÓLIO'!$J$4:$Q$564,,MATCH(N$2,'PORTIFÓLIO'!$J$3:$Q$3,0))) *
N('PORTIFÓLIO'!$S$4:$S$564),
0
)
),
0)</f>
        <v/>
      </c>
      <c r="O381" s="49">
        <f>N381/$N$4</f>
        <v/>
      </c>
      <c r="P381" s="49">
        <f t="array" ref="P381">IFERROR(
SUM(
IF(
'PORTIFÓLIO'!$C$4:$C$564=$A381,
N(INDEX('PORTIFÓLIO'!$J$4:$Q$564,,MATCH(P$2,'PORTIFÓLIO'!$J$3:$Q$3,0))) *
N('PORTIFÓLIO'!$S$4:$S$564),
0
)
),
0)</f>
        <v/>
      </c>
      <c r="Q381" s="49">
        <f>P381/$P$4</f>
        <v/>
      </c>
      <c r="R381" s="49">
        <f>SUM(P381,N381,L381,J381,H381,D381,B381)</f>
        <v/>
      </c>
      <c r="S381" s="49">
        <f>R381/$R$4</f>
        <v/>
      </c>
    </row>
    <row r="382" hidden="1" outlineLevel="1" ht="15.75" customHeight="1" s="297">
      <c r="A382" s="42">
        <f>IFERROR(__xludf.DUMMYFUNCTION("""COMPUTED_VALUE"""),"Boratus Complex")</f>
        <v/>
      </c>
      <c r="B382" s="49">
        <f t="array" ref="B382">IFERROR(
SUM(
IF(
'PORTIFÓLIO'!$C$4:$C$564=$A382,
N(INDEX('PORTIFÓLIO'!$J$4:$Q$564,,MATCH(B$2,'PORTIFÓLIO'!$J$3:$Q$3,0))) *
N('PORTIFÓLIO'!$S$4:$S$564),
0
)
),
0)</f>
        <v/>
      </c>
      <c r="C382" s="49">
        <f>B382/$B$4</f>
        <v/>
      </c>
      <c r="D382" s="49">
        <f t="array" ref="D382">IFERROR(
SUM(
IF(
'PORTIFÓLIO'!$C$4:$C$564=$A382,
N(INDEX('PORTIFÓLIO'!$J$4:$Q$564,,MATCH(D$2,'PORTIFÓLIO'!$J$3:$Q$3,0))) *
N('PORTIFÓLIO'!$S$4:$S$564),
0
)
),
0)</f>
        <v/>
      </c>
      <c r="E382" s="49">
        <f>D382/$B$4</f>
        <v/>
      </c>
      <c r="F382" s="49">
        <f t="array" ref="F382">IFERROR(
SUM(
IF(
'PORTIFÓLIO'!$C$4:$C$564=$A382,
N(INDEX('PORTIFÓLIO'!$J$4:$Q$564,,MATCH(F$2,'PORTIFÓLIO'!$J$3:$Q$3,0))) *
N('PORTIFÓLIO'!$S$4:$S$564),
0
)
),
0)</f>
        <v/>
      </c>
      <c r="G382" s="47">
        <f>F382/$F$4</f>
        <v/>
      </c>
      <c r="H382" s="49">
        <f t="array" ref="H382">IFERROR(
SUM(
IF(
'PORTIFÓLIO'!$C$4:$C$564=$A382,
N(INDEX('PORTIFÓLIO'!$J$4:$Q$564,,MATCH(H$2,'PORTIFÓLIO'!$J$3:$Q$3,0))) *
N('PORTIFÓLIO'!$S$4:$S$564),
0
)
),
0)</f>
        <v/>
      </c>
      <c r="I382" s="47">
        <f>H382/$H$4</f>
        <v/>
      </c>
      <c r="J382" s="49">
        <f t="array" ref="J382">IFERROR(
SUM(
IF(
'PORTIFÓLIO'!$C$4:$C$564=$A382,
N(INDEX('PORTIFÓLIO'!$J$4:$Q$564,,MATCH(J$2,'PORTIFÓLIO'!$J$3:$Q$3,0))) *
N('PORTIFÓLIO'!$S$4:$S$564),
0
)
),
0)</f>
        <v/>
      </c>
      <c r="K382" s="47">
        <f>J382/$J$4</f>
        <v/>
      </c>
      <c r="L382" s="49">
        <f t="array" ref="L382">IFERROR(
SUM(
IF(
'PORTIFÓLIO'!$C$4:$C$564=$A382,
N(INDEX('PORTIFÓLIO'!$J$4:$Q$564,,MATCH(L$2,'PORTIFÓLIO'!$J$3:$Q$3,0))) *
N('PORTIFÓLIO'!$S$4:$S$564),
0
)
),
0)</f>
        <v/>
      </c>
      <c r="M382" s="47">
        <f>L382/$L$4</f>
        <v/>
      </c>
      <c r="N382" s="49">
        <f t="array" ref="N382">IFERROR(
SUM(
IF(
'PORTIFÓLIO'!$C$4:$C$564=$A382,
N(INDEX('PORTIFÓLIO'!$J$4:$Q$564,,MATCH(N$2,'PORTIFÓLIO'!$J$3:$Q$3,0))) *
N('PORTIFÓLIO'!$S$4:$S$564),
0
)
),
0)</f>
        <v/>
      </c>
      <c r="O382" s="49">
        <f>N382/$N$4</f>
        <v/>
      </c>
      <c r="P382" s="49">
        <f t="array" ref="P382">IFERROR(
SUM(
IF(
'PORTIFÓLIO'!$C$4:$C$564=$A382,
N(INDEX('PORTIFÓLIO'!$J$4:$Q$564,,MATCH(P$2,'PORTIFÓLIO'!$J$3:$Q$3,0))) *
N('PORTIFÓLIO'!$S$4:$S$564),
0
)
),
0)</f>
        <v/>
      </c>
      <c r="Q382" s="49">
        <f>P382/$P$4</f>
        <v/>
      </c>
      <c r="R382" s="49">
        <f>SUM(P382,N382,L382,J382,H382,D382,B382)</f>
        <v/>
      </c>
      <c r="S382" s="49">
        <f>R382/$R$4</f>
        <v/>
      </c>
    </row>
    <row r="383" hidden="1" outlineLevel="1" ht="15.75" customHeight="1" s="297">
      <c r="A383" s="42">
        <f>IFERROR(__xludf.DUMMYFUNCTION("""COMPUTED_VALUE"""),"Magmill Complex")</f>
        <v/>
      </c>
      <c r="B383" s="49">
        <f t="array" ref="B383">IFERROR(
SUM(
IF(
'PORTIFÓLIO'!$C$4:$C$564=$A383,
N(INDEX('PORTIFÓLIO'!$J$4:$Q$564,,MATCH(B$2,'PORTIFÓLIO'!$J$3:$Q$3,0))) *
N('PORTIFÓLIO'!$S$4:$S$564),
0
)
),
0)</f>
        <v/>
      </c>
      <c r="C383" s="49">
        <f>B383/$B$4</f>
        <v/>
      </c>
      <c r="D383" s="49">
        <f t="array" ref="D383">IFERROR(
SUM(
IF(
'PORTIFÓLIO'!$C$4:$C$564=$A383,
N(INDEX('PORTIFÓLIO'!$J$4:$Q$564,,MATCH(D$2,'PORTIFÓLIO'!$J$3:$Q$3,0))) *
N('PORTIFÓLIO'!$S$4:$S$564),
0
)
),
0)</f>
        <v/>
      </c>
      <c r="E383" s="49">
        <f>D383/$B$4</f>
        <v/>
      </c>
      <c r="F383" s="49">
        <f t="array" ref="F383">IFERROR(
SUM(
IF(
'PORTIFÓLIO'!$C$4:$C$564=$A383,
N(INDEX('PORTIFÓLIO'!$J$4:$Q$564,,MATCH(F$2,'PORTIFÓLIO'!$J$3:$Q$3,0))) *
N('PORTIFÓLIO'!$S$4:$S$564),
0
)
),
0)</f>
        <v/>
      </c>
      <c r="G383" s="47">
        <f>F383/$F$4</f>
        <v/>
      </c>
      <c r="H383" s="49">
        <f t="array" ref="H383">IFERROR(
SUM(
IF(
'PORTIFÓLIO'!$C$4:$C$564=$A383,
N(INDEX('PORTIFÓLIO'!$J$4:$Q$564,,MATCH(H$2,'PORTIFÓLIO'!$J$3:$Q$3,0))) *
N('PORTIFÓLIO'!$S$4:$S$564),
0
)
),
0)</f>
        <v/>
      </c>
      <c r="I383" s="47">
        <f>H383/$H$4</f>
        <v/>
      </c>
      <c r="J383" s="49">
        <f t="array" ref="J383">IFERROR(
SUM(
IF(
'PORTIFÓLIO'!$C$4:$C$564=$A383,
N(INDEX('PORTIFÓLIO'!$J$4:$Q$564,,MATCH(J$2,'PORTIFÓLIO'!$J$3:$Q$3,0))) *
N('PORTIFÓLIO'!$S$4:$S$564),
0
)
),
0)</f>
        <v/>
      </c>
      <c r="K383" s="47">
        <f>J383/$J$4</f>
        <v/>
      </c>
      <c r="L383" s="49">
        <f t="array" ref="L383">IFERROR(
SUM(
IF(
'PORTIFÓLIO'!$C$4:$C$564=$A383,
N(INDEX('PORTIFÓLIO'!$J$4:$Q$564,,MATCH(L$2,'PORTIFÓLIO'!$J$3:$Q$3,0))) *
N('PORTIFÓLIO'!$S$4:$S$564),
0
)
),
0)</f>
        <v/>
      </c>
      <c r="M383" s="47">
        <f>L383/$L$4</f>
        <v/>
      </c>
      <c r="N383" s="49">
        <f t="array" ref="N383">IFERROR(
SUM(
IF(
'PORTIFÓLIO'!$C$4:$C$564=$A383,
N(INDEX('PORTIFÓLIO'!$J$4:$Q$564,,MATCH(N$2,'PORTIFÓLIO'!$J$3:$Q$3,0))) *
N('PORTIFÓLIO'!$S$4:$S$564),
0
)
),
0)</f>
        <v/>
      </c>
      <c r="O383" s="49">
        <f>N383/$N$4</f>
        <v/>
      </c>
      <c r="P383" s="49">
        <f t="array" ref="P383">IFERROR(
SUM(
IF(
'PORTIFÓLIO'!$C$4:$C$564=$A383,
N(INDEX('PORTIFÓLIO'!$J$4:$Q$564,,MATCH(P$2,'PORTIFÓLIO'!$J$3:$Q$3,0))) *
N('PORTIFÓLIO'!$S$4:$S$564),
0
)
),
0)</f>
        <v/>
      </c>
      <c r="Q383" s="49">
        <f>P383/$P$4</f>
        <v/>
      </c>
      <c r="R383" s="49">
        <f>SUM(P383,N383,L383,J383,H383,D383,B383)</f>
        <v/>
      </c>
      <c r="S383" s="49">
        <f>R383/$R$4</f>
        <v/>
      </c>
    </row>
    <row r="384" hidden="1" outlineLevel="1" ht="15.75" customHeight="1" s="297">
      <c r="A384" s="42">
        <f>IFERROR(__xludf.DUMMYFUNCTION("""COMPUTED_VALUE"""),"Brave K")</f>
        <v/>
      </c>
      <c r="B384" s="49">
        <f t="array" ref="B384">IFERROR(
SUM(
IF(
'PORTIFÓLIO'!$C$4:$C$564=$A384,
N(INDEX('PORTIFÓLIO'!$J$4:$Q$564,,MATCH(B$2,'PORTIFÓLIO'!$J$3:$Q$3,0))) *
N('PORTIFÓLIO'!$S$4:$S$564),
0
)
),
0)</f>
        <v/>
      </c>
      <c r="C384" s="49">
        <f>B384/$B$4</f>
        <v/>
      </c>
      <c r="D384" s="49">
        <f t="array" ref="D384">IFERROR(
SUM(
IF(
'PORTIFÓLIO'!$C$4:$C$564=$A384,
N(INDEX('PORTIFÓLIO'!$J$4:$Q$564,,MATCH(D$2,'PORTIFÓLIO'!$J$3:$Q$3,0))) *
N('PORTIFÓLIO'!$S$4:$S$564),
0
)
),
0)</f>
        <v/>
      </c>
      <c r="E384" s="49">
        <f>D384/$B$4</f>
        <v/>
      </c>
      <c r="F384" s="49">
        <f t="array" ref="F384">IFERROR(
SUM(
IF(
'PORTIFÓLIO'!$C$4:$C$564=$A384,
N(INDEX('PORTIFÓLIO'!$J$4:$Q$564,,MATCH(F$2,'PORTIFÓLIO'!$J$3:$Q$3,0))) *
N('PORTIFÓLIO'!$S$4:$S$564),
0
)
),
0)</f>
        <v/>
      </c>
      <c r="G384" s="47">
        <f>F384/$F$4</f>
        <v/>
      </c>
      <c r="H384" s="49">
        <f t="array" ref="H384">IFERROR(
SUM(
IF(
'PORTIFÓLIO'!$C$4:$C$564=$A384,
N(INDEX('PORTIFÓLIO'!$J$4:$Q$564,,MATCH(H$2,'PORTIFÓLIO'!$J$3:$Q$3,0))) *
N('PORTIFÓLIO'!$S$4:$S$564),
0
)
),
0)</f>
        <v/>
      </c>
      <c r="I384" s="47">
        <f>H384/$H$4</f>
        <v/>
      </c>
      <c r="J384" s="49">
        <f t="array" ref="J384">IFERROR(
SUM(
IF(
'PORTIFÓLIO'!$C$4:$C$564=$A384,
N(INDEX('PORTIFÓLIO'!$J$4:$Q$564,,MATCH(J$2,'PORTIFÓLIO'!$J$3:$Q$3,0))) *
N('PORTIFÓLIO'!$S$4:$S$564),
0
)
),
0)</f>
        <v/>
      </c>
      <c r="K384" s="47">
        <f>J384/$J$4</f>
        <v/>
      </c>
      <c r="L384" s="49">
        <f t="array" ref="L384">IFERROR(
SUM(
IF(
'PORTIFÓLIO'!$C$4:$C$564=$A384,
N(INDEX('PORTIFÓLIO'!$J$4:$Q$564,,MATCH(L$2,'PORTIFÓLIO'!$J$3:$Q$3,0))) *
N('PORTIFÓLIO'!$S$4:$S$564),
0
)
),
0)</f>
        <v/>
      </c>
      <c r="M384" s="47">
        <f>L384/$L$4</f>
        <v/>
      </c>
      <c r="N384" s="49">
        <f t="array" ref="N384">IFERROR(
SUM(
IF(
'PORTIFÓLIO'!$C$4:$C$564=$A384,
N(INDEX('PORTIFÓLIO'!$J$4:$Q$564,,MATCH(N$2,'PORTIFÓLIO'!$J$3:$Q$3,0))) *
N('PORTIFÓLIO'!$S$4:$S$564),
0
)
),
0)</f>
        <v/>
      </c>
      <c r="O384" s="49">
        <f>N384/$N$4</f>
        <v/>
      </c>
      <c r="P384" s="49">
        <f t="array" ref="P384">IFERROR(
SUM(
IF(
'PORTIFÓLIO'!$C$4:$C$564=$A384,
N(INDEX('PORTIFÓLIO'!$J$4:$Q$564,,MATCH(P$2,'PORTIFÓLIO'!$J$3:$Q$3,0))) *
N('PORTIFÓLIO'!$S$4:$S$564),
0
)
),
0)</f>
        <v/>
      </c>
      <c r="Q384" s="49">
        <f>P384/$P$4</f>
        <v/>
      </c>
      <c r="R384" s="49">
        <f>SUM(P384,N384,L384,J384,H384,D384,B384)</f>
        <v/>
      </c>
      <c r="S384" s="49">
        <f>R384/$R$4</f>
        <v/>
      </c>
    </row>
    <row r="385" hidden="1" outlineLevel="1" ht="15.75" customHeight="1" s="297">
      <c r="A385" s="42">
        <f>IFERROR(__xludf.DUMMYFUNCTION("""COMPUTED_VALUE"""),"Brave Max Up")</f>
        <v/>
      </c>
      <c r="B385" s="49">
        <f t="array" ref="B385">IFERROR(
SUM(
IF(
'PORTIFÓLIO'!$C$4:$C$564=$A385,
N(INDEX('PORTIFÓLIO'!$J$4:$Q$564,,MATCH(B$2,'PORTIFÓLIO'!$J$3:$Q$3,0))) *
N('PORTIFÓLIO'!$S$4:$S$564),
0
)
),
0)</f>
        <v/>
      </c>
      <c r="C385" s="49">
        <f>B385/$B$4</f>
        <v/>
      </c>
      <c r="D385" s="49">
        <f t="array" ref="D385">IFERROR(
SUM(
IF(
'PORTIFÓLIO'!$C$4:$C$564=$A385,
N(INDEX('PORTIFÓLIO'!$J$4:$Q$564,,MATCH(D$2,'PORTIFÓLIO'!$J$3:$Q$3,0))) *
N('PORTIFÓLIO'!$S$4:$S$564),
0
)
),
0)</f>
        <v/>
      </c>
      <c r="E385" s="49">
        <f>D385/$B$4</f>
        <v/>
      </c>
      <c r="F385" s="49">
        <f t="array" ref="F385">IFERROR(
SUM(
IF(
'PORTIFÓLIO'!$C$4:$C$564=$A385,
N(INDEX('PORTIFÓLIO'!$J$4:$Q$564,,MATCH(F$2,'PORTIFÓLIO'!$J$3:$Q$3,0))) *
N('PORTIFÓLIO'!$S$4:$S$564),
0
)
),
0)</f>
        <v/>
      </c>
      <c r="G385" s="47">
        <f>F385/$F$4</f>
        <v/>
      </c>
      <c r="H385" s="49">
        <f t="array" ref="H385">IFERROR(
SUM(
IF(
'PORTIFÓLIO'!$C$4:$C$564=$A385,
N(INDEX('PORTIFÓLIO'!$J$4:$Q$564,,MATCH(H$2,'PORTIFÓLIO'!$J$3:$Q$3,0))) *
N('PORTIFÓLIO'!$S$4:$S$564),
0
)
),
0)</f>
        <v/>
      </c>
      <c r="I385" s="47">
        <f>H385/$H$4</f>
        <v/>
      </c>
      <c r="J385" s="49">
        <f t="array" ref="J385">IFERROR(
SUM(
IF(
'PORTIFÓLIO'!$C$4:$C$564=$A385,
N(INDEX('PORTIFÓLIO'!$J$4:$Q$564,,MATCH(J$2,'PORTIFÓLIO'!$J$3:$Q$3,0))) *
N('PORTIFÓLIO'!$S$4:$S$564),
0
)
),
0)</f>
        <v/>
      </c>
      <c r="K385" s="47">
        <f>J385/$J$4</f>
        <v/>
      </c>
      <c r="L385" s="49">
        <f t="array" ref="L385">IFERROR(
SUM(
IF(
'PORTIFÓLIO'!$C$4:$C$564=$A385,
N(INDEX('PORTIFÓLIO'!$J$4:$Q$564,,MATCH(L$2,'PORTIFÓLIO'!$J$3:$Q$3,0))) *
N('PORTIFÓLIO'!$S$4:$S$564),
0
)
),
0)</f>
        <v/>
      </c>
      <c r="M385" s="47">
        <f>L385/$L$4</f>
        <v/>
      </c>
      <c r="N385" s="49">
        <f t="array" ref="N385">IFERROR(
SUM(
IF(
'PORTIFÓLIO'!$C$4:$C$564=$A385,
N(INDEX('PORTIFÓLIO'!$J$4:$Q$564,,MATCH(N$2,'PORTIFÓLIO'!$J$3:$Q$3,0))) *
N('PORTIFÓLIO'!$S$4:$S$564),
0
)
),
0)</f>
        <v/>
      </c>
      <c r="O385" s="49">
        <f>N385/$N$4</f>
        <v/>
      </c>
      <c r="P385" s="49">
        <f t="array" ref="P385">IFERROR(
SUM(
IF(
'PORTIFÓLIO'!$C$4:$C$564=$A385,
N(INDEX('PORTIFÓLIO'!$J$4:$Q$564,,MATCH(P$2,'PORTIFÓLIO'!$J$3:$Q$3,0))) *
N('PORTIFÓLIO'!$S$4:$S$564),
0
)
),
0)</f>
        <v/>
      </c>
      <c r="Q385" s="49">
        <f>P385/$P$4</f>
        <v/>
      </c>
      <c r="R385" s="49">
        <f>SUM(P385,N385,L385,J385,H385,D385,B385)</f>
        <v/>
      </c>
      <c r="S385" s="49">
        <f>R385/$R$4</f>
        <v/>
      </c>
    </row>
    <row r="386" hidden="1" outlineLevel="1" ht="15.75" customHeight="1" s="297">
      <c r="A386" s="42">
        <f>IFERROR(__xludf.DUMMYFUNCTION("""COMPUTED_VALUE"""),"MAX RAIZ")</f>
        <v/>
      </c>
      <c r="B386" s="49">
        <f t="array" ref="B386">IFERROR(
SUM(
IF(
'PORTIFÓLIO'!$C$4:$C$564=$A386,
N(INDEX('PORTIFÓLIO'!$J$4:$Q$564,,MATCH(B$2,'PORTIFÓLIO'!$J$3:$Q$3,0))) *
N('PORTIFÓLIO'!$S$4:$S$564),
0
)
),
0)</f>
        <v/>
      </c>
      <c r="C386" s="49">
        <f>B386/$B$4</f>
        <v/>
      </c>
      <c r="D386" s="49">
        <f t="array" ref="D386">IFERROR(
SUM(
IF(
'PORTIFÓLIO'!$C$4:$C$564=$A386,
N(INDEX('PORTIFÓLIO'!$J$4:$Q$564,,MATCH(D$2,'PORTIFÓLIO'!$J$3:$Q$3,0))) *
N('PORTIFÓLIO'!$S$4:$S$564),
0
)
),
0)</f>
        <v/>
      </c>
      <c r="E386" s="49">
        <f>D386/$B$4</f>
        <v/>
      </c>
      <c r="F386" s="49">
        <f t="array" ref="F386">IFERROR(
SUM(
IF(
'PORTIFÓLIO'!$C$4:$C$564=$A386,
N(INDEX('PORTIFÓLIO'!$J$4:$Q$564,,MATCH(F$2,'PORTIFÓLIO'!$J$3:$Q$3,0))) *
N('PORTIFÓLIO'!$S$4:$S$564),
0
)
),
0)</f>
        <v/>
      </c>
      <c r="G386" s="47">
        <f>F386/$F$4</f>
        <v/>
      </c>
      <c r="H386" s="49">
        <f t="array" ref="H386">IFERROR(
SUM(
IF(
'PORTIFÓLIO'!$C$4:$C$564=$A386,
N(INDEX('PORTIFÓLIO'!$J$4:$Q$564,,MATCH(H$2,'PORTIFÓLIO'!$J$3:$Q$3,0))) *
N('PORTIFÓLIO'!$S$4:$S$564),
0
)
),
0)</f>
        <v/>
      </c>
      <c r="I386" s="47">
        <f>H386/$H$4</f>
        <v/>
      </c>
      <c r="J386" s="49">
        <f t="array" ref="J386">IFERROR(
SUM(
IF(
'PORTIFÓLIO'!$C$4:$C$564=$A386,
N(INDEX('PORTIFÓLIO'!$J$4:$Q$564,,MATCH(J$2,'PORTIFÓLIO'!$J$3:$Q$3,0))) *
N('PORTIFÓLIO'!$S$4:$S$564),
0
)
),
0)</f>
        <v/>
      </c>
      <c r="K386" s="47">
        <f>J386/$J$4</f>
        <v/>
      </c>
      <c r="L386" s="49">
        <f t="array" ref="L386">IFERROR(
SUM(
IF(
'PORTIFÓLIO'!$C$4:$C$564=$A386,
N(INDEX('PORTIFÓLIO'!$J$4:$Q$564,,MATCH(L$2,'PORTIFÓLIO'!$J$3:$Q$3,0))) *
N('PORTIFÓLIO'!$S$4:$S$564),
0
)
),
0)</f>
        <v/>
      </c>
      <c r="M386" s="47">
        <f>L386/$L$4</f>
        <v/>
      </c>
      <c r="N386" s="49">
        <f t="array" ref="N386">IFERROR(
SUM(
IF(
'PORTIFÓLIO'!$C$4:$C$564=$A386,
N(INDEX('PORTIFÓLIO'!$J$4:$Q$564,,MATCH(N$2,'PORTIFÓLIO'!$J$3:$Q$3,0))) *
N('PORTIFÓLIO'!$S$4:$S$564),
0
)
),
0)</f>
        <v/>
      </c>
      <c r="O386" s="49">
        <f>N386/$N$4</f>
        <v/>
      </c>
      <c r="P386" s="49">
        <f t="array" ref="P386">IFERROR(
SUM(
IF(
'PORTIFÓLIO'!$C$4:$C$564=$A386,
N(INDEX('PORTIFÓLIO'!$J$4:$Q$564,,MATCH(P$2,'PORTIFÓLIO'!$J$3:$Q$3,0))) *
N('PORTIFÓLIO'!$S$4:$S$564),
0
)
),
0)</f>
        <v/>
      </c>
      <c r="Q386" s="49">
        <f>P386/$P$4</f>
        <v/>
      </c>
      <c r="R386" s="49">
        <f>SUM(P386,N386,L386,J386,H386,D386,B386)</f>
        <v/>
      </c>
      <c r="S386" s="49">
        <f>R386/$R$4</f>
        <v/>
      </c>
    </row>
    <row r="387" hidden="1" outlineLevel="1" ht="15.75" customHeight="1" s="297">
      <c r="A387" s="42">
        <f>IFERROR(__xludf.DUMMYFUNCTION("""COMPUTED_VALUE"""),"Polyamine")</f>
        <v/>
      </c>
      <c r="B387" s="49">
        <f t="array" ref="B387">IFERROR(
SUM(
IF(
'PORTIFÓLIO'!$C$4:$C$564=$A387,
N(INDEX('PORTIFÓLIO'!$J$4:$Q$564,,MATCH(B$2,'PORTIFÓLIO'!$J$3:$Q$3,0))) *
N('PORTIFÓLIO'!$S$4:$S$564),
0
)
),
0)</f>
        <v/>
      </c>
      <c r="C387" s="49">
        <f>B387/$B$4</f>
        <v/>
      </c>
      <c r="D387" s="49">
        <f t="array" ref="D387">IFERROR(
SUM(
IF(
'PORTIFÓLIO'!$C$4:$C$564=$A387,
N(INDEX('PORTIFÓLIO'!$J$4:$Q$564,,MATCH(D$2,'PORTIFÓLIO'!$J$3:$Q$3,0))) *
N('PORTIFÓLIO'!$S$4:$S$564),
0
)
),
0)</f>
        <v/>
      </c>
      <c r="E387" s="49">
        <f>D387/$B$4</f>
        <v/>
      </c>
      <c r="F387" s="49">
        <f t="array" ref="F387">IFERROR(
SUM(
IF(
'PORTIFÓLIO'!$C$4:$C$564=$A387,
N(INDEX('PORTIFÓLIO'!$J$4:$Q$564,,MATCH(F$2,'PORTIFÓLIO'!$J$3:$Q$3,0))) *
N('PORTIFÓLIO'!$S$4:$S$564),
0
)
),
0)</f>
        <v/>
      </c>
      <c r="G387" s="47">
        <f>F387/$F$4</f>
        <v/>
      </c>
      <c r="H387" s="49">
        <f t="array" ref="H387">IFERROR(
SUM(
IF(
'PORTIFÓLIO'!$C$4:$C$564=$A387,
N(INDEX('PORTIFÓLIO'!$J$4:$Q$564,,MATCH(H$2,'PORTIFÓLIO'!$J$3:$Q$3,0))) *
N('PORTIFÓLIO'!$S$4:$S$564),
0
)
),
0)</f>
        <v/>
      </c>
      <c r="I387" s="47">
        <f>H387/$H$4</f>
        <v/>
      </c>
      <c r="J387" s="49">
        <f t="array" ref="J387">IFERROR(
SUM(
IF(
'PORTIFÓLIO'!$C$4:$C$564=$A387,
N(INDEX('PORTIFÓLIO'!$J$4:$Q$564,,MATCH(J$2,'PORTIFÓLIO'!$J$3:$Q$3,0))) *
N('PORTIFÓLIO'!$S$4:$S$564),
0
)
),
0)</f>
        <v/>
      </c>
      <c r="K387" s="47">
        <f>J387/$J$4</f>
        <v/>
      </c>
      <c r="L387" s="49">
        <f t="array" ref="L387">IFERROR(
SUM(
IF(
'PORTIFÓLIO'!$C$4:$C$564=$A387,
N(INDEX('PORTIFÓLIO'!$J$4:$Q$564,,MATCH(L$2,'PORTIFÓLIO'!$J$3:$Q$3,0))) *
N('PORTIFÓLIO'!$S$4:$S$564),
0
)
),
0)</f>
        <v/>
      </c>
      <c r="M387" s="47">
        <f>L387/$L$4</f>
        <v/>
      </c>
      <c r="N387" s="49">
        <f t="array" ref="N387">IFERROR(
SUM(
IF(
'PORTIFÓLIO'!$C$4:$C$564=$A387,
N(INDEX('PORTIFÓLIO'!$J$4:$Q$564,,MATCH(N$2,'PORTIFÓLIO'!$J$3:$Q$3,0))) *
N('PORTIFÓLIO'!$S$4:$S$564),
0
)
),
0)</f>
        <v/>
      </c>
      <c r="O387" s="49">
        <f>N387/$N$4</f>
        <v/>
      </c>
      <c r="P387" s="49">
        <f t="array" ref="P387">IFERROR(
SUM(
IF(
'PORTIFÓLIO'!$C$4:$C$564=$A387,
N(INDEX('PORTIFÓLIO'!$J$4:$Q$564,,MATCH(P$2,'PORTIFÓLIO'!$J$3:$Q$3,0))) *
N('PORTIFÓLIO'!$S$4:$S$564),
0
)
),
0)</f>
        <v/>
      </c>
      <c r="Q387" s="49">
        <f>P387/$P$4</f>
        <v/>
      </c>
      <c r="R387" s="49">
        <f>SUM(P387,N387,L387,J387,H387,D387,B387)</f>
        <v/>
      </c>
      <c r="S387" s="49">
        <f>R387/$R$4</f>
        <v/>
      </c>
    </row>
    <row r="388" hidden="1" outlineLevel="1" ht="15.75" customHeight="1" s="297">
      <c r="A388" s="42">
        <f>IFERROR(__xludf.DUMMYFUNCTION("""COMPUTED_VALUE"""),"Sulfato de Magnésio")</f>
        <v/>
      </c>
      <c r="B388" s="49">
        <f t="array" ref="B388">IFERROR(
SUM(
IF(
'PORTIFÓLIO'!$C$4:$C$564=$A388,
N(INDEX('PORTIFÓLIO'!$J$4:$Q$564,,MATCH(B$2,'PORTIFÓLIO'!$J$3:$Q$3,0))) *
N('PORTIFÓLIO'!$S$4:$S$564),
0
)
),
0)</f>
        <v/>
      </c>
      <c r="C388" s="49">
        <f>B388/$B$4</f>
        <v/>
      </c>
      <c r="D388" s="49">
        <f t="array" ref="D388">IFERROR(
SUM(
IF(
'PORTIFÓLIO'!$C$4:$C$564=$A388,
N(INDEX('PORTIFÓLIO'!$J$4:$Q$564,,MATCH(D$2,'PORTIFÓLIO'!$J$3:$Q$3,0))) *
N('PORTIFÓLIO'!$S$4:$S$564),
0
)
),
0)</f>
        <v/>
      </c>
      <c r="E388" s="49">
        <f>D388/$B$4</f>
        <v/>
      </c>
      <c r="F388" s="49">
        <f t="array" ref="F388">IFERROR(
SUM(
IF(
'PORTIFÓLIO'!$C$4:$C$564=$A388,
N(INDEX('PORTIFÓLIO'!$J$4:$Q$564,,MATCH(F$2,'PORTIFÓLIO'!$J$3:$Q$3,0))) *
N('PORTIFÓLIO'!$S$4:$S$564),
0
)
),
0)</f>
        <v/>
      </c>
      <c r="G388" s="47">
        <f>F388/$F$4</f>
        <v/>
      </c>
      <c r="H388" s="49">
        <f t="array" ref="H388">IFERROR(
SUM(
IF(
'PORTIFÓLIO'!$C$4:$C$564=$A388,
N(INDEX('PORTIFÓLIO'!$J$4:$Q$564,,MATCH(H$2,'PORTIFÓLIO'!$J$3:$Q$3,0))) *
N('PORTIFÓLIO'!$S$4:$S$564),
0
)
),
0)</f>
        <v/>
      </c>
      <c r="I388" s="47">
        <f>H388/$H$4</f>
        <v/>
      </c>
      <c r="J388" s="49">
        <f t="array" ref="J388">IFERROR(
SUM(
IF(
'PORTIFÓLIO'!$C$4:$C$564=$A388,
N(INDEX('PORTIFÓLIO'!$J$4:$Q$564,,MATCH(J$2,'PORTIFÓLIO'!$J$3:$Q$3,0))) *
N('PORTIFÓLIO'!$S$4:$S$564),
0
)
),
0)</f>
        <v/>
      </c>
      <c r="K388" s="47">
        <f>J388/$J$4</f>
        <v/>
      </c>
      <c r="L388" s="49">
        <f t="array" ref="L388">IFERROR(
SUM(
IF(
'PORTIFÓLIO'!$C$4:$C$564=$A388,
N(INDEX('PORTIFÓLIO'!$J$4:$Q$564,,MATCH(L$2,'PORTIFÓLIO'!$J$3:$Q$3,0))) *
N('PORTIFÓLIO'!$S$4:$S$564),
0
)
),
0)</f>
        <v/>
      </c>
      <c r="M388" s="47">
        <f>L388/$L$4</f>
        <v/>
      </c>
      <c r="N388" s="49">
        <f t="array" ref="N388">IFERROR(
SUM(
IF(
'PORTIFÓLIO'!$C$4:$C$564=$A388,
N(INDEX('PORTIFÓLIO'!$J$4:$Q$564,,MATCH(N$2,'PORTIFÓLIO'!$J$3:$Q$3,0))) *
N('PORTIFÓLIO'!$S$4:$S$564),
0
)
),
0)</f>
        <v/>
      </c>
      <c r="O388" s="49">
        <f>N388/$N$4</f>
        <v/>
      </c>
      <c r="P388" s="49">
        <f t="array" ref="P388">IFERROR(
SUM(
IF(
'PORTIFÓLIO'!$C$4:$C$564=$A388,
N(INDEX('PORTIFÓLIO'!$J$4:$Q$564,,MATCH(P$2,'PORTIFÓLIO'!$J$3:$Q$3,0))) *
N('PORTIFÓLIO'!$S$4:$S$564),
0
)
),
0)</f>
        <v/>
      </c>
      <c r="Q388" s="49">
        <f>P388/$P$4</f>
        <v/>
      </c>
      <c r="R388" s="49">
        <f>SUM(P388,N388,L388,J388,H388,D388,B388)</f>
        <v/>
      </c>
      <c r="S388" s="49">
        <f>R388/$R$4</f>
        <v/>
      </c>
    </row>
    <row r="389" hidden="1" outlineLevel="1" ht="15.75" customHeight="1" s="297">
      <c r="A389" s="42">
        <f>IFERROR(__xludf.DUMMYFUNCTION("""COMPUTED_VALUE"""),"Map Purificado")</f>
        <v/>
      </c>
      <c r="B389" s="49">
        <f t="array" ref="B389">IFERROR(
SUM(
IF(
'PORTIFÓLIO'!$C$4:$C$564=$A389,
N(INDEX('PORTIFÓLIO'!$J$4:$Q$564,,MATCH(B$2,'PORTIFÓLIO'!$J$3:$Q$3,0))) *
N('PORTIFÓLIO'!$S$4:$S$564),
0
)
),
0)</f>
        <v/>
      </c>
      <c r="C389" s="49">
        <f>B389/$B$4</f>
        <v/>
      </c>
      <c r="D389" s="49">
        <f t="array" ref="D389">IFERROR(
SUM(
IF(
'PORTIFÓLIO'!$C$4:$C$564=$A389,
N(INDEX('PORTIFÓLIO'!$J$4:$Q$564,,MATCH(D$2,'PORTIFÓLIO'!$J$3:$Q$3,0))) *
N('PORTIFÓLIO'!$S$4:$S$564),
0
)
),
0)</f>
        <v/>
      </c>
      <c r="E389" s="49">
        <f>D389/$B$4</f>
        <v/>
      </c>
      <c r="F389" s="49">
        <f t="array" ref="F389">IFERROR(
SUM(
IF(
'PORTIFÓLIO'!$C$4:$C$564=$A389,
N(INDEX('PORTIFÓLIO'!$J$4:$Q$564,,MATCH(F$2,'PORTIFÓLIO'!$J$3:$Q$3,0))) *
N('PORTIFÓLIO'!$S$4:$S$564),
0
)
),
0)</f>
        <v/>
      </c>
      <c r="G389" s="47">
        <f>F389/$F$4</f>
        <v/>
      </c>
      <c r="H389" s="49">
        <f t="array" ref="H389">IFERROR(
SUM(
IF(
'PORTIFÓLIO'!$C$4:$C$564=$A389,
N(INDEX('PORTIFÓLIO'!$J$4:$Q$564,,MATCH(H$2,'PORTIFÓLIO'!$J$3:$Q$3,0))) *
N('PORTIFÓLIO'!$S$4:$S$564),
0
)
),
0)</f>
        <v/>
      </c>
      <c r="I389" s="47">
        <f>H389/$H$4</f>
        <v/>
      </c>
      <c r="J389" s="49">
        <f t="array" ref="J389">IFERROR(
SUM(
IF(
'PORTIFÓLIO'!$C$4:$C$564=$A389,
N(INDEX('PORTIFÓLIO'!$J$4:$Q$564,,MATCH(J$2,'PORTIFÓLIO'!$J$3:$Q$3,0))) *
N('PORTIFÓLIO'!$S$4:$S$564),
0
)
),
0)</f>
        <v/>
      </c>
      <c r="K389" s="47">
        <f>J389/$J$4</f>
        <v/>
      </c>
      <c r="L389" s="49">
        <f t="array" ref="L389">IFERROR(
SUM(
IF(
'PORTIFÓLIO'!$C$4:$C$564=$A389,
N(INDEX('PORTIFÓLIO'!$J$4:$Q$564,,MATCH(L$2,'PORTIFÓLIO'!$J$3:$Q$3,0))) *
N('PORTIFÓLIO'!$S$4:$S$564),
0
)
),
0)</f>
        <v/>
      </c>
      <c r="M389" s="47">
        <f>L389/$L$4</f>
        <v/>
      </c>
      <c r="N389" s="49">
        <f t="array" ref="N389">IFERROR(
SUM(
IF(
'PORTIFÓLIO'!$C$4:$C$564=$A389,
N(INDEX('PORTIFÓLIO'!$J$4:$Q$564,,MATCH(N$2,'PORTIFÓLIO'!$J$3:$Q$3,0))) *
N('PORTIFÓLIO'!$S$4:$S$564),
0
)
),
0)</f>
        <v/>
      </c>
      <c r="O389" s="49">
        <f>N389/$N$4</f>
        <v/>
      </c>
      <c r="P389" s="49">
        <f t="array" ref="P389">IFERROR(
SUM(
IF(
'PORTIFÓLIO'!$C$4:$C$564=$A389,
N(INDEX('PORTIFÓLIO'!$J$4:$Q$564,,MATCH(P$2,'PORTIFÓLIO'!$J$3:$Q$3,0))) *
N('PORTIFÓLIO'!$S$4:$S$564),
0
)
),
0)</f>
        <v/>
      </c>
      <c r="Q389" s="49">
        <f>P389/$P$4</f>
        <v/>
      </c>
      <c r="R389" s="49">
        <f>SUM(P389,N389,L389,J389,H389,D389,B389)</f>
        <v/>
      </c>
      <c r="S389" s="49">
        <f>R389/$R$4</f>
        <v/>
      </c>
    </row>
    <row r="390" hidden="1" outlineLevel="1" ht="15.75" customHeight="1" s="297">
      <c r="A390" s="42">
        <f>IFERROR(__xludf.DUMMYFUNCTION("""COMPUTED_VALUE"""),"MANGAN 10")</f>
        <v/>
      </c>
      <c r="B390" s="49">
        <f t="array" ref="B390">IFERROR(
SUM(
IF(
'PORTIFÓLIO'!$C$4:$C$564=$A390,
N(INDEX('PORTIFÓLIO'!$J$4:$Q$564,,MATCH(B$2,'PORTIFÓLIO'!$J$3:$Q$3,0))) *
N('PORTIFÓLIO'!$S$4:$S$564),
0
)
),
0)</f>
        <v/>
      </c>
      <c r="C390" s="49">
        <f>B390/$B$4</f>
        <v/>
      </c>
      <c r="D390" s="49">
        <f t="array" ref="D390">IFERROR(
SUM(
IF(
'PORTIFÓLIO'!$C$4:$C$564=$A390,
N(INDEX('PORTIFÓLIO'!$J$4:$Q$564,,MATCH(D$2,'PORTIFÓLIO'!$J$3:$Q$3,0))) *
N('PORTIFÓLIO'!$S$4:$S$564),
0
)
),
0)</f>
        <v/>
      </c>
      <c r="E390" s="49">
        <f>D390/$B$4</f>
        <v/>
      </c>
      <c r="F390" s="49">
        <f t="array" ref="F390">IFERROR(
SUM(
IF(
'PORTIFÓLIO'!$C$4:$C$564=$A390,
N(INDEX('PORTIFÓLIO'!$J$4:$Q$564,,MATCH(F$2,'PORTIFÓLIO'!$J$3:$Q$3,0))) *
N('PORTIFÓLIO'!$S$4:$S$564),
0
)
),
0)</f>
        <v/>
      </c>
      <c r="G390" s="47">
        <f>F390/$F$4</f>
        <v/>
      </c>
      <c r="H390" s="49">
        <f t="array" ref="H390">IFERROR(
SUM(
IF(
'PORTIFÓLIO'!$C$4:$C$564=$A390,
N(INDEX('PORTIFÓLIO'!$J$4:$Q$564,,MATCH(H$2,'PORTIFÓLIO'!$J$3:$Q$3,0))) *
N('PORTIFÓLIO'!$S$4:$S$564),
0
)
),
0)</f>
        <v/>
      </c>
      <c r="I390" s="47">
        <f>H390/$H$4</f>
        <v/>
      </c>
      <c r="J390" s="49">
        <f t="array" ref="J390">IFERROR(
SUM(
IF(
'PORTIFÓLIO'!$C$4:$C$564=$A390,
N(INDEX('PORTIFÓLIO'!$J$4:$Q$564,,MATCH(J$2,'PORTIFÓLIO'!$J$3:$Q$3,0))) *
N('PORTIFÓLIO'!$S$4:$S$564),
0
)
),
0)</f>
        <v/>
      </c>
      <c r="K390" s="47">
        <f>J390/$J$4</f>
        <v/>
      </c>
      <c r="L390" s="49">
        <f t="array" ref="L390">IFERROR(
SUM(
IF(
'PORTIFÓLIO'!$C$4:$C$564=$A390,
N(INDEX('PORTIFÓLIO'!$J$4:$Q$564,,MATCH(L$2,'PORTIFÓLIO'!$J$3:$Q$3,0))) *
N('PORTIFÓLIO'!$S$4:$S$564),
0
)
),
0)</f>
        <v/>
      </c>
      <c r="M390" s="47">
        <f>L390/$L$4</f>
        <v/>
      </c>
      <c r="N390" s="49">
        <f t="array" ref="N390">IFERROR(
SUM(
IF(
'PORTIFÓLIO'!$C$4:$C$564=$A390,
N(INDEX('PORTIFÓLIO'!$J$4:$Q$564,,MATCH(N$2,'PORTIFÓLIO'!$J$3:$Q$3,0))) *
N('PORTIFÓLIO'!$S$4:$S$564),
0
)
),
0)</f>
        <v/>
      </c>
      <c r="O390" s="49">
        <f>N390/$N$4</f>
        <v/>
      </c>
      <c r="P390" s="49">
        <f t="array" ref="P390">IFERROR(
SUM(
IF(
'PORTIFÓLIO'!$C$4:$C$564=$A390,
N(INDEX('PORTIFÓLIO'!$J$4:$Q$564,,MATCH(P$2,'PORTIFÓLIO'!$J$3:$Q$3,0))) *
N('PORTIFÓLIO'!$S$4:$S$564),
0
)
),
0)</f>
        <v/>
      </c>
      <c r="Q390" s="49">
        <f>P390/$P$4</f>
        <v/>
      </c>
      <c r="R390" s="49">
        <f>SUM(P390,N390,L390,J390,H390,D390,B390)</f>
        <v/>
      </c>
      <c r="S390" s="49">
        <f>R390/$R$4</f>
        <v/>
      </c>
    </row>
    <row r="391" hidden="1" outlineLevel="1" ht="15.75" customHeight="1" s="297">
      <c r="A391" s="42">
        <f>IFERROR(__xludf.DUMMYFUNCTION("""COMPUTED_VALUE"""),"NHT ZINCO")</f>
        <v/>
      </c>
      <c r="B391" s="49">
        <f t="array" ref="B391">IFERROR(
SUM(
IF(
'PORTIFÓLIO'!$C$4:$C$564=$A391,
N(INDEX('PORTIFÓLIO'!$J$4:$Q$564,,MATCH(B$2,'PORTIFÓLIO'!$J$3:$Q$3,0))) *
N('PORTIFÓLIO'!$S$4:$S$564),
0
)
),
0)</f>
        <v/>
      </c>
      <c r="C391" s="49">
        <f>B391/$B$4</f>
        <v/>
      </c>
      <c r="D391" s="49">
        <f t="array" ref="D391">IFERROR(
SUM(
IF(
'PORTIFÓLIO'!$C$4:$C$564=$A391,
N(INDEX('PORTIFÓLIO'!$J$4:$Q$564,,MATCH(D$2,'PORTIFÓLIO'!$J$3:$Q$3,0))) *
N('PORTIFÓLIO'!$S$4:$S$564),
0
)
),
0)</f>
        <v/>
      </c>
      <c r="E391" s="49">
        <f>D391/$B$4</f>
        <v/>
      </c>
      <c r="F391" s="49">
        <f t="array" ref="F391">IFERROR(
SUM(
IF(
'PORTIFÓLIO'!$C$4:$C$564=$A391,
N(INDEX('PORTIFÓLIO'!$J$4:$Q$564,,MATCH(F$2,'PORTIFÓLIO'!$J$3:$Q$3,0))) *
N('PORTIFÓLIO'!$S$4:$S$564),
0
)
),
0)</f>
        <v/>
      </c>
      <c r="G391" s="47">
        <f>F391/$F$4</f>
        <v/>
      </c>
      <c r="H391" s="49">
        <f t="array" ref="H391">IFERROR(
SUM(
IF(
'PORTIFÓLIO'!$C$4:$C$564=$A391,
N(INDEX('PORTIFÓLIO'!$J$4:$Q$564,,MATCH(H$2,'PORTIFÓLIO'!$J$3:$Q$3,0))) *
N('PORTIFÓLIO'!$S$4:$S$564),
0
)
),
0)</f>
        <v/>
      </c>
      <c r="I391" s="47">
        <f>H391/$H$4</f>
        <v/>
      </c>
      <c r="J391" s="49">
        <f t="array" ref="J391">IFERROR(
SUM(
IF(
'PORTIFÓLIO'!$C$4:$C$564=$A391,
N(INDEX('PORTIFÓLIO'!$J$4:$Q$564,,MATCH(J$2,'PORTIFÓLIO'!$J$3:$Q$3,0))) *
N('PORTIFÓLIO'!$S$4:$S$564),
0
)
),
0)</f>
        <v/>
      </c>
      <c r="K391" s="47">
        <f>J391/$J$4</f>
        <v/>
      </c>
      <c r="L391" s="49">
        <f t="array" ref="L391">IFERROR(
SUM(
IF(
'PORTIFÓLIO'!$C$4:$C$564=$A391,
N(INDEX('PORTIFÓLIO'!$J$4:$Q$564,,MATCH(L$2,'PORTIFÓLIO'!$J$3:$Q$3,0))) *
N('PORTIFÓLIO'!$S$4:$S$564),
0
)
),
0)</f>
        <v/>
      </c>
      <c r="M391" s="47">
        <f>L391/$L$4</f>
        <v/>
      </c>
      <c r="N391" s="49">
        <f t="array" ref="N391">IFERROR(
SUM(
IF(
'PORTIFÓLIO'!$C$4:$C$564=$A391,
N(INDEX('PORTIFÓLIO'!$J$4:$Q$564,,MATCH(N$2,'PORTIFÓLIO'!$J$3:$Q$3,0))) *
N('PORTIFÓLIO'!$S$4:$S$564),
0
)
),
0)</f>
        <v/>
      </c>
      <c r="O391" s="49">
        <f>N391/$N$4</f>
        <v/>
      </c>
      <c r="P391" s="49">
        <f t="array" ref="P391">IFERROR(
SUM(
IF(
'PORTIFÓLIO'!$C$4:$C$564=$A391,
N(INDEX('PORTIFÓLIO'!$J$4:$Q$564,,MATCH(P$2,'PORTIFÓLIO'!$J$3:$Q$3,0))) *
N('PORTIFÓLIO'!$S$4:$S$564),
0
)
),
0)</f>
        <v/>
      </c>
      <c r="Q391" s="49">
        <f>P391/$P$4</f>
        <v/>
      </c>
      <c r="R391" s="49">
        <f>SUM(P391,N391,L391,J391,H391,D391,B391)</f>
        <v/>
      </c>
      <c r="S391" s="49">
        <f>R391/$R$4</f>
        <v/>
      </c>
    </row>
    <row r="392" hidden="1" outlineLevel="1" ht="15.75" customHeight="1" s="297">
      <c r="A392" s="42">
        <f>IFERROR(__xludf.DUMMYFUNCTION("""COMPUTED_VALUE"""),"KELLUS CUPPER")</f>
        <v/>
      </c>
      <c r="B392" s="49">
        <f t="array" ref="B392">IFERROR(
SUM(
IF(
'PORTIFÓLIO'!$C$4:$C$564=$A392,
N(INDEX('PORTIFÓLIO'!$J$4:$Q$564,,MATCH(B$2,'PORTIFÓLIO'!$J$3:$Q$3,0))) *
N('PORTIFÓLIO'!$S$4:$S$564),
0
)
),
0)</f>
        <v/>
      </c>
      <c r="C392" s="49">
        <f>B392/$B$4</f>
        <v/>
      </c>
      <c r="D392" s="49">
        <f t="array" ref="D392">IFERROR(
SUM(
IF(
'PORTIFÓLIO'!$C$4:$C$564=$A392,
N(INDEX('PORTIFÓLIO'!$J$4:$Q$564,,MATCH(D$2,'PORTIFÓLIO'!$J$3:$Q$3,0))) *
N('PORTIFÓLIO'!$S$4:$S$564),
0
)
),
0)</f>
        <v/>
      </c>
      <c r="E392" s="49">
        <f>D392/$B$4</f>
        <v/>
      </c>
      <c r="F392" s="49">
        <f t="array" ref="F392">IFERROR(
SUM(
IF(
'PORTIFÓLIO'!$C$4:$C$564=$A392,
N(INDEX('PORTIFÓLIO'!$J$4:$Q$564,,MATCH(F$2,'PORTIFÓLIO'!$J$3:$Q$3,0))) *
N('PORTIFÓLIO'!$S$4:$S$564),
0
)
),
0)</f>
        <v/>
      </c>
      <c r="G392" s="47">
        <f>F392/$F$4</f>
        <v/>
      </c>
      <c r="H392" s="49">
        <f t="array" ref="H392">IFERROR(
SUM(
IF(
'PORTIFÓLIO'!$C$4:$C$564=$A392,
N(INDEX('PORTIFÓLIO'!$J$4:$Q$564,,MATCH(H$2,'PORTIFÓLIO'!$J$3:$Q$3,0))) *
N('PORTIFÓLIO'!$S$4:$S$564),
0
)
),
0)</f>
        <v/>
      </c>
      <c r="I392" s="47">
        <f>H392/$H$4</f>
        <v/>
      </c>
      <c r="J392" s="49">
        <f t="array" ref="J392">IFERROR(
SUM(
IF(
'PORTIFÓLIO'!$C$4:$C$564=$A392,
N(INDEX('PORTIFÓLIO'!$J$4:$Q$564,,MATCH(J$2,'PORTIFÓLIO'!$J$3:$Q$3,0))) *
N('PORTIFÓLIO'!$S$4:$S$564),
0
)
),
0)</f>
        <v/>
      </c>
      <c r="K392" s="47">
        <f>J392/$J$4</f>
        <v/>
      </c>
      <c r="L392" s="49">
        <f t="array" ref="L392">IFERROR(
SUM(
IF(
'PORTIFÓLIO'!$C$4:$C$564=$A392,
N(INDEX('PORTIFÓLIO'!$J$4:$Q$564,,MATCH(L$2,'PORTIFÓLIO'!$J$3:$Q$3,0))) *
N('PORTIFÓLIO'!$S$4:$S$564),
0
)
),
0)</f>
        <v/>
      </c>
      <c r="M392" s="47">
        <f>L392/$L$4</f>
        <v/>
      </c>
      <c r="N392" s="49">
        <f t="array" ref="N392">IFERROR(
SUM(
IF(
'PORTIFÓLIO'!$C$4:$C$564=$A392,
N(INDEX('PORTIFÓLIO'!$J$4:$Q$564,,MATCH(N$2,'PORTIFÓLIO'!$J$3:$Q$3,0))) *
N('PORTIFÓLIO'!$S$4:$S$564),
0
)
),
0)</f>
        <v/>
      </c>
      <c r="O392" s="49">
        <f>N392/$N$4</f>
        <v/>
      </c>
      <c r="P392" s="49">
        <f t="array" ref="P392">IFERROR(
SUM(
IF(
'PORTIFÓLIO'!$C$4:$C$564=$A392,
N(INDEX('PORTIFÓLIO'!$J$4:$Q$564,,MATCH(P$2,'PORTIFÓLIO'!$J$3:$Q$3,0))) *
N('PORTIFÓLIO'!$S$4:$S$564),
0
)
),
0)</f>
        <v/>
      </c>
      <c r="Q392" s="49">
        <f>P392/$P$4</f>
        <v/>
      </c>
      <c r="R392" s="49">
        <f>SUM(P392,N392,L392,J392,H392,D392,B392)</f>
        <v/>
      </c>
      <c r="S392" s="49">
        <f>R392/$R$4</f>
        <v/>
      </c>
    </row>
    <row r="393" hidden="1" outlineLevel="1" ht="15.75" customHeight="1" s="297">
      <c r="A393" s="42">
        <f>IFERROR(__xludf.DUMMYFUNCTION("""COMPUTED_VALUE"""),"MOLIBIDENIO 16")</f>
        <v/>
      </c>
      <c r="B393" s="49">
        <f t="array" ref="B393">IFERROR(
SUM(
IF(
'PORTIFÓLIO'!$C$4:$C$564=$A393,
N(INDEX('PORTIFÓLIO'!$J$4:$Q$564,,MATCH(B$2,'PORTIFÓLIO'!$J$3:$Q$3,0))) *
N('PORTIFÓLIO'!$S$4:$S$564),
0
)
),
0)</f>
        <v/>
      </c>
      <c r="C393" s="49">
        <f>B393/$B$4</f>
        <v/>
      </c>
      <c r="D393" s="49">
        <f t="array" ref="D393">IFERROR(
SUM(
IF(
'PORTIFÓLIO'!$C$4:$C$564=$A393,
N(INDEX('PORTIFÓLIO'!$J$4:$Q$564,,MATCH(D$2,'PORTIFÓLIO'!$J$3:$Q$3,0))) *
N('PORTIFÓLIO'!$S$4:$S$564),
0
)
),
0)</f>
        <v/>
      </c>
      <c r="E393" s="49">
        <f>D393/$B$4</f>
        <v/>
      </c>
      <c r="F393" s="49">
        <f t="array" ref="F393">IFERROR(
SUM(
IF(
'PORTIFÓLIO'!$C$4:$C$564=$A393,
N(INDEX('PORTIFÓLIO'!$J$4:$Q$564,,MATCH(F$2,'PORTIFÓLIO'!$J$3:$Q$3,0))) *
N('PORTIFÓLIO'!$S$4:$S$564),
0
)
),
0)</f>
        <v/>
      </c>
      <c r="G393" s="47">
        <f>F393/$F$4</f>
        <v/>
      </c>
      <c r="H393" s="49">
        <f t="array" ref="H393">IFERROR(
SUM(
IF(
'PORTIFÓLIO'!$C$4:$C$564=$A393,
N(INDEX('PORTIFÓLIO'!$J$4:$Q$564,,MATCH(H$2,'PORTIFÓLIO'!$J$3:$Q$3,0))) *
N('PORTIFÓLIO'!$S$4:$S$564),
0
)
),
0)</f>
        <v/>
      </c>
      <c r="I393" s="47">
        <f>H393/$H$4</f>
        <v/>
      </c>
      <c r="J393" s="49">
        <f t="array" ref="J393">IFERROR(
SUM(
IF(
'PORTIFÓLIO'!$C$4:$C$564=$A393,
N(INDEX('PORTIFÓLIO'!$J$4:$Q$564,,MATCH(J$2,'PORTIFÓLIO'!$J$3:$Q$3,0))) *
N('PORTIFÓLIO'!$S$4:$S$564),
0
)
),
0)</f>
        <v/>
      </c>
      <c r="K393" s="47">
        <f>J393/$J$4</f>
        <v/>
      </c>
      <c r="L393" s="49">
        <f t="array" ref="L393">IFERROR(
SUM(
IF(
'PORTIFÓLIO'!$C$4:$C$564=$A393,
N(INDEX('PORTIFÓLIO'!$J$4:$Q$564,,MATCH(L$2,'PORTIFÓLIO'!$J$3:$Q$3,0))) *
N('PORTIFÓLIO'!$S$4:$S$564),
0
)
),
0)</f>
        <v/>
      </c>
      <c r="M393" s="47">
        <f>L393/$L$4</f>
        <v/>
      </c>
      <c r="N393" s="49">
        <f t="array" ref="N393">IFERROR(
SUM(
IF(
'PORTIFÓLIO'!$C$4:$C$564=$A393,
N(INDEX('PORTIFÓLIO'!$J$4:$Q$564,,MATCH(N$2,'PORTIFÓLIO'!$J$3:$Q$3,0))) *
N('PORTIFÓLIO'!$S$4:$S$564),
0
)
),
0)</f>
        <v/>
      </c>
      <c r="O393" s="49">
        <f>N393/$N$4</f>
        <v/>
      </c>
      <c r="P393" s="49">
        <f t="array" ref="P393">IFERROR(
SUM(
IF(
'PORTIFÓLIO'!$C$4:$C$564=$A393,
N(INDEX('PORTIFÓLIO'!$J$4:$Q$564,,MATCH(P$2,'PORTIFÓLIO'!$J$3:$Q$3,0))) *
N('PORTIFÓLIO'!$S$4:$S$564),
0
)
),
0)</f>
        <v/>
      </c>
      <c r="Q393" s="49">
        <f>P393/$P$4</f>
        <v/>
      </c>
      <c r="R393" s="49">
        <f>SUM(P393,N393,L393,J393,H393,D393,B393)</f>
        <v/>
      </c>
      <c r="S393" s="49">
        <f>R393/$R$4</f>
        <v/>
      </c>
    </row>
    <row r="394" hidden="1" outlineLevel="1" ht="15.75" customHeight="1" s="297">
      <c r="A394" s="42">
        <f>IFERROR(__xludf.DUMMYFUNCTION("""COMPUTED_VALUE"""),"ZINCO 10")</f>
        <v/>
      </c>
      <c r="B394" s="49">
        <f t="array" ref="B394">IFERROR(
SUM(
IF(
'PORTIFÓLIO'!$C$4:$C$564=$A394,
N(INDEX('PORTIFÓLIO'!$J$4:$Q$564,,MATCH(B$2,'PORTIFÓLIO'!$J$3:$Q$3,0))) *
N('PORTIFÓLIO'!$S$4:$S$564),
0
)
),
0)</f>
        <v/>
      </c>
      <c r="C394" s="49">
        <f>B394/$B$4</f>
        <v/>
      </c>
      <c r="D394" s="49">
        <f t="array" ref="D394">IFERROR(
SUM(
IF(
'PORTIFÓLIO'!$C$4:$C$564=$A394,
N(INDEX('PORTIFÓLIO'!$J$4:$Q$564,,MATCH(D$2,'PORTIFÓLIO'!$J$3:$Q$3,0))) *
N('PORTIFÓLIO'!$S$4:$S$564),
0
)
),
0)</f>
        <v/>
      </c>
      <c r="E394" s="49">
        <f>D394/$B$4</f>
        <v/>
      </c>
      <c r="F394" s="49">
        <f t="array" ref="F394">IFERROR(
SUM(
IF(
'PORTIFÓLIO'!$C$4:$C$564=$A394,
N(INDEX('PORTIFÓLIO'!$J$4:$Q$564,,MATCH(F$2,'PORTIFÓLIO'!$J$3:$Q$3,0))) *
N('PORTIFÓLIO'!$S$4:$S$564),
0
)
),
0)</f>
        <v/>
      </c>
      <c r="G394" s="47">
        <f>F394/$F$4</f>
        <v/>
      </c>
      <c r="H394" s="49">
        <f t="array" ref="H394">IFERROR(
SUM(
IF(
'PORTIFÓLIO'!$C$4:$C$564=$A394,
N(INDEX('PORTIFÓLIO'!$J$4:$Q$564,,MATCH(H$2,'PORTIFÓLIO'!$J$3:$Q$3,0))) *
N('PORTIFÓLIO'!$S$4:$S$564),
0
)
),
0)</f>
        <v/>
      </c>
      <c r="I394" s="47">
        <f>H394/$H$4</f>
        <v/>
      </c>
      <c r="J394" s="49">
        <f t="array" ref="J394">IFERROR(
SUM(
IF(
'PORTIFÓLIO'!$C$4:$C$564=$A394,
N(INDEX('PORTIFÓLIO'!$J$4:$Q$564,,MATCH(J$2,'PORTIFÓLIO'!$J$3:$Q$3,0))) *
N('PORTIFÓLIO'!$S$4:$S$564),
0
)
),
0)</f>
        <v/>
      </c>
      <c r="K394" s="47">
        <f>J394/$J$4</f>
        <v/>
      </c>
      <c r="L394" s="49">
        <f t="array" ref="L394">IFERROR(
SUM(
IF(
'PORTIFÓLIO'!$C$4:$C$564=$A394,
N(INDEX('PORTIFÓLIO'!$J$4:$Q$564,,MATCH(L$2,'PORTIFÓLIO'!$J$3:$Q$3,0))) *
N('PORTIFÓLIO'!$S$4:$S$564),
0
)
),
0)</f>
        <v/>
      </c>
      <c r="M394" s="47">
        <f>L394/$L$4</f>
        <v/>
      </c>
      <c r="N394" s="49">
        <f t="array" ref="N394">IFERROR(
SUM(
IF(
'PORTIFÓLIO'!$C$4:$C$564=$A394,
N(INDEX('PORTIFÓLIO'!$J$4:$Q$564,,MATCH(N$2,'PORTIFÓLIO'!$J$3:$Q$3,0))) *
N('PORTIFÓLIO'!$S$4:$S$564),
0
)
),
0)</f>
        <v/>
      </c>
      <c r="O394" s="49">
        <f>N394/$N$4</f>
        <v/>
      </c>
      <c r="P394" s="49">
        <f t="array" ref="P394">IFERROR(
SUM(
IF(
'PORTIFÓLIO'!$C$4:$C$564=$A394,
N(INDEX('PORTIFÓLIO'!$J$4:$Q$564,,MATCH(P$2,'PORTIFÓLIO'!$J$3:$Q$3,0))) *
N('PORTIFÓLIO'!$S$4:$S$564),
0
)
),
0)</f>
        <v/>
      </c>
      <c r="Q394" s="49">
        <f>P394/$P$4</f>
        <v/>
      </c>
      <c r="R394" s="49">
        <f>SUM(P394,N394,L394,J394,H394,D394,B394)</f>
        <v/>
      </c>
      <c r="S394" s="49">
        <f>R394/$R$4</f>
        <v/>
      </c>
    </row>
    <row r="395" hidden="1" outlineLevel="1" ht="15.75" customHeight="1" s="297">
      <c r="A395" s="42">
        <f>IFERROR(__xludf.DUMMYFUNCTION("""COMPUTED_VALUE"""),"Potenza NiCoMo")</f>
        <v/>
      </c>
      <c r="B395" s="49">
        <f t="array" ref="B395">IFERROR(
SUM(
IF(
'PORTIFÓLIO'!$C$4:$C$564=$A395,
N(INDEX('PORTIFÓLIO'!$J$4:$Q$564,,MATCH(B$2,'PORTIFÓLIO'!$J$3:$Q$3,0))) *
N('PORTIFÓLIO'!$S$4:$S$564),
0
)
),
0)</f>
        <v/>
      </c>
      <c r="C395" s="49">
        <f>B395/$B$4</f>
        <v/>
      </c>
      <c r="D395" s="49">
        <f t="array" ref="D395">IFERROR(
SUM(
IF(
'PORTIFÓLIO'!$C$4:$C$564=$A395,
N(INDEX('PORTIFÓLIO'!$J$4:$Q$564,,MATCH(D$2,'PORTIFÓLIO'!$J$3:$Q$3,0))) *
N('PORTIFÓLIO'!$S$4:$S$564),
0
)
),
0)</f>
        <v/>
      </c>
      <c r="E395" s="49">
        <f>D395/$B$4</f>
        <v/>
      </c>
      <c r="F395" s="49">
        <f t="array" ref="F395">IFERROR(
SUM(
IF(
'PORTIFÓLIO'!$C$4:$C$564=$A395,
N(INDEX('PORTIFÓLIO'!$J$4:$Q$564,,MATCH(F$2,'PORTIFÓLIO'!$J$3:$Q$3,0))) *
N('PORTIFÓLIO'!$S$4:$S$564),
0
)
),
0)</f>
        <v/>
      </c>
      <c r="G395" s="47">
        <f>F395/$F$4</f>
        <v/>
      </c>
      <c r="H395" s="49">
        <f t="array" ref="H395">IFERROR(
SUM(
IF(
'PORTIFÓLIO'!$C$4:$C$564=$A395,
N(INDEX('PORTIFÓLIO'!$J$4:$Q$564,,MATCH(H$2,'PORTIFÓLIO'!$J$3:$Q$3,0))) *
N('PORTIFÓLIO'!$S$4:$S$564),
0
)
),
0)</f>
        <v/>
      </c>
      <c r="I395" s="47">
        <f>H395/$H$4</f>
        <v/>
      </c>
      <c r="J395" s="49">
        <f t="array" ref="J395">IFERROR(
SUM(
IF(
'PORTIFÓLIO'!$C$4:$C$564=$A395,
N(INDEX('PORTIFÓLIO'!$J$4:$Q$564,,MATCH(J$2,'PORTIFÓLIO'!$J$3:$Q$3,0))) *
N('PORTIFÓLIO'!$S$4:$S$564),
0
)
),
0)</f>
        <v/>
      </c>
      <c r="K395" s="47">
        <f>J395/$J$4</f>
        <v/>
      </c>
      <c r="L395" s="49">
        <f t="array" ref="L395">IFERROR(
SUM(
IF(
'PORTIFÓLIO'!$C$4:$C$564=$A395,
N(INDEX('PORTIFÓLIO'!$J$4:$Q$564,,MATCH(L$2,'PORTIFÓLIO'!$J$3:$Q$3,0))) *
N('PORTIFÓLIO'!$S$4:$S$564),
0
)
),
0)</f>
        <v/>
      </c>
      <c r="M395" s="47">
        <f>L395/$L$4</f>
        <v/>
      </c>
      <c r="N395" s="49">
        <f t="array" ref="N395">IFERROR(
SUM(
IF(
'PORTIFÓLIO'!$C$4:$C$564=$A395,
N(INDEX('PORTIFÓLIO'!$J$4:$Q$564,,MATCH(N$2,'PORTIFÓLIO'!$J$3:$Q$3,0))) *
N('PORTIFÓLIO'!$S$4:$S$564),
0
)
),
0)</f>
        <v/>
      </c>
      <c r="O395" s="49">
        <f>N395/$N$4</f>
        <v/>
      </c>
      <c r="P395" s="49">
        <f t="array" ref="P395">IFERROR(
SUM(
IF(
'PORTIFÓLIO'!$C$4:$C$564=$A395,
N(INDEX('PORTIFÓLIO'!$J$4:$Q$564,,MATCH(P$2,'PORTIFÓLIO'!$J$3:$Q$3,0))) *
N('PORTIFÓLIO'!$S$4:$S$564),
0
)
),
0)</f>
        <v/>
      </c>
      <c r="Q395" s="49">
        <f>P395/$P$4</f>
        <v/>
      </c>
      <c r="R395" s="49">
        <f>SUM(P395,N395,L395,J395,H395,D395,B395)</f>
        <v/>
      </c>
      <c r="S395" s="49">
        <f>R395/$R$4</f>
        <v/>
      </c>
    </row>
    <row r="396" hidden="1" outlineLevel="1" ht="15.75" customHeight="1" s="297">
      <c r="A396" s="42" t="n"/>
      <c r="B396" s="49">
        <f t="array" ref="B396">IFERROR(
SUM(
IF(
'PORTIFÓLIO'!$C$4:$C$564=$A396,
N(INDEX('PORTIFÓLIO'!$J$4:$Q$564,,MATCH(B$2,'PORTIFÓLIO'!$J$3:$Q$3,0))) *
N('PORTIFÓLIO'!$S$4:$S$564),
0
)
),
0)</f>
        <v/>
      </c>
      <c r="C396" s="49">
        <f>B396/$B$4</f>
        <v/>
      </c>
      <c r="D396" s="49">
        <f t="array" ref="D396">IFERROR(
SUM(
IF(
'PORTIFÓLIO'!$C$4:$C$564=$A396,
N(INDEX('PORTIFÓLIO'!$J$4:$Q$564,,MATCH(D$2,'PORTIFÓLIO'!$J$3:$Q$3,0))) *
N('PORTIFÓLIO'!$S$4:$S$564),
0
)
),
0)</f>
        <v/>
      </c>
      <c r="E396" s="49">
        <f>D396/$B$4</f>
        <v/>
      </c>
      <c r="F396" s="49">
        <f t="array" ref="F396">IFERROR(
SUM(
IF(
'PORTIFÓLIO'!$C$4:$C$564=$A396,
N(INDEX('PORTIFÓLIO'!$J$4:$Q$564,,MATCH(F$2,'PORTIFÓLIO'!$J$3:$Q$3,0))) *
N('PORTIFÓLIO'!$S$4:$S$564),
0
)
),
0)</f>
        <v/>
      </c>
      <c r="G396" s="47">
        <f>F396/$F$4</f>
        <v/>
      </c>
      <c r="H396" s="49">
        <f t="array" ref="H396">IFERROR(
SUM(
IF(
'PORTIFÓLIO'!$C$4:$C$564=$A396,
N(INDEX('PORTIFÓLIO'!$J$4:$Q$564,,MATCH(H$2,'PORTIFÓLIO'!$J$3:$Q$3,0))) *
N('PORTIFÓLIO'!$S$4:$S$564),
0
)
),
0)</f>
        <v/>
      </c>
      <c r="I396" s="47">
        <f>H396/$H$4</f>
        <v/>
      </c>
      <c r="J396" s="49">
        <f t="array" ref="J396">IFERROR(
SUM(
IF(
'PORTIFÓLIO'!$C$4:$C$564=$A396,
N(INDEX('PORTIFÓLIO'!$J$4:$Q$564,,MATCH(J$2,'PORTIFÓLIO'!$J$3:$Q$3,0))) *
N('PORTIFÓLIO'!$S$4:$S$564),
0
)
),
0)</f>
        <v/>
      </c>
      <c r="K396" s="47">
        <f>J396/$J$4</f>
        <v/>
      </c>
      <c r="L396" s="49">
        <f t="array" ref="L396">IFERROR(
SUM(
IF(
'PORTIFÓLIO'!$C$4:$C$564=$A396,
N(INDEX('PORTIFÓLIO'!$J$4:$Q$564,,MATCH(L$2,'PORTIFÓLIO'!$J$3:$Q$3,0))) *
N('PORTIFÓLIO'!$S$4:$S$564),
0
)
),
0)</f>
        <v/>
      </c>
      <c r="M396" s="47">
        <f>L396/$L$4</f>
        <v/>
      </c>
      <c r="N396" s="49">
        <f t="array" ref="N396">IFERROR(
SUM(
IF(
'PORTIFÓLIO'!$C$4:$C$564=$A396,
N(INDEX('PORTIFÓLIO'!$J$4:$Q$564,,MATCH(N$2,'PORTIFÓLIO'!$J$3:$Q$3,0))) *
N('PORTIFÓLIO'!$S$4:$S$564),
0
)
),
0)</f>
        <v/>
      </c>
      <c r="O396" s="49">
        <f>N396/$N$4</f>
        <v/>
      </c>
      <c r="P396" s="49">
        <f t="array" ref="P396">IFERROR(
SUM(
IF(
'PORTIFÓLIO'!$C$4:$C$564=$A396,
N(INDEX('PORTIFÓLIO'!$J$4:$Q$564,,MATCH(P$2,'PORTIFÓLIO'!$J$3:$Q$3,0))) *
N('PORTIFÓLIO'!$S$4:$S$564),
0
)
),
0)</f>
        <v/>
      </c>
      <c r="Q396" s="49">
        <f>P396/$P$4</f>
        <v/>
      </c>
      <c r="R396" s="49">
        <f>SUM(P396,N396,L396,J396,H396,D396,B396)</f>
        <v/>
      </c>
      <c r="S396" s="49">
        <f>R396/$R$4</f>
        <v/>
      </c>
    </row>
    <row r="397" hidden="1" outlineLevel="1" ht="15.75" customHeight="1" s="297">
      <c r="A397" s="42" t="n"/>
      <c r="B397" s="49">
        <f t="array" ref="B397">IFERROR(
SUM(
IF(
'PORTIFÓLIO'!$C$4:$C$564=$A397,
N(INDEX('PORTIFÓLIO'!$J$4:$Q$564,,MATCH(B$2,'PORTIFÓLIO'!$J$3:$Q$3,0))) *
N('PORTIFÓLIO'!$S$4:$S$564),
0
)
),
0)</f>
        <v/>
      </c>
      <c r="C397" s="49">
        <f>B397/$B$4</f>
        <v/>
      </c>
      <c r="D397" s="49">
        <f t="array" ref="D397">IFERROR(
SUM(
IF(
'PORTIFÓLIO'!$C$4:$C$564=$A397,
N(INDEX('PORTIFÓLIO'!$J$4:$Q$564,,MATCH(D$2,'PORTIFÓLIO'!$J$3:$Q$3,0))) *
N('PORTIFÓLIO'!$S$4:$S$564),
0
)
),
0)</f>
        <v/>
      </c>
      <c r="E397" s="49">
        <f>D397/$B$4</f>
        <v/>
      </c>
      <c r="F397" s="49">
        <f t="array" ref="F397">IFERROR(
SUM(
IF(
'PORTIFÓLIO'!$C$4:$C$564=$A397,
N(INDEX('PORTIFÓLIO'!$J$4:$Q$564,,MATCH(F$2,'PORTIFÓLIO'!$J$3:$Q$3,0))) *
N('PORTIFÓLIO'!$S$4:$S$564),
0
)
),
0)</f>
        <v/>
      </c>
      <c r="G397" s="47">
        <f>F397/$F$4</f>
        <v/>
      </c>
      <c r="H397" s="49">
        <f t="array" ref="H397">IFERROR(
SUM(
IF(
'PORTIFÓLIO'!$C$4:$C$564=$A397,
N(INDEX('PORTIFÓLIO'!$J$4:$Q$564,,MATCH(H$2,'PORTIFÓLIO'!$J$3:$Q$3,0))) *
N('PORTIFÓLIO'!$S$4:$S$564),
0
)
),
0)</f>
        <v/>
      </c>
      <c r="I397" s="47">
        <f>H397/$H$4</f>
        <v/>
      </c>
      <c r="J397" s="49">
        <f t="array" ref="J397">IFERROR(
SUM(
IF(
'PORTIFÓLIO'!$C$4:$C$564=$A397,
N(INDEX('PORTIFÓLIO'!$J$4:$Q$564,,MATCH(J$2,'PORTIFÓLIO'!$J$3:$Q$3,0))) *
N('PORTIFÓLIO'!$S$4:$S$564),
0
)
),
0)</f>
        <v/>
      </c>
      <c r="K397" s="47">
        <f>J397/$J$4</f>
        <v/>
      </c>
      <c r="L397" s="49">
        <f t="array" ref="L397">IFERROR(
SUM(
IF(
'PORTIFÓLIO'!$C$4:$C$564=$A397,
N(INDEX('PORTIFÓLIO'!$J$4:$Q$564,,MATCH(L$2,'PORTIFÓLIO'!$J$3:$Q$3,0))) *
N('PORTIFÓLIO'!$S$4:$S$564),
0
)
),
0)</f>
        <v/>
      </c>
      <c r="M397" s="47">
        <f>L397/$L$4</f>
        <v/>
      </c>
      <c r="N397" s="49">
        <f t="array" ref="N397">IFERROR(
SUM(
IF(
'PORTIFÓLIO'!$C$4:$C$564=$A397,
N(INDEX('PORTIFÓLIO'!$J$4:$Q$564,,MATCH(N$2,'PORTIFÓLIO'!$J$3:$Q$3,0))) *
N('PORTIFÓLIO'!$S$4:$S$564),
0
)
),
0)</f>
        <v/>
      </c>
      <c r="O397" s="49">
        <f>N397/$N$4</f>
        <v/>
      </c>
      <c r="P397" s="49">
        <f t="array" ref="P397">IFERROR(
SUM(
IF(
'PORTIFÓLIO'!$C$4:$C$564=$A397,
N(INDEX('PORTIFÓLIO'!$J$4:$Q$564,,MATCH(P$2,'PORTIFÓLIO'!$J$3:$Q$3,0))) *
N('PORTIFÓLIO'!$S$4:$S$564),
0
)
),
0)</f>
        <v/>
      </c>
      <c r="Q397" s="49">
        <f>P397/$P$4</f>
        <v/>
      </c>
      <c r="R397" s="49">
        <f>SUM(P397,N397,L397,J397,H397,D397,B397)</f>
        <v/>
      </c>
      <c r="S397" s="49">
        <f>R397/$R$4</f>
        <v/>
      </c>
    </row>
    <row r="398" hidden="1" outlineLevel="1" ht="15.75" customHeight="1" s="297">
      <c r="A398" s="42" t="n"/>
      <c r="B398" s="49">
        <f t="array" ref="B398">IFERROR(
SUM(
IF(
'PORTIFÓLIO'!$C$4:$C$564=$A398,
N(INDEX('PORTIFÓLIO'!$J$4:$Q$564,,MATCH(B$2,'PORTIFÓLIO'!$J$3:$Q$3,0))) *
N('PORTIFÓLIO'!$S$4:$S$564),
0
)
),
0)</f>
        <v/>
      </c>
      <c r="C398" s="49">
        <f>B398/$B$4</f>
        <v/>
      </c>
      <c r="D398" s="49">
        <f t="array" ref="D398">IFERROR(
SUM(
IF(
'PORTIFÓLIO'!$C$4:$C$564=$A398,
N(INDEX('PORTIFÓLIO'!$J$4:$Q$564,,MATCH(D$2,'PORTIFÓLIO'!$J$3:$Q$3,0))) *
N('PORTIFÓLIO'!$S$4:$S$564),
0
)
),
0)</f>
        <v/>
      </c>
      <c r="E398" s="49">
        <f>D398/$B$4</f>
        <v/>
      </c>
      <c r="F398" s="49">
        <f t="array" ref="F398">IFERROR(
SUM(
IF(
'PORTIFÓLIO'!$C$4:$C$564=$A398,
N(INDEX('PORTIFÓLIO'!$J$4:$Q$564,,MATCH(F$2,'PORTIFÓLIO'!$J$3:$Q$3,0))) *
N('PORTIFÓLIO'!$S$4:$S$564),
0
)
),
0)</f>
        <v/>
      </c>
      <c r="G398" s="47">
        <f>F398/$F$4</f>
        <v/>
      </c>
      <c r="H398" s="49">
        <f t="array" ref="H398">IFERROR(
SUM(
IF(
'PORTIFÓLIO'!$C$4:$C$564=$A398,
N(INDEX('PORTIFÓLIO'!$J$4:$Q$564,,MATCH(H$2,'PORTIFÓLIO'!$J$3:$Q$3,0))) *
N('PORTIFÓLIO'!$S$4:$S$564),
0
)
),
0)</f>
        <v/>
      </c>
      <c r="I398" s="47">
        <f>H398/$H$4</f>
        <v/>
      </c>
      <c r="J398" s="49">
        <f t="array" ref="J398">IFERROR(
SUM(
IF(
'PORTIFÓLIO'!$C$4:$C$564=$A398,
N(INDEX('PORTIFÓLIO'!$J$4:$Q$564,,MATCH(J$2,'PORTIFÓLIO'!$J$3:$Q$3,0))) *
N('PORTIFÓLIO'!$S$4:$S$564),
0
)
),
0)</f>
        <v/>
      </c>
      <c r="K398" s="47">
        <f>J398/$J$4</f>
        <v/>
      </c>
      <c r="L398" s="49">
        <f t="array" ref="L398">IFERROR(
SUM(
IF(
'PORTIFÓLIO'!$C$4:$C$564=$A398,
N(INDEX('PORTIFÓLIO'!$J$4:$Q$564,,MATCH(L$2,'PORTIFÓLIO'!$J$3:$Q$3,0))) *
N('PORTIFÓLIO'!$S$4:$S$564),
0
)
),
0)</f>
        <v/>
      </c>
      <c r="M398" s="47">
        <f>L398/$L$4</f>
        <v/>
      </c>
      <c r="N398" s="49">
        <f t="array" ref="N398">IFERROR(
SUM(
IF(
'PORTIFÓLIO'!$C$4:$C$564=$A398,
N(INDEX('PORTIFÓLIO'!$J$4:$Q$564,,MATCH(N$2,'PORTIFÓLIO'!$J$3:$Q$3,0))) *
N('PORTIFÓLIO'!$S$4:$S$564),
0
)
),
0)</f>
        <v/>
      </c>
      <c r="O398" s="49">
        <f>N398/$N$4</f>
        <v/>
      </c>
      <c r="P398" s="49">
        <f t="array" ref="P398">IFERROR(
SUM(
IF(
'PORTIFÓLIO'!$C$4:$C$564=$A398,
N(INDEX('PORTIFÓLIO'!$J$4:$Q$564,,MATCH(P$2,'PORTIFÓLIO'!$J$3:$Q$3,0))) *
N('PORTIFÓLIO'!$S$4:$S$564),
0
)
),
0)</f>
        <v/>
      </c>
      <c r="Q398" s="49">
        <f>P398/$P$4</f>
        <v/>
      </c>
      <c r="R398" s="49">
        <f>SUM(P398,N398,L398,J398,H398,D398,B398)</f>
        <v/>
      </c>
      <c r="S398" s="49">
        <f>R398/$R$4</f>
        <v/>
      </c>
    </row>
    <row r="399" hidden="1" outlineLevel="1" ht="15.75" customHeight="1" s="297">
      <c r="A399" s="42" t="n"/>
      <c r="B399" s="49">
        <f t="array" ref="B399">IFERROR(
SUM(
IF(
'PORTIFÓLIO'!$C$4:$C$564=$A399,
N(INDEX('PORTIFÓLIO'!$J$4:$Q$564,,MATCH(B$2,'PORTIFÓLIO'!$J$3:$Q$3,0))) *
N('PORTIFÓLIO'!$S$4:$S$564),
0
)
),
0)</f>
        <v/>
      </c>
      <c r="C399" s="49">
        <f>B399/$B$4</f>
        <v/>
      </c>
      <c r="D399" s="49">
        <f t="array" ref="D399">IFERROR(
SUM(
IF(
'PORTIFÓLIO'!$C$4:$C$564=$A399,
N(INDEX('PORTIFÓLIO'!$J$4:$Q$564,,MATCH(D$2,'PORTIFÓLIO'!$J$3:$Q$3,0))) *
N('PORTIFÓLIO'!$S$4:$S$564),
0
)
),
0)</f>
        <v/>
      </c>
      <c r="E399" s="49">
        <f>D399/$B$4</f>
        <v/>
      </c>
      <c r="F399" s="49">
        <f t="array" ref="F399">IFERROR(
SUM(
IF(
'PORTIFÓLIO'!$C$4:$C$564=$A399,
N(INDEX('PORTIFÓLIO'!$J$4:$Q$564,,MATCH(F$2,'PORTIFÓLIO'!$J$3:$Q$3,0))) *
N('PORTIFÓLIO'!$S$4:$S$564),
0
)
),
0)</f>
        <v/>
      </c>
      <c r="G399" s="47">
        <f>F399/$F$4</f>
        <v/>
      </c>
      <c r="H399" s="49">
        <f t="array" ref="H399">IFERROR(
SUM(
IF(
'PORTIFÓLIO'!$C$4:$C$564=$A399,
N(INDEX('PORTIFÓLIO'!$J$4:$Q$564,,MATCH(H$2,'PORTIFÓLIO'!$J$3:$Q$3,0))) *
N('PORTIFÓLIO'!$S$4:$S$564),
0
)
),
0)</f>
        <v/>
      </c>
      <c r="I399" s="47">
        <f>H399/$H$4</f>
        <v/>
      </c>
      <c r="J399" s="49">
        <f t="array" ref="J399">IFERROR(
SUM(
IF(
'PORTIFÓLIO'!$C$4:$C$564=$A399,
N(INDEX('PORTIFÓLIO'!$J$4:$Q$564,,MATCH(J$2,'PORTIFÓLIO'!$J$3:$Q$3,0))) *
N('PORTIFÓLIO'!$S$4:$S$564),
0
)
),
0)</f>
        <v/>
      </c>
      <c r="K399" s="47">
        <f>J399/$J$4</f>
        <v/>
      </c>
      <c r="L399" s="49">
        <f t="array" ref="L399">IFERROR(
SUM(
IF(
'PORTIFÓLIO'!$C$4:$C$564=$A399,
N(INDEX('PORTIFÓLIO'!$J$4:$Q$564,,MATCH(L$2,'PORTIFÓLIO'!$J$3:$Q$3,0))) *
N('PORTIFÓLIO'!$S$4:$S$564),
0
)
),
0)</f>
        <v/>
      </c>
      <c r="M399" s="47">
        <f>L399/$L$4</f>
        <v/>
      </c>
      <c r="N399" s="49">
        <f t="array" ref="N399">IFERROR(
SUM(
IF(
'PORTIFÓLIO'!$C$4:$C$564=$A399,
N(INDEX('PORTIFÓLIO'!$J$4:$Q$564,,MATCH(N$2,'PORTIFÓLIO'!$J$3:$Q$3,0))) *
N('PORTIFÓLIO'!$S$4:$S$564),
0
)
),
0)</f>
        <v/>
      </c>
      <c r="O399" s="49">
        <f>N399/$N$4</f>
        <v/>
      </c>
      <c r="P399" s="49">
        <f t="array" ref="P399">IFERROR(
SUM(
IF(
'PORTIFÓLIO'!$C$4:$C$564=$A399,
N(INDEX('PORTIFÓLIO'!$J$4:$Q$564,,MATCH(P$2,'PORTIFÓLIO'!$J$3:$Q$3,0))) *
N('PORTIFÓLIO'!$S$4:$S$564),
0
)
),
0)</f>
        <v/>
      </c>
      <c r="Q399" s="49">
        <f>P399/$P$4</f>
        <v/>
      </c>
      <c r="R399" s="49">
        <f>SUM(P399,N399,L399,J399,H399,D399,B399)</f>
        <v/>
      </c>
      <c r="S399" s="49">
        <f>R399/$R$4</f>
        <v/>
      </c>
    </row>
    <row r="400" hidden="1" outlineLevel="1" ht="15.75" customHeight="1" s="297">
      <c r="A400" s="42" t="n"/>
      <c r="B400" s="49">
        <f t="array" ref="B400">IFERROR(
SUM(
IF(
'PORTIFÓLIO'!$C$4:$C$564=$A400,
N(INDEX('PORTIFÓLIO'!$J$4:$Q$564,,MATCH(B$2,'PORTIFÓLIO'!$J$3:$Q$3,0))) *
N('PORTIFÓLIO'!$S$4:$S$564),
0
)
),
0)</f>
        <v/>
      </c>
      <c r="C400" s="49">
        <f>B400/$B$4</f>
        <v/>
      </c>
      <c r="D400" s="49">
        <f t="array" ref="D400">IFERROR(
SUM(
IF(
'PORTIFÓLIO'!$C$4:$C$564=$A400,
N(INDEX('PORTIFÓLIO'!$J$4:$Q$564,,MATCH(D$2,'PORTIFÓLIO'!$J$3:$Q$3,0))) *
N('PORTIFÓLIO'!$S$4:$S$564),
0
)
),
0)</f>
        <v/>
      </c>
      <c r="E400" s="49">
        <f>D400/$B$4</f>
        <v/>
      </c>
      <c r="F400" s="49">
        <f t="array" ref="F400">IFERROR(
SUM(
IF(
'PORTIFÓLIO'!$C$4:$C$564=$A400,
N(INDEX('PORTIFÓLIO'!$J$4:$Q$564,,MATCH(F$2,'PORTIFÓLIO'!$J$3:$Q$3,0))) *
N('PORTIFÓLIO'!$S$4:$S$564),
0
)
),
0)</f>
        <v/>
      </c>
      <c r="G400" s="47">
        <f>F400/$F$4</f>
        <v/>
      </c>
      <c r="H400" s="49">
        <f t="array" ref="H400">IFERROR(
SUM(
IF(
'PORTIFÓLIO'!$C$4:$C$564=$A400,
N(INDEX('PORTIFÓLIO'!$J$4:$Q$564,,MATCH(H$2,'PORTIFÓLIO'!$J$3:$Q$3,0))) *
N('PORTIFÓLIO'!$S$4:$S$564),
0
)
),
0)</f>
        <v/>
      </c>
      <c r="I400" s="47">
        <f>H400/$H$4</f>
        <v/>
      </c>
      <c r="J400" s="49">
        <f t="array" ref="J400">IFERROR(
SUM(
IF(
'PORTIFÓLIO'!$C$4:$C$564=$A400,
N(INDEX('PORTIFÓLIO'!$J$4:$Q$564,,MATCH(J$2,'PORTIFÓLIO'!$J$3:$Q$3,0))) *
N('PORTIFÓLIO'!$S$4:$S$564),
0
)
),
0)</f>
        <v/>
      </c>
      <c r="K400" s="47">
        <f>J400/$J$4</f>
        <v/>
      </c>
      <c r="L400" s="49">
        <f t="array" ref="L400">IFERROR(
SUM(
IF(
'PORTIFÓLIO'!$C$4:$C$564=$A400,
N(INDEX('PORTIFÓLIO'!$J$4:$Q$564,,MATCH(L$2,'PORTIFÓLIO'!$J$3:$Q$3,0))) *
N('PORTIFÓLIO'!$S$4:$S$564),
0
)
),
0)</f>
        <v/>
      </c>
      <c r="M400" s="47">
        <f>L400/$L$4</f>
        <v/>
      </c>
      <c r="N400" s="49">
        <f t="array" ref="N400">IFERROR(
SUM(
IF(
'PORTIFÓLIO'!$C$4:$C$564=$A400,
N(INDEX('PORTIFÓLIO'!$J$4:$Q$564,,MATCH(N$2,'PORTIFÓLIO'!$J$3:$Q$3,0))) *
N('PORTIFÓLIO'!$S$4:$S$564),
0
)
),
0)</f>
        <v/>
      </c>
      <c r="O400" s="49">
        <f>N400/$N$4</f>
        <v/>
      </c>
      <c r="P400" s="49">
        <f t="array" ref="P400">IFERROR(
SUM(
IF(
'PORTIFÓLIO'!$C$4:$C$564=$A400,
N(INDEX('PORTIFÓLIO'!$J$4:$Q$564,,MATCH(P$2,'PORTIFÓLIO'!$J$3:$Q$3,0))) *
N('PORTIFÓLIO'!$S$4:$S$564),
0
)
),
0)</f>
        <v/>
      </c>
      <c r="Q400" s="49">
        <f>P400/$P$4</f>
        <v/>
      </c>
      <c r="R400" s="49">
        <f>SUM(P400,N400,L400,J400,H400,D400,B400)</f>
        <v/>
      </c>
      <c r="S400" s="49">
        <f>R400/$R$4</f>
        <v/>
      </c>
    </row>
    <row r="401" hidden="1" outlineLevel="1" ht="15.75" customHeight="1" s="297">
      <c r="A401" s="42" t="n"/>
      <c r="B401" s="49">
        <f t="array" ref="B401">IFERROR(
SUM(
IF(
'PORTIFÓLIO'!$C$4:$C$564=$A401,
N(INDEX('PORTIFÓLIO'!$J$4:$Q$564,,MATCH(B$2,'PORTIFÓLIO'!$J$3:$Q$3,0))) *
N('PORTIFÓLIO'!$S$4:$S$564),
0
)
),
0)</f>
        <v/>
      </c>
      <c r="C401" s="49">
        <f>B401/$B$4</f>
        <v/>
      </c>
      <c r="D401" s="49">
        <f t="array" ref="D401">IFERROR(
SUM(
IF(
'PORTIFÓLIO'!$C$4:$C$564=$A401,
N(INDEX('PORTIFÓLIO'!$J$4:$Q$564,,MATCH(D$2,'PORTIFÓLIO'!$J$3:$Q$3,0))) *
N('PORTIFÓLIO'!$S$4:$S$564),
0
)
),
0)</f>
        <v/>
      </c>
      <c r="E401" s="49">
        <f>D401/$B$4</f>
        <v/>
      </c>
      <c r="F401" s="49">
        <f t="array" ref="F401">IFERROR(
SUM(
IF(
'PORTIFÓLIO'!$C$4:$C$564=$A401,
N(INDEX('PORTIFÓLIO'!$J$4:$Q$564,,MATCH(F$2,'PORTIFÓLIO'!$J$3:$Q$3,0))) *
N('PORTIFÓLIO'!$S$4:$S$564),
0
)
),
0)</f>
        <v/>
      </c>
      <c r="G401" s="47">
        <f>F401/$F$4</f>
        <v/>
      </c>
      <c r="H401" s="49">
        <f t="array" ref="H401">IFERROR(
SUM(
IF(
'PORTIFÓLIO'!$C$4:$C$564=$A401,
N(INDEX('PORTIFÓLIO'!$J$4:$Q$564,,MATCH(H$2,'PORTIFÓLIO'!$J$3:$Q$3,0))) *
N('PORTIFÓLIO'!$S$4:$S$564),
0
)
),
0)</f>
        <v/>
      </c>
      <c r="I401" s="47">
        <f>H401/$H$4</f>
        <v/>
      </c>
      <c r="J401" s="49">
        <f t="array" ref="J401">IFERROR(
SUM(
IF(
'PORTIFÓLIO'!$C$4:$C$564=$A401,
N(INDEX('PORTIFÓLIO'!$J$4:$Q$564,,MATCH(J$2,'PORTIFÓLIO'!$J$3:$Q$3,0))) *
N('PORTIFÓLIO'!$S$4:$S$564),
0
)
),
0)</f>
        <v/>
      </c>
      <c r="K401" s="47">
        <f>J401/$J$4</f>
        <v/>
      </c>
      <c r="L401" s="49">
        <f t="array" ref="L401">IFERROR(
SUM(
IF(
'PORTIFÓLIO'!$C$4:$C$564=$A401,
N(INDEX('PORTIFÓLIO'!$J$4:$Q$564,,MATCH(L$2,'PORTIFÓLIO'!$J$3:$Q$3,0))) *
N('PORTIFÓLIO'!$S$4:$S$564),
0
)
),
0)</f>
        <v/>
      </c>
      <c r="M401" s="47">
        <f>L401/$L$4</f>
        <v/>
      </c>
      <c r="N401" s="49">
        <f t="array" ref="N401">IFERROR(
SUM(
IF(
'PORTIFÓLIO'!$C$4:$C$564=$A401,
N(INDEX('PORTIFÓLIO'!$J$4:$Q$564,,MATCH(N$2,'PORTIFÓLIO'!$J$3:$Q$3,0))) *
N('PORTIFÓLIO'!$S$4:$S$564),
0
)
),
0)</f>
        <v/>
      </c>
      <c r="O401" s="49">
        <f>N401/$N$4</f>
        <v/>
      </c>
      <c r="P401" s="49">
        <f t="array" ref="P401">IFERROR(
SUM(
IF(
'PORTIFÓLIO'!$C$4:$C$564=$A401,
N(INDEX('PORTIFÓLIO'!$J$4:$Q$564,,MATCH(P$2,'PORTIFÓLIO'!$J$3:$Q$3,0))) *
N('PORTIFÓLIO'!$S$4:$S$564),
0
)
),
0)</f>
        <v/>
      </c>
      <c r="Q401" s="49">
        <f>P401/$P$4</f>
        <v/>
      </c>
      <c r="R401" s="49">
        <f>SUM(P401,N401,L401,J401,H401,D401,B401)</f>
        <v/>
      </c>
      <c r="S401" s="49">
        <f>R401/$R$4</f>
        <v/>
      </c>
    </row>
    <row r="402" hidden="1" outlineLevel="1" ht="15.75" customHeight="1" s="297">
      <c r="A402" s="42" t="n"/>
      <c r="B402" s="49">
        <f t="array" ref="B402">IFERROR(
SUM(
IF(
'PORTIFÓLIO'!$C$4:$C$564=$A402,
N(INDEX('PORTIFÓLIO'!$J$4:$Q$564,,MATCH(B$2,'PORTIFÓLIO'!$J$3:$Q$3,0))) *
N('PORTIFÓLIO'!$S$4:$S$564),
0
)
),
0)</f>
        <v/>
      </c>
      <c r="C402" s="49">
        <f>B402/$B$4</f>
        <v/>
      </c>
      <c r="D402" s="49">
        <f t="array" ref="D402">IFERROR(
SUM(
IF(
'PORTIFÓLIO'!$C$4:$C$564=$A402,
N(INDEX('PORTIFÓLIO'!$J$4:$Q$564,,MATCH(D$2,'PORTIFÓLIO'!$J$3:$Q$3,0))) *
N('PORTIFÓLIO'!$S$4:$S$564),
0
)
),
0)</f>
        <v/>
      </c>
      <c r="E402" s="49">
        <f>D402/$B$4</f>
        <v/>
      </c>
      <c r="F402" s="49">
        <f t="array" ref="F402">IFERROR(
SUM(
IF(
'PORTIFÓLIO'!$C$4:$C$564=$A402,
N(INDEX('PORTIFÓLIO'!$J$4:$Q$564,,MATCH(F$2,'PORTIFÓLIO'!$J$3:$Q$3,0))) *
N('PORTIFÓLIO'!$S$4:$S$564),
0
)
),
0)</f>
        <v/>
      </c>
      <c r="G402" s="47">
        <f>F402/$F$4</f>
        <v/>
      </c>
      <c r="H402" s="49">
        <f t="array" ref="H402">IFERROR(
SUM(
IF(
'PORTIFÓLIO'!$C$4:$C$564=$A402,
N(INDEX('PORTIFÓLIO'!$J$4:$Q$564,,MATCH(H$2,'PORTIFÓLIO'!$J$3:$Q$3,0))) *
N('PORTIFÓLIO'!$S$4:$S$564),
0
)
),
0)</f>
        <v/>
      </c>
      <c r="I402" s="47">
        <f>H402/$H$4</f>
        <v/>
      </c>
      <c r="J402" s="49">
        <f t="array" ref="J402">IFERROR(
SUM(
IF(
'PORTIFÓLIO'!$C$4:$C$564=$A402,
N(INDEX('PORTIFÓLIO'!$J$4:$Q$564,,MATCH(J$2,'PORTIFÓLIO'!$J$3:$Q$3,0))) *
N('PORTIFÓLIO'!$S$4:$S$564),
0
)
),
0)</f>
        <v/>
      </c>
      <c r="K402" s="47">
        <f>J402/$J$4</f>
        <v/>
      </c>
      <c r="L402" s="49">
        <f t="array" ref="L402">IFERROR(
SUM(
IF(
'PORTIFÓLIO'!$C$4:$C$564=$A402,
N(INDEX('PORTIFÓLIO'!$J$4:$Q$564,,MATCH(L$2,'PORTIFÓLIO'!$J$3:$Q$3,0))) *
N('PORTIFÓLIO'!$S$4:$S$564),
0
)
),
0)</f>
        <v/>
      </c>
      <c r="M402" s="47">
        <f>L402/$L$4</f>
        <v/>
      </c>
      <c r="N402" s="49">
        <f t="array" ref="N402">IFERROR(
SUM(
IF(
'PORTIFÓLIO'!$C$4:$C$564=$A402,
N(INDEX('PORTIFÓLIO'!$J$4:$Q$564,,MATCH(N$2,'PORTIFÓLIO'!$J$3:$Q$3,0))) *
N('PORTIFÓLIO'!$S$4:$S$564),
0
)
),
0)</f>
        <v/>
      </c>
      <c r="O402" s="49">
        <f>N402/$N$4</f>
        <v/>
      </c>
      <c r="P402" s="49">
        <f t="array" ref="P402">IFERROR(
SUM(
IF(
'PORTIFÓLIO'!$C$4:$C$564=$A402,
N(INDEX('PORTIFÓLIO'!$J$4:$Q$564,,MATCH(P$2,'PORTIFÓLIO'!$J$3:$Q$3,0))) *
N('PORTIFÓLIO'!$S$4:$S$564),
0
)
),
0)</f>
        <v/>
      </c>
      <c r="Q402" s="49">
        <f>P402/$P$4</f>
        <v/>
      </c>
      <c r="R402" s="49">
        <f>SUM(P402,N402,L402,J402,H402,D402,B402)</f>
        <v/>
      </c>
      <c r="S402" s="49">
        <f>R402/$R$4</f>
        <v/>
      </c>
    </row>
    <row r="403" hidden="1" outlineLevel="1" ht="15.75" customHeight="1" s="297">
      <c r="A403" s="42" t="n"/>
      <c r="B403" s="49">
        <f t="array" ref="B403">IFERROR(
SUM(
IF(
'PORTIFÓLIO'!$C$4:$C$564=$A403,
N(INDEX('PORTIFÓLIO'!$J$4:$Q$564,,MATCH(B$2,'PORTIFÓLIO'!$J$3:$Q$3,0))) *
N('PORTIFÓLIO'!$S$4:$S$564),
0
)
),
0)</f>
        <v/>
      </c>
      <c r="C403" s="49">
        <f>B403/$B$4</f>
        <v/>
      </c>
      <c r="D403" s="49">
        <f t="array" ref="D403">IFERROR(
SUM(
IF(
'PORTIFÓLIO'!$C$4:$C$564=$A403,
N(INDEX('PORTIFÓLIO'!$J$4:$Q$564,,MATCH(D$2,'PORTIFÓLIO'!$J$3:$Q$3,0))) *
N('PORTIFÓLIO'!$S$4:$S$564),
0
)
),
0)</f>
        <v/>
      </c>
      <c r="E403" s="49">
        <f>D403/$B$4</f>
        <v/>
      </c>
      <c r="F403" s="49">
        <f t="array" ref="F403">IFERROR(
SUM(
IF(
'PORTIFÓLIO'!$C$4:$C$564=$A403,
N(INDEX('PORTIFÓLIO'!$J$4:$Q$564,,MATCH(F$2,'PORTIFÓLIO'!$J$3:$Q$3,0))) *
N('PORTIFÓLIO'!$S$4:$S$564),
0
)
),
0)</f>
        <v/>
      </c>
      <c r="G403" s="47">
        <f>F403/$F$4</f>
        <v/>
      </c>
      <c r="H403" s="49">
        <f t="array" ref="H403">IFERROR(
SUM(
IF(
'PORTIFÓLIO'!$C$4:$C$564=$A403,
N(INDEX('PORTIFÓLIO'!$J$4:$Q$564,,MATCH(H$2,'PORTIFÓLIO'!$J$3:$Q$3,0))) *
N('PORTIFÓLIO'!$S$4:$S$564),
0
)
),
0)</f>
        <v/>
      </c>
      <c r="I403" s="47">
        <f>H403/$H$4</f>
        <v/>
      </c>
      <c r="J403" s="49">
        <f t="array" ref="J403">IFERROR(
SUM(
IF(
'PORTIFÓLIO'!$C$4:$C$564=$A403,
N(INDEX('PORTIFÓLIO'!$J$4:$Q$564,,MATCH(J$2,'PORTIFÓLIO'!$J$3:$Q$3,0))) *
N('PORTIFÓLIO'!$S$4:$S$564),
0
)
),
0)</f>
        <v/>
      </c>
      <c r="K403" s="47">
        <f>J403/$J$4</f>
        <v/>
      </c>
      <c r="L403" s="49">
        <f t="array" ref="L403">IFERROR(
SUM(
IF(
'PORTIFÓLIO'!$C$4:$C$564=$A403,
N(INDEX('PORTIFÓLIO'!$J$4:$Q$564,,MATCH(L$2,'PORTIFÓLIO'!$J$3:$Q$3,0))) *
N('PORTIFÓLIO'!$S$4:$S$564),
0
)
),
0)</f>
        <v/>
      </c>
      <c r="M403" s="47">
        <f>L403/$L$4</f>
        <v/>
      </c>
      <c r="N403" s="49">
        <f t="array" ref="N403">IFERROR(
SUM(
IF(
'PORTIFÓLIO'!$C$4:$C$564=$A403,
N(INDEX('PORTIFÓLIO'!$J$4:$Q$564,,MATCH(N$2,'PORTIFÓLIO'!$J$3:$Q$3,0))) *
N('PORTIFÓLIO'!$S$4:$S$564),
0
)
),
0)</f>
        <v/>
      </c>
      <c r="O403" s="49">
        <f>N403/$N$4</f>
        <v/>
      </c>
      <c r="P403" s="49">
        <f t="array" ref="P403">IFERROR(
SUM(
IF(
'PORTIFÓLIO'!$C$4:$C$564=$A403,
N(INDEX('PORTIFÓLIO'!$J$4:$Q$564,,MATCH(P$2,'PORTIFÓLIO'!$J$3:$Q$3,0))) *
N('PORTIFÓLIO'!$S$4:$S$564),
0
)
),
0)</f>
        <v/>
      </c>
      <c r="Q403" s="49">
        <f>P403/$P$4</f>
        <v/>
      </c>
      <c r="R403" s="49">
        <f>SUM(P403,N403,L403,J403,H403,D403,B403)</f>
        <v/>
      </c>
      <c r="S403" s="49">
        <f>R403/$R$4</f>
        <v/>
      </c>
    </row>
    <row r="404" hidden="1" outlineLevel="1" ht="15.75" customHeight="1" s="297">
      <c r="A404" s="42" t="n"/>
      <c r="B404" s="49">
        <f t="array" ref="B404">IFERROR(
SUM(
IF(
'PORTIFÓLIO'!$C$4:$C$564=$A404,
N(INDEX('PORTIFÓLIO'!$J$4:$Q$564,,MATCH(B$2,'PORTIFÓLIO'!$J$3:$Q$3,0))) *
N('PORTIFÓLIO'!$S$4:$S$564),
0
)
),
0)</f>
        <v/>
      </c>
      <c r="C404" s="49">
        <f>B404/$B$4</f>
        <v/>
      </c>
      <c r="D404" s="49">
        <f t="array" ref="D404">IFERROR(
SUM(
IF(
'PORTIFÓLIO'!$C$4:$C$564=$A404,
N(INDEX('PORTIFÓLIO'!$J$4:$Q$564,,MATCH(D$2,'PORTIFÓLIO'!$J$3:$Q$3,0))) *
N('PORTIFÓLIO'!$S$4:$S$564),
0
)
),
0)</f>
        <v/>
      </c>
      <c r="E404" s="49">
        <f>D404/$B$4</f>
        <v/>
      </c>
      <c r="F404" s="49">
        <f t="array" ref="F404">IFERROR(
SUM(
IF(
'PORTIFÓLIO'!$C$4:$C$564=$A404,
N(INDEX('PORTIFÓLIO'!$J$4:$Q$564,,MATCH(F$2,'PORTIFÓLIO'!$J$3:$Q$3,0))) *
N('PORTIFÓLIO'!$S$4:$S$564),
0
)
),
0)</f>
        <v/>
      </c>
      <c r="G404" s="47">
        <f>F404/$F$4</f>
        <v/>
      </c>
      <c r="H404" s="49">
        <f t="array" ref="H404">IFERROR(
SUM(
IF(
'PORTIFÓLIO'!$C$4:$C$564=$A404,
N(INDEX('PORTIFÓLIO'!$J$4:$Q$564,,MATCH(H$2,'PORTIFÓLIO'!$J$3:$Q$3,0))) *
N('PORTIFÓLIO'!$S$4:$S$564),
0
)
),
0)</f>
        <v/>
      </c>
      <c r="I404" s="47">
        <f>H404/$H$4</f>
        <v/>
      </c>
      <c r="J404" s="49">
        <f t="array" ref="J404">IFERROR(
SUM(
IF(
'PORTIFÓLIO'!$C$4:$C$564=$A404,
N(INDEX('PORTIFÓLIO'!$J$4:$Q$564,,MATCH(J$2,'PORTIFÓLIO'!$J$3:$Q$3,0))) *
N('PORTIFÓLIO'!$S$4:$S$564),
0
)
),
0)</f>
        <v/>
      </c>
      <c r="K404" s="47">
        <f>J404/$J$4</f>
        <v/>
      </c>
      <c r="L404" s="49">
        <f t="array" ref="L404">IFERROR(
SUM(
IF(
'PORTIFÓLIO'!$C$4:$C$564=$A404,
N(INDEX('PORTIFÓLIO'!$J$4:$Q$564,,MATCH(L$2,'PORTIFÓLIO'!$J$3:$Q$3,0))) *
N('PORTIFÓLIO'!$S$4:$S$564),
0
)
),
0)</f>
        <v/>
      </c>
      <c r="M404" s="47">
        <f>L404/$L$4</f>
        <v/>
      </c>
      <c r="N404" s="49">
        <f t="array" ref="N404">IFERROR(
SUM(
IF(
'PORTIFÓLIO'!$C$4:$C$564=$A404,
N(INDEX('PORTIFÓLIO'!$J$4:$Q$564,,MATCH(N$2,'PORTIFÓLIO'!$J$3:$Q$3,0))) *
N('PORTIFÓLIO'!$S$4:$S$564),
0
)
),
0)</f>
        <v/>
      </c>
      <c r="O404" s="49">
        <f>N404/$N$4</f>
        <v/>
      </c>
      <c r="P404" s="49">
        <f t="array" ref="P404">IFERROR(
SUM(
IF(
'PORTIFÓLIO'!$C$4:$C$564=$A404,
N(INDEX('PORTIFÓLIO'!$J$4:$Q$564,,MATCH(P$2,'PORTIFÓLIO'!$J$3:$Q$3,0))) *
N('PORTIFÓLIO'!$S$4:$S$564),
0
)
),
0)</f>
        <v/>
      </c>
      <c r="Q404" s="49">
        <f>P404/$P$4</f>
        <v/>
      </c>
      <c r="R404" s="49">
        <f>SUM(P404,N404,L404,J404,H404,D404,B404)</f>
        <v/>
      </c>
      <c r="S404" s="49">
        <f>R404/$R$4</f>
        <v/>
      </c>
    </row>
    <row r="405" hidden="1" outlineLevel="1" ht="15.75" customHeight="1" s="297">
      <c r="A405" s="42" t="n"/>
      <c r="B405" s="49">
        <f t="array" ref="B405">IFERROR(
SUM(
IF(
'PORTIFÓLIO'!$C$4:$C$564=$A405,
N(INDEX('PORTIFÓLIO'!$J$4:$Q$564,,MATCH(B$2,'PORTIFÓLIO'!$J$3:$Q$3,0))) *
N('PORTIFÓLIO'!$S$4:$S$564),
0
)
),
0)</f>
        <v/>
      </c>
      <c r="C405" s="49">
        <f>B405/$B$4</f>
        <v/>
      </c>
      <c r="D405" s="49">
        <f t="array" ref="D405">IFERROR(
SUM(
IF(
'PORTIFÓLIO'!$C$4:$C$564=$A405,
N(INDEX('PORTIFÓLIO'!$J$4:$Q$564,,MATCH(D$2,'PORTIFÓLIO'!$J$3:$Q$3,0))) *
N('PORTIFÓLIO'!$S$4:$S$564),
0
)
),
0)</f>
        <v/>
      </c>
      <c r="E405" s="49">
        <f>D405/$B$4</f>
        <v/>
      </c>
      <c r="F405" s="49">
        <f t="array" ref="F405">IFERROR(
SUM(
IF(
'PORTIFÓLIO'!$C$4:$C$564=$A405,
N(INDEX('PORTIFÓLIO'!$J$4:$Q$564,,MATCH(F$2,'PORTIFÓLIO'!$J$3:$Q$3,0))) *
N('PORTIFÓLIO'!$S$4:$S$564),
0
)
),
0)</f>
        <v/>
      </c>
      <c r="G405" s="47">
        <f>F405/$F$4</f>
        <v/>
      </c>
      <c r="H405" s="49">
        <f t="array" ref="H405">IFERROR(
SUM(
IF(
'PORTIFÓLIO'!$C$4:$C$564=$A405,
N(INDEX('PORTIFÓLIO'!$J$4:$Q$564,,MATCH(H$2,'PORTIFÓLIO'!$J$3:$Q$3,0))) *
N('PORTIFÓLIO'!$S$4:$S$564),
0
)
),
0)</f>
        <v/>
      </c>
      <c r="I405" s="47">
        <f>H405/$H$4</f>
        <v/>
      </c>
      <c r="J405" s="49">
        <f t="array" ref="J405">IFERROR(
SUM(
IF(
'PORTIFÓLIO'!$C$4:$C$564=$A405,
N(INDEX('PORTIFÓLIO'!$J$4:$Q$564,,MATCH(J$2,'PORTIFÓLIO'!$J$3:$Q$3,0))) *
N('PORTIFÓLIO'!$S$4:$S$564),
0
)
),
0)</f>
        <v/>
      </c>
      <c r="K405" s="47">
        <f>J405/$J$4</f>
        <v/>
      </c>
      <c r="L405" s="49">
        <f t="array" ref="L405">IFERROR(
SUM(
IF(
'PORTIFÓLIO'!$C$4:$C$564=$A405,
N(INDEX('PORTIFÓLIO'!$J$4:$Q$564,,MATCH(L$2,'PORTIFÓLIO'!$J$3:$Q$3,0))) *
N('PORTIFÓLIO'!$S$4:$S$564),
0
)
),
0)</f>
        <v/>
      </c>
      <c r="M405" s="47">
        <f>L405/$L$4</f>
        <v/>
      </c>
      <c r="N405" s="49">
        <f t="array" ref="N405">IFERROR(
SUM(
IF(
'PORTIFÓLIO'!$C$4:$C$564=$A405,
N(INDEX('PORTIFÓLIO'!$J$4:$Q$564,,MATCH(N$2,'PORTIFÓLIO'!$J$3:$Q$3,0))) *
N('PORTIFÓLIO'!$S$4:$S$564),
0
)
),
0)</f>
        <v/>
      </c>
      <c r="O405" s="49">
        <f>N405/$N$4</f>
        <v/>
      </c>
      <c r="P405" s="49">
        <f t="array" ref="P405">IFERROR(
SUM(
IF(
'PORTIFÓLIO'!$C$4:$C$564=$A405,
N(INDEX('PORTIFÓLIO'!$J$4:$Q$564,,MATCH(P$2,'PORTIFÓLIO'!$J$3:$Q$3,0))) *
N('PORTIFÓLIO'!$S$4:$S$564),
0
)
),
0)</f>
        <v/>
      </c>
      <c r="Q405" s="49">
        <f>P405/$P$4</f>
        <v/>
      </c>
      <c r="R405" s="49">
        <f>SUM(P405,N405,L405,J405,H405,D405,B405)</f>
        <v/>
      </c>
      <c r="S405" s="49">
        <f>R405/$R$4</f>
        <v/>
      </c>
    </row>
    <row r="406" hidden="1" outlineLevel="1" ht="15.75" customHeight="1" s="297">
      <c r="A406" s="42" t="n"/>
      <c r="B406" s="49">
        <f t="array" ref="B406">IFERROR(
SUM(
IF(
'PORTIFÓLIO'!$C$4:$C$564=$A406,
N(INDEX('PORTIFÓLIO'!$J$4:$Q$564,,MATCH(B$2,'PORTIFÓLIO'!$J$3:$Q$3,0))) *
N('PORTIFÓLIO'!$S$4:$S$564),
0
)
),
0)</f>
        <v/>
      </c>
      <c r="C406" s="49">
        <f>B406/$B$4</f>
        <v/>
      </c>
      <c r="D406" s="49">
        <f t="array" ref="D406">IFERROR(
SUM(
IF(
'PORTIFÓLIO'!$C$4:$C$564=$A406,
N(INDEX('PORTIFÓLIO'!$J$4:$Q$564,,MATCH(D$2,'PORTIFÓLIO'!$J$3:$Q$3,0))) *
N('PORTIFÓLIO'!$S$4:$S$564),
0
)
),
0)</f>
        <v/>
      </c>
      <c r="E406" s="49">
        <f>D406/$B$4</f>
        <v/>
      </c>
      <c r="F406" s="49">
        <f t="array" ref="F406">IFERROR(
SUM(
IF(
'PORTIFÓLIO'!$C$4:$C$564=$A406,
N(INDEX('PORTIFÓLIO'!$J$4:$Q$564,,MATCH(F$2,'PORTIFÓLIO'!$J$3:$Q$3,0))) *
N('PORTIFÓLIO'!$S$4:$S$564),
0
)
),
0)</f>
        <v/>
      </c>
      <c r="G406" s="47">
        <f>F406/$F$4</f>
        <v/>
      </c>
      <c r="H406" s="49">
        <f t="array" ref="H406">IFERROR(
SUM(
IF(
'PORTIFÓLIO'!$C$4:$C$564=$A406,
N(INDEX('PORTIFÓLIO'!$J$4:$Q$564,,MATCH(H$2,'PORTIFÓLIO'!$J$3:$Q$3,0))) *
N('PORTIFÓLIO'!$S$4:$S$564),
0
)
),
0)</f>
        <v/>
      </c>
      <c r="I406" s="47">
        <f>H406/$H$4</f>
        <v/>
      </c>
      <c r="J406" s="49">
        <f t="array" ref="J406">IFERROR(
SUM(
IF(
'PORTIFÓLIO'!$C$4:$C$564=$A406,
N(INDEX('PORTIFÓLIO'!$J$4:$Q$564,,MATCH(J$2,'PORTIFÓLIO'!$J$3:$Q$3,0))) *
N('PORTIFÓLIO'!$S$4:$S$564),
0
)
),
0)</f>
        <v/>
      </c>
      <c r="K406" s="47">
        <f>J406/$J$4</f>
        <v/>
      </c>
      <c r="L406" s="49">
        <f t="array" ref="L406">IFERROR(
SUM(
IF(
'PORTIFÓLIO'!$C$4:$C$564=$A406,
N(INDEX('PORTIFÓLIO'!$J$4:$Q$564,,MATCH(L$2,'PORTIFÓLIO'!$J$3:$Q$3,0))) *
N('PORTIFÓLIO'!$S$4:$S$564),
0
)
),
0)</f>
        <v/>
      </c>
      <c r="M406" s="47">
        <f>L406/$L$4</f>
        <v/>
      </c>
      <c r="N406" s="49">
        <f t="array" ref="N406">IFERROR(
SUM(
IF(
'PORTIFÓLIO'!$C$4:$C$564=$A406,
N(INDEX('PORTIFÓLIO'!$J$4:$Q$564,,MATCH(N$2,'PORTIFÓLIO'!$J$3:$Q$3,0))) *
N('PORTIFÓLIO'!$S$4:$S$564),
0
)
),
0)</f>
        <v/>
      </c>
      <c r="O406" s="49">
        <f>N406/$N$4</f>
        <v/>
      </c>
      <c r="P406" s="49">
        <f t="array" ref="P406">IFERROR(
SUM(
IF(
'PORTIFÓLIO'!$C$4:$C$564=$A406,
N(INDEX('PORTIFÓLIO'!$J$4:$Q$564,,MATCH(P$2,'PORTIFÓLIO'!$J$3:$Q$3,0))) *
N('PORTIFÓLIO'!$S$4:$S$564),
0
)
),
0)</f>
        <v/>
      </c>
      <c r="Q406" s="49">
        <f>P406/$P$4</f>
        <v/>
      </c>
      <c r="R406" s="49">
        <f>SUM(P406,N406,L406,J406,H406,D406,B406)</f>
        <v/>
      </c>
      <c r="S406" s="49">
        <f>R406/$R$4</f>
        <v/>
      </c>
    </row>
    <row r="407" hidden="1" outlineLevel="1" ht="15.75" customHeight="1" s="297">
      <c r="A407" s="42" t="n"/>
      <c r="B407" s="49">
        <f t="array" ref="B407">IFERROR(
SUM(
IF(
'PORTIFÓLIO'!$C$4:$C$564=$A407,
N(INDEX('PORTIFÓLIO'!$J$4:$Q$564,,MATCH(B$2,'PORTIFÓLIO'!$J$3:$Q$3,0))) *
N('PORTIFÓLIO'!$S$4:$S$564),
0
)
),
0)</f>
        <v/>
      </c>
      <c r="C407" s="49">
        <f>B407/$B$4</f>
        <v/>
      </c>
      <c r="D407" s="49">
        <f t="array" ref="D407">IFERROR(
SUM(
IF(
'PORTIFÓLIO'!$C$4:$C$564=$A407,
N(INDEX('PORTIFÓLIO'!$J$4:$Q$564,,MATCH(D$2,'PORTIFÓLIO'!$J$3:$Q$3,0))) *
N('PORTIFÓLIO'!$S$4:$S$564),
0
)
),
0)</f>
        <v/>
      </c>
      <c r="E407" s="49">
        <f>D407/$B$4</f>
        <v/>
      </c>
      <c r="F407" s="49">
        <f t="array" ref="F407">IFERROR(
SUM(
IF(
'PORTIFÓLIO'!$C$4:$C$564=$A407,
N(INDEX('PORTIFÓLIO'!$J$4:$Q$564,,MATCH(F$2,'PORTIFÓLIO'!$J$3:$Q$3,0))) *
N('PORTIFÓLIO'!$S$4:$S$564),
0
)
),
0)</f>
        <v/>
      </c>
      <c r="G407" s="47">
        <f>F407/$F$4</f>
        <v/>
      </c>
      <c r="H407" s="49">
        <f t="array" ref="H407">IFERROR(
SUM(
IF(
'PORTIFÓLIO'!$C$4:$C$564=$A407,
N(INDEX('PORTIFÓLIO'!$J$4:$Q$564,,MATCH(H$2,'PORTIFÓLIO'!$J$3:$Q$3,0))) *
N('PORTIFÓLIO'!$S$4:$S$564),
0
)
),
0)</f>
        <v/>
      </c>
      <c r="I407" s="47">
        <f>H407/$H$4</f>
        <v/>
      </c>
      <c r="J407" s="49">
        <f t="array" ref="J407">IFERROR(
SUM(
IF(
'PORTIFÓLIO'!$C$4:$C$564=$A407,
N(INDEX('PORTIFÓLIO'!$J$4:$Q$564,,MATCH(J$2,'PORTIFÓLIO'!$J$3:$Q$3,0))) *
N('PORTIFÓLIO'!$S$4:$S$564),
0
)
),
0)</f>
        <v/>
      </c>
      <c r="K407" s="47">
        <f>J407/$J$4</f>
        <v/>
      </c>
      <c r="L407" s="49">
        <f t="array" ref="L407">IFERROR(
SUM(
IF(
'PORTIFÓLIO'!$C$4:$C$564=$A407,
N(INDEX('PORTIFÓLIO'!$J$4:$Q$564,,MATCH(L$2,'PORTIFÓLIO'!$J$3:$Q$3,0))) *
N('PORTIFÓLIO'!$S$4:$S$564),
0
)
),
0)</f>
        <v/>
      </c>
      <c r="M407" s="47">
        <f>L407/$L$4</f>
        <v/>
      </c>
      <c r="N407" s="49">
        <f t="array" ref="N407">IFERROR(
SUM(
IF(
'PORTIFÓLIO'!$C$4:$C$564=$A407,
N(INDEX('PORTIFÓLIO'!$J$4:$Q$564,,MATCH(N$2,'PORTIFÓLIO'!$J$3:$Q$3,0))) *
N('PORTIFÓLIO'!$S$4:$S$564),
0
)
),
0)</f>
        <v/>
      </c>
      <c r="O407" s="49">
        <f>N407/$N$4</f>
        <v/>
      </c>
      <c r="P407" s="49">
        <f t="array" ref="P407">IFERROR(
SUM(
IF(
'PORTIFÓLIO'!$C$4:$C$564=$A407,
N(INDEX('PORTIFÓLIO'!$J$4:$Q$564,,MATCH(P$2,'PORTIFÓLIO'!$J$3:$Q$3,0))) *
N('PORTIFÓLIO'!$S$4:$S$564),
0
)
),
0)</f>
        <v/>
      </c>
      <c r="Q407" s="49">
        <f>P407/$P$4</f>
        <v/>
      </c>
      <c r="R407" s="49">
        <f>SUM(P407,N407,L407,J407,H407,D407,B407)</f>
        <v/>
      </c>
      <c r="S407" s="49">
        <f>R407/$R$4</f>
        <v/>
      </c>
    </row>
    <row r="408" hidden="1" outlineLevel="1" ht="15.75" customHeight="1" s="297">
      <c r="A408" s="42" t="n"/>
      <c r="B408" s="49">
        <f t="array" ref="B408">IFERROR(
SUM(
IF(
'PORTIFÓLIO'!$C$4:$C$564=$A408,
N(INDEX('PORTIFÓLIO'!$J$4:$Q$564,,MATCH(B$2,'PORTIFÓLIO'!$J$3:$Q$3,0))) *
N('PORTIFÓLIO'!$S$4:$S$564),
0
)
),
0)</f>
        <v/>
      </c>
      <c r="C408" s="49">
        <f>B408/$B$4</f>
        <v/>
      </c>
      <c r="D408" s="49">
        <f t="array" ref="D408">IFERROR(
SUM(
IF(
'PORTIFÓLIO'!$C$4:$C$564=$A408,
N(INDEX('PORTIFÓLIO'!$J$4:$Q$564,,MATCH(D$2,'PORTIFÓLIO'!$J$3:$Q$3,0))) *
N('PORTIFÓLIO'!$S$4:$S$564),
0
)
),
0)</f>
        <v/>
      </c>
      <c r="E408" s="49">
        <f>D408/$B$4</f>
        <v/>
      </c>
      <c r="F408" s="49">
        <f t="array" ref="F408">IFERROR(
SUM(
IF(
'PORTIFÓLIO'!$C$4:$C$564=$A408,
N(INDEX('PORTIFÓLIO'!$J$4:$Q$564,,MATCH(F$2,'PORTIFÓLIO'!$J$3:$Q$3,0))) *
N('PORTIFÓLIO'!$S$4:$S$564),
0
)
),
0)</f>
        <v/>
      </c>
      <c r="G408" s="47">
        <f>F408/$F$4</f>
        <v/>
      </c>
      <c r="H408" s="49">
        <f t="array" ref="H408">IFERROR(
SUM(
IF(
'PORTIFÓLIO'!$C$4:$C$564=$A408,
N(INDEX('PORTIFÓLIO'!$J$4:$Q$564,,MATCH(H$2,'PORTIFÓLIO'!$J$3:$Q$3,0))) *
N('PORTIFÓLIO'!$S$4:$S$564),
0
)
),
0)</f>
        <v/>
      </c>
      <c r="I408" s="47">
        <f>H408/$H$4</f>
        <v/>
      </c>
      <c r="J408" s="49">
        <f t="array" ref="J408">IFERROR(
SUM(
IF(
'PORTIFÓLIO'!$C$4:$C$564=$A408,
N(INDEX('PORTIFÓLIO'!$J$4:$Q$564,,MATCH(J$2,'PORTIFÓLIO'!$J$3:$Q$3,0))) *
N('PORTIFÓLIO'!$S$4:$S$564),
0
)
),
0)</f>
        <v/>
      </c>
      <c r="K408" s="47">
        <f>J408/$J$4</f>
        <v/>
      </c>
      <c r="L408" s="49">
        <f t="array" ref="L408">IFERROR(
SUM(
IF(
'PORTIFÓLIO'!$C$4:$C$564=$A408,
N(INDEX('PORTIFÓLIO'!$J$4:$Q$564,,MATCH(L$2,'PORTIFÓLIO'!$J$3:$Q$3,0))) *
N('PORTIFÓLIO'!$S$4:$S$564),
0
)
),
0)</f>
        <v/>
      </c>
      <c r="M408" s="47">
        <f>L408/$L$4</f>
        <v/>
      </c>
      <c r="N408" s="49">
        <f t="array" ref="N408">IFERROR(
SUM(
IF(
'PORTIFÓLIO'!$C$4:$C$564=$A408,
N(INDEX('PORTIFÓLIO'!$J$4:$Q$564,,MATCH(N$2,'PORTIFÓLIO'!$J$3:$Q$3,0))) *
N('PORTIFÓLIO'!$S$4:$S$564),
0
)
),
0)</f>
        <v/>
      </c>
      <c r="O408" s="49">
        <f>N408/$N$4</f>
        <v/>
      </c>
      <c r="P408" s="49">
        <f t="array" ref="P408">IFERROR(
SUM(
IF(
'PORTIFÓLIO'!$C$4:$C$564=$A408,
N(INDEX('PORTIFÓLIO'!$J$4:$Q$564,,MATCH(P$2,'PORTIFÓLIO'!$J$3:$Q$3,0))) *
N('PORTIFÓLIO'!$S$4:$S$564),
0
)
),
0)</f>
        <v/>
      </c>
      <c r="Q408" s="49">
        <f>P408/$P$4</f>
        <v/>
      </c>
      <c r="R408" s="49">
        <f>SUM(P408,N408,L408,J408,H408,D408,B408)</f>
        <v/>
      </c>
      <c r="S408" s="49">
        <f>R408/$R$4</f>
        <v/>
      </c>
    </row>
    <row r="409" hidden="1" outlineLevel="1" ht="15.75" customHeight="1" s="297">
      <c r="A409" s="42" t="n"/>
      <c r="B409" s="49">
        <f t="array" ref="B409">IFERROR(
SUM(
IF(
'PORTIFÓLIO'!$C$4:$C$564=$A409,
N(INDEX('PORTIFÓLIO'!$J$4:$Q$564,,MATCH(B$2,'PORTIFÓLIO'!$J$3:$Q$3,0))) *
N('PORTIFÓLIO'!$S$4:$S$564),
0
)
),
0)</f>
        <v/>
      </c>
      <c r="C409" s="49">
        <f>B409/$B$4</f>
        <v/>
      </c>
      <c r="D409" s="49">
        <f t="array" ref="D409">IFERROR(
SUM(
IF(
'PORTIFÓLIO'!$C$4:$C$564=$A409,
N(INDEX('PORTIFÓLIO'!$J$4:$Q$564,,MATCH(D$2,'PORTIFÓLIO'!$J$3:$Q$3,0))) *
N('PORTIFÓLIO'!$S$4:$S$564),
0
)
),
0)</f>
        <v/>
      </c>
      <c r="E409" s="49">
        <f>D409/$B$4</f>
        <v/>
      </c>
      <c r="F409" s="49">
        <f t="array" ref="F409">IFERROR(
SUM(
IF(
'PORTIFÓLIO'!$C$4:$C$564=$A409,
N(INDEX('PORTIFÓLIO'!$J$4:$Q$564,,MATCH(F$2,'PORTIFÓLIO'!$J$3:$Q$3,0))) *
N('PORTIFÓLIO'!$S$4:$S$564),
0
)
),
0)</f>
        <v/>
      </c>
      <c r="G409" s="47">
        <f>F409/$F$4</f>
        <v/>
      </c>
      <c r="H409" s="49">
        <f t="array" ref="H409">IFERROR(
SUM(
IF(
'PORTIFÓLIO'!$C$4:$C$564=$A409,
N(INDEX('PORTIFÓLIO'!$J$4:$Q$564,,MATCH(H$2,'PORTIFÓLIO'!$J$3:$Q$3,0))) *
N('PORTIFÓLIO'!$S$4:$S$564),
0
)
),
0)</f>
        <v/>
      </c>
      <c r="I409" s="47">
        <f>H409/$H$4</f>
        <v/>
      </c>
      <c r="J409" s="49">
        <f t="array" ref="J409">IFERROR(
SUM(
IF(
'PORTIFÓLIO'!$C$4:$C$564=$A409,
N(INDEX('PORTIFÓLIO'!$J$4:$Q$564,,MATCH(J$2,'PORTIFÓLIO'!$J$3:$Q$3,0))) *
N('PORTIFÓLIO'!$S$4:$S$564),
0
)
),
0)</f>
        <v/>
      </c>
      <c r="K409" s="47">
        <f>J409/$J$4</f>
        <v/>
      </c>
      <c r="L409" s="49">
        <f t="array" ref="L409">IFERROR(
SUM(
IF(
'PORTIFÓLIO'!$C$4:$C$564=$A409,
N(INDEX('PORTIFÓLIO'!$J$4:$Q$564,,MATCH(L$2,'PORTIFÓLIO'!$J$3:$Q$3,0))) *
N('PORTIFÓLIO'!$S$4:$S$564),
0
)
),
0)</f>
        <v/>
      </c>
      <c r="M409" s="47">
        <f>L409/$L$4</f>
        <v/>
      </c>
      <c r="N409" s="49">
        <f t="array" ref="N409">IFERROR(
SUM(
IF(
'PORTIFÓLIO'!$C$4:$C$564=$A409,
N(INDEX('PORTIFÓLIO'!$J$4:$Q$564,,MATCH(N$2,'PORTIFÓLIO'!$J$3:$Q$3,0))) *
N('PORTIFÓLIO'!$S$4:$S$564),
0
)
),
0)</f>
        <v/>
      </c>
      <c r="O409" s="49">
        <f>N409/$N$4</f>
        <v/>
      </c>
      <c r="P409" s="49">
        <f t="array" ref="P409">IFERROR(
SUM(
IF(
'PORTIFÓLIO'!$C$4:$C$564=$A409,
N(INDEX('PORTIFÓLIO'!$J$4:$Q$564,,MATCH(P$2,'PORTIFÓLIO'!$J$3:$Q$3,0))) *
N('PORTIFÓLIO'!$S$4:$S$564),
0
)
),
0)</f>
        <v/>
      </c>
      <c r="Q409" s="49">
        <f>P409/$P$4</f>
        <v/>
      </c>
      <c r="R409" s="49">
        <f>SUM(P409,N409,L409,J409,H409,D409,B409)</f>
        <v/>
      </c>
      <c r="S409" s="49">
        <f>R409/$R$4</f>
        <v/>
      </c>
    </row>
    <row r="410" hidden="1" outlineLevel="1" ht="15.75" customHeight="1" s="297">
      <c r="A410" s="42" t="n"/>
      <c r="B410" s="49">
        <f t="array" ref="B410">IFERROR(
SUM(
IF(
'PORTIFÓLIO'!$C$4:$C$564=$A410,
N(INDEX('PORTIFÓLIO'!$J$4:$Q$564,,MATCH(B$2,'PORTIFÓLIO'!$J$3:$Q$3,0))) *
N('PORTIFÓLIO'!$S$4:$S$564),
0
)
),
0)</f>
        <v/>
      </c>
      <c r="C410" s="49">
        <f>B410/$B$4</f>
        <v/>
      </c>
      <c r="D410" s="49">
        <f t="array" ref="D410">IFERROR(
SUM(
IF(
'PORTIFÓLIO'!$C$4:$C$564=$A410,
N(INDEX('PORTIFÓLIO'!$J$4:$Q$564,,MATCH(D$2,'PORTIFÓLIO'!$J$3:$Q$3,0))) *
N('PORTIFÓLIO'!$S$4:$S$564),
0
)
),
0)</f>
        <v/>
      </c>
      <c r="E410" s="49">
        <f>D410/$B$4</f>
        <v/>
      </c>
      <c r="F410" s="49">
        <f t="array" ref="F410">IFERROR(
SUM(
IF(
'PORTIFÓLIO'!$C$4:$C$564=$A410,
N(INDEX('PORTIFÓLIO'!$J$4:$Q$564,,MATCH(F$2,'PORTIFÓLIO'!$J$3:$Q$3,0))) *
N('PORTIFÓLIO'!$S$4:$S$564),
0
)
),
0)</f>
        <v/>
      </c>
      <c r="G410" s="47">
        <f>F410/$F$4</f>
        <v/>
      </c>
      <c r="H410" s="49">
        <f t="array" ref="H410">IFERROR(
SUM(
IF(
'PORTIFÓLIO'!$C$4:$C$564=$A410,
N(INDEX('PORTIFÓLIO'!$J$4:$Q$564,,MATCH(H$2,'PORTIFÓLIO'!$J$3:$Q$3,0))) *
N('PORTIFÓLIO'!$S$4:$S$564),
0
)
),
0)</f>
        <v/>
      </c>
      <c r="I410" s="47">
        <f>H410/$H$4</f>
        <v/>
      </c>
      <c r="J410" s="49">
        <f t="array" ref="J410">IFERROR(
SUM(
IF(
'PORTIFÓLIO'!$C$4:$C$564=$A410,
N(INDEX('PORTIFÓLIO'!$J$4:$Q$564,,MATCH(J$2,'PORTIFÓLIO'!$J$3:$Q$3,0))) *
N('PORTIFÓLIO'!$S$4:$S$564),
0
)
),
0)</f>
        <v/>
      </c>
      <c r="K410" s="47">
        <f>J410/$J$4</f>
        <v/>
      </c>
      <c r="L410" s="49">
        <f t="array" ref="L410">IFERROR(
SUM(
IF(
'PORTIFÓLIO'!$C$4:$C$564=$A410,
N(INDEX('PORTIFÓLIO'!$J$4:$Q$564,,MATCH(L$2,'PORTIFÓLIO'!$J$3:$Q$3,0))) *
N('PORTIFÓLIO'!$S$4:$S$564),
0
)
),
0)</f>
        <v/>
      </c>
      <c r="M410" s="47">
        <f>L410/$L$4</f>
        <v/>
      </c>
      <c r="N410" s="49">
        <f t="array" ref="N410">IFERROR(
SUM(
IF(
'PORTIFÓLIO'!$C$4:$C$564=$A410,
N(INDEX('PORTIFÓLIO'!$J$4:$Q$564,,MATCH(N$2,'PORTIFÓLIO'!$J$3:$Q$3,0))) *
N('PORTIFÓLIO'!$S$4:$S$564),
0
)
),
0)</f>
        <v/>
      </c>
      <c r="O410" s="49">
        <f>N410/$N$4</f>
        <v/>
      </c>
      <c r="P410" s="49">
        <f t="array" ref="P410">IFERROR(
SUM(
IF(
'PORTIFÓLIO'!$C$4:$C$564=$A410,
N(INDEX('PORTIFÓLIO'!$J$4:$Q$564,,MATCH(P$2,'PORTIFÓLIO'!$J$3:$Q$3,0))) *
N('PORTIFÓLIO'!$S$4:$S$564),
0
)
),
0)</f>
        <v/>
      </c>
      <c r="Q410" s="49">
        <f>P410/$P$4</f>
        <v/>
      </c>
      <c r="R410" s="49">
        <f>SUM(P410,N410,L410,J410,H410,D410,B410)</f>
        <v/>
      </c>
      <c r="S410" s="49">
        <f>R410/$R$4</f>
        <v/>
      </c>
    </row>
    <row r="411" hidden="1" outlineLevel="1" ht="15.75" customHeight="1" s="297">
      <c r="A411" s="42" t="n"/>
      <c r="B411" s="49">
        <f t="array" ref="B411">IFERROR(
SUM(
IF(
'PORTIFÓLIO'!$C$4:$C$564=$A411,
N(INDEX('PORTIFÓLIO'!$J$4:$Q$564,,MATCH(B$2,'PORTIFÓLIO'!$J$3:$Q$3,0))) *
N('PORTIFÓLIO'!$S$4:$S$564),
0
)
),
0)</f>
        <v/>
      </c>
      <c r="C411" s="49">
        <f>B411/$B$4</f>
        <v/>
      </c>
      <c r="D411" s="49">
        <f t="array" ref="D411">IFERROR(
SUM(
IF(
'PORTIFÓLIO'!$C$4:$C$564=$A411,
N(INDEX('PORTIFÓLIO'!$J$4:$Q$564,,MATCH(D$2,'PORTIFÓLIO'!$J$3:$Q$3,0))) *
N('PORTIFÓLIO'!$S$4:$S$564),
0
)
),
0)</f>
        <v/>
      </c>
      <c r="E411" s="49">
        <f>D411/$B$4</f>
        <v/>
      </c>
      <c r="F411" s="49">
        <f t="array" ref="F411">IFERROR(
SUM(
IF(
'PORTIFÓLIO'!$C$4:$C$564=$A411,
N(INDEX('PORTIFÓLIO'!$J$4:$Q$564,,MATCH(F$2,'PORTIFÓLIO'!$J$3:$Q$3,0))) *
N('PORTIFÓLIO'!$S$4:$S$564),
0
)
),
0)</f>
        <v/>
      </c>
      <c r="G411" s="47">
        <f>F411/$F$4</f>
        <v/>
      </c>
      <c r="H411" s="49">
        <f t="array" ref="H411">IFERROR(
SUM(
IF(
'PORTIFÓLIO'!$C$4:$C$564=$A411,
N(INDEX('PORTIFÓLIO'!$J$4:$Q$564,,MATCH(H$2,'PORTIFÓLIO'!$J$3:$Q$3,0))) *
N('PORTIFÓLIO'!$S$4:$S$564),
0
)
),
0)</f>
        <v/>
      </c>
      <c r="I411" s="47">
        <f>H411/$H$4</f>
        <v/>
      </c>
      <c r="J411" s="49">
        <f t="array" ref="J411">IFERROR(
SUM(
IF(
'PORTIFÓLIO'!$C$4:$C$564=$A411,
N(INDEX('PORTIFÓLIO'!$J$4:$Q$564,,MATCH(J$2,'PORTIFÓLIO'!$J$3:$Q$3,0))) *
N('PORTIFÓLIO'!$S$4:$S$564),
0
)
),
0)</f>
        <v/>
      </c>
      <c r="K411" s="47">
        <f>J411/$J$4</f>
        <v/>
      </c>
      <c r="L411" s="49">
        <f t="array" ref="L411">IFERROR(
SUM(
IF(
'PORTIFÓLIO'!$C$4:$C$564=$A411,
N(INDEX('PORTIFÓLIO'!$J$4:$Q$564,,MATCH(L$2,'PORTIFÓLIO'!$J$3:$Q$3,0))) *
N('PORTIFÓLIO'!$S$4:$S$564),
0
)
),
0)</f>
        <v/>
      </c>
      <c r="M411" s="47">
        <f>L411/$L$4</f>
        <v/>
      </c>
      <c r="N411" s="49">
        <f t="array" ref="N411">IFERROR(
SUM(
IF(
'PORTIFÓLIO'!$C$4:$C$564=$A411,
N(INDEX('PORTIFÓLIO'!$J$4:$Q$564,,MATCH(N$2,'PORTIFÓLIO'!$J$3:$Q$3,0))) *
N('PORTIFÓLIO'!$S$4:$S$564),
0
)
),
0)</f>
        <v/>
      </c>
      <c r="O411" s="49">
        <f>N411/$N$4</f>
        <v/>
      </c>
      <c r="P411" s="49">
        <f t="array" ref="P411">IFERROR(
SUM(
IF(
'PORTIFÓLIO'!$C$4:$C$564=$A411,
N(INDEX('PORTIFÓLIO'!$J$4:$Q$564,,MATCH(P$2,'PORTIFÓLIO'!$J$3:$Q$3,0))) *
N('PORTIFÓLIO'!$S$4:$S$564),
0
)
),
0)</f>
        <v/>
      </c>
      <c r="Q411" s="49">
        <f>P411/$P$4</f>
        <v/>
      </c>
      <c r="R411" s="49">
        <f>SUM(P411,N411,L411,J411,H411,D411,B411)</f>
        <v/>
      </c>
      <c r="S411" s="49">
        <f>R411/$R$4</f>
        <v/>
      </c>
    </row>
    <row r="412" hidden="1" outlineLevel="1" ht="15.75" customHeight="1" s="297">
      <c r="A412" s="42" t="n"/>
      <c r="B412" s="49">
        <f t="array" ref="B412">IFERROR(
SUM(
IF(
'PORTIFÓLIO'!$C$4:$C$564=$A412,
N(INDEX('PORTIFÓLIO'!$J$4:$Q$564,,MATCH(B$2,'PORTIFÓLIO'!$J$3:$Q$3,0))) *
N('PORTIFÓLIO'!$S$4:$S$564),
0
)
),
0)</f>
        <v/>
      </c>
      <c r="C412" s="49">
        <f>B412/$B$4</f>
        <v/>
      </c>
      <c r="D412" s="49">
        <f t="array" ref="D412">IFERROR(
SUM(
IF(
'PORTIFÓLIO'!$C$4:$C$564=$A412,
N(INDEX('PORTIFÓLIO'!$J$4:$Q$564,,MATCH(D$2,'PORTIFÓLIO'!$J$3:$Q$3,0))) *
N('PORTIFÓLIO'!$S$4:$S$564),
0
)
),
0)</f>
        <v/>
      </c>
      <c r="E412" s="49">
        <f>D412/$B$4</f>
        <v/>
      </c>
      <c r="F412" s="49">
        <f t="array" ref="F412">IFERROR(
SUM(
IF(
'PORTIFÓLIO'!$C$4:$C$564=$A412,
N(INDEX('PORTIFÓLIO'!$J$4:$Q$564,,MATCH(F$2,'PORTIFÓLIO'!$J$3:$Q$3,0))) *
N('PORTIFÓLIO'!$S$4:$S$564),
0
)
),
0)</f>
        <v/>
      </c>
      <c r="G412" s="47">
        <f>F412/$F$4</f>
        <v/>
      </c>
      <c r="H412" s="49">
        <f t="array" ref="H412">IFERROR(
SUM(
IF(
'PORTIFÓLIO'!$C$4:$C$564=$A412,
N(INDEX('PORTIFÓLIO'!$J$4:$Q$564,,MATCH(H$2,'PORTIFÓLIO'!$J$3:$Q$3,0))) *
N('PORTIFÓLIO'!$S$4:$S$564),
0
)
),
0)</f>
        <v/>
      </c>
      <c r="I412" s="47">
        <f>H412/$H$4</f>
        <v/>
      </c>
      <c r="J412" s="49">
        <f t="array" ref="J412">IFERROR(
SUM(
IF(
'PORTIFÓLIO'!$C$4:$C$564=$A412,
N(INDEX('PORTIFÓLIO'!$J$4:$Q$564,,MATCH(J$2,'PORTIFÓLIO'!$J$3:$Q$3,0))) *
N('PORTIFÓLIO'!$S$4:$S$564),
0
)
),
0)</f>
        <v/>
      </c>
      <c r="K412" s="47">
        <f>J412/$J$4</f>
        <v/>
      </c>
      <c r="L412" s="49">
        <f t="array" ref="L412">IFERROR(
SUM(
IF(
'PORTIFÓLIO'!$C$4:$C$564=$A412,
N(INDEX('PORTIFÓLIO'!$J$4:$Q$564,,MATCH(L$2,'PORTIFÓLIO'!$J$3:$Q$3,0))) *
N('PORTIFÓLIO'!$S$4:$S$564),
0
)
),
0)</f>
        <v/>
      </c>
      <c r="M412" s="47">
        <f>L412/$L$4</f>
        <v/>
      </c>
      <c r="N412" s="49">
        <f t="array" ref="N412">IFERROR(
SUM(
IF(
'PORTIFÓLIO'!$C$4:$C$564=$A412,
N(INDEX('PORTIFÓLIO'!$J$4:$Q$564,,MATCH(N$2,'PORTIFÓLIO'!$J$3:$Q$3,0))) *
N('PORTIFÓLIO'!$S$4:$S$564),
0
)
),
0)</f>
        <v/>
      </c>
      <c r="O412" s="49">
        <f>N412/$N$4</f>
        <v/>
      </c>
      <c r="P412" s="49">
        <f t="array" ref="P412">IFERROR(
SUM(
IF(
'PORTIFÓLIO'!$C$4:$C$564=$A412,
N(INDEX('PORTIFÓLIO'!$J$4:$Q$564,,MATCH(P$2,'PORTIFÓLIO'!$J$3:$Q$3,0))) *
N('PORTIFÓLIO'!$S$4:$S$564),
0
)
),
0)</f>
        <v/>
      </c>
      <c r="Q412" s="49">
        <f>P412/$P$4</f>
        <v/>
      </c>
      <c r="R412" s="49">
        <f>SUM(P412,N412,L412,J412,H412,D412,B412)</f>
        <v/>
      </c>
      <c r="S412" s="49">
        <f>R412/$R$4</f>
        <v/>
      </c>
    </row>
    <row r="413" hidden="1" outlineLevel="1" ht="15.75" customHeight="1" s="297">
      <c r="A413" s="42" t="n"/>
      <c r="B413" s="49">
        <f t="array" ref="B413">IFERROR(
SUM(
IF(
'PORTIFÓLIO'!$C$4:$C$564=$A413,
N(INDEX('PORTIFÓLIO'!$J$4:$Q$564,,MATCH(B$2,'PORTIFÓLIO'!$J$3:$Q$3,0))) *
N('PORTIFÓLIO'!$S$4:$S$564),
0
)
),
0)</f>
        <v/>
      </c>
      <c r="C413" s="49">
        <f>B413/$B$4</f>
        <v/>
      </c>
      <c r="D413" s="49">
        <f t="array" ref="D413">IFERROR(
SUM(
IF(
'PORTIFÓLIO'!$C$4:$C$564=$A413,
N(INDEX('PORTIFÓLIO'!$J$4:$Q$564,,MATCH(D$2,'PORTIFÓLIO'!$J$3:$Q$3,0))) *
N('PORTIFÓLIO'!$S$4:$S$564),
0
)
),
0)</f>
        <v/>
      </c>
      <c r="E413" s="49">
        <f>D413/$B$4</f>
        <v/>
      </c>
      <c r="F413" s="49">
        <f t="array" ref="F413">IFERROR(
SUM(
IF(
'PORTIFÓLIO'!$C$4:$C$564=$A413,
N(INDEX('PORTIFÓLIO'!$J$4:$Q$564,,MATCH(F$2,'PORTIFÓLIO'!$J$3:$Q$3,0))) *
N('PORTIFÓLIO'!$S$4:$S$564),
0
)
),
0)</f>
        <v/>
      </c>
      <c r="G413" s="47">
        <f>F413/$F$4</f>
        <v/>
      </c>
      <c r="H413" s="49">
        <f t="array" ref="H413">IFERROR(
SUM(
IF(
'PORTIFÓLIO'!$C$4:$C$564=$A413,
N(INDEX('PORTIFÓLIO'!$J$4:$Q$564,,MATCH(H$2,'PORTIFÓLIO'!$J$3:$Q$3,0))) *
N('PORTIFÓLIO'!$S$4:$S$564),
0
)
),
0)</f>
        <v/>
      </c>
      <c r="I413" s="47">
        <f>H413/$H$4</f>
        <v/>
      </c>
      <c r="J413" s="49">
        <f t="array" ref="J413">IFERROR(
SUM(
IF(
'PORTIFÓLIO'!$C$4:$C$564=$A413,
N(INDEX('PORTIFÓLIO'!$J$4:$Q$564,,MATCH(J$2,'PORTIFÓLIO'!$J$3:$Q$3,0))) *
N('PORTIFÓLIO'!$S$4:$S$564),
0
)
),
0)</f>
        <v/>
      </c>
      <c r="K413" s="47">
        <f>J413/$J$4</f>
        <v/>
      </c>
      <c r="L413" s="49">
        <f t="array" ref="L413">IFERROR(
SUM(
IF(
'PORTIFÓLIO'!$C$4:$C$564=$A413,
N(INDEX('PORTIFÓLIO'!$J$4:$Q$564,,MATCH(L$2,'PORTIFÓLIO'!$J$3:$Q$3,0))) *
N('PORTIFÓLIO'!$S$4:$S$564),
0
)
),
0)</f>
        <v/>
      </c>
      <c r="M413" s="47">
        <f>L413/$L$4</f>
        <v/>
      </c>
      <c r="N413" s="49">
        <f t="array" ref="N413">IFERROR(
SUM(
IF(
'PORTIFÓLIO'!$C$4:$C$564=$A413,
N(INDEX('PORTIFÓLIO'!$J$4:$Q$564,,MATCH(N$2,'PORTIFÓLIO'!$J$3:$Q$3,0))) *
N('PORTIFÓLIO'!$S$4:$S$564),
0
)
),
0)</f>
        <v/>
      </c>
      <c r="O413" s="49">
        <f>N413/$N$4</f>
        <v/>
      </c>
      <c r="P413" s="49">
        <f t="array" ref="P413">IFERROR(
SUM(
IF(
'PORTIFÓLIO'!$C$4:$C$564=$A413,
N(INDEX('PORTIFÓLIO'!$J$4:$Q$564,,MATCH(P$2,'PORTIFÓLIO'!$J$3:$Q$3,0))) *
N('PORTIFÓLIO'!$S$4:$S$564),
0
)
),
0)</f>
        <v/>
      </c>
      <c r="Q413" s="49">
        <f>P413/$P$4</f>
        <v/>
      </c>
      <c r="R413" s="49">
        <f>SUM(P413,N413,L413,J413,H413,D413,B413)</f>
        <v/>
      </c>
      <c r="S413" s="49">
        <f>R413/$R$4</f>
        <v/>
      </c>
    </row>
    <row r="414" hidden="1" outlineLevel="1" ht="15.75" customHeight="1" s="297">
      <c r="A414" s="42" t="n"/>
      <c r="B414" s="49">
        <f t="array" ref="B414">IFERROR(
SUM(
IF(
'PORTIFÓLIO'!$C$4:$C$564=$A414,
N(INDEX('PORTIFÓLIO'!$J$4:$Q$564,,MATCH(B$2,'PORTIFÓLIO'!$J$3:$Q$3,0))) *
N('PORTIFÓLIO'!$S$4:$S$564),
0
)
),
0)</f>
        <v/>
      </c>
      <c r="C414" s="49">
        <f>B414/$B$4</f>
        <v/>
      </c>
      <c r="D414" s="49">
        <f t="array" ref="D414">IFERROR(
SUM(
IF(
'PORTIFÓLIO'!$C$4:$C$564=$A414,
N(INDEX('PORTIFÓLIO'!$J$4:$Q$564,,MATCH(D$2,'PORTIFÓLIO'!$J$3:$Q$3,0))) *
N('PORTIFÓLIO'!$S$4:$S$564),
0
)
),
0)</f>
        <v/>
      </c>
      <c r="E414" s="49">
        <f>D414/$B$4</f>
        <v/>
      </c>
      <c r="F414" s="49">
        <f t="array" ref="F414">IFERROR(
SUM(
IF(
'PORTIFÓLIO'!$C$4:$C$564=$A414,
N(INDEX('PORTIFÓLIO'!$J$4:$Q$564,,MATCH(F$2,'PORTIFÓLIO'!$J$3:$Q$3,0))) *
N('PORTIFÓLIO'!$S$4:$S$564),
0
)
),
0)</f>
        <v/>
      </c>
      <c r="G414" s="47">
        <f>F414/$F$4</f>
        <v/>
      </c>
      <c r="H414" s="49">
        <f t="array" ref="H414">IFERROR(
SUM(
IF(
'PORTIFÓLIO'!$C$4:$C$564=$A414,
N(INDEX('PORTIFÓLIO'!$J$4:$Q$564,,MATCH(H$2,'PORTIFÓLIO'!$J$3:$Q$3,0))) *
N('PORTIFÓLIO'!$S$4:$S$564),
0
)
),
0)</f>
        <v/>
      </c>
      <c r="I414" s="47">
        <f>H414/$H$4</f>
        <v/>
      </c>
      <c r="J414" s="49">
        <f t="array" ref="J414">IFERROR(
SUM(
IF(
'PORTIFÓLIO'!$C$4:$C$564=$A414,
N(INDEX('PORTIFÓLIO'!$J$4:$Q$564,,MATCH(J$2,'PORTIFÓLIO'!$J$3:$Q$3,0))) *
N('PORTIFÓLIO'!$S$4:$S$564),
0
)
),
0)</f>
        <v/>
      </c>
      <c r="K414" s="47">
        <f>J414/$J$4</f>
        <v/>
      </c>
      <c r="L414" s="49">
        <f t="array" ref="L414">IFERROR(
SUM(
IF(
'PORTIFÓLIO'!$C$4:$C$564=$A414,
N(INDEX('PORTIFÓLIO'!$J$4:$Q$564,,MATCH(L$2,'PORTIFÓLIO'!$J$3:$Q$3,0))) *
N('PORTIFÓLIO'!$S$4:$S$564),
0
)
),
0)</f>
        <v/>
      </c>
      <c r="M414" s="47">
        <f>L414/$L$4</f>
        <v/>
      </c>
      <c r="N414" s="49">
        <f t="array" ref="N414">IFERROR(
SUM(
IF(
'PORTIFÓLIO'!$C$4:$C$564=$A414,
N(INDEX('PORTIFÓLIO'!$J$4:$Q$564,,MATCH(N$2,'PORTIFÓLIO'!$J$3:$Q$3,0))) *
N('PORTIFÓLIO'!$S$4:$S$564),
0
)
),
0)</f>
        <v/>
      </c>
      <c r="O414" s="49">
        <f>N414/$N$4</f>
        <v/>
      </c>
      <c r="P414" s="49">
        <f t="array" ref="P414">IFERROR(
SUM(
IF(
'PORTIFÓLIO'!$C$4:$C$564=$A414,
N(INDEX('PORTIFÓLIO'!$J$4:$Q$564,,MATCH(P$2,'PORTIFÓLIO'!$J$3:$Q$3,0))) *
N('PORTIFÓLIO'!$S$4:$S$564),
0
)
),
0)</f>
        <v/>
      </c>
      <c r="Q414" s="49">
        <f>P414/$P$4</f>
        <v/>
      </c>
      <c r="R414" s="49">
        <f>SUM(P414,N414,L414,J414,H414,D414,B414)</f>
        <v/>
      </c>
      <c r="S414" s="49">
        <f>R414/$R$4</f>
        <v/>
      </c>
    </row>
    <row r="415" hidden="1" outlineLevel="1" ht="15.75" customHeight="1" s="297">
      <c r="A415" s="42" t="n"/>
      <c r="B415" s="49">
        <f t="array" ref="B415">IFERROR(
SUM(
IF(
'PORTIFÓLIO'!$C$4:$C$564=$A415,
N(INDEX('PORTIFÓLIO'!$J$4:$Q$564,,MATCH(B$2,'PORTIFÓLIO'!$J$3:$Q$3,0))) *
N('PORTIFÓLIO'!$S$4:$S$564),
0
)
),
0)</f>
        <v/>
      </c>
      <c r="C415" s="49">
        <f>B415/$B$4</f>
        <v/>
      </c>
      <c r="D415" s="49">
        <f t="array" ref="D415">IFERROR(
SUM(
IF(
'PORTIFÓLIO'!$C$4:$C$564=$A415,
N(INDEX('PORTIFÓLIO'!$J$4:$Q$564,,MATCH(D$2,'PORTIFÓLIO'!$J$3:$Q$3,0))) *
N('PORTIFÓLIO'!$S$4:$S$564),
0
)
),
0)</f>
        <v/>
      </c>
      <c r="E415" s="49">
        <f>D415/$B$4</f>
        <v/>
      </c>
      <c r="F415" s="49">
        <f t="array" ref="F415">IFERROR(
SUM(
IF(
'PORTIFÓLIO'!$C$4:$C$564=$A415,
N(INDEX('PORTIFÓLIO'!$J$4:$Q$564,,MATCH(F$2,'PORTIFÓLIO'!$J$3:$Q$3,0))) *
N('PORTIFÓLIO'!$S$4:$S$564),
0
)
),
0)</f>
        <v/>
      </c>
      <c r="G415" s="47">
        <f>F415/$F$4</f>
        <v/>
      </c>
      <c r="H415" s="49">
        <f t="array" ref="H415">IFERROR(
SUM(
IF(
'PORTIFÓLIO'!$C$4:$C$564=$A415,
N(INDEX('PORTIFÓLIO'!$J$4:$Q$564,,MATCH(H$2,'PORTIFÓLIO'!$J$3:$Q$3,0))) *
N('PORTIFÓLIO'!$S$4:$S$564),
0
)
),
0)</f>
        <v/>
      </c>
      <c r="I415" s="47">
        <f>H415/$H$4</f>
        <v/>
      </c>
      <c r="J415" s="49">
        <f t="array" ref="J415">IFERROR(
SUM(
IF(
'PORTIFÓLIO'!$C$4:$C$564=$A415,
N(INDEX('PORTIFÓLIO'!$J$4:$Q$564,,MATCH(J$2,'PORTIFÓLIO'!$J$3:$Q$3,0))) *
N('PORTIFÓLIO'!$S$4:$S$564),
0
)
),
0)</f>
        <v/>
      </c>
      <c r="K415" s="47">
        <f>J415/$J$4</f>
        <v/>
      </c>
      <c r="L415" s="49">
        <f t="array" ref="L415">IFERROR(
SUM(
IF(
'PORTIFÓLIO'!$C$4:$C$564=$A415,
N(INDEX('PORTIFÓLIO'!$J$4:$Q$564,,MATCH(L$2,'PORTIFÓLIO'!$J$3:$Q$3,0))) *
N('PORTIFÓLIO'!$S$4:$S$564),
0
)
),
0)</f>
        <v/>
      </c>
      <c r="M415" s="47">
        <f>L415/$L$4</f>
        <v/>
      </c>
      <c r="N415" s="49">
        <f t="array" ref="N415">IFERROR(
SUM(
IF(
'PORTIFÓLIO'!$C$4:$C$564=$A415,
N(INDEX('PORTIFÓLIO'!$J$4:$Q$564,,MATCH(N$2,'PORTIFÓLIO'!$J$3:$Q$3,0))) *
N('PORTIFÓLIO'!$S$4:$S$564),
0
)
),
0)</f>
        <v/>
      </c>
      <c r="O415" s="49">
        <f>N415/$N$4</f>
        <v/>
      </c>
      <c r="P415" s="49">
        <f t="array" ref="P415">IFERROR(
SUM(
IF(
'PORTIFÓLIO'!$C$4:$C$564=$A415,
N(INDEX('PORTIFÓLIO'!$J$4:$Q$564,,MATCH(P$2,'PORTIFÓLIO'!$J$3:$Q$3,0))) *
N('PORTIFÓLIO'!$S$4:$S$564),
0
)
),
0)</f>
        <v/>
      </c>
      <c r="Q415" s="49">
        <f>P415/$P$4</f>
        <v/>
      </c>
      <c r="R415" s="49">
        <f>SUM(P415,N415,L415,J415,H415,D415,B415)</f>
        <v/>
      </c>
      <c r="S415" s="49">
        <f>R415/$R$4</f>
        <v/>
      </c>
    </row>
    <row r="416" hidden="1" outlineLevel="1" ht="15.75" customHeight="1" s="297">
      <c r="A416" s="42" t="n"/>
      <c r="B416" s="49">
        <f t="array" ref="B416">IFERROR(
SUM(
IF(
'PORTIFÓLIO'!$C$4:$C$564=$A416,
N(INDEX('PORTIFÓLIO'!$J$4:$Q$564,,MATCH(B$2,'PORTIFÓLIO'!$J$3:$Q$3,0))) *
N('PORTIFÓLIO'!$S$4:$S$564),
0
)
),
0)</f>
        <v/>
      </c>
      <c r="C416" s="49">
        <f>B416/$B$4</f>
        <v/>
      </c>
      <c r="D416" s="49">
        <f t="array" ref="D416">IFERROR(
SUM(
IF(
'PORTIFÓLIO'!$C$4:$C$564=$A416,
N(INDEX('PORTIFÓLIO'!$J$4:$Q$564,,MATCH(D$2,'PORTIFÓLIO'!$J$3:$Q$3,0))) *
N('PORTIFÓLIO'!$S$4:$S$564),
0
)
),
0)</f>
        <v/>
      </c>
      <c r="E416" s="49">
        <f>D416/$B$4</f>
        <v/>
      </c>
      <c r="F416" s="49">
        <f t="array" ref="F416">IFERROR(
SUM(
IF(
'PORTIFÓLIO'!$C$4:$C$564=$A416,
N(INDEX('PORTIFÓLIO'!$J$4:$Q$564,,MATCH(F$2,'PORTIFÓLIO'!$J$3:$Q$3,0))) *
N('PORTIFÓLIO'!$S$4:$S$564),
0
)
),
0)</f>
        <v/>
      </c>
      <c r="G416" s="47">
        <f>F416/$F$4</f>
        <v/>
      </c>
      <c r="H416" s="49">
        <f t="array" ref="H416">IFERROR(
SUM(
IF(
'PORTIFÓLIO'!$C$4:$C$564=$A416,
N(INDEX('PORTIFÓLIO'!$J$4:$Q$564,,MATCH(H$2,'PORTIFÓLIO'!$J$3:$Q$3,0))) *
N('PORTIFÓLIO'!$S$4:$S$564),
0
)
),
0)</f>
        <v/>
      </c>
      <c r="I416" s="47">
        <f>H416/$H$4</f>
        <v/>
      </c>
      <c r="J416" s="49">
        <f t="array" ref="J416">IFERROR(
SUM(
IF(
'PORTIFÓLIO'!$C$4:$C$564=$A416,
N(INDEX('PORTIFÓLIO'!$J$4:$Q$564,,MATCH(J$2,'PORTIFÓLIO'!$J$3:$Q$3,0))) *
N('PORTIFÓLIO'!$S$4:$S$564),
0
)
),
0)</f>
        <v/>
      </c>
      <c r="K416" s="47">
        <f>J416/$J$4</f>
        <v/>
      </c>
      <c r="L416" s="49">
        <f t="array" ref="L416">IFERROR(
SUM(
IF(
'PORTIFÓLIO'!$C$4:$C$564=$A416,
N(INDEX('PORTIFÓLIO'!$J$4:$Q$564,,MATCH(L$2,'PORTIFÓLIO'!$J$3:$Q$3,0))) *
N('PORTIFÓLIO'!$S$4:$S$564),
0
)
),
0)</f>
        <v/>
      </c>
      <c r="M416" s="47">
        <f>L416/$L$4</f>
        <v/>
      </c>
      <c r="N416" s="49">
        <f t="array" ref="N416">IFERROR(
SUM(
IF(
'PORTIFÓLIO'!$C$4:$C$564=$A416,
N(INDEX('PORTIFÓLIO'!$J$4:$Q$564,,MATCH(N$2,'PORTIFÓLIO'!$J$3:$Q$3,0))) *
N('PORTIFÓLIO'!$S$4:$S$564),
0
)
),
0)</f>
        <v/>
      </c>
      <c r="O416" s="49">
        <f>N416/$N$4</f>
        <v/>
      </c>
      <c r="P416" s="49">
        <f t="array" ref="P416">IFERROR(
SUM(
IF(
'PORTIFÓLIO'!$C$4:$C$564=$A416,
N(INDEX('PORTIFÓLIO'!$J$4:$Q$564,,MATCH(P$2,'PORTIFÓLIO'!$J$3:$Q$3,0))) *
N('PORTIFÓLIO'!$S$4:$S$564),
0
)
),
0)</f>
        <v/>
      </c>
      <c r="Q416" s="49">
        <f>P416/$P$4</f>
        <v/>
      </c>
      <c r="R416" s="49">
        <f>SUM(P416,N416,L416,J416,H416,D416,B416)</f>
        <v/>
      </c>
      <c r="S416" s="49">
        <f>R416/$R$4</f>
        <v/>
      </c>
    </row>
    <row r="417" hidden="1" outlineLevel="1" ht="15.75" customHeight="1" s="297">
      <c r="A417" s="42" t="n"/>
      <c r="B417" s="49">
        <f t="array" ref="B417">IFERROR(
SUM(
IF(
'PORTIFÓLIO'!$C$4:$C$564=$A417,
N(INDEX('PORTIFÓLIO'!$J$4:$Q$564,,MATCH(B$2,'PORTIFÓLIO'!$J$3:$Q$3,0))) *
N('PORTIFÓLIO'!$S$4:$S$564),
0
)
),
0)</f>
        <v/>
      </c>
      <c r="C417" s="49">
        <f>B417/$B$4</f>
        <v/>
      </c>
      <c r="D417" s="49">
        <f t="array" ref="D417">IFERROR(
SUM(
IF(
'PORTIFÓLIO'!$C$4:$C$564=$A417,
N(INDEX('PORTIFÓLIO'!$J$4:$Q$564,,MATCH(D$2,'PORTIFÓLIO'!$J$3:$Q$3,0))) *
N('PORTIFÓLIO'!$S$4:$S$564),
0
)
),
0)</f>
        <v/>
      </c>
      <c r="E417" s="49">
        <f>D417/$B$4</f>
        <v/>
      </c>
      <c r="F417" s="49">
        <f t="array" ref="F417">IFERROR(
SUM(
IF(
'PORTIFÓLIO'!$C$4:$C$564=$A417,
N(INDEX('PORTIFÓLIO'!$J$4:$Q$564,,MATCH(F$2,'PORTIFÓLIO'!$J$3:$Q$3,0))) *
N('PORTIFÓLIO'!$S$4:$S$564),
0
)
),
0)</f>
        <v/>
      </c>
      <c r="G417" s="47">
        <f>F417/$F$4</f>
        <v/>
      </c>
      <c r="H417" s="49">
        <f t="array" ref="H417">IFERROR(
SUM(
IF(
'PORTIFÓLIO'!$C$4:$C$564=$A417,
N(INDEX('PORTIFÓLIO'!$J$4:$Q$564,,MATCH(H$2,'PORTIFÓLIO'!$J$3:$Q$3,0))) *
N('PORTIFÓLIO'!$S$4:$S$564),
0
)
),
0)</f>
        <v/>
      </c>
      <c r="I417" s="47">
        <f>H417/$H$4</f>
        <v/>
      </c>
      <c r="J417" s="49">
        <f t="array" ref="J417">IFERROR(
SUM(
IF(
'PORTIFÓLIO'!$C$4:$C$564=$A417,
N(INDEX('PORTIFÓLIO'!$J$4:$Q$564,,MATCH(J$2,'PORTIFÓLIO'!$J$3:$Q$3,0))) *
N('PORTIFÓLIO'!$S$4:$S$564),
0
)
),
0)</f>
        <v/>
      </c>
      <c r="K417" s="47">
        <f>J417/$J$4</f>
        <v/>
      </c>
      <c r="L417" s="49">
        <f t="array" ref="L417">IFERROR(
SUM(
IF(
'PORTIFÓLIO'!$C$4:$C$564=$A417,
N(INDEX('PORTIFÓLIO'!$J$4:$Q$564,,MATCH(L$2,'PORTIFÓLIO'!$J$3:$Q$3,0))) *
N('PORTIFÓLIO'!$S$4:$S$564),
0
)
),
0)</f>
        <v/>
      </c>
      <c r="M417" s="47">
        <f>L417/$L$4</f>
        <v/>
      </c>
      <c r="N417" s="49">
        <f t="array" ref="N417">IFERROR(
SUM(
IF(
'PORTIFÓLIO'!$C$4:$C$564=$A417,
N(INDEX('PORTIFÓLIO'!$J$4:$Q$564,,MATCH(N$2,'PORTIFÓLIO'!$J$3:$Q$3,0))) *
N('PORTIFÓLIO'!$S$4:$S$564),
0
)
),
0)</f>
        <v/>
      </c>
      <c r="O417" s="49">
        <f>N417/$N$4</f>
        <v/>
      </c>
      <c r="P417" s="49">
        <f t="array" ref="P417">IFERROR(
SUM(
IF(
'PORTIFÓLIO'!$C$4:$C$564=$A417,
N(INDEX('PORTIFÓLIO'!$J$4:$Q$564,,MATCH(P$2,'PORTIFÓLIO'!$J$3:$Q$3,0))) *
N('PORTIFÓLIO'!$S$4:$S$564),
0
)
),
0)</f>
        <v/>
      </c>
      <c r="Q417" s="49">
        <f>P417/$P$4</f>
        <v/>
      </c>
      <c r="R417" s="49">
        <f>SUM(P417,N417,L417,J417,H417,D417,B417)</f>
        <v/>
      </c>
      <c r="S417" s="49">
        <f>R417/$R$4</f>
        <v/>
      </c>
    </row>
    <row r="418" hidden="1" outlineLevel="1" ht="15.75" customHeight="1" s="297">
      <c r="A418" s="42" t="n"/>
      <c r="B418" s="49">
        <f t="array" ref="B418">IFERROR(
SUM(
IF(
'PORTIFÓLIO'!$C$4:$C$564=$A418,
N(INDEX('PORTIFÓLIO'!$J$4:$Q$564,,MATCH(B$2,'PORTIFÓLIO'!$J$3:$Q$3,0))) *
N('PORTIFÓLIO'!$S$4:$S$564),
0
)
),
0)</f>
        <v/>
      </c>
      <c r="C418" s="49">
        <f>B418/$B$4</f>
        <v/>
      </c>
      <c r="D418" s="49">
        <f t="array" ref="D418">IFERROR(
SUM(
IF(
'PORTIFÓLIO'!$C$4:$C$564=$A418,
N(INDEX('PORTIFÓLIO'!$J$4:$Q$564,,MATCH(D$2,'PORTIFÓLIO'!$J$3:$Q$3,0))) *
N('PORTIFÓLIO'!$S$4:$S$564),
0
)
),
0)</f>
        <v/>
      </c>
      <c r="E418" s="49">
        <f>D418/$B$4</f>
        <v/>
      </c>
      <c r="F418" s="49">
        <f t="array" ref="F418">IFERROR(
SUM(
IF(
'PORTIFÓLIO'!$C$4:$C$564=$A418,
N(INDEX('PORTIFÓLIO'!$J$4:$Q$564,,MATCH(F$2,'PORTIFÓLIO'!$J$3:$Q$3,0))) *
N('PORTIFÓLIO'!$S$4:$S$564),
0
)
),
0)</f>
        <v/>
      </c>
      <c r="G418" s="47">
        <f>F418/$F$4</f>
        <v/>
      </c>
      <c r="H418" s="49">
        <f t="array" ref="H418">IFERROR(
SUM(
IF(
'PORTIFÓLIO'!$C$4:$C$564=$A418,
N(INDEX('PORTIFÓLIO'!$J$4:$Q$564,,MATCH(H$2,'PORTIFÓLIO'!$J$3:$Q$3,0))) *
N('PORTIFÓLIO'!$S$4:$S$564),
0
)
),
0)</f>
        <v/>
      </c>
      <c r="I418" s="47">
        <f>H418/$H$4</f>
        <v/>
      </c>
      <c r="J418" s="49">
        <f t="array" ref="J418">IFERROR(
SUM(
IF(
'PORTIFÓLIO'!$C$4:$C$564=$A418,
N(INDEX('PORTIFÓLIO'!$J$4:$Q$564,,MATCH(J$2,'PORTIFÓLIO'!$J$3:$Q$3,0))) *
N('PORTIFÓLIO'!$S$4:$S$564),
0
)
),
0)</f>
        <v/>
      </c>
      <c r="K418" s="47">
        <f>J418/$J$4</f>
        <v/>
      </c>
      <c r="L418" s="49">
        <f t="array" ref="L418">IFERROR(
SUM(
IF(
'PORTIFÓLIO'!$C$4:$C$564=$A418,
N(INDEX('PORTIFÓLIO'!$J$4:$Q$564,,MATCH(L$2,'PORTIFÓLIO'!$J$3:$Q$3,0))) *
N('PORTIFÓLIO'!$S$4:$S$564),
0
)
),
0)</f>
        <v/>
      </c>
      <c r="M418" s="47">
        <f>L418/$L$4</f>
        <v/>
      </c>
      <c r="N418" s="49">
        <f t="array" ref="N418">IFERROR(
SUM(
IF(
'PORTIFÓLIO'!$C$4:$C$564=$A418,
N(INDEX('PORTIFÓLIO'!$J$4:$Q$564,,MATCH(N$2,'PORTIFÓLIO'!$J$3:$Q$3,0))) *
N('PORTIFÓLIO'!$S$4:$S$564),
0
)
),
0)</f>
        <v/>
      </c>
      <c r="O418" s="49">
        <f>N418/$N$4</f>
        <v/>
      </c>
      <c r="P418" s="49">
        <f t="array" ref="P418">IFERROR(
SUM(
IF(
'PORTIFÓLIO'!$C$4:$C$564=$A418,
N(INDEX('PORTIFÓLIO'!$J$4:$Q$564,,MATCH(P$2,'PORTIFÓLIO'!$J$3:$Q$3,0))) *
N('PORTIFÓLIO'!$S$4:$S$564),
0
)
),
0)</f>
        <v/>
      </c>
      <c r="Q418" s="49">
        <f>P418/$P$4</f>
        <v/>
      </c>
      <c r="R418" s="49">
        <f>SUM(P418,N418,L418,J418,H418,D418,B418)</f>
        <v/>
      </c>
      <c r="S418" s="49">
        <f>R418/$R$4</f>
        <v/>
      </c>
    </row>
    <row r="419" hidden="1" outlineLevel="1" ht="15.75" customHeight="1" s="297">
      <c r="A419" s="42" t="n"/>
      <c r="B419" s="49">
        <f t="array" ref="B419">IFERROR(
SUM(
IF(
'PORTIFÓLIO'!$C$4:$C$564=$A419,
N(INDEX('PORTIFÓLIO'!$J$4:$Q$564,,MATCH(B$2,'PORTIFÓLIO'!$J$3:$Q$3,0))) *
N('PORTIFÓLIO'!$S$4:$S$564),
0
)
),
0)</f>
        <v/>
      </c>
      <c r="C419" s="49">
        <f>B419/$B$4</f>
        <v/>
      </c>
      <c r="D419" s="49">
        <f t="array" ref="D419">IFERROR(
SUM(
IF(
'PORTIFÓLIO'!$C$4:$C$564=$A419,
N(INDEX('PORTIFÓLIO'!$J$4:$Q$564,,MATCH(D$2,'PORTIFÓLIO'!$J$3:$Q$3,0))) *
N('PORTIFÓLIO'!$S$4:$S$564),
0
)
),
0)</f>
        <v/>
      </c>
      <c r="E419" s="49">
        <f>D419/$B$4</f>
        <v/>
      </c>
      <c r="F419" s="49">
        <f t="array" ref="F419">IFERROR(
SUM(
IF(
'PORTIFÓLIO'!$C$4:$C$564=$A419,
N(INDEX('PORTIFÓLIO'!$J$4:$Q$564,,MATCH(F$2,'PORTIFÓLIO'!$J$3:$Q$3,0))) *
N('PORTIFÓLIO'!$S$4:$S$564),
0
)
),
0)</f>
        <v/>
      </c>
      <c r="G419" s="47">
        <f>F419/$F$4</f>
        <v/>
      </c>
      <c r="H419" s="49">
        <f t="array" ref="H419">IFERROR(
SUM(
IF(
'PORTIFÓLIO'!$C$4:$C$564=$A419,
N(INDEX('PORTIFÓLIO'!$J$4:$Q$564,,MATCH(H$2,'PORTIFÓLIO'!$J$3:$Q$3,0))) *
N('PORTIFÓLIO'!$S$4:$S$564),
0
)
),
0)</f>
        <v/>
      </c>
      <c r="I419" s="47">
        <f>H419/$H$4</f>
        <v/>
      </c>
      <c r="J419" s="49">
        <f t="array" ref="J419">IFERROR(
SUM(
IF(
'PORTIFÓLIO'!$C$4:$C$564=$A419,
N(INDEX('PORTIFÓLIO'!$J$4:$Q$564,,MATCH(J$2,'PORTIFÓLIO'!$J$3:$Q$3,0))) *
N('PORTIFÓLIO'!$S$4:$S$564),
0
)
),
0)</f>
        <v/>
      </c>
      <c r="K419" s="47">
        <f>J419/$J$4</f>
        <v/>
      </c>
      <c r="L419" s="49">
        <f t="array" ref="L419">IFERROR(
SUM(
IF(
'PORTIFÓLIO'!$C$4:$C$564=$A419,
N(INDEX('PORTIFÓLIO'!$J$4:$Q$564,,MATCH(L$2,'PORTIFÓLIO'!$J$3:$Q$3,0))) *
N('PORTIFÓLIO'!$S$4:$S$564),
0
)
),
0)</f>
        <v/>
      </c>
      <c r="M419" s="47">
        <f>L419/$L$4</f>
        <v/>
      </c>
      <c r="N419" s="49">
        <f t="array" ref="N419">IFERROR(
SUM(
IF(
'PORTIFÓLIO'!$C$4:$C$564=$A419,
N(INDEX('PORTIFÓLIO'!$J$4:$Q$564,,MATCH(N$2,'PORTIFÓLIO'!$J$3:$Q$3,0))) *
N('PORTIFÓLIO'!$S$4:$S$564),
0
)
),
0)</f>
        <v/>
      </c>
      <c r="O419" s="49">
        <f>N419/$N$4</f>
        <v/>
      </c>
      <c r="P419" s="49">
        <f t="array" ref="P419">IFERROR(
SUM(
IF(
'PORTIFÓLIO'!$C$4:$C$564=$A419,
N(INDEX('PORTIFÓLIO'!$J$4:$Q$564,,MATCH(P$2,'PORTIFÓLIO'!$J$3:$Q$3,0))) *
N('PORTIFÓLIO'!$S$4:$S$564),
0
)
),
0)</f>
        <v/>
      </c>
      <c r="Q419" s="49">
        <f>P419/$P$4</f>
        <v/>
      </c>
      <c r="R419" s="49">
        <f>SUM(P419,N419,L419,J419,H419,D419,B419)</f>
        <v/>
      </c>
      <c r="S419" s="49">
        <f>R419/$R$4</f>
        <v/>
      </c>
    </row>
    <row r="420" hidden="1" outlineLevel="1" ht="15.75" customHeight="1" s="297">
      <c r="A420" s="42" t="n"/>
      <c r="B420" s="49">
        <f t="array" ref="B420">IFERROR(
SUM(
IF(
'PORTIFÓLIO'!$C$4:$C$564=$A420,
N(INDEX('PORTIFÓLIO'!$J$4:$Q$564,,MATCH(B$2,'PORTIFÓLIO'!$J$3:$Q$3,0))) *
N('PORTIFÓLIO'!$S$4:$S$564),
0
)
),
0)</f>
        <v/>
      </c>
      <c r="C420" s="49">
        <f>B420/$B$4</f>
        <v/>
      </c>
      <c r="D420" s="49">
        <f t="array" ref="D420">IFERROR(
SUM(
IF(
'PORTIFÓLIO'!$C$4:$C$564=$A420,
N(INDEX('PORTIFÓLIO'!$J$4:$Q$564,,MATCH(D$2,'PORTIFÓLIO'!$J$3:$Q$3,0))) *
N('PORTIFÓLIO'!$S$4:$S$564),
0
)
),
0)</f>
        <v/>
      </c>
      <c r="E420" s="49">
        <f>D420/$B$4</f>
        <v/>
      </c>
      <c r="F420" s="49">
        <f t="array" ref="F420">IFERROR(
SUM(
IF(
'PORTIFÓLIO'!$C$4:$C$564=$A420,
N(INDEX('PORTIFÓLIO'!$J$4:$Q$564,,MATCH(F$2,'PORTIFÓLIO'!$J$3:$Q$3,0))) *
N('PORTIFÓLIO'!$S$4:$S$564),
0
)
),
0)</f>
        <v/>
      </c>
      <c r="G420" s="47">
        <f>F420/$F$4</f>
        <v/>
      </c>
      <c r="H420" s="49">
        <f t="array" ref="H420">IFERROR(
SUM(
IF(
'PORTIFÓLIO'!$C$4:$C$564=$A420,
N(INDEX('PORTIFÓLIO'!$J$4:$Q$564,,MATCH(H$2,'PORTIFÓLIO'!$J$3:$Q$3,0))) *
N('PORTIFÓLIO'!$S$4:$S$564),
0
)
),
0)</f>
        <v/>
      </c>
      <c r="I420" s="47">
        <f>H420/$H$4</f>
        <v/>
      </c>
      <c r="J420" s="49">
        <f t="array" ref="J420">IFERROR(
SUM(
IF(
'PORTIFÓLIO'!$C$4:$C$564=$A420,
N(INDEX('PORTIFÓLIO'!$J$4:$Q$564,,MATCH(J$2,'PORTIFÓLIO'!$J$3:$Q$3,0))) *
N('PORTIFÓLIO'!$S$4:$S$564),
0
)
),
0)</f>
        <v/>
      </c>
      <c r="K420" s="47">
        <f>J420/$J$4</f>
        <v/>
      </c>
      <c r="L420" s="49">
        <f t="array" ref="L420">IFERROR(
SUM(
IF(
'PORTIFÓLIO'!$C$4:$C$564=$A420,
N(INDEX('PORTIFÓLIO'!$J$4:$Q$564,,MATCH(L$2,'PORTIFÓLIO'!$J$3:$Q$3,0))) *
N('PORTIFÓLIO'!$S$4:$S$564),
0
)
),
0)</f>
        <v/>
      </c>
      <c r="M420" s="47">
        <f>L420/$L$4</f>
        <v/>
      </c>
      <c r="N420" s="49">
        <f t="array" ref="N420">IFERROR(
SUM(
IF(
'PORTIFÓLIO'!$C$4:$C$564=$A420,
N(INDEX('PORTIFÓLIO'!$J$4:$Q$564,,MATCH(N$2,'PORTIFÓLIO'!$J$3:$Q$3,0))) *
N('PORTIFÓLIO'!$S$4:$S$564),
0
)
),
0)</f>
        <v/>
      </c>
      <c r="O420" s="49">
        <f>N420/$N$4</f>
        <v/>
      </c>
      <c r="P420" s="49">
        <f t="array" ref="P420">IFERROR(
SUM(
IF(
'PORTIFÓLIO'!$C$4:$C$564=$A420,
N(INDEX('PORTIFÓLIO'!$J$4:$Q$564,,MATCH(P$2,'PORTIFÓLIO'!$J$3:$Q$3,0))) *
N('PORTIFÓLIO'!$S$4:$S$564),
0
)
),
0)</f>
        <v/>
      </c>
      <c r="Q420" s="49">
        <f>P420/$P$4</f>
        <v/>
      </c>
      <c r="R420" s="49">
        <f>SUM(P420,N420,L420,J420,H420,D420,B420)</f>
        <v/>
      </c>
      <c r="S420" s="49">
        <f>R420/$R$4</f>
        <v/>
      </c>
    </row>
    <row r="421" collapsed="1" ht="15.75" customHeight="1" s="297">
      <c r="A421" s="46" t="inlineStr">
        <is>
          <t>COMBUSTÍVEL</t>
        </is>
      </c>
      <c r="B421" s="50">
        <f>SUM(B422:B457)</f>
        <v/>
      </c>
      <c r="C421" s="50">
        <f>B421/$B$4</f>
        <v/>
      </c>
      <c r="D421" s="50">
        <f>SUM(D422:D457)</f>
        <v/>
      </c>
      <c r="E421" s="50">
        <f>D421/$D$4</f>
        <v/>
      </c>
      <c r="F421" s="50">
        <f>SUM(F422:F457)</f>
        <v/>
      </c>
      <c r="G421" s="47">
        <f>F421/$F$4</f>
        <v/>
      </c>
      <c r="H421" s="50">
        <f>SUM(H422:H457)</f>
        <v/>
      </c>
      <c r="I421" s="47">
        <f>H421/$H$4</f>
        <v/>
      </c>
      <c r="J421" s="50">
        <f>SUM(J422:J457)</f>
        <v/>
      </c>
      <c r="K421" s="47">
        <f>J421/$J$4</f>
        <v/>
      </c>
      <c r="L421" s="50">
        <f>SUM(L422:L457)</f>
        <v/>
      </c>
      <c r="M421" s="47">
        <f>L421/$L$4</f>
        <v/>
      </c>
      <c r="N421" s="50">
        <f>SUM(N422:N457)</f>
        <v/>
      </c>
      <c r="O421" s="50">
        <f>N421/$N$4</f>
        <v/>
      </c>
      <c r="P421" s="50">
        <f>SUM(P422:P457)</f>
        <v/>
      </c>
      <c r="Q421" s="49">
        <f>P421/$P$4</f>
        <v/>
      </c>
      <c r="R421" s="50">
        <f>SUM(P421,N421,L421,J421,H421,D421,B421)</f>
        <v/>
      </c>
      <c r="S421" s="50">
        <f>R421/$R$4</f>
        <v/>
      </c>
    </row>
    <row r="422" hidden="1" outlineLevel="1" ht="15.75" customHeight="1" s="297">
      <c r="A422" s="42">
        <f>IFERROR(__xludf.DUMMYFUNCTION("UNIQUE(FILTER('PORTIFÓLIO'!C:C, 'PORTIFÓLIO'!B:B=""MÁQUINAS""))"),"CASE STEIGER 420 + HORSCH MAESTRO DUO 36.50")</f>
        <v/>
      </c>
      <c r="B422" s="49">
        <f t="array" ref="B422">IFERROR(
SUM(
IF(
'PORTIFÓLIO'!$C$4:$C$564=$A422,
N(INDEX('PORTIFÓLIO'!$J$4:$Q$564,,MATCH(B$2,'PORTIFÓLIO'!$J$3:$Q$3,0))) *
N('PORTIFÓLIO'!$S$4:$S$564),
0
)
),
0)</f>
        <v/>
      </c>
      <c r="C422" s="49">
        <f>B422/$B$4</f>
        <v/>
      </c>
      <c r="D422" s="49">
        <f t="array" ref="D422">IFERROR(
SUM(
IF(
'PORTIFÓLIO'!$C$4:$C$564=$A422,
N(INDEX('PORTIFÓLIO'!$J$4:$Q$564,,MATCH(D$2,'PORTIFÓLIO'!$J$3:$Q$3,0))) *
N('PORTIFÓLIO'!$S$4:$S$564),
0
)
),
0)</f>
        <v/>
      </c>
      <c r="E422" s="49">
        <f>D422/$D$4</f>
        <v/>
      </c>
      <c r="F422" s="49">
        <f t="array" ref="F422">IFERROR(
SUM(
IF(
'PORTIFÓLIO'!$C$4:$C$564=$A422,
N(INDEX('PORTIFÓLIO'!$J$4:$Q$564,,MATCH(F$2,'PORTIFÓLIO'!$J$3:$Q$3,0))) *
N('PORTIFÓLIO'!$S$4:$S$564),
0
)
),
0)</f>
        <v/>
      </c>
      <c r="G422" s="47">
        <f>F422/$F$4</f>
        <v/>
      </c>
      <c r="H422" s="49">
        <f t="array" ref="H422">IFERROR(
SUM(
IF(
'PORTIFÓLIO'!$C$4:$C$564=$A422,
N(INDEX('PORTIFÓLIO'!$J$4:$Q$564,,MATCH(H$2,'PORTIFÓLIO'!$J$3:$Q$3,0))) *
N('PORTIFÓLIO'!$S$4:$S$564),
0
)
),
0)</f>
        <v/>
      </c>
      <c r="I422" s="47">
        <f>H422/$H$4</f>
        <v/>
      </c>
      <c r="J422" s="49">
        <f t="array" ref="J422">IFERROR(
SUM(
IF(
'PORTIFÓLIO'!$C$4:$C$564=$A422,
N(INDEX('PORTIFÓLIO'!$J$4:$Q$564,,MATCH(J$2,'PORTIFÓLIO'!$J$3:$Q$3,0))) *
N('PORTIFÓLIO'!$S$4:$S$564),
0
)
),
0)</f>
        <v/>
      </c>
      <c r="K422" s="47">
        <f>J422/$J$4</f>
        <v/>
      </c>
      <c r="L422" s="49">
        <f t="array" ref="L422">IFERROR(
SUM(
IF(
'PORTIFÓLIO'!$C$4:$C$564=$A422,
N(INDEX('PORTIFÓLIO'!$J$4:$Q$564,,MATCH(L$2,'PORTIFÓLIO'!$J$3:$Q$3,0))) *
N('PORTIFÓLIO'!$S$4:$S$564),
0
)
),
0)</f>
        <v/>
      </c>
      <c r="M422" s="47">
        <f>L422/$L$4</f>
        <v/>
      </c>
      <c r="N422" s="49">
        <f t="array" ref="N422">IFERROR(
SUM(
IF(
'PORTIFÓLIO'!$C$4:$C$564=$A422,
N(INDEX('PORTIFÓLIO'!$J$4:$Q$564,,MATCH(N$2,'PORTIFÓLIO'!$J$3:$Q$3,0))) *
N('PORTIFÓLIO'!$S$4:$S$564),
0
)
),
0)</f>
        <v/>
      </c>
      <c r="O422" s="49">
        <f>N422/$N$4</f>
        <v/>
      </c>
      <c r="P422" s="49">
        <f t="array" ref="P422">IFERROR(
SUM(
IF(
'PORTIFÓLIO'!$C$4:$C$564=$A422,
N(INDEX('PORTIFÓLIO'!$J$4:$Q$564,,MATCH(P$2,'PORTIFÓLIO'!$J$3:$Q$3,0))) *
N('PORTIFÓLIO'!$S$4:$S$564),
0
)
),
0)</f>
        <v/>
      </c>
      <c r="Q422" s="49">
        <f>P422/$P$4</f>
        <v/>
      </c>
      <c r="R422" s="43">
        <f>SUM(P422,N422,L422,J422,H422,D422,B422)</f>
        <v/>
      </c>
      <c r="S422" s="43">
        <f>R422/$R$4</f>
        <v/>
      </c>
    </row>
    <row r="423" hidden="1" outlineLevel="1" ht="15.75" customHeight="1" s="297">
      <c r="A423" s="42">
        <f>IFERROR(__xludf.DUMMYFUNCTION("""COMPUTED_VALUE"""),"CASE MAGNUM 340 + - CASE ASM 1213")</f>
        <v/>
      </c>
      <c r="B423" s="49">
        <f t="array" ref="B423">IFERROR(
SUM(
IF(
'PORTIFÓLIO'!$C$4:$C$564=$A423,
N(INDEX('PORTIFÓLIO'!$J$4:$Q$564,,MATCH(B$2,'PORTIFÓLIO'!$J$3:$Q$3,0))) *
N('PORTIFÓLIO'!$S$4:$S$564),
0
)
),
0)</f>
        <v/>
      </c>
      <c r="C423" s="49">
        <f>B423/$B$4</f>
        <v/>
      </c>
      <c r="D423" s="49">
        <f t="array" ref="D423">IFERROR(
SUM(
IF(
'PORTIFÓLIO'!$C$4:$C$564=$A423,
N(INDEX('PORTIFÓLIO'!$J$4:$Q$564,,MATCH(D$2,'PORTIFÓLIO'!$J$3:$Q$3,0))) *
N('PORTIFÓLIO'!$S$4:$S$564),
0
)
),
0)</f>
        <v/>
      </c>
      <c r="E423" s="49">
        <f>D423/$D$4</f>
        <v/>
      </c>
      <c r="F423" s="49">
        <f t="array" ref="F423">IFERROR(
SUM(
IF(
'PORTIFÓLIO'!$C$4:$C$564=$A423,
N(INDEX('PORTIFÓLIO'!$J$4:$Q$564,,MATCH(F$2,'PORTIFÓLIO'!$J$3:$Q$3,0))) *
N('PORTIFÓLIO'!$S$4:$S$564),
0
)
),
0)</f>
        <v/>
      </c>
      <c r="G423" s="47">
        <f>F423/$F$4</f>
        <v/>
      </c>
      <c r="H423" s="49">
        <f t="array" ref="H423">IFERROR(
SUM(
IF(
'PORTIFÓLIO'!$C$4:$C$564=$A423,
N(INDEX('PORTIFÓLIO'!$J$4:$Q$564,,MATCH(H$2,'PORTIFÓLIO'!$J$3:$Q$3,0))) *
N('PORTIFÓLIO'!$S$4:$S$564),
0
)
),
0)</f>
        <v/>
      </c>
      <c r="I423" s="47">
        <f>H423/$H$4</f>
        <v/>
      </c>
      <c r="J423" s="49">
        <f t="array" ref="J423">IFERROR(
SUM(
IF(
'PORTIFÓLIO'!$C$4:$C$564=$A423,
N(INDEX('PORTIFÓLIO'!$J$4:$Q$564,,MATCH(J$2,'PORTIFÓLIO'!$J$3:$Q$3,0))) *
N('PORTIFÓLIO'!$S$4:$S$564),
0
)
),
0)</f>
        <v/>
      </c>
      <c r="K423" s="47">
        <f>J423/$J$4</f>
        <v/>
      </c>
      <c r="L423" s="49">
        <f t="array" ref="L423">IFERROR(
SUM(
IF(
'PORTIFÓLIO'!$C$4:$C$564=$A423,
N(INDEX('PORTIFÓLIO'!$J$4:$Q$564,,MATCH(L$2,'PORTIFÓLIO'!$J$3:$Q$3,0))) *
N('PORTIFÓLIO'!$S$4:$S$564),
0
)
),
0)</f>
        <v/>
      </c>
      <c r="M423" s="47">
        <f>L423/$L$4</f>
        <v/>
      </c>
      <c r="N423" s="49">
        <f t="array" ref="N423">IFERROR(
SUM(
IF(
'PORTIFÓLIO'!$C$4:$C$564=$A423,
N(INDEX('PORTIFÓLIO'!$J$4:$Q$564,,MATCH(N$2,'PORTIFÓLIO'!$J$3:$Q$3,0))) *
N('PORTIFÓLIO'!$S$4:$S$564),
0
)
),
0)</f>
        <v/>
      </c>
      <c r="O423" s="49">
        <f>N423/$N$4</f>
        <v/>
      </c>
      <c r="P423" s="49">
        <f t="array" ref="P423">IFERROR(
SUM(
IF(
'PORTIFÓLIO'!$C$4:$C$564=$A423,
N(INDEX('PORTIFÓLIO'!$J$4:$Q$564,,MATCH(P$2,'PORTIFÓLIO'!$J$3:$Q$3,0))) *
N('PORTIFÓLIO'!$S$4:$S$564),
0
)
),
0)</f>
        <v/>
      </c>
      <c r="Q423" s="49">
        <f>P423/$P$4</f>
        <v/>
      </c>
      <c r="R423" s="43" t="n"/>
      <c r="S423" s="43" t="n"/>
    </row>
    <row r="424" hidden="1" outlineLevel="1" ht="15.75" customHeight="1" s="297">
      <c r="A424" s="42">
        <f>IFERROR(__xludf.DUMMYFUNCTION("""COMPUTED_VALUE"""),"CR 8.90 NEW HOLLAND + 880 CF45")</f>
        <v/>
      </c>
      <c r="B424" s="49">
        <f t="array" ref="B424">IFERROR(
SUM(
IF(
'PORTIFÓLIO'!$C$4:$C$564=$A424,
N(INDEX('PORTIFÓLIO'!$J$4:$Q$564,,MATCH(B$2,'PORTIFÓLIO'!$J$3:$Q$3,0))) *
N('PORTIFÓLIO'!$S$4:$S$564),
0
)
),
0)</f>
        <v/>
      </c>
      <c r="C424" s="49">
        <f>B424/$B$4</f>
        <v/>
      </c>
      <c r="D424" s="49">
        <f t="array" ref="D424">IFERROR(
SUM(
IF(
'PORTIFÓLIO'!$C$4:$C$564=$A424,
N(INDEX('PORTIFÓLIO'!$J$4:$Q$564,,MATCH(D$2,'PORTIFÓLIO'!$J$3:$Q$3,0))) *
N('PORTIFÓLIO'!$S$4:$S$564),
0
)
),
0)</f>
        <v/>
      </c>
      <c r="E424" s="49">
        <f>D424/$D$4</f>
        <v/>
      </c>
      <c r="F424" s="49">
        <f t="array" ref="F424">IFERROR(
SUM(
IF(
'PORTIFÓLIO'!$C$4:$C$564=$A424,
N(INDEX('PORTIFÓLIO'!$J$4:$Q$564,,MATCH(F$2,'PORTIFÓLIO'!$J$3:$Q$3,0))) *
N('PORTIFÓLIO'!$S$4:$S$564),
0
)
),
0)</f>
        <v/>
      </c>
      <c r="G424" s="47">
        <f>F424/$F$4</f>
        <v/>
      </c>
      <c r="H424" s="49">
        <f t="array" ref="H424">IFERROR(
SUM(
IF(
'PORTIFÓLIO'!$C$4:$C$564=$A424,
N(INDEX('PORTIFÓLIO'!$J$4:$Q$564,,MATCH(H$2,'PORTIFÓLIO'!$J$3:$Q$3,0))) *
N('PORTIFÓLIO'!$S$4:$S$564),
0
)
),
0)</f>
        <v/>
      </c>
      <c r="I424" s="47">
        <f>H424/$H$4</f>
        <v/>
      </c>
      <c r="J424" s="49">
        <f t="array" ref="J424">IFERROR(
SUM(
IF(
'PORTIFÓLIO'!$C$4:$C$564=$A424,
N(INDEX('PORTIFÓLIO'!$J$4:$Q$564,,MATCH(J$2,'PORTIFÓLIO'!$J$3:$Q$3,0))) *
N('PORTIFÓLIO'!$S$4:$S$564),
0
)
),
0)</f>
        <v/>
      </c>
      <c r="K424" s="47">
        <f>J424/$J$4</f>
        <v/>
      </c>
      <c r="L424" s="49">
        <f t="array" ref="L424">IFERROR(
SUM(
IF(
'PORTIFÓLIO'!$C$4:$C$564=$A424,
N(INDEX('PORTIFÓLIO'!$J$4:$Q$564,,MATCH(L$2,'PORTIFÓLIO'!$J$3:$Q$3,0))) *
N('PORTIFÓLIO'!$S$4:$S$564),
0
)
),
0)</f>
        <v/>
      </c>
      <c r="M424" s="47">
        <f>L424/$L$4</f>
        <v/>
      </c>
      <c r="N424" s="49">
        <f t="array" ref="N424">IFERROR(
SUM(
IF(
'PORTIFÓLIO'!$C$4:$C$564=$A424,
N(INDEX('PORTIFÓLIO'!$J$4:$Q$564,,MATCH(N$2,'PORTIFÓLIO'!$J$3:$Q$3,0))) *
N('PORTIFÓLIO'!$S$4:$S$564),
0
)
),
0)</f>
        <v/>
      </c>
      <c r="O424" s="49">
        <f>N424/$N$4</f>
        <v/>
      </c>
      <c r="P424" s="49">
        <f t="array" ref="P424">IFERROR(
SUM(
IF(
'PORTIFÓLIO'!$C$4:$C$564=$A424,
N(INDEX('PORTIFÓLIO'!$J$4:$Q$564,,MATCH(P$2,'PORTIFÓLIO'!$J$3:$Q$3,0))) *
N('PORTIFÓLIO'!$S$4:$S$564),
0
)
),
0)</f>
        <v/>
      </c>
      <c r="Q424" s="49">
        <f>P424/$P$4</f>
        <v/>
      </c>
      <c r="R424" s="43" t="n"/>
      <c r="S424" s="43" t="n"/>
    </row>
    <row r="425" hidden="1" outlineLevel="1" ht="15.75" customHeight="1" s="297">
      <c r="A425" s="42">
        <f>IFERROR(__xludf.DUMMYFUNCTION("""COMPUTED_VALUE"""),"COLHETADEIRA - NH-CR9060 + 740 CF30 AGRIDREPER")</f>
        <v/>
      </c>
      <c r="B425" s="49">
        <f t="array" ref="B425">IFERROR(
SUM(
IF(
'PORTIFÓLIO'!$C$4:$C$564=$A425,
N(INDEX('PORTIFÓLIO'!$J$4:$Q$564,,MATCH(B$2,'PORTIFÓLIO'!$J$3:$Q$3,0))) *
N('PORTIFÓLIO'!$S$4:$S$564),
0
)
),
0)</f>
        <v/>
      </c>
      <c r="C425" s="49">
        <f>B425/$B$4</f>
        <v/>
      </c>
      <c r="D425" s="49">
        <f t="array" ref="D425">IFERROR(
SUM(
IF(
'PORTIFÓLIO'!$C$4:$C$564=$A425,
N(INDEX('PORTIFÓLIO'!$J$4:$Q$564,,MATCH(D$2,'PORTIFÓLIO'!$J$3:$Q$3,0))) *
N('PORTIFÓLIO'!$S$4:$S$564),
0
)
),
0)</f>
        <v/>
      </c>
      <c r="E425" s="49">
        <f>D425/$D$4</f>
        <v/>
      </c>
      <c r="F425" s="49">
        <f t="array" ref="F425">IFERROR(
SUM(
IF(
'PORTIFÓLIO'!$C$4:$C$564=$A425,
N(INDEX('PORTIFÓLIO'!$J$4:$Q$564,,MATCH(F$2,'PORTIFÓLIO'!$J$3:$Q$3,0))) *
N('PORTIFÓLIO'!$S$4:$S$564),
0
)
),
0)</f>
        <v/>
      </c>
      <c r="G425" s="47">
        <f>F425/$F$4</f>
        <v/>
      </c>
      <c r="H425" s="49">
        <f t="array" ref="H425">IFERROR(
SUM(
IF(
'PORTIFÓLIO'!$C$4:$C$564=$A425,
N(INDEX('PORTIFÓLIO'!$J$4:$Q$564,,MATCH(H$2,'PORTIFÓLIO'!$J$3:$Q$3,0))) *
N('PORTIFÓLIO'!$S$4:$S$564),
0
)
),
0)</f>
        <v/>
      </c>
      <c r="I425" s="47">
        <f>H425/$H$4</f>
        <v/>
      </c>
      <c r="J425" s="49">
        <f t="array" ref="J425">IFERROR(
SUM(
IF(
'PORTIFÓLIO'!$C$4:$C$564=$A425,
N(INDEX('PORTIFÓLIO'!$J$4:$Q$564,,MATCH(J$2,'PORTIFÓLIO'!$J$3:$Q$3,0))) *
N('PORTIFÓLIO'!$S$4:$S$564),
0
)
),
0)</f>
        <v/>
      </c>
      <c r="K425" s="47">
        <f>J425/$J$4</f>
        <v/>
      </c>
      <c r="L425" s="49">
        <f t="array" ref="L425">IFERROR(
SUM(
IF(
'PORTIFÓLIO'!$C$4:$C$564=$A425,
N(INDEX('PORTIFÓLIO'!$J$4:$Q$564,,MATCH(L$2,'PORTIFÓLIO'!$J$3:$Q$3,0))) *
N('PORTIFÓLIO'!$S$4:$S$564),
0
)
),
0)</f>
        <v/>
      </c>
      <c r="M425" s="47">
        <f>L425/$L$4</f>
        <v/>
      </c>
      <c r="N425" s="49">
        <f t="array" ref="N425">IFERROR(
SUM(
IF(
'PORTIFÓLIO'!$C$4:$C$564=$A425,
N(INDEX('PORTIFÓLIO'!$J$4:$Q$564,,MATCH(N$2,'PORTIFÓLIO'!$J$3:$Q$3,0))) *
N('PORTIFÓLIO'!$S$4:$S$564),
0
)
),
0)</f>
        <v/>
      </c>
      <c r="O425" s="49">
        <f>N425/$N$4</f>
        <v/>
      </c>
      <c r="P425" s="49">
        <f t="array" ref="P425">IFERROR(
SUM(
IF(
'PORTIFÓLIO'!$C$4:$C$564=$A425,
N(INDEX('PORTIFÓLIO'!$J$4:$Q$564,,MATCH(P$2,'PORTIFÓLIO'!$J$3:$Q$3,0))) *
N('PORTIFÓLIO'!$S$4:$S$564),
0
)
),
0)</f>
        <v/>
      </c>
      <c r="Q425" s="49">
        <f>P425/$P$4</f>
        <v/>
      </c>
      <c r="R425" s="43" t="n"/>
      <c r="S425" s="43" t="n"/>
    </row>
    <row r="426" hidden="1" outlineLevel="1" ht="15.75" customHeight="1" s="297">
      <c r="A426" s="42">
        <f>IFERROR(__xludf.DUMMYFUNCTION("""COMPUTED_VALUE"""),"COLHETADEIRA CR7.80 + MACDON 35F")</f>
        <v/>
      </c>
      <c r="B426" s="49">
        <f t="array" ref="B426">IFERROR(
SUM(
IF(
'PORTIFÓLIO'!$C$4:$C$564=$A426,
N(INDEX('PORTIFÓLIO'!$J$4:$Q$564,,MATCH(B$2,'PORTIFÓLIO'!$J$3:$Q$3,0))) *
N('PORTIFÓLIO'!$S$4:$S$564),
0
)
),
0)</f>
        <v/>
      </c>
      <c r="C426" s="49">
        <f>B426/$B$4</f>
        <v/>
      </c>
      <c r="D426" s="49">
        <f t="array" ref="D426">IFERROR(
SUM(
IF(
'PORTIFÓLIO'!$C$4:$C$564=$A426,
N(INDEX('PORTIFÓLIO'!$J$4:$Q$564,,MATCH(D$2,'PORTIFÓLIO'!$J$3:$Q$3,0))) *
N('PORTIFÓLIO'!$S$4:$S$564),
0
)
),
0)</f>
        <v/>
      </c>
      <c r="E426" s="49">
        <f>D426/$D$4</f>
        <v/>
      </c>
      <c r="F426" s="49">
        <f t="array" ref="F426">IFERROR(
SUM(
IF(
'PORTIFÓLIO'!$C$4:$C$564=$A426,
N(INDEX('PORTIFÓLIO'!$J$4:$Q$564,,MATCH(F$2,'PORTIFÓLIO'!$J$3:$Q$3,0))) *
N('PORTIFÓLIO'!$S$4:$S$564),
0
)
),
0)</f>
        <v/>
      </c>
      <c r="G426" s="47">
        <f>F426/$F$4</f>
        <v/>
      </c>
      <c r="H426" s="49">
        <f t="array" ref="H426">IFERROR(
SUM(
IF(
'PORTIFÓLIO'!$C$4:$C$564=$A426,
N(INDEX('PORTIFÓLIO'!$J$4:$Q$564,,MATCH(H$2,'PORTIFÓLIO'!$J$3:$Q$3,0))) *
N('PORTIFÓLIO'!$S$4:$S$564),
0
)
),
0)</f>
        <v/>
      </c>
      <c r="I426" s="47">
        <f>H426/$H$4</f>
        <v/>
      </c>
      <c r="J426" s="49">
        <f t="array" ref="J426">IFERROR(
SUM(
IF(
'PORTIFÓLIO'!$C$4:$C$564=$A426,
N(INDEX('PORTIFÓLIO'!$J$4:$Q$564,,MATCH(J$2,'PORTIFÓLIO'!$J$3:$Q$3,0))) *
N('PORTIFÓLIO'!$S$4:$S$564),
0
)
),
0)</f>
        <v/>
      </c>
      <c r="K426" s="47">
        <f>J426/$J$4</f>
        <v/>
      </c>
      <c r="L426" s="49">
        <f t="array" ref="L426">IFERROR(
SUM(
IF(
'PORTIFÓLIO'!$C$4:$C$564=$A426,
N(INDEX('PORTIFÓLIO'!$J$4:$Q$564,,MATCH(L$2,'PORTIFÓLIO'!$J$3:$Q$3,0))) *
N('PORTIFÓLIO'!$S$4:$S$564),
0
)
),
0)</f>
        <v/>
      </c>
      <c r="M426" s="47">
        <f>L426/$L$4</f>
        <v/>
      </c>
      <c r="N426" s="49">
        <f t="array" ref="N426">IFERROR(
SUM(
IF(
'PORTIFÓLIO'!$C$4:$C$564=$A426,
N(INDEX('PORTIFÓLIO'!$J$4:$Q$564,,MATCH(N$2,'PORTIFÓLIO'!$J$3:$Q$3,0))) *
N('PORTIFÓLIO'!$S$4:$S$564),
0
)
),
0)</f>
        <v/>
      </c>
      <c r="O426" s="49">
        <f>N426/$N$4</f>
        <v/>
      </c>
      <c r="P426" s="49">
        <f t="array" ref="P426">IFERROR(
SUM(
IF(
'PORTIFÓLIO'!$C$4:$C$564=$A426,
N(INDEX('PORTIFÓLIO'!$J$4:$Q$564,,MATCH(P$2,'PORTIFÓLIO'!$J$3:$Q$3,0))) *
N('PORTIFÓLIO'!$S$4:$S$564),
0
)
),
0)</f>
        <v/>
      </c>
      <c r="Q426" s="49">
        <f>P426/$P$4</f>
        <v/>
      </c>
      <c r="R426" s="43" t="n"/>
      <c r="S426" s="43" t="n"/>
    </row>
    <row r="427" hidden="1" outlineLevel="1" ht="15.75" customHeight="1" s="297">
      <c r="A427" s="42">
        <f>IFERROR(__xludf.DUMMYFUNCTION("""COMPUTED_VALUE"""),"TRATOR-JD 7500 + BRUTUS 12000")</f>
        <v/>
      </c>
      <c r="B427" s="49">
        <f t="array" ref="B427">IFERROR(
SUM(
IF(
'PORTIFÓLIO'!$C$4:$C$564=$A427,
N(INDEX('PORTIFÓLIO'!$J$4:$Q$564,,MATCH(B$2,'PORTIFÓLIO'!$J$3:$Q$3,0))) *
N('PORTIFÓLIO'!$S$4:$S$564),
0
)
),
0)</f>
        <v/>
      </c>
      <c r="C427" s="49">
        <f>B427/$B$4</f>
        <v/>
      </c>
      <c r="D427" s="49">
        <f t="array" ref="D427">IFERROR(
SUM(
IF(
'PORTIFÓLIO'!$C$4:$C$564=$A427,
N(INDEX('PORTIFÓLIO'!$J$4:$Q$564,,MATCH(D$2,'PORTIFÓLIO'!$J$3:$Q$3,0))) *
N('PORTIFÓLIO'!$S$4:$S$564),
0
)
),
0)</f>
        <v/>
      </c>
      <c r="E427" s="49">
        <f>D427/$D$4</f>
        <v/>
      </c>
      <c r="F427" s="49">
        <f t="array" ref="F427">IFERROR(
SUM(
IF(
'PORTIFÓLIO'!$C$4:$C$564=$A427,
N(INDEX('PORTIFÓLIO'!$J$4:$Q$564,,MATCH(F$2,'PORTIFÓLIO'!$J$3:$Q$3,0))) *
N('PORTIFÓLIO'!$S$4:$S$564),
0
)
),
0)</f>
        <v/>
      </c>
      <c r="G427" s="47">
        <f>F427/$F$4</f>
        <v/>
      </c>
      <c r="H427" s="49">
        <f t="array" ref="H427">IFERROR(
SUM(
IF(
'PORTIFÓLIO'!$C$4:$C$564=$A427,
N(INDEX('PORTIFÓLIO'!$J$4:$Q$564,,MATCH(H$2,'PORTIFÓLIO'!$J$3:$Q$3,0))) *
N('PORTIFÓLIO'!$S$4:$S$564),
0
)
),
0)</f>
        <v/>
      </c>
      <c r="I427" s="47">
        <f>H427/$H$4</f>
        <v/>
      </c>
      <c r="J427" s="49">
        <f t="array" ref="J427">IFERROR(
SUM(
IF(
'PORTIFÓLIO'!$C$4:$C$564=$A427,
N(INDEX('PORTIFÓLIO'!$J$4:$Q$564,,MATCH(J$2,'PORTIFÓLIO'!$J$3:$Q$3,0))) *
N('PORTIFÓLIO'!$S$4:$S$564),
0
)
),
0)</f>
        <v/>
      </c>
      <c r="K427" s="47">
        <f>J427/$J$4</f>
        <v/>
      </c>
      <c r="L427" s="49">
        <f t="array" ref="L427">IFERROR(
SUM(
IF(
'PORTIFÓLIO'!$C$4:$C$564=$A427,
N(INDEX('PORTIFÓLIO'!$J$4:$Q$564,,MATCH(L$2,'PORTIFÓLIO'!$J$3:$Q$3,0))) *
N('PORTIFÓLIO'!$S$4:$S$564),
0
)
),
0)</f>
        <v/>
      </c>
      <c r="M427" s="47">
        <f>L427/$L$4</f>
        <v/>
      </c>
      <c r="N427" s="49">
        <f t="array" ref="N427">IFERROR(
SUM(
IF(
'PORTIFÓLIO'!$C$4:$C$564=$A427,
N(INDEX('PORTIFÓLIO'!$J$4:$Q$564,,MATCH(N$2,'PORTIFÓLIO'!$J$3:$Q$3,0))) *
N('PORTIFÓLIO'!$S$4:$S$564),
0
)
),
0)</f>
        <v/>
      </c>
      <c r="O427" s="49">
        <f>N427/$N$4</f>
        <v/>
      </c>
      <c r="P427" s="49">
        <f t="array" ref="P427">IFERROR(
SUM(
IF(
'PORTIFÓLIO'!$C$4:$C$564=$A427,
N(INDEX('PORTIFÓLIO'!$J$4:$Q$564,,MATCH(P$2,'PORTIFÓLIO'!$J$3:$Q$3,0))) *
N('PORTIFÓLIO'!$S$4:$S$564),
0
)
),
0)</f>
        <v/>
      </c>
      <c r="Q427" s="49">
        <f>P427/$P$4</f>
        <v/>
      </c>
      <c r="R427" s="43" t="n"/>
      <c r="S427" s="43" t="n"/>
    </row>
    <row r="428" hidden="1" outlineLevel="1" ht="15.75" customHeight="1" s="297">
      <c r="A428" s="42">
        <f>IFERROR(__xludf.DUMMYFUNCTION("""COMPUTED_VALUE"""),"TRATOR-JD 7500 + ADUBADORA HERCULES 10000")</f>
        <v/>
      </c>
      <c r="B428" s="49">
        <f t="array" ref="B428">IFERROR(
SUM(
IF(
'PORTIFÓLIO'!$C$4:$C$564=$A428,
N(INDEX('PORTIFÓLIO'!$J$4:$Q$564,,MATCH(B$2,'PORTIFÓLIO'!$J$3:$Q$3,0))) *
N('PORTIFÓLIO'!$S$4:$S$564),
0
)
),
0)</f>
        <v/>
      </c>
      <c r="C428" s="49">
        <f>B428/$B$4</f>
        <v/>
      </c>
      <c r="D428" s="49">
        <f t="array" ref="D428">IFERROR(
SUM(
IF(
'PORTIFÓLIO'!$C$4:$C$564=$A428,
N(INDEX('PORTIFÓLIO'!$J$4:$Q$564,,MATCH(D$2,'PORTIFÓLIO'!$J$3:$Q$3,0))) *
N('PORTIFÓLIO'!$S$4:$S$564),
0
)
),
0)</f>
        <v/>
      </c>
      <c r="E428" s="49">
        <f>D428/$D$4</f>
        <v/>
      </c>
      <c r="F428" s="49">
        <f t="array" ref="F428">IFERROR(
SUM(
IF(
'PORTIFÓLIO'!$C$4:$C$564=$A428,
N(INDEX('PORTIFÓLIO'!$J$4:$Q$564,,MATCH(F$2,'PORTIFÓLIO'!$J$3:$Q$3,0))) *
N('PORTIFÓLIO'!$S$4:$S$564),
0
)
),
0)</f>
        <v/>
      </c>
      <c r="G428" s="47">
        <f>F428/$F$4</f>
        <v/>
      </c>
      <c r="H428" s="49">
        <f t="array" ref="H428">IFERROR(
SUM(
IF(
'PORTIFÓLIO'!$C$4:$C$564=$A428,
N(INDEX('PORTIFÓLIO'!$J$4:$Q$564,,MATCH(H$2,'PORTIFÓLIO'!$J$3:$Q$3,0))) *
N('PORTIFÓLIO'!$S$4:$S$564),
0
)
),
0)</f>
        <v/>
      </c>
      <c r="I428" s="47">
        <f>H428/$H$4</f>
        <v/>
      </c>
      <c r="J428" s="49">
        <f t="array" ref="J428">IFERROR(
SUM(
IF(
'PORTIFÓLIO'!$C$4:$C$564=$A428,
N(INDEX('PORTIFÓLIO'!$J$4:$Q$564,,MATCH(J$2,'PORTIFÓLIO'!$J$3:$Q$3,0))) *
N('PORTIFÓLIO'!$S$4:$S$564),
0
)
),
0)</f>
        <v/>
      </c>
      <c r="K428" s="47">
        <f>J428/$J$4</f>
        <v/>
      </c>
      <c r="L428" s="49">
        <f t="array" ref="L428">IFERROR(
SUM(
IF(
'PORTIFÓLIO'!$C$4:$C$564=$A428,
N(INDEX('PORTIFÓLIO'!$J$4:$Q$564,,MATCH(L$2,'PORTIFÓLIO'!$J$3:$Q$3,0))) *
N('PORTIFÓLIO'!$S$4:$S$564),
0
)
),
0)</f>
        <v/>
      </c>
      <c r="M428" s="47">
        <f>L428/$L$4</f>
        <v/>
      </c>
      <c r="N428" s="49">
        <f t="array" ref="N428">IFERROR(
SUM(
IF(
'PORTIFÓLIO'!$C$4:$C$564=$A428,
N(INDEX('PORTIFÓLIO'!$J$4:$Q$564,,MATCH(N$2,'PORTIFÓLIO'!$J$3:$Q$3,0))) *
N('PORTIFÓLIO'!$S$4:$S$564),
0
)
),
0)</f>
        <v/>
      </c>
      <c r="O428" s="49">
        <f>N428/$N$4</f>
        <v/>
      </c>
      <c r="P428" s="49">
        <f t="array" ref="P428">IFERROR(
SUM(
IF(
'PORTIFÓLIO'!$C$4:$C$564=$A428,
N(INDEX('PORTIFÓLIO'!$J$4:$Q$564,,MATCH(P$2,'PORTIFÓLIO'!$J$3:$Q$3,0))) *
N('PORTIFÓLIO'!$S$4:$S$564),
0
)
),
0)</f>
        <v/>
      </c>
      <c r="Q428" s="49">
        <f>P428/$P$4</f>
        <v/>
      </c>
      <c r="R428" s="43" t="n"/>
      <c r="S428" s="43" t="n"/>
    </row>
    <row r="429" hidden="1" outlineLevel="1" ht="15.75" customHeight="1" s="297">
      <c r="A429" s="42">
        <f>IFERROR(__xludf.DUMMYFUNCTION("""COMPUTED_VALUE"""),"VOLVO NH380 + CAÇAMBA 430SC")</f>
        <v/>
      </c>
      <c r="B429" s="49">
        <f t="array" ref="B429">IFERROR(
SUM(
IF(
'PORTIFÓLIO'!$C$4:$C$564=$A429,
N(INDEX('PORTIFÓLIO'!$J$4:$Q$564,,MATCH(B$2,'PORTIFÓLIO'!$J$3:$Q$3,0))) *
N('PORTIFÓLIO'!$S$4:$S$564),
0
)
),
0)</f>
        <v/>
      </c>
      <c r="C429" s="49">
        <f>B429/$B$4</f>
        <v/>
      </c>
      <c r="D429" s="49">
        <f t="array" ref="D429">IFERROR(
SUM(
IF(
'PORTIFÓLIO'!$C$4:$C$564=$A429,
N(INDEX('PORTIFÓLIO'!$J$4:$Q$564,,MATCH(D$2,'PORTIFÓLIO'!$J$3:$Q$3,0))) *
N('PORTIFÓLIO'!$S$4:$S$564),
0
)
),
0)</f>
        <v/>
      </c>
      <c r="E429" s="49">
        <f>D429/$D$4</f>
        <v/>
      </c>
      <c r="F429" s="49">
        <f t="array" ref="F429">IFERROR(
SUM(
IF(
'PORTIFÓLIO'!$C$4:$C$564=$A429,
N(INDEX('PORTIFÓLIO'!$J$4:$Q$564,,MATCH(F$2,'PORTIFÓLIO'!$J$3:$Q$3,0))) *
N('PORTIFÓLIO'!$S$4:$S$564),
0
)
),
0)</f>
        <v/>
      </c>
      <c r="G429" s="47">
        <f>F429/$F$4</f>
        <v/>
      </c>
      <c r="H429" s="49">
        <f t="array" ref="H429">IFERROR(
SUM(
IF(
'PORTIFÓLIO'!$C$4:$C$564=$A429,
N(INDEX('PORTIFÓLIO'!$J$4:$Q$564,,MATCH(H$2,'PORTIFÓLIO'!$J$3:$Q$3,0))) *
N('PORTIFÓLIO'!$S$4:$S$564),
0
)
),
0)</f>
        <v/>
      </c>
      <c r="I429" s="47">
        <f>H429/$H$4</f>
        <v/>
      </c>
      <c r="J429" s="49">
        <f t="array" ref="J429">IFERROR(
SUM(
IF(
'PORTIFÓLIO'!$C$4:$C$564=$A429,
N(INDEX('PORTIFÓLIO'!$J$4:$Q$564,,MATCH(J$2,'PORTIFÓLIO'!$J$3:$Q$3,0))) *
N('PORTIFÓLIO'!$S$4:$S$564),
0
)
),
0)</f>
        <v/>
      </c>
      <c r="K429" s="47">
        <f>J429/$J$4</f>
        <v/>
      </c>
      <c r="L429" s="49">
        <f t="array" ref="L429">IFERROR(
SUM(
IF(
'PORTIFÓLIO'!$C$4:$C$564=$A429,
N(INDEX('PORTIFÓLIO'!$J$4:$Q$564,,MATCH(L$2,'PORTIFÓLIO'!$J$3:$Q$3,0))) *
N('PORTIFÓLIO'!$S$4:$S$564),
0
)
),
0)</f>
        <v/>
      </c>
      <c r="M429" s="47">
        <f>L429/$L$4</f>
        <v/>
      </c>
      <c r="N429" s="49">
        <f t="array" ref="N429">IFERROR(
SUM(
IF(
'PORTIFÓLIO'!$C$4:$C$564=$A429,
N(INDEX('PORTIFÓLIO'!$J$4:$Q$564,,MATCH(N$2,'PORTIFÓLIO'!$J$3:$Q$3,0))) *
N('PORTIFÓLIO'!$S$4:$S$564),
0
)
),
0)</f>
        <v/>
      </c>
      <c r="O429" s="49">
        <f>N429/$N$4</f>
        <v/>
      </c>
      <c r="P429" s="49">
        <f t="array" ref="P429">IFERROR(
SUM(
IF(
'PORTIFÓLIO'!$C$4:$C$564=$A429,
N(INDEX('PORTIFÓLIO'!$J$4:$Q$564,,MATCH(P$2,'PORTIFÓLIO'!$J$3:$Q$3,0))) *
N('PORTIFÓLIO'!$S$4:$S$564),
0
)
),
0)</f>
        <v/>
      </c>
      <c r="Q429" s="49">
        <f>P429/$P$4</f>
        <v/>
      </c>
      <c r="R429" s="43" t="n"/>
      <c r="S429" s="43" t="n"/>
    </row>
    <row r="430" hidden="1" outlineLevel="1" ht="15.75" customHeight="1" s="297">
      <c r="A430" s="42">
        <f>IFERROR(__xludf.DUMMYFUNCTION("""COMPUTED_VALUE"""),"CASE MAGNUM 340 + SUBSOLADOR 11 ASTES")</f>
        <v/>
      </c>
      <c r="B430" s="49">
        <f t="array" ref="B430">IFERROR(
SUM(
IF(
'PORTIFÓLIO'!$C$4:$C$564=$A430,
N(INDEX('PORTIFÓLIO'!$J$4:$Q$564,,MATCH(B$2,'PORTIFÓLIO'!$J$3:$Q$3,0))) *
N('PORTIFÓLIO'!$S$4:$S$564),
0
)
),
0)</f>
        <v/>
      </c>
      <c r="C430" s="49">
        <f>B430/$B$4</f>
        <v/>
      </c>
      <c r="D430" s="49">
        <f t="array" ref="D430">IFERROR(
SUM(
IF(
'PORTIFÓLIO'!$C$4:$C$564=$A430,
N(INDEX('PORTIFÓLIO'!$J$4:$Q$564,,MATCH(D$2,'PORTIFÓLIO'!$J$3:$Q$3,0))) *
N('PORTIFÓLIO'!$S$4:$S$564),
0
)
),
0)</f>
        <v/>
      </c>
      <c r="E430" s="49">
        <f>D430/$D$4</f>
        <v/>
      </c>
      <c r="F430" s="49">
        <f t="array" ref="F430">IFERROR(
SUM(
IF(
'PORTIFÓLIO'!$C$4:$C$564=$A430,
N(INDEX('PORTIFÓLIO'!$J$4:$Q$564,,MATCH(F$2,'PORTIFÓLIO'!$J$3:$Q$3,0))) *
N('PORTIFÓLIO'!$S$4:$S$564),
0
)
),
0)</f>
        <v/>
      </c>
      <c r="G430" s="47">
        <f>F430/$F$4</f>
        <v/>
      </c>
      <c r="H430" s="49">
        <f t="array" ref="H430">IFERROR(
SUM(
IF(
'PORTIFÓLIO'!$C$4:$C$564=$A430,
N(INDEX('PORTIFÓLIO'!$J$4:$Q$564,,MATCH(H$2,'PORTIFÓLIO'!$J$3:$Q$3,0))) *
N('PORTIFÓLIO'!$S$4:$S$564),
0
)
),
0)</f>
        <v/>
      </c>
      <c r="I430" s="47">
        <f>H430/$H$4</f>
        <v/>
      </c>
      <c r="J430" s="49">
        <f t="array" ref="J430">IFERROR(
SUM(
IF(
'PORTIFÓLIO'!$C$4:$C$564=$A430,
N(INDEX('PORTIFÓLIO'!$J$4:$Q$564,,MATCH(J$2,'PORTIFÓLIO'!$J$3:$Q$3,0))) *
N('PORTIFÓLIO'!$S$4:$S$564),
0
)
),
0)</f>
        <v/>
      </c>
      <c r="K430" s="47">
        <f>J430/$J$4</f>
        <v/>
      </c>
      <c r="L430" s="49">
        <f t="array" ref="L430">IFERROR(
SUM(
IF(
'PORTIFÓLIO'!$C$4:$C$564=$A430,
N(INDEX('PORTIFÓLIO'!$J$4:$Q$564,,MATCH(L$2,'PORTIFÓLIO'!$J$3:$Q$3,0))) *
N('PORTIFÓLIO'!$S$4:$S$564),
0
)
),
0)</f>
        <v/>
      </c>
      <c r="M430" s="47">
        <f>L430/$L$4</f>
        <v/>
      </c>
      <c r="N430" s="49">
        <f t="array" ref="N430">IFERROR(
SUM(
IF(
'PORTIFÓLIO'!$C$4:$C$564=$A430,
N(INDEX('PORTIFÓLIO'!$J$4:$Q$564,,MATCH(N$2,'PORTIFÓLIO'!$J$3:$Q$3,0))) *
N('PORTIFÓLIO'!$S$4:$S$564),
0
)
),
0)</f>
        <v/>
      </c>
      <c r="O430" s="49">
        <f>N430/$N$4</f>
        <v/>
      </c>
      <c r="P430" s="49">
        <f t="array" ref="P430">IFERROR(
SUM(
IF(
'PORTIFÓLIO'!$C$4:$C$564=$A430,
N(INDEX('PORTIFÓLIO'!$J$4:$Q$564,,MATCH(P$2,'PORTIFÓLIO'!$J$3:$Q$3,0))) *
N('PORTIFÓLIO'!$S$4:$S$564),
0
)
),
0)</f>
        <v/>
      </c>
      <c r="Q430" s="49">
        <f>P430/$P$4</f>
        <v/>
      </c>
      <c r="R430" s="43" t="n"/>
      <c r="S430" s="43" t="n"/>
    </row>
    <row r="431" hidden="1" outlineLevel="1" ht="15.75" customHeight="1" s="297">
      <c r="A431" s="42">
        <f>IFERROR(__xludf.DUMMYFUNCTION("""COMPUTED_VALUE"""),"PULVERIZADOR- JD4730 + PULVERIZADOR- JD4730")</f>
        <v/>
      </c>
      <c r="B431" s="49">
        <f t="array" ref="B431">IFERROR(
SUM(
IF(
'PORTIFÓLIO'!$C$4:$C$564=$A431,
N(INDEX('PORTIFÓLIO'!$J$4:$Q$564,,MATCH(B$2,'PORTIFÓLIO'!$J$3:$Q$3,0))) *
N('PORTIFÓLIO'!$S$4:$S$564),
0
)
),
0)</f>
        <v/>
      </c>
      <c r="C431" s="49">
        <f>B431/$B$4</f>
        <v/>
      </c>
      <c r="D431" s="49">
        <f t="array" ref="D431">IFERROR(
SUM(
IF(
'PORTIFÓLIO'!$C$4:$C$564=$A431,
N(INDEX('PORTIFÓLIO'!$J$4:$Q$564,,MATCH(D$2,'PORTIFÓLIO'!$J$3:$Q$3,0))) *
N('PORTIFÓLIO'!$S$4:$S$564),
0
)
),
0)</f>
        <v/>
      </c>
      <c r="E431" s="49">
        <f>D431/$D$4</f>
        <v/>
      </c>
      <c r="F431" s="49">
        <f t="array" ref="F431">IFERROR(
SUM(
IF(
'PORTIFÓLIO'!$C$4:$C$564=$A431,
N(INDEX('PORTIFÓLIO'!$J$4:$Q$564,,MATCH(F$2,'PORTIFÓLIO'!$J$3:$Q$3,0))) *
N('PORTIFÓLIO'!$S$4:$S$564),
0
)
),
0)</f>
        <v/>
      </c>
      <c r="G431" s="47">
        <f>F431/$F$4</f>
        <v/>
      </c>
      <c r="H431" s="49">
        <f t="array" ref="H431">IFERROR(
SUM(
IF(
'PORTIFÓLIO'!$C$4:$C$564=$A431,
N(INDEX('PORTIFÓLIO'!$J$4:$Q$564,,MATCH(H$2,'PORTIFÓLIO'!$J$3:$Q$3,0))) *
N('PORTIFÓLIO'!$S$4:$S$564),
0
)
),
0)</f>
        <v/>
      </c>
      <c r="I431" s="47">
        <f>H431/$H$4</f>
        <v/>
      </c>
      <c r="J431" s="49">
        <f t="array" ref="J431">IFERROR(
SUM(
IF(
'PORTIFÓLIO'!$C$4:$C$564=$A431,
N(INDEX('PORTIFÓLIO'!$J$4:$Q$564,,MATCH(J$2,'PORTIFÓLIO'!$J$3:$Q$3,0))) *
N('PORTIFÓLIO'!$S$4:$S$564),
0
)
),
0)</f>
        <v/>
      </c>
      <c r="K431" s="47">
        <f>J431/$J$4</f>
        <v/>
      </c>
      <c r="L431" s="49">
        <f t="array" ref="L431">IFERROR(
SUM(
IF(
'PORTIFÓLIO'!$C$4:$C$564=$A431,
N(INDEX('PORTIFÓLIO'!$J$4:$Q$564,,MATCH(L$2,'PORTIFÓLIO'!$J$3:$Q$3,0))) *
N('PORTIFÓLIO'!$S$4:$S$564),
0
)
),
0)</f>
        <v/>
      </c>
      <c r="M431" s="47">
        <f>L431/$L$4</f>
        <v/>
      </c>
      <c r="N431" s="49">
        <f t="array" ref="N431">IFERROR(
SUM(
IF(
'PORTIFÓLIO'!$C$4:$C$564=$A431,
N(INDEX('PORTIFÓLIO'!$J$4:$Q$564,,MATCH(N$2,'PORTIFÓLIO'!$J$3:$Q$3,0))) *
N('PORTIFÓLIO'!$S$4:$S$564),
0
)
),
0)</f>
        <v/>
      </c>
      <c r="O431" s="49">
        <f>N431/$N$4</f>
        <v/>
      </c>
      <c r="P431" s="49">
        <f t="array" ref="P431">IFERROR(
SUM(
IF(
'PORTIFÓLIO'!$C$4:$C$564=$A431,
N(INDEX('PORTIFÓLIO'!$J$4:$Q$564,,MATCH(P$2,'PORTIFÓLIO'!$J$3:$Q$3,0))) *
N('PORTIFÓLIO'!$S$4:$S$564),
0
)
),
0)</f>
        <v/>
      </c>
      <c r="Q431" s="49">
        <f>P431/$P$4</f>
        <v/>
      </c>
      <c r="R431" s="43" t="n"/>
      <c r="S431" s="43" t="n"/>
    </row>
    <row r="432" hidden="1" outlineLevel="1" ht="15.75" customHeight="1" s="297">
      <c r="A432" s="42">
        <f>IFERROR(__xludf.DUMMYFUNCTION("""COMPUTED_VALUE"""),"AIR TRATOR AT-502B + AIR TRATOR AT-502B")</f>
        <v/>
      </c>
      <c r="B432" s="49">
        <f t="array" ref="B432">IFERROR(
SUM(
IF(
'PORTIFÓLIO'!$C$4:$C$564=$A432,
N(INDEX('PORTIFÓLIO'!$J$4:$Q$564,,MATCH(B$2,'PORTIFÓLIO'!$J$3:$Q$3,0))) *
N('PORTIFÓLIO'!$S$4:$S$564),
0
)
),
0)</f>
        <v/>
      </c>
      <c r="C432" s="49">
        <f>B432/$B$4</f>
        <v/>
      </c>
      <c r="D432" s="49">
        <f t="array" ref="D432">IFERROR(
SUM(
IF(
'PORTIFÓLIO'!$C$4:$C$564=$A432,
N(INDEX('PORTIFÓLIO'!$J$4:$Q$564,,MATCH(D$2,'PORTIFÓLIO'!$J$3:$Q$3,0))) *
N('PORTIFÓLIO'!$S$4:$S$564),
0
)
),
0)</f>
        <v/>
      </c>
      <c r="E432" s="49">
        <f>D432/$D$4</f>
        <v/>
      </c>
      <c r="F432" s="49">
        <f t="array" ref="F432">IFERROR(
SUM(
IF(
'PORTIFÓLIO'!$C$4:$C$564=$A432,
N(INDEX('PORTIFÓLIO'!$J$4:$Q$564,,MATCH(F$2,'PORTIFÓLIO'!$J$3:$Q$3,0))) *
N('PORTIFÓLIO'!$S$4:$S$564),
0
)
),
0)</f>
        <v/>
      </c>
      <c r="G432" s="47">
        <f>F432/$F$4</f>
        <v/>
      </c>
      <c r="H432" s="49">
        <f t="array" ref="H432">IFERROR(
SUM(
IF(
'PORTIFÓLIO'!$C$4:$C$564=$A432,
N(INDEX('PORTIFÓLIO'!$J$4:$Q$564,,MATCH(H$2,'PORTIFÓLIO'!$J$3:$Q$3,0))) *
N('PORTIFÓLIO'!$S$4:$S$564),
0
)
),
0)</f>
        <v/>
      </c>
      <c r="I432" s="47">
        <f>H432/$H$4</f>
        <v/>
      </c>
      <c r="J432" s="49">
        <f t="array" ref="J432">IFERROR(
SUM(
IF(
'PORTIFÓLIO'!$C$4:$C$564=$A432,
N(INDEX('PORTIFÓLIO'!$J$4:$Q$564,,MATCH(J$2,'PORTIFÓLIO'!$J$3:$Q$3,0))) *
N('PORTIFÓLIO'!$S$4:$S$564),
0
)
),
0)</f>
        <v/>
      </c>
      <c r="K432" s="47">
        <f>J432/$J$4</f>
        <v/>
      </c>
      <c r="L432" s="49">
        <f t="array" ref="L432">IFERROR(
SUM(
IF(
'PORTIFÓLIO'!$C$4:$C$564=$A432,
N(INDEX('PORTIFÓLIO'!$J$4:$Q$564,,MATCH(L$2,'PORTIFÓLIO'!$J$3:$Q$3,0))) *
N('PORTIFÓLIO'!$S$4:$S$564),
0
)
),
0)</f>
        <v/>
      </c>
      <c r="M432" s="47">
        <f>L432/$L$4</f>
        <v/>
      </c>
      <c r="N432" s="49">
        <f t="array" ref="N432">IFERROR(
SUM(
IF(
'PORTIFÓLIO'!$C$4:$C$564=$A432,
N(INDEX('PORTIFÓLIO'!$J$4:$Q$564,,MATCH(N$2,'PORTIFÓLIO'!$J$3:$Q$3,0))) *
N('PORTIFÓLIO'!$S$4:$S$564),
0
)
),
0)</f>
        <v/>
      </c>
      <c r="O432" s="49">
        <f>N432/$N$4</f>
        <v/>
      </c>
      <c r="P432" s="49">
        <f t="array" ref="P432">IFERROR(
SUM(
IF(
'PORTIFÓLIO'!$C$4:$C$564=$A432,
N(INDEX('PORTIFÓLIO'!$J$4:$Q$564,,MATCH(P$2,'PORTIFÓLIO'!$J$3:$Q$3,0))) *
N('PORTIFÓLIO'!$S$4:$S$564),
0
)
),
0)</f>
        <v/>
      </c>
      <c r="Q432" s="49">
        <f>P432/$P$4</f>
        <v/>
      </c>
      <c r="R432" s="43" t="n"/>
      <c r="S432" s="43" t="n"/>
    </row>
    <row r="433" hidden="1" outlineLevel="1" ht="15.75" customHeight="1" s="297">
      <c r="A433" s="42">
        <f>IFERROR(__xludf.DUMMYFUNCTION("""COMPUTED_VALUE"""),"COLHETADEIRA - NH-CR9060 + MILHO BRAVA 11")</f>
        <v/>
      </c>
      <c r="B433" s="49">
        <f t="array" ref="B433">IFERROR(
SUM(
IF(
'PORTIFÓLIO'!$C$4:$C$564=$A433,
N(INDEX('PORTIFÓLIO'!$J$4:$Q$564,,MATCH(B$2,'PORTIFÓLIO'!$J$3:$Q$3,0))) *
N('PORTIFÓLIO'!$S$4:$S$564),
0
)
),
0)</f>
        <v/>
      </c>
      <c r="C433" s="49">
        <f>B433/$B$4</f>
        <v/>
      </c>
      <c r="D433" s="49">
        <f t="array" ref="D433">IFERROR(
SUM(
IF(
'PORTIFÓLIO'!$C$4:$C$564=$A433,
N(INDEX('PORTIFÓLIO'!$J$4:$Q$564,,MATCH(D$2,'PORTIFÓLIO'!$J$3:$Q$3,0))) *
N('PORTIFÓLIO'!$S$4:$S$564),
0
)
),
0)</f>
        <v/>
      </c>
      <c r="E433" s="49">
        <f>D433/$D$4</f>
        <v/>
      </c>
      <c r="F433" s="49">
        <f t="array" ref="F433">IFERROR(
SUM(
IF(
'PORTIFÓLIO'!$C$4:$C$564=$A433,
N(INDEX('PORTIFÓLIO'!$J$4:$Q$564,,MATCH(F$2,'PORTIFÓLIO'!$J$3:$Q$3,0))) *
N('PORTIFÓLIO'!$S$4:$S$564),
0
)
),
0)</f>
        <v/>
      </c>
      <c r="G433" s="47">
        <f>F433/$F$4</f>
        <v/>
      </c>
      <c r="H433" s="49">
        <f t="array" ref="H433">IFERROR(
SUM(
IF(
'PORTIFÓLIO'!$C$4:$C$564=$A433,
N(INDEX('PORTIFÓLIO'!$J$4:$Q$564,,MATCH(H$2,'PORTIFÓLIO'!$J$3:$Q$3,0))) *
N('PORTIFÓLIO'!$S$4:$S$564),
0
)
),
0)</f>
        <v/>
      </c>
      <c r="I433" s="47">
        <f>H433/$H$4</f>
        <v/>
      </c>
      <c r="J433" s="49">
        <f t="array" ref="J433">IFERROR(
SUM(
IF(
'PORTIFÓLIO'!$C$4:$C$564=$A433,
N(INDEX('PORTIFÓLIO'!$J$4:$Q$564,,MATCH(J$2,'PORTIFÓLIO'!$J$3:$Q$3,0))) *
N('PORTIFÓLIO'!$S$4:$S$564),
0
)
),
0)</f>
        <v/>
      </c>
      <c r="K433" s="47">
        <f>J433/$J$4</f>
        <v/>
      </c>
      <c r="L433" s="49">
        <f t="array" ref="L433">IFERROR(
SUM(
IF(
'PORTIFÓLIO'!$C$4:$C$564=$A433,
N(INDEX('PORTIFÓLIO'!$J$4:$Q$564,,MATCH(L$2,'PORTIFÓLIO'!$J$3:$Q$3,0))) *
N('PORTIFÓLIO'!$S$4:$S$564),
0
)
),
0)</f>
        <v/>
      </c>
      <c r="M433" s="47">
        <f>L433/$L$4</f>
        <v/>
      </c>
      <c r="N433" s="49">
        <f t="array" ref="N433">IFERROR(
SUM(
IF(
'PORTIFÓLIO'!$C$4:$C$564=$A433,
N(INDEX('PORTIFÓLIO'!$J$4:$Q$564,,MATCH(N$2,'PORTIFÓLIO'!$J$3:$Q$3,0))) *
N('PORTIFÓLIO'!$S$4:$S$564),
0
)
),
0)</f>
        <v/>
      </c>
      <c r="O433" s="49">
        <f>N433/$N$4</f>
        <v/>
      </c>
      <c r="P433" s="49">
        <f t="array" ref="P433">IFERROR(
SUM(
IF(
'PORTIFÓLIO'!$C$4:$C$564=$A433,
N(INDEX('PORTIFÓLIO'!$J$4:$Q$564,,MATCH(P$2,'PORTIFÓLIO'!$J$3:$Q$3,0))) *
N('PORTIFÓLIO'!$S$4:$S$564),
0
)
),
0)</f>
        <v/>
      </c>
      <c r="Q433" s="49">
        <f>P433/$P$4</f>
        <v/>
      </c>
      <c r="R433" s="43" t="n"/>
      <c r="S433" s="43" t="n"/>
    </row>
    <row r="434" hidden="1" outlineLevel="1" ht="15.75" customHeight="1" s="297">
      <c r="A434" s="42">
        <f>IFERROR(__xludf.DUMMYFUNCTION("""COMPUTED_VALUE"""),"NH T7.260 + JAN 20000")</f>
        <v/>
      </c>
      <c r="B434" s="49">
        <f t="array" ref="B434">IFERROR(
SUM(
IF(
'PORTIFÓLIO'!$C$4:$C$564=$A434,
N(INDEX('PORTIFÓLIO'!$J$4:$Q$564,,MATCH(B$2,'PORTIFÓLIO'!$J$3:$Q$3,0))) *
N('PORTIFÓLIO'!$S$4:$S$564),
0
)
),
0)</f>
        <v/>
      </c>
      <c r="C434" s="49">
        <f>B434/$B$4</f>
        <v/>
      </c>
      <c r="D434" s="49">
        <f t="array" ref="D434">IFERROR(
SUM(
IF(
'PORTIFÓLIO'!$C$4:$C$564=$A434,
N(INDEX('PORTIFÓLIO'!$J$4:$Q$564,,MATCH(D$2,'PORTIFÓLIO'!$J$3:$Q$3,0))) *
N('PORTIFÓLIO'!$S$4:$S$564),
0
)
),
0)</f>
        <v/>
      </c>
      <c r="E434" s="49">
        <f>D434/$D$4</f>
        <v/>
      </c>
      <c r="F434" s="49">
        <f t="array" ref="F434">IFERROR(
SUM(
IF(
'PORTIFÓLIO'!$C$4:$C$564=$A434,
N(INDEX('PORTIFÓLIO'!$J$4:$Q$564,,MATCH(F$2,'PORTIFÓLIO'!$J$3:$Q$3,0))) *
N('PORTIFÓLIO'!$S$4:$S$564),
0
)
),
0)</f>
        <v/>
      </c>
      <c r="G434" s="47">
        <f>F434/$F$4</f>
        <v/>
      </c>
      <c r="H434" s="49">
        <f t="array" ref="H434">IFERROR(
SUM(
IF(
'PORTIFÓLIO'!$C$4:$C$564=$A434,
N(INDEX('PORTIFÓLIO'!$J$4:$Q$564,,MATCH(H$2,'PORTIFÓLIO'!$J$3:$Q$3,0))) *
N('PORTIFÓLIO'!$S$4:$S$564),
0
)
),
0)</f>
        <v/>
      </c>
      <c r="I434" s="47">
        <f>H434/$H$4</f>
        <v/>
      </c>
      <c r="J434" s="49">
        <f t="array" ref="J434">IFERROR(
SUM(
IF(
'PORTIFÓLIO'!$C$4:$C$564=$A434,
N(INDEX('PORTIFÓLIO'!$J$4:$Q$564,,MATCH(J$2,'PORTIFÓLIO'!$J$3:$Q$3,0))) *
N('PORTIFÓLIO'!$S$4:$S$564),
0
)
),
0)</f>
        <v/>
      </c>
      <c r="K434" s="47">
        <f>J434/$J$4</f>
        <v/>
      </c>
      <c r="L434" s="49">
        <f t="array" ref="L434">IFERROR(
SUM(
IF(
'PORTIFÓLIO'!$C$4:$C$564=$A434,
N(INDEX('PORTIFÓLIO'!$J$4:$Q$564,,MATCH(L$2,'PORTIFÓLIO'!$J$3:$Q$3,0))) *
N('PORTIFÓLIO'!$S$4:$S$564),
0
)
),
0)</f>
        <v/>
      </c>
      <c r="M434" s="47">
        <f>L434/$L$4</f>
        <v/>
      </c>
      <c r="N434" s="49">
        <f t="array" ref="N434">IFERROR(
SUM(
IF(
'PORTIFÓLIO'!$C$4:$C$564=$A434,
N(INDEX('PORTIFÓLIO'!$J$4:$Q$564,,MATCH(N$2,'PORTIFÓLIO'!$J$3:$Q$3,0))) *
N('PORTIFÓLIO'!$S$4:$S$564),
0
)
),
0)</f>
        <v/>
      </c>
      <c r="O434" s="49">
        <f>N434/$N$4</f>
        <v/>
      </c>
      <c r="P434" s="49">
        <f t="array" ref="P434">IFERROR(
SUM(
IF(
'PORTIFÓLIO'!$C$4:$C$564=$A434,
N(INDEX('PORTIFÓLIO'!$J$4:$Q$564,,MATCH(P$2,'PORTIFÓLIO'!$J$3:$Q$3,0))) *
N('PORTIFÓLIO'!$S$4:$S$564),
0
)
),
0)</f>
        <v/>
      </c>
      <c r="Q434" s="49">
        <f>P434/$P$4</f>
        <v/>
      </c>
      <c r="R434" s="43" t="n"/>
      <c r="S434" s="43" t="n"/>
    </row>
    <row r="435" hidden="1" outlineLevel="1" ht="15.75" customHeight="1" s="297">
      <c r="A435" s="42">
        <f>IFERROR(__xludf.DUMMYFUNCTION("""COMPUTED_VALUE"""),"NH T8.355 + - JD2122")</f>
        <v/>
      </c>
      <c r="B435" s="49">
        <f t="array" ref="B435">IFERROR(
SUM(
IF(
'PORTIFÓLIO'!$C$4:$C$564=$A435,
N(INDEX('PORTIFÓLIO'!$J$4:$Q$564,,MATCH(B$2,'PORTIFÓLIO'!$J$3:$Q$3,0))) *
N('PORTIFÓLIO'!$S$4:$S$564),
0
)
),
0)</f>
        <v/>
      </c>
      <c r="C435" s="49">
        <f>B435/$B$4</f>
        <v/>
      </c>
      <c r="D435" s="49">
        <f t="array" ref="D435">IFERROR(
SUM(
IF(
'PORTIFÓLIO'!$C$4:$C$564=$A435,
N(INDEX('PORTIFÓLIO'!$J$4:$Q$564,,MATCH(D$2,'PORTIFÓLIO'!$J$3:$Q$3,0))) *
N('PORTIFÓLIO'!$S$4:$S$564),
0
)
),
0)</f>
        <v/>
      </c>
      <c r="E435" s="49">
        <f>D435/$D$4</f>
        <v/>
      </c>
      <c r="F435" s="49">
        <f t="array" ref="F435">IFERROR(
SUM(
IF(
'PORTIFÓLIO'!$C$4:$C$564=$A435,
N(INDEX('PORTIFÓLIO'!$J$4:$Q$564,,MATCH(F$2,'PORTIFÓLIO'!$J$3:$Q$3,0))) *
N('PORTIFÓLIO'!$S$4:$S$564),
0
)
),
0)</f>
        <v/>
      </c>
      <c r="G435" s="47">
        <f>F435/$F$4</f>
        <v/>
      </c>
      <c r="H435" s="49">
        <f t="array" ref="H435">IFERROR(
SUM(
IF(
'PORTIFÓLIO'!$C$4:$C$564=$A435,
N(INDEX('PORTIFÓLIO'!$J$4:$Q$564,,MATCH(H$2,'PORTIFÓLIO'!$J$3:$Q$3,0))) *
N('PORTIFÓLIO'!$S$4:$S$564),
0
)
),
0)</f>
        <v/>
      </c>
      <c r="I435" s="47">
        <f>H435/$H$4</f>
        <v/>
      </c>
      <c r="J435" s="49">
        <f t="array" ref="J435">IFERROR(
SUM(
IF(
'PORTIFÓLIO'!$C$4:$C$564=$A435,
N(INDEX('PORTIFÓLIO'!$J$4:$Q$564,,MATCH(J$2,'PORTIFÓLIO'!$J$3:$Q$3,0))) *
N('PORTIFÓLIO'!$S$4:$S$564),
0
)
),
0)</f>
        <v/>
      </c>
      <c r="K435" s="47">
        <f>J435/$J$4</f>
        <v/>
      </c>
      <c r="L435" s="49">
        <f t="array" ref="L435">IFERROR(
SUM(
IF(
'PORTIFÓLIO'!$C$4:$C$564=$A435,
N(INDEX('PORTIFÓLIO'!$J$4:$Q$564,,MATCH(L$2,'PORTIFÓLIO'!$J$3:$Q$3,0))) *
N('PORTIFÓLIO'!$S$4:$S$564),
0
)
),
0)</f>
        <v/>
      </c>
      <c r="M435" s="47">
        <f>L435/$L$4</f>
        <v/>
      </c>
      <c r="N435" s="49">
        <f t="array" ref="N435">IFERROR(
SUM(
IF(
'PORTIFÓLIO'!$C$4:$C$564=$A435,
N(INDEX('PORTIFÓLIO'!$J$4:$Q$564,,MATCH(N$2,'PORTIFÓLIO'!$J$3:$Q$3,0))) *
N('PORTIFÓLIO'!$S$4:$S$564),
0
)
),
0)</f>
        <v/>
      </c>
      <c r="O435" s="49">
        <f>N435/$N$4</f>
        <v/>
      </c>
      <c r="P435" s="49">
        <f t="array" ref="P435">IFERROR(
SUM(
IF(
'PORTIFÓLIO'!$C$4:$C$564=$A435,
N(INDEX('PORTIFÓLIO'!$J$4:$Q$564,,MATCH(P$2,'PORTIFÓLIO'!$J$3:$Q$3,0))) *
N('PORTIFÓLIO'!$S$4:$S$564),
0
)
),
0)</f>
        <v/>
      </c>
      <c r="Q435" s="49">
        <f>P435/$P$4</f>
        <v/>
      </c>
      <c r="R435" s="43" t="n"/>
      <c r="S435" s="43" t="n"/>
    </row>
    <row r="436" hidden="1" outlineLevel="1" ht="15.75" customHeight="1" s="297">
      <c r="A436" s="42">
        <f>IFERROR(__xludf.DUMMYFUNCTION("""COMPUTED_VALUE"""),"COLHETADEIRA - CASE 2388 + CASE 30PES")</f>
        <v/>
      </c>
      <c r="B436" s="49">
        <f t="array" ref="B436">IFERROR(
SUM(
IF(
'PORTIFÓLIO'!$C$4:$C$564=$A436,
N(INDEX('PORTIFÓLIO'!$J$4:$Q$564,,MATCH(B$2,'PORTIFÓLIO'!$J$3:$Q$3,0))) *
N('PORTIFÓLIO'!$S$4:$S$564),
0
)
),
0)</f>
        <v/>
      </c>
      <c r="C436" s="49">
        <f>B436/$B$4</f>
        <v/>
      </c>
      <c r="D436" s="49">
        <f t="array" ref="D436">IFERROR(
SUM(
IF(
'PORTIFÓLIO'!$C$4:$C$564=$A436,
N(INDEX('PORTIFÓLIO'!$J$4:$Q$564,,MATCH(D$2,'PORTIFÓLIO'!$J$3:$Q$3,0))) *
N('PORTIFÓLIO'!$S$4:$S$564),
0
)
),
0)</f>
        <v/>
      </c>
      <c r="E436" s="49">
        <f>D436/$D$4</f>
        <v/>
      </c>
      <c r="F436" s="49">
        <f t="array" ref="F436">IFERROR(
SUM(
IF(
'PORTIFÓLIO'!$C$4:$C$564=$A436,
N(INDEX('PORTIFÓLIO'!$J$4:$Q$564,,MATCH(F$2,'PORTIFÓLIO'!$J$3:$Q$3,0))) *
N('PORTIFÓLIO'!$S$4:$S$564),
0
)
),
0)</f>
        <v/>
      </c>
      <c r="G436" s="47">
        <f>F436/$F$4</f>
        <v/>
      </c>
      <c r="H436" s="49">
        <f t="array" ref="H436">IFERROR(
SUM(
IF(
'PORTIFÓLIO'!$C$4:$C$564=$A436,
N(INDEX('PORTIFÓLIO'!$J$4:$Q$564,,MATCH(H$2,'PORTIFÓLIO'!$J$3:$Q$3,0))) *
N('PORTIFÓLIO'!$S$4:$S$564),
0
)
),
0)</f>
        <v/>
      </c>
      <c r="I436" s="47">
        <f>H436/$H$4</f>
        <v/>
      </c>
      <c r="J436" s="49">
        <f t="array" ref="J436">IFERROR(
SUM(
IF(
'PORTIFÓLIO'!$C$4:$C$564=$A436,
N(INDEX('PORTIFÓLIO'!$J$4:$Q$564,,MATCH(J$2,'PORTIFÓLIO'!$J$3:$Q$3,0))) *
N('PORTIFÓLIO'!$S$4:$S$564),
0
)
),
0)</f>
        <v/>
      </c>
      <c r="K436" s="47">
        <f>J436/$J$4</f>
        <v/>
      </c>
      <c r="L436" s="49">
        <f t="array" ref="L436">IFERROR(
SUM(
IF(
'PORTIFÓLIO'!$C$4:$C$564=$A436,
N(INDEX('PORTIFÓLIO'!$J$4:$Q$564,,MATCH(L$2,'PORTIFÓLIO'!$J$3:$Q$3,0))) *
N('PORTIFÓLIO'!$S$4:$S$564),
0
)
),
0)</f>
        <v/>
      </c>
      <c r="M436" s="47">
        <f>L436/$L$4</f>
        <v/>
      </c>
      <c r="N436" s="49">
        <f t="array" ref="N436">IFERROR(
SUM(
IF(
'PORTIFÓLIO'!$C$4:$C$564=$A436,
N(INDEX('PORTIFÓLIO'!$J$4:$Q$564,,MATCH(N$2,'PORTIFÓLIO'!$J$3:$Q$3,0))) *
N('PORTIFÓLIO'!$S$4:$S$564),
0
)
),
0)</f>
        <v/>
      </c>
      <c r="O436" s="49">
        <f>N436/$N$4</f>
        <v/>
      </c>
      <c r="P436" s="49">
        <f t="array" ref="P436">IFERROR(
SUM(
IF(
'PORTIFÓLIO'!$C$4:$C$564=$A436,
N(INDEX('PORTIFÓLIO'!$J$4:$Q$564,,MATCH(P$2,'PORTIFÓLIO'!$J$3:$Q$3,0))) *
N('PORTIFÓLIO'!$S$4:$S$564),
0
)
),
0)</f>
        <v/>
      </c>
      <c r="Q436" s="49">
        <f>P436/$P$4</f>
        <v/>
      </c>
      <c r="R436" s="43" t="n"/>
      <c r="S436" s="43" t="n"/>
    </row>
    <row r="437" hidden="1" outlineLevel="1" ht="15.75" customHeight="1" s="297">
      <c r="A437" s="42">
        <f>IFERROR(__xludf.DUMMYFUNCTION("""COMPUTED_VALUE"""),"JACTO UNIPORT 2000 + JACTO UNIPORT 2000")</f>
        <v/>
      </c>
      <c r="B437" s="49">
        <f t="array" ref="B437">IFERROR(
SUM(
IF(
'PORTIFÓLIO'!$C$4:$C$564=$A437,
N(INDEX('PORTIFÓLIO'!$J$4:$Q$564,,MATCH(B$2,'PORTIFÓLIO'!$J$3:$Q$3,0))) *
N('PORTIFÓLIO'!$S$4:$S$564),
0
)
),
0)</f>
        <v/>
      </c>
      <c r="C437" s="49">
        <f>B437/$B$4</f>
        <v/>
      </c>
      <c r="D437" s="49">
        <f t="array" ref="D437">IFERROR(
SUM(
IF(
'PORTIFÓLIO'!$C$4:$C$564=$A437,
N(INDEX('PORTIFÓLIO'!$J$4:$Q$564,,MATCH(D$2,'PORTIFÓLIO'!$J$3:$Q$3,0))) *
N('PORTIFÓLIO'!$S$4:$S$564),
0
)
),
0)</f>
        <v/>
      </c>
      <c r="E437" s="49">
        <f>D437/$D$4</f>
        <v/>
      </c>
      <c r="F437" s="49">
        <f t="array" ref="F437">IFERROR(
SUM(
IF(
'PORTIFÓLIO'!$C$4:$C$564=$A437,
N(INDEX('PORTIFÓLIO'!$J$4:$Q$564,,MATCH(F$2,'PORTIFÓLIO'!$J$3:$Q$3,0))) *
N('PORTIFÓLIO'!$S$4:$S$564),
0
)
),
0)</f>
        <v/>
      </c>
      <c r="G437" s="47">
        <f>F437/$F$4</f>
        <v/>
      </c>
      <c r="H437" s="49">
        <f t="array" ref="H437">IFERROR(
SUM(
IF(
'PORTIFÓLIO'!$C$4:$C$564=$A437,
N(INDEX('PORTIFÓLIO'!$J$4:$Q$564,,MATCH(H$2,'PORTIFÓLIO'!$J$3:$Q$3,0))) *
N('PORTIFÓLIO'!$S$4:$S$564),
0
)
),
0)</f>
        <v/>
      </c>
      <c r="I437" s="47">
        <f>H437/$H$4</f>
        <v/>
      </c>
      <c r="J437" s="49">
        <f t="array" ref="J437">IFERROR(
SUM(
IF(
'PORTIFÓLIO'!$C$4:$C$564=$A437,
N(INDEX('PORTIFÓLIO'!$J$4:$Q$564,,MATCH(J$2,'PORTIFÓLIO'!$J$3:$Q$3,0))) *
N('PORTIFÓLIO'!$S$4:$S$564),
0
)
),
0)</f>
        <v/>
      </c>
      <c r="K437" s="47">
        <f>J437/$J$4</f>
        <v/>
      </c>
      <c r="L437" s="49">
        <f t="array" ref="L437">IFERROR(
SUM(
IF(
'PORTIFÓLIO'!$C$4:$C$564=$A437,
N(INDEX('PORTIFÓLIO'!$J$4:$Q$564,,MATCH(L$2,'PORTIFÓLIO'!$J$3:$Q$3,0))) *
N('PORTIFÓLIO'!$S$4:$S$564),
0
)
),
0)</f>
        <v/>
      </c>
      <c r="M437" s="47">
        <f>L437/$L$4</f>
        <v/>
      </c>
      <c r="N437" s="49">
        <f t="array" ref="N437">IFERROR(
SUM(
IF(
'PORTIFÓLIO'!$C$4:$C$564=$A437,
N(INDEX('PORTIFÓLIO'!$J$4:$Q$564,,MATCH(N$2,'PORTIFÓLIO'!$J$3:$Q$3,0))) *
N('PORTIFÓLIO'!$S$4:$S$564),
0
)
),
0)</f>
        <v/>
      </c>
      <c r="O437" s="49">
        <f>N437/$N$4</f>
        <v/>
      </c>
      <c r="P437" s="49">
        <f t="array" ref="P437">IFERROR(
SUM(
IF(
'PORTIFÓLIO'!$C$4:$C$564=$A437,
N(INDEX('PORTIFÓLIO'!$J$4:$Q$564,,MATCH(P$2,'PORTIFÓLIO'!$J$3:$Q$3,0))) *
N('PORTIFÓLIO'!$S$4:$S$564),
0
)
),
0)</f>
        <v/>
      </c>
      <c r="Q437" s="49">
        <f>P437/$P$4</f>
        <v/>
      </c>
      <c r="R437" s="43" t="n"/>
      <c r="S437" s="43" t="n"/>
    </row>
    <row r="438" hidden="1" outlineLevel="1" ht="15.75" customHeight="1" s="297">
      <c r="A438" s="42">
        <f>IFERROR(__xludf.DUMMYFUNCTION("""COMPUTED_VALUE"""),"NH T7.260 + CASE 2213")</f>
        <v/>
      </c>
      <c r="B438" s="49">
        <f t="array" ref="B438">IFERROR(
SUM(
IF(
'PORTIFÓLIO'!$C$4:$C$564=$A438,
N(INDEX('PORTIFÓLIO'!$J$4:$Q$564,,MATCH(B$2,'PORTIFÓLIO'!$J$3:$Q$3,0))) *
N('PORTIFÓLIO'!$S$4:$S$564),
0
)
),
0)</f>
        <v/>
      </c>
      <c r="C438" s="49">
        <f>B438/$B$4</f>
        <v/>
      </c>
      <c r="D438" s="49">
        <f t="array" ref="D438">IFERROR(
SUM(
IF(
'PORTIFÓLIO'!$C$4:$C$564=$A438,
N(INDEX('PORTIFÓLIO'!$J$4:$Q$564,,MATCH(D$2,'PORTIFÓLIO'!$J$3:$Q$3,0))) *
N('PORTIFÓLIO'!$S$4:$S$564),
0
)
),
0)</f>
        <v/>
      </c>
      <c r="E438" s="49">
        <f>D438/$D$4</f>
        <v/>
      </c>
      <c r="F438" s="49">
        <f t="array" ref="F438">IFERROR(
SUM(
IF(
'PORTIFÓLIO'!$C$4:$C$564=$A438,
N(INDEX('PORTIFÓLIO'!$J$4:$Q$564,,MATCH(F$2,'PORTIFÓLIO'!$J$3:$Q$3,0))) *
N('PORTIFÓLIO'!$S$4:$S$564),
0
)
),
0)</f>
        <v/>
      </c>
      <c r="G438" s="47">
        <f>F438/$F$4</f>
        <v/>
      </c>
      <c r="H438" s="49">
        <f t="array" ref="H438">IFERROR(
SUM(
IF(
'PORTIFÓLIO'!$C$4:$C$564=$A438,
N(INDEX('PORTIFÓLIO'!$J$4:$Q$564,,MATCH(H$2,'PORTIFÓLIO'!$J$3:$Q$3,0))) *
N('PORTIFÓLIO'!$S$4:$S$564),
0
)
),
0)</f>
        <v/>
      </c>
      <c r="I438" s="47">
        <f>H438/$H$4</f>
        <v/>
      </c>
      <c r="J438" s="49">
        <f t="array" ref="J438">IFERROR(
SUM(
IF(
'PORTIFÓLIO'!$C$4:$C$564=$A438,
N(INDEX('PORTIFÓLIO'!$J$4:$Q$564,,MATCH(J$2,'PORTIFÓLIO'!$J$3:$Q$3,0))) *
N('PORTIFÓLIO'!$S$4:$S$564),
0
)
),
0)</f>
        <v/>
      </c>
      <c r="K438" s="47">
        <f>J438/$J$4</f>
        <v/>
      </c>
      <c r="L438" s="49">
        <f t="array" ref="L438">IFERROR(
SUM(
IF(
'PORTIFÓLIO'!$C$4:$C$564=$A438,
N(INDEX('PORTIFÓLIO'!$J$4:$Q$564,,MATCH(L$2,'PORTIFÓLIO'!$J$3:$Q$3,0))) *
N('PORTIFÓLIO'!$S$4:$S$564),
0
)
),
0)</f>
        <v/>
      </c>
      <c r="M438" s="47">
        <f>L438/$L$4</f>
        <v/>
      </c>
      <c r="N438" s="49">
        <f t="array" ref="N438">IFERROR(
SUM(
IF(
'PORTIFÓLIO'!$C$4:$C$564=$A438,
N(INDEX('PORTIFÓLIO'!$J$4:$Q$564,,MATCH(N$2,'PORTIFÓLIO'!$J$3:$Q$3,0))) *
N('PORTIFÓLIO'!$S$4:$S$564),
0
)
),
0)</f>
        <v/>
      </c>
      <c r="O438" s="49">
        <f>N438/$N$4</f>
        <v/>
      </c>
      <c r="P438" s="49">
        <f t="array" ref="P438">IFERROR(
SUM(
IF(
'PORTIFÓLIO'!$C$4:$C$564=$A438,
N(INDEX('PORTIFÓLIO'!$J$4:$Q$564,,MATCH(P$2,'PORTIFÓLIO'!$J$3:$Q$3,0))) *
N('PORTIFÓLIO'!$S$4:$S$564),
0
)
),
0)</f>
        <v/>
      </c>
      <c r="Q438" s="49">
        <f>P438/$P$4</f>
        <v/>
      </c>
      <c r="R438" s="43" t="n"/>
      <c r="S438" s="43" t="n"/>
    </row>
    <row r="439" hidden="1" outlineLevel="1" ht="15.75" customHeight="1" s="297">
      <c r="A439" s="42">
        <f>IFERROR(__xludf.DUMMYFUNCTION("""COMPUTED_VALUE""")," + ")</f>
        <v/>
      </c>
      <c r="B439" s="49">
        <f t="array" ref="B439">IFERROR(
SUM(
IF(
'PORTIFÓLIO'!$C$4:$C$564=$A439,
N(INDEX('PORTIFÓLIO'!$J$4:$Q$564,,MATCH(B$2,'PORTIFÓLIO'!$J$3:$Q$3,0))) *
N('PORTIFÓLIO'!$S$4:$S$564),
0
)
),
0)</f>
        <v/>
      </c>
      <c r="C439" s="49">
        <f>B439/$B$4</f>
        <v/>
      </c>
      <c r="D439" s="49">
        <f t="array" ref="D439">IFERROR(
SUM(
IF(
'PORTIFÓLIO'!$C$4:$C$564=$A439,
N(INDEX('PORTIFÓLIO'!$J$4:$Q$564,,MATCH(D$2,'PORTIFÓLIO'!$J$3:$Q$3,0))) *
N('PORTIFÓLIO'!$S$4:$S$564),
0
)
),
0)</f>
        <v/>
      </c>
      <c r="E439" s="49">
        <f>D439/$D$4</f>
        <v/>
      </c>
      <c r="F439" s="49">
        <f t="array" ref="F439">IFERROR(
SUM(
IF(
'PORTIFÓLIO'!$C$4:$C$564=$A439,
N(INDEX('PORTIFÓLIO'!$J$4:$Q$564,,MATCH(F$2,'PORTIFÓLIO'!$J$3:$Q$3,0))) *
N('PORTIFÓLIO'!$S$4:$S$564),
0
)
),
0)</f>
        <v/>
      </c>
      <c r="G439" s="47">
        <f>F439/$F$4</f>
        <v/>
      </c>
      <c r="H439" s="49">
        <f t="array" ref="H439">IFERROR(
SUM(
IF(
'PORTIFÓLIO'!$C$4:$C$564=$A439,
N(INDEX('PORTIFÓLIO'!$J$4:$Q$564,,MATCH(H$2,'PORTIFÓLIO'!$J$3:$Q$3,0))) *
N('PORTIFÓLIO'!$S$4:$S$564),
0
)
),
0)</f>
        <v/>
      </c>
      <c r="I439" s="47">
        <f>H439/$H$4</f>
        <v/>
      </c>
      <c r="J439" s="49">
        <f t="array" ref="J439">IFERROR(
SUM(
IF(
'PORTIFÓLIO'!$C$4:$C$564=$A439,
N(INDEX('PORTIFÓLIO'!$J$4:$Q$564,,MATCH(J$2,'PORTIFÓLIO'!$J$3:$Q$3,0))) *
N('PORTIFÓLIO'!$S$4:$S$564),
0
)
),
0)</f>
        <v/>
      </c>
      <c r="K439" s="47">
        <f>J439/$J$4</f>
        <v/>
      </c>
      <c r="L439" s="49">
        <f t="array" ref="L439">IFERROR(
SUM(
IF(
'PORTIFÓLIO'!$C$4:$C$564=$A439,
N(INDEX('PORTIFÓLIO'!$J$4:$Q$564,,MATCH(L$2,'PORTIFÓLIO'!$J$3:$Q$3,0))) *
N('PORTIFÓLIO'!$S$4:$S$564),
0
)
),
0)</f>
        <v/>
      </c>
      <c r="M439" s="47">
        <f>L439/$L$4</f>
        <v/>
      </c>
      <c r="N439" s="49">
        <f t="array" ref="N439">IFERROR(
SUM(
IF(
'PORTIFÓLIO'!$C$4:$C$564=$A439,
N(INDEX('PORTIFÓLIO'!$J$4:$Q$564,,MATCH(N$2,'PORTIFÓLIO'!$J$3:$Q$3,0))) *
N('PORTIFÓLIO'!$S$4:$S$564),
0
)
),
0)</f>
        <v/>
      </c>
      <c r="O439" s="49">
        <f>N439/$N$4</f>
        <v/>
      </c>
      <c r="P439" s="49">
        <f t="array" ref="P439">IFERROR(
SUM(
IF(
'PORTIFÓLIO'!$C$4:$C$564=$A439,
N(INDEX('PORTIFÓLIO'!$J$4:$Q$564,,MATCH(P$2,'PORTIFÓLIO'!$J$3:$Q$3,0))) *
N('PORTIFÓLIO'!$S$4:$S$564),
0
)
),
0)</f>
        <v/>
      </c>
      <c r="Q439" s="49">
        <f>P439/$P$4</f>
        <v/>
      </c>
      <c r="R439" s="43" t="n"/>
      <c r="S439" s="43" t="n"/>
    </row>
    <row r="440" hidden="1" outlineLevel="1" ht="15.75" customHeight="1" s="297">
      <c r="A440" s="42" t="n"/>
      <c r="B440" s="49">
        <f t="array" ref="B440">IFERROR(
SUM(
IF(
'PORTIFÓLIO'!$C$4:$C$564=$A440,
N(INDEX('PORTIFÓLIO'!$J$4:$Q$564,,MATCH(B$2,'PORTIFÓLIO'!$J$3:$Q$3,0))) *
N('PORTIFÓLIO'!$S$4:$S$564),
0
)
),
0)</f>
        <v/>
      </c>
      <c r="C440" s="49">
        <f>B440/$B$4</f>
        <v/>
      </c>
      <c r="D440" s="49">
        <f t="array" ref="D440">IFERROR(
SUM(
IF(
'PORTIFÓLIO'!$C$4:$C$564=$A440,
N(INDEX('PORTIFÓLIO'!$J$4:$Q$564,,MATCH(D$2,'PORTIFÓLIO'!$J$3:$Q$3,0))) *
N('PORTIFÓLIO'!$S$4:$S$564),
0
)
),
0)</f>
        <v/>
      </c>
      <c r="E440" s="49">
        <f>D440/$D$4</f>
        <v/>
      </c>
      <c r="F440" s="49">
        <f t="array" ref="F440">IFERROR(
SUM(
IF(
'PORTIFÓLIO'!$C$4:$C$564=$A440,
N(INDEX('PORTIFÓLIO'!$J$4:$Q$564,,MATCH(F$2,'PORTIFÓLIO'!$J$3:$Q$3,0))) *
N('PORTIFÓLIO'!$S$4:$S$564),
0
)
),
0)</f>
        <v/>
      </c>
      <c r="G440" s="47">
        <f>F440/$F$4</f>
        <v/>
      </c>
      <c r="H440" s="49">
        <f t="array" ref="H440">IFERROR(
SUM(
IF(
'PORTIFÓLIO'!$C$4:$C$564=$A440,
N(INDEX('PORTIFÓLIO'!$J$4:$Q$564,,MATCH(H$2,'PORTIFÓLIO'!$J$3:$Q$3,0))) *
N('PORTIFÓLIO'!$S$4:$S$564),
0
)
),
0)</f>
        <v/>
      </c>
      <c r="I440" s="47">
        <f>H440/$H$4</f>
        <v/>
      </c>
      <c r="J440" s="49">
        <f t="array" ref="J440">IFERROR(
SUM(
IF(
'PORTIFÓLIO'!$C$4:$C$564=$A440,
N(INDEX('PORTIFÓLIO'!$J$4:$Q$564,,MATCH(J$2,'PORTIFÓLIO'!$J$3:$Q$3,0))) *
N('PORTIFÓLIO'!$S$4:$S$564),
0
)
),
0)</f>
        <v/>
      </c>
      <c r="K440" s="47">
        <f>J440/$J$4</f>
        <v/>
      </c>
      <c r="L440" s="49">
        <f t="array" ref="L440">IFERROR(
SUM(
IF(
'PORTIFÓLIO'!$C$4:$C$564=$A440,
N(INDEX('PORTIFÓLIO'!$J$4:$Q$564,,MATCH(L$2,'PORTIFÓLIO'!$J$3:$Q$3,0))) *
N('PORTIFÓLIO'!$S$4:$S$564),
0
)
),
0)</f>
        <v/>
      </c>
      <c r="M440" s="47">
        <f>L440/$L$4</f>
        <v/>
      </c>
      <c r="N440" s="49">
        <f t="array" ref="N440">IFERROR(
SUM(
IF(
'PORTIFÓLIO'!$C$4:$C$564=$A440,
N(INDEX('PORTIFÓLIO'!$J$4:$Q$564,,MATCH(N$2,'PORTIFÓLIO'!$J$3:$Q$3,0))) *
N('PORTIFÓLIO'!$S$4:$S$564),
0
)
),
0)</f>
        <v/>
      </c>
      <c r="O440" s="49">
        <f>N440/$N$4</f>
        <v/>
      </c>
      <c r="P440" s="49">
        <f t="array" ref="P440">IFERROR(
SUM(
IF(
'PORTIFÓLIO'!$C$4:$C$564=$A440,
N(INDEX('PORTIFÓLIO'!$J$4:$Q$564,,MATCH(P$2,'PORTIFÓLIO'!$J$3:$Q$3,0))) *
N('PORTIFÓLIO'!$S$4:$S$564),
0
)
),
0)</f>
        <v/>
      </c>
      <c r="Q440" s="49">
        <f>P440/$P$4</f>
        <v/>
      </c>
      <c r="R440" s="43" t="n"/>
      <c r="S440" s="43" t="n"/>
    </row>
    <row r="441" hidden="1" outlineLevel="1" ht="15.75" customHeight="1" s="297">
      <c r="A441" s="42" t="n"/>
      <c r="B441" s="49">
        <f t="array" ref="B441">IFERROR(
SUM(
IF(
'PORTIFÓLIO'!$C$4:$C$564=$A441,
N(INDEX('PORTIFÓLIO'!$J$4:$Q$564,,MATCH(B$2,'PORTIFÓLIO'!$J$3:$Q$3,0))) *
N('PORTIFÓLIO'!$S$4:$S$564),
0
)
),
0)</f>
        <v/>
      </c>
      <c r="C441" s="49">
        <f>B441/$B$4</f>
        <v/>
      </c>
      <c r="D441" s="49">
        <f t="array" ref="D441">IFERROR(
SUM(
IF(
'PORTIFÓLIO'!$C$4:$C$564=$A441,
N(INDEX('PORTIFÓLIO'!$J$4:$Q$564,,MATCH(D$2,'PORTIFÓLIO'!$J$3:$Q$3,0))) *
N('PORTIFÓLIO'!$S$4:$S$564),
0
)
),
0)</f>
        <v/>
      </c>
      <c r="E441" s="49">
        <f>D441/$D$4</f>
        <v/>
      </c>
      <c r="F441" s="49">
        <f t="array" ref="F441">IFERROR(
SUM(
IF(
'PORTIFÓLIO'!$C$4:$C$564=$A441,
N(INDEX('PORTIFÓLIO'!$J$4:$Q$564,,MATCH(F$2,'PORTIFÓLIO'!$J$3:$Q$3,0))) *
N('PORTIFÓLIO'!$S$4:$S$564),
0
)
),
0)</f>
        <v/>
      </c>
      <c r="G441" s="47">
        <f>F441/$F$4</f>
        <v/>
      </c>
      <c r="H441" s="49">
        <f t="array" ref="H441">IFERROR(
SUM(
IF(
'PORTIFÓLIO'!$C$4:$C$564=$A441,
N(INDEX('PORTIFÓLIO'!$J$4:$Q$564,,MATCH(H$2,'PORTIFÓLIO'!$J$3:$Q$3,0))) *
N('PORTIFÓLIO'!$S$4:$S$564),
0
)
),
0)</f>
        <v/>
      </c>
      <c r="I441" s="47">
        <f>H441/$H$4</f>
        <v/>
      </c>
      <c r="J441" s="49">
        <f t="array" ref="J441">IFERROR(
SUM(
IF(
'PORTIFÓLIO'!$C$4:$C$564=$A441,
N(INDEX('PORTIFÓLIO'!$J$4:$Q$564,,MATCH(J$2,'PORTIFÓLIO'!$J$3:$Q$3,0))) *
N('PORTIFÓLIO'!$S$4:$S$564),
0
)
),
0)</f>
        <v/>
      </c>
      <c r="K441" s="47">
        <f>J441/$J$4</f>
        <v/>
      </c>
      <c r="L441" s="49">
        <f t="array" ref="L441">IFERROR(
SUM(
IF(
'PORTIFÓLIO'!$C$4:$C$564=$A441,
N(INDEX('PORTIFÓLIO'!$J$4:$Q$564,,MATCH(L$2,'PORTIFÓLIO'!$J$3:$Q$3,0))) *
N('PORTIFÓLIO'!$S$4:$S$564),
0
)
),
0)</f>
        <v/>
      </c>
      <c r="M441" s="47">
        <f>L441/$L$4</f>
        <v/>
      </c>
      <c r="N441" s="49">
        <f t="array" ref="N441">IFERROR(
SUM(
IF(
'PORTIFÓLIO'!$C$4:$C$564=$A441,
N(INDEX('PORTIFÓLIO'!$J$4:$Q$564,,MATCH(N$2,'PORTIFÓLIO'!$J$3:$Q$3,0))) *
N('PORTIFÓLIO'!$S$4:$S$564),
0
)
),
0)</f>
        <v/>
      </c>
      <c r="O441" s="49">
        <f>N441/$N$4</f>
        <v/>
      </c>
      <c r="P441" s="49">
        <f t="array" ref="P441">IFERROR(
SUM(
IF(
'PORTIFÓLIO'!$C$4:$C$564=$A441,
N(INDEX('PORTIFÓLIO'!$J$4:$Q$564,,MATCH(P$2,'PORTIFÓLIO'!$J$3:$Q$3,0))) *
N('PORTIFÓLIO'!$S$4:$S$564),
0
)
),
0)</f>
        <v/>
      </c>
      <c r="Q441" s="49">
        <f>P441/$P$4</f>
        <v/>
      </c>
      <c r="R441" s="43" t="n"/>
      <c r="S441" s="43" t="n"/>
    </row>
    <row r="442" hidden="1" outlineLevel="1" ht="15.75" customHeight="1" s="297">
      <c r="A442" s="42" t="n"/>
      <c r="B442" s="49">
        <f t="array" ref="B442">IFERROR(
SUM(
IF(
'PORTIFÓLIO'!$C$4:$C$564=$A442,
N(INDEX('PORTIFÓLIO'!$J$4:$Q$564,,MATCH(B$2,'PORTIFÓLIO'!$J$3:$Q$3,0))) *
N('PORTIFÓLIO'!$S$4:$S$564),
0
)
),
0)</f>
        <v/>
      </c>
      <c r="C442" s="49">
        <f>B442/$B$4</f>
        <v/>
      </c>
      <c r="D442" s="49">
        <f t="array" ref="D442">IFERROR(
SUM(
IF(
'PORTIFÓLIO'!$C$4:$C$564=$A442,
N(INDEX('PORTIFÓLIO'!$J$4:$Q$564,,MATCH(D$2,'PORTIFÓLIO'!$J$3:$Q$3,0))) *
N('PORTIFÓLIO'!$S$4:$S$564),
0
)
),
0)</f>
        <v/>
      </c>
      <c r="E442" s="49">
        <f>D442/$D$4</f>
        <v/>
      </c>
      <c r="F442" s="49">
        <f t="array" ref="F442">IFERROR(
SUM(
IF(
'PORTIFÓLIO'!$C$4:$C$564=$A442,
N(INDEX('PORTIFÓLIO'!$J$4:$Q$564,,MATCH(F$2,'PORTIFÓLIO'!$J$3:$Q$3,0))) *
N('PORTIFÓLIO'!$S$4:$S$564),
0
)
),
0)</f>
        <v/>
      </c>
      <c r="G442" s="47">
        <f>F442/$F$4</f>
        <v/>
      </c>
      <c r="H442" s="49">
        <f t="array" ref="H442">IFERROR(
SUM(
IF(
'PORTIFÓLIO'!$C$4:$C$564=$A442,
N(INDEX('PORTIFÓLIO'!$J$4:$Q$564,,MATCH(H$2,'PORTIFÓLIO'!$J$3:$Q$3,0))) *
N('PORTIFÓLIO'!$S$4:$S$564),
0
)
),
0)</f>
        <v/>
      </c>
      <c r="I442" s="47">
        <f>H442/$H$4</f>
        <v/>
      </c>
      <c r="J442" s="49">
        <f t="array" ref="J442">IFERROR(
SUM(
IF(
'PORTIFÓLIO'!$C$4:$C$564=$A442,
N(INDEX('PORTIFÓLIO'!$J$4:$Q$564,,MATCH(J$2,'PORTIFÓLIO'!$J$3:$Q$3,0))) *
N('PORTIFÓLIO'!$S$4:$S$564),
0
)
),
0)</f>
        <v/>
      </c>
      <c r="K442" s="47">
        <f>J442/$J$4</f>
        <v/>
      </c>
      <c r="L442" s="49">
        <f t="array" ref="L442">IFERROR(
SUM(
IF(
'PORTIFÓLIO'!$C$4:$C$564=$A442,
N(INDEX('PORTIFÓLIO'!$J$4:$Q$564,,MATCH(L$2,'PORTIFÓLIO'!$J$3:$Q$3,0))) *
N('PORTIFÓLIO'!$S$4:$S$564),
0
)
),
0)</f>
        <v/>
      </c>
      <c r="M442" s="47">
        <f>L442/$L$4</f>
        <v/>
      </c>
      <c r="N442" s="49">
        <f t="array" ref="N442">IFERROR(
SUM(
IF(
'PORTIFÓLIO'!$C$4:$C$564=$A442,
N(INDEX('PORTIFÓLIO'!$J$4:$Q$564,,MATCH(N$2,'PORTIFÓLIO'!$J$3:$Q$3,0))) *
N('PORTIFÓLIO'!$S$4:$S$564),
0
)
),
0)</f>
        <v/>
      </c>
      <c r="O442" s="49">
        <f>N442/$N$4</f>
        <v/>
      </c>
      <c r="P442" s="49">
        <f t="array" ref="P442">IFERROR(
SUM(
IF(
'PORTIFÓLIO'!$C$4:$C$564=$A442,
N(INDEX('PORTIFÓLIO'!$J$4:$Q$564,,MATCH(P$2,'PORTIFÓLIO'!$J$3:$Q$3,0))) *
N('PORTIFÓLIO'!$S$4:$S$564),
0
)
),
0)</f>
        <v/>
      </c>
      <c r="Q442" s="49">
        <f>P442/$P$4</f>
        <v/>
      </c>
      <c r="R442" s="43" t="n"/>
      <c r="S442" s="43" t="n"/>
    </row>
    <row r="443" hidden="1" outlineLevel="1" ht="15.75" customHeight="1" s="297">
      <c r="A443" s="42" t="n"/>
      <c r="B443" s="49">
        <f t="array" ref="B443">IFERROR(
SUM(
IF(
'PORTIFÓLIO'!$C$4:$C$564=$A443,
N(INDEX('PORTIFÓLIO'!$J$4:$Q$564,,MATCH(B$2,'PORTIFÓLIO'!$J$3:$Q$3,0))) *
N('PORTIFÓLIO'!$S$4:$S$564),
0
)
),
0)</f>
        <v/>
      </c>
      <c r="C443" s="49">
        <f>B443/$B$4</f>
        <v/>
      </c>
      <c r="D443" s="49">
        <f t="array" ref="D443">IFERROR(
SUM(
IF(
'PORTIFÓLIO'!$C$4:$C$564=$A443,
N(INDEX('PORTIFÓLIO'!$J$4:$Q$564,,MATCH(D$2,'PORTIFÓLIO'!$J$3:$Q$3,0))) *
N('PORTIFÓLIO'!$S$4:$S$564),
0
)
),
0)</f>
        <v/>
      </c>
      <c r="E443" s="49">
        <f>D443/$D$4</f>
        <v/>
      </c>
      <c r="F443" s="49">
        <f t="array" ref="F443">IFERROR(
SUM(
IF(
'PORTIFÓLIO'!$C$4:$C$564=$A443,
N(INDEX('PORTIFÓLIO'!$J$4:$Q$564,,MATCH(F$2,'PORTIFÓLIO'!$J$3:$Q$3,0))) *
N('PORTIFÓLIO'!$S$4:$S$564),
0
)
),
0)</f>
        <v/>
      </c>
      <c r="G443" s="47">
        <f>F443/$F$4</f>
        <v/>
      </c>
      <c r="H443" s="49">
        <f t="array" ref="H443">IFERROR(
SUM(
IF(
'PORTIFÓLIO'!$C$4:$C$564=$A443,
N(INDEX('PORTIFÓLIO'!$J$4:$Q$564,,MATCH(H$2,'PORTIFÓLIO'!$J$3:$Q$3,0))) *
N('PORTIFÓLIO'!$S$4:$S$564),
0
)
),
0)</f>
        <v/>
      </c>
      <c r="I443" s="47">
        <f>H443/$H$4</f>
        <v/>
      </c>
      <c r="J443" s="49">
        <f t="array" ref="J443">IFERROR(
SUM(
IF(
'PORTIFÓLIO'!$C$4:$C$564=$A443,
N(INDEX('PORTIFÓLIO'!$J$4:$Q$564,,MATCH(J$2,'PORTIFÓLIO'!$J$3:$Q$3,0))) *
N('PORTIFÓLIO'!$S$4:$S$564),
0
)
),
0)</f>
        <v/>
      </c>
      <c r="K443" s="47">
        <f>J443/$J$4</f>
        <v/>
      </c>
      <c r="L443" s="49">
        <f t="array" ref="L443">IFERROR(
SUM(
IF(
'PORTIFÓLIO'!$C$4:$C$564=$A443,
N(INDEX('PORTIFÓLIO'!$J$4:$Q$564,,MATCH(L$2,'PORTIFÓLIO'!$J$3:$Q$3,0))) *
N('PORTIFÓLIO'!$S$4:$S$564),
0
)
),
0)</f>
        <v/>
      </c>
      <c r="M443" s="47">
        <f>L443/$L$4</f>
        <v/>
      </c>
      <c r="N443" s="49">
        <f t="array" ref="N443">IFERROR(
SUM(
IF(
'PORTIFÓLIO'!$C$4:$C$564=$A443,
N(INDEX('PORTIFÓLIO'!$J$4:$Q$564,,MATCH(N$2,'PORTIFÓLIO'!$J$3:$Q$3,0))) *
N('PORTIFÓLIO'!$S$4:$S$564),
0
)
),
0)</f>
        <v/>
      </c>
      <c r="O443" s="49">
        <f>N443/$N$4</f>
        <v/>
      </c>
      <c r="P443" s="49">
        <f t="array" ref="P443">IFERROR(
SUM(
IF(
'PORTIFÓLIO'!$C$4:$C$564=$A443,
N(INDEX('PORTIFÓLIO'!$J$4:$Q$564,,MATCH(P$2,'PORTIFÓLIO'!$J$3:$Q$3,0))) *
N('PORTIFÓLIO'!$S$4:$S$564),
0
)
),
0)</f>
        <v/>
      </c>
      <c r="Q443" s="49">
        <f>P443/$P$4</f>
        <v/>
      </c>
      <c r="R443" s="43" t="n"/>
      <c r="S443" s="43" t="n"/>
    </row>
    <row r="444" hidden="1" outlineLevel="1" ht="15.75" customHeight="1" s="297">
      <c r="A444" s="42" t="n"/>
      <c r="B444" s="49">
        <f t="array" ref="B444">IFERROR(
SUM(
IF(
'PORTIFÓLIO'!$C$4:$C$564=$A444,
N(INDEX('PORTIFÓLIO'!$J$4:$Q$564,,MATCH(B$2,'PORTIFÓLIO'!$J$3:$Q$3,0))) *
N('PORTIFÓLIO'!$S$4:$S$564),
0
)
),
0)</f>
        <v/>
      </c>
      <c r="C444" s="49">
        <f>B444/$B$4</f>
        <v/>
      </c>
      <c r="D444" s="49">
        <f t="array" ref="D444">IFERROR(
SUM(
IF(
'PORTIFÓLIO'!$C$4:$C$564=$A444,
N(INDEX('PORTIFÓLIO'!$J$4:$Q$564,,MATCH(D$2,'PORTIFÓLIO'!$J$3:$Q$3,0))) *
N('PORTIFÓLIO'!$S$4:$S$564),
0
)
),
0)</f>
        <v/>
      </c>
      <c r="E444" s="49">
        <f>D444/$D$4</f>
        <v/>
      </c>
      <c r="F444" s="49">
        <f t="array" ref="F444">IFERROR(
SUM(
IF(
'PORTIFÓLIO'!$C$4:$C$564=$A444,
N(INDEX('PORTIFÓLIO'!$J$4:$Q$564,,MATCH(F$2,'PORTIFÓLIO'!$J$3:$Q$3,0))) *
N('PORTIFÓLIO'!$S$4:$S$564),
0
)
),
0)</f>
        <v/>
      </c>
      <c r="G444" s="47">
        <f>F444/$F$4</f>
        <v/>
      </c>
      <c r="H444" s="49">
        <f t="array" ref="H444">IFERROR(
SUM(
IF(
'PORTIFÓLIO'!$C$4:$C$564=$A444,
N(INDEX('PORTIFÓLIO'!$J$4:$Q$564,,MATCH(H$2,'PORTIFÓLIO'!$J$3:$Q$3,0))) *
N('PORTIFÓLIO'!$S$4:$S$564),
0
)
),
0)</f>
        <v/>
      </c>
      <c r="I444" s="47">
        <f>H444/$H$4</f>
        <v/>
      </c>
      <c r="J444" s="49">
        <f t="array" ref="J444">IFERROR(
SUM(
IF(
'PORTIFÓLIO'!$C$4:$C$564=$A444,
N(INDEX('PORTIFÓLIO'!$J$4:$Q$564,,MATCH(J$2,'PORTIFÓLIO'!$J$3:$Q$3,0))) *
N('PORTIFÓLIO'!$S$4:$S$564),
0
)
),
0)</f>
        <v/>
      </c>
      <c r="K444" s="47">
        <f>J444/$J$4</f>
        <v/>
      </c>
      <c r="L444" s="49">
        <f t="array" ref="L444">IFERROR(
SUM(
IF(
'PORTIFÓLIO'!$C$4:$C$564=$A444,
N(INDEX('PORTIFÓLIO'!$J$4:$Q$564,,MATCH(L$2,'PORTIFÓLIO'!$J$3:$Q$3,0))) *
N('PORTIFÓLIO'!$S$4:$S$564),
0
)
),
0)</f>
        <v/>
      </c>
      <c r="M444" s="47">
        <f>L444/$L$4</f>
        <v/>
      </c>
      <c r="N444" s="49">
        <f t="array" ref="N444">IFERROR(
SUM(
IF(
'PORTIFÓLIO'!$C$4:$C$564=$A444,
N(INDEX('PORTIFÓLIO'!$J$4:$Q$564,,MATCH(N$2,'PORTIFÓLIO'!$J$3:$Q$3,0))) *
N('PORTIFÓLIO'!$S$4:$S$564),
0
)
),
0)</f>
        <v/>
      </c>
      <c r="O444" s="49">
        <f>N444/$N$4</f>
        <v/>
      </c>
      <c r="P444" s="49">
        <f t="array" ref="P444">IFERROR(
SUM(
IF(
'PORTIFÓLIO'!$C$4:$C$564=$A444,
N(INDEX('PORTIFÓLIO'!$J$4:$Q$564,,MATCH(P$2,'PORTIFÓLIO'!$J$3:$Q$3,0))) *
N('PORTIFÓLIO'!$S$4:$S$564),
0
)
),
0)</f>
        <v/>
      </c>
      <c r="Q444" s="49">
        <f>P444/$P$4</f>
        <v/>
      </c>
      <c r="R444" s="43" t="n"/>
      <c r="S444" s="43" t="n"/>
    </row>
    <row r="445" hidden="1" outlineLevel="1" ht="15.75" customHeight="1" s="297">
      <c r="A445" s="42" t="n"/>
      <c r="B445" s="49">
        <f t="array" ref="B445">IFERROR(
SUM(
IF(
'PORTIFÓLIO'!$C$4:$C$564=$A445,
N(INDEX('PORTIFÓLIO'!$J$4:$Q$564,,MATCH(B$2,'PORTIFÓLIO'!$J$3:$Q$3,0))) *
N('PORTIFÓLIO'!$S$4:$S$564),
0
)
),
0)</f>
        <v/>
      </c>
      <c r="C445" s="49">
        <f>B445/$B$4</f>
        <v/>
      </c>
      <c r="D445" s="49">
        <f t="array" ref="D445">IFERROR(
SUM(
IF(
'PORTIFÓLIO'!$C$4:$C$564=$A445,
N(INDEX('PORTIFÓLIO'!$J$4:$Q$564,,MATCH(D$2,'PORTIFÓLIO'!$J$3:$Q$3,0))) *
N('PORTIFÓLIO'!$S$4:$S$564),
0
)
),
0)</f>
        <v/>
      </c>
      <c r="E445" s="49">
        <f>D445/$D$4</f>
        <v/>
      </c>
      <c r="F445" s="49">
        <f t="array" ref="F445">IFERROR(
SUM(
IF(
'PORTIFÓLIO'!$C$4:$C$564=$A445,
N(INDEX('PORTIFÓLIO'!$J$4:$Q$564,,MATCH(F$2,'PORTIFÓLIO'!$J$3:$Q$3,0))) *
N('PORTIFÓLIO'!$S$4:$S$564),
0
)
),
0)</f>
        <v/>
      </c>
      <c r="G445" s="47">
        <f>F445/$F$4</f>
        <v/>
      </c>
      <c r="H445" s="49">
        <f t="array" ref="H445">IFERROR(
SUM(
IF(
'PORTIFÓLIO'!$C$4:$C$564=$A445,
N(INDEX('PORTIFÓLIO'!$J$4:$Q$564,,MATCH(H$2,'PORTIFÓLIO'!$J$3:$Q$3,0))) *
N('PORTIFÓLIO'!$S$4:$S$564),
0
)
),
0)</f>
        <v/>
      </c>
      <c r="I445" s="47">
        <f>H445/$H$4</f>
        <v/>
      </c>
      <c r="J445" s="49">
        <f t="array" ref="J445">IFERROR(
SUM(
IF(
'PORTIFÓLIO'!$C$4:$C$564=$A445,
N(INDEX('PORTIFÓLIO'!$J$4:$Q$564,,MATCH(J$2,'PORTIFÓLIO'!$J$3:$Q$3,0))) *
N('PORTIFÓLIO'!$S$4:$S$564),
0
)
),
0)</f>
        <v/>
      </c>
      <c r="K445" s="47">
        <f>J445/$J$4</f>
        <v/>
      </c>
      <c r="L445" s="49">
        <f t="array" ref="L445">IFERROR(
SUM(
IF(
'PORTIFÓLIO'!$C$4:$C$564=$A445,
N(INDEX('PORTIFÓLIO'!$J$4:$Q$564,,MATCH(L$2,'PORTIFÓLIO'!$J$3:$Q$3,0))) *
N('PORTIFÓLIO'!$S$4:$S$564),
0
)
),
0)</f>
        <v/>
      </c>
      <c r="M445" s="47">
        <f>L445/$L$4</f>
        <v/>
      </c>
      <c r="N445" s="49">
        <f t="array" ref="N445">IFERROR(
SUM(
IF(
'PORTIFÓLIO'!$C$4:$C$564=$A445,
N(INDEX('PORTIFÓLIO'!$J$4:$Q$564,,MATCH(N$2,'PORTIFÓLIO'!$J$3:$Q$3,0))) *
N('PORTIFÓLIO'!$S$4:$S$564),
0
)
),
0)</f>
        <v/>
      </c>
      <c r="O445" s="49">
        <f>N445/$N$4</f>
        <v/>
      </c>
      <c r="P445" s="49">
        <f t="array" ref="P445">IFERROR(
SUM(
IF(
'PORTIFÓLIO'!$C$4:$C$564=$A445,
N(INDEX('PORTIFÓLIO'!$J$4:$Q$564,,MATCH(P$2,'PORTIFÓLIO'!$J$3:$Q$3,0))) *
N('PORTIFÓLIO'!$S$4:$S$564),
0
)
),
0)</f>
        <v/>
      </c>
      <c r="Q445" s="49">
        <f>P445/$P$4</f>
        <v/>
      </c>
      <c r="R445" s="43" t="n"/>
      <c r="S445" s="43" t="n"/>
    </row>
    <row r="446" hidden="1" outlineLevel="1" ht="15.75" customHeight="1" s="297">
      <c r="A446" s="42" t="n"/>
      <c r="B446" s="49">
        <f t="array" ref="B446">IFERROR(
SUM(
IF(
'PORTIFÓLIO'!$C$4:$C$564=$A446,
N(INDEX('PORTIFÓLIO'!$J$4:$Q$564,,MATCH(B$2,'PORTIFÓLIO'!$J$3:$Q$3,0))) *
N('PORTIFÓLIO'!$S$4:$S$564),
0
)
),
0)</f>
        <v/>
      </c>
      <c r="C446" s="49">
        <f>B446/$B$4</f>
        <v/>
      </c>
      <c r="D446" s="49">
        <f t="array" ref="D446">IFERROR(
SUM(
IF(
'PORTIFÓLIO'!$C$4:$C$564=$A446,
N(INDEX('PORTIFÓLIO'!$J$4:$Q$564,,MATCH(D$2,'PORTIFÓLIO'!$J$3:$Q$3,0))) *
N('PORTIFÓLIO'!$S$4:$S$564),
0
)
),
0)</f>
        <v/>
      </c>
      <c r="E446" s="49">
        <f>D446/$D$4</f>
        <v/>
      </c>
      <c r="F446" s="49">
        <f t="array" ref="F446">IFERROR(
SUM(
IF(
'PORTIFÓLIO'!$C$4:$C$564=$A446,
N(INDEX('PORTIFÓLIO'!$J$4:$Q$564,,MATCH(F$2,'PORTIFÓLIO'!$J$3:$Q$3,0))) *
N('PORTIFÓLIO'!$S$4:$S$564),
0
)
),
0)</f>
        <v/>
      </c>
      <c r="G446" s="47">
        <f>F446/$F$4</f>
        <v/>
      </c>
      <c r="H446" s="49">
        <f t="array" ref="H446">IFERROR(
SUM(
IF(
'PORTIFÓLIO'!$C$4:$C$564=$A446,
N(INDEX('PORTIFÓLIO'!$J$4:$Q$564,,MATCH(H$2,'PORTIFÓLIO'!$J$3:$Q$3,0))) *
N('PORTIFÓLIO'!$S$4:$S$564),
0
)
),
0)</f>
        <v/>
      </c>
      <c r="I446" s="47">
        <f>H446/$H$4</f>
        <v/>
      </c>
      <c r="J446" s="49">
        <f t="array" ref="J446">IFERROR(
SUM(
IF(
'PORTIFÓLIO'!$C$4:$C$564=$A446,
N(INDEX('PORTIFÓLIO'!$J$4:$Q$564,,MATCH(J$2,'PORTIFÓLIO'!$J$3:$Q$3,0))) *
N('PORTIFÓLIO'!$S$4:$S$564),
0
)
),
0)</f>
        <v/>
      </c>
      <c r="K446" s="47">
        <f>J446/$J$4</f>
        <v/>
      </c>
      <c r="L446" s="49">
        <f t="array" ref="L446">IFERROR(
SUM(
IF(
'PORTIFÓLIO'!$C$4:$C$564=$A446,
N(INDEX('PORTIFÓLIO'!$J$4:$Q$564,,MATCH(L$2,'PORTIFÓLIO'!$J$3:$Q$3,0))) *
N('PORTIFÓLIO'!$S$4:$S$564),
0
)
),
0)</f>
        <v/>
      </c>
      <c r="M446" s="47">
        <f>L446/$L$4</f>
        <v/>
      </c>
      <c r="N446" s="49">
        <f t="array" ref="N446">IFERROR(
SUM(
IF(
'PORTIFÓLIO'!$C$4:$C$564=$A446,
N(INDEX('PORTIFÓLIO'!$J$4:$Q$564,,MATCH(N$2,'PORTIFÓLIO'!$J$3:$Q$3,0))) *
N('PORTIFÓLIO'!$S$4:$S$564),
0
)
),
0)</f>
        <v/>
      </c>
      <c r="O446" s="49">
        <f>N446/$N$4</f>
        <v/>
      </c>
      <c r="P446" s="49">
        <f t="array" ref="P446">IFERROR(
SUM(
IF(
'PORTIFÓLIO'!$C$4:$C$564=$A446,
N(INDEX('PORTIFÓLIO'!$J$4:$Q$564,,MATCH(P$2,'PORTIFÓLIO'!$J$3:$Q$3,0))) *
N('PORTIFÓLIO'!$S$4:$S$564),
0
)
),
0)</f>
        <v/>
      </c>
      <c r="Q446" s="49">
        <f>P446/$P$4</f>
        <v/>
      </c>
      <c r="R446" s="43" t="n"/>
      <c r="S446" s="43" t="n"/>
    </row>
    <row r="447" hidden="1" outlineLevel="1" ht="15.75" customHeight="1" s="297">
      <c r="A447" s="42" t="n"/>
      <c r="B447" s="49">
        <f t="array" ref="B447">IFERROR(
SUM(
IF(
'PORTIFÓLIO'!$C$4:$C$564=$A447,
N(INDEX('PORTIFÓLIO'!$J$4:$Q$564,,MATCH(B$2,'PORTIFÓLIO'!$J$3:$Q$3,0))) *
N('PORTIFÓLIO'!$S$4:$S$564),
0
)
),
0)</f>
        <v/>
      </c>
      <c r="C447" s="49">
        <f>B447/$B$4</f>
        <v/>
      </c>
      <c r="D447" s="49">
        <f t="array" ref="D447">IFERROR(
SUM(
IF(
'PORTIFÓLIO'!$C$4:$C$564=$A447,
N(INDEX('PORTIFÓLIO'!$J$4:$Q$564,,MATCH(D$2,'PORTIFÓLIO'!$J$3:$Q$3,0))) *
N('PORTIFÓLIO'!$S$4:$S$564),
0
)
),
0)</f>
        <v/>
      </c>
      <c r="E447" s="49">
        <f>D447/$D$4</f>
        <v/>
      </c>
      <c r="F447" s="49">
        <f t="array" ref="F447">IFERROR(
SUM(
IF(
'PORTIFÓLIO'!$C$4:$C$564=$A447,
N(INDEX('PORTIFÓLIO'!$J$4:$Q$564,,MATCH(F$2,'PORTIFÓLIO'!$J$3:$Q$3,0))) *
N('PORTIFÓLIO'!$S$4:$S$564),
0
)
),
0)</f>
        <v/>
      </c>
      <c r="G447" s="47">
        <f>F447/$F$4</f>
        <v/>
      </c>
      <c r="H447" s="49">
        <f t="array" ref="H447">IFERROR(
SUM(
IF(
'PORTIFÓLIO'!$C$4:$C$564=$A447,
N(INDEX('PORTIFÓLIO'!$J$4:$Q$564,,MATCH(H$2,'PORTIFÓLIO'!$J$3:$Q$3,0))) *
N('PORTIFÓLIO'!$S$4:$S$564),
0
)
),
0)</f>
        <v/>
      </c>
      <c r="I447" s="47">
        <f>H447/$H$4</f>
        <v/>
      </c>
      <c r="J447" s="49">
        <f t="array" ref="J447">IFERROR(
SUM(
IF(
'PORTIFÓLIO'!$C$4:$C$564=$A447,
N(INDEX('PORTIFÓLIO'!$J$4:$Q$564,,MATCH(J$2,'PORTIFÓLIO'!$J$3:$Q$3,0))) *
N('PORTIFÓLIO'!$S$4:$S$564),
0
)
),
0)</f>
        <v/>
      </c>
      <c r="K447" s="47">
        <f>J447/$J$4</f>
        <v/>
      </c>
      <c r="L447" s="49">
        <f t="array" ref="L447">IFERROR(
SUM(
IF(
'PORTIFÓLIO'!$C$4:$C$564=$A447,
N(INDEX('PORTIFÓLIO'!$J$4:$Q$564,,MATCH(L$2,'PORTIFÓLIO'!$J$3:$Q$3,0))) *
N('PORTIFÓLIO'!$S$4:$S$564),
0
)
),
0)</f>
        <v/>
      </c>
      <c r="M447" s="47">
        <f>L447/$L$4</f>
        <v/>
      </c>
      <c r="N447" s="49">
        <f t="array" ref="N447">IFERROR(
SUM(
IF(
'PORTIFÓLIO'!$C$4:$C$564=$A447,
N(INDEX('PORTIFÓLIO'!$J$4:$Q$564,,MATCH(N$2,'PORTIFÓLIO'!$J$3:$Q$3,0))) *
N('PORTIFÓLIO'!$S$4:$S$564),
0
)
),
0)</f>
        <v/>
      </c>
      <c r="O447" s="49">
        <f>N447/$N$4</f>
        <v/>
      </c>
      <c r="P447" s="49">
        <f t="array" ref="P447">IFERROR(
SUM(
IF(
'PORTIFÓLIO'!$C$4:$C$564=$A447,
N(INDEX('PORTIFÓLIO'!$J$4:$Q$564,,MATCH(P$2,'PORTIFÓLIO'!$J$3:$Q$3,0))) *
N('PORTIFÓLIO'!$S$4:$S$564),
0
)
),
0)</f>
        <v/>
      </c>
      <c r="Q447" s="49">
        <f>P447/$P$4</f>
        <v/>
      </c>
      <c r="R447" s="43" t="n"/>
      <c r="S447" s="43" t="n"/>
    </row>
    <row r="448" hidden="1" outlineLevel="1" ht="15.75" customHeight="1" s="297">
      <c r="A448" s="42" t="n"/>
      <c r="B448" s="49">
        <f t="array" ref="B448">IFERROR(
SUM(
IF(
'PORTIFÓLIO'!$C$4:$C$564=$A448,
N(INDEX('PORTIFÓLIO'!$J$4:$Q$564,,MATCH(B$2,'PORTIFÓLIO'!$J$3:$Q$3,0))) *
N('PORTIFÓLIO'!$S$4:$S$564),
0
)
),
0)</f>
        <v/>
      </c>
      <c r="C448" s="49">
        <f>B448/$B$4</f>
        <v/>
      </c>
      <c r="D448" s="49">
        <f t="array" ref="D448">IFERROR(
SUM(
IF(
'PORTIFÓLIO'!$C$4:$C$564=$A448,
N(INDEX('PORTIFÓLIO'!$J$4:$Q$564,,MATCH(D$2,'PORTIFÓLIO'!$J$3:$Q$3,0))) *
N('PORTIFÓLIO'!$S$4:$S$564),
0
)
),
0)</f>
        <v/>
      </c>
      <c r="E448" s="49">
        <f>D448/$D$4</f>
        <v/>
      </c>
      <c r="F448" s="49">
        <f t="array" ref="F448">IFERROR(
SUM(
IF(
'PORTIFÓLIO'!$C$4:$C$564=$A448,
N(INDEX('PORTIFÓLIO'!$J$4:$Q$564,,MATCH(F$2,'PORTIFÓLIO'!$J$3:$Q$3,0))) *
N('PORTIFÓLIO'!$S$4:$S$564),
0
)
),
0)</f>
        <v/>
      </c>
      <c r="G448" s="47">
        <f>F448/$F$4</f>
        <v/>
      </c>
      <c r="H448" s="49">
        <f t="array" ref="H448">IFERROR(
SUM(
IF(
'PORTIFÓLIO'!$C$4:$C$564=$A448,
N(INDEX('PORTIFÓLIO'!$J$4:$Q$564,,MATCH(H$2,'PORTIFÓLIO'!$J$3:$Q$3,0))) *
N('PORTIFÓLIO'!$S$4:$S$564),
0
)
),
0)</f>
        <v/>
      </c>
      <c r="I448" s="47">
        <f>H448/$H$4</f>
        <v/>
      </c>
      <c r="J448" s="49">
        <f t="array" ref="J448">IFERROR(
SUM(
IF(
'PORTIFÓLIO'!$C$4:$C$564=$A448,
N(INDEX('PORTIFÓLIO'!$J$4:$Q$564,,MATCH(J$2,'PORTIFÓLIO'!$J$3:$Q$3,0))) *
N('PORTIFÓLIO'!$S$4:$S$564),
0
)
),
0)</f>
        <v/>
      </c>
      <c r="K448" s="47">
        <f>J448/$J$4</f>
        <v/>
      </c>
      <c r="L448" s="49">
        <f t="array" ref="L448">IFERROR(
SUM(
IF(
'PORTIFÓLIO'!$C$4:$C$564=$A448,
N(INDEX('PORTIFÓLIO'!$J$4:$Q$564,,MATCH(L$2,'PORTIFÓLIO'!$J$3:$Q$3,0))) *
N('PORTIFÓLIO'!$S$4:$S$564),
0
)
),
0)</f>
        <v/>
      </c>
      <c r="M448" s="47">
        <f>L448/$L$4</f>
        <v/>
      </c>
      <c r="N448" s="49">
        <f t="array" ref="N448">IFERROR(
SUM(
IF(
'PORTIFÓLIO'!$C$4:$C$564=$A448,
N(INDEX('PORTIFÓLIO'!$J$4:$Q$564,,MATCH(N$2,'PORTIFÓLIO'!$J$3:$Q$3,0))) *
N('PORTIFÓLIO'!$S$4:$S$564),
0
)
),
0)</f>
        <v/>
      </c>
      <c r="O448" s="49">
        <f>N448/$N$4</f>
        <v/>
      </c>
      <c r="P448" s="49">
        <f t="array" ref="P448">IFERROR(
SUM(
IF(
'PORTIFÓLIO'!$C$4:$C$564=$A448,
N(INDEX('PORTIFÓLIO'!$J$4:$Q$564,,MATCH(P$2,'PORTIFÓLIO'!$J$3:$Q$3,0))) *
N('PORTIFÓLIO'!$S$4:$S$564),
0
)
),
0)</f>
        <v/>
      </c>
      <c r="Q448" s="49">
        <f>P448/$P$4</f>
        <v/>
      </c>
      <c r="R448" s="43" t="n"/>
      <c r="S448" s="43" t="n"/>
    </row>
    <row r="449" hidden="1" outlineLevel="1" ht="15.75" customHeight="1" s="297">
      <c r="A449" s="42" t="n"/>
      <c r="B449" s="49">
        <f t="array" ref="B449">IFERROR(
SUM(
IF(
'PORTIFÓLIO'!$C$4:$C$564=$A449,
N(INDEX('PORTIFÓLIO'!$J$4:$Q$564,,MATCH(B$2,'PORTIFÓLIO'!$J$3:$Q$3,0))) *
N('PORTIFÓLIO'!$S$4:$S$564),
0
)
),
0)</f>
        <v/>
      </c>
      <c r="C449" s="49">
        <f>B449/$B$4</f>
        <v/>
      </c>
      <c r="D449" s="49">
        <f t="array" ref="D449">IFERROR(
SUM(
IF(
'PORTIFÓLIO'!$C$4:$C$564=$A449,
N(INDEX('PORTIFÓLIO'!$J$4:$Q$564,,MATCH(D$2,'PORTIFÓLIO'!$J$3:$Q$3,0))) *
N('PORTIFÓLIO'!$S$4:$S$564),
0
)
),
0)</f>
        <v/>
      </c>
      <c r="E449" s="49">
        <f>D449/$D$4</f>
        <v/>
      </c>
      <c r="F449" s="49">
        <f t="array" ref="F449">IFERROR(
SUM(
IF(
'PORTIFÓLIO'!$C$4:$C$564=$A449,
N(INDEX('PORTIFÓLIO'!$J$4:$Q$564,,MATCH(F$2,'PORTIFÓLIO'!$J$3:$Q$3,0))) *
N('PORTIFÓLIO'!$S$4:$S$564),
0
)
),
0)</f>
        <v/>
      </c>
      <c r="G449" s="47">
        <f>F449/$F$4</f>
        <v/>
      </c>
      <c r="H449" s="49">
        <f t="array" ref="H449">IFERROR(
SUM(
IF(
'PORTIFÓLIO'!$C$4:$C$564=$A449,
N(INDEX('PORTIFÓLIO'!$J$4:$Q$564,,MATCH(H$2,'PORTIFÓLIO'!$J$3:$Q$3,0))) *
N('PORTIFÓLIO'!$S$4:$S$564),
0
)
),
0)</f>
        <v/>
      </c>
      <c r="I449" s="47">
        <f>H449/$H$4</f>
        <v/>
      </c>
      <c r="J449" s="49">
        <f t="array" ref="J449">IFERROR(
SUM(
IF(
'PORTIFÓLIO'!$C$4:$C$564=$A449,
N(INDEX('PORTIFÓLIO'!$J$4:$Q$564,,MATCH(J$2,'PORTIFÓLIO'!$J$3:$Q$3,0))) *
N('PORTIFÓLIO'!$S$4:$S$564),
0
)
),
0)</f>
        <v/>
      </c>
      <c r="K449" s="47">
        <f>J449/$J$4</f>
        <v/>
      </c>
      <c r="L449" s="49">
        <f t="array" ref="L449">IFERROR(
SUM(
IF(
'PORTIFÓLIO'!$C$4:$C$564=$A449,
N(INDEX('PORTIFÓLIO'!$J$4:$Q$564,,MATCH(L$2,'PORTIFÓLIO'!$J$3:$Q$3,0))) *
N('PORTIFÓLIO'!$S$4:$S$564),
0
)
),
0)</f>
        <v/>
      </c>
      <c r="M449" s="47">
        <f>L449/$L$4</f>
        <v/>
      </c>
      <c r="N449" s="49">
        <f t="array" ref="N449">IFERROR(
SUM(
IF(
'PORTIFÓLIO'!$C$4:$C$564=$A449,
N(INDEX('PORTIFÓLIO'!$J$4:$Q$564,,MATCH(N$2,'PORTIFÓLIO'!$J$3:$Q$3,0))) *
N('PORTIFÓLIO'!$S$4:$S$564),
0
)
),
0)</f>
        <v/>
      </c>
      <c r="O449" s="49">
        <f>N449/$N$4</f>
        <v/>
      </c>
      <c r="P449" s="49">
        <f t="array" ref="P449">IFERROR(
SUM(
IF(
'PORTIFÓLIO'!$C$4:$C$564=$A449,
N(INDEX('PORTIFÓLIO'!$J$4:$Q$564,,MATCH(P$2,'PORTIFÓLIO'!$J$3:$Q$3,0))) *
N('PORTIFÓLIO'!$S$4:$S$564),
0
)
),
0)</f>
        <v/>
      </c>
      <c r="Q449" s="49">
        <f>P449/$P$4</f>
        <v/>
      </c>
      <c r="R449" s="43" t="n"/>
      <c r="S449" s="43" t="n"/>
    </row>
    <row r="450" hidden="1" outlineLevel="1" ht="15.75" customHeight="1" s="297">
      <c r="A450" s="42" t="n"/>
      <c r="B450" s="49">
        <f t="array" ref="B450">IFERROR(
SUM(
IF(
'PORTIFÓLIO'!$C$4:$C$564=$A450,
N(INDEX('PORTIFÓLIO'!$J$4:$Q$564,,MATCH(B$2,'PORTIFÓLIO'!$J$3:$Q$3,0))) *
N('PORTIFÓLIO'!$S$4:$S$564),
0
)
),
0)</f>
        <v/>
      </c>
      <c r="C450" s="49">
        <f>B450/$B$4</f>
        <v/>
      </c>
      <c r="D450" s="49">
        <f t="array" ref="D450">IFERROR(
SUM(
IF(
'PORTIFÓLIO'!$C$4:$C$564=$A450,
N(INDEX('PORTIFÓLIO'!$J$4:$Q$564,,MATCH(D$2,'PORTIFÓLIO'!$J$3:$Q$3,0))) *
N('PORTIFÓLIO'!$S$4:$S$564),
0
)
),
0)</f>
        <v/>
      </c>
      <c r="E450" s="49">
        <f>D450/$D$4</f>
        <v/>
      </c>
      <c r="F450" s="49">
        <f t="array" ref="F450">IFERROR(
SUM(
IF(
'PORTIFÓLIO'!$C$4:$C$564=$A450,
N(INDEX('PORTIFÓLIO'!$J$4:$Q$564,,MATCH(F$2,'PORTIFÓLIO'!$J$3:$Q$3,0))) *
N('PORTIFÓLIO'!$S$4:$S$564),
0
)
),
0)</f>
        <v/>
      </c>
      <c r="G450" s="47">
        <f>F450/$F$4</f>
        <v/>
      </c>
      <c r="H450" s="49">
        <f t="array" ref="H450">IFERROR(
SUM(
IF(
'PORTIFÓLIO'!$C$4:$C$564=$A450,
N(INDEX('PORTIFÓLIO'!$J$4:$Q$564,,MATCH(H$2,'PORTIFÓLIO'!$J$3:$Q$3,0))) *
N('PORTIFÓLIO'!$S$4:$S$564),
0
)
),
0)</f>
        <v/>
      </c>
      <c r="I450" s="47">
        <f>H450/$H$4</f>
        <v/>
      </c>
      <c r="J450" s="49">
        <f t="array" ref="J450">IFERROR(
SUM(
IF(
'PORTIFÓLIO'!$C$4:$C$564=$A450,
N(INDEX('PORTIFÓLIO'!$J$4:$Q$564,,MATCH(J$2,'PORTIFÓLIO'!$J$3:$Q$3,0))) *
N('PORTIFÓLIO'!$S$4:$S$564),
0
)
),
0)</f>
        <v/>
      </c>
      <c r="K450" s="47">
        <f>J450/$J$4</f>
        <v/>
      </c>
      <c r="L450" s="49">
        <f t="array" ref="L450">IFERROR(
SUM(
IF(
'PORTIFÓLIO'!$C$4:$C$564=$A450,
N(INDEX('PORTIFÓLIO'!$J$4:$Q$564,,MATCH(L$2,'PORTIFÓLIO'!$J$3:$Q$3,0))) *
N('PORTIFÓLIO'!$S$4:$S$564),
0
)
),
0)</f>
        <v/>
      </c>
      <c r="M450" s="47">
        <f>L450/$L$4</f>
        <v/>
      </c>
      <c r="N450" s="49">
        <f t="array" ref="N450">IFERROR(
SUM(
IF(
'PORTIFÓLIO'!$C$4:$C$564=$A450,
N(INDEX('PORTIFÓLIO'!$J$4:$Q$564,,MATCH(N$2,'PORTIFÓLIO'!$J$3:$Q$3,0))) *
N('PORTIFÓLIO'!$S$4:$S$564),
0
)
),
0)</f>
        <v/>
      </c>
      <c r="O450" s="49">
        <f>N450/$N$4</f>
        <v/>
      </c>
      <c r="P450" s="49">
        <f t="array" ref="P450">IFERROR(
SUM(
IF(
'PORTIFÓLIO'!$C$4:$C$564=$A450,
N(INDEX('PORTIFÓLIO'!$J$4:$Q$564,,MATCH(P$2,'PORTIFÓLIO'!$J$3:$Q$3,0))) *
N('PORTIFÓLIO'!$S$4:$S$564),
0
)
),
0)</f>
        <v/>
      </c>
      <c r="Q450" s="49">
        <f>P450/$P$4</f>
        <v/>
      </c>
      <c r="R450" s="43" t="n"/>
      <c r="S450" s="43" t="n"/>
    </row>
    <row r="451" hidden="1" outlineLevel="1" ht="15.75" customHeight="1" s="297">
      <c r="A451" s="42" t="n"/>
      <c r="B451" s="49">
        <f t="array" ref="B451">IFERROR(
SUM(
IF(
'PORTIFÓLIO'!$C$4:$C$564=$A451,
N(INDEX('PORTIFÓLIO'!$J$4:$Q$564,,MATCH(B$2,'PORTIFÓLIO'!$J$3:$Q$3,0))) *
N('PORTIFÓLIO'!$S$4:$S$564),
0
)
),
0)</f>
        <v/>
      </c>
      <c r="C451" s="49">
        <f>B451/$B$4</f>
        <v/>
      </c>
      <c r="D451" s="49">
        <f t="array" ref="D451">IFERROR(
SUM(
IF(
'PORTIFÓLIO'!$C$4:$C$564=$A451,
N(INDEX('PORTIFÓLIO'!$J$4:$Q$564,,MATCH(D$2,'PORTIFÓLIO'!$J$3:$Q$3,0))) *
N('PORTIFÓLIO'!$S$4:$S$564),
0
)
),
0)</f>
        <v/>
      </c>
      <c r="E451" s="49">
        <f>D451/$D$4</f>
        <v/>
      </c>
      <c r="F451" s="49">
        <f t="array" ref="F451">IFERROR(
SUM(
IF(
'PORTIFÓLIO'!$C$4:$C$564=$A451,
N(INDEX('PORTIFÓLIO'!$J$4:$Q$564,,MATCH(F$2,'PORTIFÓLIO'!$J$3:$Q$3,0))) *
N('PORTIFÓLIO'!$S$4:$S$564),
0
)
),
0)</f>
        <v/>
      </c>
      <c r="G451" s="47">
        <f>F451/$F$4</f>
        <v/>
      </c>
      <c r="H451" s="49">
        <f t="array" ref="H451">IFERROR(
SUM(
IF(
'PORTIFÓLIO'!$C$4:$C$564=$A451,
N(INDEX('PORTIFÓLIO'!$J$4:$Q$564,,MATCH(H$2,'PORTIFÓLIO'!$J$3:$Q$3,0))) *
N('PORTIFÓLIO'!$S$4:$S$564),
0
)
),
0)</f>
        <v/>
      </c>
      <c r="I451" s="47">
        <f>H451/$H$4</f>
        <v/>
      </c>
      <c r="J451" s="49">
        <f t="array" ref="J451">IFERROR(
SUM(
IF(
'PORTIFÓLIO'!$C$4:$C$564=$A451,
N(INDEX('PORTIFÓLIO'!$J$4:$Q$564,,MATCH(J$2,'PORTIFÓLIO'!$J$3:$Q$3,0))) *
N('PORTIFÓLIO'!$S$4:$S$564),
0
)
),
0)</f>
        <v/>
      </c>
      <c r="K451" s="47">
        <f>J451/$J$4</f>
        <v/>
      </c>
      <c r="L451" s="49">
        <f t="array" ref="L451">IFERROR(
SUM(
IF(
'PORTIFÓLIO'!$C$4:$C$564=$A451,
N(INDEX('PORTIFÓLIO'!$J$4:$Q$564,,MATCH(L$2,'PORTIFÓLIO'!$J$3:$Q$3,0))) *
N('PORTIFÓLIO'!$S$4:$S$564),
0
)
),
0)</f>
        <v/>
      </c>
      <c r="M451" s="47">
        <f>L451/$L$4</f>
        <v/>
      </c>
      <c r="N451" s="49">
        <f t="array" ref="N451">IFERROR(
SUM(
IF(
'PORTIFÓLIO'!$C$4:$C$564=$A451,
N(INDEX('PORTIFÓLIO'!$J$4:$Q$564,,MATCH(N$2,'PORTIFÓLIO'!$J$3:$Q$3,0))) *
N('PORTIFÓLIO'!$S$4:$S$564),
0
)
),
0)</f>
        <v/>
      </c>
      <c r="O451" s="49">
        <f>N451/$N$4</f>
        <v/>
      </c>
      <c r="P451" s="49">
        <f t="array" ref="P451">IFERROR(
SUM(
IF(
'PORTIFÓLIO'!$C$4:$C$564=$A451,
N(INDEX('PORTIFÓLIO'!$J$4:$Q$564,,MATCH(P$2,'PORTIFÓLIO'!$J$3:$Q$3,0))) *
N('PORTIFÓLIO'!$S$4:$S$564),
0
)
),
0)</f>
        <v/>
      </c>
      <c r="Q451" s="49">
        <f>P451/$P$4</f>
        <v/>
      </c>
      <c r="R451" s="43" t="n"/>
      <c r="S451" s="43" t="n"/>
    </row>
    <row r="452" hidden="1" outlineLevel="1" ht="15.75" customHeight="1" s="297">
      <c r="A452" s="42" t="n"/>
      <c r="B452" s="49">
        <f t="array" ref="B452">IFERROR(
SUM(
IF(
'PORTIFÓLIO'!$C$4:$C$564=$A452,
N(INDEX('PORTIFÓLIO'!$J$4:$Q$564,,MATCH(B$2,'PORTIFÓLIO'!$J$3:$Q$3,0))) *
N('PORTIFÓLIO'!$S$4:$S$564),
0
)
),
0)</f>
        <v/>
      </c>
      <c r="C452" s="49">
        <f>B452/$B$4</f>
        <v/>
      </c>
      <c r="D452" s="49">
        <f t="array" ref="D452">IFERROR(
SUM(
IF(
'PORTIFÓLIO'!$C$4:$C$564=$A452,
N(INDEX('PORTIFÓLIO'!$J$4:$Q$564,,MATCH(D$2,'PORTIFÓLIO'!$J$3:$Q$3,0))) *
N('PORTIFÓLIO'!$S$4:$S$564),
0
)
),
0)</f>
        <v/>
      </c>
      <c r="E452" s="49">
        <f>D452/$D$4</f>
        <v/>
      </c>
      <c r="F452" s="49">
        <f t="array" ref="F452">IFERROR(
SUM(
IF(
'PORTIFÓLIO'!$C$4:$C$564=$A452,
N(INDEX('PORTIFÓLIO'!$J$4:$Q$564,,MATCH(F$2,'PORTIFÓLIO'!$J$3:$Q$3,0))) *
N('PORTIFÓLIO'!$S$4:$S$564),
0
)
),
0)</f>
        <v/>
      </c>
      <c r="G452" s="47">
        <f>F452/$F$4</f>
        <v/>
      </c>
      <c r="H452" s="49">
        <f t="array" ref="H452">IFERROR(
SUM(
IF(
'PORTIFÓLIO'!$C$4:$C$564=$A452,
N(INDEX('PORTIFÓLIO'!$J$4:$Q$564,,MATCH(H$2,'PORTIFÓLIO'!$J$3:$Q$3,0))) *
N('PORTIFÓLIO'!$S$4:$S$564),
0
)
),
0)</f>
        <v/>
      </c>
      <c r="I452" s="47">
        <f>H452/$H$4</f>
        <v/>
      </c>
      <c r="J452" s="49">
        <f t="array" ref="J452">IFERROR(
SUM(
IF(
'PORTIFÓLIO'!$C$4:$C$564=$A452,
N(INDEX('PORTIFÓLIO'!$J$4:$Q$564,,MATCH(J$2,'PORTIFÓLIO'!$J$3:$Q$3,0))) *
N('PORTIFÓLIO'!$S$4:$S$564),
0
)
),
0)</f>
        <v/>
      </c>
      <c r="K452" s="47">
        <f>J452/$J$4</f>
        <v/>
      </c>
      <c r="L452" s="49">
        <f t="array" ref="L452">IFERROR(
SUM(
IF(
'PORTIFÓLIO'!$C$4:$C$564=$A452,
N(INDEX('PORTIFÓLIO'!$J$4:$Q$564,,MATCH(L$2,'PORTIFÓLIO'!$J$3:$Q$3,0))) *
N('PORTIFÓLIO'!$S$4:$S$564),
0
)
),
0)</f>
        <v/>
      </c>
      <c r="M452" s="47">
        <f>L452/$L$4</f>
        <v/>
      </c>
      <c r="N452" s="49">
        <f t="array" ref="N452">IFERROR(
SUM(
IF(
'PORTIFÓLIO'!$C$4:$C$564=$A452,
N(INDEX('PORTIFÓLIO'!$J$4:$Q$564,,MATCH(N$2,'PORTIFÓLIO'!$J$3:$Q$3,0))) *
N('PORTIFÓLIO'!$S$4:$S$564),
0
)
),
0)</f>
        <v/>
      </c>
      <c r="O452" s="49">
        <f>N452/$N$4</f>
        <v/>
      </c>
      <c r="P452" s="49">
        <f t="array" ref="P452">IFERROR(
SUM(
IF(
'PORTIFÓLIO'!$C$4:$C$564=$A452,
N(INDEX('PORTIFÓLIO'!$J$4:$Q$564,,MATCH(P$2,'PORTIFÓLIO'!$J$3:$Q$3,0))) *
N('PORTIFÓLIO'!$S$4:$S$564),
0
)
),
0)</f>
        <v/>
      </c>
      <c r="Q452" s="49">
        <f>P452/$P$4</f>
        <v/>
      </c>
      <c r="R452" s="43" t="n"/>
      <c r="S452" s="43" t="n"/>
    </row>
    <row r="453" hidden="1" outlineLevel="1" ht="15.75" customHeight="1" s="297">
      <c r="A453" s="42" t="n"/>
      <c r="B453" s="49">
        <f t="array" ref="B453">IFERROR(
SUM(
IF(
'PORTIFÓLIO'!$C$4:$C$564=$A453,
N(INDEX('PORTIFÓLIO'!$J$4:$Q$564,,MATCH(B$2,'PORTIFÓLIO'!$J$3:$Q$3,0))) *
N('PORTIFÓLIO'!$S$4:$S$564),
0
)
),
0)</f>
        <v/>
      </c>
      <c r="C453" s="49">
        <f>B453/$B$4</f>
        <v/>
      </c>
      <c r="D453" s="49">
        <f t="array" ref="D453">IFERROR(
SUM(
IF(
'PORTIFÓLIO'!$C$4:$C$564=$A453,
N(INDEX('PORTIFÓLIO'!$J$4:$Q$564,,MATCH(D$2,'PORTIFÓLIO'!$J$3:$Q$3,0))) *
N('PORTIFÓLIO'!$S$4:$S$564),
0
)
),
0)</f>
        <v/>
      </c>
      <c r="E453" s="49">
        <f>D453/$D$4</f>
        <v/>
      </c>
      <c r="F453" s="49">
        <f t="array" ref="F453">IFERROR(
SUM(
IF(
'PORTIFÓLIO'!$C$4:$C$564=$A453,
N(INDEX('PORTIFÓLIO'!$J$4:$Q$564,,MATCH(F$2,'PORTIFÓLIO'!$J$3:$Q$3,0))) *
N('PORTIFÓLIO'!$S$4:$S$564),
0
)
),
0)</f>
        <v/>
      </c>
      <c r="G453" s="47">
        <f>F453/$F$4</f>
        <v/>
      </c>
      <c r="H453" s="49">
        <f t="array" ref="H453">IFERROR(
SUM(
IF(
'PORTIFÓLIO'!$C$4:$C$564=$A453,
N(INDEX('PORTIFÓLIO'!$J$4:$Q$564,,MATCH(H$2,'PORTIFÓLIO'!$J$3:$Q$3,0))) *
N('PORTIFÓLIO'!$S$4:$S$564),
0
)
),
0)</f>
        <v/>
      </c>
      <c r="I453" s="47">
        <f>H453/$H$4</f>
        <v/>
      </c>
      <c r="J453" s="49">
        <f t="array" ref="J453">IFERROR(
SUM(
IF(
'PORTIFÓLIO'!$C$4:$C$564=$A453,
N(INDEX('PORTIFÓLIO'!$J$4:$Q$564,,MATCH(J$2,'PORTIFÓLIO'!$J$3:$Q$3,0))) *
N('PORTIFÓLIO'!$S$4:$S$564),
0
)
),
0)</f>
        <v/>
      </c>
      <c r="K453" s="47">
        <f>J453/$J$4</f>
        <v/>
      </c>
      <c r="L453" s="49">
        <f t="array" ref="L453">IFERROR(
SUM(
IF(
'PORTIFÓLIO'!$C$4:$C$564=$A453,
N(INDEX('PORTIFÓLIO'!$J$4:$Q$564,,MATCH(L$2,'PORTIFÓLIO'!$J$3:$Q$3,0))) *
N('PORTIFÓLIO'!$S$4:$S$564),
0
)
),
0)</f>
        <v/>
      </c>
      <c r="M453" s="47">
        <f>L453/$L$4</f>
        <v/>
      </c>
      <c r="N453" s="49">
        <f t="array" ref="N453">IFERROR(
SUM(
IF(
'PORTIFÓLIO'!$C$4:$C$564=$A453,
N(INDEX('PORTIFÓLIO'!$J$4:$Q$564,,MATCH(N$2,'PORTIFÓLIO'!$J$3:$Q$3,0))) *
N('PORTIFÓLIO'!$S$4:$S$564),
0
)
),
0)</f>
        <v/>
      </c>
      <c r="O453" s="49">
        <f>N453/$N$4</f>
        <v/>
      </c>
      <c r="P453" s="49">
        <f t="array" ref="P453">IFERROR(
SUM(
IF(
'PORTIFÓLIO'!$C$4:$C$564=$A453,
N(INDEX('PORTIFÓLIO'!$J$4:$Q$564,,MATCH(P$2,'PORTIFÓLIO'!$J$3:$Q$3,0))) *
N('PORTIFÓLIO'!$S$4:$S$564),
0
)
),
0)</f>
        <v/>
      </c>
      <c r="Q453" s="49">
        <f>P453/$P$4</f>
        <v/>
      </c>
      <c r="R453" s="43" t="n"/>
      <c r="S453" s="43" t="n"/>
    </row>
    <row r="454" hidden="1" outlineLevel="1" ht="15.75" customHeight="1" s="297">
      <c r="A454" s="42" t="n"/>
      <c r="B454" s="49">
        <f t="array" ref="B454">IFERROR(
SUM(
IF(
'PORTIFÓLIO'!$C$4:$C$564=$A454,
N(INDEX('PORTIFÓLIO'!$J$4:$Q$564,,MATCH(B$2,'PORTIFÓLIO'!$J$3:$Q$3,0))) *
N('PORTIFÓLIO'!$S$4:$S$564),
0
)
),
0)</f>
        <v/>
      </c>
      <c r="C454" s="49">
        <f>B454/$B$4</f>
        <v/>
      </c>
      <c r="D454" s="49">
        <f t="array" ref="D454">IFERROR(
SUM(
IF(
'PORTIFÓLIO'!$C$4:$C$564=$A454,
N(INDEX('PORTIFÓLIO'!$J$4:$Q$564,,MATCH(D$2,'PORTIFÓLIO'!$J$3:$Q$3,0))) *
N('PORTIFÓLIO'!$S$4:$S$564),
0
)
),
0)</f>
        <v/>
      </c>
      <c r="E454" s="49">
        <f>D454/$D$4</f>
        <v/>
      </c>
      <c r="F454" s="49">
        <f t="array" ref="F454">IFERROR(
SUM(
IF(
'PORTIFÓLIO'!$C$4:$C$564=$A454,
N(INDEX('PORTIFÓLIO'!$J$4:$Q$564,,MATCH(F$2,'PORTIFÓLIO'!$J$3:$Q$3,0))) *
N('PORTIFÓLIO'!$S$4:$S$564),
0
)
),
0)</f>
        <v/>
      </c>
      <c r="G454" s="47">
        <f>F454/$F$4</f>
        <v/>
      </c>
      <c r="H454" s="49">
        <f t="array" ref="H454">IFERROR(
SUM(
IF(
'PORTIFÓLIO'!$C$4:$C$564=$A454,
N(INDEX('PORTIFÓLIO'!$J$4:$Q$564,,MATCH(H$2,'PORTIFÓLIO'!$J$3:$Q$3,0))) *
N('PORTIFÓLIO'!$S$4:$S$564),
0
)
),
0)</f>
        <v/>
      </c>
      <c r="I454" s="47">
        <f>H454/$H$4</f>
        <v/>
      </c>
      <c r="J454" s="49">
        <f t="array" ref="J454">IFERROR(
SUM(
IF(
'PORTIFÓLIO'!$C$4:$C$564=$A454,
N(INDEX('PORTIFÓLIO'!$J$4:$Q$564,,MATCH(J$2,'PORTIFÓLIO'!$J$3:$Q$3,0))) *
N('PORTIFÓLIO'!$S$4:$S$564),
0
)
),
0)</f>
        <v/>
      </c>
      <c r="K454" s="47">
        <f>J454/$J$4</f>
        <v/>
      </c>
      <c r="L454" s="49">
        <f t="array" ref="L454">IFERROR(
SUM(
IF(
'PORTIFÓLIO'!$C$4:$C$564=$A454,
N(INDEX('PORTIFÓLIO'!$J$4:$Q$564,,MATCH(L$2,'PORTIFÓLIO'!$J$3:$Q$3,0))) *
N('PORTIFÓLIO'!$S$4:$S$564),
0
)
),
0)</f>
        <v/>
      </c>
      <c r="M454" s="47">
        <f>L454/$L$4</f>
        <v/>
      </c>
      <c r="N454" s="49">
        <f t="array" ref="N454">IFERROR(
SUM(
IF(
'PORTIFÓLIO'!$C$4:$C$564=$A454,
N(INDEX('PORTIFÓLIO'!$J$4:$Q$564,,MATCH(N$2,'PORTIFÓLIO'!$J$3:$Q$3,0))) *
N('PORTIFÓLIO'!$S$4:$S$564),
0
)
),
0)</f>
        <v/>
      </c>
      <c r="O454" s="49">
        <f>N454/$N$4</f>
        <v/>
      </c>
      <c r="P454" s="49">
        <f t="array" ref="P454">IFERROR(
SUM(
IF(
'PORTIFÓLIO'!$C$4:$C$564=$A454,
N(INDEX('PORTIFÓLIO'!$J$4:$Q$564,,MATCH(P$2,'PORTIFÓLIO'!$J$3:$Q$3,0))) *
N('PORTIFÓLIO'!$S$4:$S$564),
0
)
),
0)</f>
        <v/>
      </c>
      <c r="Q454" s="49">
        <f>P454/$P$4</f>
        <v/>
      </c>
      <c r="R454" s="43" t="n"/>
      <c r="S454" s="43" t="n"/>
    </row>
    <row r="455" hidden="1" outlineLevel="1" ht="15.75" customHeight="1" s="297">
      <c r="A455" s="42" t="n"/>
      <c r="B455" s="49">
        <f t="array" ref="B455">IFERROR(
SUM(
IF(
'PORTIFÓLIO'!$C$4:$C$564=$A455,
N(INDEX('PORTIFÓLIO'!$J$4:$Q$564,,MATCH(B$2,'PORTIFÓLIO'!$J$3:$Q$3,0))) *
N('PORTIFÓLIO'!$S$4:$S$564),
0
)
),
0)</f>
        <v/>
      </c>
      <c r="C455" s="49">
        <f>B455/$B$4</f>
        <v/>
      </c>
      <c r="D455" s="49">
        <f t="array" ref="D455">IFERROR(
SUM(
IF(
'PORTIFÓLIO'!$C$4:$C$564=$A455,
N(INDEX('PORTIFÓLIO'!$J$4:$Q$564,,MATCH(D$2,'PORTIFÓLIO'!$J$3:$Q$3,0))) *
N('PORTIFÓLIO'!$S$4:$S$564),
0
)
),
0)</f>
        <v/>
      </c>
      <c r="E455" s="49">
        <f>D455/$D$4</f>
        <v/>
      </c>
      <c r="F455" s="49">
        <f t="array" ref="F455">IFERROR(
SUM(
IF(
'PORTIFÓLIO'!$C$4:$C$564=$A455,
N(INDEX('PORTIFÓLIO'!$J$4:$Q$564,,MATCH(F$2,'PORTIFÓLIO'!$J$3:$Q$3,0))) *
N('PORTIFÓLIO'!$S$4:$S$564),
0
)
),
0)</f>
        <v/>
      </c>
      <c r="G455" s="47">
        <f>F455/$F$4</f>
        <v/>
      </c>
      <c r="H455" s="49">
        <f t="array" ref="H455">IFERROR(
SUM(
IF(
'PORTIFÓLIO'!$C$4:$C$564=$A455,
N(INDEX('PORTIFÓLIO'!$J$4:$Q$564,,MATCH(H$2,'PORTIFÓLIO'!$J$3:$Q$3,0))) *
N('PORTIFÓLIO'!$S$4:$S$564),
0
)
),
0)</f>
        <v/>
      </c>
      <c r="I455" s="47">
        <f>H455/$H$4</f>
        <v/>
      </c>
      <c r="J455" s="49">
        <f t="array" ref="J455">IFERROR(
SUM(
IF(
'PORTIFÓLIO'!$C$4:$C$564=$A455,
N(INDEX('PORTIFÓLIO'!$J$4:$Q$564,,MATCH(J$2,'PORTIFÓLIO'!$J$3:$Q$3,0))) *
N('PORTIFÓLIO'!$S$4:$S$564),
0
)
),
0)</f>
        <v/>
      </c>
      <c r="K455" s="47">
        <f>J455/$J$4</f>
        <v/>
      </c>
      <c r="L455" s="49">
        <f t="array" ref="L455">IFERROR(
SUM(
IF(
'PORTIFÓLIO'!$C$4:$C$564=$A455,
N(INDEX('PORTIFÓLIO'!$J$4:$Q$564,,MATCH(L$2,'PORTIFÓLIO'!$J$3:$Q$3,0))) *
N('PORTIFÓLIO'!$S$4:$S$564),
0
)
),
0)</f>
        <v/>
      </c>
      <c r="M455" s="47">
        <f>L455/$L$4</f>
        <v/>
      </c>
      <c r="N455" s="49">
        <f t="array" ref="N455">IFERROR(
SUM(
IF(
'PORTIFÓLIO'!$C$4:$C$564=$A455,
N(INDEX('PORTIFÓLIO'!$J$4:$Q$564,,MATCH(N$2,'PORTIFÓLIO'!$J$3:$Q$3,0))) *
N('PORTIFÓLIO'!$S$4:$S$564),
0
)
),
0)</f>
        <v/>
      </c>
      <c r="O455" s="49">
        <f>N455/$N$4</f>
        <v/>
      </c>
      <c r="P455" s="49">
        <f t="array" ref="P455">IFERROR(
SUM(
IF(
'PORTIFÓLIO'!$C$4:$C$564=$A455,
N(INDEX('PORTIFÓLIO'!$J$4:$Q$564,,MATCH(P$2,'PORTIFÓLIO'!$J$3:$Q$3,0))) *
N('PORTIFÓLIO'!$S$4:$S$564),
0
)
),
0)</f>
        <v/>
      </c>
      <c r="Q455" s="49">
        <f>P455/$P$4</f>
        <v/>
      </c>
      <c r="R455" s="43" t="n"/>
      <c r="S455" s="43" t="n"/>
    </row>
    <row r="456" hidden="1" outlineLevel="1" ht="15.75" customHeight="1" s="297">
      <c r="A456" s="42" t="n"/>
      <c r="B456" s="49">
        <f t="array" ref="B456">IFERROR(
SUM(
IF(
'PORTIFÓLIO'!$C$4:$C$564=$A456,
N(INDEX('PORTIFÓLIO'!$J$4:$Q$564,,MATCH(B$2,'PORTIFÓLIO'!$J$3:$Q$3,0))) *
N('PORTIFÓLIO'!$S$4:$S$564),
0
)
),
0)</f>
        <v/>
      </c>
      <c r="C456" s="49">
        <f>B456/$B$4</f>
        <v/>
      </c>
      <c r="D456" s="49">
        <f t="array" ref="D456">IFERROR(
SUM(
IF(
'PORTIFÓLIO'!$C$4:$C$564=$A456,
N(INDEX('PORTIFÓLIO'!$J$4:$Q$564,,MATCH(D$2,'PORTIFÓLIO'!$J$3:$Q$3,0))) *
N('PORTIFÓLIO'!$S$4:$S$564),
0
)
),
0)</f>
        <v/>
      </c>
      <c r="E456" s="49">
        <f>D456/$D$4</f>
        <v/>
      </c>
      <c r="F456" s="49">
        <f t="array" ref="F456">IFERROR(
SUM(
IF(
'PORTIFÓLIO'!$C$4:$C$564=$A456,
N(INDEX('PORTIFÓLIO'!$J$4:$Q$564,,MATCH(F$2,'PORTIFÓLIO'!$J$3:$Q$3,0))) *
N('PORTIFÓLIO'!$S$4:$S$564),
0
)
),
0)</f>
        <v/>
      </c>
      <c r="G456" s="47">
        <f>F456/$F$4</f>
        <v/>
      </c>
      <c r="H456" s="49">
        <f t="array" ref="H456">IFERROR(
SUM(
IF(
'PORTIFÓLIO'!$C$4:$C$564=$A456,
N(INDEX('PORTIFÓLIO'!$J$4:$Q$564,,MATCH(H$2,'PORTIFÓLIO'!$J$3:$Q$3,0))) *
N('PORTIFÓLIO'!$S$4:$S$564),
0
)
),
0)</f>
        <v/>
      </c>
      <c r="I456" s="47">
        <f>H456/$H$4</f>
        <v/>
      </c>
      <c r="J456" s="49">
        <f t="array" ref="J456">IFERROR(
SUM(
IF(
'PORTIFÓLIO'!$C$4:$C$564=$A456,
N(INDEX('PORTIFÓLIO'!$J$4:$Q$564,,MATCH(J$2,'PORTIFÓLIO'!$J$3:$Q$3,0))) *
N('PORTIFÓLIO'!$S$4:$S$564),
0
)
),
0)</f>
        <v/>
      </c>
      <c r="K456" s="47">
        <f>J456/$J$4</f>
        <v/>
      </c>
      <c r="L456" s="49">
        <f t="array" ref="L456">IFERROR(
SUM(
IF(
'PORTIFÓLIO'!$C$4:$C$564=$A456,
N(INDEX('PORTIFÓLIO'!$J$4:$Q$564,,MATCH(L$2,'PORTIFÓLIO'!$J$3:$Q$3,0))) *
N('PORTIFÓLIO'!$S$4:$S$564),
0
)
),
0)</f>
        <v/>
      </c>
      <c r="M456" s="47">
        <f>L456/$L$4</f>
        <v/>
      </c>
      <c r="N456" s="49">
        <f t="array" ref="N456">IFERROR(
SUM(
IF(
'PORTIFÓLIO'!$C$4:$C$564=$A456,
N(INDEX('PORTIFÓLIO'!$J$4:$Q$564,,MATCH(N$2,'PORTIFÓLIO'!$J$3:$Q$3,0))) *
N('PORTIFÓLIO'!$S$4:$S$564),
0
)
),
0)</f>
        <v/>
      </c>
      <c r="O456" s="49">
        <f>N456/$N$4</f>
        <v/>
      </c>
      <c r="P456" s="49">
        <f t="array" ref="P456">IFERROR(
SUM(
IF(
'PORTIFÓLIO'!$C$4:$C$564=$A456,
N(INDEX('PORTIFÓLIO'!$J$4:$Q$564,,MATCH(P$2,'PORTIFÓLIO'!$J$3:$Q$3,0))) *
N('PORTIFÓLIO'!$S$4:$S$564),
0
)
),
0)</f>
        <v/>
      </c>
      <c r="Q456" s="49">
        <f>P456/$P$4</f>
        <v/>
      </c>
      <c r="R456" s="43" t="n"/>
      <c r="S456" s="43" t="n"/>
    </row>
    <row r="457" hidden="1" outlineLevel="1" ht="15.75" customHeight="1" s="297">
      <c r="A457" s="42" t="n"/>
      <c r="B457" s="49">
        <f t="array" ref="B457">IFERROR(
SUM(
IF(
'PORTIFÓLIO'!$C$4:$C$564=$A457,
N(INDEX('PORTIFÓLIO'!$J$4:$Q$564,,MATCH(B$2,'PORTIFÓLIO'!$J$3:$Q$3,0))) *
N('PORTIFÓLIO'!$S$4:$S$564),
0
)
),
0)</f>
        <v/>
      </c>
      <c r="C457" s="49">
        <f>B457/$B$4</f>
        <v/>
      </c>
      <c r="D457" s="49">
        <f t="array" ref="D457">IFERROR(
SUM(
IF(
'PORTIFÓLIO'!$C$4:$C$564=$A457,
N(INDEX('PORTIFÓLIO'!$J$4:$Q$564,,MATCH(D$2,'PORTIFÓLIO'!$J$3:$Q$3,0))) *
N('PORTIFÓLIO'!$S$4:$S$564),
0
)
),
0)</f>
        <v/>
      </c>
      <c r="E457" s="49">
        <f>D457/$D$4</f>
        <v/>
      </c>
      <c r="F457" s="49">
        <f t="array" ref="F457">IFERROR(
SUM(
IF(
'PORTIFÓLIO'!$C$4:$C$564=$A457,
N(INDEX('PORTIFÓLIO'!$J$4:$Q$564,,MATCH(F$2,'PORTIFÓLIO'!$J$3:$Q$3,0))) *
N('PORTIFÓLIO'!$S$4:$S$564),
0
)
),
0)</f>
        <v/>
      </c>
      <c r="G457" s="47">
        <f>F457/$F$4</f>
        <v/>
      </c>
      <c r="H457" s="49">
        <f t="array" ref="H457">IFERROR(
SUM(
IF(
'PORTIFÓLIO'!$C$4:$C$564=$A457,
N(INDEX('PORTIFÓLIO'!$J$4:$Q$564,,MATCH(H$2,'PORTIFÓLIO'!$J$3:$Q$3,0))) *
N('PORTIFÓLIO'!$S$4:$S$564),
0
)
),
0)</f>
        <v/>
      </c>
      <c r="I457" s="47">
        <f>H457/$H$4</f>
        <v/>
      </c>
      <c r="J457" s="49">
        <f t="array" ref="J457">IFERROR(
SUM(
IF(
'PORTIFÓLIO'!$C$4:$C$564=$A457,
N(INDEX('PORTIFÓLIO'!$J$4:$Q$564,,MATCH(J$2,'PORTIFÓLIO'!$J$3:$Q$3,0))) *
N('PORTIFÓLIO'!$S$4:$S$564),
0
)
),
0)</f>
        <v/>
      </c>
      <c r="K457" s="47">
        <f>J457/$J$4</f>
        <v/>
      </c>
      <c r="L457" s="49">
        <f t="array" ref="L457">IFERROR(
SUM(
IF(
'PORTIFÓLIO'!$C$4:$C$564=$A457,
N(INDEX('PORTIFÓLIO'!$J$4:$Q$564,,MATCH(L$2,'PORTIFÓLIO'!$J$3:$Q$3,0))) *
N('PORTIFÓLIO'!$S$4:$S$564),
0
)
),
0)</f>
        <v/>
      </c>
      <c r="M457" s="47">
        <f>L457/$L$4</f>
        <v/>
      </c>
      <c r="N457" s="49">
        <f t="array" ref="N457">IFERROR(
SUM(
IF(
'PORTIFÓLIO'!$C$4:$C$564=$A457,
N(INDEX('PORTIFÓLIO'!$J$4:$Q$564,,MATCH(N$2,'PORTIFÓLIO'!$J$3:$Q$3,0))) *
N('PORTIFÓLIO'!$S$4:$S$564),
0
)
),
0)</f>
        <v/>
      </c>
      <c r="O457" s="49">
        <f>N457/$N$4</f>
        <v/>
      </c>
      <c r="P457" s="49">
        <f t="array" ref="P457">IFERROR(
SUM(
IF(
'PORTIFÓLIO'!$C$4:$C$564=$A457,
N(INDEX('PORTIFÓLIO'!$J$4:$Q$564,,MATCH(P$2,'PORTIFÓLIO'!$J$3:$Q$3,0))) *
N('PORTIFÓLIO'!$S$4:$S$564),
0
)
),
0)</f>
        <v/>
      </c>
      <c r="Q457" s="49">
        <f>P457/$P$4</f>
        <v/>
      </c>
      <c r="R457" s="43" t="n"/>
      <c r="S457" s="43" t="n"/>
    </row>
    <row r="458" ht="15.75" customHeight="1" s="297">
      <c r="A458" s="42" t="inlineStr">
        <is>
          <t>ASSISTENCIA TECNICA</t>
        </is>
      </c>
      <c r="B458" s="43" t="n"/>
      <c r="C458" s="43" t="n"/>
      <c r="D458" s="43" t="n"/>
      <c r="E458" s="43" t="n"/>
      <c r="F458" s="43" t="n"/>
      <c r="G458" s="43" t="n"/>
      <c r="H458" s="43" t="n"/>
      <c r="I458" s="43" t="n"/>
      <c r="J458" s="43" t="n"/>
      <c r="K458" s="43" t="n"/>
      <c r="L458" s="43" t="n"/>
      <c r="M458" s="43" t="n"/>
      <c r="N458" s="43" t="n"/>
      <c r="O458" s="43" t="n"/>
      <c r="P458" s="43" t="n"/>
      <c r="Q458" s="43" t="n"/>
      <c r="R458" s="43" t="n"/>
      <c r="S458" s="43" t="n"/>
    </row>
    <row r="459" ht="15.75" customHeight="1" s="297">
      <c r="A459" s="42" t="inlineStr">
        <is>
          <t>PLANTIO TERCEIRIZADO</t>
        </is>
      </c>
      <c r="B459" s="43" t="n"/>
      <c r="C459" s="43" t="n"/>
      <c r="D459" s="43" t="n"/>
      <c r="E459" s="43" t="n"/>
      <c r="F459" s="43" t="n"/>
      <c r="G459" s="43" t="n"/>
      <c r="H459" s="43" t="n"/>
      <c r="I459" s="43" t="n"/>
      <c r="J459" s="43" t="n"/>
      <c r="K459" s="43" t="n"/>
      <c r="L459" s="43" t="n"/>
      <c r="M459" s="43" t="n"/>
      <c r="N459" s="43" t="n"/>
      <c r="O459" s="43" t="n"/>
      <c r="P459" s="43" t="n"/>
      <c r="Q459" s="43" t="n"/>
      <c r="R459" s="43" t="n"/>
      <c r="S459" s="43" t="n"/>
    </row>
    <row r="460" ht="15.75" customHeight="1" s="297">
      <c r="A460" s="42" t="inlineStr">
        <is>
          <t>COLHEITA TERCEIRIZADA</t>
        </is>
      </c>
      <c r="B460" s="43" t="n"/>
      <c r="C460" s="43" t="n"/>
      <c r="D460" s="43" t="n"/>
      <c r="E460" s="43" t="n"/>
      <c r="F460" s="43" t="n"/>
      <c r="G460" s="43" t="n"/>
      <c r="H460" s="43" t="n"/>
      <c r="I460" s="43" t="n"/>
      <c r="J460" s="43" t="n"/>
      <c r="K460" s="43" t="n"/>
      <c r="L460" s="43" t="n"/>
      <c r="M460" s="43" t="n"/>
      <c r="N460" s="43" t="n"/>
      <c r="O460" s="43" t="n"/>
      <c r="P460" s="43" t="n"/>
      <c r="Q460" s="43" t="n"/>
      <c r="R460" s="43" t="n"/>
      <c r="S460" s="43" t="n"/>
    </row>
    <row r="461" ht="15.75" customHeight="1" s="297">
      <c r="A461" s="42" t="inlineStr">
        <is>
          <t>*COMISSÃO FUNCIONÁRIOS</t>
        </is>
      </c>
      <c r="B461" s="43" t="n"/>
      <c r="C461" s="43" t="n"/>
      <c r="D461" s="43" t="n"/>
      <c r="E461" s="43" t="n"/>
      <c r="F461" s="43" t="n"/>
      <c r="G461" s="43" t="n"/>
      <c r="H461" s="43" t="n"/>
      <c r="I461" s="43" t="n"/>
      <c r="J461" s="43" t="n"/>
      <c r="K461" s="43" t="n"/>
      <c r="L461" s="43" t="n"/>
      <c r="M461" s="43" t="n"/>
      <c r="N461" s="43" t="n"/>
      <c r="O461" s="43" t="n"/>
      <c r="P461" s="43" t="n"/>
      <c r="Q461" s="43" t="n"/>
      <c r="R461" s="43" t="n"/>
      <c r="S461" s="43" t="n"/>
    </row>
    <row r="462" ht="15.75" customHeight="1" s="297">
      <c r="A462" s="42" t="inlineStr">
        <is>
          <t>AVIACAO AGRICOLA</t>
        </is>
      </c>
      <c r="B462" s="43" t="inlineStr">
        <is>
          <t>-</t>
        </is>
      </c>
      <c r="C462" s="51" t="inlineStr">
        <is>
          <t>-</t>
        </is>
      </c>
      <c r="D462" s="43" t="inlineStr">
        <is>
          <t>-</t>
        </is>
      </c>
      <c r="E462" s="51" t="inlineStr">
        <is>
          <t>-</t>
        </is>
      </c>
      <c r="F462" s="43" t="n"/>
      <c r="G462" s="43" t="n"/>
      <c r="H462" s="43" t="inlineStr">
        <is>
          <t>-</t>
        </is>
      </c>
      <c r="I462" s="51" t="inlineStr">
        <is>
          <t>-</t>
        </is>
      </c>
      <c r="J462" s="43" t="inlineStr">
        <is>
          <t>-</t>
        </is>
      </c>
      <c r="K462" s="51" t="inlineStr">
        <is>
          <t>-</t>
        </is>
      </c>
      <c r="L462" s="43" t="inlineStr">
        <is>
          <t>-</t>
        </is>
      </c>
      <c r="M462" s="51" t="inlineStr">
        <is>
          <t>-</t>
        </is>
      </c>
      <c r="N462" s="43" t="inlineStr">
        <is>
          <t>-</t>
        </is>
      </c>
      <c r="O462" s="51" t="inlineStr">
        <is>
          <t>-</t>
        </is>
      </c>
      <c r="P462" s="43" t="inlineStr">
        <is>
          <t>-</t>
        </is>
      </c>
      <c r="Q462" s="51" t="inlineStr">
        <is>
          <t>-</t>
        </is>
      </c>
      <c r="R462" s="43">
        <f>SUM(P462,N462,L462,J462,H462,D462,B462)</f>
        <v/>
      </c>
      <c r="S462" s="43">
        <f>R462/$R$4</f>
        <v/>
      </c>
    </row>
    <row r="463" ht="15.75" customHeight="1" s="297">
      <c r="A463" s="52" t="inlineStr">
        <is>
          <t>(=) MARGEM OPERACIONAL</t>
        </is>
      </c>
      <c r="B463" s="53">
        <f>B9-B11</f>
        <v/>
      </c>
      <c r="C463" s="54" t="n">
        <v>4179</v>
      </c>
      <c r="D463" s="53">
        <f>D9-D11</f>
        <v/>
      </c>
      <c r="E463" s="54" t="n">
        <v>4179</v>
      </c>
      <c r="F463" s="53" t="n"/>
      <c r="G463" s="53" t="n"/>
      <c r="H463" s="53">
        <f>H9-H11</f>
        <v/>
      </c>
      <c r="I463" s="54" t="n">
        <v>4179</v>
      </c>
      <c r="J463" s="53">
        <f>J9-J11</f>
        <v/>
      </c>
      <c r="K463" s="54" t="n">
        <v>4179</v>
      </c>
      <c r="L463" s="53">
        <f>L9-L11</f>
        <v/>
      </c>
      <c r="M463" s="54" t="n">
        <v>4179</v>
      </c>
      <c r="N463" s="53">
        <f>N9-N11</f>
        <v/>
      </c>
      <c r="O463" s="54" t="n">
        <v>4179</v>
      </c>
      <c r="P463" s="53">
        <f>P9-P11</f>
        <v/>
      </c>
      <c r="Q463" s="54" t="n">
        <v>4179</v>
      </c>
      <c r="R463" s="55">
        <f>SUM(L463,J463,H463,D463,B463)</f>
        <v/>
      </c>
      <c r="S463" s="56">
        <f>R463/$B$4</f>
        <v/>
      </c>
    </row>
    <row r="464" ht="15.75" customHeight="1" s="297">
      <c r="A464" s="57" t="inlineStr">
        <is>
          <t>(%) MARGEM OPERACIONAL</t>
        </is>
      </c>
      <c r="B464" s="58">
        <f>B463/B$9</f>
        <v/>
      </c>
      <c r="C464" s="59" t="n">
        <v>0</v>
      </c>
      <c r="D464" s="58">
        <f>D463/D$9</f>
        <v/>
      </c>
      <c r="E464" s="59" t="n">
        <v>0</v>
      </c>
      <c r="F464" s="58" t="n"/>
      <c r="G464" s="58" t="n"/>
      <c r="H464" s="58">
        <f>H463/H$9</f>
        <v/>
      </c>
      <c r="I464" s="59" t="n">
        <v>0</v>
      </c>
      <c r="J464" s="58">
        <f>J463/J$9</f>
        <v/>
      </c>
      <c r="K464" s="59" t="n">
        <v>0</v>
      </c>
      <c r="L464" s="58">
        <f>L463/L$9</f>
        <v/>
      </c>
      <c r="M464" s="59" t="n">
        <v>0</v>
      </c>
      <c r="N464" s="58">
        <f>N463/N$9</f>
        <v/>
      </c>
      <c r="O464" s="59" t="n">
        <v>0</v>
      </c>
      <c r="P464" s="58">
        <f>P463/P$9</f>
        <v/>
      </c>
      <c r="Q464" s="59" t="n">
        <v>0</v>
      </c>
      <c r="R464" s="58">
        <f>R463/R$9</f>
        <v/>
      </c>
      <c r="S464" s="59" t="n"/>
    </row>
    <row r="465" ht="15.75" customHeight="1" s="297">
      <c r="A465" s="40" t="inlineStr">
        <is>
          <t>CUSTOS INDIRETOS</t>
        </is>
      </c>
      <c r="B465" s="41" t="n"/>
      <c r="C465" s="60" t="n"/>
      <c r="D465" s="41" t="n"/>
      <c r="E465" s="60" t="n"/>
      <c r="F465" s="41" t="n"/>
      <c r="G465" s="41" t="n"/>
      <c r="H465" s="41" t="n"/>
      <c r="I465" s="60" t="n"/>
      <c r="J465" s="41" t="n"/>
      <c r="K465" s="60" t="n"/>
      <c r="L465" s="41" t="n"/>
      <c r="M465" s="60" t="n"/>
      <c r="N465" s="41" t="n"/>
      <c r="O465" s="60" t="n"/>
      <c r="P465" s="41" t="n"/>
      <c r="Q465" s="60" t="n"/>
      <c r="R465" s="55" t="n"/>
      <c r="S465" s="56" t="n"/>
    </row>
    <row r="466" ht="15.75" customHeight="1" s="297">
      <c r="A466" s="61" t="inlineStr">
        <is>
          <t>DESPESAS OPERACIONAIS</t>
        </is>
      </c>
      <c r="B466" s="62" t="n"/>
      <c r="C466" s="63" t="n"/>
      <c r="D466" s="62" t="n"/>
      <c r="E466" s="63" t="n"/>
      <c r="F466" s="62" t="n"/>
      <c r="G466" s="62" t="n"/>
      <c r="H466" s="62" t="n"/>
      <c r="I466" s="63" t="n"/>
      <c r="J466" s="62" t="n"/>
      <c r="K466" s="63" t="n"/>
      <c r="L466" s="62" t="n"/>
      <c r="M466" s="63" t="n"/>
      <c r="N466" s="62" t="n"/>
      <c r="O466" s="63" t="n"/>
      <c r="P466" s="62" t="n"/>
      <c r="Q466" s="63" t="n"/>
      <c r="R466" s="55" t="n"/>
      <c r="S466" s="56" t="n"/>
    </row>
    <row r="467" ht="15.75" customHeight="1" s="297">
      <c r="A467" s="64" t="inlineStr">
        <is>
          <t>COMBUSTIVEIS</t>
        </is>
      </c>
      <c r="B467" s="65" t="n"/>
      <c r="C467" s="66" t="n"/>
      <c r="D467" s="65" t="n"/>
      <c r="E467" s="66" t="n"/>
      <c r="F467" s="65" t="n"/>
      <c r="G467" s="65" t="n"/>
      <c r="H467" s="65" t="n"/>
      <c r="I467" s="66" t="n"/>
      <c r="J467" s="65" t="n"/>
      <c r="K467" s="66" t="n"/>
      <c r="L467" s="65" t="n"/>
      <c r="M467" s="66" t="n"/>
      <c r="N467" s="65" t="n"/>
      <c r="O467" s="66" t="n"/>
      <c r="P467" s="65" t="n"/>
      <c r="Q467" s="66" t="n"/>
      <c r="R467" s="55" t="n"/>
      <c r="S467" s="56" t="n"/>
    </row>
    <row r="468" ht="15.75" customHeight="1" s="297">
      <c r="A468" s="67" t="inlineStr">
        <is>
          <t>COMPRA DE LUBRIFICANTES ESTOQUE</t>
        </is>
      </c>
      <c r="B468" s="68" t="n"/>
      <c r="C468" s="69" t="n"/>
      <c r="D468" s="68" t="n"/>
      <c r="E468" s="69" t="n"/>
      <c r="F468" s="68" t="n"/>
      <c r="G468" s="68" t="n"/>
      <c r="H468" s="68" t="n"/>
      <c r="I468" s="69" t="n"/>
      <c r="J468" s="68" t="n"/>
      <c r="K468" s="69" t="n"/>
      <c r="L468" s="68" t="n"/>
      <c r="M468" s="69" t="n"/>
      <c r="N468" s="68" t="n"/>
      <c r="O468" s="69" t="n"/>
      <c r="P468" s="68" t="n"/>
      <c r="Q468" s="69" t="n"/>
      <c r="R468" s="55" t="n"/>
      <c r="S468" s="56" t="n"/>
    </row>
    <row r="469" ht="15.75" customHeight="1" s="297">
      <c r="A469" s="67" t="inlineStr">
        <is>
          <t>ABASTECIMENTO POSTO DIESEL/GASOLINA</t>
        </is>
      </c>
      <c r="B469" s="68" t="n"/>
      <c r="C469" s="69" t="n"/>
      <c r="D469" s="68" t="n"/>
      <c r="E469" s="69" t="n"/>
      <c r="F469" s="68" t="n"/>
      <c r="G469" s="68" t="n"/>
      <c r="H469" s="68" t="n"/>
      <c r="I469" s="69" t="n"/>
      <c r="J469" s="68" t="n"/>
      <c r="K469" s="69" t="n"/>
      <c r="L469" s="68" t="n"/>
      <c r="M469" s="69" t="n"/>
      <c r="N469" s="68" t="n"/>
      <c r="O469" s="69" t="n"/>
      <c r="P469" s="68" t="n"/>
      <c r="Q469" s="69" t="n"/>
      <c r="R469" s="55" t="n"/>
      <c r="S469" s="56" t="n"/>
    </row>
    <row r="470" ht="15.75" customHeight="1" s="297">
      <c r="A470" s="67" t="inlineStr">
        <is>
          <t>COMPRA DE GAS</t>
        </is>
      </c>
      <c r="B470" s="68" t="n"/>
      <c r="C470" s="69" t="n"/>
      <c r="D470" s="68" t="n"/>
      <c r="E470" s="69" t="n"/>
      <c r="F470" s="68" t="n"/>
      <c r="G470" s="68" t="n"/>
      <c r="H470" s="68" t="n"/>
      <c r="I470" s="69" t="n"/>
      <c r="J470" s="68" t="n"/>
      <c r="K470" s="69" t="n"/>
      <c r="L470" s="68" t="n"/>
      <c r="M470" s="69" t="n"/>
      <c r="N470" s="68" t="n"/>
      <c r="O470" s="69" t="n"/>
      <c r="P470" s="68" t="n"/>
      <c r="Q470" s="69" t="n"/>
      <c r="R470" s="55" t="n"/>
      <c r="S470" s="56" t="n"/>
    </row>
    <row r="471" ht="15.75" customHeight="1" s="297">
      <c r="A471" s="64" t="inlineStr">
        <is>
          <t>MANUTENCAO E REPAROS</t>
        </is>
      </c>
      <c r="B471" s="65" t="n"/>
      <c r="C471" s="66" t="n"/>
      <c r="D471" s="65" t="n"/>
      <c r="E471" s="66" t="n"/>
      <c r="F471" s="65" t="n"/>
      <c r="G471" s="65" t="n"/>
      <c r="H471" s="65" t="n"/>
      <c r="I471" s="66" t="n"/>
      <c r="J471" s="65" t="n"/>
      <c r="K471" s="66" t="n"/>
      <c r="L471" s="65" t="n"/>
      <c r="M471" s="66" t="n"/>
      <c r="N471" s="65" t="n"/>
      <c r="O471" s="66" t="n"/>
      <c r="P471" s="65" t="n"/>
      <c r="Q471" s="66" t="n"/>
      <c r="R471" s="55" t="n"/>
      <c r="S471" s="56" t="n"/>
    </row>
    <row r="472" ht="15.75" customHeight="1" s="297">
      <c r="A472" s="67" t="inlineStr">
        <is>
          <t>MANUTENÇÃO DE MAQUINAS E EQUIPAMENTOS</t>
        </is>
      </c>
      <c r="B472" s="68" t="n"/>
      <c r="C472" s="69" t="n"/>
      <c r="D472" s="68" t="n"/>
      <c r="E472" s="69" t="n"/>
      <c r="F472" s="68" t="n"/>
      <c r="G472" s="68" t="n"/>
      <c r="H472" s="68" t="n"/>
      <c r="I472" s="69" t="n"/>
      <c r="J472" s="68" t="n"/>
      <c r="K472" s="69" t="n"/>
      <c r="L472" s="68" t="n"/>
      <c r="M472" s="69" t="n"/>
      <c r="N472" s="68" t="n"/>
      <c r="O472" s="69" t="n"/>
      <c r="P472" s="68" t="n"/>
      <c r="Q472" s="69" t="n"/>
      <c r="R472" s="55" t="n"/>
      <c r="S472" s="56" t="n"/>
    </row>
    <row r="473" ht="15.75" customHeight="1" s="297">
      <c r="A473" s="67" t="inlineStr">
        <is>
          <t>PNEUS/CAMARAS E BORRACHARIA</t>
        </is>
      </c>
      <c r="B473" s="68" t="n"/>
      <c r="C473" s="69" t="n"/>
      <c r="D473" s="68" t="n"/>
      <c r="E473" s="69" t="n"/>
      <c r="F473" s="68" t="n"/>
      <c r="G473" s="68" t="n"/>
      <c r="H473" s="68" t="n"/>
      <c r="I473" s="69" t="n"/>
      <c r="J473" s="68" t="n"/>
      <c r="K473" s="69" t="n"/>
      <c r="L473" s="68" t="n"/>
      <c r="M473" s="69" t="n"/>
      <c r="N473" s="68" t="n"/>
      <c r="O473" s="69" t="n"/>
      <c r="P473" s="68" t="n"/>
      <c r="Q473" s="69" t="n"/>
      <c r="R473" s="55" t="n"/>
      <c r="S473" s="56" t="n"/>
    </row>
    <row r="474" ht="15.75" customHeight="1" s="297">
      <c r="A474" s="67" t="inlineStr">
        <is>
          <t>MANUTENÇÃO DE VEICULOS</t>
        </is>
      </c>
      <c r="B474" s="68" t="n"/>
      <c r="C474" s="69" t="n"/>
      <c r="D474" s="68" t="n"/>
      <c r="E474" s="69" t="n"/>
      <c r="F474" s="68" t="n"/>
      <c r="G474" s="68" t="n"/>
      <c r="H474" s="68" t="n"/>
      <c r="I474" s="69" t="n"/>
      <c r="J474" s="68" t="n"/>
      <c r="K474" s="69" t="n"/>
      <c r="L474" s="68" t="n"/>
      <c r="M474" s="69" t="n"/>
      <c r="N474" s="68" t="n"/>
      <c r="O474" s="69" t="n"/>
      <c r="P474" s="68" t="n"/>
      <c r="Q474" s="69" t="n"/>
      <c r="R474" s="55" t="n"/>
      <c r="S474" s="56" t="n"/>
    </row>
    <row r="475" ht="15.75" customHeight="1" s="297">
      <c r="A475" s="67" t="inlineStr">
        <is>
          <t>MANUTENCAO DE BENFEITORIAS</t>
        </is>
      </c>
      <c r="B475" s="68" t="n"/>
      <c r="C475" s="69" t="n"/>
      <c r="D475" s="68" t="n"/>
      <c r="E475" s="69" t="n"/>
      <c r="F475" s="68" t="n"/>
      <c r="G475" s="68" t="n"/>
      <c r="H475" s="68" t="n"/>
      <c r="I475" s="69" t="n"/>
      <c r="J475" s="68" t="n"/>
      <c r="K475" s="69" t="n"/>
      <c r="L475" s="68" t="n"/>
      <c r="M475" s="69" t="n"/>
      <c r="N475" s="68" t="n"/>
      <c r="O475" s="69" t="n"/>
      <c r="P475" s="68" t="n"/>
      <c r="Q475" s="69" t="n"/>
      <c r="R475" s="55" t="n"/>
      <c r="S475" s="56" t="n"/>
    </row>
    <row r="476" ht="15.75" customHeight="1" s="297">
      <c r="A476" s="64" t="inlineStr">
        <is>
          <t>DESPESAS PRODUCAO DE GRAOS</t>
        </is>
      </c>
      <c r="B476" s="65" t="n"/>
      <c r="C476" s="66" t="n"/>
      <c r="D476" s="65" t="n"/>
      <c r="E476" s="66" t="n"/>
      <c r="F476" s="65" t="n"/>
      <c r="G476" s="65" t="n"/>
      <c r="H476" s="65" t="n"/>
      <c r="I476" s="66" t="n"/>
      <c r="J476" s="65" t="n"/>
      <c r="K476" s="66" t="n"/>
      <c r="L476" s="65" t="n"/>
      <c r="M476" s="66" t="n"/>
      <c r="N476" s="65" t="n"/>
      <c r="O476" s="66" t="n"/>
      <c r="P476" s="65" t="n"/>
      <c r="Q476" s="66" t="n"/>
      <c r="R476" s="55" t="n"/>
      <c r="S476" s="56" t="n"/>
    </row>
    <row r="477" ht="15.75" customHeight="1" s="297">
      <c r="A477" s="67" t="inlineStr">
        <is>
          <t>ANALISE DE SOLOS</t>
        </is>
      </c>
      <c r="B477" s="68" t="n"/>
      <c r="C477" s="69" t="n"/>
      <c r="D477" s="68" t="n"/>
      <c r="E477" s="69" t="n"/>
      <c r="F477" s="68" t="n"/>
      <c r="G477" s="68" t="n"/>
      <c r="H477" s="68" t="n"/>
      <c r="I477" s="69" t="n"/>
      <c r="J477" s="68" t="n"/>
      <c r="K477" s="69" t="n"/>
      <c r="L477" s="68" t="n"/>
      <c r="M477" s="69" t="n"/>
      <c r="N477" s="68" t="n"/>
      <c r="O477" s="69" t="n"/>
      <c r="P477" s="68" t="n"/>
      <c r="Q477" s="69" t="n"/>
      <c r="R477" s="55" t="n"/>
      <c r="S477" s="56" t="n"/>
    </row>
    <row r="478" ht="15.75" customHeight="1" s="297">
      <c r="A478" s="67" t="inlineStr">
        <is>
          <t>ASSESSORIA DE PRODUÇÃO</t>
        </is>
      </c>
      <c r="B478" s="68" t="n"/>
      <c r="C478" s="69" t="n"/>
      <c r="D478" s="68" t="n"/>
      <c r="E478" s="69" t="n"/>
      <c r="F478" s="68" t="n"/>
      <c r="G478" s="68" t="n"/>
      <c r="H478" s="68" t="n"/>
      <c r="I478" s="69" t="n"/>
      <c r="J478" s="68" t="n"/>
      <c r="K478" s="69" t="n"/>
      <c r="L478" s="68" t="n"/>
      <c r="M478" s="69" t="n"/>
      <c r="N478" s="68" t="n"/>
      <c r="O478" s="69" t="n"/>
      <c r="P478" s="68" t="n"/>
      <c r="Q478" s="69" t="n"/>
      <c r="R478" s="55" t="n"/>
      <c r="S478" s="56" t="n"/>
    </row>
    <row r="479" ht="15.75" customHeight="1" s="297">
      <c r="A479" s="67" t="inlineStr">
        <is>
          <t>COMPRA DE LENHA</t>
        </is>
      </c>
      <c r="B479" s="68" t="n"/>
      <c r="C479" s="69" t="n"/>
      <c r="D479" s="68" t="n"/>
      <c r="E479" s="69" t="n"/>
      <c r="F479" s="68" t="n"/>
      <c r="G479" s="68" t="n"/>
      <c r="H479" s="68" t="n"/>
      <c r="I479" s="69" t="n"/>
      <c r="J479" s="68" t="n"/>
      <c r="K479" s="69" t="n"/>
      <c r="L479" s="68" t="n"/>
      <c r="M479" s="69" t="n"/>
      <c r="N479" s="68" t="n"/>
      <c r="O479" s="69" t="n"/>
      <c r="P479" s="68" t="n"/>
      <c r="Q479" s="69" t="n"/>
      <c r="R479" s="55" t="n"/>
      <c r="S479" s="56" t="n"/>
    </row>
    <row r="480" ht="15.75" customHeight="1" s="297">
      <c r="A480" s="64" t="inlineStr">
        <is>
          <t>FRETES</t>
        </is>
      </c>
      <c r="B480" s="65" t="n"/>
      <c r="C480" s="66" t="n"/>
      <c r="D480" s="65" t="n"/>
      <c r="E480" s="66" t="n"/>
      <c r="F480" s="65" t="n"/>
      <c r="G480" s="65" t="n"/>
      <c r="H480" s="65" t="n"/>
      <c r="I480" s="66" t="n"/>
      <c r="J480" s="65" t="n"/>
      <c r="K480" s="66" t="n"/>
      <c r="L480" s="65" t="n"/>
      <c r="M480" s="66" t="n"/>
      <c r="N480" s="65" t="n"/>
      <c r="O480" s="66" t="n"/>
      <c r="P480" s="65" t="n"/>
      <c r="Q480" s="66" t="n"/>
      <c r="R480" s="55" t="n"/>
      <c r="S480" s="56" t="n"/>
    </row>
    <row r="481" ht="15.75" customHeight="1" s="297">
      <c r="A481" s="67" t="inlineStr">
        <is>
          <t>FRETES DIVERSOS</t>
        </is>
      </c>
      <c r="B481" s="68" t="n"/>
      <c r="C481" s="69" t="n"/>
      <c r="D481" s="68" t="n"/>
      <c r="E481" s="69" t="n"/>
      <c r="F481" s="68" t="n"/>
      <c r="G481" s="68" t="n"/>
      <c r="H481" s="68" t="n"/>
      <c r="I481" s="69" t="n"/>
      <c r="J481" s="68" t="n"/>
      <c r="K481" s="69" t="n"/>
      <c r="L481" s="68" t="n"/>
      <c r="M481" s="69" t="n"/>
      <c r="N481" s="68" t="n"/>
      <c r="O481" s="69" t="n"/>
      <c r="P481" s="68" t="n"/>
      <c r="Q481" s="69" t="n"/>
      <c r="R481" s="55" t="n"/>
      <c r="S481" s="56" t="n"/>
    </row>
    <row r="482" ht="15.75" customHeight="1" s="297">
      <c r="A482" s="67" t="inlineStr">
        <is>
          <t>FRETES PRODUÇÃO</t>
        </is>
      </c>
      <c r="B482" s="68" t="n"/>
      <c r="C482" s="69" t="n"/>
      <c r="D482" s="68" t="n"/>
      <c r="E482" s="69" t="n"/>
      <c r="F482" s="68" t="n"/>
      <c r="G482" s="68" t="n"/>
      <c r="H482" s="68" t="n"/>
      <c r="I482" s="69" t="n"/>
      <c r="J482" s="68" t="n"/>
      <c r="K482" s="69" t="n"/>
      <c r="L482" s="68" t="n"/>
      <c r="M482" s="69" t="n"/>
      <c r="N482" s="68" t="n"/>
      <c r="O482" s="69" t="n"/>
      <c r="P482" s="68" t="n"/>
      <c r="Q482" s="69" t="n"/>
      <c r="R482" s="55" t="n"/>
      <c r="S482" s="56" t="n"/>
    </row>
    <row r="483" ht="15.75" customHeight="1" s="297">
      <c r="A483" s="64" t="inlineStr">
        <is>
          <t>SERVICOS DE TERCEIROS</t>
        </is>
      </c>
      <c r="B483" s="65" t="n"/>
      <c r="C483" s="66" t="n"/>
      <c r="D483" s="65" t="n"/>
      <c r="E483" s="66" t="n"/>
      <c r="F483" s="65" t="n"/>
      <c r="G483" s="65" t="n"/>
      <c r="H483" s="65" t="n"/>
      <c r="I483" s="66" t="n"/>
      <c r="J483" s="65" t="n"/>
      <c r="K483" s="66" t="n"/>
      <c r="L483" s="65" t="n"/>
      <c r="M483" s="66" t="n"/>
      <c r="N483" s="65" t="n"/>
      <c r="O483" s="66" t="n"/>
      <c r="P483" s="65" t="n"/>
      <c r="Q483" s="66" t="n"/>
      <c r="R483" s="55" t="n"/>
      <c r="S483" s="56" t="n"/>
    </row>
    <row r="484" ht="15.75" customHeight="1" s="297">
      <c r="A484" s="67" t="inlineStr">
        <is>
          <t>ASSESSORIA SISTEMA</t>
        </is>
      </c>
      <c r="B484" s="68" t="n"/>
      <c r="C484" s="69" t="n"/>
      <c r="D484" s="68" t="n"/>
      <c r="E484" s="69" t="n"/>
      <c r="F484" s="68" t="n"/>
      <c r="G484" s="68" t="n"/>
      <c r="H484" s="68" t="n"/>
      <c r="I484" s="69" t="n"/>
      <c r="J484" s="68" t="n"/>
      <c r="K484" s="69" t="n"/>
      <c r="L484" s="68" t="n"/>
      <c r="M484" s="69" t="n"/>
      <c r="N484" s="68" t="n"/>
      <c r="O484" s="69" t="n"/>
      <c r="P484" s="68" t="n"/>
      <c r="Q484" s="69" t="n"/>
      <c r="R484" s="55" t="n"/>
      <c r="S484" s="56" t="n"/>
    </row>
    <row r="485" ht="15.75" customHeight="1" s="297">
      <c r="A485" s="67" t="inlineStr">
        <is>
          <t>ASSESSORIA AMBIENTAL</t>
        </is>
      </c>
      <c r="B485" s="68" t="n"/>
      <c r="C485" s="69" t="n"/>
      <c r="D485" s="68" t="n"/>
      <c r="E485" s="69" t="n"/>
      <c r="F485" s="68" t="n"/>
      <c r="G485" s="68" t="n"/>
      <c r="H485" s="68" t="n"/>
      <c r="I485" s="69" t="n"/>
      <c r="J485" s="68" t="n"/>
      <c r="K485" s="69" t="n"/>
      <c r="L485" s="68" t="n"/>
      <c r="M485" s="69" t="n"/>
      <c r="N485" s="68" t="n"/>
      <c r="O485" s="69" t="n"/>
      <c r="P485" s="68" t="n"/>
      <c r="Q485" s="69" t="n"/>
      <c r="R485" s="55" t="n"/>
      <c r="S485" s="56" t="n"/>
    </row>
    <row r="486" ht="15.75" customHeight="1" s="297">
      <c r="A486" s="64" t="inlineStr">
        <is>
          <t>DESPESAS NÃO OPERACIONAIS</t>
        </is>
      </c>
      <c r="B486" s="65" t="n"/>
      <c r="C486" s="66" t="n"/>
      <c r="D486" s="65" t="n"/>
      <c r="E486" s="66" t="n"/>
      <c r="F486" s="65" t="n"/>
      <c r="G486" s="65" t="n"/>
      <c r="H486" s="65" t="n"/>
      <c r="I486" s="66" t="n"/>
      <c r="J486" s="65" t="n"/>
      <c r="K486" s="66" t="n"/>
      <c r="L486" s="65" t="n"/>
      <c r="M486" s="66" t="n"/>
      <c r="N486" s="65" t="n"/>
      <c r="O486" s="66" t="n"/>
      <c r="P486" s="65" t="n"/>
      <c r="Q486" s="66" t="n"/>
      <c r="R486" s="55" t="n"/>
      <c r="S486" s="56" t="n"/>
    </row>
    <row r="487" ht="15.75" customHeight="1" s="297">
      <c r="A487" s="64" t="inlineStr">
        <is>
          <t>DESPESAS ADMINISTRATIVAS</t>
        </is>
      </c>
      <c r="B487" s="65" t="n"/>
      <c r="C487" s="66" t="n"/>
      <c r="D487" s="65" t="n"/>
      <c r="E487" s="66" t="n"/>
      <c r="F487" s="65" t="n"/>
      <c r="G487" s="65" t="n"/>
      <c r="H487" s="65" t="n"/>
      <c r="I487" s="66" t="n"/>
      <c r="J487" s="65" t="n"/>
      <c r="K487" s="66" t="n"/>
      <c r="L487" s="65" t="n"/>
      <c r="M487" s="66" t="n"/>
      <c r="N487" s="65" t="n"/>
      <c r="O487" s="66" t="n"/>
      <c r="P487" s="65" t="n"/>
      <c r="Q487" s="66" t="n"/>
      <c r="R487" s="55" t="n"/>
      <c r="S487" s="56" t="n"/>
    </row>
    <row r="488" ht="15.75" customHeight="1" s="297">
      <c r="A488" s="67" t="inlineStr">
        <is>
          <t>MATERIAL EXPEDIENTE</t>
        </is>
      </c>
      <c r="B488" s="68" t="n"/>
      <c r="C488" s="69" t="n"/>
      <c r="D488" s="68" t="n"/>
      <c r="E488" s="69" t="n"/>
      <c r="F488" s="68" t="n"/>
      <c r="G488" s="68" t="n"/>
      <c r="H488" s="68" t="n"/>
      <c r="I488" s="69" t="n"/>
      <c r="J488" s="68" t="n"/>
      <c r="K488" s="69" t="n"/>
      <c r="L488" s="68" t="n"/>
      <c r="M488" s="69" t="n"/>
      <c r="N488" s="68" t="n"/>
      <c r="O488" s="69" t="n"/>
      <c r="P488" s="68" t="n"/>
      <c r="Q488" s="69" t="n"/>
      <c r="R488" s="55" t="n"/>
      <c r="S488" s="56" t="n"/>
    </row>
    <row r="489" ht="15.75" customHeight="1" s="297">
      <c r="A489" s="67" t="inlineStr">
        <is>
          <t>ENERGIA ELETRICA GRANJA</t>
        </is>
      </c>
      <c r="B489" s="68" t="n"/>
      <c r="C489" s="69" t="n"/>
      <c r="D489" s="68" t="n"/>
      <c r="E489" s="69" t="n"/>
      <c r="F489" s="68" t="n"/>
      <c r="G489" s="68" t="n"/>
      <c r="H489" s="68" t="n"/>
      <c r="I489" s="69" t="n"/>
      <c r="J489" s="68" t="n"/>
      <c r="K489" s="69" t="n"/>
      <c r="L489" s="68" t="n"/>
      <c r="M489" s="69" t="n"/>
      <c r="N489" s="68" t="n"/>
      <c r="O489" s="69" t="n"/>
      <c r="P489" s="68" t="n"/>
      <c r="Q489" s="69" t="n"/>
      <c r="R489" s="55" t="n"/>
      <c r="S489" s="56" t="n"/>
    </row>
    <row r="490" ht="15.75" customHeight="1" s="297">
      <c r="A490" s="67" t="inlineStr">
        <is>
          <t>TELEFONE</t>
        </is>
      </c>
      <c r="B490" s="68" t="n"/>
      <c r="C490" s="69" t="n"/>
      <c r="D490" s="68" t="n"/>
      <c r="E490" s="69" t="n"/>
      <c r="F490" s="68" t="n"/>
      <c r="G490" s="68" t="n"/>
      <c r="H490" s="68" t="n"/>
      <c r="I490" s="69" t="n"/>
      <c r="J490" s="68" t="n"/>
      <c r="K490" s="69" t="n"/>
      <c r="L490" s="68" t="n"/>
      <c r="M490" s="69" t="n"/>
      <c r="N490" s="68" t="n"/>
      <c r="O490" s="69" t="n"/>
      <c r="P490" s="68" t="n"/>
      <c r="Q490" s="69" t="n"/>
      <c r="R490" s="55" t="n"/>
      <c r="S490" s="56" t="n"/>
    </row>
    <row r="491" ht="15.75" customHeight="1" s="297">
      <c r="A491" s="67" t="inlineStr">
        <is>
          <t>DESPESAS DESLOCAMENTO/VIAGEM</t>
        </is>
      </c>
      <c r="B491" s="68" t="n"/>
      <c r="C491" s="69" t="n"/>
      <c r="D491" s="68" t="n"/>
      <c r="E491" s="69" t="n"/>
      <c r="F491" s="68" t="n"/>
      <c r="G491" s="68" t="n"/>
      <c r="H491" s="68" t="n"/>
      <c r="I491" s="69" t="n"/>
      <c r="J491" s="68" t="n"/>
      <c r="K491" s="69" t="n"/>
      <c r="L491" s="68" t="n"/>
      <c r="M491" s="69" t="n"/>
      <c r="N491" s="68" t="n"/>
      <c r="O491" s="69" t="n"/>
      <c r="P491" s="68" t="n"/>
      <c r="Q491" s="69" t="n"/>
      <c r="R491" s="55" t="n"/>
      <c r="S491" s="56" t="n"/>
    </row>
    <row r="492" ht="15.75" customHeight="1" s="297">
      <c r="A492" s="67" t="inlineStr">
        <is>
          <t>IPVA/SEGURO OBRIGATORIO</t>
        </is>
      </c>
      <c r="B492" s="68" t="n"/>
      <c r="C492" s="69" t="n"/>
      <c r="D492" s="68" t="n"/>
      <c r="E492" s="69" t="n"/>
      <c r="F492" s="68" t="n"/>
      <c r="G492" s="68" t="n"/>
      <c r="H492" s="68" t="n"/>
      <c r="I492" s="69" t="n"/>
      <c r="J492" s="68" t="n"/>
      <c r="K492" s="69" t="n"/>
      <c r="L492" s="68" t="n"/>
      <c r="M492" s="69" t="n"/>
      <c r="N492" s="68" t="n"/>
      <c r="O492" s="69" t="n"/>
      <c r="P492" s="68" t="n"/>
      <c r="Q492" s="69" t="n"/>
      <c r="R492" s="55" t="n"/>
      <c r="S492" s="56" t="n"/>
    </row>
    <row r="493" ht="15.75" customHeight="1" s="297">
      <c r="A493" s="67" t="inlineStr">
        <is>
          <t>INTERNET</t>
        </is>
      </c>
      <c r="B493" s="68" t="n"/>
      <c r="C493" s="69" t="n"/>
      <c r="D493" s="68" t="n"/>
      <c r="E493" s="69" t="n"/>
      <c r="F493" s="68" t="n"/>
      <c r="G493" s="68" t="n"/>
      <c r="H493" s="68" t="n"/>
      <c r="I493" s="69" t="n"/>
      <c r="J493" s="68" t="n"/>
      <c r="K493" s="69" t="n"/>
      <c r="L493" s="68" t="n"/>
      <c r="M493" s="69" t="n"/>
      <c r="N493" s="68" t="n"/>
      <c r="O493" s="69" t="n"/>
      <c r="P493" s="68" t="n"/>
      <c r="Q493" s="69" t="n"/>
      <c r="R493" s="55" t="n"/>
      <c r="S493" s="56" t="n"/>
    </row>
    <row r="494" ht="15.75" customHeight="1" s="297">
      <c r="A494" s="67" t="inlineStr">
        <is>
          <t>DESPESAS COM CORREIOS</t>
        </is>
      </c>
      <c r="B494" s="68" t="n"/>
      <c r="C494" s="69" t="n"/>
      <c r="D494" s="68" t="n"/>
      <c r="E494" s="69" t="n"/>
      <c r="F494" s="68" t="n"/>
      <c r="G494" s="68" t="n"/>
      <c r="H494" s="68" t="n"/>
      <c r="I494" s="69" t="n"/>
      <c r="J494" s="68" t="n"/>
      <c r="K494" s="69" t="n"/>
      <c r="L494" s="68" t="n"/>
      <c r="M494" s="69" t="n"/>
      <c r="N494" s="68" t="n"/>
      <c r="O494" s="69" t="n"/>
      <c r="P494" s="68" t="n"/>
      <c r="Q494" s="69" t="n"/>
      <c r="R494" s="55" t="n"/>
      <c r="S494" s="56" t="n"/>
    </row>
    <row r="495" ht="15.75" customHeight="1" s="297">
      <c r="A495" s="67" t="inlineStr">
        <is>
          <t>DESPESAS COM CARTORIOS</t>
        </is>
      </c>
      <c r="B495" s="68" t="n"/>
      <c r="C495" s="69" t="n"/>
      <c r="D495" s="68" t="n"/>
      <c r="E495" s="69" t="n"/>
      <c r="F495" s="68" t="n"/>
      <c r="G495" s="68" t="n"/>
      <c r="H495" s="68" t="n"/>
      <c r="I495" s="69" t="n"/>
      <c r="J495" s="68" t="n"/>
      <c r="K495" s="69" t="n"/>
      <c r="L495" s="68" t="n"/>
      <c r="M495" s="69" t="n"/>
      <c r="N495" s="68" t="n"/>
      <c r="O495" s="69" t="n"/>
      <c r="P495" s="68" t="n"/>
      <c r="Q495" s="69" t="n"/>
      <c r="R495" s="55" t="n"/>
      <c r="S495" s="56" t="n"/>
    </row>
    <row r="496" ht="15.75" customHeight="1" s="297">
      <c r="A496" s="67" t="inlineStr">
        <is>
          <t>DESPESAS GRANJA</t>
        </is>
      </c>
      <c r="B496" s="68" t="n"/>
      <c r="C496" s="69" t="n"/>
      <c r="D496" s="68" t="n"/>
      <c r="E496" s="69" t="n"/>
      <c r="F496" s="68" t="n"/>
      <c r="G496" s="68" t="n"/>
      <c r="H496" s="68" t="n"/>
      <c r="I496" s="69" t="n"/>
      <c r="J496" s="68" t="n"/>
      <c r="K496" s="69" t="n"/>
      <c r="L496" s="68" t="n"/>
      <c r="M496" s="69" t="n"/>
      <c r="N496" s="68" t="n"/>
      <c r="O496" s="69" t="n"/>
      <c r="P496" s="68" t="n"/>
      <c r="Q496" s="69" t="n"/>
      <c r="R496" s="55" t="n"/>
      <c r="S496" s="56" t="n"/>
    </row>
    <row r="497" ht="15.75" customHeight="1" s="297">
      <c r="A497" s="67" t="inlineStr">
        <is>
          <t>DESPESAS FAZENDA 2 COQUEIROS</t>
        </is>
      </c>
      <c r="B497" s="68" t="n"/>
      <c r="C497" s="69" t="n"/>
      <c r="D497" s="68" t="n"/>
      <c r="E497" s="69" t="n"/>
      <c r="F497" s="68" t="n"/>
      <c r="G497" s="68" t="n"/>
      <c r="H497" s="68" t="n"/>
      <c r="I497" s="69" t="n"/>
      <c r="J497" s="68" t="n"/>
      <c r="K497" s="69" t="n"/>
      <c r="L497" s="68" t="n"/>
      <c r="M497" s="69" t="n"/>
      <c r="N497" s="68" t="n"/>
      <c r="O497" s="69" t="n"/>
      <c r="P497" s="68" t="n"/>
      <c r="Q497" s="69" t="n"/>
      <c r="R497" s="55" t="n"/>
      <c r="S497" s="56" t="n"/>
    </row>
    <row r="498" ht="15.75" customHeight="1" s="297">
      <c r="A498" s="67" t="inlineStr">
        <is>
          <t xml:space="preserve">ALUGUEIS </t>
        </is>
      </c>
      <c r="B498" s="68" t="n"/>
      <c r="C498" s="69" t="n"/>
      <c r="D498" s="68" t="n"/>
      <c r="E498" s="69" t="n"/>
      <c r="F498" s="68" t="n"/>
      <c r="G498" s="68" t="n"/>
      <c r="H498" s="68" t="n"/>
      <c r="I498" s="69" t="n"/>
      <c r="J498" s="68" t="n"/>
      <c r="K498" s="69" t="n"/>
      <c r="L498" s="68" t="n"/>
      <c r="M498" s="69" t="n"/>
      <c r="N498" s="68" t="n"/>
      <c r="O498" s="69" t="n"/>
      <c r="P498" s="68" t="n"/>
      <c r="Q498" s="69" t="n"/>
      <c r="R498" s="55" t="n"/>
      <c r="S498" s="56" t="n"/>
    </row>
    <row r="499" ht="15.75" customHeight="1" s="297">
      <c r="A499" s="67" t="inlineStr">
        <is>
          <t>DESPESAS ESCRITÓRIO</t>
        </is>
      </c>
      <c r="B499" s="68" t="n"/>
      <c r="C499" s="69" t="n"/>
      <c r="D499" s="68" t="n"/>
      <c r="E499" s="69" t="n"/>
      <c r="F499" s="68" t="n"/>
      <c r="G499" s="68" t="n"/>
      <c r="H499" s="68" t="n"/>
      <c r="I499" s="69" t="n"/>
      <c r="J499" s="68" t="n"/>
      <c r="K499" s="69" t="n"/>
      <c r="L499" s="68" t="n"/>
      <c r="M499" s="69" t="n"/>
      <c r="N499" s="68" t="n"/>
      <c r="O499" s="69" t="n"/>
      <c r="P499" s="68" t="n"/>
      <c r="Q499" s="69" t="n"/>
      <c r="R499" s="55" t="n"/>
      <c r="S499" s="56" t="n"/>
    </row>
    <row r="500" ht="15.75" customHeight="1" s="297">
      <c r="A500" s="67" t="inlineStr">
        <is>
          <t>CURSOS E TREINAMENTOS</t>
        </is>
      </c>
      <c r="B500" s="68" t="n"/>
      <c r="C500" s="69" t="n"/>
      <c r="D500" s="68" t="n"/>
      <c r="E500" s="69" t="n"/>
      <c r="F500" s="68" t="n"/>
      <c r="G500" s="68" t="n"/>
      <c r="H500" s="68" t="n"/>
      <c r="I500" s="69" t="n"/>
      <c r="J500" s="68" t="n"/>
      <c r="K500" s="69" t="n"/>
      <c r="L500" s="68" t="n"/>
      <c r="M500" s="69" t="n"/>
      <c r="N500" s="68" t="n"/>
      <c r="O500" s="69" t="n"/>
      <c r="P500" s="68" t="n"/>
      <c r="Q500" s="69" t="n"/>
      <c r="R500" s="55" t="n"/>
      <c r="S500" s="56" t="n"/>
    </row>
    <row r="501" ht="15.75" customHeight="1" s="297">
      <c r="A501" s="67" t="inlineStr">
        <is>
          <t>ASSESSORIA FINANCEIRA E TRIBUTÁRIA</t>
        </is>
      </c>
      <c r="B501" s="68" t="n"/>
      <c r="C501" s="69" t="n"/>
      <c r="D501" s="68" t="n"/>
      <c r="E501" s="69" t="n"/>
      <c r="F501" s="68" t="n"/>
      <c r="G501" s="68" t="n"/>
      <c r="H501" s="68" t="n"/>
      <c r="I501" s="69" t="n"/>
      <c r="J501" s="68" t="n"/>
      <c r="K501" s="69" t="n"/>
      <c r="L501" s="68" t="n"/>
      <c r="M501" s="69" t="n"/>
      <c r="N501" s="68" t="n"/>
      <c r="O501" s="69" t="n"/>
      <c r="P501" s="68" t="n"/>
      <c r="Q501" s="69" t="n"/>
      <c r="R501" s="55" t="n"/>
      <c r="S501" s="56" t="n"/>
    </row>
    <row r="502" ht="15.75" customHeight="1" s="297">
      <c r="A502" s="67" t="inlineStr">
        <is>
          <t>CONSULTORIA</t>
        </is>
      </c>
      <c r="B502" s="68" t="n"/>
      <c r="C502" s="69" t="n"/>
      <c r="D502" s="68" t="n"/>
      <c r="E502" s="69" t="n"/>
      <c r="F502" s="68" t="n"/>
      <c r="G502" s="68" t="n"/>
      <c r="H502" s="68" t="n"/>
      <c r="I502" s="69" t="n"/>
      <c r="J502" s="68" t="n"/>
      <c r="K502" s="69" t="n"/>
      <c r="L502" s="68" t="n"/>
      <c r="M502" s="69" t="n"/>
      <c r="N502" s="68" t="n"/>
      <c r="O502" s="69" t="n"/>
      <c r="P502" s="68" t="n"/>
      <c r="Q502" s="69" t="n"/>
      <c r="R502" s="55" t="n"/>
      <c r="S502" s="56" t="n"/>
    </row>
    <row r="503" ht="15.75" customHeight="1" s="297">
      <c r="A503" s="67" t="inlineStr">
        <is>
          <t>HONORARIOS CONTABEIS</t>
        </is>
      </c>
      <c r="B503" s="68" t="n"/>
      <c r="C503" s="69" t="n"/>
      <c r="D503" s="68" t="n"/>
      <c r="E503" s="69" t="n"/>
      <c r="F503" s="68" t="n"/>
      <c r="G503" s="68" t="n"/>
      <c r="H503" s="68" t="n"/>
      <c r="I503" s="69" t="n"/>
      <c r="J503" s="68" t="n"/>
      <c r="K503" s="69" t="n"/>
      <c r="L503" s="68" t="n"/>
      <c r="M503" s="69" t="n"/>
      <c r="N503" s="68" t="n"/>
      <c r="O503" s="69" t="n"/>
      <c r="P503" s="68" t="n"/>
      <c r="Q503" s="69" t="n"/>
      <c r="R503" s="55" t="n"/>
      <c r="S503" s="56" t="n"/>
    </row>
    <row r="504" ht="15.75" customHeight="1" s="297">
      <c r="A504" s="67" t="inlineStr">
        <is>
          <t>DESPESAS DIVERSAS</t>
        </is>
      </c>
      <c r="B504" s="68" t="n"/>
      <c r="C504" s="69" t="n"/>
      <c r="D504" s="68" t="n"/>
      <c r="E504" s="69" t="n"/>
      <c r="F504" s="68" t="n"/>
      <c r="G504" s="68" t="n"/>
      <c r="H504" s="68" t="n"/>
      <c r="I504" s="69" t="n"/>
      <c r="J504" s="68" t="n"/>
      <c r="K504" s="69" t="n"/>
      <c r="L504" s="68" t="n"/>
      <c r="M504" s="69" t="n"/>
      <c r="N504" s="68" t="n"/>
      <c r="O504" s="69" t="n"/>
      <c r="P504" s="68" t="n"/>
      <c r="Q504" s="69" t="n"/>
      <c r="R504" s="55" t="n"/>
      <c r="S504" s="56" t="n"/>
    </row>
    <row r="505" ht="15.75" customHeight="1" s="297">
      <c r="A505" s="67" t="inlineStr">
        <is>
          <t>DESPESA COPA E COZINHA</t>
        </is>
      </c>
      <c r="B505" s="68" t="n"/>
      <c r="C505" s="69" t="n"/>
      <c r="D505" s="68" t="n"/>
      <c r="E505" s="69" t="n"/>
      <c r="F505" s="68" t="n"/>
      <c r="G505" s="68" t="n"/>
      <c r="H505" s="68" t="n"/>
      <c r="I505" s="69" t="n"/>
      <c r="J505" s="68" t="n"/>
      <c r="K505" s="69" t="n"/>
      <c r="L505" s="68" t="n"/>
      <c r="M505" s="69" t="n"/>
      <c r="N505" s="68" t="n"/>
      <c r="O505" s="69" t="n"/>
      <c r="P505" s="68" t="n"/>
      <c r="Q505" s="69" t="n"/>
      <c r="R505" s="55" t="n"/>
      <c r="S505" s="56" t="n"/>
    </row>
    <row r="506" ht="15.75" customHeight="1" s="297">
      <c r="A506" s="67" t="inlineStr">
        <is>
          <t>DESPESA DE LIMPEZA E HIGIENE</t>
        </is>
      </c>
      <c r="B506" s="68" t="n"/>
      <c r="C506" s="69" t="n"/>
      <c r="D506" s="68" t="n"/>
      <c r="E506" s="69" t="n"/>
      <c r="F506" s="68" t="n"/>
      <c r="G506" s="68" t="n"/>
      <c r="H506" s="68" t="n"/>
      <c r="I506" s="69" t="n"/>
      <c r="J506" s="68" t="n"/>
      <c r="K506" s="69" t="n"/>
      <c r="L506" s="68" t="n"/>
      <c r="M506" s="69" t="n"/>
      <c r="N506" s="68" t="n"/>
      <c r="O506" s="69" t="n"/>
      <c r="P506" s="68" t="n"/>
      <c r="Q506" s="69" t="n"/>
      <c r="R506" s="55" t="n"/>
      <c r="S506" s="56" t="n"/>
    </row>
    <row r="507" ht="15.75" customHeight="1" s="297">
      <c r="A507" s="67" t="inlineStr">
        <is>
          <t>DESPESAS PECUARIA</t>
        </is>
      </c>
      <c r="B507" s="68" t="n"/>
      <c r="C507" s="69" t="n"/>
      <c r="D507" s="68" t="n"/>
      <c r="E507" s="69" t="n"/>
      <c r="F507" s="68" t="n"/>
      <c r="G507" s="68" t="n"/>
      <c r="H507" s="68" t="n"/>
      <c r="I507" s="69" t="n"/>
      <c r="J507" s="68" t="n"/>
      <c r="K507" s="69" t="n"/>
      <c r="L507" s="68" t="n"/>
      <c r="M507" s="69" t="n"/>
      <c r="N507" s="68" t="n"/>
      <c r="O507" s="69" t="n"/>
      <c r="P507" s="68" t="n"/>
      <c r="Q507" s="69" t="n"/>
      <c r="R507" s="55" t="n"/>
      <c r="S507" s="56" t="n"/>
    </row>
    <row r="508" ht="15.75" customHeight="1" s="297">
      <c r="A508" s="67" t="inlineStr">
        <is>
          <t>DESPESAS OVINOS</t>
        </is>
      </c>
      <c r="B508" s="68" t="n"/>
      <c r="C508" s="69" t="n"/>
      <c r="D508" s="68" t="n"/>
      <c r="E508" s="69" t="n"/>
      <c r="F508" s="68" t="n"/>
      <c r="G508" s="68" t="n"/>
      <c r="H508" s="68" t="n"/>
      <c r="I508" s="69" t="n"/>
      <c r="J508" s="68" t="n"/>
      <c r="K508" s="69" t="n"/>
      <c r="L508" s="68" t="n"/>
      <c r="M508" s="69" t="n"/>
      <c r="N508" s="68" t="n"/>
      <c r="O508" s="69" t="n"/>
      <c r="P508" s="68" t="n"/>
      <c r="Q508" s="69" t="n"/>
      <c r="R508" s="55" t="n"/>
      <c r="S508" s="56" t="n"/>
    </row>
    <row r="509" ht="15.75" customHeight="1" s="297">
      <c r="A509" s="67" t="inlineStr">
        <is>
          <t>MELHORIAS EM SEGURANÇA -MAQ/EQUIP E BENF</t>
        </is>
      </c>
      <c r="B509" s="68" t="n"/>
      <c r="C509" s="69" t="n"/>
      <c r="D509" s="68" t="n"/>
      <c r="E509" s="69" t="n"/>
      <c r="F509" s="68" t="n"/>
      <c r="G509" s="68" t="n"/>
      <c r="H509" s="68" t="n"/>
      <c r="I509" s="69" t="n"/>
      <c r="J509" s="68" t="n"/>
      <c r="K509" s="69" t="n"/>
      <c r="L509" s="68" t="n"/>
      <c r="M509" s="69" t="n"/>
      <c r="N509" s="68" t="n"/>
      <c r="O509" s="69" t="n"/>
      <c r="P509" s="68" t="n"/>
      <c r="Q509" s="69" t="n"/>
      <c r="R509" s="55" t="n"/>
      <c r="S509" s="56" t="n"/>
    </row>
    <row r="510" ht="15.75" customHeight="1" s="297">
      <c r="A510" s="67" t="inlineStr">
        <is>
          <t>AGUA</t>
        </is>
      </c>
      <c r="B510" s="68" t="n"/>
      <c r="C510" s="69" t="n"/>
      <c r="D510" s="68" t="n"/>
      <c r="E510" s="69" t="n"/>
      <c r="F510" s="68" t="n"/>
      <c r="G510" s="68" t="n"/>
      <c r="H510" s="68" t="n"/>
      <c r="I510" s="69" t="n"/>
      <c r="J510" s="68" t="n"/>
      <c r="K510" s="69" t="n"/>
      <c r="L510" s="68" t="n"/>
      <c r="M510" s="69" t="n"/>
      <c r="N510" s="68" t="n"/>
      <c r="O510" s="69" t="n"/>
      <c r="P510" s="68" t="n"/>
      <c r="Q510" s="69" t="n"/>
      <c r="R510" s="55" t="n"/>
      <c r="S510" s="56" t="n"/>
    </row>
    <row r="511" ht="15.75" customHeight="1" s="297">
      <c r="A511" s="67" t="inlineStr">
        <is>
          <t>ASSINATURA REVISTAS/JORNAIS</t>
        </is>
      </c>
      <c r="B511" s="68" t="n"/>
      <c r="C511" s="69" t="n"/>
      <c r="D511" s="68" t="n"/>
      <c r="E511" s="69" t="n"/>
      <c r="F511" s="68" t="n"/>
      <c r="G511" s="68" t="n"/>
      <c r="H511" s="68" t="n"/>
      <c r="I511" s="69" t="n"/>
      <c r="J511" s="68" t="n"/>
      <c r="K511" s="69" t="n"/>
      <c r="L511" s="68" t="n"/>
      <c r="M511" s="69" t="n"/>
      <c r="N511" s="68" t="n"/>
      <c r="O511" s="69" t="n"/>
      <c r="P511" s="68" t="n"/>
      <c r="Q511" s="69" t="n"/>
      <c r="R511" s="55" t="n"/>
      <c r="S511" s="56" t="n"/>
    </row>
    <row r="512" ht="15.75" customHeight="1" s="297">
      <c r="A512" s="67" t="inlineStr">
        <is>
          <t>IPTU</t>
        </is>
      </c>
      <c r="B512" s="68" t="n"/>
      <c r="C512" s="69" t="n"/>
      <c r="D512" s="68" t="n"/>
      <c r="E512" s="69" t="n"/>
      <c r="F512" s="68" t="n"/>
      <c r="G512" s="68" t="n"/>
      <c r="H512" s="68" t="n"/>
      <c r="I512" s="69" t="n"/>
      <c r="J512" s="68" t="n"/>
      <c r="K512" s="69" t="n"/>
      <c r="L512" s="68" t="n"/>
      <c r="M512" s="69" t="n"/>
      <c r="N512" s="68" t="n"/>
      <c r="O512" s="69" t="n"/>
      <c r="P512" s="68" t="n"/>
      <c r="Q512" s="69" t="n"/>
      <c r="R512" s="55" t="n"/>
      <c r="S512" s="56" t="n"/>
    </row>
    <row r="513" ht="15.75" customHeight="1" s="297">
      <c r="A513" s="67" t="inlineStr">
        <is>
          <t>ENDOMARKETING</t>
        </is>
      </c>
      <c r="B513" s="68" t="n"/>
      <c r="C513" s="69" t="n"/>
      <c r="D513" s="68" t="n"/>
      <c r="E513" s="69" t="n"/>
      <c r="F513" s="68" t="n"/>
      <c r="G513" s="68" t="n"/>
      <c r="H513" s="68" t="n"/>
      <c r="I513" s="69" t="n"/>
      <c r="J513" s="68" t="n"/>
      <c r="K513" s="69" t="n"/>
      <c r="L513" s="68" t="n"/>
      <c r="M513" s="69" t="n"/>
      <c r="N513" s="68" t="n"/>
      <c r="O513" s="69" t="n"/>
      <c r="P513" s="68" t="n"/>
      <c r="Q513" s="69" t="n"/>
      <c r="R513" s="55" t="n"/>
      <c r="S513" s="56" t="n"/>
    </row>
    <row r="514" ht="15.75" customHeight="1" s="297">
      <c r="A514" s="67" t="inlineStr">
        <is>
          <t>VIGILANCIA E MONITORAMENTO</t>
        </is>
      </c>
      <c r="B514" s="68" t="n"/>
      <c r="C514" s="69" t="n"/>
      <c r="D514" s="68" t="n"/>
      <c r="E514" s="69" t="n"/>
      <c r="F514" s="68" t="n"/>
      <c r="G514" s="68" t="n"/>
      <c r="H514" s="68" t="n"/>
      <c r="I514" s="69" t="n"/>
      <c r="J514" s="68" t="n"/>
      <c r="K514" s="69" t="n"/>
      <c r="L514" s="68" t="n"/>
      <c r="M514" s="69" t="n"/>
      <c r="N514" s="68" t="n"/>
      <c r="O514" s="69" t="n"/>
      <c r="P514" s="68" t="n"/>
      <c r="Q514" s="69" t="n"/>
      <c r="R514" s="55" t="n"/>
      <c r="S514" s="56" t="n"/>
    </row>
    <row r="515" ht="15.75" customHeight="1" s="297">
      <c r="A515" s="64" t="inlineStr">
        <is>
          <t>RECURSOS HUMANOS</t>
        </is>
      </c>
      <c r="B515" s="65" t="n"/>
      <c r="C515" s="66" t="n"/>
      <c r="D515" s="65" t="n"/>
      <c r="E515" s="66" t="n"/>
      <c r="F515" s="65" t="n"/>
      <c r="G515" s="65" t="n"/>
      <c r="H515" s="65" t="n"/>
      <c r="I515" s="66" t="n"/>
      <c r="J515" s="65" t="n"/>
      <c r="K515" s="66" t="n"/>
      <c r="L515" s="65" t="n"/>
      <c r="M515" s="66" t="n"/>
      <c r="N515" s="65" t="n"/>
      <c r="O515" s="66" t="n"/>
      <c r="P515" s="65" t="n"/>
      <c r="Q515" s="66" t="n"/>
      <c r="R515" s="55" t="n"/>
      <c r="S515" s="56" t="n"/>
    </row>
    <row r="516" ht="15.75" customHeight="1" s="297">
      <c r="A516" s="67" t="inlineStr">
        <is>
          <t>*SALARIOS</t>
        </is>
      </c>
      <c r="B516" s="68" t="n"/>
      <c r="C516" s="69" t="n"/>
      <c r="D516" s="68" t="n"/>
      <c r="E516" s="69" t="n"/>
      <c r="F516" s="68" t="n"/>
      <c r="G516" s="68" t="n"/>
      <c r="H516" s="68" t="n"/>
      <c r="I516" s="69" t="n"/>
      <c r="J516" s="68" t="n"/>
      <c r="K516" s="69" t="n"/>
      <c r="L516" s="68" t="n"/>
      <c r="M516" s="69" t="n"/>
      <c r="N516" s="68" t="n"/>
      <c r="O516" s="69" t="n"/>
      <c r="P516" s="68" t="n"/>
      <c r="Q516" s="69" t="n"/>
      <c r="R516" s="55" t="n"/>
      <c r="S516" s="56" t="n"/>
    </row>
    <row r="517" ht="15.75" customHeight="1" s="297">
      <c r="A517" s="67" t="inlineStr">
        <is>
          <t>*FERIAS</t>
        </is>
      </c>
      <c r="B517" s="68" t="n"/>
      <c r="C517" s="69" t="n"/>
      <c r="D517" s="68" t="n"/>
      <c r="E517" s="69" t="n"/>
      <c r="F517" s="68" t="n"/>
      <c r="G517" s="68" t="n"/>
      <c r="H517" s="68" t="n"/>
      <c r="I517" s="69" t="n"/>
      <c r="J517" s="68" t="n"/>
      <c r="K517" s="69" t="n"/>
      <c r="L517" s="68" t="n"/>
      <c r="M517" s="69" t="n"/>
      <c r="N517" s="68" t="n"/>
      <c r="O517" s="69" t="n"/>
      <c r="P517" s="68" t="n"/>
      <c r="Q517" s="69" t="n"/>
      <c r="R517" s="55" t="n"/>
      <c r="S517" s="56" t="n"/>
    </row>
    <row r="518" ht="15.75" customHeight="1" s="297">
      <c r="A518" s="67" t="inlineStr">
        <is>
          <t>*13º SALARIO</t>
        </is>
      </c>
      <c r="B518" s="68" t="n"/>
      <c r="C518" s="69" t="n"/>
      <c r="D518" s="68" t="n"/>
      <c r="E518" s="69" t="n"/>
      <c r="F518" s="68" t="n"/>
      <c r="G518" s="68" t="n"/>
      <c r="H518" s="68" t="n"/>
      <c r="I518" s="69" t="n"/>
      <c r="J518" s="68" t="n"/>
      <c r="K518" s="69" t="n"/>
      <c r="L518" s="68" t="n"/>
      <c r="M518" s="69" t="n"/>
      <c r="N518" s="68" t="n"/>
      <c r="O518" s="69" t="n"/>
      <c r="P518" s="68" t="n"/>
      <c r="Q518" s="69" t="n"/>
      <c r="R518" s="55" t="n"/>
      <c r="S518" s="56" t="n"/>
    </row>
    <row r="519" ht="15.75" customHeight="1" s="297">
      <c r="A519" s="67" t="inlineStr">
        <is>
          <t>*RESCISAO</t>
        </is>
      </c>
      <c r="B519" s="68" t="n"/>
      <c r="C519" s="69" t="n"/>
      <c r="D519" s="68" t="n"/>
      <c r="E519" s="69" t="n"/>
      <c r="F519" s="68" t="n"/>
      <c r="G519" s="68" t="n"/>
      <c r="H519" s="68" t="n"/>
      <c r="I519" s="69" t="n"/>
      <c r="J519" s="68" t="n"/>
      <c r="K519" s="69" t="n"/>
      <c r="L519" s="68" t="n"/>
      <c r="M519" s="69" t="n"/>
      <c r="N519" s="68" t="n"/>
      <c r="O519" s="69" t="n"/>
      <c r="P519" s="68" t="n"/>
      <c r="Q519" s="69" t="n"/>
      <c r="R519" s="55" t="n"/>
      <c r="S519" s="56" t="n"/>
    </row>
    <row r="520" ht="15.75" customHeight="1" s="297">
      <c r="A520" s="67" t="inlineStr">
        <is>
          <t>*FGTS</t>
        </is>
      </c>
      <c r="B520" s="68" t="n"/>
      <c r="C520" s="69" t="n"/>
      <c r="D520" s="68" t="n"/>
      <c r="E520" s="69" t="n"/>
      <c r="F520" s="68" t="n"/>
      <c r="G520" s="68" t="n"/>
      <c r="H520" s="68" t="n"/>
      <c r="I520" s="69" t="n"/>
      <c r="J520" s="68" t="n"/>
      <c r="K520" s="69" t="n"/>
      <c r="L520" s="68" t="n"/>
      <c r="M520" s="69" t="n"/>
      <c r="N520" s="68" t="n"/>
      <c r="O520" s="69" t="n"/>
      <c r="P520" s="68" t="n"/>
      <c r="Q520" s="69" t="n"/>
      <c r="R520" s="55" t="n"/>
      <c r="S520" s="56" t="n"/>
    </row>
    <row r="521" ht="15.75" customHeight="1" s="297">
      <c r="A521" s="67" t="inlineStr">
        <is>
          <t>INSS</t>
        </is>
      </c>
      <c r="B521" s="68" t="n"/>
      <c r="C521" s="69" t="n"/>
      <c r="D521" s="68" t="n"/>
      <c r="E521" s="69" t="n"/>
      <c r="F521" s="68" t="n"/>
      <c r="G521" s="68" t="n"/>
      <c r="H521" s="68" t="n"/>
      <c r="I521" s="69" t="n"/>
      <c r="J521" s="68" t="n"/>
      <c r="K521" s="69" t="n"/>
      <c r="L521" s="68" t="n"/>
      <c r="M521" s="69" t="n"/>
      <c r="N521" s="68" t="n"/>
      <c r="O521" s="69" t="n"/>
      <c r="P521" s="68" t="n"/>
      <c r="Q521" s="69" t="n"/>
      <c r="R521" s="55" t="n"/>
      <c r="S521" s="56" t="n"/>
    </row>
    <row r="522" ht="15.75" customHeight="1" s="297">
      <c r="A522" s="67" t="inlineStr">
        <is>
          <t>IRPF</t>
        </is>
      </c>
      <c r="B522" s="68" t="n"/>
      <c r="C522" s="69" t="n"/>
      <c r="D522" s="68" t="n"/>
      <c r="E522" s="69" t="n"/>
      <c r="F522" s="68" t="n"/>
      <c r="G522" s="68" t="n"/>
      <c r="H522" s="68" t="n"/>
      <c r="I522" s="69" t="n"/>
      <c r="J522" s="68" t="n"/>
      <c r="K522" s="69" t="n"/>
      <c r="L522" s="68" t="n"/>
      <c r="M522" s="69" t="n"/>
      <c r="N522" s="68" t="n"/>
      <c r="O522" s="69" t="n"/>
      <c r="P522" s="68" t="n"/>
      <c r="Q522" s="69" t="n"/>
      <c r="R522" s="55" t="n"/>
      <c r="S522" s="56" t="n"/>
    </row>
    <row r="523" ht="15.75" customHeight="1" s="297">
      <c r="A523" s="67" t="inlineStr">
        <is>
          <t>MEDICINA E SEGURANÇA DO TRABALHO</t>
        </is>
      </c>
      <c r="B523" s="68" t="n"/>
      <c r="C523" s="69" t="n"/>
      <c r="D523" s="68" t="n"/>
      <c r="E523" s="69" t="n"/>
      <c r="F523" s="68" t="n"/>
      <c r="G523" s="68" t="n"/>
      <c r="H523" s="68" t="n"/>
      <c r="I523" s="69" t="n"/>
      <c r="J523" s="68" t="n"/>
      <c r="K523" s="69" t="n"/>
      <c r="L523" s="68" t="n"/>
      <c r="M523" s="69" t="n"/>
      <c r="N523" s="68" t="n"/>
      <c r="O523" s="69" t="n"/>
      <c r="P523" s="68" t="n"/>
      <c r="Q523" s="69" t="n"/>
      <c r="R523" s="55" t="n"/>
      <c r="S523" s="56" t="n"/>
    </row>
    <row r="524" ht="15.75" customHeight="1" s="297">
      <c r="A524" s="67" t="inlineStr">
        <is>
          <t>PRO-LABORE</t>
        </is>
      </c>
      <c r="B524" s="68" t="n"/>
      <c r="C524" s="69" t="n"/>
      <c r="D524" s="68" t="n"/>
      <c r="E524" s="69" t="n"/>
      <c r="F524" s="68" t="n"/>
      <c r="G524" s="68" t="n"/>
      <c r="H524" s="68" t="n"/>
      <c r="I524" s="69" t="n"/>
      <c r="J524" s="68" t="n"/>
      <c r="K524" s="69" t="n"/>
      <c r="L524" s="68" t="n"/>
      <c r="M524" s="69" t="n"/>
      <c r="N524" s="68" t="n"/>
      <c r="O524" s="69" t="n"/>
      <c r="P524" s="68" t="n"/>
      <c r="Q524" s="69" t="n"/>
      <c r="R524" s="55" t="n"/>
      <c r="S524" s="56" t="n"/>
    </row>
    <row r="525" ht="15.75" customHeight="1" s="297">
      <c r="A525" s="67" t="inlineStr">
        <is>
          <t>ALIMENTAÇÃO</t>
        </is>
      </c>
      <c r="B525" s="68" t="n"/>
      <c r="C525" s="69" t="n"/>
      <c r="D525" s="68" t="n"/>
      <c r="E525" s="69" t="n"/>
      <c r="F525" s="68" t="n"/>
      <c r="G525" s="68" t="n"/>
      <c r="H525" s="68" t="n"/>
      <c r="I525" s="69" t="n"/>
      <c r="J525" s="68" t="n"/>
      <c r="K525" s="69" t="n"/>
      <c r="L525" s="68" t="n"/>
      <c r="M525" s="69" t="n"/>
      <c r="N525" s="68" t="n"/>
      <c r="O525" s="69" t="n"/>
      <c r="P525" s="68" t="n"/>
      <c r="Q525" s="69" t="n"/>
      <c r="R525" s="55" t="n"/>
      <c r="S525" s="56" t="n"/>
    </row>
    <row r="526" ht="15.75" customHeight="1" s="297">
      <c r="A526" s="67" t="inlineStr">
        <is>
          <t>UNIFORMES</t>
        </is>
      </c>
      <c r="B526" s="68" t="n"/>
      <c r="C526" s="69" t="n"/>
      <c r="D526" s="68" t="n"/>
      <c r="E526" s="69" t="n"/>
      <c r="F526" s="68" t="n"/>
      <c r="G526" s="68" t="n"/>
      <c r="H526" s="68" t="n"/>
      <c r="I526" s="69" t="n"/>
      <c r="J526" s="68" t="n"/>
      <c r="K526" s="69" t="n"/>
      <c r="L526" s="68" t="n"/>
      <c r="M526" s="69" t="n"/>
      <c r="N526" s="68" t="n"/>
      <c r="O526" s="69" t="n"/>
      <c r="P526" s="68" t="n"/>
      <c r="Q526" s="69" t="n"/>
      <c r="R526" s="55" t="n"/>
      <c r="S526" s="56" t="n"/>
    </row>
    <row r="527" ht="15.75" customHeight="1" s="297">
      <c r="A527" s="67" t="inlineStr">
        <is>
          <t>EPIS FINANCEIRO</t>
        </is>
      </c>
      <c r="B527" s="68" t="n"/>
      <c r="C527" s="69" t="n"/>
      <c r="D527" s="68" t="n"/>
      <c r="E527" s="69" t="n"/>
      <c r="F527" s="68" t="n"/>
      <c r="G527" s="68" t="n"/>
      <c r="H527" s="68" t="n"/>
      <c r="I527" s="69" t="n"/>
      <c r="J527" s="68" t="n"/>
      <c r="K527" s="69" t="n"/>
      <c r="L527" s="68" t="n"/>
      <c r="M527" s="69" t="n"/>
      <c r="N527" s="68" t="n"/>
      <c r="O527" s="69" t="n"/>
      <c r="P527" s="68" t="n"/>
      <c r="Q527" s="69" t="n"/>
      <c r="R527" s="55" t="n"/>
      <c r="S527" s="56" t="n"/>
    </row>
    <row r="528" ht="15.75" customHeight="1" s="297">
      <c r="A528" s="67" t="inlineStr">
        <is>
          <t>EPI</t>
        </is>
      </c>
      <c r="B528" s="68" t="n"/>
      <c r="C528" s="69" t="n"/>
      <c r="D528" s="68" t="n"/>
      <c r="E528" s="69" t="n"/>
      <c r="F528" s="68" t="n"/>
      <c r="G528" s="68" t="n"/>
      <c r="H528" s="68" t="n"/>
      <c r="I528" s="69" t="n"/>
      <c r="J528" s="68" t="n"/>
      <c r="K528" s="69" t="n"/>
      <c r="L528" s="68" t="n"/>
      <c r="M528" s="69" t="n"/>
      <c r="N528" s="68" t="n"/>
      <c r="O528" s="69" t="n"/>
      <c r="P528" s="68" t="n"/>
      <c r="Q528" s="69" t="n"/>
      <c r="R528" s="55" t="n"/>
      <c r="S528" s="56" t="n"/>
    </row>
    <row r="529" ht="15.75" customHeight="1" s="297">
      <c r="A529" s="67" t="inlineStr">
        <is>
          <t>PLANO DE SAÚDE</t>
        </is>
      </c>
      <c r="B529" s="68" t="n"/>
      <c r="C529" s="69" t="n"/>
      <c r="D529" s="68" t="n"/>
      <c r="E529" s="69" t="n"/>
      <c r="F529" s="68" t="n"/>
      <c r="G529" s="68" t="n"/>
      <c r="H529" s="68" t="n"/>
      <c r="I529" s="69" t="n"/>
      <c r="J529" s="68" t="n"/>
      <c r="K529" s="69" t="n"/>
      <c r="L529" s="68" t="n"/>
      <c r="M529" s="69" t="n"/>
      <c r="N529" s="68" t="n"/>
      <c r="O529" s="69" t="n"/>
      <c r="P529" s="68" t="n"/>
      <c r="Q529" s="69" t="n"/>
      <c r="R529" s="55" t="n"/>
      <c r="S529" s="56" t="n"/>
    </row>
    <row r="530" ht="15.75" customHeight="1" s="297">
      <c r="A530" s="67" t="inlineStr">
        <is>
          <t>DIARISTAS</t>
        </is>
      </c>
      <c r="B530" s="68" t="n"/>
      <c r="C530" s="69" t="n"/>
      <c r="D530" s="68" t="n"/>
      <c r="E530" s="69" t="n"/>
      <c r="F530" s="68" t="n"/>
      <c r="G530" s="68" t="n"/>
      <c r="H530" s="68" t="n"/>
      <c r="I530" s="69" t="n"/>
      <c r="J530" s="68" t="n"/>
      <c r="K530" s="69" t="n"/>
      <c r="L530" s="68" t="n"/>
      <c r="M530" s="69" t="n"/>
      <c r="N530" s="68" t="n"/>
      <c r="O530" s="69" t="n"/>
      <c r="P530" s="68" t="n"/>
      <c r="Q530" s="69" t="n"/>
      <c r="R530" s="55" t="n"/>
      <c r="S530" s="56" t="n"/>
    </row>
    <row r="531" ht="15.75" customHeight="1" s="297">
      <c r="A531" s="67" t="inlineStr">
        <is>
          <t>COMPRAS DOS BRINDES PARA  FUNCIONÁRIOS</t>
        </is>
      </c>
      <c r="B531" s="68" t="n"/>
      <c r="C531" s="69" t="n"/>
      <c r="D531" s="68" t="n"/>
      <c r="E531" s="69" t="n"/>
      <c r="F531" s="68" t="n"/>
      <c r="G531" s="68" t="n"/>
      <c r="H531" s="68" t="n"/>
      <c r="I531" s="69" t="n"/>
      <c r="J531" s="68" t="n"/>
      <c r="K531" s="69" t="n"/>
      <c r="L531" s="68" t="n"/>
      <c r="M531" s="69" t="n"/>
      <c r="N531" s="68" t="n"/>
      <c r="O531" s="69" t="n"/>
      <c r="P531" s="68" t="n"/>
      <c r="Q531" s="69" t="n"/>
      <c r="R531" s="55" t="n"/>
      <c r="S531" s="56" t="n"/>
    </row>
    <row r="532" ht="15.75" customHeight="1" s="297">
      <c r="A532" s="67" t="inlineStr">
        <is>
          <t>FESTAS E CONFRATERNIZAÇÕES</t>
        </is>
      </c>
      <c r="B532" s="68" t="n"/>
      <c r="C532" s="69" t="n"/>
      <c r="D532" s="68" t="n"/>
      <c r="E532" s="69" t="n"/>
      <c r="F532" s="68" t="n"/>
      <c r="G532" s="68" t="n"/>
      <c r="H532" s="68" t="n"/>
      <c r="I532" s="69" t="n"/>
      <c r="J532" s="68" t="n"/>
      <c r="K532" s="69" t="n"/>
      <c r="L532" s="68" t="n"/>
      <c r="M532" s="69" t="n"/>
      <c r="N532" s="68" t="n"/>
      <c r="O532" s="69" t="n"/>
      <c r="P532" s="68" t="n"/>
      <c r="Q532" s="69" t="n"/>
      <c r="R532" s="55" t="n"/>
      <c r="S532" s="56" t="n"/>
    </row>
    <row r="533" ht="15.75" customHeight="1" s="297">
      <c r="A533" s="67" t="inlineStr">
        <is>
          <t>REFEITORIO</t>
        </is>
      </c>
      <c r="B533" s="68" t="n"/>
      <c r="C533" s="69" t="n"/>
      <c r="D533" s="68" t="n"/>
      <c r="E533" s="69" t="n"/>
      <c r="F533" s="68" t="n"/>
      <c r="G533" s="68" t="n"/>
      <c r="H533" s="68" t="n"/>
      <c r="I533" s="69" t="n"/>
      <c r="J533" s="68" t="n"/>
      <c r="K533" s="69" t="n"/>
      <c r="L533" s="68" t="n"/>
      <c r="M533" s="69" t="n"/>
      <c r="N533" s="68" t="n"/>
      <c r="O533" s="69" t="n"/>
      <c r="P533" s="68" t="n"/>
      <c r="Q533" s="69" t="n"/>
      <c r="R533" s="55" t="n"/>
      <c r="S533" s="56" t="n"/>
    </row>
    <row r="534" ht="15.75" customHeight="1" s="297">
      <c r="A534" s="67" t="inlineStr">
        <is>
          <t>HOSPEDAGEM</t>
        </is>
      </c>
      <c r="B534" s="68" t="n"/>
      <c r="C534" s="69" t="n"/>
      <c r="D534" s="68" t="n"/>
      <c r="E534" s="69" t="n"/>
      <c r="F534" s="68" t="n"/>
      <c r="G534" s="68" t="n"/>
      <c r="H534" s="68" t="n"/>
      <c r="I534" s="69" t="n"/>
      <c r="J534" s="68" t="n"/>
      <c r="K534" s="69" t="n"/>
      <c r="L534" s="68" t="n"/>
      <c r="M534" s="69" t="n"/>
      <c r="N534" s="68" t="n"/>
      <c r="O534" s="69" t="n"/>
      <c r="P534" s="68" t="n"/>
      <c r="Q534" s="69" t="n"/>
      <c r="R534" s="55" t="n"/>
      <c r="S534" s="56" t="n"/>
    </row>
    <row r="535" ht="15.75" customHeight="1" s="297">
      <c r="A535" s="64" t="inlineStr">
        <is>
          <t>IMPOSTOS, TAXAS E MULTAS</t>
        </is>
      </c>
      <c r="B535" s="65" t="n"/>
      <c r="C535" s="66" t="n"/>
      <c r="D535" s="65" t="n"/>
      <c r="E535" s="66" t="n"/>
      <c r="F535" s="65" t="n"/>
      <c r="G535" s="65" t="n"/>
      <c r="H535" s="65" t="n"/>
      <c r="I535" s="66" t="n"/>
      <c r="J535" s="65" t="n"/>
      <c r="K535" s="66" t="n"/>
      <c r="L535" s="65" t="n"/>
      <c r="M535" s="66" t="n"/>
      <c r="N535" s="65" t="n"/>
      <c r="O535" s="66" t="n"/>
      <c r="P535" s="65" t="n"/>
      <c r="Q535" s="66" t="n"/>
      <c r="R535" s="55" t="n"/>
      <c r="S535" s="56" t="n"/>
    </row>
    <row r="536" ht="15.75" customHeight="1" s="297">
      <c r="A536" s="67" t="inlineStr">
        <is>
          <t>IMPOSTOS E TAXAS</t>
        </is>
      </c>
      <c r="B536" s="68" t="n"/>
      <c r="C536" s="69" t="n"/>
      <c r="D536" s="68" t="n"/>
      <c r="E536" s="69" t="n"/>
      <c r="F536" s="68" t="n"/>
      <c r="G536" s="68" t="n"/>
      <c r="H536" s="68" t="n"/>
      <c r="I536" s="69" t="n"/>
      <c r="J536" s="68" t="n"/>
      <c r="K536" s="69" t="n"/>
      <c r="L536" s="68" t="n"/>
      <c r="M536" s="69" t="n"/>
      <c r="N536" s="68" t="n"/>
      <c r="O536" s="69" t="n"/>
      <c r="P536" s="68" t="n"/>
      <c r="Q536" s="69" t="n"/>
      <c r="R536" s="55" t="n"/>
      <c r="S536" s="56" t="n"/>
    </row>
    <row r="537" ht="15.75" customHeight="1" s="297">
      <c r="A537" s="67" t="inlineStr">
        <is>
          <t>ITR</t>
        </is>
      </c>
      <c r="B537" s="68" t="n"/>
      <c r="C537" s="69" t="n"/>
      <c r="D537" s="68" t="n"/>
      <c r="E537" s="69" t="n"/>
      <c r="F537" s="68" t="n"/>
      <c r="G537" s="68" t="n"/>
      <c r="H537" s="68" t="n"/>
      <c r="I537" s="69" t="n"/>
      <c r="J537" s="68" t="n"/>
      <c r="K537" s="69" t="n"/>
      <c r="L537" s="68" t="n"/>
      <c r="M537" s="69" t="n"/>
      <c r="N537" s="68" t="n"/>
      <c r="O537" s="69" t="n"/>
      <c r="P537" s="68" t="n"/>
      <c r="Q537" s="69" t="n"/>
      <c r="R537" s="55" t="n"/>
      <c r="S537" s="56" t="n"/>
    </row>
    <row r="538" ht="15.75" customHeight="1" s="297">
      <c r="A538" s="67" t="inlineStr">
        <is>
          <t>CCIR</t>
        </is>
      </c>
      <c r="B538" s="68" t="n"/>
      <c r="C538" s="69" t="n"/>
      <c r="D538" s="68" t="n"/>
      <c r="E538" s="69" t="n"/>
      <c r="F538" s="68" t="n"/>
      <c r="G538" s="68" t="n"/>
      <c r="H538" s="68" t="n"/>
      <c r="I538" s="69" t="n"/>
      <c r="J538" s="68" t="n"/>
      <c r="K538" s="69" t="n"/>
      <c r="L538" s="68" t="n"/>
      <c r="M538" s="69" t="n"/>
      <c r="N538" s="68" t="n"/>
      <c r="O538" s="69" t="n"/>
      <c r="P538" s="68" t="n"/>
      <c r="Q538" s="69" t="n"/>
      <c r="R538" s="55" t="n"/>
      <c r="S538" s="56" t="n"/>
    </row>
    <row r="539" ht="15.75" customHeight="1" s="297">
      <c r="A539" s="67" t="inlineStr">
        <is>
          <t>CONTR. SOCIAL SOBRE LUCRO LÍQUIDO</t>
        </is>
      </c>
      <c r="B539" s="68" t="n"/>
      <c r="C539" s="69" t="n"/>
      <c r="D539" s="68" t="n"/>
      <c r="E539" s="69" t="n"/>
      <c r="F539" s="68" t="n"/>
      <c r="G539" s="68" t="n"/>
      <c r="H539" s="68" t="n"/>
      <c r="I539" s="69" t="n"/>
      <c r="J539" s="68" t="n"/>
      <c r="K539" s="69" t="n"/>
      <c r="L539" s="68" t="n"/>
      <c r="M539" s="69" t="n"/>
      <c r="N539" s="68" t="n"/>
      <c r="O539" s="69" t="n"/>
      <c r="P539" s="68" t="n"/>
      <c r="Q539" s="69" t="n"/>
      <c r="R539" s="55" t="n"/>
      <c r="S539" s="56" t="n"/>
    </row>
    <row r="540" ht="15.75" customHeight="1" s="297">
      <c r="A540" s="67" t="inlineStr">
        <is>
          <t>IR - PESSOA JURIDICA</t>
        </is>
      </c>
      <c r="B540" s="68" t="n"/>
      <c r="C540" s="69" t="n"/>
      <c r="D540" s="68" t="n"/>
      <c r="E540" s="69" t="n"/>
      <c r="F540" s="68" t="n"/>
      <c r="G540" s="68" t="n"/>
      <c r="H540" s="68" t="n"/>
      <c r="I540" s="69" t="n"/>
      <c r="J540" s="68" t="n"/>
      <c r="K540" s="69" t="n"/>
      <c r="L540" s="68" t="n"/>
      <c r="M540" s="69" t="n"/>
      <c r="N540" s="68" t="n"/>
      <c r="O540" s="69" t="n"/>
      <c r="P540" s="68" t="n"/>
      <c r="Q540" s="69" t="n"/>
      <c r="R540" s="55" t="n"/>
      <c r="S540" s="56" t="n"/>
    </row>
    <row r="541" ht="15.75" customHeight="1" s="297">
      <c r="A541" s="67" t="inlineStr">
        <is>
          <t>PEDAGIOS</t>
        </is>
      </c>
      <c r="B541" s="68" t="n"/>
      <c r="C541" s="69" t="n"/>
      <c r="D541" s="68" t="n"/>
      <c r="E541" s="69" t="n"/>
      <c r="F541" s="68" t="n"/>
      <c r="G541" s="68" t="n"/>
      <c r="H541" s="68" t="n"/>
      <c r="I541" s="69" t="n"/>
      <c r="J541" s="68" t="n"/>
      <c r="K541" s="69" t="n"/>
      <c r="L541" s="68" t="n"/>
      <c r="M541" s="69" t="n"/>
      <c r="N541" s="68" t="n"/>
      <c r="O541" s="69" t="n"/>
      <c r="P541" s="68" t="n"/>
      <c r="Q541" s="69" t="n"/>
      <c r="R541" s="55" t="n"/>
      <c r="S541" s="56" t="n"/>
    </row>
    <row r="542" ht="15.75" customHeight="1" s="297">
      <c r="A542" s="64" t="inlineStr">
        <is>
          <t>SEGUROS</t>
        </is>
      </c>
      <c r="B542" s="65" t="n"/>
      <c r="C542" s="66" t="n"/>
      <c r="D542" s="65" t="n"/>
      <c r="E542" s="66" t="n"/>
      <c r="F542" s="65" t="n"/>
      <c r="G542" s="65" t="n"/>
      <c r="H542" s="65" t="n"/>
      <c r="I542" s="66" t="n"/>
      <c r="J542" s="65" t="n"/>
      <c r="K542" s="66" t="n"/>
      <c r="L542" s="65" t="n"/>
      <c r="M542" s="66" t="n"/>
      <c r="N542" s="65" t="n"/>
      <c r="O542" s="66" t="n"/>
      <c r="P542" s="65" t="n"/>
      <c r="Q542" s="66" t="n"/>
      <c r="R542" s="55" t="n"/>
      <c r="S542" s="56" t="n"/>
    </row>
    <row r="543" ht="15.75" customHeight="1" s="297">
      <c r="A543" s="67" t="inlineStr">
        <is>
          <t>SEGUROS MÁQUINAS</t>
        </is>
      </c>
      <c r="B543" s="68" t="n"/>
      <c r="C543" s="69" t="n"/>
      <c r="D543" s="68" t="n"/>
      <c r="E543" s="69" t="n"/>
      <c r="F543" s="68" t="n"/>
      <c r="G543" s="68" t="n"/>
      <c r="H543" s="68" t="n"/>
      <c r="I543" s="69" t="n"/>
      <c r="J543" s="68" t="n"/>
      <c r="K543" s="69" t="n"/>
      <c r="L543" s="68" t="n"/>
      <c r="M543" s="69" t="n"/>
      <c r="N543" s="68" t="n"/>
      <c r="O543" s="69" t="n"/>
      <c r="P543" s="68" t="n"/>
      <c r="Q543" s="69" t="n"/>
      <c r="R543" s="55" t="n"/>
      <c r="S543" s="56" t="n"/>
    </row>
    <row r="544" ht="15.75" customHeight="1" s="297">
      <c r="A544" s="67" t="inlineStr">
        <is>
          <t>SEGUROS DE VIDA</t>
        </is>
      </c>
      <c r="B544" s="68" t="n"/>
      <c r="C544" s="69" t="n"/>
      <c r="D544" s="68" t="n"/>
      <c r="E544" s="69" t="n"/>
      <c r="F544" s="68" t="n"/>
      <c r="G544" s="68" t="n"/>
      <c r="H544" s="68" t="n"/>
      <c r="I544" s="69" t="n"/>
      <c r="J544" s="68" t="n"/>
      <c r="K544" s="69" t="n"/>
      <c r="L544" s="68" t="n"/>
      <c r="M544" s="69" t="n"/>
      <c r="N544" s="68" t="n"/>
      <c r="O544" s="69" t="n"/>
      <c r="P544" s="68" t="n"/>
      <c r="Q544" s="69" t="n"/>
      <c r="R544" s="55" t="n"/>
      <c r="S544" s="56" t="n"/>
    </row>
    <row r="545" ht="15.75" customHeight="1" s="297">
      <c r="A545" s="67" t="inlineStr">
        <is>
          <t>SEGUROS VEICULOS</t>
        </is>
      </c>
      <c r="B545" s="68" t="n"/>
      <c r="C545" s="69" t="n"/>
      <c r="D545" s="68" t="n"/>
      <c r="E545" s="69" t="n"/>
      <c r="F545" s="68" t="n"/>
      <c r="G545" s="68" t="n"/>
      <c r="H545" s="68" t="n"/>
      <c r="I545" s="69" t="n"/>
      <c r="J545" s="68" t="n"/>
      <c r="K545" s="69" t="n"/>
      <c r="L545" s="68" t="n"/>
      <c r="M545" s="69" t="n"/>
      <c r="N545" s="68" t="n"/>
      <c r="O545" s="69" t="n"/>
      <c r="P545" s="68" t="n"/>
      <c r="Q545" s="69" t="n"/>
      <c r="R545" s="55" t="n"/>
      <c r="S545" s="56" t="n"/>
    </row>
    <row r="546" ht="15.75" customHeight="1" s="297">
      <c r="A546" s="70" t="inlineStr">
        <is>
          <t>ARRENDAMENTO</t>
        </is>
      </c>
      <c r="B546" s="71" t="n"/>
      <c r="C546" s="72" t="n"/>
      <c r="D546" s="71" t="n"/>
      <c r="E546" s="72" t="n"/>
      <c r="F546" s="71" t="n"/>
      <c r="G546" s="71" t="n"/>
      <c r="H546" s="71" t="n"/>
      <c r="I546" s="72" t="n"/>
      <c r="J546" s="71" t="n"/>
      <c r="K546" s="72" t="n"/>
      <c r="L546" s="71" t="n"/>
      <c r="M546" s="72" t="n"/>
      <c r="N546" s="71" t="n"/>
      <c r="O546" s="72" t="n"/>
      <c r="P546" s="71" t="n"/>
      <c r="Q546" s="72" t="n"/>
      <c r="R546" s="55" t="n"/>
      <c r="S546" s="56" t="n"/>
    </row>
    <row r="547" ht="15.75" customHeight="1" s="297">
      <c r="A547" s="67" t="inlineStr">
        <is>
          <t>*ARRENDAMENTO E PARCERIA RURAL</t>
        </is>
      </c>
      <c r="B547" s="68" t="n"/>
      <c r="C547" s="69" t="n"/>
      <c r="D547" s="68" t="n"/>
      <c r="E547" s="69" t="n"/>
      <c r="F547" s="68" t="n"/>
      <c r="G547" s="68" t="n"/>
      <c r="H547" s="68" t="n"/>
      <c r="I547" s="69" t="n"/>
      <c r="J547" s="68" t="n"/>
      <c r="K547" s="69" t="n"/>
      <c r="L547" s="68" t="n"/>
      <c r="M547" s="69" t="n"/>
      <c r="N547" s="68" t="n"/>
      <c r="O547" s="69" t="n"/>
      <c r="P547" s="68" t="n"/>
      <c r="Q547" s="69" t="n"/>
      <c r="R547" s="55" t="n"/>
      <c r="S547" s="56" t="n"/>
    </row>
    <row r="548" ht="15.75" customHeight="1" s="297">
      <c r="A548" s="73" t="inlineStr">
        <is>
          <t>(=) EBITDA</t>
        </is>
      </c>
      <c r="B548" s="74" t="n"/>
      <c r="C548" s="75" t="n"/>
      <c r="D548" s="74" t="n"/>
      <c r="E548" s="75" t="n"/>
      <c r="F548" s="74" t="n"/>
      <c r="G548" s="74" t="n"/>
      <c r="H548" s="74" t="n"/>
      <c r="I548" s="75" t="n"/>
      <c r="J548" s="74" t="n"/>
      <c r="K548" s="75" t="n"/>
      <c r="L548" s="74" t="n"/>
      <c r="M548" s="75" t="n"/>
      <c r="N548" s="74" t="n"/>
      <c r="O548" s="75" t="n"/>
      <c r="P548" s="74" t="n"/>
      <c r="Q548" s="75" t="n"/>
      <c r="R548" s="55" t="n"/>
      <c r="S548" s="56" t="n"/>
    </row>
    <row r="549" ht="15.75" customHeight="1" s="297">
      <c r="A549" s="76" t="inlineStr">
        <is>
          <t>(%) EBITDA</t>
        </is>
      </c>
      <c r="B549" s="77" t="n"/>
      <c r="C549" s="74" t="n"/>
      <c r="D549" s="77" t="n"/>
      <c r="E549" s="74" t="n"/>
      <c r="F549" s="77" t="n"/>
      <c r="G549" s="77" t="n"/>
      <c r="H549" s="77" t="n"/>
      <c r="I549" s="74" t="n"/>
      <c r="J549" s="77" t="n"/>
      <c r="K549" s="74" t="n"/>
      <c r="L549" s="77" t="n"/>
      <c r="M549" s="74" t="n"/>
      <c r="N549" s="77" t="n"/>
      <c r="O549" s="74" t="n"/>
      <c r="P549" s="77" t="n"/>
      <c r="Q549" s="74" t="n"/>
      <c r="R549" s="55" t="n"/>
      <c r="S549" s="56" t="n"/>
    </row>
    <row r="550" ht="15.75" customHeight="1" s="297">
      <c r="A550" s="42" t="inlineStr">
        <is>
          <t>DEPRECIAÇÕES</t>
        </is>
      </c>
      <c r="B550" s="43" t="n"/>
      <c r="C550" s="51" t="n"/>
      <c r="D550" s="43" t="n"/>
      <c r="E550" s="51" t="n"/>
      <c r="F550" s="43" t="n"/>
      <c r="G550" s="43" t="n"/>
      <c r="H550" s="43" t="n"/>
      <c r="I550" s="51" t="n"/>
      <c r="J550" s="43" t="n"/>
      <c r="K550" s="51" t="n"/>
      <c r="L550" s="43" t="n"/>
      <c r="M550" s="51" t="n"/>
      <c r="N550" s="43" t="n"/>
      <c r="O550" s="51" t="n"/>
      <c r="P550" s="43" t="n"/>
      <c r="Q550" s="51" t="n"/>
      <c r="R550" s="55" t="n"/>
      <c r="S550" s="56" t="n"/>
    </row>
    <row r="551" ht="15.75" customHeight="1" s="297">
      <c r="A551" s="67" t="inlineStr">
        <is>
          <t>DEPRECIAÇÃO MÁQUINAS</t>
        </is>
      </c>
      <c r="B551" s="68" t="n"/>
      <c r="C551" s="69" t="n"/>
      <c r="D551" s="68" t="n"/>
      <c r="E551" s="69" t="n"/>
      <c r="F551" s="68" t="n"/>
      <c r="G551" s="68" t="n"/>
      <c r="H551" s="68" t="n"/>
      <c r="I551" s="69" t="n"/>
      <c r="J551" s="68" t="n"/>
      <c r="K551" s="69" t="n"/>
      <c r="L551" s="68" t="n"/>
      <c r="M551" s="69" t="n"/>
      <c r="N551" s="68" t="n"/>
      <c r="O551" s="69" t="n"/>
      <c r="P551" s="68" t="n"/>
      <c r="Q551" s="69" t="n"/>
      <c r="R551" s="55" t="n"/>
      <c r="S551" s="56" t="n"/>
    </row>
    <row r="552" ht="15.75" customHeight="1" s="297">
      <c r="A552" s="67" t="inlineStr">
        <is>
          <t>DEPRECIAÇÃO BENFEITORIAS</t>
        </is>
      </c>
      <c r="B552" s="68" t="n"/>
      <c r="C552" s="69" t="n"/>
      <c r="D552" s="68" t="n"/>
      <c r="E552" s="69" t="n"/>
      <c r="F552" s="68" t="n"/>
      <c r="G552" s="68" t="n"/>
      <c r="H552" s="68" t="n"/>
      <c r="I552" s="69" t="n"/>
      <c r="J552" s="68" t="n"/>
      <c r="K552" s="69" t="n"/>
      <c r="L552" s="68" t="n"/>
      <c r="M552" s="69" t="n"/>
      <c r="N552" s="68" t="n"/>
      <c r="O552" s="69" t="n"/>
      <c r="P552" s="68" t="n"/>
      <c r="Q552" s="69" t="n"/>
      <c r="R552" s="55" t="n"/>
      <c r="S552" s="56" t="n"/>
    </row>
    <row r="553" ht="15.75" customHeight="1" s="297">
      <c r="A553" s="73" t="inlineStr">
        <is>
          <t>(=) EBIT</t>
        </is>
      </c>
      <c r="B553" s="74" t="n"/>
      <c r="C553" s="75" t="n"/>
      <c r="D553" s="74" t="n"/>
      <c r="E553" s="75" t="n"/>
      <c r="F553" s="74" t="n"/>
      <c r="G553" s="74" t="n"/>
      <c r="H553" s="74" t="n"/>
      <c r="I553" s="75" t="n"/>
      <c r="J553" s="74" t="n"/>
      <c r="K553" s="75" t="n"/>
      <c r="L553" s="74" t="n"/>
      <c r="M553" s="75" t="n"/>
      <c r="N553" s="74" t="n"/>
      <c r="O553" s="75" t="n"/>
      <c r="P553" s="74" t="n"/>
      <c r="Q553" s="75" t="n"/>
      <c r="R553" s="55" t="n"/>
      <c r="S553" s="56" t="n"/>
    </row>
    <row r="554" ht="15.75" customHeight="1" s="297">
      <c r="A554" s="76" t="inlineStr">
        <is>
          <t>(%) EBIT</t>
        </is>
      </c>
      <c r="B554" s="77" t="n"/>
      <c r="C554" s="74" t="n"/>
      <c r="D554" s="77" t="n"/>
      <c r="E554" s="74" t="n"/>
      <c r="F554" s="77" t="n"/>
      <c r="G554" s="77" t="n"/>
      <c r="H554" s="77" t="n"/>
      <c r="I554" s="74" t="n"/>
      <c r="J554" s="77" t="n"/>
      <c r="K554" s="74" t="n"/>
      <c r="L554" s="77" t="n"/>
      <c r="M554" s="74" t="n"/>
      <c r="N554" s="77" t="n"/>
      <c r="O554" s="74" t="n"/>
      <c r="P554" s="77" t="n"/>
      <c r="Q554" s="74" t="n"/>
      <c r="R554" s="55" t="n"/>
      <c r="S554" s="56" t="n"/>
    </row>
    <row r="555" ht="15.75" customHeight="1" s="297">
      <c r="A555" s="42" t="inlineStr">
        <is>
          <t>IMPOSTOS</t>
        </is>
      </c>
      <c r="B555" s="43" t="n"/>
      <c r="C555" s="51" t="n"/>
      <c r="D555" s="43" t="n"/>
      <c r="E555" s="51" t="n"/>
      <c r="F555" s="43" t="n"/>
      <c r="G555" s="43" t="n"/>
      <c r="H555" s="43" t="n"/>
      <c r="I555" s="51" t="n"/>
      <c r="J555" s="43" t="n"/>
      <c r="K555" s="51" t="n"/>
      <c r="L555" s="43" t="n"/>
      <c r="M555" s="51" t="n"/>
      <c r="N555" s="43" t="n"/>
      <c r="O555" s="51" t="n"/>
      <c r="P555" s="43" t="n"/>
      <c r="Q555" s="51" t="n"/>
      <c r="R555" s="55" t="n"/>
      <c r="S555" s="56" t="n"/>
    </row>
    <row r="556" ht="15.75" customHeight="1" s="297">
      <c r="A556" s="67" t="inlineStr">
        <is>
          <t>PARTICIPAÇÃO NOS LUCROS</t>
        </is>
      </c>
      <c r="B556" s="68" t="n"/>
      <c r="C556" s="69" t="n"/>
      <c r="D556" s="68" t="n"/>
      <c r="E556" s="69" t="n"/>
      <c r="F556" s="68" t="n"/>
      <c r="G556" s="68" t="n"/>
      <c r="H556" s="68" t="n"/>
      <c r="I556" s="69" t="n"/>
      <c r="J556" s="68" t="n"/>
      <c r="K556" s="69" t="n"/>
      <c r="L556" s="68" t="n"/>
      <c r="M556" s="69" t="n"/>
      <c r="N556" s="68" t="n"/>
      <c r="O556" s="69" t="n"/>
      <c r="P556" s="68" t="n"/>
      <c r="Q556" s="69" t="n"/>
      <c r="R556" s="55" t="n"/>
      <c r="S556" s="56" t="n"/>
    </row>
    <row r="557" ht="15.75" customHeight="1" s="297">
      <c r="A557" s="64" t="inlineStr">
        <is>
          <t>DESPESAS FINANCEIRAS</t>
        </is>
      </c>
      <c r="B557" s="65" t="n"/>
      <c r="C557" s="66" t="n"/>
      <c r="D557" s="65" t="n"/>
      <c r="E557" s="66" t="n"/>
      <c r="F557" s="65" t="n"/>
      <c r="G557" s="65" t="n"/>
      <c r="H557" s="65" t="n"/>
      <c r="I557" s="66" t="n"/>
      <c r="J557" s="65" t="n"/>
      <c r="K557" s="66" t="n"/>
      <c r="L557" s="65" t="n"/>
      <c r="M557" s="66" t="n"/>
      <c r="N557" s="65" t="n"/>
      <c r="O557" s="66" t="n"/>
      <c r="P557" s="65" t="n"/>
      <c r="Q557" s="66" t="n"/>
      <c r="R557" s="55" t="n"/>
      <c r="S557" s="56" t="n"/>
    </row>
    <row r="558" ht="15.75" customHeight="1" s="297">
      <c r="A558" s="67" t="inlineStr">
        <is>
          <t>TARIFAS CONTAS BANCARIAS</t>
        </is>
      </c>
      <c r="B558" s="68" t="n"/>
      <c r="C558" s="69" t="n"/>
      <c r="D558" s="68" t="n"/>
      <c r="E558" s="69" t="n"/>
      <c r="F558" s="68" t="n"/>
      <c r="G558" s="68" t="n"/>
      <c r="H558" s="68" t="n"/>
      <c r="I558" s="69" t="n"/>
      <c r="J558" s="68" t="n"/>
      <c r="K558" s="69" t="n"/>
      <c r="L558" s="68" t="n"/>
      <c r="M558" s="69" t="n"/>
      <c r="N558" s="68" t="n"/>
      <c r="O558" s="69" t="n"/>
      <c r="P558" s="68" t="n"/>
      <c r="Q558" s="69" t="n"/>
      <c r="R558" s="55" t="n"/>
      <c r="S558" s="56" t="n"/>
    </row>
    <row r="559" ht="15.75" customHeight="1" s="297">
      <c r="A559" s="67" t="inlineStr">
        <is>
          <t>TARIFA DEPOSITO IDENTIFICADO</t>
        </is>
      </c>
      <c r="B559" s="68" t="n"/>
      <c r="C559" s="69" t="n"/>
      <c r="D559" s="68" t="n"/>
      <c r="E559" s="69" t="n"/>
      <c r="F559" s="68" t="n"/>
      <c r="G559" s="68" t="n"/>
      <c r="H559" s="68" t="n"/>
      <c r="I559" s="69" t="n"/>
      <c r="J559" s="68" t="n"/>
      <c r="K559" s="69" t="n"/>
      <c r="L559" s="68" t="n"/>
      <c r="M559" s="69" t="n"/>
      <c r="N559" s="68" t="n"/>
      <c r="O559" s="69" t="n"/>
      <c r="P559" s="68" t="n"/>
      <c r="Q559" s="69" t="n"/>
      <c r="R559" s="55" t="n"/>
      <c r="S559" s="56" t="n"/>
    </row>
    <row r="560" ht="15.75" customHeight="1" s="297">
      <c r="A560" s="67" t="inlineStr">
        <is>
          <t>JUROS INVESTIMENTOS</t>
        </is>
      </c>
      <c r="B560" s="68" t="n"/>
      <c r="C560" s="69" t="n"/>
      <c r="D560" s="68" t="n"/>
      <c r="E560" s="69" t="n"/>
      <c r="F560" s="68" t="n"/>
      <c r="G560" s="68" t="n"/>
      <c r="H560" s="68" t="n"/>
      <c r="I560" s="69" t="n"/>
      <c r="J560" s="68" t="n"/>
      <c r="K560" s="69" t="n"/>
      <c r="L560" s="68" t="n"/>
      <c r="M560" s="69" t="n"/>
      <c r="N560" s="68" t="n"/>
      <c r="O560" s="69" t="n"/>
      <c r="P560" s="68" t="n"/>
      <c r="Q560" s="69" t="n"/>
      <c r="R560" s="55" t="n"/>
      <c r="S560" s="56" t="n"/>
    </row>
    <row r="561" ht="15.75" customHeight="1" s="297">
      <c r="A561" s="67" t="inlineStr">
        <is>
          <t>JUROS TRIGO</t>
        </is>
      </c>
      <c r="B561" s="68" t="n"/>
      <c r="C561" s="69" t="n"/>
      <c r="D561" s="68" t="n"/>
      <c r="E561" s="69" t="n"/>
      <c r="F561" s="68" t="n"/>
      <c r="G561" s="68" t="n"/>
      <c r="H561" s="68" t="n"/>
      <c r="I561" s="69" t="n"/>
      <c r="J561" s="68" t="n"/>
      <c r="K561" s="69" t="n"/>
      <c r="L561" s="68" t="n"/>
      <c r="M561" s="69" t="n"/>
      <c r="N561" s="68" t="n"/>
      <c r="O561" s="69" t="n"/>
      <c r="P561" s="68" t="n"/>
      <c r="Q561" s="69" t="n"/>
      <c r="R561" s="55" t="n"/>
      <c r="S561" s="56" t="n"/>
    </row>
    <row r="562" ht="15.75" customHeight="1" s="297">
      <c r="A562" s="67" t="inlineStr">
        <is>
          <t>JUROS SOJA</t>
        </is>
      </c>
      <c r="B562" s="68" t="n"/>
      <c r="C562" s="69" t="n"/>
      <c r="D562" s="68" t="n"/>
      <c r="E562" s="69" t="n"/>
      <c r="F562" s="68" t="n"/>
      <c r="G562" s="68" t="n"/>
      <c r="H562" s="68" t="n"/>
      <c r="I562" s="69" t="n"/>
      <c r="J562" s="68" t="n"/>
      <c r="K562" s="69" t="n"/>
      <c r="L562" s="68" t="n"/>
      <c r="M562" s="69" t="n"/>
      <c r="N562" s="68" t="n"/>
      <c r="O562" s="69" t="n"/>
      <c r="P562" s="68" t="n"/>
      <c r="Q562" s="69" t="n"/>
      <c r="R562" s="55" t="n"/>
      <c r="S562" s="56" t="n"/>
    </row>
    <row r="563" ht="15.75" customHeight="1" s="297">
      <c r="A563" s="67" t="inlineStr">
        <is>
          <t>JUROS AVEIA</t>
        </is>
      </c>
      <c r="B563" s="68" t="n"/>
      <c r="C563" s="69" t="n"/>
      <c r="D563" s="68" t="n"/>
      <c r="E563" s="69" t="n"/>
      <c r="F563" s="68" t="n"/>
      <c r="G563" s="68" t="n"/>
      <c r="H563" s="68" t="n"/>
      <c r="I563" s="69" t="n"/>
      <c r="J563" s="68" t="n"/>
      <c r="K563" s="69" t="n"/>
      <c r="L563" s="68" t="n"/>
      <c r="M563" s="69" t="n"/>
      <c r="N563" s="68" t="n"/>
      <c r="O563" s="69" t="n"/>
      <c r="P563" s="68" t="n"/>
      <c r="Q563" s="69" t="n"/>
      <c r="R563" s="55" t="n"/>
      <c r="S563" s="56" t="n"/>
    </row>
    <row r="564" ht="15.75" customHeight="1" s="297">
      <c r="A564" s="67" t="inlineStr">
        <is>
          <t>JUROS</t>
        </is>
      </c>
      <c r="B564" s="68" t="n"/>
      <c r="C564" s="69" t="n"/>
      <c r="D564" s="68" t="n"/>
      <c r="E564" s="69" t="n"/>
      <c r="F564" s="68" t="n"/>
      <c r="G564" s="68" t="n"/>
      <c r="H564" s="68" t="n"/>
      <c r="I564" s="69" t="n"/>
      <c r="J564" s="68" t="n"/>
      <c r="K564" s="69" t="n"/>
      <c r="L564" s="68" t="n"/>
      <c r="M564" s="69" t="n"/>
      <c r="N564" s="68" t="n"/>
      <c r="O564" s="69" t="n"/>
      <c r="P564" s="68" t="n"/>
      <c r="Q564" s="69" t="n"/>
      <c r="R564" s="55" t="n"/>
      <c r="S564" s="56" t="n"/>
    </row>
    <row r="565" ht="15.75" customHeight="1" s="297">
      <c r="A565" s="67" t="inlineStr">
        <is>
          <t>DESPESAS ACESSÓRIAS</t>
        </is>
      </c>
      <c r="B565" s="68" t="n"/>
      <c r="C565" s="69" t="n"/>
      <c r="D565" s="68" t="n"/>
      <c r="E565" s="69" t="n"/>
      <c r="F565" s="68" t="n"/>
      <c r="G565" s="68" t="n"/>
      <c r="H565" s="68" t="n"/>
      <c r="I565" s="69" t="n"/>
      <c r="J565" s="68" t="n"/>
      <c r="K565" s="69" t="n"/>
      <c r="L565" s="68" t="n"/>
      <c r="M565" s="69" t="n"/>
      <c r="N565" s="68" t="n"/>
      <c r="O565" s="69" t="n"/>
      <c r="P565" s="68" t="n"/>
      <c r="Q565" s="69" t="n"/>
      <c r="R565" s="55" t="n"/>
      <c r="S565" s="56" t="n"/>
    </row>
    <row r="566" ht="15.75" customHeight="1" s="297">
      <c r="A566" s="67" t="inlineStr">
        <is>
          <t>TARIFAS EMPRESTIMOS AGRICOLAS</t>
        </is>
      </c>
      <c r="B566" s="68" t="n"/>
      <c r="C566" s="69" t="n"/>
      <c r="D566" s="68" t="n"/>
      <c r="E566" s="69" t="n"/>
      <c r="F566" s="68" t="n"/>
      <c r="G566" s="68" t="n"/>
      <c r="H566" s="68" t="n"/>
      <c r="I566" s="69" t="n"/>
      <c r="J566" s="68" t="n"/>
      <c r="K566" s="69" t="n"/>
      <c r="L566" s="68" t="n"/>
      <c r="M566" s="69" t="n"/>
      <c r="N566" s="68" t="n"/>
      <c r="O566" s="69" t="n"/>
      <c r="P566" s="68" t="n"/>
      <c r="Q566" s="69" t="n"/>
      <c r="R566" s="55" t="n"/>
      <c r="S566" s="56" t="n"/>
    </row>
    <row r="567" ht="15.75" customHeight="1" s="297">
      <c r="A567" s="67" t="inlineStr">
        <is>
          <t>COBRANÇA DE JUROS</t>
        </is>
      </c>
      <c r="B567" s="68" t="n"/>
      <c r="C567" s="69" t="n"/>
      <c r="D567" s="68" t="n"/>
      <c r="E567" s="69" t="n"/>
      <c r="F567" s="68" t="n"/>
      <c r="G567" s="68" t="n"/>
      <c r="H567" s="68" t="n"/>
      <c r="I567" s="69" t="n"/>
      <c r="J567" s="68" t="n"/>
      <c r="K567" s="69" t="n"/>
      <c r="L567" s="68" t="n"/>
      <c r="M567" s="69" t="n"/>
      <c r="N567" s="68" t="n"/>
      <c r="O567" s="69" t="n"/>
      <c r="P567" s="68" t="n"/>
      <c r="Q567" s="69" t="n"/>
      <c r="R567" s="55" t="n"/>
      <c r="S567" s="56" t="n"/>
    </row>
    <row r="568" ht="15.75" customHeight="1" s="297">
      <c r="A568" s="73" t="inlineStr">
        <is>
          <t>(=) LUCRO LÍQUIDO</t>
        </is>
      </c>
      <c r="B568" s="74" t="n"/>
      <c r="C568" s="74" t="n"/>
      <c r="D568" s="74" t="n"/>
      <c r="E568" s="74" t="n"/>
      <c r="F568" s="74" t="n"/>
      <c r="G568" s="74" t="n"/>
      <c r="H568" s="74" t="n"/>
      <c r="I568" s="74" t="n"/>
      <c r="J568" s="74" t="n"/>
      <c r="K568" s="74" t="n"/>
      <c r="L568" s="74" t="n"/>
      <c r="M568" s="74" t="n"/>
      <c r="N568" s="74" t="n"/>
      <c r="O568" s="74" t="n"/>
      <c r="P568" s="74" t="n"/>
      <c r="Q568" s="74" t="n"/>
      <c r="R568" s="55" t="n"/>
      <c r="S568" s="56" t="n"/>
    </row>
    <row r="569" ht="15.75" customHeight="1" s="297">
      <c r="A569" s="76" t="inlineStr">
        <is>
          <t>(%) LUCRO LÍQUIDO</t>
        </is>
      </c>
      <c r="B569" s="77" t="n"/>
      <c r="C569" s="74" t="n"/>
      <c r="D569" s="77" t="n"/>
      <c r="E569" s="74" t="n"/>
      <c r="F569" s="77" t="n"/>
      <c r="G569" s="77" t="n"/>
      <c r="H569" s="77" t="n"/>
      <c r="I569" s="74" t="n"/>
      <c r="J569" s="77" t="n"/>
      <c r="K569" s="74" t="n"/>
      <c r="L569" s="77" t="n"/>
      <c r="M569" s="74" t="n"/>
      <c r="N569" s="77" t="n"/>
      <c r="O569" s="74" t="n"/>
      <c r="P569" s="77" t="n"/>
      <c r="Q569" s="74" t="n"/>
      <c r="R569" s="55" t="n"/>
      <c r="S569" s="56" t="n"/>
    </row>
    <row r="570" ht="15.75" customHeight="1" s="297">
      <c r="A570" s="36" t="n"/>
      <c r="B570" s="78" t="n"/>
      <c r="C570" s="78" t="n"/>
      <c r="D570" s="78" t="n"/>
      <c r="E570" s="78" t="n"/>
      <c r="F570" s="78" t="n"/>
      <c r="G570" s="78" t="n"/>
      <c r="H570" s="78" t="n"/>
      <c r="I570" s="78" t="n"/>
      <c r="J570" s="78" t="n"/>
      <c r="K570" s="78" t="n"/>
      <c r="L570" s="78" t="n"/>
      <c r="M570" s="78" t="n"/>
      <c r="N570" s="78" t="n"/>
      <c r="O570" s="78" t="n"/>
      <c r="P570" s="78" t="n"/>
      <c r="Q570" s="78" t="n"/>
      <c r="R570" s="78" t="n"/>
      <c r="S570" s="78" t="n"/>
    </row>
    <row r="571" ht="15.75" customHeight="1" s="297">
      <c r="A571" s="36" t="n"/>
      <c r="B571" s="78" t="n"/>
      <c r="C571" s="78" t="n"/>
      <c r="D571" s="78" t="n"/>
      <c r="E571" s="78" t="n"/>
      <c r="F571" s="78" t="n"/>
      <c r="G571" s="78" t="n"/>
      <c r="H571" s="78" t="n"/>
      <c r="I571" s="78" t="n"/>
      <c r="J571" s="78" t="n"/>
      <c r="K571" s="78" t="n"/>
      <c r="L571" s="78" t="n"/>
      <c r="M571" s="78" t="n"/>
      <c r="N571" s="78" t="n"/>
      <c r="O571" s="78" t="n"/>
      <c r="P571" s="78" t="n"/>
      <c r="Q571" s="78" t="n"/>
      <c r="R571" s="78" t="n"/>
      <c r="S571" s="78" t="n"/>
    </row>
    <row r="572" ht="15.75" customHeight="1" s="297">
      <c r="A572" s="36" t="n"/>
      <c r="B572" s="78" t="n"/>
      <c r="C572" s="78" t="n"/>
      <c r="D572" s="78" t="n"/>
      <c r="E572" s="78" t="n"/>
      <c r="F572" s="78" t="n"/>
      <c r="G572" s="78" t="n"/>
      <c r="H572" s="78" t="n"/>
      <c r="I572" s="78" t="n"/>
      <c r="J572" s="78" t="n"/>
      <c r="K572" s="78" t="n"/>
      <c r="L572" s="78" t="n"/>
      <c r="M572" s="78" t="n"/>
      <c r="N572" s="78" t="n"/>
      <c r="O572" s="78" t="n"/>
      <c r="P572" s="78" t="n"/>
      <c r="Q572" s="78" t="n"/>
      <c r="R572" s="78" t="n"/>
      <c r="S572" s="78" t="n"/>
    </row>
    <row r="573" ht="15.75" customHeight="1" s="297">
      <c r="A573" s="36" t="n"/>
      <c r="B573" s="78" t="n"/>
      <c r="C573" s="78" t="n"/>
      <c r="D573" s="78" t="n"/>
      <c r="E573" s="78" t="n"/>
      <c r="F573" s="78" t="n"/>
      <c r="G573" s="78" t="n"/>
      <c r="H573" s="78" t="n"/>
      <c r="I573" s="78" t="n"/>
      <c r="J573" s="78" t="n"/>
      <c r="K573" s="78" t="n"/>
      <c r="L573" s="78" t="n"/>
      <c r="M573" s="78" t="n"/>
      <c r="N573" s="78" t="n"/>
      <c r="O573" s="78" t="n"/>
      <c r="P573" s="78" t="n"/>
      <c r="Q573" s="78" t="n"/>
      <c r="R573" s="78" t="n"/>
      <c r="S573" s="78" t="n"/>
    </row>
    <row r="574" ht="15.75" customHeight="1" s="297">
      <c r="A574" s="36" t="n"/>
      <c r="B574" s="78" t="n"/>
      <c r="C574" s="78" t="n"/>
      <c r="D574" s="78" t="n"/>
      <c r="E574" s="78" t="n"/>
      <c r="F574" s="78" t="n"/>
      <c r="G574" s="78" t="n"/>
      <c r="H574" s="78" t="n"/>
      <c r="I574" s="78" t="n"/>
      <c r="J574" s="78" t="n"/>
      <c r="K574" s="78" t="n"/>
      <c r="L574" s="78" t="n"/>
      <c r="M574" s="78" t="n"/>
      <c r="N574" s="78" t="n"/>
      <c r="O574" s="78" t="n"/>
      <c r="P574" s="78" t="n"/>
      <c r="Q574" s="78" t="n"/>
      <c r="R574" s="78" t="n"/>
      <c r="S574" s="78" t="n"/>
    </row>
    <row r="575" ht="15.75" customHeight="1" s="297">
      <c r="A575" s="36" t="n"/>
      <c r="B575" s="78" t="n"/>
      <c r="C575" s="78" t="n"/>
      <c r="D575" s="78" t="n"/>
      <c r="E575" s="78" t="n"/>
      <c r="F575" s="78" t="n"/>
      <c r="G575" s="78" t="n"/>
      <c r="H575" s="78" t="n"/>
      <c r="I575" s="78" t="n"/>
      <c r="J575" s="78" t="n"/>
      <c r="K575" s="78" t="n"/>
      <c r="L575" s="78" t="n"/>
      <c r="M575" s="78" t="n"/>
      <c r="N575" s="78" t="n"/>
      <c r="O575" s="78" t="n"/>
      <c r="P575" s="78" t="n"/>
      <c r="Q575" s="78" t="n"/>
      <c r="R575" s="78" t="n"/>
      <c r="S575" s="78" t="n"/>
    </row>
    <row r="576" ht="15.75" customHeight="1" s="297">
      <c r="A576" s="36" t="n"/>
      <c r="B576" s="78" t="n"/>
      <c r="C576" s="78" t="n"/>
      <c r="D576" s="78" t="n"/>
      <c r="E576" s="78" t="n"/>
      <c r="F576" s="78" t="n"/>
      <c r="G576" s="78" t="n"/>
      <c r="H576" s="78" t="n"/>
      <c r="I576" s="78" t="n"/>
      <c r="J576" s="78" t="n"/>
      <c r="K576" s="78" t="n"/>
      <c r="L576" s="78" t="n"/>
      <c r="M576" s="78" t="n"/>
      <c r="N576" s="78" t="n"/>
      <c r="O576" s="78" t="n"/>
      <c r="P576" s="78" t="n"/>
      <c r="Q576" s="78" t="n"/>
      <c r="R576" s="78" t="n"/>
      <c r="S576" s="78" t="n"/>
    </row>
    <row r="577" ht="15.75" customHeight="1" s="297">
      <c r="A577" s="36" t="n"/>
      <c r="B577" s="78" t="n"/>
      <c r="C577" s="78" t="n"/>
      <c r="D577" s="78" t="n"/>
      <c r="E577" s="78" t="n"/>
      <c r="F577" s="78" t="n"/>
      <c r="G577" s="78" t="n"/>
      <c r="H577" s="78" t="n"/>
      <c r="I577" s="78" t="n"/>
      <c r="J577" s="78" t="n"/>
      <c r="K577" s="78" t="n"/>
      <c r="L577" s="78" t="n"/>
      <c r="M577" s="78" t="n"/>
      <c r="N577" s="78" t="n"/>
      <c r="O577" s="78" t="n"/>
      <c r="P577" s="78" t="n"/>
      <c r="Q577" s="78" t="n"/>
      <c r="R577" s="78" t="n"/>
      <c r="S577" s="78" t="n"/>
    </row>
    <row r="578" ht="15.75" customHeight="1" s="297">
      <c r="A578" s="36" t="n"/>
      <c r="B578" s="78" t="n"/>
      <c r="C578" s="78" t="n"/>
      <c r="D578" s="78" t="n"/>
      <c r="E578" s="78" t="n"/>
      <c r="F578" s="78" t="n"/>
      <c r="G578" s="78" t="n"/>
      <c r="H578" s="78" t="n"/>
      <c r="I578" s="78" t="n"/>
      <c r="J578" s="78" t="n"/>
      <c r="K578" s="78" t="n"/>
      <c r="L578" s="78" t="n"/>
      <c r="M578" s="78" t="n"/>
      <c r="N578" s="78" t="n"/>
      <c r="O578" s="78" t="n"/>
      <c r="P578" s="78" t="n"/>
      <c r="Q578" s="78" t="n"/>
      <c r="R578" s="78" t="n"/>
      <c r="S578" s="78" t="n"/>
    </row>
    <row r="579" ht="15.75" customHeight="1" s="297">
      <c r="A579" s="36" t="n"/>
      <c r="B579" s="78" t="n"/>
      <c r="C579" s="78" t="n"/>
      <c r="D579" s="78" t="n"/>
      <c r="E579" s="78" t="n"/>
      <c r="F579" s="78" t="n"/>
      <c r="G579" s="78" t="n"/>
      <c r="H579" s="78" t="n"/>
      <c r="I579" s="78" t="n"/>
      <c r="J579" s="78" t="n"/>
      <c r="K579" s="78" t="n"/>
      <c r="L579" s="78" t="n"/>
      <c r="M579" s="78" t="n"/>
      <c r="N579" s="78" t="n"/>
      <c r="O579" s="78" t="n"/>
      <c r="P579" s="78" t="n"/>
      <c r="Q579" s="78" t="n"/>
      <c r="R579" s="78" t="n"/>
      <c r="S579" s="78" t="n"/>
    </row>
    <row r="580" ht="15.75" customHeight="1" s="297">
      <c r="A580" s="36" t="n"/>
      <c r="B580" s="78" t="n"/>
      <c r="C580" s="78" t="n"/>
      <c r="D580" s="78" t="n"/>
      <c r="E580" s="78" t="n"/>
      <c r="F580" s="78" t="n"/>
      <c r="G580" s="78" t="n"/>
      <c r="H580" s="78" t="n"/>
      <c r="I580" s="78" t="n"/>
      <c r="J580" s="78" t="n"/>
      <c r="K580" s="78" t="n"/>
      <c r="L580" s="78" t="n"/>
      <c r="M580" s="78" t="n"/>
      <c r="N580" s="78" t="n"/>
      <c r="O580" s="78" t="n"/>
      <c r="P580" s="78" t="n"/>
      <c r="Q580" s="78" t="n"/>
      <c r="R580" s="78" t="n"/>
      <c r="S580" s="78" t="n"/>
    </row>
    <row r="581" ht="15.75" customHeight="1" s="297">
      <c r="A581" s="36" t="n"/>
      <c r="B581" s="78" t="n"/>
      <c r="C581" s="78" t="n"/>
      <c r="D581" s="78" t="n"/>
      <c r="E581" s="78" t="n"/>
      <c r="F581" s="78" t="n"/>
      <c r="G581" s="78" t="n"/>
      <c r="H581" s="78" t="n"/>
      <c r="I581" s="78" t="n"/>
      <c r="J581" s="78" t="n"/>
      <c r="K581" s="78" t="n"/>
      <c r="L581" s="78" t="n"/>
      <c r="M581" s="78" t="n"/>
      <c r="N581" s="78" t="n"/>
      <c r="O581" s="78" t="n"/>
      <c r="P581" s="78" t="n"/>
      <c r="Q581" s="78" t="n"/>
      <c r="R581" s="78" t="n"/>
      <c r="S581" s="78" t="n"/>
    </row>
    <row r="582" ht="15.75" customHeight="1" s="297">
      <c r="A582" s="36" t="n"/>
      <c r="B582" s="78" t="n"/>
      <c r="C582" s="78" t="n"/>
      <c r="D582" s="78" t="n"/>
      <c r="E582" s="78" t="n"/>
      <c r="F582" s="78" t="n"/>
      <c r="G582" s="78" t="n"/>
      <c r="H582" s="78" t="n"/>
      <c r="I582" s="78" t="n"/>
      <c r="J582" s="78" t="n"/>
      <c r="K582" s="78" t="n"/>
      <c r="L582" s="78" t="n"/>
      <c r="M582" s="78" t="n"/>
      <c r="N582" s="78" t="n"/>
      <c r="O582" s="78" t="n"/>
      <c r="P582" s="78" t="n"/>
      <c r="Q582" s="78" t="n"/>
      <c r="R582" s="78" t="n"/>
      <c r="S582" s="78" t="n"/>
    </row>
    <row r="583" ht="15.75" customHeight="1" s="297">
      <c r="A583" s="36" t="n"/>
      <c r="B583" s="78" t="n"/>
      <c r="C583" s="78" t="n"/>
      <c r="D583" s="78" t="n"/>
      <c r="E583" s="78" t="n"/>
      <c r="F583" s="78" t="n"/>
      <c r="G583" s="78" t="n"/>
      <c r="H583" s="78" t="n"/>
      <c r="I583" s="78" t="n"/>
      <c r="J583" s="78" t="n"/>
      <c r="K583" s="78" t="n"/>
      <c r="L583" s="78" t="n"/>
      <c r="M583" s="78" t="n"/>
      <c r="N583" s="78" t="n"/>
      <c r="O583" s="78" t="n"/>
      <c r="P583" s="78" t="n"/>
      <c r="Q583" s="78" t="n"/>
      <c r="R583" s="78" t="n"/>
      <c r="S583" s="78" t="n"/>
    </row>
    <row r="584" ht="15.75" customHeight="1" s="297">
      <c r="A584" s="36" t="n"/>
      <c r="B584" s="78" t="n"/>
      <c r="C584" s="78" t="n"/>
      <c r="D584" s="78" t="n"/>
      <c r="E584" s="78" t="n"/>
      <c r="F584" s="78" t="n"/>
      <c r="G584" s="78" t="n"/>
      <c r="H584" s="78" t="n"/>
      <c r="I584" s="78" t="n"/>
      <c r="J584" s="78" t="n"/>
      <c r="K584" s="78" t="n"/>
      <c r="L584" s="78" t="n"/>
      <c r="M584" s="78" t="n"/>
      <c r="N584" s="78" t="n"/>
      <c r="O584" s="78" t="n"/>
      <c r="P584" s="78" t="n"/>
      <c r="Q584" s="78" t="n"/>
      <c r="R584" s="78" t="n"/>
      <c r="S584" s="78" t="n"/>
    </row>
    <row r="585" ht="15.75" customHeight="1" s="297">
      <c r="A585" s="36" t="n"/>
      <c r="B585" s="78" t="n"/>
      <c r="C585" s="78" t="n"/>
      <c r="D585" s="78" t="n"/>
      <c r="E585" s="78" t="n"/>
      <c r="F585" s="78" t="n"/>
      <c r="G585" s="78" t="n"/>
      <c r="H585" s="78" t="n"/>
      <c r="I585" s="78" t="n"/>
      <c r="J585" s="78" t="n"/>
      <c r="K585" s="78" t="n"/>
      <c r="L585" s="78" t="n"/>
      <c r="M585" s="78" t="n"/>
      <c r="N585" s="78" t="n"/>
      <c r="O585" s="78" t="n"/>
      <c r="P585" s="78" t="n"/>
      <c r="Q585" s="78" t="n"/>
      <c r="R585" s="78" t="n"/>
      <c r="S585" s="78" t="n"/>
    </row>
    <row r="586" ht="15.75" customHeight="1" s="297">
      <c r="A586" s="36" t="n"/>
      <c r="B586" s="78" t="n"/>
      <c r="C586" s="78" t="n"/>
      <c r="D586" s="78" t="n"/>
      <c r="E586" s="78" t="n"/>
      <c r="F586" s="78" t="n"/>
      <c r="G586" s="78" t="n"/>
      <c r="H586" s="78" t="n"/>
      <c r="I586" s="78" t="n"/>
      <c r="J586" s="78" t="n"/>
      <c r="K586" s="78" t="n"/>
      <c r="L586" s="78" t="n"/>
      <c r="M586" s="78" t="n"/>
      <c r="N586" s="78" t="n"/>
      <c r="O586" s="78" t="n"/>
      <c r="P586" s="78" t="n"/>
      <c r="Q586" s="78" t="n"/>
      <c r="R586" s="78" t="n"/>
      <c r="S586" s="78" t="n"/>
    </row>
    <row r="587" ht="15.75" customHeight="1" s="297">
      <c r="A587" s="36" t="n"/>
      <c r="B587" s="78" t="n"/>
      <c r="C587" s="78" t="n"/>
      <c r="D587" s="78" t="n"/>
      <c r="E587" s="78" t="n"/>
      <c r="F587" s="78" t="n"/>
      <c r="G587" s="78" t="n"/>
      <c r="H587" s="78" t="n"/>
      <c r="I587" s="78" t="n"/>
      <c r="J587" s="78" t="n"/>
      <c r="K587" s="78" t="n"/>
      <c r="L587" s="78" t="n"/>
      <c r="M587" s="78" t="n"/>
      <c r="N587" s="78" t="n"/>
      <c r="O587" s="78" t="n"/>
      <c r="P587" s="78" t="n"/>
      <c r="Q587" s="78" t="n"/>
      <c r="R587" s="78" t="n"/>
      <c r="S587" s="78" t="n"/>
    </row>
    <row r="588" ht="15.75" customHeight="1" s="297">
      <c r="A588" s="36" t="n"/>
      <c r="B588" s="78" t="n"/>
      <c r="C588" s="78" t="n"/>
      <c r="D588" s="78" t="n"/>
      <c r="E588" s="78" t="n"/>
      <c r="F588" s="78" t="n"/>
      <c r="G588" s="78" t="n"/>
      <c r="H588" s="78" t="n"/>
      <c r="I588" s="78" t="n"/>
      <c r="J588" s="78" t="n"/>
      <c r="K588" s="78" t="n"/>
      <c r="L588" s="78" t="n"/>
      <c r="M588" s="78" t="n"/>
      <c r="N588" s="78" t="n"/>
      <c r="O588" s="78" t="n"/>
      <c r="P588" s="78" t="n"/>
      <c r="Q588" s="78" t="n"/>
      <c r="R588" s="78" t="n"/>
      <c r="S588" s="78" t="n"/>
    </row>
    <row r="589" ht="15.75" customHeight="1" s="297">
      <c r="A589" s="36" t="n"/>
      <c r="B589" s="78" t="n"/>
      <c r="C589" s="78" t="n"/>
      <c r="D589" s="78" t="n"/>
      <c r="E589" s="78" t="n"/>
      <c r="F589" s="78" t="n"/>
      <c r="G589" s="78" t="n"/>
      <c r="H589" s="78" t="n"/>
      <c r="I589" s="78" t="n"/>
      <c r="J589" s="78" t="n"/>
      <c r="K589" s="78" t="n"/>
      <c r="L589" s="78" t="n"/>
      <c r="M589" s="78" t="n"/>
      <c r="N589" s="78" t="n"/>
      <c r="O589" s="78" t="n"/>
      <c r="P589" s="78" t="n"/>
      <c r="Q589" s="78" t="n"/>
      <c r="R589" s="78" t="n"/>
      <c r="S589" s="78" t="n"/>
    </row>
    <row r="590" ht="15.75" customHeight="1" s="297">
      <c r="A590" s="36" t="n"/>
      <c r="B590" s="78" t="n"/>
      <c r="C590" s="78" t="n"/>
      <c r="D590" s="78" t="n"/>
      <c r="E590" s="78" t="n"/>
      <c r="F590" s="78" t="n"/>
      <c r="G590" s="78" t="n"/>
      <c r="H590" s="78" t="n"/>
      <c r="I590" s="78" t="n"/>
      <c r="J590" s="78" t="n"/>
      <c r="K590" s="78" t="n"/>
      <c r="L590" s="78" t="n"/>
      <c r="M590" s="78" t="n"/>
      <c r="N590" s="78" t="n"/>
      <c r="O590" s="78" t="n"/>
      <c r="P590" s="78" t="n"/>
      <c r="Q590" s="78" t="n"/>
      <c r="R590" s="78" t="n"/>
      <c r="S590" s="78" t="n"/>
    </row>
    <row r="591" ht="15.75" customHeight="1" s="297">
      <c r="A591" s="36" t="n"/>
      <c r="B591" s="78" t="n"/>
      <c r="C591" s="78" t="n"/>
      <c r="D591" s="78" t="n"/>
      <c r="E591" s="78" t="n"/>
      <c r="F591" s="78" t="n"/>
      <c r="G591" s="78" t="n"/>
      <c r="H591" s="78" t="n"/>
      <c r="I591" s="78" t="n"/>
      <c r="J591" s="78" t="n"/>
      <c r="K591" s="78" t="n"/>
      <c r="L591" s="78" t="n"/>
      <c r="M591" s="78" t="n"/>
      <c r="N591" s="78" t="n"/>
      <c r="O591" s="78" t="n"/>
      <c r="P591" s="78" t="n"/>
      <c r="Q591" s="78" t="n"/>
      <c r="R591" s="78" t="n"/>
      <c r="S591" s="78" t="n"/>
    </row>
    <row r="592" ht="15.75" customHeight="1" s="297">
      <c r="A592" s="36" t="n"/>
      <c r="B592" s="78" t="n"/>
      <c r="C592" s="78" t="n"/>
      <c r="D592" s="78" t="n"/>
      <c r="E592" s="78" t="n"/>
      <c r="F592" s="78" t="n"/>
      <c r="G592" s="78" t="n"/>
      <c r="H592" s="78" t="n"/>
      <c r="I592" s="78" t="n"/>
      <c r="J592" s="78" t="n"/>
      <c r="K592" s="78" t="n"/>
      <c r="L592" s="78" t="n"/>
      <c r="M592" s="78" t="n"/>
      <c r="N592" s="78" t="n"/>
      <c r="O592" s="78" t="n"/>
      <c r="P592" s="78" t="n"/>
      <c r="Q592" s="78" t="n"/>
      <c r="R592" s="78" t="n"/>
      <c r="S592" s="78" t="n"/>
    </row>
    <row r="593" ht="15.75" customHeight="1" s="297">
      <c r="A593" s="36" t="n"/>
      <c r="B593" s="78" t="n"/>
      <c r="C593" s="78" t="n"/>
      <c r="D593" s="78" t="n"/>
      <c r="E593" s="78" t="n"/>
      <c r="F593" s="78" t="n"/>
      <c r="G593" s="78" t="n"/>
      <c r="H593" s="78" t="n"/>
      <c r="I593" s="78" t="n"/>
      <c r="J593" s="78" t="n"/>
      <c r="K593" s="78" t="n"/>
      <c r="L593" s="78" t="n"/>
      <c r="M593" s="78" t="n"/>
      <c r="N593" s="78" t="n"/>
      <c r="O593" s="78" t="n"/>
      <c r="P593" s="78" t="n"/>
      <c r="Q593" s="78" t="n"/>
      <c r="R593" s="78" t="n"/>
      <c r="S593" s="78" t="n"/>
    </row>
    <row r="594" ht="15.75" customHeight="1" s="297">
      <c r="A594" s="36" t="n"/>
      <c r="B594" s="78" t="n"/>
      <c r="C594" s="78" t="n"/>
      <c r="D594" s="78" t="n"/>
      <c r="E594" s="78" t="n"/>
      <c r="F594" s="78" t="n"/>
      <c r="G594" s="78" t="n"/>
      <c r="H594" s="78" t="n"/>
      <c r="I594" s="78" t="n"/>
      <c r="J594" s="78" t="n"/>
      <c r="K594" s="78" t="n"/>
      <c r="L594" s="78" t="n"/>
      <c r="M594" s="78" t="n"/>
      <c r="N594" s="78" t="n"/>
      <c r="O594" s="78" t="n"/>
      <c r="P594" s="78" t="n"/>
      <c r="Q594" s="78" t="n"/>
      <c r="R594" s="78" t="n"/>
      <c r="S594" s="78" t="n"/>
    </row>
    <row r="595" ht="15.75" customHeight="1" s="297">
      <c r="A595" s="36" t="n"/>
      <c r="B595" s="78" t="n"/>
      <c r="C595" s="78" t="n"/>
      <c r="D595" s="78" t="n"/>
      <c r="E595" s="78" t="n"/>
      <c r="F595" s="78" t="n"/>
      <c r="G595" s="78" t="n"/>
      <c r="H595" s="78" t="n"/>
      <c r="I595" s="78" t="n"/>
      <c r="J595" s="78" t="n"/>
      <c r="K595" s="78" t="n"/>
      <c r="L595" s="78" t="n"/>
      <c r="M595" s="78" t="n"/>
      <c r="N595" s="78" t="n"/>
      <c r="O595" s="78" t="n"/>
      <c r="P595" s="78" t="n"/>
      <c r="Q595" s="78" t="n"/>
      <c r="R595" s="78" t="n"/>
      <c r="S595" s="78" t="n"/>
    </row>
    <row r="596" ht="15.75" customHeight="1" s="297">
      <c r="A596" s="36" t="n"/>
      <c r="B596" s="78" t="n"/>
      <c r="C596" s="78" t="n"/>
      <c r="D596" s="78" t="n"/>
      <c r="E596" s="78" t="n"/>
      <c r="F596" s="78" t="n"/>
      <c r="G596" s="78" t="n"/>
      <c r="H596" s="78" t="n"/>
      <c r="I596" s="78" t="n"/>
      <c r="J596" s="78" t="n"/>
      <c r="K596" s="78" t="n"/>
      <c r="L596" s="78" t="n"/>
      <c r="M596" s="78" t="n"/>
      <c r="N596" s="78" t="n"/>
      <c r="O596" s="78" t="n"/>
      <c r="P596" s="78" t="n"/>
      <c r="Q596" s="78" t="n"/>
      <c r="R596" s="78" t="n"/>
      <c r="S596" s="78" t="n"/>
    </row>
    <row r="597" ht="15.75" customHeight="1" s="297">
      <c r="A597" s="36" t="n"/>
      <c r="B597" s="78" t="n"/>
      <c r="C597" s="78" t="n"/>
      <c r="D597" s="78" t="n"/>
      <c r="E597" s="78" t="n"/>
      <c r="F597" s="78" t="n"/>
      <c r="G597" s="78" t="n"/>
      <c r="H597" s="78" t="n"/>
      <c r="I597" s="78" t="n"/>
      <c r="J597" s="78" t="n"/>
      <c r="K597" s="78" t="n"/>
      <c r="L597" s="78" t="n"/>
      <c r="M597" s="78" t="n"/>
      <c r="N597" s="78" t="n"/>
      <c r="O597" s="78" t="n"/>
      <c r="P597" s="78" t="n"/>
      <c r="Q597" s="78" t="n"/>
      <c r="R597" s="78" t="n"/>
      <c r="S597" s="78" t="n"/>
    </row>
    <row r="598" ht="15.75" customHeight="1" s="297">
      <c r="A598" s="36" t="n"/>
      <c r="B598" s="78" t="n"/>
      <c r="C598" s="78" t="n"/>
      <c r="D598" s="78" t="n"/>
      <c r="E598" s="78" t="n"/>
      <c r="F598" s="78" t="n"/>
      <c r="G598" s="78" t="n"/>
      <c r="H598" s="78" t="n"/>
      <c r="I598" s="78" t="n"/>
      <c r="J598" s="78" t="n"/>
      <c r="K598" s="78" t="n"/>
      <c r="L598" s="78" t="n"/>
      <c r="M598" s="78" t="n"/>
      <c r="N598" s="78" t="n"/>
      <c r="O598" s="78" t="n"/>
      <c r="P598" s="78" t="n"/>
      <c r="Q598" s="78" t="n"/>
      <c r="R598" s="78" t="n"/>
      <c r="S598" s="78" t="n"/>
    </row>
    <row r="599" ht="15.75" customHeight="1" s="297">
      <c r="A599" s="36" t="n"/>
      <c r="B599" s="78" t="n"/>
      <c r="C599" s="78" t="n"/>
      <c r="D599" s="78" t="n"/>
      <c r="E599" s="78" t="n"/>
      <c r="F599" s="78" t="n"/>
      <c r="G599" s="78" t="n"/>
      <c r="H599" s="78" t="n"/>
      <c r="I599" s="78" t="n"/>
      <c r="J599" s="78" t="n"/>
      <c r="K599" s="78" t="n"/>
      <c r="L599" s="78" t="n"/>
      <c r="M599" s="78" t="n"/>
      <c r="N599" s="78" t="n"/>
      <c r="O599" s="78" t="n"/>
      <c r="P599" s="78" t="n"/>
      <c r="Q599" s="78" t="n"/>
      <c r="R599" s="78" t="n"/>
      <c r="S599" s="78" t="n"/>
    </row>
    <row r="600" ht="15.75" customHeight="1" s="297">
      <c r="A600" s="36" t="n"/>
      <c r="B600" s="78" t="n"/>
      <c r="C600" s="78" t="n"/>
      <c r="D600" s="78" t="n"/>
      <c r="E600" s="78" t="n"/>
      <c r="F600" s="78" t="n"/>
      <c r="G600" s="78" t="n"/>
      <c r="H600" s="78" t="n"/>
      <c r="I600" s="78" t="n"/>
      <c r="J600" s="78" t="n"/>
      <c r="K600" s="78" t="n"/>
      <c r="L600" s="78" t="n"/>
      <c r="M600" s="78" t="n"/>
      <c r="N600" s="78" t="n"/>
      <c r="O600" s="78" t="n"/>
      <c r="P600" s="78" t="n"/>
      <c r="Q600" s="78" t="n"/>
      <c r="R600" s="78" t="n"/>
      <c r="S600" s="78" t="n"/>
    </row>
    <row r="601" ht="15.75" customHeight="1" s="297">
      <c r="A601" s="36" t="n"/>
      <c r="B601" s="78" t="n"/>
      <c r="C601" s="78" t="n"/>
      <c r="D601" s="78" t="n"/>
      <c r="E601" s="78" t="n"/>
      <c r="F601" s="78" t="n"/>
      <c r="G601" s="78" t="n"/>
      <c r="H601" s="78" t="n"/>
      <c r="I601" s="78" t="n"/>
      <c r="J601" s="78" t="n"/>
      <c r="K601" s="78" t="n"/>
      <c r="L601" s="78" t="n"/>
      <c r="M601" s="78" t="n"/>
      <c r="N601" s="78" t="n"/>
      <c r="O601" s="78" t="n"/>
      <c r="P601" s="78" t="n"/>
      <c r="Q601" s="78" t="n"/>
      <c r="R601" s="78" t="n"/>
      <c r="S601" s="78" t="n"/>
    </row>
    <row r="602" ht="15.75" customHeight="1" s="297">
      <c r="A602" s="36" t="n"/>
      <c r="B602" s="78" t="n"/>
      <c r="C602" s="78" t="n"/>
      <c r="D602" s="78" t="n"/>
      <c r="E602" s="78" t="n"/>
      <c r="F602" s="78" t="n"/>
      <c r="G602" s="78" t="n"/>
      <c r="H602" s="78" t="n"/>
      <c r="I602" s="78" t="n"/>
      <c r="J602" s="78" t="n"/>
      <c r="K602" s="78" t="n"/>
      <c r="L602" s="78" t="n"/>
      <c r="M602" s="78" t="n"/>
      <c r="N602" s="78" t="n"/>
      <c r="O602" s="78" t="n"/>
      <c r="P602" s="78" t="n"/>
      <c r="Q602" s="78" t="n"/>
      <c r="R602" s="78" t="n"/>
      <c r="S602" s="78" t="n"/>
    </row>
    <row r="603" ht="15.75" customHeight="1" s="297">
      <c r="A603" s="36" t="n"/>
      <c r="B603" s="78" t="n"/>
      <c r="C603" s="78" t="n"/>
      <c r="D603" s="78" t="n"/>
      <c r="E603" s="78" t="n"/>
      <c r="F603" s="78" t="n"/>
      <c r="G603" s="78" t="n"/>
      <c r="H603" s="78" t="n"/>
      <c r="I603" s="78" t="n"/>
      <c r="J603" s="78" t="n"/>
      <c r="K603" s="78" t="n"/>
      <c r="L603" s="78" t="n"/>
      <c r="M603" s="78" t="n"/>
      <c r="N603" s="78" t="n"/>
      <c r="O603" s="78" t="n"/>
      <c r="P603" s="78" t="n"/>
      <c r="Q603" s="78" t="n"/>
      <c r="R603" s="78" t="n"/>
      <c r="S603" s="78" t="n"/>
    </row>
    <row r="604" ht="15.75" customHeight="1" s="297">
      <c r="A604" s="36" t="n"/>
      <c r="B604" s="78" t="n"/>
      <c r="C604" s="78" t="n"/>
      <c r="D604" s="78" t="n"/>
      <c r="E604" s="78" t="n"/>
      <c r="F604" s="78" t="n"/>
      <c r="G604" s="78" t="n"/>
      <c r="H604" s="78" t="n"/>
      <c r="I604" s="78" t="n"/>
      <c r="J604" s="78" t="n"/>
      <c r="K604" s="78" t="n"/>
      <c r="L604" s="78" t="n"/>
      <c r="M604" s="78" t="n"/>
      <c r="N604" s="78" t="n"/>
      <c r="O604" s="78" t="n"/>
      <c r="P604" s="78" t="n"/>
      <c r="Q604" s="78" t="n"/>
      <c r="R604" s="78" t="n"/>
      <c r="S604" s="78" t="n"/>
    </row>
    <row r="605" ht="15.75" customHeight="1" s="297">
      <c r="A605" s="36" t="n"/>
      <c r="B605" s="78" t="n"/>
      <c r="C605" s="78" t="n"/>
      <c r="D605" s="78" t="n"/>
      <c r="E605" s="78" t="n"/>
      <c r="F605" s="78" t="n"/>
      <c r="G605" s="78" t="n"/>
      <c r="H605" s="78" t="n"/>
      <c r="I605" s="78" t="n"/>
      <c r="J605" s="78" t="n"/>
      <c r="K605" s="78" t="n"/>
      <c r="L605" s="78" t="n"/>
      <c r="M605" s="78" t="n"/>
      <c r="N605" s="78" t="n"/>
      <c r="O605" s="78" t="n"/>
      <c r="P605" s="78" t="n"/>
      <c r="Q605" s="78" t="n"/>
      <c r="R605" s="78" t="n"/>
      <c r="S605" s="78" t="n"/>
    </row>
    <row r="606" ht="15.75" customHeight="1" s="297">
      <c r="A606" s="36" t="n"/>
      <c r="B606" s="78" t="n"/>
      <c r="C606" s="78" t="n"/>
      <c r="D606" s="78" t="n"/>
      <c r="E606" s="78" t="n"/>
      <c r="F606" s="78" t="n"/>
      <c r="G606" s="78" t="n"/>
      <c r="H606" s="78" t="n"/>
      <c r="I606" s="78" t="n"/>
      <c r="J606" s="78" t="n"/>
      <c r="K606" s="78" t="n"/>
      <c r="L606" s="78" t="n"/>
      <c r="M606" s="78" t="n"/>
      <c r="N606" s="78" t="n"/>
      <c r="O606" s="78" t="n"/>
      <c r="P606" s="78" t="n"/>
      <c r="Q606" s="78" t="n"/>
      <c r="R606" s="78" t="n"/>
      <c r="S606" s="78" t="n"/>
    </row>
    <row r="607" ht="15.75" customHeight="1" s="297">
      <c r="A607" s="36" t="n"/>
      <c r="B607" s="78" t="n"/>
      <c r="C607" s="78" t="n"/>
      <c r="D607" s="78" t="n"/>
      <c r="E607" s="78" t="n"/>
      <c r="F607" s="78" t="n"/>
      <c r="G607" s="78" t="n"/>
      <c r="H607" s="78" t="n"/>
      <c r="I607" s="78" t="n"/>
      <c r="J607" s="78" t="n"/>
      <c r="K607" s="78" t="n"/>
      <c r="L607" s="78" t="n"/>
      <c r="M607" s="78" t="n"/>
      <c r="N607" s="78" t="n"/>
      <c r="O607" s="78" t="n"/>
      <c r="P607" s="78" t="n"/>
      <c r="Q607" s="78" t="n"/>
      <c r="R607" s="78" t="n"/>
      <c r="S607" s="78" t="n"/>
    </row>
    <row r="608" ht="15.75" customHeight="1" s="297">
      <c r="A608" s="36" t="n"/>
      <c r="B608" s="78" t="n"/>
      <c r="C608" s="78" t="n"/>
      <c r="D608" s="78" t="n"/>
      <c r="E608" s="78" t="n"/>
      <c r="F608" s="78" t="n"/>
      <c r="G608" s="78" t="n"/>
      <c r="H608" s="78" t="n"/>
      <c r="I608" s="78" t="n"/>
      <c r="J608" s="78" t="n"/>
      <c r="K608" s="78" t="n"/>
      <c r="L608" s="78" t="n"/>
      <c r="M608" s="78" t="n"/>
      <c r="N608" s="78" t="n"/>
      <c r="O608" s="78" t="n"/>
      <c r="P608" s="78" t="n"/>
      <c r="Q608" s="78" t="n"/>
      <c r="R608" s="78" t="n"/>
      <c r="S608" s="78" t="n"/>
    </row>
    <row r="609" ht="15.75" customHeight="1" s="297">
      <c r="A609" s="36" t="n"/>
      <c r="B609" s="78" t="n"/>
      <c r="C609" s="78" t="n"/>
      <c r="D609" s="78" t="n"/>
      <c r="E609" s="78" t="n"/>
      <c r="F609" s="78" t="n"/>
      <c r="G609" s="78" t="n"/>
      <c r="H609" s="78" t="n"/>
      <c r="I609" s="78" t="n"/>
      <c r="J609" s="78" t="n"/>
      <c r="K609" s="78" t="n"/>
      <c r="L609" s="78" t="n"/>
      <c r="M609" s="78" t="n"/>
      <c r="N609" s="78" t="n"/>
      <c r="O609" s="78" t="n"/>
      <c r="P609" s="78" t="n"/>
      <c r="Q609" s="78" t="n"/>
      <c r="R609" s="78" t="n"/>
      <c r="S609" s="78" t="n"/>
    </row>
    <row r="610" ht="15.75" customHeight="1" s="297">
      <c r="A610" s="36" t="n"/>
      <c r="B610" s="78" t="n"/>
      <c r="C610" s="78" t="n"/>
      <c r="D610" s="78" t="n"/>
      <c r="E610" s="78" t="n"/>
      <c r="F610" s="78" t="n"/>
      <c r="G610" s="78" t="n"/>
      <c r="H610" s="78" t="n"/>
      <c r="I610" s="78" t="n"/>
      <c r="J610" s="78" t="n"/>
      <c r="K610" s="78" t="n"/>
      <c r="L610" s="78" t="n"/>
      <c r="M610" s="78" t="n"/>
      <c r="N610" s="78" t="n"/>
      <c r="O610" s="78" t="n"/>
      <c r="P610" s="78" t="n"/>
      <c r="Q610" s="78" t="n"/>
      <c r="R610" s="78" t="n"/>
      <c r="S610" s="78" t="n"/>
    </row>
    <row r="611" ht="15.75" customHeight="1" s="297">
      <c r="A611" s="36" t="n"/>
      <c r="B611" s="78" t="n"/>
      <c r="C611" s="78" t="n"/>
      <c r="D611" s="78" t="n"/>
      <c r="E611" s="78" t="n"/>
      <c r="F611" s="78" t="n"/>
      <c r="G611" s="78" t="n"/>
      <c r="H611" s="78" t="n"/>
      <c r="I611" s="78" t="n"/>
      <c r="J611" s="78" t="n"/>
      <c r="K611" s="78" t="n"/>
      <c r="L611" s="78" t="n"/>
      <c r="M611" s="78" t="n"/>
      <c r="N611" s="78" t="n"/>
      <c r="O611" s="78" t="n"/>
      <c r="P611" s="78" t="n"/>
      <c r="Q611" s="78" t="n"/>
      <c r="R611" s="78" t="n"/>
      <c r="S611" s="78" t="n"/>
    </row>
    <row r="612" ht="15.75" customHeight="1" s="297">
      <c r="A612" s="36" t="n"/>
      <c r="B612" s="78" t="n"/>
      <c r="C612" s="78" t="n"/>
      <c r="D612" s="78" t="n"/>
      <c r="E612" s="78" t="n"/>
      <c r="F612" s="78" t="n"/>
      <c r="G612" s="78" t="n"/>
      <c r="H612" s="78" t="n"/>
      <c r="I612" s="78" t="n"/>
      <c r="J612" s="78" t="n"/>
      <c r="K612" s="78" t="n"/>
      <c r="L612" s="78" t="n"/>
      <c r="M612" s="78" t="n"/>
      <c r="N612" s="78" t="n"/>
      <c r="O612" s="78" t="n"/>
      <c r="P612" s="78" t="n"/>
      <c r="Q612" s="78" t="n"/>
      <c r="R612" s="78" t="n"/>
      <c r="S612" s="78" t="n"/>
    </row>
    <row r="613" ht="15.75" customHeight="1" s="297">
      <c r="A613" s="36" t="n"/>
      <c r="B613" s="78" t="n"/>
      <c r="C613" s="78" t="n"/>
      <c r="D613" s="78" t="n"/>
      <c r="E613" s="78" t="n"/>
      <c r="F613" s="78" t="n"/>
      <c r="G613" s="78" t="n"/>
      <c r="H613" s="78" t="n"/>
      <c r="I613" s="78" t="n"/>
      <c r="J613" s="78" t="n"/>
      <c r="K613" s="78" t="n"/>
      <c r="L613" s="78" t="n"/>
      <c r="M613" s="78" t="n"/>
      <c r="N613" s="78" t="n"/>
      <c r="O613" s="78" t="n"/>
      <c r="P613" s="78" t="n"/>
      <c r="Q613" s="78" t="n"/>
      <c r="R613" s="78" t="n"/>
      <c r="S613" s="78" t="n"/>
    </row>
    <row r="614" ht="15.75" customHeight="1" s="297">
      <c r="A614" s="36" t="n"/>
      <c r="B614" s="78" t="n"/>
      <c r="C614" s="78" t="n"/>
      <c r="D614" s="78" t="n"/>
      <c r="E614" s="78" t="n"/>
      <c r="F614" s="78" t="n"/>
      <c r="G614" s="78" t="n"/>
      <c r="H614" s="78" t="n"/>
      <c r="I614" s="78" t="n"/>
      <c r="J614" s="78" t="n"/>
      <c r="K614" s="78" t="n"/>
      <c r="L614" s="78" t="n"/>
      <c r="M614" s="78" t="n"/>
      <c r="N614" s="78" t="n"/>
      <c r="O614" s="78" t="n"/>
      <c r="P614" s="78" t="n"/>
      <c r="Q614" s="78" t="n"/>
      <c r="R614" s="78" t="n"/>
      <c r="S614" s="78" t="n"/>
    </row>
    <row r="615" ht="15.75" customHeight="1" s="297">
      <c r="A615" s="36" t="n"/>
      <c r="B615" s="78" t="n"/>
      <c r="C615" s="78" t="n"/>
      <c r="D615" s="78" t="n"/>
      <c r="E615" s="78" t="n"/>
      <c r="F615" s="78" t="n"/>
      <c r="G615" s="78" t="n"/>
      <c r="H615" s="78" t="n"/>
      <c r="I615" s="78" t="n"/>
      <c r="J615" s="78" t="n"/>
      <c r="K615" s="78" t="n"/>
      <c r="L615" s="78" t="n"/>
      <c r="M615" s="78" t="n"/>
      <c r="N615" s="78" t="n"/>
      <c r="O615" s="78" t="n"/>
      <c r="P615" s="78" t="n"/>
      <c r="Q615" s="78" t="n"/>
      <c r="R615" s="78" t="n"/>
      <c r="S615" s="78" t="n"/>
    </row>
    <row r="616" ht="15.75" customHeight="1" s="297">
      <c r="A616" s="36" t="n"/>
      <c r="B616" s="78" t="n"/>
      <c r="C616" s="78" t="n"/>
      <c r="D616" s="78" t="n"/>
      <c r="E616" s="78" t="n"/>
      <c r="F616" s="78" t="n"/>
      <c r="G616" s="78" t="n"/>
      <c r="H616" s="78" t="n"/>
      <c r="I616" s="78" t="n"/>
      <c r="J616" s="78" t="n"/>
      <c r="K616" s="78" t="n"/>
      <c r="L616" s="78" t="n"/>
      <c r="M616" s="78" t="n"/>
      <c r="N616" s="78" t="n"/>
      <c r="O616" s="78" t="n"/>
      <c r="P616" s="78" t="n"/>
      <c r="Q616" s="78" t="n"/>
      <c r="R616" s="78" t="n"/>
      <c r="S616" s="78" t="n"/>
    </row>
    <row r="617" ht="15.75" customHeight="1" s="297">
      <c r="A617" s="36" t="n"/>
      <c r="B617" s="78" t="n"/>
      <c r="C617" s="78" t="n"/>
      <c r="D617" s="78" t="n"/>
      <c r="E617" s="78" t="n"/>
      <c r="F617" s="78" t="n"/>
      <c r="G617" s="78" t="n"/>
      <c r="H617" s="78" t="n"/>
      <c r="I617" s="78" t="n"/>
      <c r="J617" s="78" t="n"/>
      <c r="K617" s="78" t="n"/>
      <c r="L617" s="78" t="n"/>
      <c r="M617" s="78" t="n"/>
      <c r="N617" s="78" t="n"/>
      <c r="O617" s="78" t="n"/>
      <c r="P617" s="78" t="n"/>
      <c r="Q617" s="78" t="n"/>
      <c r="R617" s="78" t="n"/>
      <c r="S617" s="78" t="n"/>
    </row>
    <row r="618" ht="15.75" customHeight="1" s="297">
      <c r="A618" s="36" t="n"/>
      <c r="B618" s="78" t="n"/>
      <c r="C618" s="78" t="n"/>
      <c r="D618" s="78" t="n"/>
      <c r="E618" s="78" t="n"/>
      <c r="F618" s="78" t="n"/>
      <c r="G618" s="78" t="n"/>
      <c r="H618" s="78" t="n"/>
      <c r="I618" s="78" t="n"/>
      <c r="J618" s="78" t="n"/>
      <c r="K618" s="78" t="n"/>
      <c r="L618" s="78" t="n"/>
      <c r="M618" s="78" t="n"/>
      <c r="N618" s="78" t="n"/>
      <c r="O618" s="78" t="n"/>
      <c r="P618" s="78" t="n"/>
      <c r="Q618" s="78" t="n"/>
      <c r="R618" s="78" t="n"/>
      <c r="S618" s="78" t="n"/>
    </row>
    <row r="619" ht="15.75" customHeight="1" s="297">
      <c r="A619" s="36" t="n"/>
      <c r="B619" s="78" t="n"/>
      <c r="C619" s="78" t="n"/>
      <c r="D619" s="78" t="n"/>
      <c r="E619" s="78" t="n"/>
      <c r="F619" s="78" t="n"/>
      <c r="G619" s="78" t="n"/>
      <c r="H619" s="78" t="n"/>
      <c r="I619" s="78" t="n"/>
      <c r="J619" s="78" t="n"/>
      <c r="K619" s="78" t="n"/>
      <c r="L619" s="78" t="n"/>
      <c r="M619" s="78" t="n"/>
      <c r="N619" s="78" t="n"/>
      <c r="O619" s="78" t="n"/>
      <c r="P619" s="78" t="n"/>
      <c r="Q619" s="78" t="n"/>
      <c r="R619" s="78" t="n"/>
      <c r="S619" s="78" t="n"/>
    </row>
    <row r="620" ht="15.75" customHeight="1" s="297">
      <c r="A620" s="36" t="n"/>
      <c r="B620" s="78" t="n"/>
      <c r="C620" s="78" t="n"/>
      <c r="D620" s="78" t="n"/>
      <c r="E620" s="78" t="n"/>
      <c r="F620" s="78" t="n"/>
      <c r="G620" s="78" t="n"/>
      <c r="H620" s="78" t="n"/>
      <c r="I620" s="78" t="n"/>
      <c r="J620" s="78" t="n"/>
      <c r="K620" s="78" t="n"/>
      <c r="L620" s="78" t="n"/>
      <c r="M620" s="78" t="n"/>
      <c r="N620" s="78" t="n"/>
      <c r="O620" s="78" t="n"/>
      <c r="P620" s="78" t="n"/>
      <c r="Q620" s="78" t="n"/>
      <c r="R620" s="78" t="n"/>
      <c r="S620" s="78" t="n"/>
    </row>
    <row r="621" ht="15.75" customHeight="1" s="297">
      <c r="A621" s="36" t="n"/>
      <c r="B621" s="78" t="n"/>
      <c r="C621" s="78" t="n"/>
      <c r="D621" s="78" t="n"/>
      <c r="E621" s="78" t="n"/>
      <c r="F621" s="78" t="n"/>
      <c r="G621" s="78" t="n"/>
      <c r="H621" s="78" t="n"/>
      <c r="I621" s="78" t="n"/>
      <c r="J621" s="78" t="n"/>
      <c r="K621" s="78" t="n"/>
      <c r="L621" s="78" t="n"/>
      <c r="M621" s="78" t="n"/>
      <c r="N621" s="78" t="n"/>
      <c r="O621" s="78" t="n"/>
      <c r="P621" s="78" t="n"/>
      <c r="Q621" s="78" t="n"/>
      <c r="R621" s="78" t="n"/>
      <c r="S621" s="78" t="n"/>
    </row>
    <row r="622" ht="15.75" customHeight="1" s="297">
      <c r="A622" s="36" t="n"/>
      <c r="B622" s="78" t="n"/>
      <c r="C622" s="78" t="n"/>
      <c r="D622" s="78" t="n"/>
      <c r="E622" s="78" t="n"/>
      <c r="F622" s="78" t="n"/>
      <c r="G622" s="78" t="n"/>
      <c r="H622" s="78" t="n"/>
      <c r="I622" s="78" t="n"/>
      <c r="J622" s="78" t="n"/>
      <c r="K622" s="78" t="n"/>
      <c r="L622" s="78" t="n"/>
      <c r="M622" s="78" t="n"/>
      <c r="N622" s="78" t="n"/>
      <c r="O622" s="78" t="n"/>
      <c r="P622" s="78" t="n"/>
      <c r="Q622" s="78" t="n"/>
      <c r="R622" s="78" t="n"/>
      <c r="S622" s="78" t="n"/>
    </row>
    <row r="623" ht="15.75" customHeight="1" s="297">
      <c r="A623" s="36" t="n"/>
      <c r="B623" s="78" t="n"/>
      <c r="C623" s="78" t="n"/>
      <c r="D623" s="78" t="n"/>
      <c r="E623" s="78" t="n"/>
      <c r="F623" s="78" t="n"/>
      <c r="G623" s="78" t="n"/>
      <c r="H623" s="78" t="n"/>
      <c r="I623" s="78" t="n"/>
      <c r="J623" s="78" t="n"/>
      <c r="K623" s="78" t="n"/>
      <c r="L623" s="78" t="n"/>
      <c r="M623" s="78" t="n"/>
      <c r="N623" s="78" t="n"/>
      <c r="O623" s="78" t="n"/>
      <c r="P623" s="78" t="n"/>
      <c r="Q623" s="78" t="n"/>
      <c r="R623" s="78" t="n"/>
      <c r="S623" s="78" t="n"/>
    </row>
    <row r="624" ht="15.75" customHeight="1" s="297">
      <c r="A624" s="36" t="n"/>
      <c r="B624" s="78" t="n"/>
      <c r="C624" s="78" t="n"/>
      <c r="D624" s="78" t="n"/>
      <c r="E624" s="78" t="n"/>
      <c r="F624" s="78" t="n"/>
      <c r="G624" s="78" t="n"/>
      <c r="H624" s="78" t="n"/>
      <c r="I624" s="78" t="n"/>
      <c r="J624" s="78" t="n"/>
      <c r="K624" s="78" t="n"/>
      <c r="L624" s="78" t="n"/>
      <c r="M624" s="78" t="n"/>
      <c r="N624" s="78" t="n"/>
      <c r="O624" s="78" t="n"/>
      <c r="P624" s="78" t="n"/>
      <c r="Q624" s="78" t="n"/>
      <c r="R624" s="78" t="n"/>
      <c r="S624" s="78" t="n"/>
    </row>
    <row r="625" ht="15.75" customHeight="1" s="297">
      <c r="A625" s="36" t="n"/>
      <c r="B625" s="78" t="n"/>
      <c r="C625" s="78" t="n"/>
      <c r="D625" s="78" t="n"/>
      <c r="E625" s="78" t="n"/>
      <c r="F625" s="78" t="n"/>
      <c r="G625" s="78" t="n"/>
      <c r="H625" s="78" t="n"/>
      <c r="I625" s="78" t="n"/>
      <c r="J625" s="78" t="n"/>
      <c r="K625" s="78" t="n"/>
      <c r="L625" s="78" t="n"/>
      <c r="M625" s="78" t="n"/>
      <c r="N625" s="78" t="n"/>
      <c r="O625" s="78" t="n"/>
      <c r="P625" s="78" t="n"/>
      <c r="Q625" s="78" t="n"/>
      <c r="R625" s="78" t="n"/>
      <c r="S625" s="78" t="n"/>
    </row>
    <row r="626" ht="15.75" customHeight="1" s="297">
      <c r="A626" s="36" t="n"/>
      <c r="B626" s="78" t="n"/>
      <c r="C626" s="78" t="n"/>
      <c r="D626" s="78" t="n"/>
      <c r="E626" s="78" t="n"/>
      <c r="F626" s="78" t="n"/>
      <c r="G626" s="78" t="n"/>
      <c r="H626" s="78" t="n"/>
      <c r="I626" s="78" t="n"/>
      <c r="J626" s="78" t="n"/>
      <c r="K626" s="78" t="n"/>
      <c r="L626" s="78" t="n"/>
      <c r="M626" s="78" t="n"/>
      <c r="N626" s="78" t="n"/>
      <c r="O626" s="78" t="n"/>
      <c r="P626" s="78" t="n"/>
      <c r="Q626" s="78" t="n"/>
      <c r="R626" s="78" t="n"/>
      <c r="S626" s="78" t="n"/>
    </row>
    <row r="627" ht="15.75" customHeight="1" s="297">
      <c r="A627" s="36" t="n"/>
      <c r="B627" s="78" t="n"/>
      <c r="C627" s="78" t="n"/>
      <c r="D627" s="78" t="n"/>
      <c r="E627" s="78" t="n"/>
      <c r="F627" s="78" t="n"/>
      <c r="G627" s="78" t="n"/>
      <c r="H627" s="78" t="n"/>
      <c r="I627" s="78" t="n"/>
      <c r="J627" s="78" t="n"/>
      <c r="K627" s="78" t="n"/>
      <c r="L627" s="78" t="n"/>
      <c r="M627" s="78" t="n"/>
      <c r="N627" s="78" t="n"/>
      <c r="O627" s="78" t="n"/>
      <c r="P627" s="78" t="n"/>
      <c r="Q627" s="78" t="n"/>
      <c r="R627" s="78" t="n"/>
      <c r="S627" s="78" t="n"/>
    </row>
    <row r="628" ht="15.75" customHeight="1" s="297">
      <c r="A628" s="36" t="n"/>
      <c r="B628" s="78" t="n"/>
      <c r="C628" s="78" t="n"/>
      <c r="D628" s="78" t="n"/>
      <c r="E628" s="78" t="n"/>
      <c r="F628" s="78" t="n"/>
      <c r="G628" s="78" t="n"/>
      <c r="H628" s="78" t="n"/>
      <c r="I628" s="78" t="n"/>
      <c r="J628" s="78" t="n"/>
      <c r="K628" s="78" t="n"/>
      <c r="L628" s="78" t="n"/>
      <c r="M628" s="78" t="n"/>
      <c r="N628" s="78" t="n"/>
      <c r="O628" s="78" t="n"/>
      <c r="P628" s="78" t="n"/>
      <c r="Q628" s="78" t="n"/>
      <c r="R628" s="78" t="n"/>
      <c r="S628" s="78" t="n"/>
    </row>
    <row r="629" ht="15.75" customHeight="1" s="297">
      <c r="A629" s="36" t="n"/>
      <c r="B629" s="78" t="n"/>
      <c r="C629" s="78" t="n"/>
      <c r="D629" s="78" t="n"/>
      <c r="E629" s="78" t="n"/>
      <c r="F629" s="78" t="n"/>
      <c r="G629" s="78" t="n"/>
      <c r="H629" s="78" t="n"/>
      <c r="I629" s="78" t="n"/>
      <c r="J629" s="78" t="n"/>
      <c r="K629" s="78" t="n"/>
      <c r="L629" s="78" t="n"/>
      <c r="M629" s="78" t="n"/>
      <c r="N629" s="78" t="n"/>
      <c r="O629" s="78" t="n"/>
      <c r="P629" s="78" t="n"/>
      <c r="Q629" s="78" t="n"/>
      <c r="R629" s="78" t="n"/>
      <c r="S629" s="78" t="n"/>
    </row>
    <row r="630" ht="15.75" customHeight="1" s="297">
      <c r="A630" s="36" t="n"/>
      <c r="B630" s="78" t="n"/>
      <c r="C630" s="78" t="n"/>
      <c r="D630" s="78" t="n"/>
      <c r="E630" s="78" t="n"/>
      <c r="F630" s="78" t="n"/>
      <c r="G630" s="78" t="n"/>
      <c r="H630" s="78" t="n"/>
      <c r="I630" s="78" t="n"/>
      <c r="J630" s="78" t="n"/>
      <c r="K630" s="78" t="n"/>
      <c r="L630" s="78" t="n"/>
      <c r="M630" s="78" t="n"/>
      <c r="N630" s="78" t="n"/>
      <c r="O630" s="78" t="n"/>
      <c r="P630" s="78" t="n"/>
      <c r="Q630" s="78" t="n"/>
      <c r="R630" s="78" t="n"/>
      <c r="S630" s="78" t="n"/>
    </row>
    <row r="631" ht="15.75" customHeight="1" s="297">
      <c r="A631" s="36" t="n"/>
      <c r="B631" s="78" t="n"/>
      <c r="C631" s="78" t="n"/>
      <c r="D631" s="78" t="n"/>
      <c r="E631" s="78" t="n"/>
      <c r="F631" s="78" t="n"/>
      <c r="G631" s="78" t="n"/>
      <c r="H631" s="78" t="n"/>
      <c r="I631" s="78" t="n"/>
      <c r="J631" s="78" t="n"/>
      <c r="K631" s="78" t="n"/>
      <c r="L631" s="78" t="n"/>
      <c r="M631" s="78" t="n"/>
      <c r="N631" s="78" t="n"/>
      <c r="O631" s="78" t="n"/>
      <c r="P631" s="78" t="n"/>
      <c r="Q631" s="78" t="n"/>
      <c r="R631" s="78" t="n"/>
      <c r="S631" s="78" t="n"/>
    </row>
    <row r="632" ht="15.75" customHeight="1" s="297">
      <c r="A632" s="36" t="n"/>
      <c r="B632" s="78" t="n"/>
      <c r="C632" s="78" t="n"/>
      <c r="D632" s="78" t="n"/>
      <c r="E632" s="78" t="n"/>
      <c r="F632" s="78" t="n"/>
      <c r="G632" s="78" t="n"/>
      <c r="H632" s="78" t="n"/>
      <c r="I632" s="78" t="n"/>
      <c r="J632" s="78" t="n"/>
      <c r="K632" s="78" t="n"/>
      <c r="L632" s="78" t="n"/>
      <c r="M632" s="78" t="n"/>
      <c r="N632" s="78" t="n"/>
      <c r="O632" s="78" t="n"/>
      <c r="P632" s="78" t="n"/>
      <c r="Q632" s="78" t="n"/>
      <c r="R632" s="78" t="n"/>
      <c r="S632" s="78" t="n"/>
    </row>
    <row r="633" ht="15.75" customHeight="1" s="297">
      <c r="A633" s="36" t="n"/>
      <c r="B633" s="78" t="n"/>
      <c r="C633" s="78" t="n"/>
      <c r="D633" s="78" t="n"/>
      <c r="E633" s="78" t="n"/>
      <c r="F633" s="78" t="n"/>
      <c r="G633" s="78" t="n"/>
      <c r="H633" s="78" t="n"/>
      <c r="I633" s="78" t="n"/>
      <c r="J633" s="78" t="n"/>
      <c r="K633" s="78" t="n"/>
      <c r="L633" s="78" t="n"/>
      <c r="M633" s="78" t="n"/>
      <c r="N633" s="78" t="n"/>
      <c r="O633" s="78" t="n"/>
      <c r="P633" s="78" t="n"/>
      <c r="Q633" s="78" t="n"/>
      <c r="R633" s="78" t="n"/>
      <c r="S633" s="78" t="n"/>
    </row>
    <row r="634" ht="15.75" customHeight="1" s="297">
      <c r="A634" s="36" t="n"/>
      <c r="B634" s="78" t="n"/>
      <c r="C634" s="78" t="n"/>
      <c r="D634" s="78" t="n"/>
      <c r="E634" s="78" t="n"/>
      <c r="F634" s="78" t="n"/>
      <c r="G634" s="78" t="n"/>
      <c r="H634" s="78" t="n"/>
      <c r="I634" s="78" t="n"/>
      <c r="J634" s="78" t="n"/>
      <c r="K634" s="78" t="n"/>
      <c r="L634" s="78" t="n"/>
      <c r="M634" s="78" t="n"/>
      <c r="N634" s="78" t="n"/>
      <c r="O634" s="78" t="n"/>
      <c r="P634" s="78" t="n"/>
      <c r="Q634" s="78" t="n"/>
      <c r="R634" s="78" t="n"/>
      <c r="S634" s="78" t="n"/>
    </row>
    <row r="635" ht="15.75" customHeight="1" s="297">
      <c r="A635" s="36" t="n"/>
      <c r="B635" s="78" t="n"/>
      <c r="C635" s="78" t="n"/>
      <c r="D635" s="78" t="n"/>
      <c r="E635" s="78" t="n"/>
      <c r="F635" s="78" t="n"/>
      <c r="G635" s="78" t="n"/>
      <c r="H635" s="78" t="n"/>
      <c r="I635" s="78" t="n"/>
      <c r="J635" s="78" t="n"/>
      <c r="K635" s="78" t="n"/>
      <c r="L635" s="78" t="n"/>
      <c r="M635" s="78" t="n"/>
      <c r="N635" s="78" t="n"/>
      <c r="O635" s="78" t="n"/>
      <c r="P635" s="78" t="n"/>
      <c r="Q635" s="78" t="n"/>
      <c r="R635" s="78" t="n"/>
      <c r="S635" s="78" t="n"/>
    </row>
    <row r="636" ht="15.75" customHeight="1" s="297">
      <c r="A636" s="36" t="n"/>
      <c r="B636" s="78" t="n"/>
      <c r="C636" s="78" t="n"/>
      <c r="D636" s="78" t="n"/>
      <c r="E636" s="78" t="n"/>
      <c r="F636" s="78" t="n"/>
      <c r="G636" s="78" t="n"/>
      <c r="H636" s="78" t="n"/>
      <c r="I636" s="78" t="n"/>
      <c r="J636" s="78" t="n"/>
      <c r="K636" s="78" t="n"/>
      <c r="L636" s="78" t="n"/>
      <c r="M636" s="78" t="n"/>
      <c r="N636" s="78" t="n"/>
      <c r="O636" s="78" t="n"/>
      <c r="P636" s="78" t="n"/>
      <c r="Q636" s="78" t="n"/>
      <c r="R636" s="78" t="n"/>
      <c r="S636" s="78" t="n"/>
    </row>
    <row r="637" ht="15.75" customHeight="1" s="297">
      <c r="A637" s="36" t="n"/>
      <c r="B637" s="78" t="n"/>
      <c r="C637" s="78" t="n"/>
      <c r="D637" s="78" t="n"/>
      <c r="E637" s="78" t="n"/>
      <c r="F637" s="78" t="n"/>
      <c r="G637" s="78" t="n"/>
      <c r="H637" s="78" t="n"/>
      <c r="I637" s="78" t="n"/>
      <c r="J637" s="78" t="n"/>
      <c r="K637" s="78" t="n"/>
      <c r="L637" s="78" t="n"/>
      <c r="M637" s="78" t="n"/>
      <c r="N637" s="78" t="n"/>
      <c r="O637" s="78" t="n"/>
      <c r="P637" s="78" t="n"/>
      <c r="Q637" s="78" t="n"/>
      <c r="R637" s="78" t="n"/>
      <c r="S637" s="78" t="n"/>
    </row>
    <row r="638" ht="15.75" customHeight="1" s="297">
      <c r="A638" s="36" t="n"/>
      <c r="B638" s="78" t="n"/>
      <c r="C638" s="78" t="n"/>
      <c r="D638" s="78" t="n"/>
      <c r="E638" s="78" t="n"/>
      <c r="F638" s="78" t="n"/>
      <c r="G638" s="78" t="n"/>
      <c r="H638" s="78" t="n"/>
      <c r="I638" s="78" t="n"/>
      <c r="J638" s="78" t="n"/>
      <c r="K638" s="78" t="n"/>
      <c r="L638" s="78" t="n"/>
      <c r="M638" s="78" t="n"/>
      <c r="N638" s="78" t="n"/>
      <c r="O638" s="78" t="n"/>
      <c r="P638" s="78" t="n"/>
      <c r="Q638" s="78" t="n"/>
      <c r="R638" s="78" t="n"/>
      <c r="S638" s="78" t="n"/>
    </row>
    <row r="639" ht="15.75" customHeight="1" s="297">
      <c r="A639" s="36" t="n"/>
      <c r="B639" s="78" t="n"/>
      <c r="C639" s="78" t="n"/>
      <c r="D639" s="78" t="n"/>
      <c r="E639" s="78" t="n"/>
      <c r="F639" s="78" t="n"/>
      <c r="G639" s="78" t="n"/>
      <c r="H639" s="78" t="n"/>
      <c r="I639" s="78" t="n"/>
      <c r="J639" s="78" t="n"/>
      <c r="K639" s="78" t="n"/>
      <c r="L639" s="78" t="n"/>
      <c r="M639" s="78" t="n"/>
      <c r="N639" s="78" t="n"/>
      <c r="O639" s="78" t="n"/>
      <c r="P639" s="78" t="n"/>
      <c r="Q639" s="78" t="n"/>
      <c r="R639" s="78" t="n"/>
      <c r="S639" s="78" t="n"/>
    </row>
    <row r="640" ht="15.75" customHeight="1" s="297">
      <c r="A640" s="36" t="n"/>
      <c r="B640" s="78" t="n"/>
      <c r="C640" s="78" t="n"/>
      <c r="D640" s="78" t="n"/>
      <c r="E640" s="78" t="n"/>
      <c r="F640" s="78" t="n"/>
      <c r="G640" s="78" t="n"/>
      <c r="H640" s="78" t="n"/>
      <c r="I640" s="78" t="n"/>
      <c r="J640" s="78" t="n"/>
      <c r="K640" s="78" t="n"/>
      <c r="L640" s="78" t="n"/>
      <c r="M640" s="78" t="n"/>
      <c r="N640" s="78" t="n"/>
      <c r="O640" s="78" t="n"/>
      <c r="P640" s="78" t="n"/>
      <c r="Q640" s="78" t="n"/>
      <c r="R640" s="78" t="n"/>
      <c r="S640" s="78" t="n"/>
    </row>
    <row r="641" ht="15.75" customHeight="1" s="297">
      <c r="A641" s="36" t="n"/>
      <c r="B641" s="78" t="n"/>
      <c r="C641" s="78" t="n"/>
      <c r="D641" s="78" t="n"/>
      <c r="E641" s="78" t="n"/>
      <c r="F641" s="78" t="n"/>
      <c r="G641" s="78" t="n"/>
      <c r="H641" s="78" t="n"/>
      <c r="I641" s="78" t="n"/>
      <c r="J641" s="78" t="n"/>
      <c r="K641" s="78" t="n"/>
      <c r="L641" s="78" t="n"/>
      <c r="M641" s="78" t="n"/>
      <c r="N641" s="78" t="n"/>
      <c r="O641" s="78" t="n"/>
      <c r="P641" s="78" t="n"/>
      <c r="Q641" s="78" t="n"/>
      <c r="R641" s="78" t="n"/>
      <c r="S641" s="78" t="n"/>
    </row>
    <row r="642" ht="15.75" customHeight="1" s="297">
      <c r="A642" s="36" t="n"/>
      <c r="B642" s="78" t="n"/>
      <c r="C642" s="78" t="n"/>
      <c r="D642" s="78" t="n"/>
      <c r="E642" s="78" t="n"/>
      <c r="F642" s="78" t="n"/>
      <c r="G642" s="78" t="n"/>
      <c r="H642" s="78" t="n"/>
      <c r="I642" s="78" t="n"/>
      <c r="J642" s="78" t="n"/>
      <c r="K642" s="78" t="n"/>
      <c r="L642" s="78" t="n"/>
      <c r="M642" s="78" t="n"/>
      <c r="N642" s="78" t="n"/>
      <c r="O642" s="78" t="n"/>
      <c r="P642" s="78" t="n"/>
      <c r="Q642" s="78" t="n"/>
      <c r="R642" s="78" t="n"/>
      <c r="S642" s="78" t="n"/>
    </row>
    <row r="643" ht="15.75" customHeight="1" s="297">
      <c r="A643" s="36" t="n"/>
      <c r="B643" s="78" t="n"/>
      <c r="C643" s="78" t="n"/>
      <c r="D643" s="78" t="n"/>
      <c r="E643" s="78" t="n"/>
      <c r="F643" s="78" t="n"/>
      <c r="G643" s="78" t="n"/>
      <c r="H643" s="78" t="n"/>
      <c r="I643" s="78" t="n"/>
      <c r="J643" s="78" t="n"/>
      <c r="K643" s="78" t="n"/>
      <c r="L643" s="78" t="n"/>
      <c r="M643" s="78" t="n"/>
      <c r="N643" s="78" t="n"/>
      <c r="O643" s="78" t="n"/>
      <c r="P643" s="78" t="n"/>
      <c r="Q643" s="78" t="n"/>
      <c r="R643" s="78" t="n"/>
      <c r="S643" s="78" t="n"/>
    </row>
    <row r="644" ht="15.75" customHeight="1" s="297">
      <c r="A644" s="36" t="n"/>
      <c r="B644" s="78" t="n"/>
      <c r="C644" s="78" t="n"/>
      <c r="D644" s="78" t="n"/>
      <c r="E644" s="78" t="n"/>
      <c r="F644" s="78" t="n"/>
      <c r="G644" s="78" t="n"/>
      <c r="H644" s="78" t="n"/>
      <c r="I644" s="78" t="n"/>
      <c r="J644" s="78" t="n"/>
      <c r="K644" s="78" t="n"/>
      <c r="L644" s="78" t="n"/>
      <c r="M644" s="78" t="n"/>
      <c r="N644" s="78" t="n"/>
      <c r="O644" s="78" t="n"/>
      <c r="P644" s="78" t="n"/>
      <c r="Q644" s="78" t="n"/>
      <c r="R644" s="78" t="n"/>
      <c r="S644" s="78" t="n"/>
    </row>
    <row r="645" ht="15.75" customHeight="1" s="297">
      <c r="A645" s="36" t="n"/>
      <c r="B645" s="78" t="n"/>
      <c r="C645" s="78" t="n"/>
      <c r="D645" s="78" t="n"/>
      <c r="E645" s="78" t="n"/>
      <c r="F645" s="78" t="n"/>
      <c r="G645" s="78" t="n"/>
      <c r="H645" s="78" t="n"/>
      <c r="I645" s="78" t="n"/>
      <c r="J645" s="78" t="n"/>
      <c r="K645" s="78" t="n"/>
      <c r="L645" s="78" t="n"/>
      <c r="M645" s="78" t="n"/>
      <c r="N645" s="78" t="n"/>
      <c r="O645" s="78" t="n"/>
      <c r="P645" s="78" t="n"/>
      <c r="Q645" s="78" t="n"/>
      <c r="R645" s="78" t="n"/>
      <c r="S645" s="78" t="n"/>
    </row>
    <row r="646" ht="15.75" customHeight="1" s="297">
      <c r="A646" s="36" t="n"/>
      <c r="B646" s="78" t="n"/>
      <c r="C646" s="78" t="n"/>
      <c r="D646" s="78" t="n"/>
      <c r="E646" s="78" t="n"/>
      <c r="F646" s="78" t="n"/>
      <c r="G646" s="78" t="n"/>
      <c r="H646" s="78" t="n"/>
      <c r="I646" s="78" t="n"/>
      <c r="J646" s="78" t="n"/>
      <c r="K646" s="78" t="n"/>
      <c r="L646" s="78" t="n"/>
      <c r="M646" s="78" t="n"/>
      <c r="N646" s="78" t="n"/>
      <c r="O646" s="78" t="n"/>
      <c r="P646" s="78" t="n"/>
      <c r="Q646" s="78" t="n"/>
      <c r="R646" s="78" t="n"/>
      <c r="S646" s="78" t="n"/>
    </row>
    <row r="647" ht="15.75" customHeight="1" s="297">
      <c r="A647" s="36" t="n"/>
      <c r="B647" s="78" t="n"/>
      <c r="C647" s="78" t="n"/>
      <c r="D647" s="78" t="n"/>
      <c r="E647" s="78" t="n"/>
      <c r="F647" s="78" t="n"/>
      <c r="G647" s="78" t="n"/>
      <c r="H647" s="78" t="n"/>
      <c r="I647" s="78" t="n"/>
      <c r="J647" s="78" t="n"/>
      <c r="K647" s="78" t="n"/>
      <c r="L647" s="78" t="n"/>
      <c r="M647" s="78" t="n"/>
      <c r="N647" s="78" t="n"/>
      <c r="O647" s="78" t="n"/>
      <c r="P647" s="78" t="n"/>
      <c r="Q647" s="78" t="n"/>
      <c r="R647" s="78" t="n"/>
      <c r="S647" s="78" t="n"/>
    </row>
    <row r="648" ht="15.75" customHeight="1" s="297">
      <c r="A648" s="36" t="n"/>
      <c r="B648" s="78" t="n"/>
      <c r="C648" s="78" t="n"/>
      <c r="D648" s="78" t="n"/>
      <c r="E648" s="78" t="n"/>
      <c r="F648" s="78" t="n"/>
      <c r="G648" s="78" t="n"/>
      <c r="H648" s="78" t="n"/>
      <c r="I648" s="78" t="n"/>
      <c r="J648" s="78" t="n"/>
      <c r="K648" s="78" t="n"/>
      <c r="L648" s="78" t="n"/>
      <c r="M648" s="78" t="n"/>
      <c r="N648" s="78" t="n"/>
      <c r="O648" s="78" t="n"/>
      <c r="P648" s="78" t="n"/>
      <c r="Q648" s="78" t="n"/>
      <c r="R648" s="78" t="n"/>
      <c r="S648" s="78" t="n"/>
    </row>
    <row r="649" ht="15.75" customHeight="1" s="297">
      <c r="A649" s="36" t="n"/>
      <c r="B649" s="78" t="n"/>
      <c r="C649" s="78" t="n"/>
      <c r="D649" s="78" t="n"/>
      <c r="E649" s="78" t="n"/>
      <c r="F649" s="78" t="n"/>
      <c r="G649" s="78" t="n"/>
      <c r="H649" s="78" t="n"/>
      <c r="I649" s="78" t="n"/>
      <c r="J649" s="78" t="n"/>
      <c r="K649" s="78" t="n"/>
      <c r="L649" s="78" t="n"/>
      <c r="M649" s="78" t="n"/>
      <c r="N649" s="78" t="n"/>
      <c r="O649" s="78" t="n"/>
      <c r="P649" s="78" t="n"/>
      <c r="Q649" s="78" t="n"/>
      <c r="R649" s="78" t="n"/>
      <c r="S649" s="78" t="n"/>
    </row>
    <row r="650" ht="15.75" customHeight="1" s="297">
      <c r="A650" s="36" t="n"/>
      <c r="B650" s="78" t="n"/>
      <c r="C650" s="78" t="n"/>
      <c r="D650" s="78" t="n"/>
      <c r="E650" s="78" t="n"/>
      <c r="F650" s="78" t="n"/>
      <c r="G650" s="78" t="n"/>
      <c r="H650" s="78" t="n"/>
      <c r="I650" s="78" t="n"/>
      <c r="J650" s="78" t="n"/>
      <c r="K650" s="78" t="n"/>
      <c r="L650" s="78" t="n"/>
      <c r="M650" s="78" t="n"/>
      <c r="N650" s="78" t="n"/>
      <c r="O650" s="78" t="n"/>
      <c r="P650" s="78" t="n"/>
      <c r="Q650" s="78" t="n"/>
      <c r="R650" s="78" t="n"/>
      <c r="S650" s="78" t="n"/>
    </row>
    <row r="651" ht="15.75" customHeight="1" s="297">
      <c r="A651" s="36" t="n"/>
      <c r="B651" s="78" t="n"/>
      <c r="C651" s="78" t="n"/>
      <c r="D651" s="78" t="n"/>
      <c r="E651" s="78" t="n"/>
      <c r="F651" s="78" t="n"/>
      <c r="G651" s="78" t="n"/>
      <c r="H651" s="78" t="n"/>
      <c r="I651" s="78" t="n"/>
      <c r="J651" s="78" t="n"/>
      <c r="K651" s="78" t="n"/>
      <c r="L651" s="78" t="n"/>
      <c r="M651" s="78" t="n"/>
      <c r="N651" s="78" t="n"/>
      <c r="O651" s="78" t="n"/>
      <c r="P651" s="78" t="n"/>
      <c r="Q651" s="78" t="n"/>
      <c r="R651" s="78" t="n"/>
      <c r="S651" s="78" t="n"/>
    </row>
    <row r="652" ht="15.75" customHeight="1" s="297">
      <c r="A652" s="36" t="n"/>
      <c r="B652" s="78" t="n"/>
      <c r="C652" s="78" t="n"/>
      <c r="D652" s="78" t="n"/>
      <c r="E652" s="78" t="n"/>
      <c r="F652" s="78" t="n"/>
      <c r="G652" s="78" t="n"/>
      <c r="H652" s="78" t="n"/>
      <c r="I652" s="78" t="n"/>
      <c r="J652" s="78" t="n"/>
      <c r="K652" s="78" t="n"/>
      <c r="L652" s="78" t="n"/>
      <c r="M652" s="78" t="n"/>
      <c r="N652" s="78" t="n"/>
      <c r="O652" s="78" t="n"/>
      <c r="P652" s="78" t="n"/>
      <c r="Q652" s="78" t="n"/>
      <c r="R652" s="78" t="n"/>
      <c r="S652" s="78" t="n"/>
    </row>
    <row r="653" ht="15.75" customHeight="1" s="297">
      <c r="A653" s="36" t="n"/>
      <c r="B653" s="78" t="n"/>
      <c r="C653" s="78" t="n"/>
      <c r="D653" s="78" t="n"/>
      <c r="E653" s="78" t="n"/>
      <c r="F653" s="78" t="n"/>
      <c r="G653" s="78" t="n"/>
      <c r="H653" s="78" t="n"/>
      <c r="I653" s="78" t="n"/>
      <c r="J653" s="78" t="n"/>
      <c r="K653" s="78" t="n"/>
      <c r="L653" s="78" t="n"/>
      <c r="M653" s="78" t="n"/>
      <c r="N653" s="78" t="n"/>
      <c r="O653" s="78" t="n"/>
      <c r="P653" s="78" t="n"/>
      <c r="Q653" s="78" t="n"/>
      <c r="R653" s="78" t="n"/>
      <c r="S653" s="78" t="n"/>
    </row>
    <row r="654" ht="15.75" customHeight="1" s="297">
      <c r="A654" s="36" t="n"/>
      <c r="B654" s="78" t="n"/>
      <c r="C654" s="78" t="n"/>
      <c r="D654" s="78" t="n"/>
      <c r="E654" s="78" t="n"/>
      <c r="F654" s="78" t="n"/>
      <c r="G654" s="78" t="n"/>
      <c r="H654" s="78" t="n"/>
      <c r="I654" s="78" t="n"/>
      <c r="J654" s="78" t="n"/>
      <c r="K654" s="78" t="n"/>
      <c r="L654" s="78" t="n"/>
      <c r="M654" s="78" t="n"/>
      <c r="N654" s="78" t="n"/>
      <c r="O654" s="78" t="n"/>
      <c r="P654" s="78" t="n"/>
      <c r="Q654" s="78" t="n"/>
      <c r="R654" s="78" t="n"/>
      <c r="S654" s="78" t="n"/>
    </row>
    <row r="655" ht="15.75" customHeight="1" s="297">
      <c r="A655" s="36" t="n"/>
      <c r="B655" s="78" t="n"/>
      <c r="C655" s="78" t="n"/>
      <c r="D655" s="78" t="n"/>
      <c r="E655" s="78" t="n"/>
      <c r="F655" s="78" t="n"/>
      <c r="G655" s="78" t="n"/>
      <c r="H655" s="78" t="n"/>
      <c r="I655" s="78" t="n"/>
      <c r="J655" s="78" t="n"/>
      <c r="K655" s="78" t="n"/>
      <c r="L655" s="78" t="n"/>
      <c r="M655" s="78" t="n"/>
      <c r="N655" s="78" t="n"/>
      <c r="O655" s="78" t="n"/>
      <c r="P655" s="78" t="n"/>
      <c r="Q655" s="78" t="n"/>
      <c r="R655" s="78" t="n"/>
      <c r="S655" s="78" t="n"/>
    </row>
    <row r="656" ht="15.75" customHeight="1" s="297">
      <c r="A656" s="36" t="n"/>
      <c r="B656" s="78" t="n"/>
      <c r="C656" s="78" t="n"/>
      <c r="D656" s="78" t="n"/>
      <c r="E656" s="78" t="n"/>
      <c r="F656" s="78" t="n"/>
      <c r="G656" s="78" t="n"/>
      <c r="H656" s="78" t="n"/>
      <c r="I656" s="78" t="n"/>
      <c r="J656" s="78" t="n"/>
      <c r="K656" s="78" t="n"/>
      <c r="L656" s="78" t="n"/>
      <c r="M656" s="78" t="n"/>
      <c r="N656" s="78" t="n"/>
      <c r="O656" s="78" t="n"/>
      <c r="P656" s="78" t="n"/>
      <c r="Q656" s="78" t="n"/>
      <c r="R656" s="78" t="n"/>
      <c r="S656" s="78" t="n"/>
    </row>
    <row r="657" ht="15.75" customHeight="1" s="297">
      <c r="A657" s="36" t="n"/>
      <c r="B657" s="78" t="n"/>
      <c r="C657" s="78" t="n"/>
      <c r="D657" s="78" t="n"/>
      <c r="E657" s="78" t="n"/>
      <c r="F657" s="78" t="n"/>
      <c r="G657" s="78" t="n"/>
      <c r="H657" s="78" t="n"/>
      <c r="I657" s="78" t="n"/>
      <c r="J657" s="78" t="n"/>
      <c r="K657" s="78" t="n"/>
      <c r="L657" s="78" t="n"/>
      <c r="M657" s="78" t="n"/>
      <c r="N657" s="78" t="n"/>
      <c r="O657" s="78" t="n"/>
      <c r="P657" s="78" t="n"/>
      <c r="Q657" s="78" t="n"/>
      <c r="R657" s="78" t="n"/>
      <c r="S657" s="78" t="n"/>
    </row>
    <row r="658" ht="15.75" customHeight="1" s="297">
      <c r="A658" s="36" t="n"/>
      <c r="B658" s="78" t="n"/>
      <c r="C658" s="78" t="n"/>
      <c r="D658" s="78" t="n"/>
      <c r="E658" s="78" t="n"/>
      <c r="F658" s="78" t="n"/>
      <c r="G658" s="78" t="n"/>
      <c r="H658" s="78" t="n"/>
      <c r="I658" s="78" t="n"/>
      <c r="J658" s="78" t="n"/>
      <c r="K658" s="78" t="n"/>
      <c r="L658" s="78" t="n"/>
      <c r="M658" s="78" t="n"/>
      <c r="N658" s="78" t="n"/>
      <c r="O658" s="78" t="n"/>
      <c r="P658" s="78" t="n"/>
      <c r="Q658" s="78" t="n"/>
      <c r="R658" s="78" t="n"/>
      <c r="S658" s="78" t="n"/>
    </row>
    <row r="659" ht="15.75" customHeight="1" s="297">
      <c r="A659" s="36" t="n"/>
      <c r="B659" s="78" t="n"/>
      <c r="C659" s="78" t="n"/>
      <c r="D659" s="78" t="n"/>
      <c r="E659" s="78" t="n"/>
      <c r="F659" s="78" t="n"/>
      <c r="G659" s="78" t="n"/>
      <c r="H659" s="78" t="n"/>
      <c r="I659" s="78" t="n"/>
      <c r="J659" s="78" t="n"/>
      <c r="K659" s="78" t="n"/>
      <c r="L659" s="78" t="n"/>
      <c r="M659" s="78" t="n"/>
      <c r="N659" s="78" t="n"/>
      <c r="O659" s="78" t="n"/>
      <c r="P659" s="78" t="n"/>
      <c r="Q659" s="78" t="n"/>
      <c r="R659" s="78" t="n"/>
      <c r="S659" s="78" t="n"/>
    </row>
    <row r="660" ht="15.75" customHeight="1" s="297">
      <c r="A660" s="36" t="n"/>
      <c r="B660" s="78" t="n"/>
      <c r="C660" s="78" t="n"/>
      <c r="D660" s="78" t="n"/>
      <c r="E660" s="78" t="n"/>
      <c r="F660" s="78" t="n"/>
      <c r="G660" s="78" t="n"/>
      <c r="H660" s="78" t="n"/>
      <c r="I660" s="78" t="n"/>
      <c r="J660" s="78" t="n"/>
      <c r="K660" s="78" t="n"/>
      <c r="L660" s="78" t="n"/>
      <c r="M660" s="78" t="n"/>
      <c r="N660" s="78" t="n"/>
      <c r="O660" s="78" t="n"/>
      <c r="P660" s="78" t="n"/>
      <c r="Q660" s="78" t="n"/>
      <c r="R660" s="78" t="n"/>
      <c r="S660" s="78" t="n"/>
    </row>
    <row r="661" ht="15.75" customHeight="1" s="297">
      <c r="A661" s="36" t="n"/>
      <c r="B661" s="78" t="n"/>
      <c r="C661" s="78" t="n"/>
      <c r="D661" s="78" t="n"/>
      <c r="E661" s="78" t="n"/>
      <c r="F661" s="78" t="n"/>
      <c r="G661" s="78" t="n"/>
      <c r="H661" s="78" t="n"/>
      <c r="I661" s="78" t="n"/>
      <c r="J661" s="78" t="n"/>
      <c r="K661" s="78" t="n"/>
      <c r="L661" s="78" t="n"/>
      <c r="M661" s="78" t="n"/>
      <c r="N661" s="78" t="n"/>
      <c r="O661" s="78" t="n"/>
      <c r="P661" s="78" t="n"/>
      <c r="Q661" s="78" t="n"/>
      <c r="R661" s="78" t="n"/>
      <c r="S661" s="78" t="n"/>
    </row>
    <row r="662" ht="15.75" customHeight="1" s="297">
      <c r="A662" s="36" t="n"/>
      <c r="B662" s="78" t="n"/>
      <c r="C662" s="78" t="n"/>
      <c r="D662" s="78" t="n"/>
      <c r="E662" s="78" t="n"/>
      <c r="F662" s="78" t="n"/>
      <c r="G662" s="78" t="n"/>
      <c r="H662" s="78" t="n"/>
      <c r="I662" s="78" t="n"/>
      <c r="J662" s="78" t="n"/>
      <c r="K662" s="78" t="n"/>
      <c r="L662" s="78" t="n"/>
      <c r="M662" s="78" t="n"/>
      <c r="N662" s="78" t="n"/>
      <c r="O662" s="78" t="n"/>
      <c r="P662" s="78" t="n"/>
      <c r="Q662" s="78" t="n"/>
      <c r="R662" s="78" t="n"/>
      <c r="S662" s="78" t="n"/>
    </row>
    <row r="663" ht="15.75" customHeight="1" s="297">
      <c r="A663" s="36" t="n"/>
      <c r="B663" s="78" t="n"/>
      <c r="C663" s="78" t="n"/>
      <c r="D663" s="78" t="n"/>
      <c r="E663" s="78" t="n"/>
      <c r="F663" s="78" t="n"/>
      <c r="G663" s="78" t="n"/>
      <c r="H663" s="78" t="n"/>
      <c r="I663" s="78" t="n"/>
      <c r="J663" s="78" t="n"/>
      <c r="K663" s="78" t="n"/>
      <c r="L663" s="78" t="n"/>
      <c r="M663" s="78" t="n"/>
      <c r="N663" s="78" t="n"/>
      <c r="O663" s="78" t="n"/>
      <c r="P663" s="78" t="n"/>
      <c r="Q663" s="78" t="n"/>
      <c r="R663" s="78" t="n"/>
      <c r="S663" s="78" t="n"/>
    </row>
    <row r="664" ht="15.75" customHeight="1" s="297">
      <c r="A664" s="36" t="n"/>
      <c r="B664" s="78" t="n"/>
      <c r="C664" s="78" t="n"/>
      <c r="D664" s="78" t="n"/>
      <c r="E664" s="78" t="n"/>
      <c r="F664" s="78" t="n"/>
      <c r="G664" s="78" t="n"/>
      <c r="H664" s="78" t="n"/>
      <c r="I664" s="78" t="n"/>
      <c r="J664" s="78" t="n"/>
      <c r="K664" s="78" t="n"/>
      <c r="L664" s="78" t="n"/>
      <c r="M664" s="78" t="n"/>
      <c r="N664" s="78" t="n"/>
      <c r="O664" s="78" t="n"/>
      <c r="P664" s="78" t="n"/>
      <c r="Q664" s="78" t="n"/>
      <c r="R664" s="78" t="n"/>
      <c r="S664" s="78" t="n"/>
    </row>
    <row r="665" ht="15.75" customHeight="1" s="297">
      <c r="A665" s="36" t="n"/>
      <c r="B665" s="78" t="n"/>
      <c r="C665" s="78" t="n"/>
      <c r="D665" s="78" t="n"/>
      <c r="E665" s="78" t="n"/>
      <c r="F665" s="78" t="n"/>
      <c r="G665" s="78" t="n"/>
      <c r="H665" s="78" t="n"/>
      <c r="I665" s="78" t="n"/>
      <c r="J665" s="78" t="n"/>
      <c r="K665" s="78" t="n"/>
      <c r="L665" s="78" t="n"/>
      <c r="M665" s="78" t="n"/>
      <c r="N665" s="78" t="n"/>
      <c r="O665" s="78" t="n"/>
      <c r="P665" s="78" t="n"/>
      <c r="Q665" s="78" t="n"/>
      <c r="R665" s="78" t="n"/>
      <c r="S665" s="78" t="n"/>
    </row>
    <row r="666" ht="15.75" customHeight="1" s="297">
      <c r="A666" s="36" t="n"/>
      <c r="B666" s="78" t="n"/>
      <c r="C666" s="78" t="n"/>
      <c r="D666" s="78" t="n"/>
      <c r="E666" s="78" t="n"/>
      <c r="F666" s="78" t="n"/>
      <c r="G666" s="78" t="n"/>
      <c r="H666" s="78" t="n"/>
      <c r="I666" s="78" t="n"/>
      <c r="J666" s="78" t="n"/>
      <c r="K666" s="78" t="n"/>
      <c r="L666" s="78" t="n"/>
      <c r="M666" s="78" t="n"/>
      <c r="N666" s="78" t="n"/>
      <c r="O666" s="78" t="n"/>
      <c r="P666" s="78" t="n"/>
      <c r="Q666" s="78" t="n"/>
      <c r="R666" s="78" t="n"/>
      <c r="S666" s="78" t="n"/>
    </row>
    <row r="667" ht="15.75" customHeight="1" s="297">
      <c r="A667" s="36" t="n"/>
      <c r="B667" s="78" t="n"/>
      <c r="C667" s="78" t="n"/>
      <c r="D667" s="78" t="n"/>
      <c r="E667" s="78" t="n"/>
      <c r="F667" s="78" t="n"/>
      <c r="G667" s="78" t="n"/>
      <c r="H667" s="78" t="n"/>
      <c r="I667" s="78" t="n"/>
      <c r="J667" s="78" t="n"/>
      <c r="K667" s="78" t="n"/>
      <c r="L667" s="78" t="n"/>
      <c r="M667" s="78" t="n"/>
      <c r="N667" s="78" t="n"/>
      <c r="O667" s="78" t="n"/>
      <c r="P667" s="78" t="n"/>
      <c r="Q667" s="78" t="n"/>
      <c r="R667" s="78" t="n"/>
      <c r="S667" s="78" t="n"/>
    </row>
    <row r="668" ht="15.75" customHeight="1" s="297">
      <c r="A668" s="36" t="n"/>
      <c r="B668" s="78" t="n"/>
      <c r="C668" s="78" t="n"/>
      <c r="D668" s="78" t="n"/>
      <c r="E668" s="78" t="n"/>
      <c r="F668" s="78" t="n"/>
      <c r="G668" s="78" t="n"/>
      <c r="H668" s="78" t="n"/>
      <c r="I668" s="78" t="n"/>
      <c r="J668" s="78" t="n"/>
      <c r="K668" s="78" t="n"/>
      <c r="L668" s="78" t="n"/>
      <c r="M668" s="78" t="n"/>
      <c r="N668" s="78" t="n"/>
      <c r="O668" s="78" t="n"/>
      <c r="P668" s="78" t="n"/>
      <c r="Q668" s="78" t="n"/>
      <c r="R668" s="78" t="n"/>
      <c r="S668" s="78" t="n"/>
    </row>
    <row r="669" ht="15.75" customHeight="1" s="297">
      <c r="A669" s="36" t="n"/>
      <c r="B669" s="78" t="n"/>
      <c r="C669" s="78" t="n"/>
      <c r="D669" s="78" t="n"/>
      <c r="E669" s="78" t="n"/>
      <c r="F669" s="78" t="n"/>
      <c r="G669" s="78" t="n"/>
      <c r="H669" s="78" t="n"/>
      <c r="I669" s="78" t="n"/>
      <c r="J669" s="78" t="n"/>
      <c r="K669" s="78" t="n"/>
      <c r="L669" s="78" t="n"/>
      <c r="M669" s="78" t="n"/>
      <c r="N669" s="78" t="n"/>
      <c r="O669" s="78" t="n"/>
      <c r="P669" s="78" t="n"/>
      <c r="Q669" s="78" t="n"/>
      <c r="R669" s="78" t="n"/>
      <c r="S669" s="78" t="n"/>
    </row>
    <row r="670" ht="15.75" customHeight="1" s="297">
      <c r="A670" s="36" t="n"/>
      <c r="B670" s="78" t="n"/>
      <c r="C670" s="78" t="n"/>
      <c r="D670" s="78" t="n"/>
      <c r="E670" s="78" t="n"/>
      <c r="F670" s="78" t="n"/>
      <c r="G670" s="78" t="n"/>
      <c r="H670" s="78" t="n"/>
      <c r="I670" s="78" t="n"/>
      <c r="J670" s="78" t="n"/>
      <c r="K670" s="78" t="n"/>
      <c r="L670" s="78" t="n"/>
      <c r="M670" s="78" t="n"/>
      <c r="N670" s="78" t="n"/>
      <c r="O670" s="78" t="n"/>
      <c r="P670" s="78" t="n"/>
      <c r="Q670" s="78" t="n"/>
      <c r="R670" s="78" t="n"/>
      <c r="S670" s="78" t="n"/>
    </row>
    <row r="671" ht="15.75" customHeight="1" s="297">
      <c r="A671" s="36" t="n"/>
      <c r="B671" s="78" t="n"/>
      <c r="C671" s="78" t="n"/>
      <c r="D671" s="78" t="n"/>
      <c r="E671" s="78" t="n"/>
      <c r="F671" s="78" t="n"/>
      <c r="G671" s="78" t="n"/>
      <c r="H671" s="78" t="n"/>
      <c r="I671" s="78" t="n"/>
      <c r="J671" s="78" t="n"/>
      <c r="K671" s="78" t="n"/>
      <c r="L671" s="78" t="n"/>
      <c r="M671" s="78" t="n"/>
      <c r="N671" s="78" t="n"/>
      <c r="O671" s="78" t="n"/>
      <c r="P671" s="78" t="n"/>
      <c r="Q671" s="78" t="n"/>
      <c r="R671" s="78" t="n"/>
      <c r="S671" s="78" t="n"/>
    </row>
    <row r="672" ht="15.75" customHeight="1" s="297">
      <c r="A672" s="36" t="n"/>
      <c r="B672" s="78" t="n"/>
      <c r="C672" s="78" t="n"/>
      <c r="D672" s="78" t="n"/>
      <c r="E672" s="78" t="n"/>
      <c r="F672" s="78" t="n"/>
      <c r="G672" s="78" t="n"/>
      <c r="H672" s="78" t="n"/>
      <c r="I672" s="78" t="n"/>
      <c r="J672" s="78" t="n"/>
      <c r="K672" s="78" t="n"/>
      <c r="L672" s="78" t="n"/>
      <c r="M672" s="78" t="n"/>
      <c r="N672" s="78" t="n"/>
      <c r="O672" s="78" t="n"/>
      <c r="P672" s="78" t="n"/>
      <c r="Q672" s="78" t="n"/>
      <c r="R672" s="78" t="n"/>
      <c r="S672" s="78" t="n"/>
    </row>
    <row r="673" ht="15.75" customHeight="1" s="297">
      <c r="A673" s="36" t="n"/>
      <c r="B673" s="78" t="n"/>
      <c r="C673" s="78" t="n"/>
      <c r="D673" s="78" t="n"/>
      <c r="E673" s="78" t="n"/>
      <c r="F673" s="78" t="n"/>
      <c r="G673" s="78" t="n"/>
      <c r="H673" s="78" t="n"/>
      <c r="I673" s="78" t="n"/>
      <c r="J673" s="78" t="n"/>
      <c r="K673" s="78" t="n"/>
      <c r="L673" s="78" t="n"/>
      <c r="M673" s="78" t="n"/>
      <c r="N673" s="78" t="n"/>
      <c r="O673" s="78" t="n"/>
      <c r="P673" s="78" t="n"/>
      <c r="Q673" s="78" t="n"/>
      <c r="R673" s="78" t="n"/>
      <c r="S673" s="78" t="n"/>
    </row>
    <row r="674" ht="15.75" customHeight="1" s="297">
      <c r="A674" s="36" t="n"/>
      <c r="B674" s="78" t="n"/>
      <c r="C674" s="78" t="n"/>
      <c r="D674" s="78" t="n"/>
      <c r="E674" s="78" t="n"/>
      <c r="F674" s="78" t="n"/>
      <c r="G674" s="78" t="n"/>
      <c r="H674" s="78" t="n"/>
      <c r="I674" s="78" t="n"/>
      <c r="J674" s="78" t="n"/>
      <c r="K674" s="78" t="n"/>
      <c r="L674" s="78" t="n"/>
      <c r="M674" s="78" t="n"/>
      <c r="N674" s="78" t="n"/>
      <c r="O674" s="78" t="n"/>
      <c r="P674" s="78" t="n"/>
      <c r="Q674" s="78" t="n"/>
      <c r="R674" s="78" t="n"/>
      <c r="S674" s="78" t="n"/>
    </row>
    <row r="675" ht="15.75" customHeight="1" s="297">
      <c r="A675" s="36" t="n"/>
      <c r="B675" s="78" t="n"/>
      <c r="C675" s="78" t="n"/>
      <c r="D675" s="78" t="n"/>
      <c r="E675" s="78" t="n"/>
      <c r="F675" s="78" t="n"/>
      <c r="G675" s="78" t="n"/>
      <c r="H675" s="78" t="n"/>
      <c r="I675" s="78" t="n"/>
      <c r="J675" s="78" t="n"/>
      <c r="K675" s="78" t="n"/>
      <c r="L675" s="78" t="n"/>
      <c r="M675" s="78" t="n"/>
      <c r="N675" s="78" t="n"/>
      <c r="O675" s="78" t="n"/>
      <c r="P675" s="78" t="n"/>
      <c r="Q675" s="78" t="n"/>
      <c r="R675" s="78" t="n"/>
      <c r="S675" s="78" t="n"/>
    </row>
    <row r="676" ht="15.75" customHeight="1" s="297">
      <c r="A676" s="36" t="n"/>
      <c r="B676" s="78" t="n"/>
      <c r="C676" s="78" t="n"/>
      <c r="D676" s="78" t="n"/>
      <c r="E676" s="78" t="n"/>
      <c r="F676" s="78" t="n"/>
      <c r="G676" s="78" t="n"/>
      <c r="H676" s="78" t="n"/>
      <c r="I676" s="78" t="n"/>
      <c r="J676" s="78" t="n"/>
      <c r="K676" s="78" t="n"/>
      <c r="L676" s="78" t="n"/>
      <c r="M676" s="78" t="n"/>
      <c r="N676" s="78" t="n"/>
      <c r="O676" s="78" t="n"/>
      <c r="P676" s="78" t="n"/>
      <c r="Q676" s="78" t="n"/>
      <c r="R676" s="78" t="n"/>
      <c r="S676" s="78" t="n"/>
    </row>
    <row r="677" ht="15.75" customHeight="1" s="297">
      <c r="A677" s="36" t="n"/>
      <c r="B677" s="78" t="n"/>
      <c r="C677" s="78" t="n"/>
      <c r="D677" s="78" t="n"/>
      <c r="E677" s="78" t="n"/>
      <c r="F677" s="78" t="n"/>
      <c r="G677" s="78" t="n"/>
      <c r="H677" s="78" t="n"/>
      <c r="I677" s="78" t="n"/>
      <c r="J677" s="78" t="n"/>
      <c r="K677" s="78" t="n"/>
      <c r="L677" s="78" t="n"/>
      <c r="M677" s="78" t="n"/>
      <c r="N677" s="78" t="n"/>
      <c r="O677" s="78" t="n"/>
      <c r="P677" s="78" t="n"/>
      <c r="Q677" s="78" t="n"/>
      <c r="R677" s="78" t="n"/>
      <c r="S677" s="78" t="n"/>
    </row>
    <row r="678" ht="15.75" customHeight="1" s="297">
      <c r="A678" s="36" t="n"/>
      <c r="B678" s="78" t="n"/>
      <c r="C678" s="78" t="n"/>
      <c r="D678" s="78" t="n"/>
      <c r="E678" s="78" t="n"/>
      <c r="F678" s="78" t="n"/>
      <c r="G678" s="78" t="n"/>
      <c r="H678" s="78" t="n"/>
      <c r="I678" s="78" t="n"/>
      <c r="J678" s="78" t="n"/>
      <c r="K678" s="78" t="n"/>
      <c r="L678" s="78" t="n"/>
      <c r="M678" s="78" t="n"/>
      <c r="N678" s="78" t="n"/>
      <c r="O678" s="78" t="n"/>
      <c r="P678" s="78" t="n"/>
      <c r="Q678" s="78" t="n"/>
      <c r="R678" s="78" t="n"/>
      <c r="S678" s="78" t="n"/>
    </row>
    <row r="679" ht="15.75" customHeight="1" s="297">
      <c r="A679" s="36" t="n"/>
      <c r="B679" s="78" t="n"/>
      <c r="C679" s="78" t="n"/>
      <c r="D679" s="78" t="n"/>
      <c r="E679" s="78" t="n"/>
      <c r="F679" s="78" t="n"/>
      <c r="G679" s="78" t="n"/>
      <c r="H679" s="78" t="n"/>
      <c r="I679" s="78" t="n"/>
      <c r="J679" s="78" t="n"/>
      <c r="K679" s="78" t="n"/>
      <c r="L679" s="78" t="n"/>
      <c r="M679" s="78" t="n"/>
      <c r="N679" s="78" t="n"/>
      <c r="O679" s="78" t="n"/>
      <c r="P679" s="78" t="n"/>
      <c r="Q679" s="78" t="n"/>
      <c r="R679" s="78" t="n"/>
      <c r="S679" s="78" t="n"/>
    </row>
    <row r="680" ht="15.75" customHeight="1" s="297">
      <c r="A680" s="36" t="n"/>
      <c r="B680" s="78" t="n"/>
      <c r="C680" s="78" t="n"/>
      <c r="D680" s="78" t="n"/>
      <c r="E680" s="78" t="n"/>
      <c r="F680" s="78" t="n"/>
      <c r="G680" s="78" t="n"/>
      <c r="H680" s="78" t="n"/>
      <c r="I680" s="78" t="n"/>
      <c r="J680" s="78" t="n"/>
      <c r="K680" s="78" t="n"/>
      <c r="L680" s="78" t="n"/>
      <c r="M680" s="78" t="n"/>
      <c r="N680" s="78" t="n"/>
      <c r="O680" s="78" t="n"/>
      <c r="P680" s="78" t="n"/>
      <c r="Q680" s="78" t="n"/>
      <c r="R680" s="78" t="n"/>
      <c r="S680" s="78" t="n"/>
    </row>
    <row r="681" ht="15.75" customHeight="1" s="297">
      <c r="A681" s="36" t="n"/>
      <c r="B681" s="78" t="n"/>
      <c r="C681" s="78" t="n"/>
      <c r="D681" s="78" t="n"/>
      <c r="E681" s="78" t="n"/>
      <c r="F681" s="78" t="n"/>
      <c r="G681" s="78" t="n"/>
      <c r="H681" s="78" t="n"/>
      <c r="I681" s="78" t="n"/>
      <c r="J681" s="78" t="n"/>
      <c r="K681" s="78" t="n"/>
      <c r="L681" s="78" t="n"/>
      <c r="M681" s="78" t="n"/>
      <c r="N681" s="78" t="n"/>
      <c r="O681" s="78" t="n"/>
      <c r="P681" s="78" t="n"/>
      <c r="Q681" s="78" t="n"/>
      <c r="R681" s="78" t="n"/>
      <c r="S681" s="78" t="n"/>
    </row>
    <row r="682" ht="15.75" customHeight="1" s="297">
      <c r="A682" s="36" t="n"/>
      <c r="B682" s="78" t="n"/>
      <c r="C682" s="78" t="n"/>
      <c r="D682" s="78" t="n"/>
      <c r="E682" s="78" t="n"/>
      <c r="F682" s="78" t="n"/>
      <c r="G682" s="78" t="n"/>
      <c r="H682" s="78" t="n"/>
      <c r="I682" s="78" t="n"/>
      <c r="J682" s="78" t="n"/>
      <c r="K682" s="78" t="n"/>
      <c r="L682" s="78" t="n"/>
      <c r="M682" s="78" t="n"/>
      <c r="N682" s="78" t="n"/>
      <c r="O682" s="78" t="n"/>
      <c r="P682" s="78" t="n"/>
      <c r="Q682" s="78" t="n"/>
      <c r="R682" s="78" t="n"/>
      <c r="S682" s="78" t="n"/>
    </row>
    <row r="683" ht="15.75" customHeight="1" s="297">
      <c r="A683" s="36" t="n"/>
      <c r="B683" s="78" t="n"/>
      <c r="C683" s="78" t="n"/>
      <c r="D683" s="78" t="n"/>
      <c r="E683" s="78" t="n"/>
      <c r="F683" s="78" t="n"/>
      <c r="G683" s="78" t="n"/>
      <c r="H683" s="78" t="n"/>
      <c r="I683" s="78" t="n"/>
      <c r="J683" s="78" t="n"/>
      <c r="K683" s="78" t="n"/>
      <c r="L683" s="78" t="n"/>
      <c r="M683" s="78" t="n"/>
      <c r="N683" s="78" t="n"/>
      <c r="O683" s="78" t="n"/>
      <c r="P683" s="78" t="n"/>
      <c r="Q683" s="78" t="n"/>
      <c r="R683" s="78" t="n"/>
      <c r="S683" s="78" t="n"/>
    </row>
    <row r="684" ht="15.75" customHeight="1" s="297">
      <c r="A684" s="36" t="n"/>
      <c r="B684" s="78" t="n"/>
      <c r="C684" s="78" t="n"/>
      <c r="D684" s="78" t="n"/>
      <c r="E684" s="78" t="n"/>
      <c r="F684" s="78" t="n"/>
      <c r="G684" s="78" t="n"/>
      <c r="H684" s="78" t="n"/>
      <c r="I684" s="78" t="n"/>
      <c r="J684" s="78" t="n"/>
      <c r="K684" s="78" t="n"/>
      <c r="L684" s="78" t="n"/>
      <c r="M684" s="78" t="n"/>
      <c r="N684" s="78" t="n"/>
      <c r="O684" s="78" t="n"/>
      <c r="P684" s="78" t="n"/>
      <c r="Q684" s="78" t="n"/>
      <c r="R684" s="78" t="n"/>
      <c r="S684" s="78" t="n"/>
    </row>
    <row r="685" ht="15.75" customHeight="1" s="297">
      <c r="A685" s="36" t="n"/>
      <c r="B685" s="78" t="n"/>
      <c r="C685" s="78" t="n"/>
      <c r="D685" s="78" t="n"/>
      <c r="E685" s="78" t="n"/>
      <c r="F685" s="78" t="n"/>
      <c r="G685" s="78" t="n"/>
      <c r="H685" s="78" t="n"/>
      <c r="I685" s="78" t="n"/>
      <c r="J685" s="78" t="n"/>
      <c r="K685" s="78" t="n"/>
      <c r="L685" s="78" t="n"/>
      <c r="M685" s="78" t="n"/>
      <c r="N685" s="78" t="n"/>
      <c r="O685" s="78" t="n"/>
      <c r="P685" s="78" t="n"/>
      <c r="Q685" s="78" t="n"/>
      <c r="R685" s="78" t="n"/>
      <c r="S685" s="78" t="n"/>
    </row>
    <row r="686" ht="15.75" customHeight="1" s="297">
      <c r="A686" s="36" t="n"/>
      <c r="B686" s="78" t="n"/>
      <c r="C686" s="78" t="n"/>
      <c r="D686" s="78" t="n"/>
      <c r="E686" s="78" t="n"/>
      <c r="F686" s="78" t="n"/>
      <c r="G686" s="78" t="n"/>
      <c r="H686" s="78" t="n"/>
      <c r="I686" s="78" t="n"/>
      <c r="J686" s="78" t="n"/>
      <c r="K686" s="78" t="n"/>
      <c r="L686" s="78" t="n"/>
      <c r="M686" s="78" t="n"/>
      <c r="N686" s="78" t="n"/>
      <c r="O686" s="78" t="n"/>
      <c r="P686" s="78" t="n"/>
      <c r="Q686" s="78" t="n"/>
      <c r="R686" s="78" t="n"/>
      <c r="S686" s="78" t="n"/>
    </row>
    <row r="687" ht="15.75" customHeight="1" s="297">
      <c r="A687" s="36" t="n"/>
      <c r="B687" s="78" t="n"/>
      <c r="C687" s="78" t="n"/>
      <c r="D687" s="78" t="n"/>
      <c r="E687" s="78" t="n"/>
      <c r="F687" s="78" t="n"/>
      <c r="G687" s="78" t="n"/>
      <c r="H687" s="78" t="n"/>
      <c r="I687" s="78" t="n"/>
      <c r="J687" s="78" t="n"/>
      <c r="K687" s="78" t="n"/>
      <c r="L687" s="78" t="n"/>
      <c r="M687" s="78" t="n"/>
      <c r="N687" s="78" t="n"/>
      <c r="O687" s="78" t="n"/>
      <c r="P687" s="78" t="n"/>
      <c r="Q687" s="78" t="n"/>
      <c r="R687" s="78" t="n"/>
      <c r="S687" s="78" t="n"/>
    </row>
    <row r="688" ht="15.75" customHeight="1" s="297">
      <c r="A688" s="36" t="n"/>
      <c r="B688" s="78" t="n"/>
      <c r="C688" s="78" t="n"/>
      <c r="D688" s="78" t="n"/>
      <c r="E688" s="78" t="n"/>
      <c r="F688" s="78" t="n"/>
      <c r="G688" s="78" t="n"/>
      <c r="H688" s="78" t="n"/>
      <c r="I688" s="78" t="n"/>
      <c r="J688" s="78" t="n"/>
      <c r="K688" s="78" t="n"/>
      <c r="L688" s="78" t="n"/>
      <c r="M688" s="78" t="n"/>
      <c r="N688" s="78" t="n"/>
      <c r="O688" s="78" t="n"/>
      <c r="P688" s="78" t="n"/>
      <c r="Q688" s="78" t="n"/>
      <c r="R688" s="78" t="n"/>
      <c r="S688" s="78" t="n"/>
    </row>
    <row r="689" ht="15.75" customHeight="1" s="297">
      <c r="A689" s="36" t="n"/>
      <c r="B689" s="78" t="n"/>
      <c r="C689" s="78" t="n"/>
      <c r="D689" s="78" t="n"/>
      <c r="E689" s="78" t="n"/>
      <c r="F689" s="78" t="n"/>
      <c r="G689" s="78" t="n"/>
      <c r="H689" s="78" t="n"/>
      <c r="I689" s="78" t="n"/>
      <c r="J689" s="78" t="n"/>
      <c r="K689" s="78" t="n"/>
      <c r="L689" s="78" t="n"/>
      <c r="M689" s="78" t="n"/>
      <c r="N689" s="78" t="n"/>
      <c r="O689" s="78" t="n"/>
      <c r="P689" s="78" t="n"/>
      <c r="Q689" s="78" t="n"/>
      <c r="R689" s="78" t="n"/>
      <c r="S689" s="78" t="n"/>
    </row>
    <row r="690" ht="15.75" customHeight="1" s="297">
      <c r="A690" s="36" t="n"/>
      <c r="B690" s="78" t="n"/>
      <c r="C690" s="78" t="n"/>
      <c r="D690" s="78" t="n"/>
      <c r="E690" s="78" t="n"/>
      <c r="F690" s="78" t="n"/>
      <c r="G690" s="78" t="n"/>
      <c r="H690" s="78" t="n"/>
      <c r="I690" s="78" t="n"/>
      <c r="J690" s="78" t="n"/>
      <c r="K690" s="78" t="n"/>
      <c r="L690" s="78" t="n"/>
      <c r="M690" s="78" t="n"/>
      <c r="N690" s="78" t="n"/>
      <c r="O690" s="78" t="n"/>
      <c r="P690" s="78" t="n"/>
      <c r="Q690" s="78" t="n"/>
      <c r="R690" s="78" t="n"/>
      <c r="S690" s="78" t="n"/>
    </row>
    <row r="691" ht="15.75" customHeight="1" s="297">
      <c r="A691" s="36" t="n"/>
      <c r="B691" s="78" t="n"/>
      <c r="C691" s="78" t="n"/>
      <c r="D691" s="78" t="n"/>
      <c r="E691" s="78" t="n"/>
      <c r="F691" s="78" t="n"/>
      <c r="G691" s="78" t="n"/>
      <c r="H691" s="78" t="n"/>
      <c r="I691" s="78" t="n"/>
      <c r="J691" s="78" t="n"/>
      <c r="K691" s="78" t="n"/>
      <c r="L691" s="78" t="n"/>
      <c r="M691" s="78" t="n"/>
      <c r="N691" s="78" t="n"/>
      <c r="O691" s="78" t="n"/>
      <c r="P691" s="78" t="n"/>
      <c r="Q691" s="78" t="n"/>
      <c r="R691" s="78" t="n"/>
      <c r="S691" s="78" t="n"/>
    </row>
    <row r="692" ht="15.75" customHeight="1" s="297">
      <c r="A692" s="36" t="n"/>
      <c r="B692" s="78" t="n"/>
      <c r="C692" s="78" t="n"/>
      <c r="D692" s="78" t="n"/>
      <c r="E692" s="78" t="n"/>
      <c r="F692" s="78" t="n"/>
      <c r="G692" s="78" t="n"/>
      <c r="H692" s="78" t="n"/>
      <c r="I692" s="78" t="n"/>
      <c r="J692" s="78" t="n"/>
      <c r="K692" s="78" t="n"/>
      <c r="L692" s="78" t="n"/>
      <c r="M692" s="78" t="n"/>
      <c r="N692" s="78" t="n"/>
      <c r="O692" s="78" t="n"/>
      <c r="P692" s="78" t="n"/>
      <c r="Q692" s="78" t="n"/>
      <c r="R692" s="78" t="n"/>
      <c r="S692" s="78" t="n"/>
    </row>
    <row r="693" ht="15.75" customHeight="1" s="297">
      <c r="A693" s="36" t="n"/>
      <c r="B693" s="78" t="n"/>
      <c r="C693" s="78" t="n"/>
      <c r="D693" s="78" t="n"/>
      <c r="E693" s="78" t="n"/>
      <c r="F693" s="78" t="n"/>
      <c r="G693" s="78" t="n"/>
      <c r="H693" s="78" t="n"/>
      <c r="I693" s="78" t="n"/>
      <c r="J693" s="78" t="n"/>
      <c r="K693" s="78" t="n"/>
      <c r="L693" s="78" t="n"/>
      <c r="M693" s="78" t="n"/>
      <c r="N693" s="78" t="n"/>
      <c r="O693" s="78" t="n"/>
      <c r="P693" s="78" t="n"/>
      <c r="Q693" s="78" t="n"/>
      <c r="R693" s="78" t="n"/>
      <c r="S693" s="78" t="n"/>
    </row>
    <row r="694" ht="15.75" customHeight="1" s="297">
      <c r="A694" s="36" t="n"/>
      <c r="B694" s="78" t="n"/>
      <c r="C694" s="78" t="n"/>
      <c r="D694" s="78" t="n"/>
      <c r="E694" s="78" t="n"/>
      <c r="F694" s="78" t="n"/>
      <c r="G694" s="78" t="n"/>
      <c r="H694" s="78" t="n"/>
      <c r="I694" s="78" t="n"/>
      <c r="J694" s="78" t="n"/>
      <c r="K694" s="78" t="n"/>
      <c r="L694" s="78" t="n"/>
      <c r="M694" s="78" t="n"/>
      <c r="N694" s="78" t="n"/>
      <c r="O694" s="78" t="n"/>
      <c r="P694" s="78" t="n"/>
      <c r="Q694" s="78" t="n"/>
      <c r="R694" s="78" t="n"/>
      <c r="S694" s="78" t="n"/>
    </row>
    <row r="695" ht="15.75" customHeight="1" s="297">
      <c r="A695" s="36" t="n"/>
      <c r="B695" s="78" t="n"/>
      <c r="C695" s="78" t="n"/>
      <c r="D695" s="78" t="n"/>
      <c r="E695" s="78" t="n"/>
      <c r="F695" s="78" t="n"/>
      <c r="G695" s="78" t="n"/>
      <c r="H695" s="78" t="n"/>
      <c r="I695" s="78" t="n"/>
      <c r="J695" s="78" t="n"/>
      <c r="K695" s="78" t="n"/>
      <c r="L695" s="78" t="n"/>
      <c r="M695" s="78" t="n"/>
      <c r="N695" s="78" t="n"/>
      <c r="O695" s="78" t="n"/>
      <c r="P695" s="78" t="n"/>
      <c r="Q695" s="78" t="n"/>
      <c r="R695" s="78" t="n"/>
      <c r="S695" s="78" t="n"/>
    </row>
    <row r="696" ht="15.75" customHeight="1" s="297">
      <c r="A696" s="36" t="n"/>
      <c r="B696" s="78" t="n"/>
      <c r="C696" s="78" t="n"/>
      <c r="D696" s="78" t="n"/>
      <c r="E696" s="78" t="n"/>
      <c r="F696" s="78" t="n"/>
      <c r="G696" s="78" t="n"/>
      <c r="H696" s="78" t="n"/>
      <c r="I696" s="78" t="n"/>
      <c r="J696" s="78" t="n"/>
      <c r="K696" s="78" t="n"/>
      <c r="L696" s="78" t="n"/>
      <c r="M696" s="78" t="n"/>
      <c r="N696" s="78" t="n"/>
      <c r="O696" s="78" t="n"/>
      <c r="P696" s="78" t="n"/>
      <c r="Q696" s="78" t="n"/>
      <c r="R696" s="78" t="n"/>
      <c r="S696" s="78" t="n"/>
    </row>
    <row r="697" ht="15.75" customHeight="1" s="297">
      <c r="A697" s="36" t="n"/>
      <c r="B697" s="78" t="n"/>
      <c r="C697" s="78" t="n"/>
      <c r="D697" s="78" t="n"/>
      <c r="E697" s="78" t="n"/>
      <c r="F697" s="78" t="n"/>
      <c r="G697" s="78" t="n"/>
      <c r="H697" s="78" t="n"/>
      <c r="I697" s="78" t="n"/>
      <c r="J697" s="78" t="n"/>
      <c r="K697" s="78" t="n"/>
      <c r="L697" s="78" t="n"/>
      <c r="M697" s="78" t="n"/>
      <c r="N697" s="78" t="n"/>
      <c r="O697" s="78" t="n"/>
      <c r="P697" s="78" t="n"/>
      <c r="Q697" s="78" t="n"/>
      <c r="R697" s="78" t="n"/>
      <c r="S697" s="78" t="n"/>
    </row>
    <row r="698" ht="15.75" customHeight="1" s="297">
      <c r="A698" s="36" t="n"/>
      <c r="B698" s="78" t="n"/>
      <c r="C698" s="78" t="n"/>
      <c r="D698" s="78" t="n"/>
      <c r="E698" s="78" t="n"/>
      <c r="F698" s="78" t="n"/>
      <c r="G698" s="78" t="n"/>
      <c r="H698" s="78" t="n"/>
      <c r="I698" s="78" t="n"/>
      <c r="J698" s="78" t="n"/>
      <c r="K698" s="78" t="n"/>
      <c r="L698" s="78" t="n"/>
      <c r="M698" s="78" t="n"/>
      <c r="N698" s="78" t="n"/>
      <c r="O698" s="78" t="n"/>
      <c r="P698" s="78" t="n"/>
      <c r="Q698" s="78" t="n"/>
      <c r="R698" s="78" t="n"/>
      <c r="S698" s="78" t="n"/>
    </row>
    <row r="699" ht="15.75" customHeight="1" s="297">
      <c r="A699" s="36" t="n"/>
      <c r="B699" s="78" t="n"/>
      <c r="C699" s="78" t="n"/>
      <c r="D699" s="78" t="n"/>
      <c r="E699" s="78" t="n"/>
      <c r="F699" s="78" t="n"/>
      <c r="G699" s="78" t="n"/>
      <c r="H699" s="78" t="n"/>
      <c r="I699" s="78" t="n"/>
      <c r="J699" s="78" t="n"/>
      <c r="K699" s="78" t="n"/>
      <c r="L699" s="78" t="n"/>
      <c r="M699" s="78" t="n"/>
      <c r="N699" s="78" t="n"/>
      <c r="O699" s="78" t="n"/>
      <c r="P699" s="78" t="n"/>
      <c r="Q699" s="78" t="n"/>
      <c r="R699" s="78" t="n"/>
      <c r="S699" s="78" t="n"/>
    </row>
    <row r="700" ht="15.75" customHeight="1" s="297">
      <c r="A700" s="36" t="n"/>
      <c r="B700" s="78" t="n"/>
      <c r="C700" s="78" t="n"/>
      <c r="D700" s="78" t="n"/>
      <c r="E700" s="78" t="n"/>
      <c r="F700" s="78" t="n"/>
      <c r="G700" s="78" t="n"/>
      <c r="H700" s="78" t="n"/>
      <c r="I700" s="78" t="n"/>
      <c r="J700" s="78" t="n"/>
      <c r="K700" s="78" t="n"/>
      <c r="L700" s="78" t="n"/>
      <c r="M700" s="78" t="n"/>
      <c r="N700" s="78" t="n"/>
      <c r="O700" s="78" t="n"/>
      <c r="P700" s="78" t="n"/>
      <c r="Q700" s="78" t="n"/>
      <c r="R700" s="78" t="n"/>
      <c r="S700" s="78" t="n"/>
    </row>
    <row r="701" ht="15.75" customHeight="1" s="297">
      <c r="A701" s="36" t="n"/>
      <c r="B701" s="78" t="n"/>
      <c r="C701" s="78" t="n"/>
      <c r="D701" s="78" t="n"/>
      <c r="E701" s="78" t="n"/>
      <c r="F701" s="78" t="n"/>
      <c r="G701" s="78" t="n"/>
      <c r="H701" s="78" t="n"/>
      <c r="I701" s="78" t="n"/>
      <c r="J701" s="78" t="n"/>
      <c r="K701" s="78" t="n"/>
      <c r="L701" s="78" t="n"/>
      <c r="M701" s="78" t="n"/>
      <c r="N701" s="78" t="n"/>
      <c r="O701" s="78" t="n"/>
      <c r="P701" s="78" t="n"/>
      <c r="Q701" s="78" t="n"/>
      <c r="R701" s="78" t="n"/>
      <c r="S701" s="78" t="n"/>
    </row>
    <row r="702" ht="15.75" customHeight="1" s="297">
      <c r="A702" s="36" t="n"/>
      <c r="B702" s="78" t="n"/>
      <c r="C702" s="78" t="n"/>
      <c r="D702" s="78" t="n"/>
      <c r="E702" s="78" t="n"/>
      <c r="F702" s="78" t="n"/>
      <c r="G702" s="78" t="n"/>
      <c r="H702" s="78" t="n"/>
      <c r="I702" s="78" t="n"/>
      <c r="J702" s="78" t="n"/>
      <c r="K702" s="78" t="n"/>
      <c r="L702" s="78" t="n"/>
      <c r="M702" s="78" t="n"/>
      <c r="N702" s="78" t="n"/>
      <c r="O702" s="78" t="n"/>
      <c r="P702" s="78" t="n"/>
      <c r="Q702" s="78" t="n"/>
      <c r="R702" s="78" t="n"/>
      <c r="S702" s="78" t="n"/>
    </row>
    <row r="703" ht="15.75" customHeight="1" s="297">
      <c r="A703" s="36" t="n"/>
      <c r="B703" s="78" t="n"/>
      <c r="C703" s="78" t="n"/>
      <c r="D703" s="78" t="n"/>
      <c r="E703" s="78" t="n"/>
      <c r="F703" s="78" t="n"/>
      <c r="G703" s="78" t="n"/>
      <c r="H703" s="78" t="n"/>
      <c r="I703" s="78" t="n"/>
      <c r="J703" s="78" t="n"/>
      <c r="K703" s="78" t="n"/>
      <c r="L703" s="78" t="n"/>
      <c r="M703" s="78" t="n"/>
      <c r="N703" s="78" t="n"/>
      <c r="O703" s="78" t="n"/>
      <c r="P703" s="78" t="n"/>
      <c r="Q703" s="78" t="n"/>
      <c r="R703" s="78" t="n"/>
      <c r="S703" s="78" t="n"/>
    </row>
    <row r="704" ht="15.75" customHeight="1" s="297">
      <c r="A704" s="36" t="n"/>
      <c r="B704" s="78" t="n"/>
      <c r="C704" s="78" t="n"/>
      <c r="D704" s="78" t="n"/>
      <c r="E704" s="78" t="n"/>
      <c r="F704" s="78" t="n"/>
      <c r="G704" s="78" t="n"/>
      <c r="H704" s="78" t="n"/>
      <c r="I704" s="78" t="n"/>
      <c r="J704" s="78" t="n"/>
      <c r="K704" s="78" t="n"/>
      <c r="L704" s="78" t="n"/>
      <c r="M704" s="78" t="n"/>
      <c r="N704" s="78" t="n"/>
      <c r="O704" s="78" t="n"/>
      <c r="P704" s="78" t="n"/>
      <c r="Q704" s="78" t="n"/>
      <c r="R704" s="78" t="n"/>
      <c r="S704" s="78" t="n"/>
    </row>
    <row r="705" ht="15.75" customHeight="1" s="297">
      <c r="A705" s="36" t="n"/>
      <c r="B705" s="78" t="n"/>
      <c r="C705" s="78" t="n"/>
      <c r="D705" s="78" t="n"/>
      <c r="E705" s="78" t="n"/>
      <c r="F705" s="78" t="n"/>
      <c r="G705" s="78" t="n"/>
      <c r="H705" s="78" t="n"/>
      <c r="I705" s="78" t="n"/>
      <c r="J705" s="78" t="n"/>
      <c r="K705" s="78" t="n"/>
      <c r="L705" s="78" t="n"/>
      <c r="M705" s="78" t="n"/>
      <c r="N705" s="78" t="n"/>
      <c r="O705" s="78" t="n"/>
      <c r="P705" s="78" t="n"/>
      <c r="Q705" s="78" t="n"/>
      <c r="R705" s="78" t="n"/>
      <c r="S705" s="78" t="n"/>
    </row>
    <row r="706" ht="15.75" customHeight="1" s="297">
      <c r="A706" s="36" t="n"/>
      <c r="B706" s="78" t="n"/>
      <c r="C706" s="78" t="n"/>
      <c r="D706" s="78" t="n"/>
      <c r="E706" s="78" t="n"/>
      <c r="F706" s="78" t="n"/>
      <c r="G706" s="78" t="n"/>
      <c r="H706" s="78" t="n"/>
      <c r="I706" s="78" t="n"/>
      <c r="J706" s="78" t="n"/>
      <c r="K706" s="78" t="n"/>
      <c r="L706" s="78" t="n"/>
      <c r="M706" s="78" t="n"/>
      <c r="N706" s="78" t="n"/>
      <c r="O706" s="78" t="n"/>
      <c r="P706" s="78" t="n"/>
      <c r="Q706" s="78" t="n"/>
      <c r="R706" s="78" t="n"/>
      <c r="S706" s="78" t="n"/>
    </row>
    <row r="707" ht="15.75" customHeight="1" s="297">
      <c r="A707" s="36" t="n"/>
      <c r="B707" s="78" t="n"/>
      <c r="C707" s="78" t="n"/>
      <c r="D707" s="78" t="n"/>
      <c r="E707" s="78" t="n"/>
      <c r="F707" s="78" t="n"/>
      <c r="G707" s="78" t="n"/>
      <c r="H707" s="78" t="n"/>
      <c r="I707" s="78" t="n"/>
      <c r="J707" s="78" t="n"/>
      <c r="K707" s="78" t="n"/>
      <c r="L707" s="78" t="n"/>
      <c r="M707" s="78" t="n"/>
      <c r="N707" s="78" t="n"/>
      <c r="O707" s="78" t="n"/>
      <c r="P707" s="78" t="n"/>
      <c r="Q707" s="78" t="n"/>
      <c r="R707" s="78" t="n"/>
      <c r="S707" s="78" t="n"/>
    </row>
    <row r="708" ht="15.75" customHeight="1" s="297">
      <c r="A708" s="36" t="n"/>
      <c r="B708" s="78" t="n"/>
      <c r="C708" s="78" t="n"/>
      <c r="D708" s="78" t="n"/>
      <c r="E708" s="78" t="n"/>
      <c r="F708" s="78" t="n"/>
      <c r="G708" s="78" t="n"/>
      <c r="H708" s="78" t="n"/>
      <c r="I708" s="78" t="n"/>
      <c r="J708" s="78" t="n"/>
      <c r="K708" s="78" t="n"/>
      <c r="L708" s="78" t="n"/>
      <c r="M708" s="78" t="n"/>
      <c r="N708" s="78" t="n"/>
      <c r="O708" s="78" t="n"/>
      <c r="P708" s="78" t="n"/>
      <c r="Q708" s="78" t="n"/>
      <c r="R708" s="78" t="n"/>
      <c r="S708" s="78" t="n"/>
    </row>
    <row r="709" ht="15.75" customHeight="1" s="297">
      <c r="A709" s="36" t="n"/>
      <c r="B709" s="78" t="n"/>
      <c r="C709" s="78" t="n"/>
      <c r="D709" s="78" t="n"/>
      <c r="E709" s="78" t="n"/>
      <c r="F709" s="78" t="n"/>
      <c r="G709" s="78" t="n"/>
      <c r="H709" s="78" t="n"/>
      <c r="I709" s="78" t="n"/>
      <c r="J709" s="78" t="n"/>
      <c r="K709" s="78" t="n"/>
      <c r="L709" s="78" t="n"/>
      <c r="M709" s="78" t="n"/>
      <c r="N709" s="78" t="n"/>
      <c r="O709" s="78" t="n"/>
      <c r="P709" s="78" t="n"/>
      <c r="Q709" s="78" t="n"/>
      <c r="R709" s="78" t="n"/>
      <c r="S709" s="78" t="n"/>
    </row>
    <row r="710" ht="15.75" customHeight="1" s="297">
      <c r="A710" s="36" t="n"/>
      <c r="B710" s="78" t="n"/>
      <c r="C710" s="78" t="n"/>
      <c r="D710" s="78" t="n"/>
      <c r="E710" s="78" t="n"/>
      <c r="F710" s="78" t="n"/>
      <c r="G710" s="78" t="n"/>
      <c r="H710" s="78" t="n"/>
      <c r="I710" s="78" t="n"/>
      <c r="J710" s="78" t="n"/>
      <c r="K710" s="78" t="n"/>
      <c r="L710" s="78" t="n"/>
      <c r="M710" s="78" t="n"/>
      <c r="N710" s="78" t="n"/>
      <c r="O710" s="78" t="n"/>
      <c r="P710" s="78" t="n"/>
      <c r="Q710" s="78" t="n"/>
      <c r="R710" s="78" t="n"/>
      <c r="S710" s="78" t="n"/>
    </row>
    <row r="711" ht="15.75" customHeight="1" s="297">
      <c r="A711" s="36" t="n"/>
      <c r="B711" s="78" t="n"/>
      <c r="C711" s="78" t="n"/>
      <c r="D711" s="78" t="n"/>
      <c r="E711" s="78" t="n"/>
      <c r="F711" s="78" t="n"/>
      <c r="G711" s="78" t="n"/>
      <c r="H711" s="78" t="n"/>
      <c r="I711" s="78" t="n"/>
      <c r="J711" s="78" t="n"/>
      <c r="K711" s="78" t="n"/>
      <c r="L711" s="78" t="n"/>
      <c r="M711" s="78" t="n"/>
      <c r="N711" s="78" t="n"/>
      <c r="O711" s="78" t="n"/>
      <c r="P711" s="78" t="n"/>
      <c r="Q711" s="78" t="n"/>
      <c r="R711" s="78" t="n"/>
      <c r="S711" s="78" t="n"/>
    </row>
    <row r="712" ht="15.75" customHeight="1" s="297">
      <c r="A712" s="36" t="n"/>
      <c r="B712" s="78" t="n"/>
      <c r="C712" s="78" t="n"/>
      <c r="D712" s="78" t="n"/>
      <c r="E712" s="78" t="n"/>
      <c r="F712" s="78" t="n"/>
      <c r="G712" s="78" t="n"/>
      <c r="H712" s="78" t="n"/>
      <c r="I712" s="78" t="n"/>
      <c r="J712" s="78" t="n"/>
      <c r="K712" s="78" t="n"/>
      <c r="L712" s="78" t="n"/>
      <c r="M712" s="78" t="n"/>
      <c r="N712" s="78" t="n"/>
      <c r="O712" s="78" t="n"/>
      <c r="P712" s="78" t="n"/>
      <c r="Q712" s="78" t="n"/>
      <c r="R712" s="78" t="n"/>
      <c r="S712" s="78" t="n"/>
    </row>
    <row r="713" ht="15.75" customHeight="1" s="297">
      <c r="A713" s="36" t="n"/>
      <c r="B713" s="78" t="n"/>
      <c r="C713" s="78" t="n"/>
      <c r="D713" s="78" t="n"/>
      <c r="E713" s="78" t="n"/>
      <c r="F713" s="78" t="n"/>
      <c r="G713" s="78" t="n"/>
      <c r="H713" s="78" t="n"/>
      <c r="I713" s="78" t="n"/>
      <c r="J713" s="78" t="n"/>
      <c r="K713" s="78" t="n"/>
      <c r="L713" s="78" t="n"/>
      <c r="M713" s="78" t="n"/>
      <c r="N713" s="78" t="n"/>
      <c r="O713" s="78" t="n"/>
      <c r="P713" s="78" t="n"/>
      <c r="Q713" s="78" t="n"/>
      <c r="R713" s="78" t="n"/>
      <c r="S713" s="78" t="n"/>
    </row>
    <row r="714" ht="15.75" customHeight="1" s="297">
      <c r="A714" s="36" t="n"/>
      <c r="B714" s="78" t="n"/>
      <c r="C714" s="78" t="n"/>
      <c r="D714" s="78" t="n"/>
      <c r="E714" s="78" t="n"/>
      <c r="F714" s="78" t="n"/>
      <c r="G714" s="78" t="n"/>
      <c r="H714" s="78" t="n"/>
      <c r="I714" s="78" t="n"/>
      <c r="J714" s="78" t="n"/>
      <c r="K714" s="78" t="n"/>
      <c r="L714" s="78" t="n"/>
      <c r="M714" s="78" t="n"/>
      <c r="N714" s="78" t="n"/>
      <c r="O714" s="78" t="n"/>
      <c r="P714" s="78" t="n"/>
      <c r="Q714" s="78" t="n"/>
      <c r="R714" s="78" t="n"/>
      <c r="S714" s="78" t="n"/>
    </row>
    <row r="715" ht="15.75" customHeight="1" s="297">
      <c r="A715" s="36" t="n"/>
      <c r="B715" s="78" t="n"/>
      <c r="C715" s="78" t="n"/>
      <c r="D715" s="78" t="n"/>
      <c r="E715" s="78" t="n"/>
      <c r="F715" s="78" t="n"/>
      <c r="G715" s="78" t="n"/>
      <c r="H715" s="78" t="n"/>
      <c r="I715" s="78" t="n"/>
      <c r="J715" s="78" t="n"/>
      <c r="K715" s="78" t="n"/>
      <c r="L715" s="78" t="n"/>
      <c r="M715" s="78" t="n"/>
      <c r="N715" s="78" t="n"/>
      <c r="O715" s="78" t="n"/>
      <c r="P715" s="78" t="n"/>
      <c r="Q715" s="78" t="n"/>
      <c r="R715" s="78" t="n"/>
      <c r="S715" s="78" t="n"/>
    </row>
    <row r="716" ht="15.75" customHeight="1" s="297">
      <c r="A716" s="36" t="n"/>
      <c r="B716" s="78" t="n"/>
      <c r="C716" s="78" t="n"/>
      <c r="D716" s="78" t="n"/>
      <c r="E716" s="78" t="n"/>
      <c r="F716" s="78" t="n"/>
      <c r="G716" s="78" t="n"/>
      <c r="H716" s="78" t="n"/>
      <c r="I716" s="78" t="n"/>
      <c r="J716" s="78" t="n"/>
      <c r="K716" s="78" t="n"/>
      <c r="L716" s="78" t="n"/>
      <c r="M716" s="78" t="n"/>
      <c r="N716" s="78" t="n"/>
      <c r="O716" s="78" t="n"/>
      <c r="P716" s="78" t="n"/>
      <c r="Q716" s="78" t="n"/>
      <c r="R716" s="78" t="n"/>
      <c r="S716" s="78" t="n"/>
    </row>
    <row r="717" ht="15.75" customHeight="1" s="297">
      <c r="A717" s="36" t="n"/>
      <c r="B717" s="78" t="n"/>
      <c r="C717" s="78" t="n"/>
      <c r="D717" s="78" t="n"/>
      <c r="E717" s="78" t="n"/>
      <c r="F717" s="78" t="n"/>
      <c r="G717" s="78" t="n"/>
      <c r="H717" s="78" t="n"/>
      <c r="I717" s="78" t="n"/>
      <c r="J717" s="78" t="n"/>
      <c r="K717" s="78" t="n"/>
      <c r="L717" s="78" t="n"/>
      <c r="M717" s="78" t="n"/>
      <c r="N717" s="78" t="n"/>
      <c r="O717" s="78" t="n"/>
      <c r="P717" s="78" t="n"/>
      <c r="Q717" s="78" t="n"/>
      <c r="R717" s="78" t="n"/>
      <c r="S717" s="78" t="n"/>
    </row>
    <row r="718" ht="15.75" customHeight="1" s="297">
      <c r="A718" s="36" t="n"/>
      <c r="B718" s="78" t="n"/>
      <c r="C718" s="78" t="n"/>
      <c r="D718" s="78" t="n"/>
      <c r="E718" s="78" t="n"/>
      <c r="F718" s="78" t="n"/>
      <c r="G718" s="78" t="n"/>
      <c r="H718" s="78" t="n"/>
      <c r="I718" s="78" t="n"/>
      <c r="J718" s="78" t="n"/>
      <c r="K718" s="78" t="n"/>
      <c r="L718" s="78" t="n"/>
      <c r="M718" s="78" t="n"/>
      <c r="N718" s="78" t="n"/>
      <c r="O718" s="78" t="n"/>
      <c r="P718" s="78" t="n"/>
      <c r="Q718" s="78" t="n"/>
      <c r="R718" s="78" t="n"/>
      <c r="S718" s="78" t="n"/>
    </row>
    <row r="719" ht="15.75" customHeight="1" s="297">
      <c r="A719" s="36" t="n"/>
      <c r="B719" s="78" t="n"/>
      <c r="C719" s="78" t="n"/>
      <c r="D719" s="78" t="n"/>
      <c r="E719" s="78" t="n"/>
      <c r="F719" s="78" t="n"/>
      <c r="G719" s="78" t="n"/>
      <c r="H719" s="78" t="n"/>
      <c r="I719" s="78" t="n"/>
      <c r="J719" s="78" t="n"/>
      <c r="K719" s="78" t="n"/>
      <c r="L719" s="78" t="n"/>
      <c r="M719" s="78" t="n"/>
      <c r="N719" s="78" t="n"/>
      <c r="O719" s="78" t="n"/>
      <c r="P719" s="78" t="n"/>
      <c r="Q719" s="78" t="n"/>
      <c r="R719" s="78" t="n"/>
      <c r="S719" s="78" t="n"/>
    </row>
    <row r="720" ht="15.75" customHeight="1" s="297">
      <c r="A720" s="36" t="n"/>
      <c r="B720" s="78" t="n"/>
      <c r="C720" s="78" t="n"/>
      <c r="D720" s="78" t="n"/>
      <c r="E720" s="78" t="n"/>
      <c r="F720" s="78" t="n"/>
      <c r="G720" s="78" t="n"/>
      <c r="H720" s="78" t="n"/>
      <c r="I720" s="78" t="n"/>
      <c r="J720" s="78" t="n"/>
      <c r="K720" s="78" t="n"/>
      <c r="L720" s="78" t="n"/>
      <c r="M720" s="78" t="n"/>
      <c r="N720" s="78" t="n"/>
      <c r="O720" s="78" t="n"/>
      <c r="P720" s="78" t="n"/>
      <c r="Q720" s="78" t="n"/>
      <c r="R720" s="78" t="n"/>
      <c r="S720" s="78" t="n"/>
    </row>
    <row r="721" ht="15.75" customHeight="1" s="297">
      <c r="A721" s="36" t="n"/>
      <c r="B721" s="78" t="n"/>
      <c r="C721" s="78" t="n"/>
      <c r="D721" s="78" t="n"/>
      <c r="E721" s="78" t="n"/>
      <c r="F721" s="78" t="n"/>
      <c r="G721" s="78" t="n"/>
      <c r="H721" s="78" t="n"/>
      <c r="I721" s="78" t="n"/>
      <c r="J721" s="78" t="n"/>
      <c r="K721" s="78" t="n"/>
      <c r="L721" s="78" t="n"/>
      <c r="M721" s="78" t="n"/>
      <c r="N721" s="78" t="n"/>
      <c r="O721" s="78" t="n"/>
      <c r="P721" s="78" t="n"/>
      <c r="Q721" s="78" t="n"/>
      <c r="R721" s="78" t="n"/>
      <c r="S721" s="78" t="n"/>
    </row>
    <row r="722" ht="15.75" customHeight="1" s="297">
      <c r="A722" s="36" t="n"/>
      <c r="B722" s="78" t="n"/>
      <c r="C722" s="78" t="n"/>
      <c r="D722" s="78" t="n"/>
      <c r="E722" s="78" t="n"/>
      <c r="F722" s="78" t="n"/>
      <c r="G722" s="78" t="n"/>
      <c r="H722" s="78" t="n"/>
      <c r="I722" s="78" t="n"/>
      <c r="J722" s="78" t="n"/>
      <c r="K722" s="78" t="n"/>
      <c r="L722" s="78" t="n"/>
      <c r="M722" s="78" t="n"/>
      <c r="N722" s="78" t="n"/>
      <c r="O722" s="78" t="n"/>
      <c r="P722" s="78" t="n"/>
      <c r="Q722" s="78" t="n"/>
      <c r="R722" s="78" t="n"/>
      <c r="S722" s="78" t="n"/>
    </row>
    <row r="723" ht="15.75" customHeight="1" s="297">
      <c r="A723" s="36" t="n"/>
      <c r="B723" s="78" t="n"/>
      <c r="C723" s="78" t="n"/>
      <c r="D723" s="78" t="n"/>
      <c r="E723" s="78" t="n"/>
      <c r="F723" s="78" t="n"/>
      <c r="G723" s="78" t="n"/>
      <c r="H723" s="78" t="n"/>
      <c r="I723" s="78" t="n"/>
      <c r="J723" s="78" t="n"/>
      <c r="K723" s="78" t="n"/>
      <c r="L723" s="78" t="n"/>
      <c r="M723" s="78" t="n"/>
      <c r="N723" s="78" t="n"/>
      <c r="O723" s="78" t="n"/>
      <c r="P723" s="78" t="n"/>
      <c r="Q723" s="78" t="n"/>
      <c r="R723" s="78" t="n"/>
      <c r="S723" s="78" t="n"/>
    </row>
    <row r="724" ht="15.75" customHeight="1" s="297">
      <c r="A724" s="36" t="n"/>
      <c r="B724" s="78" t="n"/>
      <c r="C724" s="78" t="n"/>
      <c r="D724" s="78" t="n"/>
      <c r="E724" s="78" t="n"/>
      <c r="F724" s="78" t="n"/>
      <c r="G724" s="78" t="n"/>
      <c r="H724" s="78" t="n"/>
      <c r="I724" s="78" t="n"/>
      <c r="J724" s="78" t="n"/>
      <c r="K724" s="78" t="n"/>
      <c r="L724" s="78" t="n"/>
      <c r="M724" s="78" t="n"/>
      <c r="N724" s="78" t="n"/>
      <c r="O724" s="78" t="n"/>
      <c r="P724" s="78" t="n"/>
      <c r="Q724" s="78" t="n"/>
      <c r="R724" s="78" t="n"/>
      <c r="S724" s="78" t="n"/>
    </row>
    <row r="725" ht="15.75" customHeight="1" s="297">
      <c r="A725" s="36" t="n"/>
      <c r="B725" s="78" t="n"/>
      <c r="C725" s="78" t="n"/>
      <c r="D725" s="78" t="n"/>
      <c r="E725" s="78" t="n"/>
      <c r="F725" s="78" t="n"/>
      <c r="G725" s="78" t="n"/>
      <c r="H725" s="78" t="n"/>
      <c r="I725" s="78" t="n"/>
      <c r="J725" s="78" t="n"/>
      <c r="K725" s="78" t="n"/>
      <c r="L725" s="78" t="n"/>
      <c r="M725" s="78" t="n"/>
      <c r="N725" s="78" t="n"/>
      <c r="O725" s="78" t="n"/>
      <c r="P725" s="78" t="n"/>
      <c r="Q725" s="78" t="n"/>
      <c r="R725" s="78" t="n"/>
      <c r="S725" s="78" t="n"/>
    </row>
    <row r="726" ht="15.75" customHeight="1" s="297">
      <c r="A726" s="36" t="n"/>
      <c r="B726" s="78" t="n"/>
      <c r="C726" s="78" t="n"/>
      <c r="D726" s="78" t="n"/>
      <c r="E726" s="78" t="n"/>
      <c r="F726" s="78" t="n"/>
      <c r="G726" s="78" t="n"/>
      <c r="H726" s="78" t="n"/>
      <c r="I726" s="78" t="n"/>
      <c r="J726" s="78" t="n"/>
      <c r="K726" s="78" t="n"/>
      <c r="L726" s="78" t="n"/>
      <c r="M726" s="78" t="n"/>
      <c r="N726" s="78" t="n"/>
      <c r="O726" s="78" t="n"/>
      <c r="P726" s="78" t="n"/>
      <c r="Q726" s="78" t="n"/>
      <c r="R726" s="78" t="n"/>
      <c r="S726" s="78" t="n"/>
    </row>
    <row r="727" ht="15.75" customHeight="1" s="297">
      <c r="A727" s="36" t="n"/>
      <c r="B727" s="78" t="n"/>
      <c r="C727" s="78" t="n"/>
      <c r="D727" s="78" t="n"/>
      <c r="E727" s="78" t="n"/>
      <c r="F727" s="78" t="n"/>
      <c r="G727" s="78" t="n"/>
      <c r="H727" s="78" t="n"/>
      <c r="I727" s="78" t="n"/>
      <c r="J727" s="78" t="n"/>
      <c r="K727" s="78" t="n"/>
      <c r="L727" s="78" t="n"/>
      <c r="M727" s="78" t="n"/>
      <c r="N727" s="78" t="n"/>
      <c r="O727" s="78" t="n"/>
      <c r="P727" s="78" t="n"/>
      <c r="Q727" s="78" t="n"/>
      <c r="R727" s="78" t="n"/>
      <c r="S727" s="78" t="n"/>
    </row>
    <row r="728" ht="15.75" customHeight="1" s="297">
      <c r="A728" s="36" t="n"/>
      <c r="B728" s="78" t="n"/>
      <c r="C728" s="78" t="n"/>
      <c r="D728" s="78" t="n"/>
      <c r="E728" s="78" t="n"/>
      <c r="F728" s="78" t="n"/>
      <c r="G728" s="78" t="n"/>
      <c r="H728" s="78" t="n"/>
      <c r="I728" s="78" t="n"/>
      <c r="J728" s="78" t="n"/>
      <c r="K728" s="78" t="n"/>
      <c r="L728" s="78" t="n"/>
      <c r="M728" s="78" t="n"/>
      <c r="N728" s="78" t="n"/>
      <c r="O728" s="78" t="n"/>
      <c r="P728" s="78" t="n"/>
      <c r="Q728" s="78" t="n"/>
      <c r="R728" s="78" t="n"/>
      <c r="S728" s="78" t="n"/>
    </row>
    <row r="729" ht="15.75" customHeight="1" s="297">
      <c r="A729" s="36" t="n"/>
      <c r="B729" s="78" t="n"/>
      <c r="C729" s="78" t="n"/>
      <c r="D729" s="78" t="n"/>
      <c r="E729" s="78" t="n"/>
      <c r="F729" s="78" t="n"/>
      <c r="G729" s="78" t="n"/>
      <c r="H729" s="78" t="n"/>
      <c r="I729" s="78" t="n"/>
      <c r="J729" s="78" t="n"/>
      <c r="K729" s="78" t="n"/>
      <c r="L729" s="78" t="n"/>
      <c r="M729" s="78" t="n"/>
      <c r="N729" s="78" t="n"/>
      <c r="O729" s="78" t="n"/>
      <c r="P729" s="78" t="n"/>
      <c r="Q729" s="78" t="n"/>
      <c r="R729" s="78" t="n"/>
      <c r="S729" s="78" t="n"/>
    </row>
    <row r="730" ht="15.75" customHeight="1" s="297">
      <c r="A730" s="36" t="n"/>
      <c r="B730" s="78" t="n"/>
      <c r="C730" s="78" t="n"/>
      <c r="D730" s="78" t="n"/>
      <c r="E730" s="78" t="n"/>
      <c r="F730" s="78" t="n"/>
      <c r="G730" s="78" t="n"/>
      <c r="H730" s="78" t="n"/>
      <c r="I730" s="78" t="n"/>
      <c r="J730" s="78" t="n"/>
      <c r="K730" s="78" t="n"/>
      <c r="L730" s="78" t="n"/>
      <c r="M730" s="78" t="n"/>
      <c r="N730" s="78" t="n"/>
      <c r="O730" s="78" t="n"/>
      <c r="P730" s="78" t="n"/>
      <c r="Q730" s="78" t="n"/>
      <c r="R730" s="78" t="n"/>
      <c r="S730" s="78" t="n"/>
    </row>
    <row r="731" ht="15.75" customHeight="1" s="297">
      <c r="A731" s="36" t="n"/>
      <c r="B731" s="78" t="n"/>
      <c r="C731" s="78" t="n"/>
      <c r="D731" s="78" t="n"/>
      <c r="E731" s="78" t="n"/>
      <c r="F731" s="78" t="n"/>
      <c r="G731" s="78" t="n"/>
      <c r="H731" s="78" t="n"/>
      <c r="I731" s="78" t="n"/>
      <c r="J731" s="78" t="n"/>
      <c r="K731" s="78" t="n"/>
      <c r="L731" s="78" t="n"/>
      <c r="M731" s="78" t="n"/>
      <c r="N731" s="78" t="n"/>
      <c r="O731" s="78" t="n"/>
      <c r="P731" s="78" t="n"/>
      <c r="Q731" s="78" t="n"/>
      <c r="R731" s="78" t="n"/>
      <c r="S731" s="78" t="n"/>
    </row>
    <row r="732" ht="15.75" customHeight="1" s="297">
      <c r="A732" s="36" t="n"/>
      <c r="B732" s="78" t="n"/>
      <c r="C732" s="78" t="n"/>
      <c r="D732" s="78" t="n"/>
      <c r="E732" s="78" t="n"/>
      <c r="F732" s="78" t="n"/>
      <c r="G732" s="78" t="n"/>
      <c r="H732" s="78" t="n"/>
      <c r="I732" s="78" t="n"/>
      <c r="J732" s="78" t="n"/>
      <c r="K732" s="78" t="n"/>
      <c r="L732" s="78" t="n"/>
      <c r="M732" s="78" t="n"/>
      <c r="N732" s="78" t="n"/>
      <c r="O732" s="78" t="n"/>
      <c r="P732" s="78" t="n"/>
      <c r="Q732" s="78" t="n"/>
      <c r="R732" s="78" t="n"/>
      <c r="S732" s="78" t="n"/>
    </row>
    <row r="733" ht="15.75" customHeight="1" s="297">
      <c r="A733" s="36" t="n"/>
      <c r="B733" s="78" t="n"/>
      <c r="C733" s="78" t="n"/>
      <c r="D733" s="78" t="n"/>
      <c r="E733" s="78" t="n"/>
      <c r="F733" s="78" t="n"/>
      <c r="G733" s="78" t="n"/>
      <c r="H733" s="78" t="n"/>
      <c r="I733" s="78" t="n"/>
      <c r="J733" s="78" t="n"/>
      <c r="K733" s="78" t="n"/>
      <c r="L733" s="78" t="n"/>
      <c r="M733" s="78" t="n"/>
      <c r="N733" s="78" t="n"/>
      <c r="O733" s="78" t="n"/>
      <c r="P733" s="78" t="n"/>
      <c r="Q733" s="78" t="n"/>
      <c r="R733" s="78" t="n"/>
      <c r="S733" s="78" t="n"/>
    </row>
    <row r="734" ht="15.75" customHeight="1" s="297">
      <c r="A734" s="36" t="n"/>
      <c r="B734" s="78" t="n"/>
      <c r="C734" s="78" t="n"/>
      <c r="D734" s="78" t="n"/>
      <c r="E734" s="78" t="n"/>
      <c r="F734" s="78" t="n"/>
      <c r="G734" s="78" t="n"/>
      <c r="H734" s="78" t="n"/>
      <c r="I734" s="78" t="n"/>
      <c r="J734" s="78" t="n"/>
      <c r="K734" s="78" t="n"/>
      <c r="L734" s="78" t="n"/>
      <c r="M734" s="78" t="n"/>
      <c r="N734" s="78" t="n"/>
      <c r="O734" s="78" t="n"/>
      <c r="P734" s="78" t="n"/>
      <c r="Q734" s="78" t="n"/>
      <c r="R734" s="78" t="n"/>
      <c r="S734" s="78" t="n"/>
    </row>
    <row r="735" ht="15.75" customHeight="1" s="297">
      <c r="A735" s="36" t="n"/>
      <c r="B735" s="78" t="n"/>
      <c r="C735" s="78" t="n"/>
      <c r="D735" s="78" t="n"/>
      <c r="E735" s="78" t="n"/>
      <c r="F735" s="78" t="n"/>
      <c r="G735" s="78" t="n"/>
      <c r="H735" s="78" t="n"/>
      <c r="I735" s="78" t="n"/>
      <c r="J735" s="78" t="n"/>
      <c r="K735" s="78" t="n"/>
      <c r="L735" s="78" t="n"/>
      <c r="M735" s="78" t="n"/>
      <c r="N735" s="78" t="n"/>
      <c r="O735" s="78" t="n"/>
      <c r="P735" s="78" t="n"/>
      <c r="Q735" s="78" t="n"/>
      <c r="R735" s="78" t="n"/>
      <c r="S735" s="78" t="n"/>
    </row>
    <row r="736" ht="15.75" customHeight="1" s="297">
      <c r="A736" s="36" t="n"/>
      <c r="B736" s="78" t="n"/>
      <c r="C736" s="78" t="n"/>
      <c r="D736" s="78" t="n"/>
      <c r="E736" s="78" t="n"/>
      <c r="F736" s="78" t="n"/>
      <c r="G736" s="78" t="n"/>
      <c r="H736" s="78" t="n"/>
      <c r="I736" s="78" t="n"/>
      <c r="J736" s="78" t="n"/>
      <c r="K736" s="78" t="n"/>
      <c r="L736" s="78" t="n"/>
      <c r="M736" s="78" t="n"/>
      <c r="N736" s="78" t="n"/>
      <c r="O736" s="78" t="n"/>
      <c r="P736" s="78" t="n"/>
      <c r="Q736" s="78" t="n"/>
      <c r="R736" s="78" t="n"/>
      <c r="S736" s="78" t="n"/>
    </row>
    <row r="737" ht="15.75" customHeight="1" s="297">
      <c r="A737" s="36" t="n"/>
      <c r="B737" s="78" t="n"/>
      <c r="C737" s="78" t="n"/>
      <c r="D737" s="78" t="n"/>
      <c r="E737" s="78" t="n"/>
      <c r="F737" s="78" t="n"/>
      <c r="G737" s="78" t="n"/>
      <c r="H737" s="78" t="n"/>
      <c r="I737" s="78" t="n"/>
      <c r="J737" s="78" t="n"/>
      <c r="K737" s="78" t="n"/>
      <c r="L737" s="78" t="n"/>
      <c r="M737" s="78" t="n"/>
      <c r="N737" s="78" t="n"/>
      <c r="O737" s="78" t="n"/>
      <c r="P737" s="78" t="n"/>
      <c r="Q737" s="78" t="n"/>
      <c r="R737" s="78" t="n"/>
      <c r="S737" s="78" t="n"/>
    </row>
    <row r="738" ht="15.75" customHeight="1" s="297">
      <c r="A738" s="36" t="n"/>
      <c r="B738" s="78" t="n"/>
      <c r="C738" s="78" t="n"/>
      <c r="D738" s="78" t="n"/>
      <c r="E738" s="78" t="n"/>
      <c r="F738" s="78" t="n"/>
      <c r="G738" s="78" t="n"/>
      <c r="H738" s="78" t="n"/>
      <c r="I738" s="78" t="n"/>
      <c r="J738" s="78" t="n"/>
      <c r="K738" s="78" t="n"/>
      <c r="L738" s="78" t="n"/>
      <c r="M738" s="78" t="n"/>
      <c r="N738" s="78" t="n"/>
      <c r="O738" s="78" t="n"/>
      <c r="P738" s="78" t="n"/>
      <c r="Q738" s="78" t="n"/>
      <c r="R738" s="78" t="n"/>
      <c r="S738" s="78" t="n"/>
    </row>
    <row r="739" ht="15.75" customHeight="1" s="297">
      <c r="A739" s="36" t="n"/>
      <c r="B739" s="78" t="n"/>
      <c r="C739" s="78" t="n"/>
      <c r="D739" s="78" t="n"/>
      <c r="E739" s="78" t="n"/>
      <c r="F739" s="78" t="n"/>
      <c r="G739" s="78" t="n"/>
      <c r="H739" s="78" t="n"/>
      <c r="I739" s="78" t="n"/>
      <c r="J739" s="78" t="n"/>
      <c r="K739" s="78" t="n"/>
      <c r="L739" s="78" t="n"/>
      <c r="M739" s="78" t="n"/>
      <c r="N739" s="78" t="n"/>
      <c r="O739" s="78" t="n"/>
      <c r="P739" s="78" t="n"/>
      <c r="Q739" s="78" t="n"/>
      <c r="R739" s="78" t="n"/>
      <c r="S739" s="78" t="n"/>
    </row>
    <row r="740" ht="15.75" customHeight="1" s="297">
      <c r="A740" s="36" t="n"/>
      <c r="B740" s="78" t="n"/>
      <c r="C740" s="78" t="n"/>
      <c r="D740" s="78" t="n"/>
      <c r="E740" s="78" t="n"/>
      <c r="F740" s="78" t="n"/>
      <c r="G740" s="78" t="n"/>
      <c r="H740" s="78" t="n"/>
      <c r="I740" s="78" t="n"/>
      <c r="J740" s="78" t="n"/>
      <c r="K740" s="78" t="n"/>
      <c r="L740" s="78" t="n"/>
      <c r="M740" s="78" t="n"/>
      <c r="N740" s="78" t="n"/>
      <c r="O740" s="78" t="n"/>
      <c r="P740" s="78" t="n"/>
      <c r="Q740" s="78" t="n"/>
      <c r="R740" s="78" t="n"/>
      <c r="S740" s="78" t="n"/>
    </row>
    <row r="741" ht="15.75" customHeight="1" s="297">
      <c r="A741" s="36" t="n"/>
      <c r="B741" s="78" t="n"/>
      <c r="C741" s="78" t="n"/>
      <c r="D741" s="78" t="n"/>
      <c r="E741" s="78" t="n"/>
      <c r="F741" s="78" t="n"/>
      <c r="G741" s="78" t="n"/>
      <c r="H741" s="78" t="n"/>
      <c r="I741" s="78" t="n"/>
      <c r="J741" s="78" t="n"/>
      <c r="K741" s="78" t="n"/>
      <c r="L741" s="78" t="n"/>
      <c r="M741" s="78" t="n"/>
      <c r="N741" s="78" t="n"/>
      <c r="O741" s="78" t="n"/>
      <c r="P741" s="78" t="n"/>
      <c r="Q741" s="78" t="n"/>
      <c r="R741" s="78" t="n"/>
      <c r="S741" s="78" t="n"/>
    </row>
    <row r="742" ht="15.75" customHeight="1" s="297">
      <c r="A742" s="36" t="n"/>
      <c r="B742" s="78" t="n"/>
      <c r="C742" s="78" t="n"/>
      <c r="D742" s="78" t="n"/>
      <c r="E742" s="78" t="n"/>
      <c r="F742" s="78" t="n"/>
      <c r="G742" s="78" t="n"/>
      <c r="H742" s="78" t="n"/>
      <c r="I742" s="78" t="n"/>
      <c r="J742" s="78" t="n"/>
      <c r="K742" s="78" t="n"/>
      <c r="L742" s="78" t="n"/>
      <c r="M742" s="78" t="n"/>
      <c r="N742" s="78" t="n"/>
      <c r="O742" s="78" t="n"/>
      <c r="P742" s="78" t="n"/>
      <c r="Q742" s="78" t="n"/>
      <c r="R742" s="78" t="n"/>
      <c r="S742" s="78" t="n"/>
    </row>
    <row r="743" ht="15.75" customHeight="1" s="297">
      <c r="A743" s="36" t="n"/>
      <c r="B743" s="78" t="n"/>
      <c r="C743" s="78" t="n"/>
      <c r="D743" s="78" t="n"/>
      <c r="E743" s="78" t="n"/>
      <c r="F743" s="78" t="n"/>
      <c r="G743" s="78" t="n"/>
      <c r="H743" s="78" t="n"/>
      <c r="I743" s="78" t="n"/>
      <c r="J743" s="78" t="n"/>
      <c r="K743" s="78" t="n"/>
      <c r="L743" s="78" t="n"/>
      <c r="M743" s="78" t="n"/>
      <c r="N743" s="78" t="n"/>
      <c r="O743" s="78" t="n"/>
      <c r="P743" s="78" t="n"/>
      <c r="Q743" s="78" t="n"/>
      <c r="R743" s="78" t="n"/>
      <c r="S743" s="78" t="n"/>
    </row>
    <row r="744" ht="15.75" customHeight="1" s="297">
      <c r="A744" s="36" t="n"/>
      <c r="B744" s="78" t="n"/>
      <c r="C744" s="78" t="n"/>
      <c r="D744" s="78" t="n"/>
      <c r="E744" s="78" t="n"/>
      <c r="F744" s="78" t="n"/>
      <c r="G744" s="78" t="n"/>
      <c r="H744" s="78" t="n"/>
      <c r="I744" s="78" t="n"/>
      <c r="J744" s="78" t="n"/>
      <c r="K744" s="78" t="n"/>
      <c r="L744" s="78" t="n"/>
      <c r="M744" s="78" t="n"/>
      <c r="N744" s="78" t="n"/>
      <c r="O744" s="78" t="n"/>
      <c r="P744" s="78" t="n"/>
      <c r="Q744" s="78" t="n"/>
      <c r="R744" s="78" t="n"/>
      <c r="S744" s="78" t="n"/>
    </row>
    <row r="745" ht="15.75" customHeight="1" s="297">
      <c r="A745" s="36" t="n"/>
      <c r="B745" s="78" t="n"/>
      <c r="C745" s="78" t="n"/>
      <c r="D745" s="78" t="n"/>
      <c r="E745" s="78" t="n"/>
      <c r="F745" s="78" t="n"/>
      <c r="G745" s="78" t="n"/>
      <c r="H745" s="78" t="n"/>
      <c r="I745" s="78" t="n"/>
      <c r="J745" s="78" t="n"/>
      <c r="K745" s="78" t="n"/>
      <c r="L745" s="78" t="n"/>
      <c r="M745" s="78" t="n"/>
      <c r="N745" s="78" t="n"/>
      <c r="O745" s="78" t="n"/>
      <c r="P745" s="78" t="n"/>
      <c r="Q745" s="78" t="n"/>
      <c r="R745" s="78" t="n"/>
      <c r="S745" s="78" t="n"/>
    </row>
    <row r="746" ht="15.75" customHeight="1" s="297">
      <c r="A746" s="36" t="n"/>
      <c r="B746" s="78" t="n"/>
      <c r="C746" s="78" t="n"/>
      <c r="D746" s="78" t="n"/>
      <c r="E746" s="78" t="n"/>
      <c r="F746" s="78" t="n"/>
      <c r="G746" s="78" t="n"/>
      <c r="H746" s="78" t="n"/>
      <c r="I746" s="78" t="n"/>
      <c r="J746" s="78" t="n"/>
      <c r="K746" s="78" t="n"/>
      <c r="L746" s="78" t="n"/>
      <c r="M746" s="78" t="n"/>
      <c r="N746" s="78" t="n"/>
      <c r="O746" s="78" t="n"/>
      <c r="P746" s="78" t="n"/>
      <c r="Q746" s="78" t="n"/>
      <c r="R746" s="78" t="n"/>
      <c r="S746" s="78" t="n"/>
    </row>
    <row r="747" ht="15.75" customHeight="1" s="297">
      <c r="A747" s="36" t="n"/>
      <c r="B747" s="78" t="n"/>
      <c r="C747" s="78" t="n"/>
      <c r="D747" s="78" t="n"/>
      <c r="E747" s="78" t="n"/>
      <c r="F747" s="78" t="n"/>
      <c r="G747" s="78" t="n"/>
      <c r="H747" s="78" t="n"/>
      <c r="I747" s="78" t="n"/>
      <c r="J747" s="78" t="n"/>
      <c r="K747" s="78" t="n"/>
      <c r="L747" s="78" t="n"/>
      <c r="M747" s="78" t="n"/>
      <c r="N747" s="78" t="n"/>
      <c r="O747" s="78" t="n"/>
      <c r="P747" s="78" t="n"/>
      <c r="Q747" s="78" t="n"/>
      <c r="R747" s="78" t="n"/>
      <c r="S747" s="78" t="n"/>
    </row>
    <row r="748" ht="15.75" customHeight="1" s="297">
      <c r="A748" s="36" t="n"/>
      <c r="B748" s="78" t="n"/>
      <c r="C748" s="78" t="n"/>
      <c r="D748" s="78" t="n"/>
      <c r="E748" s="78" t="n"/>
      <c r="F748" s="78" t="n"/>
      <c r="G748" s="78" t="n"/>
      <c r="H748" s="78" t="n"/>
      <c r="I748" s="78" t="n"/>
      <c r="J748" s="78" t="n"/>
      <c r="K748" s="78" t="n"/>
      <c r="L748" s="78" t="n"/>
      <c r="M748" s="78" t="n"/>
      <c r="N748" s="78" t="n"/>
      <c r="O748" s="78" t="n"/>
      <c r="P748" s="78" t="n"/>
      <c r="Q748" s="78" t="n"/>
      <c r="R748" s="78" t="n"/>
      <c r="S748" s="78" t="n"/>
    </row>
    <row r="749" ht="15.75" customHeight="1" s="297">
      <c r="A749" s="36" t="n"/>
      <c r="B749" s="78" t="n"/>
      <c r="C749" s="78" t="n"/>
      <c r="D749" s="78" t="n"/>
      <c r="E749" s="78" t="n"/>
      <c r="F749" s="78" t="n"/>
      <c r="G749" s="78" t="n"/>
      <c r="H749" s="78" t="n"/>
      <c r="I749" s="78" t="n"/>
      <c r="J749" s="78" t="n"/>
      <c r="K749" s="78" t="n"/>
      <c r="L749" s="78" t="n"/>
      <c r="M749" s="78" t="n"/>
      <c r="N749" s="78" t="n"/>
      <c r="O749" s="78" t="n"/>
      <c r="P749" s="78" t="n"/>
      <c r="Q749" s="78" t="n"/>
      <c r="R749" s="78" t="n"/>
      <c r="S749" s="78" t="n"/>
    </row>
    <row r="750" ht="15.75" customHeight="1" s="297">
      <c r="A750" s="36" t="n"/>
      <c r="B750" s="78" t="n"/>
      <c r="C750" s="78" t="n"/>
      <c r="D750" s="78" t="n"/>
      <c r="E750" s="78" t="n"/>
      <c r="F750" s="78" t="n"/>
      <c r="G750" s="78" t="n"/>
      <c r="H750" s="78" t="n"/>
      <c r="I750" s="78" t="n"/>
      <c r="J750" s="78" t="n"/>
      <c r="K750" s="78" t="n"/>
      <c r="L750" s="78" t="n"/>
      <c r="M750" s="78" t="n"/>
      <c r="N750" s="78" t="n"/>
      <c r="O750" s="78" t="n"/>
      <c r="P750" s="78" t="n"/>
      <c r="Q750" s="78" t="n"/>
      <c r="R750" s="78" t="n"/>
      <c r="S750" s="78" t="n"/>
    </row>
    <row r="751" ht="15.75" customHeight="1" s="297">
      <c r="A751" s="36" t="n"/>
      <c r="B751" s="78" t="n"/>
      <c r="C751" s="78" t="n"/>
      <c r="D751" s="78" t="n"/>
      <c r="E751" s="78" t="n"/>
      <c r="F751" s="78" t="n"/>
      <c r="G751" s="78" t="n"/>
      <c r="H751" s="78" t="n"/>
      <c r="I751" s="78" t="n"/>
      <c r="J751" s="78" t="n"/>
      <c r="K751" s="78" t="n"/>
      <c r="L751" s="78" t="n"/>
      <c r="M751" s="78" t="n"/>
      <c r="N751" s="78" t="n"/>
      <c r="O751" s="78" t="n"/>
      <c r="P751" s="78" t="n"/>
      <c r="Q751" s="78" t="n"/>
      <c r="R751" s="78" t="n"/>
      <c r="S751" s="78" t="n"/>
    </row>
    <row r="752" ht="15.75" customHeight="1" s="297">
      <c r="A752" s="36" t="n"/>
      <c r="B752" s="78" t="n"/>
      <c r="C752" s="78" t="n"/>
      <c r="D752" s="78" t="n"/>
      <c r="E752" s="78" t="n"/>
      <c r="F752" s="78" t="n"/>
      <c r="G752" s="78" t="n"/>
      <c r="H752" s="78" t="n"/>
      <c r="I752" s="78" t="n"/>
      <c r="J752" s="78" t="n"/>
      <c r="K752" s="78" t="n"/>
      <c r="L752" s="78" t="n"/>
      <c r="M752" s="78" t="n"/>
      <c r="N752" s="78" t="n"/>
      <c r="O752" s="78" t="n"/>
      <c r="P752" s="78" t="n"/>
      <c r="Q752" s="78" t="n"/>
      <c r="R752" s="78" t="n"/>
      <c r="S752" s="78" t="n"/>
    </row>
    <row r="753" ht="15.75" customHeight="1" s="297">
      <c r="A753" s="36" t="n"/>
      <c r="B753" s="78" t="n"/>
      <c r="C753" s="78" t="n"/>
      <c r="D753" s="78" t="n"/>
      <c r="E753" s="78" t="n"/>
      <c r="F753" s="78" t="n"/>
      <c r="G753" s="78" t="n"/>
      <c r="H753" s="78" t="n"/>
      <c r="I753" s="78" t="n"/>
      <c r="J753" s="78" t="n"/>
      <c r="K753" s="78" t="n"/>
      <c r="L753" s="78" t="n"/>
      <c r="M753" s="78" t="n"/>
      <c r="N753" s="78" t="n"/>
      <c r="O753" s="78" t="n"/>
      <c r="P753" s="78" t="n"/>
      <c r="Q753" s="78" t="n"/>
      <c r="R753" s="78" t="n"/>
      <c r="S753" s="78" t="n"/>
    </row>
    <row r="754" ht="15.75" customHeight="1" s="297">
      <c r="A754" s="36" t="n"/>
      <c r="B754" s="78" t="n"/>
      <c r="C754" s="78" t="n"/>
      <c r="D754" s="78" t="n"/>
      <c r="E754" s="78" t="n"/>
      <c r="F754" s="78" t="n"/>
      <c r="G754" s="78" t="n"/>
      <c r="H754" s="78" t="n"/>
      <c r="I754" s="78" t="n"/>
      <c r="J754" s="78" t="n"/>
      <c r="K754" s="78" t="n"/>
      <c r="L754" s="78" t="n"/>
      <c r="M754" s="78" t="n"/>
      <c r="N754" s="78" t="n"/>
      <c r="O754" s="78" t="n"/>
      <c r="P754" s="78" t="n"/>
      <c r="Q754" s="78" t="n"/>
      <c r="R754" s="78" t="n"/>
      <c r="S754" s="78" t="n"/>
    </row>
    <row r="755" ht="15.75" customHeight="1" s="297">
      <c r="A755" s="36" t="n"/>
      <c r="B755" s="78" t="n"/>
      <c r="C755" s="78" t="n"/>
      <c r="D755" s="78" t="n"/>
      <c r="E755" s="78" t="n"/>
      <c r="F755" s="78" t="n"/>
      <c r="G755" s="78" t="n"/>
      <c r="H755" s="78" t="n"/>
      <c r="I755" s="78" t="n"/>
      <c r="J755" s="78" t="n"/>
      <c r="K755" s="78" t="n"/>
      <c r="L755" s="78" t="n"/>
      <c r="M755" s="78" t="n"/>
      <c r="N755" s="78" t="n"/>
      <c r="O755" s="78" t="n"/>
      <c r="P755" s="78" t="n"/>
      <c r="Q755" s="78" t="n"/>
      <c r="R755" s="78" t="n"/>
      <c r="S755" s="78" t="n"/>
    </row>
    <row r="756" ht="15.75" customHeight="1" s="297">
      <c r="A756" s="36" t="n"/>
      <c r="B756" s="78" t="n"/>
      <c r="C756" s="78" t="n"/>
      <c r="D756" s="78" t="n"/>
      <c r="E756" s="78" t="n"/>
      <c r="F756" s="78" t="n"/>
      <c r="G756" s="78" t="n"/>
      <c r="H756" s="78" t="n"/>
      <c r="I756" s="78" t="n"/>
      <c r="J756" s="78" t="n"/>
      <c r="K756" s="78" t="n"/>
      <c r="L756" s="78" t="n"/>
      <c r="M756" s="78" t="n"/>
      <c r="N756" s="78" t="n"/>
      <c r="O756" s="78" t="n"/>
      <c r="P756" s="78" t="n"/>
      <c r="Q756" s="78" t="n"/>
      <c r="R756" s="78" t="n"/>
      <c r="S756" s="78" t="n"/>
    </row>
    <row r="757" ht="15.75" customHeight="1" s="297">
      <c r="A757" s="36" t="n"/>
      <c r="B757" s="78" t="n"/>
      <c r="C757" s="78" t="n"/>
      <c r="D757" s="78" t="n"/>
      <c r="E757" s="78" t="n"/>
      <c r="F757" s="78" t="n"/>
      <c r="G757" s="78" t="n"/>
      <c r="H757" s="78" t="n"/>
      <c r="I757" s="78" t="n"/>
      <c r="J757" s="78" t="n"/>
      <c r="K757" s="78" t="n"/>
      <c r="L757" s="78" t="n"/>
      <c r="M757" s="78" t="n"/>
      <c r="N757" s="78" t="n"/>
      <c r="O757" s="78" t="n"/>
      <c r="P757" s="78" t="n"/>
      <c r="Q757" s="78" t="n"/>
      <c r="R757" s="78" t="n"/>
      <c r="S757" s="78" t="n"/>
    </row>
    <row r="758" ht="15.75" customHeight="1" s="297">
      <c r="A758" s="36" t="n"/>
      <c r="B758" s="78" t="n"/>
      <c r="C758" s="78" t="n"/>
      <c r="D758" s="78" t="n"/>
      <c r="E758" s="78" t="n"/>
      <c r="F758" s="78" t="n"/>
      <c r="G758" s="78" t="n"/>
      <c r="H758" s="78" t="n"/>
      <c r="I758" s="78" t="n"/>
      <c r="J758" s="78" t="n"/>
      <c r="K758" s="78" t="n"/>
      <c r="L758" s="78" t="n"/>
      <c r="M758" s="78" t="n"/>
      <c r="N758" s="78" t="n"/>
      <c r="O758" s="78" t="n"/>
      <c r="P758" s="78" t="n"/>
      <c r="Q758" s="78" t="n"/>
      <c r="R758" s="78" t="n"/>
      <c r="S758" s="78" t="n"/>
    </row>
    <row r="759" ht="15.75" customHeight="1" s="297">
      <c r="A759" s="36" t="n"/>
      <c r="B759" s="78" t="n"/>
      <c r="C759" s="78" t="n"/>
      <c r="D759" s="78" t="n"/>
      <c r="E759" s="78" t="n"/>
      <c r="F759" s="78" t="n"/>
      <c r="G759" s="78" t="n"/>
      <c r="H759" s="78" t="n"/>
      <c r="I759" s="78" t="n"/>
      <c r="J759" s="78" t="n"/>
      <c r="K759" s="78" t="n"/>
      <c r="L759" s="78" t="n"/>
      <c r="M759" s="78" t="n"/>
      <c r="N759" s="78" t="n"/>
      <c r="O759" s="78" t="n"/>
      <c r="P759" s="78" t="n"/>
      <c r="Q759" s="78" t="n"/>
      <c r="R759" s="78" t="n"/>
      <c r="S759" s="78" t="n"/>
    </row>
    <row r="760" ht="15.75" customHeight="1" s="297">
      <c r="A760" s="36" t="n"/>
      <c r="B760" s="78" t="n"/>
      <c r="C760" s="78" t="n"/>
      <c r="D760" s="78" t="n"/>
      <c r="E760" s="78" t="n"/>
      <c r="F760" s="78" t="n"/>
      <c r="G760" s="78" t="n"/>
      <c r="H760" s="78" t="n"/>
      <c r="I760" s="78" t="n"/>
      <c r="J760" s="78" t="n"/>
      <c r="K760" s="78" t="n"/>
      <c r="L760" s="78" t="n"/>
      <c r="M760" s="78" t="n"/>
      <c r="N760" s="78" t="n"/>
      <c r="O760" s="78" t="n"/>
      <c r="P760" s="78" t="n"/>
      <c r="Q760" s="78" t="n"/>
      <c r="R760" s="78" t="n"/>
      <c r="S760" s="78" t="n"/>
    </row>
    <row r="761" ht="15.75" customHeight="1" s="297">
      <c r="A761" s="36" t="n"/>
      <c r="B761" s="78" t="n"/>
      <c r="C761" s="78" t="n"/>
      <c r="D761" s="78" t="n"/>
      <c r="E761" s="78" t="n"/>
      <c r="F761" s="78" t="n"/>
      <c r="G761" s="78" t="n"/>
      <c r="H761" s="78" t="n"/>
      <c r="I761" s="78" t="n"/>
      <c r="J761" s="78" t="n"/>
      <c r="K761" s="78" t="n"/>
      <c r="L761" s="78" t="n"/>
      <c r="M761" s="78" t="n"/>
      <c r="N761" s="78" t="n"/>
      <c r="O761" s="78" t="n"/>
      <c r="P761" s="78" t="n"/>
      <c r="Q761" s="78" t="n"/>
      <c r="R761" s="78" t="n"/>
      <c r="S761" s="78" t="n"/>
    </row>
    <row r="762" ht="15.75" customHeight="1" s="297">
      <c r="A762" s="36" t="n"/>
      <c r="B762" s="78" t="n"/>
      <c r="C762" s="78" t="n"/>
      <c r="D762" s="78" t="n"/>
      <c r="E762" s="78" t="n"/>
      <c r="F762" s="78" t="n"/>
      <c r="G762" s="78" t="n"/>
      <c r="H762" s="78" t="n"/>
      <c r="I762" s="78" t="n"/>
      <c r="J762" s="78" t="n"/>
      <c r="K762" s="78" t="n"/>
      <c r="L762" s="78" t="n"/>
      <c r="M762" s="78" t="n"/>
      <c r="N762" s="78" t="n"/>
      <c r="O762" s="78" t="n"/>
      <c r="P762" s="78" t="n"/>
      <c r="Q762" s="78" t="n"/>
      <c r="R762" s="78" t="n"/>
      <c r="S762" s="78" t="n"/>
    </row>
    <row r="763" ht="15.75" customHeight="1" s="297">
      <c r="A763" s="36" t="n"/>
      <c r="B763" s="78" t="n"/>
      <c r="C763" s="78" t="n"/>
      <c r="D763" s="78" t="n"/>
      <c r="E763" s="78" t="n"/>
      <c r="F763" s="78" t="n"/>
      <c r="G763" s="78" t="n"/>
      <c r="H763" s="78" t="n"/>
      <c r="I763" s="78" t="n"/>
      <c r="J763" s="78" t="n"/>
      <c r="K763" s="78" t="n"/>
      <c r="L763" s="78" t="n"/>
      <c r="M763" s="78" t="n"/>
      <c r="N763" s="78" t="n"/>
      <c r="O763" s="78" t="n"/>
      <c r="P763" s="78" t="n"/>
      <c r="Q763" s="78" t="n"/>
      <c r="R763" s="78" t="n"/>
      <c r="S763" s="78" t="n"/>
    </row>
    <row r="764" ht="15.75" customHeight="1" s="297">
      <c r="A764" s="36" t="n"/>
      <c r="B764" s="78" t="n"/>
      <c r="C764" s="78" t="n"/>
      <c r="D764" s="78" t="n"/>
      <c r="E764" s="78" t="n"/>
      <c r="F764" s="78" t="n"/>
      <c r="G764" s="78" t="n"/>
      <c r="H764" s="78" t="n"/>
      <c r="I764" s="78" t="n"/>
      <c r="J764" s="78" t="n"/>
      <c r="K764" s="78" t="n"/>
      <c r="L764" s="78" t="n"/>
      <c r="M764" s="78" t="n"/>
      <c r="N764" s="78" t="n"/>
      <c r="O764" s="78" t="n"/>
      <c r="P764" s="78" t="n"/>
      <c r="Q764" s="78" t="n"/>
      <c r="R764" s="78" t="n"/>
      <c r="S764" s="78" t="n"/>
    </row>
    <row r="765" ht="15.75" customHeight="1" s="297">
      <c r="A765" s="36" t="n"/>
      <c r="B765" s="78" t="n"/>
      <c r="C765" s="78" t="n"/>
      <c r="D765" s="78" t="n"/>
      <c r="E765" s="78" t="n"/>
      <c r="F765" s="78" t="n"/>
      <c r="G765" s="78" t="n"/>
      <c r="H765" s="78" t="n"/>
      <c r="I765" s="78" t="n"/>
      <c r="J765" s="78" t="n"/>
      <c r="K765" s="78" t="n"/>
      <c r="L765" s="78" t="n"/>
      <c r="M765" s="78" t="n"/>
      <c r="N765" s="78" t="n"/>
      <c r="O765" s="78" t="n"/>
      <c r="P765" s="78" t="n"/>
      <c r="Q765" s="78" t="n"/>
      <c r="R765" s="78" t="n"/>
      <c r="S765" s="78" t="n"/>
    </row>
    <row r="766" ht="15.75" customHeight="1" s="297">
      <c r="A766" s="36" t="n"/>
      <c r="B766" s="78" t="n"/>
      <c r="C766" s="78" t="n"/>
      <c r="D766" s="78" t="n"/>
      <c r="E766" s="78" t="n"/>
      <c r="F766" s="78" t="n"/>
      <c r="G766" s="78" t="n"/>
      <c r="H766" s="78" t="n"/>
      <c r="I766" s="78" t="n"/>
      <c r="J766" s="78" t="n"/>
      <c r="K766" s="78" t="n"/>
      <c r="L766" s="78" t="n"/>
      <c r="M766" s="78" t="n"/>
      <c r="N766" s="78" t="n"/>
      <c r="O766" s="78" t="n"/>
      <c r="P766" s="78" t="n"/>
      <c r="Q766" s="78" t="n"/>
      <c r="R766" s="78" t="n"/>
      <c r="S766" s="78" t="n"/>
    </row>
    <row r="767" ht="15.75" customHeight="1" s="297">
      <c r="A767" s="36" t="n"/>
      <c r="B767" s="78" t="n"/>
      <c r="C767" s="78" t="n"/>
      <c r="D767" s="78" t="n"/>
      <c r="E767" s="78" t="n"/>
      <c r="F767" s="78" t="n"/>
      <c r="G767" s="78" t="n"/>
      <c r="H767" s="78" t="n"/>
      <c r="I767" s="78" t="n"/>
      <c r="J767" s="78" t="n"/>
      <c r="K767" s="78" t="n"/>
      <c r="L767" s="78" t="n"/>
      <c r="M767" s="78" t="n"/>
      <c r="N767" s="78" t="n"/>
      <c r="O767" s="78" t="n"/>
      <c r="P767" s="78" t="n"/>
      <c r="Q767" s="78" t="n"/>
      <c r="R767" s="78" t="n"/>
      <c r="S767" s="78" t="n"/>
    </row>
    <row r="768" ht="15.75" customHeight="1" s="297">
      <c r="A768" s="36" t="n"/>
      <c r="B768" s="78" t="n"/>
      <c r="C768" s="78" t="n"/>
      <c r="D768" s="78" t="n"/>
      <c r="E768" s="78" t="n"/>
      <c r="F768" s="78" t="n"/>
      <c r="G768" s="78" t="n"/>
      <c r="H768" s="78" t="n"/>
      <c r="I768" s="78" t="n"/>
      <c r="J768" s="78" t="n"/>
      <c r="K768" s="78" t="n"/>
      <c r="L768" s="78" t="n"/>
      <c r="M768" s="78" t="n"/>
      <c r="N768" s="78" t="n"/>
      <c r="O768" s="78" t="n"/>
      <c r="P768" s="78" t="n"/>
      <c r="Q768" s="78" t="n"/>
      <c r="R768" s="78" t="n"/>
      <c r="S768" s="78" t="n"/>
    </row>
    <row r="769" ht="15.75" customHeight="1" s="297">
      <c r="A769" s="36" t="n"/>
      <c r="B769" s="78" t="n"/>
      <c r="C769" s="78" t="n"/>
      <c r="D769" s="78" t="n"/>
      <c r="E769" s="78" t="n"/>
      <c r="F769" s="78" t="n"/>
      <c r="G769" s="78" t="n"/>
      <c r="H769" s="78" t="n"/>
      <c r="I769" s="78" t="n"/>
      <c r="J769" s="78" t="n"/>
      <c r="K769" s="78" t="n"/>
      <c r="L769" s="78" t="n"/>
      <c r="M769" s="78" t="n"/>
      <c r="N769" s="78" t="n"/>
      <c r="O769" s="78" t="n"/>
      <c r="P769" s="78" t="n"/>
      <c r="Q769" s="78" t="n"/>
      <c r="R769" s="78" t="n"/>
      <c r="S769" s="78" t="n"/>
    </row>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mergeCells count="9">
    <mergeCell ref="L2:M2"/>
    <mergeCell ref="F2:G2"/>
    <mergeCell ref="B2:C2"/>
    <mergeCell ref="H2:I2"/>
    <mergeCell ref="D2:E2"/>
    <mergeCell ref="J2:K2"/>
    <mergeCell ref="N2:O2"/>
    <mergeCell ref="R2:S2"/>
    <mergeCell ref="P2:Q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633"/>
  <sheetViews>
    <sheetView workbookViewId="0">
      <pane xSplit="3" ySplit="3" topLeftCell="D4" activePane="bottomRight" state="frozen"/>
      <selection pane="topRight" activeCell="D1" sqref="D1"/>
      <selection pane="bottomLeft" activeCell="A4" sqref="A4"/>
      <selection pane="bottomRight" activeCell="D4" sqref="D4"/>
    </sheetView>
  </sheetViews>
  <sheetFormatPr baseColWidth="8" defaultColWidth="12.63" defaultRowHeight="15" customHeight="1"/>
  <cols>
    <col width="38.25" customWidth="1" style="297" min="1" max="1"/>
    <col width="31.5" customWidth="1" style="297" min="2" max="2"/>
    <col width="56.25" customWidth="1" style="297" min="3" max="3"/>
    <col width="24.25" customWidth="1" style="297" min="4" max="4"/>
    <col width="25" customWidth="1" style="297" min="5" max="5"/>
    <col width="11.25" customWidth="1" style="297" min="6" max="6"/>
    <col width="32.13" customWidth="1" style="297" min="7" max="7"/>
    <col width="10.13" customWidth="1" style="297" min="8" max="8"/>
    <col width="19.75" customWidth="1" style="297" min="9" max="9"/>
    <col width="26.38" customWidth="1" style="297" min="10" max="10"/>
    <col width="26.63" customWidth="1" style="297" min="11" max="11"/>
    <col width="26.38" customWidth="1" style="297" min="12" max="12"/>
    <col width="25.88" customWidth="1" style="297" min="13" max="13"/>
    <col width="27.38" customWidth="1" style="297" min="14" max="14"/>
    <col width="27.63" customWidth="1" style="297" min="15" max="17"/>
    <col width="14.25" customWidth="1" style="297" min="18" max="18"/>
    <col width="24.63" customWidth="1" style="297" min="19" max="19"/>
    <col width="13.5" customWidth="1" style="297" min="20" max="20"/>
    <col width="21.5" customWidth="1" style="297" min="21" max="21"/>
    <col width="25.13" customWidth="1" style="297" min="22" max="22"/>
    <col width="8.630000000000001" customWidth="1" style="297" min="23" max="23"/>
    <col width="28.63" customWidth="1" style="297" min="24" max="24"/>
  </cols>
  <sheetData>
    <row r="1">
      <c r="A1" s="79" t="inlineStr">
        <is>
          <t>PORTFÓLIO DEFENSIVO SAFRA 26/27</t>
        </is>
      </c>
      <c r="B1" s="80" t="n"/>
      <c r="E1" s="10" t="n"/>
      <c r="F1" s="10" t="n"/>
      <c r="G1" s="10" t="n"/>
      <c r="H1" s="10" t="n"/>
      <c r="I1" s="81" t="n"/>
      <c r="J1" s="10" t="n"/>
      <c r="K1" s="10" t="n"/>
      <c r="L1" s="10" t="n"/>
      <c r="M1" s="10" t="n"/>
      <c r="N1" s="10" t="n"/>
      <c r="O1" s="10" t="n"/>
      <c r="P1" s="10" t="n"/>
      <c r="Q1" s="10" t="n"/>
      <c r="R1" s="82" t="n"/>
      <c r="S1" s="10" t="n"/>
      <c r="T1" s="10" t="n"/>
      <c r="U1" s="83" t="n"/>
      <c r="V1" s="10" t="n"/>
    </row>
    <row r="2">
      <c r="A2" s="79" t="n"/>
      <c r="B2" s="80" t="n"/>
      <c r="C2" s="79" t="n"/>
      <c r="D2" s="79" t="n"/>
      <c r="E2" s="10" t="n"/>
      <c r="F2" s="10" t="n"/>
      <c r="G2" s="10" t="n"/>
      <c r="H2" s="10" t="n"/>
      <c r="I2" s="81" t="n"/>
      <c r="J2" s="10" t="n"/>
      <c r="K2" s="10" t="n"/>
      <c r="L2" s="10" t="n"/>
      <c r="M2" s="10" t="n"/>
      <c r="N2" s="10" t="n"/>
      <c r="O2" s="10" t="n"/>
      <c r="P2" s="10" t="n"/>
      <c r="Q2" s="10" t="n"/>
      <c r="R2" s="82" t="n"/>
      <c r="S2" s="10" t="n"/>
      <c r="T2" s="10" t="n"/>
      <c r="U2" s="83" t="n"/>
      <c r="V2" s="10" t="n"/>
      <c r="X2" s="84" t="inlineStr">
        <is>
          <t>https://docs.google.com/spreadsheets/d/1wULbzX32WdYsx-lj2U3uUNBBe2INVIRDtcK0d-Dvl90/edit?gid=942186745#gid=942186745</t>
        </is>
      </c>
    </row>
    <row r="3" ht="22.5" customHeight="1" s="297">
      <c r="A3" s="1" t="inlineStr">
        <is>
          <t>EMPRESA</t>
        </is>
      </c>
      <c r="B3" s="85" t="inlineStr">
        <is>
          <t>CLASSE</t>
        </is>
      </c>
      <c r="C3" s="1" t="inlineStr">
        <is>
          <t>PRODUTO</t>
        </is>
      </c>
      <c r="D3" s="1" t="inlineStr">
        <is>
          <t>ATIVOS</t>
        </is>
      </c>
      <c r="E3" s="9" t="inlineStr">
        <is>
          <t>CONCENTRAÇÃO</t>
        </is>
      </c>
      <c r="F3" s="9" t="inlineStr">
        <is>
          <t>UN</t>
        </is>
      </c>
      <c r="G3" s="9" t="inlineStr">
        <is>
          <t>BULA</t>
        </is>
      </c>
      <c r="H3" s="9" t="inlineStr">
        <is>
          <t>DOSE</t>
        </is>
      </c>
      <c r="I3" s="1" t="inlineStr">
        <is>
          <t>EMBALAGEM</t>
        </is>
      </c>
      <c r="J3" s="9" t="inlineStr">
        <is>
          <t>FE-BRACHIARIA-26/27</t>
        </is>
      </c>
      <c r="K3" s="9" t="inlineStr">
        <is>
          <t>FE-SOJA IRRIGADO-26/27</t>
        </is>
      </c>
      <c r="L3" s="9" t="inlineStr">
        <is>
          <t>FE-SOJA SEQUEIRO-26/27</t>
        </is>
      </c>
      <c r="M3" s="9" t="inlineStr">
        <is>
          <t>FA-MILHO SEMENTE-27/27</t>
        </is>
      </c>
      <c r="N3" s="9" t="inlineStr">
        <is>
          <t>FA-SORGO SEQUEIRO-27/27</t>
        </is>
      </c>
      <c r="O3" s="9" t="inlineStr">
        <is>
          <t>FA-MILHO SEQUEIRO-26/27</t>
        </is>
      </c>
      <c r="P3" s="9" t="inlineStr">
        <is>
          <t>FA-SOJA SEQUEIRO-26/27</t>
        </is>
      </c>
      <c r="Q3" s="9" t="inlineStr">
        <is>
          <t>FA-SOJA-IRRIGADO-26/27</t>
        </is>
      </c>
      <c r="R3" s="8" t="inlineStr">
        <is>
          <t>DEMANDA</t>
        </is>
      </c>
      <c r="S3" s="9" t="inlineStr">
        <is>
          <t>VALOR R$/L OU KG</t>
        </is>
      </c>
      <c r="T3" s="9" t="inlineStr">
        <is>
          <t>ESTOQUE</t>
        </is>
      </c>
      <c r="U3" s="9" t="inlineStr">
        <is>
          <t>VOLUME INDICADO</t>
        </is>
      </c>
      <c r="V3" s="9" t="inlineStr">
        <is>
          <t>VALOR TOTAL</t>
        </is>
      </c>
      <c r="X3" s="86">
        <f>IFERROR(__xludf.DUMMYFUNCTION("IMPORTRANGE(""1wULbzX32WdYsx-lj2U3uUNBBe2INVIRDtcK0d-Dvl90"",""26-27!A1"")"),"PORTFÓLIO DEFENSIVO SAFRA 26/27")</f>
        <v/>
      </c>
    </row>
    <row r="4" hidden="1" ht="22.5" customHeight="1" s="297">
      <c r="A4" s="87" t="inlineStr">
        <is>
          <t>ADAMA</t>
        </is>
      </c>
      <c r="B4" s="88" t="inlineStr">
        <is>
          <t>ADJUVANTE</t>
        </is>
      </c>
      <c r="C4" s="89" t="inlineStr">
        <is>
          <t>RUMBA</t>
        </is>
      </c>
      <c r="D4" s="89" t="inlineStr">
        <is>
          <t>ESTER METILICO DE SOJA</t>
        </is>
      </c>
      <c r="E4" s="89" t="n">
        <v>765</v>
      </c>
      <c r="F4" s="4" t="inlineStr">
        <is>
          <t>L</t>
        </is>
      </c>
      <c r="G4" s="90">
        <f>HYPERLINK("https://www.google.com/search?q=" &amp; C4 &amp; "+bula+agrofit+pdf", "📄 Ver bula")</f>
        <v/>
      </c>
      <c r="H4" s="9">
        <f>IFERROR(__xludf.DUMMYFUNCTION("IFERROR(VLOOKUP(C4,
IMPORTRANGE(""1wULbzX32WdYsx-lj2U3uUNBBe2INVIRDtcK0d-Dvl90"",
""26-27!C:K""),
8,
FALSE),
"""")"),0.2)</f>
        <v/>
      </c>
      <c r="I4" s="91" t="inlineStr">
        <is>
          <t>1x20</t>
        </is>
      </c>
      <c r="J4" s="9">
        <f>IFERROR(SUM(
IF('TL01'!$B$3=J$3,SUMIF('TL01'!$C$10:$C$224,$C4,'TL01'!$J$10:$J$224),0),
IF('TL01'!$B$229=J$3,SUMIF('TL01'!$C$238:$C$451,$C4,'TL01'!$J$238:$J$451),0),
IF('TL02'!$B$3=J$3,SUMIF('TL02'!$C$10:$C$224,$C4,'TL02'!$J$10:$J$224),0),
IF('TL02'!$B$229=J$3,SUMIF('TL02'!$C$238:$C$451,$C4,'TL02'!$J$238:$J$451),0),
IF('TL03'!$B$3=J$3,SUMIF('TL03'!$C$10:$C$224,$C4,'TL03'!$J$10:$J$224),0),
IF('TL03'!$B$229=J$3,SUMIF('TL03'!$C$238:$C$451,$C4,'TL03'!$J$238:$J$451),0),
IF('TL04'!$B$3=J$3,SUMIF('TL04'!$C$10:$C$224,$C4,'TL04'!$J$10:$J$224),0),
IF('TL04'!$B$229=J$3,SUMIF('TL04'!$C$238:$C$451,$C4,'TL04'!$J$238:$J$451),0),
IF('TL05'!$B$3=J$3,SUMIF('TL05'!$C$10:$C$224,$C4,'TL05'!$J$10:$J$224),0),
IF('TL05'!$B$229=J$3,SUMIF('TL05'!$C$238:$C$451,$C4,'TL05'!$J$238:$J$451),0),
IF('TL06'!$B$3=J$3,SUMIF('TL06'!$C$10:$C$224,$C4,'TL06'!$J$10:$J$224),0),
IF('TL06'!$B$229=J$3,SUMIF('TL06'!$C$238:$C$451,$C4,'TL06'!$J$238:$J$451),0),
IF('TL07'!$B$3=J$3,SUMIF('TL07'!$C$10:$C$224,$C4,'TL07'!$J$10:$J$224),0),
IF('TL07'!$B$229=J$3,SUMIF('TL07'!$C$238:$C$451,$C4,'TL07'!$J$238:$J$451),0),
IF('TL08'!$B$3=J$3,SUMIF('TL08'!$C$10:$C$224,$C4,'TL08'!$J$10:$J$224),0),
IF('TL08'!$B$229=J$3,SUMIF('TL08'!$C$238:$C$451,$C4,'TL08'!$J$238:$J$451),0),
IF('TL09'!$B$3=J$3,SUMIF('TL09'!$C$10:$C$224,$C4,'TL09'!$J$10:$J$224),0),
IF('TL09'!$B$229=J$3,SUMIF('TL09'!$C$238:$C$451,$C4,'TL09'!$J$238:$J$451),0),
IF('TL10'!$B$3=J$3,SUMIF('TL10'!$C$10:$C$224,$C4,'TL10'!$J$10:$J$224),0),
IF('TL10'!$B$229=J$3,SUMIF('TL10'!$C$238:$C$451,$C4,'TL10'!$J$238:$J$451),0),
IF('TL11'!$B$3=J$3,SUMIF('TL11'!$C$10:$C$224,$C4,'TL11'!$J$10:$J$224),0),
IF('TL11'!$B$229=J$3,SUMIF('TL11'!$C$238:$C$451,$C4,'TL11'!$J$238:$J$451),0),
IF('TL12'!$B$3=J$3,SUMIF('TL12'!$C$10:$C$224,$C4,'TL12'!$J$10:$J$224),0),
IF('TL12'!$B$229=J$3,SUMIF('TL12'!$C$238:$C$451,$C4,'TL12'!$J$238:$J$451),0),
IF('TL13'!$B$3=J$3,SUMIF('TL13'!$C$10:$C$224,$C4,'TL13'!$J$10:$J$224),0),
IF('TL13'!$B$229=J$3,SUMIF('TL13'!$C$238:$C$451,$C4,'TL13'!$J$238:$J$451),0),
IF('TL14'!$B$3=J$3,SUMIF('TL14'!$C$10:$C$224,$C4,'TL14'!$J$10:$J$224),0),
IF('TL14'!$B$229=J$3,SUMIF('TL14'!$C$238:$C$451,$C4,'TL14'!$J$238:$J$451),0),
IF('TL15'!$B$3=J$3,SUMIF('TL15'!$C$10:$C$224,$C4,'TL15'!$J$10:$J$224),0),
IF('TL15'!$B$229=J$3,SUMIF('TL15'!$C$238:$C$451,$C4,'TL15'!$J$238:$J$451),0),
IF('TL16'!$B$3=J$3,SUMIF('TL16'!$C$10:$C$224,$C4,'TL16'!$J$10:$J$224),0),
IF('TL16'!$B$229=J$3,SUMIF('TL16'!$C$238:$C$451,$C4,'TL16'!$J$238:$J$451),0),
IF('TL17'!$B$3=J$3,SUMIF('TL17'!$C$10:$C$224,$C4,'TL17'!$J$10:$J$224),0),
IF('TL17'!$B$229=J$3,SUMIF('TL17'!$C$238:$C$451,$C4,'TL17'!$J$238:$J$451),0),
IF('TL18'!$B$3=J$3,SUMIF('TL18'!$C$10:$C$224,$C4,'TL18'!$J$10:$J$224),0),
IF('TL18'!$B$229=J$3,SUMIF('TL18'!$C$238:$C$451,$C4,'TL18'!$J$238:$J$451),0),
IF('TL19'!$B$3=J$3,SUMIF('TL19'!$C$10:$C$224,$C4,'TL19'!$J$10:$J$224),0),
IF('TL19'!$B$229=J$3,SUMIF('TL19'!$C$238:$C$451,$C4,'TL19'!$J$238:$J$451),0)
),0)</f>
        <v/>
      </c>
      <c r="K4" s="9">
        <f>IFERROR(SUM(
IF('TL01'!$B$3=K$3,SUMIF('TL01'!$C$10:$C$224,$C4,'TL01'!$J$10:$J$224),0),
IF('TL01'!$B$229=K$3,SUMIF('TL01'!$C$238:$C$451,$C4,'TL01'!$J$238:$J$451),0),
IF('TL02'!$B$3=K$3,SUMIF('TL02'!$C$10:$C$224,$C4,'TL02'!$J$10:$J$224),0),
IF('TL02'!$B$229=K$3,SUMIF('TL02'!$C$238:$C$451,$C4,'TL02'!$J$238:$J$451),0),
IF('TL03'!$B$3=K$3,SUMIF('TL03'!$C$10:$C$224,$C4,'TL03'!$J$10:$J$224),0),
IF('TL03'!$B$229=K$3,SUMIF('TL03'!$C$238:$C$451,$C4,'TL03'!$J$238:$J$451),0),
IF('TL04'!$B$3=K$3,SUMIF('TL04'!$C$10:$C$224,$C4,'TL04'!$J$10:$J$224),0),
IF('TL04'!$B$229=K$3,SUMIF('TL04'!$C$238:$C$451,$C4,'TL04'!$J$238:$J$451),0),
IF('TL05'!$B$3=K$3,SUMIF('TL05'!$C$10:$C$224,$C4,'TL05'!$J$10:$J$224),0),
IF('TL05'!$B$229=K$3,SUMIF('TL05'!$C$238:$C$451,$C4,'TL05'!$J$238:$J$451),0),
IF('TL06'!$B$3=K$3,SUMIF('TL06'!$C$10:$C$224,$C4,'TL06'!$J$10:$J$224),0),
IF('TL06'!$B$229=K$3,SUMIF('TL06'!$C$238:$C$451,$C4,'TL06'!$J$238:$J$451),0),
IF('TL07'!$B$3=K$3,SUMIF('TL07'!$C$10:$C$224,$C4,'TL07'!$J$10:$J$224),0),
IF('TL07'!$B$229=K$3,SUMIF('TL07'!$C$238:$C$451,$C4,'TL07'!$J$238:$J$451),0),
IF('TL08'!$B$3=K$3,SUMIF('TL08'!$C$10:$C$224,$C4,'TL08'!$J$10:$J$224),0),
IF('TL08'!$B$229=K$3,SUMIF('TL08'!$C$238:$C$451,$C4,'TL08'!$J$238:$J$451),0),
IF('TL09'!$B$3=K$3,SUMIF('TL09'!$C$10:$C$224,$C4,'TL09'!$J$10:$J$224),0),
IF('TL09'!$B$229=K$3,SUMIF('TL09'!$C$238:$C$451,$C4,'TL09'!$J$238:$J$451),0),
IF('TL10'!$B$3=K$3,SUMIF('TL10'!$C$10:$C$224,$C4,'TL10'!$J$10:$J$224),0),
IF('TL10'!$B$229=K$3,SUMIF('TL10'!$C$238:$C$451,$C4,'TL10'!$J$238:$J$451),0),
IF('TL11'!$B$3=K$3,SUMIF('TL11'!$C$10:$C$224,$C4,'TL11'!$J$10:$J$224),0),
IF('TL11'!$B$229=K$3,SUMIF('TL11'!$C$238:$C$451,$C4,'TL11'!$J$238:$J$451),0),
IF('TL12'!$B$3=K$3,SUMIF('TL12'!$C$10:$C$224,$C4,'TL12'!$J$10:$J$224),0),
IF('TL12'!$B$229=K$3,SUMIF('TL12'!$C$238:$C$451,$C4,'TL12'!$J$238:$J$451),0),
IF('TL13'!$B$3=K$3,SUMIF('TL13'!$C$10:$C$224,$C4,'TL13'!$J$10:$J$224),0),
IF('TL13'!$B$229=K$3,SUMIF('TL13'!$C$238:$C$451,$C4,'TL13'!$J$238:$J$451),0),
IF('TL14'!$B$3=K$3,SUMIF('TL14'!$C$10:$C$224,$C4,'TL14'!$J$10:$J$224),0),
IF('TL14'!$B$229=K$3,SUMIF('TL14'!$C$238:$C$451,$C4,'TL14'!$J$238:$J$451),0),
IF('TL15'!$B$3=K$3,SUMIF('TL15'!$C$10:$C$224,$C4,'TL15'!$J$10:$J$224),0),
IF('TL15'!$B$229=K$3,SUMIF('TL15'!$C$238:$C$451,$C4,'TL15'!$J$238:$J$451),0),
IF('TL16'!$B$3=K$3,SUMIF('TL16'!$C$10:$C$224,$C4,'TL16'!$J$10:$J$224),0),
IF('TL16'!$B$229=K$3,SUMIF('TL16'!$C$238:$C$451,$C4,'TL16'!$J$238:$J$451),0),
IF('TL17'!$B$3=K$3,SUMIF('TL17'!$C$10:$C$224,$C4,'TL17'!$J$10:$J$224),0),
IF('TL17'!$B$229=K$3,SUMIF('TL17'!$C$238:$C$451,$C4,'TL17'!$J$238:$J$451),0),
IF('TL18'!$B$3=K$3,SUMIF('TL18'!$C$10:$C$224,$C4,'TL18'!$J$10:$J$224),0),
IF('TL18'!$B$229=K$3,SUMIF('TL18'!$C$238:$C$451,$C4,'TL18'!$J$238:$J$451),0),
IF('TL19'!$B$3=K$3,SUMIF('TL19'!$C$10:$C$224,$C4,'TL19'!$J$10:$J$224),0),
IF('TL19'!$B$229=K$3,SUMIF('TL19'!$C$238:$C$451,$C4,'TL19'!$J$238:$J$451),0)
),0)</f>
        <v/>
      </c>
      <c r="L4" s="9">
        <f>IFERROR(SUM(
IF('TL01'!$B$3=L$3,SUMIF('TL01'!$C$10:$C$224,$C4,'TL01'!$J$10:$J$224),0),
IF('TL01'!$B$229=L$3,SUMIF('TL01'!$C$238:$C$451,$C4,'TL01'!$J$238:$J$451),0),
IF('TL02'!$B$3=L$3,SUMIF('TL02'!$C$10:$C$224,$C4,'TL02'!$J$10:$J$224),0),
IF('TL02'!$B$229=L$3,SUMIF('TL02'!$C$238:$C$451,$C4,'TL02'!$J$238:$J$451),0),
IF('TL03'!$B$3=L$3,SUMIF('TL03'!$C$10:$C$224,$C4,'TL03'!$J$10:$J$224),0),
IF('TL03'!$B$229=L$3,SUMIF('TL03'!$C$238:$C$451,$C4,'TL03'!$J$238:$J$451),0),
IF('TL04'!$B$3=L$3,SUMIF('TL04'!$C$10:$C$224,$C4,'TL04'!$J$10:$J$224),0),
IF('TL04'!$B$229=L$3,SUMIF('TL04'!$C$238:$C$451,$C4,'TL04'!$J$238:$J$451),0),
IF('TL05'!$B$3=L$3,SUMIF('TL05'!$C$10:$C$224,$C4,'TL05'!$J$10:$J$224),0),
IF('TL05'!$B$229=L$3,SUMIF('TL05'!$C$238:$C$451,$C4,'TL05'!$J$238:$J$451),0),
IF('TL06'!$B$3=L$3,SUMIF('TL06'!$C$10:$C$224,$C4,'TL06'!$J$10:$J$224),0),
IF('TL06'!$B$229=L$3,SUMIF('TL06'!$C$238:$C$451,$C4,'TL06'!$J$238:$J$451),0),
IF('TL07'!$B$3=L$3,SUMIF('TL07'!$C$10:$C$224,$C4,'TL07'!$J$10:$J$224),0),
IF('TL07'!$B$229=L$3,SUMIF('TL07'!$C$238:$C$451,$C4,'TL07'!$J$238:$J$451),0),
IF('TL08'!$B$3=L$3,SUMIF('TL08'!$C$10:$C$224,$C4,'TL08'!$J$10:$J$224),0),
IF('TL08'!$B$229=L$3,SUMIF('TL08'!$C$238:$C$451,$C4,'TL08'!$J$238:$J$451),0),
IF('TL09'!$B$3=L$3,SUMIF('TL09'!$C$10:$C$224,$C4,'TL09'!$J$10:$J$224),0),
IF('TL09'!$B$229=L$3,SUMIF('TL09'!$C$238:$C$451,$C4,'TL09'!$J$238:$J$451),0),
IF('TL10'!$B$3=L$3,SUMIF('TL10'!$C$10:$C$224,$C4,'TL10'!$J$10:$J$224),0),
IF('TL10'!$B$229=L$3,SUMIF('TL10'!$C$238:$C$451,$C4,'TL10'!$J$238:$J$451),0),
IF('TL11'!$B$3=L$3,SUMIF('TL11'!$C$10:$C$224,$C4,'TL11'!$J$10:$J$224),0),
IF('TL11'!$B$229=L$3,SUMIF('TL11'!$C$238:$C$451,$C4,'TL11'!$J$238:$J$451),0),
IF('TL12'!$B$3=L$3,SUMIF('TL12'!$C$10:$C$224,$C4,'TL12'!$J$10:$J$224),0),
IF('TL12'!$B$229=L$3,SUMIF('TL12'!$C$238:$C$451,$C4,'TL12'!$J$238:$J$451),0),
IF('TL13'!$B$3=L$3,SUMIF('TL13'!$C$10:$C$224,$C4,'TL13'!$J$10:$J$224),0),
IF('TL13'!$B$229=L$3,SUMIF('TL13'!$C$238:$C$451,$C4,'TL13'!$J$238:$J$451),0),
IF('TL14'!$B$3=L$3,SUMIF('TL14'!$C$10:$C$224,$C4,'TL14'!$J$10:$J$224),0),
IF('TL14'!$B$229=L$3,SUMIF('TL14'!$C$238:$C$451,$C4,'TL14'!$J$238:$J$451),0),
IF('TL15'!$B$3=L$3,SUMIF('TL15'!$C$10:$C$224,$C4,'TL15'!$J$10:$J$224),0),
IF('TL15'!$B$229=L$3,SUMIF('TL15'!$C$238:$C$451,$C4,'TL15'!$J$238:$J$451),0),
IF('TL16'!$B$3=L$3,SUMIF('TL16'!$C$10:$C$224,$C4,'TL16'!$J$10:$J$224),0),
IF('TL16'!$B$229=L$3,SUMIF('TL16'!$C$238:$C$451,$C4,'TL16'!$J$238:$J$451),0),
IF('TL17'!$B$3=L$3,SUMIF('TL17'!$C$10:$C$224,$C4,'TL17'!$J$10:$J$224),0),
IF('TL17'!$B$229=L$3,SUMIF('TL17'!$C$238:$C$451,$C4,'TL17'!$J$238:$J$451),0),
IF('TL18'!$B$3=L$3,SUMIF('TL18'!$C$10:$C$224,$C4,'TL18'!$J$10:$J$224),0),
IF('TL18'!$B$229=L$3,SUMIF('TL18'!$C$238:$C$451,$C4,'TL18'!$J$238:$J$451),0),
IF('TL19'!$B$3=L$3,SUMIF('TL19'!$C$10:$C$224,$C4,'TL19'!$J$10:$J$224),0),
IF('TL19'!$B$229=L$3,SUMIF('TL19'!$C$238:$C$451,$C4,'TL19'!$J$238:$J$451),0)
),0)</f>
        <v/>
      </c>
      <c r="M4" s="9">
        <f>IFERROR(SUM(
IF('TL01'!$B$3=M$3,SUMIF('TL01'!$C$10:$C$224,$C4,'TL01'!$J$10:$J$224),0),
IF('TL01'!$B$229=M$3,SUMIF('TL01'!$C$238:$C$451,$C4,'TL01'!$J$238:$J$451),0),
IF('TL02'!$B$3=M$3,SUMIF('TL02'!$C$10:$C$224,$C4,'TL02'!$J$10:$J$224),0),
IF('TL02'!$B$229=M$3,SUMIF('TL02'!$C$238:$C$451,$C4,'TL02'!$J$238:$J$451),0),
IF('TL03'!$B$3=M$3,SUMIF('TL03'!$C$10:$C$224,$C4,'TL03'!$J$10:$J$224),0),
IF('TL03'!$B$229=M$3,SUMIF('TL03'!$C$238:$C$451,$C4,'TL03'!$J$238:$J$451),0),
IF('TL04'!$B$3=M$3,SUMIF('TL04'!$C$10:$C$224,$C4,'TL04'!$J$10:$J$224),0),
IF('TL04'!$B$229=M$3,SUMIF('TL04'!$C$238:$C$451,$C4,'TL04'!$J$238:$J$451),0),
IF('TL05'!$B$3=M$3,SUMIF('TL05'!$C$10:$C$224,$C4,'TL05'!$J$10:$J$224),0),
IF('TL05'!$B$229=M$3,SUMIF('TL05'!$C$238:$C$451,$C4,'TL05'!$J$238:$J$451),0),
IF('TL06'!$B$3=M$3,SUMIF('TL06'!$C$10:$C$224,$C4,'TL06'!$J$10:$J$224),0),
IF('TL06'!$B$229=M$3,SUMIF('TL06'!$C$238:$C$451,$C4,'TL06'!$J$238:$J$451),0),
IF('TL07'!$B$3=M$3,SUMIF('TL07'!$C$10:$C$224,$C4,'TL07'!$J$10:$J$224),0),
IF('TL07'!$B$229=M$3,SUMIF('TL07'!$C$238:$C$451,$C4,'TL07'!$J$238:$J$451),0),
IF('TL08'!$B$3=M$3,SUMIF('TL08'!$C$10:$C$224,$C4,'TL08'!$J$10:$J$224),0),
IF('TL08'!$B$229=M$3,SUMIF('TL08'!$C$238:$C$451,$C4,'TL08'!$J$238:$J$451),0),
IF('TL09'!$B$3=M$3,SUMIF('TL09'!$C$10:$C$224,$C4,'TL09'!$J$10:$J$224),0),
IF('TL09'!$B$229=M$3,SUMIF('TL09'!$C$238:$C$451,$C4,'TL09'!$J$238:$J$451),0),
IF('TL10'!$B$3=M$3,SUMIF('TL10'!$C$10:$C$224,$C4,'TL10'!$J$10:$J$224),0),
IF('TL10'!$B$229=M$3,SUMIF('TL10'!$C$238:$C$451,$C4,'TL10'!$J$238:$J$451),0),
IF('TL11'!$B$3=M$3,SUMIF('TL11'!$C$10:$C$224,$C4,'TL11'!$J$10:$J$224),0),
IF('TL11'!$B$229=M$3,SUMIF('TL11'!$C$238:$C$451,$C4,'TL11'!$J$238:$J$451),0),
IF('TL12'!$B$3=M$3,SUMIF('TL12'!$C$10:$C$224,$C4,'TL12'!$J$10:$J$224),0),
IF('TL12'!$B$229=M$3,SUMIF('TL12'!$C$238:$C$451,$C4,'TL12'!$J$238:$J$451),0),
IF('TL13'!$B$3=M$3,SUMIF('TL13'!$C$10:$C$224,$C4,'TL13'!$J$10:$J$224),0),
IF('TL13'!$B$229=M$3,SUMIF('TL13'!$C$238:$C$451,$C4,'TL13'!$J$238:$J$451),0),
IF('TL14'!$B$3=M$3,SUMIF('TL14'!$C$10:$C$224,$C4,'TL14'!$J$10:$J$224),0),
IF('TL14'!$B$229=M$3,SUMIF('TL14'!$C$238:$C$451,$C4,'TL14'!$J$238:$J$451),0),
IF('TL15'!$B$3=M$3,SUMIF('TL15'!$C$10:$C$224,$C4,'TL15'!$J$10:$J$224),0),
IF('TL15'!$B$229=M$3,SUMIF('TL15'!$C$238:$C$451,$C4,'TL15'!$J$238:$J$451),0),
IF('TL16'!$B$3=M$3,SUMIF('TL16'!$C$10:$C$224,$C4,'TL16'!$J$10:$J$224),0),
IF('TL16'!$B$229=M$3,SUMIF('TL16'!$C$238:$C$451,$C4,'TL16'!$J$238:$J$451),0),
IF('TL17'!$B$3=M$3,SUMIF('TL17'!$C$10:$C$224,$C4,'TL17'!$J$10:$J$224),0),
IF('TL17'!$B$229=M$3,SUMIF('TL17'!$C$238:$C$451,$C4,'TL17'!$J$238:$J$451),0),
IF('TL18'!$B$3=M$3,SUMIF('TL18'!$C$10:$C$224,$C4,'TL18'!$J$10:$J$224),0),
IF('TL18'!$B$229=M$3,SUMIF('TL18'!$C$238:$C$451,$C4,'TL18'!$J$238:$J$451),0),
IF('TL19'!$B$3=M$3,SUMIF('TL19'!$C$10:$C$224,$C4,'TL19'!$J$10:$J$224),0),
IF('TL19'!$B$229=M$3,SUMIF('TL19'!$C$238:$C$451,$C4,'TL19'!$J$238:$J$451),0)
),0)</f>
        <v/>
      </c>
      <c r="N4" s="9">
        <f>IFERROR(SUM(
IF('TL01'!$B$3=N$3,SUMIF('TL01'!$C$10:$C$224,$C4,'TL01'!$J$10:$J$224),0),
IF('TL01'!$B$229=N$3,SUMIF('TL01'!$C$238:$C$451,$C4,'TL01'!$J$238:$J$451),0),
IF('TL02'!$B$3=N$3,SUMIF('TL02'!$C$10:$C$224,$C4,'TL02'!$J$10:$J$224),0),
IF('TL02'!$B$229=N$3,SUMIF('TL02'!$C$238:$C$451,$C4,'TL02'!$J$238:$J$451),0),
IF('TL03'!$B$3=N$3,SUMIF('TL03'!$C$10:$C$224,$C4,'TL03'!$J$10:$J$224),0),
IF('TL03'!$B$229=N$3,SUMIF('TL03'!$C$238:$C$451,$C4,'TL03'!$J$238:$J$451),0),
IF('TL04'!$B$3=N$3,SUMIF('TL04'!$C$10:$C$224,$C4,'TL04'!$J$10:$J$224),0),
IF('TL04'!$B$229=N$3,SUMIF('TL04'!$C$238:$C$451,$C4,'TL04'!$J$238:$J$451),0),
IF('TL05'!$B$3=N$3,SUMIF('TL05'!$C$10:$C$224,$C4,'TL05'!$J$10:$J$224),0),
IF('TL05'!$B$229=N$3,SUMIF('TL05'!$C$238:$C$451,$C4,'TL05'!$J$238:$J$451),0),
IF('TL06'!$B$3=N$3,SUMIF('TL06'!$C$10:$C$224,$C4,'TL06'!$J$10:$J$224),0),
IF('TL06'!$B$229=N$3,SUMIF('TL06'!$C$238:$C$451,$C4,'TL06'!$J$238:$J$451),0),
IF('TL07'!$B$3=N$3,SUMIF('TL07'!$C$10:$C$224,$C4,'TL07'!$J$10:$J$224),0),
IF('TL07'!$B$229=N$3,SUMIF('TL07'!$C$238:$C$451,$C4,'TL07'!$J$238:$J$451),0),
IF('TL08'!$B$3=N$3,SUMIF('TL08'!$C$10:$C$224,$C4,'TL08'!$J$10:$J$224),0),
IF('TL08'!$B$229=N$3,SUMIF('TL08'!$C$238:$C$451,$C4,'TL08'!$J$238:$J$451),0),
IF('TL09'!$B$3=N$3,SUMIF('TL09'!$C$10:$C$224,$C4,'TL09'!$J$10:$J$224),0),
IF('TL09'!$B$229=N$3,SUMIF('TL09'!$C$238:$C$451,$C4,'TL09'!$J$238:$J$451),0),
IF('TL10'!$B$3=N$3,SUMIF('TL10'!$C$10:$C$224,$C4,'TL10'!$J$10:$J$224),0),
IF('TL10'!$B$229=N$3,SUMIF('TL10'!$C$238:$C$451,$C4,'TL10'!$J$238:$J$451),0),
IF('TL11'!$B$3=N$3,SUMIF('TL11'!$C$10:$C$224,$C4,'TL11'!$J$10:$J$224),0),
IF('TL11'!$B$229=N$3,SUMIF('TL11'!$C$238:$C$451,$C4,'TL11'!$J$238:$J$451),0),
IF('TL12'!$B$3=N$3,SUMIF('TL12'!$C$10:$C$224,$C4,'TL12'!$J$10:$J$224),0),
IF('TL12'!$B$229=N$3,SUMIF('TL12'!$C$238:$C$451,$C4,'TL12'!$J$238:$J$451),0),
IF('TL13'!$B$3=N$3,SUMIF('TL13'!$C$10:$C$224,$C4,'TL13'!$J$10:$J$224),0),
IF('TL13'!$B$229=N$3,SUMIF('TL13'!$C$238:$C$451,$C4,'TL13'!$J$238:$J$451),0),
IF('TL14'!$B$3=N$3,SUMIF('TL14'!$C$10:$C$224,$C4,'TL14'!$J$10:$J$224),0),
IF('TL14'!$B$229=N$3,SUMIF('TL14'!$C$238:$C$451,$C4,'TL14'!$J$238:$J$451),0),
IF('TL15'!$B$3=N$3,SUMIF('TL15'!$C$10:$C$224,$C4,'TL15'!$J$10:$J$224),0),
IF('TL15'!$B$229=N$3,SUMIF('TL15'!$C$238:$C$451,$C4,'TL15'!$J$238:$J$451),0),
IF('TL16'!$B$3=N$3,SUMIF('TL16'!$C$10:$C$224,$C4,'TL16'!$J$10:$J$224),0),
IF('TL16'!$B$229=N$3,SUMIF('TL16'!$C$238:$C$451,$C4,'TL16'!$J$238:$J$451),0),
IF('TL17'!$B$3=N$3,SUMIF('TL17'!$C$10:$C$224,$C4,'TL17'!$J$10:$J$224),0),
IF('TL17'!$B$229=N$3,SUMIF('TL17'!$C$238:$C$451,$C4,'TL17'!$J$238:$J$451),0),
IF('TL18'!$B$3=N$3,SUMIF('TL18'!$C$10:$C$224,$C4,'TL18'!$J$10:$J$224),0),
IF('TL18'!$B$229=N$3,SUMIF('TL18'!$C$238:$C$451,$C4,'TL18'!$J$238:$J$451),0),
IF('TL19'!$B$3=N$3,SUMIF('TL19'!$C$10:$C$224,$C4,'TL19'!$J$10:$J$224),0),
IF('TL19'!$B$229=N$3,SUMIF('TL19'!$C$238:$C$451,$C4,'TL19'!$J$238:$J$451),0)
),0)</f>
        <v/>
      </c>
      <c r="O4" s="9">
        <f>IFERROR(SUM(
IF('TL01'!$B$3=O$3,SUMIF('TL01'!$C$10:$C$224,$C4,'TL01'!$J$10:$J$224),0),
IF('TL01'!$B$229=O$3,SUMIF('TL01'!$C$238:$C$451,$C4,'TL01'!$J$238:$J$451),0),
IF('TL02'!$B$3=O$3,SUMIF('TL02'!$C$10:$C$224,$C4,'TL02'!$J$10:$J$224),0),
IF('TL02'!$B$229=O$3,SUMIF('TL02'!$C$238:$C$451,$C4,'TL02'!$J$238:$J$451),0),
IF('TL03'!$B$3=O$3,SUMIF('TL03'!$C$10:$C$224,$C4,'TL03'!$J$10:$J$224),0),
IF('TL03'!$B$229=O$3,SUMIF('TL03'!$C$238:$C$451,$C4,'TL03'!$J$238:$J$451),0),
IF('TL04'!$B$3=O$3,SUMIF('TL04'!$C$10:$C$224,$C4,'TL04'!$J$10:$J$224),0),
IF('TL04'!$B$229=O$3,SUMIF('TL04'!$C$238:$C$451,$C4,'TL04'!$J$238:$J$451),0),
IF('TL05'!$B$3=O$3,SUMIF('TL05'!$C$10:$C$224,$C4,'TL05'!$J$10:$J$224),0),
IF('TL05'!$B$229=O$3,SUMIF('TL05'!$C$238:$C$451,$C4,'TL05'!$J$238:$J$451),0),
IF('TL06'!$B$3=O$3,SUMIF('TL06'!$C$10:$C$224,$C4,'TL06'!$J$10:$J$224),0),
IF('TL06'!$B$229=O$3,SUMIF('TL06'!$C$238:$C$451,$C4,'TL06'!$J$238:$J$451),0),
IF('TL07'!$B$3=O$3,SUMIF('TL07'!$C$10:$C$224,$C4,'TL07'!$J$10:$J$224),0),
IF('TL07'!$B$229=O$3,SUMIF('TL07'!$C$238:$C$451,$C4,'TL07'!$J$238:$J$451),0),
IF('TL08'!$B$3=O$3,SUMIF('TL08'!$C$10:$C$224,$C4,'TL08'!$J$10:$J$224),0),
IF('TL08'!$B$229=O$3,SUMIF('TL08'!$C$238:$C$451,$C4,'TL08'!$J$238:$J$451),0),
IF('TL09'!$B$3=O$3,SUMIF('TL09'!$C$10:$C$224,$C4,'TL09'!$J$10:$J$224),0),
IF('TL09'!$B$229=O$3,SUMIF('TL09'!$C$238:$C$451,$C4,'TL09'!$J$238:$J$451),0),
IF('TL10'!$B$3=O$3,SUMIF('TL10'!$C$10:$C$224,$C4,'TL10'!$J$10:$J$224),0),
IF('TL10'!$B$229=O$3,SUMIF('TL10'!$C$238:$C$451,$C4,'TL10'!$J$238:$J$451),0),
IF('TL11'!$B$3=O$3,SUMIF('TL11'!$C$10:$C$224,$C4,'TL11'!$J$10:$J$224),0),
IF('TL11'!$B$229=O$3,SUMIF('TL11'!$C$238:$C$451,$C4,'TL11'!$J$238:$J$451),0),
IF('TL12'!$B$3=O$3,SUMIF('TL12'!$C$10:$C$224,$C4,'TL12'!$J$10:$J$224),0),
IF('TL12'!$B$229=O$3,SUMIF('TL12'!$C$238:$C$451,$C4,'TL12'!$J$238:$J$451),0),
IF('TL13'!$B$3=O$3,SUMIF('TL13'!$C$10:$C$224,$C4,'TL13'!$J$10:$J$224),0),
IF('TL13'!$B$229=O$3,SUMIF('TL13'!$C$238:$C$451,$C4,'TL13'!$J$238:$J$451),0),
IF('TL14'!$B$3=O$3,SUMIF('TL14'!$C$10:$C$224,$C4,'TL14'!$J$10:$J$224),0),
IF('TL14'!$B$229=O$3,SUMIF('TL14'!$C$238:$C$451,$C4,'TL14'!$J$238:$J$451),0),
IF('TL15'!$B$3=O$3,SUMIF('TL15'!$C$10:$C$224,$C4,'TL15'!$J$10:$J$224),0),
IF('TL15'!$B$229=O$3,SUMIF('TL15'!$C$238:$C$451,$C4,'TL15'!$J$238:$J$451),0),
IF('TL16'!$B$3=O$3,SUMIF('TL16'!$C$10:$C$224,$C4,'TL16'!$J$10:$J$224),0),
IF('TL16'!$B$229=O$3,SUMIF('TL16'!$C$238:$C$451,$C4,'TL16'!$J$238:$J$451),0),
IF('TL17'!$B$3=O$3,SUMIF('TL17'!$C$10:$C$224,$C4,'TL17'!$J$10:$J$224),0),
IF('TL17'!$B$229=O$3,SUMIF('TL17'!$C$238:$C$451,$C4,'TL17'!$J$238:$J$451),0),
IF('TL18'!$B$3=O$3,SUMIF('TL18'!$C$10:$C$224,$C4,'TL18'!$J$10:$J$224),0),
IF('TL18'!$B$229=O$3,SUMIF('TL18'!$C$238:$C$451,$C4,'TL18'!$J$238:$J$451),0),
IF('TL19'!$B$3=O$3,SUMIF('TL19'!$C$10:$C$224,$C4,'TL19'!$J$10:$J$224),0),
IF('TL19'!$B$229=O$3,SUMIF('TL19'!$C$238:$C$451,$C4,'TL19'!$J$238:$J$451),0)
),0)</f>
        <v/>
      </c>
      <c r="P4" s="9">
        <f>IFERROR(SUM(
IF('TL01'!$B$3=P$3,SUMIF('TL01'!$C$10:$C$224,$C4,'TL01'!$J$10:$J$224),0),
IF('TL01'!$B$229=P$3,SUMIF('TL01'!$C$238:$C$451,$C4,'TL01'!$J$238:$J$451),0),
IF('TL02'!$B$3=P$3,SUMIF('TL02'!$C$10:$C$224,$C4,'TL02'!$J$10:$J$224),0),
IF('TL02'!$B$229=P$3,SUMIF('TL02'!$C$238:$C$451,$C4,'TL02'!$J$238:$J$451),0),
IF('TL03'!$B$3=P$3,SUMIF('TL03'!$C$10:$C$224,$C4,'TL03'!$J$10:$J$224),0),
IF('TL03'!$B$229=P$3,SUMIF('TL03'!$C$238:$C$451,$C4,'TL03'!$J$238:$J$451),0),
IF('TL04'!$B$3=P$3,SUMIF('TL04'!$C$10:$C$224,$C4,'TL04'!$J$10:$J$224),0),
IF('TL04'!$B$229=P$3,SUMIF('TL04'!$C$238:$C$451,$C4,'TL04'!$J$238:$J$451),0),
IF('TL05'!$B$3=P$3,SUMIF('TL05'!$C$10:$C$224,$C4,'TL05'!$J$10:$J$224),0),
IF('TL05'!$B$229=P$3,SUMIF('TL05'!$C$238:$C$451,$C4,'TL05'!$J$238:$J$451),0),
IF('TL06'!$B$3=P$3,SUMIF('TL06'!$C$10:$C$224,$C4,'TL06'!$J$10:$J$224),0),
IF('TL06'!$B$229=P$3,SUMIF('TL06'!$C$238:$C$451,$C4,'TL06'!$J$238:$J$451),0),
IF('TL07'!$B$3=P$3,SUMIF('TL07'!$C$10:$C$224,$C4,'TL07'!$J$10:$J$224),0),
IF('TL07'!$B$229=P$3,SUMIF('TL07'!$C$238:$C$451,$C4,'TL07'!$J$238:$J$451),0),
IF('TL08'!$B$3=P$3,SUMIF('TL08'!$C$10:$C$224,$C4,'TL08'!$J$10:$J$224),0),
IF('TL08'!$B$229=P$3,SUMIF('TL08'!$C$238:$C$451,$C4,'TL08'!$J$238:$J$451),0),
IF('TL09'!$B$3=P$3,SUMIF('TL09'!$C$10:$C$224,$C4,'TL09'!$J$10:$J$224),0),
IF('TL09'!$B$229=P$3,SUMIF('TL09'!$C$238:$C$451,$C4,'TL09'!$J$238:$J$451),0),
IF('TL10'!$B$3=P$3,SUMIF('TL10'!$C$10:$C$224,$C4,'TL10'!$J$10:$J$224),0),
IF('TL10'!$B$229=P$3,SUMIF('TL10'!$C$238:$C$451,$C4,'TL10'!$J$238:$J$451),0),
IF('TL11'!$B$3=P$3,SUMIF('TL11'!$C$10:$C$224,$C4,'TL11'!$J$10:$J$224),0),
IF('TL11'!$B$229=P$3,SUMIF('TL11'!$C$238:$C$451,$C4,'TL11'!$J$238:$J$451),0),
IF('TL12'!$B$3=P$3,SUMIF('TL12'!$C$10:$C$224,$C4,'TL12'!$J$10:$J$224),0),
IF('TL12'!$B$229=P$3,SUMIF('TL12'!$C$238:$C$451,$C4,'TL12'!$J$238:$J$451),0),
IF('TL13'!$B$3=P$3,SUMIF('TL13'!$C$10:$C$224,$C4,'TL13'!$J$10:$J$224),0),
IF('TL13'!$B$229=P$3,SUMIF('TL13'!$C$238:$C$451,$C4,'TL13'!$J$238:$J$451),0),
IF('TL14'!$B$3=P$3,SUMIF('TL14'!$C$10:$C$224,$C4,'TL14'!$J$10:$J$224),0),
IF('TL14'!$B$229=P$3,SUMIF('TL14'!$C$238:$C$451,$C4,'TL14'!$J$238:$J$451),0),
IF('TL15'!$B$3=P$3,SUMIF('TL15'!$C$10:$C$224,$C4,'TL15'!$J$10:$J$224),0),
IF('TL15'!$B$229=P$3,SUMIF('TL15'!$C$238:$C$451,$C4,'TL15'!$J$238:$J$451),0),
IF('TL16'!$B$3=P$3,SUMIF('TL16'!$C$10:$C$224,$C4,'TL16'!$J$10:$J$224),0),
IF('TL16'!$B$229=P$3,SUMIF('TL16'!$C$238:$C$451,$C4,'TL16'!$J$238:$J$451),0),
IF('TL17'!$B$3=P$3,SUMIF('TL17'!$C$10:$C$224,$C4,'TL17'!$J$10:$J$224),0),
IF('TL17'!$B$229=P$3,SUMIF('TL17'!$C$238:$C$451,$C4,'TL17'!$J$238:$J$451),0),
IF('TL18'!$B$3=P$3,SUMIF('TL18'!$C$10:$C$224,$C4,'TL18'!$J$10:$J$224),0),
IF('TL18'!$B$229=P$3,SUMIF('TL18'!$C$238:$C$451,$C4,'TL18'!$J$238:$J$451),0),
IF('TL19'!$B$3=P$3,SUMIF('TL19'!$C$10:$C$224,$C4,'TL19'!$J$10:$J$224),0),
IF('TL19'!$B$229=P$3,SUMIF('TL19'!$C$238:$C$451,$C4,'TL19'!$J$238:$J$451),0)
),0)</f>
        <v/>
      </c>
      <c r="Q4" s="9">
        <f>IFERROR(SUM(
IF('TL01'!$B$3=Q$3,SUMIF('TL01'!$C$10:$C$224,$C4,'TL01'!$J$10:$J$224),0),
IF('TL01'!$B$229=Q$3,SUMIF('TL01'!$C$238:$C$451,$C4,'TL01'!$J$238:$J$451),0),
IF('TL02'!$B$3=Q$3,SUMIF('TL02'!$C$10:$C$224,$C4,'TL02'!$J$10:$J$224),0),
IF('TL02'!$B$229=Q$3,SUMIF('TL02'!$C$238:$C$451,$C4,'TL02'!$J$238:$J$451),0),
IF('TL03'!$B$3=Q$3,SUMIF('TL03'!$C$10:$C$224,$C4,'TL03'!$J$10:$J$224),0),
IF('TL03'!$B$229=Q$3,SUMIF('TL03'!$C$238:$C$451,$C4,'TL03'!$J$238:$J$451),0),
IF('TL04'!$B$3=Q$3,SUMIF('TL04'!$C$10:$C$224,$C4,'TL04'!$J$10:$J$224),0),
IF('TL04'!$B$229=Q$3,SUMIF('TL04'!$C$238:$C$451,$C4,'TL04'!$J$238:$J$451),0),
IF('TL05'!$B$3=Q$3,SUMIF('TL05'!$C$10:$C$224,$C4,'TL05'!$J$10:$J$224),0),
IF('TL05'!$B$229=Q$3,SUMIF('TL05'!$C$238:$C$451,$C4,'TL05'!$J$238:$J$451),0),
IF('TL06'!$B$3=Q$3,SUMIF('TL06'!$C$10:$C$224,$C4,'TL06'!$J$10:$J$224),0),
IF('TL06'!$B$229=Q$3,SUMIF('TL06'!$C$238:$C$451,$C4,'TL06'!$J$238:$J$451),0),
IF('TL07'!$B$3=Q$3,SUMIF('TL07'!$C$10:$C$224,$C4,'TL07'!$J$10:$J$224),0),
IF('TL07'!$B$229=Q$3,SUMIF('TL07'!$C$238:$C$451,$C4,'TL07'!$J$238:$J$451),0),
IF('TL08'!$B$3=Q$3,SUMIF('TL08'!$C$10:$C$224,$C4,'TL08'!$J$10:$J$224),0),
IF('TL08'!$B$229=Q$3,SUMIF('TL08'!$C$238:$C$451,$C4,'TL08'!$J$238:$J$451),0),
IF('TL09'!$B$3=Q$3,SUMIF('TL09'!$C$10:$C$224,$C4,'TL09'!$J$10:$J$224),0),
IF('TL09'!$B$229=Q$3,SUMIF('TL09'!$C$238:$C$451,$C4,'TL09'!$J$238:$J$451),0),
IF('TL10'!$B$3=Q$3,SUMIF('TL10'!$C$10:$C$224,$C4,'TL10'!$J$10:$J$224),0),
IF('TL10'!$B$229=Q$3,SUMIF('TL10'!$C$238:$C$451,$C4,'TL10'!$J$238:$J$451),0),
IF('TL11'!$B$3=Q$3,SUMIF('TL11'!$C$10:$C$224,$C4,'TL11'!$J$10:$J$224),0),
IF('TL11'!$B$229=Q$3,SUMIF('TL11'!$C$238:$C$451,$C4,'TL11'!$J$238:$J$451),0),
IF('TL12'!$B$3=Q$3,SUMIF('TL12'!$C$10:$C$224,$C4,'TL12'!$J$10:$J$224),0),
IF('TL12'!$B$229=Q$3,SUMIF('TL12'!$C$238:$C$451,$C4,'TL12'!$J$238:$J$451),0),
IF('TL13'!$B$3=Q$3,SUMIF('TL13'!$C$10:$C$224,$C4,'TL13'!$J$10:$J$224),0),
IF('TL13'!$B$229=Q$3,SUMIF('TL13'!$C$238:$C$451,$C4,'TL13'!$J$238:$J$451),0),
IF('TL14'!$B$3=Q$3,SUMIF('TL14'!$C$10:$C$224,$C4,'TL14'!$J$10:$J$224),0),
IF('TL14'!$B$229=Q$3,SUMIF('TL14'!$C$238:$C$451,$C4,'TL14'!$J$238:$J$451),0),
IF('TL15'!$B$3=Q$3,SUMIF('TL15'!$C$10:$C$224,$C4,'TL15'!$J$10:$J$224),0),
IF('TL15'!$B$229=Q$3,SUMIF('TL15'!$C$238:$C$451,$C4,'TL15'!$J$238:$J$451),0),
IF('TL16'!$B$3=Q$3,SUMIF('TL16'!$C$10:$C$224,$C4,'TL16'!$J$10:$J$224),0),
IF('TL16'!$B$229=Q$3,SUMIF('TL16'!$C$238:$C$451,$C4,'TL16'!$J$238:$J$451),0),
IF('TL17'!$B$3=Q$3,SUMIF('TL17'!$C$10:$C$224,$C4,'TL17'!$J$10:$J$224),0),
IF('TL17'!$B$229=Q$3,SUMIF('TL17'!$C$238:$C$451,$C4,'TL17'!$J$238:$J$451),0),
IF('TL18'!$B$3=Q$3,SUMIF('TL18'!$C$10:$C$224,$C4,'TL18'!$J$10:$J$224),0),
IF('TL18'!$B$229=Q$3,SUMIF('TL18'!$C$238:$C$451,$C4,'TL18'!$J$238:$J$451),0),
IF('TL19'!$B$3=Q$3,SUMIF('TL19'!$C$10:$C$224,$C4,'TL19'!$J$10:$J$224),0),
IF('TL19'!$B$229=Q$3,SUMIF('TL19'!$C$238:$C$451,$C4,'TL19'!$J$238:$J$451),0)
),0)</f>
        <v/>
      </c>
      <c r="R4" s="9">
        <f>IFERROR(
SUM(
SUMIF('TL01'!C:C,C4,'TL01'!J:J),
SUMIF('TL02'!C:C,C4,'TL02'!J:J),
SUMIF('TL03'!C:C,C4,'TL03'!J:J),
SUMIF('TL04'!C:C,C4,'TL04'!J:J),
SUMIF('TL05'!C:C,C4,'TL05'!J:J),
SUMIF('TL06'!C:C,C4,'TL06'!J:J),
SUMIF('TL07'!C:C,C4,'TL07'!J:J),
SUMIF('TL08'!C:C,C4,'TL08'!J:J),
SUMIF('TL09'!C:C,C4,'TL09'!J:J),
SUMIF('TL10'!C:C,C4,'TL10'!J:J),
SUMIF('TL11'!C:C,C4,'TL11'!J:J),
SUMIF('TL12'!C:C,C4,'TL12'!J:J),
SUMIF('TL13'!C:C,C4,'TL13'!J:J),
SUMIF('TL14'!C:C,C4,'TL14'!J:J),
SUMIF('TL15'!C:C,C4,'TL15'!J:J),
SUMIF('TL16'!C:C,C4,'TL16'!J:J),
SUMIF('TL17'!C:C,C4,'TL17'!J:J),
SUMIF('TL18'!C:C,C4,'TL18'!J:J),SUMIF('TL19'!C:C,C4,'TL19'!J:J))
,0)</f>
        <v/>
      </c>
      <c r="S4" s="17">
        <f>IFERROR(__xludf.DUMMYFUNCTION("IFERROR(VLOOKUP(C4,
IMPORTRANGE(""1wULbzX32WdYsx-lj2U3uUNBBe2INVIRDtcK0d-Dvl90"",
""26-27!C:G""),
5,
FALSE),
"""")"),16.49487)</f>
        <v/>
      </c>
      <c r="T4" s="9" t="n"/>
      <c r="U4" s="92">
        <f>MAX(0,R4-T4)</f>
        <v/>
      </c>
      <c r="V4" s="93">
        <f>U4*S4</f>
        <v/>
      </c>
      <c r="X4" s="79">
        <f>IFERROR(__xludf.DUMMYFUNCTION("IMPORTRANGE(""1wULbzX32WdYsx-lj2U3uUNBBe2INVIRDtcK0d-Dvl90"",""26-27!A1"")"),"PORTFÓLIO DEFENSIVO SAFRA 26/27")</f>
        <v/>
      </c>
    </row>
    <row r="5" hidden="1" ht="22.5" customHeight="1" s="297">
      <c r="A5" s="94" t="inlineStr">
        <is>
          <t>BASF</t>
        </is>
      </c>
      <c r="B5" s="95" t="inlineStr">
        <is>
          <t>ADJUVANTE</t>
        </is>
      </c>
      <c r="C5" s="96" t="inlineStr">
        <is>
          <t>ASSIST</t>
        </is>
      </c>
      <c r="D5" s="96" t="inlineStr">
        <is>
          <t>ÓLEO MINERAL</t>
        </is>
      </c>
      <c r="E5" s="96" t="n">
        <v>782</v>
      </c>
      <c r="F5" s="4" t="inlineStr">
        <is>
          <t>L</t>
        </is>
      </c>
      <c r="G5" s="90">
        <f>HYPERLINK("https://www.google.com/search?q=" &amp; C5 &amp; "+bula+agrofit+pdf", "📄 Ver bula")</f>
        <v/>
      </c>
      <c r="H5" s="9">
        <f>IFERROR(__xludf.DUMMYFUNCTION("IFERROR(VLOOKUP(C5,
IMPORTRANGE(""1wULbzX32WdYsx-lj2U3uUNBBe2INVIRDtcK0d-Dvl90"",
""26-27!C:K""),
8,
FALSE),
"""")"),0.2)</f>
        <v/>
      </c>
      <c r="I5" s="97" t="inlineStr">
        <is>
          <t>1x20</t>
        </is>
      </c>
      <c r="J5" s="9">
        <f>IFERROR(SUM(
IF('TL01'!$B$3=J$3,SUMIF('TL01'!$C$10:$C$224,$C5,'TL01'!$J$10:$J$224),0),
IF('TL01'!$B$229=J$3,SUMIF('TL01'!$C$238:$C$451,$C5,'TL01'!$J$238:$J$451),0),
IF('TL02'!$B$3=J$3,SUMIF('TL02'!$C$10:$C$224,$C5,'TL02'!$J$10:$J$224),0),
IF('TL02'!$B$229=J$3,SUMIF('TL02'!$C$238:$C$451,$C5,'TL02'!$J$238:$J$451),0),
IF('TL03'!$B$3=J$3,SUMIF('TL03'!$C$10:$C$224,$C5,'TL03'!$J$10:$J$224),0),
IF('TL03'!$B$229=J$3,SUMIF('TL03'!$C$238:$C$451,$C5,'TL03'!$J$238:$J$451),0),
IF('TL04'!$B$3=J$3,SUMIF('TL04'!$C$10:$C$224,$C5,'TL04'!$J$10:$J$224),0),
IF('TL04'!$B$229=J$3,SUMIF('TL04'!$C$238:$C$451,$C5,'TL04'!$J$238:$J$451),0),
IF('TL05'!$B$3=J$3,SUMIF('TL05'!$C$10:$C$224,$C5,'TL05'!$J$10:$J$224),0),
IF('TL05'!$B$229=J$3,SUMIF('TL05'!$C$238:$C$451,$C5,'TL05'!$J$238:$J$451),0),
IF('TL06'!$B$3=J$3,SUMIF('TL06'!$C$10:$C$224,$C5,'TL06'!$J$10:$J$224),0),
IF('TL06'!$B$229=J$3,SUMIF('TL06'!$C$238:$C$451,$C5,'TL06'!$J$238:$J$451),0),
IF('TL07'!$B$3=J$3,SUMIF('TL07'!$C$10:$C$224,$C5,'TL07'!$J$10:$J$224),0),
IF('TL07'!$B$229=J$3,SUMIF('TL07'!$C$238:$C$451,$C5,'TL07'!$J$238:$J$451),0),
IF('TL08'!$B$3=J$3,SUMIF('TL08'!$C$10:$C$224,$C5,'TL08'!$J$10:$J$224),0),
IF('TL08'!$B$229=J$3,SUMIF('TL08'!$C$238:$C$451,$C5,'TL08'!$J$238:$J$451),0),
IF('TL09'!$B$3=J$3,SUMIF('TL09'!$C$10:$C$224,$C5,'TL09'!$J$10:$J$224),0),
IF('TL09'!$B$229=J$3,SUMIF('TL09'!$C$238:$C$451,$C5,'TL09'!$J$238:$J$451),0),
IF('TL10'!$B$3=J$3,SUMIF('TL10'!$C$10:$C$224,$C5,'TL10'!$J$10:$J$224),0),
IF('TL10'!$B$229=J$3,SUMIF('TL10'!$C$238:$C$451,$C5,'TL10'!$J$238:$J$451),0),
IF('TL11'!$B$3=J$3,SUMIF('TL11'!$C$10:$C$224,$C5,'TL11'!$J$10:$J$224),0),
IF('TL11'!$B$229=J$3,SUMIF('TL11'!$C$238:$C$451,$C5,'TL11'!$J$238:$J$451),0),
IF('TL12'!$B$3=J$3,SUMIF('TL12'!$C$10:$C$224,$C5,'TL12'!$J$10:$J$224),0),
IF('TL12'!$B$229=J$3,SUMIF('TL12'!$C$238:$C$451,$C5,'TL12'!$J$238:$J$451),0),
IF('TL13'!$B$3=J$3,SUMIF('TL13'!$C$10:$C$224,$C5,'TL13'!$J$10:$J$224),0),
IF('TL13'!$B$229=J$3,SUMIF('TL13'!$C$238:$C$451,$C5,'TL13'!$J$238:$J$451),0),
IF('TL14'!$B$3=J$3,SUMIF('TL14'!$C$10:$C$224,$C5,'TL14'!$J$10:$J$224),0),
IF('TL14'!$B$229=J$3,SUMIF('TL14'!$C$238:$C$451,$C5,'TL14'!$J$238:$J$451),0),
IF('TL15'!$B$3=J$3,SUMIF('TL15'!$C$10:$C$224,$C5,'TL15'!$J$10:$J$224),0),
IF('TL15'!$B$229=J$3,SUMIF('TL15'!$C$238:$C$451,$C5,'TL15'!$J$238:$J$451),0),
IF('TL16'!$B$3=J$3,SUMIF('TL16'!$C$10:$C$224,$C5,'TL16'!$J$10:$J$224),0),
IF('TL16'!$B$229=J$3,SUMIF('TL16'!$C$238:$C$451,$C5,'TL16'!$J$238:$J$451),0),
IF('TL17'!$B$3=J$3,SUMIF('TL17'!$C$10:$C$224,$C5,'TL17'!$J$10:$J$224),0),
IF('TL17'!$B$229=J$3,SUMIF('TL17'!$C$238:$C$451,$C5,'TL17'!$J$238:$J$451),0),
IF('TL18'!$B$3=J$3,SUMIF('TL18'!$C$10:$C$224,$C5,'TL18'!$J$10:$J$224),0),
IF('TL18'!$B$229=J$3,SUMIF('TL18'!$C$238:$C$451,$C5,'TL18'!$J$238:$J$451),0),
IF('TL19'!$B$3=J$3,SUMIF('TL19'!$C$10:$C$224,$C5,'TL19'!$J$10:$J$224),0),
IF('TL19'!$B$229=J$3,SUMIF('TL19'!$C$238:$C$451,$C5,'TL19'!$J$238:$J$451),0)
),0)</f>
        <v/>
      </c>
      <c r="K5" s="9">
        <f>IFERROR(SUM(
IF('TL01'!$B$3=K$3,SUMIF('TL01'!$C$10:$C$224,$C5,'TL01'!$J$10:$J$224),0),
IF('TL01'!$B$229=K$3,SUMIF('TL01'!$C$238:$C$451,$C5,'TL01'!$J$238:$J$451),0),
IF('TL02'!$B$3=K$3,SUMIF('TL02'!$C$10:$C$224,$C5,'TL02'!$J$10:$J$224),0),
IF('TL02'!$B$229=K$3,SUMIF('TL02'!$C$238:$C$451,$C5,'TL02'!$J$238:$J$451),0),
IF('TL03'!$B$3=K$3,SUMIF('TL03'!$C$10:$C$224,$C5,'TL03'!$J$10:$J$224),0),
IF('TL03'!$B$229=K$3,SUMIF('TL03'!$C$238:$C$451,$C5,'TL03'!$J$238:$J$451),0),
IF('TL04'!$B$3=K$3,SUMIF('TL04'!$C$10:$C$224,$C5,'TL04'!$J$10:$J$224),0),
IF('TL04'!$B$229=K$3,SUMIF('TL04'!$C$238:$C$451,$C5,'TL04'!$J$238:$J$451),0),
IF('TL05'!$B$3=K$3,SUMIF('TL05'!$C$10:$C$224,$C5,'TL05'!$J$10:$J$224),0),
IF('TL05'!$B$229=K$3,SUMIF('TL05'!$C$238:$C$451,$C5,'TL05'!$J$238:$J$451),0),
IF('TL06'!$B$3=K$3,SUMIF('TL06'!$C$10:$C$224,$C5,'TL06'!$J$10:$J$224),0),
IF('TL06'!$B$229=K$3,SUMIF('TL06'!$C$238:$C$451,$C5,'TL06'!$J$238:$J$451),0),
IF('TL07'!$B$3=K$3,SUMIF('TL07'!$C$10:$C$224,$C5,'TL07'!$J$10:$J$224),0),
IF('TL07'!$B$229=K$3,SUMIF('TL07'!$C$238:$C$451,$C5,'TL07'!$J$238:$J$451),0),
IF('TL08'!$B$3=K$3,SUMIF('TL08'!$C$10:$C$224,$C5,'TL08'!$J$10:$J$224),0),
IF('TL08'!$B$229=K$3,SUMIF('TL08'!$C$238:$C$451,$C5,'TL08'!$J$238:$J$451),0),
IF('TL09'!$B$3=K$3,SUMIF('TL09'!$C$10:$C$224,$C5,'TL09'!$J$10:$J$224),0),
IF('TL09'!$B$229=K$3,SUMIF('TL09'!$C$238:$C$451,$C5,'TL09'!$J$238:$J$451),0),
IF('TL10'!$B$3=K$3,SUMIF('TL10'!$C$10:$C$224,$C5,'TL10'!$J$10:$J$224),0),
IF('TL10'!$B$229=K$3,SUMIF('TL10'!$C$238:$C$451,$C5,'TL10'!$J$238:$J$451),0),
IF('TL11'!$B$3=K$3,SUMIF('TL11'!$C$10:$C$224,$C5,'TL11'!$J$10:$J$224),0),
IF('TL11'!$B$229=K$3,SUMIF('TL11'!$C$238:$C$451,$C5,'TL11'!$J$238:$J$451),0),
IF('TL12'!$B$3=K$3,SUMIF('TL12'!$C$10:$C$224,$C5,'TL12'!$J$10:$J$224),0),
IF('TL12'!$B$229=K$3,SUMIF('TL12'!$C$238:$C$451,$C5,'TL12'!$J$238:$J$451),0),
IF('TL13'!$B$3=K$3,SUMIF('TL13'!$C$10:$C$224,$C5,'TL13'!$J$10:$J$224),0),
IF('TL13'!$B$229=K$3,SUMIF('TL13'!$C$238:$C$451,$C5,'TL13'!$J$238:$J$451),0),
IF('TL14'!$B$3=K$3,SUMIF('TL14'!$C$10:$C$224,$C5,'TL14'!$J$10:$J$224),0),
IF('TL14'!$B$229=K$3,SUMIF('TL14'!$C$238:$C$451,$C5,'TL14'!$J$238:$J$451),0),
IF('TL15'!$B$3=K$3,SUMIF('TL15'!$C$10:$C$224,$C5,'TL15'!$J$10:$J$224),0),
IF('TL15'!$B$229=K$3,SUMIF('TL15'!$C$238:$C$451,$C5,'TL15'!$J$238:$J$451),0),
IF('TL16'!$B$3=K$3,SUMIF('TL16'!$C$10:$C$224,$C5,'TL16'!$J$10:$J$224),0),
IF('TL16'!$B$229=K$3,SUMIF('TL16'!$C$238:$C$451,$C5,'TL16'!$J$238:$J$451),0),
IF('TL17'!$B$3=K$3,SUMIF('TL17'!$C$10:$C$224,$C5,'TL17'!$J$10:$J$224),0),
IF('TL17'!$B$229=K$3,SUMIF('TL17'!$C$238:$C$451,$C5,'TL17'!$J$238:$J$451),0),
IF('TL18'!$B$3=K$3,SUMIF('TL18'!$C$10:$C$224,$C5,'TL18'!$J$10:$J$224),0),
IF('TL18'!$B$229=K$3,SUMIF('TL18'!$C$238:$C$451,$C5,'TL18'!$J$238:$J$451),0),
IF('TL19'!$B$3=K$3,SUMIF('TL19'!$C$10:$C$224,$C5,'TL19'!$J$10:$J$224),0),
IF('TL19'!$B$229=K$3,SUMIF('TL19'!$C$238:$C$451,$C5,'TL19'!$J$238:$J$451),0)
),0)</f>
        <v/>
      </c>
      <c r="L5" s="9">
        <f>IFERROR(SUM(
IF('TL01'!$B$3=L$3,SUMIF('TL01'!$C$10:$C$224,$C5,'TL01'!$J$10:$J$224),0),
IF('TL01'!$B$229=L$3,SUMIF('TL01'!$C$238:$C$451,$C5,'TL01'!$J$238:$J$451),0),
IF('TL02'!$B$3=L$3,SUMIF('TL02'!$C$10:$C$224,$C5,'TL02'!$J$10:$J$224),0),
IF('TL02'!$B$229=L$3,SUMIF('TL02'!$C$238:$C$451,$C5,'TL02'!$J$238:$J$451),0),
IF('TL03'!$B$3=L$3,SUMIF('TL03'!$C$10:$C$224,$C5,'TL03'!$J$10:$J$224),0),
IF('TL03'!$B$229=L$3,SUMIF('TL03'!$C$238:$C$451,$C5,'TL03'!$J$238:$J$451),0),
IF('TL04'!$B$3=L$3,SUMIF('TL04'!$C$10:$C$224,$C5,'TL04'!$J$10:$J$224),0),
IF('TL04'!$B$229=L$3,SUMIF('TL04'!$C$238:$C$451,$C5,'TL04'!$J$238:$J$451),0),
IF('TL05'!$B$3=L$3,SUMIF('TL05'!$C$10:$C$224,$C5,'TL05'!$J$10:$J$224),0),
IF('TL05'!$B$229=L$3,SUMIF('TL05'!$C$238:$C$451,$C5,'TL05'!$J$238:$J$451),0),
IF('TL06'!$B$3=L$3,SUMIF('TL06'!$C$10:$C$224,$C5,'TL06'!$J$10:$J$224),0),
IF('TL06'!$B$229=L$3,SUMIF('TL06'!$C$238:$C$451,$C5,'TL06'!$J$238:$J$451),0),
IF('TL07'!$B$3=L$3,SUMIF('TL07'!$C$10:$C$224,$C5,'TL07'!$J$10:$J$224),0),
IF('TL07'!$B$229=L$3,SUMIF('TL07'!$C$238:$C$451,$C5,'TL07'!$J$238:$J$451),0),
IF('TL08'!$B$3=L$3,SUMIF('TL08'!$C$10:$C$224,$C5,'TL08'!$J$10:$J$224),0),
IF('TL08'!$B$229=L$3,SUMIF('TL08'!$C$238:$C$451,$C5,'TL08'!$J$238:$J$451),0),
IF('TL09'!$B$3=L$3,SUMIF('TL09'!$C$10:$C$224,$C5,'TL09'!$J$10:$J$224),0),
IF('TL09'!$B$229=L$3,SUMIF('TL09'!$C$238:$C$451,$C5,'TL09'!$J$238:$J$451),0),
IF('TL10'!$B$3=L$3,SUMIF('TL10'!$C$10:$C$224,$C5,'TL10'!$J$10:$J$224),0),
IF('TL10'!$B$229=L$3,SUMIF('TL10'!$C$238:$C$451,$C5,'TL10'!$J$238:$J$451),0),
IF('TL11'!$B$3=L$3,SUMIF('TL11'!$C$10:$C$224,$C5,'TL11'!$J$10:$J$224),0),
IF('TL11'!$B$229=L$3,SUMIF('TL11'!$C$238:$C$451,$C5,'TL11'!$J$238:$J$451),0),
IF('TL12'!$B$3=L$3,SUMIF('TL12'!$C$10:$C$224,$C5,'TL12'!$J$10:$J$224),0),
IF('TL12'!$B$229=L$3,SUMIF('TL12'!$C$238:$C$451,$C5,'TL12'!$J$238:$J$451),0),
IF('TL13'!$B$3=L$3,SUMIF('TL13'!$C$10:$C$224,$C5,'TL13'!$J$10:$J$224),0),
IF('TL13'!$B$229=L$3,SUMIF('TL13'!$C$238:$C$451,$C5,'TL13'!$J$238:$J$451),0),
IF('TL14'!$B$3=L$3,SUMIF('TL14'!$C$10:$C$224,$C5,'TL14'!$J$10:$J$224),0),
IF('TL14'!$B$229=L$3,SUMIF('TL14'!$C$238:$C$451,$C5,'TL14'!$J$238:$J$451),0),
IF('TL15'!$B$3=L$3,SUMIF('TL15'!$C$10:$C$224,$C5,'TL15'!$J$10:$J$224),0),
IF('TL15'!$B$229=L$3,SUMIF('TL15'!$C$238:$C$451,$C5,'TL15'!$J$238:$J$451),0),
IF('TL16'!$B$3=L$3,SUMIF('TL16'!$C$10:$C$224,$C5,'TL16'!$J$10:$J$224),0),
IF('TL16'!$B$229=L$3,SUMIF('TL16'!$C$238:$C$451,$C5,'TL16'!$J$238:$J$451),0),
IF('TL17'!$B$3=L$3,SUMIF('TL17'!$C$10:$C$224,$C5,'TL17'!$J$10:$J$224),0),
IF('TL17'!$B$229=L$3,SUMIF('TL17'!$C$238:$C$451,$C5,'TL17'!$J$238:$J$451),0),
IF('TL18'!$B$3=L$3,SUMIF('TL18'!$C$10:$C$224,$C5,'TL18'!$J$10:$J$224),0),
IF('TL18'!$B$229=L$3,SUMIF('TL18'!$C$238:$C$451,$C5,'TL18'!$J$238:$J$451),0),
IF('TL19'!$B$3=L$3,SUMIF('TL19'!$C$10:$C$224,$C5,'TL19'!$J$10:$J$224),0),
IF('TL19'!$B$229=L$3,SUMIF('TL19'!$C$238:$C$451,$C5,'TL19'!$J$238:$J$451),0)
),0)</f>
        <v/>
      </c>
      <c r="M5" s="9">
        <f>IFERROR(SUM(
IF('TL01'!$B$3=M$3,SUMIF('TL01'!$C$10:$C$224,$C5,'TL01'!$J$10:$J$224),0),
IF('TL01'!$B$229=M$3,SUMIF('TL01'!$C$238:$C$451,$C5,'TL01'!$J$238:$J$451),0),
IF('TL02'!$B$3=M$3,SUMIF('TL02'!$C$10:$C$224,$C5,'TL02'!$J$10:$J$224),0),
IF('TL02'!$B$229=M$3,SUMIF('TL02'!$C$238:$C$451,$C5,'TL02'!$J$238:$J$451),0),
IF('TL03'!$B$3=M$3,SUMIF('TL03'!$C$10:$C$224,$C5,'TL03'!$J$10:$J$224),0),
IF('TL03'!$B$229=M$3,SUMIF('TL03'!$C$238:$C$451,$C5,'TL03'!$J$238:$J$451),0),
IF('TL04'!$B$3=M$3,SUMIF('TL04'!$C$10:$C$224,$C5,'TL04'!$J$10:$J$224),0),
IF('TL04'!$B$229=M$3,SUMIF('TL04'!$C$238:$C$451,$C5,'TL04'!$J$238:$J$451),0),
IF('TL05'!$B$3=M$3,SUMIF('TL05'!$C$10:$C$224,$C5,'TL05'!$J$10:$J$224),0),
IF('TL05'!$B$229=M$3,SUMIF('TL05'!$C$238:$C$451,$C5,'TL05'!$J$238:$J$451),0),
IF('TL06'!$B$3=M$3,SUMIF('TL06'!$C$10:$C$224,$C5,'TL06'!$J$10:$J$224),0),
IF('TL06'!$B$229=M$3,SUMIF('TL06'!$C$238:$C$451,$C5,'TL06'!$J$238:$J$451),0),
IF('TL07'!$B$3=M$3,SUMIF('TL07'!$C$10:$C$224,$C5,'TL07'!$J$10:$J$224),0),
IF('TL07'!$B$229=M$3,SUMIF('TL07'!$C$238:$C$451,$C5,'TL07'!$J$238:$J$451),0),
IF('TL08'!$B$3=M$3,SUMIF('TL08'!$C$10:$C$224,$C5,'TL08'!$J$10:$J$224),0),
IF('TL08'!$B$229=M$3,SUMIF('TL08'!$C$238:$C$451,$C5,'TL08'!$J$238:$J$451),0),
IF('TL09'!$B$3=M$3,SUMIF('TL09'!$C$10:$C$224,$C5,'TL09'!$J$10:$J$224),0),
IF('TL09'!$B$229=M$3,SUMIF('TL09'!$C$238:$C$451,$C5,'TL09'!$J$238:$J$451),0),
IF('TL10'!$B$3=M$3,SUMIF('TL10'!$C$10:$C$224,$C5,'TL10'!$J$10:$J$224),0),
IF('TL10'!$B$229=M$3,SUMIF('TL10'!$C$238:$C$451,$C5,'TL10'!$J$238:$J$451),0),
IF('TL11'!$B$3=M$3,SUMIF('TL11'!$C$10:$C$224,$C5,'TL11'!$J$10:$J$224),0),
IF('TL11'!$B$229=M$3,SUMIF('TL11'!$C$238:$C$451,$C5,'TL11'!$J$238:$J$451),0),
IF('TL12'!$B$3=M$3,SUMIF('TL12'!$C$10:$C$224,$C5,'TL12'!$J$10:$J$224),0),
IF('TL12'!$B$229=M$3,SUMIF('TL12'!$C$238:$C$451,$C5,'TL12'!$J$238:$J$451),0),
IF('TL13'!$B$3=M$3,SUMIF('TL13'!$C$10:$C$224,$C5,'TL13'!$J$10:$J$224),0),
IF('TL13'!$B$229=M$3,SUMIF('TL13'!$C$238:$C$451,$C5,'TL13'!$J$238:$J$451),0),
IF('TL14'!$B$3=M$3,SUMIF('TL14'!$C$10:$C$224,$C5,'TL14'!$J$10:$J$224),0),
IF('TL14'!$B$229=M$3,SUMIF('TL14'!$C$238:$C$451,$C5,'TL14'!$J$238:$J$451),0),
IF('TL15'!$B$3=M$3,SUMIF('TL15'!$C$10:$C$224,$C5,'TL15'!$J$10:$J$224),0),
IF('TL15'!$B$229=M$3,SUMIF('TL15'!$C$238:$C$451,$C5,'TL15'!$J$238:$J$451),0),
IF('TL16'!$B$3=M$3,SUMIF('TL16'!$C$10:$C$224,$C5,'TL16'!$J$10:$J$224),0),
IF('TL16'!$B$229=M$3,SUMIF('TL16'!$C$238:$C$451,$C5,'TL16'!$J$238:$J$451),0),
IF('TL17'!$B$3=M$3,SUMIF('TL17'!$C$10:$C$224,$C5,'TL17'!$J$10:$J$224),0),
IF('TL17'!$B$229=M$3,SUMIF('TL17'!$C$238:$C$451,$C5,'TL17'!$J$238:$J$451),0),
IF('TL18'!$B$3=M$3,SUMIF('TL18'!$C$10:$C$224,$C5,'TL18'!$J$10:$J$224),0),
IF('TL18'!$B$229=M$3,SUMIF('TL18'!$C$238:$C$451,$C5,'TL18'!$J$238:$J$451),0),
IF('TL19'!$B$3=M$3,SUMIF('TL19'!$C$10:$C$224,$C5,'TL19'!$J$10:$J$224),0),
IF('TL19'!$B$229=M$3,SUMIF('TL19'!$C$238:$C$451,$C5,'TL19'!$J$238:$J$451),0)
),0)</f>
        <v/>
      </c>
      <c r="N5" s="9">
        <f>IFERROR(SUM(
IF('TL01'!$B$3=N$3,SUMIF('TL01'!$C$10:$C$224,$C5,'TL01'!$J$10:$J$224),0),
IF('TL01'!$B$229=N$3,SUMIF('TL01'!$C$238:$C$451,$C5,'TL01'!$J$238:$J$451),0),
IF('TL02'!$B$3=N$3,SUMIF('TL02'!$C$10:$C$224,$C5,'TL02'!$J$10:$J$224),0),
IF('TL02'!$B$229=N$3,SUMIF('TL02'!$C$238:$C$451,$C5,'TL02'!$J$238:$J$451),0),
IF('TL03'!$B$3=N$3,SUMIF('TL03'!$C$10:$C$224,$C5,'TL03'!$J$10:$J$224),0),
IF('TL03'!$B$229=N$3,SUMIF('TL03'!$C$238:$C$451,$C5,'TL03'!$J$238:$J$451),0),
IF('TL04'!$B$3=N$3,SUMIF('TL04'!$C$10:$C$224,$C5,'TL04'!$J$10:$J$224),0),
IF('TL04'!$B$229=N$3,SUMIF('TL04'!$C$238:$C$451,$C5,'TL04'!$J$238:$J$451),0),
IF('TL05'!$B$3=N$3,SUMIF('TL05'!$C$10:$C$224,$C5,'TL05'!$J$10:$J$224),0),
IF('TL05'!$B$229=N$3,SUMIF('TL05'!$C$238:$C$451,$C5,'TL05'!$J$238:$J$451),0),
IF('TL06'!$B$3=N$3,SUMIF('TL06'!$C$10:$C$224,$C5,'TL06'!$J$10:$J$224),0),
IF('TL06'!$B$229=N$3,SUMIF('TL06'!$C$238:$C$451,$C5,'TL06'!$J$238:$J$451),0),
IF('TL07'!$B$3=N$3,SUMIF('TL07'!$C$10:$C$224,$C5,'TL07'!$J$10:$J$224),0),
IF('TL07'!$B$229=N$3,SUMIF('TL07'!$C$238:$C$451,$C5,'TL07'!$J$238:$J$451),0),
IF('TL08'!$B$3=N$3,SUMIF('TL08'!$C$10:$C$224,$C5,'TL08'!$J$10:$J$224),0),
IF('TL08'!$B$229=N$3,SUMIF('TL08'!$C$238:$C$451,$C5,'TL08'!$J$238:$J$451),0),
IF('TL09'!$B$3=N$3,SUMIF('TL09'!$C$10:$C$224,$C5,'TL09'!$J$10:$J$224),0),
IF('TL09'!$B$229=N$3,SUMIF('TL09'!$C$238:$C$451,$C5,'TL09'!$J$238:$J$451),0),
IF('TL10'!$B$3=N$3,SUMIF('TL10'!$C$10:$C$224,$C5,'TL10'!$J$10:$J$224),0),
IF('TL10'!$B$229=N$3,SUMIF('TL10'!$C$238:$C$451,$C5,'TL10'!$J$238:$J$451),0),
IF('TL11'!$B$3=N$3,SUMIF('TL11'!$C$10:$C$224,$C5,'TL11'!$J$10:$J$224),0),
IF('TL11'!$B$229=N$3,SUMIF('TL11'!$C$238:$C$451,$C5,'TL11'!$J$238:$J$451),0),
IF('TL12'!$B$3=N$3,SUMIF('TL12'!$C$10:$C$224,$C5,'TL12'!$J$10:$J$224),0),
IF('TL12'!$B$229=N$3,SUMIF('TL12'!$C$238:$C$451,$C5,'TL12'!$J$238:$J$451),0),
IF('TL13'!$B$3=N$3,SUMIF('TL13'!$C$10:$C$224,$C5,'TL13'!$J$10:$J$224),0),
IF('TL13'!$B$229=N$3,SUMIF('TL13'!$C$238:$C$451,$C5,'TL13'!$J$238:$J$451),0),
IF('TL14'!$B$3=N$3,SUMIF('TL14'!$C$10:$C$224,$C5,'TL14'!$J$10:$J$224),0),
IF('TL14'!$B$229=N$3,SUMIF('TL14'!$C$238:$C$451,$C5,'TL14'!$J$238:$J$451),0),
IF('TL15'!$B$3=N$3,SUMIF('TL15'!$C$10:$C$224,$C5,'TL15'!$J$10:$J$224),0),
IF('TL15'!$B$229=N$3,SUMIF('TL15'!$C$238:$C$451,$C5,'TL15'!$J$238:$J$451),0),
IF('TL16'!$B$3=N$3,SUMIF('TL16'!$C$10:$C$224,$C5,'TL16'!$J$10:$J$224),0),
IF('TL16'!$B$229=N$3,SUMIF('TL16'!$C$238:$C$451,$C5,'TL16'!$J$238:$J$451),0),
IF('TL17'!$B$3=N$3,SUMIF('TL17'!$C$10:$C$224,$C5,'TL17'!$J$10:$J$224),0),
IF('TL17'!$B$229=N$3,SUMIF('TL17'!$C$238:$C$451,$C5,'TL17'!$J$238:$J$451),0),
IF('TL18'!$B$3=N$3,SUMIF('TL18'!$C$10:$C$224,$C5,'TL18'!$J$10:$J$224),0),
IF('TL18'!$B$229=N$3,SUMIF('TL18'!$C$238:$C$451,$C5,'TL18'!$J$238:$J$451),0),
IF('TL19'!$B$3=N$3,SUMIF('TL19'!$C$10:$C$224,$C5,'TL19'!$J$10:$J$224),0),
IF('TL19'!$B$229=N$3,SUMIF('TL19'!$C$238:$C$451,$C5,'TL19'!$J$238:$J$451),0)
),0)</f>
        <v/>
      </c>
      <c r="O5" s="9">
        <f>IFERROR(SUM(
IF('TL01'!$B$3=O$3,SUMIF('TL01'!$C$10:$C$224,$C5,'TL01'!$J$10:$J$224),0),
IF('TL01'!$B$229=O$3,SUMIF('TL01'!$C$238:$C$451,$C5,'TL01'!$J$238:$J$451),0),
IF('TL02'!$B$3=O$3,SUMIF('TL02'!$C$10:$C$224,$C5,'TL02'!$J$10:$J$224),0),
IF('TL02'!$B$229=O$3,SUMIF('TL02'!$C$238:$C$451,$C5,'TL02'!$J$238:$J$451),0),
IF('TL03'!$B$3=O$3,SUMIF('TL03'!$C$10:$C$224,$C5,'TL03'!$J$10:$J$224),0),
IF('TL03'!$B$229=O$3,SUMIF('TL03'!$C$238:$C$451,$C5,'TL03'!$J$238:$J$451),0),
IF('TL04'!$B$3=O$3,SUMIF('TL04'!$C$10:$C$224,$C5,'TL04'!$J$10:$J$224),0),
IF('TL04'!$B$229=O$3,SUMIF('TL04'!$C$238:$C$451,$C5,'TL04'!$J$238:$J$451),0),
IF('TL05'!$B$3=O$3,SUMIF('TL05'!$C$10:$C$224,$C5,'TL05'!$J$10:$J$224),0),
IF('TL05'!$B$229=O$3,SUMIF('TL05'!$C$238:$C$451,$C5,'TL05'!$J$238:$J$451),0),
IF('TL06'!$B$3=O$3,SUMIF('TL06'!$C$10:$C$224,$C5,'TL06'!$J$10:$J$224),0),
IF('TL06'!$B$229=O$3,SUMIF('TL06'!$C$238:$C$451,$C5,'TL06'!$J$238:$J$451),0),
IF('TL07'!$B$3=O$3,SUMIF('TL07'!$C$10:$C$224,$C5,'TL07'!$J$10:$J$224),0),
IF('TL07'!$B$229=O$3,SUMIF('TL07'!$C$238:$C$451,$C5,'TL07'!$J$238:$J$451),0),
IF('TL08'!$B$3=O$3,SUMIF('TL08'!$C$10:$C$224,$C5,'TL08'!$J$10:$J$224),0),
IF('TL08'!$B$229=O$3,SUMIF('TL08'!$C$238:$C$451,$C5,'TL08'!$J$238:$J$451),0),
IF('TL09'!$B$3=O$3,SUMIF('TL09'!$C$10:$C$224,$C5,'TL09'!$J$10:$J$224),0),
IF('TL09'!$B$229=O$3,SUMIF('TL09'!$C$238:$C$451,$C5,'TL09'!$J$238:$J$451),0),
IF('TL10'!$B$3=O$3,SUMIF('TL10'!$C$10:$C$224,$C5,'TL10'!$J$10:$J$224),0),
IF('TL10'!$B$229=O$3,SUMIF('TL10'!$C$238:$C$451,$C5,'TL10'!$J$238:$J$451),0),
IF('TL11'!$B$3=O$3,SUMIF('TL11'!$C$10:$C$224,$C5,'TL11'!$J$10:$J$224),0),
IF('TL11'!$B$229=O$3,SUMIF('TL11'!$C$238:$C$451,$C5,'TL11'!$J$238:$J$451),0),
IF('TL12'!$B$3=O$3,SUMIF('TL12'!$C$10:$C$224,$C5,'TL12'!$J$10:$J$224),0),
IF('TL12'!$B$229=O$3,SUMIF('TL12'!$C$238:$C$451,$C5,'TL12'!$J$238:$J$451),0),
IF('TL13'!$B$3=O$3,SUMIF('TL13'!$C$10:$C$224,$C5,'TL13'!$J$10:$J$224),0),
IF('TL13'!$B$229=O$3,SUMIF('TL13'!$C$238:$C$451,$C5,'TL13'!$J$238:$J$451),0),
IF('TL14'!$B$3=O$3,SUMIF('TL14'!$C$10:$C$224,$C5,'TL14'!$J$10:$J$224),0),
IF('TL14'!$B$229=O$3,SUMIF('TL14'!$C$238:$C$451,$C5,'TL14'!$J$238:$J$451),0),
IF('TL15'!$B$3=O$3,SUMIF('TL15'!$C$10:$C$224,$C5,'TL15'!$J$10:$J$224),0),
IF('TL15'!$B$229=O$3,SUMIF('TL15'!$C$238:$C$451,$C5,'TL15'!$J$238:$J$451),0),
IF('TL16'!$B$3=O$3,SUMIF('TL16'!$C$10:$C$224,$C5,'TL16'!$J$10:$J$224),0),
IF('TL16'!$B$229=O$3,SUMIF('TL16'!$C$238:$C$451,$C5,'TL16'!$J$238:$J$451),0),
IF('TL17'!$B$3=O$3,SUMIF('TL17'!$C$10:$C$224,$C5,'TL17'!$J$10:$J$224),0),
IF('TL17'!$B$229=O$3,SUMIF('TL17'!$C$238:$C$451,$C5,'TL17'!$J$238:$J$451),0),
IF('TL18'!$B$3=O$3,SUMIF('TL18'!$C$10:$C$224,$C5,'TL18'!$J$10:$J$224),0),
IF('TL18'!$B$229=O$3,SUMIF('TL18'!$C$238:$C$451,$C5,'TL18'!$J$238:$J$451),0),
IF('TL19'!$B$3=O$3,SUMIF('TL19'!$C$10:$C$224,$C5,'TL19'!$J$10:$J$224),0),
IF('TL19'!$B$229=O$3,SUMIF('TL19'!$C$238:$C$451,$C5,'TL19'!$J$238:$J$451),0)
),0)</f>
        <v/>
      </c>
      <c r="P5" s="9">
        <f>IFERROR(SUM(
IF('TL01'!$B$3=P$3,SUMIF('TL01'!$C$10:$C$224,$C5,'TL01'!$J$10:$J$224),0),
IF('TL01'!$B$229=P$3,SUMIF('TL01'!$C$238:$C$451,$C5,'TL01'!$J$238:$J$451),0),
IF('TL02'!$B$3=P$3,SUMIF('TL02'!$C$10:$C$224,$C5,'TL02'!$J$10:$J$224),0),
IF('TL02'!$B$229=P$3,SUMIF('TL02'!$C$238:$C$451,$C5,'TL02'!$J$238:$J$451),0),
IF('TL03'!$B$3=P$3,SUMIF('TL03'!$C$10:$C$224,$C5,'TL03'!$J$10:$J$224),0),
IF('TL03'!$B$229=P$3,SUMIF('TL03'!$C$238:$C$451,$C5,'TL03'!$J$238:$J$451),0),
IF('TL04'!$B$3=P$3,SUMIF('TL04'!$C$10:$C$224,$C5,'TL04'!$J$10:$J$224),0),
IF('TL04'!$B$229=P$3,SUMIF('TL04'!$C$238:$C$451,$C5,'TL04'!$J$238:$J$451),0),
IF('TL05'!$B$3=P$3,SUMIF('TL05'!$C$10:$C$224,$C5,'TL05'!$J$10:$J$224),0),
IF('TL05'!$B$229=P$3,SUMIF('TL05'!$C$238:$C$451,$C5,'TL05'!$J$238:$J$451),0),
IF('TL06'!$B$3=P$3,SUMIF('TL06'!$C$10:$C$224,$C5,'TL06'!$J$10:$J$224),0),
IF('TL06'!$B$229=P$3,SUMIF('TL06'!$C$238:$C$451,$C5,'TL06'!$J$238:$J$451),0),
IF('TL07'!$B$3=P$3,SUMIF('TL07'!$C$10:$C$224,$C5,'TL07'!$J$10:$J$224),0),
IF('TL07'!$B$229=P$3,SUMIF('TL07'!$C$238:$C$451,$C5,'TL07'!$J$238:$J$451),0),
IF('TL08'!$B$3=P$3,SUMIF('TL08'!$C$10:$C$224,$C5,'TL08'!$J$10:$J$224),0),
IF('TL08'!$B$229=P$3,SUMIF('TL08'!$C$238:$C$451,$C5,'TL08'!$J$238:$J$451),0),
IF('TL09'!$B$3=P$3,SUMIF('TL09'!$C$10:$C$224,$C5,'TL09'!$J$10:$J$224),0),
IF('TL09'!$B$229=P$3,SUMIF('TL09'!$C$238:$C$451,$C5,'TL09'!$J$238:$J$451),0),
IF('TL10'!$B$3=P$3,SUMIF('TL10'!$C$10:$C$224,$C5,'TL10'!$J$10:$J$224),0),
IF('TL10'!$B$229=P$3,SUMIF('TL10'!$C$238:$C$451,$C5,'TL10'!$J$238:$J$451),0),
IF('TL11'!$B$3=P$3,SUMIF('TL11'!$C$10:$C$224,$C5,'TL11'!$J$10:$J$224),0),
IF('TL11'!$B$229=P$3,SUMIF('TL11'!$C$238:$C$451,$C5,'TL11'!$J$238:$J$451),0),
IF('TL12'!$B$3=P$3,SUMIF('TL12'!$C$10:$C$224,$C5,'TL12'!$J$10:$J$224),0),
IF('TL12'!$B$229=P$3,SUMIF('TL12'!$C$238:$C$451,$C5,'TL12'!$J$238:$J$451),0),
IF('TL13'!$B$3=P$3,SUMIF('TL13'!$C$10:$C$224,$C5,'TL13'!$J$10:$J$224),0),
IF('TL13'!$B$229=P$3,SUMIF('TL13'!$C$238:$C$451,$C5,'TL13'!$J$238:$J$451),0),
IF('TL14'!$B$3=P$3,SUMIF('TL14'!$C$10:$C$224,$C5,'TL14'!$J$10:$J$224),0),
IF('TL14'!$B$229=P$3,SUMIF('TL14'!$C$238:$C$451,$C5,'TL14'!$J$238:$J$451),0),
IF('TL15'!$B$3=P$3,SUMIF('TL15'!$C$10:$C$224,$C5,'TL15'!$J$10:$J$224),0),
IF('TL15'!$B$229=P$3,SUMIF('TL15'!$C$238:$C$451,$C5,'TL15'!$J$238:$J$451),0),
IF('TL16'!$B$3=P$3,SUMIF('TL16'!$C$10:$C$224,$C5,'TL16'!$J$10:$J$224),0),
IF('TL16'!$B$229=P$3,SUMIF('TL16'!$C$238:$C$451,$C5,'TL16'!$J$238:$J$451),0),
IF('TL17'!$B$3=P$3,SUMIF('TL17'!$C$10:$C$224,$C5,'TL17'!$J$10:$J$224),0),
IF('TL17'!$B$229=P$3,SUMIF('TL17'!$C$238:$C$451,$C5,'TL17'!$J$238:$J$451),0),
IF('TL18'!$B$3=P$3,SUMIF('TL18'!$C$10:$C$224,$C5,'TL18'!$J$10:$J$224),0),
IF('TL18'!$B$229=P$3,SUMIF('TL18'!$C$238:$C$451,$C5,'TL18'!$J$238:$J$451),0),
IF('TL19'!$B$3=P$3,SUMIF('TL19'!$C$10:$C$224,$C5,'TL19'!$J$10:$J$224),0),
IF('TL19'!$B$229=P$3,SUMIF('TL19'!$C$238:$C$451,$C5,'TL19'!$J$238:$J$451),0)
),0)</f>
        <v/>
      </c>
      <c r="Q5" s="9">
        <f>IFERROR(SUM(
IF('TL01'!$B$3=Q$3,SUMIF('TL01'!$C$10:$C$224,$C5,'TL01'!$J$10:$J$224),0),
IF('TL01'!$B$229=Q$3,SUMIF('TL01'!$C$238:$C$451,$C5,'TL01'!$J$238:$J$451),0),
IF('TL02'!$B$3=Q$3,SUMIF('TL02'!$C$10:$C$224,$C5,'TL02'!$J$10:$J$224),0),
IF('TL02'!$B$229=Q$3,SUMIF('TL02'!$C$238:$C$451,$C5,'TL02'!$J$238:$J$451),0),
IF('TL03'!$B$3=Q$3,SUMIF('TL03'!$C$10:$C$224,$C5,'TL03'!$J$10:$J$224),0),
IF('TL03'!$B$229=Q$3,SUMIF('TL03'!$C$238:$C$451,$C5,'TL03'!$J$238:$J$451),0),
IF('TL04'!$B$3=Q$3,SUMIF('TL04'!$C$10:$C$224,$C5,'TL04'!$J$10:$J$224),0),
IF('TL04'!$B$229=Q$3,SUMIF('TL04'!$C$238:$C$451,$C5,'TL04'!$J$238:$J$451),0),
IF('TL05'!$B$3=Q$3,SUMIF('TL05'!$C$10:$C$224,$C5,'TL05'!$J$10:$J$224),0),
IF('TL05'!$B$229=Q$3,SUMIF('TL05'!$C$238:$C$451,$C5,'TL05'!$J$238:$J$451),0),
IF('TL06'!$B$3=Q$3,SUMIF('TL06'!$C$10:$C$224,$C5,'TL06'!$J$10:$J$224),0),
IF('TL06'!$B$229=Q$3,SUMIF('TL06'!$C$238:$C$451,$C5,'TL06'!$J$238:$J$451),0),
IF('TL07'!$B$3=Q$3,SUMIF('TL07'!$C$10:$C$224,$C5,'TL07'!$J$10:$J$224),0),
IF('TL07'!$B$229=Q$3,SUMIF('TL07'!$C$238:$C$451,$C5,'TL07'!$J$238:$J$451),0),
IF('TL08'!$B$3=Q$3,SUMIF('TL08'!$C$10:$C$224,$C5,'TL08'!$J$10:$J$224),0),
IF('TL08'!$B$229=Q$3,SUMIF('TL08'!$C$238:$C$451,$C5,'TL08'!$J$238:$J$451),0),
IF('TL09'!$B$3=Q$3,SUMIF('TL09'!$C$10:$C$224,$C5,'TL09'!$J$10:$J$224),0),
IF('TL09'!$B$229=Q$3,SUMIF('TL09'!$C$238:$C$451,$C5,'TL09'!$J$238:$J$451),0),
IF('TL10'!$B$3=Q$3,SUMIF('TL10'!$C$10:$C$224,$C5,'TL10'!$J$10:$J$224),0),
IF('TL10'!$B$229=Q$3,SUMIF('TL10'!$C$238:$C$451,$C5,'TL10'!$J$238:$J$451),0),
IF('TL11'!$B$3=Q$3,SUMIF('TL11'!$C$10:$C$224,$C5,'TL11'!$J$10:$J$224),0),
IF('TL11'!$B$229=Q$3,SUMIF('TL11'!$C$238:$C$451,$C5,'TL11'!$J$238:$J$451),0),
IF('TL12'!$B$3=Q$3,SUMIF('TL12'!$C$10:$C$224,$C5,'TL12'!$J$10:$J$224),0),
IF('TL12'!$B$229=Q$3,SUMIF('TL12'!$C$238:$C$451,$C5,'TL12'!$J$238:$J$451),0),
IF('TL13'!$B$3=Q$3,SUMIF('TL13'!$C$10:$C$224,$C5,'TL13'!$J$10:$J$224),0),
IF('TL13'!$B$229=Q$3,SUMIF('TL13'!$C$238:$C$451,$C5,'TL13'!$J$238:$J$451),0),
IF('TL14'!$B$3=Q$3,SUMIF('TL14'!$C$10:$C$224,$C5,'TL14'!$J$10:$J$224),0),
IF('TL14'!$B$229=Q$3,SUMIF('TL14'!$C$238:$C$451,$C5,'TL14'!$J$238:$J$451),0),
IF('TL15'!$B$3=Q$3,SUMIF('TL15'!$C$10:$C$224,$C5,'TL15'!$J$10:$J$224),0),
IF('TL15'!$B$229=Q$3,SUMIF('TL15'!$C$238:$C$451,$C5,'TL15'!$J$238:$J$451),0),
IF('TL16'!$B$3=Q$3,SUMIF('TL16'!$C$10:$C$224,$C5,'TL16'!$J$10:$J$224),0),
IF('TL16'!$B$229=Q$3,SUMIF('TL16'!$C$238:$C$451,$C5,'TL16'!$J$238:$J$451),0),
IF('TL17'!$B$3=Q$3,SUMIF('TL17'!$C$10:$C$224,$C5,'TL17'!$J$10:$J$224),0),
IF('TL17'!$B$229=Q$3,SUMIF('TL17'!$C$238:$C$451,$C5,'TL17'!$J$238:$J$451),0),
IF('TL18'!$B$3=Q$3,SUMIF('TL18'!$C$10:$C$224,$C5,'TL18'!$J$10:$J$224),0),
IF('TL18'!$B$229=Q$3,SUMIF('TL18'!$C$238:$C$451,$C5,'TL18'!$J$238:$J$451),0),
IF('TL19'!$B$3=Q$3,SUMIF('TL19'!$C$10:$C$224,$C5,'TL19'!$J$10:$J$224),0),
IF('TL19'!$B$229=Q$3,SUMIF('TL19'!$C$238:$C$451,$C5,'TL19'!$J$238:$J$451),0)
),0)</f>
        <v/>
      </c>
      <c r="R5" s="9">
        <f>IFERROR(
SUM(
SUMIF('TL01'!C:C,C5,'TL01'!J:J),
SUMIF('TL02'!C:C,C5,'TL02'!J:J),
SUMIF('TL03'!C:C,C5,'TL03'!J:J),
SUMIF('TL04'!C:C,C5,'TL04'!J:J),
SUMIF('TL05'!C:C,C5,'TL05'!J:J),
SUMIF('TL06'!C:C,C5,'TL06'!J:J),
SUMIF('TL07'!C:C,C5,'TL07'!J:J),
SUMIF('TL08'!C:C,C5,'TL08'!J:J),
SUMIF('TL09'!C:C,C5,'TL09'!J:J),
SUMIF('TL10'!C:C,C5,'TL10'!J:J),
SUMIF('TL11'!C:C,C5,'TL11'!J:J),
SUMIF('TL12'!C:C,C5,'TL12'!J:J),
SUMIF('TL13'!C:C,C5,'TL13'!J:J),
SUMIF('TL14'!C:C,C5,'TL14'!J:J),
SUMIF('TL15'!C:C,C5,'TL15'!J:J),
SUMIF('TL16'!C:C,C5,'TL16'!J:J),
SUMIF('TL17'!C:C,C5,'TL17'!J:J),
SUMIF('TL18'!C:C,C5,'TL18'!J:J),SUMIF('TL19'!C:C,C5,'TL19'!J:J))
,0)</f>
        <v/>
      </c>
      <c r="S5" s="17">
        <f>IFERROR(__xludf.DUMMYFUNCTION("IFERROR(VLOOKUP(C5,
IMPORTRANGE(""1wULbzX32WdYsx-lj2U3uUNBBe2INVIRDtcK0d-Dvl90"",
""26-27!C:G""),
5,
FALSE),
"""")"),15.13232)</f>
        <v/>
      </c>
      <c r="T5" s="9" t="n"/>
      <c r="U5" s="92">
        <f>MAX(0,R5-T5)</f>
        <v/>
      </c>
      <c r="V5" s="93">
        <f>U5*S5</f>
        <v/>
      </c>
    </row>
    <row r="6" hidden="1" ht="22.5" customHeight="1" s="297">
      <c r="A6" s="87" t="inlineStr">
        <is>
          <t>BASF</t>
        </is>
      </c>
      <c r="B6" s="88" t="inlineStr">
        <is>
          <t>ADJUVANTE</t>
        </is>
      </c>
      <c r="C6" s="89" t="inlineStr">
        <is>
          <t>MEES</t>
        </is>
      </c>
      <c r="D6" s="89" t="inlineStr">
        <is>
          <t>METIL ESTER DE SOJA</t>
        </is>
      </c>
      <c r="E6" s="89" t="n">
        <v>824.3</v>
      </c>
      <c r="F6" s="4" t="inlineStr">
        <is>
          <t>L</t>
        </is>
      </c>
      <c r="G6" s="90">
        <f>HYPERLINK("https://www.google.com/search?q=" &amp; C6 &amp; "+bula+agrofit+pdf", "📄 Ver bula")</f>
        <v/>
      </c>
      <c r="H6" s="9">
        <f>IFERROR(__xludf.DUMMYFUNCTION("IFERROR(VLOOKUP(C6,
IMPORTRANGE(""1wULbzX32WdYsx-lj2U3uUNBBe2INVIRDtcK0d-Dvl90"",
""26-27!C:K""),
8,
FALSE),
"""")"),0.2)</f>
        <v/>
      </c>
      <c r="I6" s="91" t="inlineStr">
        <is>
          <t>1x20</t>
        </is>
      </c>
      <c r="J6" s="9">
        <f>IFERROR(SUM(
IF('TL01'!$B$3=J$3,SUMIF('TL01'!$C$10:$C$224,$C6,'TL01'!$J$10:$J$224),0),
IF('TL01'!$B$229=J$3,SUMIF('TL01'!$C$238:$C$451,$C6,'TL01'!$J$238:$J$451),0),
IF('TL02'!$B$3=J$3,SUMIF('TL02'!$C$10:$C$224,$C6,'TL02'!$J$10:$J$224),0),
IF('TL02'!$B$229=J$3,SUMIF('TL02'!$C$238:$C$451,$C6,'TL02'!$J$238:$J$451),0),
IF('TL03'!$B$3=J$3,SUMIF('TL03'!$C$10:$C$224,$C6,'TL03'!$J$10:$J$224),0),
IF('TL03'!$B$229=J$3,SUMIF('TL03'!$C$238:$C$451,$C6,'TL03'!$J$238:$J$451),0),
IF('TL04'!$B$3=J$3,SUMIF('TL04'!$C$10:$C$224,$C6,'TL04'!$J$10:$J$224),0),
IF('TL04'!$B$229=J$3,SUMIF('TL04'!$C$238:$C$451,$C6,'TL04'!$J$238:$J$451),0),
IF('TL05'!$B$3=J$3,SUMIF('TL05'!$C$10:$C$224,$C6,'TL05'!$J$10:$J$224),0),
IF('TL05'!$B$229=J$3,SUMIF('TL05'!$C$238:$C$451,$C6,'TL05'!$J$238:$J$451),0),
IF('TL06'!$B$3=J$3,SUMIF('TL06'!$C$10:$C$224,$C6,'TL06'!$J$10:$J$224),0),
IF('TL06'!$B$229=J$3,SUMIF('TL06'!$C$238:$C$451,$C6,'TL06'!$J$238:$J$451),0),
IF('TL07'!$B$3=J$3,SUMIF('TL07'!$C$10:$C$224,$C6,'TL07'!$J$10:$J$224),0),
IF('TL07'!$B$229=J$3,SUMIF('TL07'!$C$238:$C$451,$C6,'TL07'!$J$238:$J$451),0),
IF('TL08'!$B$3=J$3,SUMIF('TL08'!$C$10:$C$224,$C6,'TL08'!$J$10:$J$224),0),
IF('TL08'!$B$229=J$3,SUMIF('TL08'!$C$238:$C$451,$C6,'TL08'!$J$238:$J$451),0),
IF('TL09'!$B$3=J$3,SUMIF('TL09'!$C$10:$C$224,$C6,'TL09'!$J$10:$J$224),0),
IF('TL09'!$B$229=J$3,SUMIF('TL09'!$C$238:$C$451,$C6,'TL09'!$J$238:$J$451),0),
IF('TL10'!$B$3=J$3,SUMIF('TL10'!$C$10:$C$224,$C6,'TL10'!$J$10:$J$224),0),
IF('TL10'!$B$229=J$3,SUMIF('TL10'!$C$238:$C$451,$C6,'TL10'!$J$238:$J$451),0),
IF('TL11'!$B$3=J$3,SUMIF('TL11'!$C$10:$C$224,$C6,'TL11'!$J$10:$J$224),0),
IF('TL11'!$B$229=J$3,SUMIF('TL11'!$C$238:$C$451,$C6,'TL11'!$J$238:$J$451),0),
IF('TL12'!$B$3=J$3,SUMIF('TL12'!$C$10:$C$224,$C6,'TL12'!$J$10:$J$224),0),
IF('TL12'!$B$229=J$3,SUMIF('TL12'!$C$238:$C$451,$C6,'TL12'!$J$238:$J$451),0),
IF('TL13'!$B$3=J$3,SUMIF('TL13'!$C$10:$C$224,$C6,'TL13'!$J$10:$J$224),0),
IF('TL13'!$B$229=J$3,SUMIF('TL13'!$C$238:$C$451,$C6,'TL13'!$J$238:$J$451),0),
IF('TL14'!$B$3=J$3,SUMIF('TL14'!$C$10:$C$224,$C6,'TL14'!$J$10:$J$224),0),
IF('TL14'!$B$229=J$3,SUMIF('TL14'!$C$238:$C$451,$C6,'TL14'!$J$238:$J$451),0),
IF('TL15'!$B$3=J$3,SUMIF('TL15'!$C$10:$C$224,$C6,'TL15'!$J$10:$J$224),0),
IF('TL15'!$B$229=J$3,SUMIF('TL15'!$C$238:$C$451,$C6,'TL15'!$J$238:$J$451),0),
IF('TL16'!$B$3=J$3,SUMIF('TL16'!$C$10:$C$224,$C6,'TL16'!$J$10:$J$224),0),
IF('TL16'!$B$229=J$3,SUMIF('TL16'!$C$238:$C$451,$C6,'TL16'!$J$238:$J$451),0),
IF('TL17'!$B$3=J$3,SUMIF('TL17'!$C$10:$C$224,$C6,'TL17'!$J$10:$J$224),0),
IF('TL17'!$B$229=J$3,SUMIF('TL17'!$C$238:$C$451,$C6,'TL17'!$J$238:$J$451),0),
IF('TL18'!$B$3=J$3,SUMIF('TL18'!$C$10:$C$224,$C6,'TL18'!$J$10:$J$224),0),
IF('TL18'!$B$229=J$3,SUMIF('TL18'!$C$238:$C$451,$C6,'TL18'!$J$238:$J$451),0),
IF('TL19'!$B$3=J$3,SUMIF('TL19'!$C$10:$C$224,$C6,'TL19'!$J$10:$J$224),0),
IF('TL19'!$B$229=J$3,SUMIF('TL19'!$C$238:$C$451,$C6,'TL19'!$J$238:$J$451),0)
),0)</f>
        <v/>
      </c>
      <c r="K6" s="9">
        <f>IFERROR(SUM(
IF('TL01'!$B$3=K$3,SUMIF('TL01'!$C$10:$C$224,$C6,'TL01'!$J$10:$J$224),0),
IF('TL01'!$B$229=K$3,SUMIF('TL01'!$C$238:$C$451,$C6,'TL01'!$J$238:$J$451),0),
IF('TL02'!$B$3=K$3,SUMIF('TL02'!$C$10:$C$224,$C6,'TL02'!$J$10:$J$224),0),
IF('TL02'!$B$229=K$3,SUMIF('TL02'!$C$238:$C$451,$C6,'TL02'!$J$238:$J$451),0),
IF('TL03'!$B$3=K$3,SUMIF('TL03'!$C$10:$C$224,$C6,'TL03'!$J$10:$J$224),0),
IF('TL03'!$B$229=K$3,SUMIF('TL03'!$C$238:$C$451,$C6,'TL03'!$J$238:$J$451),0),
IF('TL04'!$B$3=K$3,SUMIF('TL04'!$C$10:$C$224,$C6,'TL04'!$J$10:$J$224),0),
IF('TL04'!$B$229=K$3,SUMIF('TL04'!$C$238:$C$451,$C6,'TL04'!$J$238:$J$451),0),
IF('TL05'!$B$3=K$3,SUMIF('TL05'!$C$10:$C$224,$C6,'TL05'!$J$10:$J$224),0),
IF('TL05'!$B$229=K$3,SUMIF('TL05'!$C$238:$C$451,$C6,'TL05'!$J$238:$J$451),0),
IF('TL06'!$B$3=K$3,SUMIF('TL06'!$C$10:$C$224,$C6,'TL06'!$J$10:$J$224),0),
IF('TL06'!$B$229=K$3,SUMIF('TL06'!$C$238:$C$451,$C6,'TL06'!$J$238:$J$451),0),
IF('TL07'!$B$3=K$3,SUMIF('TL07'!$C$10:$C$224,$C6,'TL07'!$J$10:$J$224),0),
IF('TL07'!$B$229=K$3,SUMIF('TL07'!$C$238:$C$451,$C6,'TL07'!$J$238:$J$451),0),
IF('TL08'!$B$3=K$3,SUMIF('TL08'!$C$10:$C$224,$C6,'TL08'!$J$10:$J$224),0),
IF('TL08'!$B$229=K$3,SUMIF('TL08'!$C$238:$C$451,$C6,'TL08'!$J$238:$J$451),0),
IF('TL09'!$B$3=K$3,SUMIF('TL09'!$C$10:$C$224,$C6,'TL09'!$J$10:$J$224),0),
IF('TL09'!$B$229=K$3,SUMIF('TL09'!$C$238:$C$451,$C6,'TL09'!$J$238:$J$451),0),
IF('TL10'!$B$3=K$3,SUMIF('TL10'!$C$10:$C$224,$C6,'TL10'!$J$10:$J$224),0),
IF('TL10'!$B$229=K$3,SUMIF('TL10'!$C$238:$C$451,$C6,'TL10'!$J$238:$J$451),0),
IF('TL11'!$B$3=K$3,SUMIF('TL11'!$C$10:$C$224,$C6,'TL11'!$J$10:$J$224),0),
IF('TL11'!$B$229=K$3,SUMIF('TL11'!$C$238:$C$451,$C6,'TL11'!$J$238:$J$451),0),
IF('TL12'!$B$3=K$3,SUMIF('TL12'!$C$10:$C$224,$C6,'TL12'!$J$10:$J$224),0),
IF('TL12'!$B$229=K$3,SUMIF('TL12'!$C$238:$C$451,$C6,'TL12'!$J$238:$J$451),0),
IF('TL13'!$B$3=K$3,SUMIF('TL13'!$C$10:$C$224,$C6,'TL13'!$J$10:$J$224),0),
IF('TL13'!$B$229=K$3,SUMIF('TL13'!$C$238:$C$451,$C6,'TL13'!$J$238:$J$451),0),
IF('TL14'!$B$3=K$3,SUMIF('TL14'!$C$10:$C$224,$C6,'TL14'!$J$10:$J$224),0),
IF('TL14'!$B$229=K$3,SUMIF('TL14'!$C$238:$C$451,$C6,'TL14'!$J$238:$J$451),0),
IF('TL15'!$B$3=K$3,SUMIF('TL15'!$C$10:$C$224,$C6,'TL15'!$J$10:$J$224),0),
IF('TL15'!$B$229=K$3,SUMIF('TL15'!$C$238:$C$451,$C6,'TL15'!$J$238:$J$451),0),
IF('TL16'!$B$3=K$3,SUMIF('TL16'!$C$10:$C$224,$C6,'TL16'!$J$10:$J$224),0),
IF('TL16'!$B$229=K$3,SUMIF('TL16'!$C$238:$C$451,$C6,'TL16'!$J$238:$J$451),0),
IF('TL17'!$B$3=K$3,SUMIF('TL17'!$C$10:$C$224,$C6,'TL17'!$J$10:$J$224),0),
IF('TL17'!$B$229=K$3,SUMIF('TL17'!$C$238:$C$451,$C6,'TL17'!$J$238:$J$451),0),
IF('TL18'!$B$3=K$3,SUMIF('TL18'!$C$10:$C$224,$C6,'TL18'!$J$10:$J$224),0),
IF('TL18'!$B$229=K$3,SUMIF('TL18'!$C$238:$C$451,$C6,'TL18'!$J$238:$J$451),0),
IF('TL19'!$B$3=K$3,SUMIF('TL19'!$C$10:$C$224,$C6,'TL19'!$J$10:$J$224),0),
IF('TL19'!$B$229=K$3,SUMIF('TL19'!$C$238:$C$451,$C6,'TL19'!$J$238:$J$451),0)
),0)</f>
        <v/>
      </c>
      <c r="L6" s="9">
        <f>IFERROR(SUM(
IF('TL01'!$B$3=L$3,SUMIF('TL01'!$C$10:$C$224,$C6,'TL01'!$J$10:$J$224),0),
IF('TL01'!$B$229=L$3,SUMIF('TL01'!$C$238:$C$451,$C6,'TL01'!$J$238:$J$451),0),
IF('TL02'!$B$3=L$3,SUMIF('TL02'!$C$10:$C$224,$C6,'TL02'!$J$10:$J$224),0),
IF('TL02'!$B$229=L$3,SUMIF('TL02'!$C$238:$C$451,$C6,'TL02'!$J$238:$J$451),0),
IF('TL03'!$B$3=L$3,SUMIF('TL03'!$C$10:$C$224,$C6,'TL03'!$J$10:$J$224),0),
IF('TL03'!$B$229=L$3,SUMIF('TL03'!$C$238:$C$451,$C6,'TL03'!$J$238:$J$451),0),
IF('TL04'!$B$3=L$3,SUMIF('TL04'!$C$10:$C$224,$C6,'TL04'!$J$10:$J$224),0),
IF('TL04'!$B$229=L$3,SUMIF('TL04'!$C$238:$C$451,$C6,'TL04'!$J$238:$J$451),0),
IF('TL05'!$B$3=L$3,SUMIF('TL05'!$C$10:$C$224,$C6,'TL05'!$J$10:$J$224),0),
IF('TL05'!$B$229=L$3,SUMIF('TL05'!$C$238:$C$451,$C6,'TL05'!$J$238:$J$451),0),
IF('TL06'!$B$3=L$3,SUMIF('TL06'!$C$10:$C$224,$C6,'TL06'!$J$10:$J$224),0),
IF('TL06'!$B$229=L$3,SUMIF('TL06'!$C$238:$C$451,$C6,'TL06'!$J$238:$J$451),0),
IF('TL07'!$B$3=L$3,SUMIF('TL07'!$C$10:$C$224,$C6,'TL07'!$J$10:$J$224),0),
IF('TL07'!$B$229=L$3,SUMIF('TL07'!$C$238:$C$451,$C6,'TL07'!$J$238:$J$451),0),
IF('TL08'!$B$3=L$3,SUMIF('TL08'!$C$10:$C$224,$C6,'TL08'!$J$10:$J$224),0),
IF('TL08'!$B$229=L$3,SUMIF('TL08'!$C$238:$C$451,$C6,'TL08'!$J$238:$J$451),0),
IF('TL09'!$B$3=L$3,SUMIF('TL09'!$C$10:$C$224,$C6,'TL09'!$J$10:$J$224),0),
IF('TL09'!$B$229=L$3,SUMIF('TL09'!$C$238:$C$451,$C6,'TL09'!$J$238:$J$451),0),
IF('TL10'!$B$3=L$3,SUMIF('TL10'!$C$10:$C$224,$C6,'TL10'!$J$10:$J$224),0),
IF('TL10'!$B$229=L$3,SUMIF('TL10'!$C$238:$C$451,$C6,'TL10'!$J$238:$J$451),0),
IF('TL11'!$B$3=L$3,SUMIF('TL11'!$C$10:$C$224,$C6,'TL11'!$J$10:$J$224),0),
IF('TL11'!$B$229=L$3,SUMIF('TL11'!$C$238:$C$451,$C6,'TL11'!$J$238:$J$451),0),
IF('TL12'!$B$3=L$3,SUMIF('TL12'!$C$10:$C$224,$C6,'TL12'!$J$10:$J$224),0),
IF('TL12'!$B$229=L$3,SUMIF('TL12'!$C$238:$C$451,$C6,'TL12'!$J$238:$J$451),0),
IF('TL13'!$B$3=L$3,SUMIF('TL13'!$C$10:$C$224,$C6,'TL13'!$J$10:$J$224),0),
IF('TL13'!$B$229=L$3,SUMIF('TL13'!$C$238:$C$451,$C6,'TL13'!$J$238:$J$451),0),
IF('TL14'!$B$3=L$3,SUMIF('TL14'!$C$10:$C$224,$C6,'TL14'!$J$10:$J$224),0),
IF('TL14'!$B$229=L$3,SUMIF('TL14'!$C$238:$C$451,$C6,'TL14'!$J$238:$J$451),0),
IF('TL15'!$B$3=L$3,SUMIF('TL15'!$C$10:$C$224,$C6,'TL15'!$J$10:$J$224),0),
IF('TL15'!$B$229=L$3,SUMIF('TL15'!$C$238:$C$451,$C6,'TL15'!$J$238:$J$451),0),
IF('TL16'!$B$3=L$3,SUMIF('TL16'!$C$10:$C$224,$C6,'TL16'!$J$10:$J$224),0),
IF('TL16'!$B$229=L$3,SUMIF('TL16'!$C$238:$C$451,$C6,'TL16'!$J$238:$J$451),0),
IF('TL17'!$B$3=L$3,SUMIF('TL17'!$C$10:$C$224,$C6,'TL17'!$J$10:$J$224),0),
IF('TL17'!$B$229=L$3,SUMIF('TL17'!$C$238:$C$451,$C6,'TL17'!$J$238:$J$451),0),
IF('TL18'!$B$3=L$3,SUMIF('TL18'!$C$10:$C$224,$C6,'TL18'!$J$10:$J$224),0),
IF('TL18'!$B$229=L$3,SUMIF('TL18'!$C$238:$C$451,$C6,'TL18'!$J$238:$J$451),0),
IF('TL19'!$B$3=L$3,SUMIF('TL19'!$C$10:$C$224,$C6,'TL19'!$J$10:$J$224),0),
IF('TL19'!$B$229=L$3,SUMIF('TL19'!$C$238:$C$451,$C6,'TL19'!$J$238:$J$451),0)
),0)</f>
        <v/>
      </c>
      <c r="M6" s="9">
        <f>IFERROR(SUM(
IF('TL01'!$B$3=M$3,SUMIF('TL01'!$C$10:$C$224,$C6,'TL01'!$J$10:$J$224),0),
IF('TL01'!$B$229=M$3,SUMIF('TL01'!$C$238:$C$451,$C6,'TL01'!$J$238:$J$451),0),
IF('TL02'!$B$3=M$3,SUMIF('TL02'!$C$10:$C$224,$C6,'TL02'!$J$10:$J$224),0),
IF('TL02'!$B$229=M$3,SUMIF('TL02'!$C$238:$C$451,$C6,'TL02'!$J$238:$J$451),0),
IF('TL03'!$B$3=M$3,SUMIF('TL03'!$C$10:$C$224,$C6,'TL03'!$J$10:$J$224),0),
IF('TL03'!$B$229=M$3,SUMIF('TL03'!$C$238:$C$451,$C6,'TL03'!$J$238:$J$451),0),
IF('TL04'!$B$3=M$3,SUMIF('TL04'!$C$10:$C$224,$C6,'TL04'!$J$10:$J$224),0),
IF('TL04'!$B$229=M$3,SUMIF('TL04'!$C$238:$C$451,$C6,'TL04'!$J$238:$J$451),0),
IF('TL05'!$B$3=M$3,SUMIF('TL05'!$C$10:$C$224,$C6,'TL05'!$J$10:$J$224),0),
IF('TL05'!$B$229=M$3,SUMIF('TL05'!$C$238:$C$451,$C6,'TL05'!$J$238:$J$451),0),
IF('TL06'!$B$3=M$3,SUMIF('TL06'!$C$10:$C$224,$C6,'TL06'!$J$10:$J$224),0),
IF('TL06'!$B$229=M$3,SUMIF('TL06'!$C$238:$C$451,$C6,'TL06'!$J$238:$J$451),0),
IF('TL07'!$B$3=M$3,SUMIF('TL07'!$C$10:$C$224,$C6,'TL07'!$J$10:$J$224),0),
IF('TL07'!$B$229=M$3,SUMIF('TL07'!$C$238:$C$451,$C6,'TL07'!$J$238:$J$451),0),
IF('TL08'!$B$3=M$3,SUMIF('TL08'!$C$10:$C$224,$C6,'TL08'!$J$10:$J$224),0),
IF('TL08'!$B$229=M$3,SUMIF('TL08'!$C$238:$C$451,$C6,'TL08'!$J$238:$J$451),0),
IF('TL09'!$B$3=M$3,SUMIF('TL09'!$C$10:$C$224,$C6,'TL09'!$J$10:$J$224),0),
IF('TL09'!$B$229=M$3,SUMIF('TL09'!$C$238:$C$451,$C6,'TL09'!$J$238:$J$451),0),
IF('TL10'!$B$3=M$3,SUMIF('TL10'!$C$10:$C$224,$C6,'TL10'!$J$10:$J$224),0),
IF('TL10'!$B$229=M$3,SUMIF('TL10'!$C$238:$C$451,$C6,'TL10'!$J$238:$J$451),0),
IF('TL11'!$B$3=M$3,SUMIF('TL11'!$C$10:$C$224,$C6,'TL11'!$J$10:$J$224),0),
IF('TL11'!$B$229=M$3,SUMIF('TL11'!$C$238:$C$451,$C6,'TL11'!$J$238:$J$451),0),
IF('TL12'!$B$3=M$3,SUMIF('TL12'!$C$10:$C$224,$C6,'TL12'!$J$10:$J$224),0),
IF('TL12'!$B$229=M$3,SUMIF('TL12'!$C$238:$C$451,$C6,'TL12'!$J$238:$J$451),0),
IF('TL13'!$B$3=M$3,SUMIF('TL13'!$C$10:$C$224,$C6,'TL13'!$J$10:$J$224),0),
IF('TL13'!$B$229=M$3,SUMIF('TL13'!$C$238:$C$451,$C6,'TL13'!$J$238:$J$451),0),
IF('TL14'!$B$3=M$3,SUMIF('TL14'!$C$10:$C$224,$C6,'TL14'!$J$10:$J$224),0),
IF('TL14'!$B$229=M$3,SUMIF('TL14'!$C$238:$C$451,$C6,'TL14'!$J$238:$J$451),0),
IF('TL15'!$B$3=M$3,SUMIF('TL15'!$C$10:$C$224,$C6,'TL15'!$J$10:$J$224),0),
IF('TL15'!$B$229=M$3,SUMIF('TL15'!$C$238:$C$451,$C6,'TL15'!$J$238:$J$451),0),
IF('TL16'!$B$3=M$3,SUMIF('TL16'!$C$10:$C$224,$C6,'TL16'!$J$10:$J$224),0),
IF('TL16'!$B$229=M$3,SUMIF('TL16'!$C$238:$C$451,$C6,'TL16'!$J$238:$J$451),0),
IF('TL17'!$B$3=M$3,SUMIF('TL17'!$C$10:$C$224,$C6,'TL17'!$J$10:$J$224),0),
IF('TL17'!$B$229=M$3,SUMIF('TL17'!$C$238:$C$451,$C6,'TL17'!$J$238:$J$451),0),
IF('TL18'!$B$3=M$3,SUMIF('TL18'!$C$10:$C$224,$C6,'TL18'!$J$10:$J$224),0),
IF('TL18'!$B$229=M$3,SUMIF('TL18'!$C$238:$C$451,$C6,'TL18'!$J$238:$J$451),0),
IF('TL19'!$B$3=M$3,SUMIF('TL19'!$C$10:$C$224,$C6,'TL19'!$J$10:$J$224),0),
IF('TL19'!$B$229=M$3,SUMIF('TL19'!$C$238:$C$451,$C6,'TL19'!$J$238:$J$451),0)
),0)</f>
        <v/>
      </c>
      <c r="N6" s="9">
        <f>IFERROR(SUM(
IF('TL01'!$B$3=N$3,SUMIF('TL01'!$C$10:$C$224,$C6,'TL01'!$J$10:$J$224),0),
IF('TL01'!$B$229=N$3,SUMIF('TL01'!$C$238:$C$451,$C6,'TL01'!$J$238:$J$451),0),
IF('TL02'!$B$3=N$3,SUMIF('TL02'!$C$10:$C$224,$C6,'TL02'!$J$10:$J$224),0),
IF('TL02'!$B$229=N$3,SUMIF('TL02'!$C$238:$C$451,$C6,'TL02'!$J$238:$J$451),0),
IF('TL03'!$B$3=N$3,SUMIF('TL03'!$C$10:$C$224,$C6,'TL03'!$J$10:$J$224),0),
IF('TL03'!$B$229=N$3,SUMIF('TL03'!$C$238:$C$451,$C6,'TL03'!$J$238:$J$451),0),
IF('TL04'!$B$3=N$3,SUMIF('TL04'!$C$10:$C$224,$C6,'TL04'!$J$10:$J$224),0),
IF('TL04'!$B$229=N$3,SUMIF('TL04'!$C$238:$C$451,$C6,'TL04'!$J$238:$J$451),0),
IF('TL05'!$B$3=N$3,SUMIF('TL05'!$C$10:$C$224,$C6,'TL05'!$J$10:$J$224),0),
IF('TL05'!$B$229=N$3,SUMIF('TL05'!$C$238:$C$451,$C6,'TL05'!$J$238:$J$451),0),
IF('TL06'!$B$3=N$3,SUMIF('TL06'!$C$10:$C$224,$C6,'TL06'!$J$10:$J$224),0),
IF('TL06'!$B$229=N$3,SUMIF('TL06'!$C$238:$C$451,$C6,'TL06'!$J$238:$J$451),0),
IF('TL07'!$B$3=N$3,SUMIF('TL07'!$C$10:$C$224,$C6,'TL07'!$J$10:$J$224),0),
IF('TL07'!$B$229=N$3,SUMIF('TL07'!$C$238:$C$451,$C6,'TL07'!$J$238:$J$451),0),
IF('TL08'!$B$3=N$3,SUMIF('TL08'!$C$10:$C$224,$C6,'TL08'!$J$10:$J$224),0),
IF('TL08'!$B$229=N$3,SUMIF('TL08'!$C$238:$C$451,$C6,'TL08'!$J$238:$J$451),0),
IF('TL09'!$B$3=N$3,SUMIF('TL09'!$C$10:$C$224,$C6,'TL09'!$J$10:$J$224),0),
IF('TL09'!$B$229=N$3,SUMIF('TL09'!$C$238:$C$451,$C6,'TL09'!$J$238:$J$451),0),
IF('TL10'!$B$3=N$3,SUMIF('TL10'!$C$10:$C$224,$C6,'TL10'!$J$10:$J$224),0),
IF('TL10'!$B$229=N$3,SUMIF('TL10'!$C$238:$C$451,$C6,'TL10'!$J$238:$J$451),0),
IF('TL11'!$B$3=N$3,SUMIF('TL11'!$C$10:$C$224,$C6,'TL11'!$J$10:$J$224),0),
IF('TL11'!$B$229=N$3,SUMIF('TL11'!$C$238:$C$451,$C6,'TL11'!$J$238:$J$451),0),
IF('TL12'!$B$3=N$3,SUMIF('TL12'!$C$10:$C$224,$C6,'TL12'!$J$10:$J$224),0),
IF('TL12'!$B$229=N$3,SUMIF('TL12'!$C$238:$C$451,$C6,'TL12'!$J$238:$J$451),0),
IF('TL13'!$B$3=N$3,SUMIF('TL13'!$C$10:$C$224,$C6,'TL13'!$J$10:$J$224),0),
IF('TL13'!$B$229=N$3,SUMIF('TL13'!$C$238:$C$451,$C6,'TL13'!$J$238:$J$451),0),
IF('TL14'!$B$3=N$3,SUMIF('TL14'!$C$10:$C$224,$C6,'TL14'!$J$10:$J$224),0),
IF('TL14'!$B$229=N$3,SUMIF('TL14'!$C$238:$C$451,$C6,'TL14'!$J$238:$J$451),0),
IF('TL15'!$B$3=N$3,SUMIF('TL15'!$C$10:$C$224,$C6,'TL15'!$J$10:$J$224),0),
IF('TL15'!$B$229=N$3,SUMIF('TL15'!$C$238:$C$451,$C6,'TL15'!$J$238:$J$451),0),
IF('TL16'!$B$3=N$3,SUMIF('TL16'!$C$10:$C$224,$C6,'TL16'!$J$10:$J$224),0),
IF('TL16'!$B$229=N$3,SUMIF('TL16'!$C$238:$C$451,$C6,'TL16'!$J$238:$J$451),0),
IF('TL17'!$B$3=N$3,SUMIF('TL17'!$C$10:$C$224,$C6,'TL17'!$J$10:$J$224),0),
IF('TL17'!$B$229=N$3,SUMIF('TL17'!$C$238:$C$451,$C6,'TL17'!$J$238:$J$451),0),
IF('TL18'!$B$3=N$3,SUMIF('TL18'!$C$10:$C$224,$C6,'TL18'!$J$10:$J$224),0),
IF('TL18'!$B$229=N$3,SUMIF('TL18'!$C$238:$C$451,$C6,'TL18'!$J$238:$J$451),0),
IF('TL19'!$B$3=N$3,SUMIF('TL19'!$C$10:$C$224,$C6,'TL19'!$J$10:$J$224),0),
IF('TL19'!$B$229=N$3,SUMIF('TL19'!$C$238:$C$451,$C6,'TL19'!$J$238:$J$451),0)
),0)</f>
        <v/>
      </c>
      <c r="O6" s="9">
        <f>IFERROR(SUM(
IF('TL01'!$B$3=O$3,SUMIF('TL01'!$C$10:$C$224,$C6,'TL01'!$J$10:$J$224),0),
IF('TL01'!$B$229=O$3,SUMIF('TL01'!$C$238:$C$451,$C6,'TL01'!$J$238:$J$451),0),
IF('TL02'!$B$3=O$3,SUMIF('TL02'!$C$10:$C$224,$C6,'TL02'!$J$10:$J$224),0),
IF('TL02'!$B$229=O$3,SUMIF('TL02'!$C$238:$C$451,$C6,'TL02'!$J$238:$J$451),0),
IF('TL03'!$B$3=O$3,SUMIF('TL03'!$C$10:$C$224,$C6,'TL03'!$J$10:$J$224),0),
IF('TL03'!$B$229=O$3,SUMIF('TL03'!$C$238:$C$451,$C6,'TL03'!$J$238:$J$451),0),
IF('TL04'!$B$3=O$3,SUMIF('TL04'!$C$10:$C$224,$C6,'TL04'!$J$10:$J$224),0),
IF('TL04'!$B$229=O$3,SUMIF('TL04'!$C$238:$C$451,$C6,'TL04'!$J$238:$J$451),0),
IF('TL05'!$B$3=O$3,SUMIF('TL05'!$C$10:$C$224,$C6,'TL05'!$J$10:$J$224),0),
IF('TL05'!$B$229=O$3,SUMIF('TL05'!$C$238:$C$451,$C6,'TL05'!$J$238:$J$451),0),
IF('TL06'!$B$3=O$3,SUMIF('TL06'!$C$10:$C$224,$C6,'TL06'!$J$10:$J$224),0),
IF('TL06'!$B$229=O$3,SUMIF('TL06'!$C$238:$C$451,$C6,'TL06'!$J$238:$J$451),0),
IF('TL07'!$B$3=O$3,SUMIF('TL07'!$C$10:$C$224,$C6,'TL07'!$J$10:$J$224),0),
IF('TL07'!$B$229=O$3,SUMIF('TL07'!$C$238:$C$451,$C6,'TL07'!$J$238:$J$451),0),
IF('TL08'!$B$3=O$3,SUMIF('TL08'!$C$10:$C$224,$C6,'TL08'!$J$10:$J$224),0),
IF('TL08'!$B$229=O$3,SUMIF('TL08'!$C$238:$C$451,$C6,'TL08'!$J$238:$J$451),0),
IF('TL09'!$B$3=O$3,SUMIF('TL09'!$C$10:$C$224,$C6,'TL09'!$J$10:$J$224),0),
IF('TL09'!$B$229=O$3,SUMIF('TL09'!$C$238:$C$451,$C6,'TL09'!$J$238:$J$451),0),
IF('TL10'!$B$3=O$3,SUMIF('TL10'!$C$10:$C$224,$C6,'TL10'!$J$10:$J$224),0),
IF('TL10'!$B$229=O$3,SUMIF('TL10'!$C$238:$C$451,$C6,'TL10'!$J$238:$J$451),0),
IF('TL11'!$B$3=O$3,SUMIF('TL11'!$C$10:$C$224,$C6,'TL11'!$J$10:$J$224),0),
IF('TL11'!$B$229=O$3,SUMIF('TL11'!$C$238:$C$451,$C6,'TL11'!$J$238:$J$451),0),
IF('TL12'!$B$3=O$3,SUMIF('TL12'!$C$10:$C$224,$C6,'TL12'!$J$10:$J$224),0),
IF('TL12'!$B$229=O$3,SUMIF('TL12'!$C$238:$C$451,$C6,'TL12'!$J$238:$J$451),0),
IF('TL13'!$B$3=O$3,SUMIF('TL13'!$C$10:$C$224,$C6,'TL13'!$J$10:$J$224),0),
IF('TL13'!$B$229=O$3,SUMIF('TL13'!$C$238:$C$451,$C6,'TL13'!$J$238:$J$451),0),
IF('TL14'!$B$3=O$3,SUMIF('TL14'!$C$10:$C$224,$C6,'TL14'!$J$10:$J$224),0),
IF('TL14'!$B$229=O$3,SUMIF('TL14'!$C$238:$C$451,$C6,'TL14'!$J$238:$J$451),0),
IF('TL15'!$B$3=O$3,SUMIF('TL15'!$C$10:$C$224,$C6,'TL15'!$J$10:$J$224),0),
IF('TL15'!$B$229=O$3,SUMIF('TL15'!$C$238:$C$451,$C6,'TL15'!$J$238:$J$451),0),
IF('TL16'!$B$3=O$3,SUMIF('TL16'!$C$10:$C$224,$C6,'TL16'!$J$10:$J$224),0),
IF('TL16'!$B$229=O$3,SUMIF('TL16'!$C$238:$C$451,$C6,'TL16'!$J$238:$J$451),0),
IF('TL17'!$B$3=O$3,SUMIF('TL17'!$C$10:$C$224,$C6,'TL17'!$J$10:$J$224),0),
IF('TL17'!$B$229=O$3,SUMIF('TL17'!$C$238:$C$451,$C6,'TL17'!$J$238:$J$451),0),
IF('TL18'!$B$3=O$3,SUMIF('TL18'!$C$10:$C$224,$C6,'TL18'!$J$10:$J$224),0),
IF('TL18'!$B$229=O$3,SUMIF('TL18'!$C$238:$C$451,$C6,'TL18'!$J$238:$J$451),0),
IF('TL19'!$B$3=O$3,SUMIF('TL19'!$C$10:$C$224,$C6,'TL19'!$J$10:$J$224),0),
IF('TL19'!$B$229=O$3,SUMIF('TL19'!$C$238:$C$451,$C6,'TL19'!$J$238:$J$451),0)
),0)</f>
        <v/>
      </c>
      <c r="P6" s="9">
        <f>IFERROR(SUM(
IF('TL01'!$B$3=P$3,SUMIF('TL01'!$C$10:$C$224,$C6,'TL01'!$J$10:$J$224),0),
IF('TL01'!$B$229=P$3,SUMIF('TL01'!$C$238:$C$451,$C6,'TL01'!$J$238:$J$451),0),
IF('TL02'!$B$3=P$3,SUMIF('TL02'!$C$10:$C$224,$C6,'TL02'!$J$10:$J$224),0),
IF('TL02'!$B$229=P$3,SUMIF('TL02'!$C$238:$C$451,$C6,'TL02'!$J$238:$J$451),0),
IF('TL03'!$B$3=P$3,SUMIF('TL03'!$C$10:$C$224,$C6,'TL03'!$J$10:$J$224),0),
IF('TL03'!$B$229=P$3,SUMIF('TL03'!$C$238:$C$451,$C6,'TL03'!$J$238:$J$451),0),
IF('TL04'!$B$3=P$3,SUMIF('TL04'!$C$10:$C$224,$C6,'TL04'!$J$10:$J$224),0),
IF('TL04'!$B$229=P$3,SUMIF('TL04'!$C$238:$C$451,$C6,'TL04'!$J$238:$J$451),0),
IF('TL05'!$B$3=P$3,SUMIF('TL05'!$C$10:$C$224,$C6,'TL05'!$J$10:$J$224),0),
IF('TL05'!$B$229=P$3,SUMIF('TL05'!$C$238:$C$451,$C6,'TL05'!$J$238:$J$451),0),
IF('TL06'!$B$3=P$3,SUMIF('TL06'!$C$10:$C$224,$C6,'TL06'!$J$10:$J$224),0),
IF('TL06'!$B$229=P$3,SUMIF('TL06'!$C$238:$C$451,$C6,'TL06'!$J$238:$J$451),0),
IF('TL07'!$B$3=P$3,SUMIF('TL07'!$C$10:$C$224,$C6,'TL07'!$J$10:$J$224),0),
IF('TL07'!$B$229=P$3,SUMIF('TL07'!$C$238:$C$451,$C6,'TL07'!$J$238:$J$451),0),
IF('TL08'!$B$3=P$3,SUMIF('TL08'!$C$10:$C$224,$C6,'TL08'!$J$10:$J$224),0),
IF('TL08'!$B$229=P$3,SUMIF('TL08'!$C$238:$C$451,$C6,'TL08'!$J$238:$J$451),0),
IF('TL09'!$B$3=P$3,SUMIF('TL09'!$C$10:$C$224,$C6,'TL09'!$J$10:$J$224),0),
IF('TL09'!$B$229=P$3,SUMIF('TL09'!$C$238:$C$451,$C6,'TL09'!$J$238:$J$451),0),
IF('TL10'!$B$3=P$3,SUMIF('TL10'!$C$10:$C$224,$C6,'TL10'!$J$10:$J$224),0),
IF('TL10'!$B$229=P$3,SUMIF('TL10'!$C$238:$C$451,$C6,'TL10'!$J$238:$J$451),0),
IF('TL11'!$B$3=P$3,SUMIF('TL11'!$C$10:$C$224,$C6,'TL11'!$J$10:$J$224),0),
IF('TL11'!$B$229=P$3,SUMIF('TL11'!$C$238:$C$451,$C6,'TL11'!$J$238:$J$451),0),
IF('TL12'!$B$3=P$3,SUMIF('TL12'!$C$10:$C$224,$C6,'TL12'!$J$10:$J$224),0),
IF('TL12'!$B$229=P$3,SUMIF('TL12'!$C$238:$C$451,$C6,'TL12'!$J$238:$J$451),0),
IF('TL13'!$B$3=P$3,SUMIF('TL13'!$C$10:$C$224,$C6,'TL13'!$J$10:$J$224),0),
IF('TL13'!$B$229=P$3,SUMIF('TL13'!$C$238:$C$451,$C6,'TL13'!$J$238:$J$451),0),
IF('TL14'!$B$3=P$3,SUMIF('TL14'!$C$10:$C$224,$C6,'TL14'!$J$10:$J$224),0),
IF('TL14'!$B$229=P$3,SUMIF('TL14'!$C$238:$C$451,$C6,'TL14'!$J$238:$J$451),0),
IF('TL15'!$B$3=P$3,SUMIF('TL15'!$C$10:$C$224,$C6,'TL15'!$J$10:$J$224),0),
IF('TL15'!$B$229=P$3,SUMIF('TL15'!$C$238:$C$451,$C6,'TL15'!$J$238:$J$451),0),
IF('TL16'!$B$3=P$3,SUMIF('TL16'!$C$10:$C$224,$C6,'TL16'!$J$10:$J$224),0),
IF('TL16'!$B$229=P$3,SUMIF('TL16'!$C$238:$C$451,$C6,'TL16'!$J$238:$J$451),0),
IF('TL17'!$B$3=P$3,SUMIF('TL17'!$C$10:$C$224,$C6,'TL17'!$J$10:$J$224),0),
IF('TL17'!$B$229=P$3,SUMIF('TL17'!$C$238:$C$451,$C6,'TL17'!$J$238:$J$451),0),
IF('TL18'!$B$3=P$3,SUMIF('TL18'!$C$10:$C$224,$C6,'TL18'!$J$10:$J$224),0),
IF('TL18'!$B$229=P$3,SUMIF('TL18'!$C$238:$C$451,$C6,'TL18'!$J$238:$J$451),0),
IF('TL19'!$B$3=P$3,SUMIF('TL19'!$C$10:$C$224,$C6,'TL19'!$J$10:$J$224),0),
IF('TL19'!$B$229=P$3,SUMIF('TL19'!$C$238:$C$451,$C6,'TL19'!$J$238:$J$451),0)
),0)</f>
        <v/>
      </c>
      <c r="Q6" s="9">
        <f>IFERROR(SUM(
IF('TL01'!$B$3=Q$3,SUMIF('TL01'!$C$10:$C$224,$C6,'TL01'!$J$10:$J$224),0),
IF('TL01'!$B$229=Q$3,SUMIF('TL01'!$C$238:$C$451,$C6,'TL01'!$J$238:$J$451),0),
IF('TL02'!$B$3=Q$3,SUMIF('TL02'!$C$10:$C$224,$C6,'TL02'!$J$10:$J$224),0),
IF('TL02'!$B$229=Q$3,SUMIF('TL02'!$C$238:$C$451,$C6,'TL02'!$J$238:$J$451),0),
IF('TL03'!$B$3=Q$3,SUMIF('TL03'!$C$10:$C$224,$C6,'TL03'!$J$10:$J$224),0),
IF('TL03'!$B$229=Q$3,SUMIF('TL03'!$C$238:$C$451,$C6,'TL03'!$J$238:$J$451),0),
IF('TL04'!$B$3=Q$3,SUMIF('TL04'!$C$10:$C$224,$C6,'TL04'!$J$10:$J$224),0),
IF('TL04'!$B$229=Q$3,SUMIF('TL04'!$C$238:$C$451,$C6,'TL04'!$J$238:$J$451),0),
IF('TL05'!$B$3=Q$3,SUMIF('TL05'!$C$10:$C$224,$C6,'TL05'!$J$10:$J$224),0),
IF('TL05'!$B$229=Q$3,SUMIF('TL05'!$C$238:$C$451,$C6,'TL05'!$J$238:$J$451),0),
IF('TL06'!$B$3=Q$3,SUMIF('TL06'!$C$10:$C$224,$C6,'TL06'!$J$10:$J$224),0),
IF('TL06'!$B$229=Q$3,SUMIF('TL06'!$C$238:$C$451,$C6,'TL06'!$J$238:$J$451),0),
IF('TL07'!$B$3=Q$3,SUMIF('TL07'!$C$10:$C$224,$C6,'TL07'!$J$10:$J$224),0),
IF('TL07'!$B$229=Q$3,SUMIF('TL07'!$C$238:$C$451,$C6,'TL07'!$J$238:$J$451),0),
IF('TL08'!$B$3=Q$3,SUMIF('TL08'!$C$10:$C$224,$C6,'TL08'!$J$10:$J$224),0),
IF('TL08'!$B$229=Q$3,SUMIF('TL08'!$C$238:$C$451,$C6,'TL08'!$J$238:$J$451),0),
IF('TL09'!$B$3=Q$3,SUMIF('TL09'!$C$10:$C$224,$C6,'TL09'!$J$10:$J$224),0),
IF('TL09'!$B$229=Q$3,SUMIF('TL09'!$C$238:$C$451,$C6,'TL09'!$J$238:$J$451),0),
IF('TL10'!$B$3=Q$3,SUMIF('TL10'!$C$10:$C$224,$C6,'TL10'!$J$10:$J$224),0),
IF('TL10'!$B$229=Q$3,SUMIF('TL10'!$C$238:$C$451,$C6,'TL10'!$J$238:$J$451),0),
IF('TL11'!$B$3=Q$3,SUMIF('TL11'!$C$10:$C$224,$C6,'TL11'!$J$10:$J$224),0),
IF('TL11'!$B$229=Q$3,SUMIF('TL11'!$C$238:$C$451,$C6,'TL11'!$J$238:$J$451),0),
IF('TL12'!$B$3=Q$3,SUMIF('TL12'!$C$10:$C$224,$C6,'TL12'!$J$10:$J$224),0),
IF('TL12'!$B$229=Q$3,SUMIF('TL12'!$C$238:$C$451,$C6,'TL12'!$J$238:$J$451),0),
IF('TL13'!$B$3=Q$3,SUMIF('TL13'!$C$10:$C$224,$C6,'TL13'!$J$10:$J$224),0),
IF('TL13'!$B$229=Q$3,SUMIF('TL13'!$C$238:$C$451,$C6,'TL13'!$J$238:$J$451),0),
IF('TL14'!$B$3=Q$3,SUMIF('TL14'!$C$10:$C$224,$C6,'TL14'!$J$10:$J$224),0),
IF('TL14'!$B$229=Q$3,SUMIF('TL14'!$C$238:$C$451,$C6,'TL14'!$J$238:$J$451),0),
IF('TL15'!$B$3=Q$3,SUMIF('TL15'!$C$10:$C$224,$C6,'TL15'!$J$10:$J$224),0),
IF('TL15'!$B$229=Q$3,SUMIF('TL15'!$C$238:$C$451,$C6,'TL15'!$J$238:$J$451),0),
IF('TL16'!$B$3=Q$3,SUMIF('TL16'!$C$10:$C$224,$C6,'TL16'!$J$10:$J$224),0),
IF('TL16'!$B$229=Q$3,SUMIF('TL16'!$C$238:$C$451,$C6,'TL16'!$J$238:$J$451),0),
IF('TL17'!$B$3=Q$3,SUMIF('TL17'!$C$10:$C$224,$C6,'TL17'!$J$10:$J$224),0),
IF('TL17'!$B$229=Q$3,SUMIF('TL17'!$C$238:$C$451,$C6,'TL17'!$J$238:$J$451),0),
IF('TL18'!$B$3=Q$3,SUMIF('TL18'!$C$10:$C$224,$C6,'TL18'!$J$10:$J$224),0),
IF('TL18'!$B$229=Q$3,SUMIF('TL18'!$C$238:$C$451,$C6,'TL18'!$J$238:$J$451),0),
IF('TL19'!$B$3=Q$3,SUMIF('TL19'!$C$10:$C$224,$C6,'TL19'!$J$10:$J$224),0),
IF('TL19'!$B$229=Q$3,SUMIF('TL19'!$C$238:$C$451,$C6,'TL19'!$J$238:$J$451),0)
),0)</f>
        <v/>
      </c>
      <c r="R6" s="9">
        <f>IFERROR(
SUM(
SUMIF('TL01'!C:C,C6,'TL01'!J:J),
SUMIF('TL02'!C:C,C6,'TL02'!J:J),
SUMIF('TL03'!C:C,C6,'TL03'!J:J),
SUMIF('TL04'!C:C,C6,'TL04'!J:J),
SUMIF('TL05'!C:C,C6,'TL05'!J:J),
SUMIF('TL06'!C:C,C6,'TL06'!J:J),
SUMIF('TL07'!C:C,C6,'TL07'!J:J),
SUMIF('TL08'!C:C,C6,'TL08'!J:J),
SUMIF('TL09'!C:C,C6,'TL09'!J:J),
SUMIF('TL10'!C:C,C6,'TL10'!J:J),
SUMIF('TL11'!C:C,C6,'TL11'!J:J),
SUMIF('TL12'!C:C,C6,'TL12'!J:J),
SUMIF('TL13'!C:C,C6,'TL13'!J:J),
SUMIF('TL14'!C:C,C6,'TL14'!J:J),
SUMIF('TL15'!C:C,C6,'TL15'!J:J),
SUMIF('TL16'!C:C,C6,'TL16'!J:J),
SUMIF('TL17'!C:C,C6,'TL17'!J:J),
SUMIF('TL18'!C:C,C6,'TL18'!J:J),SUMIF('TL19'!C:C,C6,'TL19'!J:J))
,0)</f>
        <v/>
      </c>
      <c r="S6" s="17">
        <f>IFERROR(__xludf.DUMMYFUNCTION("IFERROR(VLOOKUP(C6,
IMPORTRANGE(""1wULbzX32WdYsx-lj2U3uUNBBe2INVIRDtcK0d-Dvl90"",
""26-27!C:G""),
5,
FALSE),
"""")"),18.46656)</f>
        <v/>
      </c>
      <c r="T6" s="9" t="n"/>
      <c r="U6" s="92">
        <f>MAX(0,R6-T6)</f>
        <v/>
      </c>
      <c r="V6" s="93">
        <f>U6*S6</f>
        <v/>
      </c>
    </row>
    <row r="7" hidden="1" ht="22.5" customHeight="1" s="297">
      <c r="A7" s="94" t="inlineStr">
        <is>
          <t>BAYER</t>
        </is>
      </c>
      <c r="B7" s="95" t="inlineStr">
        <is>
          <t>ADJUVANTE</t>
        </is>
      </c>
      <c r="C7" s="96" t="inlineStr">
        <is>
          <t>AUREO</t>
        </is>
      </c>
      <c r="D7" s="96" t="inlineStr">
        <is>
          <t>ÉSTER METILICO DE OLEO DE SOJA</t>
        </is>
      </c>
      <c r="E7" s="96" t="n">
        <v>720</v>
      </c>
      <c r="F7" s="4" t="inlineStr">
        <is>
          <t>L</t>
        </is>
      </c>
      <c r="G7" s="90">
        <f>HYPERLINK("https://www.google.com/search?q=" &amp; C7 &amp; "+bula+agrofit+pdf", "📄 Ver bula")</f>
        <v/>
      </c>
      <c r="H7" s="9">
        <f>IFERROR(__xludf.DUMMYFUNCTION("IFERROR(VLOOKUP(C7,
IMPORTRANGE(""1wULbzX32WdYsx-lj2U3uUNBBe2INVIRDtcK0d-Dvl90"",
""26-27!C:K""),
8,
FALSE),
"""")"),0.08)</f>
        <v/>
      </c>
      <c r="I7" s="97" t="inlineStr">
        <is>
          <t>1x20</t>
        </is>
      </c>
      <c r="J7" s="9">
        <f>IFERROR(SUM(
IF('TL01'!$B$3=J$3,SUMIF('TL01'!$C$10:$C$224,$C7,'TL01'!$J$10:$J$224),0),
IF('TL01'!$B$229=J$3,SUMIF('TL01'!$C$238:$C$451,$C7,'TL01'!$J$238:$J$451),0),
IF('TL02'!$B$3=J$3,SUMIF('TL02'!$C$10:$C$224,$C7,'TL02'!$J$10:$J$224),0),
IF('TL02'!$B$229=J$3,SUMIF('TL02'!$C$238:$C$451,$C7,'TL02'!$J$238:$J$451),0),
IF('TL03'!$B$3=J$3,SUMIF('TL03'!$C$10:$C$224,$C7,'TL03'!$J$10:$J$224),0),
IF('TL03'!$B$229=J$3,SUMIF('TL03'!$C$238:$C$451,$C7,'TL03'!$J$238:$J$451),0),
IF('TL04'!$B$3=J$3,SUMIF('TL04'!$C$10:$C$224,$C7,'TL04'!$J$10:$J$224),0),
IF('TL04'!$B$229=J$3,SUMIF('TL04'!$C$238:$C$451,$C7,'TL04'!$J$238:$J$451),0),
IF('TL05'!$B$3=J$3,SUMIF('TL05'!$C$10:$C$224,$C7,'TL05'!$J$10:$J$224),0),
IF('TL05'!$B$229=J$3,SUMIF('TL05'!$C$238:$C$451,$C7,'TL05'!$J$238:$J$451),0),
IF('TL06'!$B$3=J$3,SUMIF('TL06'!$C$10:$C$224,$C7,'TL06'!$J$10:$J$224),0),
IF('TL06'!$B$229=J$3,SUMIF('TL06'!$C$238:$C$451,$C7,'TL06'!$J$238:$J$451),0),
IF('TL07'!$B$3=J$3,SUMIF('TL07'!$C$10:$C$224,$C7,'TL07'!$J$10:$J$224),0),
IF('TL07'!$B$229=J$3,SUMIF('TL07'!$C$238:$C$451,$C7,'TL07'!$J$238:$J$451),0),
IF('TL08'!$B$3=J$3,SUMIF('TL08'!$C$10:$C$224,$C7,'TL08'!$J$10:$J$224),0),
IF('TL08'!$B$229=J$3,SUMIF('TL08'!$C$238:$C$451,$C7,'TL08'!$J$238:$J$451),0),
IF('TL09'!$B$3=J$3,SUMIF('TL09'!$C$10:$C$224,$C7,'TL09'!$J$10:$J$224),0),
IF('TL09'!$B$229=J$3,SUMIF('TL09'!$C$238:$C$451,$C7,'TL09'!$J$238:$J$451),0),
IF('TL10'!$B$3=J$3,SUMIF('TL10'!$C$10:$C$224,$C7,'TL10'!$J$10:$J$224),0),
IF('TL10'!$B$229=J$3,SUMIF('TL10'!$C$238:$C$451,$C7,'TL10'!$J$238:$J$451),0),
IF('TL11'!$B$3=J$3,SUMIF('TL11'!$C$10:$C$224,$C7,'TL11'!$J$10:$J$224),0),
IF('TL11'!$B$229=J$3,SUMIF('TL11'!$C$238:$C$451,$C7,'TL11'!$J$238:$J$451),0),
IF('TL12'!$B$3=J$3,SUMIF('TL12'!$C$10:$C$224,$C7,'TL12'!$J$10:$J$224),0),
IF('TL12'!$B$229=J$3,SUMIF('TL12'!$C$238:$C$451,$C7,'TL12'!$J$238:$J$451),0),
IF('TL13'!$B$3=J$3,SUMIF('TL13'!$C$10:$C$224,$C7,'TL13'!$J$10:$J$224),0),
IF('TL13'!$B$229=J$3,SUMIF('TL13'!$C$238:$C$451,$C7,'TL13'!$J$238:$J$451),0),
IF('TL14'!$B$3=J$3,SUMIF('TL14'!$C$10:$C$224,$C7,'TL14'!$J$10:$J$224),0),
IF('TL14'!$B$229=J$3,SUMIF('TL14'!$C$238:$C$451,$C7,'TL14'!$J$238:$J$451),0),
IF('TL15'!$B$3=J$3,SUMIF('TL15'!$C$10:$C$224,$C7,'TL15'!$J$10:$J$224),0),
IF('TL15'!$B$229=J$3,SUMIF('TL15'!$C$238:$C$451,$C7,'TL15'!$J$238:$J$451),0),
IF('TL16'!$B$3=J$3,SUMIF('TL16'!$C$10:$C$224,$C7,'TL16'!$J$10:$J$224),0),
IF('TL16'!$B$229=J$3,SUMIF('TL16'!$C$238:$C$451,$C7,'TL16'!$J$238:$J$451),0),
IF('TL17'!$B$3=J$3,SUMIF('TL17'!$C$10:$C$224,$C7,'TL17'!$J$10:$J$224),0),
IF('TL17'!$B$229=J$3,SUMIF('TL17'!$C$238:$C$451,$C7,'TL17'!$J$238:$J$451),0),
IF('TL18'!$B$3=J$3,SUMIF('TL18'!$C$10:$C$224,$C7,'TL18'!$J$10:$J$224),0),
IF('TL18'!$B$229=J$3,SUMIF('TL18'!$C$238:$C$451,$C7,'TL18'!$J$238:$J$451),0),
IF('TL19'!$B$3=J$3,SUMIF('TL19'!$C$10:$C$224,$C7,'TL19'!$J$10:$J$224),0),
IF('TL19'!$B$229=J$3,SUMIF('TL19'!$C$238:$C$451,$C7,'TL19'!$J$238:$J$451),0)
),0)</f>
        <v/>
      </c>
      <c r="K7" s="9">
        <f>IFERROR(SUM(
IF('TL01'!$B$3=K$3,SUMIF('TL01'!$C$10:$C$224,$C7,'TL01'!$J$10:$J$224),0),
IF('TL01'!$B$229=K$3,SUMIF('TL01'!$C$238:$C$451,$C7,'TL01'!$J$238:$J$451),0),
IF('TL02'!$B$3=K$3,SUMIF('TL02'!$C$10:$C$224,$C7,'TL02'!$J$10:$J$224),0),
IF('TL02'!$B$229=K$3,SUMIF('TL02'!$C$238:$C$451,$C7,'TL02'!$J$238:$J$451),0),
IF('TL03'!$B$3=K$3,SUMIF('TL03'!$C$10:$C$224,$C7,'TL03'!$J$10:$J$224),0),
IF('TL03'!$B$229=K$3,SUMIF('TL03'!$C$238:$C$451,$C7,'TL03'!$J$238:$J$451),0),
IF('TL04'!$B$3=K$3,SUMIF('TL04'!$C$10:$C$224,$C7,'TL04'!$J$10:$J$224),0),
IF('TL04'!$B$229=K$3,SUMIF('TL04'!$C$238:$C$451,$C7,'TL04'!$J$238:$J$451),0),
IF('TL05'!$B$3=K$3,SUMIF('TL05'!$C$10:$C$224,$C7,'TL05'!$J$10:$J$224),0),
IF('TL05'!$B$229=K$3,SUMIF('TL05'!$C$238:$C$451,$C7,'TL05'!$J$238:$J$451),0),
IF('TL06'!$B$3=K$3,SUMIF('TL06'!$C$10:$C$224,$C7,'TL06'!$J$10:$J$224),0),
IF('TL06'!$B$229=K$3,SUMIF('TL06'!$C$238:$C$451,$C7,'TL06'!$J$238:$J$451),0),
IF('TL07'!$B$3=K$3,SUMIF('TL07'!$C$10:$C$224,$C7,'TL07'!$J$10:$J$224),0),
IF('TL07'!$B$229=K$3,SUMIF('TL07'!$C$238:$C$451,$C7,'TL07'!$J$238:$J$451),0),
IF('TL08'!$B$3=K$3,SUMIF('TL08'!$C$10:$C$224,$C7,'TL08'!$J$10:$J$224),0),
IF('TL08'!$B$229=K$3,SUMIF('TL08'!$C$238:$C$451,$C7,'TL08'!$J$238:$J$451),0),
IF('TL09'!$B$3=K$3,SUMIF('TL09'!$C$10:$C$224,$C7,'TL09'!$J$10:$J$224),0),
IF('TL09'!$B$229=K$3,SUMIF('TL09'!$C$238:$C$451,$C7,'TL09'!$J$238:$J$451),0),
IF('TL10'!$B$3=K$3,SUMIF('TL10'!$C$10:$C$224,$C7,'TL10'!$J$10:$J$224),0),
IF('TL10'!$B$229=K$3,SUMIF('TL10'!$C$238:$C$451,$C7,'TL10'!$J$238:$J$451),0),
IF('TL11'!$B$3=K$3,SUMIF('TL11'!$C$10:$C$224,$C7,'TL11'!$J$10:$J$224),0),
IF('TL11'!$B$229=K$3,SUMIF('TL11'!$C$238:$C$451,$C7,'TL11'!$J$238:$J$451),0),
IF('TL12'!$B$3=K$3,SUMIF('TL12'!$C$10:$C$224,$C7,'TL12'!$J$10:$J$224),0),
IF('TL12'!$B$229=K$3,SUMIF('TL12'!$C$238:$C$451,$C7,'TL12'!$J$238:$J$451),0),
IF('TL13'!$B$3=K$3,SUMIF('TL13'!$C$10:$C$224,$C7,'TL13'!$J$10:$J$224),0),
IF('TL13'!$B$229=K$3,SUMIF('TL13'!$C$238:$C$451,$C7,'TL13'!$J$238:$J$451),0),
IF('TL14'!$B$3=K$3,SUMIF('TL14'!$C$10:$C$224,$C7,'TL14'!$J$10:$J$224),0),
IF('TL14'!$B$229=K$3,SUMIF('TL14'!$C$238:$C$451,$C7,'TL14'!$J$238:$J$451),0),
IF('TL15'!$B$3=K$3,SUMIF('TL15'!$C$10:$C$224,$C7,'TL15'!$J$10:$J$224),0),
IF('TL15'!$B$229=K$3,SUMIF('TL15'!$C$238:$C$451,$C7,'TL15'!$J$238:$J$451),0),
IF('TL16'!$B$3=K$3,SUMIF('TL16'!$C$10:$C$224,$C7,'TL16'!$J$10:$J$224),0),
IF('TL16'!$B$229=K$3,SUMIF('TL16'!$C$238:$C$451,$C7,'TL16'!$J$238:$J$451),0),
IF('TL17'!$B$3=K$3,SUMIF('TL17'!$C$10:$C$224,$C7,'TL17'!$J$10:$J$224),0),
IF('TL17'!$B$229=K$3,SUMIF('TL17'!$C$238:$C$451,$C7,'TL17'!$J$238:$J$451),0),
IF('TL18'!$B$3=K$3,SUMIF('TL18'!$C$10:$C$224,$C7,'TL18'!$J$10:$J$224),0),
IF('TL18'!$B$229=K$3,SUMIF('TL18'!$C$238:$C$451,$C7,'TL18'!$J$238:$J$451),0),
IF('TL19'!$B$3=K$3,SUMIF('TL19'!$C$10:$C$224,$C7,'TL19'!$J$10:$J$224),0),
IF('TL19'!$B$229=K$3,SUMIF('TL19'!$C$238:$C$451,$C7,'TL19'!$J$238:$J$451),0)
),0)</f>
        <v/>
      </c>
      <c r="L7" s="9">
        <f>IFERROR(SUM(
IF('TL01'!$B$3=L$3,SUMIF('TL01'!$C$10:$C$224,$C7,'TL01'!$J$10:$J$224),0),
IF('TL01'!$B$229=L$3,SUMIF('TL01'!$C$238:$C$451,$C7,'TL01'!$J$238:$J$451),0),
IF('TL02'!$B$3=L$3,SUMIF('TL02'!$C$10:$C$224,$C7,'TL02'!$J$10:$J$224),0),
IF('TL02'!$B$229=L$3,SUMIF('TL02'!$C$238:$C$451,$C7,'TL02'!$J$238:$J$451),0),
IF('TL03'!$B$3=L$3,SUMIF('TL03'!$C$10:$C$224,$C7,'TL03'!$J$10:$J$224),0),
IF('TL03'!$B$229=L$3,SUMIF('TL03'!$C$238:$C$451,$C7,'TL03'!$J$238:$J$451),0),
IF('TL04'!$B$3=L$3,SUMIF('TL04'!$C$10:$C$224,$C7,'TL04'!$J$10:$J$224),0),
IF('TL04'!$B$229=L$3,SUMIF('TL04'!$C$238:$C$451,$C7,'TL04'!$J$238:$J$451),0),
IF('TL05'!$B$3=L$3,SUMIF('TL05'!$C$10:$C$224,$C7,'TL05'!$J$10:$J$224),0),
IF('TL05'!$B$229=L$3,SUMIF('TL05'!$C$238:$C$451,$C7,'TL05'!$J$238:$J$451),0),
IF('TL06'!$B$3=L$3,SUMIF('TL06'!$C$10:$C$224,$C7,'TL06'!$J$10:$J$224),0),
IF('TL06'!$B$229=L$3,SUMIF('TL06'!$C$238:$C$451,$C7,'TL06'!$J$238:$J$451),0),
IF('TL07'!$B$3=L$3,SUMIF('TL07'!$C$10:$C$224,$C7,'TL07'!$J$10:$J$224),0),
IF('TL07'!$B$229=L$3,SUMIF('TL07'!$C$238:$C$451,$C7,'TL07'!$J$238:$J$451),0),
IF('TL08'!$B$3=L$3,SUMIF('TL08'!$C$10:$C$224,$C7,'TL08'!$J$10:$J$224),0),
IF('TL08'!$B$229=L$3,SUMIF('TL08'!$C$238:$C$451,$C7,'TL08'!$J$238:$J$451),0),
IF('TL09'!$B$3=L$3,SUMIF('TL09'!$C$10:$C$224,$C7,'TL09'!$J$10:$J$224),0),
IF('TL09'!$B$229=L$3,SUMIF('TL09'!$C$238:$C$451,$C7,'TL09'!$J$238:$J$451),0),
IF('TL10'!$B$3=L$3,SUMIF('TL10'!$C$10:$C$224,$C7,'TL10'!$J$10:$J$224),0),
IF('TL10'!$B$229=L$3,SUMIF('TL10'!$C$238:$C$451,$C7,'TL10'!$J$238:$J$451),0),
IF('TL11'!$B$3=L$3,SUMIF('TL11'!$C$10:$C$224,$C7,'TL11'!$J$10:$J$224),0),
IF('TL11'!$B$229=L$3,SUMIF('TL11'!$C$238:$C$451,$C7,'TL11'!$J$238:$J$451),0),
IF('TL12'!$B$3=L$3,SUMIF('TL12'!$C$10:$C$224,$C7,'TL12'!$J$10:$J$224),0),
IF('TL12'!$B$229=L$3,SUMIF('TL12'!$C$238:$C$451,$C7,'TL12'!$J$238:$J$451),0),
IF('TL13'!$B$3=L$3,SUMIF('TL13'!$C$10:$C$224,$C7,'TL13'!$J$10:$J$224),0),
IF('TL13'!$B$229=L$3,SUMIF('TL13'!$C$238:$C$451,$C7,'TL13'!$J$238:$J$451),0),
IF('TL14'!$B$3=L$3,SUMIF('TL14'!$C$10:$C$224,$C7,'TL14'!$J$10:$J$224),0),
IF('TL14'!$B$229=L$3,SUMIF('TL14'!$C$238:$C$451,$C7,'TL14'!$J$238:$J$451),0),
IF('TL15'!$B$3=L$3,SUMIF('TL15'!$C$10:$C$224,$C7,'TL15'!$J$10:$J$224),0),
IF('TL15'!$B$229=L$3,SUMIF('TL15'!$C$238:$C$451,$C7,'TL15'!$J$238:$J$451),0),
IF('TL16'!$B$3=L$3,SUMIF('TL16'!$C$10:$C$224,$C7,'TL16'!$J$10:$J$224),0),
IF('TL16'!$B$229=L$3,SUMIF('TL16'!$C$238:$C$451,$C7,'TL16'!$J$238:$J$451),0),
IF('TL17'!$B$3=L$3,SUMIF('TL17'!$C$10:$C$224,$C7,'TL17'!$J$10:$J$224),0),
IF('TL17'!$B$229=L$3,SUMIF('TL17'!$C$238:$C$451,$C7,'TL17'!$J$238:$J$451),0),
IF('TL18'!$B$3=L$3,SUMIF('TL18'!$C$10:$C$224,$C7,'TL18'!$J$10:$J$224),0),
IF('TL18'!$B$229=L$3,SUMIF('TL18'!$C$238:$C$451,$C7,'TL18'!$J$238:$J$451),0),
IF('TL19'!$B$3=L$3,SUMIF('TL19'!$C$10:$C$224,$C7,'TL19'!$J$10:$J$224),0),
IF('TL19'!$B$229=L$3,SUMIF('TL19'!$C$238:$C$451,$C7,'TL19'!$J$238:$J$451),0)
),0)</f>
        <v/>
      </c>
      <c r="M7" s="9">
        <f>IFERROR(SUM(
IF('TL01'!$B$3=M$3,SUMIF('TL01'!$C$10:$C$224,$C7,'TL01'!$J$10:$J$224),0),
IF('TL01'!$B$229=M$3,SUMIF('TL01'!$C$238:$C$451,$C7,'TL01'!$J$238:$J$451),0),
IF('TL02'!$B$3=M$3,SUMIF('TL02'!$C$10:$C$224,$C7,'TL02'!$J$10:$J$224),0),
IF('TL02'!$B$229=M$3,SUMIF('TL02'!$C$238:$C$451,$C7,'TL02'!$J$238:$J$451),0),
IF('TL03'!$B$3=M$3,SUMIF('TL03'!$C$10:$C$224,$C7,'TL03'!$J$10:$J$224),0),
IF('TL03'!$B$229=M$3,SUMIF('TL03'!$C$238:$C$451,$C7,'TL03'!$J$238:$J$451),0),
IF('TL04'!$B$3=M$3,SUMIF('TL04'!$C$10:$C$224,$C7,'TL04'!$J$10:$J$224),0),
IF('TL04'!$B$229=M$3,SUMIF('TL04'!$C$238:$C$451,$C7,'TL04'!$J$238:$J$451),0),
IF('TL05'!$B$3=M$3,SUMIF('TL05'!$C$10:$C$224,$C7,'TL05'!$J$10:$J$224),0),
IF('TL05'!$B$229=M$3,SUMIF('TL05'!$C$238:$C$451,$C7,'TL05'!$J$238:$J$451),0),
IF('TL06'!$B$3=M$3,SUMIF('TL06'!$C$10:$C$224,$C7,'TL06'!$J$10:$J$224),0),
IF('TL06'!$B$229=M$3,SUMIF('TL06'!$C$238:$C$451,$C7,'TL06'!$J$238:$J$451),0),
IF('TL07'!$B$3=M$3,SUMIF('TL07'!$C$10:$C$224,$C7,'TL07'!$J$10:$J$224),0),
IF('TL07'!$B$229=M$3,SUMIF('TL07'!$C$238:$C$451,$C7,'TL07'!$J$238:$J$451),0),
IF('TL08'!$B$3=M$3,SUMIF('TL08'!$C$10:$C$224,$C7,'TL08'!$J$10:$J$224),0),
IF('TL08'!$B$229=M$3,SUMIF('TL08'!$C$238:$C$451,$C7,'TL08'!$J$238:$J$451),0),
IF('TL09'!$B$3=M$3,SUMIF('TL09'!$C$10:$C$224,$C7,'TL09'!$J$10:$J$224),0),
IF('TL09'!$B$229=M$3,SUMIF('TL09'!$C$238:$C$451,$C7,'TL09'!$J$238:$J$451),0),
IF('TL10'!$B$3=M$3,SUMIF('TL10'!$C$10:$C$224,$C7,'TL10'!$J$10:$J$224),0),
IF('TL10'!$B$229=M$3,SUMIF('TL10'!$C$238:$C$451,$C7,'TL10'!$J$238:$J$451),0),
IF('TL11'!$B$3=M$3,SUMIF('TL11'!$C$10:$C$224,$C7,'TL11'!$J$10:$J$224),0),
IF('TL11'!$B$229=M$3,SUMIF('TL11'!$C$238:$C$451,$C7,'TL11'!$J$238:$J$451),0),
IF('TL12'!$B$3=M$3,SUMIF('TL12'!$C$10:$C$224,$C7,'TL12'!$J$10:$J$224),0),
IF('TL12'!$B$229=M$3,SUMIF('TL12'!$C$238:$C$451,$C7,'TL12'!$J$238:$J$451),0),
IF('TL13'!$B$3=M$3,SUMIF('TL13'!$C$10:$C$224,$C7,'TL13'!$J$10:$J$224),0),
IF('TL13'!$B$229=M$3,SUMIF('TL13'!$C$238:$C$451,$C7,'TL13'!$J$238:$J$451),0),
IF('TL14'!$B$3=M$3,SUMIF('TL14'!$C$10:$C$224,$C7,'TL14'!$J$10:$J$224),0),
IF('TL14'!$B$229=M$3,SUMIF('TL14'!$C$238:$C$451,$C7,'TL14'!$J$238:$J$451),0),
IF('TL15'!$B$3=M$3,SUMIF('TL15'!$C$10:$C$224,$C7,'TL15'!$J$10:$J$224),0),
IF('TL15'!$B$229=M$3,SUMIF('TL15'!$C$238:$C$451,$C7,'TL15'!$J$238:$J$451),0),
IF('TL16'!$B$3=M$3,SUMIF('TL16'!$C$10:$C$224,$C7,'TL16'!$J$10:$J$224),0),
IF('TL16'!$B$229=M$3,SUMIF('TL16'!$C$238:$C$451,$C7,'TL16'!$J$238:$J$451),0),
IF('TL17'!$B$3=M$3,SUMIF('TL17'!$C$10:$C$224,$C7,'TL17'!$J$10:$J$224),0),
IF('TL17'!$B$229=M$3,SUMIF('TL17'!$C$238:$C$451,$C7,'TL17'!$J$238:$J$451),0),
IF('TL18'!$B$3=M$3,SUMIF('TL18'!$C$10:$C$224,$C7,'TL18'!$J$10:$J$224),0),
IF('TL18'!$B$229=M$3,SUMIF('TL18'!$C$238:$C$451,$C7,'TL18'!$J$238:$J$451),0),
IF('TL19'!$B$3=M$3,SUMIF('TL19'!$C$10:$C$224,$C7,'TL19'!$J$10:$J$224),0),
IF('TL19'!$B$229=M$3,SUMIF('TL19'!$C$238:$C$451,$C7,'TL19'!$J$238:$J$451),0)
),0)</f>
        <v/>
      </c>
      <c r="N7" s="9">
        <f>IFERROR(SUM(
IF('TL01'!$B$3=N$3,SUMIF('TL01'!$C$10:$C$224,$C7,'TL01'!$J$10:$J$224),0),
IF('TL01'!$B$229=N$3,SUMIF('TL01'!$C$238:$C$451,$C7,'TL01'!$J$238:$J$451),0),
IF('TL02'!$B$3=N$3,SUMIF('TL02'!$C$10:$C$224,$C7,'TL02'!$J$10:$J$224),0),
IF('TL02'!$B$229=N$3,SUMIF('TL02'!$C$238:$C$451,$C7,'TL02'!$J$238:$J$451),0),
IF('TL03'!$B$3=N$3,SUMIF('TL03'!$C$10:$C$224,$C7,'TL03'!$J$10:$J$224),0),
IF('TL03'!$B$229=N$3,SUMIF('TL03'!$C$238:$C$451,$C7,'TL03'!$J$238:$J$451),0),
IF('TL04'!$B$3=N$3,SUMIF('TL04'!$C$10:$C$224,$C7,'TL04'!$J$10:$J$224),0),
IF('TL04'!$B$229=N$3,SUMIF('TL04'!$C$238:$C$451,$C7,'TL04'!$J$238:$J$451),0),
IF('TL05'!$B$3=N$3,SUMIF('TL05'!$C$10:$C$224,$C7,'TL05'!$J$10:$J$224),0),
IF('TL05'!$B$229=N$3,SUMIF('TL05'!$C$238:$C$451,$C7,'TL05'!$J$238:$J$451),0),
IF('TL06'!$B$3=N$3,SUMIF('TL06'!$C$10:$C$224,$C7,'TL06'!$J$10:$J$224),0),
IF('TL06'!$B$229=N$3,SUMIF('TL06'!$C$238:$C$451,$C7,'TL06'!$J$238:$J$451),0),
IF('TL07'!$B$3=N$3,SUMIF('TL07'!$C$10:$C$224,$C7,'TL07'!$J$10:$J$224),0),
IF('TL07'!$B$229=N$3,SUMIF('TL07'!$C$238:$C$451,$C7,'TL07'!$J$238:$J$451),0),
IF('TL08'!$B$3=N$3,SUMIF('TL08'!$C$10:$C$224,$C7,'TL08'!$J$10:$J$224),0),
IF('TL08'!$B$229=N$3,SUMIF('TL08'!$C$238:$C$451,$C7,'TL08'!$J$238:$J$451),0),
IF('TL09'!$B$3=N$3,SUMIF('TL09'!$C$10:$C$224,$C7,'TL09'!$J$10:$J$224),0),
IF('TL09'!$B$229=N$3,SUMIF('TL09'!$C$238:$C$451,$C7,'TL09'!$J$238:$J$451),0),
IF('TL10'!$B$3=N$3,SUMIF('TL10'!$C$10:$C$224,$C7,'TL10'!$J$10:$J$224),0),
IF('TL10'!$B$229=N$3,SUMIF('TL10'!$C$238:$C$451,$C7,'TL10'!$J$238:$J$451),0),
IF('TL11'!$B$3=N$3,SUMIF('TL11'!$C$10:$C$224,$C7,'TL11'!$J$10:$J$224),0),
IF('TL11'!$B$229=N$3,SUMIF('TL11'!$C$238:$C$451,$C7,'TL11'!$J$238:$J$451),0),
IF('TL12'!$B$3=N$3,SUMIF('TL12'!$C$10:$C$224,$C7,'TL12'!$J$10:$J$224),0),
IF('TL12'!$B$229=N$3,SUMIF('TL12'!$C$238:$C$451,$C7,'TL12'!$J$238:$J$451),0),
IF('TL13'!$B$3=N$3,SUMIF('TL13'!$C$10:$C$224,$C7,'TL13'!$J$10:$J$224),0),
IF('TL13'!$B$229=N$3,SUMIF('TL13'!$C$238:$C$451,$C7,'TL13'!$J$238:$J$451),0),
IF('TL14'!$B$3=N$3,SUMIF('TL14'!$C$10:$C$224,$C7,'TL14'!$J$10:$J$224),0),
IF('TL14'!$B$229=N$3,SUMIF('TL14'!$C$238:$C$451,$C7,'TL14'!$J$238:$J$451),0),
IF('TL15'!$B$3=N$3,SUMIF('TL15'!$C$10:$C$224,$C7,'TL15'!$J$10:$J$224),0),
IF('TL15'!$B$229=N$3,SUMIF('TL15'!$C$238:$C$451,$C7,'TL15'!$J$238:$J$451),0),
IF('TL16'!$B$3=N$3,SUMIF('TL16'!$C$10:$C$224,$C7,'TL16'!$J$10:$J$224),0),
IF('TL16'!$B$229=N$3,SUMIF('TL16'!$C$238:$C$451,$C7,'TL16'!$J$238:$J$451),0),
IF('TL17'!$B$3=N$3,SUMIF('TL17'!$C$10:$C$224,$C7,'TL17'!$J$10:$J$224),0),
IF('TL17'!$B$229=N$3,SUMIF('TL17'!$C$238:$C$451,$C7,'TL17'!$J$238:$J$451),0),
IF('TL18'!$B$3=N$3,SUMIF('TL18'!$C$10:$C$224,$C7,'TL18'!$J$10:$J$224),0),
IF('TL18'!$B$229=N$3,SUMIF('TL18'!$C$238:$C$451,$C7,'TL18'!$J$238:$J$451),0),
IF('TL19'!$B$3=N$3,SUMIF('TL19'!$C$10:$C$224,$C7,'TL19'!$J$10:$J$224),0),
IF('TL19'!$B$229=N$3,SUMIF('TL19'!$C$238:$C$451,$C7,'TL19'!$J$238:$J$451),0)
),0)</f>
        <v/>
      </c>
      <c r="O7" s="9">
        <f>IFERROR(SUM(
IF('TL01'!$B$3=O$3,SUMIF('TL01'!$C$10:$C$224,$C7,'TL01'!$J$10:$J$224),0),
IF('TL01'!$B$229=O$3,SUMIF('TL01'!$C$238:$C$451,$C7,'TL01'!$J$238:$J$451),0),
IF('TL02'!$B$3=O$3,SUMIF('TL02'!$C$10:$C$224,$C7,'TL02'!$J$10:$J$224),0),
IF('TL02'!$B$229=O$3,SUMIF('TL02'!$C$238:$C$451,$C7,'TL02'!$J$238:$J$451),0),
IF('TL03'!$B$3=O$3,SUMIF('TL03'!$C$10:$C$224,$C7,'TL03'!$J$10:$J$224),0),
IF('TL03'!$B$229=O$3,SUMIF('TL03'!$C$238:$C$451,$C7,'TL03'!$J$238:$J$451),0),
IF('TL04'!$B$3=O$3,SUMIF('TL04'!$C$10:$C$224,$C7,'TL04'!$J$10:$J$224),0),
IF('TL04'!$B$229=O$3,SUMIF('TL04'!$C$238:$C$451,$C7,'TL04'!$J$238:$J$451),0),
IF('TL05'!$B$3=O$3,SUMIF('TL05'!$C$10:$C$224,$C7,'TL05'!$J$10:$J$224),0),
IF('TL05'!$B$229=O$3,SUMIF('TL05'!$C$238:$C$451,$C7,'TL05'!$J$238:$J$451),0),
IF('TL06'!$B$3=O$3,SUMIF('TL06'!$C$10:$C$224,$C7,'TL06'!$J$10:$J$224),0),
IF('TL06'!$B$229=O$3,SUMIF('TL06'!$C$238:$C$451,$C7,'TL06'!$J$238:$J$451),0),
IF('TL07'!$B$3=O$3,SUMIF('TL07'!$C$10:$C$224,$C7,'TL07'!$J$10:$J$224),0),
IF('TL07'!$B$229=O$3,SUMIF('TL07'!$C$238:$C$451,$C7,'TL07'!$J$238:$J$451),0),
IF('TL08'!$B$3=O$3,SUMIF('TL08'!$C$10:$C$224,$C7,'TL08'!$J$10:$J$224),0),
IF('TL08'!$B$229=O$3,SUMIF('TL08'!$C$238:$C$451,$C7,'TL08'!$J$238:$J$451),0),
IF('TL09'!$B$3=O$3,SUMIF('TL09'!$C$10:$C$224,$C7,'TL09'!$J$10:$J$224),0),
IF('TL09'!$B$229=O$3,SUMIF('TL09'!$C$238:$C$451,$C7,'TL09'!$J$238:$J$451),0),
IF('TL10'!$B$3=O$3,SUMIF('TL10'!$C$10:$C$224,$C7,'TL10'!$J$10:$J$224),0),
IF('TL10'!$B$229=O$3,SUMIF('TL10'!$C$238:$C$451,$C7,'TL10'!$J$238:$J$451),0),
IF('TL11'!$B$3=O$3,SUMIF('TL11'!$C$10:$C$224,$C7,'TL11'!$J$10:$J$224),0),
IF('TL11'!$B$229=O$3,SUMIF('TL11'!$C$238:$C$451,$C7,'TL11'!$J$238:$J$451),0),
IF('TL12'!$B$3=O$3,SUMIF('TL12'!$C$10:$C$224,$C7,'TL12'!$J$10:$J$224),0),
IF('TL12'!$B$229=O$3,SUMIF('TL12'!$C$238:$C$451,$C7,'TL12'!$J$238:$J$451),0),
IF('TL13'!$B$3=O$3,SUMIF('TL13'!$C$10:$C$224,$C7,'TL13'!$J$10:$J$224),0),
IF('TL13'!$B$229=O$3,SUMIF('TL13'!$C$238:$C$451,$C7,'TL13'!$J$238:$J$451),0),
IF('TL14'!$B$3=O$3,SUMIF('TL14'!$C$10:$C$224,$C7,'TL14'!$J$10:$J$224),0),
IF('TL14'!$B$229=O$3,SUMIF('TL14'!$C$238:$C$451,$C7,'TL14'!$J$238:$J$451),0),
IF('TL15'!$B$3=O$3,SUMIF('TL15'!$C$10:$C$224,$C7,'TL15'!$J$10:$J$224),0),
IF('TL15'!$B$229=O$3,SUMIF('TL15'!$C$238:$C$451,$C7,'TL15'!$J$238:$J$451),0),
IF('TL16'!$B$3=O$3,SUMIF('TL16'!$C$10:$C$224,$C7,'TL16'!$J$10:$J$224),0),
IF('TL16'!$B$229=O$3,SUMIF('TL16'!$C$238:$C$451,$C7,'TL16'!$J$238:$J$451),0),
IF('TL17'!$B$3=O$3,SUMIF('TL17'!$C$10:$C$224,$C7,'TL17'!$J$10:$J$224),0),
IF('TL17'!$B$229=O$3,SUMIF('TL17'!$C$238:$C$451,$C7,'TL17'!$J$238:$J$451),0),
IF('TL18'!$B$3=O$3,SUMIF('TL18'!$C$10:$C$224,$C7,'TL18'!$J$10:$J$224),0),
IF('TL18'!$B$229=O$3,SUMIF('TL18'!$C$238:$C$451,$C7,'TL18'!$J$238:$J$451),0),
IF('TL19'!$B$3=O$3,SUMIF('TL19'!$C$10:$C$224,$C7,'TL19'!$J$10:$J$224),0),
IF('TL19'!$B$229=O$3,SUMIF('TL19'!$C$238:$C$451,$C7,'TL19'!$J$238:$J$451),0)
),0)</f>
        <v/>
      </c>
      <c r="P7" s="9">
        <f>IFERROR(SUM(
IF('TL01'!$B$3=P$3,SUMIF('TL01'!$C$10:$C$224,$C7,'TL01'!$J$10:$J$224),0),
IF('TL01'!$B$229=P$3,SUMIF('TL01'!$C$238:$C$451,$C7,'TL01'!$J$238:$J$451),0),
IF('TL02'!$B$3=P$3,SUMIF('TL02'!$C$10:$C$224,$C7,'TL02'!$J$10:$J$224),0),
IF('TL02'!$B$229=P$3,SUMIF('TL02'!$C$238:$C$451,$C7,'TL02'!$J$238:$J$451),0),
IF('TL03'!$B$3=P$3,SUMIF('TL03'!$C$10:$C$224,$C7,'TL03'!$J$10:$J$224),0),
IF('TL03'!$B$229=P$3,SUMIF('TL03'!$C$238:$C$451,$C7,'TL03'!$J$238:$J$451),0),
IF('TL04'!$B$3=P$3,SUMIF('TL04'!$C$10:$C$224,$C7,'TL04'!$J$10:$J$224),0),
IF('TL04'!$B$229=P$3,SUMIF('TL04'!$C$238:$C$451,$C7,'TL04'!$J$238:$J$451),0),
IF('TL05'!$B$3=P$3,SUMIF('TL05'!$C$10:$C$224,$C7,'TL05'!$J$10:$J$224),0),
IF('TL05'!$B$229=P$3,SUMIF('TL05'!$C$238:$C$451,$C7,'TL05'!$J$238:$J$451),0),
IF('TL06'!$B$3=P$3,SUMIF('TL06'!$C$10:$C$224,$C7,'TL06'!$J$10:$J$224),0),
IF('TL06'!$B$229=P$3,SUMIF('TL06'!$C$238:$C$451,$C7,'TL06'!$J$238:$J$451),0),
IF('TL07'!$B$3=P$3,SUMIF('TL07'!$C$10:$C$224,$C7,'TL07'!$J$10:$J$224),0),
IF('TL07'!$B$229=P$3,SUMIF('TL07'!$C$238:$C$451,$C7,'TL07'!$J$238:$J$451),0),
IF('TL08'!$B$3=P$3,SUMIF('TL08'!$C$10:$C$224,$C7,'TL08'!$J$10:$J$224),0),
IF('TL08'!$B$229=P$3,SUMIF('TL08'!$C$238:$C$451,$C7,'TL08'!$J$238:$J$451),0),
IF('TL09'!$B$3=P$3,SUMIF('TL09'!$C$10:$C$224,$C7,'TL09'!$J$10:$J$224),0),
IF('TL09'!$B$229=P$3,SUMIF('TL09'!$C$238:$C$451,$C7,'TL09'!$J$238:$J$451),0),
IF('TL10'!$B$3=P$3,SUMIF('TL10'!$C$10:$C$224,$C7,'TL10'!$J$10:$J$224),0),
IF('TL10'!$B$229=P$3,SUMIF('TL10'!$C$238:$C$451,$C7,'TL10'!$J$238:$J$451),0),
IF('TL11'!$B$3=P$3,SUMIF('TL11'!$C$10:$C$224,$C7,'TL11'!$J$10:$J$224),0),
IF('TL11'!$B$229=P$3,SUMIF('TL11'!$C$238:$C$451,$C7,'TL11'!$J$238:$J$451),0),
IF('TL12'!$B$3=P$3,SUMIF('TL12'!$C$10:$C$224,$C7,'TL12'!$J$10:$J$224),0),
IF('TL12'!$B$229=P$3,SUMIF('TL12'!$C$238:$C$451,$C7,'TL12'!$J$238:$J$451),0),
IF('TL13'!$B$3=P$3,SUMIF('TL13'!$C$10:$C$224,$C7,'TL13'!$J$10:$J$224),0),
IF('TL13'!$B$229=P$3,SUMIF('TL13'!$C$238:$C$451,$C7,'TL13'!$J$238:$J$451),0),
IF('TL14'!$B$3=P$3,SUMIF('TL14'!$C$10:$C$224,$C7,'TL14'!$J$10:$J$224),0),
IF('TL14'!$B$229=P$3,SUMIF('TL14'!$C$238:$C$451,$C7,'TL14'!$J$238:$J$451),0),
IF('TL15'!$B$3=P$3,SUMIF('TL15'!$C$10:$C$224,$C7,'TL15'!$J$10:$J$224),0),
IF('TL15'!$B$229=P$3,SUMIF('TL15'!$C$238:$C$451,$C7,'TL15'!$J$238:$J$451),0),
IF('TL16'!$B$3=P$3,SUMIF('TL16'!$C$10:$C$224,$C7,'TL16'!$J$10:$J$224),0),
IF('TL16'!$B$229=P$3,SUMIF('TL16'!$C$238:$C$451,$C7,'TL16'!$J$238:$J$451),0),
IF('TL17'!$B$3=P$3,SUMIF('TL17'!$C$10:$C$224,$C7,'TL17'!$J$10:$J$224),0),
IF('TL17'!$B$229=P$3,SUMIF('TL17'!$C$238:$C$451,$C7,'TL17'!$J$238:$J$451),0),
IF('TL18'!$B$3=P$3,SUMIF('TL18'!$C$10:$C$224,$C7,'TL18'!$J$10:$J$224),0),
IF('TL18'!$B$229=P$3,SUMIF('TL18'!$C$238:$C$451,$C7,'TL18'!$J$238:$J$451),0),
IF('TL19'!$B$3=P$3,SUMIF('TL19'!$C$10:$C$224,$C7,'TL19'!$J$10:$J$224),0),
IF('TL19'!$B$229=P$3,SUMIF('TL19'!$C$238:$C$451,$C7,'TL19'!$J$238:$J$451),0)
),0)</f>
        <v/>
      </c>
      <c r="Q7" s="9">
        <f>IFERROR(SUM(
IF('TL01'!$B$3=Q$3,SUMIF('TL01'!$C$10:$C$224,$C7,'TL01'!$J$10:$J$224),0),
IF('TL01'!$B$229=Q$3,SUMIF('TL01'!$C$238:$C$451,$C7,'TL01'!$J$238:$J$451),0),
IF('TL02'!$B$3=Q$3,SUMIF('TL02'!$C$10:$C$224,$C7,'TL02'!$J$10:$J$224),0),
IF('TL02'!$B$229=Q$3,SUMIF('TL02'!$C$238:$C$451,$C7,'TL02'!$J$238:$J$451),0),
IF('TL03'!$B$3=Q$3,SUMIF('TL03'!$C$10:$C$224,$C7,'TL03'!$J$10:$J$224),0),
IF('TL03'!$B$229=Q$3,SUMIF('TL03'!$C$238:$C$451,$C7,'TL03'!$J$238:$J$451),0),
IF('TL04'!$B$3=Q$3,SUMIF('TL04'!$C$10:$C$224,$C7,'TL04'!$J$10:$J$224),0),
IF('TL04'!$B$229=Q$3,SUMIF('TL04'!$C$238:$C$451,$C7,'TL04'!$J$238:$J$451),0),
IF('TL05'!$B$3=Q$3,SUMIF('TL05'!$C$10:$C$224,$C7,'TL05'!$J$10:$J$224),0),
IF('TL05'!$B$229=Q$3,SUMIF('TL05'!$C$238:$C$451,$C7,'TL05'!$J$238:$J$451),0),
IF('TL06'!$B$3=Q$3,SUMIF('TL06'!$C$10:$C$224,$C7,'TL06'!$J$10:$J$224),0),
IF('TL06'!$B$229=Q$3,SUMIF('TL06'!$C$238:$C$451,$C7,'TL06'!$J$238:$J$451),0),
IF('TL07'!$B$3=Q$3,SUMIF('TL07'!$C$10:$C$224,$C7,'TL07'!$J$10:$J$224),0),
IF('TL07'!$B$229=Q$3,SUMIF('TL07'!$C$238:$C$451,$C7,'TL07'!$J$238:$J$451),0),
IF('TL08'!$B$3=Q$3,SUMIF('TL08'!$C$10:$C$224,$C7,'TL08'!$J$10:$J$224),0),
IF('TL08'!$B$229=Q$3,SUMIF('TL08'!$C$238:$C$451,$C7,'TL08'!$J$238:$J$451),0),
IF('TL09'!$B$3=Q$3,SUMIF('TL09'!$C$10:$C$224,$C7,'TL09'!$J$10:$J$224),0),
IF('TL09'!$B$229=Q$3,SUMIF('TL09'!$C$238:$C$451,$C7,'TL09'!$J$238:$J$451),0),
IF('TL10'!$B$3=Q$3,SUMIF('TL10'!$C$10:$C$224,$C7,'TL10'!$J$10:$J$224),0),
IF('TL10'!$B$229=Q$3,SUMIF('TL10'!$C$238:$C$451,$C7,'TL10'!$J$238:$J$451),0),
IF('TL11'!$B$3=Q$3,SUMIF('TL11'!$C$10:$C$224,$C7,'TL11'!$J$10:$J$224),0),
IF('TL11'!$B$229=Q$3,SUMIF('TL11'!$C$238:$C$451,$C7,'TL11'!$J$238:$J$451),0),
IF('TL12'!$B$3=Q$3,SUMIF('TL12'!$C$10:$C$224,$C7,'TL12'!$J$10:$J$224),0),
IF('TL12'!$B$229=Q$3,SUMIF('TL12'!$C$238:$C$451,$C7,'TL12'!$J$238:$J$451),0),
IF('TL13'!$B$3=Q$3,SUMIF('TL13'!$C$10:$C$224,$C7,'TL13'!$J$10:$J$224),0),
IF('TL13'!$B$229=Q$3,SUMIF('TL13'!$C$238:$C$451,$C7,'TL13'!$J$238:$J$451),0),
IF('TL14'!$B$3=Q$3,SUMIF('TL14'!$C$10:$C$224,$C7,'TL14'!$J$10:$J$224),0),
IF('TL14'!$B$229=Q$3,SUMIF('TL14'!$C$238:$C$451,$C7,'TL14'!$J$238:$J$451),0),
IF('TL15'!$B$3=Q$3,SUMIF('TL15'!$C$10:$C$224,$C7,'TL15'!$J$10:$J$224),0),
IF('TL15'!$B$229=Q$3,SUMIF('TL15'!$C$238:$C$451,$C7,'TL15'!$J$238:$J$451),0),
IF('TL16'!$B$3=Q$3,SUMIF('TL16'!$C$10:$C$224,$C7,'TL16'!$J$10:$J$224),0),
IF('TL16'!$B$229=Q$3,SUMIF('TL16'!$C$238:$C$451,$C7,'TL16'!$J$238:$J$451),0),
IF('TL17'!$B$3=Q$3,SUMIF('TL17'!$C$10:$C$224,$C7,'TL17'!$J$10:$J$224),0),
IF('TL17'!$B$229=Q$3,SUMIF('TL17'!$C$238:$C$451,$C7,'TL17'!$J$238:$J$451),0),
IF('TL18'!$B$3=Q$3,SUMIF('TL18'!$C$10:$C$224,$C7,'TL18'!$J$10:$J$224),0),
IF('TL18'!$B$229=Q$3,SUMIF('TL18'!$C$238:$C$451,$C7,'TL18'!$J$238:$J$451),0),
IF('TL19'!$B$3=Q$3,SUMIF('TL19'!$C$10:$C$224,$C7,'TL19'!$J$10:$J$224),0),
IF('TL19'!$B$229=Q$3,SUMIF('TL19'!$C$238:$C$451,$C7,'TL19'!$J$238:$J$451),0)
),0)</f>
        <v/>
      </c>
      <c r="R7" s="9">
        <f>IFERROR(
SUM(
SUMIF('TL01'!C:C,C7,'TL01'!J:J),
SUMIF('TL02'!C:C,C7,'TL02'!J:J),
SUMIF('TL03'!C:C,C7,'TL03'!J:J),
SUMIF('TL04'!C:C,C7,'TL04'!J:J),
SUMIF('TL05'!C:C,C7,'TL05'!J:J),
SUMIF('TL06'!C:C,C7,'TL06'!J:J),
SUMIF('TL07'!C:C,C7,'TL07'!J:J),
SUMIF('TL08'!C:C,C7,'TL08'!J:J),
SUMIF('TL09'!C:C,C7,'TL09'!J:J),
SUMIF('TL10'!C:C,C7,'TL10'!J:J),
SUMIF('TL11'!C:C,C7,'TL11'!J:J),
SUMIF('TL12'!C:C,C7,'TL12'!J:J),
SUMIF('TL13'!C:C,C7,'TL13'!J:J),
SUMIF('TL14'!C:C,C7,'TL14'!J:J),
SUMIF('TL15'!C:C,C7,'TL15'!J:J),
SUMIF('TL16'!C:C,C7,'TL16'!J:J),
SUMIF('TL17'!C:C,C7,'TL17'!J:J),
SUMIF('TL18'!C:C,C7,'TL18'!J:J),SUMIF('TL19'!C:C,C7,'TL19'!J:J))
,0)</f>
        <v/>
      </c>
      <c r="S7" s="17">
        <f>IFERROR(__xludf.DUMMYFUNCTION("IFERROR(VLOOKUP(C7,
IMPORTRANGE(""1wULbzX32WdYsx-lj2U3uUNBBe2INVIRDtcK0d-Dvl90"",
""26-27!C:G""),
5,
FALSE),
"""")"),14.843780000000002)</f>
        <v/>
      </c>
      <c r="T7" s="9" t="n"/>
      <c r="U7" s="92">
        <f>MAX(0,R7-T7)</f>
        <v/>
      </c>
      <c r="V7" s="93">
        <f>U7*S7</f>
        <v/>
      </c>
    </row>
    <row r="8" hidden="1" ht="22.5" customHeight="1" s="297">
      <c r="A8" s="87" t="inlineStr">
        <is>
          <t>CORTEVA</t>
        </is>
      </c>
      <c r="B8" s="88" t="inlineStr">
        <is>
          <t>ADJUVANTE</t>
        </is>
      </c>
      <c r="C8" s="89" t="inlineStr">
        <is>
          <t>JOINT ULTRA</t>
        </is>
      </c>
      <c r="D8" s="89" t="inlineStr">
        <is>
          <t>OLEO MINERAL</t>
        </is>
      </c>
      <c r="E8" s="89" t="n">
        <v>761</v>
      </c>
      <c r="F8" s="4" t="inlineStr">
        <is>
          <t>L</t>
        </is>
      </c>
      <c r="G8" s="90">
        <f>HYPERLINK("https://www.google.com/search?q=" &amp; C8 &amp; "+bula+agrofit+pdf", "📄 Ver bula")</f>
        <v/>
      </c>
      <c r="H8" s="9">
        <f>IFERROR(__xludf.DUMMYFUNCTION("IFERROR(VLOOKUP(C8,
IMPORTRANGE(""1wULbzX32WdYsx-lj2U3uUNBBe2INVIRDtcK0d-Dvl90"",
""26-27!C:K""),
8,
FALSE),
"""")"),0.2)</f>
        <v/>
      </c>
      <c r="I8" s="91" t="inlineStr">
        <is>
          <t>1x20</t>
        </is>
      </c>
      <c r="J8" s="9">
        <f>IFERROR(SUM(
IF('TL01'!$B$3=J$3,SUMIF('TL01'!$C$10:$C$224,$C8,'TL01'!$J$10:$J$224),0),
IF('TL01'!$B$229=J$3,SUMIF('TL01'!$C$238:$C$451,$C8,'TL01'!$J$238:$J$451),0),
IF('TL02'!$B$3=J$3,SUMIF('TL02'!$C$10:$C$224,$C8,'TL02'!$J$10:$J$224),0),
IF('TL02'!$B$229=J$3,SUMIF('TL02'!$C$238:$C$451,$C8,'TL02'!$J$238:$J$451),0),
IF('TL03'!$B$3=J$3,SUMIF('TL03'!$C$10:$C$224,$C8,'TL03'!$J$10:$J$224),0),
IF('TL03'!$B$229=J$3,SUMIF('TL03'!$C$238:$C$451,$C8,'TL03'!$J$238:$J$451),0),
IF('TL04'!$B$3=J$3,SUMIF('TL04'!$C$10:$C$224,$C8,'TL04'!$J$10:$J$224),0),
IF('TL04'!$B$229=J$3,SUMIF('TL04'!$C$238:$C$451,$C8,'TL04'!$J$238:$J$451),0),
IF('TL05'!$B$3=J$3,SUMIF('TL05'!$C$10:$C$224,$C8,'TL05'!$J$10:$J$224),0),
IF('TL05'!$B$229=J$3,SUMIF('TL05'!$C$238:$C$451,$C8,'TL05'!$J$238:$J$451),0),
IF('TL06'!$B$3=J$3,SUMIF('TL06'!$C$10:$C$224,$C8,'TL06'!$J$10:$J$224),0),
IF('TL06'!$B$229=J$3,SUMIF('TL06'!$C$238:$C$451,$C8,'TL06'!$J$238:$J$451),0),
IF('TL07'!$B$3=J$3,SUMIF('TL07'!$C$10:$C$224,$C8,'TL07'!$J$10:$J$224),0),
IF('TL07'!$B$229=J$3,SUMIF('TL07'!$C$238:$C$451,$C8,'TL07'!$J$238:$J$451),0),
IF('TL08'!$B$3=J$3,SUMIF('TL08'!$C$10:$C$224,$C8,'TL08'!$J$10:$J$224),0),
IF('TL08'!$B$229=J$3,SUMIF('TL08'!$C$238:$C$451,$C8,'TL08'!$J$238:$J$451),0),
IF('TL09'!$B$3=J$3,SUMIF('TL09'!$C$10:$C$224,$C8,'TL09'!$J$10:$J$224),0),
IF('TL09'!$B$229=J$3,SUMIF('TL09'!$C$238:$C$451,$C8,'TL09'!$J$238:$J$451),0),
IF('TL10'!$B$3=J$3,SUMIF('TL10'!$C$10:$C$224,$C8,'TL10'!$J$10:$J$224),0),
IF('TL10'!$B$229=J$3,SUMIF('TL10'!$C$238:$C$451,$C8,'TL10'!$J$238:$J$451),0),
IF('TL11'!$B$3=J$3,SUMIF('TL11'!$C$10:$C$224,$C8,'TL11'!$J$10:$J$224),0),
IF('TL11'!$B$229=J$3,SUMIF('TL11'!$C$238:$C$451,$C8,'TL11'!$J$238:$J$451),0),
IF('TL12'!$B$3=J$3,SUMIF('TL12'!$C$10:$C$224,$C8,'TL12'!$J$10:$J$224),0),
IF('TL12'!$B$229=J$3,SUMIF('TL12'!$C$238:$C$451,$C8,'TL12'!$J$238:$J$451),0),
IF('TL13'!$B$3=J$3,SUMIF('TL13'!$C$10:$C$224,$C8,'TL13'!$J$10:$J$224),0),
IF('TL13'!$B$229=J$3,SUMIF('TL13'!$C$238:$C$451,$C8,'TL13'!$J$238:$J$451),0),
IF('TL14'!$B$3=J$3,SUMIF('TL14'!$C$10:$C$224,$C8,'TL14'!$J$10:$J$224),0),
IF('TL14'!$B$229=J$3,SUMIF('TL14'!$C$238:$C$451,$C8,'TL14'!$J$238:$J$451),0),
IF('TL15'!$B$3=J$3,SUMIF('TL15'!$C$10:$C$224,$C8,'TL15'!$J$10:$J$224),0),
IF('TL15'!$B$229=J$3,SUMIF('TL15'!$C$238:$C$451,$C8,'TL15'!$J$238:$J$451),0),
IF('TL16'!$B$3=J$3,SUMIF('TL16'!$C$10:$C$224,$C8,'TL16'!$J$10:$J$224),0),
IF('TL16'!$B$229=J$3,SUMIF('TL16'!$C$238:$C$451,$C8,'TL16'!$J$238:$J$451),0),
IF('TL17'!$B$3=J$3,SUMIF('TL17'!$C$10:$C$224,$C8,'TL17'!$J$10:$J$224),0),
IF('TL17'!$B$229=J$3,SUMIF('TL17'!$C$238:$C$451,$C8,'TL17'!$J$238:$J$451),0),
IF('TL18'!$B$3=J$3,SUMIF('TL18'!$C$10:$C$224,$C8,'TL18'!$J$10:$J$224),0),
IF('TL18'!$B$229=J$3,SUMIF('TL18'!$C$238:$C$451,$C8,'TL18'!$J$238:$J$451),0),
IF('TL19'!$B$3=J$3,SUMIF('TL19'!$C$10:$C$224,$C8,'TL19'!$J$10:$J$224),0),
IF('TL19'!$B$229=J$3,SUMIF('TL19'!$C$238:$C$451,$C8,'TL19'!$J$238:$J$451),0)
),0)</f>
        <v/>
      </c>
      <c r="K8" s="9">
        <f>IFERROR(SUM(
IF('TL01'!$B$3=K$3,SUMIF('TL01'!$C$10:$C$224,$C8,'TL01'!$J$10:$J$224),0),
IF('TL01'!$B$229=K$3,SUMIF('TL01'!$C$238:$C$451,$C8,'TL01'!$J$238:$J$451),0),
IF('TL02'!$B$3=K$3,SUMIF('TL02'!$C$10:$C$224,$C8,'TL02'!$J$10:$J$224),0),
IF('TL02'!$B$229=K$3,SUMIF('TL02'!$C$238:$C$451,$C8,'TL02'!$J$238:$J$451),0),
IF('TL03'!$B$3=K$3,SUMIF('TL03'!$C$10:$C$224,$C8,'TL03'!$J$10:$J$224),0),
IF('TL03'!$B$229=K$3,SUMIF('TL03'!$C$238:$C$451,$C8,'TL03'!$J$238:$J$451),0),
IF('TL04'!$B$3=K$3,SUMIF('TL04'!$C$10:$C$224,$C8,'TL04'!$J$10:$J$224),0),
IF('TL04'!$B$229=K$3,SUMIF('TL04'!$C$238:$C$451,$C8,'TL04'!$J$238:$J$451),0),
IF('TL05'!$B$3=K$3,SUMIF('TL05'!$C$10:$C$224,$C8,'TL05'!$J$10:$J$224),0),
IF('TL05'!$B$229=K$3,SUMIF('TL05'!$C$238:$C$451,$C8,'TL05'!$J$238:$J$451),0),
IF('TL06'!$B$3=K$3,SUMIF('TL06'!$C$10:$C$224,$C8,'TL06'!$J$10:$J$224),0),
IF('TL06'!$B$229=K$3,SUMIF('TL06'!$C$238:$C$451,$C8,'TL06'!$J$238:$J$451),0),
IF('TL07'!$B$3=K$3,SUMIF('TL07'!$C$10:$C$224,$C8,'TL07'!$J$10:$J$224),0),
IF('TL07'!$B$229=K$3,SUMIF('TL07'!$C$238:$C$451,$C8,'TL07'!$J$238:$J$451),0),
IF('TL08'!$B$3=K$3,SUMIF('TL08'!$C$10:$C$224,$C8,'TL08'!$J$10:$J$224),0),
IF('TL08'!$B$229=K$3,SUMIF('TL08'!$C$238:$C$451,$C8,'TL08'!$J$238:$J$451),0),
IF('TL09'!$B$3=K$3,SUMIF('TL09'!$C$10:$C$224,$C8,'TL09'!$J$10:$J$224),0),
IF('TL09'!$B$229=K$3,SUMIF('TL09'!$C$238:$C$451,$C8,'TL09'!$J$238:$J$451),0),
IF('TL10'!$B$3=K$3,SUMIF('TL10'!$C$10:$C$224,$C8,'TL10'!$J$10:$J$224),0),
IF('TL10'!$B$229=K$3,SUMIF('TL10'!$C$238:$C$451,$C8,'TL10'!$J$238:$J$451),0),
IF('TL11'!$B$3=K$3,SUMIF('TL11'!$C$10:$C$224,$C8,'TL11'!$J$10:$J$224),0),
IF('TL11'!$B$229=K$3,SUMIF('TL11'!$C$238:$C$451,$C8,'TL11'!$J$238:$J$451),0),
IF('TL12'!$B$3=K$3,SUMIF('TL12'!$C$10:$C$224,$C8,'TL12'!$J$10:$J$224),0),
IF('TL12'!$B$229=K$3,SUMIF('TL12'!$C$238:$C$451,$C8,'TL12'!$J$238:$J$451),0),
IF('TL13'!$B$3=K$3,SUMIF('TL13'!$C$10:$C$224,$C8,'TL13'!$J$10:$J$224),0),
IF('TL13'!$B$229=K$3,SUMIF('TL13'!$C$238:$C$451,$C8,'TL13'!$J$238:$J$451),0),
IF('TL14'!$B$3=K$3,SUMIF('TL14'!$C$10:$C$224,$C8,'TL14'!$J$10:$J$224),0),
IF('TL14'!$B$229=K$3,SUMIF('TL14'!$C$238:$C$451,$C8,'TL14'!$J$238:$J$451),0),
IF('TL15'!$B$3=K$3,SUMIF('TL15'!$C$10:$C$224,$C8,'TL15'!$J$10:$J$224),0),
IF('TL15'!$B$229=K$3,SUMIF('TL15'!$C$238:$C$451,$C8,'TL15'!$J$238:$J$451),0),
IF('TL16'!$B$3=K$3,SUMIF('TL16'!$C$10:$C$224,$C8,'TL16'!$J$10:$J$224),0),
IF('TL16'!$B$229=K$3,SUMIF('TL16'!$C$238:$C$451,$C8,'TL16'!$J$238:$J$451),0),
IF('TL17'!$B$3=K$3,SUMIF('TL17'!$C$10:$C$224,$C8,'TL17'!$J$10:$J$224),0),
IF('TL17'!$B$229=K$3,SUMIF('TL17'!$C$238:$C$451,$C8,'TL17'!$J$238:$J$451),0),
IF('TL18'!$B$3=K$3,SUMIF('TL18'!$C$10:$C$224,$C8,'TL18'!$J$10:$J$224),0),
IF('TL18'!$B$229=K$3,SUMIF('TL18'!$C$238:$C$451,$C8,'TL18'!$J$238:$J$451),0),
IF('TL19'!$B$3=K$3,SUMIF('TL19'!$C$10:$C$224,$C8,'TL19'!$J$10:$J$224),0),
IF('TL19'!$B$229=K$3,SUMIF('TL19'!$C$238:$C$451,$C8,'TL19'!$J$238:$J$451),0)
),0)</f>
        <v/>
      </c>
      <c r="L8" s="9">
        <f>IFERROR(SUM(
IF('TL01'!$B$3=L$3,SUMIF('TL01'!$C$10:$C$224,$C8,'TL01'!$J$10:$J$224),0),
IF('TL01'!$B$229=L$3,SUMIF('TL01'!$C$238:$C$451,$C8,'TL01'!$J$238:$J$451),0),
IF('TL02'!$B$3=L$3,SUMIF('TL02'!$C$10:$C$224,$C8,'TL02'!$J$10:$J$224),0),
IF('TL02'!$B$229=L$3,SUMIF('TL02'!$C$238:$C$451,$C8,'TL02'!$J$238:$J$451),0),
IF('TL03'!$B$3=L$3,SUMIF('TL03'!$C$10:$C$224,$C8,'TL03'!$J$10:$J$224),0),
IF('TL03'!$B$229=L$3,SUMIF('TL03'!$C$238:$C$451,$C8,'TL03'!$J$238:$J$451),0),
IF('TL04'!$B$3=L$3,SUMIF('TL04'!$C$10:$C$224,$C8,'TL04'!$J$10:$J$224),0),
IF('TL04'!$B$229=L$3,SUMIF('TL04'!$C$238:$C$451,$C8,'TL04'!$J$238:$J$451),0),
IF('TL05'!$B$3=L$3,SUMIF('TL05'!$C$10:$C$224,$C8,'TL05'!$J$10:$J$224),0),
IF('TL05'!$B$229=L$3,SUMIF('TL05'!$C$238:$C$451,$C8,'TL05'!$J$238:$J$451),0),
IF('TL06'!$B$3=L$3,SUMIF('TL06'!$C$10:$C$224,$C8,'TL06'!$J$10:$J$224),0),
IF('TL06'!$B$229=L$3,SUMIF('TL06'!$C$238:$C$451,$C8,'TL06'!$J$238:$J$451),0),
IF('TL07'!$B$3=L$3,SUMIF('TL07'!$C$10:$C$224,$C8,'TL07'!$J$10:$J$224),0),
IF('TL07'!$B$229=L$3,SUMIF('TL07'!$C$238:$C$451,$C8,'TL07'!$J$238:$J$451),0),
IF('TL08'!$B$3=L$3,SUMIF('TL08'!$C$10:$C$224,$C8,'TL08'!$J$10:$J$224),0),
IF('TL08'!$B$229=L$3,SUMIF('TL08'!$C$238:$C$451,$C8,'TL08'!$J$238:$J$451),0),
IF('TL09'!$B$3=L$3,SUMIF('TL09'!$C$10:$C$224,$C8,'TL09'!$J$10:$J$224),0),
IF('TL09'!$B$229=L$3,SUMIF('TL09'!$C$238:$C$451,$C8,'TL09'!$J$238:$J$451),0),
IF('TL10'!$B$3=L$3,SUMIF('TL10'!$C$10:$C$224,$C8,'TL10'!$J$10:$J$224),0),
IF('TL10'!$B$229=L$3,SUMIF('TL10'!$C$238:$C$451,$C8,'TL10'!$J$238:$J$451),0),
IF('TL11'!$B$3=L$3,SUMIF('TL11'!$C$10:$C$224,$C8,'TL11'!$J$10:$J$224),0),
IF('TL11'!$B$229=L$3,SUMIF('TL11'!$C$238:$C$451,$C8,'TL11'!$J$238:$J$451),0),
IF('TL12'!$B$3=L$3,SUMIF('TL12'!$C$10:$C$224,$C8,'TL12'!$J$10:$J$224),0),
IF('TL12'!$B$229=L$3,SUMIF('TL12'!$C$238:$C$451,$C8,'TL12'!$J$238:$J$451),0),
IF('TL13'!$B$3=L$3,SUMIF('TL13'!$C$10:$C$224,$C8,'TL13'!$J$10:$J$224),0),
IF('TL13'!$B$229=L$3,SUMIF('TL13'!$C$238:$C$451,$C8,'TL13'!$J$238:$J$451),0),
IF('TL14'!$B$3=L$3,SUMIF('TL14'!$C$10:$C$224,$C8,'TL14'!$J$10:$J$224),0),
IF('TL14'!$B$229=L$3,SUMIF('TL14'!$C$238:$C$451,$C8,'TL14'!$J$238:$J$451),0),
IF('TL15'!$B$3=L$3,SUMIF('TL15'!$C$10:$C$224,$C8,'TL15'!$J$10:$J$224),0),
IF('TL15'!$B$229=L$3,SUMIF('TL15'!$C$238:$C$451,$C8,'TL15'!$J$238:$J$451),0),
IF('TL16'!$B$3=L$3,SUMIF('TL16'!$C$10:$C$224,$C8,'TL16'!$J$10:$J$224),0),
IF('TL16'!$B$229=L$3,SUMIF('TL16'!$C$238:$C$451,$C8,'TL16'!$J$238:$J$451),0),
IF('TL17'!$B$3=L$3,SUMIF('TL17'!$C$10:$C$224,$C8,'TL17'!$J$10:$J$224),0),
IF('TL17'!$B$229=L$3,SUMIF('TL17'!$C$238:$C$451,$C8,'TL17'!$J$238:$J$451),0),
IF('TL18'!$B$3=L$3,SUMIF('TL18'!$C$10:$C$224,$C8,'TL18'!$J$10:$J$224),0),
IF('TL18'!$B$229=L$3,SUMIF('TL18'!$C$238:$C$451,$C8,'TL18'!$J$238:$J$451),0),
IF('TL19'!$B$3=L$3,SUMIF('TL19'!$C$10:$C$224,$C8,'TL19'!$J$10:$J$224),0),
IF('TL19'!$B$229=L$3,SUMIF('TL19'!$C$238:$C$451,$C8,'TL19'!$J$238:$J$451),0)
),0)</f>
        <v/>
      </c>
      <c r="M8" s="9">
        <f>IFERROR(SUM(
IF('TL01'!$B$3=M$3,SUMIF('TL01'!$C$10:$C$224,$C8,'TL01'!$J$10:$J$224),0),
IF('TL01'!$B$229=M$3,SUMIF('TL01'!$C$238:$C$451,$C8,'TL01'!$J$238:$J$451),0),
IF('TL02'!$B$3=M$3,SUMIF('TL02'!$C$10:$C$224,$C8,'TL02'!$J$10:$J$224),0),
IF('TL02'!$B$229=M$3,SUMIF('TL02'!$C$238:$C$451,$C8,'TL02'!$J$238:$J$451),0),
IF('TL03'!$B$3=M$3,SUMIF('TL03'!$C$10:$C$224,$C8,'TL03'!$J$10:$J$224),0),
IF('TL03'!$B$229=M$3,SUMIF('TL03'!$C$238:$C$451,$C8,'TL03'!$J$238:$J$451),0),
IF('TL04'!$B$3=M$3,SUMIF('TL04'!$C$10:$C$224,$C8,'TL04'!$J$10:$J$224),0),
IF('TL04'!$B$229=M$3,SUMIF('TL04'!$C$238:$C$451,$C8,'TL04'!$J$238:$J$451),0),
IF('TL05'!$B$3=M$3,SUMIF('TL05'!$C$10:$C$224,$C8,'TL05'!$J$10:$J$224),0),
IF('TL05'!$B$229=M$3,SUMIF('TL05'!$C$238:$C$451,$C8,'TL05'!$J$238:$J$451),0),
IF('TL06'!$B$3=M$3,SUMIF('TL06'!$C$10:$C$224,$C8,'TL06'!$J$10:$J$224),0),
IF('TL06'!$B$229=M$3,SUMIF('TL06'!$C$238:$C$451,$C8,'TL06'!$J$238:$J$451),0),
IF('TL07'!$B$3=M$3,SUMIF('TL07'!$C$10:$C$224,$C8,'TL07'!$J$10:$J$224),0),
IF('TL07'!$B$229=M$3,SUMIF('TL07'!$C$238:$C$451,$C8,'TL07'!$J$238:$J$451),0),
IF('TL08'!$B$3=M$3,SUMIF('TL08'!$C$10:$C$224,$C8,'TL08'!$J$10:$J$224),0),
IF('TL08'!$B$229=M$3,SUMIF('TL08'!$C$238:$C$451,$C8,'TL08'!$J$238:$J$451),0),
IF('TL09'!$B$3=M$3,SUMIF('TL09'!$C$10:$C$224,$C8,'TL09'!$J$10:$J$224),0),
IF('TL09'!$B$229=M$3,SUMIF('TL09'!$C$238:$C$451,$C8,'TL09'!$J$238:$J$451),0),
IF('TL10'!$B$3=M$3,SUMIF('TL10'!$C$10:$C$224,$C8,'TL10'!$J$10:$J$224),0),
IF('TL10'!$B$229=M$3,SUMIF('TL10'!$C$238:$C$451,$C8,'TL10'!$J$238:$J$451),0),
IF('TL11'!$B$3=M$3,SUMIF('TL11'!$C$10:$C$224,$C8,'TL11'!$J$10:$J$224),0),
IF('TL11'!$B$229=M$3,SUMIF('TL11'!$C$238:$C$451,$C8,'TL11'!$J$238:$J$451),0),
IF('TL12'!$B$3=M$3,SUMIF('TL12'!$C$10:$C$224,$C8,'TL12'!$J$10:$J$224),0),
IF('TL12'!$B$229=M$3,SUMIF('TL12'!$C$238:$C$451,$C8,'TL12'!$J$238:$J$451),0),
IF('TL13'!$B$3=M$3,SUMIF('TL13'!$C$10:$C$224,$C8,'TL13'!$J$10:$J$224),0),
IF('TL13'!$B$229=M$3,SUMIF('TL13'!$C$238:$C$451,$C8,'TL13'!$J$238:$J$451),0),
IF('TL14'!$B$3=M$3,SUMIF('TL14'!$C$10:$C$224,$C8,'TL14'!$J$10:$J$224),0),
IF('TL14'!$B$229=M$3,SUMIF('TL14'!$C$238:$C$451,$C8,'TL14'!$J$238:$J$451),0),
IF('TL15'!$B$3=M$3,SUMIF('TL15'!$C$10:$C$224,$C8,'TL15'!$J$10:$J$224),0),
IF('TL15'!$B$229=M$3,SUMIF('TL15'!$C$238:$C$451,$C8,'TL15'!$J$238:$J$451),0),
IF('TL16'!$B$3=M$3,SUMIF('TL16'!$C$10:$C$224,$C8,'TL16'!$J$10:$J$224),0),
IF('TL16'!$B$229=M$3,SUMIF('TL16'!$C$238:$C$451,$C8,'TL16'!$J$238:$J$451),0),
IF('TL17'!$B$3=M$3,SUMIF('TL17'!$C$10:$C$224,$C8,'TL17'!$J$10:$J$224),0),
IF('TL17'!$B$229=M$3,SUMIF('TL17'!$C$238:$C$451,$C8,'TL17'!$J$238:$J$451),0),
IF('TL18'!$B$3=M$3,SUMIF('TL18'!$C$10:$C$224,$C8,'TL18'!$J$10:$J$224),0),
IF('TL18'!$B$229=M$3,SUMIF('TL18'!$C$238:$C$451,$C8,'TL18'!$J$238:$J$451),0),
IF('TL19'!$B$3=M$3,SUMIF('TL19'!$C$10:$C$224,$C8,'TL19'!$J$10:$J$224),0),
IF('TL19'!$B$229=M$3,SUMIF('TL19'!$C$238:$C$451,$C8,'TL19'!$J$238:$J$451),0)
),0)</f>
        <v/>
      </c>
      <c r="N8" s="9">
        <f>IFERROR(SUM(
IF('TL01'!$B$3=N$3,SUMIF('TL01'!$C$10:$C$224,$C8,'TL01'!$J$10:$J$224),0),
IF('TL01'!$B$229=N$3,SUMIF('TL01'!$C$238:$C$451,$C8,'TL01'!$J$238:$J$451),0),
IF('TL02'!$B$3=N$3,SUMIF('TL02'!$C$10:$C$224,$C8,'TL02'!$J$10:$J$224),0),
IF('TL02'!$B$229=N$3,SUMIF('TL02'!$C$238:$C$451,$C8,'TL02'!$J$238:$J$451),0),
IF('TL03'!$B$3=N$3,SUMIF('TL03'!$C$10:$C$224,$C8,'TL03'!$J$10:$J$224),0),
IF('TL03'!$B$229=N$3,SUMIF('TL03'!$C$238:$C$451,$C8,'TL03'!$J$238:$J$451),0),
IF('TL04'!$B$3=N$3,SUMIF('TL04'!$C$10:$C$224,$C8,'TL04'!$J$10:$J$224),0),
IF('TL04'!$B$229=N$3,SUMIF('TL04'!$C$238:$C$451,$C8,'TL04'!$J$238:$J$451),0),
IF('TL05'!$B$3=N$3,SUMIF('TL05'!$C$10:$C$224,$C8,'TL05'!$J$10:$J$224),0),
IF('TL05'!$B$229=N$3,SUMIF('TL05'!$C$238:$C$451,$C8,'TL05'!$J$238:$J$451),0),
IF('TL06'!$B$3=N$3,SUMIF('TL06'!$C$10:$C$224,$C8,'TL06'!$J$10:$J$224),0),
IF('TL06'!$B$229=N$3,SUMIF('TL06'!$C$238:$C$451,$C8,'TL06'!$J$238:$J$451),0),
IF('TL07'!$B$3=N$3,SUMIF('TL07'!$C$10:$C$224,$C8,'TL07'!$J$10:$J$224),0),
IF('TL07'!$B$229=N$3,SUMIF('TL07'!$C$238:$C$451,$C8,'TL07'!$J$238:$J$451),0),
IF('TL08'!$B$3=N$3,SUMIF('TL08'!$C$10:$C$224,$C8,'TL08'!$J$10:$J$224),0),
IF('TL08'!$B$229=N$3,SUMIF('TL08'!$C$238:$C$451,$C8,'TL08'!$J$238:$J$451),0),
IF('TL09'!$B$3=N$3,SUMIF('TL09'!$C$10:$C$224,$C8,'TL09'!$J$10:$J$224),0),
IF('TL09'!$B$229=N$3,SUMIF('TL09'!$C$238:$C$451,$C8,'TL09'!$J$238:$J$451),0),
IF('TL10'!$B$3=N$3,SUMIF('TL10'!$C$10:$C$224,$C8,'TL10'!$J$10:$J$224),0),
IF('TL10'!$B$229=N$3,SUMIF('TL10'!$C$238:$C$451,$C8,'TL10'!$J$238:$J$451),0),
IF('TL11'!$B$3=N$3,SUMIF('TL11'!$C$10:$C$224,$C8,'TL11'!$J$10:$J$224),0),
IF('TL11'!$B$229=N$3,SUMIF('TL11'!$C$238:$C$451,$C8,'TL11'!$J$238:$J$451),0),
IF('TL12'!$B$3=N$3,SUMIF('TL12'!$C$10:$C$224,$C8,'TL12'!$J$10:$J$224),0),
IF('TL12'!$B$229=N$3,SUMIF('TL12'!$C$238:$C$451,$C8,'TL12'!$J$238:$J$451),0),
IF('TL13'!$B$3=N$3,SUMIF('TL13'!$C$10:$C$224,$C8,'TL13'!$J$10:$J$224),0),
IF('TL13'!$B$229=N$3,SUMIF('TL13'!$C$238:$C$451,$C8,'TL13'!$J$238:$J$451),0),
IF('TL14'!$B$3=N$3,SUMIF('TL14'!$C$10:$C$224,$C8,'TL14'!$J$10:$J$224),0),
IF('TL14'!$B$229=N$3,SUMIF('TL14'!$C$238:$C$451,$C8,'TL14'!$J$238:$J$451),0),
IF('TL15'!$B$3=N$3,SUMIF('TL15'!$C$10:$C$224,$C8,'TL15'!$J$10:$J$224),0),
IF('TL15'!$B$229=N$3,SUMIF('TL15'!$C$238:$C$451,$C8,'TL15'!$J$238:$J$451),0),
IF('TL16'!$B$3=N$3,SUMIF('TL16'!$C$10:$C$224,$C8,'TL16'!$J$10:$J$224),0),
IF('TL16'!$B$229=N$3,SUMIF('TL16'!$C$238:$C$451,$C8,'TL16'!$J$238:$J$451),0),
IF('TL17'!$B$3=N$3,SUMIF('TL17'!$C$10:$C$224,$C8,'TL17'!$J$10:$J$224),0),
IF('TL17'!$B$229=N$3,SUMIF('TL17'!$C$238:$C$451,$C8,'TL17'!$J$238:$J$451),0),
IF('TL18'!$B$3=N$3,SUMIF('TL18'!$C$10:$C$224,$C8,'TL18'!$J$10:$J$224),0),
IF('TL18'!$B$229=N$3,SUMIF('TL18'!$C$238:$C$451,$C8,'TL18'!$J$238:$J$451),0),
IF('TL19'!$B$3=N$3,SUMIF('TL19'!$C$10:$C$224,$C8,'TL19'!$J$10:$J$224),0),
IF('TL19'!$B$229=N$3,SUMIF('TL19'!$C$238:$C$451,$C8,'TL19'!$J$238:$J$451),0)
),0)</f>
        <v/>
      </c>
      <c r="O8" s="9">
        <f>IFERROR(SUM(
IF('TL01'!$B$3=O$3,SUMIF('TL01'!$C$10:$C$224,$C8,'TL01'!$J$10:$J$224),0),
IF('TL01'!$B$229=O$3,SUMIF('TL01'!$C$238:$C$451,$C8,'TL01'!$J$238:$J$451),0),
IF('TL02'!$B$3=O$3,SUMIF('TL02'!$C$10:$C$224,$C8,'TL02'!$J$10:$J$224),0),
IF('TL02'!$B$229=O$3,SUMIF('TL02'!$C$238:$C$451,$C8,'TL02'!$J$238:$J$451),0),
IF('TL03'!$B$3=O$3,SUMIF('TL03'!$C$10:$C$224,$C8,'TL03'!$J$10:$J$224),0),
IF('TL03'!$B$229=O$3,SUMIF('TL03'!$C$238:$C$451,$C8,'TL03'!$J$238:$J$451),0),
IF('TL04'!$B$3=O$3,SUMIF('TL04'!$C$10:$C$224,$C8,'TL04'!$J$10:$J$224),0),
IF('TL04'!$B$229=O$3,SUMIF('TL04'!$C$238:$C$451,$C8,'TL04'!$J$238:$J$451),0),
IF('TL05'!$B$3=O$3,SUMIF('TL05'!$C$10:$C$224,$C8,'TL05'!$J$10:$J$224),0),
IF('TL05'!$B$229=O$3,SUMIF('TL05'!$C$238:$C$451,$C8,'TL05'!$J$238:$J$451),0),
IF('TL06'!$B$3=O$3,SUMIF('TL06'!$C$10:$C$224,$C8,'TL06'!$J$10:$J$224),0),
IF('TL06'!$B$229=O$3,SUMIF('TL06'!$C$238:$C$451,$C8,'TL06'!$J$238:$J$451),0),
IF('TL07'!$B$3=O$3,SUMIF('TL07'!$C$10:$C$224,$C8,'TL07'!$J$10:$J$224),0),
IF('TL07'!$B$229=O$3,SUMIF('TL07'!$C$238:$C$451,$C8,'TL07'!$J$238:$J$451),0),
IF('TL08'!$B$3=O$3,SUMIF('TL08'!$C$10:$C$224,$C8,'TL08'!$J$10:$J$224),0),
IF('TL08'!$B$229=O$3,SUMIF('TL08'!$C$238:$C$451,$C8,'TL08'!$J$238:$J$451),0),
IF('TL09'!$B$3=O$3,SUMIF('TL09'!$C$10:$C$224,$C8,'TL09'!$J$10:$J$224),0),
IF('TL09'!$B$229=O$3,SUMIF('TL09'!$C$238:$C$451,$C8,'TL09'!$J$238:$J$451),0),
IF('TL10'!$B$3=O$3,SUMIF('TL10'!$C$10:$C$224,$C8,'TL10'!$J$10:$J$224),0),
IF('TL10'!$B$229=O$3,SUMIF('TL10'!$C$238:$C$451,$C8,'TL10'!$J$238:$J$451),0),
IF('TL11'!$B$3=O$3,SUMIF('TL11'!$C$10:$C$224,$C8,'TL11'!$J$10:$J$224),0),
IF('TL11'!$B$229=O$3,SUMIF('TL11'!$C$238:$C$451,$C8,'TL11'!$J$238:$J$451),0),
IF('TL12'!$B$3=O$3,SUMIF('TL12'!$C$10:$C$224,$C8,'TL12'!$J$10:$J$224),0),
IF('TL12'!$B$229=O$3,SUMIF('TL12'!$C$238:$C$451,$C8,'TL12'!$J$238:$J$451),0),
IF('TL13'!$B$3=O$3,SUMIF('TL13'!$C$10:$C$224,$C8,'TL13'!$J$10:$J$224),0),
IF('TL13'!$B$229=O$3,SUMIF('TL13'!$C$238:$C$451,$C8,'TL13'!$J$238:$J$451),0),
IF('TL14'!$B$3=O$3,SUMIF('TL14'!$C$10:$C$224,$C8,'TL14'!$J$10:$J$224),0),
IF('TL14'!$B$229=O$3,SUMIF('TL14'!$C$238:$C$451,$C8,'TL14'!$J$238:$J$451),0),
IF('TL15'!$B$3=O$3,SUMIF('TL15'!$C$10:$C$224,$C8,'TL15'!$J$10:$J$224),0),
IF('TL15'!$B$229=O$3,SUMIF('TL15'!$C$238:$C$451,$C8,'TL15'!$J$238:$J$451),0),
IF('TL16'!$B$3=O$3,SUMIF('TL16'!$C$10:$C$224,$C8,'TL16'!$J$10:$J$224),0),
IF('TL16'!$B$229=O$3,SUMIF('TL16'!$C$238:$C$451,$C8,'TL16'!$J$238:$J$451),0),
IF('TL17'!$B$3=O$3,SUMIF('TL17'!$C$10:$C$224,$C8,'TL17'!$J$10:$J$224),0),
IF('TL17'!$B$229=O$3,SUMIF('TL17'!$C$238:$C$451,$C8,'TL17'!$J$238:$J$451),0),
IF('TL18'!$B$3=O$3,SUMIF('TL18'!$C$10:$C$224,$C8,'TL18'!$J$10:$J$224),0),
IF('TL18'!$B$229=O$3,SUMIF('TL18'!$C$238:$C$451,$C8,'TL18'!$J$238:$J$451),0),
IF('TL19'!$B$3=O$3,SUMIF('TL19'!$C$10:$C$224,$C8,'TL19'!$J$10:$J$224),0),
IF('TL19'!$B$229=O$3,SUMIF('TL19'!$C$238:$C$451,$C8,'TL19'!$J$238:$J$451),0)
),0)</f>
        <v/>
      </c>
      <c r="P8" s="9">
        <f>IFERROR(SUM(
IF('TL01'!$B$3=P$3,SUMIF('TL01'!$C$10:$C$224,$C8,'TL01'!$J$10:$J$224),0),
IF('TL01'!$B$229=P$3,SUMIF('TL01'!$C$238:$C$451,$C8,'TL01'!$J$238:$J$451),0),
IF('TL02'!$B$3=P$3,SUMIF('TL02'!$C$10:$C$224,$C8,'TL02'!$J$10:$J$224),0),
IF('TL02'!$B$229=P$3,SUMIF('TL02'!$C$238:$C$451,$C8,'TL02'!$J$238:$J$451),0),
IF('TL03'!$B$3=P$3,SUMIF('TL03'!$C$10:$C$224,$C8,'TL03'!$J$10:$J$224),0),
IF('TL03'!$B$229=P$3,SUMIF('TL03'!$C$238:$C$451,$C8,'TL03'!$J$238:$J$451),0),
IF('TL04'!$B$3=P$3,SUMIF('TL04'!$C$10:$C$224,$C8,'TL04'!$J$10:$J$224),0),
IF('TL04'!$B$229=P$3,SUMIF('TL04'!$C$238:$C$451,$C8,'TL04'!$J$238:$J$451),0),
IF('TL05'!$B$3=P$3,SUMIF('TL05'!$C$10:$C$224,$C8,'TL05'!$J$10:$J$224),0),
IF('TL05'!$B$229=P$3,SUMIF('TL05'!$C$238:$C$451,$C8,'TL05'!$J$238:$J$451),0),
IF('TL06'!$B$3=P$3,SUMIF('TL06'!$C$10:$C$224,$C8,'TL06'!$J$10:$J$224),0),
IF('TL06'!$B$229=P$3,SUMIF('TL06'!$C$238:$C$451,$C8,'TL06'!$J$238:$J$451),0),
IF('TL07'!$B$3=P$3,SUMIF('TL07'!$C$10:$C$224,$C8,'TL07'!$J$10:$J$224),0),
IF('TL07'!$B$229=P$3,SUMIF('TL07'!$C$238:$C$451,$C8,'TL07'!$J$238:$J$451),0),
IF('TL08'!$B$3=P$3,SUMIF('TL08'!$C$10:$C$224,$C8,'TL08'!$J$10:$J$224),0),
IF('TL08'!$B$229=P$3,SUMIF('TL08'!$C$238:$C$451,$C8,'TL08'!$J$238:$J$451),0),
IF('TL09'!$B$3=P$3,SUMIF('TL09'!$C$10:$C$224,$C8,'TL09'!$J$10:$J$224),0),
IF('TL09'!$B$229=P$3,SUMIF('TL09'!$C$238:$C$451,$C8,'TL09'!$J$238:$J$451),0),
IF('TL10'!$B$3=P$3,SUMIF('TL10'!$C$10:$C$224,$C8,'TL10'!$J$10:$J$224),0),
IF('TL10'!$B$229=P$3,SUMIF('TL10'!$C$238:$C$451,$C8,'TL10'!$J$238:$J$451),0),
IF('TL11'!$B$3=P$3,SUMIF('TL11'!$C$10:$C$224,$C8,'TL11'!$J$10:$J$224),0),
IF('TL11'!$B$229=P$3,SUMIF('TL11'!$C$238:$C$451,$C8,'TL11'!$J$238:$J$451),0),
IF('TL12'!$B$3=P$3,SUMIF('TL12'!$C$10:$C$224,$C8,'TL12'!$J$10:$J$224),0),
IF('TL12'!$B$229=P$3,SUMIF('TL12'!$C$238:$C$451,$C8,'TL12'!$J$238:$J$451),0),
IF('TL13'!$B$3=P$3,SUMIF('TL13'!$C$10:$C$224,$C8,'TL13'!$J$10:$J$224),0),
IF('TL13'!$B$229=P$3,SUMIF('TL13'!$C$238:$C$451,$C8,'TL13'!$J$238:$J$451),0),
IF('TL14'!$B$3=P$3,SUMIF('TL14'!$C$10:$C$224,$C8,'TL14'!$J$10:$J$224),0),
IF('TL14'!$B$229=P$3,SUMIF('TL14'!$C$238:$C$451,$C8,'TL14'!$J$238:$J$451),0),
IF('TL15'!$B$3=P$3,SUMIF('TL15'!$C$10:$C$224,$C8,'TL15'!$J$10:$J$224),0),
IF('TL15'!$B$229=P$3,SUMIF('TL15'!$C$238:$C$451,$C8,'TL15'!$J$238:$J$451),0),
IF('TL16'!$B$3=P$3,SUMIF('TL16'!$C$10:$C$224,$C8,'TL16'!$J$10:$J$224),0),
IF('TL16'!$B$229=P$3,SUMIF('TL16'!$C$238:$C$451,$C8,'TL16'!$J$238:$J$451),0),
IF('TL17'!$B$3=P$3,SUMIF('TL17'!$C$10:$C$224,$C8,'TL17'!$J$10:$J$224),0),
IF('TL17'!$B$229=P$3,SUMIF('TL17'!$C$238:$C$451,$C8,'TL17'!$J$238:$J$451),0),
IF('TL18'!$B$3=P$3,SUMIF('TL18'!$C$10:$C$224,$C8,'TL18'!$J$10:$J$224),0),
IF('TL18'!$B$229=P$3,SUMIF('TL18'!$C$238:$C$451,$C8,'TL18'!$J$238:$J$451),0),
IF('TL19'!$B$3=P$3,SUMIF('TL19'!$C$10:$C$224,$C8,'TL19'!$J$10:$J$224),0),
IF('TL19'!$B$229=P$3,SUMIF('TL19'!$C$238:$C$451,$C8,'TL19'!$J$238:$J$451),0)
),0)</f>
        <v/>
      </c>
      <c r="Q8" s="9">
        <f>IFERROR(SUM(
IF('TL01'!$B$3=Q$3,SUMIF('TL01'!$C$10:$C$224,$C8,'TL01'!$J$10:$J$224),0),
IF('TL01'!$B$229=Q$3,SUMIF('TL01'!$C$238:$C$451,$C8,'TL01'!$J$238:$J$451),0),
IF('TL02'!$B$3=Q$3,SUMIF('TL02'!$C$10:$C$224,$C8,'TL02'!$J$10:$J$224),0),
IF('TL02'!$B$229=Q$3,SUMIF('TL02'!$C$238:$C$451,$C8,'TL02'!$J$238:$J$451),0),
IF('TL03'!$B$3=Q$3,SUMIF('TL03'!$C$10:$C$224,$C8,'TL03'!$J$10:$J$224),0),
IF('TL03'!$B$229=Q$3,SUMIF('TL03'!$C$238:$C$451,$C8,'TL03'!$J$238:$J$451),0),
IF('TL04'!$B$3=Q$3,SUMIF('TL04'!$C$10:$C$224,$C8,'TL04'!$J$10:$J$224),0),
IF('TL04'!$B$229=Q$3,SUMIF('TL04'!$C$238:$C$451,$C8,'TL04'!$J$238:$J$451),0),
IF('TL05'!$B$3=Q$3,SUMIF('TL05'!$C$10:$C$224,$C8,'TL05'!$J$10:$J$224),0),
IF('TL05'!$B$229=Q$3,SUMIF('TL05'!$C$238:$C$451,$C8,'TL05'!$J$238:$J$451),0),
IF('TL06'!$B$3=Q$3,SUMIF('TL06'!$C$10:$C$224,$C8,'TL06'!$J$10:$J$224),0),
IF('TL06'!$B$229=Q$3,SUMIF('TL06'!$C$238:$C$451,$C8,'TL06'!$J$238:$J$451),0),
IF('TL07'!$B$3=Q$3,SUMIF('TL07'!$C$10:$C$224,$C8,'TL07'!$J$10:$J$224),0),
IF('TL07'!$B$229=Q$3,SUMIF('TL07'!$C$238:$C$451,$C8,'TL07'!$J$238:$J$451),0),
IF('TL08'!$B$3=Q$3,SUMIF('TL08'!$C$10:$C$224,$C8,'TL08'!$J$10:$J$224),0),
IF('TL08'!$B$229=Q$3,SUMIF('TL08'!$C$238:$C$451,$C8,'TL08'!$J$238:$J$451),0),
IF('TL09'!$B$3=Q$3,SUMIF('TL09'!$C$10:$C$224,$C8,'TL09'!$J$10:$J$224),0),
IF('TL09'!$B$229=Q$3,SUMIF('TL09'!$C$238:$C$451,$C8,'TL09'!$J$238:$J$451),0),
IF('TL10'!$B$3=Q$3,SUMIF('TL10'!$C$10:$C$224,$C8,'TL10'!$J$10:$J$224),0),
IF('TL10'!$B$229=Q$3,SUMIF('TL10'!$C$238:$C$451,$C8,'TL10'!$J$238:$J$451),0),
IF('TL11'!$B$3=Q$3,SUMIF('TL11'!$C$10:$C$224,$C8,'TL11'!$J$10:$J$224),0),
IF('TL11'!$B$229=Q$3,SUMIF('TL11'!$C$238:$C$451,$C8,'TL11'!$J$238:$J$451),0),
IF('TL12'!$B$3=Q$3,SUMIF('TL12'!$C$10:$C$224,$C8,'TL12'!$J$10:$J$224),0),
IF('TL12'!$B$229=Q$3,SUMIF('TL12'!$C$238:$C$451,$C8,'TL12'!$J$238:$J$451),0),
IF('TL13'!$B$3=Q$3,SUMIF('TL13'!$C$10:$C$224,$C8,'TL13'!$J$10:$J$224),0),
IF('TL13'!$B$229=Q$3,SUMIF('TL13'!$C$238:$C$451,$C8,'TL13'!$J$238:$J$451),0),
IF('TL14'!$B$3=Q$3,SUMIF('TL14'!$C$10:$C$224,$C8,'TL14'!$J$10:$J$224),0),
IF('TL14'!$B$229=Q$3,SUMIF('TL14'!$C$238:$C$451,$C8,'TL14'!$J$238:$J$451),0),
IF('TL15'!$B$3=Q$3,SUMIF('TL15'!$C$10:$C$224,$C8,'TL15'!$J$10:$J$224),0),
IF('TL15'!$B$229=Q$3,SUMIF('TL15'!$C$238:$C$451,$C8,'TL15'!$J$238:$J$451),0),
IF('TL16'!$B$3=Q$3,SUMIF('TL16'!$C$10:$C$224,$C8,'TL16'!$J$10:$J$224),0),
IF('TL16'!$B$229=Q$3,SUMIF('TL16'!$C$238:$C$451,$C8,'TL16'!$J$238:$J$451),0),
IF('TL17'!$B$3=Q$3,SUMIF('TL17'!$C$10:$C$224,$C8,'TL17'!$J$10:$J$224),0),
IF('TL17'!$B$229=Q$3,SUMIF('TL17'!$C$238:$C$451,$C8,'TL17'!$J$238:$J$451),0),
IF('TL18'!$B$3=Q$3,SUMIF('TL18'!$C$10:$C$224,$C8,'TL18'!$J$10:$J$224),0),
IF('TL18'!$B$229=Q$3,SUMIF('TL18'!$C$238:$C$451,$C8,'TL18'!$J$238:$J$451),0),
IF('TL19'!$B$3=Q$3,SUMIF('TL19'!$C$10:$C$224,$C8,'TL19'!$J$10:$J$224),0),
IF('TL19'!$B$229=Q$3,SUMIF('TL19'!$C$238:$C$451,$C8,'TL19'!$J$238:$J$451),0)
),0)</f>
        <v/>
      </c>
      <c r="R8" s="9">
        <f>IFERROR(
SUM(
SUMIF('TL01'!C:C,C8,'TL01'!J:J),
SUMIF('TL02'!C:C,C8,'TL02'!J:J),
SUMIF('TL03'!C:C,C8,'TL03'!J:J),
SUMIF('TL04'!C:C,C8,'TL04'!J:J),
SUMIF('TL05'!C:C,C8,'TL05'!J:J),
SUMIF('TL06'!C:C,C8,'TL06'!J:J),
SUMIF('TL07'!C:C,C8,'TL07'!J:J),
SUMIF('TL08'!C:C,C8,'TL08'!J:J),
SUMIF('TL09'!C:C,C8,'TL09'!J:J),
SUMIF('TL10'!C:C,C8,'TL10'!J:J),
SUMIF('TL11'!C:C,C8,'TL11'!J:J),
SUMIF('TL12'!C:C,C8,'TL12'!J:J),
SUMIF('TL13'!C:C,C8,'TL13'!J:J),
SUMIF('TL14'!C:C,C8,'TL14'!J:J),
SUMIF('TL15'!C:C,C8,'TL15'!J:J),
SUMIF('TL16'!C:C,C8,'TL16'!J:J),
SUMIF('TL17'!C:C,C8,'TL17'!J:J),
SUMIF('TL18'!C:C,C8,'TL18'!J:J),SUMIF('TL19'!C:C,C8,'TL19'!J:J))
,0)</f>
        <v/>
      </c>
      <c r="S8" s="17">
        <f>IFERROR(__xludf.DUMMYFUNCTION("IFERROR(VLOOKUP(C8,
IMPORTRANGE(""1wULbzX32WdYsx-lj2U3uUNBBe2INVIRDtcK0d-Dvl90"",
""26-27!C:G""),
5,
FALSE),
"""")"),16.03)</f>
        <v/>
      </c>
      <c r="T8" s="9" t="n"/>
      <c r="U8" s="92">
        <f>MAX(0,R8-T8)</f>
        <v/>
      </c>
      <c r="V8" s="93">
        <f>U8*S8</f>
        <v/>
      </c>
    </row>
    <row r="9" hidden="1" ht="22.5" customHeight="1" s="297">
      <c r="A9" s="94" t="inlineStr">
        <is>
          <t>SUMITOMO</t>
        </is>
      </c>
      <c r="B9" s="95" t="inlineStr">
        <is>
          <t>ADJUVANTE</t>
        </is>
      </c>
      <c r="C9" s="96" t="inlineStr">
        <is>
          <t>ADGREEN</t>
        </is>
      </c>
      <c r="D9" s="96" t="inlineStr">
        <is>
          <t>ESTER METILICO DE SOJA</t>
        </is>
      </c>
      <c r="E9" s="96" t="n">
        <v>660</v>
      </c>
      <c r="F9" s="4" t="inlineStr">
        <is>
          <t>L</t>
        </is>
      </c>
      <c r="G9" s="90">
        <f>HYPERLINK("https://www.google.com/search?q=" &amp; C9 &amp; "+bula+agrofit+pdf", "📄 Ver bula")</f>
        <v/>
      </c>
      <c r="H9" s="9">
        <f>IFERROR(__xludf.DUMMYFUNCTION("IFERROR(VLOOKUP(C9,
IMPORTRANGE(""1wULbzX32WdYsx-lj2U3uUNBBe2INVIRDtcK0d-Dvl90"",
""26-27!C:K""),
8,
FALSE),
"""")"),0.2)</f>
        <v/>
      </c>
      <c r="I9" s="97" t="inlineStr">
        <is>
          <t>1x20</t>
        </is>
      </c>
      <c r="J9" s="9">
        <f>IFERROR(SUM(
IF('TL01'!$B$3=J$3,SUMIF('TL01'!$C$10:$C$224,$C9,'TL01'!$J$10:$J$224),0),
IF('TL01'!$B$229=J$3,SUMIF('TL01'!$C$238:$C$451,$C9,'TL01'!$J$238:$J$451),0),
IF('TL02'!$B$3=J$3,SUMIF('TL02'!$C$10:$C$224,$C9,'TL02'!$J$10:$J$224),0),
IF('TL02'!$B$229=J$3,SUMIF('TL02'!$C$238:$C$451,$C9,'TL02'!$J$238:$J$451),0),
IF('TL03'!$B$3=J$3,SUMIF('TL03'!$C$10:$C$224,$C9,'TL03'!$J$10:$J$224),0),
IF('TL03'!$B$229=J$3,SUMIF('TL03'!$C$238:$C$451,$C9,'TL03'!$J$238:$J$451),0),
IF('TL04'!$B$3=J$3,SUMIF('TL04'!$C$10:$C$224,$C9,'TL04'!$J$10:$J$224),0),
IF('TL04'!$B$229=J$3,SUMIF('TL04'!$C$238:$C$451,$C9,'TL04'!$J$238:$J$451),0),
IF('TL05'!$B$3=J$3,SUMIF('TL05'!$C$10:$C$224,$C9,'TL05'!$J$10:$J$224),0),
IF('TL05'!$B$229=J$3,SUMIF('TL05'!$C$238:$C$451,$C9,'TL05'!$J$238:$J$451),0),
IF('TL06'!$B$3=J$3,SUMIF('TL06'!$C$10:$C$224,$C9,'TL06'!$J$10:$J$224),0),
IF('TL06'!$B$229=J$3,SUMIF('TL06'!$C$238:$C$451,$C9,'TL06'!$J$238:$J$451),0),
IF('TL07'!$B$3=J$3,SUMIF('TL07'!$C$10:$C$224,$C9,'TL07'!$J$10:$J$224),0),
IF('TL07'!$B$229=J$3,SUMIF('TL07'!$C$238:$C$451,$C9,'TL07'!$J$238:$J$451),0),
IF('TL08'!$B$3=J$3,SUMIF('TL08'!$C$10:$C$224,$C9,'TL08'!$J$10:$J$224),0),
IF('TL08'!$B$229=J$3,SUMIF('TL08'!$C$238:$C$451,$C9,'TL08'!$J$238:$J$451),0),
IF('TL09'!$B$3=J$3,SUMIF('TL09'!$C$10:$C$224,$C9,'TL09'!$J$10:$J$224),0),
IF('TL09'!$B$229=J$3,SUMIF('TL09'!$C$238:$C$451,$C9,'TL09'!$J$238:$J$451),0),
IF('TL10'!$B$3=J$3,SUMIF('TL10'!$C$10:$C$224,$C9,'TL10'!$J$10:$J$224),0),
IF('TL10'!$B$229=J$3,SUMIF('TL10'!$C$238:$C$451,$C9,'TL10'!$J$238:$J$451),0),
IF('TL11'!$B$3=J$3,SUMIF('TL11'!$C$10:$C$224,$C9,'TL11'!$J$10:$J$224),0),
IF('TL11'!$B$229=J$3,SUMIF('TL11'!$C$238:$C$451,$C9,'TL11'!$J$238:$J$451),0),
IF('TL12'!$B$3=J$3,SUMIF('TL12'!$C$10:$C$224,$C9,'TL12'!$J$10:$J$224),0),
IF('TL12'!$B$229=J$3,SUMIF('TL12'!$C$238:$C$451,$C9,'TL12'!$J$238:$J$451),0),
IF('TL13'!$B$3=J$3,SUMIF('TL13'!$C$10:$C$224,$C9,'TL13'!$J$10:$J$224),0),
IF('TL13'!$B$229=J$3,SUMIF('TL13'!$C$238:$C$451,$C9,'TL13'!$J$238:$J$451),0),
IF('TL14'!$B$3=J$3,SUMIF('TL14'!$C$10:$C$224,$C9,'TL14'!$J$10:$J$224),0),
IF('TL14'!$B$229=J$3,SUMIF('TL14'!$C$238:$C$451,$C9,'TL14'!$J$238:$J$451),0),
IF('TL15'!$B$3=J$3,SUMIF('TL15'!$C$10:$C$224,$C9,'TL15'!$J$10:$J$224),0),
IF('TL15'!$B$229=J$3,SUMIF('TL15'!$C$238:$C$451,$C9,'TL15'!$J$238:$J$451),0),
IF('TL16'!$B$3=J$3,SUMIF('TL16'!$C$10:$C$224,$C9,'TL16'!$J$10:$J$224),0),
IF('TL16'!$B$229=J$3,SUMIF('TL16'!$C$238:$C$451,$C9,'TL16'!$J$238:$J$451),0),
IF('TL17'!$B$3=J$3,SUMIF('TL17'!$C$10:$C$224,$C9,'TL17'!$J$10:$J$224),0),
IF('TL17'!$B$229=J$3,SUMIF('TL17'!$C$238:$C$451,$C9,'TL17'!$J$238:$J$451),0),
IF('TL18'!$B$3=J$3,SUMIF('TL18'!$C$10:$C$224,$C9,'TL18'!$J$10:$J$224),0),
IF('TL18'!$B$229=J$3,SUMIF('TL18'!$C$238:$C$451,$C9,'TL18'!$J$238:$J$451),0),
IF('TL19'!$B$3=J$3,SUMIF('TL19'!$C$10:$C$224,$C9,'TL19'!$J$10:$J$224),0),
IF('TL19'!$B$229=J$3,SUMIF('TL19'!$C$238:$C$451,$C9,'TL19'!$J$238:$J$451),0)
),0)</f>
        <v/>
      </c>
      <c r="K9" s="9">
        <f>IFERROR(SUM(
IF('TL01'!$B$3=K$3,SUMIF('TL01'!$C$10:$C$224,$C9,'TL01'!$J$10:$J$224),0),
IF('TL01'!$B$229=K$3,SUMIF('TL01'!$C$238:$C$451,$C9,'TL01'!$J$238:$J$451),0),
IF('TL02'!$B$3=K$3,SUMIF('TL02'!$C$10:$C$224,$C9,'TL02'!$J$10:$J$224),0),
IF('TL02'!$B$229=K$3,SUMIF('TL02'!$C$238:$C$451,$C9,'TL02'!$J$238:$J$451),0),
IF('TL03'!$B$3=K$3,SUMIF('TL03'!$C$10:$C$224,$C9,'TL03'!$J$10:$J$224),0),
IF('TL03'!$B$229=K$3,SUMIF('TL03'!$C$238:$C$451,$C9,'TL03'!$J$238:$J$451),0),
IF('TL04'!$B$3=K$3,SUMIF('TL04'!$C$10:$C$224,$C9,'TL04'!$J$10:$J$224),0),
IF('TL04'!$B$229=K$3,SUMIF('TL04'!$C$238:$C$451,$C9,'TL04'!$J$238:$J$451),0),
IF('TL05'!$B$3=K$3,SUMIF('TL05'!$C$10:$C$224,$C9,'TL05'!$J$10:$J$224),0),
IF('TL05'!$B$229=K$3,SUMIF('TL05'!$C$238:$C$451,$C9,'TL05'!$J$238:$J$451),0),
IF('TL06'!$B$3=K$3,SUMIF('TL06'!$C$10:$C$224,$C9,'TL06'!$J$10:$J$224),0),
IF('TL06'!$B$229=K$3,SUMIF('TL06'!$C$238:$C$451,$C9,'TL06'!$J$238:$J$451),0),
IF('TL07'!$B$3=K$3,SUMIF('TL07'!$C$10:$C$224,$C9,'TL07'!$J$10:$J$224),0),
IF('TL07'!$B$229=K$3,SUMIF('TL07'!$C$238:$C$451,$C9,'TL07'!$J$238:$J$451),0),
IF('TL08'!$B$3=K$3,SUMIF('TL08'!$C$10:$C$224,$C9,'TL08'!$J$10:$J$224),0),
IF('TL08'!$B$229=K$3,SUMIF('TL08'!$C$238:$C$451,$C9,'TL08'!$J$238:$J$451),0),
IF('TL09'!$B$3=K$3,SUMIF('TL09'!$C$10:$C$224,$C9,'TL09'!$J$10:$J$224),0),
IF('TL09'!$B$229=K$3,SUMIF('TL09'!$C$238:$C$451,$C9,'TL09'!$J$238:$J$451),0),
IF('TL10'!$B$3=K$3,SUMIF('TL10'!$C$10:$C$224,$C9,'TL10'!$J$10:$J$224),0),
IF('TL10'!$B$229=K$3,SUMIF('TL10'!$C$238:$C$451,$C9,'TL10'!$J$238:$J$451),0),
IF('TL11'!$B$3=K$3,SUMIF('TL11'!$C$10:$C$224,$C9,'TL11'!$J$10:$J$224),0),
IF('TL11'!$B$229=K$3,SUMIF('TL11'!$C$238:$C$451,$C9,'TL11'!$J$238:$J$451),0),
IF('TL12'!$B$3=K$3,SUMIF('TL12'!$C$10:$C$224,$C9,'TL12'!$J$10:$J$224),0),
IF('TL12'!$B$229=K$3,SUMIF('TL12'!$C$238:$C$451,$C9,'TL12'!$J$238:$J$451),0),
IF('TL13'!$B$3=K$3,SUMIF('TL13'!$C$10:$C$224,$C9,'TL13'!$J$10:$J$224),0),
IF('TL13'!$B$229=K$3,SUMIF('TL13'!$C$238:$C$451,$C9,'TL13'!$J$238:$J$451),0),
IF('TL14'!$B$3=K$3,SUMIF('TL14'!$C$10:$C$224,$C9,'TL14'!$J$10:$J$224),0),
IF('TL14'!$B$229=K$3,SUMIF('TL14'!$C$238:$C$451,$C9,'TL14'!$J$238:$J$451),0),
IF('TL15'!$B$3=K$3,SUMIF('TL15'!$C$10:$C$224,$C9,'TL15'!$J$10:$J$224),0),
IF('TL15'!$B$229=K$3,SUMIF('TL15'!$C$238:$C$451,$C9,'TL15'!$J$238:$J$451),0),
IF('TL16'!$B$3=K$3,SUMIF('TL16'!$C$10:$C$224,$C9,'TL16'!$J$10:$J$224),0),
IF('TL16'!$B$229=K$3,SUMIF('TL16'!$C$238:$C$451,$C9,'TL16'!$J$238:$J$451),0),
IF('TL17'!$B$3=K$3,SUMIF('TL17'!$C$10:$C$224,$C9,'TL17'!$J$10:$J$224),0),
IF('TL17'!$B$229=K$3,SUMIF('TL17'!$C$238:$C$451,$C9,'TL17'!$J$238:$J$451),0),
IF('TL18'!$B$3=K$3,SUMIF('TL18'!$C$10:$C$224,$C9,'TL18'!$J$10:$J$224),0),
IF('TL18'!$B$229=K$3,SUMIF('TL18'!$C$238:$C$451,$C9,'TL18'!$J$238:$J$451),0),
IF('TL19'!$B$3=K$3,SUMIF('TL19'!$C$10:$C$224,$C9,'TL19'!$J$10:$J$224),0),
IF('TL19'!$B$229=K$3,SUMIF('TL19'!$C$238:$C$451,$C9,'TL19'!$J$238:$J$451),0)
),0)</f>
        <v/>
      </c>
      <c r="L9" s="9">
        <f>IFERROR(SUM(
IF('TL01'!$B$3=L$3,SUMIF('TL01'!$C$10:$C$224,$C9,'TL01'!$J$10:$J$224),0),
IF('TL01'!$B$229=L$3,SUMIF('TL01'!$C$238:$C$451,$C9,'TL01'!$J$238:$J$451),0),
IF('TL02'!$B$3=L$3,SUMIF('TL02'!$C$10:$C$224,$C9,'TL02'!$J$10:$J$224),0),
IF('TL02'!$B$229=L$3,SUMIF('TL02'!$C$238:$C$451,$C9,'TL02'!$J$238:$J$451),0),
IF('TL03'!$B$3=L$3,SUMIF('TL03'!$C$10:$C$224,$C9,'TL03'!$J$10:$J$224),0),
IF('TL03'!$B$229=L$3,SUMIF('TL03'!$C$238:$C$451,$C9,'TL03'!$J$238:$J$451),0),
IF('TL04'!$B$3=L$3,SUMIF('TL04'!$C$10:$C$224,$C9,'TL04'!$J$10:$J$224),0),
IF('TL04'!$B$229=L$3,SUMIF('TL04'!$C$238:$C$451,$C9,'TL04'!$J$238:$J$451),0),
IF('TL05'!$B$3=L$3,SUMIF('TL05'!$C$10:$C$224,$C9,'TL05'!$J$10:$J$224),0),
IF('TL05'!$B$229=L$3,SUMIF('TL05'!$C$238:$C$451,$C9,'TL05'!$J$238:$J$451),0),
IF('TL06'!$B$3=L$3,SUMIF('TL06'!$C$10:$C$224,$C9,'TL06'!$J$10:$J$224),0),
IF('TL06'!$B$229=L$3,SUMIF('TL06'!$C$238:$C$451,$C9,'TL06'!$J$238:$J$451),0),
IF('TL07'!$B$3=L$3,SUMIF('TL07'!$C$10:$C$224,$C9,'TL07'!$J$10:$J$224),0),
IF('TL07'!$B$229=L$3,SUMIF('TL07'!$C$238:$C$451,$C9,'TL07'!$J$238:$J$451),0),
IF('TL08'!$B$3=L$3,SUMIF('TL08'!$C$10:$C$224,$C9,'TL08'!$J$10:$J$224),0),
IF('TL08'!$B$229=L$3,SUMIF('TL08'!$C$238:$C$451,$C9,'TL08'!$J$238:$J$451),0),
IF('TL09'!$B$3=L$3,SUMIF('TL09'!$C$10:$C$224,$C9,'TL09'!$J$10:$J$224),0),
IF('TL09'!$B$229=L$3,SUMIF('TL09'!$C$238:$C$451,$C9,'TL09'!$J$238:$J$451),0),
IF('TL10'!$B$3=L$3,SUMIF('TL10'!$C$10:$C$224,$C9,'TL10'!$J$10:$J$224),0),
IF('TL10'!$B$229=L$3,SUMIF('TL10'!$C$238:$C$451,$C9,'TL10'!$J$238:$J$451),0),
IF('TL11'!$B$3=L$3,SUMIF('TL11'!$C$10:$C$224,$C9,'TL11'!$J$10:$J$224),0),
IF('TL11'!$B$229=L$3,SUMIF('TL11'!$C$238:$C$451,$C9,'TL11'!$J$238:$J$451),0),
IF('TL12'!$B$3=L$3,SUMIF('TL12'!$C$10:$C$224,$C9,'TL12'!$J$10:$J$224),0),
IF('TL12'!$B$229=L$3,SUMIF('TL12'!$C$238:$C$451,$C9,'TL12'!$J$238:$J$451),0),
IF('TL13'!$B$3=L$3,SUMIF('TL13'!$C$10:$C$224,$C9,'TL13'!$J$10:$J$224),0),
IF('TL13'!$B$229=L$3,SUMIF('TL13'!$C$238:$C$451,$C9,'TL13'!$J$238:$J$451),0),
IF('TL14'!$B$3=L$3,SUMIF('TL14'!$C$10:$C$224,$C9,'TL14'!$J$10:$J$224),0),
IF('TL14'!$B$229=L$3,SUMIF('TL14'!$C$238:$C$451,$C9,'TL14'!$J$238:$J$451),0),
IF('TL15'!$B$3=L$3,SUMIF('TL15'!$C$10:$C$224,$C9,'TL15'!$J$10:$J$224),0),
IF('TL15'!$B$229=L$3,SUMIF('TL15'!$C$238:$C$451,$C9,'TL15'!$J$238:$J$451),0),
IF('TL16'!$B$3=L$3,SUMIF('TL16'!$C$10:$C$224,$C9,'TL16'!$J$10:$J$224),0),
IF('TL16'!$B$229=L$3,SUMIF('TL16'!$C$238:$C$451,$C9,'TL16'!$J$238:$J$451),0),
IF('TL17'!$B$3=L$3,SUMIF('TL17'!$C$10:$C$224,$C9,'TL17'!$J$10:$J$224),0),
IF('TL17'!$B$229=L$3,SUMIF('TL17'!$C$238:$C$451,$C9,'TL17'!$J$238:$J$451),0),
IF('TL18'!$B$3=L$3,SUMIF('TL18'!$C$10:$C$224,$C9,'TL18'!$J$10:$J$224),0),
IF('TL18'!$B$229=L$3,SUMIF('TL18'!$C$238:$C$451,$C9,'TL18'!$J$238:$J$451),0),
IF('TL19'!$B$3=L$3,SUMIF('TL19'!$C$10:$C$224,$C9,'TL19'!$J$10:$J$224),0),
IF('TL19'!$B$229=L$3,SUMIF('TL19'!$C$238:$C$451,$C9,'TL19'!$J$238:$J$451),0)
),0)</f>
        <v/>
      </c>
      <c r="M9" s="9">
        <f>IFERROR(SUM(
IF('TL01'!$B$3=M$3,SUMIF('TL01'!$C$10:$C$224,$C9,'TL01'!$J$10:$J$224),0),
IF('TL01'!$B$229=M$3,SUMIF('TL01'!$C$238:$C$451,$C9,'TL01'!$J$238:$J$451),0),
IF('TL02'!$B$3=M$3,SUMIF('TL02'!$C$10:$C$224,$C9,'TL02'!$J$10:$J$224),0),
IF('TL02'!$B$229=M$3,SUMIF('TL02'!$C$238:$C$451,$C9,'TL02'!$J$238:$J$451),0),
IF('TL03'!$B$3=M$3,SUMIF('TL03'!$C$10:$C$224,$C9,'TL03'!$J$10:$J$224),0),
IF('TL03'!$B$229=M$3,SUMIF('TL03'!$C$238:$C$451,$C9,'TL03'!$J$238:$J$451),0),
IF('TL04'!$B$3=M$3,SUMIF('TL04'!$C$10:$C$224,$C9,'TL04'!$J$10:$J$224),0),
IF('TL04'!$B$229=M$3,SUMIF('TL04'!$C$238:$C$451,$C9,'TL04'!$J$238:$J$451),0),
IF('TL05'!$B$3=M$3,SUMIF('TL05'!$C$10:$C$224,$C9,'TL05'!$J$10:$J$224),0),
IF('TL05'!$B$229=M$3,SUMIF('TL05'!$C$238:$C$451,$C9,'TL05'!$J$238:$J$451),0),
IF('TL06'!$B$3=M$3,SUMIF('TL06'!$C$10:$C$224,$C9,'TL06'!$J$10:$J$224),0),
IF('TL06'!$B$229=M$3,SUMIF('TL06'!$C$238:$C$451,$C9,'TL06'!$J$238:$J$451),0),
IF('TL07'!$B$3=M$3,SUMIF('TL07'!$C$10:$C$224,$C9,'TL07'!$J$10:$J$224),0),
IF('TL07'!$B$229=M$3,SUMIF('TL07'!$C$238:$C$451,$C9,'TL07'!$J$238:$J$451),0),
IF('TL08'!$B$3=M$3,SUMIF('TL08'!$C$10:$C$224,$C9,'TL08'!$J$10:$J$224),0),
IF('TL08'!$B$229=M$3,SUMIF('TL08'!$C$238:$C$451,$C9,'TL08'!$J$238:$J$451),0),
IF('TL09'!$B$3=M$3,SUMIF('TL09'!$C$10:$C$224,$C9,'TL09'!$J$10:$J$224),0),
IF('TL09'!$B$229=M$3,SUMIF('TL09'!$C$238:$C$451,$C9,'TL09'!$J$238:$J$451),0),
IF('TL10'!$B$3=M$3,SUMIF('TL10'!$C$10:$C$224,$C9,'TL10'!$J$10:$J$224),0),
IF('TL10'!$B$229=M$3,SUMIF('TL10'!$C$238:$C$451,$C9,'TL10'!$J$238:$J$451),0),
IF('TL11'!$B$3=M$3,SUMIF('TL11'!$C$10:$C$224,$C9,'TL11'!$J$10:$J$224),0),
IF('TL11'!$B$229=M$3,SUMIF('TL11'!$C$238:$C$451,$C9,'TL11'!$J$238:$J$451),0),
IF('TL12'!$B$3=M$3,SUMIF('TL12'!$C$10:$C$224,$C9,'TL12'!$J$10:$J$224),0),
IF('TL12'!$B$229=M$3,SUMIF('TL12'!$C$238:$C$451,$C9,'TL12'!$J$238:$J$451),0),
IF('TL13'!$B$3=M$3,SUMIF('TL13'!$C$10:$C$224,$C9,'TL13'!$J$10:$J$224),0),
IF('TL13'!$B$229=M$3,SUMIF('TL13'!$C$238:$C$451,$C9,'TL13'!$J$238:$J$451),0),
IF('TL14'!$B$3=M$3,SUMIF('TL14'!$C$10:$C$224,$C9,'TL14'!$J$10:$J$224),0),
IF('TL14'!$B$229=M$3,SUMIF('TL14'!$C$238:$C$451,$C9,'TL14'!$J$238:$J$451),0),
IF('TL15'!$B$3=M$3,SUMIF('TL15'!$C$10:$C$224,$C9,'TL15'!$J$10:$J$224),0),
IF('TL15'!$B$229=M$3,SUMIF('TL15'!$C$238:$C$451,$C9,'TL15'!$J$238:$J$451),0),
IF('TL16'!$B$3=M$3,SUMIF('TL16'!$C$10:$C$224,$C9,'TL16'!$J$10:$J$224),0),
IF('TL16'!$B$229=M$3,SUMIF('TL16'!$C$238:$C$451,$C9,'TL16'!$J$238:$J$451),0),
IF('TL17'!$B$3=M$3,SUMIF('TL17'!$C$10:$C$224,$C9,'TL17'!$J$10:$J$224),0),
IF('TL17'!$B$229=M$3,SUMIF('TL17'!$C$238:$C$451,$C9,'TL17'!$J$238:$J$451),0),
IF('TL18'!$B$3=M$3,SUMIF('TL18'!$C$10:$C$224,$C9,'TL18'!$J$10:$J$224),0),
IF('TL18'!$B$229=M$3,SUMIF('TL18'!$C$238:$C$451,$C9,'TL18'!$J$238:$J$451),0),
IF('TL19'!$B$3=M$3,SUMIF('TL19'!$C$10:$C$224,$C9,'TL19'!$J$10:$J$224),0),
IF('TL19'!$B$229=M$3,SUMIF('TL19'!$C$238:$C$451,$C9,'TL19'!$J$238:$J$451),0)
),0)</f>
        <v/>
      </c>
      <c r="N9" s="9">
        <f>IFERROR(SUM(
IF('TL01'!$B$3=N$3,SUMIF('TL01'!$C$10:$C$224,$C9,'TL01'!$J$10:$J$224),0),
IF('TL01'!$B$229=N$3,SUMIF('TL01'!$C$238:$C$451,$C9,'TL01'!$J$238:$J$451),0),
IF('TL02'!$B$3=N$3,SUMIF('TL02'!$C$10:$C$224,$C9,'TL02'!$J$10:$J$224),0),
IF('TL02'!$B$229=N$3,SUMIF('TL02'!$C$238:$C$451,$C9,'TL02'!$J$238:$J$451),0),
IF('TL03'!$B$3=N$3,SUMIF('TL03'!$C$10:$C$224,$C9,'TL03'!$J$10:$J$224),0),
IF('TL03'!$B$229=N$3,SUMIF('TL03'!$C$238:$C$451,$C9,'TL03'!$J$238:$J$451),0),
IF('TL04'!$B$3=N$3,SUMIF('TL04'!$C$10:$C$224,$C9,'TL04'!$J$10:$J$224),0),
IF('TL04'!$B$229=N$3,SUMIF('TL04'!$C$238:$C$451,$C9,'TL04'!$J$238:$J$451),0),
IF('TL05'!$B$3=N$3,SUMIF('TL05'!$C$10:$C$224,$C9,'TL05'!$J$10:$J$224),0),
IF('TL05'!$B$229=N$3,SUMIF('TL05'!$C$238:$C$451,$C9,'TL05'!$J$238:$J$451),0),
IF('TL06'!$B$3=N$3,SUMIF('TL06'!$C$10:$C$224,$C9,'TL06'!$J$10:$J$224),0),
IF('TL06'!$B$229=N$3,SUMIF('TL06'!$C$238:$C$451,$C9,'TL06'!$J$238:$J$451),0),
IF('TL07'!$B$3=N$3,SUMIF('TL07'!$C$10:$C$224,$C9,'TL07'!$J$10:$J$224),0),
IF('TL07'!$B$229=N$3,SUMIF('TL07'!$C$238:$C$451,$C9,'TL07'!$J$238:$J$451),0),
IF('TL08'!$B$3=N$3,SUMIF('TL08'!$C$10:$C$224,$C9,'TL08'!$J$10:$J$224),0),
IF('TL08'!$B$229=N$3,SUMIF('TL08'!$C$238:$C$451,$C9,'TL08'!$J$238:$J$451),0),
IF('TL09'!$B$3=N$3,SUMIF('TL09'!$C$10:$C$224,$C9,'TL09'!$J$10:$J$224),0),
IF('TL09'!$B$229=N$3,SUMIF('TL09'!$C$238:$C$451,$C9,'TL09'!$J$238:$J$451),0),
IF('TL10'!$B$3=N$3,SUMIF('TL10'!$C$10:$C$224,$C9,'TL10'!$J$10:$J$224),0),
IF('TL10'!$B$229=N$3,SUMIF('TL10'!$C$238:$C$451,$C9,'TL10'!$J$238:$J$451),0),
IF('TL11'!$B$3=N$3,SUMIF('TL11'!$C$10:$C$224,$C9,'TL11'!$J$10:$J$224),0),
IF('TL11'!$B$229=N$3,SUMIF('TL11'!$C$238:$C$451,$C9,'TL11'!$J$238:$J$451),0),
IF('TL12'!$B$3=N$3,SUMIF('TL12'!$C$10:$C$224,$C9,'TL12'!$J$10:$J$224),0),
IF('TL12'!$B$229=N$3,SUMIF('TL12'!$C$238:$C$451,$C9,'TL12'!$J$238:$J$451),0),
IF('TL13'!$B$3=N$3,SUMIF('TL13'!$C$10:$C$224,$C9,'TL13'!$J$10:$J$224),0),
IF('TL13'!$B$229=N$3,SUMIF('TL13'!$C$238:$C$451,$C9,'TL13'!$J$238:$J$451),0),
IF('TL14'!$B$3=N$3,SUMIF('TL14'!$C$10:$C$224,$C9,'TL14'!$J$10:$J$224),0),
IF('TL14'!$B$229=N$3,SUMIF('TL14'!$C$238:$C$451,$C9,'TL14'!$J$238:$J$451),0),
IF('TL15'!$B$3=N$3,SUMIF('TL15'!$C$10:$C$224,$C9,'TL15'!$J$10:$J$224),0),
IF('TL15'!$B$229=N$3,SUMIF('TL15'!$C$238:$C$451,$C9,'TL15'!$J$238:$J$451),0),
IF('TL16'!$B$3=N$3,SUMIF('TL16'!$C$10:$C$224,$C9,'TL16'!$J$10:$J$224),0),
IF('TL16'!$B$229=N$3,SUMIF('TL16'!$C$238:$C$451,$C9,'TL16'!$J$238:$J$451),0),
IF('TL17'!$B$3=N$3,SUMIF('TL17'!$C$10:$C$224,$C9,'TL17'!$J$10:$J$224),0),
IF('TL17'!$B$229=N$3,SUMIF('TL17'!$C$238:$C$451,$C9,'TL17'!$J$238:$J$451),0),
IF('TL18'!$B$3=N$3,SUMIF('TL18'!$C$10:$C$224,$C9,'TL18'!$J$10:$J$224),0),
IF('TL18'!$B$229=N$3,SUMIF('TL18'!$C$238:$C$451,$C9,'TL18'!$J$238:$J$451),0),
IF('TL19'!$B$3=N$3,SUMIF('TL19'!$C$10:$C$224,$C9,'TL19'!$J$10:$J$224),0),
IF('TL19'!$B$229=N$3,SUMIF('TL19'!$C$238:$C$451,$C9,'TL19'!$J$238:$J$451),0)
),0)</f>
        <v/>
      </c>
      <c r="O9" s="9">
        <f>IFERROR(SUM(
IF('TL01'!$B$3=O$3,SUMIF('TL01'!$C$10:$C$224,$C9,'TL01'!$J$10:$J$224),0),
IF('TL01'!$B$229=O$3,SUMIF('TL01'!$C$238:$C$451,$C9,'TL01'!$J$238:$J$451),0),
IF('TL02'!$B$3=O$3,SUMIF('TL02'!$C$10:$C$224,$C9,'TL02'!$J$10:$J$224),0),
IF('TL02'!$B$229=O$3,SUMIF('TL02'!$C$238:$C$451,$C9,'TL02'!$J$238:$J$451),0),
IF('TL03'!$B$3=O$3,SUMIF('TL03'!$C$10:$C$224,$C9,'TL03'!$J$10:$J$224),0),
IF('TL03'!$B$229=O$3,SUMIF('TL03'!$C$238:$C$451,$C9,'TL03'!$J$238:$J$451),0),
IF('TL04'!$B$3=O$3,SUMIF('TL04'!$C$10:$C$224,$C9,'TL04'!$J$10:$J$224),0),
IF('TL04'!$B$229=O$3,SUMIF('TL04'!$C$238:$C$451,$C9,'TL04'!$J$238:$J$451),0),
IF('TL05'!$B$3=O$3,SUMIF('TL05'!$C$10:$C$224,$C9,'TL05'!$J$10:$J$224),0),
IF('TL05'!$B$229=O$3,SUMIF('TL05'!$C$238:$C$451,$C9,'TL05'!$J$238:$J$451),0),
IF('TL06'!$B$3=O$3,SUMIF('TL06'!$C$10:$C$224,$C9,'TL06'!$J$10:$J$224),0),
IF('TL06'!$B$229=O$3,SUMIF('TL06'!$C$238:$C$451,$C9,'TL06'!$J$238:$J$451),0),
IF('TL07'!$B$3=O$3,SUMIF('TL07'!$C$10:$C$224,$C9,'TL07'!$J$10:$J$224),0),
IF('TL07'!$B$229=O$3,SUMIF('TL07'!$C$238:$C$451,$C9,'TL07'!$J$238:$J$451),0),
IF('TL08'!$B$3=O$3,SUMIF('TL08'!$C$10:$C$224,$C9,'TL08'!$J$10:$J$224),0),
IF('TL08'!$B$229=O$3,SUMIF('TL08'!$C$238:$C$451,$C9,'TL08'!$J$238:$J$451),0),
IF('TL09'!$B$3=O$3,SUMIF('TL09'!$C$10:$C$224,$C9,'TL09'!$J$10:$J$224),0),
IF('TL09'!$B$229=O$3,SUMIF('TL09'!$C$238:$C$451,$C9,'TL09'!$J$238:$J$451),0),
IF('TL10'!$B$3=O$3,SUMIF('TL10'!$C$10:$C$224,$C9,'TL10'!$J$10:$J$224),0),
IF('TL10'!$B$229=O$3,SUMIF('TL10'!$C$238:$C$451,$C9,'TL10'!$J$238:$J$451),0),
IF('TL11'!$B$3=O$3,SUMIF('TL11'!$C$10:$C$224,$C9,'TL11'!$J$10:$J$224),0),
IF('TL11'!$B$229=O$3,SUMIF('TL11'!$C$238:$C$451,$C9,'TL11'!$J$238:$J$451),0),
IF('TL12'!$B$3=O$3,SUMIF('TL12'!$C$10:$C$224,$C9,'TL12'!$J$10:$J$224),0),
IF('TL12'!$B$229=O$3,SUMIF('TL12'!$C$238:$C$451,$C9,'TL12'!$J$238:$J$451),0),
IF('TL13'!$B$3=O$3,SUMIF('TL13'!$C$10:$C$224,$C9,'TL13'!$J$10:$J$224),0),
IF('TL13'!$B$229=O$3,SUMIF('TL13'!$C$238:$C$451,$C9,'TL13'!$J$238:$J$451),0),
IF('TL14'!$B$3=O$3,SUMIF('TL14'!$C$10:$C$224,$C9,'TL14'!$J$10:$J$224),0),
IF('TL14'!$B$229=O$3,SUMIF('TL14'!$C$238:$C$451,$C9,'TL14'!$J$238:$J$451),0),
IF('TL15'!$B$3=O$3,SUMIF('TL15'!$C$10:$C$224,$C9,'TL15'!$J$10:$J$224),0),
IF('TL15'!$B$229=O$3,SUMIF('TL15'!$C$238:$C$451,$C9,'TL15'!$J$238:$J$451),0),
IF('TL16'!$B$3=O$3,SUMIF('TL16'!$C$10:$C$224,$C9,'TL16'!$J$10:$J$224),0),
IF('TL16'!$B$229=O$3,SUMIF('TL16'!$C$238:$C$451,$C9,'TL16'!$J$238:$J$451),0),
IF('TL17'!$B$3=O$3,SUMIF('TL17'!$C$10:$C$224,$C9,'TL17'!$J$10:$J$224),0),
IF('TL17'!$B$229=O$3,SUMIF('TL17'!$C$238:$C$451,$C9,'TL17'!$J$238:$J$451),0),
IF('TL18'!$B$3=O$3,SUMIF('TL18'!$C$10:$C$224,$C9,'TL18'!$J$10:$J$224),0),
IF('TL18'!$B$229=O$3,SUMIF('TL18'!$C$238:$C$451,$C9,'TL18'!$J$238:$J$451),0),
IF('TL19'!$B$3=O$3,SUMIF('TL19'!$C$10:$C$224,$C9,'TL19'!$J$10:$J$224),0),
IF('TL19'!$B$229=O$3,SUMIF('TL19'!$C$238:$C$451,$C9,'TL19'!$J$238:$J$451),0)
),0)</f>
        <v/>
      </c>
      <c r="P9" s="9">
        <f>IFERROR(SUM(
IF('TL01'!$B$3=P$3,SUMIF('TL01'!$C$10:$C$224,$C9,'TL01'!$J$10:$J$224),0),
IF('TL01'!$B$229=P$3,SUMIF('TL01'!$C$238:$C$451,$C9,'TL01'!$J$238:$J$451),0),
IF('TL02'!$B$3=P$3,SUMIF('TL02'!$C$10:$C$224,$C9,'TL02'!$J$10:$J$224),0),
IF('TL02'!$B$229=P$3,SUMIF('TL02'!$C$238:$C$451,$C9,'TL02'!$J$238:$J$451),0),
IF('TL03'!$B$3=P$3,SUMIF('TL03'!$C$10:$C$224,$C9,'TL03'!$J$10:$J$224),0),
IF('TL03'!$B$229=P$3,SUMIF('TL03'!$C$238:$C$451,$C9,'TL03'!$J$238:$J$451),0),
IF('TL04'!$B$3=P$3,SUMIF('TL04'!$C$10:$C$224,$C9,'TL04'!$J$10:$J$224),0),
IF('TL04'!$B$229=P$3,SUMIF('TL04'!$C$238:$C$451,$C9,'TL04'!$J$238:$J$451),0),
IF('TL05'!$B$3=P$3,SUMIF('TL05'!$C$10:$C$224,$C9,'TL05'!$J$10:$J$224),0),
IF('TL05'!$B$229=P$3,SUMIF('TL05'!$C$238:$C$451,$C9,'TL05'!$J$238:$J$451),0),
IF('TL06'!$B$3=P$3,SUMIF('TL06'!$C$10:$C$224,$C9,'TL06'!$J$10:$J$224),0),
IF('TL06'!$B$229=P$3,SUMIF('TL06'!$C$238:$C$451,$C9,'TL06'!$J$238:$J$451),0),
IF('TL07'!$B$3=P$3,SUMIF('TL07'!$C$10:$C$224,$C9,'TL07'!$J$10:$J$224),0),
IF('TL07'!$B$229=P$3,SUMIF('TL07'!$C$238:$C$451,$C9,'TL07'!$J$238:$J$451),0),
IF('TL08'!$B$3=P$3,SUMIF('TL08'!$C$10:$C$224,$C9,'TL08'!$J$10:$J$224),0),
IF('TL08'!$B$229=P$3,SUMIF('TL08'!$C$238:$C$451,$C9,'TL08'!$J$238:$J$451),0),
IF('TL09'!$B$3=P$3,SUMIF('TL09'!$C$10:$C$224,$C9,'TL09'!$J$10:$J$224),0),
IF('TL09'!$B$229=P$3,SUMIF('TL09'!$C$238:$C$451,$C9,'TL09'!$J$238:$J$451),0),
IF('TL10'!$B$3=P$3,SUMIF('TL10'!$C$10:$C$224,$C9,'TL10'!$J$10:$J$224),0),
IF('TL10'!$B$229=P$3,SUMIF('TL10'!$C$238:$C$451,$C9,'TL10'!$J$238:$J$451),0),
IF('TL11'!$B$3=P$3,SUMIF('TL11'!$C$10:$C$224,$C9,'TL11'!$J$10:$J$224),0),
IF('TL11'!$B$229=P$3,SUMIF('TL11'!$C$238:$C$451,$C9,'TL11'!$J$238:$J$451),0),
IF('TL12'!$B$3=P$3,SUMIF('TL12'!$C$10:$C$224,$C9,'TL12'!$J$10:$J$224),0),
IF('TL12'!$B$229=P$3,SUMIF('TL12'!$C$238:$C$451,$C9,'TL12'!$J$238:$J$451),0),
IF('TL13'!$B$3=P$3,SUMIF('TL13'!$C$10:$C$224,$C9,'TL13'!$J$10:$J$224),0),
IF('TL13'!$B$229=P$3,SUMIF('TL13'!$C$238:$C$451,$C9,'TL13'!$J$238:$J$451),0),
IF('TL14'!$B$3=P$3,SUMIF('TL14'!$C$10:$C$224,$C9,'TL14'!$J$10:$J$224),0),
IF('TL14'!$B$229=P$3,SUMIF('TL14'!$C$238:$C$451,$C9,'TL14'!$J$238:$J$451),0),
IF('TL15'!$B$3=P$3,SUMIF('TL15'!$C$10:$C$224,$C9,'TL15'!$J$10:$J$224),0),
IF('TL15'!$B$229=P$3,SUMIF('TL15'!$C$238:$C$451,$C9,'TL15'!$J$238:$J$451),0),
IF('TL16'!$B$3=P$3,SUMIF('TL16'!$C$10:$C$224,$C9,'TL16'!$J$10:$J$224),0),
IF('TL16'!$B$229=P$3,SUMIF('TL16'!$C$238:$C$451,$C9,'TL16'!$J$238:$J$451),0),
IF('TL17'!$B$3=P$3,SUMIF('TL17'!$C$10:$C$224,$C9,'TL17'!$J$10:$J$224),0),
IF('TL17'!$B$229=P$3,SUMIF('TL17'!$C$238:$C$451,$C9,'TL17'!$J$238:$J$451),0),
IF('TL18'!$B$3=P$3,SUMIF('TL18'!$C$10:$C$224,$C9,'TL18'!$J$10:$J$224),0),
IF('TL18'!$B$229=P$3,SUMIF('TL18'!$C$238:$C$451,$C9,'TL18'!$J$238:$J$451),0),
IF('TL19'!$B$3=P$3,SUMIF('TL19'!$C$10:$C$224,$C9,'TL19'!$J$10:$J$224),0),
IF('TL19'!$B$229=P$3,SUMIF('TL19'!$C$238:$C$451,$C9,'TL19'!$J$238:$J$451),0)
),0)</f>
        <v/>
      </c>
      <c r="Q9" s="9">
        <f>IFERROR(SUM(
IF('TL01'!$B$3=Q$3,SUMIF('TL01'!$C$10:$C$224,$C9,'TL01'!$J$10:$J$224),0),
IF('TL01'!$B$229=Q$3,SUMIF('TL01'!$C$238:$C$451,$C9,'TL01'!$J$238:$J$451),0),
IF('TL02'!$B$3=Q$3,SUMIF('TL02'!$C$10:$C$224,$C9,'TL02'!$J$10:$J$224),0),
IF('TL02'!$B$229=Q$3,SUMIF('TL02'!$C$238:$C$451,$C9,'TL02'!$J$238:$J$451),0),
IF('TL03'!$B$3=Q$3,SUMIF('TL03'!$C$10:$C$224,$C9,'TL03'!$J$10:$J$224),0),
IF('TL03'!$B$229=Q$3,SUMIF('TL03'!$C$238:$C$451,$C9,'TL03'!$J$238:$J$451),0),
IF('TL04'!$B$3=Q$3,SUMIF('TL04'!$C$10:$C$224,$C9,'TL04'!$J$10:$J$224),0),
IF('TL04'!$B$229=Q$3,SUMIF('TL04'!$C$238:$C$451,$C9,'TL04'!$J$238:$J$451),0),
IF('TL05'!$B$3=Q$3,SUMIF('TL05'!$C$10:$C$224,$C9,'TL05'!$J$10:$J$224),0),
IF('TL05'!$B$229=Q$3,SUMIF('TL05'!$C$238:$C$451,$C9,'TL05'!$J$238:$J$451),0),
IF('TL06'!$B$3=Q$3,SUMIF('TL06'!$C$10:$C$224,$C9,'TL06'!$J$10:$J$224),0),
IF('TL06'!$B$229=Q$3,SUMIF('TL06'!$C$238:$C$451,$C9,'TL06'!$J$238:$J$451),0),
IF('TL07'!$B$3=Q$3,SUMIF('TL07'!$C$10:$C$224,$C9,'TL07'!$J$10:$J$224),0),
IF('TL07'!$B$229=Q$3,SUMIF('TL07'!$C$238:$C$451,$C9,'TL07'!$J$238:$J$451),0),
IF('TL08'!$B$3=Q$3,SUMIF('TL08'!$C$10:$C$224,$C9,'TL08'!$J$10:$J$224),0),
IF('TL08'!$B$229=Q$3,SUMIF('TL08'!$C$238:$C$451,$C9,'TL08'!$J$238:$J$451),0),
IF('TL09'!$B$3=Q$3,SUMIF('TL09'!$C$10:$C$224,$C9,'TL09'!$J$10:$J$224),0),
IF('TL09'!$B$229=Q$3,SUMIF('TL09'!$C$238:$C$451,$C9,'TL09'!$J$238:$J$451),0),
IF('TL10'!$B$3=Q$3,SUMIF('TL10'!$C$10:$C$224,$C9,'TL10'!$J$10:$J$224),0),
IF('TL10'!$B$229=Q$3,SUMIF('TL10'!$C$238:$C$451,$C9,'TL10'!$J$238:$J$451),0),
IF('TL11'!$B$3=Q$3,SUMIF('TL11'!$C$10:$C$224,$C9,'TL11'!$J$10:$J$224),0),
IF('TL11'!$B$229=Q$3,SUMIF('TL11'!$C$238:$C$451,$C9,'TL11'!$J$238:$J$451),0),
IF('TL12'!$B$3=Q$3,SUMIF('TL12'!$C$10:$C$224,$C9,'TL12'!$J$10:$J$224),0),
IF('TL12'!$B$229=Q$3,SUMIF('TL12'!$C$238:$C$451,$C9,'TL12'!$J$238:$J$451),0),
IF('TL13'!$B$3=Q$3,SUMIF('TL13'!$C$10:$C$224,$C9,'TL13'!$J$10:$J$224),0),
IF('TL13'!$B$229=Q$3,SUMIF('TL13'!$C$238:$C$451,$C9,'TL13'!$J$238:$J$451),0),
IF('TL14'!$B$3=Q$3,SUMIF('TL14'!$C$10:$C$224,$C9,'TL14'!$J$10:$J$224),0),
IF('TL14'!$B$229=Q$3,SUMIF('TL14'!$C$238:$C$451,$C9,'TL14'!$J$238:$J$451),0),
IF('TL15'!$B$3=Q$3,SUMIF('TL15'!$C$10:$C$224,$C9,'TL15'!$J$10:$J$224),0),
IF('TL15'!$B$229=Q$3,SUMIF('TL15'!$C$238:$C$451,$C9,'TL15'!$J$238:$J$451),0),
IF('TL16'!$B$3=Q$3,SUMIF('TL16'!$C$10:$C$224,$C9,'TL16'!$J$10:$J$224),0),
IF('TL16'!$B$229=Q$3,SUMIF('TL16'!$C$238:$C$451,$C9,'TL16'!$J$238:$J$451),0),
IF('TL17'!$B$3=Q$3,SUMIF('TL17'!$C$10:$C$224,$C9,'TL17'!$J$10:$J$224),0),
IF('TL17'!$B$229=Q$3,SUMIF('TL17'!$C$238:$C$451,$C9,'TL17'!$J$238:$J$451),0),
IF('TL18'!$B$3=Q$3,SUMIF('TL18'!$C$10:$C$224,$C9,'TL18'!$J$10:$J$224),0),
IF('TL18'!$B$229=Q$3,SUMIF('TL18'!$C$238:$C$451,$C9,'TL18'!$J$238:$J$451),0),
IF('TL19'!$B$3=Q$3,SUMIF('TL19'!$C$10:$C$224,$C9,'TL19'!$J$10:$J$224),0),
IF('TL19'!$B$229=Q$3,SUMIF('TL19'!$C$238:$C$451,$C9,'TL19'!$J$238:$J$451),0)
),0)</f>
        <v/>
      </c>
      <c r="R9" s="9">
        <f>IFERROR(
SUM(
SUMIF('TL01'!C:C,C9,'TL01'!J:J),
SUMIF('TL02'!C:C,C9,'TL02'!J:J),
SUMIF('TL03'!C:C,C9,'TL03'!J:J),
SUMIF('TL04'!C:C,C9,'TL04'!J:J),
SUMIF('TL05'!C:C,C9,'TL05'!J:J),
SUMIF('TL06'!C:C,C9,'TL06'!J:J),
SUMIF('TL07'!C:C,C9,'TL07'!J:J),
SUMIF('TL08'!C:C,C9,'TL08'!J:J),
SUMIF('TL09'!C:C,C9,'TL09'!J:J),
SUMIF('TL10'!C:C,C9,'TL10'!J:J),
SUMIF('TL11'!C:C,C9,'TL11'!J:J),
SUMIF('TL12'!C:C,C9,'TL12'!J:J),
SUMIF('TL13'!C:C,C9,'TL13'!J:J),
SUMIF('TL14'!C:C,C9,'TL14'!J:J),
SUMIF('TL15'!C:C,C9,'TL15'!J:J),
SUMIF('TL16'!C:C,C9,'TL16'!J:J),
SUMIF('TL17'!C:C,C9,'TL17'!J:J),
SUMIF('TL18'!C:C,C9,'TL18'!J:J),SUMIF('TL19'!C:C,C9,'TL19'!J:J))
,0)</f>
        <v/>
      </c>
      <c r="S9" s="17">
        <f>IFERROR(__xludf.DUMMYFUNCTION("IFERROR(VLOOKUP(C9,
IMPORTRANGE(""1wULbzX32WdYsx-lj2U3uUNBBe2INVIRDtcK0d-Dvl90"",
""26-27!C:G""),
5,
FALSE),
"""")"),13.57741)</f>
        <v/>
      </c>
      <c r="T9" s="9" t="n"/>
      <c r="U9" s="92">
        <f>MAX(0,R9-T9)</f>
        <v/>
      </c>
      <c r="V9" s="93">
        <f>U9*S9</f>
        <v/>
      </c>
    </row>
    <row r="10" hidden="1" ht="22.5" customHeight="1" s="297">
      <c r="A10" s="87" t="inlineStr">
        <is>
          <t>SYNGENTA</t>
        </is>
      </c>
      <c r="B10" s="88" t="inlineStr">
        <is>
          <t>ADJUVANTE</t>
        </is>
      </c>
      <c r="C10" s="89" t="inlineStr">
        <is>
          <t>ENERGIC</t>
        </is>
      </c>
      <c r="D10" s="89" t="inlineStr">
        <is>
          <t>ETILENOXI</t>
        </is>
      </c>
      <c r="E10" s="89" t="n">
        <v>226</v>
      </c>
      <c r="F10" s="4" t="inlineStr">
        <is>
          <t>L</t>
        </is>
      </c>
      <c r="G10" s="90">
        <f>HYPERLINK("https://www.google.com/search?q=" &amp; C10 &amp; "+bula+agrofit+pdf", "📄 Ver bula")</f>
        <v/>
      </c>
      <c r="H10" s="9">
        <f>IFERROR(__xludf.DUMMYFUNCTION("IFERROR(VLOOKUP(C10,
IMPORTRANGE(""1wULbzX32WdYsx-lj2U3uUNBBe2INVIRDtcK0d-Dvl90"",
""26-27!C:K""),
8,
FALSE),
"""")"),0.03)</f>
        <v/>
      </c>
      <c r="I10" s="91" t="inlineStr">
        <is>
          <t>4X5</t>
        </is>
      </c>
      <c r="J10" s="9">
        <f>IFERROR(SUM(
IF('TL01'!$B$3=J$3,SUMIF('TL01'!$C$10:$C$224,$C10,'TL01'!$J$10:$J$224),0),
IF('TL01'!$B$229=J$3,SUMIF('TL01'!$C$238:$C$451,$C10,'TL01'!$J$238:$J$451),0),
IF('TL02'!$B$3=J$3,SUMIF('TL02'!$C$10:$C$224,$C10,'TL02'!$J$10:$J$224),0),
IF('TL02'!$B$229=J$3,SUMIF('TL02'!$C$238:$C$451,$C10,'TL02'!$J$238:$J$451),0),
IF('TL03'!$B$3=J$3,SUMIF('TL03'!$C$10:$C$224,$C10,'TL03'!$J$10:$J$224),0),
IF('TL03'!$B$229=J$3,SUMIF('TL03'!$C$238:$C$451,$C10,'TL03'!$J$238:$J$451),0),
IF('TL04'!$B$3=J$3,SUMIF('TL04'!$C$10:$C$224,$C10,'TL04'!$J$10:$J$224),0),
IF('TL04'!$B$229=J$3,SUMIF('TL04'!$C$238:$C$451,$C10,'TL04'!$J$238:$J$451),0),
IF('TL05'!$B$3=J$3,SUMIF('TL05'!$C$10:$C$224,$C10,'TL05'!$J$10:$J$224),0),
IF('TL05'!$B$229=J$3,SUMIF('TL05'!$C$238:$C$451,$C10,'TL05'!$J$238:$J$451),0),
IF('TL06'!$B$3=J$3,SUMIF('TL06'!$C$10:$C$224,$C10,'TL06'!$J$10:$J$224),0),
IF('TL06'!$B$229=J$3,SUMIF('TL06'!$C$238:$C$451,$C10,'TL06'!$J$238:$J$451),0),
IF('TL07'!$B$3=J$3,SUMIF('TL07'!$C$10:$C$224,$C10,'TL07'!$J$10:$J$224),0),
IF('TL07'!$B$229=J$3,SUMIF('TL07'!$C$238:$C$451,$C10,'TL07'!$J$238:$J$451),0),
IF('TL08'!$B$3=J$3,SUMIF('TL08'!$C$10:$C$224,$C10,'TL08'!$J$10:$J$224),0),
IF('TL08'!$B$229=J$3,SUMIF('TL08'!$C$238:$C$451,$C10,'TL08'!$J$238:$J$451),0),
IF('TL09'!$B$3=J$3,SUMIF('TL09'!$C$10:$C$224,$C10,'TL09'!$J$10:$J$224),0),
IF('TL09'!$B$229=J$3,SUMIF('TL09'!$C$238:$C$451,$C10,'TL09'!$J$238:$J$451),0),
IF('TL10'!$B$3=J$3,SUMIF('TL10'!$C$10:$C$224,$C10,'TL10'!$J$10:$J$224),0),
IF('TL10'!$B$229=J$3,SUMIF('TL10'!$C$238:$C$451,$C10,'TL10'!$J$238:$J$451),0),
IF('TL11'!$B$3=J$3,SUMIF('TL11'!$C$10:$C$224,$C10,'TL11'!$J$10:$J$224),0),
IF('TL11'!$B$229=J$3,SUMIF('TL11'!$C$238:$C$451,$C10,'TL11'!$J$238:$J$451),0),
IF('TL12'!$B$3=J$3,SUMIF('TL12'!$C$10:$C$224,$C10,'TL12'!$J$10:$J$224),0),
IF('TL12'!$B$229=J$3,SUMIF('TL12'!$C$238:$C$451,$C10,'TL12'!$J$238:$J$451),0),
IF('TL13'!$B$3=J$3,SUMIF('TL13'!$C$10:$C$224,$C10,'TL13'!$J$10:$J$224),0),
IF('TL13'!$B$229=J$3,SUMIF('TL13'!$C$238:$C$451,$C10,'TL13'!$J$238:$J$451),0),
IF('TL14'!$B$3=J$3,SUMIF('TL14'!$C$10:$C$224,$C10,'TL14'!$J$10:$J$224),0),
IF('TL14'!$B$229=J$3,SUMIF('TL14'!$C$238:$C$451,$C10,'TL14'!$J$238:$J$451),0),
IF('TL15'!$B$3=J$3,SUMIF('TL15'!$C$10:$C$224,$C10,'TL15'!$J$10:$J$224),0),
IF('TL15'!$B$229=J$3,SUMIF('TL15'!$C$238:$C$451,$C10,'TL15'!$J$238:$J$451),0),
IF('TL16'!$B$3=J$3,SUMIF('TL16'!$C$10:$C$224,$C10,'TL16'!$J$10:$J$224),0),
IF('TL16'!$B$229=J$3,SUMIF('TL16'!$C$238:$C$451,$C10,'TL16'!$J$238:$J$451),0),
IF('TL17'!$B$3=J$3,SUMIF('TL17'!$C$10:$C$224,$C10,'TL17'!$J$10:$J$224),0),
IF('TL17'!$B$229=J$3,SUMIF('TL17'!$C$238:$C$451,$C10,'TL17'!$J$238:$J$451),0),
IF('TL18'!$B$3=J$3,SUMIF('TL18'!$C$10:$C$224,$C10,'TL18'!$J$10:$J$224),0),
IF('TL18'!$B$229=J$3,SUMIF('TL18'!$C$238:$C$451,$C10,'TL18'!$J$238:$J$451),0),
IF('TL19'!$B$3=J$3,SUMIF('TL19'!$C$10:$C$224,$C10,'TL19'!$J$10:$J$224),0),
IF('TL19'!$B$229=J$3,SUMIF('TL19'!$C$238:$C$451,$C10,'TL19'!$J$238:$J$451),0)
),0)</f>
        <v/>
      </c>
      <c r="K10" s="9">
        <f>IFERROR(SUM(
IF('TL01'!$B$3=K$3,SUMIF('TL01'!$C$10:$C$224,$C10,'TL01'!$J$10:$J$224),0),
IF('TL01'!$B$229=K$3,SUMIF('TL01'!$C$238:$C$451,$C10,'TL01'!$J$238:$J$451),0),
IF('TL02'!$B$3=K$3,SUMIF('TL02'!$C$10:$C$224,$C10,'TL02'!$J$10:$J$224),0),
IF('TL02'!$B$229=K$3,SUMIF('TL02'!$C$238:$C$451,$C10,'TL02'!$J$238:$J$451),0),
IF('TL03'!$B$3=K$3,SUMIF('TL03'!$C$10:$C$224,$C10,'TL03'!$J$10:$J$224),0),
IF('TL03'!$B$229=K$3,SUMIF('TL03'!$C$238:$C$451,$C10,'TL03'!$J$238:$J$451),0),
IF('TL04'!$B$3=K$3,SUMIF('TL04'!$C$10:$C$224,$C10,'TL04'!$J$10:$J$224),0),
IF('TL04'!$B$229=K$3,SUMIF('TL04'!$C$238:$C$451,$C10,'TL04'!$J$238:$J$451),0),
IF('TL05'!$B$3=K$3,SUMIF('TL05'!$C$10:$C$224,$C10,'TL05'!$J$10:$J$224),0),
IF('TL05'!$B$229=K$3,SUMIF('TL05'!$C$238:$C$451,$C10,'TL05'!$J$238:$J$451),0),
IF('TL06'!$B$3=K$3,SUMIF('TL06'!$C$10:$C$224,$C10,'TL06'!$J$10:$J$224),0),
IF('TL06'!$B$229=K$3,SUMIF('TL06'!$C$238:$C$451,$C10,'TL06'!$J$238:$J$451),0),
IF('TL07'!$B$3=K$3,SUMIF('TL07'!$C$10:$C$224,$C10,'TL07'!$J$10:$J$224),0),
IF('TL07'!$B$229=K$3,SUMIF('TL07'!$C$238:$C$451,$C10,'TL07'!$J$238:$J$451),0),
IF('TL08'!$B$3=K$3,SUMIF('TL08'!$C$10:$C$224,$C10,'TL08'!$J$10:$J$224),0),
IF('TL08'!$B$229=K$3,SUMIF('TL08'!$C$238:$C$451,$C10,'TL08'!$J$238:$J$451),0),
IF('TL09'!$B$3=K$3,SUMIF('TL09'!$C$10:$C$224,$C10,'TL09'!$J$10:$J$224),0),
IF('TL09'!$B$229=K$3,SUMIF('TL09'!$C$238:$C$451,$C10,'TL09'!$J$238:$J$451),0),
IF('TL10'!$B$3=K$3,SUMIF('TL10'!$C$10:$C$224,$C10,'TL10'!$J$10:$J$224),0),
IF('TL10'!$B$229=K$3,SUMIF('TL10'!$C$238:$C$451,$C10,'TL10'!$J$238:$J$451),0),
IF('TL11'!$B$3=K$3,SUMIF('TL11'!$C$10:$C$224,$C10,'TL11'!$J$10:$J$224),0),
IF('TL11'!$B$229=K$3,SUMIF('TL11'!$C$238:$C$451,$C10,'TL11'!$J$238:$J$451),0),
IF('TL12'!$B$3=K$3,SUMIF('TL12'!$C$10:$C$224,$C10,'TL12'!$J$10:$J$224),0),
IF('TL12'!$B$229=K$3,SUMIF('TL12'!$C$238:$C$451,$C10,'TL12'!$J$238:$J$451),0),
IF('TL13'!$B$3=K$3,SUMIF('TL13'!$C$10:$C$224,$C10,'TL13'!$J$10:$J$224),0),
IF('TL13'!$B$229=K$3,SUMIF('TL13'!$C$238:$C$451,$C10,'TL13'!$J$238:$J$451),0),
IF('TL14'!$B$3=K$3,SUMIF('TL14'!$C$10:$C$224,$C10,'TL14'!$J$10:$J$224),0),
IF('TL14'!$B$229=K$3,SUMIF('TL14'!$C$238:$C$451,$C10,'TL14'!$J$238:$J$451),0),
IF('TL15'!$B$3=K$3,SUMIF('TL15'!$C$10:$C$224,$C10,'TL15'!$J$10:$J$224),0),
IF('TL15'!$B$229=K$3,SUMIF('TL15'!$C$238:$C$451,$C10,'TL15'!$J$238:$J$451),0),
IF('TL16'!$B$3=K$3,SUMIF('TL16'!$C$10:$C$224,$C10,'TL16'!$J$10:$J$224),0),
IF('TL16'!$B$229=K$3,SUMIF('TL16'!$C$238:$C$451,$C10,'TL16'!$J$238:$J$451),0),
IF('TL17'!$B$3=K$3,SUMIF('TL17'!$C$10:$C$224,$C10,'TL17'!$J$10:$J$224),0),
IF('TL17'!$B$229=K$3,SUMIF('TL17'!$C$238:$C$451,$C10,'TL17'!$J$238:$J$451),0),
IF('TL18'!$B$3=K$3,SUMIF('TL18'!$C$10:$C$224,$C10,'TL18'!$J$10:$J$224),0),
IF('TL18'!$B$229=K$3,SUMIF('TL18'!$C$238:$C$451,$C10,'TL18'!$J$238:$J$451),0),
IF('TL19'!$B$3=K$3,SUMIF('TL19'!$C$10:$C$224,$C10,'TL19'!$J$10:$J$224),0),
IF('TL19'!$B$229=K$3,SUMIF('TL19'!$C$238:$C$451,$C10,'TL19'!$J$238:$J$451),0)
),0)</f>
        <v/>
      </c>
      <c r="L10" s="9">
        <f>IFERROR(SUM(
IF('TL01'!$B$3=L$3,SUMIF('TL01'!$C$10:$C$224,$C10,'TL01'!$J$10:$J$224),0),
IF('TL01'!$B$229=L$3,SUMIF('TL01'!$C$238:$C$451,$C10,'TL01'!$J$238:$J$451),0),
IF('TL02'!$B$3=L$3,SUMIF('TL02'!$C$10:$C$224,$C10,'TL02'!$J$10:$J$224),0),
IF('TL02'!$B$229=L$3,SUMIF('TL02'!$C$238:$C$451,$C10,'TL02'!$J$238:$J$451),0),
IF('TL03'!$B$3=L$3,SUMIF('TL03'!$C$10:$C$224,$C10,'TL03'!$J$10:$J$224),0),
IF('TL03'!$B$229=L$3,SUMIF('TL03'!$C$238:$C$451,$C10,'TL03'!$J$238:$J$451),0),
IF('TL04'!$B$3=L$3,SUMIF('TL04'!$C$10:$C$224,$C10,'TL04'!$J$10:$J$224),0),
IF('TL04'!$B$229=L$3,SUMIF('TL04'!$C$238:$C$451,$C10,'TL04'!$J$238:$J$451),0),
IF('TL05'!$B$3=L$3,SUMIF('TL05'!$C$10:$C$224,$C10,'TL05'!$J$10:$J$224),0),
IF('TL05'!$B$229=L$3,SUMIF('TL05'!$C$238:$C$451,$C10,'TL05'!$J$238:$J$451),0),
IF('TL06'!$B$3=L$3,SUMIF('TL06'!$C$10:$C$224,$C10,'TL06'!$J$10:$J$224),0),
IF('TL06'!$B$229=L$3,SUMIF('TL06'!$C$238:$C$451,$C10,'TL06'!$J$238:$J$451),0),
IF('TL07'!$B$3=L$3,SUMIF('TL07'!$C$10:$C$224,$C10,'TL07'!$J$10:$J$224),0),
IF('TL07'!$B$229=L$3,SUMIF('TL07'!$C$238:$C$451,$C10,'TL07'!$J$238:$J$451),0),
IF('TL08'!$B$3=L$3,SUMIF('TL08'!$C$10:$C$224,$C10,'TL08'!$J$10:$J$224),0),
IF('TL08'!$B$229=L$3,SUMIF('TL08'!$C$238:$C$451,$C10,'TL08'!$J$238:$J$451),0),
IF('TL09'!$B$3=L$3,SUMIF('TL09'!$C$10:$C$224,$C10,'TL09'!$J$10:$J$224),0),
IF('TL09'!$B$229=L$3,SUMIF('TL09'!$C$238:$C$451,$C10,'TL09'!$J$238:$J$451),0),
IF('TL10'!$B$3=L$3,SUMIF('TL10'!$C$10:$C$224,$C10,'TL10'!$J$10:$J$224),0),
IF('TL10'!$B$229=L$3,SUMIF('TL10'!$C$238:$C$451,$C10,'TL10'!$J$238:$J$451),0),
IF('TL11'!$B$3=L$3,SUMIF('TL11'!$C$10:$C$224,$C10,'TL11'!$J$10:$J$224),0),
IF('TL11'!$B$229=L$3,SUMIF('TL11'!$C$238:$C$451,$C10,'TL11'!$J$238:$J$451),0),
IF('TL12'!$B$3=L$3,SUMIF('TL12'!$C$10:$C$224,$C10,'TL12'!$J$10:$J$224),0),
IF('TL12'!$B$229=L$3,SUMIF('TL12'!$C$238:$C$451,$C10,'TL12'!$J$238:$J$451),0),
IF('TL13'!$B$3=L$3,SUMIF('TL13'!$C$10:$C$224,$C10,'TL13'!$J$10:$J$224),0),
IF('TL13'!$B$229=L$3,SUMIF('TL13'!$C$238:$C$451,$C10,'TL13'!$J$238:$J$451),0),
IF('TL14'!$B$3=L$3,SUMIF('TL14'!$C$10:$C$224,$C10,'TL14'!$J$10:$J$224),0),
IF('TL14'!$B$229=L$3,SUMIF('TL14'!$C$238:$C$451,$C10,'TL14'!$J$238:$J$451),0),
IF('TL15'!$B$3=L$3,SUMIF('TL15'!$C$10:$C$224,$C10,'TL15'!$J$10:$J$224),0),
IF('TL15'!$B$229=L$3,SUMIF('TL15'!$C$238:$C$451,$C10,'TL15'!$J$238:$J$451),0),
IF('TL16'!$B$3=L$3,SUMIF('TL16'!$C$10:$C$224,$C10,'TL16'!$J$10:$J$224),0),
IF('TL16'!$B$229=L$3,SUMIF('TL16'!$C$238:$C$451,$C10,'TL16'!$J$238:$J$451),0),
IF('TL17'!$B$3=L$3,SUMIF('TL17'!$C$10:$C$224,$C10,'TL17'!$J$10:$J$224),0),
IF('TL17'!$B$229=L$3,SUMIF('TL17'!$C$238:$C$451,$C10,'TL17'!$J$238:$J$451),0),
IF('TL18'!$B$3=L$3,SUMIF('TL18'!$C$10:$C$224,$C10,'TL18'!$J$10:$J$224),0),
IF('TL18'!$B$229=L$3,SUMIF('TL18'!$C$238:$C$451,$C10,'TL18'!$J$238:$J$451),0),
IF('TL19'!$B$3=L$3,SUMIF('TL19'!$C$10:$C$224,$C10,'TL19'!$J$10:$J$224),0),
IF('TL19'!$B$229=L$3,SUMIF('TL19'!$C$238:$C$451,$C10,'TL19'!$J$238:$J$451),0)
),0)</f>
        <v/>
      </c>
      <c r="M10" s="9">
        <f>IFERROR(SUM(
IF('TL01'!$B$3=M$3,SUMIF('TL01'!$C$10:$C$224,$C10,'TL01'!$J$10:$J$224),0),
IF('TL01'!$B$229=M$3,SUMIF('TL01'!$C$238:$C$451,$C10,'TL01'!$J$238:$J$451),0),
IF('TL02'!$B$3=M$3,SUMIF('TL02'!$C$10:$C$224,$C10,'TL02'!$J$10:$J$224),0),
IF('TL02'!$B$229=M$3,SUMIF('TL02'!$C$238:$C$451,$C10,'TL02'!$J$238:$J$451),0),
IF('TL03'!$B$3=M$3,SUMIF('TL03'!$C$10:$C$224,$C10,'TL03'!$J$10:$J$224),0),
IF('TL03'!$B$229=M$3,SUMIF('TL03'!$C$238:$C$451,$C10,'TL03'!$J$238:$J$451),0),
IF('TL04'!$B$3=M$3,SUMIF('TL04'!$C$10:$C$224,$C10,'TL04'!$J$10:$J$224),0),
IF('TL04'!$B$229=M$3,SUMIF('TL04'!$C$238:$C$451,$C10,'TL04'!$J$238:$J$451),0),
IF('TL05'!$B$3=M$3,SUMIF('TL05'!$C$10:$C$224,$C10,'TL05'!$J$10:$J$224),0),
IF('TL05'!$B$229=M$3,SUMIF('TL05'!$C$238:$C$451,$C10,'TL05'!$J$238:$J$451),0),
IF('TL06'!$B$3=M$3,SUMIF('TL06'!$C$10:$C$224,$C10,'TL06'!$J$10:$J$224),0),
IF('TL06'!$B$229=M$3,SUMIF('TL06'!$C$238:$C$451,$C10,'TL06'!$J$238:$J$451),0),
IF('TL07'!$B$3=M$3,SUMIF('TL07'!$C$10:$C$224,$C10,'TL07'!$J$10:$J$224),0),
IF('TL07'!$B$229=M$3,SUMIF('TL07'!$C$238:$C$451,$C10,'TL07'!$J$238:$J$451),0),
IF('TL08'!$B$3=M$3,SUMIF('TL08'!$C$10:$C$224,$C10,'TL08'!$J$10:$J$224),0),
IF('TL08'!$B$229=M$3,SUMIF('TL08'!$C$238:$C$451,$C10,'TL08'!$J$238:$J$451),0),
IF('TL09'!$B$3=M$3,SUMIF('TL09'!$C$10:$C$224,$C10,'TL09'!$J$10:$J$224),0),
IF('TL09'!$B$229=M$3,SUMIF('TL09'!$C$238:$C$451,$C10,'TL09'!$J$238:$J$451),0),
IF('TL10'!$B$3=M$3,SUMIF('TL10'!$C$10:$C$224,$C10,'TL10'!$J$10:$J$224),0),
IF('TL10'!$B$229=M$3,SUMIF('TL10'!$C$238:$C$451,$C10,'TL10'!$J$238:$J$451),0),
IF('TL11'!$B$3=M$3,SUMIF('TL11'!$C$10:$C$224,$C10,'TL11'!$J$10:$J$224),0),
IF('TL11'!$B$229=M$3,SUMIF('TL11'!$C$238:$C$451,$C10,'TL11'!$J$238:$J$451),0),
IF('TL12'!$B$3=M$3,SUMIF('TL12'!$C$10:$C$224,$C10,'TL12'!$J$10:$J$224),0),
IF('TL12'!$B$229=M$3,SUMIF('TL12'!$C$238:$C$451,$C10,'TL12'!$J$238:$J$451),0),
IF('TL13'!$B$3=M$3,SUMIF('TL13'!$C$10:$C$224,$C10,'TL13'!$J$10:$J$224),0),
IF('TL13'!$B$229=M$3,SUMIF('TL13'!$C$238:$C$451,$C10,'TL13'!$J$238:$J$451),0),
IF('TL14'!$B$3=M$3,SUMIF('TL14'!$C$10:$C$224,$C10,'TL14'!$J$10:$J$224),0),
IF('TL14'!$B$229=M$3,SUMIF('TL14'!$C$238:$C$451,$C10,'TL14'!$J$238:$J$451),0),
IF('TL15'!$B$3=M$3,SUMIF('TL15'!$C$10:$C$224,$C10,'TL15'!$J$10:$J$224),0),
IF('TL15'!$B$229=M$3,SUMIF('TL15'!$C$238:$C$451,$C10,'TL15'!$J$238:$J$451),0),
IF('TL16'!$B$3=M$3,SUMIF('TL16'!$C$10:$C$224,$C10,'TL16'!$J$10:$J$224),0),
IF('TL16'!$B$229=M$3,SUMIF('TL16'!$C$238:$C$451,$C10,'TL16'!$J$238:$J$451),0),
IF('TL17'!$B$3=M$3,SUMIF('TL17'!$C$10:$C$224,$C10,'TL17'!$J$10:$J$224),0),
IF('TL17'!$B$229=M$3,SUMIF('TL17'!$C$238:$C$451,$C10,'TL17'!$J$238:$J$451),0),
IF('TL18'!$B$3=M$3,SUMIF('TL18'!$C$10:$C$224,$C10,'TL18'!$J$10:$J$224),0),
IF('TL18'!$B$229=M$3,SUMIF('TL18'!$C$238:$C$451,$C10,'TL18'!$J$238:$J$451),0),
IF('TL19'!$B$3=M$3,SUMIF('TL19'!$C$10:$C$224,$C10,'TL19'!$J$10:$J$224),0),
IF('TL19'!$B$229=M$3,SUMIF('TL19'!$C$238:$C$451,$C10,'TL19'!$J$238:$J$451),0)
),0)</f>
        <v/>
      </c>
      <c r="N10" s="9">
        <f>IFERROR(SUM(
IF('TL01'!$B$3=N$3,SUMIF('TL01'!$C$10:$C$224,$C10,'TL01'!$J$10:$J$224),0),
IF('TL01'!$B$229=N$3,SUMIF('TL01'!$C$238:$C$451,$C10,'TL01'!$J$238:$J$451),0),
IF('TL02'!$B$3=N$3,SUMIF('TL02'!$C$10:$C$224,$C10,'TL02'!$J$10:$J$224),0),
IF('TL02'!$B$229=N$3,SUMIF('TL02'!$C$238:$C$451,$C10,'TL02'!$J$238:$J$451),0),
IF('TL03'!$B$3=N$3,SUMIF('TL03'!$C$10:$C$224,$C10,'TL03'!$J$10:$J$224),0),
IF('TL03'!$B$229=N$3,SUMIF('TL03'!$C$238:$C$451,$C10,'TL03'!$J$238:$J$451),0),
IF('TL04'!$B$3=N$3,SUMIF('TL04'!$C$10:$C$224,$C10,'TL04'!$J$10:$J$224),0),
IF('TL04'!$B$229=N$3,SUMIF('TL04'!$C$238:$C$451,$C10,'TL04'!$J$238:$J$451),0),
IF('TL05'!$B$3=N$3,SUMIF('TL05'!$C$10:$C$224,$C10,'TL05'!$J$10:$J$224),0),
IF('TL05'!$B$229=N$3,SUMIF('TL05'!$C$238:$C$451,$C10,'TL05'!$J$238:$J$451),0),
IF('TL06'!$B$3=N$3,SUMIF('TL06'!$C$10:$C$224,$C10,'TL06'!$J$10:$J$224),0),
IF('TL06'!$B$229=N$3,SUMIF('TL06'!$C$238:$C$451,$C10,'TL06'!$J$238:$J$451),0),
IF('TL07'!$B$3=N$3,SUMIF('TL07'!$C$10:$C$224,$C10,'TL07'!$J$10:$J$224),0),
IF('TL07'!$B$229=N$3,SUMIF('TL07'!$C$238:$C$451,$C10,'TL07'!$J$238:$J$451),0),
IF('TL08'!$B$3=N$3,SUMIF('TL08'!$C$10:$C$224,$C10,'TL08'!$J$10:$J$224),0),
IF('TL08'!$B$229=N$3,SUMIF('TL08'!$C$238:$C$451,$C10,'TL08'!$J$238:$J$451),0),
IF('TL09'!$B$3=N$3,SUMIF('TL09'!$C$10:$C$224,$C10,'TL09'!$J$10:$J$224),0),
IF('TL09'!$B$229=N$3,SUMIF('TL09'!$C$238:$C$451,$C10,'TL09'!$J$238:$J$451),0),
IF('TL10'!$B$3=N$3,SUMIF('TL10'!$C$10:$C$224,$C10,'TL10'!$J$10:$J$224),0),
IF('TL10'!$B$229=N$3,SUMIF('TL10'!$C$238:$C$451,$C10,'TL10'!$J$238:$J$451),0),
IF('TL11'!$B$3=N$3,SUMIF('TL11'!$C$10:$C$224,$C10,'TL11'!$J$10:$J$224),0),
IF('TL11'!$B$229=N$3,SUMIF('TL11'!$C$238:$C$451,$C10,'TL11'!$J$238:$J$451),0),
IF('TL12'!$B$3=N$3,SUMIF('TL12'!$C$10:$C$224,$C10,'TL12'!$J$10:$J$224),0),
IF('TL12'!$B$229=N$3,SUMIF('TL12'!$C$238:$C$451,$C10,'TL12'!$J$238:$J$451),0),
IF('TL13'!$B$3=N$3,SUMIF('TL13'!$C$10:$C$224,$C10,'TL13'!$J$10:$J$224),0),
IF('TL13'!$B$229=N$3,SUMIF('TL13'!$C$238:$C$451,$C10,'TL13'!$J$238:$J$451),0),
IF('TL14'!$B$3=N$3,SUMIF('TL14'!$C$10:$C$224,$C10,'TL14'!$J$10:$J$224),0),
IF('TL14'!$B$229=N$3,SUMIF('TL14'!$C$238:$C$451,$C10,'TL14'!$J$238:$J$451),0),
IF('TL15'!$B$3=N$3,SUMIF('TL15'!$C$10:$C$224,$C10,'TL15'!$J$10:$J$224),0),
IF('TL15'!$B$229=N$3,SUMIF('TL15'!$C$238:$C$451,$C10,'TL15'!$J$238:$J$451),0),
IF('TL16'!$B$3=N$3,SUMIF('TL16'!$C$10:$C$224,$C10,'TL16'!$J$10:$J$224),0),
IF('TL16'!$B$229=N$3,SUMIF('TL16'!$C$238:$C$451,$C10,'TL16'!$J$238:$J$451),0),
IF('TL17'!$B$3=N$3,SUMIF('TL17'!$C$10:$C$224,$C10,'TL17'!$J$10:$J$224),0),
IF('TL17'!$B$229=N$3,SUMIF('TL17'!$C$238:$C$451,$C10,'TL17'!$J$238:$J$451),0),
IF('TL18'!$B$3=N$3,SUMIF('TL18'!$C$10:$C$224,$C10,'TL18'!$J$10:$J$224),0),
IF('TL18'!$B$229=N$3,SUMIF('TL18'!$C$238:$C$451,$C10,'TL18'!$J$238:$J$451),0),
IF('TL19'!$B$3=N$3,SUMIF('TL19'!$C$10:$C$224,$C10,'TL19'!$J$10:$J$224),0),
IF('TL19'!$B$229=N$3,SUMIF('TL19'!$C$238:$C$451,$C10,'TL19'!$J$238:$J$451),0)
),0)</f>
        <v/>
      </c>
      <c r="O10" s="9">
        <f>IFERROR(SUM(
IF('TL01'!$B$3=O$3,SUMIF('TL01'!$C$10:$C$224,$C10,'TL01'!$J$10:$J$224),0),
IF('TL01'!$B$229=O$3,SUMIF('TL01'!$C$238:$C$451,$C10,'TL01'!$J$238:$J$451),0),
IF('TL02'!$B$3=O$3,SUMIF('TL02'!$C$10:$C$224,$C10,'TL02'!$J$10:$J$224),0),
IF('TL02'!$B$229=O$3,SUMIF('TL02'!$C$238:$C$451,$C10,'TL02'!$J$238:$J$451),0),
IF('TL03'!$B$3=O$3,SUMIF('TL03'!$C$10:$C$224,$C10,'TL03'!$J$10:$J$224),0),
IF('TL03'!$B$229=O$3,SUMIF('TL03'!$C$238:$C$451,$C10,'TL03'!$J$238:$J$451),0),
IF('TL04'!$B$3=O$3,SUMIF('TL04'!$C$10:$C$224,$C10,'TL04'!$J$10:$J$224),0),
IF('TL04'!$B$229=O$3,SUMIF('TL04'!$C$238:$C$451,$C10,'TL04'!$J$238:$J$451),0),
IF('TL05'!$B$3=O$3,SUMIF('TL05'!$C$10:$C$224,$C10,'TL05'!$J$10:$J$224),0),
IF('TL05'!$B$229=O$3,SUMIF('TL05'!$C$238:$C$451,$C10,'TL05'!$J$238:$J$451),0),
IF('TL06'!$B$3=O$3,SUMIF('TL06'!$C$10:$C$224,$C10,'TL06'!$J$10:$J$224),0),
IF('TL06'!$B$229=O$3,SUMIF('TL06'!$C$238:$C$451,$C10,'TL06'!$J$238:$J$451),0),
IF('TL07'!$B$3=O$3,SUMIF('TL07'!$C$10:$C$224,$C10,'TL07'!$J$10:$J$224),0),
IF('TL07'!$B$229=O$3,SUMIF('TL07'!$C$238:$C$451,$C10,'TL07'!$J$238:$J$451),0),
IF('TL08'!$B$3=O$3,SUMIF('TL08'!$C$10:$C$224,$C10,'TL08'!$J$10:$J$224),0),
IF('TL08'!$B$229=O$3,SUMIF('TL08'!$C$238:$C$451,$C10,'TL08'!$J$238:$J$451),0),
IF('TL09'!$B$3=O$3,SUMIF('TL09'!$C$10:$C$224,$C10,'TL09'!$J$10:$J$224),0),
IF('TL09'!$B$229=O$3,SUMIF('TL09'!$C$238:$C$451,$C10,'TL09'!$J$238:$J$451),0),
IF('TL10'!$B$3=O$3,SUMIF('TL10'!$C$10:$C$224,$C10,'TL10'!$J$10:$J$224),0),
IF('TL10'!$B$229=O$3,SUMIF('TL10'!$C$238:$C$451,$C10,'TL10'!$J$238:$J$451),0),
IF('TL11'!$B$3=O$3,SUMIF('TL11'!$C$10:$C$224,$C10,'TL11'!$J$10:$J$224),0),
IF('TL11'!$B$229=O$3,SUMIF('TL11'!$C$238:$C$451,$C10,'TL11'!$J$238:$J$451),0),
IF('TL12'!$B$3=O$3,SUMIF('TL12'!$C$10:$C$224,$C10,'TL12'!$J$10:$J$224),0),
IF('TL12'!$B$229=O$3,SUMIF('TL12'!$C$238:$C$451,$C10,'TL12'!$J$238:$J$451),0),
IF('TL13'!$B$3=O$3,SUMIF('TL13'!$C$10:$C$224,$C10,'TL13'!$J$10:$J$224),0),
IF('TL13'!$B$229=O$3,SUMIF('TL13'!$C$238:$C$451,$C10,'TL13'!$J$238:$J$451),0),
IF('TL14'!$B$3=O$3,SUMIF('TL14'!$C$10:$C$224,$C10,'TL14'!$J$10:$J$224),0),
IF('TL14'!$B$229=O$3,SUMIF('TL14'!$C$238:$C$451,$C10,'TL14'!$J$238:$J$451),0),
IF('TL15'!$B$3=O$3,SUMIF('TL15'!$C$10:$C$224,$C10,'TL15'!$J$10:$J$224),0),
IF('TL15'!$B$229=O$3,SUMIF('TL15'!$C$238:$C$451,$C10,'TL15'!$J$238:$J$451),0),
IF('TL16'!$B$3=O$3,SUMIF('TL16'!$C$10:$C$224,$C10,'TL16'!$J$10:$J$224),0),
IF('TL16'!$B$229=O$3,SUMIF('TL16'!$C$238:$C$451,$C10,'TL16'!$J$238:$J$451),0),
IF('TL17'!$B$3=O$3,SUMIF('TL17'!$C$10:$C$224,$C10,'TL17'!$J$10:$J$224),0),
IF('TL17'!$B$229=O$3,SUMIF('TL17'!$C$238:$C$451,$C10,'TL17'!$J$238:$J$451),0),
IF('TL18'!$B$3=O$3,SUMIF('TL18'!$C$10:$C$224,$C10,'TL18'!$J$10:$J$224),0),
IF('TL18'!$B$229=O$3,SUMIF('TL18'!$C$238:$C$451,$C10,'TL18'!$J$238:$J$451),0),
IF('TL19'!$B$3=O$3,SUMIF('TL19'!$C$10:$C$224,$C10,'TL19'!$J$10:$J$224),0),
IF('TL19'!$B$229=O$3,SUMIF('TL19'!$C$238:$C$451,$C10,'TL19'!$J$238:$J$451),0)
),0)</f>
        <v/>
      </c>
      <c r="P10" s="9">
        <f>IFERROR(SUM(
IF('TL01'!$B$3=P$3,SUMIF('TL01'!$C$10:$C$224,$C10,'TL01'!$J$10:$J$224),0),
IF('TL01'!$B$229=P$3,SUMIF('TL01'!$C$238:$C$451,$C10,'TL01'!$J$238:$J$451),0),
IF('TL02'!$B$3=P$3,SUMIF('TL02'!$C$10:$C$224,$C10,'TL02'!$J$10:$J$224),0),
IF('TL02'!$B$229=P$3,SUMIF('TL02'!$C$238:$C$451,$C10,'TL02'!$J$238:$J$451),0),
IF('TL03'!$B$3=P$3,SUMIF('TL03'!$C$10:$C$224,$C10,'TL03'!$J$10:$J$224),0),
IF('TL03'!$B$229=P$3,SUMIF('TL03'!$C$238:$C$451,$C10,'TL03'!$J$238:$J$451),0),
IF('TL04'!$B$3=P$3,SUMIF('TL04'!$C$10:$C$224,$C10,'TL04'!$J$10:$J$224),0),
IF('TL04'!$B$229=P$3,SUMIF('TL04'!$C$238:$C$451,$C10,'TL04'!$J$238:$J$451),0),
IF('TL05'!$B$3=P$3,SUMIF('TL05'!$C$10:$C$224,$C10,'TL05'!$J$10:$J$224),0),
IF('TL05'!$B$229=P$3,SUMIF('TL05'!$C$238:$C$451,$C10,'TL05'!$J$238:$J$451),0),
IF('TL06'!$B$3=P$3,SUMIF('TL06'!$C$10:$C$224,$C10,'TL06'!$J$10:$J$224),0),
IF('TL06'!$B$229=P$3,SUMIF('TL06'!$C$238:$C$451,$C10,'TL06'!$J$238:$J$451),0),
IF('TL07'!$B$3=P$3,SUMIF('TL07'!$C$10:$C$224,$C10,'TL07'!$J$10:$J$224),0),
IF('TL07'!$B$229=P$3,SUMIF('TL07'!$C$238:$C$451,$C10,'TL07'!$J$238:$J$451),0),
IF('TL08'!$B$3=P$3,SUMIF('TL08'!$C$10:$C$224,$C10,'TL08'!$J$10:$J$224),0),
IF('TL08'!$B$229=P$3,SUMIF('TL08'!$C$238:$C$451,$C10,'TL08'!$J$238:$J$451),0),
IF('TL09'!$B$3=P$3,SUMIF('TL09'!$C$10:$C$224,$C10,'TL09'!$J$10:$J$224),0),
IF('TL09'!$B$229=P$3,SUMIF('TL09'!$C$238:$C$451,$C10,'TL09'!$J$238:$J$451),0),
IF('TL10'!$B$3=P$3,SUMIF('TL10'!$C$10:$C$224,$C10,'TL10'!$J$10:$J$224),0),
IF('TL10'!$B$229=P$3,SUMIF('TL10'!$C$238:$C$451,$C10,'TL10'!$J$238:$J$451),0),
IF('TL11'!$B$3=P$3,SUMIF('TL11'!$C$10:$C$224,$C10,'TL11'!$J$10:$J$224),0),
IF('TL11'!$B$229=P$3,SUMIF('TL11'!$C$238:$C$451,$C10,'TL11'!$J$238:$J$451),0),
IF('TL12'!$B$3=P$3,SUMIF('TL12'!$C$10:$C$224,$C10,'TL12'!$J$10:$J$224),0),
IF('TL12'!$B$229=P$3,SUMIF('TL12'!$C$238:$C$451,$C10,'TL12'!$J$238:$J$451),0),
IF('TL13'!$B$3=P$3,SUMIF('TL13'!$C$10:$C$224,$C10,'TL13'!$J$10:$J$224),0),
IF('TL13'!$B$229=P$3,SUMIF('TL13'!$C$238:$C$451,$C10,'TL13'!$J$238:$J$451),0),
IF('TL14'!$B$3=P$3,SUMIF('TL14'!$C$10:$C$224,$C10,'TL14'!$J$10:$J$224),0),
IF('TL14'!$B$229=P$3,SUMIF('TL14'!$C$238:$C$451,$C10,'TL14'!$J$238:$J$451),0),
IF('TL15'!$B$3=P$3,SUMIF('TL15'!$C$10:$C$224,$C10,'TL15'!$J$10:$J$224),0),
IF('TL15'!$B$229=P$3,SUMIF('TL15'!$C$238:$C$451,$C10,'TL15'!$J$238:$J$451),0),
IF('TL16'!$B$3=P$3,SUMIF('TL16'!$C$10:$C$224,$C10,'TL16'!$J$10:$J$224),0),
IF('TL16'!$B$229=P$3,SUMIF('TL16'!$C$238:$C$451,$C10,'TL16'!$J$238:$J$451),0),
IF('TL17'!$B$3=P$3,SUMIF('TL17'!$C$10:$C$224,$C10,'TL17'!$J$10:$J$224),0),
IF('TL17'!$B$229=P$3,SUMIF('TL17'!$C$238:$C$451,$C10,'TL17'!$J$238:$J$451),0),
IF('TL18'!$B$3=P$3,SUMIF('TL18'!$C$10:$C$224,$C10,'TL18'!$J$10:$J$224),0),
IF('TL18'!$B$229=P$3,SUMIF('TL18'!$C$238:$C$451,$C10,'TL18'!$J$238:$J$451),0),
IF('TL19'!$B$3=P$3,SUMIF('TL19'!$C$10:$C$224,$C10,'TL19'!$J$10:$J$224),0),
IF('TL19'!$B$229=P$3,SUMIF('TL19'!$C$238:$C$451,$C10,'TL19'!$J$238:$J$451),0)
),0)</f>
        <v/>
      </c>
      <c r="Q10" s="9">
        <f>IFERROR(SUM(
IF('TL01'!$B$3=Q$3,SUMIF('TL01'!$C$10:$C$224,$C10,'TL01'!$J$10:$J$224),0),
IF('TL01'!$B$229=Q$3,SUMIF('TL01'!$C$238:$C$451,$C10,'TL01'!$J$238:$J$451),0),
IF('TL02'!$B$3=Q$3,SUMIF('TL02'!$C$10:$C$224,$C10,'TL02'!$J$10:$J$224),0),
IF('TL02'!$B$229=Q$3,SUMIF('TL02'!$C$238:$C$451,$C10,'TL02'!$J$238:$J$451),0),
IF('TL03'!$B$3=Q$3,SUMIF('TL03'!$C$10:$C$224,$C10,'TL03'!$J$10:$J$224),0),
IF('TL03'!$B$229=Q$3,SUMIF('TL03'!$C$238:$C$451,$C10,'TL03'!$J$238:$J$451),0),
IF('TL04'!$B$3=Q$3,SUMIF('TL04'!$C$10:$C$224,$C10,'TL04'!$J$10:$J$224),0),
IF('TL04'!$B$229=Q$3,SUMIF('TL04'!$C$238:$C$451,$C10,'TL04'!$J$238:$J$451),0),
IF('TL05'!$B$3=Q$3,SUMIF('TL05'!$C$10:$C$224,$C10,'TL05'!$J$10:$J$224),0),
IF('TL05'!$B$229=Q$3,SUMIF('TL05'!$C$238:$C$451,$C10,'TL05'!$J$238:$J$451),0),
IF('TL06'!$B$3=Q$3,SUMIF('TL06'!$C$10:$C$224,$C10,'TL06'!$J$10:$J$224),0),
IF('TL06'!$B$229=Q$3,SUMIF('TL06'!$C$238:$C$451,$C10,'TL06'!$J$238:$J$451),0),
IF('TL07'!$B$3=Q$3,SUMIF('TL07'!$C$10:$C$224,$C10,'TL07'!$J$10:$J$224),0),
IF('TL07'!$B$229=Q$3,SUMIF('TL07'!$C$238:$C$451,$C10,'TL07'!$J$238:$J$451),0),
IF('TL08'!$B$3=Q$3,SUMIF('TL08'!$C$10:$C$224,$C10,'TL08'!$J$10:$J$224),0),
IF('TL08'!$B$229=Q$3,SUMIF('TL08'!$C$238:$C$451,$C10,'TL08'!$J$238:$J$451),0),
IF('TL09'!$B$3=Q$3,SUMIF('TL09'!$C$10:$C$224,$C10,'TL09'!$J$10:$J$224),0),
IF('TL09'!$B$229=Q$3,SUMIF('TL09'!$C$238:$C$451,$C10,'TL09'!$J$238:$J$451),0),
IF('TL10'!$B$3=Q$3,SUMIF('TL10'!$C$10:$C$224,$C10,'TL10'!$J$10:$J$224),0),
IF('TL10'!$B$229=Q$3,SUMIF('TL10'!$C$238:$C$451,$C10,'TL10'!$J$238:$J$451),0),
IF('TL11'!$B$3=Q$3,SUMIF('TL11'!$C$10:$C$224,$C10,'TL11'!$J$10:$J$224),0),
IF('TL11'!$B$229=Q$3,SUMIF('TL11'!$C$238:$C$451,$C10,'TL11'!$J$238:$J$451),0),
IF('TL12'!$B$3=Q$3,SUMIF('TL12'!$C$10:$C$224,$C10,'TL12'!$J$10:$J$224),0),
IF('TL12'!$B$229=Q$3,SUMIF('TL12'!$C$238:$C$451,$C10,'TL12'!$J$238:$J$451),0),
IF('TL13'!$B$3=Q$3,SUMIF('TL13'!$C$10:$C$224,$C10,'TL13'!$J$10:$J$224),0),
IF('TL13'!$B$229=Q$3,SUMIF('TL13'!$C$238:$C$451,$C10,'TL13'!$J$238:$J$451),0),
IF('TL14'!$B$3=Q$3,SUMIF('TL14'!$C$10:$C$224,$C10,'TL14'!$J$10:$J$224),0),
IF('TL14'!$B$229=Q$3,SUMIF('TL14'!$C$238:$C$451,$C10,'TL14'!$J$238:$J$451),0),
IF('TL15'!$B$3=Q$3,SUMIF('TL15'!$C$10:$C$224,$C10,'TL15'!$J$10:$J$224),0),
IF('TL15'!$B$229=Q$3,SUMIF('TL15'!$C$238:$C$451,$C10,'TL15'!$J$238:$J$451),0),
IF('TL16'!$B$3=Q$3,SUMIF('TL16'!$C$10:$C$224,$C10,'TL16'!$J$10:$J$224),0),
IF('TL16'!$B$229=Q$3,SUMIF('TL16'!$C$238:$C$451,$C10,'TL16'!$J$238:$J$451),0),
IF('TL17'!$B$3=Q$3,SUMIF('TL17'!$C$10:$C$224,$C10,'TL17'!$J$10:$J$224),0),
IF('TL17'!$B$229=Q$3,SUMIF('TL17'!$C$238:$C$451,$C10,'TL17'!$J$238:$J$451),0),
IF('TL18'!$B$3=Q$3,SUMIF('TL18'!$C$10:$C$224,$C10,'TL18'!$J$10:$J$224),0),
IF('TL18'!$B$229=Q$3,SUMIF('TL18'!$C$238:$C$451,$C10,'TL18'!$J$238:$J$451),0),
IF('TL19'!$B$3=Q$3,SUMIF('TL19'!$C$10:$C$224,$C10,'TL19'!$J$10:$J$224),0),
IF('TL19'!$B$229=Q$3,SUMIF('TL19'!$C$238:$C$451,$C10,'TL19'!$J$238:$J$451),0)
),0)</f>
        <v/>
      </c>
      <c r="R10" s="9">
        <f>IFERROR(
SUM(
SUMIF('TL01'!C:C,C10,'TL01'!J:J),
SUMIF('TL02'!C:C,C10,'TL02'!J:J),
SUMIF('TL03'!C:C,C10,'TL03'!J:J),
SUMIF('TL04'!C:C,C10,'TL04'!J:J),
SUMIF('TL05'!C:C,C10,'TL05'!J:J),
SUMIF('TL06'!C:C,C10,'TL06'!J:J),
SUMIF('TL07'!C:C,C10,'TL07'!J:J),
SUMIF('TL08'!C:C,C10,'TL08'!J:J),
SUMIF('TL09'!C:C,C10,'TL09'!J:J),
SUMIF('TL10'!C:C,C10,'TL10'!J:J),
SUMIF('TL11'!C:C,C10,'TL11'!J:J),
SUMIF('TL12'!C:C,C10,'TL12'!J:J),
SUMIF('TL13'!C:C,C10,'TL13'!J:J),
SUMIF('TL14'!C:C,C10,'TL14'!J:J),
SUMIF('TL15'!C:C,C10,'TL15'!J:J),
SUMIF('TL16'!C:C,C10,'TL16'!J:J),
SUMIF('TL17'!C:C,C10,'TL17'!J:J),
SUMIF('TL18'!C:C,C10,'TL18'!J:J),SUMIF('TL19'!C:C,C10,'TL19'!J:J))
,0)</f>
        <v/>
      </c>
      <c r="S10" s="17">
        <f>IFERROR(__xludf.DUMMYFUNCTION("IFERROR(VLOOKUP(C10,
IMPORTRANGE(""1wULbzX32WdYsx-lj2U3uUNBBe2INVIRDtcK0d-Dvl90"",
""26-27!C:G""),
5,
FALSE),
"""")"),28.56546)</f>
        <v/>
      </c>
      <c r="T10" s="9" t="n"/>
      <c r="U10" s="92">
        <f>MAX(0,R10-T10)</f>
        <v/>
      </c>
      <c r="V10" s="93">
        <f>U10*S10</f>
        <v/>
      </c>
    </row>
    <row r="11" hidden="1" ht="22.5" customHeight="1" s="297">
      <c r="A11" s="94" t="inlineStr">
        <is>
          <t>SYNGENTA</t>
        </is>
      </c>
      <c r="B11" s="95" t="inlineStr">
        <is>
          <t>ADJUVANTE</t>
        </is>
      </c>
      <c r="C11" s="96" t="inlineStr">
        <is>
          <t>EXTRAVON</t>
        </is>
      </c>
      <c r="D11" s="96" t="inlineStr">
        <is>
          <t>ETILENOXI</t>
        </is>
      </c>
      <c r="E11" s="96" t="n">
        <v>200</v>
      </c>
      <c r="F11" s="4" t="inlineStr">
        <is>
          <t>L</t>
        </is>
      </c>
      <c r="G11" s="90">
        <f>HYPERLINK("https://www.google.com/search?q=" &amp; C11 &amp; "+bula+agrofit+pdf", "📄 Ver bula")</f>
        <v/>
      </c>
      <c r="H11" s="9">
        <f>IFERROR(__xludf.DUMMYFUNCTION("IFERROR(VLOOKUP(C11,
IMPORTRANGE(""1wULbzX32WdYsx-lj2U3uUNBBe2INVIRDtcK0d-Dvl90"",
""26-27!C:K""),
8,
FALSE),
"""")"),0.01)</f>
        <v/>
      </c>
      <c r="I11" s="97" t="inlineStr">
        <is>
          <t>4X5</t>
        </is>
      </c>
      <c r="J11" s="9">
        <f>IFERROR(SUM(
IF('TL01'!$B$3=J$3,SUMIF('TL01'!$C$10:$C$224,$C11,'TL01'!$J$10:$J$224),0),
IF('TL01'!$B$229=J$3,SUMIF('TL01'!$C$238:$C$451,$C11,'TL01'!$J$238:$J$451),0),
IF('TL02'!$B$3=J$3,SUMIF('TL02'!$C$10:$C$224,$C11,'TL02'!$J$10:$J$224),0),
IF('TL02'!$B$229=J$3,SUMIF('TL02'!$C$238:$C$451,$C11,'TL02'!$J$238:$J$451),0),
IF('TL03'!$B$3=J$3,SUMIF('TL03'!$C$10:$C$224,$C11,'TL03'!$J$10:$J$224),0),
IF('TL03'!$B$229=J$3,SUMIF('TL03'!$C$238:$C$451,$C11,'TL03'!$J$238:$J$451),0),
IF('TL04'!$B$3=J$3,SUMIF('TL04'!$C$10:$C$224,$C11,'TL04'!$J$10:$J$224),0),
IF('TL04'!$B$229=J$3,SUMIF('TL04'!$C$238:$C$451,$C11,'TL04'!$J$238:$J$451),0),
IF('TL05'!$B$3=J$3,SUMIF('TL05'!$C$10:$C$224,$C11,'TL05'!$J$10:$J$224),0),
IF('TL05'!$B$229=J$3,SUMIF('TL05'!$C$238:$C$451,$C11,'TL05'!$J$238:$J$451),0),
IF('TL06'!$B$3=J$3,SUMIF('TL06'!$C$10:$C$224,$C11,'TL06'!$J$10:$J$224),0),
IF('TL06'!$B$229=J$3,SUMIF('TL06'!$C$238:$C$451,$C11,'TL06'!$J$238:$J$451),0),
IF('TL07'!$B$3=J$3,SUMIF('TL07'!$C$10:$C$224,$C11,'TL07'!$J$10:$J$224),0),
IF('TL07'!$B$229=J$3,SUMIF('TL07'!$C$238:$C$451,$C11,'TL07'!$J$238:$J$451),0),
IF('TL08'!$B$3=J$3,SUMIF('TL08'!$C$10:$C$224,$C11,'TL08'!$J$10:$J$224),0),
IF('TL08'!$B$229=J$3,SUMIF('TL08'!$C$238:$C$451,$C11,'TL08'!$J$238:$J$451),0),
IF('TL09'!$B$3=J$3,SUMIF('TL09'!$C$10:$C$224,$C11,'TL09'!$J$10:$J$224),0),
IF('TL09'!$B$229=J$3,SUMIF('TL09'!$C$238:$C$451,$C11,'TL09'!$J$238:$J$451),0),
IF('TL10'!$B$3=J$3,SUMIF('TL10'!$C$10:$C$224,$C11,'TL10'!$J$10:$J$224),0),
IF('TL10'!$B$229=J$3,SUMIF('TL10'!$C$238:$C$451,$C11,'TL10'!$J$238:$J$451),0),
IF('TL11'!$B$3=J$3,SUMIF('TL11'!$C$10:$C$224,$C11,'TL11'!$J$10:$J$224),0),
IF('TL11'!$B$229=J$3,SUMIF('TL11'!$C$238:$C$451,$C11,'TL11'!$J$238:$J$451),0),
IF('TL12'!$B$3=J$3,SUMIF('TL12'!$C$10:$C$224,$C11,'TL12'!$J$10:$J$224),0),
IF('TL12'!$B$229=J$3,SUMIF('TL12'!$C$238:$C$451,$C11,'TL12'!$J$238:$J$451),0),
IF('TL13'!$B$3=J$3,SUMIF('TL13'!$C$10:$C$224,$C11,'TL13'!$J$10:$J$224),0),
IF('TL13'!$B$229=J$3,SUMIF('TL13'!$C$238:$C$451,$C11,'TL13'!$J$238:$J$451),0),
IF('TL14'!$B$3=J$3,SUMIF('TL14'!$C$10:$C$224,$C11,'TL14'!$J$10:$J$224),0),
IF('TL14'!$B$229=J$3,SUMIF('TL14'!$C$238:$C$451,$C11,'TL14'!$J$238:$J$451),0),
IF('TL15'!$B$3=J$3,SUMIF('TL15'!$C$10:$C$224,$C11,'TL15'!$J$10:$J$224),0),
IF('TL15'!$B$229=J$3,SUMIF('TL15'!$C$238:$C$451,$C11,'TL15'!$J$238:$J$451),0),
IF('TL16'!$B$3=J$3,SUMIF('TL16'!$C$10:$C$224,$C11,'TL16'!$J$10:$J$224),0),
IF('TL16'!$B$229=J$3,SUMIF('TL16'!$C$238:$C$451,$C11,'TL16'!$J$238:$J$451),0),
IF('TL17'!$B$3=J$3,SUMIF('TL17'!$C$10:$C$224,$C11,'TL17'!$J$10:$J$224),0),
IF('TL17'!$B$229=J$3,SUMIF('TL17'!$C$238:$C$451,$C11,'TL17'!$J$238:$J$451),0),
IF('TL18'!$B$3=J$3,SUMIF('TL18'!$C$10:$C$224,$C11,'TL18'!$J$10:$J$224),0),
IF('TL18'!$B$229=J$3,SUMIF('TL18'!$C$238:$C$451,$C11,'TL18'!$J$238:$J$451),0),
IF('TL19'!$B$3=J$3,SUMIF('TL19'!$C$10:$C$224,$C11,'TL19'!$J$10:$J$224),0),
IF('TL19'!$B$229=J$3,SUMIF('TL19'!$C$238:$C$451,$C11,'TL19'!$J$238:$J$451),0)
),0)</f>
        <v/>
      </c>
      <c r="K11" s="9">
        <f>IFERROR(SUM(
IF('TL01'!$B$3=K$3,SUMIF('TL01'!$C$10:$C$224,$C11,'TL01'!$J$10:$J$224),0),
IF('TL01'!$B$229=K$3,SUMIF('TL01'!$C$238:$C$451,$C11,'TL01'!$J$238:$J$451),0),
IF('TL02'!$B$3=K$3,SUMIF('TL02'!$C$10:$C$224,$C11,'TL02'!$J$10:$J$224),0),
IF('TL02'!$B$229=K$3,SUMIF('TL02'!$C$238:$C$451,$C11,'TL02'!$J$238:$J$451),0),
IF('TL03'!$B$3=K$3,SUMIF('TL03'!$C$10:$C$224,$C11,'TL03'!$J$10:$J$224),0),
IF('TL03'!$B$229=K$3,SUMIF('TL03'!$C$238:$C$451,$C11,'TL03'!$J$238:$J$451),0),
IF('TL04'!$B$3=K$3,SUMIF('TL04'!$C$10:$C$224,$C11,'TL04'!$J$10:$J$224),0),
IF('TL04'!$B$229=K$3,SUMIF('TL04'!$C$238:$C$451,$C11,'TL04'!$J$238:$J$451),0),
IF('TL05'!$B$3=K$3,SUMIF('TL05'!$C$10:$C$224,$C11,'TL05'!$J$10:$J$224),0),
IF('TL05'!$B$229=K$3,SUMIF('TL05'!$C$238:$C$451,$C11,'TL05'!$J$238:$J$451),0),
IF('TL06'!$B$3=K$3,SUMIF('TL06'!$C$10:$C$224,$C11,'TL06'!$J$10:$J$224),0),
IF('TL06'!$B$229=K$3,SUMIF('TL06'!$C$238:$C$451,$C11,'TL06'!$J$238:$J$451),0),
IF('TL07'!$B$3=K$3,SUMIF('TL07'!$C$10:$C$224,$C11,'TL07'!$J$10:$J$224),0),
IF('TL07'!$B$229=K$3,SUMIF('TL07'!$C$238:$C$451,$C11,'TL07'!$J$238:$J$451),0),
IF('TL08'!$B$3=K$3,SUMIF('TL08'!$C$10:$C$224,$C11,'TL08'!$J$10:$J$224),0),
IF('TL08'!$B$229=K$3,SUMIF('TL08'!$C$238:$C$451,$C11,'TL08'!$J$238:$J$451),0),
IF('TL09'!$B$3=K$3,SUMIF('TL09'!$C$10:$C$224,$C11,'TL09'!$J$10:$J$224),0),
IF('TL09'!$B$229=K$3,SUMIF('TL09'!$C$238:$C$451,$C11,'TL09'!$J$238:$J$451),0),
IF('TL10'!$B$3=K$3,SUMIF('TL10'!$C$10:$C$224,$C11,'TL10'!$J$10:$J$224),0),
IF('TL10'!$B$229=K$3,SUMIF('TL10'!$C$238:$C$451,$C11,'TL10'!$J$238:$J$451),0),
IF('TL11'!$B$3=K$3,SUMIF('TL11'!$C$10:$C$224,$C11,'TL11'!$J$10:$J$224),0),
IF('TL11'!$B$229=K$3,SUMIF('TL11'!$C$238:$C$451,$C11,'TL11'!$J$238:$J$451),0),
IF('TL12'!$B$3=K$3,SUMIF('TL12'!$C$10:$C$224,$C11,'TL12'!$J$10:$J$224),0),
IF('TL12'!$B$229=K$3,SUMIF('TL12'!$C$238:$C$451,$C11,'TL12'!$J$238:$J$451),0),
IF('TL13'!$B$3=K$3,SUMIF('TL13'!$C$10:$C$224,$C11,'TL13'!$J$10:$J$224),0),
IF('TL13'!$B$229=K$3,SUMIF('TL13'!$C$238:$C$451,$C11,'TL13'!$J$238:$J$451),0),
IF('TL14'!$B$3=K$3,SUMIF('TL14'!$C$10:$C$224,$C11,'TL14'!$J$10:$J$224),0),
IF('TL14'!$B$229=K$3,SUMIF('TL14'!$C$238:$C$451,$C11,'TL14'!$J$238:$J$451),0),
IF('TL15'!$B$3=K$3,SUMIF('TL15'!$C$10:$C$224,$C11,'TL15'!$J$10:$J$224),0),
IF('TL15'!$B$229=K$3,SUMIF('TL15'!$C$238:$C$451,$C11,'TL15'!$J$238:$J$451),0),
IF('TL16'!$B$3=K$3,SUMIF('TL16'!$C$10:$C$224,$C11,'TL16'!$J$10:$J$224),0),
IF('TL16'!$B$229=K$3,SUMIF('TL16'!$C$238:$C$451,$C11,'TL16'!$J$238:$J$451),0),
IF('TL17'!$B$3=K$3,SUMIF('TL17'!$C$10:$C$224,$C11,'TL17'!$J$10:$J$224),0),
IF('TL17'!$B$229=K$3,SUMIF('TL17'!$C$238:$C$451,$C11,'TL17'!$J$238:$J$451),0),
IF('TL18'!$B$3=K$3,SUMIF('TL18'!$C$10:$C$224,$C11,'TL18'!$J$10:$J$224),0),
IF('TL18'!$B$229=K$3,SUMIF('TL18'!$C$238:$C$451,$C11,'TL18'!$J$238:$J$451),0),
IF('TL19'!$B$3=K$3,SUMIF('TL19'!$C$10:$C$224,$C11,'TL19'!$J$10:$J$224),0),
IF('TL19'!$B$229=K$3,SUMIF('TL19'!$C$238:$C$451,$C11,'TL19'!$J$238:$J$451),0)
),0)</f>
        <v/>
      </c>
      <c r="L11" s="9">
        <f>IFERROR(SUM(
IF('TL01'!$B$3=L$3,SUMIF('TL01'!$C$10:$C$224,$C11,'TL01'!$J$10:$J$224),0),
IF('TL01'!$B$229=L$3,SUMIF('TL01'!$C$238:$C$451,$C11,'TL01'!$J$238:$J$451),0),
IF('TL02'!$B$3=L$3,SUMIF('TL02'!$C$10:$C$224,$C11,'TL02'!$J$10:$J$224),0),
IF('TL02'!$B$229=L$3,SUMIF('TL02'!$C$238:$C$451,$C11,'TL02'!$J$238:$J$451),0),
IF('TL03'!$B$3=L$3,SUMIF('TL03'!$C$10:$C$224,$C11,'TL03'!$J$10:$J$224),0),
IF('TL03'!$B$229=L$3,SUMIF('TL03'!$C$238:$C$451,$C11,'TL03'!$J$238:$J$451),0),
IF('TL04'!$B$3=L$3,SUMIF('TL04'!$C$10:$C$224,$C11,'TL04'!$J$10:$J$224),0),
IF('TL04'!$B$229=L$3,SUMIF('TL04'!$C$238:$C$451,$C11,'TL04'!$J$238:$J$451),0),
IF('TL05'!$B$3=L$3,SUMIF('TL05'!$C$10:$C$224,$C11,'TL05'!$J$10:$J$224),0),
IF('TL05'!$B$229=L$3,SUMIF('TL05'!$C$238:$C$451,$C11,'TL05'!$J$238:$J$451),0),
IF('TL06'!$B$3=L$3,SUMIF('TL06'!$C$10:$C$224,$C11,'TL06'!$J$10:$J$224),0),
IF('TL06'!$B$229=L$3,SUMIF('TL06'!$C$238:$C$451,$C11,'TL06'!$J$238:$J$451),0),
IF('TL07'!$B$3=L$3,SUMIF('TL07'!$C$10:$C$224,$C11,'TL07'!$J$10:$J$224),0),
IF('TL07'!$B$229=L$3,SUMIF('TL07'!$C$238:$C$451,$C11,'TL07'!$J$238:$J$451),0),
IF('TL08'!$B$3=L$3,SUMIF('TL08'!$C$10:$C$224,$C11,'TL08'!$J$10:$J$224),0),
IF('TL08'!$B$229=L$3,SUMIF('TL08'!$C$238:$C$451,$C11,'TL08'!$J$238:$J$451),0),
IF('TL09'!$B$3=L$3,SUMIF('TL09'!$C$10:$C$224,$C11,'TL09'!$J$10:$J$224),0),
IF('TL09'!$B$229=L$3,SUMIF('TL09'!$C$238:$C$451,$C11,'TL09'!$J$238:$J$451),0),
IF('TL10'!$B$3=L$3,SUMIF('TL10'!$C$10:$C$224,$C11,'TL10'!$J$10:$J$224),0),
IF('TL10'!$B$229=L$3,SUMIF('TL10'!$C$238:$C$451,$C11,'TL10'!$J$238:$J$451),0),
IF('TL11'!$B$3=L$3,SUMIF('TL11'!$C$10:$C$224,$C11,'TL11'!$J$10:$J$224),0),
IF('TL11'!$B$229=L$3,SUMIF('TL11'!$C$238:$C$451,$C11,'TL11'!$J$238:$J$451),0),
IF('TL12'!$B$3=L$3,SUMIF('TL12'!$C$10:$C$224,$C11,'TL12'!$J$10:$J$224),0),
IF('TL12'!$B$229=L$3,SUMIF('TL12'!$C$238:$C$451,$C11,'TL12'!$J$238:$J$451),0),
IF('TL13'!$B$3=L$3,SUMIF('TL13'!$C$10:$C$224,$C11,'TL13'!$J$10:$J$224),0),
IF('TL13'!$B$229=L$3,SUMIF('TL13'!$C$238:$C$451,$C11,'TL13'!$J$238:$J$451),0),
IF('TL14'!$B$3=L$3,SUMIF('TL14'!$C$10:$C$224,$C11,'TL14'!$J$10:$J$224),0),
IF('TL14'!$B$229=L$3,SUMIF('TL14'!$C$238:$C$451,$C11,'TL14'!$J$238:$J$451),0),
IF('TL15'!$B$3=L$3,SUMIF('TL15'!$C$10:$C$224,$C11,'TL15'!$J$10:$J$224),0),
IF('TL15'!$B$229=L$3,SUMIF('TL15'!$C$238:$C$451,$C11,'TL15'!$J$238:$J$451),0),
IF('TL16'!$B$3=L$3,SUMIF('TL16'!$C$10:$C$224,$C11,'TL16'!$J$10:$J$224),0),
IF('TL16'!$B$229=L$3,SUMIF('TL16'!$C$238:$C$451,$C11,'TL16'!$J$238:$J$451),0),
IF('TL17'!$B$3=L$3,SUMIF('TL17'!$C$10:$C$224,$C11,'TL17'!$J$10:$J$224),0),
IF('TL17'!$B$229=L$3,SUMIF('TL17'!$C$238:$C$451,$C11,'TL17'!$J$238:$J$451),0),
IF('TL18'!$B$3=L$3,SUMIF('TL18'!$C$10:$C$224,$C11,'TL18'!$J$10:$J$224),0),
IF('TL18'!$B$229=L$3,SUMIF('TL18'!$C$238:$C$451,$C11,'TL18'!$J$238:$J$451),0),
IF('TL19'!$B$3=L$3,SUMIF('TL19'!$C$10:$C$224,$C11,'TL19'!$J$10:$J$224),0),
IF('TL19'!$B$229=L$3,SUMIF('TL19'!$C$238:$C$451,$C11,'TL19'!$J$238:$J$451),0)
),0)</f>
        <v/>
      </c>
      <c r="M11" s="9">
        <f>IFERROR(SUM(
IF('TL01'!$B$3=M$3,SUMIF('TL01'!$C$10:$C$224,$C11,'TL01'!$J$10:$J$224),0),
IF('TL01'!$B$229=M$3,SUMIF('TL01'!$C$238:$C$451,$C11,'TL01'!$J$238:$J$451),0),
IF('TL02'!$B$3=M$3,SUMIF('TL02'!$C$10:$C$224,$C11,'TL02'!$J$10:$J$224),0),
IF('TL02'!$B$229=M$3,SUMIF('TL02'!$C$238:$C$451,$C11,'TL02'!$J$238:$J$451),0),
IF('TL03'!$B$3=M$3,SUMIF('TL03'!$C$10:$C$224,$C11,'TL03'!$J$10:$J$224),0),
IF('TL03'!$B$229=M$3,SUMIF('TL03'!$C$238:$C$451,$C11,'TL03'!$J$238:$J$451),0),
IF('TL04'!$B$3=M$3,SUMIF('TL04'!$C$10:$C$224,$C11,'TL04'!$J$10:$J$224),0),
IF('TL04'!$B$229=M$3,SUMIF('TL04'!$C$238:$C$451,$C11,'TL04'!$J$238:$J$451),0),
IF('TL05'!$B$3=M$3,SUMIF('TL05'!$C$10:$C$224,$C11,'TL05'!$J$10:$J$224),0),
IF('TL05'!$B$229=M$3,SUMIF('TL05'!$C$238:$C$451,$C11,'TL05'!$J$238:$J$451),0),
IF('TL06'!$B$3=M$3,SUMIF('TL06'!$C$10:$C$224,$C11,'TL06'!$J$10:$J$224),0),
IF('TL06'!$B$229=M$3,SUMIF('TL06'!$C$238:$C$451,$C11,'TL06'!$J$238:$J$451),0),
IF('TL07'!$B$3=M$3,SUMIF('TL07'!$C$10:$C$224,$C11,'TL07'!$J$10:$J$224),0),
IF('TL07'!$B$229=M$3,SUMIF('TL07'!$C$238:$C$451,$C11,'TL07'!$J$238:$J$451),0),
IF('TL08'!$B$3=M$3,SUMIF('TL08'!$C$10:$C$224,$C11,'TL08'!$J$10:$J$224),0),
IF('TL08'!$B$229=M$3,SUMIF('TL08'!$C$238:$C$451,$C11,'TL08'!$J$238:$J$451),0),
IF('TL09'!$B$3=M$3,SUMIF('TL09'!$C$10:$C$224,$C11,'TL09'!$J$10:$J$224),0),
IF('TL09'!$B$229=M$3,SUMIF('TL09'!$C$238:$C$451,$C11,'TL09'!$J$238:$J$451),0),
IF('TL10'!$B$3=M$3,SUMIF('TL10'!$C$10:$C$224,$C11,'TL10'!$J$10:$J$224),0),
IF('TL10'!$B$229=M$3,SUMIF('TL10'!$C$238:$C$451,$C11,'TL10'!$J$238:$J$451),0),
IF('TL11'!$B$3=M$3,SUMIF('TL11'!$C$10:$C$224,$C11,'TL11'!$J$10:$J$224),0),
IF('TL11'!$B$229=M$3,SUMIF('TL11'!$C$238:$C$451,$C11,'TL11'!$J$238:$J$451),0),
IF('TL12'!$B$3=M$3,SUMIF('TL12'!$C$10:$C$224,$C11,'TL12'!$J$10:$J$224),0),
IF('TL12'!$B$229=M$3,SUMIF('TL12'!$C$238:$C$451,$C11,'TL12'!$J$238:$J$451),0),
IF('TL13'!$B$3=M$3,SUMIF('TL13'!$C$10:$C$224,$C11,'TL13'!$J$10:$J$224),0),
IF('TL13'!$B$229=M$3,SUMIF('TL13'!$C$238:$C$451,$C11,'TL13'!$J$238:$J$451),0),
IF('TL14'!$B$3=M$3,SUMIF('TL14'!$C$10:$C$224,$C11,'TL14'!$J$10:$J$224),0),
IF('TL14'!$B$229=M$3,SUMIF('TL14'!$C$238:$C$451,$C11,'TL14'!$J$238:$J$451),0),
IF('TL15'!$B$3=M$3,SUMIF('TL15'!$C$10:$C$224,$C11,'TL15'!$J$10:$J$224),0),
IF('TL15'!$B$229=M$3,SUMIF('TL15'!$C$238:$C$451,$C11,'TL15'!$J$238:$J$451),0),
IF('TL16'!$B$3=M$3,SUMIF('TL16'!$C$10:$C$224,$C11,'TL16'!$J$10:$J$224),0),
IF('TL16'!$B$229=M$3,SUMIF('TL16'!$C$238:$C$451,$C11,'TL16'!$J$238:$J$451),0),
IF('TL17'!$B$3=M$3,SUMIF('TL17'!$C$10:$C$224,$C11,'TL17'!$J$10:$J$224),0),
IF('TL17'!$B$229=M$3,SUMIF('TL17'!$C$238:$C$451,$C11,'TL17'!$J$238:$J$451),0),
IF('TL18'!$B$3=M$3,SUMIF('TL18'!$C$10:$C$224,$C11,'TL18'!$J$10:$J$224),0),
IF('TL18'!$B$229=M$3,SUMIF('TL18'!$C$238:$C$451,$C11,'TL18'!$J$238:$J$451),0),
IF('TL19'!$B$3=M$3,SUMIF('TL19'!$C$10:$C$224,$C11,'TL19'!$J$10:$J$224),0),
IF('TL19'!$B$229=M$3,SUMIF('TL19'!$C$238:$C$451,$C11,'TL19'!$J$238:$J$451),0)
),0)</f>
        <v/>
      </c>
      <c r="N11" s="9">
        <f>IFERROR(SUM(
IF('TL01'!$B$3=N$3,SUMIF('TL01'!$C$10:$C$224,$C11,'TL01'!$J$10:$J$224),0),
IF('TL01'!$B$229=N$3,SUMIF('TL01'!$C$238:$C$451,$C11,'TL01'!$J$238:$J$451),0),
IF('TL02'!$B$3=N$3,SUMIF('TL02'!$C$10:$C$224,$C11,'TL02'!$J$10:$J$224),0),
IF('TL02'!$B$229=N$3,SUMIF('TL02'!$C$238:$C$451,$C11,'TL02'!$J$238:$J$451),0),
IF('TL03'!$B$3=N$3,SUMIF('TL03'!$C$10:$C$224,$C11,'TL03'!$J$10:$J$224),0),
IF('TL03'!$B$229=N$3,SUMIF('TL03'!$C$238:$C$451,$C11,'TL03'!$J$238:$J$451),0),
IF('TL04'!$B$3=N$3,SUMIF('TL04'!$C$10:$C$224,$C11,'TL04'!$J$10:$J$224),0),
IF('TL04'!$B$229=N$3,SUMIF('TL04'!$C$238:$C$451,$C11,'TL04'!$J$238:$J$451),0),
IF('TL05'!$B$3=N$3,SUMIF('TL05'!$C$10:$C$224,$C11,'TL05'!$J$10:$J$224),0),
IF('TL05'!$B$229=N$3,SUMIF('TL05'!$C$238:$C$451,$C11,'TL05'!$J$238:$J$451),0),
IF('TL06'!$B$3=N$3,SUMIF('TL06'!$C$10:$C$224,$C11,'TL06'!$J$10:$J$224),0),
IF('TL06'!$B$229=N$3,SUMIF('TL06'!$C$238:$C$451,$C11,'TL06'!$J$238:$J$451),0),
IF('TL07'!$B$3=N$3,SUMIF('TL07'!$C$10:$C$224,$C11,'TL07'!$J$10:$J$224),0),
IF('TL07'!$B$229=N$3,SUMIF('TL07'!$C$238:$C$451,$C11,'TL07'!$J$238:$J$451),0),
IF('TL08'!$B$3=N$3,SUMIF('TL08'!$C$10:$C$224,$C11,'TL08'!$J$10:$J$224),0),
IF('TL08'!$B$229=N$3,SUMIF('TL08'!$C$238:$C$451,$C11,'TL08'!$J$238:$J$451),0),
IF('TL09'!$B$3=N$3,SUMIF('TL09'!$C$10:$C$224,$C11,'TL09'!$J$10:$J$224),0),
IF('TL09'!$B$229=N$3,SUMIF('TL09'!$C$238:$C$451,$C11,'TL09'!$J$238:$J$451),0),
IF('TL10'!$B$3=N$3,SUMIF('TL10'!$C$10:$C$224,$C11,'TL10'!$J$10:$J$224),0),
IF('TL10'!$B$229=N$3,SUMIF('TL10'!$C$238:$C$451,$C11,'TL10'!$J$238:$J$451),0),
IF('TL11'!$B$3=N$3,SUMIF('TL11'!$C$10:$C$224,$C11,'TL11'!$J$10:$J$224),0),
IF('TL11'!$B$229=N$3,SUMIF('TL11'!$C$238:$C$451,$C11,'TL11'!$J$238:$J$451),0),
IF('TL12'!$B$3=N$3,SUMIF('TL12'!$C$10:$C$224,$C11,'TL12'!$J$10:$J$224),0),
IF('TL12'!$B$229=N$3,SUMIF('TL12'!$C$238:$C$451,$C11,'TL12'!$J$238:$J$451),0),
IF('TL13'!$B$3=N$3,SUMIF('TL13'!$C$10:$C$224,$C11,'TL13'!$J$10:$J$224),0),
IF('TL13'!$B$229=N$3,SUMIF('TL13'!$C$238:$C$451,$C11,'TL13'!$J$238:$J$451),0),
IF('TL14'!$B$3=N$3,SUMIF('TL14'!$C$10:$C$224,$C11,'TL14'!$J$10:$J$224),0),
IF('TL14'!$B$229=N$3,SUMIF('TL14'!$C$238:$C$451,$C11,'TL14'!$J$238:$J$451),0),
IF('TL15'!$B$3=N$3,SUMIF('TL15'!$C$10:$C$224,$C11,'TL15'!$J$10:$J$224),0),
IF('TL15'!$B$229=N$3,SUMIF('TL15'!$C$238:$C$451,$C11,'TL15'!$J$238:$J$451),0),
IF('TL16'!$B$3=N$3,SUMIF('TL16'!$C$10:$C$224,$C11,'TL16'!$J$10:$J$224),0),
IF('TL16'!$B$229=N$3,SUMIF('TL16'!$C$238:$C$451,$C11,'TL16'!$J$238:$J$451),0),
IF('TL17'!$B$3=N$3,SUMIF('TL17'!$C$10:$C$224,$C11,'TL17'!$J$10:$J$224),0),
IF('TL17'!$B$229=N$3,SUMIF('TL17'!$C$238:$C$451,$C11,'TL17'!$J$238:$J$451),0),
IF('TL18'!$B$3=N$3,SUMIF('TL18'!$C$10:$C$224,$C11,'TL18'!$J$10:$J$224),0),
IF('TL18'!$B$229=N$3,SUMIF('TL18'!$C$238:$C$451,$C11,'TL18'!$J$238:$J$451),0),
IF('TL19'!$B$3=N$3,SUMIF('TL19'!$C$10:$C$224,$C11,'TL19'!$J$10:$J$224),0),
IF('TL19'!$B$229=N$3,SUMIF('TL19'!$C$238:$C$451,$C11,'TL19'!$J$238:$J$451),0)
),0)</f>
        <v/>
      </c>
      <c r="O11" s="9">
        <f>IFERROR(SUM(
IF('TL01'!$B$3=O$3,SUMIF('TL01'!$C$10:$C$224,$C11,'TL01'!$J$10:$J$224),0),
IF('TL01'!$B$229=O$3,SUMIF('TL01'!$C$238:$C$451,$C11,'TL01'!$J$238:$J$451),0),
IF('TL02'!$B$3=O$3,SUMIF('TL02'!$C$10:$C$224,$C11,'TL02'!$J$10:$J$224),0),
IF('TL02'!$B$229=O$3,SUMIF('TL02'!$C$238:$C$451,$C11,'TL02'!$J$238:$J$451),0),
IF('TL03'!$B$3=O$3,SUMIF('TL03'!$C$10:$C$224,$C11,'TL03'!$J$10:$J$224),0),
IF('TL03'!$B$229=O$3,SUMIF('TL03'!$C$238:$C$451,$C11,'TL03'!$J$238:$J$451),0),
IF('TL04'!$B$3=O$3,SUMIF('TL04'!$C$10:$C$224,$C11,'TL04'!$J$10:$J$224),0),
IF('TL04'!$B$229=O$3,SUMIF('TL04'!$C$238:$C$451,$C11,'TL04'!$J$238:$J$451),0),
IF('TL05'!$B$3=O$3,SUMIF('TL05'!$C$10:$C$224,$C11,'TL05'!$J$10:$J$224),0),
IF('TL05'!$B$229=O$3,SUMIF('TL05'!$C$238:$C$451,$C11,'TL05'!$J$238:$J$451),0),
IF('TL06'!$B$3=O$3,SUMIF('TL06'!$C$10:$C$224,$C11,'TL06'!$J$10:$J$224),0),
IF('TL06'!$B$229=O$3,SUMIF('TL06'!$C$238:$C$451,$C11,'TL06'!$J$238:$J$451),0),
IF('TL07'!$B$3=O$3,SUMIF('TL07'!$C$10:$C$224,$C11,'TL07'!$J$10:$J$224),0),
IF('TL07'!$B$229=O$3,SUMIF('TL07'!$C$238:$C$451,$C11,'TL07'!$J$238:$J$451),0),
IF('TL08'!$B$3=O$3,SUMIF('TL08'!$C$10:$C$224,$C11,'TL08'!$J$10:$J$224),0),
IF('TL08'!$B$229=O$3,SUMIF('TL08'!$C$238:$C$451,$C11,'TL08'!$J$238:$J$451),0),
IF('TL09'!$B$3=O$3,SUMIF('TL09'!$C$10:$C$224,$C11,'TL09'!$J$10:$J$224),0),
IF('TL09'!$B$229=O$3,SUMIF('TL09'!$C$238:$C$451,$C11,'TL09'!$J$238:$J$451),0),
IF('TL10'!$B$3=O$3,SUMIF('TL10'!$C$10:$C$224,$C11,'TL10'!$J$10:$J$224),0),
IF('TL10'!$B$229=O$3,SUMIF('TL10'!$C$238:$C$451,$C11,'TL10'!$J$238:$J$451),0),
IF('TL11'!$B$3=O$3,SUMIF('TL11'!$C$10:$C$224,$C11,'TL11'!$J$10:$J$224),0),
IF('TL11'!$B$229=O$3,SUMIF('TL11'!$C$238:$C$451,$C11,'TL11'!$J$238:$J$451),0),
IF('TL12'!$B$3=O$3,SUMIF('TL12'!$C$10:$C$224,$C11,'TL12'!$J$10:$J$224),0),
IF('TL12'!$B$229=O$3,SUMIF('TL12'!$C$238:$C$451,$C11,'TL12'!$J$238:$J$451),0),
IF('TL13'!$B$3=O$3,SUMIF('TL13'!$C$10:$C$224,$C11,'TL13'!$J$10:$J$224),0),
IF('TL13'!$B$229=O$3,SUMIF('TL13'!$C$238:$C$451,$C11,'TL13'!$J$238:$J$451),0),
IF('TL14'!$B$3=O$3,SUMIF('TL14'!$C$10:$C$224,$C11,'TL14'!$J$10:$J$224),0),
IF('TL14'!$B$229=O$3,SUMIF('TL14'!$C$238:$C$451,$C11,'TL14'!$J$238:$J$451),0),
IF('TL15'!$B$3=O$3,SUMIF('TL15'!$C$10:$C$224,$C11,'TL15'!$J$10:$J$224),0),
IF('TL15'!$B$229=O$3,SUMIF('TL15'!$C$238:$C$451,$C11,'TL15'!$J$238:$J$451),0),
IF('TL16'!$B$3=O$3,SUMIF('TL16'!$C$10:$C$224,$C11,'TL16'!$J$10:$J$224),0),
IF('TL16'!$B$229=O$3,SUMIF('TL16'!$C$238:$C$451,$C11,'TL16'!$J$238:$J$451),0),
IF('TL17'!$B$3=O$3,SUMIF('TL17'!$C$10:$C$224,$C11,'TL17'!$J$10:$J$224),0),
IF('TL17'!$B$229=O$3,SUMIF('TL17'!$C$238:$C$451,$C11,'TL17'!$J$238:$J$451),0),
IF('TL18'!$B$3=O$3,SUMIF('TL18'!$C$10:$C$224,$C11,'TL18'!$J$10:$J$224),0),
IF('TL18'!$B$229=O$3,SUMIF('TL18'!$C$238:$C$451,$C11,'TL18'!$J$238:$J$451),0),
IF('TL19'!$B$3=O$3,SUMIF('TL19'!$C$10:$C$224,$C11,'TL19'!$J$10:$J$224),0),
IF('TL19'!$B$229=O$3,SUMIF('TL19'!$C$238:$C$451,$C11,'TL19'!$J$238:$J$451),0)
),0)</f>
        <v/>
      </c>
      <c r="P11" s="9">
        <f>IFERROR(SUM(
IF('TL01'!$B$3=P$3,SUMIF('TL01'!$C$10:$C$224,$C11,'TL01'!$J$10:$J$224),0),
IF('TL01'!$B$229=P$3,SUMIF('TL01'!$C$238:$C$451,$C11,'TL01'!$J$238:$J$451),0),
IF('TL02'!$B$3=P$3,SUMIF('TL02'!$C$10:$C$224,$C11,'TL02'!$J$10:$J$224),0),
IF('TL02'!$B$229=P$3,SUMIF('TL02'!$C$238:$C$451,$C11,'TL02'!$J$238:$J$451),0),
IF('TL03'!$B$3=P$3,SUMIF('TL03'!$C$10:$C$224,$C11,'TL03'!$J$10:$J$224),0),
IF('TL03'!$B$229=P$3,SUMIF('TL03'!$C$238:$C$451,$C11,'TL03'!$J$238:$J$451),0),
IF('TL04'!$B$3=P$3,SUMIF('TL04'!$C$10:$C$224,$C11,'TL04'!$J$10:$J$224),0),
IF('TL04'!$B$229=P$3,SUMIF('TL04'!$C$238:$C$451,$C11,'TL04'!$J$238:$J$451),0),
IF('TL05'!$B$3=P$3,SUMIF('TL05'!$C$10:$C$224,$C11,'TL05'!$J$10:$J$224),0),
IF('TL05'!$B$229=P$3,SUMIF('TL05'!$C$238:$C$451,$C11,'TL05'!$J$238:$J$451),0),
IF('TL06'!$B$3=P$3,SUMIF('TL06'!$C$10:$C$224,$C11,'TL06'!$J$10:$J$224),0),
IF('TL06'!$B$229=P$3,SUMIF('TL06'!$C$238:$C$451,$C11,'TL06'!$J$238:$J$451),0),
IF('TL07'!$B$3=P$3,SUMIF('TL07'!$C$10:$C$224,$C11,'TL07'!$J$10:$J$224),0),
IF('TL07'!$B$229=P$3,SUMIF('TL07'!$C$238:$C$451,$C11,'TL07'!$J$238:$J$451),0),
IF('TL08'!$B$3=P$3,SUMIF('TL08'!$C$10:$C$224,$C11,'TL08'!$J$10:$J$224),0),
IF('TL08'!$B$229=P$3,SUMIF('TL08'!$C$238:$C$451,$C11,'TL08'!$J$238:$J$451),0),
IF('TL09'!$B$3=P$3,SUMIF('TL09'!$C$10:$C$224,$C11,'TL09'!$J$10:$J$224),0),
IF('TL09'!$B$229=P$3,SUMIF('TL09'!$C$238:$C$451,$C11,'TL09'!$J$238:$J$451),0),
IF('TL10'!$B$3=P$3,SUMIF('TL10'!$C$10:$C$224,$C11,'TL10'!$J$10:$J$224),0),
IF('TL10'!$B$229=P$3,SUMIF('TL10'!$C$238:$C$451,$C11,'TL10'!$J$238:$J$451),0),
IF('TL11'!$B$3=P$3,SUMIF('TL11'!$C$10:$C$224,$C11,'TL11'!$J$10:$J$224),0),
IF('TL11'!$B$229=P$3,SUMIF('TL11'!$C$238:$C$451,$C11,'TL11'!$J$238:$J$451),0),
IF('TL12'!$B$3=P$3,SUMIF('TL12'!$C$10:$C$224,$C11,'TL12'!$J$10:$J$224),0),
IF('TL12'!$B$229=P$3,SUMIF('TL12'!$C$238:$C$451,$C11,'TL12'!$J$238:$J$451),0),
IF('TL13'!$B$3=P$3,SUMIF('TL13'!$C$10:$C$224,$C11,'TL13'!$J$10:$J$224),0),
IF('TL13'!$B$229=P$3,SUMIF('TL13'!$C$238:$C$451,$C11,'TL13'!$J$238:$J$451),0),
IF('TL14'!$B$3=P$3,SUMIF('TL14'!$C$10:$C$224,$C11,'TL14'!$J$10:$J$224),0),
IF('TL14'!$B$229=P$3,SUMIF('TL14'!$C$238:$C$451,$C11,'TL14'!$J$238:$J$451),0),
IF('TL15'!$B$3=P$3,SUMIF('TL15'!$C$10:$C$224,$C11,'TL15'!$J$10:$J$224),0),
IF('TL15'!$B$229=P$3,SUMIF('TL15'!$C$238:$C$451,$C11,'TL15'!$J$238:$J$451),0),
IF('TL16'!$B$3=P$3,SUMIF('TL16'!$C$10:$C$224,$C11,'TL16'!$J$10:$J$224),0),
IF('TL16'!$B$229=P$3,SUMIF('TL16'!$C$238:$C$451,$C11,'TL16'!$J$238:$J$451),0),
IF('TL17'!$B$3=P$3,SUMIF('TL17'!$C$10:$C$224,$C11,'TL17'!$J$10:$J$224),0),
IF('TL17'!$B$229=P$3,SUMIF('TL17'!$C$238:$C$451,$C11,'TL17'!$J$238:$J$451),0),
IF('TL18'!$B$3=P$3,SUMIF('TL18'!$C$10:$C$224,$C11,'TL18'!$J$10:$J$224),0),
IF('TL18'!$B$229=P$3,SUMIF('TL18'!$C$238:$C$451,$C11,'TL18'!$J$238:$J$451),0),
IF('TL19'!$B$3=P$3,SUMIF('TL19'!$C$10:$C$224,$C11,'TL19'!$J$10:$J$224),0),
IF('TL19'!$B$229=P$3,SUMIF('TL19'!$C$238:$C$451,$C11,'TL19'!$J$238:$J$451),0)
),0)</f>
        <v/>
      </c>
      <c r="Q11" s="9">
        <f>IFERROR(SUM(
IF('TL01'!$B$3=Q$3,SUMIF('TL01'!$C$10:$C$224,$C11,'TL01'!$J$10:$J$224),0),
IF('TL01'!$B$229=Q$3,SUMIF('TL01'!$C$238:$C$451,$C11,'TL01'!$J$238:$J$451),0),
IF('TL02'!$B$3=Q$3,SUMIF('TL02'!$C$10:$C$224,$C11,'TL02'!$J$10:$J$224),0),
IF('TL02'!$B$229=Q$3,SUMIF('TL02'!$C$238:$C$451,$C11,'TL02'!$J$238:$J$451),0),
IF('TL03'!$B$3=Q$3,SUMIF('TL03'!$C$10:$C$224,$C11,'TL03'!$J$10:$J$224),0),
IF('TL03'!$B$229=Q$3,SUMIF('TL03'!$C$238:$C$451,$C11,'TL03'!$J$238:$J$451),0),
IF('TL04'!$B$3=Q$3,SUMIF('TL04'!$C$10:$C$224,$C11,'TL04'!$J$10:$J$224),0),
IF('TL04'!$B$229=Q$3,SUMIF('TL04'!$C$238:$C$451,$C11,'TL04'!$J$238:$J$451),0),
IF('TL05'!$B$3=Q$3,SUMIF('TL05'!$C$10:$C$224,$C11,'TL05'!$J$10:$J$224),0),
IF('TL05'!$B$229=Q$3,SUMIF('TL05'!$C$238:$C$451,$C11,'TL05'!$J$238:$J$451),0),
IF('TL06'!$B$3=Q$3,SUMIF('TL06'!$C$10:$C$224,$C11,'TL06'!$J$10:$J$224),0),
IF('TL06'!$B$229=Q$3,SUMIF('TL06'!$C$238:$C$451,$C11,'TL06'!$J$238:$J$451),0),
IF('TL07'!$B$3=Q$3,SUMIF('TL07'!$C$10:$C$224,$C11,'TL07'!$J$10:$J$224),0),
IF('TL07'!$B$229=Q$3,SUMIF('TL07'!$C$238:$C$451,$C11,'TL07'!$J$238:$J$451),0),
IF('TL08'!$B$3=Q$3,SUMIF('TL08'!$C$10:$C$224,$C11,'TL08'!$J$10:$J$224),0),
IF('TL08'!$B$229=Q$3,SUMIF('TL08'!$C$238:$C$451,$C11,'TL08'!$J$238:$J$451),0),
IF('TL09'!$B$3=Q$3,SUMIF('TL09'!$C$10:$C$224,$C11,'TL09'!$J$10:$J$224),0),
IF('TL09'!$B$229=Q$3,SUMIF('TL09'!$C$238:$C$451,$C11,'TL09'!$J$238:$J$451),0),
IF('TL10'!$B$3=Q$3,SUMIF('TL10'!$C$10:$C$224,$C11,'TL10'!$J$10:$J$224),0),
IF('TL10'!$B$229=Q$3,SUMIF('TL10'!$C$238:$C$451,$C11,'TL10'!$J$238:$J$451),0),
IF('TL11'!$B$3=Q$3,SUMIF('TL11'!$C$10:$C$224,$C11,'TL11'!$J$10:$J$224),0),
IF('TL11'!$B$229=Q$3,SUMIF('TL11'!$C$238:$C$451,$C11,'TL11'!$J$238:$J$451),0),
IF('TL12'!$B$3=Q$3,SUMIF('TL12'!$C$10:$C$224,$C11,'TL12'!$J$10:$J$224),0),
IF('TL12'!$B$229=Q$3,SUMIF('TL12'!$C$238:$C$451,$C11,'TL12'!$J$238:$J$451),0),
IF('TL13'!$B$3=Q$3,SUMIF('TL13'!$C$10:$C$224,$C11,'TL13'!$J$10:$J$224),0),
IF('TL13'!$B$229=Q$3,SUMIF('TL13'!$C$238:$C$451,$C11,'TL13'!$J$238:$J$451),0),
IF('TL14'!$B$3=Q$3,SUMIF('TL14'!$C$10:$C$224,$C11,'TL14'!$J$10:$J$224),0),
IF('TL14'!$B$229=Q$3,SUMIF('TL14'!$C$238:$C$451,$C11,'TL14'!$J$238:$J$451),0),
IF('TL15'!$B$3=Q$3,SUMIF('TL15'!$C$10:$C$224,$C11,'TL15'!$J$10:$J$224),0),
IF('TL15'!$B$229=Q$3,SUMIF('TL15'!$C$238:$C$451,$C11,'TL15'!$J$238:$J$451),0),
IF('TL16'!$B$3=Q$3,SUMIF('TL16'!$C$10:$C$224,$C11,'TL16'!$J$10:$J$224),0),
IF('TL16'!$B$229=Q$3,SUMIF('TL16'!$C$238:$C$451,$C11,'TL16'!$J$238:$J$451),0),
IF('TL17'!$B$3=Q$3,SUMIF('TL17'!$C$10:$C$224,$C11,'TL17'!$J$10:$J$224),0),
IF('TL17'!$B$229=Q$3,SUMIF('TL17'!$C$238:$C$451,$C11,'TL17'!$J$238:$J$451),0),
IF('TL18'!$B$3=Q$3,SUMIF('TL18'!$C$10:$C$224,$C11,'TL18'!$J$10:$J$224),0),
IF('TL18'!$B$229=Q$3,SUMIF('TL18'!$C$238:$C$451,$C11,'TL18'!$J$238:$J$451),0),
IF('TL19'!$B$3=Q$3,SUMIF('TL19'!$C$10:$C$224,$C11,'TL19'!$J$10:$J$224),0),
IF('TL19'!$B$229=Q$3,SUMIF('TL19'!$C$238:$C$451,$C11,'TL19'!$J$238:$J$451),0)
),0)</f>
        <v/>
      </c>
      <c r="R11" s="9">
        <f>IFERROR(
SUM(
SUMIF('TL01'!C:C,C11,'TL01'!J:J),
SUMIF('TL02'!C:C,C11,'TL02'!J:J),
SUMIF('TL03'!C:C,C11,'TL03'!J:J),
SUMIF('TL04'!C:C,C11,'TL04'!J:J),
SUMIF('TL05'!C:C,C11,'TL05'!J:J),
SUMIF('TL06'!C:C,C11,'TL06'!J:J),
SUMIF('TL07'!C:C,C11,'TL07'!J:J),
SUMIF('TL08'!C:C,C11,'TL08'!J:J),
SUMIF('TL09'!C:C,C11,'TL09'!J:J),
SUMIF('TL10'!C:C,C11,'TL10'!J:J),
SUMIF('TL11'!C:C,C11,'TL11'!J:J),
SUMIF('TL12'!C:C,C11,'TL12'!J:J),
SUMIF('TL13'!C:C,C11,'TL13'!J:J),
SUMIF('TL14'!C:C,C11,'TL14'!J:J),
SUMIF('TL15'!C:C,C11,'TL15'!J:J),
SUMIF('TL16'!C:C,C11,'TL16'!J:J),
SUMIF('TL17'!C:C,C11,'TL17'!J:J),
SUMIF('TL18'!C:C,C11,'TL18'!J:J),SUMIF('TL19'!C:C,C11,'TL19'!J:J))
,0)</f>
        <v/>
      </c>
      <c r="S11" s="17">
        <f>IFERROR(__xludf.DUMMYFUNCTION("IFERROR(VLOOKUP(C11,
IMPORTRANGE(""1wULbzX32WdYsx-lj2U3uUNBBe2INVIRDtcK0d-Dvl90"",
""26-27!C:G""),
5,
FALSE),
"""")"),35.746900000000004)</f>
        <v/>
      </c>
      <c r="T11" s="9" t="n"/>
      <c r="U11" s="92">
        <f>MAX(0,R11-T11)</f>
        <v/>
      </c>
      <c r="V11" s="93">
        <f>U11*S11</f>
        <v/>
      </c>
    </row>
    <row r="12" hidden="1" ht="22.5" customHeight="1" s="297">
      <c r="A12" s="87" t="inlineStr">
        <is>
          <t>SYNGENTA</t>
        </is>
      </c>
      <c r="B12" s="88" t="inlineStr">
        <is>
          <t>ADJUVANTE</t>
        </is>
      </c>
      <c r="C12" s="89" t="inlineStr">
        <is>
          <t>OCHIMA</t>
        </is>
      </c>
      <c r="D12" s="89" t="inlineStr">
        <is>
          <t>ALQUIL ÉSTER FOSFATADO</t>
        </is>
      </c>
      <c r="E12" s="89" t="n">
        <v>752</v>
      </c>
      <c r="F12" s="4" t="inlineStr">
        <is>
          <t>L</t>
        </is>
      </c>
      <c r="G12" s="90">
        <f>HYPERLINK("https://www.google.com/search?q=" &amp; C12 &amp; "+bula+agrofit+pdf", "📄 Ver bula")</f>
        <v/>
      </c>
      <c r="H12" s="9">
        <f>IFERROR(__xludf.DUMMYFUNCTION("IFERROR(VLOOKUP(C12,
IMPORTRANGE(""1wULbzX32WdYsx-lj2U3uUNBBe2INVIRDtcK0d-Dvl90"",
""26-27!C:K""),
8,
FALSE),
"""")"),0.2)</f>
        <v/>
      </c>
      <c r="I12" s="91" t="inlineStr">
        <is>
          <t>1x20</t>
        </is>
      </c>
      <c r="J12" s="9">
        <f>IFERROR(SUM(
IF('TL01'!$B$3=J$3,SUMIF('TL01'!$C$10:$C$224,$C12,'TL01'!$J$10:$J$224),0),
IF('TL01'!$B$229=J$3,SUMIF('TL01'!$C$238:$C$451,$C12,'TL01'!$J$238:$J$451),0),
IF('TL02'!$B$3=J$3,SUMIF('TL02'!$C$10:$C$224,$C12,'TL02'!$J$10:$J$224),0),
IF('TL02'!$B$229=J$3,SUMIF('TL02'!$C$238:$C$451,$C12,'TL02'!$J$238:$J$451),0),
IF('TL03'!$B$3=J$3,SUMIF('TL03'!$C$10:$C$224,$C12,'TL03'!$J$10:$J$224),0),
IF('TL03'!$B$229=J$3,SUMIF('TL03'!$C$238:$C$451,$C12,'TL03'!$J$238:$J$451),0),
IF('TL04'!$B$3=J$3,SUMIF('TL04'!$C$10:$C$224,$C12,'TL04'!$J$10:$J$224),0),
IF('TL04'!$B$229=J$3,SUMIF('TL04'!$C$238:$C$451,$C12,'TL04'!$J$238:$J$451),0),
IF('TL05'!$B$3=J$3,SUMIF('TL05'!$C$10:$C$224,$C12,'TL05'!$J$10:$J$224),0),
IF('TL05'!$B$229=J$3,SUMIF('TL05'!$C$238:$C$451,$C12,'TL05'!$J$238:$J$451),0),
IF('TL06'!$B$3=J$3,SUMIF('TL06'!$C$10:$C$224,$C12,'TL06'!$J$10:$J$224),0),
IF('TL06'!$B$229=J$3,SUMIF('TL06'!$C$238:$C$451,$C12,'TL06'!$J$238:$J$451),0),
IF('TL07'!$B$3=J$3,SUMIF('TL07'!$C$10:$C$224,$C12,'TL07'!$J$10:$J$224),0),
IF('TL07'!$B$229=J$3,SUMIF('TL07'!$C$238:$C$451,$C12,'TL07'!$J$238:$J$451),0),
IF('TL08'!$B$3=J$3,SUMIF('TL08'!$C$10:$C$224,$C12,'TL08'!$J$10:$J$224),0),
IF('TL08'!$B$229=J$3,SUMIF('TL08'!$C$238:$C$451,$C12,'TL08'!$J$238:$J$451),0),
IF('TL09'!$B$3=J$3,SUMIF('TL09'!$C$10:$C$224,$C12,'TL09'!$J$10:$J$224),0),
IF('TL09'!$B$229=J$3,SUMIF('TL09'!$C$238:$C$451,$C12,'TL09'!$J$238:$J$451),0),
IF('TL10'!$B$3=J$3,SUMIF('TL10'!$C$10:$C$224,$C12,'TL10'!$J$10:$J$224),0),
IF('TL10'!$B$229=J$3,SUMIF('TL10'!$C$238:$C$451,$C12,'TL10'!$J$238:$J$451),0),
IF('TL11'!$B$3=J$3,SUMIF('TL11'!$C$10:$C$224,$C12,'TL11'!$J$10:$J$224),0),
IF('TL11'!$B$229=J$3,SUMIF('TL11'!$C$238:$C$451,$C12,'TL11'!$J$238:$J$451),0),
IF('TL12'!$B$3=J$3,SUMIF('TL12'!$C$10:$C$224,$C12,'TL12'!$J$10:$J$224),0),
IF('TL12'!$B$229=J$3,SUMIF('TL12'!$C$238:$C$451,$C12,'TL12'!$J$238:$J$451),0),
IF('TL13'!$B$3=J$3,SUMIF('TL13'!$C$10:$C$224,$C12,'TL13'!$J$10:$J$224),0),
IF('TL13'!$B$229=J$3,SUMIF('TL13'!$C$238:$C$451,$C12,'TL13'!$J$238:$J$451),0),
IF('TL14'!$B$3=J$3,SUMIF('TL14'!$C$10:$C$224,$C12,'TL14'!$J$10:$J$224),0),
IF('TL14'!$B$229=J$3,SUMIF('TL14'!$C$238:$C$451,$C12,'TL14'!$J$238:$J$451),0),
IF('TL15'!$B$3=J$3,SUMIF('TL15'!$C$10:$C$224,$C12,'TL15'!$J$10:$J$224),0),
IF('TL15'!$B$229=J$3,SUMIF('TL15'!$C$238:$C$451,$C12,'TL15'!$J$238:$J$451),0),
IF('TL16'!$B$3=J$3,SUMIF('TL16'!$C$10:$C$224,$C12,'TL16'!$J$10:$J$224),0),
IF('TL16'!$B$229=J$3,SUMIF('TL16'!$C$238:$C$451,$C12,'TL16'!$J$238:$J$451),0),
IF('TL17'!$B$3=J$3,SUMIF('TL17'!$C$10:$C$224,$C12,'TL17'!$J$10:$J$224),0),
IF('TL17'!$B$229=J$3,SUMIF('TL17'!$C$238:$C$451,$C12,'TL17'!$J$238:$J$451),0),
IF('TL18'!$B$3=J$3,SUMIF('TL18'!$C$10:$C$224,$C12,'TL18'!$J$10:$J$224),0),
IF('TL18'!$B$229=J$3,SUMIF('TL18'!$C$238:$C$451,$C12,'TL18'!$J$238:$J$451),0),
IF('TL19'!$B$3=J$3,SUMIF('TL19'!$C$10:$C$224,$C12,'TL19'!$J$10:$J$224),0),
IF('TL19'!$B$229=J$3,SUMIF('TL19'!$C$238:$C$451,$C12,'TL19'!$J$238:$J$451),0)
),0)</f>
        <v/>
      </c>
      <c r="K12" s="9">
        <f>IFERROR(SUM(
IF('TL01'!$B$3=K$3,SUMIF('TL01'!$C$10:$C$224,$C12,'TL01'!$J$10:$J$224),0),
IF('TL01'!$B$229=K$3,SUMIF('TL01'!$C$238:$C$451,$C12,'TL01'!$J$238:$J$451),0),
IF('TL02'!$B$3=K$3,SUMIF('TL02'!$C$10:$C$224,$C12,'TL02'!$J$10:$J$224),0),
IF('TL02'!$B$229=K$3,SUMIF('TL02'!$C$238:$C$451,$C12,'TL02'!$J$238:$J$451),0),
IF('TL03'!$B$3=K$3,SUMIF('TL03'!$C$10:$C$224,$C12,'TL03'!$J$10:$J$224),0),
IF('TL03'!$B$229=K$3,SUMIF('TL03'!$C$238:$C$451,$C12,'TL03'!$J$238:$J$451),0),
IF('TL04'!$B$3=K$3,SUMIF('TL04'!$C$10:$C$224,$C12,'TL04'!$J$10:$J$224),0),
IF('TL04'!$B$229=K$3,SUMIF('TL04'!$C$238:$C$451,$C12,'TL04'!$J$238:$J$451),0),
IF('TL05'!$B$3=K$3,SUMIF('TL05'!$C$10:$C$224,$C12,'TL05'!$J$10:$J$224),0),
IF('TL05'!$B$229=K$3,SUMIF('TL05'!$C$238:$C$451,$C12,'TL05'!$J$238:$J$451),0),
IF('TL06'!$B$3=K$3,SUMIF('TL06'!$C$10:$C$224,$C12,'TL06'!$J$10:$J$224),0),
IF('TL06'!$B$229=K$3,SUMIF('TL06'!$C$238:$C$451,$C12,'TL06'!$J$238:$J$451),0),
IF('TL07'!$B$3=K$3,SUMIF('TL07'!$C$10:$C$224,$C12,'TL07'!$J$10:$J$224),0),
IF('TL07'!$B$229=K$3,SUMIF('TL07'!$C$238:$C$451,$C12,'TL07'!$J$238:$J$451),0),
IF('TL08'!$B$3=K$3,SUMIF('TL08'!$C$10:$C$224,$C12,'TL08'!$J$10:$J$224),0),
IF('TL08'!$B$229=K$3,SUMIF('TL08'!$C$238:$C$451,$C12,'TL08'!$J$238:$J$451),0),
IF('TL09'!$B$3=K$3,SUMIF('TL09'!$C$10:$C$224,$C12,'TL09'!$J$10:$J$224),0),
IF('TL09'!$B$229=K$3,SUMIF('TL09'!$C$238:$C$451,$C12,'TL09'!$J$238:$J$451),0),
IF('TL10'!$B$3=K$3,SUMIF('TL10'!$C$10:$C$224,$C12,'TL10'!$J$10:$J$224),0),
IF('TL10'!$B$229=K$3,SUMIF('TL10'!$C$238:$C$451,$C12,'TL10'!$J$238:$J$451),0),
IF('TL11'!$B$3=K$3,SUMIF('TL11'!$C$10:$C$224,$C12,'TL11'!$J$10:$J$224),0),
IF('TL11'!$B$229=K$3,SUMIF('TL11'!$C$238:$C$451,$C12,'TL11'!$J$238:$J$451),0),
IF('TL12'!$B$3=K$3,SUMIF('TL12'!$C$10:$C$224,$C12,'TL12'!$J$10:$J$224),0),
IF('TL12'!$B$229=K$3,SUMIF('TL12'!$C$238:$C$451,$C12,'TL12'!$J$238:$J$451),0),
IF('TL13'!$B$3=K$3,SUMIF('TL13'!$C$10:$C$224,$C12,'TL13'!$J$10:$J$224),0),
IF('TL13'!$B$229=K$3,SUMIF('TL13'!$C$238:$C$451,$C12,'TL13'!$J$238:$J$451),0),
IF('TL14'!$B$3=K$3,SUMIF('TL14'!$C$10:$C$224,$C12,'TL14'!$J$10:$J$224),0),
IF('TL14'!$B$229=K$3,SUMIF('TL14'!$C$238:$C$451,$C12,'TL14'!$J$238:$J$451),0),
IF('TL15'!$B$3=K$3,SUMIF('TL15'!$C$10:$C$224,$C12,'TL15'!$J$10:$J$224),0),
IF('TL15'!$B$229=K$3,SUMIF('TL15'!$C$238:$C$451,$C12,'TL15'!$J$238:$J$451),0),
IF('TL16'!$B$3=K$3,SUMIF('TL16'!$C$10:$C$224,$C12,'TL16'!$J$10:$J$224),0),
IF('TL16'!$B$229=K$3,SUMIF('TL16'!$C$238:$C$451,$C12,'TL16'!$J$238:$J$451),0),
IF('TL17'!$B$3=K$3,SUMIF('TL17'!$C$10:$C$224,$C12,'TL17'!$J$10:$J$224),0),
IF('TL17'!$B$229=K$3,SUMIF('TL17'!$C$238:$C$451,$C12,'TL17'!$J$238:$J$451),0),
IF('TL18'!$B$3=K$3,SUMIF('TL18'!$C$10:$C$224,$C12,'TL18'!$J$10:$J$224),0),
IF('TL18'!$B$229=K$3,SUMIF('TL18'!$C$238:$C$451,$C12,'TL18'!$J$238:$J$451),0),
IF('TL19'!$B$3=K$3,SUMIF('TL19'!$C$10:$C$224,$C12,'TL19'!$J$10:$J$224),0),
IF('TL19'!$B$229=K$3,SUMIF('TL19'!$C$238:$C$451,$C12,'TL19'!$J$238:$J$451),0)
),0)</f>
        <v/>
      </c>
      <c r="L12" s="9">
        <f>IFERROR(SUM(
IF('TL01'!$B$3=L$3,SUMIF('TL01'!$C$10:$C$224,$C12,'TL01'!$J$10:$J$224),0),
IF('TL01'!$B$229=L$3,SUMIF('TL01'!$C$238:$C$451,$C12,'TL01'!$J$238:$J$451),0),
IF('TL02'!$B$3=L$3,SUMIF('TL02'!$C$10:$C$224,$C12,'TL02'!$J$10:$J$224),0),
IF('TL02'!$B$229=L$3,SUMIF('TL02'!$C$238:$C$451,$C12,'TL02'!$J$238:$J$451),0),
IF('TL03'!$B$3=L$3,SUMIF('TL03'!$C$10:$C$224,$C12,'TL03'!$J$10:$J$224),0),
IF('TL03'!$B$229=L$3,SUMIF('TL03'!$C$238:$C$451,$C12,'TL03'!$J$238:$J$451),0),
IF('TL04'!$B$3=L$3,SUMIF('TL04'!$C$10:$C$224,$C12,'TL04'!$J$10:$J$224),0),
IF('TL04'!$B$229=L$3,SUMIF('TL04'!$C$238:$C$451,$C12,'TL04'!$J$238:$J$451),0),
IF('TL05'!$B$3=L$3,SUMIF('TL05'!$C$10:$C$224,$C12,'TL05'!$J$10:$J$224),0),
IF('TL05'!$B$229=L$3,SUMIF('TL05'!$C$238:$C$451,$C12,'TL05'!$J$238:$J$451),0),
IF('TL06'!$B$3=L$3,SUMIF('TL06'!$C$10:$C$224,$C12,'TL06'!$J$10:$J$224),0),
IF('TL06'!$B$229=L$3,SUMIF('TL06'!$C$238:$C$451,$C12,'TL06'!$J$238:$J$451),0),
IF('TL07'!$B$3=L$3,SUMIF('TL07'!$C$10:$C$224,$C12,'TL07'!$J$10:$J$224),0),
IF('TL07'!$B$229=L$3,SUMIF('TL07'!$C$238:$C$451,$C12,'TL07'!$J$238:$J$451),0),
IF('TL08'!$B$3=L$3,SUMIF('TL08'!$C$10:$C$224,$C12,'TL08'!$J$10:$J$224),0),
IF('TL08'!$B$229=L$3,SUMIF('TL08'!$C$238:$C$451,$C12,'TL08'!$J$238:$J$451),0),
IF('TL09'!$B$3=L$3,SUMIF('TL09'!$C$10:$C$224,$C12,'TL09'!$J$10:$J$224),0),
IF('TL09'!$B$229=L$3,SUMIF('TL09'!$C$238:$C$451,$C12,'TL09'!$J$238:$J$451),0),
IF('TL10'!$B$3=L$3,SUMIF('TL10'!$C$10:$C$224,$C12,'TL10'!$J$10:$J$224),0),
IF('TL10'!$B$229=L$3,SUMIF('TL10'!$C$238:$C$451,$C12,'TL10'!$J$238:$J$451),0),
IF('TL11'!$B$3=L$3,SUMIF('TL11'!$C$10:$C$224,$C12,'TL11'!$J$10:$J$224),0),
IF('TL11'!$B$229=L$3,SUMIF('TL11'!$C$238:$C$451,$C12,'TL11'!$J$238:$J$451),0),
IF('TL12'!$B$3=L$3,SUMIF('TL12'!$C$10:$C$224,$C12,'TL12'!$J$10:$J$224),0),
IF('TL12'!$B$229=L$3,SUMIF('TL12'!$C$238:$C$451,$C12,'TL12'!$J$238:$J$451),0),
IF('TL13'!$B$3=L$3,SUMIF('TL13'!$C$10:$C$224,$C12,'TL13'!$J$10:$J$224),0),
IF('TL13'!$B$229=L$3,SUMIF('TL13'!$C$238:$C$451,$C12,'TL13'!$J$238:$J$451),0),
IF('TL14'!$B$3=L$3,SUMIF('TL14'!$C$10:$C$224,$C12,'TL14'!$J$10:$J$224),0),
IF('TL14'!$B$229=L$3,SUMIF('TL14'!$C$238:$C$451,$C12,'TL14'!$J$238:$J$451),0),
IF('TL15'!$B$3=L$3,SUMIF('TL15'!$C$10:$C$224,$C12,'TL15'!$J$10:$J$224),0),
IF('TL15'!$B$229=L$3,SUMIF('TL15'!$C$238:$C$451,$C12,'TL15'!$J$238:$J$451),0),
IF('TL16'!$B$3=L$3,SUMIF('TL16'!$C$10:$C$224,$C12,'TL16'!$J$10:$J$224),0),
IF('TL16'!$B$229=L$3,SUMIF('TL16'!$C$238:$C$451,$C12,'TL16'!$J$238:$J$451),0),
IF('TL17'!$B$3=L$3,SUMIF('TL17'!$C$10:$C$224,$C12,'TL17'!$J$10:$J$224),0),
IF('TL17'!$B$229=L$3,SUMIF('TL17'!$C$238:$C$451,$C12,'TL17'!$J$238:$J$451),0),
IF('TL18'!$B$3=L$3,SUMIF('TL18'!$C$10:$C$224,$C12,'TL18'!$J$10:$J$224),0),
IF('TL18'!$B$229=L$3,SUMIF('TL18'!$C$238:$C$451,$C12,'TL18'!$J$238:$J$451),0),
IF('TL19'!$B$3=L$3,SUMIF('TL19'!$C$10:$C$224,$C12,'TL19'!$J$10:$J$224),0),
IF('TL19'!$B$229=L$3,SUMIF('TL19'!$C$238:$C$451,$C12,'TL19'!$J$238:$J$451),0)
),0)</f>
        <v/>
      </c>
      <c r="M12" s="9">
        <f>IFERROR(SUM(
IF('TL01'!$B$3=M$3,SUMIF('TL01'!$C$10:$C$224,$C12,'TL01'!$J$10:$J$224),0),
IF('TL01'!$B$229=M$3,SUMIF('TL01'!$C$238:$C$451,$C12,'TL01'!$J$238:$J$451),0),
IF('TL02'!$B$3=M$3,SUMIF('TL02'!$C$10:$C$224,$C12,'TL02'!$J$10:$J$224),0),
IF('TL02'!$B$229=M$3,SUMIF('TL02'!$C$238:$C$451,$C12,'TL02'!$J$238:$J$451),0),
IF('TL03'!$B$3=M$3,SUMIF('TL03'!$C$10:$C$224,$C12,'TL03'!$J$10:$J$224),0),
IF('TL03'!$B$229=M$3,SUMIF('TL03'!$C$238:$C$451,$C12,'TL03'!$J$238:$J$451),0),
IF('TL04'!$B$3=M$3,SUMIF('TL04'!$C$10:$C$224,$C12,'TL04'!$J$10:$J$224),0),
IF('TL04'!$B$229=M$3,SUMIF('TL04'!$C$238:$C$451,$C12,'TL04'!$J$238:$J$451),0),
IF('TL05'!$B$3=M$3,SUMIF('TL05'!$C$10:$C$224,$C12,'TL05'!$J$10:$J$224),0),
IF('TL05'!$B$229=M$3,SUMIF('TL05'!$C$238:$C$451,$C12,'TL05'!$J$238:$J$451),0),
IF('TL06'!$B$3=M$3,SUMIF('TL06'!$C$10:$C$224,$C12,'TL06'!$J$10:$J$224),0),
IF('TL06'!$B$229=M$3,SUMIF('TL06'!$C$238:$C$451,$C12,'TL06'!$J$238:$J$451),0),
IF('TL07'!$B$3=M$3,SUMIF('TL07'!$C$10:$C$224,$C12,'TL07'!$J$10:$J$224),0),
IF('TL07'!$B$229=M$3,SUMIF('TL07'!$C$238:$C$451,$C12,'TL07'!$J$238:$J$451),0),
IF('TL08'!$B$3=M$3,SUMIF('TL08'!$C$10:$C$224,$C12,'TL08'!$J$10:$J$224),0),
IF('TL08'!$B$229=M$3,SUMIF('TL08'!$C$238:$C$451,$C12,'TL08'!$J$238:$J$451),0),
IF('TL09'!$B$3=M$3,SUMIF('TL09'!$C$10:$C$224,$C12,'TL09'!$J$10:$J$224),0),
IF('TL09'!$B$229=M$3,SUMIF('TL09'!$C$238:$C$451,$C12,'TL09'!$J$238:$J$451),0),
IF('TL10'!$B$3=M$3,SUMIF('TL10'!$C$10:$C$224,$C12,'TL10'!$J$10:$J$224),0),
IF('TL10'!$B$229=M$3,SUMIF('TL10'!$C$238:$C$451,$C12,'TL10'!$J$238:$J$451),0),
IF('TL11'!$B$3=M$3,SUMIF('TL11'!$C$10:$C$224,$C12,'TL11'!$J$10:$J$224),0),
IF('TL11'!$B$229=M$3,SUMIF('TL11'!$C$238:$C$451,$C12,'TL11'!$J$238:$J$451),0),
IF('TL12'!$B$3=M$3,SUMIF('TL12'!$C$10:$C$224,$C12,'TL12'!$J$10:$J$224),0),
IF('TL12'!$B$229=M$3,SUMIF('TL12'!$C$238:$C$451,$C12,'TL12'!$J$238:$J$451),0),
IF('TL13'!$B$3=M$3,SUMIF('TL13'!$C$10:$C$224,$C12,'TL13'!$J$10:$J$224),0),
IF('TL13'!$B$229=M$3,SUMIF('TL13'!$C$238:$C$451,$C12,'TL13'!$J$238:$J$451),0),
IF('TL14'!$B$3=M$3,SUMIF('TL14'!$C$10:$C$224,$C12,'TL14'!$J$10:$J$224),0),
IF('TL14'!$B$229=M$3,SUMIF('TL14'!$C$238:$C$451,$C12,'TL14'!$J$238:$J$451),0),
IF('TL15'!$B$3=M$3,SUMIF('TL15'!$C$10:$C$224,$C12,'TL15'!$J$10:$J$224),0),
IF('TL15'!$B$229=M$3,SUMIF('TL15'!$C$238:$C$451,$C12,'TL15'!$J$238:$J$451),0),
IF('TL16'!$B$3=M$3,SUMIF('TL16'!$C$10:$C$224,$C12,'TL16'!$J$10:$J$224),0),
IF('TL16'!$B$229=M$3,SUMIF('TL16'!$C$238:$C$451,$C12,'TL16'!$J$238:$J$451),0),
IF('TL17'!$B$3=M$3,SUMIF('TL17'!$C$10:$C$224,$C12,'TL17'!$J$10:$J$224),0),
IF('TL17'!$B$229=M$3,SUMIF('TL17'!$C$238:$C$451,$C12,'TL17'!$J$238:$J$451),0),
IF('TL18'!$B$3=M$3,SUMIF('TL18'!$C$10:$C$224,$C12,'TL18'!$J$10:$J$224),0),
IF('TL18'!$B$229=M$3,SUMIF('TL18'!$C$238:$C$451,$C12,'TL18'!$J$238:$J$451),0),
IF('TL19'!$B$3=M$3,SUMIF('TL19'!$C$10:$C$224,$C12,'TL19'!$J$10:$J$224),0),
IF('TL19'!$B$229=M$3,SUMIF('TL19'!$C$238:$C$451,$C12,'TL19'!$J$238:$J$451),0)
),0)</f>
        <v/>
      </c>
      <c r="N12" s="9">
        <f>IFERROR(SUM(
IF('TL01'!$B$3=N$3,SUMIF('TL01'!$C$10:$C$224,$C12,'TL01'!$J$10:$J$224),0),
IF('TL01'!$B$229=N$3,SUMIF('TL01'!$C$238:$C$451,$C12,'TL01'!$J$238:$J$451),0),
IF('TL02'!$B$3=N$3,SUMIF('TL02'!$C$10:$C$224,$C12,'TL02'!$J$10:$J$224),0),
IF('TL02'!$B$229=N$3,SUMIF('TL02'!$C$238:$C$451,$C12,'TL02'!$J$238:$J$451),0),
IF('TL03'!$B$3=N$3,SUMIF('TL03'!$C$10:$C$224,$C12,'TL03'!$J$10:$J$224),0),
IF('TL03'!$B$229=N$3,SUMIF('TL03'!$C$238:$C$451,$C12,'TL03'!$J$238:$J$451),0),
IF('TL04'!$B$3=N$3,SUMIF('TL04'!$C$10:$C$224,$C12,'TL04'!$J$10:$J$224),0),
IF('TL04'!$B$229=N$3,SUMIF('TL04'!$C$238:$C$451,$C12,'TL04'!$J$238:$J$451),0),
IF('TL05'!$B$3=N$3,SUMIF('TL05'!$C$10:$C$224,$C12,'TL05'!$J$10:$J$224),0),
IF('TL05'!$B$229=N$3,SUMIF('TL05'!$C$238:$C$451,$C12,'TL05'!$J$238:$J$451),0),
IF('TL06'!$B$3=N$3,SUMIF('TL06'!$C$10:$C$224,$C12,'TL06'!$J$10:$J$224),0),
IF('TL06'!$B$229=N$3,SUMIF('TL06'!$C$238:$C$451,$C12,'TL06'!$J$238:$J$451),0),
IF('TL07'!$B$3=N$3,SUMIF('TL07'!$C$10:$C$224,$C12,'TL07'!$J$10:$J$224),0),
IF('TL07'!$B$229=N$3,SUMIF('TL07'!$C$238:$C$451,$C12,'TL07'!$J$238:$J$451),0),
IF('TL08'!$B$3=N$3,SUMIF('TL08'!$C$10:$C$224,$C12,'TL08'!$J$10:$J$224),0),
IF('TL08'!$B$229=N$3,SUMIF('TL08'!$C$238:$C$451,$C12,'TL08'!$J$238:$J$451),0),
IF('TL09'!$B$3=N$3,SUMIF('TL09'!$C$10:$C$224,$C12,'TL09'!$J$10:$J$224),0),
IF('TL09'!$B$229=N$3,SUMIF('TL09'!$C$238:$C$451,$C12,'TL09'!$J$238:$J$451),0),
IF('TL10'!$B$3=N$3,SUMIF('TL10'!$C$10:$C$224,$C12,'TL10'!$J$10:$J$224),0),
IF('TL10'!$B$229=N$3,SUMIF('TL10'!$C$238:$C$451,$C12,'TL10'!$J$238:$J$451),0),
IF('TL11'!$B$3=N$3,SUMIF('TL11'!$C$10:$C$224,$C12,'TL11'!$J$10:$J$224),0),
IF('TL11'!$B$229=N$3,SUMIF('TL11'!$C$238:$C$451,$C12,'TL11'!$J$238:$J$451),0),
IF('TL12'!$B$3=N$3,SUMIF('TL12'!$C$10:$C$224,$C12,'TL12'!$J$10:$J$224),0),
IF('TL12'!$B$229=N$3,SUMIF('TL12'!$C$238:$C$451,$C12,'TL12'!$J$238:$J$451),0),
IF('TL13'!$B$3=N$3,SUMIF('TL13'!$C$10:$C$224,$C12,'TL13'!$J$10:$J$224),0),
IF('TL13'!$B$229=N$3,SUMIF('TL13'!$C$238:$C$451,$C12,'TL13'!$J$238:$J$451),0),
IF('TL14'!$B$3=N$3,SUMIF('TL14'!$C$10:$C$224,$C12,'TL14'!$J$10:$J$224),0),
IF('TL14'!$B$229=N$3,SUMIF('TL14'!$C$238:$C$451,$C12,'TL14'!$J$238:$J$451),0),
IF('TL15'!$B$3=N$3,SUMIF('TL15'!$C$10:$C$224,$C12,'TL15'!$J$10:$J$224),0),
IF('TL15'!$B$229=N$3,SUMIF('TL15'!$C$238:$C$451,$C12,'TL15'!$J$238:$J$451),0),
IF('TL16'!$B$3=N$3,SUMIF('TL16'!$C$10:$C$224,$C12,'TL16'!$J$10:$J$224),0),
IF('TL16'!$B$229=N$3,SUMIF('TL16'!$C$238:$C$451,$C12,'TL16'!$J$238:$J$451),0),
IF('TL17'!$B$3=N$3,SUMIF('TL17'!$C$10:$C$224,$C12,'TL17'!$J$10:$J$224),0),
IF('TL17'!$B$229=N$3,SUMIF('TL17'!$C$238:$C$451,$C12,'TL17'!$J$238:$J$451),0),
IF('TL18'!$B$3=N$3,SUMIF('TL18'!$C$10:$C$224,$C12,'TL18'!$J$10:$J$224),0),
IF('TL18'!$B$229=N$3,SUMIF('TL18'!$C$238:$C$451,$C12,'TL18'!$J$238:$J$451),0),
IF('TL19'!$B$3=N$3,SUMIF('TL19'!$C$10:$C$224,$C12,'TL19'!$J$10:$J$224),0),
IF('TL19'!$B$229=N$3,SUMIF('TL19'!$C$238:$C$451,$C12,'TL19'!$J$238:$J$451),0)
),0)</f>
        <v/>
      </c>
      <c r="O12" s="9">
        <f>IFERROR(SUM(
IF('TL01'!$B$3=O$3,SUMIF('TL01'!$C$10:$C$224,$C12,'TL01'!$J$10:$J$224),0),
IF('TL01'!$B$229=O$3,SUMIF('TL01'!$C$238:$C$451,$C12,'TL01'!$J$238:$J$451),0),
IF('TL02'!$B$3=O$3,SUMIF('TL02'!$C$10:$C$224,$C12,'TL02'!$J$10:$J$224),0),
IF('TL02'!$B$229=O$3,SUMIF('TL02'!$C$238:$C$451,$C12,'TL02'!$J$238:$J$451),0),
IF('TL03'!$B$3=O$3,SUMIF('TL03'!$C$10:$C$224,$C12,'TL03'!$J$10:$J$224),0),
IF('TL03'!$B$229=O$3,SUMIF('TL03'!$C$238:$C$451,$C12,'TL03'!$J$238:$J$451),0),
IF('TL04'!$B$3=O$3,SUMIF('TL04'!$C$10:$C$224,$C12,'TL04'!$J$10:$J$224),0),
IF('TL04'!$B$229=O$3,SUMIF('TL04'!$C$238:$C$451,$C12,'TL04'!$J$238:$J$451),0),
IF('TL05'!$B$3=O$3,SUMIF('TL05'!$C$10:$C$224,$C12,'TL05'!$J$10:$J$224),0),
IF('TL05'!$B$229=O$3,SUMIF('TL05'!$C$238:$C$451,$C12,'TL05'!$J$238:$J$451),0),
IF('TL06'!$B$3=O$3,SUMIF('TL06'!$C$10:$C$224,$C12,'TL06'!$J$10:$J$224),0),
IF('TL06'!$B$229=O$3,SUMIF('TL06'!$C$238:$C$451,$C12,'TL06'!$J$238:$J$451),0),
IF('TL07'!$B$3=O$3,SUMIF('TL07'!$C$10:$C$224,$C12,'TL07'!$J$10:$J$224),0),
IF('TL07'!$B$229=O$3,SUMIF('TL07'!$C$238:$C$451,$C12,'TL07'!$J$238:$J$451),0),
IF('TL08'!$B$3=O$3,SUMIF('TL08'!$C$10:$C$224,$C12,'TL08'!$J$10:$J$224),0),
IF('TL08'!$B$229=O$3,SUMIF('TL08'!$C$238:$C$451,$C12,'TL08'!$J$238:$J$451),0),
IF('TL09'!$B$3=O$3,SUMIF('TL09'!$C$10:$C$224,$C12,'TL09'!$J$10:$J$224),0),
IF('TL09'!$B$229=O$3,SUMIF('TL09'!$C$238:$C$451,$C12,'TL09'!$J$238:$J$451),0),
IF('TL10'!$B$3=O$3,SUMIF('TL10'!$C$10:$C$224,$C12,'TL10'!$J$10:$J$224),0),
IF('TL10'!$B$229=O$3,SUMIF('TL10'!$C$238:$C$451,$C12,'TL10'!$J$238:$J$451),0),
IF('TL11'!$B$3=O$3,SUMIF('TL11'!$C$10:$C$224,$C12,'TL11'!$J$10:$J$224),0),
IF('TL11'!$B$229=O$3,SUMIF('TL11'!$C$238:$C$451,$C12,'TL11'!$J$238:$J$451),0),
IF('TL12'!$B$3=O$3,SUMIF('TL12'!$C$10:$C$224,$C12,'TL12'!$J$10:$J$224),0),
IF('TL12'!$B$229=O$3,SUMIF('TL12'!$C$238:$C$451,$C12,'TL12'!$J$238:$J$451),0),
IF('TL13'!$B$3=O$3,SUMIF('TL13'!$C$10:$C$224,$C12,'TL13'!$J$10:$J$224),0),
IF('TL13'!$B$229=O$3,SUMIF('TL13'!$C$238:$C$451,$C12,'TL13'!$J$238:$J$451),0),
IF('TL14'!$B$3=O$3,SUMIF('TL14'!$C$10:$C$224,$C12,'TL14'!$J$10:$J$224),0),
IF('TL14'!$B$229=O$3,SUMIF('TL14'!$C$238:$C$451,$C12,'TL14'!$J$238:$J$451),0),
IF('TL15'!$B$3=O$3,SUMIF('TL15'!$C$10:$C$224,$C12,'TL15'!$J$10:$J$224),0),
IF('TL15'!$B$229=O$3,SUMIF('TL15'!$C$238:$C$451,$C12,'TL15'!$J$238:$J$451),0),
IF('TL16'!$B$3=O$3,SUMIF('TL16'!$C$10:$C$224,$C12,'TL16'!$J$10:$J$224),0),
IF('TL16'!$B$229=O$3,SUMIF('TL16'!$C$238:$C$451,$C12,'TL16'!$J$238:$J$451),0),
IF('TL17'!$B$3=O$3,SUMIF('TL17'!$C$10:$C$224,$C12,'TL17'!$J$10:$J$224),0),
IF('TL17'!$B$229=O$3,SUMIF('TL17'!$C$238:$C$451,$C12,'TL17'!$J$238:$J$451),0),
IF('TL18'!$B$3=O$3,SUMIF('TL18'!$C$10:$C$224,$C12,'TL18'!$J$10:$J$224),0),
IF('TL18'!$B$229=O$3,SUMIF('TL18'!$C$238:$C$451,$C12,'TL18'!$J$238:$J$451),0),
IF('TL19'!$B$3=O$3,SUMIF('TL19'!$C$10:$C$224,$C12,'TL19'!$J$10:$J$224),0),
IF('TL19'!$B$229=O$3,SUMIF('TL19'!$C$238:$C$451,$C12,'TL19'!$J$238:$J$451),0)
),0)</f>
        <v/>
      </c>
      <c r="P12" s="9">
        <f>IFERROR(SUM(
IF('TL01'!$B$3=P$3,SUMIF('TL01'!$C$10:$C$224,$C12,'TL01'!$J$10:$J$224),0),
IF('TL01'!$B$229=P$3,SUMIF('TL01'!$C$238:$C$451,$C12,'TL01'!$J$238:$J$451),0),
IF('TL02'!$B$3=P$3,SUMIF('TL02'!$C$10:$C$224,$C12,'TL02'!$J$10:$J$224),0),
IF('TL02'!$B$229=P$3,SUMIF('TL02'!$C$238:$C$451,$C12,'TL02'!$J$238:$J$451),0),
IF('TL03'!$B$3=P$3,SUMIF('TL03'!$C$10:$C$224,$C12,'TL03'!$J$10:$J$224),0),
IF('TL03'!$B$229=P$3,SUMIF('TL03'!$C$238:$C$451,$C12,'TL03'!$J$238:$J$451),0),
IF('TL04'!$B$3=P$3,SUMIF('TL04'!$C$10:$C$224,$C12,'TL04'!$J$10:$J$224),0),
IF('TL04'!$B$229=P$3,SUMIF('TL04'!$C$238:$C$451,$C12,'TL04'!$J$238:$J$451),0),
IF('TL05'!$B$3=P$3,SUMIF('TL05'!$C$10:$C$224,$C12,'TL05'!$J$10:$J$224),0),
IF('TL05'!$B$229=P$3,SUMIF('TL05'!$C$238:$C$451,$C12,'TL05'!$J$238:$J$451),0),
IF('TL06'!$B$3=P$3,SUMIF('TL06'!$C$10:$C$224,$C12,'TL06'!$J$10:$J$224),0),
IF('TL06'!$B$229=P$3,SUMIF('TL06'!$C$238:$C$451,$C12,'TL06'!$J$238:$J$451),0),
IF('TL07'!$B$3=P$3,SUMIF('TL07'!$C$10:$C$224,$C12,'TL07'!$J$10:$J$224),0),
IF('TL07'!$B$229=P$3,SUMIF('TL07'!$C$238:$C$451,$C12,'TL07'!$J$238:$J$451),0),
IF('TL08'!$B$3=P$3,SUMIF('TL08'!$C$10:$C$224,$C12,'TL08'!$J$10:$J$224),0),
IF('TL08'!$B$229=P$3,SUMIF('TL08'!$C$238:$C$451,$C12,'TL08'!$J$238:$J$451),0),
IF('TL09'!$B$3=P$3,SUMIF('TL09'!$C$10:$C$224,$C12,'TL09'!$J$10:$J$224),0),
IF('TL09'!$B$229=P$3,SUMIF('TL09'!$C$238:$C$451,$C12,'TL09'!$J$238:$J$451),0),
IF('TL10'!$B$3=P$3,SUMIF('TL10'!$C$10:$C$224,$C12,'TL10'!$J$10:$J$224),0),
IF('TL10'!$B$229=P$3,SUMIF('TL10'!$C$238:$C$451,$C12,'TL10'!$J$238:$J$451),0),
IF('TL11'!$B$3=P$3,SUMIF('TL11'!$C$10:$C$224,$C12,'TL11'!$J$10:$J$224),0),
IF('TL11'!$B$229=P$3,SUMIF('TL11'!$C$238:$C$451,$C12,'TL11'!$J$238:$J$451),0),
IF('TL12'!$B$3=P$3,SUMIF('TL12'!$C$10:$C$224,$C12,'TL12'!$J$10:$J$224),0),
IF('TL12'!$B$229=P$3,SUMIF('TL12'!$C$238:$C$451,$C12,'TL12'!$J$238:$J$451),0),
IF('TL13'!$B$3=P$3,SUMIF('TL13'!$C$10:$C$224,$C12,'TL13'!$J$10:$J$224),0),
IF('TL13'!$B$229=P$3,SUMIF('TL13'!$C$238:$C$451,$C12,'TL13'!$J$238:$J$451),0),
IF('TL14'!$B$3=P$3,SUMIF('TL14'!$C$10:$C$224,$C12,'TL14'!$J$10:$J$224),0),
IF('TL14'!$B$229=P$3,SUMIF('TL14'!$C$238:$C$451,$C12,'TL14'!$J$238:$J$451),0),
IF('TL15'!$B$3=P$3,SUMIF('TL15'!$C$10:$C$224,$C12,'TL15'!$J$10:$J$224),0),
IF('TL15'!$B$229=P$3,SUMIF('TL15'!$C$238:$C$451,$C12,'TL15'!$J$238:$J$451),0),
IF('TL16'!$B$3=P$3,SUMIF('TL16'!$C$10:$C$224,$C12,'TL16'!$J$10:$J$224),0),
IF('TL16'!$B$229=P$3,SUMIF('TL16'!$C$238:$C$451,$C12,'TL16'!$J$238:$J$451),0),
IF('TL17'!$B$3=P$3,SUMIF('TL17'!$C$10:$C$224,$C12,'TL17'!$J$10:$J$224),0),
IF('TL17'!$B$229=P$3,SUMIF('TL17'!$C$238:$C$451,$C12,'TL17'!$J$238:$J$451),0),
IF('TL18'!$B$3=P$3,SUMIF('TL18'!$C$10:$C$224,$C12,'TL18'!$J$10:$J$224),0),
IF('TL18'!$B$229=P$3,SUMIF('TL18'!$C$238:$C$451,$C12,'TL18'!$J$238:$J$451),0),
IF('TL19'!$B$3=P$3,SUMIF('TL19'!$C$10:$C$224,$C12,'TL19'!$J$10:$J$224),0),
IF('TL19'!$B$229=P$3,SUMIF('TL19'!$C$238:$C$451,$C12,'TL19'!$J$238:$J$451),0)
),0)</f>
        <v/>
      </c>
      <c r="Q12" s="9">
        <f>IFERROR(SUM(
IF('TL01'!$B$3=Q$3,SUMIF('TL01'!$C$10:$C$224,$C12,'TL01'!$J$10:$J$224),0),
IF('TL01'!$B$229=Q$3,SUMIF('TL01'!$C$238:$C$451,$C12,'TL01'!$J$238:$J$451),0),
IF('TL02'!$B$3=Q$3,SUMIF('TL02'!$C$10:$C$224,$C12,'TL02'!$J$10:$J$224),0),
IF('TL02'!$B$229=Q$3,SUMIF('TL02'!$C$238:$C$451,$C12,'TL02'!$J$238:$J$451),0),
IF('TL03'!$B$3=Q$3,SUMIF('TL03'!$C$10:$C$224,$C12,'TL03'!$J$10:$J$224),0),
IF('TL03'!$B$229=Q$3,SUMIF('TL03'!$C$238:$C$451,$C12,'TL03'!$J$238:$J$451),0),
IF('TL04'!$B$3=Q$3,SUMIF('TL04'!$C$10:$C$224,$C12,'TL04'!$J$10:$J$224),0),
IF('TL04'!$B$229=Q$3,SUMIF('TL04'!$C$238:$C$451,$C12,'TL04'!$J$238:$J$451),0),
IF('TL05'!$B$3=Q$3,SUMIF('TL05'!$C$10:$C$224,$C12,'TL05'!$J$10:$J$224),0),
IF('TL05'!$B$229=Q$3,SUMIF('TL05'!$C$238:$C$451,$C12,'TL05'!$J$238:$J$451),0),
IF('TL06'!$B$3=Q$3,SUMIF('TL06'!$C$10:$C$224,$C12,'TL06'!$J$10:$J$224),0),
IF('TL06'!$B$229=Q$3,SUMIF('TL06'!$C$238:$C$451,$C12,'TL06'!$J$238:$J$451),0),
IF('TL07'!$B$3=Q$3,SUMIF('TL07'!$C$10:$C$224,$C12,'TL07'!$J$10:$J$224),0),
IF('TL07'!$B$229=Q$3,SUMIF('TL07'!$C$238:$C$451,$C12,'TL07'!$J$238:$J$451),0),
IF('TL08'!$B$3=Q$3,SUMIF('TL08'!$C$10:$C$224,$C12,'TL08'!$J$10:$J$224),0),
IF('TL08'!$B$229=Q$3,SUMIF('TL08'!$C$238:$C$451,$C12,'TL08'!$J$238:$J$451),0),
IF('TL09'!$B$3=Q$3,SUMIF('TL09'!$C$10:$C$224,$C12,'TL09'!$J$10:$J$224),0),
IF('TL09'!$B$229=Q$3,SUMIF('TL09'!$C$238:$C$451,$C12,'TL09'!$J$238:$J$451),0),
IF('TL10'!$B$3=Q$3,SUMIF('TL10'!$C$10:$C$224,$C12,'TL10'!$J$10:$J$224),0),
IF('TL10'!$B$229=Q$3,SUMIF('TL10'!$C$238:$C$451,$C12,'TL10'!$J$238:$J$451),0),
IF('TL11'!$B$3=Q$3,SUMIF('TL11'!$C$10:$C$224,$C12,'TL11'!$J$10:$J$224),0),
IF('TL11'!$B$229=Q$3,SUMIF('TL11'!$C$238:$C$451,$C12,'TL11'!$J$238:$J$451),0),
IF('TL12'!$B$3=Q$3,SUMIF('TL12'!$C$10:$C$224,$C12,'TL12'!$J$10:$J$224),0),
IF('TL12'!$B$229=Q$3,SUMIF('TL12'!$C$238:$C$451,$C12,'TL12'!$J$238:$J$451),0),
IF('TL13'!$B$3=Q$3,SUMIF('TL13'!$C$10:$C$224,$C12,'TL13'!$J$10:$J$224),0),
IF('TL13'!$B$229=Q$3,SUMIF('TL13'!$C$238:$C$451,$C12,'TL13'!$J$238:$J$451),0),
IF('TL14'!$B$3=Q$3,SUMIF('TL14'!$C$10:$C$224,$C12,'TL14'!$J$10:$J$224),0),
IF('TL14'!$B$229=Q$3,SUMIF('TL14'!$C$238:$C$451,$C12,'TL14'!$J$238:$J$451),0),
IF('TL15'!$B$3=Q$3,SUMIF('TL15'!$C$10:$C$224,$C12,'TL15'!$J$10:$J$224),0),
IF('TL15'!$B$229=Q$3,SUMIF('TL15'!$C$238:$C$451,$C12,'TL15'!$J$238:$J$451),0),
IF('TL16'!$B$3=Q$3,SUMIF('TL16'!$C$10:$C$224,$C12,'TL16'!$J$10:$J$224),0),
IF('TL16'!$B$229=Q$3,SUMIF('TL16'!$C$238:$C$451,$C12,'TL16'!$J$238:$J$451),0),
IF('TL17'!$B$3=Q$3,SUMIF('TL17'!$C$10:$C$224,$C12,'TL17'!$J$10:$J$224),0),
IF('TL17'!$B$229=Q$3,SUMIF('TL17'!$C$238:$C$451,$C12,'TL17'!$J$238:$J$451),0),
IF('TL18'!$B$3=Q$3,SUMIF('TL18'!$C$10:$C$224,$C12,'TL18'!$J$10:$J$224),0),
IF('TL18'!$B$229=Q$3,SUMIF('TL18'!$C$238:$C$451,$C12,'TL18'!$J$238:$J$451),0),
IF('TL19'!$B$3=Q$3,SUMIF('TL19'!$C$10:$C$224,$C12,'TL19'!$J$10:$J$224),0),
IF('TL19'!$B$229=Q$3,SUMIF('TL19'!$C$238:$C$451,$C12,'TL19'!$J$238:$J$451),0)
),0)</f>
        <v/>
      </c>
      <c r="R12" s="9">
        <f>IFERROR(
SUM(
SUMIF('TL01'!C:C,C12,'TL01'!J:J),
SUMIF('TL02'!C:C,C12,'TL02'!J:J),
SUMIF('TL03'!C:C,C12,'TL03'!J:J),
SUMIF('TL04'!C:C,C12,'TL04'!J:J),
SUMIF('TL05'!C:C,C12,'TL05'!J:J),
SUMIF('TL06'!C:C,C12,'TL06'!J:J),
SUMIF('TL07'!C:C,C12,'TL07'!J:J),
SUMIF('TL08'!C:C,C12,'TL08'!J:J),
SUMIF('TL09'!C:C,C12,'TL09'!J:J),
SUMIF('TL10'!C:C,C12,'TL10'!J:J),
SUMIF('TL11'!C:C,C12,'TL11'!J:J),
SUMIF('TL12'!C:C,C12,'TL12'!J:J),
SUMIF('TL13'!C:C,C12,'TL13'!J:J),
SUMIF('TL14'!C:C,C12,'TL14'!J:J),
SUMIF('TL15'!C:C,C12,'TL15'!J:J),
SUMIF('TL16'!C:C,C12,'TL16'!J:J),
SUMIF('TL17'!C:C,C12,'TL17'!J:J),
SUMIF('TL18'!C:C,C12,'TL18'!J:J),SUMIF('TL19'!C:C,C12,'TL19'!J:J))
,0)</f>
        <v/>
      </c>
      <c r="S12" s="17">
        <f>IFERROR(__xludf.DUMMYFUNCTION("IFERROR(VLOOKUP(C12,
IMPORTRANGE(""1wULbzX32WdYsx-lj2U3uUNBBe2INVIRDtcK0d-Dvl90"",
""26-27!C:G""),
5,
FALSE),
"""")"),32.39663)</f>
        <v/>
      </c>
      <c r="T12" s="9" t="n"/>
      <c r="U12" s="92">
        <f>MAX(0,R12-T12)</f>
        <v/>
      </c>
      <c r="V12" s="93">
        <f>U12*S12</f>
        <v/>
      </c>
    </row>
    <row r="13" hidden="1" ht="22.5" customHeight="1" s="297">
      <c r="A13" s="94" t="inlineStr">
        <is>
          <t>CORTEVA</t>
        </is>
      </c>
      <c r="B13" s="95" t="inlineStr">
        <is>
          <t>BIOLÓGICOS</t>
        </is>
      </c>
      <c r="C13" s="96" t="inlineStr">
        <is>
          <t>UTRISHA N</t>
        </is>
      </c>
      <c r="D13" s="96" t="inlineStr">
        <is>
          <t>METHYLOBACTERIUM SYMBIOTICUM SB23</t>
        </is>
      </c>
      <c r="E13" s="96" t="inlineStr">
        <is>
          <t>3x10⁷</t>
        </is>
      </c>
      <c r="F13" s="4" t="inlineStr">
        <is>
          <t>L</t>
        </is>
      </c>
      <c r="G13" s="90">
        <f>HYPERLINK("https://www.google.com/search?q=" &amp; C13 &amp; "+bula+agrofit+pdf", "📄 Ver bula")</f>
        <v/>
      </c>
      <c r="H13" s="9">
        <f>IFERROR(__xludf.DUMMYFUNCTION("IFERROR(VLOOKUP(C13,
IMPORTRANGE(""1wULbzX32WdYsx-lj2U3uUNBBe2INVIRDtcK0d-Dvl90"",
""26-27!C:K""),
8,
FALSE),
"""")"),0.33)</f>
        <v/>
      </c>
      <c r="I13" s="97" t="inlineStr">
        <is>
          <t>1x20</t>
        </is>
      </c>
      <c r="J13" s="9">
        <f>IFERROR(SUM(
IF('TL01'!$B$3=J$3,SUMIF('TL01'!$C$10:$C$224,$C13,'TL01'!$J$10:$J$224),0),
IF('TL01'!$B$229=J$3,SUMIF('TL01'!$C$238:$C$451,$C13,'TL01'!$J$238:$J$451),0),
IF('TL02'!$B$3=J$3,SUMIF('TL02'!$C$10:$C$224,$C13,'TL02'!$J$10:$J$224),0),
IF('TL02'!$B$229=J$3,SUMIF('TL02'!$C$238:$C$451,$C13,'TL02'!$J$238:$J$451),0),
IF('TL03'!$B$3=J$3,SUMIF('TL03'!$C$10:$C$224,$C13,'TL03'!$J$10:$J$224),0),
IF('TL03'!$B$229=J$3,SUMIF('TL03'!$C$238:$C$451,$C13,'TL03'!$J$238:$J$451),0),
IF('TL04'!$B$3=J$3,SUMIF('TL04'!$C$10:$C$224,$C13,'TL04'!$J$10:$J$224),0),
IF('TL04'!$B$229=J$3,SUMIF('TL04'!$C$238:$C$451,$C13,'TL04'!$J$238:$J$451),0),
IF('TL05'!$B$3=J$3,SUMIF('TL05'!$C$10:$C$224,$C13,'TL05'!$J$10:$J$224),0),
IF('TL05'!$B$229=J$3,SUMIF('TL05'!$C$238:$C$451,$C13,'TL05'!$J$238:$J$451),0),
IF('TL06'!$B$3=J$3,SUMIF('TL06'!$C$10:$C$224,$C13,'TL06'!$J$10:$J$224),0),
IF('TL06'!$B$229=J$3,SUMIF('TL06'!$C$238:$C$451,$C13,'TL06'!$J$238:$J$451),0),
IF('TL07'!$B$3=J$3,SUMIF('TL07'!$C$10:$C$224,$C13,'TL07'!$J$10:$J$224),0),
IF('TL07'!$B$229=J$3,SUMIF('TL07'!$C$238:$C$451,$C13,'TL07'!$J$238:$J$451),0),
IF('TL08'!$B$3=J$3,SUMIF('TL08'!$C$10:$C$224,$C13,'TL08'!$J$10:$J$224),0),
IF('TL08'!$B$229=J$3,SUMIF('TL08'!$C$238:$C$451,$C13,'TL08'!$J$238:$J$451),0),
IF('TL09'!$B$3=J$3,SUMIF('TL09'!$C$10:$C$224,$C13,'TL09'!$J$10:$J$224),0),
IF('TL09'!$B$229=J$3,SUMIF('TL09'!$C$238:$C$451,$C13,'TL09'!$J$238:$J$451),0),
IF('TL10'!$B$3=J$3,SUMIF('TL10'!$C$10:$C$224,$C13,'TL10'!$J$10:$J$224),0),
IF('TL10'!$B$229=J$3,SUMIF('TL10'!$C$238:$C$451,$C13,'TL10'!$J$238:$J$451),0),
IF('TL11'!$B$3=J$3,SUMIF('TL11'!$C$10:$C$224,$C13,'TL11'!$J$10:$J$224),0),
IF('TL11'!$B$229=J$3,SUMIF('TL11'!$C$238:$C$451,$C13,'TL11'!$J$238:$J$451),0),
IF('TL12'!$B$3=J$3,SUMIF('TL12'!$C$10:$C$224,$C13,'TL12'!$J$10:$J$224),0),
IF('TL12'!$B$229=J$3,SUMIF('TL12'!$C$238:$C$451,$C13,'TL12'!$J$238:$J$451),0),
IF('TL13'!$B$3=J$3,SUMIF('TL13'!$C$10:$C$224,$C13,'TL13'!$J$10:$J$224),0),
IF('TL13'!$B$229=J$3,SUMIF('TL13'!$C$238:$C$451,$C13,'TL13'!$J$238:$J$451),0),
IF('TL14'!$B$3=J$3,SUMIF('TL14'!$C$10:$C$224,$C13,'TL14'!$J$10:$J$224),0),
IF('TL14'!$B$229=J$3,SUMIF('TL14'!$C$238:$C$451,$C13,'TL14'!$J$238:$J$451),0),
IF('TL15'!$B$3=J$3,SUMIF('TL15'!$C$10:$C$224,$C13,'TL15'!$J$10:$J$224),0),
IF('TL15'!$B$229=J$3,SUMIF('TL15'!$C$238:$C$451,$C13,'TL15'!$J$238:$J$451),0),
IF('TL16'!$B$3=J$3,SUMIF('TL16'!$C$10:$C$224,$C13,'TL16'!$J$10:$J$224),0),
IF('TL16'!$B$229=J$3,SUMIF('TL16'!$C$238:$C$451,$C13,'TL16'!$J$238:$J$451),0),
IF('TL17'!$B$3=J$3,SUMIF('TL17'!$C$10:$C$224,$C13,'TL17'!$J$10:$J$224),0),
IF('TL17'!$B$229=J$3,SUMIF('TL17'!$C$238:$C$451,$C13,'TL17'!$J$238:$J$451),0),
IF('TL18'!$B$3=J$3,SUMIF('TL18'!$C$10:$C$224,$C13,'TL18'!$J$10:$J$224),0),
IF('TL18'!$B$229=J$3,SUMIF('TL18'!$C$238:$C$451,$C13,'TL18'!$J$238:$J$451),0),
IF('TL19'!$B$3=J$3,SUMIF('TL19'!$C$10:$C$224,$C13,'TL19'!$J$10:$J$224),0),
IF('TL19'!$B$229=J$3,SUMIF('TL19'!$C$238:$C$451,$C13,'TL19'!$J$238:$J$451),0)
),0)</f>
        <v/>
      </c>
      <c r="K13" s="9">
        <f>IFERROR(SUM(
IF('TL01'!$B$3=K$3,SUMIF('TL01'!$C$10:$C$224,$C13,'TL01'!$J$10:$J$224),0),
IF('TL01'!$B$229=K$3,SUMIF('TL01'!$C$238:$C$451,$C13,'TL01'!$J$238:$J$451),0),
IF('TL02'!$B$3=K$3,SUMIF('TL02'!$C$10:$C$224,$C13,'TL02'!$J$10:$J$224),0),
IF('TL02'!$B$229=K$3,SUMIF('TL02'!$C$238:$C$451,$C13,'TL02'!$J$238:$J$451),0),
IF('TL03'!$B$3=K$3,SUMIF('TL03'!$C$10:$C$224,$C13,'TL03'!$J$10:$J$224),0),
IF('TL03'!$B$229=K$3,SUMIF('TL03'!$C$238:$C$451,$C13,'TL03'!$J$238:$J$451),0),
IF('TL04'!$B$3=K$3,SUMIF('TL04'!$C$10:$C$224,$C13,'TL04'!$J$10:$J$224),0),
IF('TL04'!$B$229=K$3,SUMIF('TL04'!$C$238:$C$451,$C13,'TL04'!$J$238:$J$451),0),
IF('TL05'!$B$3=K$3,SUMIF('TL05'!$C$10:$C$224,$C13,'TL05'!$J$10:$J$224),0),
IF('TL05'!$B$229=K$3,SUMIF('TL05'!$C$238:$C$451,$C13,'TL05'!$J$238:$J$451),0),
IF('TL06'!$B$3=K$3,SUMIF('TL06'!$C$10:$C$224,$C13,'TL06'!$J$10:$J$224),0),
IF('TL06'!$B$229=K$3,SUMIF('TL06'!$C$238:$C$451,$C13,'TL06'!$J$238:$J$451),0),
IF('TL07'!$B$3=K$3,SUMIF('TL07'!$C$10:$C$224,$C13,'TL07'!$J$10:$J$224),0),
IF('TL07'!$B$229=K$3,SUMIF('TL07'!$C$238:$C$451,$C13,'TL07'!$J$238:$J$451),0),
IF('TL08'!$B$3=K$3,SUMIF('TL08'!$C$10:$C$224,$C13,'TL08'!$J$10:$J$224),0),
IF('TL08'!$B$229=K$3,SUMIF('TL08'!$C$238:$C$451,$C13,'TL08'!$J$238:$J$451),0),
IF('TL09'!$B$3=K$3,SUMIF('TL09'!$C$10:$C$224,$C13,'TL09'!$J$10:$J$224),0),
IF('TL09'!$B$229=K$3,SUMIF('TL09'!$C$238:$C$451,$C13,'TL09'!$J$238:$J$451),0),
IF('TL10'!$B$3=K$3,SUMIF('TL10'!$C$10:$C$224,$C13,'TL10'!$J$10:$J$224),0),
IF('TL10'!$B$229=K$3,SUMIF('TL10'!$C$238:$C$451,$C13,'TL10'!$J$238:$J$451),0),
IF('TL11'!$B$3=K$3,SUMIF('TL11'!$C$10:$C$224,$C13,'TL11'!$J$10:$J$224),0),
IF('TL11'!$B$229=K$3,SUMIF('TL11'!$C$238:$C$451,$C13,'TL11'!$J$238:$J$451),0),
IF('TL12'!$B$3=K$3,SUMIF('TL12'!$C$10:$C$224,$C13,'TL12'!$J$10:$J$224),0),
IF('TL12'!$B$229=K$3,SUMIF('TL12'!$C$238:$C$451,$C13,'TL12'!$J$238:$J$451),0),
IF('TL13'!$B$3=K$3,SUMIF('TL13'!$C$10:$C$224,$C13,'TL13'!$J$10:$J$224),0),
IF('TL13'!$B$229=K$3,SUMIF('TL13'!$C$238:$C$451,$C13,'TL13'!$J$238:$J$451),0),
IF('TL14'!$B$3=K$3,SUMIF('TL14'!$C$10:$C$224,$C13,'TL14'!$J$10:$J$224),0),
IF('TL14'!$B$229=K$3,SUMIF('TL14'!$C$238:$C$451,$C13,'TL14'!$J$238:$J$451),0),
IF('TL15'!$B$3=K$3,SUMIF('TL15'!$C$10:$C$224,$C13,'TL15'!$J$10:$J$224),0),
IF('TL15'!$B$229=K$3,SUMIF('TL15'!$C$238:$C$451,$C13,'TL15'!$J$238:$J$451),0),
IF('TL16'!$B$3=K$3,SUMIF('TL16'!$C$10:$C$224,$C13,'TL16'!$J$10:$J$224),0),
IF('TL16'!$B$229=K$3,SUMIF('TL16'!$C$238:$C$451,$C13,'TL16'!$J$238:$J$451),0),
IF('TL17'!$B$3=K$3,SUMIF('TL17'!$C$10:$C$224,$C13,'TL17'!$J$10:$J$224),0),
IF('TL17'!$B$229=K$3,SUMIF('TL17'!$C$238:$C$451,$C13,'TL17'!$J$238:$J$451),0),
IF('TL18'!$B$3=K$3,SUMIF('TL18'!$C$10:$C$224,$C13,'TL18'!$J$10:$J$224),0),
IF('TL18'!$B$229=K$3,SUMIF('TL18'!$C$238:$C$451,$C13,'TL18'!$J$238:$J$451),0),
IF('TL19'!$B$3=K$3,SUMIF('TL19'!$C$10:$C$224,$C13,'TL19'!$J$10:$J$224),0),
IF('TL19'!$B$229=K$3,SUMIF('TL19'!$C$238:$C$451,$C13,'TL19'!$J$238:$J$451),0)
),0)</f>
        <v/>
      </c>
      <c r="L13" s="9">
        <f>IFERROR(SUM(
IF('TL01'!$B$3=L$3,SUMIF('TL01'!$C$10:$C$224,$C13,'TL01'!$J$10:$J$224),0),
IF('TL01'!$B$229=L$3,SUMIF('TL01'!$C$238:$C$451,$C13,'TL01'!$J$238:$J$451),0),
IF('TL02'!$B$3=L$3,SUMIF('TL02'!$C$10:$C$224,$C13,'TL02'!$J$10:$J$224),0),
IF('TL02'!$B$229=L$3,SUMIF('TL02'!$C$238:$C$451,$C13,'TL02'!$J$238:$J$451),0),
IF('TL03'!$B$3=L$3,SUMIF('TL03'!$C$10:$C$224,$C13,'TL03'!$J$10:$J$224),0),
IF('TL03'!$B$229=L$3,SUMIF('TL03'!$C$238:$C$451,$C13,'TL03'!$J$238:$J$451),0),
IF('TL04'!$B$3=L$3,SUMIF('TL04'!$C$10:$C$224,$C13,'TL04'!$J$10:$J$224),0),
IF('TL04'!$B$229=L$3,SUMIF('TL04'!$C$238:$C$451,$C13,'TL04'!$J$238:$J$451),0),
IF('TL05'!$B$3=L$3,SUMIF('TL05'!$C$10:$C$224,$C13,'TL05'!$J$10:$J$224),0),
IF('TL05'!$B$229=L$3,SUMIF('TL05'!$C$238:$C$451,$C13,'TL05'!$J$238:$J$451),0),
IF('TL06'!$B$3=L$3,SUMIF('TL06'!$C$10:$C$224,$C13,'TL06'!$J$10:$J$224),0),
IF('TL06'!$B$229=L$3,SUMIF('TL06'!$C$238:$C$451,$C13,'TL06'!$J$238:$J$451),0),
IF('TL07'!$B$3=L$3,SUMIF('TL07'!$C$10:$C$224,$C13,'TL07'!$J$10:$J$224),0),
IF('TL07'!$B$229=L$3,SUMIF('TL07'!$C$238:$C$451,$C13,'TL07'!$J$238:$J$451),0),
IF('TL08'!$B$3=L$3,SUMIF('TL08'!$C$10:$C$224,$C13,'TL08'!$J$10:$J$224),0),
IF('TL08'!$B$229=L$3,SUMIF('TL08'!$C$238:$C$451,$C13,'TL08'!$J$238:$J$451),0),
IF('TL09'!$B$3=L$3,SUMIF('TL09'!$C$10:$C$224,$C13,'TL09'!$J$10:$J$224),0),
IF('TL09'!$B$229=L$3,SUMIF('TL09'!$C$238:$C$451,$C13,'TL09'!$J$238:$J$451),0),
IF('TL10'!$B$3=L$3,SUMIF('TL10'!$C$10:$C$224,$C13,'TL10'!$J$10:$J$224),0),
IF('TL10'!$B$229=L$3,SUMIF('TL10'!$C$238:$C$451,$C13,'TL10'!$J$238:$J$451),0),
IF('TL11'!$B$3=L$3,SUMIF('TL11'!$C$10:$C$224,$C13,'TL11'!$J$10:$J$224),0),
IF('TL11'!$B$229=L$3,SUMIF('TL11'!$C$238:$C$451,$C13,'TL11'!$J$238:$J$451),0),
IF('TL12'!$B$3=L$3,SUMIF('TL12'!$C$10:$C$224,$C13,'TL12'!$J$10:$J$224),0),
IF('TL12'!$B$229=L$3,SUMIF('TL12'!$C$238:$C$451,$C13,'TL12'!$J$238:$J$451),0),
IF('TL13'!$B$3=L$3,SUMIF('TL13'!$C$10:$C$224,$C13,'TL13'!$J$10:$J$224),0),
IF('TL13'!$B$229=L$3,SUMIF('TL13'!$C$238:$C$451,$C13,'TL13'!$J$238:$J$451),0),
IF('TL14'!$B$3=L$3,SUMIF('TL14'!$C$10:$C$224,$C13,'TL14'!$J$10:$J$224),0),
IF('TL14'!$B$229=L$3,SUMIF('TL14'!$C$238:$C$451,$C13,'TL14'!$J$238:$J$451),0),
IF('TL15'!$B$3=L$3,SUMIF('TL15'!$C$10:$C$224,$C13,'TL15'!$J$10:$J$224),0),
IF('TL15'!$B$229=L$3,SUMIF('TL15'!$C$238:$C$451,$C13,'TL15'!$J$238:$J$451),0),
IF('TL16'!$B$3=L$3,SUMIF('TL16'!$C$10:$C$224,$C13,'TL16'!$J$10:$J$224),0),
IF('TL16'!$B$229=L$3,SUMIF('TL16'!$C$238:$C$451,$C13,'TL16'!$J$238:$J$451),0),
IF('TL17'!$B$3=L$3,SUMIF('TL17'!$C$10:$C$224,$C13,'TL17'!$J$10:$J$224),0),
IF('TL17'!$B$229=L$3,SUMIF('TL17'!$C$238:$C$451,$C13,'TL17'!$J$238:$J$451),0),
IF('TL18'!$B$3=L$3,SUMIF('TL18'!$C$10:$C$224,$C13,'TL18'!$J$10:$J$224),0),
IF('TL18'!$B$229=L$3,SUMIF('TL18'!$C$238:$C$451,$C13,'TL18'!$J$238:$J$451),0),
IF('TL19'!$B$3=L$3,SUMIF('TL19'!$C$10:$C$224,$C13,'TL19'!$J$10:$J$224),0),
IF('TL19'!$B$229=L$3,SUMIF('TL19'!$C$238:$C$451,$C13,'TL19'!$J$238:$J$451),0)
),0)</f>
        <v/>
      </c>
      <c r="M13" s="9">
        <f>IFERROR(SUM(
IF('TL01'!$B$3=M$3,SUMIF('TL01'!$C$10:$C$224,$C13,'TL01'!$J$10:$J$224),0),
IF('TL01'!$B$229=M$3,SUMIF('TL01'!$C$238:$C$451,$C13,'TL01'!$J$238:$J$451),0),
IF('TL02'!$B$3=M$3,SUMIF('TL02'!$C$10:$C$224,$C13,'TL02'!$J$10:$J$224),0),
IF('TL02'!$B$229=M$3,SUMIF('TL02'!$C$238:$C$451,$C13,'TL02'!$J$238:$J$451),0),
IF('TL03'!$B$3=M$3,SUMIF('TL03'!$C$10:$C$224,$C13,'TL03'!$J$10:$J$224),0),
IF('TL03'!$B$229=M$3,SUMIF('TL03'!$C$238:$C$451,$C13,'TL03'!$J$238:$J$451),0),
IF('TL04'!$B$3=M$3,SUMIF('TL04'!$C$10:$C$224,$C13,'TL04'!$J$10:$J$224),0),
IF('TL04'!$B$229=M$3,SUMIF('TL04'!$C$238:$C$451,$C13,'TL04'!$J$238:$J$451),0),
IF('TL05'!$B$3=M$3,SUMIF('TL05'!$C$10:$C$224,$C13,'TL05'!$J$10:$J$224),0),
IF('TL05'!$B$229=M$3,SUMIF('TL05'!$C$238:$C$451,$C13,'TL05'!$J$238:$J$451),0),
IF('TL06'!$B$3=M$3,SUMIF('TL06'!$C$10:$C$224,$C13,'TL06'!$J$10:$J$224),0),
IF('TL06'!$B$229=M$3,SUMIF('TL06'!$C$238:$C$451,$C13,'TL06'!$J$238:$J$451),0),
IF('TL07'!$B$3=M$3,SUMIF('TL07'!$C$10:$C$224,$C13,'TL07'!$J$10:$J$224),0),
IF('TL07'!$B$229=M$3,SUMIF('TL07'!$C$238:$C$451,$C13,'TL07'!$J$238:$J$451),0),
IF('TL08'!$B$3=M$3,SUMIF('TL08'!$C$10:$C$224,$C13,'TL08'!$J$10:$J$224),0),
IF('TL08'!$B$229=M$3,SUMIF('TL08'!$C$238:$C$451,$C13,'TL08'!$J$238:$J$451),0),
IF('TL09'!$B$3=M$3,SUMIF('TL09'!$C$10:$C$224,$C13,'TL09'!$J$10:$J$224),0),
IF('TL09'!$B$229=M$3,SUMIF('TL09'!$C$238:$C$451,$C13,'TL09'!$J$238:$J$451),0),
IF('TL10'!$B$3=M$3,SUMIF('TL10'!$C$10:$C$224,$C13,'TL10'!$J$10:$J$224),0),
IF('TL10'!$B$229=M$3,SUMIF('TL10'!$C$238:$C$451,$C13,'TL10'!$J$238:$J$451),0),
IF('TL11'!$B$3=M$3,SUMIF('TL11'!$C$10:$C$224,$C13,'TL11'!$J$10:$J$224),0),
IF('TL11'!$B$229=M$3,SUMIF('TL11'!$C$238:$C$451,$C13,'TL11'!$J$238:$J$451),0),
IF('TL12'!$B$3=M$3,SUMIF('TL12'!$C$10:$C$224,$C13,'TL12'!$J$10:$J$224),0),
IF('TL12'!$B$229=M$3,SUMIF('TL12'!$C$238:$C$451,$C13,'TL12'!$J$238:$J$451),0),
IF('TL13'!$B$3=M$3,SUMIF('TL13'!$C$10:$C$224,$C13,'TL13'!$J$10:$J$224),0),
IF('TL13'!$B$229=M$3,SUMIF('TL13'!$C$238:$C$451,$C13,'TL13'!$J$238:$J$451),0),
IF('TL14'!$B$3=M$3,SUMIF('TL14'!$C$10:$C$224,$C13,'TL14'!$J$10:$J$224),0),
IF('TL14'!$B$229=M$3,SUMIF('TL14'!$C$238:$C$451,$C13,'TL14'!$J$238:$J$451),0),
IF('TL15'!$B$3=M$3,SUMIF('TL15'!$C$10:$C$224,$C13,'TL15'!$J$10:$J$224),0),
IF('TL15'!$B$229=M$3,SUMIF('TL15'!$C$238:$C$451,$C13,'TL15'!$J$238:$J$451),0),
IF('TL16'!$B$3=M$3,SUMIF('TL16'!$C$10:$C$224,$C13,'TL16'!$J$10:$J$224),0),
IF('TL16'!$B$229=M$3,SUMIF('TL16'!$C$238:$C$451,$C13,'TL16'!$J$238:$J$451),0),
IF('TL17'!$B$3=M$3,SUMIF('TL17'!$C$10:$C$224,$C13,'TL17'!$J$10:$J$224),0),
IF('TL17'!$B$229=M$3,SUMIF('TL17'!$C$238:$C$451,$C13,'TL17'!$J$238:$J$451),0),
IF('TL18'!$B$3=M$3,SUMIF('TL18'!$C$10:$C$224,$C13,'TL18'!$J$10:$J$224),0),
IF('TL18'!$B$229=M$3,SUMIF('TL18'!$C$238:$C$451,$C13,'TL18'!$J$238:$J$451),0),
IF('TL19'!$B$3=M$3,SUMIF('TL19'!$C$10:$C$224,$C13,'TL19'!$J$10:$J$224),0),
IF('TL19'!$B$229=M$3,SUMIF('TL19'!$C$238:$C$451,$C13,'TL19'!$J$238:$J$451),0)
),0)</f>
        <v/>
      </c>
      <c r="N13" s="9">
        <f>IFERROR(SUM(
IF('TL01'!$B$3=N$3,SUMIF('TL01'!$C$10:$C$224,$C13,'TL01'!$J$10:$J$224),0),
IF('TL01'!$B$229=N$3,SUMIF('TL01'!$C$238:$C$451,$C13,'TL01'!$J$238:$J$451),0),
IF('TL02'!$B$3=N$3,SUMIF('TL02'!$C$10:$C$224,$C13,'TL02'!$J$10:$J$224),0),
IF('TL02'!$B$229=N$3,SUMIF('TL02'!$C$238:$C$451,$C13,'TL02'!$J$238:$J$451),0),
IF('TL03'!$B$3=N$3,SUMIF('TL03'!$C$10:$C$224,$C13,'TL03'!$J$10:$J$224),0),
IF('TL03'!$B$229=N$3,SUMIF('TL03'!$C$238:$C$451,$C13,'TL03'!$J$238:$J$451),0),
IF('TL04'!$B$3=N$3,SUMIF('TL04'!$C$10:$C$224,$C13,'TL04'!$J$10:$J$224),0),
IF('TL04'!$B$229=N$3,SUMIF('TL04'!$C$238:$C$451,$C13,'TL04'!$J$238:$J$451),0),
IF('TL05'!$B$3=N$3,SUMIF('TL05'!$C$10:$C$224,$C13,'TL05'!$J$10:$J$224),0),
IF('TL05'!$B$229=N$3,SUMIF('TL05'!$C$238:$C$451,$C13,'TL05'!$J$238:$J$451),0),
IF('TL06'!$B$3=N$3,SUMIF('TL06'!$C$10:$C$224,$C13,'TL06'!$J$10:$J$224),0),
IF('TL06'!$B$229=N$3,SUMIF('TL06'!$C$238:$C$451,$C13,'TL06'!$J$238:$J$451),0),
IF('TL07'!$B$3=N$3,SUMIF('TL07'!$C$10:$C$224,$C13,'TL07'!$J$10:$J$224),0),
IF('TL07'!$B$229=N$3,SUMIF('TL07'!$C$238:$C$451,$C13,'TL07'!$J$238:$J$451),0),
IF('TL08'!$B$3=N$3,SUMIF('TL08'!$C$10:$C$224,$C13,'TL08'!$J$10:$J$224),0),
IF('TL08'!$B$229=N$3,SUMIF('TL08'!$C$238:$C$451,$C13,'TL08'!$J$238:$J$451),0),
IF('TL09'!$B$3=N$3,SUMIF('TL09'!$C$10:$C$224,$C13,'TL09'!$J$10:$J$224),0),
IF('TL09'!$B$229=N$3,SUMIF('TL09'!$C$238:$C$451,$C13,'TL09'!$J$238:$J$451),0),
IF('TL10'!$B$3=N$3,SUMIF('TL10'!$C$10:$C$224,$C13,'TL10'!$J$10:$J$224),0),
IF('TL10'!$B$229=N$3,SUMIF('TL10'!$C$238:$C$451,$C13,'TL10'!$J$238:$J$451),0),
IF('TL11'!$B$3=N$3,SUMIF('TL11'!$C$10:$C$224,$C13,'TL11'!$J$10:$J$224),0),
IF('TL11'!$B$229=N$3,SUMIF('TL11'!$C$238:$C$451,$C13,'TL11'!$J$238:$J$451),0),
IF('TL12'!$B$3=N$3,SUMIF('TL12'!$C$10:$C$224,$C13,'TL12'!$J$10:$J$224),0),
IF('TL12'!$B$229=N$3,SUMIF('TL12'!$C$238:$C$451,$C13,'TL12'!$J$238:$J$451),0),
IF('TL13'!$B$3=N$3,SUMIF('TL13'!$C$10:$C$224,$C13,'TL13'!$J$10:$J$224),0),
IF('TL13'!$B$229=N$3,SUMIF('TL13'!$C$238:$C$451,$C13,'TL13'!$J$238:$J$451),0),
IF('TL14'!$B$3=N$3,SUMIF('TL14'!$C$10:$C$224,$C13,'TL14'!$J$10:$J$224),0),
IF('TL14'!$B$229=N$3,SUMIF('TL14'!$C$238:$C$451,$C13,'TL14'!$J$238:$J$451),0),
IF('TL15'!$B$3=N$3,SUMIF('TL15'!$C$10:$C$224,$C13,'TL15'!$J$10:$J$224),0),
IF('TL15'!$B$229=N$3,SUMIF('TL15'!$C$238:$C$451,$C13,'TL15'!$J$238:$J$451),0),
IF('TL16'!$B$3=N$3,SUMIF('TL16'!$C$10:$C$224,$C13,'TL16'!$J$10:$J$224),0),
IF('TL16'!$B$229=N$3,SUMIF('TL16'!$C$238:$C$451,$C13,'TL16'!$J$238:$J$451),0),
IF('TL17'!$B$3=N$3,SUMIF('TL17'!$C$10:$C$224,$C13,'TL17'!$J$10:$J$224),0),
IF('TL17'!$B$229=N$3,SUMIF('TL17'!$C$238:$C$451,$C13,'TL17'!$J$238:$J$451),0),
IF('TL18'!$B$3=N$3,SUMIF('TL18'!$C$10:$C$224,$C13,'TL18'!$J$10:$J$224),0),
IF('TL18'!$B$229=N$3,SUMIF('TL18'!$C$238:$C$451,$C13,'TL18'!$J$238:$J$451),0),
IF('TL19'!$B$3=N$3,SUMIF('TL19'!$C$10:$C$224,$C13,'TL19'!$J$10:$J$224),0),
IF('TL19'!$B$229=N$3,SUMIF('TL19'!$C$238:$C$451,$C13,'TL19'!$J$238:$J$451),0)
),0)</f>
        <v/>
      </c>
      <c r="O13" s="9">
        <f>IFERROR(SUM(
IF('TL01'!$B$3=O$3,SUMIF('TL01'!$C$10:$C$224,$C13,'TL01'!$J$10:$J$224),0),
IF('TL01'!$B$229=O$3,SUMIF('TL01'!$C$238:$C$451,$C13,'TL01'!$J$238:$J$451),0),
IF('TL02'!$B$3=O$3,SUMIF('TL02'!$C$10:$C$224,$C13,'TL02'!$J$10:$J$224),0),
IF('TL02'!$B$229=O$3,SUMIF('TL02'!$C$238:$C$451,$C13,'TL02'!$J$238:$J$451),0),
IF('TL03'!$B$3=O$3,SUMIF('TL03'!$C$10:$C$224,$C13,'TL03'!$J$10:$J$224),0),
IF('TL03'!$B$229=O$3,SUMIF('TL03'!$C$238:$C$451,$C13,'TL03'!$J$238:$J$451),0),
IF('TL04'!$B$3=O$3,SUMIF('TL04'!$C$10:$C$224,$C13,'TL04'!$J$10:$J$224),0),
IF('TL04'!$B$229=O$3,SUMIF('TL04'!$C$238:$C$451,$C13,'TL04'!$J$238:$J$451),0),
IF('TL05'!$B$3=O$3,SUMIF('TL05'!$C$10:$C$224,$C13,'TL05'!$J$10:$J$224),0),
IF('TL05'!$B$229=O$3,SUMIF('TL05'!$C$238:$C$451,$C13,'TL05'!$J$238:$J$451),0),
IF('TL06'!$B$3=O$3,SUMIF('TL06'!$C$10:$C$224,$C13,'TL06'!$J$10:$J$224),0),
IF('TL06'!$B$229=O$3,SUMIF('TL06'!$C$238:$C$451,$C13,'TL06'!$J$238:$J$451),0),
IF('TL07'!$B$3=O$3,SUMIF('TL07'!$C$10:$C$224,$C13,'TL07'!$J$10:$J$224),0),
IF('TL07'!$B$229=O$3,SUMIF('TL07'!$C$238:$C$451,$C13,'TL07'!$J$238:$J$451),0),
IF('TL08'!$B$3=O$3,SUMIF('TL08'!$C$10:$C$224,$C13,'TL08'!$J$10:$J$224),0),
IF('TL08'!$B$229=O$3,SUMIF('TL08'!$C$238:$C$451,$C13,'TL08'!$J$238:$J$451),0),
IF('TL09'!$B$3=O$3,SUMIF('TL09'!$C$10:$C$224,$C13,'TL09'!$J$10:$J$224),0),
IF('TL09'!$B$229=O$3,SUMIF('TL09'!$C$238:$C$451,$C13,'TL09'!$J$238:$J$451),0),
IF('TL10'!$B$3=O$3,SUMIF('TL10'!$C$10:$C$224,$C13,'TL10'!$J$10:$J$224),0),
IF('TL10'!$B$229=O$3,SUMIF('TL10'!$C$238:$C$451,$C13,'TL10'!$J$238:$J$451),0),
IF('TL11'!$B$3=O$3,SUMIF('TL11'!$C$10:$C$224,$C13,'TL11'!$J$10:$J$224),0),
IF('TL11'!$B$229=O$3,SUMIF('TL11'!$C$238:$C$451,$C13,'TL11'!$J$238:$J$451),0),
IF('TL12'!$B$3=O$3,SUMIF('TL12'!$C$10:$C$224,$C13,'TL12'!$J$10:$J$224),0),
IF('TL12'!$B$229=O$3,SUMIF('TL12'!$C$238:$C$451,$C13,'TL12'!$J$238:$J$451),0),
IF('TL13'!$B$3=O$3,SUMIF('TL13'!$C$10:$C$224,$C13,'TL13'!$J$10:$J$224),0),
IF('TL13'!$B$229=O$3,SUMIF('TL13'!$C$238:$C$451,$C13,'TL13'!$J$238:$J$451),0),
IF('TL14'!$B$3=O$3,SUMIF('TL14'!$C$10:$C$224,$C13,'TL14'!$J$10:$J$224),0),
IF('TL14'!$B$229=O$3,SUMIF('TL14'!$C$238:$C$451,$C13,'TL14'!$J$238:$J$451),0),
IF('TL15'!$B$3=O$3,SUMIF('TL15'!$C$10:$C$224,$C13,'TL15'!$J$10:$J$224),0),
IF('TL15'!$B$229=O$3,SUMIF('TL15'!$C$238:$C$451,$C13,'TL15'!$J$238:$J$451),0),
IF('TL16'!$B$3=O$3,SUMIF('TL16'!$C$10:$C$224,$C13,'TL16'!$J$10:$J$224),0),
IF('TL16'!$B$229=O$3,SUMIF('TL16'!$C$238:$C$451,$C13,'TL16'!$J$238:$J$451),0),
IF('TL17'!$B$3=O$3,SUMIF('TL17'!$C$10:$C$224,$C13,'TL17'!$J$10:$J$224),0),
IF('TL17'!$B$229=O$3,SUMIF('TL17'!$C$238:$C$451,$C13,'TL17'!$J$238:$J$451),0),
IF('TL18'!$B$3=O$3,SUMIF('TL18'!$C$10:$C$224,$C13,'TL18'!$J$10:$J$224),0),
IF('TL18'!$B$229=O$3,SUMIF('TL18'!$C$238:$C$451,$C13,'TL18'!$J$238:$J$451),0),
IF('TL19'!$B$3=O$3,SUMIF('TL19'!$C$10:$C$224,$C13,'TL19'!$J$10:$J$224),0),
IF('TL19'!$B$229=O$3,SUMIF('TL19'!$C$238:$C$451,$C13,'TL19'!$J$238:$J$451),0)
),0)</f>
        <v/>
      </c>
      <c r="P13" s="9">
        <f>IFERROR(SUM(
IF('TL01'!$B$3=P$3,SUMIF('TL01'!$C$10:$C$224,$C13,'TL01'!$J$10:$J$224),0),
IF('TL01'!$B$229=P$3,SUMIF('TL01'!$C$238:$C$451,$C13,'TL01'!$J$238:$J$451),0),
IF('TL02'!$B$3=P$3,SUMIF('TL02'!$C$10:$C$224,$C13,'TL02'!$J$10:$J$224),0),
IF('TL02'!$B$229=P$3,SUMIF('TL02'!$C$238:$C$451,$C13,'TL02'!$J$238:$J$451),0),
IF('TL03'!$B$3=P$3,SUMIF('TL03'!$C$10:$C$224,$C13,'TL03'!$J$10:$J$224),0),
IF('TL03'!$B$229=P$3,SUMIF('TL03'!$C$238:$C$451,$C13,'TL03'!$J$238:$J$451),0),
IF('TL04'!$B$3=P$3,SUMIF('TL04'!$C$10:$C$224,$C13,'TL04'!$J$10:$J$224),0),
IF('TL04'!$B$229=P$3,SUMIF('TL04'!$C$238:$C$451,$C13,'TL04'!$J$238:$J$451),0),
IF('TL05'!$B$3=P$3,SUMIF('TL05'!$C$10:$C$224,$C13,'TL05'!$J$10:$J$224),0),
IF('TL05'!$B$229=P$3,SUMIF('TL05'!$C$238:$C$451,$C13,'TL05'!$J$238:$J$451),0),
IF('TL06'!$B$3=P$3,SUMIF('TL06'!$C$10:$C$224,$C13,'TL06'!$J$10:$J$224),0),
IF('TL06'!$B$229=P$3,SUMIF('TL06'!$C$238:$C$451,$C13,'TL06'!$J$238:$J$451),0),
IF('TL07'!$B$3=P$3,SUMIF('TL07'!$C$10:$C$224,$C13,'TL07'!$J$10:$J$224),0),
IF('TL07'!$B$229=P$3,SUMIF('TL07'!$C$238:$C$451,$C13,'TL07'!$J$238:$J$451),0),
IF('TL08'!$B$3=P$3,SUMIF('TL08'!$C$10:$C$224,$C13,'TL08'!$J$10:$J$224),0),
IF('TL08'!$B$229=P$3,SUMIF('TL08'!$C$238:$C$451,$C13,'TL08'!$J$238:$J$451),0),
IF('TL09'!$B$3=P$3,SUMIF('TL09'!$C$10:$C$224,$C13,'TL09'!$J$10:$J$224),0),
IF('TL09'!$B$229=P$3,SUMIF('TL09'!$C$238:$C$451,$C13,'TL09'!$J$238:$J$451),0),
IF('TL10'!$B$3=P$3,SUMIF('TL10'!$C$10:$C$224,$C13,'TL10'!$J$10:$J$224),0),
IF('TL10'!$B$229=P$3,SUMIF('TL10'!$C$238:$C$451,$C13,'TL10'!$J$238:$J$451),0),
IF('TL11'!$B$3=P$3,SUMIF('TL11'!$C$10:$C$224,$C13,'TL11'!$J$10:$J$224),0),
IF('TL11'!$B$229=P$3,SUMIF('TL11'!$C$238:$C$451,$C13,'TL11'!$J$238:$J$451),0),
IF('TL12'!$B$3=P$3,SUMIF('TL12'!$C$10:$C$224,$C13,'TL12'!$J$10:$J$224),0),
IF('TL12'!$B$229=P$3,SUMIF('TL12'!$C$238:$C$451,$C13,'TL12'!$J$238:$J$451),0),
IF('TL13'!$B$3=P$3,SUMIF('TL13'!$C$10:$C$224,$C13,'TL13'!$J$10:$J$224),0),
IF('TL13'!$B$229=P$3,SUMIF('TL13'!$C$238:$C$451,$C13,'TL13'!$J$238:$J$451),0),
IF('TL14'!$B$3=P$3,SUMIF('TL14'!$C$10:$C$224,$C13,'TL14'!$J$10:$J$224),0),
IF('TL14'!$B$229=P$3,SUMIF('TL14'!$C$238:$C$451,$C13,'TL14'!$J$238:$J$451),0),
IF('TL15'!$B$3=P$3,SUMIF('TL15'!$C$10:$C$224,$C13,'TL15'!$J$10:$J$224),0),
IF('TL15'!$B$229=P$3,SUMIF('TL15'!$C$238:$C$451,$C13,'TL15'!$J$238:$J$451),0),
IF('TL16'!$B$3=P$3,SUMIF('TL16'!$C$10:$C$224,$C13,'TL16'!$J$10:$J$224),0),
IF('TL16'!$B$229=P$3,SUMIF('TL16'!$C$238:$C$451,$C13,'TL16'!$J$238:$J$451),0),
IF('TL17'!$B$3=P$3,SUMIF('TL17'!$C$10:$C$224,$C13,'TL17'!$J$10:$J$224),0),
IF('TL17'!$B$229=P$3,SUMIF('TL17'!$C$238:$C$451,$C13,'TL17'!$J$238:$J$451),0),
IF('TL18'!$B$3=P$3,SUMIF('TL18'!$C$10:$C$224,$C13,'TL18'!$J$10:$J$224),0),
IF('TL18'!$B$229=P$3,SUMIF('TL18'!$C$238:$C$451,$C13,'TL18'!$J$238:$J$451),0),
IF('TL19'!$B$3=P$3,SUMIF('TL19'!$C$10:$C$224,$C13,'TL19'!$J$10:$J$224),0),
IF('TL19'!$B$229=P$3,SUMIF('TL19'!$C$238:$C$451,$C13,'TL19'!$J$238:$J$451),0)
),0)</f>
        <v/>
      </c>
      <c r="Q13" s="9">
        <f>IFERROR(SUM(
IF('TL01'!$B$3=Q$3,SUMIF('TL01'!$C$10:$C$224,$C13,'TL01'!$J$10:$J$224),0),
IF('TL01'!$B$229=Q$3,SUMIF('TL01'!$C$238:$C$451,$C13,'TL01'!$J$238:$J$451),0),
IF('TL02'!$B$3=Q$3,SUMIF('TL02'!$C$10:$C$224,$C13,'TL02'!$J$10:$J$224),0),
IF('TL02'!$B$229=Q$3,SUMIF('TL02'!$C$238:$C$451,$C13,'TL02'!$J$238:$J$451),0),
IF('TL03'!$B$3=Q$3,SUMIF('TL03'!$C$10:$C$224,$C13,'TL03'!$J$10:$J$224),0),
IF('TL03'!$B$229=Q$3,SUMIF('TL03'!$C$238:$C$451,$C13,'TL03'!$J$238:$J$451),0),
IF('TL04'!$B$3=Q$3,SUMIF('TL04'!$C$10:$C$224,$C13,'TL04'!$J$10:$J$224),0),
IF('TL04'!$B$229=Q$3,SUMIF('TL04'!$C$238:$C$451,$C13,'TL04'!$J$238:$J$451),0),
IF('TL05'!$B$3=Q$3,SUMIF('TL05'!$C$10:$C$224,$C13,'TL05'!$J$10:$J$224),0),
IF('TL05'!$B$229=Q$3,SUMIF('TL05'!$C$238:$C$451,$C13,'TL05'!$J$238:$J$451),0),
IF('TL06'!$B$3=Q$3,SUMIF('TL06'!$C$10:$C$224,$C13,'TL06'!$J$10:$J$224),0),
IF('TL06'!$B$229=Q$3,SUMIF('TL06'!$C$238:$C$451,$C13,'TL06'!$J$238:$J$451),0),
IF('TL07'!$B$3=Q$3,SUMIF('TL07'!$C$10:$C$224,$C13,'TL07'!$J$10:$J$224),0),
IF('TL07'!$B$229=Q$3,SUMIF('TL07'!$C$238:$C$451,$C13,'TL07'!$J$238:$J$451),0),
IF('TL08'!$B$3=Q$3,SUMIF('TL08'!$C$10:$C$224,$C13,'TL08'!$J$10:$J$224),0),
IF('TL08'!$B$229=Q$3,SUMIF('TL08'!$C$238:$C$451,$C13,'TL08'!$J$238:$J$451),0),
IF('TL09'!$B$3=Q$3,SUMIF('TL09'!$C$10:$C$224,$C13,'TL09'!$J$10:$J$224),0),
IF('TL09'!$B$229=Q$3,SUMIF('TL09'!$C$238:$C$451,$C13,'TL09'!$J$238:$J$451),0),
IF('TL10'!$B$3=Q$3,SUMIF('TL10'!$C$10:$C$224,$C13,'TL10'!$J$10:$J$224),0),
IF('TL10'!$B$229=Q$3,SUMIF('TL10'!$C$238:$C$451,$C13,'TL10'!$J$238:$J$451),0),
IF('TL11'!$B$3=Q$3,SUMIF('TL11'!$C$10:$C$224,$C13,'TL11'!$J$10:$J$224),0),
IF('TL11'!$B$229=Q$3,SUMIF('TL11'!$C$238:$C$451,$C13,'TL11'!$J$238:$J$451),0),
IF('TL12'!$B$3=Q$3,SUMIF('TL12'!$C$10:$C$224,$C13,'TL12'!$J$10:$J$224),0),
IF('TL12'!$B$229=Q$3,SUMIF('TL12'!$C$238:$C$451,$C13,'TL12'!$J$238:$J$451),0),
IF('TL13'!$B$3=Q$3,SUMIF('TL13'!$C$10:$C$224,$C13,'TL13'!$J$10:$J$224),0),
IF('TL13'!$B$229=Q$3,SUMIF('TL13'!$C$238:$C$451,$C13,'TL13'!$J$238:$J$451),0),
IF('TL14'!$B$3=Q$3,SUMIF('TL14'!$C$10:$C$224,$C13,'TL14'!$J$10:$J$224),0),
IF('TL14'!$B$229=Q$3,SUMIF('TL14'!$C$238:$C$451,$C13,'TL14'!$J$238:$J$451),0),
IF('TL15'!$B$3=Q$3,SUMIF('TL15'!$C$10:$C$224,$C13,'TL15'!$J$10:$J$224),0),
IF('TL15'!$B$229=Q$3,SUMIF('TL15'!$C$238:$C$451,$C13,'TL15'!$J$238:$J$451),0),
IF('TL16'!$B$3=Q$3,SUMIF('TL16'!$C$10:$C$224,$C13,'TL16'!$J$10:$J$224),0),
IF('TL16'!$B$229=Q$3,SUMIF('TL16'!$C$238:$C$451,$C13,'TL16'!$J$238:$J$451),0),
IF('TL17'!$B$3=Q$3,SUMIF('TL17'!$C$10:$C$224,$C13,'TL17'!$J$10:$J$224),0),
IF('TL17'!$B$229=Q$3,SUMIF('TL17'!$C$238:$C$451,$C13,'TL17'!$J$238:$J$451),0),
IF('TL18'!$B$3=Q$3,SUMIF('TL18'!$C$10:$C$224,$C13,'TL18'!$J$10:$J$224),0),
IF('TL18'!$B$229=Q$3,SUMIF('TL18'!$C$238:$C$451,$C13,'TL18'!$J$238:$J$451),0),
IF('TL19'!$B$3=Q$3,SUMIF('TL19'!$C$10:$C$224,$C13,'TL19'!$J$10:$J$224),0),
IF('TL19'!$B$229=Q$3,SUMIF('TL19'!$C$238:$C$451,$C13,'TL19'!$J$238:$J$451),0)
),0)</f>
        <v/>
      </c>
      <c r="R13" s="9">
        <f>IFERROR(
SUM(
SUMIF('TL01'!C:C,C13,'TL01'!J:J),
SUMIF('TL02'!C:C,C13,'TL02'!J:J),
SUMIF('TL03'!C:C,C13,'TL03'!J:J),
SUMIF('TL04'!C:C,C13,'TL04'!J:J),
SUMIF('TL05'!C:C,C13,'TL05'!J:J),
SUMIF('TL06'!C:C,C13,'TL06'!J:J),
SUMIF('TL07'!C:C,C13,'TL07'!J:J),
SUMIF('TL08'!C:C,C13,'TL08'!J:J),
SUMIF('TL09'!C:C,C13,'TL09'!J:J),
SUMIF('TL10'!C:C,C13,'TL10'!J:J),
SUMIF('TL11'!C:C,C13,'TL11'!J:J),
SUMIF('TL12'!C:C,C13,'TL12'!J:J),
SUMIF('TL13'!C:C,C13,'TL13'!J:J),
SUMIF('TL14'!C:C,C13,'TL14'!J:J),
SUMIF('TL15'!C:C,C13,'TL15'!J:J),
SUMIF('TL16'!C:C,C13,'TL16'!J:J),
SUMIF('TL17'!C:C,C13,'TL17'!J:J),
SUMIF('TL18'!C:C,C13,'TL18'!J:J),SUMIF('TL19'!C:C,C13,'TL19'!J:J))
,0)</f>
        <v/>
      </c>
      <c r="S13" s="17">
        <f>IFERROR(__xludf.DUMMYFUNCTION("IFERROR(VLOOKUP(C13,
IMPORTRANGE(""1wULbzX32WdYsx-lj2U3uUNBBe2INVIRDtcK0d-Dvl90"",
""26-27!C:G""),
5,
FALSE),
"""")"),235.011)</f>
        <v/>
      </c>
      <c r="T13" s="9" t="n"/>
      <c r="U13" s="92">
        <f>MAX(0,R13-T13)</f>
        <v/>
      </c>
      <c r="V13" s="93">
        <f>U13*S13</f>
        <v/>
      </c>
    </row>
    <row r="14" hidden="1" ht="22.5" customHeight="1" s="297">
      <c r="A14" s="87" t="inlineStr">
        <is>
          <t>SUMITOMO</t>
        </is>
      </c>
      <c r="B14" s="95" t="inlineStr">
        <is>
          <t>TS</t>
        </is>
      </c>
      <c r="C14" s="89" t="inlineStr">
        <is>
          <t>ENDOFUSE</t>
        </is>
      </c>
      <c r="D14" s="89" t="inlineStr">
        <is>
          <t>RHIZOGLOMUS INTRARADICES + CLAROIDEOGLOMUS
 CLAROIDEUM</t>
        </is>
      </c>
      <c r="E14" s="98" t="n"/>
      <c r="F14" s="4" t="inlineStr">
        <is>
          <t>L</t>
        </is>
      </c>
      <c r="G14" s="90">
        <f>HYPERLINK("https://www.google.com/search?q=" &amp; C14 &amp; "+bula+agrofit+pdf", "📄 Ver bula")</f>
        <v/>
      </c>
      <c r="H14" s="9">
        <f>IFERROR(__xludf.DUMMYFUNCTION("IFERROR(VLOOKUP(C14,
IMPORTRANGE(""1wULbzX32WdYsx-lj2U3uUNBBe2INVIRDtcK0d-Dvl90"",
""26-27!C:K""),
8,
FALSE),
"""")"),0.01)</f>
        <v/>
      </c>
      <c r="I14" s="91" t="inlineStr">
        <is>
          <t>12X0,5</t>
        </is>
      </c>
      <c r="J14" s="9">
        <f>IFERROR(SUM(
IF('TL01'!$B$3=J$3,SUMIF('TL01'!$C$10:$C$224,$C14,'TL01'!$J$10:$J$224),0),
IF('TL01'!$B$229=J$3,SUMIF('TL01'!$C$238:$C$451,$C14,'TL01'!$J$238:$J$451),0),
IF('TL02'!$B$3=J$3,SUMIF('TL02'!$C$10:$C$224,$C14,'TL02'!$J$10:$J$224),0),
IF('TL02'!$B$229=J$3,SUMIF('TL02'!$C$238:$C$451,$C14,'TL02'!$J$238:$J$451),0),
IF('TL03'!$B$3=J$3,SUMIF('TL03'!$C$10:$C$224,$C14,'TL03'!$J$10:$J$224),0),
IF('TL03'!$B$229=J$3,SUMIF('TL03'!$C$238:$C$451,$C14,'TL03'!$J$238:$J$451),0),
IF('TL04'!$B$3=J$3,SUMIF('TL04'!$C$10:$C$224,$C14,'TL04'!$J$10:$J$224),0),
IF('TL04'!$B$229=J$3,SUMIF('TL04'!$C$238:$C$451,$C14,'TL04'!$J$238:$J$451),0),
IF('TL05'!$B$3=J$3,SUMIF('TL05'!$C$10:$C$224,$C14,'TL05'!$J$10:$J$224),0),
IF('TL05'!$B$229=J$3,SUMIF('TL05'!$C$238:$C$451,$C14,'TL05'!$J$238:$J$451),0),
IF('TL06'!$B$3=J$3,SUMIF('TL06'!$C$10:$C$224,$C14,'TL06'!$J$10:$J$224),0),
IF('TL06'!$B$229=J$3,SUMIF('TL06'!$C$238:$C$451,$C14,'TL06'!$J$238:$J$451),0),
IF('TL07'!$B$3=J$3,SUMIF('TL07'!$C$10:$C$224,$C14,'TL07'!$J$10:$J$224),0),
IF('TL07'!$B$229=J$3,SUMIF('TL07'!$C$238:$C$451,$C14,'TL07'!$J$238:$J$451),0),
IF('TL08'!$B$3=J$3,SUMIF('TL08'!$C$10:$C$224,$C14,'TL08'!$J$10:$J$224),0),
IF('TL08'!$B$229=J$3,SUMIF('TL08'!$C$238:$C$451,$C14,'TL08'!$J$238:$J$451),0),
IF('TL09'!$B$3=J$3,SUMIF('TL09'!$C$10:$C$224,$C14,'TL09'!$J$10:$J$224),0),
IF('TL09'!$B$229=J$3,SUMIF('TL09'!$C$238:$C$451,$C14,'TL09'!$J$238:$J$451),0),
IF('TL10'!$B$3=J$3,SUMIF('TL10'!$C$10:$C$224,$C14,'TL10'!$J$10:$J$224),0),
IF('TL10'!$B$229=J$3,SUMIF('TL10'!$C$238:$C$451,$C14,'TL10'!$J$238:$J$451),0),
IF('TL11'!$B$3=J$3,SUMIF('TL11'!$C$10:$C$224,$C14,'TL11'!$J$10:$J$224),0),
IF('TL11'!$B$229=J$3,SUMIF('TL11'!$C$238:$C$451,$C14,'TL11'!$J$238:$J$451),0),
IF('TL12'!$B$3=J$3,SUMIF('TL12'!$C$10:$C$224,$C14,'TL12'!$J$10:$J$224),0),
IF('TL12'!$B$229=J$3,SUMIF('TL12'!$C$238:$C$451,$C14,'TL12'!$J$238:$J$451),0),
IF('TL13'!$B$3=J$3,SUMIF('TL13'!$C$10:$C$224,$C14,'TL13'!$J$10:$J$224),0),
IF('TL13'!$B$229=J$3,SUMIF('TL13'!$C$238:$C$451,$C14,'TL13'!$J$238:$J$451),0),
IF('TL14'!$B$3=J$3,SUMIF('TL14'!$C$10:$C$224,$C14,'TL14'!$J$10:$J$224),0),
IF('TL14'!$B$229=J$3,SUMIF('TL14'!$C$238:$C$451,$C14,'TL14'!$J$238:$J$451),0),
IF('TL15'!$B$3=J$3,SUMIF('TL15'!$C$10:$C$224,$C14,'TL15'!$J$10:$J$224),0),
IF('TL15'!$B$229=J$3,SUMIF('TL15'!$C$238:$C$451,$C14,'TL15'!$J$238:$J$451),0),
IF('TL16'!$B$3=J$3,SUMIF('TL16'!$C$10:$C$224,$C14,'TL16'!$J$10:$J$224),0),
IF('TL16'!$B$229=J$3,SUMIF('TL16'!$C$238:$C$451,$C14,'TL16'!$J$238:$J$451),0),
IF('TL17'!$B$3=J$3,SUMIF('TL17'!$C$10:$C$224,$C14,'TL17'!$J$10:$J$224),0),
IF('TL17'!$B$229=J$3,SUMIF('TL17'!$C$238:$C$451,$C14,'TL17'!$J$238:$J$451),0),
IF('TL18'!$B$3=J$3,SUMIF('TL18'!$C$10:$C$224,$C14,'TL18'!$J$10:$J$224),0),
IF('TL18'!$B$229=J$3,SUMIF('TL18'!$C$238:$C$451,$C14,'TL18'!$J$238:$J$451),0),
IF('TL19'!$B$3=J$3,SUMIF('TL19'!$C$10:$C$224,$C14,'TL19'!$J$10:$J$224),0),
IF('TL19'!$B$229=J$3,SUMIF('TL19'!$C$238:$C$451,$C14,'TL19'!$J$238:$J$451),0)
),0)</f>
        <v/>
      </c>
      <c r="K14" s="9">
        <f>IFERROR(SUM(
IF('TL01'!$B$3=K$3,SUMIF('TL01'!$C$10:$C$224,$C14,'TL01'!$J$10:$J$224),0),
IF('TL01'!$B$229=K$3,SUMIF('TL01'!$C$238:$C$451,$C14,'TL01'!$J$238:$J$451),0),
IF('TL02'!$B$3=K$3,SUMIF('TL02'!$C$10:$C$224,$C14,'TL02'!$J$10:$J$224),0),
IF('TL02'!$B$229=K$3,SUMIF('TL02'!$C$238:$C$451,$C14,'TL02'!$J$238:$J$451),0),
IF('TL03'!$B$3=K$3,SUMIF('TL03'!$C$10:$C$224,$C14,'TL03'!$J$10:$J$224),0),
IF('TL03'!$B$229=K$3,SUMIF('TL03'!$C$238:$C$451,$C14,'TL03'!$J$238:$J$451),0),
IF('TL04'!$B$3=K$3,SUMIF('TL04'!$C$10:$C$224,$C14,'TL04'!$J$10:$J$224),0),
IF('TL04'!$B$229=K$3,SUMIF('TL04'!$C$238:$C$451,$C14,'TL04'!$J$238:$J$451),0),
IF('TL05'!$B$3=K$3,SUMIF('TL05'!$C$10:$C$224,$C14,'TL05'!$J$10:$J$224),0),
IF('TL05'!$B$229=K$3,SUMIF('TL05'!$C$238:$C$451,$C14,'TL05'!$J$238:$J$451),0),
IF('TL06'!$B$3=K$3,SUMIF('TL06'!$C$10:$C$224,$C14,'TL06'!$J$10:$J$224),0),
IF('TL06'!$B$229=K$3,SUMIF('TL06'!$C$238:$C$451,$C14,'TL06'!$J$238:$J$451),0),
IF('TL07'!$B$3=K$3,SUMIF('TL07'!$C$10:$C$224,$C14,'TL07'!$J$10:$J$224),0),
IF('TL07'!$B$229=K$3,SUMIF('TL07'!$C$238:$C$451,$C14,'TL07'!$J$238:$J$451),0),
IF('TL08'!$B$3=K$3,SUMIF('TL08'!$C$10:$C$224,$C14,'TL08'!$J$10:$J$224),0),
IF('TL08'!$B$229=K$3,SUMIF('TL08'!$C$238:$C$451,$C14,'TL08'!$J$238:$J$451),0),
IF('TL09'!$B$3=K$3,SUMIF('TL09'!$C$10:$C$224,$C14,'TL09'!$J$10:$J$224),0),
IF('TL09'!$B$229=K$3,SUMIF('TL09'!$C$238:$C$451,$C14,'TL09'!$J$238:$J$451),0),
IF('TL10'!$B$3=K$3,SUMIF('TL10'!$C$10:$C$224,$C14,'TL10'!$J$10:$J$224),0),
IF('TL10'!$B$229=K$3,SUMIF('TL10'!$C$238:$C$451,$C14,'TL10'!$J$238:$J$451),0),
IF('TL11'!$B$3=K$3,SUMIF('TL11'!$C$10:$C$224,$C14,'TL11'!$J$10:$J$224),0),
IF('TL11'!$B$229=K$3,SUMIF('TL11'!$C$238:$C$451,$C14,'TL11'!$J$238:$J$451),0),
IF('TL12'!$B$3=K$3,SUMIF('TL12'!$C$10:$C$224,$C14,'TL12'!$J$10:$J$224),0),
IF('TL12'!$B$229=K$3,SUMIF('TL12'!$C$238:$C$451,$C14,'TL12'!$J$238:$J$451),0),
IF('TL13'!$B$3=K$3,SUMIF('TL13'!$C$10:$C$224,$C14,'TL13'!$J$10:$J$224),0),
IF('TL13'!$B$229=K$3,SUMIF('TL13'!$C$238:$C$451,$C14,'TL13'!$J$238:$J$451),0),
IF('TL14'!$B$3=K$3,SUMIF('TL14'!$C$10:$C$224,$C14,'TL14'!$J$10:$J$224),0),
IF('TL14'!$B$229=K$3,SUMIF('TL14'!$C$238:$C$451,$C14,'TL14'!$J$238:$J$451),0),
IF('TL15'!$B$3=K$3,SUMIF('TL15'!$C$10:$C$224,$C14,'TL15'!$J$10:$J$224),0),
IF('TL15'!$B$229=K$3,SUMIF('TL15'!$C$238:$C$451,$C14,'TL15'!$J$238:$J$451),0),
IF('TL16'!$B$3=K$3,SUMIF('TL16'!$C$10:$C$224,$C14,'TL16'!$J$10:$J$224),0),
IF('TL16'!$B$229=K$3,SUMIF('TL16'!$C$238:$C$451,$C14,'TL16'!$J$238:$J$451),0),
IF('TL17'!$B$3=K$3,SUMIF('TL17'!$C$10:$C$224,$C14,'TL17'!$J$10:$J$224),0),
IF('TL17'!$B$229=K$3,SUMIF('TL17'!$C$238:$C$451,$C14,'TL17'!$J$238:$J$451),0),
IF('TL18'!$B$3=K$3,SUMIF('TL18'!$C$10:$C$224,$C14,'TL18'!$J$10:$J$224),0),
IF('TL18'!$B$229=K$3,SUMIF('TL18'!$C$238:$C$451,$C14,'TL18'!$J$238:$J$451),0),
IF('TL19'!$B$3=K$3,SUMIF('TL19'!$C$10:$C$224,$C14,'TL19'!$J$10:$J$224),0),
IF('TL19'!$B$229=K$3,SUMIF('TL19'!$C$238:$C$451,$C14,'TL19'!$J$238:$J$451),0)
),0)</f>
        <v/>
      </c>
      <c r="L14" s="9">
        <f>IFERROR(SUM(
IF('TL01'!$B$3=L$3,SUMIF('TL01'!$C$10:$C$224,$C14,'TL01'!$J$10:$J$224),0),
IF('TL01'!$B$229=L$3,SUMIF('TL01'!$C$238:$C$451,$C14,'TL01'!$J$238:$J$451),0),
IF('TL02'!$B$3=L$3,SUMIF('TL02'!$C$10:$C$224,$C14,'TL02'!$J$10:$J$224),0),
IF('TL02'!$B$229=L$3,SUMIF('TL02'!$C$238:$C$451,$C14,'TL02'!$J$238:$J$451),0),
IF('TL03'!$B$3=L$3,SUMIF('TL03'!$C$10:$C$224,$C14,'TL03'!$J$10:$J$224),0),
IF('TL03'!$B$229=L$3,SUMIF('TL03'!$C$238:$C$451,$C14,'TL03'!$J$238:$J$451),0),
IF('TL04'!$B$3=L$3,SUMIF('TL04'!$C$10:$C$224,$C14,'TL04'!$J$10:$J$224),0),
IF('TL04'!$B$229=L$3,SUMIF('TL04'!$C$238:$C$451,$C14,'TL04'!$J$238:$J$451),0),
IF('TL05'!$B$3=L$3,SUMIF('TL05'!$C$10:$C$224,$C14,'TL05'!$J$10:$J$224),0),
IF('TL05'!$B$229=L$3,SUMIF('TL05'!$C$238:$C$451,$C14,'TL05'!$J$238:$J$451),0),
IF('TL06'!$B$3=L$3,SUMIF('TL06'!$C$10:$C$224,$C14,'TL06'!$J$10:$J$224),0),
IF('TL06'!$B$229=L$3,SUMIF('TL06'!$C$238:$C$451,$C14,'TL06'!$J$238:$J$451),0),
IF('TL07'!$B$3=L$3,SUMIF('TL07'!$C$10:$C$224,$C14,'TL07'!$J$10:$J$224),0),
IF('TL07'!$B$229=L$3,SUMIF('TL07'!$C$238:$C$451,$C14,'TL07'!$J$238:$J$451),0),
IF('TL08'!$B$3=L$3,SUMIF('TL08'!$C$10:$C$224,$C14,'TL08'!$J$10:$J$224),0),
IF('TL08'!$B$229=L$3,SUMIF('TL08'!$C$238:$C$451,$C14,'TL08'!$J$238:$J$451),0),
IF('TL09'!$B$3=L$3,SUMIF('TL09'!$C$10:$C$224,$C14,'TL09'!$J$10:$J$224),0),
IF('TL09'!$B$229=L$3,SUMIF('TL09'!$C$238:$C$451,$C14,'TL09'!$J$238:$J$451),0),
IF('TL10'!$B$3=L$3,SUMIF('TL10'!$C$10:$C$224,$C14,'TL10'!$J$10:$J$224),0),
IF('TL10'!$B$229=L$3,SUMIF('TL10'!$C$238:$C$451,$C14,'TL10'!$J$238:$J$451),0),
IF('TL11'!$B$3=L$3,SUMIF('TL11'!$C$10:$C$224,$C14,'TL11'!$J$10:$J$224),0),
IF('TL11'!$B$229=L$3,SUMIF('TL11'!$C$238:$C$451,$C14,'TL11'!$J$238:$J$451),0),
IF('TL12'!$B$3=L$3,SUMIF('TL12'!$C$10:$C$224,$C14,'TL12'!$J$10:$J$224),0),
IF('TL12'!$B$229=L$3,SUMIF('TL12'!$C$238:$C$451,$C14,'TL12'!$J$238:$J$451),0),
IF('TL13'!$B$3=L$3,SUMIF('TL13'!$C$10:$C$224,$C14,'TL13'!$J$10:$J$224),0),
IF('TL13'!$B$229=L$3,SUMIF('TL13'!$C$238:$C$451,$C14,'TL13'!$J$238:$J$451),0),
IF('TL14'!$B$3=L$3,SUMIF('TL14'!$C$10:$C$224,$C14,'TL14'!$J$10:$J$224),0),
IF('TL14'!$B$229=L$3,SUMIF('TL14'!$C$238:$C$451,$C14,'TL14'!$J$238:$J$451),0),
IF('TL15'!$B$3=L$3,SUMIF('TL15'!$C$10:$C$224,$C14,'TL15'!$J$10:$J$224),0),
IF('TL15'!$B$229=L$3,SUMIF('TL15'!$C$238:$C$451,$C14,'TL15'!$J$238:$J$451),0),
IF('TL16'!$B$3=L$3,SUMIF('TL16'!$C$10:$C$224,$C14,'TL16'!$J$10:$J$224),0),
IF('TL16'!$B$229=L$3,SUMIF('TL16'!$C$238:$C$451,$C14,'TL16'!$J$238:$J$451),0),
IF('TL17'!$B$3=L$3,SUMIF('TL17'!$C$10:$C$224,$C14,'TL17'!$J$10:$J$224),0),
IF('TL17'!$B$229=L$3,SUMIF('TL17'!$C$238:$C$451,$C14,'TL17'!$J$238:$J$451),0),
IF('TL18'!$B$3=L$3,SUMIF('TL18'!$C$10:$C$224,$C14,'TL18'!$J$10:$J$224),0),
IF('TL18'!$B$229=L$3,SUMIF('TL18'!$C$238:$C$451,$C14,'TL18'!$J$238:$J$451),0),
IF('TL19'!$B$3=L$3,SUMIF('TL19'!$C$10:$C$224,$C14,'TL19'!$J$10:$J$224),0),
IF('TL19'!$B$229=L$3,SUMIF('TL19'!$C$238:$C$451,$C14,'TL19'!$J$238:$J$451),0)
),0)</f>
        <v/>
      </c>
      <c r="M14" s="9">
        <f>IFERROR(SUM(
IF('TL01'!$B$3=M$3,SUMIF('TL01'!$C$10:$C$224,$C14,'TL01'!$J$10:$J$224),0),
IF('TL01'!$B$229=M$3,SUMIF('TL01'!$C$238:$C$451,$C14,'TL01'!$J$238:$J$451),0),
IF('TL02'!$B$3=M$3,SUMIF('TL02'!$C$10:$C$224,$C14,'TL02'!$J$10:$J$224),0),
IF('TL02'!$B$229=M$3,SUMIF('TL02'!$C$238:$C$451,$C14,'TL02'!$J$238:$J$451),0),
IF('TL03'!$B$3=M$3,SUMIF('TL03'!$C$10:$C$224,$C14,'TL03'!$J$10:$J$224),0),
IF('TL03'!$B$229=M$3,SUMIF('TL03'!$C$238:$C$451,$C14,'TL03'!$J$238:$J$451),0),
IF('TL04'!$B$3=M$3,SUMIF('TL04'!$C$10:$C$224,$C14,'TL04'!$J$10:$J$224),0),
IF('TL04'!$B$229=M$3,SUMIF('TL04'!$C$238:$C$451,$C14,'TL04'!$J$238:$J$451),0),
IF('TL05'!$B$3=M$3,SUMIF('TL05'!$C$10:$C$224,$C14,'TL05'!$J$10:$J$224),0),
IF('TL05'!$B$229=M$3,SUMIF('TL05'!$C$238:$C$451,$C14,'TL05'!$J$238:$J$451),0),
IF('TL06'!$B$3=M$3,SUMIF('TL06'!$C$10:$C$224,$C14,'TL06'!$J$10:$J$224),0),
IF('TL06'!$B$229=M$3,SUMIF('TL06'!$C$238:$C$451,$C14,'TL06'!$J$238:$J$451),0),
IF('TL07'!$B$3=M$3,SUMIF('TL07'!$C$10:$C$224,$C14,'TL07'!$J$10:$J$224),0),
IF('TL07'!$B$229=M$3,SUMIF('TL07'!$C$238:$C$451,$C14,'TL07'!$J$238:$J$451),0),
IF('TL08'!$B$3=M$3,SUMIF('TL08'!$C$10:$C$224,$C14,'TL08'!$J$10:$J$224),0),
IF('TL08'!$B$229=M$3,SUMIF('TL08'!$C$238:$C$451,$C14,'TL08'!$J$238:$J$451),0),
IF('TL09'!$B$3=M$3,SUMIF('TL09'!$C$10:$C$224,$C14,'TL09'!$J$10:$J$224),0),
IF('TL09'!$B$229=M$3,SUMIF('TL09'!$C$238:$C$451,$C14,'TL09'!$J$238:$J$451),0),
IF('TL10'!$B$3=M$3,SUMIF('TL10'!$C$10:$C$224,$C14,'TL10'!$J$10:$J$224),0),
IF('TL10'!$B$229=M$3,SUMIF('TL10'!$C$238:$C$451,$C14,'TL10'!$J$238:$J$451),0),
IF('TL11'!$B$3=M$3,SUMIF('TL11'!$C$10:$C$224,$C14,'TL11'!$J$10:$J$224),0),
IF('TL11'!$B$229=M$3,SUMIF('TL11'!$C$238:$C$451,$C14,'TL11'!$J$238:$J$451),0),
IF('TL12'!$B$3=M$3,SUMIF('TL12'!$C$10:$C$224,$C14,'TL12'!$J$10:$J$224),0),
IF('TL12'!$B$229=M$3,SUMIF('TL12'!$C$238:$C$451,$C14,'TL12'!$J$238:$J$451),0),
IF('TL13'!$B$3=M$3,SUMIF('TL13'!$C$10:$C$224,$C14,'TL13'!$J$10:$J$224),0),
IF('TL13'!$B$229=M$3,SUMIF('TL13'!$C$238:$C$451,$C14,'TL13'!$J$238:$J$451),0),
IF('TL14'!$B$3=M$3,SUMIF('TL14'!$C$10:$C$224,$C14,'TL14'!$J$10:$J$224),0),
IF('TL14'!$B$229=M$3,SUMIF('TL14'!$C$238:$C$451,$C14,'TL14'!$J$238:$J$451),0),
IF('TL15'!$B$3=M$3,SUMIF('TL15'!$C$10:$C$224,$C14,'TL15'!$J$10:$J$224),0),
IF('TL15'!$B$229=M$3,SUMIF('TL15'!$C$238:$C$451,$C14,'TL15'!$J$238:$J$451),0),
IF('TL16'!$B$3=M$3,SUMIF('TL16'!$C$10:$C$224,$C14,'TL16'!$J$10:$J$224),0),
IF('TL16'!$B$229=M$3,SUMIF('TL16'!$C$238:$C$451,$C14,'TL16'!$J$238:$J$451),0),
IF('TL17'!$B$3=M$3,SUMIF('TL17'!$C$10:$C$224,$C14,'TL17'!$J$10:$J$224),0),
IF('TL17'!$B$229=M$3,SUMIF('TL17'!$C$238:$C$451,$C14,'TL17'!$J$238:$J$451),0),
IF('TL18'!$B$3=M$3,SUMIF('TL18'!$C$10:$C$224,$C14,'TL18'!$J$10:$J$224),0),
IF('TL18'!$B$229=M$3,SUMIF('TL18'!$C$238:$C$451,$C14,'TL18'!$J$238:$J$451),0),
IF('TL19'!$B$3=M$3,SUMIF('TL19'!$C$10:$C$224,$C14,'TL19'!$J$10:$J$224),0),
IF('TL19'!$B$229=M$3,SUMIF('TL19'!$C$238:$C$451,$C14,'TL19'!$J$238:$J$451),0)
),0)</f>
        <v/>
      </c>
      <c r="N14" s="9">
        <f>IFERROR(SUM(
IF('TL01'!$B$3=N$3,SUMIF('TL01'!$C$10:$C$224,$C14,'TL01'!$J$10:$J$224),0),
IF('TL01'!$B$229=N$3,SUMIF('TL01'!$C$238:$C$451,$C14,'TL01'!$J$238:$J$451),0),
IF('TL02'!$B$3=N$3,SUMIF('TL02'!$C$10:$C$224,$C14,'TL02'!$J$10:$J$224),0),
IF('TL02'!$B$229=N$3,SUMIF('TL02'!$C$238:$C$451,$C14,'TL02'!$J$238:$J$451),0),
IF('TL03'!$B$3=N$3,SUMIF('TL03'!$C$10:$C$224,$C14,'TL03'!$J$10:$J$224),0),
IF('TL03'!$B$229=N$3,SUMIF('TL03'!$C$238:$C$451,$C14,'TL03'!$J$238:$J$451),0),
IF('TL04'!$B$3=N$3,SUMIF('TL04'!$C$10:$C$224,$C14,'TL04'!$J$10:$J$224),0),
IF('TL04'!$B$229=N$3,SUMIF('TL04'!$C$238:$C$451,$C14,'TL04'!$J$238:$J$451),0),
IF('TL05'!$B$3=N$3,SUMIF('TL05'!$C$10:$C$224,$C14,'TL05'!$J$10:$J$224),0),
IF('TL05'!$B$229=N$3,SUMIF('TL05'!$C$238:$C$451,$C14,'TL05'!$J$238:$J$451),0),
IF('TL06'!$B$3=N$3,SUMIF('TL06'!$C$10:$C$224,$C14,'TL06'!$J$10:$J$224),0),
IF('TL06'!$B$229=N$3,SUMIF('TL06'!$C$238:$C$451,$C14,'TL06'!$J$238:$J$451),0),
IF('TL07'!$B$3=N$3,SUMIF('TL07'!$C$10:$C$224,$C14,'TL07'!$J$10:$J$224),0),
IF('TL07'!$B$229=N$3,SUMIF('TL07'!$C$238:$C$451,$C14,'TL07'!$J$238:$J$451),0),
IF('TL08'!$B$3=N$3,SUMIF('TL08'!$C$10:$C$224,$C14,'TL08'!$J$10:$J$224),0),
IF('TL08'!$B$229=N$3,SUMIF('TL08'!$C$238:$C$451,$C14,'TL08'!$J$238:$J$451),0),
IF('TL09'!$B$3=N$3,SUMIF('TL09'!$C$10:$C$224,$C14,'TL09'!$J$10:$J$224),0),
IF('TL09'!$B$229=N$3,SUMIF('TL09'!$C$238:$C$451,$C14,'TL09'!$J$238:$J$451),0),
IF('TL10'!$B$3=N$3,SUMIF('TL10'!$C$10:$C$224,$C14,'TL10'!$J$10:$J$224),0),
IF('TL10'!$B$229=N$3,SUMIF('TL10'!$C$238:$C$451,$C14,'TL10'!$J$238:$J$451),0),
IF('TL11'!$B$3=N$3,SUMIF('TL11'!$C$10:$C$224,$C14,'TL11'!$J$10:$J$224),0),
IF('TL11'!$B$229=N$3,SUMIF('TL11'!$C$238:$C$451,$C14,'TL11'!$J$238:$J$451),0),
IF('TL12'!$B$3=N$3,SUMIF('TL12'!$C$10:$C$224,$C14,'TL12'!$J$10:$J$224),0),
IF('TL12'!$B$229=N$3,SUMIF('TL12'!$C$238:$C$451,$C14,'TL12'!$J$238:$J$451),0),
IF('TL13'!$B$3=N$3,SUMIF('TL13'!$C$10:$C$224,$C14,'TL13'!$J$10:$J$224),0),
IF('TL13'!$B$229=N$3,SUMIF('TL13'!$C$238:$C$451,$C14,'TL13'!$J$238:$J$451),0),
IF('TL14'!$B$3=N$3,SUMIF('TL14'!$C$10:$C$224,$C14,'TL14'!$J$10:$J$224),0),
IF('TL14'!$B$229=N$3,SUMIF('TL14'!$C$238:$C$451,$C14,'TL14'!$J$238:$J$451),0),
IF('TL15'!$B$3=N$3,SUMIF('TL15'!$C$10:$C$224,$C14,'TL15'!$J$10:$J$224),0),
IF('TL15'!$B$229=N$3,SUMIF('TL15'!$C$238:$C$451,$C14,'TL15'!$J$238:$J$451),0),
IF('TL16'!$B$3=N$3,SUMIF('TL16'!$C$10:$C$224,$C14,'TL16'!$J$10:$J$224),0),
IF('TL16'!$B$229=N$3,SUMIF('TL16'!$C$238:$C$451,$C14,'TL16'!$J$238:$J$451),0),
IF('TL17'!$B$3=N$3,SUMIF('TL17'!$C$10:$C$224,$C14,'TL17'!$J$10:$J$224),0),
IF('TL17'!$B$229=N$3,SUMIF('TL17'!$C$238:$C$451,$C14,'TL17'!$J$238:$J$451),0),
IF('TL18'!$B$3=N$3,SUMIF('TL18'!$C$10:$C$224,$C14,'TL18'!$J$10:$J$224),0),
IF('TL18'!$B$229=N$3,SUMIF('TL18'!$C$238:$C$451,$C14,'TL18'!$J$238:$J$451),0),
IF('TL19'!$B$3=N$3,SUMIF('TL19'!$C$10:$C$224,$C14,'TL19'!$J$10:$J$224),0),
IF('TL19'!$B$229=N$3,SUMIF('TL19'!$C$238:$C$451,$C14,'TL19'!$J$238:$J$451),0)
),0)</f>
        <v/>
      </c>
      <c r="O14" s="9">
        <f>IFERROR(SUM(
IF('TL01'!$B$3=O$3,SUMIF('TL01'!$C$10:$C$224,$C14,'TL01'!$J$10:$J$224),0),
IF('TL01'!$B$229=O$3,SUMIF('TL01'!$C$238:$C$451,$C14,'TL01'!$J$238:$J$451),0),
IF('TL02'!$B$3=O$3,SUMIF('TL02'!$C$10:$C$224,$C14,'TL02'!$J$10:$J$224),0),
IF('TL02'!$B$229=O$3,SUMIF('TL02'!$C$238:$C$451,$C14,'TL02'!$J$238:$J$451),0),
IF('TL03'!$B$3=O$3,SUMIF('TL03'!$C$10:$C$224,$C14,'TL03'!$J$10:$J$224),0),
IF('TL03'!$B$229=O$3,SUMIF('TL03'!$C$238:$C$451,$C14,'TL03'!$J$238:$J$451),0),
IF('TL04'!$B$3=O$3,SUMIF('TL04'!$C$10:$C$224,$C14,'TL04'!$J$10:$J$224),0),
IF('TL04'!$B$229=O$3,SUMIF('TL04'!$C$238:$C$451,$C14,'TL04'!$J$238:$J$451),0),
IF('TL05'!$B$3=O$3,SUMIF('TL05'!$C$10:$C$224,$C14,'TL05'!$J$10:$J$224),0),
IF('TL05'!$B$229=O$3,SUMIF('TL05'!$C$238:$C$451,$C14,'TL05'!$J$238:$J$451),0),
IF('TL06'!$B$3=O$3,SUMIF('TL06'!$C$10:$C$224,$C14,'TL06'!$J$10:$J$224),0),
IF('TL06'!$B$229=O$3,SUMIF('TL06'!$C$238:$C$451,$C14,'TL06'!$J$238:$J$451),0),
IF('TL07'!$B$3=O$3,SUMIF('TL07'!$C$10:$C$224,$C14,'TL07'!$J$10:$J$224),0),
IF('TL07'!$B$229=O$3,SUMIF('TL07'!$C$238:$C$451,$C14,'TL07'!$J$238:$J$451),0),
IF('TL08'!$B$3=O$3,SUMIF('TL08'!$C$10:$C$224,$C14,'TL08'!$J$10:$J$224),0),
IF('TL08'!$B$229=O$3,SUMIF('TL08'!$C$238:$C$451,$C14,'TL08'!$J$238:$J$451),0),
IF('TL09'!$B$3=O$3,SUMIF('TL09'!$C$10:$C$224,$C14,'TL09'!$J$10:$J$224),0),
IF('TL09'!$B$229=O$3,SUMIF('TL09'!$C$238:$C$451,$C14,'TL09'!$J$238:$J$451),0),
IF('TL10'!$B$3=O$3,SUMIF('TL10'!$C$10:$C$224,$C14,'TL10'!$J$10:$J$224),0),
IF('TL10'!$B$229=O$3,SUMIF('TL10'!$C$238:$C$451,$C14,'TL10'!$J$238:$J$451),0),
IF('TL11'!$B$3=O$3,SUMIF('TL11'!$C$10:$C$224,$C14,'TL11'!$J$10:$J$224),0),
IF('TL11'!$B$229=O$3,SUMIF('TL11'!$C$238:$C$451,$C14,'TL11'!$J$238:$J$451),0),
IF('TL12'!$B$3=O$3,SUMIF('TL12'!$C$10:$C$224,$C14,'TL12'!$J$10:$J$224),0),
IF('TL12'!$B$229=O$3,SUMIF('TL12'!$C$238:$C$451,$C14,'TL12'!$J$238:$J$451),0),
IF('TL13'!$B$3=O$3,SUMIF('TL13'!$C$10:$C$224,$C14,'TL13'!$J$10:$J$224),0),
IF('TL13'!$B$229=O$3,SUMIF('TL13'!$C$238:$C$451,$C14,'TL13'!$J$238:$J$451),0),
IF('TL14'!$B$3=O$3,SUMIF('TL14'!$C$10:$C$224,$C14,'TL14'!$J$10:$J$224),0),
IF('TL14'!$B$229=O$3,SUMIF('TL14'!$C$238:$C$451,$C14,'TL14'!$J$238:$J$451),0),
IF('TL15'!$B$3=O$3,SUMIF('TL15'!$C$10:$C$224,$C14,'TL15'!$J$10:$J$224),0),
IF('TL15'!$B$229=O$3,SUMIF('TL15'!$C$238:$C$451,$C14,'TL15'!$J$238:$J$451),0),
IF('TL16'!$B$3=O$3,SUMIF('TL16'!$C$10:$C$224,$C14,'TL16'!$J$10:$J$224),0),
IF('TL16'!$B$229=O$3,SUMIF('TL16'!$C$238:$C$451,$C14,'TL16'!$J$238:$J$451),0),
IF('TL17'!$B$3=O$3,SUMIF('TL17'!$C$10:$C$224,$C14,'TL17'!$J$10:$J$224),0),
IF('TL17'!$B$229=O$3,SUMIF('TL17'!$C$238:$C$451,$C14,'TL17'!$J$238:$J$451),0),
IF('TL18'!$B$3=O$3,SUMIF('TL18'!$C$10:$C$224,$C14,'TL18'!$J$10:$J$224),0),
IF('TL18'!$B$229=O$3,SUMIF('TL18'!$C$238:$C$451,$C14,'TL18'!$J$238:$J$451),0),
IF('TL19'!$B$3=O$3,SUMIF('TL19'!$C$10:$C$224,$C14,'TL19'!$J$10:$J$224),0),
IF('TL19'!$B$229=O$3,SUMIF('TL19'!$C$238:$C$451,$C14,'TL19'!$J$238:$J$451),0)
),0)</f>
        <v/>
      </c>
      <c r="P14" s="9">
        <f>IFERROR(SUM(
IF('TL01'!$B$3=P$3,SUMIF('TL01'!$C$10:$C$224,$C14,'TL01'!$J$10:$J$224),0),
IF('TL01'!$B$229=P$3,SUMIF('TL01'!$C$238:$C$451,$C14,'TL01'!$J$238:$J$451),0),
IF('TL02'!$B$3=P$3,SUMIF('TL02'!$C$10:$C$224,$C14,'TL02'!$J$10:$J$224),0),
IF('TL02'!$B$229=P$3,SUMIF('TL02'!$C$238:$C$451,$C14,'TL02'!$J$238:$J$451),0),
IF('TL03'!$B$3=P$3,SUMIF('TL03'!$C$10:$C$224,$C14,'TL03'!$J$10:$J$224),0),
IF('TL03'!$B$229=P$3,SUMIF('TL03'!$C$238:$C$451,$C14,'TL03'!$J$238:$J$451),0),
IF('TL04'!$B$3=P$3,SUMIF('TL04'!$C$10:$C$224,$C14,'TL04'!$J$10:$J$224),0),
IF('TL04'!$B$229=P$3,SUMIF('TL04'!$C$238:$C$451,$C14,'TL04'!$J$238:$J$451),0),
IF('TL05'!$B$3=P$3,SUMIF('TL05'!$C$10:$C$224,$C14,'TL05'!$J$10:$J$224),0),
IF('TL05'!$B$229=P$3,SUMIF('TL05'!$C$238:$C$451,$C14,'TL05'!$J$238:$J$451),0),
IF('TL06'!$B$3=P$3,SUMIF('TL06'!$C$10:$C$224,$C14,'TL06'!$J$10:$J$224),0),
IF('TL06'!$B$229=P$3,SUMIF('TL06'!$C$238:$C$451,$C14,'TL06'!$J$238:$J$451),0),
IF('TL07'!$B$3=P$3,SUMIF('TL07'!$C$10:$C$224,$C14,'TL07'!$J$10:$J$224),0),
IF('TL07'!$B$229=P$3,SUMIF('TL07'!$C$238:$C$451,$C14,'TL07'!$J$238:$J$451),0),
IF('TL08'!$B$3=P$3,SUMIF('TL08'!$C$10:$C$224,$C14,'TL08'!$J$10:$J$224),0),
IF('TL08'!$B$229=P$3,SUMIF('TL08'!$C$238:$C$451,$C14,'TL08'!$J$238:$J$451),0),
IF('TL09'!$B$3=P$3,SUMIF('TL09'!$C$10:$C$224,$C14,'TL09'!$J$10:$J$224),0),
IF('TL09'!$B$229=P$3,SUMIF('TL09'!$C$238:$C$451,$C14,'TL09'!$J$238:$J$451),0),
IF('TL10'!$B$3=P$3,SUMIF('TL10'!$C$10:$C$224,$C14,'TL10'!$J$10:$J$224),0),
IF('TL10'!$B$229=P$3,SUMIF('TL10'!$C$238:$C$451,$C14,'TL10'!$J$238:$J$451),0),
IF('TL11'!$B$3=P$3,SUMIF('TL11'!$C$10:$C$224,$C14,'TL11'!$J$10:$J$224),0),
IF('TL11'!$B$229=P$3,SUMIF('TL11'!$C$238:$C$451,$C14,'TL11'!$J$238:$J$451),0),
IF('TL12'!$B$3=P$3,SUMIF('TL12'!$C$10:$C$224,$C14,'TL12'!$J$10:$J$224),0),
IF('TL12'!$B$229=P$3,SUMIF('TL12'!$C$238:$C$451,$C14,'TL12'!$J$238:$J$451),0),
IF('TL13'!$B$3=P$3,SUMIF('TL13'!$C$10:$C$224,$C14,'TL13'!$J$10:$J$224),0),
IF('TL13'!$B$229=P$3,SUMIF('TL13'!$C$238:$C$451,$C14,'TL13'!$J$238:$J$451),0),
IF('TL14'!$B$3=P$3,SUMIF('TL14'!$C$10:$C$224,$C14,'TL14'!$J$10:$J$224),0),
IF('TL14'!$B$229=P$3,SUMIF('TL14'!$C$238:$C$451,$C14,'TL14'!$J$238:$J$451),0),
IF('TL15'!$B$3=P$3,SUMIF('TL15'!$C$10:$C$224,$C14,'TL15'!$J$10:$J$224),0),
IF('TL15'!$B$229=P$3,SUMIF('TL15'!$C$238:$C$451,$C14,'TL15'!$J$238:$J$451),0),
IF('TL16'!$B$3=P$3,SUMIF('TL16'!$C$10:$C$224,$C14,'TL16'!$J$10:$J$224),0),
IF('TL16'!$B$229=P$3,SUMIF('TL16'!$C$238:$C$451,$C14,'TL16'!$J$238:$J$451),0),
IF('TL17'!$B$3=P$3,SUMIF('TL17'!$C$10:$C$224,$C14,'TL17'!$J$10:$J$224),0),
IF('TL17'!$B$229=P$3,SUMIF('TL17'!$C$238:$C$451,$C14,'TL17'!$J$238:$J$451),0),
IF('TL18'!$B$3=P$3,SUMIF('TL18'!$C$10:$C$224,$C14,'TL18'!$J$10:$J$224),0),
IF('TL18'!$B$229=P$3,SUMIF('TL18'!$C$238:$C$451,$C14,'TL18'!$J$238:$J$451),0),
IF('TL19'!$B$3=P$3,SUMIF('TL19'!$C$10:$C$224,$C14,'TL19'!$J$10:$J$224),0),
IF('TL19'!$B$229=P$3,SUMIF('TL19'!$C$238:$C$451,$C14,'TL19'!$J$238:$J$451),0)
),0)</f>
        <v/>
      </c>
      <c r="Q14" s="9">
        <f>IFERROR(SUM(
IF('TL01'!$B$3=Q$3,SUMIF('TL01'!$C$10:$C$224,$C14,'TL01'!$J$10:$J$224),0),
IF('TL01'!$B$229=Q$3,SUMIF('TL01'!$C$238:$C$451,$C14,'TL01'!$J$238:$J$451),0),
IF('TL02'!$B$3=Q$3,SUMIF('TL02'!$C$10:$C$224,$C14,'TL02'!$J$10:$J$224),0),
IF('TL02'!$B$229=Q$3,SUMIF('TL02'!$C$238:$C$451,$C14,'TL02'!$J$238:$J$451),0),
IF('TL03'!$B$3=Q$3,SUMIF('TL03'!$C$10:$C$224,$C14,'TL03'!$J$10:$J$224),0),
IF('TL03'!$B$229=Q$3,SUMIF('TL03'!$C$238:$C$451,$C14,'TL03'!$J$238:$J$451),0),
IF('TL04'!$B$3=Q$3,SUMIF('TL04'!$C$10:$C$224,$C14,'TL04'!$J$10:$J$224),0),
IF('TL04'!$B$229=Q$3,SUMIF('TL04'!$C$238:$C$451,$C14,'TL04'!$J$238:$J$451),0),
IF('TL05'!$B$3=Q$3,SUMIF('TL05'!$C$10:$C$224,$C14,'TL05'!$J$10:$J$224),0),
IF('TL05'!$B$229=Q$3,SUMIF('TL05'!$C$238:$C$451,$C14,'TL05'!$J$238:$J$451),0),
IF('TL06'!$B$3=Q$3,SUMIF('TL06'!$C$10:$C$224,$C14,'TL06'!$J$10:$J$224),0),
IF('TL06'!$B$229=Q$3,SUMIF('TL06'!$C$238:$C$451,$C14,'TL06'!$J$238:$J$451),0),
IF('TL07'!$B$3=Q$3,SUMIF('TL07'!$C$10:$C$224,$C14,'TL07'!$J$10:$J$224),0),
IF('TL07'!$B$229=Q$3,SUMIF('TL07'!$C$238:$C$451,$C14,'TL07'!$J$238:$J$451),0),
IF('TL08'!$B$3=Q$3,SUMIF('TL08'!$C$10:$C$224,$C14,'TL08'!$J$10:$J$224),0),
IF('TL08'!$B$229=Q$3,SUMIF('TL08'!$C$238:$C$451,$C14,'TL08'!$J$238:$J$451),0),
IF('TL09'!$B$3=Q$3,SUMIF('TL09'!$C$10:$C$224,$C14,'TL09'!$J$10:$J$224),0),
IF('TL09'!$B$229=Q$3,SUMIF('TL09'!$C$238:$C$451,$C14,'TL09'!$J$238:$J$451),0),
IF('TL10'!$B$3=Q$3,SUMIF('TL10'!$C$10:$C$224,$C14,'TL10'!$J$10:$J$224),0),
IF('TL10'!$B$229=Q$3,SUMIF('TL10'!$C$238:$C$451,$C14,'TL10'!$J$238:$J$451),0),
IF('TL11'!$B$3=Q$3,SUMIF('TL11'!$C$10:$C$224,$C14,'TL11'!$J$10:$J$224),0),
IF('TL11'!$B$229=Q$3,SUMIF('TL11'!$C$238:$C$451,$C14,'TL11'!$J$238:$J$451),0),
IF('TL12'!$B$3=Q$3,SUMIF('TL12'!$C$10:$C$224,$C14,'TL12'!$J$10:$J$224),0),
IF('TL12'!$B$229=Q$3,SUMIF('TL12'!$C$238:$C$451,$C14,'TL12'!$J$238:$J$451),0),
IF('TL13'!$B$3=Q$3,SUMIF('TL13'!$C$10:$C$224,$C14,'TL13'!$J$10:$J$224),0),
IF('TL13'!$B$229=Q$3,SUMIF('TL13'!$C$238:$C$451,$C14,'TL13'!$J$238:$J$451),0),
IF('TL14'!$B$3=Q$3,SUMIF('TL14'!$C$10:$C$224,$C14,'TL14'!$J$10:$J$224),0),
IF('TL14'!$B$229=Q$3,SUMIF('TL14'!$C$238:$C$451,$C14,'TL14'!$J$238:$J$451),0),
IF('TL15'!$B$3=Q$3,SUMIF('TL15'!$C$10:$C$224,$C14,'TL15'!$J$10:$J$224),0),
IF('TL15'!$B$229=Q$3,SUMIF('TL15'!$C$238:$C$451,$C14,'TL15'!$J$238:$J$451),0),
IF('TL16'!$B$3=Q$3,SUMIF('TL16'!$C$10:$C$224,$C14,'TL16'!$J$10:$J$224),0),
IF('TL16'!$B$229=Q$3,SUMIF('TL16'!$C$238:$C$451,$C14,'TL16'!$J$238:$J$451),0),
IF('TL17'!$B$3=Q$3,SUMIF('TL17'!$C$10:$C$224,$C14,'TL17'!$J$10:$J$224),0),
IF('TL17'!$B$229=Q$3,SUMIF('TL17'!$C$238:$C$451,$C14,'TL17'!$J$238:$J$451),0),
IF('TL18'!$B$3=Q$3,SUMIF('TL18'!$C$10:$C$224,$C14,'TL18'!$J$10:$J$224),0),
IF('TL18'!$B$229=Q$3,SUMIF('TL18'!$C$238:$C$451,$C14,'TL18'!$J$238:$J$451),0),
IF('TL19'!$B$3=Q$3,SUMIF('TL19'!$C$10:$C$224,$C14,'TL19'!$J$10:$J$224),0),
IF('TL19'!$B$229=Q$3,SUMIF('TL19'!$C$238:$C$451,$C14,'TL19'!$J$238:$J$451),0)
),0)</f>
        <v/>
      </c>
      <c r="R14" s="9">
        <f>IFERROR(
SUM(
SUMIF('TL01'!C:C,C14,'TL01'!J:J),
SUMIF('TL02'!C:C,C14,'TL02'!J:J),
SUMIF('TL03'!C:C,C14,'TL03'!J:J),
SUMIF('TL04'!C:C,C14,'TL04'!J:J),
SUMIF('TL05'!C:C,C14,'TL05'!J:J),
SUMIF('TL06'!C:C,C14,'TL06'!J:J),
SUMIF('TL07'!C:C,C14,'TL07'!J:J),
SUMIF('TL08'!C:C,C14,'TL08'!J:J),
SUMIF('TL09'!C:C,C14,'TL09'!J:J),
SUMIF('TL10'!C:C,C14,'TL10'!J:J),
SUMIF('TL11'!C:C,C14,'TL11'!J:J),
SUMIF('TL12'!C:C,C14,'TL12'!J:J),
SUMIF('TL13'!C:C,C14,'TL13'!J:J),
SUMIF('TL14'!C:C,C14,'TL14'!J:J),
SUMIF('TL15'!C:C,C14,'TL15'!J:J),
SUMIF('TL16'!C:C,C14,'TL16'!J:J),
SUMIF('TL17'!C:C,C14,'TL17'!J:J),
SUMIF('TL18'!C:C,C14,'TL18'!J:J),SUMIF('TL19'!C:C,C14,'TL19'!J:J))
,0)</f>
        <v/>
      </c>
      <c r="S14" s="17">
        <f>IFERROR(__xludf.DUMMYFUNCTION("IFERROR(VLOOKUP(C14,
IMPORTRANGE(""1wULbzX32WdYsx-lj2U3uUNBBe2INVIRDtcK0d-Dvl90"",
""26-27!C:G""),
5,
FALSE),
"""")"),5551.686)</f>
        <v/>
      </c>
      <c r="T14" s="9" t="n"/>
      <c r="U14" s="92">
        <f>MAX(0,R14-T14)</f>
        <v/>
      </c>
      <c r="V14" s="93">
        <f>U14*S14</f>
        <v/>
      </c>
    </row>
    <row r="15" hidden="1" ht="22.5" customHeight="1" s="297">
      <c r="A15" s="94" t="inlineStr">
        <is>
          <t>SUMITOMO</t>
        </is>
      </c>
      <c r="B15" s="95" t="inlineStr">
        <is>
          <t>TS</t>
        </is>
      </c>
      <c r="C15" s="96" t="inlineStr">
        <is>
          <t>ENDOMAXX</t>
        </is>
      </c>
      <c r="D15" s="96" t="inlineStr">
        <is>
          <t>RHIZOGLOMUS INTRARADICES</t>
        </is>
      </c>
      <c r="E15" s="99" t="n"/>
      <c r="F15" s="4" t="inlineStr">
        <is>
          <t>L</t>
        </is>
      </c>
      <c r="G15" s="90">
        <f>HYPERLINK("https://www.google.com/search?q=" &amp; C15 &amp; "+bula+agrofit+pdf", "📄 Ver bula")</f>
        <v/>
      </c>
      <c r="H15" s="9">
        <f>IFERROR(__xludf.DUMMYFUNCTION("IFERROR(VLOOKUP(C15,
IMPORTRANGE(""1wULbzX32WdYsx-lj2U3uUNBBe2INVIRDtcK0d-Dvl90"",
""26-27!C:K""),
8,
FALSE),
"""")"),0.15)</f>
        <v/>
      </c>
      <c r="I15" s="97" t="inlineStr">
        <is>
          <t>12X1</t>
        </is>
      </c>
      <c r="J15" s="9">
        <f>IFERROR(SUM(
IF('TL01'!$B$3=J$3,SUMIF('TL01'!$C$10:$C$224,$C15,'TL01'!$J$10:$J$224),0),
IF('TL01'!$B$229=J$3,SUMIF('TL01'!$C$238:$C$451,$C15,'TL01'!$J$238:$J$451),0),
IF('TL02'!$B$3=J$3,SUMIF('TL02'!$C$10:$C$224,$C15,'TL02'!$J$10:$J$224),0),
IF('TL02'!$B$229=J$3,SUMIF('TL02'!$C$238:$C$451,$C15,'TL02'!$J$238:$J$451),0),
IF('TL03'!$B$3=J$3,SUMIF('TL03'!$C$10:$C$224,$C15,'TL03'!$J$10:$J$224),0),
IF('TL03'!$B$229=J$3,SUMIF('TL03'!$C$238:$C$451,$C15,'TL03'!$J$238:$J$451),0),
IF('TL04'!$B$3=J$3,SUMIF('TL04'!$C$10:$C$224,$C15,'TL04'!$J$10:$J$224),0),
IF('TL04'!$B$229=J$3,SUMIF('TL04'!$C$238:$C$451,$C15,'TL04'!$J$238:$J$451),0),
IF('TL05'!$B$3=J$3,SUMIF('TL05'!$C$10:$C$224,$C15,'TL05'!$J$10:$J$224),0),
IF('TL05'!$B$229=J$3,SUMIF('TL05'!$C$238:$C$451,$C15,'TL05'!$J$238:$J$451),0),
IF('TL06'!$B$3=J$3,SUMIF('TL06'!$C$10:$C$224,$C15,'TL06'!$J$10:$J$224),0),
IF('TL06'!$B$229=J$3,SUMIF('TL06'!$C$238:$C$451,$C15,'TL06'!$J$238:$J$451),0),
IF('TL07'!$B$3=J$3,SUMIF('TL07'!$C$10:$C$224,$C15,'TL07'!$J$10:$J$224),0),
IF('TL07'!$B$229=J$3,SUMIF('TL07'!$C$238:$C$451,$C15,'TL07'!$J$238:$J$451),0),
IF('TL08'!$B$3=J$3,SUMIF('TL08'!$C$10:$C$224,$C15,'TL08'!$J$10:$J$224),0),
IF('TL08'!$B$229=J$3,SUMIF('TL08'!$C$238:$C$451,$C15,'TL08'!$J$238:$J$451),0),
IF('TL09'!$B$3=J$3,SUMIF('TL09'!$C$10:$C$224,$C15,'TL09'!$J$10:$J$224),0),
IF('TL09'!$B$229=J$3,SUMIF('TL09'!$C$238:$C$451,$C15,'TL09'!$J$238:$J$451),0),
IF('TL10'!$B$3=J$3,SUMIF('TL10'!$C$10:$C$224,$C15,'TL10'!$J$10:$J$224),0),
IF('TL10'!$B$229=J$3,SUMIF('TL10'!$C$238:$C$451,$C15,'TL10'!$J$238:$J$451),0),
IF('TL11'!$B$3=J$3,SUMIF('TL11'!$C$10:$C$224,$C15,'TL11'!$J$10:$J$224),0),
IF('TL11'!$B$229=J$3,SUMIF('TL11'!$C$238:$C$451,$C15,'TL11'!$J$238:$J$451),0),
IF('TL12'!$B$3=J$3,SUMIF('TL12'!$C$10:$C$224,$C15,'TL12'!$J$10:$J$224),0),
IF('TL12'!$B$229=J$3,SUMIF('TL12'!$C$238:$C$451,$C15,'TL12'!$J$238:$J$451),0),
IF('TL13'!$B$3=J$3,SUMIF('TL13'!$C$10:$C$224,$C15,'TL13'!$J$10:$J$224),0),
IF('TL13'!$B$229=J$3,SUMIF('TL13'!$C$238:$C$451,$C15,'TL13'!$J$238:$J$451),0),
IF('TL14'!$B$3=J$3,SUMIF('TL14'!$C$10:$C$224,$C15,'TL14'!$J$10:$J$224),0),
IF('TL14'!$B$229=J$3,SUMIF('TL14'!$C$238:$C$451,$C15,'TL14'!$J$238:$J$451),0),
IF('TL15'!$B$3=J$3,SUMIF('TL15'!$C$10:$C$224,$C15,'TL15'!$J$10:$J$224),0),
IF('TL15'!$B$229=J$3,SUMIF('TL15'!$C$238:$C$451,$C15,'TL15'!$J$238:$J$451),0),
IF('TL16'!$B$3=J$3,SUMIF('TL16'!$C$10:$C$224,$C15,'TL16'!$J$10:$J$224),0),
IF('TL16'!$B$229=J$3,SUMIF('TL16'!$C$238:$C$451,$C15,'TL16'!$J$238:$J$451),0),
IF('TL17'!$B$3=J$3,SUMIF('TL17'!$C$10:$C$224,$C15,'TL17'!$J$10:$J$224),0),
IF('TL17'!$B$229=J$3,SUMIF('TL17'!$C$238:$C$451,$C15,'TL17'!$J$238:$J$451),0),
IF('TL18'!$B$3=J$3,SUMIF('TL18'!$C$10:$C$224,$C15,'TL18'!$J$10:$J$224),0),
IF('TL18'!$B$229=J$3,SUMIF('TL18'!$C$238:$C$451,$C15,'TL18'!$J$238:$J$451),0),
IF('TL19'!$B$3=J$3,SUMIF('TL19'!$C$10:$C$224,$C15,'TL19'!$J$10:$J$224),0),
IF('TL19'!$B$229=J$3,SUMIF('TL19'!$C$238:$C$451,$C15,'TL19'!$J$238:$J$451),0)
),0)</f>
        <v/>
      </c>
      <c r="K15" s="9">
        <f>IFERROR(SUM(
IF('TL01'!$B$3=K$3,SUMIF('TL01'!$C$10:$C$224,$C15,'TL01'!$J$10:$J$224),0),
IF('TL01'!$B$229=K$3,SUMIF('TL01'!$C$238:$C$451,$C15,'TL01'!$J$238:$J$451),0),
IF('TL02'!$B$3=K$3,SUMIF('TL02'!$C$10:$C$224,$C15,'TL02'!$J$10:$J$224),0),
IF('TL02'!$B$229=K$3,SUMIF('TL02'!$C$238:$C$451,$C15,'TL02'!$J$238:$J$451),0),
IF('TL03'!$B$3=K$3,SUMIF('TL03'!$C$10:$C$224,$C15,'TL03'!$J$10:$J$224),0),
IF('TL03'!$B$229=K$3,SUMIF('TL03'!$C$238:$C$451,$C15,'TL03'!$J$238:$J$451),0),
IF('TL04'!$B$3=K$3,SUMIF('TL04'!$C$10:$C$224,$C15,'TL04'!$J$10:$J$224),0),
IF('TL04'!$B$229=K$3,SUMIF('TL04'!$C$238:$C$451,$C15,'TL04'!$J$238:$J$451),0),
IF('TL05'!$B$3=K$3,SUMIF('TL05'!$C$10:$C$224,$C15,'TL05'!$J$10:$J$224),0),
IF('TL05'!$B$229=K$3,SUMIF('TL05'!$C$238:$C$451,$C15,'TL05'!$J$238:$J$451),0),
IF('TL06'!$B$3=K$3,SUMIF('TL06'!$C$10:$C$224,$C15,'TL06'!$J$10:$J$224),0),
IF('TL06'!$B$229=K$3,SUMIF('TL06'!$C$238:$C$451,$C15,'TL06'!$J$238:$J$451),0),
IF('TL07'!$B$3=K$3,SUMIF('TL07'!$C$10:$C$224,$C15,'TL07'!$J$10:$J$224),0),
IF('TL07'!$B$229=K$3,SUMIF('TL07'!$C$238:$C$451,$C15,'TL07'!$J$238:$J$451),0),
IF('TL08'!$B$3=K$3,SUMIF('TL08'!$C$10:$C$224,$C15,'TL08'!$J$10:$J$224),0),
IF('TL08'!$B$229=K$3,SUMIF('TL08'!$C$238:$C$451,$C15,'TL08'!$J$238:$J$451),0),
IF('TL09'!$B$3=K$3,SUMIF('TL09'!$C$10:$C$224,$C15,'TL09'!$J$10:$J$224),0),
IF('TL09'!$B$229=K$3,SUMIF('TL09'!$C$238:$C$451,$C15,'TL09'!$J$238:$J$451),0),
IF('TL10'!$B$3=K$3,SUMIF('TL10'!$C$10:$C$224,$C15,'TL10'!$J$10:$J$224),0),
IF('TL10'!$B$229=K$3,SUMIF('TL10'!$C$238:$C$451,$C15,'TL10'!$J$238:$J$451),0),
IF('TL11'!$B$3=K$3,SUMIF('TL11'!$C$10:$C$224,$C15,'TL11'!$J$10:$J$224),0),
IF('TL11'!$B$229=K$3,SUMIF('TL11'!$C$238:$C$451,$C15,'TL11'!$J$238:$J$451),0),
IF('TL12'!$B$3=K$3,SUMIF('TL12'!$C$10:$C$224,$C15,'TL12'!$J$10:$J$224),0),
IF('TL12'!$B$229=K$3,SUMIF('TL12'!$C$238:$C$451,$C15,'TL12'!$J$238:$J$451),0),
IF('TL13'!$B$3=K$3,SUMIF('TL13'!$C$10:$C$224,$C15,'TL13'!$J$10:$J$224),0),
IF('TL13'!$B$229=K$3,SUMIF('TL13'!$C$238:$C$451,$C15,'TL13'!$J$238:$J$451),0),
IF('TL14'!$B$3=K$3,SUMIF('TL14'!$C$10:$C$224,$C15,'TL14'!$J$10:$J$224),0),
IF('TL14'!$B$229=K$3,SUMIF('TL14'!$C$238:$C$451,$C15,'TL14'!$J$238:$J$451),0),
IF('TL15'!$B$3=K$3,SUMIF('TL15'!$C$10:$C$224,$C15,'TL15'!$J$10:$J$224),0),
IF('TL15'!$B$229=K$3,SUMIF('TL15'!$C$238:$C$451,$C15,'TL15'!$J$238:$J$451),0),
IF('TL16'!$B$3=K$3,SUMIF('TL16'!$C$10:$C$224,$C15,'TL16'!$J$10:$J$224),0),
IF('TL16'!$B$229=K$3,SUMIF('TL16'!$C$238:$C$451,$C15,'TL16'!$J$238:$J$451),0),
IF('TL17'!$B$3=K$3,SUMIF('TL17'!$C$10:$C$224,$C15,'TL17'!$J$10:$J$224),0),
IF('TL17'!$B$229=K$3,SUMIF('TL17'!$C$238:$C$451,$C15,'TL17'!$J$238:$J$451),0),
IF('TL18'!$B$3=K$3,SUMIF('TL18'!$C$10:$C$224,$C15,'TL18'!$J$10:$J$224),0),
IF('TL18'!$B$229=K$3,SUMIF('TL18'!$C$238:$C$451,$C15,'TL18'!$J$238:$J$451),0),
IF('TL19'!$B$3=K$3,SUMIF('TL19'!$C$10:$C$224,$C15,'TL19'!$J$10:$J$224),0),
IF('TL19'!$B$229=K$3,SUMIF('TL19'!$C$238:$C$451,$C15,'TL19'!$J$238:$J$451),0)
),0)</f>
        <v/>
      </c>
      <c r="L15" s="9">
        <f>IFERROR(SUM(
IF('TL01'!$B$3=L$3,SUMIF('TL01'!$C$10:$C$224,$C15,'TL01'!$J$10:$J$224),0),
IF('TL01'!$B$229=L$3,SUMIF('TL01'!$C$238:$C$451,$C15,'TL01'!$J$238:$J$451),0),
IF('TL02'!$B$3=L$3,SUMIF('TL02'!$C$10:$C$224,$C15,'TL02'!$J$10:$J$224),0),
IF('TL02'!$B$229=L$3,SUMIF('TL02'!$C$238:$C$451,$C15,'TL02'!$J$238:$J$451),0),
IF('TL03'!$B$3=L$3,SUMIF('TL03'!$C$10:$C$224,$C15,'TL03'!$J$10:$J$224),0),
IF('TL03'!$B$229=L$3,SUMIF('TL03'!$C$238:$C$451,$C15,'TL03'!$J$238:$J$451),0),
IF('TL04'!$B$3=L$3,SUMIF('TL04'!$C$10:$C$224,$C15,'TL04'!$J$10:$J$224),0),
IF('TL04'!$B$229=L$3,SUMIF('TL04'!$C$238:$C$451,$C15,'TL04'!$J$238:$J$451),0),
IF('TL05'!$B$3=L$3,SUMIF('TL05'!$C$10:$C$224,$C15,'TL05'!$J$10:$J$224),0),
IF('TL05'!$B$229=L$3,SUMIF('TL05'!$C$238:$C$451,$C15,'TL05'!$J$238:$J$451),0),
IF('TL06'!$B$3=L$3,SUMIF('TL06'!$C$10:$C$224,$C15,'TL06'!$J$10:$J$224),0),
IF('TL06'!$B$229=L$3,SUMIF('TL06'!$C$238:$C$451,$C15,'TL06'!$J$238:$J$451),0),
IF('TL07'!$B$3=L$3,SUMIF('TL07'!$C$10:$C$224,$C15,'TL07'!$J$10:$J$224),0),
IF('TL07'!$B$229=L$3,SUMIF('TL07'!$C$238:$C$451,$C15,'TL07'!$J$238:$J$451),0),
IF('TL08'!$B$3=L$3,SUMIF('TL08'!$C$10:$C$224,$C15,'TL08'!$J$10:$J$224),0),
IF('TL08'!$B$229=L$3,SUMIF('TL08'!$C$238:$C$451,$C15,'TL08'!$J$238:$J$451),0),
IF('TL09'!$B$3=L$3,SUMIF('TL09'!$C$10:$C$224,$C15,'TL09'!$J$10:$J$224),0),
IF('TL09'!$B$229=L$3,SUMIF('TL09'!$C$238:$C$451,$C15,'TL09'!$J$238:$J$451),0),
IF('TL10'!$B$3=L$3,SUMIF('TL10'!$C$10:$C$224,$C15,'TL10'!$J$10:$J$224),0),
IF('TL10'!$B$229=L$3,SUMIF('TL10'!$C$238:$C$451,$C15,'TL10'!$J$238:$J$451),0),
IF('TL11'!$B$3=L$3,SUMIF('TL11'!$C$10:$C$224,$C15,'TL11'!$J$10:$J$224),0),
IF('TL11'!$B$229=L$3,SUMIF('TL11'!$C$238:$C$451,$C15,'TL11'!$J$238:$J$451),0),
IF('TL12'!$B$3=L$3,SUMIF('TL12'!$C$10:$C$224,$C15,'TL12'!$J$10:$J$224),0),
IF('TL12'!$B$229=L$3,SUMIF('TL12'!$C$238:$C$451,$C15,'TL12'!$J$238:$J$451),0),
IF('TL13'!$B$3=L$3,SUMIF('TL13'!$C$10:$C$224,$C15,'TL13'!$J$10:$J$224),0),
IF('TL13'!$B$229=L$3,SUMIF('TL13'!$C$238:$C$451,$C15,'TL13'!$J$238:$J$451),0),
IF('TL14'!$B$3=L$3,SUMIF('TL14'!$C$10:$C$224,$C15,'TL14'!$J$10:$J$224),0),
IF('TL14'!$B$229=L$3,SUMIF('TL14'!$C$238:$C$451,$C15,'TL14'!$J$238:$J$451),0),
IF('TL15'!$B$3=L$3,SUMIF('TL15'!$C$10:$C$224,$C15,'TL15'!$J$10:$J$224),0),
IF('TL15'!$B$229=L$3,SUMIF('TL15'!$C$238:$C$451,$C15,'TL15'!$J$238:$J$451),0),
IF('TL16'!$B$3=L$3,SUMIF('TL16'!$C$10:$C$224,$C15,'TL16'!$J$10:$J$224),0),
IF('TL16'!$B$229=L$3,SUMIF('TL16'!$C$238:$C$451,$C15,'TL16'!$J$238:$J$451),0),
IF('TL17'!$B$3=L$3,SUMIF('TL17'!$C$10:$C$224,$C15,'TL17'!$J$10:$J$224),0),
IF('TL17'!$B$229=L$3,SUMIF('TL17'!$C$238:$C$451,$C15,'TL17'!$J$238:$J$451),0),
IF('TL18'!$B$3=L$3,SUMIF('TL18'!$C$10:$C$224,$C15,'TL18'!$J$10:$J$224),0),
IF('TL18'!$B$229=L$3,SUMIF('TL18'!$C$238:$C$451,$C15,'TL18'!$J$238:$J$451),0),
IF('TL19'!$B$3=L$3,SUMIF('TL19'!$C$10:$C$224,$C15,'TL19'!$J$10:$J$224),0),
IF('TL19'!$B$229=L$3,SUMIF('TL19'!$C$238:$C$451,$C15,'TL19'!$J$238:$J$451),0)
),0)</f>
        <v/>
      </c>
      <c r="M15" s="9">
        <f>IFERROR(SUM(
IF('TL01'!$B$3=M$3,SUMIF('TL01'!$C$10:$C$224,$C15,'TL01'!$J$10:$J$224),0),
IF('TL01'!$B$229=M$3,SUMIF('TL01'!$C$238:$C$451,$C15,'TL01'!$J$238:$J$451),0),
IF('TL02'!$B$3=M$3,SUMIF('TL02'!$C$10:$C$224,$C15,'TL02'!$J$10:$J$224),0),
IF('TL02'!$B$229=M$3,SUMIF('TL02'!$C$238:$C$451,$C15,'TL02'!$J$238:$J$451),0),
IF('TL03'!$B$3=M$3,SUMIF('TL03'!$C$10:$C$224,$C15,'TL03'!$J$10:$J$224),0),
IF('TL03'!$B$229=M$3,SUMIF('TL03'!$C$238:$C$451,$C15,'TL03'!$J$238:$J$451),0),
IF('TL04'!$B$3=M$3,SUMIF('TL04'!$C$10:$C$224,$C15,'TL04'!$J$10:$J$224),0),
IF('TL04'!$B$229=M$3,SUMIF('TL04'!$C$238:$C$451,$C15,'TL04'!$J$238:$J$451),0),
IF('TL05'!$B$3=M$3,SUMIF('TL05'!$C$10:$C$224,$C15,'TL05'!$J$10:$J$224),0),
IF('TL05'!$B$229=M$3,SUMIF('TL05'!$C$238:$C$451,$C15,'TL05'!$J$238:$J$451),0),
IF('TL06'!$B$3=M$3,SUMIF('TL06'!$C$10:$C$224,$C15,'TL06'!$J$10:$J$224),0),
IF('TL06'!$B$229=M$3,SUMIF('TL06'!$C$238:$C$451,$C15,'TL06'!$J$238:$J$451),0),
IF('TL07'!$B$3=M$3,SUMIF('TL07'!$C$10:$C$224,$C15,'TL07'!$J$10:$J$224),0),
IF('TL07'!$B$229=M$3,SUMIF('TL07'!$C$238:$C$451,$C15,'TL07'!$J$238:$J$451),0),
IF('TL08'!$B$3=M$3,SUMIF('TL08'!$C$10:$C$224,$C15,'TL08'!$J$10:$J$224),0),
IF('TL08'!$B$229=M$3,SUMIF('TL08'!$C$238:$C$451,$C15,'TL08'!$J$238:$J$451),0),
IF('TL09'!$B$3=M$3,SUMIF('TL09'!$C$10:$C$224,$C15,'TL09'!$J$10:$J$224),0),
IF('TL09'!$B$229=M$3,SUMIF('TL09'!$C$238:$C$451,$C15,'TL09'!$J$238:$J$451),0),
IF('TL10'!$B$3=M$3,SUMIF('TL10'!$C$10:$C$224,$C15,'TL10'!$J$10:$J$224),0),
IF('TL10'!$B$229=M$3,SUMIF('TL10'!$C$238:$C$451,$C15,'TL10'!$J$238:$J$451),0),
IF('TL11'!$B$3=M$3,SUMIF('TL11'!$C$10:$C$224,$C15,'TL11'!$J$10:$J$224),0),
IF('TL11'!$B$229=M$3,SUMIF('TL11'!$C$238:$C$451,$C15,'TL11'!$J$238:$J$451),0),
IF('TL12'!$B$3=M$3,SUMIF('TL12'!$C$10:$C$224,$C15,'TL12'!$J$10:$J$224),0),
IF('TL12'!$B$229=M$3,SUMIF('TL12'!$C$238:$C$451,$C15,'TL12'!$J$238:$J$451),0),
IF('TL13'!$B$3=M$3,SUMIF('TL13'!$C$10:$C$224,$C15,'TL13'!$J$10:$J$224),0),
IF('TL13'!$B$229=M$3,SUMIF('TL13'!$C$238:$C$451,$C15,'TL13'!$J$238:$J$451),0),
IF('TL14'!$B$3=M$3,SUMIF('TL14'!$C$10:$C$224,$C15,'TL14'!$J$10:$J$224),0),
IF('TL14'!$B$229=M$3,SUMIF('TL14'!$C$238:$C$451,$C15,'TL14'!$J$238:$J$451),0),
IF('TL15'!$B$3=M$3,SUMIF('TL15'!$C$10:$C$224,$C15,'TL15'!$J$10:$J$224),0),
IF('TL15'!$B$229=M$3,SUMIF('TL15'!$C$238:$C$451,$C15,'TL15'!$J$238:$J$451),0),
IF('TL16'!$B$3=M$3,SUMIF('TL16'!$C$10:$C$224,$C15,'TL16'!$J$10:$J$224),0),
IF('TL16'!$B$229=M$3,SUMIF('TL16'!$C$238:$C$451,$C15,'TL16'!$J$238:$J$451),0),
IF('TL17'!$B$3=M$3,SUMIF('TL17'!$C$10:$C$224,$C15,'TL17'!$J$10:$J$224),0),
IF('TL17'!$B$229=M$3,SUMIF('TL17'!$C$238:$C$451,$C15,'TL17'!$J$238:$J$451),0),
IF('TL18'!$B$3=M$3,SUMIF('TL18'!$C$10:$C$224,$C15,'TL18'!$J$10:$J$224),0),
IF('TL18'!$B$229=M$3,SUMIF('TL18'!$C$238:$C$451,$C15,'TL18'!$J$238:$J$451),0),
IF('TL19'!$B$3=M$3,SUMIF('TL19'!$C$10:$C$224,$C15,'TL19'!$J$10:$J$224),0),
IF('TL19'!$B$229=M$3,SUMIF('TL19'!$C$238:$C$451,$C15,'TL19'!$J$238:$J$451),0)
),0)</f>
        <v/>
      </c>
      <c r="N15" s="9">
        <f>IFERROR(SUM(
IF('TL01'!$B$3=N$3,SUMIF('TL01'!$C$10:$C$224,$C15,'TL01'!$J$10:$J$224),0),
IF('TL01'!$B$229=N$3,SUMIF('TL01'!$C$238:$C$451,$C15,'TL01'!$J$238:$J$451),0),
IF('TL02'!$B$3=N$3,SUMIF('TL02'!$C$10:$C$224,$C15,'TL02'!$J$10:$J$224),0),
IF('TL02'!$B$229=N$3,SUMIF('TL02'!$C$238:$C$451,$C15,'TL02'!$J$238:$J$451),0),
IF('TL03'!$B$3=N$3,SUMIF('TL03'!$C$10:$C$224,$C15,'TL03'!$J$10:$J$224),0),
IF('TL03'!$B$229=N$3,SUMIF('TL03'!$C$238:$C$451,$C15,'TL03'!$J$238:$J$451),0),
IF('TL04'!$B$3=N$3,SUMIF('TL04'!$C$10:$C$224,$C15,'TL04'!$J$10:$J$224),0),
IF('TL04'!$B$229=N$3,SUMIF('TL04'!$C$238:$C$451,$C15,'TL04'!$J$238:$J$451),0),
IF('TL05'!$B$3=N$3,SUMIF('TL05'!$C$10:$C$224,$C15,'TL05'!$J$10:$J$224),0),
IF('TL05'!$B$229=N$3,SUMIF('TL05'!$C$238:$C$451,$C15,'TL05'!$J$238:$J$451),0),
IF('TL06'!$B$3=N$3,SUMIF('TL06'!$C$10:$C$224,$C15,'TL06'!$J$10:$J$224),0),
IF('TL06'!$B$229=N$3,SUMIF('TL06'!$C$238:$C$451,$C15,'TL06'!$J$238:$J$451),0),
IF('TL07'!$B$3=N$3,SUMIF('TL07'!$C$10:$C$224,$C15,'TL07'!$J$10:$J$224),0),
IF('TL07'!$B$229=N$3,SUMIF('TL07'!$C$238:$C$451,$C15,'TL07'!$J$238:$J$451),0),
IF('TL08'!$B$3=N$3,SUMIF('TL08'!$C$10:$C$224,$C15,'TL08'!$J$10:$J$224),0),
IF('TL08'!$B$229=N$3,SUMIF('TL08'!$C$238:$C$451,$C15,'TL08'!$J$238:$J$451),0),
IF('TL09'!$B$3=N$3,SUMIF('TL09'!$C$10:$C$224,$C15,'TL09'!$J$10:$J$224),0),
IF('TL09'!$B$229=N$3,SUMIF('TL09'!$C$238:$C$451,$C15,'TL09'!$J$238:$J$451),0),
IF('TL10'!$B$3=N$3,SUMIF('TL10'!$C$10:$C$224,$C15,'TL10'!$J$10:$J$224),0),
IF('TL10'!$B$229=N$3,SUMIF('TL10'!$C$238:$C$451,$C15,'TL10'!$J$238:$J$451),0),
IF('TL11'!$B$3=N$3,SUMIF('TL11'!$C$10:$C$224,$C15,'TL11'!$J$10:$J$224),0),
IF('TL11'!$B$229=N$3,SUMIF('TL11'!$C$238:$C$451,$C15,'TL11'!$J$238:$J$451),0),
IF('TL12'!$B$3=N$3,SUMIF('TL12'!$C$10:$C$224,$C15,'TL12'!$J$10:$J$224),0),
IF('TL12'!$B$229=N$3,SUMIF('TL12'!$C$238:$C$451,$C15,'TL12'!$J$238:$J$451),0),
IF('TL13'!$B$3=N$3,SUMIF('TL13'!$C$10:$C$224,$C15,'TL13'!$J$10:$J$224),0),
IF('TL13'!$B$229=N$3,SUMIF('TL13'!$C$238:$C$451,$C15,'TL13'!$J$238:$J$451),0),
IF('TL14'!$B$3=N$3,SUMIF('TL14'!$C$10:$C$224,$C15,'TL14'!$J$10:$J$224),0),
IF('TL14'!$B$229=N$3,SUMIF('TL14'!$C$238:$C$451,$C15,'TL14'!$J$238:$J$451),0),
IF('TL15'!$B$3=N$3,SUMIF('TL15'!$C$10:$C$224,$C15,'TL15'!$J$10:$J$224),0),
IF('TL15'!$B$229=N$3,SUMIF('TL15'!$C$238:$C$451,$C15,'TL15'!$J$238:$J$451),0),
IF('TL16'!$B$3=N$3,SUMIF('TL16'!$C$10:$C$224,$C15,'TL16'!$J$10:$J$224),0),
IF('TL16'!$B$229=N$3,SUMIF('TL16'!$C$238:$C$451,$C15,'TL16'!$J$238:$J$451),0),
IF('TL17'!$B$3=N$3,SUMIF('TL17'!$C$10:$C$224,$C15,'TL17'!$J$10:$J$224),0),
IF('TL17'!$B$229=N$3,SUMIF('TL17'!$C$238:$C$451,$C15,'TL17'!$J$238:$J$451),0),
IF('TL18'!$B$3=N$3,SUMIF('TL18'!$C$10:$C$224,$C15,'TL18'!$J$10:$J$224),0),
IF('TL18'!$B$229=N$3,SUMIF('TL18'!$C$238:$C$451,$C15,'TL18'!$J$238:$J$451),0),
IF('TL19'!$B$3=N$3,SUMIF('TL19'!$C$10:$C$224,$C15,'TL19'!$J$10:$J$224),0),
IF('TL19'!$B$229=N$3,SUMIF('TL19'!$C$238:$C$451,$C15,'TL19'!$J$238:$J$451),0)
),0)</f>
        <v/>
      </c>
      <c r="O15" s="9">
        <f>IFERROR(SUM(
IF('TL01'!$B$3=O$3,SUMIF('TL01'!$C$10:$C$224,$C15,'TL01'!$J$10:$J$224),0),
IF('TL01'!$B$229=O$3,SUMIF('TL01'!$C$238:$C$451,$C15,'TL01'!$J$238:$J$451),0),
IF('TL02'!$B$3=O$3,SUMIF('TL02'!$C$10:$C$224,$C15,'TL02'!$J$10:$J$224),0),
IF('TL02'!$B$229=O$3,SUMIF('TL02'!$C$238:$C$451,$C15,'TL02'!$J$238:$J$451),0),
IF('TL03'!$B$3=O$3,SUMIF('TL03'!$C$10:$C$224,$C15,'TL03'!$J$10:$J$224),0),
IF('TL03'!$B$229=O$3,SUMIF('TL03'!$C$238:$C$451,$C15,'TL03'!$J$238:$J$451),0),
IF('TL04'!$B$3=O$3,SUMIF('TL04'!$C$10:$C$224,$C15,'TL04'!$J$10:$J$224),0),
IF('TL04'!$B$229=O$3,SUMIF('TL04'!$C$238:$C$451,$C15,'TL04'!$J$238:$J$451),0),
IF('TL05'!$B$3=O$3,SUMIF('TL05'!$C$10:$C$224,$C15,'TL05'!$J$10:$J$224),0),
IF('TL05'!$B$229=O$3,SUMIF('TL05'!$C$238:$C$451,$C15,'TL05'!$J$238:$J$451),0),
IF('TL06'!$B$3=O$3,SUMIF('TL06'!$C$10:$C$224,$C15,'TL06'!$J$10:$J$224),0),
IF('TL06'!$B$229=O$3,SUMIF('TL06'!$C$238:$C$451,$C15,'TL06'!$J$238:$J$451),0),
IF('TL07'!$B$3=O$3,SUMIF('TL07'!$C$10:$C$224,$C15,'TL07'!$J$10:$J$224),0),
IF('TL07'!$B$229=O$3,SUMIF('TL07'!$C$238:$C$451,$C15,'TL07'!$J$238:$J$451),0),
IF('TL08'!$B$3=O$3,SUMIF('TL08'!$C$10:$C$224,$C15,'TL08'!$J$10:$J$224),0),
IF('TL08'!$B$229=O$3,SUMIF('TL08'!$C$238:$C$451,$C15,'TL08'!$J$238:$J$451),0),
IF('TL09'!$B$3=O$3,SUMIF('TL09'!$C$10:$C$224,$C15,'TL09'!$J$10:$J$224),0),
IF('TL09'!$B$229=O$3,SUMIF('TL09'!$C$238:$C$451,$C15,'TL09'!$J$238:$J$451),0),
IF('TL10'!$B$3=O$3,SUMIF('TL10'!$C$10:$C$224,$C15,'TL10'!$J$10:$J$224),0),
IF('TL10'!$B$229=O$3,SUMIF('TL10'!$C$238:$C$451,$C15,'TL10'!$J$238:$J$451),0),
IF('TL11'!$B$3=O$3,SUMIF('TL11'!$C$10:$C$224,$C15,'TL11'!$J$10:$J$224),0),
IF('TL11'!$B$229=O$3,SUMIF('TL11'!$C$238:$C$451,$C15,'TL11'!$J$238:$J$451),0),
IF('TL12'!$B$3=O$3,SUMIF('TL12'!$C$10:$C$224,$C15,'TL12'!$J$10:$J$224),0),
IF('TL12'!$B$229=O$3,SUMIF('TL12'!$C$238:$C$451,$C15,'TL12'!$J$238:$J$451),0),
IF('TL13'!$B$3=O$3,SUMIF('TL13'!$C$10:$C$224,$C15,'TL13'!$J$10:$J$224),0),
IF('TL13'!$B$229=O$3,SUMIF('TL13'!$C$238:$C$451,$C15,'TL13'!$J$238:$J$451),0),
IF('TL14'!$B$3=O$3,SUMIF('TL14'!$C$10:$C$224,$C15,'TL14'!$J$10:$J$224),0),
IF('TL14'!$B$229=O$3,SUMIF('TL14'!$C$238:$C$451,$C15,'TL14'!$J$238:$J$451),0),
IF('TL15'!$B$3=O$3,SUMIF('TL15'!$C$10:$C$224,$C15,'TL15'!$J$10:$J$224),0),
IF('TL15'!$B$229=O$3,SUMIF('TL15'!$C$238:$C$451,$C15,'TL15'!$J$238:$J$451),0),
IF('TL16'!$B$3=O$3,SUMIF('TL16'!$C$10:$C$224,$C15,'TL16'!$J$10:$J$224),0),
IF('TL16'!$B$229=O$3,SUMIF('TL16'!$C$238:$C$451,$C15,'TL16'!$J$238:$J$451),0),
IF('TL17'!$B$3=O$3,SUMIF('TL17'!$C$10:$C$224,$C15,'TL17'!$J$10:$J$224),0),
IF('TL17'!$B$229=O$3,SUMIF('TL17'!$C$238:$C$451,$C15,'TL17'!$J$238:$J$451),0),
IF('TL18'!$B$3=O$3,SUMIF('TL18'!$C$10:$C$224,$C15,'TL18'!$J$10:$J$224),0),
IF('TL18'!$B$229=O$3,SUMIF('TL18'!$C$238:$C$451,$C15,'TL18'!$J$238:$J$451),0),
IF('TL19'!$B$3=O$3,SUMIF('TL19'!$C$10:$C$224,$C15,'TL19'!$J$10:$J$224),0),
IF('TL19'!$B$229=O$3,SUMIF('TL19'!$C$238:$C$451,$C15,'TL19'!$J$238:$J$451),0)
),0)</f>
        <v/>
      </c>
      <c r="P15" s="9">
        <f>IFERROR(SUM(
IF('TL01'!$B$3=P$3,SUMIF('TL01'!$C$10:$C$224,$C15,'TL01'!$J$10:$J$224),0),
IF('TL01'!$B$229=P$3,SUMIF('TL01'!$C$238:$C$451,$C15,'TL01'!$J$238:$J$451),0),
IF('TL02'!$B$3=P$3,SUMIF('TL02'!$C$10:$C$224,$C15,'TL02'!$J$10:$J$224),0),
IF('TL02'!$B$229=P$3,SUMIF('TL02'!$C$238:$C$451,$C15,'TL02'!$J$238:$J$451),0),
IF('TL03'!$B$3=P$3,SUMIF('TL03'!$C$10:$C$224,$C15,'TL03'!$J$10:$J$224),0),
IF('TL03'!$B$229=P$3,SUMIF('TL03'!$C$238:$C$451,$C15,'TL03'!$J$238:$J$451),0),
IF('TL04'!$B$3=P$3,SUMIF('TL04'!$C$10:$C$224,$C15,'TL04'!$J$10:$J$224),0),
IF('TL04'!$B$229=P$3,SUMIF('TL04'!$C$238:$C$451,$C15,'TL04'!$J$238:$J$451),0),
IF('TL05'!$B$3=P$3,SUMIF('TL05'!$C$10:$C$224,$C15,'TL05'!$J$10:$J$224),0),
IF('TL05'!$B$229=P$3,SUMIF('TL05'!$C$238:$C$451,$C15,'TL05'!$J$238:$J$451),0),
IF('TL06'!$B$3=P$3,SUMIF('TL06'!$C$10:$C$224,$C15,'TL06'!$J$10:$J$224),0),
IF('TL06'!$B$229=P$3,SUMIF('TL06'!$C$238:$C$451,$C15,'TL06'!$J$238:$J$451),0),
IF('TL07'!$B$3=P$3,SUMIF('TL07'!$C$10:$C$224,$C15,'TL07'!$J$10:$J$224),0),
IF('TL07'!$B$229=P$3,SUMIF('TL07'!$C$238:$C$451,$C15,'TL07'!$J$238:$J$451),0),
IF('TL08'!$B$3=P$3,SUMIF('TL08'!$C$10:$C$224,$C15,'TL08'!$J$10:$J$224),0),
IF('TL08'!$B$229=P$3,SUMIF('TL08'!$C$238:$C$451,$C15,'TL08'!$J$238:$J$451),0),
IF('TL09'!$B$3=P$3,SUMIF('TL09'!$C$10:$C$224,$C15,'TL09'!$J$10:$J$224),0),
IF('TL09'!$B$229=P$3,SUMIF('TL09'!$C$238:$C$451,$C15,'TL09'!$J$238:$J$451),0),
IF('TL10'!$B$3=P$3,SUMIF('TL10'!$C$10:$C$224,$C15,'TL10'!$J$10:$J$224),0),
IF('TL10'!$B$229=P$3,SUMIF('TL10'!$C$238:$C$451,$C15,'TL10'!$J$238:$J$451),0),
IF('TL11'!$B$3=P$3,SUMIF('TL11'!$C$10:$C$224,$C15,'TL11'!$J$10:$J$224),0),
IF('TL11'!$B$229=P$3,SUMIF('TL11'!$C$238:$C$451,$C15,'TL11'!$J$238:$J$451),0),
IF('TL12'!$B$3=P$3,SUMIF('TL12'!$C$10:$C$224,$C15,'TL12'!$J$10:$J$224),0),
IF('TL12'!$B$229=P$3,SUMIF('TL12'!$C$238:$C$451,$C15,'TL12'!$J$238:$J$451),0),
IF('TL13'!$B$3=P$3,SUMIF('TL13'!$C$10:$C$224,$C15,'TL13'!$J$10:$J$224),0),
IF('TL13'!$B$229=P$3,SUMIF('TL13'!$C$238:$C$451,$C15,'TL13'!$J$238:$J$451),0),
IF('TL14'!$B$3=P$3,SUMIF('TL14'!$C$10:$C$224,$C15,'TL14'!$J$10:$J$224),0),
IF('TL14'!$B$229=P$3,SUMIF('TL14'!$C$238:$C$451,$C15,'TL14'!$J$238:$J$451),0),
IF('TL15'!$B$3=P$3,SUMIF('TL15'!$C$10:$C$224,$C15,'TL15'!$J$10:$J$224),0),
IF('TL15'!$B$229=P$3,SUMIF('TL15'!$C$238:$C$451,$C15,'TL15'!$J$238:$J$451),0),
IF('TL16'!$B$3=P$3,SUMIF('TL16'!$C$10:$C$224,$C15,'TL16'!$J$10:$J$224),0),
IF('TL16'!$B$229=P$3,SUMIF('TL16'!$C$238:$C$451,$C15,'TL16'!$J$238:$J$451),0),
IF('TL17'!$B$3=P$3,SUMIF('TL17'!$C$10:$C$224,$C15,'TL17'!$J$10:$J$224),0),
IF('TL17'!$B$229=P$3,SUMIF('TL17'!$C$238:$C$451,$C15,'TL17'!$J$238:$J$451),0),
IF('TL18'!$B$3=P$3,SUMIF('TL18'!$C$10:$C$224,$C15,'TL18'!$J$10:$J$224),0),
IF('TL18'!$B$229=P$3,SUMIF('TL18'!$C$238:$C$451,$C15,'TL18'!$J$238:$J$451),0),
IF('TL19'!$B$3=P$3,SUMIF('TL19'!$C$10:$C$224,$C15,'TL19'!$J$10:$J$224),0),
IF('TL19'!$B$229=P$3,SUMIF('TL19'!$C$238:$C$451,$C15,'TL19'!$J$238:$J$451),0)
),0)</f>
        <v/>
      </c>
      <c r="Q15" s="9">
        <f>IFERROR(SUM(
IF('TL01'!$B$3=Q$3,SUMIF('TL01'!$C$10:$C$224,$C15,'TL01'!$J$10:$J$224),0),
IF('TL01'!$B$229=Q$3,SUMIF('TL01'!$C$238:$C$451,$C15,'TL01'!$J$238:$J$451),0),
IF('TL02'!$B$3=Q$3,SUMIF('TL02'!$C$10:$C$224,$C15,'TL02'!$J$10:$J$224),0),
IF('TL02'!$B$229=Q$3,SUMIF('TL02'!$C$238:$C$451,$C15,'TL02'!$J$238:$J$451),0),
IF('TL03'!$B$3=Q$3,SUMIF('TL03'!$C$10:$C$224,$C15,'TL03'!$J$10:$J$224),0),
IF('TL03'!$B$229=Q$3,SUMIF('TL03'!$C$238:$C$451,$C15,'TL03'!$J$238:$J$451),0),
IF('TL04'!$B$3=Q$3,SUMIF('TL04'!$C$10:$C$224,$C15,'TL04'!$J$10:$J$224),0),
IF('TL04'!$B$229=Q$3,SUMIF('TL04'!$C$238:$C$451,$C15,'TL04'!$J$238:$J$451),0),
IF('TL05'!$B$3=Q$3,SUMIF('TL05'!$C$10:$C$224,$C15,'TL05'!$J$10:$J$224),0),
IF('TL05'!$B$229=Q$3,SUMIF('TL05'!$C$238:$C$451,$C15,'TL05'!$J$238:$J$451),0),
IF('TL06'!$B$3=Q$3,SUMIF('TL06'!$C$10:$C$224,$C15,'TL06'!$J$10:$J$224),0),
IF('TL06'!$B$229=Q$3,SUMIF('TL06'!$C$238:$C$451,$C15,'TL06'!$J$238:$J$451),0),
IF('TL07'!$B$3=Q$3,SUMIF('TL07'!$C$10:$C$224,$C15,'TL07'!$J$10:$J$224),0),
IF('TL07'!$B$229=Q$3,SUMIF('TL07'!$C$238:$C$451,$C15,'TL07'!$J$238:$J$451),0),
IF('TL08'!$B$3=Q$3,SUMIF('TL08'!$C$10:$C$224,$C15,'TL08'!$J$10:$J$224),0),
IF('TL08'!$B$229=Q$3,SUMIF('TL08'!$C$238:$C$451,$C15,'TL08'!$J$238:$J$451),0),
IF('TL09'!$B$3=Q$3,SUMIF('TL09'!$C$10:$C$224,$C15,'TL09'!$J$10:$J$224),0),
IF('TL09'!$B$229=Q$3,SUMIF('TL09'!$C$238:$C$451,$C15,'TL09'!$J$238:$J$451),0),
IF('TL10'!$B$3=Q$3,SUMIF('TL10'!$C$10:$C$224,$C15,'TL10'!$J$10:$J$224),0),
IF('TL10'!$B$229=Q$3,SUMIF('TL10'!$C$238:$C$451,$C15,'TL10'!$J$238:$J$451),0),
IF('TL11'!$B$3=Q$3,SUMIF('TL11'!$C$10:$C$224,$C15,'TL11'!$J$10:$J$224),0),
IF('TL11'!$B$229=Q$3,SUMIF('TL11'!$C$238:$C$451,$C15,'TL11'!$J$238:$J$451),0),
IF('TL12'!$B$3=Q$3,SUMIF('TL12'!$C$10:$C$224,$C15,'TL12'!$J$10:$J$224),0),
IF('TL12'!$B$229=Q$3,SUMIF('TL12'!$C$238:$C$451,$C15,'TL12'!$J$238:$J$451),0),
IF('TL13'!$B$3=Q$3,SUMIF('TL13'!$C$10:$C$224,$C15,'TL13'!$J$10:$J$224),0),
IF('TL13'!$B$229=Q$3,SUMIF('TL13'!$C$238:$C$451,$C15,'TL13'!$J$238:$J$451),0),
IF('TL14'!$B$3=Q$3,SUMIF('TL14'!$C$10:$C$224,$C15,'TL14'!$J$10:$J$224),0),
IF('TL14'!$B$229=Q$3,SUMIF('TL14'!$C$238:$C$451,$C15,'TL14'!$J$238:$J$451),0),
IF('TL15'!$B$3=Q$3,SUMIF('TL15'!$C$10:$C$224,$C15,'TL15'!$J$10:$J$224),0),
IF('TL15'!$B$229=Q$3,SUMIF('TL15'!$C$238:$C$451,$C15,'TL15'!$J$238:$J$451),0),
IF('TL16'!$B$3=Q$3,SUMIF('TL16'!$C$10:$C$224,$C15,'TL16'!$J$10:$J$224),0),
IF('TL16'!$B$229=Q$3,SUMIF('TL16'!$C$238:$C$451,$C15,'TL16'!$J$238:$J$451),0),
IF('TL17'!$B$3=Q$3,SUMIF('TL17'!$C$10:$C$224,$C15,'TL17'!$J$10:$J$224),0),
IF('TL17'!$B$229=Q$3,SUMIF('TL17'!$C$238:$C$451,$C15,'TL17'!$J$238:$J$451),0),
IF('TL18'!$B$3=Q$3,SUMIF('TL18'!$C$10:$C$224,$C15,'TL18'!$J$10:$J$224),0),
IF('TL18'!$B$229=Q$3,SUMIF('TL18'!$C$238:$C$451,$C15,'TL18'!$J$238:$J$451),0),
IF('TL19'!$B$3=Q$3,SUMIF('TL19'!$C$10:$C$224,$C15,'TL19'!$J$10:$J$224),0),
IF('TL19'!$B$229=Q$3,SUMIF('TL19'!$C$238:$C$451,$C15,'TL19'!$J$238:$J$451),0)
),0)</f>
        <v/>
      </c>
      <c r="R15" s="9">
        <f>IFERROR(
SUM(
SUMIF('TL01'!C:C,C15,'TL01'!J:J),
SUMIF('TL02'!C:C,C15,'TL02'!J:J),
SUMIF('TL03'!C:C,C15,'TL03'!J:J),
SUMIF('TL04'!C:C,C15,'TL04'!J:J),
SUMIF('TL05'!C:C,C15,'TL05'!J:J),
SUMIF('TL06'!C:C,C15,'TL06'!J:J),
SUMIF('TL07'!C:C,C15,'TL07'!J:J),
SUMIF('TL08'!C:C,C15,'TL08'!J:J),
SUMIF('TL09'!C:C,C15,'TL09'!J:J),
SUMIF('TL10'!C:C,C15,'TL10'!J:J),
SUMIF('TL11'!C:C,C15,'TL11'!J:J),
SUMIF('TL12'!C:C,C15,'TL12'!J:J),
SUMIF('TL13'!C:C,C15,'TL13'!J:J),
SUMIF('TL14'!C:C,C15,'TL14'!J:J),
SUMIF('TL15'!C:C,C15,'TL15'!J:J),
SUMIF('TL16'!C:C,C15,'TL16'!J:J),
SUMIF('TL17'!C:C,C15,'TL17'!J:J),
SUMIF('TL18'!C:C,C15,'TL18'!J:J),SUMIF('TL19'!C:C,C15,'TL19'!J:J))
,0)</f>
        <v/>
      </c>
      <c r="S15" s="17">
        <f>IFERROR(__xludf.DUMMYFUNCTION("IFERROR(VLOOKUP(C15,
IMPORTRANGE(""1wULbzX32WdYsx-lj2U3uUNBBe2INVIRDtcK0d-Dvl90"",
""26-27!C:G""),
5,
FALSE),
"""")"),659.015)</f>
        <v/>
      </c>
      <c r="T15" s="9" t="n"/>
      <c r="U15" s="92">
        <f>MAX(0,R15-T15)</f>
        <v/>
      </c>
      <c r="V15" s="93">
        <f>U15*S15</f>
        <v/>
      </c>
    </row>
    <row r="16" hidden="1" ht="22.5" customHeight="1" s="297">
      <c r="A16" s="87" t="inlineStr">
        <is>
          <t>SYNGENTA</t>
        </is>
      </c>
      <c r="B16" s="95" t="inlineStr">
        <is>
          <t>TS</t>
        </is>
      </c>
      <c r="C16" s="89" t="inlineStr">
        <is>
          <t>RIZOLIQ LLI</t>
        </is>
      </c>
      <c r="D16" s="89" t="inlineStr">
        <is>
          <t>BRADYRHIZOBIUM SP.</t>
        </is>
      </c>
      <c r="E16" s="89" t="inlineStr">
        <is>
          <t>7x10⁹</t>
        </is>
      </c>
      <c r="F16" s="4" t="inlineStr">
        <is>
          <t>L</t>
        </is>
      </c>
      <c r="G16" s="90">
        <f>HYPERLINK("https://www.google.com/search?q=" &amp; C16 &amp; "+bula+agrofit+pdf", "📄 Ver bula")</f>
        <v/>
      </c>
      <c r="H16" s="9">
        <f>IFERROR(__xludf.DUMMYFUNCTION("IFERROR(VLOOKUP(C16,
IMPORTRANGE(""1wULbzX32WdYsx-lj2U3uUNBBe2INVIRDtcK0d-Dvl90"",
""26-27!C:K""),
8,
FALSE),
"""")"),0.125)</f>
        <v/>
      </c>
      <c r="I16" s="91" t="inlineStr">
        <is>
          <t>1x10</t>
        </is>
      </c>
      <c r="J16" s="9">
        <f>IFERROR(SUM(
IF('TL01'!$B$3=J$3,SUMIF('TL01'!$C$10:$C$224,$C16,'TL01'!$J$10:$J$224),0),
IF('TL01'!$B$229=J$3,SUMIF('TL01'!$C$238:$C$451,$C16,'TL01'!$J$238:$J$451),0),
IF('TL02'!$B$3=J$3,SUMIF('TL02'!$C$10:$C$224,$C16,'TL02'!$J$10:$J$224),0),
IF('TL02'!$B$229=J$3,SUMIF('TL02'!$C$238:$C$451,$C16,'TL02'!$J$238:$J$451),0),
IF('TL03'!$B$3=J$3,SUMIF('TL03'!$C$10:$C$224,$C16,'TL03'!$J$10:$J$224),0),
IF('TL03'!$B$229=J$3,SUMIF('TL03'!$C$238:$C$451,$C16,'TL03'!$J$238:$J$451),0),
IF('TL04'!$B$3=J$3,SUMIF('TL04'!$C$10:$C$224,$C16,'TL04'!$J$10:$J$224),0),
IF('TL04'!$B$229=J$3,SUMIF('TL04'!$C$238:$C$451,$C16,'TL04'!$J$238:$J$451),0),
IF('TL05'!$B$3=J$3,SUMIF('TL05'!$C$10:$C$224,$C16,'TL05'!$J$10:$J$224),0),
IF('TL05'!$B$229=J$3,SUMIF('TL05'!$C$238:$C$451,$C16,'TL05'!$J$238:$J$451),0),
IF('TL06'!$B$3=J$3,SUMIF('TL06'!$C$10:$C$224,$C16,'TL06'!$J$10:$J$224),0),
IF('TL06'!$B$229=J$3,SUMIF('TL06'!$C$238:$C$451,$C16,'TL06'!$J$238:$J$451),0),
IF('TL07'!$B$3=J$3,SUMIF('TL07'!$C$10:$C$224,$C16,'TL07'!$J$10:$J$224),0),
IF('TL07'!$B$229=J$3,SUMIF('TL07'!$C$238:$C$451,$C16,'TL07'!$J$238:$J$451),0),
IF('TL08'!$B$3=J$3,SUMIF('TL08'!$C$10:$C$224,$C16,'TL08'!$J$10:$J$224),0),
IF('TL08'!$B$229=J$3,SUMIF('TL08'!$C$238:$C$451,$C16,'TL08'!$J$238:$J$451),0),
IF('TL09'!$B$3=J$3,SUMIF('TL09'!$C$10:$C$224,$C16,'TL09'!$J$10:$J$224),0),
IF('TL09'!$B$229=J$3,SUMIF('TL09'!$C$238:$C$451,$C16,'TL09'!$J$238:$J$451),0),
IF('TL10'!$B$3=J$3,SUMIF('TL10'!$C$10:$C$224,$C16,'TL10'!$J$10:$J$224),0),
IF('TL10'!$B$229=J$3,SUMIF('TL10'!$C$238:$C$451,$C16,'TL10'!$J$238:$J$451),0),
IF('TL11'!$B$3=J$3,SUMIF('TL11'!$C$10:$C$224,$C16,'TL11'!$J$10:$J$224),0),
IF('TL11'!$B$229=J$3,SUMIF('TL11'!$C$238:$C$451,$C16,'TL11'!$J$238:$J$451),0),
IF('TL12'!$B$3=J$3,SUMIF('TL12'!$C$10:$C$224,$C16,'TL12'!$J$10:$J$224),0),
IF('TL12'!$B$229=J$3,SUMIF('TL12'!$C$238:$C$451,$C16,'TL12'!$J$238:$J$451),0),
IF('TL13'!$B$3=J$3,SUMIF('TL13'!$C$10:$C$224,$C16,'TL13'!$J$10:$J$224),0),
IF('TL13'!$B$229=J$3,SUMIF('TL13'!$C$238:$C$451,$C16,'TL13'!$J$238:$J$451),0),
IF('TL14'!$B$3=J$3,SUMIF('TL14'!$C$10:$C$224,$C16,'TL14'!$J$10:$J$224),0),
IF('TL14'!$B$229=J$3,SUMIF('TL14'!$C$238:$C$451,$C16,'TL14'!$J$238:$J$451),0),
IF('TL15'!$B$3=J$3,SUMIF('TL15'!$C$10:$C$224,$C16,'TL15'!$J$10:$J$224),0),
IF('TL15'!$B$229=J$3,SUMIF('TL15'!$C$238:$C$451,$C16,'TL15'!$J$238:$J$451),0),
IF('TL16'!$B$3=J$3,SUMIF('TL16'!$C$10:$C$224,$C16,'TL16'!$J$10:$J$224),0),
IF('TL16'!$B$229=J$3,SUMIF('TL16'!$C$238:$C$451,$C16,'TL16'!$J$238:$J$451),0),
IF('TL17'!$B$3=J$3,SUMIF('TL17'!$C$10:$C$224,$C16,'TL17'!$J$10:$J$224),0),
IF('TL17'!$B$229=J$3,SUMIF('TL17'!$C$238:$C$451,$C16,'TL17'!$J$238:$J$451),0),
IF('TL18'!$B$3=J$3,SUMIF('TL18'!$C$10:$C$224,$C16,'TL18'!$J$10:$J$224),0),
IF('TL18'!$B$229=J$3,SUMIF('TL18'!$C$238:$C$451,$C16,'TL18'!$J$238:$J$451),0),
IF('TL19'!$B$3=J$3,SUMIF('TL19'!$C$10:$C$224,$C16,'TL19'!$J$10:$J$224),0),
IF('TL19'!$B$229=J$3,SUMIF('TL19'!$C$238:$C$451,$C16,'TL19'!$J$238:$J$451),0)
),0)</f>
        <v/>
      </c>
      <c r="K16" s="9">
        <f>IFERROR(SUM(
IF('TL01'!$B$3=K$3,SUMIF('TL01'!$C$10:$C$224,$C16,'TL01'!$J$10:$J$224),0),
IF('TL01'!$B$229=K$3,SUMIF('TL01'!$C$238:$C$451,$C16,'TL01'!$J$238:$J$451),0),
IF('TL02'!$B$3=K$3,SUMIF('TL02'!$C$10:$C$224,$C16,'TL02'!$J$10:$J$224),0),
IF('TL02'!$B$229=K$3,SUMIF('TL02'!$C$238:$C$451,$C16,'TL02'!$J$238:$J$451),0),
IF('TL03'!$B$3=K$3,SUMIF('TL03'!$C$10:$C$224,$C16,'TL03'!$J$10:$J$224),0),
IF('TL03'!$B$229=K$3,SUMIF('TL03'!$C$238:$C$451,$C16,'TL03'!$J$238:$J$451),0),
IF('TL04'!$B$3=K$3,SUMIF('TL04'!$C$10:$C$224,$C16,'TL04'!$J$10:$J$224),0),
IF('TL04'!$B$229=K$3,SUMIF('TL04'!$C$238:$C$451,$C16,'TL04'!$J$238:$J$451),0),
IF('TL05'!$B$3=K$3,SUMIF('TL05'!$C$10:$C$224,$C16,'TL05'!$J$10:$J$224),0),
IF('TL05'!$B$229=K$3,SUMIF('TL05'!$C$238:$C$451,$C16,'TL05'!$J$238:$J$451),0),
IF('TL06'!$B$3=K$3,SUMIF('TL06'!$C$10:$C$224,$C16,'TL06'!$J$10:$J$224),0),
IF('TL06'!$B$229=K$3,SUMIF('TL06'!$C$238:$C$451,$C16,'TL06'!$J$238:$J$451),0),
IF('TL07'!$B$3=K$3,SUMIF('TL07'!$C$10:$C$224,$C16,'TL07'!$J$10:$J$224),0),
IF('TL07'!$B$229=K$3,SUMIF('TL07'!$C$238:$C$451,$C16,'TL07'!$J$238:$J$451),0),
IF('TL08'!$B$3=K$3,SUMIF('TL08'!$C$10:$C$224,$C16,'TL08'!$J$10:$J$224),0),
IF('TL08'!$B$229=K$3,SUMIF('TL08'!$C$238:$C$451,$C16,'TL08'!$J$238:$J$451),0),
IF('TL09'!$B$3=K$3,SUMIF('TL09'!$C$10:$C$224,$C16,'TL09'!$J$10:$J$224),0),
IF('TL09'!$B$229=K$3,SUMIF('TL09'!$C$238:$C$451,$C16,'TL09'!$J$238:$J$451),0),
IF('TL10'!$B$3=K$3,SUMIF('TL10'!$C$10:$C$224,$C16,'TL10'!$J$10:$J$224),0),
IF('TL10'!$B$229=K$3,SUMIF('TL10'!$C$238:$C$451,$C16,'TL10'!$J$238:$J$451),0),
IF('TL11'!$B$3=K$3,SUMIF('TL11'!$C$10:$C$224,$C16,'TL11'!$J$10:$J$224),0),
IF('TL11'!$B$229=K$3,SUMIF('TL11'!$C$238:$C$451,$C16,'TL11'!$J$238:$J$451),0),
IF('TL12'!$B$3=K$3,SUMIF('TL12'!$C$10:$C$224,$C16,'TL12'!$J$10:$J$224),0),
IF('TL12'!$B$229=K$3,SUMIF('TL12'!$C$238:$C$451,$C16,'TL12'!$J$238:$J$451),0),
IF('TL13'!$B$3=K$3,SUMIF('TL13'!$C$10:$C$224,$C16,'TL13'!$J$10:$J$224),0),
IF('TL13'!$B$229=K$3,SUMIF('TL13'!$C$238:$C$451,$C16,'TL13'!$J$238:$J$451),0),
IF('TL14'!$B$3=K$3,SUMIF('TL14'!$C$10:$C$224,$C16,'TL14'!$J$10:$J$224),0),
IF('TL14'!$B$229=K$3,SUMIF('TL14'!$C$238:$C$451,$C16,'TL14'!$J$238:$J$451),0),
IF('TL15'!$B$3=K$3,SUMIF('TL15'!$C$10:$C$224,$C16,'TL15'!$J$10:$J$224),0),
IF('TL15'!$B$229=K$3,SUMIF('TL15'!$C$238:$C$451,$C16,'TL15'!$J$238:$J$451),0),
IF('TL16'!$B$3=K$3,SUMIF('TL16'!$C$10:$C$224,$C16,'TL16'!$J$10:$J$224),0),
IF('TL16'!$B$229=K$3,SUMIF('TL16'!$C$238:$C$451,$C16,'TL16'!$J$238:$J$451),0),
IF('TL17'!$B$3=K$3,SUMIF('TL17'!$C$10:$C$224,$C16,'TL17'!$J$10:$J$224),0),
IF('TL17'!$B$229=K$3,SUMIF('TL17'!$C$238:$C$451,$C16,'TL17'!$J$238:$J$451),0),
IF('TL18'!$B$3=K$3,SUMIF('TL18'!$C$10:$C$224,$C16,'TL18'!$J$10:$J$224),0),
IF('TL18'!$B$229=K$3,SUMIF('TL18'!$C$238:$C$451,$C16,'TL18'!$J$238:$J$451),0),
IF('TL19'!$B$3=K$3,SUMIF('TL19'!$C$10:$C$224,$C16,'TL19'!$J$10:$J$224),0),
IF('TL19'!$B$229=K$3,SUMIF('TL19'!$C$238:$C$451,$C16,'TL19'!$J$238:$J$451),0)
),0)</f>
        <v/>
      </c>
      <c r="L16" s="9">
        <f>IFERROR(SUM(
IF('TL01'!$B$3=L$3,SUMIF('TL01'!$C$10:$C$224,$C16,'TL01'!$J$10:$J$224),0),
IF('TL01'!$B$229=L$3,SUMIF('TL01'!$C$238:$C$451,$C16,'TL01'!$J$238:$J$451),0),
IF('TL02'!$B$3=L$3,SUMIF('TL02'!$C$10:$C$224,$C16,'TL02'!$J$10:$J$224),0),
IF('TL02'!$B$229=L$3,SUMIF('TL02'!$C$238:$C$451,$C16,'TL02'!$J$238:$J$451),0),
IF('TL03'!$B$3=L$3,SUMIF('TL03'!$C$10:$C$224,$C16,'TL03'!$J$10:$J$224),0),
IF('TL03'!$B$229=L$3,SUMIF('TL03'!$C$238:$C$451,$C16,'TL03'!$J$238:$J$451),0),
IF('TL04'!$B$3=L$3,SUMIF('TL04'!$C$10:$C$224,$C16,'TL04'!$J$10:$J$224),0),
IF('TL04'!$B$229=L$3,SUMIF('TL04'!$C$238:$C$451,$C16,'TL04'!$J$238:$J$451),0),
IF('TL05'!$B$3=L$3,SUMIF('TL05'!$C$10:$C$224,$C16,'TL05'!$J$10:$J$224),0),
IF('TL05'!$B$229=L$3,SUMIF('TL05'!$C$238:$C$451,$C16,'TL05'!$J$238:$J$451),0),
IF('TL06'!$B$3=L$3,SUMIF('TL06'!$C$10:$C$224,$C16,'TL06'!$J$10:$J$224),0),
IF('TL06'!$B$229=L$3,SUMIF('TL06'!$C$238:$C$451,$C16,'TL06'!$J$238:$J$451),0),
IF('TL07'!$B$3=L$3,SUMIF('TL07'!$C$10:$C$224,$C16,'TL07'!$J$10:$J$224),0),
IF('TL07'!$B$229=L$3,SUMIF('TL07'!$C$238:$C$451,$C16,'TL07'!$J$238:$J$451),0),
IF('TL08'!$B$3=L$3,SUMIF('TL08'!$C$10:$C$224,$C16,'TL08'!$J$10:$J$224),0),
IF('TL08'!$B$229=L$3,SUMIF('TL08'!$C$238:$C$451,$C16,'TL08'!$J$238:$J$451),0),
IF('TL09'!$B$3=L$3,SUMIF('TL09'!$C$10:$C$224,$C16,'TL09'!$J$10:$J$224),0),
IF('TL09'!$B$229=L$3,SUMIF('TL09'!$C$238:$C$451,$C16,'TL09'!$J$238:$J$451),0),
IF('TL10'!$B$3=L$3,SUMIF('TL10'!$C$10:$C$224,$C16,'TL10'!$J$10:$J$224),0),
IF('TL10'!$B$229=L$3,SUMIF('TL10'!$C$238:$C$451,$C16,'TL10'!$J$238:$J$451),0),
IF('TL11'!$B$3=L$3,SUMIF('TL11'!$C$10:$C$224,$C16,'TL11'!$J$10:$J$224),0),
IF('TL11'!$B$229=L$3,SUMIF('TL11'!$C$238:$C$451,$C16,'TL11'!$J$238:$J$451),0),
IF('TL12'!$B$3=L$3,SUMIF('TL12'!$C$10:$C$224,$C16,'TL12'!$J$10:$J$224),0),
IF('TL12'!$B$229=L$3,SUMIF('TL12'!$C$238:$C$451,$C16,'TL12'!$J$238:$J$451),0),
IF('TL13'!$B$3=L$3,SUMIF('TL13'!$C$10:$C$224,$C16,'TL13'!$J$10:$J$224),0),
IF('TL13'!$B$229=L$3,SUMIF('TL13'!$C$238:$C$451,$C16,'TL13'!$J$238:$J$451),0),
IF('TL14'!$B$3=L$3,SUMIF('TL14'!$C$10:$C$224,$C16,'TL14'!$J$10:$J$224),0),
IF('TL14'!$B$229=L$3,SUMIF('TL14'!$C$238:$C$451,$C16,'TL14'!$J$238:$J$451),0),
IF('TL15'!$B$3=L$3,SUMIF('TL15'!$C$10:$C$224,$C16,'TL15'!$J$10:$J$224),0),
IF('TL15'!$B$229=L$3,SUMIF('TL15'!$C$238:$C$451,$C16,'TL15'!$J$238:$J$451),0),
IF('TL16'!$B$3=L$3,SUMIF('TL16'!$C$10:$C$224,$C16,'TL16'!$J$10:$J$224),0),
IF('TL16'!$B$229=L$3,SUMIF('TL16'!$C$238:$C$451,$C16,'TL16'!$J$238:$J$451),0),
IF('TL17'!$B$3=L$3,SUMIF('TL17'!$C$10:$C$224,$C16,'TL17'!$J$10:$J$224),0),
IF('TL17'!$B$229=L$3,SUMIF('TL17'!$C$238:$C$451,$C16,'TL17'!$J$238:$J$451),0),
IF('TL18'!$B$3=L$3,SUMIF('TL18'!$C$10:$C$224,$C16,'TL18'!$J$10:$J$224),0),
IF('TL18'!$B$229=L$3,SUMIF('TL18'!$C$238:$C$451,$C16,'TL18'!$J$238:$J$451),0),
IF('TL19'!$B$3=L$3,SUMIF('TL19'!$C$10:$C$224,$C16,'TL19'!$J$10:$J$224),0),
IF('TL19'!$B$229=L$3,SUMIF('TL19'!$C$238:$C$451,$C16,'TL19'!$J$238:$J$451),0)
),0)</f>
        <v/>
      </c>
      <c r="M16" s="9">
        <f>IFERROR(SUM(
IF('TL01'!$B$3=M$3,SUMIF('TL01'!$C$10:$C$224,$C16,'TL01'!$J$10:$J$224),0),
IF('TL01'!$B$229=M$3,SUMIF('TL01'!$C$238:$C$451,$C16,'TL01'!$J$238:$J$451),0),
IF('TL02'!$B$3=M$3,SUMIF('TL02'!$C$10:$C$224,$C16,'TL02'!$J$10:$J$224),0),
IF('TL02'!$B$229=M$3,SUMIF('TL02'!$C$238:$C$451,$C16,'TL02'!$J$238:$J$451),0),
IF('TL03'!$B$3=M$3,SUMIF('TL03'!$C$10:$C$224,$C16,'TL03'!$J$10:$J$224),0),
IF('TL03'!$B$229=M$3,SUMIF('TL03'!$C$238:$C$451,$C16,'TL03'!$J$238:$J$451),0),
IF('TL04'!$B$3=M$3,SUMIF('TL04'!$C$10:$C$224,$C16,'TL04'!$J$10:$J$224),0),
IF('TL04'!$B$229=M$3,SUMIF('TL04'!$C$238:$C$451,$C16,'TL04'!$J$238:$J$451),0),
IF('TL05'!$B$3=M$3,SUMIF('TL05'!$C$10:$C$224,$C16,'TL05'!$J$10:$J$224),0),
IF('TL05'!$B$229=M$3,SUMIF('TL05'!$C$238:$C$451,$C16,'TL05'!$J$238:$J$451),0),
IF('TL06'!$B$3=M$3,SUMIF('TL06'!$C$10:$C$224,$C16,'TL06'!$J$10:$J$224),0),
IF('TL06'!$B$229=M$3,SUMIF('TL06'!$C$238:$C$451,$C16,'TL06'!$J$238:$J$451),0),
IF('TL07'!$B$3=M$3,SUMIF('TL07'!$C$10:$C$224,$C16,'TL07'!$J$10:$J$224),0),
IF('TL07'!$B$229=M$3,SUMIF('TL07'!$C$238:$C$451,$C16,'TL07'!$J$238:$J$451),0),
IF('TL08'!$B$3=M$3,SUMIF('TL08'!$C$10:$C$224,$C16,'TL08'!$J$10:$J$224),0),
IF('TL08'!$B$229=M$3,SUMIF('TL08'!$C$238:$C$451,$C16,'TL08'!$J$238:$J$451),0),
IF('TL09'!$B$3=M$3,SUMIF('TL09'!$C$10:$C$224,$C16,'TL09'!$J$10:$J$224),0),
IF('TL09'!$B$229=M$3,SUMIF('TL09'!$C$238:$C$451,$C16,'TL09'!$J$238:$J$451),0),
IF('TL10'!$B$3=M$3,SUMIF('TL10'!$C$10:$C$224,$C16,'TL10'!$J$10:$J$224),0),
IF('TL10'!$B$229=M$3,SUMIF('TL10'!$C$238:$C$451,$C16,'TL10'!$J$238:$J$451),0),
IF('TL11'!$B$3=M$3,SUMIF('TL11'!$C$10:$C$224,$C16,'TL11'!$J$10:$J$224),0),
IF('TL11'!$B$229=M$3,SUMIF('TL11'!$C$238:$C$451,$C16,'TL11'!$J$238:$J$451),0),
IF('TL12'!$B$3=M$3,SUMIF('TL12'!$C$10:$C$224,$C16,'TL12'!$J$10:$J$224),0),
IF('TL12'!$B$229=M$3,SUMIF('TL12'!$C$238:$C$451,$C16,'TL12'!$J$238:$J$451),0),
IF('TL13'!$B$3=M$3,SUMIF('TL13'!$C$10:$C$224,$C16,'TL13'!$J$10:$J$224),0),
IF('TL13'!$B$229=M$3,SUMIF('TL13'!$C$238:$C$451,$C16,'TL13'!$J$238:$J$451),0),
IF('TL14'!$B$3=M$3,SUMIF('TL14'!$C$10:$C$224,$C16,'TL14'!$J$10:$J$224),0),
IF('TL14'!$B$229=M$3,SUMIF('TL14'!$C$238:$C$451,$C16,'TL14'!$J$238:$J$451),0),
IF('TL15'!$B$3=M$3,SUMIF('TL15'!$C$10:$C$224,$C16,'TL15'!$J$10:$J$224),0),
IF('TL15'!$B$229=M$3,SUMIF('TL15'!$C$238:$C$451,$C16,'TL15'!$J$238:$J$451),0),
IF('TL16'!$B$3=M$3,SUMIF('TL16'!$C$10:$C$224,$C16,'TL16'!$J$10:$J$224),0),
IF('TL16'!$B$229=M$3,SUMIF('TL16'!$C$238:$C$451,$C16,'TL16'!$J$238:$J$451),0),
IF('TL17'!$B$3=M$3,SUMIF('TL17'!$C$10:$C$224,$C16,'TL17'!$J$10:$J$224),0),
IF('TL17'!$B$229=M$3,SUMIF('TL17'!$C$238:$C$451,$C16,'TL17'!$J$238:$J$451),0),
IF('TL18'!$B$3=M$3,SUMIF('TL18'!$C$10:$C$224,$C16,'TL18'!$J$10:$J$224),0),
IF('TL18'!$B$229=M$3,SUMIF('TL18'!$C$238:$C$451,$C16,'TL18'!$J$238:$J$451),0),
IF('TL19'!$B$3=M$3,SUMIF('TL19'!$C$10:$C$224,$C16,'TL19'!$J$10:$J$224),0),
IF('TL19'!$B$229=M$3,SUMIF('TL19'!$C$238:$C$451,$C16,'TL19'!$J$238:$J$451),0)
),0)</f>
        <v/>
      </c>
      <c r="N16" s="9">
        <f>IFERROR(SUM(
IF('TL01'!$B$3=N$3,SUMIF('TL01'!$C$10:$C$224,$C16,'TL01'!$J$10:$J$224),0),
IF('TL01'!$B$229=N$3,SUMIF('TL01'!$C$238:$C$451,$C16,'TL01'!$J$238:$J$451),0),
IF('TL02'!$B$3=N$3,SUMIF('TL02'!$C$10:$C$224,$C16,'TL02'!$J$10:$J$224),0),
IF('TL02'!$B$229=N$3,SUMIF('TL02'!$C$238:$C$451,$C16,'TL02'!$J$238:$J$451),0),
IF('TL03'!$B$3=N$3,SUMIF('TL03'!$C$10:$C$224,$C16,'TL03'!$J$10:$J$224),0),
IF('TL03'!$B$229=N$3,SUMIF('TL03'!$C$238:$C$451,$C16,'TL03'!$J$238:$J$451),0),
IF('TL04'!$B$3=N$3,SUMIF('TL04'!$C$10:$C$224,$C16,'TL04'!$J$10:$J$224),0),
IF('TL04'!$B$229=N$3,SUMIF('TL04'!$C$238:$C$451,$C16,'TL04'!$J$238:$J$451),0),
IF('TL05'!$B$3=N$3,SUMIF('TL05'!$C$10:$C$224,$C16,'TL05'!$J$10:$J$224),0),
IF('TL05'!$B$229=N$3,SUMIF('TL05'!$C$238:$C$451,$C16,'TL05'!$J$238:$J$451),0),
IF('TL06'!$B$3=N$3,SUMIF('TL06'!$C$10:$C$224,$C16,'TL06'!$J$10:$J$224),0),
IF('TL06'!$B$229=N$3,SUMIF('TL06'!$C$238:$C$451,$C16,'TL06'!$J$238:$J$451),0),
IF('TL07'!$B$3=N$3,SUMIF('TL07'!$C$10:$C$224,$C16,'TL07'!$J$10:$J$224),0),
IF('TL07'!$B$229=N$3,SUMIF('TL07'!$C$238:$C$451,$C16,'TL07'!$J$238:$J$451),0),
IF('TL08'!$B$3=N$3,SUMIF('TL08'!$C$10:$C$224,$C16,'TL08'!$J$10:$J$224),0),
IF('TL08'!$B$229=N$3,SUMIF('TL08'!$C$238:$C$451,$C16,'TL08'!$J$238:$J$451),0),
IF('TL09'!$B$3=N$3,SUMIF('TL09'!$C$10:$C$224,$C16,'TL09'!$J$10:$J$224),0),
IF('TL09'!$B$229=N$3,SUMIF('TL09'!$C$238:$C$451,$C16,'TL09'!$J$238:$J$451),0),
IF('TL10'!$B$3=N$3,SUMIF('TL10'!$C$10:$C$224,$C16,'TL10'!$J$10:$J$224),0),
IF('TL10'!$B$229=N$3,SUMIF('TL10'!$C$238:$C$451,$C16,'TL10'!$J$238:$J$451),0),
IF('TL11'!$B$3=N$3,SUMIF('TL11'!$C$10:$C$224,$C16,'TL11'!$J$10:$J$224),0),
IF('TL11'!$B$229=N$3,SUMIF('TL11'!$C$238:$C$451,$C16,'TL11'!$J$238:$J$451),0),
IF('TL12'!$B$3=N$3,SUMIF('TL12'!$C$10:$C$224,$C16,'TL12'!$J$10:$J$224),0),
IF('TL12'!$B$229=N$3,SUMIF('TL12'!$C$238:$C$451,$C16,'TL12'!$J$238:$J$451),0),
IF('TL13'!$B$3=N$3,SUMIF('TL13'!$C$10:$C$224,$C16,'TL13'!$J$10:$J$224),0),
IF('TL13'!$B$229=N$3,SUMIF('TL13'!$C$238:$C$451,$C16,'TL13'!$J$238:$J$451),0),
IF('TL14'!$B$3=N$3,SUMIF('TL14'!$C$10:$C$224,$C16,'TL14'!$J$10:$J$224),0),
IF('TL14'!$B$229=N$3,SUMIF('TL14'!$C$238:$C$451,$C16,'TL14'!$J$238:$J$451),0),
IF('TL15'!$B$3=N$3,SUMIF('TL15'!$C$10:$C$224,$C16,'TL15'!$J$10:$J$224),0),
IF('TL15'!$B$229=N$3,SUMIF('TL15'!$C$238:$C$451,$C16,'TL15'!$J$238:$J$451),0),
IF('TL16'!$B$3=N$3,SUMIF('TL16'!$C$10:$C$224,$C16,'TL16'!$J$10:$J$224),0),
IF('TL16'!$B$229=N$3,SUMIF('TL16'!$C$238:$C$451,$C16,'TL16'!$J$238:$J$451),0),
IF('TL17'!$B$3=N$3,SUMIF('TL17'!$C$10:$C$224,$C16,'TL17'!$J$10:$J$224),0),
IF('TL17'!$B$229=N$3,SUMIF('TL17'!$C$238:$C$451,$C16,'TL17'!$J$238:$J$451),0),
IF('TL18'!$B$3=N$3,SUMIF('TL18'!$C$10:$C$224,$C16,'TL18'!$J$10:$J$224),0),
IF('TL18'!$B$229=N$3,SUMIF('TL18'!$C$238:$C$451,$C16,'TL18'!$J$238:$J$451),0),
IF('TL19'!$B$3=N$3,SUMIF('TL19'!$C$10:$C$224,$C16,'TL19'!$J$10:$J$224),0),
IF('TL19'!$B$229=N$3,SUMIF('TL19'!$C$238:$C$451,$C16,'TL19'!$J$238:$J$451),0)
),0)</f>
        <v/>
      </c>
      <c r="O16" s="9">
        <f>IFERROR(SUM(
IF('TL01'!$B$3=O$3,SUMIF('TL01'!$C$10:$C$224,$C16,'TL01'!$J$10:$J$224),0),
IF('TL01'!$B$229=O$3,SUMIF('TL01'!$C$238:$C$451,$C16,'TL01'!$J$238:$J$451),0),
IF('TL02'!$B$3=O$3,SUMIF('TL02'!$C$10:$C$224,$C16,'TL02'!$J$10:$J$224),0),
IF('TL02'!$B$229=O$3,SUMIF('TL02'!$C$238:$C$451,$C16,'TL02'!$J$238:$J$451),0),
IF('TL03'!$B$3=O$3,SUMIF('TL03'!$C$10:$C$224,$C16,'TL03'!$J$10:$J$224),0),
IF('TL03'!$B$229=O$3,SUMIF('TL03'!$C$238:$C$451,$C16,'TL03'!$J$238:$J$451),0),
IF('TL04'!$B$3=O$3,SUMIF('TL04'!$C$10:$C$224,$C16,'TL04'!$J$10:$J$224),0),
IF('TL04'!$B$229=O$3,SUMIF('TL04'!$C$238:$C$451,$C16,'TL04'!$J$238:$J$451),0),
IF('TL05'!$B$3=O$3,SUMIF('TL05'!$C$10:$C$224,$C16,'TL05'!$J$10:$J$224),0),
IF('TL05'!$B$229=O$3,SUMIF('TL05'!$C$238:$C$451,$C16,'TL05'!$J$238:$J$451),0),
IF('TL06'!$B$3=O$3,SUMIF('TL06'!$C$10:$C$224,$C16,'TL06'!$J$10:$J$224),0),
IF('TL06'!$B$229=O$3,SUMIF('TL06'!$C$238:$C$451,$C16,'TL06'!$J$238:$J$451),0),
IF('TL07'!$B$3=O$3,SUMIF('TL07'!$C$10:$C$224,$C16,'TL07'!$J$10:$J$224),0),
IF('TL07'!$B$229=O$3,SUMIF('TL07'!$C$238:$C$451,$C16,'TL07'!$J$238:$J$451),0),
IF('TL08'!$B$3=O$3,SUMIF('TL08'!$C$10:$C$224,$C16,'TL08'!$J$10:$J$224),0),
IF('TL08'!$B$229=O$3,SUMIF('TL08'!$C$238:$C$451,$C16,'TL08'!$J$238:$J$451),0),
IF('TL09'!$B$3=O$3,SUMIF('TL09'!$C$10:$C$224,$C16,'TL09'!$J$10:$J$224),0),
IF('TL09'!$B$229=O$3,SUMIF('TL09'!$C$238:$C$451,$C16,'TL09'!$J$238:$J$451),0),
IF('TL10'!$B$3=O$3,SUMIF('TL10'!$C$10:$C$224,$C16,'TL10'!$J$10:$J$224),0),
IF('TL10'!$B$229=O$3,SUMIF('TL10'!$C$238:$C$451,$C16,'TL10'!$J$238:$J$451),0),
IF('TL11'!$B$3=O$3,SUMIF('TL11'!$C$10:$C$224,$C16,'TL11'!$J$10:$J$224),0),
IF('TL11'!$B$229=O$3,SUMIF('TL11'!$C$238:$C$451,$C16,'TL11'!$J$238:$J$451),0),
IF('TL12'!$B$3=O$3,SUMIF('TL12'!$C$10:$C$224,$C16,'TL12'!$J$10:$J$224),0),
IF('TL12'!$B$229=O$3,SUMIF('TL12'!$C$238:$C$451,$C16,'TL12'!$J$238:$J$451),0),
IF('TL13'!$B$3=O$3,SUMIF('TL13'!$C$10:$C$224,$C16,'TL13'!$J$10:$J$224),0),
IF('TL13'!$B$229=O$3,SUMIF('TL13'!$C$238:$C$451,$C16,'TL13'!$J$238:$J$451),0),
IF('TL14'!$B$3=O$3,SUMIF('TL14'!$C$10:$C$224,$C16,'TL14'!$J$10:$J$224),0),
IF('TL14'!$B$229=O$3,SUMIF('TL14'!$C$238:$C$451,$C16,'TL14'!$J$238:$J$451),0),
IF('TL15'!$B$3=O$3,SUMIF('TL15'!$C$10:$C$224,$C16,'TL15'!$J$10:$J$224),0),
IF('TL15'!$B$229=O$3,SUMIF('TL15'!$C$238:$C$451,$C16,'TL15'!$J$238:$J$451),0),
IF('TL16'!$B$3=O$3,SUMIF('TL16'!$C$10:$C$224,$C16,'TL16'!$J$10:$J$224),0),
IF('TL16'!$B$229=O$3,SUMIF('TL16'!$C$238:$C$451,$C16,'TL16'!$J$238:$J$451),0),
IF('TL17'!$B$3=O$3,SUMIF('TL17'!$C$10:$C$224,$C16,'TL17'!$J$10:$J$224),0),
IF('TL17'!$B$229=O$3,SUMIF('TL17'!$C$238:$C$451,$C16,'TL17'!$J$238:$J$451),0),
IF('TL18'!$B$3=O$3,SUMIF('TL18'!$C$10:$C$224,$C16,'TL18'!$J$10:$J$224),0),
IF('TL18'!$B$229=O$3,SUMIF('TL18'!$C$238:$C$451,$C16,'TL18'!$J$238:$J$451),0),
IF('TL19'!$B$3=O$3,SUMIF('TL19'!$C$10:$C$224,$C16,'TL19'!$J$10:$J$224),0),
IF('TL19'!$B$229=O$3,SUMIF('TL19'!$C$238:$C$451,$C16,'TL19'!$J$238:$J$451),0)
),0)</f>
        <v/>
      </c>
      <c r="P16" s="9">
        <f>IFERROR(SUM(
IF('TL01'!$B$3=P$3,SUMIF('TL01'!$C$10:$C$224,$C16,'TL01'!$J$10:$J$224),0),
IF('TL01'!$B$229=P$3,SUMIF('TL01'!$C$238:$C$451,$C16,'TL01'!$J$238:$J$451),0),
IF('TL02'!$B$3=P$3,SUMIF('TL02'!$C$10:$C$224,$C16,'TL02'!$J$10:$J$224),0),
IF('TL02'!$B$229=P$3,SUMIF('TL02'!$C$238:$C$451,$C16,'TL02'!$J$238:$J$451),0),
IF('TL03'!$B$3=P$3,SUMIF('TL03'!$C$10:$C$224,$C16,'TL03'!$J$10:$J$224),0),
IF('TL03'!$B$229=P$3,SUMIF('TL03'!$C$238:$C$451,$C16,'TL03'!$J$238:$J$451),0),
IF('TL04'!$B$3=P$3,SUMIF('TL04'!$C$10:$C$224,$C16,'TL04'!$J$10:$J$224),0),
IF('TL04'!$B$229=P$3,SUMIF('TL04'!$C$238:$C$451,$C16,'TL04'!$J$238:$J$451),0),
IF('TL05'!$B$3=P$3,SUMIF('TL05'!$C$10:$C$224,$C16,'TL05'!$J$10:$J$224),0),
IF('TL05'!$B$229=P$3,SUMIF('TL05'!$C$238:$C$451,$C16,'TL05'!$J$238:$J$451),0),
IF('TL06'!$B$3=P$3,SUMIF('TL06'!$C$10:$C$224,$C16,'TL06'!$J$10:$J$224),0),
IF('TL06'!$B$229=P$3,SUMIF('TL06'!$C$238:$C$451,$C16,'TL06'!$J$238:$J$451),0),
IF('TL07'!$B$3=P$3,SUMIF('TL07'!$C$10:$C$224,$C16,'TL07'!$J$10:$J$224),0),
IF('TL07'!$B$229=P$3,SUMIF('TL07'!$C$238:$C$451,$C16,'TL07'!$J$238:$J$451),0),
IF('TL08'!$B$3=P$3,SUMIF('TL08'!$C$10:$C$224,$C16,'TL08'!$J$10:$J$224),0),
IF('TL08'!$B$229=P$3,SUMIF('TL08'!$C$238:$C$451,$C16,'TL08'!$J$238:$J$451),0),
IF('TL09'!$B$3=P$3,SUMIF('TL09'!$C$10:$C$224,$C16,'TL09'!$J$10:$J$224),0),
IF('TL09'!$B$229=P$3,SUMIF('TL09'!$C$238:$C$451,$C16,'TL09'!$J$238:$J$451),0),
IF('TL10'!$B$3=P$3,SUMIF('TL10'!$C$10:$C$224,$C16,'TL10'!$J$10:$J$224),0),
IF('TL10'!$B$229=P$3,SUMIF('TL10'!$C$238:$C$451,$C16,'TL10'!$J$238:$J$451),0),
IF('TL11'!$B$3=P$3,SUMIF('TL11'!$C$10:$C$224,$C16,'TL11'!$J$10:$J$224),0),
IF('TL11'!$B$229=P$3,SUMIF('TL11'!$C$238:$C$451,$C16,'TL11'!$J$238:$J$451),0),
IF('TL12'!$B$3=P$3,SUMIF('TL12'!$C$10:$C$224,$C16,'TL12'!$J$10:$J$224),0),
IF('TL12'!$B$229=P$3,SUMIF('TL12'!$C$238:$C$451,$C16,'TL12'!$J$238:$J$451),0),
IF('TL13'!$B$3=P$3,SUMIF('TL13'!$C$10:$C$224,$C16,'TL13'!$J$10:$J$224),0),
IF('TL13'!$B$229=P$3,SUMIF('TL13'!$C$238:$C$451,$C16,'TL13'!$J$238:$J$451),0),
IF('TL14'!$B$3=P$3,SUMIF('TL14'!$C$10:$C$224,$C16,'TL14'!$J$10:$J$224),0),
IF('TL14'!$B$229=P$3,SUMIF('TL14'!$C$238:$C$451,$C16,'TL14'!$J$238:$J$451),0),
IF('TL15'!$B$3=P$3,SUMIF('TL15'!$C$10:$C$224,$C16,'TL15'!$J$10:$J$224),0),
IF('TL15'!$B$229=P$3,SUMIF('TL15'!$C$238:$C$451,$C16,'TL15'!$J$238:$J$451),0),
IF('TL16'!$B$3=P$3,SUMIF('TL16'!$C$10:$C$224,$C16,'TL16'!$J$10:$J$224),0),
IF('TL16'!$B$229=P$3,SUMIF('TL16'!$C$238:$C$451,$C16,'TL16'!$J$238:$J$451),0),
IF('TL17'!$B$3=P$3,SUMIF('TL17'!$C$10:$C$224,$C16,'TL17'!$J$10:$J$224),0),
IF('TL17'!$B$229=P$3,SUMIF('TL17'!$C$238:$C$451,$C16,'TL17'!$J$238:$J$451),0),
IF('TL18'!$B$3=P$3,SUMIF('TL18'!$C$10:$C$224,$C16,'TL18'!$J$10:$J$224),0),
IF('TL18'!$B$229=P$3,SUMIF('TL18'!$C$238:$C$451,$C16,'TL18'!$J$238:$J$451),0),
IF('TL19'!$B$3=P$3,SUMIF('TL19'!$C$10:$C$224,$C16,'TL19'!$J$10:$J$224),0),
IF('TL19'!$B$229=P$3,SUMIF('TL19'!$C$238:$C$451,$C16,'TL19'!$J$238:$J$451),0)
),0)</f>
        <v/>
      </c>
      <c r="Q16" s="9">
        <f>IFERROR(SUM(
IF('TL01'!$B$3=Q$3,SUMIF('TL01'!$C$10:$C$224,$C16,'TL01'!$J$10:$J$224),0),
IF('TL01'!$B$229=Q$3,SUMIF('TL01'!$C$238:$C$451,$C16,'TL01'!$J$238:$J$451),0),
IF('TL02'!$B$3=Q$3,SUMIF('TL02'!$C$10:$C$224,$C16,'TL02'!$J$10:$J$224),0),
IF('TL02'!$B$229=Q$3,SUMIF('TL02'!$C$238:$C$451,$C16,'TL02'!$J$238:$J$451),0),
IF('TL03'!$B$3=Q$3,SUMIF('TL03'!$C$10:$C$224,$C16,'TL03'!$J$10:$J$224),0),
IF('TL03'!$B$229=Q$3,SUMIF('TL03'!$C$238:$C$451,$C16,'TL03'!$J$238:$J$451),0),
IF('TL04'!$B$3=Q$3,SUMIF('TL04'!$C$10:$C$224,$C16,'TL04'!$J$10:$J$224),0),
IF('TL04'!$B$229=Q$3,SUMIF('TL04'!$C$238:$C$451,$C16,'TL04'!$J$238:$J$451),0),
IF('TL05'!$B$3=Q$3,SUMIF('TL05'!$C$10:$C$224,$C16,'TL05'!$J$10:$J$224),0),
IF('TL05'!$B$229=Q$3,SUMIF('TL05'!$C$238:$C$451,$C16,'TL05'!$J$238:$J$451),0),
IF('TL06'!$B$3=Q$3,SUMIF('TL06'!$C$10:$C$224,$C16,'TL06'!$J$10:$J$224),0),
IF('TL06'!$B$229=Q$3,SUMIF('TL06'!$C$238:$C$451,$C16,'TL06'!$J$238:$J$451),0),
IF('TL07'!$B$3=Q$3,SUMIF('TL07'!$C$10:$C$224,$C16,'TL07'!$J$10:$J$224),0),
IF('TL07'!$B$229=Q$3,SUMIF('TL07'!$C$238:$C$451,$C16,'TL07'!$J$238:$J$451),0),
IF('TL08'!$B$3=Q$3,SUMIF('TL08'!$C$10:$C$224,$C16,'TL08'!$J$10:$J$224),0),
IF('TL08'!$B$229=Q$3,SUMIF('TL08'!$C$238:$C$451,$C16,'TL08'!$J$238:$J$451),0),
IF('TL09'!$B$3=Q$3,SUMIF('TL09'!$C$10:$C$224,$C16,'TL09'!$J$10:$J$224),0),
IF('TL09'!$B$229=Q$3,SUMIF('TL09'!$C$238:$C$451,$C16,'TL09'!$J$238:$J$451),0),
IF('TL10'!$B$3=Q$3,SUMIF('TL10'!$C$10:$C$224,$C16,'TL10'!$J$10:$J$224),0),
IF('TL10'!$B$229=Q$3,SUMIF('TL10'!$C$238:$C$451,$C16,'TL10'!$J$238:$J$451),0),
IF('TL11'!$B$3=Q$3,SUMIF('TL11'!$C$10:$C$224,$C16,'TL11'!$J$10:$J$224),0),
IF('TL11'!$B$229=Q$3,SUMIF('TL11'!$C$238:$C$451,$C16,'TL11'!$J$238:$J$451),0),
IF('TL12'!$B$3=Q$3,SUMIF('TL12'!$C$10:$C$224,$C16,'TL12'!$J$10:$J$224),0),
IF('TL12'!$B$229=Q$3,SUMIF('TL12'!$C$238:$C$451,$C16,'TL12'!$J$238:$J$451),0),
IF('TL13'!$B$3=Q$3,SUMIF('TL13'!$C$10:$C$224,$C16,'TL13'!$J$10:$J$224),0),
IF('TL13'!$B$229=Q$3,SUMIF('TL13'!$C$238:$C$451,$C16,'TL13'!$J$238:$J$451),0),
IF('TL14'!$B$3=Q$3,SUMIF('TL14'!$C$10:$C$224,$C16,'TL14'!$J$10:$J$224),0),
IF('TL14'!$B$229=Q$3,SUMIF('TL14'!$C$238:$C$451,$C16,'TL14'!$J$238:$J$451),0),
IF('TL15'!$B$3=Q$3,SUMIF('TL15'!$C$10:$C$224,$C16,'TL15'!$J$10:$J$224),0),
IF('TL15'!$B$229=Q$3,SUMIF('TL15'!$C$238:$C$451,$C16,'TL15'!$J$238:$J$451),0),
IF('TL16'!$B$3=Q$3,SUMIF('TL16'!$C$10:$C$224,$C16,'TL16'!$J$10:$J$224),0),
IF('TL16'!$B$229=Q$3,SUMIF('TL16'!$C$238:$C$451,$C16,'TL16'!$J$238:$J$451),0),
IF('TL17'!$B$3=Q$3,SUMIF('TL17'!$C$10:$C$224,$C16,'TL17'!$J$10:$J$224),0),
IF('TL17'!$B$229=Q$3,SUMIF('TL17'!$C$238:$C$451,$C16,'TL17'!$J$238:$J$451),0),
IF('TL18'!$B$3=Q$3,SUMIF('TL18'!$C$10:$C$224,$C16,'TL18'!$J$10:$J$224),0),
IF('TL18'!$B$229=Q$3,SUMIF('TL18'!$C$238:$C$451,$C16,'TL18'!$J$238:$J$451),0),
IF('TL19'!$B$3=Q$3,SUMIF('TL19'!$C$10:$C$224,$C16,'TL19'!$J$10:$J$224),0),
IF('TL19'!$B$229=Q$3,SUMIF('TL19'!$C$238:$C$451,$C16,'TL19'!$J$238:$J$451),0)
),0)</f>
        <v/>
      </c>
      <c r="R16" s="9">
        <f>IFERROR(
SUM(
SUMIF('TL01'!C:C,C16,'TL01'!J:J),
SUMIF('TL02'!C:C,C16,'TL02'!J:J),
SUMIF('TL03'!C:C,C16,'TL03'!J:J),
SUMIF('TL04'!C:C,C16,'TL04'!J:J),
SUMIF('TL05'!C:C,C16,'TL05'!J:J),
SUMIF('TL06'!C:C,C16,'TL06'!J:J),
SUMIF('TL07'!C:C,C16,'TL07'!J:J),
SUMIF('TL08'!C:C,C16,'TL08'!J:J),
SUMIF('TL09'!C:C,C16,'TL09'!J:J),
SUMIF('TL10'!C:C,C16,'TL10'!J:J),
SUMIF('TL11'!C:C,C16,'TL11'!J:J),
SUMIF('TL12'!C:C,C16,'TL12'!J:J),
SUMIF('TL13'!C:C,C16,'TL13'!J:J),
SUMIF('TL14'!C:C,C16,'TL14'!J:J),
SUMIF('TL15'!C:C,C16,'TL15'!J:J),
SUMIF('TL16'!C:C,C16,'TL16'!J:J),
SUMIF('TL17'!C:C,C16,'TL17'!J:J),
SUMIF('TL18'!C:C,C16,'TL18'!J:J),SUMIF('TL19'!C:C,C16,'TL19'!J:J))
,0)</f>
        <v/>
      </c>
      <c r="S16" s="17">
        <f>IFERROR(__xludf.DUMMYFUNCTION("IFERROR(VLOOKUP(C16,
IMPORTRANGE(""1wULbzX32WdYsx-lj2U3uUNBBe2INVIRDtcK0d-Dvl90"",
""26-27!C:G""),
5,
FALSE),
"""")"),95.494)</f>
        <v/>
      </c>
      <c r="T16" s="9" t="n"/>
      <c r="U16" s="92">
        <f>MAX(0,R16-T16)</f>
        <v/>
      </c>
      <c r="V16" s="93">
        <f>U16*S16</f>
        <v/>
      </c>
    </row>
    <row r="17" hidden="1" ht="22.5" customHeight="1" s="297">
      <c r="A17" s="94" t="inlineStr">
        <is>
          <t>FMC</t>
        </is>
      </c>
      <c r="B17" s="95" t="inlineStr">
        <is>
          <t>TS</t>
        </is>
      </c>
      <c r="C17" s="96" t="inlineStr">
        <is>
          <t>PROVILAR</t>
        </is>
      </c>
      <c r="D17" s="96" t="inlineStr">
        <is>
          <t>BACILLUS VELEZENSIS, ISOLADO CNPSO 3602 + BACILLUS
 SUBTILIS</t>
        </is>
      </c>
      <c r="E17" s="96" t="inlineStr">
        <is>
          <t>90 + 30</t>
        </is>
      </c>
      <c r="F17" s="4" t="inlineStr">
        <is>
          <t>L</t>
        </is>
      </c>
      <c r="G17" s="90">
        <f>HYPERLINK("https://www.google.com/search?q=" &amp; C17 &amp; "+bula+agrofit+pdf", "📄 Ver bula")</f>
        <v/>
      </c>
      <c r="H17" s="9">
        <f>IFERROR(__xludf.DUMMYFUNCTION("IFERROR(VLOOKUP(C17,
IMPORTRANGE(""1wULbzX32WdYsx-lj2U3uUNBBe2INVIRDtcK0d-Dvl90"",
""26-27!C:K""),
8,
FALSE),
"""")"),0.3)</f>
        <v/>
      </c>
      <c r="I17" s="97" t="inlineStr">
        <is>
          <t>4x5</t>
        </is>
      </c>
      <c r="J17" s="9">
        <f>IFERROR(SUM(
IF('TL01'!$B$3=J$3,SUMIF('TL01'!$C$10:$C$224,$C17,'TL01'!$J$10:$J$224),0),
IF('TL01'!$B$229=J$3,SUMIF('TL01'!$C$238:$C$451,$C17,'TL01'!$J$238:$J$451),0),
IF('TL02'!$B$3=J$3,SUMIF('TL02'!$C$10:$C$224,$C17,'TL02'!$J$10:$J$224),0),
IF('TL02'!$B$229=J$3,SUMIF('TL02'!$C$238:$C$451,$C17,'TL02'!$J$238:$J$451),0),
IF('TL03'!$B$3=J$3,SUMIF('TL03'!$C$10:$C$224,$C17,'TL03'!$J$10:$J$224),0),
IF('TL03'!$B$229=J$3,SUMIF('TL03'!$C$238:$C$451,$C17,'TL03'!$J$238:$J$451),0),
IF('TL04'!$B$3=J$3,SUMIF('TL04'!$C$10:$C$224,$C17,'TL04'!$J$10:$J$224),0),
IF('TL04'!$B$229=J$3,SUMIF('TL04'!$C$238:$C$451,$C17,'TL04'!$J$238:$J$451),0),
IF('TL05'!$B$3=J$3,SUMIF('TL05'!$C$10:$C$224,$C17,'TL05'!$J$10:$J$224),0),
IF('TL05'!$B$229=J$3,SUMIF('TL05'!$C$238:$C$451,$C17,'TL05'!$J$238:$J$451),0),
IF('TL06'!$B$3=J$3,SUMIF('TL06'!$C$10:$C$224,$C17,'TL06'!$J$10:$J$224),0),
IF('TL06'!$B$229=J$3,SUMIF('TL06'!$C$238:$C$451,$C17,'TL06'!$J$238:$J$451),0),
IF('TL07'!$B$3=J$3,SUMIF('TL07'!$C$10:$C$224,$C17,'TL07'!$J$10:$J$224),0),
IF('TL07'!$B$229=J$3,SUMIF('TL07'!$C$238:$C$451,$C17,'TL07'!$J$238:$J$451),0),
IF('TL08'!$B$3=J$3,SUMIF('TL08'!$C$10:$C$224,$C17,'TL08'!$J$10:$J$224),0),
IF('TL08'!$B$229=J$3,SUMIF('TL08'!$C$238:$C$451,$C17,'TL08'!$J$238:$J$451),0),
IF('TL09'!$B$3=J$3,SUMIF('TL09'!$C$10:$C$224,$C17,'TL09'!$J$10:$J$224),0),
IF('TL09'!$B$229=J$3,SUMIF('TL09'!$C$238:$C$451,$C17,'TL09'!$J$238:$J$451),0),
IF('TL10'!$B$3=J$3,SUMIF('TL10'!$C$10:$C$224,$C17,'TL10'!$J$10:$J$224),0),
IF('TL10'!$B$229=J$3,SUMIF('TL10'!$C$238:$C$451,$C17,'TL10'!$J$238:$J$451),0),
IF('TL11'!$B$3=J$3,SUMIF('TL11'!$C$10:$C$224,$C17,'TL11'!$J$10:$J$224),0),
IF('TL11'!$B$229=J$3,SUMIF('TL11'!$C$238:$C$451,$C17,'TL11'!$J$238:$J$451),0),
IF('TL12'!$B$3=J$3,SUMIF('TL12'!$C$10:$C$224,$C17,'TL12'!$J$10:$J$224),0),
IF('TL12'!$B$229=J$3,SUMIF('TL12'!$C$238:$C$451,$C17,'TL12'!$J$238:$J$451),0),
IF('TL13'!$B$3=J$3,SUMIF('TL13'!$C$10:$C$224,$C17,'TL13'!$J$10:$J$224),0),
IF('TL13'!$B$229=J$3,SUMIF('TL13'!$C$238:$C$451,$C17,'TL13'!$J$238:$J$451),0),
IF('TL14'!$B$3=J$3,SUMIF('TL14'!$C$10:$C$224,$C17,'TL14'!$J$10:$J$224),0),
IF('TL14'!$B$229=J$3,SUMIF('TL14'!$C$238:$C$451,$C17,'TL14'!$J$238:$J$451),0),
IF('TL15'!$B$3=J$3,SUMIF('TL15'!$C$10:$C$224,$C17,'TL15'!$J$10:$J$224),0),
IF('TL15'!$B$229=J$3,SUMIF('TL15'!$C$238:$C$451,$C17,'TL15'!$J$238:$J$451),0),
IF('TL16'!$B$3=J$3,SUMIF('TL16'!$C$10:$C$224,$C17,'TL16'!$J$10:$J$224),0),
IF('TL16'!$B$229=J$3,SUMIF('TL16'!$C$238:$C$451,$C17,'TL16'!$J$238:$J$451),0),
IF('TL17'!$B$3=J$3,SUMIF('TL17'!$C$10:$C$224,$C17,'TL17'!$J$10:$J$224),0),
IF('TL17'!$B$229=J$3,SUMIF('TL17'!$C$238:$C$451,$C17,'TL17'!$J$238:$J$451),0),
IF('TL18'!$B$3=J$3,SUMIF('TL18'!$C$10:$C$224,$C17,'TL18'!$J$10:$J$224),0),
IF('TL18'!$B$229=J$3,SUMIF('TL18'!$C$238:$C$451,$C17,'TL18'!$J$238:$J$451),0),
IF('TL19'!$B$3=J$3,SUMIF('TL19'!$C$10:$C$224,$C17,'TL19'!$J$10:$J$224),0),
IF('TL19'!$B$229=J$3,SUMIF('TL19'!$C$238:$C$451,$C17,'TL19'!$J$238:$J$451),0)
),0)</f>
        <v/>
      </c>
      <c r="K17" s="9">
        <f>IFERROR(SUM(
IF('TL01'!$B$3=K$3,SUMIF('TL01'!$C$10:$C$224,$C17,'TL01'!$J$10:$J$224),0),
IF('TL01'!$B$229=K$3,SUMIF('TL01'!$C$238:$C$451,$C17,'TL01'!$J$238:$J$451),0),
IF('TL02'!$B$3=K$3,SUMIF('TL02'!$C$10:$C$224,$C17,'TL02'!$J$10:$J$224),0),
IF('TL02'!$B$229=K$3,SUMIF('TL02'!$C$238:$C$451,$C17,'TL02'!$J$238:$J$451),0),
IF('TL03'!$B$3=K$3,SUMIF('TL03'!$C$10:$C$224,$C17,'TL03'!$J$10:$J$224),0),
IF('TL03'!$B$229=K$3,SUMIF('TL03'!$C$238:$C$451,$C17,'TL03'!$J$238:$J$451),0),
IF('TL04'!$B$3=K$3,SUMIF('TL04'!$C$10:$C$224,$C17,'TL04'!$J$10:$J$224),0),
IF('TL04'!$B$229=K$3,SUMIF('TL04'!$C$238:$C$451,$C17,'TL04'!$J$238:$J$451),0),
IF('TL05'!$B$3=K$3,SUMIF('TL05'!$C$10:$C$224,$C17,'TL05'!$J$10:$J$224),0),
IF('TL05'!$B$229=K$3,SUMIF('TL05'!$C$238:$C$451,$C17,'TL05'!$J$238:$J$451),0),
IF('TL06'!$B$3=K$3,SUMIF('TL06'!$C$10:$C$224,$C17,'TL06'!$J$10:$J$224),0),
IF('TL06'!$B$229=K$3,SUMIF('TL06'!$C$238:$C$451,$C17,'TL06'!$J$238:$J$451),0),
IF('TL07'!$B$3=K$3,SUMIF('TL07'!$C$10:$C$224,$C17,'TL07'!$J$10:$J$224),0),
IF('TL07'!$B$229=K$3,SUMIF('TL07'!$C$238:$C$451,$C17,'TL07'!$J$238:$J$451),0),
IF('TL08'!$B$3=K$3,SUMIF('TL08'!$C$10:$C$224,$C17,'TL08'!$J$10:$J$224),0),
IF('TL08'!$B$229=K$3,SUMIF('TL08'!$C$238:$C$451,$C17,'TL08'!$J$238:$J$451),0),
IF('TL09'!$B$3=K$3,SUMIF('TL09'!$C$10:$C$224,$C17,'TL09'!$J$10:$J$224),0),
IF('TL09'!$B$229=K$3,SUMIF('TL09'!$C$238:$C$451,$C17,'TL09'!$J$238:$J$451),0),
IF('TL10'!$B$3=K$3,SUMIF('TL10'!$C$10:$C$224,$C17,'TL10'!$J$10:$J$224),0),
IF('TL10'!$B$229=K$3,SUMIF('TL10'!$C$238:$C$451,$C17,'TL10'!$J$238:$J$451),0),
IF('TL11'!$B$3=K$3,SUMIF('TL11'!$C$10:$C$224,$C17,'TL11'!$J$10:$J$224),0),
IF('TL11'!$B$229=K$3,SUMIF('TL11'!$C$238:$C$451,$C17,'TL11'!$J$238:$J$451),0),
IF('TL12'!$B$3=K$3,SUMIF('TL12'!$C$10:$C$224,$C17,'TL12'!$J$10:$J$224),0),
IF('TL12'!$B$229=K$3,SUMIF('TL12'!$C$238:$C$451,$C17,'TL12'!$J$238:$J$451),0),
IF('TL13'!$B$3=K$3,SUMIF('TL13'!$C$10:$C$224,$C17,'TL13'!$J$10:$J$224),0),
IF('TL13'!$B$229=K$3,SUMIF('TL13'!$C$238:$C$451,$C17,'TL13'!$J$238:$J$451),0),
IF('TL14'!$B$3=K$3,SUMIF('TL14'!$C$10:$C$224,$C17,'TL14'!$J$10:$J$224),0),
IF('TL14'!$B$229=K$3,SUMIF('TL14'!$C$238:$C$451,$C17,'TL14'!$J$238:$J$451),0),
IF('TL15'!$B$3=K$3,SUMIF('TL15'!$C$10:$C$224,$C17,'TL15'!$J$10:$J$224),0),
IF('TL15'!$B$229=K$3,SUMIF('TL15'!$C$238:$C$451,$C17,'TL15'!$J$238:$J$451),0),
IF('TL16'!$B$3=K$3,SUMIF('TL16'!$C$10:$C$224,$C17,'TL16'!$J$10:$J$224),0),
IF('TL16'!$B$229=K$3,SUMIF('TL16'!$C$238:$C$451,$C17,'TL16'!$J$238:$J$451),0),
IF('TL17'!$B$3=K$3,SUMIF('TL17'!$C$10:$C$224,$C17,'TL17'!$J$10:$J$224),0),
IF('TL17'!$B$229=K$3,SUMIF('TL17'!$C$238:$C$451,$C17,'TL17'!$J$238:$J$451),0),
IF('TL18'!$B$3=K$3,SUMIF('TL18'!$C$10:$C$224,$C17,'TL18'!$J$10:$J$224),0),
IF('TL18'!$B$229=K$3,SUMIF('TL18'!$C$238:$C$451,$C17,'TL18'!$J$238:$J$451),0),
IF('TL19'!$B$3=K$3,SUMIF('TL19'!$C$10:$C$224,$C17,'TL19'!$J$10:$J$224),0),
IF('TL19'!$B$229=K$3,SUMIF('TL19'!$C$238:$C$451,$C17,'TL19'!$J$238:$J$451),0)
),0)</f>
        <v/>
      </c>
      <c r="L17" s="9">
        <f>IFERROR(SUM(
IF('TL01'!$B$3=L$3,SUMIF('TL01'!$C$10:$C$224,$C17,'TL01'!$J$10:$J$224),0),
IF('TL01'!$B$229=L$3,SUMIF('TL01'!$C$238:$C$451,$C17,'TL01'!$J$238:$J$451),0),
IF('TL02'!$B$3=L$3,SUMIF('TL02'!$C$10:$C$224,$C17,'TL02'!$J$10:$J$224),0),
IF('TL02'!$B$229=L$3,SUMIF('TL02'!$C$238:$C$451,$C17,'TL02'!$J$238:$J$451),0),
IF('TL03'!$B$3=L$3,SUMIF('TL03'!$C$10:$C$224,$C17,'TL03'!$J$10:$J$224),0),
IF('TL03'!$B$229=L$3,SUMIF('TL03'!$C$238:$C$451,$C17,'TL03'!$J$238:$J$451),0),
IF('TL04'!$B$3=L$3,SUMIF('TL04'!$C$10:$C$224,$C17,'TL04'!$J$10:$J$224),0),
IF('TL04'!$B$229=L$3,SUMIF('TL04'!$C$238:$C$451,$C17,'TL04'!$J$238:$J$451),0),
IF('TL05'!$B$3=L$3,SUMIF('TL05'!$C$10:$C$224,$C17,'TL05'!$J$10:$J$224),0),
IF('TL05'!$B$229=L$3,SUMIF('TL05'!$C$238:$C$451,$C17,'TL05'!$J$238:$J$451),0),
IF('TL06'!$B$3=L$3,SUMIF('TL06'!$C$10:$C$224,$C17,'TL06'!$J$10:$J$224),0),
IF('TL06'!$B$229=L$3,SUMIF('TL06'!$C$238:$C$451,$C17,'TL06'!$J$238:$J$451),0),
IF('TL07'!$B$3=L$3,SUMIF('TL07'!$C$10:$C$224,$C17,'TL07'!$J$10:$J$224),0),
IF('TL07'!$B$229=L$3,SUMIF('TL07'!$C$238:$C$451,$C17,'TL07'!$J$238:$J$451),0),
IF('TL08'!$B$3=L$3,SUMIF('TL08'!$C$10:$C$224,$C17,'TL08'!$J$10:$J$224),0),
IF('TL08'!$B$229=L$3,SUMIF('TL08'!$C$238:$C$451,$C17,'TL08'!$J$238:$J$451),0),
IF('TL09'!$B$3=L$3,SUMIF('TL09'!$C$10:$C$224,$C17,'TL09'!$J$10:$J$224),0),
IF('TL09'!$B$229=L$3,SUMIF('TL09'!$C$238:$C$451,$C17,'TL09'!$J$238:$J$451),0),
IF('TL10'!$B$3=L$3,SUMIF('TL10'!$C$10:$C$224,$C17,'TL10'!$J$10:$J$224),0),
IF('TL10'!$B$229=L$3,SUMIF('TL10'!$C$238:$C$451,$C17,'TL10'!$J$238:$J$451),0),
IF('TL11'!$B$3=L$3,SUMIF('TL11'!$C$10:$C$224,$C17,'TL11'!$J$10:$J$224),0),
IF('TL11'!$B$229=L$3,SUMIF('TL11'!$C$238:$C$451,$C17,'TL11'!$J$238:$J$451),0),
IF('TL12'!$B$3=L$3,SUMIF('TL12'!$C$10:$C$224,$C17,'TL12'!$J$10:$J$224),0),
IF('TL12'!$B$229=L$3,SUMIF('TL12'!$C$238:$C$451,$C17,'TL12'!$J$238:$J$451),0),
IF('TL13'!$B$3=L$3,SUMIF('TL13'!$C$10:$C$224,$C17,'TL13'!$J$10:$J$224),0),
IF('TL13'!$B$229=L$3,SUMIF('TL13'!$C$238:$C$451,$C17,'TL13'!$J$238:$J$451),0),
IF('TL14'!$B$3=L$3,SUMIF('TL14'!$C$10:$C$224,$C17,'TL14'!$J$10:$J$224),0),
IF('TL14'!$B$229=L$3,SUMIF('TL14'!$C$238:$C$451,$C17,'TL14'!$J$238:$J$451),0),
IF('TL15'!$B$3=L$3,SUMIF('TL15'!$C$10:$C$224,$C17,'TL15'!$J$10:$J$224),0),
IF('TL15'!$B$229=L$3,SUMIF('TL15'!$C$238:$C$451,$C17,'TL15'!$J$238:$J$451),0),
IF('TL16'!$B$3=L$3,SUMIF('TL16'!$C$10:$C$224,$C17,'TL16'!$J$10:$J$224),0),
IF('TL16'!$B$229=L$3,SUMIF('TL16'!$C$238:$C$451,$C17,'TL16'!$J$238:$J$451),0),
IF('TL17'!$B$3=L$3,SUMIF('TL17'!$C$10:$C$224,$C17,'TL17'!$J$10:$J$224),0),
IF('TL17'!$B$229=L$3,SUMIF('TL17'!$C$238:$C$451,$C17,'TL17'!$J$238:$J$451),0),
IF('TL18'!$B$3=L$3,SUMIF('TL18'!$C$10:$C$224,$C17,'TL18'!$J$10:$J$224),0),
IF('TL18'!$B$229=L$3,SUMIF('TL18'!$C$238:$C$451,$C17,'TL18'!$J$238:$J$451),0),
IF('TL19'!$B$3=L$3,SUMIF('TL19'!$C$10:$C$224,$C17,'TL19'!$J$10:$J$224),0),
IF('TL19'!$B$229=L$3,SUMIF('TL19'!$C$238:$C$451,$C17,'TL19'!$J$238:$J$451),0)
),0)</f>
        <v/>
      </c>
      <c r="M17" s="9">
        <f>IFERROR(SUM(
IF('TL01'!$B$3=M$3,SUMIF('TL01'!$C$10:$C$224,$C17,'TL01'!$J$10:$J$224),0),
IF('TL01'!$B$229=M$3,SUMIF('TL01'!$C$238:$C$451,$C17,'TL01'!$J$238:$J$451),0),
IF('TL02'!$B$3=M$3,SUMIF('TL02'!$C$10:$C$224,$C17,'TL02'!$J$10:$J$224),0),
IF('TL02'!$B$229=M$3,SUMIF('TL02'!$C$238:$C$451,$C17,'TL02'!$J$238:$J$451),0),
IF('TL03'!$B$3=M$3,SUMIF('TL03'!$C$10:$C$224,$C17,'TL03'!$J$10:$J$224),0),
IF('TL03'!$B$229=M$3,SUMIF('TL03'!$C$238:$C$451,$C17,'TL03'!$J$238:$J$451),0),
IF('TL04'!$B$3=M$3,SUMIF('TL04'!$C$10:$C$224,$C17,'TL04'!$J$10:$J$224),0),
IF('TL04'!$B$229=M$3,SUMIF('TL04'!$C$238:$C$451,$C17,'TL04'!$J$238:$J$451),0),
IF('TL05'!$B$3=M$3,SUMIF('TL05'!$C$10:$C$224,$C17,'TL05'!$J$10:$J$224),0),
IF('TL05'!$B$229=M$3,SUMIF('TL05'!$C$238:$C$451,$C17,'TL05'!$J$238:$J$451),0),
IF('TL06'!$B$3=M$3,SUMIF('TL06'!$C$10:$C$224,$C17,'TL06'!$J$10:$J$224),0),
IF('TL06'!$B$229=M$3,SUMIF('TL06'!$C$238:$C$451,$C17,'TL06'!$J$238:$J$451),0),
IF('TL07'!$B$3=M$3,SUMIF('TL07'!$C$10:$C$224,$C17,'TL07'!$J$10:$J$224),0),
IF('TL07'!$B$229=M$3,SUMIF('TL07'!$C$238:$C$451,$C17,'TL07'!$J$238:$J$451),0),
IF('TL08'!$B$3=M$3,SUMIF('TL08'!$C$10:$C$224,$C17,'TL08'!$J$10:$J$224),0),
IF('TL08'!$B$229=M$3,SUMIF('TL08'!$C$238:$C$451,$C17,'TL08'!$J$238:$J$451),0),
IF('TL09'!$B$3=M$3,SUMIF('TL09'!$C$10:$C$224,$C17,'TL09'!$J$10:$J$224),0),
IF('TL09'!$B$229=M$3,SUMIF('TL09'!$C$238:$C$451,$C17,'TL09'!$J$238:$J$451),0),
IF('TL10'!$B$3=M$3,SUMIF('TL10'!$C$10:$C$224,$C17,'TL10'!$J$10:$J$224),0),
IF('TL10'!$B$229=M$3,SUMIF('TL10'!$C$238:$C$451,$C17,'TL10'!$J$238:$J$451),0),
IF('TL11'!$B$3=M$3,SUMIF('TL11'!$C$10:$C$224,$C17,'TL11'!$J$10:$J$224),0),
IF('TL11'!$B$229=M$3,SUMIF('TL11'!$C$238:$C$451,$C17,'TL11'!$J$238:$J$451),0),
IF('TL12'!$B$3=M$3,SUMIF('TL12'!$C$10:$C$224,$C17,'TL12'!$J$10:$J$224),0),
IF('TL12'!$B$229=M$3,SUMIF('TL12'!$C$238:$C$451,$C17,'TL12'!$J$238:$J$451),0),
IF('TL13'!$B$3=M$3,SUMIF('TL13'!$C$10:$C$224,$C17,'TL13'!$J$10:$J$224),0),
IF('TL13'!$B$229=M$3,SUMIF('TL13'!$C$238:$C$451,$C17,'TL13'!$J$238:$J$451),0),
IF('TL14'!$B$3=M$3,SUMIF('TL14'!$C$10:$C$224,$C17,'TL14'!$J$10:$J$224),0),
IF('TL14'!$B$229=M$3,SUMIF('TL14'!$C$238:$C$451,$C17,'TL14'!$J$238:$J$451),0),
IF('TL15'!$B$3=M$3,SUMIF('TL15'!$C$10:$C$224,$C17,'TL15'!$J$10:$J$224),0),
IF('TL15'!$B$229=M$3,SUMIF('TL15'!$C$238:$C$451,$C17,'TL15'!$J$238:$J$451),0),
IF('TL16'!$B$3=M$3,SUMIF('TL16'!$C$10:$C$224,$C17,'TL16'!$J$10:$J$224),0),
IF('TL16'!$B$229=M$3,SUMIF('TL16'!$C$238:$C$451,$C17,'TL16'!$J$238:$J$451),0),
IF('TL17'!$B$3=M$3,SUMIF('TL17'!$C$10:$C$224,$C17,'TL17'!$J$10:$J$224),0),
IF('TL17'!$B$229=M$3,SUMIF('TL17'!$C$238:$C$451,$C17,'TL17'!$J$238:$J$451),0),
IF('TL18'!$B$3=M$3,SUMIF('TL18'!$C$10:$C$224,$C17,'TL18'!$J$10:$J$224),0),
IF('TL18'!$B$229=M$3,SUMIF('TL18'!$C$238:$C$451,$C17,'TL18'!$J$238:$J$451),0),
IF('TL19'!$B$3=M$3,SUMIF('TL19'!$C$10:$C$224,$C17,'TL19'!$J$10:$J$224),0),
IF('TL19'!$B$229=M$3,SUMIF('TL19'!$C$238:$C$451,$C17,'TL19'!$J$238:$J$451),0)
),0)</f>
        <v/>
      </c>
      <c r="N17" s="9">
        <f>IFERROR(SUM(
IF('TL01'!$B$3=N$3,SUMIF('TL01'!$C$10:$C$224,$C17,'TL01'!$J$10:$J$224),0),
IF('TL01'!$B$229=N$3,SUMIF('TL01'!$C$238:$C$451,$C17,'TL01'!$J$238:$J$451),0),
IF('TL02'!$B$3=N$3,SUMIF('TL02'!$C$10:$C$224,$C17,'TL02'!$J$10:$J$224),0),
IF('TL02'!$B$229=N$3,SUMIF('TL02'!$C$238:$C$451,$C17,'TL02'!$J$238:$J$451),0),
IF('TL03'!$B$3=N$3,SUMIF('TL03'!$C$10:$C$224,$C17,'TL03'!$J$10:$J$224),0),
IF('TL03'!$B$229=N$3,SUMIF('TL03'!$C$238:$C$451,$C17,'TL03'!$J$238:$J$451),0),
IF('TL04'!$B$3=N$3,SUMIF('TL04'!$C$10:$C$224,$C17,'TL04'!$J$10:$J$224),0),
IF('TL04'!$B$229=N$3,SUMIF('TL04'!$C$238:$C$451,$C17,'TL04'!$J$238:$J$451),0),
IF('TL05'!$B$3=N$3,SUMIF('TL05'!$C$10:$C$224,$C17,'TL05'!$J$10:$J$224),0),
IF('TL05'!$B$229=N$3,SUMIF('TL05'!$C$238:$C$451,$C17,'TL05'!$J$238:$J$451),0),
IF('TL06'!$B$3=N$3,SUMIF('TL06'!$C$10:$C$224,$C17,'TL06'!$J$10:$J$224),0),
IF('TL06'!$B$229=N$3,SUMIF('TL06'!$C$238:$C$451,$C17,'TL06'!$J$238:$J$451),0),
IF('TL07'!$B$3=N$3,SUMIF('TL07'!$C$10:$C$224,$C17,'TL07'!$J$10:$J$224),0),
IF('TL07'!$B$229=N$3,SUMIF('TL07'!$C$238:$C$451,$C17,'TL07'!$J$238:$J$451),0),
IF('TL08'!$B$3=N$3,SUMIF('TL08'!$C$10:$C$224,$C17,'TL08'!$J$10:$J$224),0),
IF('TL08'!$B$229=N$3,SUMIF('TL08'!$C$238:$C$451,$C17,'TL08'!$J$238:$J$451),0),
IF('TL09'!$B$3=N$3,SUMIF('TL09'!$C$10:$C$224,$C17,'TL09'!$J$10:$J$224),0),
IF('TL09'!$B$229=N$3,SUMIF('TL09'!$C$238:$C$451,$C17,'TL09'!$J$238:$J$451),0),
IF('TL10'!$B$3=N$3,SUMIF('TL10'!$C$10:$C$224,$C17,'TL10'!$J$10:$J$224),0),
IF('TL10'!$B$229=N$3,SUMIF('TL10'!$C$238:$C$451,$C17,'TL10'!$J$238:$J$451),0),
IF('TL11'!$B$3=N$3,SUMIF('TL11'!$C$10:$C$224,$C17,'TL11'!$J$10:$J$224),0),
IF('TL11'!$B$229=N$3,SUMIF('TL11'!$C$238:$C$451,$C17,'TL11'!$J$238:$J$451),0),
IF('TL12'!$B$3=N$3,SUMIF('TL12'!$C$10:$C$224,$C17,'TL12'!$J$10:$J$224),0),
IF('TL12'!$B$229=N$3,SUMIF('TL12'!$C$238:$C$451,$C17,'TL12'!$J$238:$J$451),0),
IF('TL13'!$B$3=N$3,SUMIF('TL13'!$C$10:$C$224,$C17,'TL13'!$J$10:$J$224),0),
IF('TL13'!$B$229=N$3,SUMIF('TL13'!$C$238:$C$451,$C17,'TL13'!$J$238:$J$451),0),
IF('TL14'!$B$3=N$3,SUMIF('TL14'!$C$10:$C$224,$C17,'TL14'!$J$10:$J$224),0),
IF('TL14'!$B$229=N$3,SUMIF('TL14'!$C$238:$C$451,$C17,'TL14'!$J$238:$J$451),0),
IF('TL15'!$B$3=N$3,SUMIF('TL15'!$C$10:$C$224,$C17,'TL15'!$J$10:$J$224),0),
IF('TL15'!$B$229=N$3,SUMIF('TL15'!$C$238:$C$451,$C17,'TL15'!$J$238:$J$451),0),
IF('TL16'!$B$3=N$3,SUMIF('TL16'!$C$10:$C$224,$C17,'TL16'!$J$10:$J$224),0),
IF('TL16'!$B$229=N$3,SUMIF('TL16'!$C$238:$C$451,$C17,'TL16'!$J$238:$J$451),0),
IF('TL17'!$B$3=N$3,SUMIF('TL17'!$C$10:$C$224,$C17,'TL17'!$J$10:$J$224),0),
IF('TL17'!$B$229=N$3,SUMIF('TL17'!$C$238:$C$451,$C17,'TL17'!$J$238:$J$451),0),
IF('TL18'!$B$3=N$3,SUMIF('TL18'!$C$10:$C$224,$C17,'TL18'!$J$10:$J$224),0),
IF('TL18'!$B$229=N$3,SUMIF('TL18'!$C$238:$C$451,$C17,'TL18'!$J$238:$J$451),0),
IF('TL19'!$B$3=N$3,SUMIF('TL19'!$C$10:$C$224,$C17,'TL19'!$J$10:$J$224),0),
IF('TL19'!$B$229=N$3,SUMIF('TL19'!$C$238:$C$451,$C17,'TL19'!$J$238:$J$451),0)
),0)</f>
        <v/>
      </c>
      <c r="O17" s="9">
        <f>IFERROR(SUM(
IF('TL01'!$B$3=O$3,SUMIF('TL01'!$C$10:$C$224,$C17,'TL01'!$J$10:$J$224),0),
IF('TL01'!$B$229=O$3,SUMIF('TL01'!$C$238:$C$451,$C17,'TL01'!$J$238:$J$451),0),
IF('TL02'!$B$3=O$3,SUMIF('TL02'!$C$10:$C$224,$C17,'TL02'!$J$10:$J$224),0),
IF('TL02'!$B$229=O$3,SUMIF('TL02'!$C$238:$C$451,$C17,'TL02'!$J$238:$J$451),0),
IF('TL03'!$B$3=O$3,SUMIF('TL03'!$C$10:$C$224,$C17,'TL03'!$J$10:$J$224),0),
IF('TL03'!$B$229=O$3,SUMIF('TL03'!$C$238:$C$451,$C17,'TL03'!$J$238:$J$451),0),
IF('TL04'!$B$3=O$3,SUMIF('TL04'!$C$10:$C$224,$C17,'TL04'!$J$10:$J$224),0),
IF('TL04'!$B$229=O$3,SUMIF('TL04'!$C$238:$C$451,$C17,'TL04'!$J$238:$J$451),0),
IF('TL05'!$B$3=O$3,SUMIF('TL05'!$C$10:$C$224,$C17,'TL05'!$J$10:$J$224),0),
IF('TL05'!$B$229=O$3,SUMIF('TL05'!$C$238:$C$451,$C17,'TL05'!$J$238:$J$451),0),
IF('TL06'!$B$3=O$3,SUMIF('TL06'!$C$10:$C$224,$C17,'TL06'!$J$10:$J$224),0),
IF('TL06'!$B$229=O$3,SUMIF('TL06'!$C$238:$C$451,$C17,'TL06'!$J$238:$J$451),0),
IF('TL07'!$B$3=O$3,SUMIF('TL07'!$C$10:$C$224,$C17,'TL07'!$J$10:$J$224),0),
IF('TL07'!$B$229=O$3,SUMIF('TL07'!$C$238:$C$451,$C17,'TL07'!$J$238:$J$451),0),
IF('TL08'!$B$3=O$3,SUMIF('TL08'!$C$10:$C$224,$C17,'TL08'!$J$10:$J$224),0),
IF('TL08'!$B$229=O$3,SUMIF('TL08'!$C$238:$C$451,$C17,'TL08'!$J$238:$J$451),0),
IF('TL09'!$B$3=O$3,SUMIF('TL09'!$C$10:$C$224,$C17,'TL09'!$J$10:$J$224),0),
IF('TL09'!$B$229=O$3,SUMIF('TL09'!$C$238:$C$451,$C17,'TL09'!$J$238:$J$451),0),
IF('TL10'!$B$3=O$3,SUMIF('TL10'!$C$10:$C$224,$C17,'TL10'!$J$10:$J$224),0),
IF('TL10'!$B$229=O$3,SUMIF('TL10'!$C$238:$C$451,$C17,'TL10'!$J$238:$J$451),0),
IF('TL11'!$B$3=O$3,SUMIF('TL11'!$C$10:$C$224,$C17,'TL11'!$J$10:$J$224),0),
IF('TL11'!$B$229=O$3,SUMIF('TL11'!$C$238:$C$451,$C17,'TL11'!$J$238:$J$451),0),
IF('TL12'!$B$3=O$3,SUMIF('TL12'!$C$10:$C$224,$C17,'TL12'!$J$10:$J$224),0),
IF('TL12'!$B$229=O$3,SUMIF('TL12'!$C$238:$C$451,$C17,'TL12'!$J$238:$J$451),0),
IF('TL13'!$B$3=O$3,SUMIF('TL13'!$C$10:$C$224,$C17,'TL13'!$J$10:$J$224),0),
IF('TL13'!$B$229=O$3,SUMIF('TL13'!$C$238:$C$451,$C17,'TL13'!$J$238:$J$451),0),
IF('TL14'!$B$3=O$3,SUMIF('TL14'!$C$10:$C$224,$C17,'TL14'!$J$10:$J$224),0),
IF('TL14'!$B$229=O$3,SUMIF('TL14'!$C$238:$C$451,$C17,'TL14'!$J$238:$J$451),0),
IF('TL15'!$B$3=O$3,SUMIF('TL15'!$C$10:$C$224,$C17,'TL15'!$J$10:$J$224),0),
IF('TL15'!$B$229=O$3,SUMIF('TL15'!$C$238:$C$451,$C17,'TL15'!$J$238:$J$451),0),
IF('TL16'!$B$3=O$3,SUMIF('TL16'!$C$10:$C$224,$C17,'TL16'!$J$10:$J$224),0),
IF('TL16'!$B$229=O$3,SUMIF('TL16'!$C$238:$C$451,$C17,'TL16'!$J$238:$J$451),0),
IF('TL17'!$B$3=O$3,SUMIF('TL17'!$C$10:$C$224,$C17,'TL17'!$J$10:$J$224),0),
IF('TL17'!$B$229=O$3,SUMIF('TL17'!$C$238:$C$451,$C17,'TL17'!$J$238:$J$451),0),
IF('TL18'!$B$3=O$3,SUMIF('TL18'!$C$10:$C$224,$C17,'TL18'!$J$10:$J$224),0),
IF('TL18'!$B$229=O$3,SUMIF('TL18'!$C$238:$C$451,$C17,'TL18'!$J$238:$J$451),0),
IF('TL19'!$B$3=O$3,SUMIF('TL19'!$C$10:$C$224,$C17,'TL19'!$J$10:$J$224),0),
IF('TL19'!$B$229=O$3,SUMIF('TL19'!$C$238:$C$451,$C17,'TL19'!$J$238:$J$451),0)
),0)</f>
        <v/>
      </c>
      <c r="P17" s="9">
        <f>IFERROR(SUM(
IF('TL01'!$B$3=P$3,SUMIF('TL01'!$C$10:$C$224,$C17,'TL01'!$J$10:$J$224),0),
IF('TL01'!$B$229=P$3,SUMIF('TL01'!$C$238:$C$451,$C17,'TL01'!$J$238:$J$451),0),
IF('TL02'!$B$3=P$3,SUMIF('TL02'!$C$10:$C$224,$C17,'TL02'!$J$10:$J$224),0),
IF('TL02'!$B$229=P$3,SUMIF('TL02'!$C$238:$C$451,$C17,'TL02'!$J$238:$J$451),0),
IF('TL03'!$B$3=P$3,SUMIF('TL03'!$C$10:$C$224,$C17,'TL03'!$J$10:$J$224),0),
IF('TL03'!$B$229=P$3,SUMIF('TL03'!$C$238:$C$451,$C17,'TL03'!$J$238:$J$451),0),
IF('TL04'!$B$3=P$3,SUMIF('TL04'!$C$10:$C$224,$C17,'TL04'!$J$10:$J$224),0),
IF('TL04'!$B$229=P$3,SUMIF('TL04'!$C$238:$C$451,$C17,'TL04'!$J$238:$J$451),0),
IF('TL05'!$B$3=P$3,SUMIF('TL05'!$C$10:$C$224,$C17,'TL05'!$J$10:$J$224),0),
IF('TL05'!$B$229=P$3,SUMIF('TL05'!$C$238:$C$451,$C17,'TL05'!$J$238:$J$451),0),
IF('TL06'!$B$3=P$3,SUMIF('TL06'!$C$10:$C$224,$C17,'TL06'!$J$10:$J$224),0),
IF('TL06'!$B$229=P$3,SUMIF('TL06'!$C$238:$C$451,$C17,'TL06'!$J$238:$J$451),0),
IF('TL07'!$B$3=P$3,SUMIF('TL07'!$C$10:$C$224,$C17,'TL07'!$J$10:$J$224),0),
IF('TL07'!$B$229=P$3,SUMIF('TL07'!$C$238:$C$451,$C17,'TL07'!$J$238:$J$451),0),
IF('TL08'!$B$3=P$3,SUMIF('TL08'!$C$10:$C$224,$C17,'TL08'!$J$10:$J$224),0),
IF('TL08'!$B$229=P$3,SUMIF('TL08'!$C$238:$C$451,$C17,'TL08'!$J$238:$J$451),0),
IF('TL09'!$B$3=P$3,SUMIF('TL09'!$C$10:$C$224,$C17,'TL09'!$J$10:$J$224),0),
IF('TL09'!$B$229=P$3,SUMIF('TL09'!$C$238:$C$451,$C17,'TL09'!$J$238:$J$451),0),
IF('TL10'!$B$3=P$3,SUMIF('TL10'!$C$10:$C$224,$C17,'TL10'!$J$10:$J$224),0),
IF('TL10'!$B$229=P$3,SUMIF('TL10'!$C$238:$C$451,$C17,'TL10'!$J$238:$J$451),0),
IF('TL11'!$B$3=P$3,SUMIF('TL11'!$C$10:$C$224,$C17,'TL11'!$J$10:$J$224),0),
IF('TL11'!$B$229=P$3,SUMIF('TL11'!$C$238:$C$451,$C17,'TL11'!$J$238:$J$451),0),
IF('TL12'!$B$3=P$3,SUMIF('TL12'!$C$10:$C$224,$C17,'TL12'!$J$10:$J$224),0),
IF('TL12'!$B$229=P$3,SUMIF('TL12'!$C$238:$C$451,$C17,'TL12'!$J$238:$J$451),0),
IF('TL13'!$B$3=P$3,SUMIF('TL13'!$C$10:$C$224,$C17,'TL13'!$J$10:$J$224),0),
IF('TL13'!$B$229=P$3,SUMIF('TL13'!$C$238:$C$451,$C17,'TL13'!$J$238:$J$451),0),
IF('TL14'!$B$3=P$3,SUMIF('TL14'!$C$10:$C$224,$C17,'TL14'!$J$10:$J$224),0),
IF('TL14'!$B$229=P$3,SUMIF('TL14'!$C$238:$C$451,$C17,'TL14'!$J$238:$J$451),0),
IF('TL15'!$B$3=P$3,SUMIF('TL15'!$C$10:$C$224,$C17,'TL15'!$J$10:$J$224),0),
IF('TL15'!$B$229=P$3,SUMIF('TL15'!$C$238:$C$451,$C17,'TL15'!$J$238:$J$451),0),
IF('TL16'!$B$3=P$3,SUMIF('TL16'!$C$10:$C$224,$C17,'TL16'!$J$10:$J$224),0),
IF('TL16'!$B$229=P$3,SUMIF('TL16'!$C$238:$C$451,$C17,'TL16'!$J$238:$J$451),0),
IF('TL17'!$B$3=P$3,SUMIF('TL17'!$C$10:$C$224,$C17,'TL17'!$J$10:$J$224),0),
IF('TL17'!$B$229=P$3,SUMIF('TL17'!$C$238:$C$451,$C17,'TL17'!$J$238:$J$451),0),
IF('TL18'!$B$3=P$3,SUMIF('TL18'!$C$10:$C$224,$C17,'TL18'!$J$10:$J$224),0),
IF('TL18'!$B$229=P$3,SUMIF('TL18'!$C$238:$C$451,$C17,'TL18'!$J$238:$J$451),0),
IF('TL19'!$B$3=P$3,SUMIF('TL19'!$C$10:$C$224,$C17,'TL19'!$J$10:$J$224),0),
IF('TL19'!$B$229=P$3,SUMIF('TL19'!$C$238:$C$451,$C17,'TL19'!$J$238:$J$451),0)
),0)</f>
        <v/>
      </c>
      <c r="Q17" s="9">
        <f>IFERROR(SUM(
IF('TL01'!$B$3=Q$3,SUMIF('TL01'!$C$10:$C$224,$C17,'TL01'!$J$10:$J$224),0),
IF('TL01'!$B$229=Q$3,SUMIF('TL01'!$C$238:$C$451,$C17,'TL01'!$J$238:$J$451),0),
IF('TL02'!$B$3=Q$3,SUMIF('TL02'!$C$10:$C$224,$C17,'TL02'!$J$10:$J$224),0),
IF('TL02'!$B$229=Q$3,SUMIF('TL02'!$C$238:$C$451,$C17,'TL02'!$J$238:$J$451),0),
IF('TL03'!$B$3=Q$3,SUMIF('TL03'!$C$10:$C$224,$C17,'TL03'!$J$10:$J$224),0),
IF('TL03'!$B$229=Q$3,SUMIF('TL03'!$C$238:$C$451,$C17,'TL03'!$J$238:$J$451),0),
IF('TL04'!$B$3=Q$3,SUMIF('TL04'!$C$10:$C$224,$C17,'TL04'!$J$10:$J$224),0),
IF('TL04'!$B$229=Q$3,SUMIF('TL04'!$C$238:$C$451,$C17,'TL04'!$J$238:$J$451),0),
IF('TL05'!$B$3=Q$3,SUMIF('TL05'!$C$10:$C$224,$C17,'TL05'!$J$10:$J$224),0),
IF('TL05'!$B$229=Q$3,SUMIF('TL05'!$C$238:$C$451,$C17,'TL05'!$J$238:$J$451),0),
IF('TL06'!$B$3=Q$3,SUMIF('TL06'!$C$10:$C$224,$C17,'TL06'!$J$10:$J$224),0),
IF('TL06'!$B$229=Q$3,SUMIF('TL06'!$C$238:$C$451,$C17,'TL06'!$J$238:$J$451),0),
IF('TL07'!$B$3=Q$3,SUMIF('TL07'!$C$10:$C$224,$C17,'TL07'!$J$10:$J$224),0),
IF('TL07'!$B$229=Q$3,SUMIF('TL07'!$C$238:$C$451,$C17,'TL07'!$J$238:$J$451),0),
IF('TL08'!$B$3=Q$3,SUMIF('TL08'!$C$10:$C$224,$C17,'TL08'!$J$10:$J$224),0),
IF('TL08'!$B$229=Q$3,SUMIF('TL08'!$C$238:$C$451,$C17,'TL08'!$J$238:$J$451),0),
IF('TL09'!$B$3=Q$3,SUMIF('TL09'!$C$10:$C$224,$C17,'TL09'!$J$10:$J$224),0),
IF('TL09'!$B$229=Q$3,SUMIF('TL09'!$C$238:$C$451,$C17,'TL09'!$J$238:$J$451),0),
IF('TL10'!$B$3=Q$3,SUMIF('TL10'!$C$10:$C$224,$C17,'TL10'!$J$10:$J$224),0),
IF('TL10'!$B$229=Q$3,SUMIF('TL10'!$C$238:$C$451,$C17,'TL10'!$J$238:$J$451),0),
IF('TL11'!$B$3=Q$3,SUMIF('TL11'!$C$10:$C$224,$C17,'TL11'!$J$10:$J$224),0),
IF('TL11'!$B$229=Q$3,SUMIF('TL11'!$C$238:$C$451,$C17,'TL11'!$J$238:$J$451),0),
IF('TL12'!$B$3=Q$3,SUMIF('TL12'!$C$10:$C$224,$C17,'TL12'!$J$10:$J$224),0),
IF('TL12'!$B$229=Q$3,SUMIF('TL12'!$C$238:$C$451,$C17,'TL12'!$J$238:$J$451),0),
IF('TL13'!$B$3=Q$3,SUMIF('TL13'!$C$10:$C$224,$C17,'TL13'!$J$10:$J$224),0),
IF('TL13'!$B$229=Q$3,SUMIF('TL13'!$C$238:$C$451,$C17,'TL13'!$J$238:$J$451),0),
IF('TL14'!$B$3=Q$3,SUMIF('TL14'!$C$10:$C$224,$C17,'TL14'!$J$10:$J$224),0),
IF('TL14'!$B$229=Q$3,SUMIF('TL14'!$C$238:$C$451,$C17,'TL14'!$J$238:$J$451),0),
IF('TL15'!$B$3=Q$3,SUMIF('TL15'!$C$10:$C$224,$C17,'TL15'!$J$10:$J$224),0),
IF('TL15'!$B$229=Q$3,SUMIF('TL15'!$C$238:$C$451,$C17,'TL15'!$J$238:$J$451),0),
IF('TL16'!$B$3=Q$3,SUMIF('TL16'!$C$10:$C$224,$C17,'TL16'!$J$10:$J$224),0),
IF('TL16'!$B$229=Q$3,SUMIF('TL16'!$C$238:$C$451,$C17,'TL16'!$J$238:$J$451),0),
IF('TL17'!$B$3=Q$3,SUMIF('TL17'!$C$10:$C$224,$C17,'TL17'!$J$10:$J$224),0),
IF('TL17'!$B$229=Q$3,SUMIF('TL17'!$C$238:$C$451,$C17,'TL17'!$J$238:$J$451),0),
IF('TL18'!$B$3=Q$3,SUMIF('TL18'!$C$10:$C$224,$C17,'TL18'!$J$10:$J$224),0),
IF('TL18'!$B$229=Q$3,SUMIF('TL18'!$C$238:$C$451,$C17,'TL18'!$J$238:$J$451),0),
IF('TL19'!$B$3=Q$3,SUMIF('TL19'!$C$10:$C$224,$C17,'TL19'!$J$10:$J$224),0),
IF('TL19'!$B$229=Q$3,SUMIF('TL19'!$C$238:$C$451,$C17,'TL19'!$J$238:$J$451),0)
),0)</f>
        <v/>
      </c>
      <c r="R17" s="9">
        <f>IFERROR(
SUM(
SUMIF('TL01'!C:C,C17,'TL01'!J:J),
SUMIF('TL02'!C:C,C17,'TL02'!J:J),
SUMIF('TL03'!C:C,C17,'TL03'!J:J),
SUMIF('TL04'!C:C,C17,'TL04'!J:J),
SUMIF('TL05'!C:C,C17,'TL05'!J:J),
SUMIF('TL06'!C:C,C17,'TL06'!J:J),
SUMIF('TL07'!C:C,C17,'TL07'!J:J),
SUMIF('TL08'!C:C,C17,'TL08'!J:J),
SUMIF('TL09'!C:C,C17,'TL09'!J:J),
SUMIF('TL10'!C:C,C17,'TL10'!J:J),
SUMIF('TL11'!C:C,C17,'TL11'!J:J),
SUMIF('TL12'!C:C,C17,'TL12'!J:J),
SUMIF('TL13'!C:C,C17,'TL13'!J:J),
SUMIF('TL14'!C:C,C17,'TL14'!J:J),
SUMIF('TL15'!C:C,C17,'TL15'!J:J),
SUMIF('TL16'!C:C,C17,'TL16'!J:J),
SUMIF('TL17'!C:C,C17,'TL17'!J:J),
SUMIF('TL18'!C:C,C17,'TL18'!J:J),SUMIF('TL19'!C:C,C17,'TL19'!J:J))
,0)</f>
        <v/>
      </c>
      <c r="S17" s="17">
        <f>IFERROR(__xludf.DUMMYFUNCTION("IFERROR(VLOOKUP(C17,
IMPORTRANGE(""1wULbzX32WdYsx-lj2U3uUNBBe2INVIRDtcK0d-Dvl90"",
""26-27!C:G""),
5,
FALSE),
"""")"),72.21456)</f>
        <v/>
      </c>
      <c r="T17" s="9" t="n"/>
      <c r="U17" s="92">
        <f>MAX(0,R17-T17)</f>
        <v/>
      </c>
      <c r="V17" s="93">
        <f>U17*S17</f>
        <v/>
      </c>
    </row>
    <row r="18" hidden="1" ht="22.5" customHeight="1" s="297">
      <c r="A18" s="87" t="inlineStr">
        <is>
          <t>SYNGENTA</t>
        </is>
      </c>
      <c r="B18" s="100" t="inlineStr">
        <is>
          <t>TS</t>
        </is>
      </c>
      <c r="C18" s="89" t="inlineStr">
        <is>
          <t>REVERB</t>
        </is>
      </c>
      <c r="D18" s="89" t="inlineStr">
        <is>
          <t>BACILLUS VELEZENSIS, ISOLADO CNPSO 3602 + BACILLUS
 SUBTILIS + BACILLUS PUMILUS</t>
        </is>
      </c>
      <c r="E18" s="89" t="inlineStr">
        <is>
          <t>33,3 + 33,3 + 33,3</t>
        </is>
      </c>
      <c r="F18" s="4" t="inlineStr">
        <is>
          <t>L</t>
        </is>
      </c>
      <c r="G18" s="90">
        <f>HYPERLINK("https://www.google.com/search?q=" &amp; C18 &amp; "+bula+agrofit+pdf", "📄 Ver bula")</f>
        <v/>
      </c>
      <c r="H18" s="9">
        <f>IFERROR(__xludf.DUMMYFUNCTION("IFERROR(VLOOKUP(C18,
IMPORTRANGE(""1wULbzX32WdYsx-lj2U3uUNBBe2INVIRDtcK0d-Dvl90"",
""26-27!C:K""),
8,
FALSE),
"""")"),1.0)</f>
        <v/>
      </c>
      <c r="I18" s="91" t="inlineStr">
        <is>
          <t>4x5</t>
        </is>
      </c>
      <c r="J18" s="9">
        <f>IFERROR(SUM(
IF('TL01'!$B$3=J$3,SUMIF('TL01'!$C$10:$C$224,$C18,'TL01'!$J$10:$J$224),0),
IF('TL01'!$B$229=J$3,SUMIF('TL01'!$C$238:$C$451,$C18,'TL01'!$J$238:$J$451),0),
IF('TL02'!$B$3=J$3,SUMIF('TL02'!$C$10:$C$224,$C18,'TL02'!$J$10:$J$224),0),
IF('TL02'!$B$229=J$3,SUMIF('TL02'!$C$238:$C$451,$C18,'TL02'!$J$238:$J$451),0),
IF('TL03'!$B$3=J$3,SUMIF('TL03'!$C$10:$C$224,$C18,'TL03'!$J$10:$J$224),0),
IF('TL03'!$B$229=J$3,SUMIF('TL03'!$C$238:$C$451,$C18,'TL03'!$J$238:$J$451),0),
IF('TL04'!$B$3=J$3,SUMIF('TL04'!$C$10:$C$224,$C18,'TL04'!$J$10:$J$224),0),
IF('TL04'!$B$229=J$3,SUMIF('TL04'!$C$238:$C$451,$C18,'TL04'!$J$238:$J$451),0),
IF('TL05'!$B$3=J$3,SUMIF('TL05'!$C$10:$C$224,$C18,'TL05'!$J$10:$J$224),0),
IF('TL05'!$B$229=J$3,SUMIF('TL05'!$C$238:$C$451,$C18,'TL05'!$J$238:$J$451),0),
IF('TL06'!$B$3=J$3,SUMIF('TL06'!$C$10:$C$224,$C18,'TL06'!$J$10:$J$224),0),
IF('TL06'!$B$229=J$3,SUMIF('TL06'!$C$238:$C$451,$C18,'TL06'!$J$238:$J$451),0),
IF('TL07'!$B$3=J$3,SUMIF('TL07'!$C$10:$C$224,$C18,'TL07'!$J$10:$J$224),0),
IF('TL07'!$B$229=J$3,SUMIF('TL07'!$C$238:$C$451,$C18,'TL07'!$J$238:$J$451),0),
IF('TL08'!$B$3=J$3,SUMIF('TL08'!$C$10:$C$224,$C18,'TL08'!$J$10:$J$224),0),
IF('TL08'!$B$229=J$3,SUMIF('TL08'!$C$238:$C$451,$C18,'TL08'!$J$238:$J$451),0),
IF('TL09'!$B$3=J$3,SUMIF('TL09'!$C$10:$C$224,$C18,'TL09'!$J$10:$J$224),0),
IF('TL09'!$B$229=J$3,SUMIF('TL09'!$C$238:$C$451,$C18,'TL09'!$J$238:$J$451),0),
IF('TL10'!$B$3=J$3,SUMIF('TL10'!$C$10:$C$224,$C18,'TL10'!$J$10:$J$224),0),
IF('TL10'!$B$229=J$3,SUMIF('TL10'!$C$238:$C$451,$C18,'TL10'!$J$238:$J$451),0),
IF('TL11'!$B$3=J$3,SUMIF('TL11'!$C$10:$C$224,$C18,'TL11'!$J$10:$J$224),0),
IF('TL11'!$B$229=J$3,SUMIF('TL11'!$C$238:$C$451,$C18,'TL11'!$J$238:$J$451),0),
IF('TL12'!$B$3=J$3,SUMIF('TL12'!$C$10:$C$224,$C18,'TL12'!$J$10:$J$224),0),
IF('TL12'!$B$229=J$3,SUMIF('TL12'!$C$238:$C$451,$C18,'TL12'!$J$238:$J$451),0),
IF('TL13'!$B$3=J$3,SUMIF('TL13'!$C$10:$C$224,$C18,'TL13'!$J$10:$J$224),0),
IF('TL13'!$B$229=J$3,SUMIF('TL13'!$C$238:$C$451,$C18,'TL13'!$J$238:$J$451),0),
IF('TL14'!$B$3=J$3,SUMIF('TL14'!$C$10:$C$224,$C18,'TL14'!$J$10:$J$224),0),
IF('TL14'!$B$229=J$3,SUMIF('TL14'!$C$238:$C$451,$C18,'TL14'!$J$238:$J$451),0),
IF('TL15'!$B$3=J$3,SUMIF('TL15'!$C$10:$C$224,$C18,'TL15'!$J$10:$J$224),0),
IF('TL15'!$B$229=J$3,SUMIF('TL15'!$C$238:$C$451,$C18,'TL15'!$J$238:$J$451),0),
IF('TL16'!$B$3=J$3,SUMIF('TL16'!$C$10:$C$224,$C18,'TL16'!$J$10:$J$224),0),
IF('TL16'!$B$229=J$3,SUMIF('TL16'!$C$238:$C$451,$C18,'TL16'!$J$238:$J$451),0),
IF('TL17'!$B$3=J$3,SUMIF('TL17'!$C$10:$C$224,$C18,'TL17'!$J$10:$J$224),0),
IF('TL17'!$B$229=J$3,SUMIF('TL17'!$C$238:$C$451,$C18,'TL17'!$J$238:$J$451),0),
IF('TL18'!$B$3=J$3,SUMIF('TL18'!$C$10:$C$224,$C18,'TL18'!$J$10:$J$224),0),
IF('TL18'!$B$229=J$3,SUMIF('TL18'!$C$238:$C$451,$C18,'TL18'!$J$238:$J$451),0),
IF('TL19'!$B$3=J$3,SUMIF('TL19'!$C$10:$C$224,$C18,'TL19'!$J$10:$J$224),0),
IF('TL19'!$B$229=J$3,SUMIF('TL19'!$C$238:$C$451,$C18,'TL19'!$J$238:$J$451),0)
),0)</f>
        <v/>
      </c>
      <c r="K18" s="9">
        <f>IFERROR(SUM(
IF('TL01'!$B$3=K$3,SUMIF('TL01'!$C$10:$C$224,$C18,'TL01'!$J$10:$J$224),0),
IF('TL01'!$B$229=K$3,SUMIF('TL01'!$C$238:$C$451,$C18,'TL01'!$J$238:$J$451),0),
IF('TL02'!$B$3=K$3,SUMIF('TL02'!$C$10:$C$224,$C18,'TL02'!$J$10:$J$224),0),
IF('TL02'!$B$229=K$3,SUMIF('TL02'!$C$238:$C$451,$C18,'TL02'!$J$238:$J$451),0),
IF('TL03'!$B$3=K$3,SUMIF('TL03'!$C$10:$C$224,$C18,'TL03'!$J$10:$J$224),0),
IF('TL03'!$B$229=K$3,SUMIF('TL03'!$C$238:$C$451,$C18,'TL03'!$J$238:$J$451),0),
IF('TL04'!$B$3=K$3,SUMIF('TL04'!$C$10:$C$224,$C18,'TL04'!$J$10:$J$224),0),
IF('TL04'!$B$229=K$3,SUMIF('TL04'!$C$238:$C$451,$C18,'TL04'!$J$238:$J$451),0),
IF('TL05'!$B$3=K$3,SUMIF('TL05'!$C$10:$C$224,$C18,'TL05'!$J$10:$J$224),0),
IF('TL05'!$B$229=K$3,SUMIF('TL05'!$C$238:$C$451,$C18,'TL05'!$J$238:$J$451),0),
IF('TL06'!$B$3=K$3,SUMIF('TL06'!$C$10:$C$224,$C18,'TL06'!$J$10:$J$224),0),
IF('TL06'!$B$229=K$3,SUMIF('TL06'!$C$238:$C$451,$C18,'TL06'!$J$238:$J$451),0),
IF('TL07'!$B$3=K$3,SUMIF('TL07'!$C$10:$C$224,$C18,'TL07'!$J$10:$J$224),0),
IF('TL07'!$B$229=K$3,SUMIF('TL07'!$C$238:$C$451,$C18,'TL07'!$J$238:$J$451),0),
IF('TL08'!$B$3=K$3,SUMIF('TL08'!$C$10:$C$224,$C18,'TL08'!$J$10:$J$224),0),
IF('TL08'!$B$229=K$3,SUMIF('TL08'!$C$238:$C$451,$C18,'TL08'!$J$238:$J$451),0),
IF('TL09'!$B$3=K$3,SUMIF('TL09'!$C$10:$C$224,$C18,'TL09'!$J$10:$J$224),0),
IF('TL09'!$B$229=K$3,SUMIF('TL09'!$C$238:$C$451,$C18,'TL09'!$J$238:$J$451),0),
IF('TL10'!$B$3=K$3,SUMIF('TL10'!$C$10:$C$224,$C18,'TL10'!$J$10:$J$224),0),
IF('TL10'!$B$229=K$3,SUMIF('TL10'!$C$238:$C$451,$C18,'TL10'!$J$238:$J$451),0),
IF('TL11'!$B$3=K$3,SUMIF('TL11'!$C$10:$C$224,$C18,'TL11'!$J$10:$J$224),0),
IF('TL11'!$B$229=K$3,SUMIF('TL11'!$C$238:$C$451,$C18,'TL11'!$J$238:$J$451),0),
IF('TL12'!$B$3=K$3,SUMIF('TL12'!$C$10:$C$224,$C18,'TL12'!$J$10:$J$224),0),
IF('TL12'!$B$229=K$3,SUMIF('TL12'!$C$238:$C$451,$C18,'TL12'!$J$238:$J$451),0),
IF('TL13'!$B$3=K$3,SUMIF('TL13'!$C$10:$C$224,$C18,'TL13'!$J$10:$J$224),0),
IF('TL13'!$B$229=K$3,SUMIF('TL13'!$C$238:$C$451,$C18,'TL13'!$J$238:$J$451),0),
IF('TL14'!$B$3=K$3,SUMIF('TL14'!$C$10:$C$224,$C18,'TL14'!$J$10:$J$224),0),
IF('TL14'!$B$229=K$3,SUMIF('TL14'!$C$238:$C$451,$C18,'TL14'!$J$238:$J$451),0),
IF('TL15'!$B$3=K$3,SUMIF('TL15'!$C$10:$C$224,$C18,'TL15'!$J$10:$J$224),0),
IF('TL15'!$B$229=K$3,SUMIF('TL15'!$C$238:$C$451,$C18,'TL15'!$J$238:$J$451),0),
IF('TL16'!$B$3=K$3,SUMIF('TL16'!$C$10:$C$224,$C18,'TL16'!$J$10:$J$224),0),
IF('TL16'!$B$229=K$3,SUMIF('TL16'!$C$238:$C$451,$C18,'TL16'!$J$238:$J$451),0),
IF('TL17'!$B$3=K$3,SUMIF('TL17'!$C$10:$C$224,$C18,'TL17'!$J$10:$J$224),0),
IF('TL17'!$B$229=K$3,SUMIF('TL17'!$C$238:$C$451,$C18,'TL17'!$J$238:$J$451),0),
IF('TL18'!$B$3=K$3,SUMIF('TL18'!$C$10:$C$224,$C18,'TL18'!$J$10:$J$224),0),
IF('TL18'!$B$229=K$3,SUMIF('TL18'!$C$238:$C$451,$C18,'TL18'!$J$238:$J$451),0),
IF('TL19'!$B$3=K$3,SUMIF('TL19'!$C$10:$C$224,$C18,'TL19'!$J$10:$J$224),0),
IF('TL19'!$B$229=K$3,SUMIF('TL19'!$C$238:$C$451,$C18,'TL19'!$J$238:$J$451),0)
),0)</f>
        <v/>
      </c>
      <c r="L18" s="9">
        <f>IFERROR(SUM(
IF('TL01'!$B$3=L$3,SUMIF('TL01'!$C$10:$C$224,$C18,'TL01'!$J$10:$J$224),0),
IF('TL01'!$B$229=L$3,SUMIF('TL01'!$C$238:$C$451,$C18,'TL01'!$J$238:$J$451),0),
IF('TL02'!$B$3=L$3,SUMIF('TL02'!$C$10:$C$224,$C18,'TL02'!$J$10:$J$224),0),
IF('TL02'!$B$229=L$3,SUMIF('TL02'!$C$238:$C$451,$C18,'TL02'!$J$238:$J$451),0),
IF('TL03'!$B$3=L$3,SUMIF('TL03'!$C$10:$C$224,$C18,'TL03'!$J$10:$J$224),0),
IF('TL03'!$B$229=L$3,SUMIF('TL03'!$C$238:$C$451,$C18,'TL03'!$J$238:$J$451),0),
IF('TL04'!$B$3=L$3,SUMIF('TL04'!$C$10:$C$224,$C18,'TL04'!$J$10:$J$224),0),
IF('TL04'!$B$229=L$3,SUMIF('TL04'!$C$238:$C$451,$C18,'TL04'!$J$238:$J$451),0),
IF('TL05'!$B$3=L$3,SUMIF('TL05'!$C$10:$C$224,$C18,'TL05'!$J$10:$J$224),0),
IF('TL05'!$B$229=L$3,SUMIF('TL05'!$C$238:$C$451,$C18,'TL05'!$J$238:$J$451),0),
IF('TL06'!$B$3=L$3,SUMIF('TL06'!$C$10:$C$224,$C18,'TL06'!$J$10:$J$224),0),
IF('TL06'!$B$229=L$3,SUMIF('TL06'!$C$238:$C$451,$C18,'TL06'!$J$238:$J$451),0),
IF('TL07'!$B$3=L$3,SUMIF('TL07'!$C$10:$C$224,$C18,'TL07'!$J$10:$J$224),0),
IF('TL07'!$B$229=L$3,SUMIF('TL07'!$C$238:$C$451,$C18,'TL07'!$J$238:$J$451),0),
IF('TL08'!$B$3=L$3,SUMIF('TL08'!$C$10:$C$224,$C18,'TL08'!$J$10:$J$224),0),
IF('TL08'!$B$229=L$3,SUMIF('TL08'!$C$238:$C$451,$C18,'TL08'!$J$238:$J$451),0),
IF('TL09'!$B$3=L$3,SUMIF('TL09'!$C$10:$C$224,$C18,'TL09'!$J$10:$J$224),0),
IF('TL09'!$B$229=L$3,SUMIF('TL09'!$C$238:$C$451,$C18,'TL09'!$J$238:$J$451),0),
IF('TL10'!$B$3=L$3,SUMIF('TL10'!$C$10:$C$224,$C18,'TL10'!$J$10:$J$224),0),
IF('TL10'!$B$229=L$3,SUMIF('TL10'!$C$238:$C$451,$C18,'TL10'!$J$238:$J$451),0),
IF('TL11'!$B$3=L$3,SUMIF('TL11'!$C$10:$C$224,$C18,'TL11'!$J$10:$J$224),0),
IF('TL11'!$B$229=L$3,SUMIF('TL11'!$C$238:$C$451,$C18,'TL11'!$J$238:$J$451),0),
IF('TL12'!$B$3=L$3,SUMIF('TL12'!$C$10:$C$224,$C18,'TL12'!$J$10:$J$224),0),
IF('TL12'!$B$229=L$3,SUMIF('TL12'!$C$238:$C$451,$C18,'TL12'!$J$238:$J$451),0),
IF('TL13'!$B$3=L$3,SUMIF('TL13'!$C$10:$C$224,$C18,'TL13'!$J$10:$J$224),0),
IF('TL13'!$B$229=L$3,SUMIF('TL13'!$C$238:$C$451,$C18,'TL13'!$J$238:$J$451),0),
IF('TL14'!$B$3=L$3,SUMIF('TL14'!$C$10:$C$224,$C18,'TL14'!$J$10:$J$224),0),
IF('TL14'!$B$229=L$3,SUMIF('TL14'!$C$238:$C$451,$C18,'TL14'!$J$238:$J$451),0),
IF('TL15'!$B$3=L$3,SUMIF('TL15'!$C$10:$C$224,$C18,'TL15'!$J$10:$J$224),0),
IF('TL15'!$B$229=L$3,SUMIF('TL15'!$C$238:$C$451,$C18,'TL15'!$J$238:$J$451),0),
IF('TL16'!$B$3=L$3,SUMIF('TL16'!$C$10:$C$224,$C18,'TL16'!$J$10:$J$224),0),
IF('TL16'!$B$229=L$3,SUMIF('TL16'!$C$238:$C$451,$C18,'TL16'!$J$238:$J$451),0),
IF('TL17'!$B$3=L$3,SUMIF('TL17'!$C$10:$C$224,$C18,'TL17'!$J$10:$J$224),0),
IF('TL17'!$B$229=L$3,SUMIF('TL17'!$C$238:$C$451,$C18,'TL17'!$J$238:$J$451),0),
IF('TL18'!$B$3=L$3,SUMIF('TL18'!$C$10:$C$224,$C18,'TL18'!$J$10:$J$224),0),
IF('TL18'!$B$229=L$3,SUMIF('TL18'!$C$238:$C$451,$C18,'TL18'!$J$238:$J$451),0),
IF('TL19'!$B$3=L$3,SUMIF('TL19'!$C$10:$C$224,$C18,'TL19'!$J$10:$J$224),0),
IF('TL19'!$B$229=L$3,SUMIF('TL19'!$C$238:$C$451,$C18,'TL19'!$J$238:$J$451),0)
),0)</f>
        <v/>
      </c>
      <c r="M18" s="9">
        <f>IFERROR(SUM(
IF('TL01'!$B$3=M$3,SUMIF('TL01'!$C$10:$C$224,$C18,'TL01'!$J$10:$J$224),0),
IF('TL01'!$B$229=M$3,SUMIF('TL01'!$C$238:$C$451,$C18,'TL01'!$J$238:$J$451),0),
IF('TL02'!$B$3=M$3,SUMIF('TL02'!$C$10:$C$224,$C18,'TL02'!$J$10:$J$224),0),
IF('TL02'!$B$229=M$3,SUMIF('TL02'!$C$238:$C$451,$C18,'TL02'!$J$238:$J$451),0),
IF('TL03'!$B$3=M$3,SUMIF('TL03'!$C$10:$C$224,$C18,'TL03'!$J$10:$J$224),0),
IF('TL03'!$B$229=M$3,SUMIF('TL03'!$C$238:$C$451,$C18,'TL03'!$J$238:$J$451),0),
IF('TL04'!$B$3=M$3,SUMIF('TL04'!$C$10:$C$224,$C18,'TL04'!$J$10:$J$224),0),
IF('TL04'!$B$229=M$3,SUMIF('TL04'!$C$238:$C$451,$C18,'TL04'!$J$238:$J$451),0),
IF('TL05'!$B$3=M$3,SUMIF('TL05'!$C$10:$C$224,$C18,'TL05'!$J$10:$J$224),0),
IF('TL05'!$B$229=M$3,SUMIF('TL05'!$C$238:$C$451,$C18,'TL05'!$J$238:$J$451),0),
IF('TL06'!$B$3=M$3,SUMIF('TL06'!$C$10:$C$224,$C18,'TL06'!$J$10:$J$224),0),
IF('TL06'!$B$229=M$3,SUMIF('TL06'!$C$238:$C$451,$C18,'TL06'!$J$238:$J$451),0),
IF('TL07'!$B$3=M$3,SUMIF('TL07'!$C$10:$C$224,$C18,'TL07'!$J$10:$J$224),0),
IF('TL07'!$B$229=M$3,SUMIF('TL07'!$C$238:$C$451,$C18,'TL07'!$J$238:$J$451),0),
IF('TL08'!$B$3=M$3,SUMIF('TL08'!$C$10:$C$224,$C18,'TL08'!$J$10:$J$224),0),
IF('TL08'!$B$229=M$3,SUMIF('TL08'!$C$238:$C$451,$C18,'TL08'!$J$238:$J$451),0),
IF('TL09'!$B$3=M$3,SUMIF('TL09'!$C$10:$C$224,$C18,'TL09'!$J$10:$J$224),0),
IF('TL09'!$B$229=M$3,SUMIF('TL09'!$C$238:$C$451,$C18,'TL09'!$J$238:$J$451),0),
IF('TL10'!$B$3=M$3,SUMIF('TL10'!$C$10:$C$224,$C18,'TL10'!$J$10:$J$224),0),
IF('TL10'!$B$229=M$3,SUMIF('TL10'!$C$238:$C$451,$C18,'TL10'!$J$238:$J$451),0),
IF('TL11'!$B$3=M$3,SUMIF('TL11'!$C$10:$C$224,$C18,'TL11'!$J$10:$J$224),0),
IF('TL11'!$B$229=M$3,SUMIF('TL11'!$C$238:$C$451,$C18,'TL11'!$J$238:$J$451),0),
IF('TL12'!$B$3=M$3,SUMIF('TL12'!$C$10:$C$224,$C18,'TL12'!$J$10:$J$224),0),
IF('TL12'!$B$229=M$3,SUMIF('TL12'!$C$238:$C$451,$C18,'TL12'!$J$238:$J$451),0),
IF('TL13'!$B$3=M$3,SUMIF('TL13'!$C$10:$C$224,$C18,'TL13'!$J$10:$J$224),0),
IF('TL13'!$B$229=M$3,SUMIF('TL13'!$C$238:$C$451,$C18,'TL13'!$J$238:$J$451),0),
IF('TL14'!$B$3=M$3,SUMIF('TL14'!$C$10:$C$224,$C18,'TL14'!$J$10:$J$224),0),
IF('TL14'!$B$229=M$3,SUMIF('TL14'!$C$238:$C$451,$C18,'TL14'!$J$238:$J$451),0),
IF('TL15'!$B$3=M$3,SUMIF('TL15'!$C$10:$C$224,$C18,'TL15'!$J$10:$J$224),0),
IF('TL15'!$B$229=M$3,SUMIF('TL15'!$C$238:$C$451,$C18,'TL15'!$J$238:$J$451),0),
IF('TL16'!$B$3=M$3,SUMIF('TL16'!$C$10:$C$224,$C18,'TL16'!$J$10:$J$224),0),
IF('TL16'!$B$229=M$3,SUMIF('TL16'!$C$238:$C$451,$C18,'TL16'!$J$238:$J$451),0),
IF('TL17'!$B$3=M$3,SUMIF('TL17'!$C$10:$C$224,$C18,'TL17'!$J$10:$J$224),0),
IF('TL17'!$B$229=M$3,SUMIF('TL17'!$C$238:$C$451,$C18,'TL17'!$J$238:$J$451),0),
IF('TL18'!$B$3=M$3,SUMIF('TL18'!$C$10:$C$224,$C18,'TL18'!$J$10:$J$224),0),
IF('TL18'!$B$229=M$3,SUMIF('TL18'!$C$238:$C$451,$C18,'TL18'!$J$238:$J$451),0),
IF('TL19'!$B$3=M$3,SUMIF('TL19'!$C$10:$C$224,$C18,'TL19'!$J$10:$J$224),0),
IF('TL19'!$B$229=M$3,SUMIF('TL19'!$C$238:$C$451,$C18,'TL19'!$J$238:$J$451),0)
),0)</f>
        <v/>
      </c>
      <c r="N18" s="9">
        <f>IFERROR(SUM(
IF('TL01'!$B$3=N$3,SUMIF('TL01'!$C$10:$C$224,$C18,'TL01'!$J$10:$J$224),0),
IF('TL01'!$B$229=N$3,SUMIF('TL01'!$C$238:$C$451,$C18,'TL01'!$J$238:$J$451),0),
IF('TL02'!$B$3=N$3,SUMIF('TL02'!$C$10:$C$224,$C18,'TL02'!$J$10:$J$224),0),
IF('TL02'!$B$229=N$3,SUMIF('TL02'!$C$238:$C$451,$C18,'TL02'!$J$238:$J$451),0),
IF('TL03'!$B$3=N$3,SUMIF('TL03'!$C$10:$C$224,$C18,'TL03'!$J$10:$J$224),0),
IF('TL03'!$B$229=N$3,SUMIF('TL03'!$C$238:$C$451,$C18,'TL03'!$J$238:$J$451),0),
IF('TL04'!$B$3=N$3,SUMIF('TL04'!$C$10:$C$224,$C18,'TL04'!$J$10:$J$224),0),
IF('TL04'!$B$229=N$3,SUMIF('TL04'!$C$238:$C$451,$C18,'TL04'!$J$238:$J$451),0),
IF('TL05'!$B$3=N$3,SUMIF('TL05'!$C$10:$C$224,$C18,'TL05'!$J$10:$J$224),0),
IF('TL05'!$B$229=N$3,SUMIF('TL05'!$C$238:$C$451,$C18,'TL05'!$J$238:$J$451),0),
IF('TL06'!$B$3=N$3,SUMIF('TL06'!$C$10:$C$224,$C18,'TL06'!$J$10:$J$224),0),
IF('TL06'!$B$229=N$3,SUMIF('TL06'!$C$238:$C$451,$C18,'TL06'!$J$238:$J$451),0),
IF('TL07'!$B$3=N$3,SUMIF('TL07'!$C$10:$C$224,$C18,'TL07'!$J$10:$J$224),0),
IF('TL07'!$B$229=N$3,SUMIF('TL07'!$C$238:$C$451,$C18,'TL07'!$J$238:$J$451),0),
IF('TL08'!$B$3=N$3,SUMIF('TL08'!$C$10:$C$224,$C18,'TL08'!$J$10:$J$224),0),
IF('TL08'!$B$229=N$3,SUMIF('TL08'!$C$238:$C$451,$C18,'TL08'!$J$238:$J$451),0),
IF('TL09'!$B$3=N$3,SUMIF('TL09'!$C$10:$C$224,$C18,'TL09'!$J$10:$J$224),0),
IF('TL09'!$B$229=N$3,SUMIF('TL09'!$C$238:$C$451,$C18,'TL09'!$J$238:$J$451),0),
IF('TL10'!$B$3=N$3,SUMIF('TL10'!$C$10:$C$224,$C18,'TL10'!$J$10:$J$224),0),
IF('TL10'!$B$229=N$3,SUMIF('TL10'!$C$238:$C$451,$C18,'TL10'!$J$238:$J$451),0),
IF('TL11'!$B$3=N$3,SUMIF('TL11'!$C$10:$C$224,$C18,'TL11'!$J$10:$J$224),0),
IF('TL11'!$B$229=N$3,SUMIF('TL11'!$C$238:$C$451,$C18,'TL11'!$J$238:$J$451),0),
IF('TL12'!$B$3=N$3,SUMIF('TL12'!$C$10:$C$224,$C18,'TL12'!$J$10:$J$224),0),
IF('TL12'!$B$229=N$3,SUMIF('TL12'!$C$238:$C$451,$C18,'TL12'!$J$238:$J$451),0),
IF('TL13'!$B$3=N$3,SUMIF('TL13'!$C$10:$C$224,$C18,'TL13'!$J$10:$J$224),0),
IF('TL13'!$B$229=N$3,SUMIF('TL13'!$C$238:$C$451,$C18,'TL13'!$J$238:$J$451),0),
IF('TL14'!$B$3=N$3,SUMIF('TL14'!$C$10:$C$224,$C18,'TL14'!$J$10:$J$224),0),
IF('TL14'!$B$229=N$3,SUMIF('TL14'!$C$238:$C$451,$C18,'TL14'!$J$238:$J$451),0),
IF('TL15'!$B$3=N$3,SUMIF('TL15'!$C$10:$C$224,$C18,'TL15'!$J$10:$J$224),0),
IF('TL15'!$B$229=N$3,SUMIF('TL15'!$C$238:$C$451,$C18,'TL15'!$J$238:$J$451),0),
IF('TL16'!$B$3=N$3,SUMIF('TL16'!$C$10:$C$224,$C18,'TL16'!$J$10:$J$224),0),
IF('TL16'!$B$229=N$3,SUMIF('TL16'!$C$238:$C$451,$C18,'TL16'!$J$238:$J$451),0),
IF('TL17'!$B$3=N$3,SUMIF('TL17'!$C$10:$C$224,$C18,'TL17'!$J$10:$J$224),0),
IF('TL17'!$B$229=N$3,SUMIF('TL17'!$C$238:$C$451,$C18,'TL17'!$J$238:$J$451),0),
IF('TL18'!$B$3=N$3,SUMIF('TL18'!$C$10:$C$224,$C18,'TL18'!$J$10:$J$224),0),
IF('TL18'!$B$229=N$3,SUMIF('TL18'!$C$238:$C$451,$C18,'TL18'!$J$238:$J$451),0),
IF('TL19'!$B$3=N$3,SUMIF('TL19'!$C$10:$C$224,$C18,'TL19'!$J$10:$J$224),0),
IF('TL19'!$B$229=N$3,SUMIF('TL19'!$C$238:$C$451,$C18,'TL19'!$J$238:$J$451),0)
),0)</f>
        <v/>
      </c>
      <c r="O18" s="9">
        <f>IFERROR(SUM(
IF('TL01'!$B$3=O$3,SUMIF('TL01'!$C$10:$C$224,$C18,'TL01'!$J$10:$J$224),0),
IF('TL01'!$B$229=O$3,SUMIF('TL01'!$C$238:$C$451,$C18,'TL01'!$J$238:$J$451),0),
IF('TL02'!$B$3=O$3,SUMIF('TL02'!$C$10:$C$224,$C18,'TL02'!$J$10:$J$224),0),
IF('TL02'!$B$229=O$3,SUMIF('TL02'!$C$238:$C$451,$C18,'TL02'!$J$238:$J$451),0),
IF('TL03'!$B$3=O$3,SUMIF('TL03'!$C$10:$C$224,$C18,'TL03'!$J$10:$J$224),0),
IF('TL03'!$B$229=O$3,SUMIF('TL03'!$C$238:$C$451,$C18,'TL03'!$J$238:$J$451),0),
IF('TL04'!$B$3=O$3,SUMIF('TL04'!$C$10:$C$224,$C18,'TL04'!$J$10:$J$224),0),
IF('TL04'!$B$229=O$3,SUMIF('TL04'!$C$238:$C$451,$C18,'TL04'!$J$238:$J$451),0),
IF('TL05'!$B$3=O$3,SUMIF('TL05'!$C$10:$C$224,$C18,'TL05'!$J$10:$J$224),0),
IF('TL05'!$B$229=O$3,SUMIF('TL05'!$C$238:$C$451,$C18,'TL05'!$J$238:$J$451),0),
IF('TL06'!$B$3=O$3,SUMIF('TL06'!$C$10:$C$224,$C18,'TL06'!$J$10:$J$224),0),
IF('TL06'!$B$229=O$3,SUMIF('TL06'!$C$238:$C$451,$C18,'TL06'!$J$238:$J$451),0),
IF('TL07'!$B$3=O$3,SUMIF('TL07'!$C$10:$C$224,$C18,'TL07'!$J$10:$J$224),0),
IF('TL07'!$B$229=O$3,SUMIF('TL07'!$C$238:$C$451,$C18,'TL07'!$J$238:$J$451),0),
IF('TL08'!$B$3=O$3,SUMIF('TL08'!$C$10:$C$224,$C18,'TL08'!$J$10:$J$224),0),
IF('TL08'!$B$229=O$3,SUMIF('TL08'!$C$238:$C$451,$C18,'TL08'!$J$238:$J$451),0),
IF('TL09'!$B$3=O$3,SUMIF('TL09'!$C$10:$C$224,$C18,'TL09'!$J$10:$J$224),0),
IF('TL09'!$B$229=O$3,SUMIF('TL09'!$C$238:$C$451,$C18,'TL09'!$J$238:$J$451),0),
IF('TL10'!$B$3=O$3,SUMIF('TL10'!$C$10:$C$224,$C18,'TL10'!$J$10:$J$224),0),
IF('TL10'!$B$229=O$3,SUMIF('TL10'!$C$238:$C$451,$C18,'TL10'!$J$238:$J$451),0),
IF('TL11'!$B$3=O$3,SUMIF('TL11'!$C$10:$C$224,$C18,'TL11'!$J$10:$J$224),0),
IF('TL11'!$B$229=O$3,SUMIF('TL11'!$C$238:$C$451,$C18,'TL11'!$J$238:$J$451),0),
IF('TL12'!$B$3=O$3,SUMIF('TL12'!$C$10:$C$224,$C18,'TL12'!$J$10:$J$224),0),
IF('TL12'!$B$229=O$3,SUMIF('TL12'!$C$238:$C$451,$C18,'TL12'!$J$238:$J$451),0),
IF('TL13'!$B$3=O$3,SUMIF('TL13'!$C$10:$C$224,$C18,'TL13'!$J$10:$J$224),0),
IF('TL13'!$B$229=O$3,SUMIF('TL13'!$C$238:$C$451,$C18,'TL13'!$J$238:$J$451),0),
IF('TL14'!$B$3=O$3,SUMIF('TL14'!$C$10:$C$224,$C18,'TL14'!$J$10:$J$224),0),
IF('TL14'!$B$229=O$3,SUMIF('TL14'!$C$238:$C$451,$C18,'TL14'!$J$238:$J$451),0),
IF('TL15'!$B$3=O$3,SUMIF('TL15'!$C$10:$C$224,$C18,'TL15'!$J$10:$J$224),0),
IF('TL15'!$B$229=O$3,SUMIF('TL15'!$C$238:$C$451,$C18,'TL15'!$J$238:$J$451),0),
IF('TL16'!$B$3=O$3,SUMIF('TL16'!$C$10:$C$224,$C18,'TL16'!$J$10:$J$224),0),
IF('TL16'!$B$229=O$3,SUMIF('TL16'!$C$238:$C$451,$C18,'TL16'!$J$238:$J$451),0),
IF('TL17'!$B$3=O$3,SUMIF('TL17'!$C$10:$C$224,$C18,'TL17'!$J$10:$J$224),0),
IF('TL17'!$B$229=O$3,SUMIF('TL17'!$C$238:$C$451,$C18,'TL17'!$J$238:$J$451),0),
IF('TL18'!$B$3=O$3,SUMIF('TL18'!$C$10:$C$224,$C18,'TL18'!$J$10:$J$224),0),
IF('TL18'!$B$229=O$3,SUMIF('TL18'!$C$238:$C$451,$C18,'TL18'!$J$238:$J$451),0),
IF('TL19'!$B$3=O$3,SUMIF('TL19'!$C$10:$C$224,$C18,'TL19'!$J$10:$J$224),0),
IF('TL19'!$B$229=O$3,SUMIF('TL19'!$C$238:$C$451,$C18,'TL19'!$J$238:$J$451),0)
),0)</f>
        <v/>
      </c>
      <c r="P18" s="9">
        <f>IFERROR(SUM(
IF('TL01'!$B$3=P$3,SUMIF('TL01'!$C$10:$C$224,$C18,'TL01'!$J$10:$J$224),0),
IF('TL01'!$B$229=P$3,SUMIF('TL01'!$C$238:$C$451,$C18,'TL01'!$J$238:$J$451),0),
IF('TL02'!$B$3=P$3,SUMIF('TL02'!$C$10:$C$224,$C18,'TL02'!$J$10:$J$224),0),
IF('TL02'!$B$229=P$3,SUMIF('TL02'!$C$238:$C$451,$C18,'TL02'!$J$238:$J$451),0),
IF('TL03'!$B$3=P$3,SUMIF('TL03'!$C$10:$C$224,$C18,'TL03'!$J$10:$J$224),0),
IF('TL03'!$B$229=P$3,SUMIF('TL03'!$C$238:$C$451,$C18,'TL03'!$J$238:$J$451),0),
IF('TL04'!$B$3=P$3,SUMIF('TL04'!$C$10:$C$224,$C18,'TL04'!$J$10:$J$224),0),
IF('TL04'!$B$229=P$3,SUMIF('TL04'!$C$238:$C$451,$C18,'TL04'!$J$238:$J$451),0),
IF('TL05'!$B$3=P$3,SUMIF('TL05'!$C$10:$C$224,$C18,'TL05'!$J$10:$J$224),0),
IF('TL05'!$B$229=P$3,SUMIF('TL05'!$C$238:$C$451,$C18,'TL05'!$J$238:$J$451),0),
IF('TL06'!$B$3=P$3,SUMIF('TL06'!$C$10:$C$224,$C18,'TL06'!$J$10:$J$224),0),
IF('TL06'!$B$229=P$3,SUMIF('TL06'!$C$238:$C$451,$C18,'TL06'!$J$238:$J$451),0),
IF('TL07'!$B$3=P$3,SUMIF('TL07'!$C$10:$C$224,$C18,'TL07'!$J$10:$J$224),0),
IF('TL07'!$B$229=P$3,SUMIF('TL07'!$C$238:$C$451,$C18,'TL07'!$J$238:$J$451),0),
IF('TL08'!$B$3=P$3,SUMIF('TL08'!$C$10:$C$224,$C18,'TL08'!$J$10:$J$224),0),
IF('TL08'!$B$229=P$3,SUMIF('TL08'!$C$238:$C$451,$C18,'TL08'!$J$238:$J$451),0),
IF('TL09'!$B$3=P$3,SUMIF('TL09'!$C$10:$C$224,$C18,'TL09'!$J$10:$J$224),0),
IF('TL09'!$B$229=P$3,SUMIF('TL09'!$C$238:$C$451,$C18,'TL09'!$J$238:$J$451),0),
IF('TL10'!$B$3=P$3,SUMIF('TL10'!$C$10:$C$224,$C18,'TL10'!$J$10:$J$224),0),
IF('TL10'!$B$229=P$3,SUMIF('TL10'!$C$238:$C$451,$C18,'TL10'!$J$238:$J$451),0),
IF('TL11'!$B$3=P$3,SUMIF('TL11'!$C$10:$C$224,$C18,'TL11'!$J$10:$J$224),0),
IF('TL11'!$B$229=P$3,SUMIF('TL11'!$C$238:$C$451,$C18,'TL11'!$J$238:$J$451),0),
IF('TL12'!$B$3=P$3,SUMIF('TL12'!$C$10:$C$224,$C18,'TL12'!$J$10:$J$224),0),
IF('TL12'!$B$229=P$3,SUMIF('TL12'!$C$238:$C$451,$C18,'TL12'!$J$238:$J$451),0),
IF('TL13'!$B$3=P$3,SUMIF('TL13'!$C$10:$C$224,$C18,'TL13'!$J$10:$J$224),0),
IF('TL13'!$B$229=P$3,SUMIF('TL13'!$C$238:$C$451,$C18,'TL13'!$J$238:$J$451),0),
IF('TL14'!$B$3=P$3,SUMIF('TL14'!$C$10:$C$224,$C18,'TL14'!$J$10:$J$224),0),
IF('TL14'!$B$229=P$3,SUMIF('TL14'!$C$238:$C$451,$C18,'TL14'!$J$238:$J$451),0),
IF('TL15'!$B$3=P$3,SUMIF('TL15'!$C$10:$C$224,$C18,'TL15'!$J$10:$J$224),0),
IF('TL15'!$B$229=P$3,SUMIF('TL15'!$C$238:$C$451,$C18,'TL15'!$J$238:$J$451),0),
IF('TL16'!$B$3=P$3,SUMIF('TL16'!$C$10:$C$224,$C18,'TL16'!$J$10:$J$224),0),
IF('TL16'!$B$229=P$3,SUMIF('TL16'!$C$238:$C$451,$C18,'TL16'!$J$238:$J$451),0),
IF('TL17'!$B$3=P$3,SUMIF('TL17'!$C$10:$C$224,$C18,'TL17'!$J$10:$J$224),0),
IF('TL17'!$B$229=P$3,SUMIF('TL17'!$C$238:$C$451,$C18,'TL17'!$J$238:$J$451),0),
IF('TL18'!$B$3=P$3,SUMIF('TL18'!$C$10:$C$224,$C18,'TL18'!$J$10:$J$224),0),
IF('TL18'!$B$229=P$3,SUMIF('TL18'!$C$238:$C$451,$C18,'TL18'!$J$238:$J$451),0),
IF('TL19'!$B$3=P$3,SUMIF('TL19'!$C$10:$C$224,$C18,'TL19'!$J$10:$J$224),0),
IF('TL19'!$B$229=P$3,SUMIF('TL19'!$C$238:$C$451,$C18,'TL19'!$J$238:$J$451),0)
),0)</f>
        <v/>
      </c>
      <c r="Q18" s="9">
        <f>IFERROR(SUM(
IF('TL01'!$B$3=Q$3,SUMIF('TL01'!$C$10:$C$224,$C18,'TL01'!$J$10:$J$224),0),
IF('TL01'!$B$229=Q$3,SUMIF('TL01'!$C$238:$C$451,$C18,'TL01'!$J$238:$J$451),0),
IF('TL02'!$B$3=Q$3,SUMIF('TL02'!$C$10:$C$224,$C18,'TL02'!$J$10:$J$224),0),
IF('TL02'!$B$229=Q$3,SUMIF('TL02'!$C$238:$C$451,$C18,'TL02'!$J$238:$J$451),0),
IF('TL03'!$B$3=Q$3,SUMIF('TL03'!$C$10:$C$224,$C18,'TL03'!$J$10:$J$224),0),
IF('TL03'!$B$229=Q$3,SUMIF('TL03'!$C$238:$C$451,$C18,'TL03'!$J$238:$J$451),0),
IF('TL04'!$B$3=Q$3,SUMIF('TL04'!$C$10:$C$224,$C18,'TL04'!$J$10:$J$224),0),
IF('TL04'!$B$229=Q$3,SUMIF('TL04'!$C$238:$C$451,$C18,'TL04'!$J$238:$J$451),0),
IF('TL05'!$B$3=Q$3,SUMIF('TL05'!$C$10:$C$224,$C18,'TL05'!$J$10:$J$224),0),
IF('TL05'!$B$229=Q$3,SUMIF('TL05'!$C$238:$C$451,$C18,'TL05'!$J$238:$J$451),0),
IF('TL06'!$B$3=Q$3,SUMIF('TL06'!$C$10:$C$224,$C18,'TL06'!$J$10:$J$224),0),
IF('TL06'!$B$229=Q$3,SUMIF('TL06'!$C$238:$C$451,$C18,'TL06'!$J$238:$J$451),0),
IF('TL07'!$B$3=Q$3,SUMIF('TL07'!$C$10:$C$224,$C18,'TL07'!$J$10:$J$224),0),
IF('TL07'!$B$229=Q$3,SUMIF('TL07'!$C$238:$C$451,$C18,'TL07'!$J$238:$J$451),0),
IF('TL08'!$B$3=Q$3,SUMIF('TL08'!$C$10:$C$224,$C18,'TL08'!$J$10:$J$224),0),
IF('TL08'!$B$229=Q$3,SUMIF('TL08'!$C$238:$C$451,$C18,'TL08'!$J$238:$J$451),0),
IF('TL09'!$B$3=Q$3,SUMIF('TL09'!$C$10:$C$224,$C18,'TL09'!$J$10:$J$224),0),
IF('TL09'!$B$229=Q$3,SUMIF('TL09'!$C$238:$C$451,$C18,'TL09'!$J$238:$J$451),0),
IF('TL10'!$B$3=Q$3,SUMIF('TL10'!$C$10:$C$224,$C18,'TL10'!$J$10:$J$224),0),
IF('TL10'!$B$229=Q$3,SUMIF('TL10'!$C$238:$C$451,$C18,'TL10'!$J$238:$J$451),0),
IF('TL11'!$B$3=Q$3,SUMIF('TL11'!$C$10:$C$224,$C18,'TL11'!$J$10:$J$224),0),
IF('TL11'!$B$229=Q$3,SUMIF('TL11'!$C$238:$C$451,$C18,'TL11'!$J$238:$J$451),0),
IF('TL12'!$B$3=Q$3,SUMIF('TL12'!$C$10:$C$224,$C18,'TL12'!$J$10:$J$224),0),
IF('TL12'!$B$229=Q$3,SUMIF('TL12'!$C$238:$C$451,$C18,'TL12'!$J$238:$J$451),0),
IF('TL13'!$B$3=Q$3,SUMIF('TL13'!$C$10:$C$224,$C18,'TL13'!$J$10:$J$224),0),
IF('TL13'!$B$229=Q$3,SUMIF('TL13'!$C$238:$C$451,$C18,'TL13'!$J$238:$J$451),0),
IF('TL14'!$B$3=Q$3,SUMIF('TL14'!$C$10:$C$224,$C18,'TL14'!$J$10:$J$224),0),
IF('TL14'!$B$229=Q$3,SUMIF('TL14'!$C$238:$C$451,$C18,'TL14'!$J$238:$J$451),0),
IF('TL15'!$B$3=Q$3,SUMIF('TL15'!$C$10:$C$224,$C18,'TL15'!$J$10:$J$224),0),
IF('TL15'!$B$229=Q$3,SUMIF('TL15'!$C$238:$C$451,$C18,'TL15'!$J$238:$J$451),0),
IF('TL16'!$B$3=Q$3,SUMIF('TL16'!$C$10:$C$224,$C18,'TL16'!$J$10:$J$224),0),
IF('TL16'!$B$229=Q$3,SUMIF('TL16'!$C$238:$C$451,$C18,'TL16'!$J$238:$J$451),0),
IF('TL17'!$B$3=Q$3,SUMIF('TL17'!$C$10:$C$224,$C18,'TL17'!$J$10:$J$224),0),
IF('TL17'!$B$229=Q$3,SUMIF('TL17'!$C$238:$C$451,$C18,'TL17'!$J$238:$J$451),0),
IF('TL18'!$B$3=Q$3,SUMIF('TL18'!$C$10:$C$224,$C18,'TL18'!$J$10:$J$224),0),
IF('TL18'!$B$229=Q$3,SUMIF('TL18'!$C$238:$C$451,$C18,'TL18'!$J$238:$J$451),0),
IF('TL19'!$B$3=Q$3,SUMIF('TL19'!$C$10:$C$224,$C18,'TL19'!$J$10:$J$224),0),
IF('TL19'!$B$229=Q$3,SUMIF('TL19'!$C$238:$C$451,$C18,'TL19'!$J$238:$J$451),0)
),0)</f>
        <v/>
      </c>
      <c r="R18" s="9">
        <f>IFERROR(
SUM(
SUMIF('TL01'!C:C,C18,'TL01'!J:J),
SUMIF('TL02'!C:C,C18,'TL02'!J:J),
SUMIF('TL03'!C:C,C18,'TL03'!J:J),
SUMIF('TL04'!C:C,C18,'TL04'!J:J),
SUMIF('TL05'!C:C,C18,'TL05'!J:J),
SUMIF('TL06'!C:C,C18,'TL06'!J:J),
SUMIF('TL07'!C:C,C18,'TL07'!J:J),
SUMIF('TL08'!C:C,C18,'TL08'!J:J),
SUMIF('TL09'!C:C,C18,'TL09'!J:J),
SUMIF('TL10'!C:C,C18,'TL10'!J:J),
SUMIF('TL11'!C:C,C18,'TL11'!J:J),
SUMIF('TL12'!C:C,C18,'TL12'!J:J),
SUMIF('TL13'!C:C,C18,'TL13'!J:J),
SUMIF('TL14'!C:C,C18,'TL14'!J:J),
SUMIF('TL15'!C:C,C18,'TL15'!J:J),
SUMIF('TL16'!C:C,C18,'TL16'!J:J),
SUMIF('TL17'!C:C,C18,'TL17'!J:J),
SUMIF('TL18'!C:C,C18,'TL18'!J:J),SUMIF('TL19'!C:C,C18,'TL19'!J:J))
,0)</f>
        <v/>
      </c>
      <c r="S18" s="17">
        <f>IFERROR(__xludf.DUMMYFUNCTION("IFERROR(VLOOKUP(C18,
IMPORTRANGE(""1wULbzX32WdYsx-lj2U3uUNBBe2INVIRDtcK0d-Dvl90"",
""26-27!C:G""),
5,
FALSE),
"""")"),54.397000000000006)</f>
        <v/>
      </c>
      <c r="T18" s="9" t="n"/>
      <c r="U18" s="92">
        <f>MAX(0,R18-T18)</f>
        <v/>
      </c>
      <c r="V18" s="93">
        <f>U18*S18</f>
        <v/>
      </c>
    </row>
    <row r="19" hidden="1" ht="22.5" customHeight="1" s="297">
      <c r="A19" s="94" t="inlineStr">
        <is>
          <t>SYNGENTA</t>
        </is>
      </c>
      <c r="B19" s="95" t="inlineStr">
        <is>
          <t>TS</t>
        </is>
      </c>
      <c r="C19" s="96" t="inlineStr">
        <is>
          <t>ARVATICO</t>
        </is>
      </c>
      <c r="D19" s="96" t="inlineStr">
        <is>
          <t>BACILLUS VELEZENSIS, ISOLADO CNPSO 3602</t>
        </is>
      </c>
      <c r="E19" s="96" t="n">
        <v>150</v>
      </c>
      <c r="F19" s="4" t="inlineStr">
        <is>
          <t>L</t>
        </is>
      </c>
      <c r="G19" s="90">
        <f>HYPERLINK("https://www.google.com/search?q=" &amp; C19 &amp; "+bula+agrofit+pdf", "📄 Ver bula")</f>
        <v/>
      </c>
      <c r="H19" s="9">
        <f>IFERROR(__xludf.DUMMYFUNCTION("IFERROR(VLOOKUP(C19,
IMPORTRANGE(""1wULbzX32WdYsx-lj2U3uUNBBe2INVIRDtcK0d-Dvl90"",
""26-27!C:K""),
8,
FALSE),
"""")"),0.25)</f>
        <v/>
      </c>
      <c r="I19" s="97" t="inlineStr">
        <is>
          <t>4X5</t>
        </is>
      </c>
      <c r="J19" s="9">
        <f>IFERROR(SUM(
IF('TL01'!$B$3=J$3,SUMIF('TL01'!$C$10:$C$224,$C19,'TL01'!$J$10:$J$224),0),
IF('TL01'!$B$229=J$3,SUMIF('TL01'!$C$238:$C$451,$C19,'TL01'!$J$238:$J$451),0),
IF('TL02'!$B$3=J$3,SUMIF('TL02'!$C$10:$C$224,$C19,'TL02'!$J$10:$J$224),0),
IF('TL02'!$B$229=J$3,SUMIF('TL02'!$C$238:$C$451,$C19,'TL02'!$J$238:$J$451),0),
IF('TL03'!$B$3=J$3,SUMIF('TL03'!$C$10:$C$224,$C19,'TL03'!$J$10:$J$224),0),
IF('TL03'!$B$229=J$3,SUMIF('TL03'!$C$238:$C$451,$C19,'TL03'!$J$238:$J$451),0),
IF('TL04'!$B$3=J$3,SUMIF('TL04'!$C$10:$C$224,$C19,'TL04'!$J$10:$J$224),0),
IF('TL04'!$B$229=J$3,SUMIF('TL04'!$C$238:$C$451,$C19,'TL04'!$J$238:$J$451),0),
IF('TL05'!$B$3=J$3,SUMIF('TL05'!$C$10:$C$224,$C19,'TL05'!$J$10:$J$224),0),
IF('TL05'!$B$229=J$3,SUMIF('TL05'!$C$238:$C$451,$C19,'TL05'!$J$238:$J$451),0),
IF('TL06'!$B$3=J$3,SUMIF('TL06'!$C$10:$C$224,$C19,'TL06'!$J$10:$J$224),0),
IF('TL06'!$B$229=J$3,SUMIF('TL06'!$C$238:$C$451,$C19,'TL06'!$J$238:$J$451),0),
IF('TL07'!$B$3=J$3,SUMIF('TL07'!$C$10:$C$224,$C19,'TL07'!$J$10:$J$224),0),
IF('TL07'!$B$229=J$3,SUMIF('TL07'!$C$238:$C$451,$C19,'TL07'!$J$238:$J$451),0),
IF('TL08'!$B$3=J$3,SUMIF('TL08'!$C$10:$C$224,$C19,'TL08'!$J$10:$J$224),0),
IF('TL08'!$B$229=J$3,SUMIF('TL08'!$C$238:$C$451,$C19,'TL08'!$J$238:$J$451),0),
IF('TL09'!$B$3=J$3,SUMIF('TL09'!$C$10:$C$224,$C19,'TL09'!$J$10:$J$224),0),
IF('TL09'!$B$229=J$3,SUMIF('TL09'!$C$238:$C$451,$C19,'TL09'!$J$238:$J$451),0),
IF('TL10'!$B$3=J$3,SUMIF('TL10'!$C$10:$C$224,$C19,'TL10'!$J$10:$J$224),0),
IF('TL10'!$B$229=J$3,SUMIF('TL10'!$C$238:$C$451,$C19,'TL10'!$J$238:$J$451),0),
IF('TL11'!$B$3=J$3,SUMIF('TL11'!$C$10:$C$224,$C19,'TL11'!$J$10:$J$224),0),
IF('TL11'!$B$229=J$3,SUMIF('TL11'!$C$238:$C$451,$C19,'TL11'!$J$238:$J$451),0),
IF('TL12'!$B$3=J$3,SUMIF('TL12'!$C$10:$C$224,$C19,'TL12'!$J$10:$J$224),0),
IF('TL12'!$B$229=J$3,SUMIF('TL12'!$C$238:$C$451,$C19,'TL12'!$J$238:$J$451),0),
IF('TL13'!$B$3=J$3,SUMIF('TL13'!$C$10:$C$224,$C19,'TL13'!$J$10:$J$224),0),
IF('TL13'!$B$229=J$3,SUMIF('TL13'!$C$238:$C$451,$C19,'TL13'!$J$238:$J$451),0),
IF('TL14'!$B$3=J$3,SUMIF('TL14'!$C$10:$C$224,$C19,'TL14'!$J$10:$J$224),0),
IF('TL14'!$B$229=J$3,SUMIF('TL14'!$C$238:$C$451,$C19,'TL14'!$J$238:$J$451),0),
IF('TL15'!$B$3=J$3,SUMIF('TL15'!$C$10:$C$224,$C19,'TL15'!$J$10:$J$224),0),
IF('TL15'!$B$229=J$3,SUMIF('TL15'!$C$238:$C$451,$C19,'TL15'!$J$238:$J$451),0),
IF('TL16'!$B$3=J$3,SUMIF('TL16'!$C$10:$C$224,$C19,'TL16'!$J$10:$J$224),0),
IF('TL16'!$B$229=J$3,SUMIF('TL16'!$C$238:$C$451,$C19,'TL16'!$J$238:$J$451),0),
IF('TL17'!$B$3=J$3,SUMIF('TL17'!$C$10:$C$224,$C19,'TL17'!$J$10:$J$224),0),
IF('TL17'!$B$229=J$3,SUMIF('TL17'!$C$238:$C$451,$C19,'TL17'!$J$238:$J$451),0),
IF('TL18'!$B$3=J$3,SUMIF('TL18'!$C$10:$C$224,$C19,'TL18'!$J$10:$J$224),0),
IF('TL18'!$B$229=J$3,SUMIF('TL18'!$C$238:$C$451,$C19,'TL18'!$J$238:$J$451),0),
IF('TL19'!$B$3=J$3,SUMIF('TL19'!$C$10:$C$224,$C19,'TL19'!$J$10:$J$224),0),
IF('TL19'!$B$229=J$3,SUMIF('TL19'!$C$238:$C$451,$C19,'TL19'!$J$238:$J$451),0)
),0)</f>
        <v/>
      </c>
      <c r="K19" s="9">
        <f>IFERROR(SUM(
IF('TL01'!$B$3=K$3,SUMIF('TL01'!$C$10:$C$224,$C19,'TL01'!$J$10:$J$224),0),
IF('TL01'!$B$229=K$3,SUMIF('TL01'!$C$238:$C$451,$C19,'TL01'!$J$238:$J$451),0),
IF('TL02'!$B$3=K$3,SUMIF('TL02'!$C$10:$C$224,$C19,'TL02'!$J$10:$J$224),0),
IF('TL02'!$B$229=K$3,SUMIF('TL02'!$C$238:$C$451,$C19,'TL02'!$J$238:$J$451),0),
IF('TL03'!$B$3=K$3,SUMIF('TL03'!$C$10:$C$224,$C19,'TL03'!$J$10:$J$224),0),
IF('TL03'!$B$229=K$3,SUMIF('TL03'!$C$238:$C$451,$C19,'TL03'!$J$238:$J$451),0),
IF('TL04'!$B$3=K$3,SUMIF('TL04'!$C$10:$C$224,$C19,'TL04'!$J$10:$J$224),0),
IF('TL04'!$B$229=K$3,SUMIF('TL04'!$C$238:$C$451,$C19,'TL04'!$J$238:$J$451),0),
IF('TL05'!$B$3=K$3,SUMIF('TL05'!$C$10:$C$224,$C19,'TL05'!$J$10:$J$224),0),
IF('TL05'!$B$229=K$3,SUMIF('TL05'!$C$238:$C$451,$C19,'TL05'!$J$238:$J$451),0),
IF('TL06'!$B$3=K$3,SUMIF('TL06'!$C$10:$C$224,$C19,'TL06'!$J$10:$J$224),0),
IF('TL06'!$B$229=K$3,SUMIF('TL06'!$C$238:$C$451,$C19,'TL06'!$J$238:$J$451),0),
IF('TL07'!$B$3=K$3,SUMIF('TL07'!$C$10:$C$224,$C19,'TL07'!$J$10:$J$224),0),
IF('TL07'!$B$229=K$3,SUMIF('TL07'!$C$238:$C$451,$C19,'TL07'!$J$238:$J$451),0),
IF('TL08'!$B$3=K$3,SUMIF('TL08'!$C$10:$C$224,$C19,'TL08'!$J$10:$J$224),0),
IF('TL08'!$B$229=K$3,SUMIF('TL08'!$C$238:$C$451,$C19,'TL08'!$J$238:$J$451),0),
IF('TL09'!$B$3=K$3,SUMIF('TL09'!$C$10:$C$224,$C19,'TL09'!$J$10:$J$224),0),
IF('TL09'!$B$229=K$3,SUMIF('TL09'!$C$238:$C$451,$C19,'TL09'!$J$238:$J$451),0),
IF('TL10'!$B$3=K$3,SUMIF('TL10'!$C$10:$C$224,$C19,'TL10'!$J$10:$J$224),0),
IF('TL10'!$B$229=K$3,SUMIF('TL10'!$C$238:$C$451,$C19,'TL10'!$J$238:$J$451),0),
IF('TL11'!$B$3=K$3,SUMIF('TL11'!$C$10:$C$224,$C19,'TL11'!$J$10:$J$224),0),
IF('TL11'!$B$229=K$3,SUMIF('TL11'!$C$238:$C$451,$C19,'TL11'!$J$238:$J$451),0),
IF('TL12'!$B$3=K$3,SUMIF('TL12'!$C$10:$C$224,$C19,'TL12'!$J$10:$J$224),0),
IF('TL12'!$B$229=K$3,SUMIF('TL12'!$C$238:$C$451,$C19,'TL12'!$J$238:$J$451),0),
IF('TL13'!$B$3=K$3,SUMIF('TL13'!$C$10:$C$224,$C19,'TL13'!$J$10:$J$224),0),
IF('TL13'!$B$229=K$3,SUMIF('TL13'!$C$238:$C$451,$C19,'TL13'!$J$238:$J$451),0),
IF('TL14'!$B$3=K$3,SUMIF('TL14'!$C$10:$C$224,$C19,'TL14'!$J$10:$J$224),0),
IF('TL14'!$B$229=K$3,SUMIF('TL14'!$C$238:$C$451,$C19,'TL14'!$J$238:$J$451),0),
IF('TL15'!$B$3=K$3,SUMIF('TL15'!$C$10:$C$224,$C19,'TL15'!$J$10:$J$224),0),
IF('TL15'!$B$229=K$3,SUMIF('TL15'!$C$238:$C$451,$C19,'TL15'!$J$238:$J$451),0),
IF('TL16'!$B$3=K$3,SUMIF('TL16'!$C$10:$C$224,$C19,'TL16'!$J$10:$J$224),0),
IF('TL16'!$B$229=K$3,SUMIF('TL16'!$C$238:$C$451,$C19,'TL16'!$J$238:$J$451),0),
IF('TL17'!$B$3=K$3,SUMIF('TL17'!$C$10:$C$224,$C19,'TL17'!$J$10:$J$224),0),
IF('TL17'!$B$229=K$3,SUMIF('TL17'!$C$238:$C$451,$C19,'TL17'!$J$238:$J$451),0),
IF('TL18'!$B$3=K$3,SUMIF('TL18'!$C$10:$C$224,$C19,'TL18'!$J$10:$J$224),0),
IF('TL18'!$B$229=K$3,SUMIF('TL18'!$C$238:$C$451,$C19,'TL18'!$J$238:$J$451),0),
IF('TL19'!$B$3=K$3,SUMIF('TL19'!$C$10:$C$224,$C19,'TL19'!$J$10:$J$224),0),
IF('TL19'!$B$229=K$3,SUMIF('TL19'!$C$238:$C$451,$C19,'TL19'!$J$238:$J$451),0)
),0)</f>
        <v/>
      </c>
      <c r="L19" s="9">
        <f>IFERROR(SUM(
IF('TL01'!$B$3=L$3,SUMIF('TL01'!$C$10:$C$224,$C19,'TL01'!$J$10:$J$224),0),
IF('TL01'!$B$229=L$3,SUMIF('TL01'!$C$238:$C$451,$C19,'TL01'!$J$238:$J$451),0),
IF('TL02'!$B$3=L$3,SUMIF('TL02'!$C$10:$C$224,$C19,'TL02'!$J$10:$J$224),0),
IF('TL02'!$B$229=L$3,SUMIF('TL02'!$C$238:$C$451,$C19,'TL02'!$J$238:$J$451),0),
IF('TL03'!$B$3=L$3,SUMIF('TL03'!$C$10:$C$224,$C19,'TL03'!$J$10:$J$224),0),
IF('TL03'!$B$229=L$3,SUMIF('TL03'!$C$238:$C$451,$C19,'TL03'!$J$238:$J$451),0),
IF('TL04'!$B$3=L$3,SUMIF('TL04'!$C$10:$C$224,$C19,'TL04'!$J$10:$J$224),0),
IF('TL04'!$B$229=L$3,SUMIF('TL04'!$C$238:$C$451,$C19,'TL04'!$J$238:$J$451),0),
IF('TL05'!$B$3=L$3,SUMIF('TL05'!$C$10:$C$224,$C19,'TL05'!$J$10:$J$224),0),
IF('TL05'!$B$229=L$3,SUMIF('TL05'!$C$238:$C$451,$C19,'TL05'!$J$238:$J$451),0),
IF('TL06'!$B$3=L$3,SUMIF('TL06'!$C$10:$C$224,$C19,'TL06'!$J$10:$J$224),0),
IF('TL06'!$B$229=L$3,SUMIF('TL06'!$C$238:$C$451,$C19,'TL06'!$J$238:$J$451),0),
IF('TL07'!$B$3=L$3,SUMIF('TL07'!$C$10:$C$224,$C19,'TL07'!$J$10:$J$224),0),
IF('TL07'!$B$229=L$3,SUMIF('TL07'!$C$238:$C$451,$C19,'TL07'!$J$238:$J$451),0),
IF('TL08'!$B$3=L$3,SUMIF('TL08'!$C$10:$C$224,$C19,'TL08'!$J$10:$J$224),0),
IF('TL08'!$B$229=L$3,SUMIF('TL08'!$C$238:$C$451,$C19,'TL08'!$J$238:$J$451),0),
IF('TL09'!$B$3=L$3,SUMIF('TL09'!$C$10:$C$224,$C19,'TL09'!$J$10:$J$224),0),
IF('TL09'!$B$229=L$3,SUMIF('TL09'!$C$238:$C$451,$C19,'TL09'!$J$238:$J$451),0),
IF('TL10'!$B$3=L$3,SUMIF('TL10'!$C$10:$C$224,$C19,'TL10'!$J$10:$J$224),0),
IF('TL10'!$B$229=L$3,SUMIF('TL10'!$C$238:$C$451,$C19,'TL10'!$J$238:$J$451),0),
IF('TL11'!$B$3=L$3,SUMIF('TL11'!$C$10:$C$224,$C19,'TL11'!$J$10:$J$224),0),
IF('TL11'!$B$229=L$3,SUMIF('TL11'!$C$238:$C$451,$C19,'TL11'!$J$238:$J$451),0),
IF('TL12'!$B$3=L$3,SUMIF('TL12'!$C$10:$C$224,$C19,'TL12'!$J$10:$J$224),0),
IF('TL12'!$B$229=L$3,SUMIF('TL12'!$C$238:$C$451,$C19,'TL12'!$J$238:$J$451),0),
IF('TL13'!$B$3=L$3,SUMIF('TL13'!$C$10:$C$224,$C19,'TL13'!$J$10:$J$224),0),
IF('TL13'!$B$229=L$3,SUMIF('TL13'!$C$238:$C$451,$C19,'TL13'!$J$238:$J$451),0),
IF('TL14'!$B$3=L$3,SUMIF('TL14'!$C$10:$C$224,$C19,'TL14'!$J$10:$J$224),0),
IF('TL14'!$B$229=L$3,SUMIF('TL14'!$C$238:$C$451,$C19,'TL14'!$J$238:$J$451),0),
IF('TL15'!$B$3=L$3,SUMIF('TL15'!$C$10:$C$224,$C19,'TL15'!$J$10:$J$224),0),
IF('TL15'!$B$229=L$3,SUMIF('TL15'!$C$238:$C$451,$C19,'TL15'!$J$238:$J$451),0),
IF('TL16'!$B$3=L$3,SUMIF('TL16'!$C$10:$C$224,$C19,'TL16'!$J$10:$J$224),0),
IF('TL16'!$B$229=L$3,SUMIF('TL16'!$C$238:$C$451,$C19,'TL16'!$J$238:$J$451),0),
IF('TL17'!$B$3=L$3,SUMIF('TL17'!$C$10:$C$224,$C19,'TL17'!$J$10:$J$224),0),
IF('TL17'!$B$229=L$3,SUMIF('TL17'!$C$238:$C$451,$C19,'TL17'!$J$238:$J$451),0),
IF('TL18'!$B$3=L$3,SUMIF('TL18'!$C$10:$C$224,$C19,'TL18'!$J$10:$J$224),0),
IF('TL18'!$B$229=L$3,SUMIF('TL18'!$C$238:$C$451,$C19,'TL18'!$J$238:$J$451),0),
IF('TL19'!$B$3=L$3,SUMIF('TL19'!$C$10:$C$224,$C19,'TL19'!$J$10:$J$224),0),
IF('TL19'!$B$229=L$3,SUMIF('TL19'!$C$238:$C$451,$C19,'TL19'!$J$238:$J$451),0)
),0)</f>
        <v/>
      </c>
      <c r="M19" s="9">
        <f>IFERROR(SUM(
IF('TL01'!$B$3=M$3,SUMIF('TL01'!$C$10:$C$224,$C19,'TL01'!$J$10:$J$224),0),
IF('TL01'!$B$229=M$3,SUMIF('TL01'!$C$238:$C$451,$C19,'TL01'!$J$238:$J$451),0),
IF('TL02'!$B$3=M$3,SUMIF('TL02'!$C$10:$C$224,$C19,'TL02'!$J$10:$J$224),0),
IF('TL02'!$B$229=M$3,SUMIF('TL02'!$C$238:$C$451,$C19,'TL02'!$J$238:$J$451),0),
IF('TL03'!$B$3=M$3,SUMIF('TL03'!$C$10:$C$224,$C19,'TL03'!$J$10:$J$224),0),
IF('TL03'!$B$229=M$3,SUMIF('TL03'!$C$238:$C$451,$C19,'TL03'!$J$238:$J$451),0),
IF('TL04'!$B$3=M$3,SUMIF('TL04'!$C$10:$C$224,$C19,'TL04'!$J$10:$J$224),0),
IF('TL04'!$B$229=M$3,SUMIF('TL04'!$C$238:$C$451,$C19,'TL04'!$J$238:$J$451),0),
IF('TL05'!$B$3=M$3,SUMIF('TL05'!$C$10:$C$224,$C19,'TL05'!$J$10:$J$224),0),
IF('TL05'!$B$229=M$3,SUMIF('TL05'!$C$238:$C$451,$C19,'TL05'!$J$238:$J$451),0),
IF('TL06'!$B$3=M$3,SUMIF('TL06'!$C$10:$C$224,$C19,'TL06'!$J$10:$J$224),0),
IF('TL06'!$B$229=M$3,SUMIF('TL06'!$C$238:$C$451,$C19,'TL06'!$J$238:$J$451),0),
IF('TL07'!$B$3=M$3,SUMIF('TL07'!$C$10:$C$224,$C19,'TL07'!$J$10:$J$224),0),
IF('TL07'!$B$229=M$3,SUMIF('TL07'!$C$238:$C$451,$C19,'TL07'!$J$238:$J$451),0),
IF('TL08'!$B$3=M$3,SUMIF('TL08'!$C$10:$C$224,$C19,'TL08'!$J$10:$J$224),0),
IF('TL08'!$B$229=M$3,SUMIF('TL08'!$C$238:$C$451,$C19,'TL08'!$J$238:$J$451),0),
IF('TL09'!$B$3=M$3,SUMIF('TL09'!$C$10:$C$224,$C19,'TL09'!$J$10:$J$224),0),
IF('TL09'!$B$229=M$3,SUMIF('TL09'!$C$238:$C$451,$C19,'TL09'!$J$238:$J$451),0),
IF('TL10'!$B$3=M$3,SUMIF('TL10'!$C$10:$C$224,$C19,'TL10'!$J$10:$J$224),0),
IF('TL10'!$B$229=M$3,SUMIF('TL10'!$C$238:$C$451,$C19,'TL10'!$J$238:$J$451),0),
IF('TL11'!$B$3=M$3,SUMIF('TL11'!$C$10:$C$224,$C19,'TL11'!$J$10:$J$224),0),
IF('TL11'!$B$229=M$3,SUMIF('TL11'!$C$238:$C$451,$C19,'TL11'!$J$238:$J$451),0),
IF('TL12'!$B$3=M$3,SUMIF('TL12'!$C$10:$C$224,$C19,'TL12'!$J$10:$J$224),0),
IF('TL12'!$B$229=M$3,SUMIF('TL12'!$C$238:$C$451,$C19,'TL12'!$J$238:$J$451),0),
IF('TL13'!$B$3=M$3,SUMIF('TL13'!$C$10:$C$224,$C19,'TL13'!$J$10:$J$224),0),
IF('TL13'!$B$229=M$3,SUMIF('TL13'!$C$238:$C$451,$C19,'TL13'!$J$238:$J$451),0),
IF('TL14'!$B$3=M$3,SUMIF('TL14'!$C$10:$C$224,$C19,'TL14'!$J$10:$J$224),0),
IF('TL14'!$B$229=M$3,SUMIF('TL14'!$C$238:$C$451,$C19,'TL14'!$J$238:$J$451),0),
IF('TL15'!$B$3=M$3,SUMIF('TL15'!$C$10:$C$224,$C19,'TL15'!$J$10:$J$224),0),
IF('TL15'!$B$229=M$3,SUMIF('TL15'!$C$238:$C$451,$C19,'TL15'!$J$238:$J$451),0),
IF('TL16'!$B$3=M$3,SUMIF('TL16'!$C$10:$C$224,$C19,'TL16'!$J$10:$J$224),0),
IF('TL16'!$B$229=M$3,SUMIF('TL16'!$C$238:$C$451,$C19,'TL16'!$J$238:$J$451),0),
IF('TL17'!$B$3=M$3,SUMIF('TL17'!$C$10:$C$224,$C19,'TL17'!$J$10:$J$224),0),
IF('TL17'!$B$229=M$3,SUMIF('TL17'!$C$238:$C$451,$C19,'TL17'!$J$238:$J$451),0),
IF('TL18'!$B$3=M$3,SUMIF('TL18'!$C$10:$C$224,$C19,'TL18'!$J$10:$J$224),0),
IF('TL18'!$B$229=M$3,SUMIF('TL18'!$C$238:$C$451,$C19,'TL18'!$J$238:$J$451),0),
IF('TL19'!$B$3=M$3,SUMIF('TL19'!$C$10:$C$224,$C19,'TL19'!$J$10:$J$224),0),
IF('TL19'!$B$229=M$3,SUMIF('TL19'!$C$238:$C$451,$C19,'TL19'!$J$238:$J$451),0)
),0)</f>
        <v/>
      </c>
      <c r="N19" s="9">
        <f>IFERROR(SUM(
IF('TL01'!$B$3=N$3,SUMIF('TL01'!$C$10:$C$224,$C19,'TL01'!$J$10:$J$224),0),
IF('TL01'!$B$229=N$3,SUMIF('TL01'!$C$238:$C$451,$C19,'TL01'!$J$238:$J$451),0),
IF('TL02'!$B$3=N$3,SUMIF('TL02'!$C$10:$C$224,$C19,'TL02'!$J$10:$J$224),0),
IF('TL02'!$B$229=N$3,SUMIF('TL02'!$C$238:$C$451,$C19,'TL02'!$J$238:$J$451),0),
IF('TL03'!$B$3=N$3,SUMIF('TL03'!$C$10:$C$224,$C19,'TL03'!$J$10:$J$224),0),
IF('TL03'!$B$229=N$3,SUMIF('TL03'!$C$238:$C$451,$C19,'TL03'!$J$238:$J$451),0),
IF('TL04'!$B$3=N$3,SUMIF('TL04'!$C$10:$C$224,$C19,'TL04'!$J$10:$J$224),0),
IF('TL04'!$B$229=N$3,SUMIF('TL04'!$C$238:$C$451,$C19,'TL04'!$J$238:$J$451),0),
IF('TL05'!$B$3=N$3,SUMIF('TL05'!$C$10:$C$224,$C19,'TL05'!$J$10:$J$224),0),
IF('TL05'!$B$229=N$3,SUMIF('TL05'!$C$238:$C$451,$C19,'TL05'!$J$238:$J$451),0),
IF('TL06'!$B$3=N$3,SUMIF('TL06'!$C$10:$C$224,$C19,'TL06'!$J$10:$J$224),0),
IF('TL06'!$B$229=N$3,SUMIF('TL06'!$C$238:$C$451,$C19,'TL06'!$J$238:$J$451),0),
IF('TL07'!$B$3=N$3,SUMIF('TL07'!$C$10:$C$224,$C19,'TL07'!$J$10:$J$224),0),
IF('TL07'!$B$229=N$3,SUMIF('TL07'!$C$238:$C$451,$C19,'TL07'!$J$238:$J$451),0),
IF('TL08'!$B$3=N$3,SUMIF('TL08'!$C$10:$C$224,$C19,'TL08'!$J$10:$J$224),0),
IF('TL08'!$B$229=N$3,SUMIF('TL08'!$C$238:$C$451,$C19,'TL08'!$J$238:$J$451),0),
IF('TL09'!$B$3=N$3,SUMIF('TL09'!$C$10:$C$224,$C19,'TL09'!$J$10:$J$224),0),
IF('TL09'!$B$229=N$3,SUMIF('TL09'!$C$238:$C$451,$C19,'TL09'!$J$238:$J$451),0),
IF('TL10'!$B$3=N$3,SUMIF('TL10'!$C$10:$C$224,$C19,'TL10'!$J$10:$J$224),0),
IF('TL10'!$B$229=N$3,SUMIF('TL10'!$C$238:$C$451,$C19,'TL10'!$J$238:$J$451),0),
IF('TL11'!$B$3=N$3,SUMIF('TL11'!$C$10:$C$224,$C19,'TL11'!$J$10:$J$224),0),
IF('TL11'!$B$229=N$3,SUMIF('TL11'!$C$238:$C$451,$C19,'TL11'!$J$238:$J$451),0),
IF('TL12'!$B$3=N$3,SUMIF('TL12'!$C$10:$C$224,$C19,'TL12'!$J$10:$J$224),0),
IF('TL12'!$B$229=N$3,SUMIF('TL12'!$C$238:$C$451,$C19,'TL12'!$J$238:$J$451),0),
IF('TL13'!$B$3=N$3,SUMIF('TL13'!$C$10:$C$224,$C19,'TL13'!$J$10:$J$224),0),
IF('TL13'!$B$229=N$3,SUMIF('TL13'!$C$238:$C$451,$C19,'TL13'!$J$238:$J$451),0),
IF('TL14'!$B$3=N$3,SUMIF('TL14'!$C$10:$C$224,$C19,'TL14'!$J$10:$J$224),0),
IF('TL14'!$B$229=N$3,SUMIF('TL14'!$C$238:$C$451,$C19,'TL14'!$J$238:$J$451),0),
IF('TL15'!$B$3=N$3,SUMIF('TL15'!$C$10:$C$224,$C19,'TL15'!$J$10:$J$224),0),
IF('TL15'!$B$229=N$3,SUMIF('TL15'!$C$238:$C$451,$C19,'TL15'!$J$238:$J$451),0),
IF('TL16'!$B$3=N$3,SUMIF('TL16'!$C$10:$C$224,$C19,'TL16'!$J$10:$J$224),0),
IF('TL16'!$B$229=N$3,SUMIF('TL16'!$C$238:$C$451,$C19,'TL16'!$J$238:$J$451),0),
IF('TL17'!$B$3=N$3,SUMIF('TL17'!$C$10:$C$224,$C19,'TL17'!$J$10:$J$224),0),
IF('TL17'!$B$229=N$3,SUMIF('TL17'!$C$238:$C$451,$C19,'TL17'!$J$238:$J$451),0),
IF('TL18'!$B$3=N$3,SUMIF('TL18'!$C$10:$C$224,$C19,'TL18'!$J$10:$J$224),0),
IF('TL18'!$B$229=N$3,SUMIF('TL18'!$C$238:$C$451,$C19,'TL18'!$J$238:$J$451),0),
IF('TL19'!$B$3=N$3,SUMIF('TL19'!$C$10:$C$224,$C19,'TL19'!$J$10:$J$224),0),
IF('TL19'!$B$229=N$3,SUMIF('TL19'!$C$238:$C$451,$C19,'TL19'!$J$238:$J$451),0)
),0)</f>
        <v/>
      </c>
      <c r="O19" s="9">
        <f>IFERROR(SUM(
IF('TL01'!$B$3=O$3,SUMIF('TL01'!$C$10:$C$224,$C19,'TL01'!$J$10:$J$224),0),
IF('TL01'!$B$229=O$3,SUMIF('TL01'!$C$238:$C$451,$C19,'TL01'!$J$238:$J$451),0),
IF('TL02'!$B$3=O$3,SUMIF('TL02'!$C$10:$C$224,$C19,'TL02'!$J$10:$J$224),0),
IF('TL02'!$B$229=O$3,SUMIF('TL02'!$C$238:$C$451,$C19,'TL02'!$J$238:$J$451),0),
IF('TL03'!$B$3=O$3,SUMIF('TL03'!$C$10:$C$224,$C19,'TL03'!$J$10:$J$224),0),
IF('TL03'!$B$229=O$3,SUMIF('TL03'!$C$238:$C$451,$C19,'TL03'!$J$238:$J$451),0),
IF('TL04'!$B$3=O$3,SUMIF('TL04'!$C$10:$C$224,$C19,'TL04'!$J$10:$J$224),0),
IF('TL04'!$B$229=O$3,SUMIF('TL04'!$C$238:$C$451,$C19,'TL04'!$J$238:$J$451),0),
IF('TL05'!$B$3=O$3,SUMIF('TL05'!$C$10:$C$224,$C19,'TL05'!$J$10:$J$224),0),
IF('TL05'!$B$229=O$3,SUMIF('TL05'!$C$238:$C$451,$C19,'TL05'!$J$238:$J$451),0),
IF('TL06'!$B$3=O$3,SUMIF('TL06'!$C$10:$C$224,$C19,'TL06'!$J$10:$J$224),0),
IF('TL06'!$B$229=O$3,SUMIF('TL06'!$C$238:$C$451,$C19,'TL06'!$J$238:$J$451),0),
IF('TL07'!$B$3=O$3,SUMIF('TL07'!$C$10:$C$224,$C19,'TL07'!$J$10:$J$224),0),
IF('TL07'!$B$229=O$3,SUMIF('TL07'!$C$238:$C$451,$C19,'TL07'!$J$238:$J$451),0),
IF('TL08'!$B$3=O$3,SUMIF('TL08'!$C$10:$C$224,$C19,'TL08'!$J$10:$J$224),0),
IF('TL08'!$B$229=O$3,SUMIF('TL08'!$C$238:$C$451,$C19,'TL08'!$J$238:$J$451),0),
IF('TL09'!$B$3=O$3,SUMIF('TL09'!$C$10:$C$224,$C19,'TL09'!$J$10:$J$224),0),
IF('TL09'!$B$229=O$3,SUMIF('TL09'!$C$238:$C$451,$C19,'TL09'!$J$238:$J$451),0),
IF('TL10'!$B$3=O$3,SUMIF('TL10'!$C$10:$C$224,$C19,'TL10'!$J$10:$J$224),0),
IF('TL10'!$B$229=O$3,SUMIF('TL10'!$C$238:$C$451,$C19,'TL10'!$J$238:$J$451),0),
IF('TL11'!$B$3=O$3,SUMIF('TL11'!$C$10:$C$224,$C19,'TL11'!$J$10:$J$224),0),
IF('TL11'!$B$229=O$3,SUMIF('TL11'!$C$238:$C$451,$C19,'TL11'!$J$238:$J$451),0),
IF('TL12'!$B$3=O$3,SUMIF('TL12'!$C$10:$C$224,$C19,'TL12'!$J$10:$J$224),0),
IF('TL12'!$B$229=O$3,SUMIF('TL12'!$C$238:$C$451,$C19,'TL12'!$J$238:$J$451),0),
IF('TL13'!$B$3=O$3,SUMIF('TL13'!$C$10:$C$224,$C19,'TL13'!$J$10:$J$224),0),
IF('TL13'!$B$229=O$3,SUMIF('TL13'!$C$238:$C$451,$C19,'TL13'!$J$238:$J$451),0),
IF('TL14'!$B$3=O$3,SUMIF('TL14'!$C$10:$C$224,$C19,'TL14'!$J$10:$J$224),0),
IF('TL14'!$B$229=O$3,SUMIF('TL14'!$C$238:$C$451,$C19,'TL14'!$J$238:$J$451),0),
IF('TL15'!$B$3=O$3,SUMIF('TL15'!$C$10:$C$224,$C19,'TL15'!$J$10:$J$224),0),
IF('TL15'!$B$229=O$3,SUMIF('TL15'!$C$238:$C$451,$C19,'TL15'!$J$238:$J$451),0),
IF('TL16'!$B$3=O$3,SUMIF('TL16'!$C$10:$C$224,$C19,'TL16'!$J$10:$J$224),0),
IF('TL16'!$B$229=O$3,SUMIF('TL16'!$C$238:$C$451,$C19,'TL16'!$J$238:$J$451),0),
IF('TL17'!$B$3=O$3,SUMIF('TL17'!$C$10:$C$224,$C19,'TL17'!$J$10:$J$224),0),
IF('TL17'!$B$229=O$3,SUMIF('TL17'!$C$238:$C$451,$C19,'TL17'!$J$238:$J$451),0),
IF('TL18'!$B$3=O$3,SUMIF('TL18'!$C$10:$C$224,$C19,'TL18'!$J$10:$J$224),0),
IF('TL18'!$B$229=O$3,SUMIF('TL18'!$C$238:$C$451,$C19,'TL18'!$J$238:$J$451),0),
IF('TL19'!$B$3=O$3,SUMIF('TL19'!$C$10:$C$224,$C19,'TL19'!$J$10:$J$224),0),
IF('TL19'!$B$229=O$3,SUMIF('TL19'!$C$238:$C$451,$C19,'TL19'!$J$238:$J$451),0)
),0)</f>
        <v/>
      </c>
      <c r="P19" s="9">
        <f>IFERROR(SUM(
IF('TL01'!$B$3=P$3,SUMIF('TL01'!$C$10:$C$224,$C19,'TL01'!$J$10:$J$224),0),
IF('TL01'!$B$229=P$3,SUMIF('TL01'!$C$238:$C$451,$C19,'TL01'!$J$238:$J$451),0),
IF('TL02'!$B$3=P$3,SUMIF('TL02'!$C$10:$C$224,$C19,'TL02'!$J$10:$J$224),0),
IF('TL02'!$B$229=P$3,SUMIF('TL02'!$C$238:$C$451,$C19,'TL02'!$J$238:$J$451),0),
IF('TL03'!$B$3=P$3,SUMIF('TL03'!$C$10:$C$224,$C19,'TL03'!$J$10:$J$224),0),
IF('TL03'!$B$229=P$3,SUMIF('TL03'!$C$238:$C$451,$C19,'TL03'!$J$238:$J$451),0),
IF('TL04'!$B$3=P$3,SUMIF('TL04'!$C$10:$C$224,$C19,'TL04'!$J$10:$J$224),0),
IF('TL04'!$B$229=P$3,SUMIF('TL04'!$C$238:$C$451,$C19,'TL04'!$J$238:$J$451),0),
IF('TL05'!$B$3=P$3,SUMIF('TL05'!$C$10:$C$224,$C19,'TL05'!$J$10:$J$224),0),
IF('TL05'!$B$229=P$3,SUMIF('TL05'!$C$238:$C$451,$C19,'TL05'!$J$238:$J$451),0),
IF('TL06'!$B$3=P$3,SUMIF('TL06'!$C$10:$C$224,$C19,'TL06'!$J$10:$J$224),0),
IF('TL06'!$B$229=P$3,SUMIF('TL06'!$C$238:$C$451,$C19,'TL06'!$J$238:$J$451),0),
IF('TL07'!$B$3=P$3,SUMIF('TL07'!$C$10:$C$224,$C19,'TL07'!$J$10:$J$224),0),
IF('TL07'!$B$229=P$3,SUMIF('TL07'!$C$238:$C$451,$C19,'TL07'!$J$238:$J$451),0),
IF('TL08'!$B$3=P$3,SUMIF('TL08'!$C$10:$C$224,$C19,'TL08'!$J$10:$J$224),0),
IF('TL08'!$B$229=P$3,SUMIF('TL08'!$C$238:$C$451,$C19,'TL08'!$J$238:$J$451),0),
IF('TL09'!$B$3=P$3,SUMIF('TL09'!$C$10:$C$224,$C19,'TL09'!$J$10:$J$224),0),
IF('TL09'!$B$229=P$3,SUMIF('TL09'!$C$238:$C$451,$C19,'TL09'!$J$238:$J$451),0),
IF('TL10'!$B$3=P$3,SUMIF('TL10'!$C$10:$C$224,$C19,'TL10'!$J$10:$J$224),0),
IF('TL10'!$B$229=P$3,SUMIF('TL10'!$C$238:$C$451,$C19,'TL10'!$J$238:$J$451),0),
IF('TL11'!$B$3=P$3,SUMIF('TL11'!$C$10:$C$224,$C19,'TL11'!$J$10:$J$224),0),
IF('TL11'!$B$229=P$3,SUMIF('TL11'!$C$238:$C$451,$C19,'TL11'!$J$238:$J$451),0),
IF('TL12'!$B$3=P$3,SUMIF('TL12'!$C$10:$C$224,$C19,'TL12'!$J$10:$J$224),0),
IF('TL12'!$B$229=P$3,SUMIF('TL12'!$C$238:$C$451,$C19,'TL12'!$J$238:$J$451),0),
IF('TL13'!$B$3=P$3,SUMIF('TL13'!$C$10:$C$224,$C19,'TL13'!$J$10:$J$224),0),
IF('TL13'!$B$229=P$3,SUMIF('TL13'!$C$238:$C$451,$C19,'TL13'!$J$238:$J$451),0),
IF('TL14'!$B$3=P$3,SUMIF('TL14'!$C$10:$C$224,$C19,'TL14'!$J$10:$J$224),0),
IF('TL14'!$B$229=P$3,SUMIF('TL14'!$C$238:$C$451,$C19,'TL14'!$J$238:$J$451),0),
IF('TL15'!$B$3=P$3,SUMIF('TL15'!$C$10:$C$224,$C19,'TL15'!$J$10:$J$224),0),
IF('TL15'!$B$229=P$3,SUMIF('TL15'!$C$238:$C$451,$C19,'TL15'!$J$238:$J$451),0),
IF('TL16'!$B$3=P$3,SUMIF('TL16'!$C$10:$C$224,$C19,'TL16'!$J$10:$J$224),0),
IF('TL16'!$B$229=P$3,SUMIF('TL16'!$C$238:$C$451,$C19,'TL16'!$J$238:$J$451),0),
IF('TL17'!$B$3=P$3,SUMIF('TL17'!$C$10:$C$224,$C19,'TL17'!$J$10:$J$224),0),
IF('TL17'!$B$229=P$3,SUMIF('TL17'!$C$238:$C$451,$C19,'TL17'!$J$238:$J$451),0),
IF('TL18'!$B$3=P$3,SUMIF('TL18'!$C$10:$C$224,$C19,'TL18'!$J$10:$J$224),0),
IF('TL18'!$B$229=P$3,SUMIF('TL18'!$C$238:$C$451,$C19,'TL18'!$J$238:$J$451),0),
IF('TL19'!$B$3=P$3,SUMIF('TL19'!$C$10:$C$224,$C19,'TL19'!$J$10:$J$224),0),
IF('TL19'!$B$229=P$3,SUMIF('TL19'!$C$238:$C$451,$C19,'TL19'!$J$238:$J$451),0)
),0)</f>
        <v/>
      </c>
      <c r="Q19" s="9">
        <f>IFERROR(SUM(
IF('TL01'!$B$3=Q$3,SUMIF('TL01'!$C$10:$C$224,$C19,'TL01'!$J$10:$J$224),0),
IF('TL01'!$B$229=Q$3,SUMIF('TL01'!$C$238:$C$451,$C19,'TL01'!$J$238:$J$451),0),
IF('TL02'!$B$3=Q$3,SUMIF('TL02'!$C$10:$C$224,$C19,'TL02'!$J$10:$J$224),0),
IF('TL02'!$B$229=Q$3,SUMIF('TL02'!$C$238:$C$451,$C19,'TL02'!$J$238:$J$451),0),
IF('TL03'!$B$3=Q$3,SUMIF('TL03'!$C$10:$C$224,$C19,'TL03'!$J$10:$J$224),0),
IF('TL03'!$B$229=Q$3,SUMIF('TL03'!$C$238:$C$451,$C19,'TL03'!$J$238:$J$451),0),
IF('TL04'!$B$3=Q$3,SUMIF('TL04'!$C$10:$C$224,$C19,'TL04'!$J$10:$J$224),0),
IF('TL04'!$B$229=Q$3,SUMIF('TL04'!$C$238:$C$451,$C19,'TL04'!$J$238:$J$451),0),
IF('TL05'!$B$3=Q$3,SUMIF('TL05'!$C$10:$C$224,$C19,'TL05'!$J$10:$J$224),0),
IF('TL05'!$B$229=Q$3,SUMIF('TL05'!$C$238:$C$451,$C19,'TL05'!$J$238:$J$451),0),
IF('TL06'!$B$3=Q$3,SUMIF('TL06'!$C$10:$C$224,$C19,'TL06'!$J$10:$J$224),0),
IF('TL06'!$B$229=Q$3,SUMIF('TL06'!$C$238:$C$451,$C19,'TL06'!$J$238:$J$451),0),
IF('TL07'!$B$3=Q$3,SUMIF('TL07'!$C$10:$C$224,$C19,'TL07'!$J$10:$J$224),0),
IF('TL07'!$B$229=Q$3,SUMIF('TL07'!$C$238:$C$451,$C19,'TL07'!$J$238:$J$451),0),
IF('TL08'!$B$3=Q$3,SUMIF('TL08'!$C$10:$C$224,$C19,'TL08'!$J$10:$J$224),0),
IF('TL08'!$B$229=Q$3,SUMIF('TL08'!$C$238:$C$451,$C19,'TL08'!$J$238:$J$451),0),
IF('TL09'!$B$3=Q$3,SUMIF('TL09'!$C$10:$C$224,$C19,'TL09'!$J$10:$J$224),0),
IF('TL09'!$B$229=Q$3,SUMIF('TL09'!$C$238:$C$451,$C19,'TL09'!$J$238:$J$451),0),
IF('TL10'!$B$3=Q$3,SUMIF('TL10'!$C$10:$C$224,$C19,'TL10'!$J$10:$J$224),0),
IF('TL10'!$B$229=Q$3,SUMIF('TL10'!$C$238:$C$451,$C19,'TL10'!$J$238:$J$451),0),
IF('TL11'!$B$3=Q$3,SUMIF('TL11'!$C$10:$C$224,$C19,'TL11'!$J$10:$J$224),0),
IF('TL11'!$B$229=Q$3,SUMIF('TL11'!$C$238:$C$451,$C19,'TL11'!$J$238:$J$451),0),
IF('TL12'!$B$3=Q$3,SUMIF('TL12'!$C$10:$C$224,$C19,'TL12'!$J$10:$J$224),0),
IF('TL12'!$B$229=Q$3,SUMIF('TL12'!$C$238:$C$451,$C19,'TL12'!$J$238:$J$451),0),
IF('TL13'!$B$3=Q$3,SUMIF('TL13'!$C$10:$C$224,$C19,'TL13'!$J$10:$J$224),0),
IF('TL13'!$B$229=Q$3,SUMIF('TL13'!$C$238:$C$451,$C19,'TL13'!$J$238:$J$451),0),
IF('TL14'!$B$3=Q$3,SUMIF('TL14'!$C$10:$C$224,$C19,'TL14'!$J$10:$J$224),0),
IF('TL14'!$B$229=Q$3,SUMIF('TL14'!$C$238:$C$451,$C19,'TL14'!$J$238:$J$451),0),
IF('TL15'!$B$3=Q$3,SUMIF('TL15'!$C$10:$C$224,$C19,'TL15'!$J$10:$J$224),0),
IF('TL15'!$B$229=Q$3,SUMIF('TL15'!$C$238:$C$451,$C19,'TL15'!$J$238:$J$451),0),
IF('TL16'!$B$3=Q$3,SUMIF('TL16'!$C$10:$C$224,$C19,'TL16'!$J$10:$J$224),0),
IF('TL16'!$B$229=Q$3,SUMIF('TL16'!$C$238:$C$451,$C19,'TL16'!$J$238:$J$451),0),
IF('TL17'!$B$3=Q$3,SUMIF('TL17'!$C$10:$C$224,$C19,'TL17'!$J$10:$J$224),0),
IF('TL17'!$B$229=Q$3,SUMIF('TL17'!$C$238:$C$451,$C19,'TL17'!$J$238:$J$451),0),
IF('TL18'!$B$3=Q$3,SUMIF('TL18'!$C$10:$C$224,$C19,'TL18'!$J$10:$J$224),0),
IF('TL18'!$B$229=Q$3,SUMIF('TL18'!$C$238:$C$451,$C19,'TL18'!$J$238:$J$451),0),
IF('TL19'!$B$3=Q$3,SUMIF('TL19'!$C$10:$C$224,$C19,'TL19'!$J$10:$J$224),0),
IF('TL19'!$B$229=Q$3,SUMIF('TL19'!$C$238:$C$451,$C19,'TL19'!$J$238:$J$451),0)
),0)</f>
        <v/>
      </c>
      <c r="R19" s="9">
        <f>IFERROR(
SUM(
SUMIF('TL01'!C:C,C19,'TL01'!J:J),
SUMIF('TL02'!C:C,C19,'TL02'!J:J),
SUMIF('TL03'!C:C,C19,'TL03'!J:J),
SUMIF('TL04'!C:C,C19,'TL04'!J:J),
SUMIF('TL05'!C:C,C19,'TL05'!J:J),
SUMIF('TL06'!C:C,C19,'TL06'!J:J),
SUMIF('TL07'!C:C,C19,'TL07'!J:J),
SUMIF('TL08'!C:C,C19,'TL08'!J:J),
SUMIF('TL09'!C:C,C19,'TL09'!J:J),
SUMIF('TL10'!C:C,C19,'TL10'!J:J),
SUMIF('TL11'!C:C,C19,'TL11'!J:J),
SUMIF('TL12'!C:C,C19,'TL12'!J:J),
SUMIF('TL13'!C:C,C19,'TL13'!J:J),
SUMIF('TL14'!C:C,C19,'TL14'!J:J),
SUMIF('TL15'!C:C,C19,'TL15'!J:J),
SUMIF('TL16'!C:C,C19,'TL16'!J:J),
SUMIF('TL17'!C:C,C19,'TL17'!J:J),
SUMIF('TL18'!C:C,C19,'TL18'!J:J),SUMIF('TL19'!C:C,C19,'TL19'!J:J))
,0)</f>
        <v/>
      </c>
      <c r="S19" s="17">
        <f>IFERROR(__xludf.DUMMYFUNCTION("IFERROR(VLOOKUP(C19,
IMPORTRANGE(""1wULbzX32WdYsx-lj2U3uUNBBe2INVIRDtcK0d-Dvl90"",
""26-27!C:G""),
5,
FALSE),
"""")"),287.413)</f>
        <v/>
      </c>
      <c r="T19" s="9" t="n"/>
      <c r="U19" s="92">
        <f>MAX(0,R19-T19)</f>
        <v/>
      </c>
      <c r="V19" s="93">
        <f>U19*S19</f>
        <v/>
      </c>
    </row>
    <row r="20" hidden="1" ht="22.5" customHeight="1" s="297">
      <c r="A20" s="87" t="inlineStr">
        <is>
          <t>FMC</t>
        </is>
      </c>
      <c r="B20" s="88" t="inlineStr">
        <is>
          <t>BIOLÓGICOs</t>
        </is>
      </c>
      <c r="C20" s="89" t="inlineStr">
        <is>
          <t>PRESENCE FULL</t>
        </is>
      </c>
      <c r="D20" s="89" t="inlineStr">
        <is>
          <t>BACILLUS SUBTILIS, LINHAGEM FMCH002(DSM32155) +
 BACILLUS LICHENIFORMIS, LINHAGEM
 FMCH001(DSM32154)</t>
        </is>
      </c>
      <c r="E20" s="89" t="inlineStr">
        <is>
          <t>200 + 200</t>
        </is>
      </c>
      <c r="F20" s="4" t="inlineStr">
        <is>
          <t>KG</t>
        </is>
      </c>
      <c r="G20" s="90">
        <f>HYPERLINK("https://www.google.com/search?q=" &amp; C20 &amp; "+bula+agrofit+pdf", "📄 Ver bula")</f>
        <v/>
      </c>
      <c r="H20" s="9">
        <f>IFERROR(__xludf.DUMMYFUNCTION("IFERROR(VLOOKUP(C20,
IMPORTRANGE(""1wULbzX32WdYsx-lj2U3uUNBBe2INVIRDtcK0d-Dvl90"",
""26-27!C:K""),
8,
FALSE),
"""")"),0.2)</f>
        <v/>
      </c>
      <c r="I20" s="91" t="inlineStr">
        <is>
          <t>1x10</t>
        </is>
      </c>
      <c r="J20" s="9">
        <f>IFERROR(SUM(
IF('TL01'!$B$3=J$3,SUMIF('TL01'!$C$10:$C$224,$C20,'TL01'!$J$10:$J$224),0),
IF('TL01'!$B$229=J$3,SUMIF('TL01'!$C$238:$C$451,$C20,'TL01'!$J$238:$J$451),0),
IF('TL02'!$B$3=J$3,SUMIF('TL02'!$C$10:$C$224,$C20,'TL02'!$J$10:$J$224),0),
IF('TL02'!$B$229=J$3,SUMIF('TL02'!$C$238:$C$451,$C20,'TL02'!$J$238:$J$451),0),
IF('TL03'!$B$3=J$3,SUMIF('TL03'!$C$10:$C$224,$C20,'TL03'!$J$10:$J$224),0),
IF('TL03'!$B$229=J$3,SUMIF('TL03'!$C$238:$C$451,$C20,'TL03'!$J$238:$J$451),0),
IF('TL04'!$B$3=J$3,SUMIF('TL04'!$C$10:$C$224,$C20,'TL04'!$J$10:$J$224),0),
IF('TL04'!$B$229=J$3,SUMIF('TL04'!$C$238:$C$451,$C20,'TL04'!$J$238:$J$451),0),
IF('TL05'!$B$3=J$3,SUMIF('TL05'!$C$10:$C$224,$C20,'TL05'!$J$10:$J$224),0),
IF('TL05'!$B$229=J$3,SUMIF('TL05'!$C$238:$C$451,$C20,'TL05'!$J$238:$J$451),0),
IF('TL06'!$B$3=J$3,SUMIF('TL06'!$C$10:$C$224,$C20,'TL06'!$J$10:$J$224),0),
IF('TL06'!$B$229=J$3,SUMIF('TL06'!$C$238:$C$451,$C20,'TL06'!$J$238:$J$451),0),
IF('TL07'!$B$3=J$3,SUMIF('TL07'!$C$10:$C$224,$C20,'TL07'!$J$10:$J$224),0),
IF('TL07'!$B$229=J$3,SUMIF('TL07'!$C$238:$C$451,$C20,'TL07'!$J$238:$J$451),0),
IF('TL08'!$B$3=J$3,SUMIF('TL08'!$C$10:$C$224,$C20,'TL08'!$J$10:$J$224),0),
IF('TL08'!$B$229=J$3,SUMIF('TL08'!$C$238:$C$451,$C20,'TL08'!$J$238:$J$451),0),
IF('TL09'!$B$3=J$3,SUMIF('TL09'!$C$10:$C$224,$C20,'TL09'!$J$10:$J$224),0),
IF('TL09'!$B$229=J$3,SUMIF('TL09'!$C$238:$C$451,$C20,'TL09'!$J$238:$J$451),0),
IF('TL10'!$B$3=J$3,SUMIF('TL10'!$C$10:$C$224,$C20,'TL10'!$J$10:$J$224),0),
IF('TL10'!$B$229=J$3,SUMIF('TL10'!$C$238:$C$451,$C20,'TL10'!$J$238:$J$451),0),
IF('TL11'!$B$3=J$3,SUMIF('TL11'!$C$10:$C$224,$C20,'TL11'!$J$10:$J$224),0),
IF('TL11'!$B$229=J$3,SUMIF('TL11'!$C$238:$C$451,$C20,'TL11'!$J$238:$J$451),0),
IF('TL12'!$B$3=J$3,SUMIF('TL12'!$C$10:$C$224,$C20,'TL12'!$J$10:$J$224),0),
IF('TL12'!$B$229=J$3,SUMIF('TL12'!$C$238:$C$451,$C20,'TL12'!$J$238:$J$451),0),
IF('TL13'!$B$3=J$3,SUMIF('TL13'!$C$10:$C$224,$C20,'TL13'!$J$10:$J$224),0),
IF('TL13'!$B$229=J$3,SUMIF('TL13'!$C$238:$C$451,$C20,'TL13'!$J$238:$J$451),0),
IF('TL14'!$B$3=J$3,SUMIF('TL14'!$C$10:$C$224,$C20,'TL14'!$J$10:$J$224),0),
IF('TL14'!$B$229=J$3,SUMIF('TL14'!$C$238:$C$451,$C20,'TL14'!$J$238:$J$451),0),
IF('TL15'!$B$3=J$3,SUMIF('TL15'!$C$10:$C$224,$C20,'TL15'!$J$10:$J$224),0),
IF('TL15'!$B$229=J$3,SUMIF('TL15'!$C$238:$C$451,$C20,'TL15'!$J$238:$J$451),0),
IF('TL16'!$B$3=J$3,SUMIF('TL16'!$C$10:$C$224,$C20,'TL16'!$J$10:$J$224),0),
IF('TL16'!$B$229=J$3,SUMIF('TL16'!$C$238:$C$451,$C20,'TL16'!$J$238:$J$451),0),
IF('TL17'!$B$3=J$3,SUMIF('TL17'!$C$10:$C$224,$C20,'TL17'!$J$10:$J$224),0),
IF('TL17'!$B$229=J$3,SUMIF('TL17'!$C$238:$C$451,$C20,'TL17'!$J$238:$J$451),0),
IF('TL18'!$B$3=J$3,SUMIF('TL18'!$C$10:$C$224,$C20,'TL18'!$J$10:$J$224),0),
IF('TL18'!$B$229=J$3,SUMIF('TL18'!$C$238:$C$451,$C20,'TL18'!$J$238:$J$451),0),
IF('TL19'!$B$3=J$3,SUMIF('TL19'!$C$10:$C$224,$C20,'TL19'!$J$10:$J$224),0),
IF('TL19'!$B$229=J$3,SUMIF('TL19'!$C$238:$C$451,$C20,'TL19'!$J$238:$J$451),0)
),0)</f>
        <v/>
      </c>
      <c r="K20" s="9">
        <f>IFERROR(SUM(
IF('TL01'!$B$3=K$3,SUMIF('TL01'!$C$10:$C$224,$C20,'TL01'!$J$10:$J$224),0),
IF('TL01'!$B$229=K$3,SUMIF('TL01'!$C$238:$C$451,$C20,'TL01'!$J$238:$J$451),0),
IF('TL02'!$B$3=K$3,SUMIF('TL02'!$C$10:$C$224,$C20,'TL02'!$J$10:$J$224),0),
IF('TL02'!$B$229=K$3,SUMIF('TL02'!$C$238:$C$451,$C20,'TL02'!$J$238:$J$451),0),
IF('TL03'!$B$3=K$3,SUMIF('TL03'!$C$10:$C$224,$C20,'TL03'!$J$10:$J$224),0),
IF('TL03'!$B$229=K$3,SUMIF('TL03'!$C$238:$C$451,$C20,'TL03'!$J$238:$J$451),0),
IF('TL04'!$B$3=K$3,SUMIF('TL04'!$C$10:$C$224,$C20,'TL04'!$J$10:$J$224),0),
IF('TL04'!$B$229=K$3,SUMIF('TL04'!$C$238:$C$451,$C20,'TL04'!$J$238:$J$451),0),
IF('TL05'!$B$3=K$3,SUMIF('TL05'!$C$10:$C$224,$C20,'TL05'!$J$10:$J$224),0),
IF('TL05'!$B$229=K$3,SUMIF('TL05'!$C$238:$C$451,$C20,'TL05'!$J$238:$J$451),0),
IF('TL06'!$B$3=K$3,SUMIF('TL06'!$C$10:$C$224,$C20,'TL06'!$J$10:$J$224),0),
IF('TL06'!$B$229=K$3,SUMIF('TL06'!$C$238:$C$451,$C20,'TL06'!$J$238:$J$451),0),
IF('TL07'!$B$3=K$3,SUMIF('TL07'!$C$10:$C$224,$C20,'TL07'!$J$10:$J$224),0),
IF('TL07'!$B$229=K$3,SUMIF('TL07'!$C$238:$C$451,$C20,'TL07'!$J$238:$J$451),0),
IF('TL08'!$B$3=K$3,SUMIF('TL08'!$C$10:$C$224,$C20,'TL08'!$J$10:$J$224),0),
IF('TL08'!$B$229=K$3,SUMIF('TL08'!$C$238:$C$451,$C20,'TL08'!$J$238:$J$451),0),
IF('TL09'!$B$3=K$3,SUMIF('TL09'!$C$10:$C$224,$C20,'TL09'!$J$10:$J$224),0),
IF('TL09'!$B$229=K$3,SUMIF('TL09'!$C$238:$C$451,$C20,'TL09'!$J$238:$J$451),0),
IF('TL10'!$B$3=K$3,SUMIF('TL10'!$C$10:$C$224,$C20,'TL10'!$J$10:$J$224),0),
IF('TL10'!$B$229=K$3,SUMIF('TL10'!$C$238:$C$451,$C20,'TL10'!$J$238:$J$451),0),
IF('TL11'!$B$3=K$3,SUMIF('TL11'!$C$10:$C$224,$C20,'TL11'!$J$10:$J$224),0),
IF('TL11'!$B$229=K$3,SUMIF('TL11'!$C$238:$C$451,$C20,'TL11'!$J$238:$J$451),0),
IF('TL12'!$B$3=K$3,SUMIF('TL12'!$C$10:$C$224,$C20,'TL12'!$J$10:$J$224),0),
IF('TL12'!$B$229=K$3,SUMIF('TL12'!$C$238:$C$451,$C20,'TL12'!$J$238:$J$451),0),
IF('TL13'!$B$3=K$3,SUMIF('TL13'!$C$10:$C$224,$C20,'TL13'!$J$10:$J$224),0),
IF('TL13'!$B$229=K$3,SUMIF('TL13'!$C$238:$C$451,$C20,'TL13'!$J$238:$J$451),0),
IF('TL14'!$B$3=K$3,SUMIF('TL14'!$C$10:$C$224,$C20,'TL14'!$J$10:$J$224),0),
IF('TL14'!$B$229=K$3,SUMIF('TL14'!$C$238:$C$451,$C20,'TL14'!$J$238:$J$451),0),
IF('TL15'!$B$3=K$3,SUMIF('TL15'!$C$10:$C$224,$C20,'TL15'!$J$10:$J$224),0),
IF('TL15'!$B$229=K$3,SUMIF('TL15'!$C$238:$C$451,$C20,'TL15'!$J$238:$J$451),0),
IF('TL16'!$B$3=K$3,SUMIF('TL16'!$C$10:$C$224,$C20,'TL16'!$J$10:$J$224),0),
IF('TL16'!$B$229=K$3,SUMIF('TL16'!$C$238:$C$451,$C20,'TL16'!$J$238:$J$451),0),
IF('TL17'!$B$3=K$3,SUMIF('TL17'!$C$10:$C$224,$C20,'TL17'!$J$10:$J$224),0),
IF('TL17'!$B$229=K$3,SUMIF('TL17'!$C$238:$C$451,$C20,'TL17'!$J$238:$J$451),0),
IF('TL18'!$B$3=K$3,SUMIF('TL18'!$C$10:$C$224,$C20,'TL18'!$J$10:$J$224),0),
IF('TL18'!$B$229=K$3,SUMIF('TL18'!$C$238:$C$451,$C20,'TL18'!$J$238:$J$451),0),
IF('TL19'!$B$3=K$3,SUMIF('TL19'!$C$10:$C$224,$C20,'TL19'!$J$10:$J$224),0),
IF('TL19'!$B$229=K$3,SUMIF('TL19'!$C$238:$C$451,$C20,'TL19'!$J$238:$J$451),0)
),0)</f>
        <v/>
      </c>
      <c r="L20" s="9">
        <f>IFERROR(SUM(
IF('TL01'!$B$3=L$3,SUMIF('TL01'!$C$10:$C$224,$C20,'TL01'!$J$10:$J$224),0),
IF('TL01'!$B$229=L$3,SUMIF('TL01'!$C$238:$C$451,$C20,'TL01'!$J$238:$J$451),0),
IF('TL02'!$B$3=L$3,SUMIF('TL02'!$C$10:$C$224,$C20,'TL02'!$J$10:$J$224),0),
IF('TL02'!$B$229=L$3,SUMIF('TL02'!$C$238:$C$451,$C20,'TL02'!$J$238:$J$451),0),
IF('TL03'!$B$3=L$3,SUMIF('TL03'!$C$10:$C$224,$C20,'TL03'!$J$10:$J$224),0),
IF('TL03'!$B$229=L$3,SUMIF('TL03'!$C$238:$C$451,$C20,'TL03'!$J$238:$J$451),0),
IF('TL04'!$B$3=L$3,SUMIF('TL04'!$C$10:$C$224,$C20,'TL04'!$J$10:$J$224),0),
IF('TL04'!$B$229=L$3,SUMIF('TL04'!$C$238:$C$451,$C20,'TL04'!$J$238:$J$451),0),
IF('TL05'!$B$3=L$3,SUMIF('TL05'!$C$10:$C$224,$C20,'TL05'!$J$10:$J$224),0),
IF('TL05'!$B$229=L$3,SUMIF('TL05'!$C$238:$C$451,$C20,'TL05'!$J$238:$J$451),0),
IF('TL06'!$B$3=L$3,SUMIF('TL06'!$C$10:$C$224,$C20,'TL06'!$J$10:$J$224),0),
IF('TL06'!$B$229=L$3,SUMIF('TL06'!$C$238:$C$451,$C20,'TL06'!$J$238:$J$451),0),
IF('TL07'!$B$3=L$3,SUMIF('TL07'!$C$10:$C$224,$C20,'TL07'!$J$10:$J$224),0),
IF('TL07'!$B$229=L$3,SUMIF('TL07'!$C$238:$C$451,$C20,'TL07'!$J$238:$J$451),0),
IF('TL08'!$B$3=L$3,SUMIF('TL08'!$C$10:$C$224,$C20,'TL08'!$J$10:$J$224),0),
IF('TL08'!$B$229=L$3,SUMIF('TL08'!$C$238:$C$451,$C20,'TL08'!$J$238:$J$451),0),
IF('TL09'!$B$3=L$3,SUMIF('TL09'!$C$10:$C$224,$C20,'TL09'!$J$10:$J$224),0),
IF('TL09'!$B$229=L$3,SUMIF('TL09'!$C$238:$C$451,$C20,'TL09'!$J$238:$J$451),0),
IF('TL10'!$B$3=L$3,SUMIF('TL10'!$C$10:$C$224,$C20,'TL10'!$J$10:$J$224),0),
IF('TL10'!$B$229=L$3,SUMIF('TL10'!$C$238:$C$451,$C20,'TL10'!$J$238:$J$451),0),
IF('TL11'!$B$3=L$3,SUMIF('TL11'!$C$10:$C$224,$C20,'TL11'!$J$10:$J$224),0),
IF('TL11'!$B$229=L$3,SUMIF('TL11'!$C$238:$C$451,$C20,'TL11'!$J$238:$J$451),0),
IF('TL12'!$B$3=L$3,SUMIF('TL12'!$C$10:$C$224,$C20,'TL12'!$J$10:$J$224),0),
IF('TL12'!$B$229=L$3,SUMIF('TL12'!$C$238:$C$451,$C20,'TL12'!$J$238:$J$451),0),
IF('TL13'!$B$3=L$3,SUMIF('TL13'!$C$10:$C$224,$C20,'TL13'!$J$10:$J$224),0),
IF('TL13'!$B$229=L$3,SUMIF('TL13'!$C$238:$C$451,$C20,'TL13'!$J$238:$J$451),0),
IF('TL14'!$B$3=L$3,SUMIF('TL14'!$C$10:$C$224,$C20,'TL14'!$J$10:$J$224),0),
IF('TL14'!$B$229=L$3,SUMIF('TL14'!$C$238:$C$451,$C20,'TL14'!$J$238:$J$451),0),
IF('TL15'!$B$3=L$3,SUMIF('TL15'!$C$10:$C$224,$C20,'TL15'!$J$10:$J$224),0),
IF('TL15'!$B$229=L$3,SUMIF('TL15'!$C$238:$C$451,$C20,'TL15'!$J$238:$J$451),0),
IF('TL16'!$B$3=L$3,SUMIF('TL16'!$C$10:$C$224,$C20,'TL16'!$J$10:$J$224),0),
IF('TL16'!$B$229=L$3,SUMIF('TL16'!$C$238:$C$451,$C20,'TL16'!$J$238:$J$451),0),
IF('TL17'!$B$3=L$3,SUMIF('TL17'!$C$10:$C$224,$C20,'TL17'!$J$10:$J$224),0),
IF('TL17'!$B$229=L$3,SUMIF('TL17'!$C$238:$C$451,$C20,'TL17'!$J$238:$J$451),0),
IF('TL18'!$B$3=L$3,SUMIF('TL18'!$C$10:$C$224,$C20,'TL18'!$J$10:$J$224),0),
IF('TL18'!$B$229=L$3,SUMIF('TL18'!$C$238:$C$451,$C20,'TL18'!$J$238:$J$451),0),
IF('TL19'!$B$3=L$3,SUMIF('TL19'!$C$10:$C$224,$C20,'TL19'!$J$10:$J$224),0),
IF('TL19'!$B$229=L$3,SUMIF('TL19'!$C$238:$C$451,$C20,'TL19'!$J$238:$J$451),0)
),0)</f>
        <v/>
      </c>
      <c r="M20" s="9">
        <f>IFERROR(SUM(
IF('TL01'!$B$3=M$3,SUMIF('TL01'!$C$10:$C$224,$C20,'TL01'!$J$10:$J$224),0),
IF('TL01'!$B$229=M$3,SUMIF('TL01'!$C$238:$C$451,$C20,'TL01'!$J$238:$J$451),0),
IF('TL02'!$B$3=M$3,SUMIF('TL02'!$C$10:$C$224,$C20,'TL02'!$J$10:$J$224),0),
IF('TL02'!$B$229=M$3,SUMIF('TL02'!$C$238:$C$451,$C20,'TL02'!$J$238:$J$451),0),
IF('TL03'!$B$3=M$3,SUMIF('TL03'!$C$10:$C$224,$C20,'TL03'!$J$10:$J$224),0),
IF('TL03'!$B$229=M$3,SUMIF('TL03'!$C$238:$C$451,$C20,'TL03'!$J$238:$J$451),0),
IF('TL04'!$B$3=M$3,SUMIF('TL04'!$C$10:$C$224,$C20,'TL04'!$J$10:$J$224),0),
IF('TL04'!$B$229=M$3,SUMIF('TL04'!$C$238:$C$451,$C20,'TL04'!$J$238:$J$451),0),
IF('TL05'!$B$3=M$3,SUMIF('TL05'!$C$10:$C$224,$C20,'TL05'!$J$10:$J$224),0),
IF('TL05'!$B$229=M$3,SUMIF('TL05'!$C$238:$C$451,$C20,'TL05'!$J$238:$J$451),0),
IF('TL06'!$B$3=M$3,SUMIF('TL06'!$C$10:$C$224,$C20,'TL06'!$J$10:$J$224),0),
IF('TL06'!$B$229=M$3,SUMIF('TL06'!$C$238:$C$451,$C20,'TL06'!$J$238:$J$451),0),
IF('TL07'!$B$3=M$3,SUMIF('TL07'!$C$10:$C$224,$C20,'TL07'!$J$10:$J$224),0),
IF('TL07'!$B$229=M$3,SUMIF('TL07'!$C$238:$C$451,$C20,'TL07'!$J$238:$J$451),0),
IF('TL08'!$B$3=M$3,SUMIF('TL08'!$C$10:$C$224,$C20,'TL08'!$J$10:$J$224),0),
IF('TL08'!$B$229=M$3,SUMIF('TL08'!$C$238:$C$451,$C20,'TL08'!$J$238:$J$451),0),
IF('TL09'!$B$3=M$3,SUMIF('TL09'!$C$10:$C$224,$C20,'TL09'!$J$10:$J$224),0),
IF('TL09'!$B$229=M$3,SUMIF('TL09'!$C$238:$C$451,$C20,'TL09'!$J$238:$J$451),0),
IF('TL10'!$B$3=M$3,SUMIF('TL10'!$C$10:$C$224,$C20,'TL10'!$J$10:$J$224),0),
IF('TL10'!$B$229=M$3,SUMIF('TL10'!$C$238:$C$451,$C20,'TL10'!$J$238:$J$451),0),
IF('TL11'!$B$3=M$3,SUMIF('TL11'!$C$10:$C$224,$C20,'TL11'!$J$10:$J$224),0),
IF('TL11'!$B$229=M$3,SUMIF('TL11'!$C$238:$C$451,$C20,'TL11'!$J$238:$J$451),0),
IF('TL12'!$B$3=M$3,SUMIF('TL12'!$C$10:$C$224,$C20,'TL12'!$J$10:$J$224),0),
IF('TL12'!$B$229=M$3,SUMIF('TL12'!$C$238:$C$451,$C20,'TL12'!$J$238:$J$451),0),
IF('TL13'!$B$3=M$3,SUMIF('TL13'!$C$10:$C$224,$C20,'TL13'!$J$10:$J$224),0),
IF('TL13'!$B$229=M$3,SUMIF('TL13'!$C$238:$C$451,$C20,'TL13'!$J$238:$J$451),0),
IF('TL14'!$B$3=M$3,SUMIF('TL14'!$C$10:$C$224,$C20,'TL14'!$J$10:$J$224),0),
IF('TL14'!$B$229=M$3,SUMIF('TL14'!$C$238:$C$451,$C20,'TL14'!$J$238:$J$451),0),
IF('TL15'!$B$3=M$3,SUMIF('TL15'!$C$10:$C$224,$C20,'TL15'!$J$10:$J$224),0),
IF('TL15'!$B$229=M$3,SUMIF('TL15'!$C$238:$C$451,$C20,'TL15'!$J$238:$J$451),0),
IF('TL16'!$B$3=M$3,SUMIF('TL16'!$C$10:$C$224,$C20,'TL16'!$J$10:$J$224),0),
IF('TL16'!$B$229=M$3,SUMIF('TL16'!$C$238:$C$451,$C20,'TL16'!$J$238:$J$451),0),
IF('TL17'!$B$3=M$3,SUMIF('TL17'!$C$10:$C$224,$C20,'TL17'!$J$10:$J$224),0),
IF('TL17'!$B$229=M$3,SUMIF('TL17'!$C$238:$C$451,$C20,'TL17'!$J$238:$J$451),0),
IF('TL18'!$B$3=M$3,SUMIF('TL18'!$C$10:$C$224,$C20,'TL18'!$J$10:$J$224),0),
IF('TL18'!$B$229=M$3,SUMIF('TL18'!$C$238:$C$451,$C20,'TL18'!$J$238:$J$451),0),
IF('TL19'!$B$3=M$3,SUMIF('TL19'!$C$10:$C$224,$C20,'TL19'!$J$10:$J$224),0),
IF('TL19'!$B$229=M$3,SUMIF('TL19'!$C$238:$C$451,$C20,'TL19'!$J$238:$J$451),0)
),0)</f>
        <v/>
      </c>
      <c r="N20" s="9">
        <f>IFERROR(SUM(
IF('TL01'!$B$3=N$3,SUMIF('TL01'!$C$10:$C$224,$C20,'TL01'!$J$10:$J$224),0),
IF('TL01'!$B$229=N$3,SUMIF('TL01'!$C$238:$C$451,$C20,'TL01'!$J$238:$J$451),0),
IF('TL02'!$B$3=N$3,SUMIF('TL02'!$C$10:$C$224,$C20,'TL02'!$J$10:$J$224),0),
IF('TL02'!$B$229=N$3,SUMIF('TL02'!$C$238:$C$451,$C20,'TL02'!$J$238:$J$451),0),
IF('TL03'!$B$3=N$3,SUMIF('TL03'!$C$10:$C$224,$C20,'TL03'!$J$10:$J$224),0),
IF('TL03'!$B$229=N$3,SUMIF('TL03'!$C$238:$C$451,$C20,'TL03'!$J$238:$J$451),0),
IF('TL04'!$B$3=N$3,SUMIF('TL04'!$C$10:$C$224,$C20,'TL04'!$J$10:$J$224),0),
IF('TL04'!$B$229=N$3,SUMIF('TL04'!$C$238:$C$451,$C20,'TL04'!$J$238:$J$451),0),
IF('TL05'!$B$3=N$3,SUMIF('TL05'!$C$10:$C$224,$C20,'TL05'!$J$10:$J$224),0),
IF('TL05'!$B$229=N$3,SUMIF('TL05'!$C$238:$C$451,$C20,'TL05'!$J$238:$J$451),0),
IF('TL06'!$B$3=N$3,SUMIF('TL06'!$C$10:$C$224,$C20,'TL06'!$J$10:$J$224),0),
IF('TL06'!$B$229=N$3,SUMIF('TL06'!$C$238:$C$451,$C20,'TL06'!$J$238:$J$451),0),
IF('TL07'!$B$3=N$3,SUMIF('TL07'!$C$10:$C$224,$C20,'TL07'!$J$10:$J$224),0),
IF('TL07'!$B$229=N$3,SUMIF('TL07'!$C$238:$C$451,$C20,'TL07'!$J$238:$J$451),0),
IF('TL08'!$B$3=N$3,SUMIF('TL08'!$C$10:$C$224,$C20,'TL08'!$J$10:$J$224),0),
IF('TL08'!$B$229=N$3,SUMIF('TL08'!$C$238:$C$451,$C20,'TL08'!$J$238:$J$451),0),
IF('TL09'!$B$3=N$3,SUMIF('TL09'!$C$10:$C$224,$C20,'TL09'!$J$10:$J$224),0),
IF('TL09'!$B$229=N$3,SUMIF('TL09'!$C$238:$C$451,$C20,'TL09'!$J$238:$J$451),0),
IF('TL10'!$B$3=N$3,SUMIF('TL10'!$C$10:$C$224,$C20,'TL10'!$J$10:$J$224),0),
IF('TL10'!$B$229=N$3,SUMIF('TL10'!$C$238:$C$451,$C20,'TL10'!$J$238:$J$451),0),
IF('TL11'!$B$3=N$3,SUMIF('TL11'!$C$10:$C$224,$C20,'TL11'!$J$10:$J$224),0),
IF('TL11'!$B$229=N$3,SUMIF('TL11'!$C$238:$C$451,$C20,'TL11'!$J$238:$J$451),0),
IF('TL12'!$B$3=N$3,SUMIF('TL12'!$C$10:$C$224,$C20,'TL12'!$J$10:$J$224),0),
IF('TL12'!$B$229=N$3,SUMIF('TL12'!$C$238:$C$451,$C20,'TL12'!$J$238:$J$451),0),
IF('TL13'!$B$3=N$3,SUMIF('TL13'!$C$10:$C$224,$C20,'TL13'!$J$10:$J$224),0),
IF('TL13'!$B$229=N$3,SUMIF('TL13'!$C$238:$C$451,$C20,'TL13'!$J$238:$J$451),0),
IF('TL14'!$B$3=N$3,SUMIF('TL14'!$C$10:$C$224,$C20,'TL14'!$J$10:$J$224),0),
IF('TL14'!$B$229=N$3,SUMIF('TL14'!$C$238:$C$451,$C20,'TL14'!$J$238:$J$451),0),
IF('TL15'!$B$3=N$3,SUMIF('TL15'!$C$10:$C$224,$C20,'TL15'!$J$10:$J$224),0),
IF('TL15'!$B$229=N$3,SUMIF('TL15'!$C$238:$C$451,$C20,'TL15'!$J$238:$J$451),0),
IF('TL16'!$B$3=N$3,SUMIF('TL16'!$C$10:$C$224,$C20,'TL16'!$J$10:$J$224),0),
IF('TL16'!$B$229=N$3,SUMIF('TL16'!$C$238:$C$451,$C20,'TL16'!$J$238:$J$451),0),
IF('TL17'!$B$3=N$3,SUMIF('TL17'!$C$10:$C$224,$C20,'TL17'!$J$10:$J$224),0),
IF('TL17'!$B$229=N$3,SUMIF('TL17'!$C$238:$C$451,$C20,'TL17'!$J$238:$J$451),0),
IF('TL18'!$B$3=N$3,SUMIF('TL18'!$C$10:$C$224,$C20,'TL18'!$J$10:$J$224),0),
IF('TL18'!$B$229=N$3,SUMIF('TL18'!$C$238:$C$451,$C20,'TL18'!$J$238:$J$451),0),
IF('TL19'!$B$3=N$3,SUMIF('TL19'!$C$10:$C$224,$C20,'TL19'!$J$10:$J$224),0),
IF('TL19'!$B$229=N$3,SUMIF('TL19'!$C$238:$C$451,$C20,'TL19'!$J$238:$J$451),0)
),0)</f>
        <v/>
      </c>
      <c r="O20" s="9">
        <f>IFERROR(SUM(
IF('TL01'!$B$3=O$3,SUMIF('TL01'!$C$10:$C$224,$C20,'TL01'!$J$10:$J$224),0),
IF('TL01'!$B$229=O$3,SUMIF('TL01'!$C$238:$C$451,$C20,'TL01'!$J$238:$J$451),0),
IF('TL02'!$B$3=O$3,SUMIF('TL02'!$C$10:$C$224,$C20,'TL02'!$J$10:$J$224),0),
IF('TL02'!$B$229=O$3,SUMIF('TL02'!$C$238:$C$451,$C20,'TL02'!$J$238:$J$451),0),
IF('TL03'!$B$3=O$3,SUMIF('TL03'!$C$10:$C$224,$C20,'TL03'!$J$10:$J$224),0),
IF('TL03'!$B$229=O$3,SUMIF('TL03'!$C$238:$C$451,$C20,'TL03'!$J$238:$J$451),0),
IF('TL04'!$B$3=O$3,SUMIF('TL04'!$C$10:$C$224,$C20,'TL04'!$J$10:$J$224),0),
IF('TL04'!$B$229=O$3,SUMIF('TL04'!$C$238:$C$451,$C20,'TL04'!$J$238:$J$451),0),
IF('TL05'!$B$3=O$3,SUMIF('TL05'!$C$10:$C$224,$C20,'TL05'!$J$10:$J$224),0),
IF('TL05'!$B$229=O$3,SUMIF('TL05'!$C$238:$C$451,$C20,'TL05'!$J$238:$J$451),0),
IF('TL06'!$B$3=O$3,SUMIF('TL06'!$C$10:$C$224,$C20,'TL06'!$J$10:$J$224),0),
IF('TL06'!$B$229=O$3,SUMIF('TL06'!$C$238:$C$451,$C20,'TL06'!$J$238:$J$451),0),
IF('TL07'!$B$3=O$3,SUMIF('TL07'!$C$10:$C$224,$C20,'TL07'!$J$10:$J$224),0),
IF('TL07'!$B$229=O$3,SUMIF('TL07'!$C$238:$C$451,$C20,'TL07'!$J$238:$J$451),0),
IF('TL08'!$B$3=O$3,SUMIF('TL08'!$C$10:$C$224,$C20,'TL08'!$J$10:$J$224),0),
IF('TL08'!$B$229=O$3,SUMIF('TL08'!$C$238:$C$451,$C20,'TL08'!$J$238:$J$451),0),
IF('TL09'!$B$3=O$3,SUMIF('TL09'!$C$10:$C$224,$C20,'TL09'!$J$10:$J$224),0),
IF('TL09'!$B$229=O$3,SUMIF('TL09'!$C$238:$C$451,$C20,'TL09'!$J$238:$J$451),0),
IF('TL10'!$B$3=O$3,SUMIF('TL10'!$C$10:$C$224,$C20,'TL10'!$J$10:$J$224),0),
IF('TL10'!$B$229=O$3,SUMIF('TL10'!$C$238:$C$451,$C20,'TL10'!$J$238:$J$451),0),
IF('TL11'!$B$3=O$3,SUMIF('TL11'!$C$10:$C$224,$C20,'TL11'!$J$10:$J$224),0),
IF('TL11'!$B$229=O$3,SUMIF('TL11'!$C$238:$C$451,$C20,'TL11'!$J$238:$J$451),0),
IF('TL12'!$B$3=O$3,SUMIF('TL12'!$C$10:$C$224,$C20,'TL12'!$J$10:$J$224),0),
IF('TL12'!$B$229=O$3,SUMIF('TL12'!$C$238:$C$451,$C20,'TL12'!$J$238:$J$451),0),
IF('TL13'!$B$3=O$3,SUMIF('TL13'!$C$10:$C$224,$C20,'TL13'!$J$10:$J$224),0),
IF('TL13'!$B$229=O$3,SUMIF('TL13'!$C$238:$C$451,$C20,'TL13'!$J$238:$J$451),0),
IF('TL14'!$B$3=O$3,SUMIF('TL14'!$C$10:$C$224,$C20,'TL14'!$J$10:$J$224),0),
IF('TL14'!$B$229=O$3,SUMIF('TL14'!$C$238:$C$451,$C20,'TL14'!$J$238:$J$451),0),
IF('TL15'!$B$3=O$3,SUMIF('TL15'!$C$10:$C$224,$C20,'TL15'!$J$10:$J$224),0),
IF('TL15'!$B$229=O$3,SUMIF('TL15'!$C$238:$C$451,$C20,'TL15'!$J$238:$J$451),0),
IF('TL16'!$B$3=O$3,SUMIF('TL16'!$C$10:$C$224,$C20,'TL16'!$J$10:$J$224),0),
IF('TL16'!$B$229=O$3,SUMIF('TL16'!$C$238:$C$451,$C20,'TL16'!$J$238:$J$451),0),
IF('TL17'!$B$3=O$3,SUMIF('TL17'!$C$10:$C$224,$C20,'TL17'!$J$10:$J$224),0),
IF('TL17'!$B$229=O$3,SUMIF('TL17'!$C$238:$C$451,$C20,'TL17'!$J$238:$J$451),0),
IF('TL18'!$B$3=O$3,SUMIF('TL18'!$C$10:$C$224,$C20,'TL18'!$J$10:$J$224),0),
IF('TL18'!$B$229=O$3,SUMIF('TL18'!$C$238:$C$451,$C20,'TL18'!$J$238:$J$451),0),
IF('TL19'!$B$3=O$3,SUMIF('TL19'!$C$10:$C$224,$C20,'TL19'!$J$10:$J$224),0),
IF('TL19'!$B$229=O$3,SUMIF('TL19'!$C$238:$C$451,$C20,'TL19'!$J$238:$J$451),0)
),0)</f>
        <v/>
      </c>
      <c r="P20" s="9">
        <f>IFERROR(SUM(
IF('TL01'!$B$3=P$3,SUMIF('TL01'!$C$10:$C$224,$C20,'TL01'!$J$10:$J$224),0),
IF('TL01'!$B$229=P$3,SUMIF('TL01'!$C$238:$C$451,$C20,'TL01'!$J$238:$J$451),0),
IF('TL02'!$B$3=P$3,SUMIF('TL02'!$C$10:$C$224,$C20,'TL02'!$J$10:$J$224),0),
IF('TL02'!$B$229=P$3,SUMIF('TL02'!$C$238:$C$451,$C20,'TL02'!$J$238:$J$451),0),
IF('TL03'!$B$3=P$3,SUMIF('TL03'!$C$10:$C$224,$C20,'TL03'!$J$10:$J$224),0),
IF('TL03'!$B$229=P$3,SUMIF('TL03'!$C$238:$C$451,$C20,'TL03'!$J$238:$J$451),0),
IF('TL04'!$B$3=P$3,SUMIF('TL04'!$C$10:$C$224,$C20,'TL04'!$J$10:$J$224),0),
IF('TL04'!$B$229=P$3,SUMIF('TL04'!$C$238:$C$451,$C20,'TL04'!$J$238:$J$451),0),
IF('TL05'!$B$3=P$3,SUMIF('TL05'!$C$10:$C$224,$C20,'TL05'!$J$10:$J$224),0),
IF('TL05'!$B$229=P$3,SUMIF('TL05'!$C$238:$C$451,$C20,'TL05'!$J$238:$J$451),0),
IF('TL06'!$B$3=P$3,SUMIF('TL06'!$C$10:$C$224,$C20,'TL06'!$J$10:$J$224),0),
IF('TL06'!$B$229=P$3,SUMIF('TL06'!$C$238:$C$451,$C20,'TL06'!$J$238:$J$451),0),
IF('TL07'!$B$3=P$3,SUMIF('TL07'!$C$10:$C$224,$C20,'TL07'!$J$10:$J$224),0),
IF('TL07'!$B$229=P$3,SUMIF('TL07'!$C$238:$C$451,$C20,'TL07'!$J$238:$J$451),0),
IF('TL08'!$B$3=P$3,SUMIF('TL08'!$C$10:$C$224,$C20,'TL08'!$J$10:$J$224),0),
IF('TL08'!$B$229=P$3,SUMIF('TL08'!$C$238:$C$451,$C20,'TL08'!$J$238:$J$451),0),
IF('TL09'!$B$3=P$3,SUMIF('TL09'!$C$10:$C$224,$C20,'TL09'!$J$10:$J$224),0),
IF('TL09'!$B$229=P$3,SUMIF('TL09'!$C$238:$C$451,$C20,'TL09'!$J$238:$J$451),0),
IF('TL10'!$B$3=P$3,SUMIF('TL10'!$C$10:$C$224,$C20,'TL10'!$J$10:$J$224),0),
IF('TL10'!$B$229=P$3,SUMIF('TL10'!$C$238:$C$451,$C20,'TL10'!$J$238:$J$451),0),
IF('TL11'!$B$3=P$3,SUMIF('TL11'!$C$10:$C$224,$C20,'TL11'!$J$10:$J$224),0),
IF('TL11'!$B$229=P$3,SUMIF('TL11'!$C$238:$C$451,$C20,'TL11'!$J$238:$J$451),0),
IF('TL12'!$B$3=P$3,SUMIF('TL12'!$C$10:$C$224,$C20,'TL12'!$J$10:$J$224),0),
IF('TL12'!$B$229=P$3,SUMIF('TL12'!$C$238:$C$451,$C20,'TL12'!$J$238:$J$451),0),
IF('TL13'!$B$3=P$3,SUMIF('TL13'!$C$10:$C$224,$C20,'TL13'!$J$10:$J$224),0),
IF('TL13'!$B$229=P$3,SUMIF('TL13'!$C$238:$C$451,$C20,'TL13'!$J$238:$J$451),0),
IF('TL14'!$B$3=P$3,SUMIF('TL14'!$C$10:$C$224,$C20,'TL14'!$J$10:$J$224),0),
IF('TL14'!$B$229=P$3,SUMIF('TL14'!$C$238:$C$451,$C20,'TL14'!$J$238:$J$451),0),
IF('TL15'!$B$3=P$3,SUMIF('TL15'!$C$10:$C$224,$C20,'TL15'!$J$10:$J$224),0),
IF('TL15'!$B$229=P$3,SUMIF('TL15'!$C$238:$C$451,$C20,'TL15'!$J$238:$J$451),0),
IF('TL16'!$B$3=P$3,SUMIF('TL16'!$C$10:$C$224,$C20,'TL16'!$J$10:$J$224),0),
IF('TL16'!$B$229=P$3,SUMIF('TL16'!$C$238:$C$451,$C20,'TL16'!$J$238:$J$451),0),
IF('TL17'!$B$3=P$3,SUMIF('TL17'!$C$10:$C$224,$C20,'TL17'!$J$10:$J$224),0),
IF('TL17'!$B$229=P$3,SUMIF('TL17'!$C$238:$C$451,$C20,'TL17'!$J$238:$J$451),0),
IF('TL18'!$B$3=P$3,SUMIF('TL18'!$C$10:$C$224,$C20,'TL18'!$J$10:$J$224),0),
IF('TL18'!$B$229=P$3,SUMIF('TL18'!$C$238:$C$451,$C20,'TL18'!$J$238:$J$451),0),
IF('TL19'!$B$3=P$3,SUMIF('TL19'!$C$10:$C$224,$C20,'TL19'!$J$10:$J$224),0),
IF('TL19'!$B$229=P$3,SUMIF('TL19'!$C$238:$C$451,$C20,'TL19'!$J$238:$J$451),0)
),0)</f>
        <v/>
      </c>
      <c r="Q20" s="9">
        <f>IFERROR(SUM(
IF('TL01'!$B$3=Q$3,SUMIF('TL01'!$C$10:$C$224,$C20,'TL01'!$J$10:$J$224),0),
IF('TL01'!$B$229=Q$3,SUMIF('TL01'!$C$238:$C$451,$C20,'TL01'!$J$238:$J$451),0),
IF('TL02'!$B$3=Q$3,SUMIF('TL02'!$C$10:$C$224,$C20,'TL02'!$J$10:$J$224),0),
IF('TL02'!$B$229=Q$3,SUMIF('TL02'!$C$238:$C$451,$C20,'TL02'!$J$238:$J$451),0),
IF('TL03'!$B$3=Q$3,SUMIF('TL03'!$C$10:$C$224,$C20,'TL03'!$J$10:$J$224),0),
IF('TL03'!$B$229=Q$3,SUMIF('TL03'!$C$238:$C$451,$C20,'TL03'!$J$238:$J$451),0),
IF('TL04'!$B$3=Q$3,SUMIF('TL04'!$C$10:$C$224,$C20,'TL04'!$J$10:$J$224),0),
IF('TL04'!$B$229=Q$3,SUMIF('TL04'!$C$238:$C$451,$C20,'TL04'!$J$238:$J$451),0),
IF('TL05'!$B$3=Q$3,SUMIF('TL05'!$C$10:$C$224,$C20,'TL05'!$J$10:$J$224),0),
IF('TL05'!$B$229=Q$3,SUMIF('TL05'!$C$238:$C$451,$C20,'TL05'!$J$238:$J$451),0),
IF('TL06'!$B$3=Q$3,SUMIF('TL06'!$C$10:$C$224,$C20,'TL06'!$J$10:$J$224),0),
IF('TL06'!$B$229=Q$3,SUMIF('TL06'!$C$238:$C$451,$C20,'TL06'!$J$238:$J$451),0),
IF('TL07'!$B$3=Q$3,SUMIF('TL07'!$C$10:$C$224,$C20,'TL07'!$J$10:$J$224),0),
IF('TL07'!$B$229=Q$3,SUMIF('TL07'!$C$238:$C$451,$C20,'TL07'!$J$238:$J$451),0),
IF('TL08'!$B$3=Q$3,SUMIF('TL08'!$C$10:$C$224,$C20,'TL08'!$J$10:$J$224),0),
IF('TL08'!$B$229=Q$3,SUMIF('TL08'!$C$238:$C$451,$C20,'TL08'!$J$238:$J$451),0),
IF('TL09'!$B$3=Q$3,SUMIF('TL09'!$C$10:$C$224,$C20,'TL09'!$J$10:$J$224),0),
IF('TL09'!$B$229=Q$3,SUMIF('TL09'!$C$238:$C$451,$C20,'TL09'!$J$238:$J$451),0),
IF('TL10'!$B$3=Q$3,SUMIF('TL10'!$C$10:$C$224,$C20,'TL10'!$J$10:$J$224),0),
IF('TL10'!$B$229=Q$3,SUMIF('TL10'!$C$238:$C$451,$C20,'TL10'!$J$238:$J$451),0),
IF('TL11'!$B$3=Q$3,SUMIF('TL11'!$C$10:$C$224,$C20,'TL11'!$J$10:$J$224),0),
IF('TL11'!$B$229=Q$3,SUMIF('TL11'!$C$238:$C$451,$C20,'TL11'!$J$238:$J$451),0),
IF('TL12'!$B$3=Q$3,SUMIF('TL12'!$C$10:$C$224,$C20,'TL12'!$J$10:$J$224),0),
IF('TL12'!$B$229=Q$3,SUMIF('TL12'!$C$238:$C$451,$C20,'TL12'!$J$238:$J$451),0),
IF('TL13'!$B$3=Q$3,SUMIF('TL13'!$C$10:$C$224,$C20,'TL13'!$J$10:$J$224),0),
IF('TL13'!$B$229=Q$3,SUMIF('TL13'!$C$238:$C$451,$C20,'TL13'!$J$238:$J$451),0),
IF('TL14'!$B$3=Q$3,SUMIF('TL14'!$C$10:$C$224,$C20,'TL14'!$J$10:$J$224),0),
IF('TL14'!$B$229=Q$3,SUMIF('TL14'!$C$238:$C$451,$C20,'TL14'!$J$238:$J$451),0),
IF('TL15'!$B$3=Q$3,SUMIF('TL15'!$C$10:$C$224,$C20,'TL15'!$J$10:$J$224),0),
IF('TL15'!$B$229=Q$3,SUMIF('TL15'!$C$238:$C$451,$C20,'TL15'!$J$238:$J$451),0),
IF('TL16'!$B$3=Q$3,SUMIF('TL16'!$C$10:$C$224,$C20,'TL16'!$J$10:$J$224),0),
IF('TL16'!$B$229=Q$3,SUMIF('TL16'!$C$238:$C$451,$C20,'TL16'!$J$238:$J$451),0),
IF('TL17'!$B$3=Q$3,SUMIF('TL17'!$C$10:$C$224,$C20,'TL17'!$J$10:$J$224),0),
IF('TL17'!$B$229=Q$3,SUMIF('TL17'!$C$238:$C$451,$C20,'TL17'!$J$238:$J$451),0),
IF('TL18'!$B$3=Q$3,SUMIF('TL18'!$C$10:$C$224,$C20,'TL18'!$J$10:$J$224),0),
IF('TL18'!$B$229=Q$3,SUMIF('TL18'!$C$238:$C$451,$C20,'TL18'!$J$238:$J$451),0),
IF('TL19'!$B$3=Q$3,SUMIF('TL19'!$C$10:$C$224,$C20,'TL19'!$J$10:$J$224),0),
IF('TL19'!$B$229=Q$3,SUMIF('TL19'!$C$238:$C$451,$C20,'TL19'!$J$238:$J$451),0)
),0)</f>
        <v/>
      </c>
      <c r="R20" s="9">
        <f>IFERROR(
SUM(
SUMIF('TL01'!C:C,C20,'TL01'!J:J),
SUMIF('TL02'!C:C,C20,'TL02'!J:J),
SUMIF('TL03'!C:C,C20,'TL03'!J:J),
SUMIF('TL04'!C:C,C20,'TL04'!J:J),
SUMIF('TL05'!C:C,C20,'TL05'!J:J),
SUMIF('TL06'!C:C,C20,'TL06'!J:J),
SUMIF('TL07'!C:C,C20,'TL07'!J:J),
SUMIF('TL08'!C:C,C20,'TL08'!J:J),
SUMIF('TL09'!C:C,C20,'TL09'!J:J),
SUMIF('TL10'!C:C,C20,'TL10'!J:J),
SUMIF('TL11'!C:C,C20,'TL11'!J:J),
SUMIF('TL12'!C:C,C20,'TL12'!J:J),
SUMIF('TL13'!C:C,C20,'TL13'!J:J),
SUMIF('TL14'!C:C,C20,'TL14'!J:J),
SUMIF('TL15'!C:C,C20,'TL15'!J:J),
SUMIF('TL16'!C:C,C20,'TL16'!J:J),
SUMIF('TL17'!C:C,C20,'TL17'!J:J),
SUMIF('TL18'!C:C,C20,'TL18'!J:J),SUMIF('TL19'!C:C,C20,'TL19'!J:J))
,0)</f>
        <v/>
      </c>
      <c r="S20" s="17">
        <f>IFERROR(__xludf.DUMMYFUNCTION("IFERROR(VLOOKUP(C20,
IMPORTRANGE(""1wULbzX32WdYsx-lj2U3uUNBBe2INVIRDtcK0d-Dvl90"",
""26-27!C:G""),
5,
FALSE),
"""")"),502.873)</f>
        <v/>
      </c>
      <c r="T20" s="9" t="n"/>
      <c r="U20" s="92">
        <f>MAX(0,R20-T20)</f>
        <v/>
      </c>
      <c r="V20" s="93">
        <f>U20*S20</f>
        <v/>
      </c>
    </row>
    <row r="21" hidden="1" ht="22.5" customHeight="1" s="297">
      <c r="A21" s="94" t="inlineStr">
        <is>
          <t>SUMITOMO</t>
        </is>
      </c>
      <c r="B21" s="95" t="inlineStr">
        <is>
          <t>BIOLÓGICO</t>
        </is>
      </c>
      <c r="C21" s="96" t="inlineStr">
        <is>
          <t>AVEO EZ</t>
        </is>
      </c>
      <c r="D21" s="96" t="inlineStr">
        <is>
          <t>BACILLUS AMYLOLIQUEFACIENS</t>
        </is>
      </c>
      <c r="E21" s="96" t="n">
        <v>270</v>
      </c>
      <c r="F21" s="4" t="inlineStr">
        <is>
          <t>KG</t>
        </is>
      </c>
      <c r="G21" s="90">
        <f>HYPERLINK("https://www.google.com/search?q=" &amp; C21 &amp; "+bula+agrofit+pdf", "📄 Ver bula")</f>
        <v/>
      </c>
      <c r="H21" s="9">
        <f>IFERROR(__xludf.DUMMYFUNCTION("IFERROR(VLOOKUP(C21,
IMPORTRANGE(""1wULbzX32WdYsx-lj2U3uUNBBe2INVIRDtcK0d-Dvl90"",
""26-27!C:K""),
8,
FALSE),
"""")"),0.01)</f>
        <v/>
      </c>
      <c r="I21" s="97" t="inlineStr">
        <is>
          <t>4X0,5</t>
        </is>
      </c>
      <c r="J21" s="9">
        <f>IFERROR(SUM(
IF('TL01'!$B$3=J$3,SUMIF('TL01'!$C$10:$C$224,$C21,'TL01'!$J$10:$J$224),0),
IF('TL01'!$B$229=J$3,SUMIF('TL01'!$C$238:$C$451,$C21,'TL01'!$J$238:$J$451),0),
IF('TL02'!$B$3=J$3,SUMIF('TL02'!$C$10:$C$224,$C21,'TL02'!$J$10:$J$224),0),
IF('TL02'!$B$229=J$3,SUMIF('TL02'!$C$238:$C$451,$C21,'TL02'!$J$238:$J$451),0),
IF('TL03'!$B$3=J$3,SUMIF('TL03'!$C$10:$C$224,$C21,'TL03'!$J$10:$J$224),0),
IF('TL03'!$B$229=J$3,SUMIF('TL03'!$C$238:$C$451,$C21,'TL03'!$J$238:$J$451),0),
IF('TL04'!$B$3=J$3,SUMIF('TL04'!$C$10:$C$224,$C21,'TL04'!$J$10:$J$224),0),
IF('TL04'!$B$229=J$3,SUMIF('TL04'!$C$238:$C$451,$C21,'TL04'!$J$238:$J$451),0),
IF('TL05'!$B$3=J$3,SUMIF('TL05'!$C$10:$C$224,$C21,'TL05'!$J$10:$J$224),0),
IF('TL05'!$B$229=J$3,SUMIF('TL05'!$C$238:$C$451,$C21,'TL05'!$J$238:$J$451),0),
IF('TL06'!$B$3=J$3,SUMIF('TL06'!$C$10:$C$224,$C21,'TL06'!$J$10:$J$224),0),
IF('TL06'!$B$229=J$3,SUMIF('TL06'!$C$238:$C$451,$C21,'TL06'!$J$238:$J$451),0),
IF('TL07'!$B$3=J$3,SUMIF('TL07'!$C$10:$C$224,$C21,'TL07'!$J$10:$J$224),0),
IF('TL07'!$B$229=J$3,SUMIF('TL07'!$C$238:$C$451,$C21,'TL07'!$J$238:$J$451),0),
IF('TL08'!$B$3=J$3,SUMIF('TL08'!$C$10:$C$224,$C21,'TL08'!$J$10:$J$224),0),
IF('TL08'!$B$229=J$3,SUMIF('TL08'!$C$238:$C$451,$C21,'TL08'!$J$238:$J$451),0),
IF('TL09'!$B$3=J$3,SUMIF('TL09'!$C$10:$C$224,$C21,'TL09'!$J$10:$J$224),0),
IF('TL09'!$B$229=J$3,SUMIF('TL09'!$C$238:$C$451,$C21,'TL09'!$J$238:$J$451),0),
IF('TL10'!$B$3=J$3,SUMIF('TL10'!$C$10:$C$224,$C21,'TL10'!$J$10:$J$224),0),
IF('TL10'!$B$229=J$3,SUMIF('TL10'!$C$238:$C$451,$C21,'TL10'!$J$238:$J$451),0),
IF('TL11'!$B$3=J$3,SUMIF('TL11'!$C$10:$C$224,$C21,'TL11'!$J$10:$J$224),0),
IF('TL11'!$B$229=J$3,SUMIF('TL11'!$C$238:$C$451,$C21,'TL11'!$J$238:$J$451),0),
IF('TL12'!$B$3=J$3,SUMIF('TL12'!$C$10:$C$224,$C21,'TL12'!$J$10:$J$224),0),
IF('TL12'!$B$229=J$3,SUMIF('TL12'!$C$238:$C$451,$C21,'TL12'!$J$238:$J$451),0),
IF('TL13'!$B$3=J$3,SUMIF('TL13'!$C$10:$C$224,$C21,'TL13'!$J$10:$J$224),0),
IF('TL13'!$B$229=J$3,SUMIF('TL13'!$C$238:$C$451,$C21,'TL13'!$J$238:$J$451),0),
IF('TL14'!$B$3=J$3,SUMIF('TL14'!$C$10:$C$224,$C21,'TL14'!$J$10:$J$224),0),
IF('TL14'!$B$229=J$3,SUMIF('TL14'!$C$238:$C$451,$C21,'TL14'!$J$238:$J$451),0),
IF('TL15'!$B$3=J$3,SUMIF('TL15'!$C$10:$C$224,$C21,'TL15'!$J$10:$J$224),0),
IF('TL15'!$B$229=J$3,SUMIF('TL15'!$C$238:$C$451,$C21,'TL15'!$J$238:$J$451),0),
IF('TL16'!$B$3=J$3,SUMIF('TL16'!$C$10:$C$224,$C21,'TL16'!$J$10:$J$224),0),
IF('TL16'!$B$229=J$3,SUMIF('TL16'!$C$238:$C$451,$C21,'TL16'!$J$238:$J$451),0),
IF('TL17'!$B$3=J$3,SUMIF('TL17'!$C$10:$C$224,$C21,'TL17'!$J$10:$J$224),0),
IF('TL17'!$B$229=J$3,SUMIF('TL17'!$C$238:$C$451,$C21,'TL17'!$J$238:$J$451),0),
IF('TL18'!$B$3=J$3,SUMIF('TL18'!$C$10:$C$224,$C21,'TL18'!$J$10:$J$224),0),
IF('TL18'!$B$229=J$3,SUMIF('TL18'!$C$238:$C$451,$C21,'TL18'!$J$238:$J$451),0),
IF('TL19'!$B$3=J$3,SUMIF('TL19'!$C$10:$C$224,$C21,'TL19'!$J$10:$J$224),0),
IF('TL19'!$B$229=J$3,SUMIF('TL19'!$C$238:$C$451,$C21,'TL19'!$J$238:$J$451),0)
),0)</f>
        <v/>
      </c>
      <c r="K21" s="9">
        <f>IFERROR(SUM(
IF('TL01'!$B$3=K$3,SUMIF('TL01'!$C$10:$C$224,$C21,'TL01'!$J$10:$J$224),0),
IF('TL01'!$B$229=K$3,SUMIF('TL01'!$C$238:$C$451,$C21,'TL01'!$J$238:$J$451),0),
IF('TL02'!$B$3=K$3,SUMIF('TL02'!$C$10:$C$224,$C21,'TL02'!$J$10:$J$224),0),
IF('TL02'!$B$229=K$3,SUMIF('TL02'!$C$238:$C$451,$C21,'TL02'!$J$238:$J$451),0),
IF('TL03'!$B$3=K$3,SUMIF('TL03'!$C$10:$C$224,$C21,'TL03'!$J$10:$J$224),0),
IF('TL03'!$B$229=K$3,SUMIF('TL03'!$C$238:$C$451,$C21,'TL03'!$J$238:$J$451),0),
IF('TL04'!$B$3=K$3,SUMIF('TL04'!$C$10:$C$224,$C21,'TL04'!$J$10:$J$224),0),
IF('TL04'!$B$229=K$3,SUMIF('TL04'!$C$238:$C$451,$C21,'TL04'!$J$238:$J$451),0),
IF('TL05'!$B$3=K$3,SUMIF('TL05'!$C$10:$C$224,$C21,'TL05'!$J$10:$J$224),0),
IF('TL05'!$B$229=K$3,SUMIF('TL05'!$C$238:$C$451,$C21,'TL05'!$J$238:$J$451),0),
IF('TL06'!$B$3=K$3,SUMIF('TL06'!$C$10:$C$224,$C21,'TL06'!$J$10:$J$224),0),
IF('TL06'!$B$229=K$3,SUMIF('TL06'!$C$238:$C$451,$C21,'TL06'!$J$238:$J$451),0),
IF('TL07'!$B$3=K$3,SUMIF('TL07'!$C$10:$C$224,$C21,'TL07'!$J$10:$J$224),0),
IF('TL07'!$B$229=K$3,SUMIF('TL07'!$C$238:$C$451,$C21,'TL07'!$J$238:$J$451),0),
IF('TL08'!$B$3=K$3,SUMIF('TL08'!$C$10:$C$224,$C21,'TL08'!$J$10:$J$224),0),
IF('TL08'!$B$229=K$3,SUMIF('TL08'!$C$238:$C$451,$C21,'TL08'!$J$238:$J$451),0),
IF('TL09'!$B$3=K$3,SUMIF('TL09'!$C$10:$C$224,$C21,'TL09'!$J$10:$J$224),0),
IF('TL09'!$B$229=K$3,SUMIF('TL09'!$C$238:$C$451,$C21,'TL09'!$J$238:$J$451),0),
IF('TL10'!$B$3=K$3,SUMIF('TL10'!$C$10:$C$224,$C21,'TL10'!$J$10:$J$224),0),
IF('TL10'!$B$229=K$3,SUMIF('TL10'!$C$238:$C$451,$C21,'TL10'!$J$238:$J$451),0),
IF('TL11'!$B$3=K$3,SUMIF('TL11'!$C$10:$C$224,$C21,'TL11'!$J$10:$J$224),0),
IF('TL11'!$B$229=K$3,SUMIF('TL11'!$C$238:$C$451,$C21,'TL11'!$J$238:$J$451),0),
IF('TL12'!$B$3=K$3,SUMIF('TL12'!$C$10:$C$224,$C21,'TL12'!$J$10:$J$224),0),
IF('TL12'!$B$229=K$3,SUMIF('TL12'!$C$238:$C$451,$C21,'TL12'!$J$238:$J$451),0),
IF('TL13'!$B$3=K$3,SUMIF('TL13'!$C$10:$C$224,$C21,'TL13'!$J$10:$J$224),0),
IF('TL13'!$B$229=K$3,SUMIF('TL13'!$C$238:$C$451,$C21,'TL13'!$J$238:$J$451),0),
IF('TL14'!$B$3=K$3,SUMIF('TL14'!$C$10:$C$224,$C21,'TL14'!$J$10:$J$224),0),
IF('TL14'!$B$229=K$3,SUMIF('TL14'!$C$238:$C$451,$C21,'TL14'!$J$238:$J$451),0),
IF('TL15'!$B$3=K$3,SUMIF('TL15'!$C$10:$C$224,$C21,'TL15'!$J$10:$J$224),0),
IF('TL15'!$B$229=K$3,SUMIF('TL15'!$C$238:$C$451,$C21,'TL15'!$J$238:$J$451),0),
IF('TL16'!$B$3=K$3,SUMIF('TL16'!$C$10:$C$224,$C21,'TL16'!$J$10:$J$224),0),
IF('TL16'!$B$229=K$3,SUMIF('TL16'!$C$238:$C$451,$C21,'TL16'!$J$238:$J$451),0),
IF('TL17'!$B$3=K$3,SUMIF('TL17'!$C$10:$C$224,$C21,'TL17'!$J$10:$J$224),0),
IF('TL17'!$B$229=K$3,SUMIF('TL17'!$C$238:$C$451,$C21,'TL17'!$J$238:$J$451),0),
IF('TL18'!$B$3=K$3,SUMIF('TL18'!$C$10:$C$224,$C21,'TL18'!$J$10:$J$224),0),
IF('TL18'!$B$229=K$3,SUMIF('TL18'!$C$238:$C$451,$C21,'TL18'!$J$238:$J$451),0),
IF('TL19'!$B$3=K$3,SUMIF('TL19'!$C$10:$C$224,$C21,'TL19'!$J$10:$J$224),0),
IF('TL19'!$B$229=K$3,SUMIF('TL19'!$C$238:$C$451,$C21,'TL19'!$J$238:$J$451),0)
),0)</f>
        <v/>
      </c>
      <c r="L21" s="9">
        <f>IFERROR(SUM(
IF('TL01'!$B$3=L$3,SUMIF('TL01'!$C$10:$C$224,$C21,'TL01'!$J$10:$J$224),0),
IF('TL01'!$B$229=L$3,SUMIF('TL01'!$C$238:$C$451,$C21,'TL01'!$J$238:$J$451),0),
IF('TL02'!$B$3=L$3,SUMIF('TL02'!$C$10:$C$224,$C21,'TL02'!$J$10:$J$224),0),
IF('TL02'!$B$229=L$3,SUMIF('TL02'!$C$238:$C$451,$C21,'TL02'!$J$238:$J$451),0),
IF('TL03'!$B$3=L$3,SUMIF('TL03'!$C$10:$C$224,$C21,'TL03'!$J$10:$J$224),0),
IF('TL03'!$B$229=L$3,SUMIF('TL03'!$C$238:$C$451,$C21,'TL03'!$J$238:$J$451),0),
IF('TL04'!$B$3=L$3,SUMIF('TL04'!$C$10:$C$224,$C21,'TL04'!$J$10:$J$224),0),
IF('TL04'!$B$229=L$3,SUMIF('TL04'!$C$238:$C$451,$C21,'TL04'!$J$238:$J$451),0),
IF('TL05'!$B$3=L$3,SUMIF('TL05'!$C$10:$C$224,$C21,'TL05'!$J$10:$J$224),0),
IF('TL05'!$B$229=L$3,SUMIF('TL05'!$C$238:$C$451,$C21,'TL05'!$J$238:$J$451),0),
IF('TL06'!$B$3=L$3,SUMIF('TL06'!$C$10:$C$224,$C21,'TL06'!$J$10:$J$224),0),
IF('TL06'!$B$229=L$3,SUMIF('TL06'!$C$238:$C$451,$C21,'TL06'!$J$238:$J$451),0),
IF('TL07'!$B$3=L$3,SUMIF('TL07'!$C$10:$C$224,$C21,'TL07'!$J$10:$J$224),0),
IF('TL07'!$B$229=L$3,SUMIF('TL07'!$C$238:$C$451,$C21,'TL07'!$J$238:$J$451),0),
IF('TL08'!$B$3=L$3,SUMIF('TL08'!$C$10:$C$224,$C21,'TL08'!$J$10:$J$224),0),
IF('TL08'!$B$229=L$3,SUMIF('TL08'!$C$238:$C$451,$C21,'TL08'!$J$238:$J$451),0),
IF('TL09'!$B$3=L$3,SUMIF('TL09'!$C$10:$C$224,$C21,'TL09'!$J$10:$J$224),0),
IF('TL09'!$B$229=L$3,SUMIF('TL09'!$C$238:$C$451,$C21,'TL09'!$J$238:$J$451),0),
IF('TL10'!$B$3=L$3,SUMIF('TL10'!$C$10:$C$224,$C21,'TL10'!$J$10:$J$224),0),
IF('TL10'!$B$229=L$3,SUMIF('TL10'!$C$238:$C$451,$C21,'TL10'!$J$238:$J$451),0),
IF('TL11'!$B$3=L$3,SUMIF('TL11'!$C$10:$C$224,$C21,'TL11'!$J$10:$J$224),0),
IF('TL11'!$B$229=L$3,SUMIF('TL11'!$C$238:$C$451,$C21,'TL11'!$J$238:$J$451),0),
IF('TL12'!$B$3=L$3,SUMIF('TL12'!$C$10:$C$224,$C21,'TL12'!$J$10:$J$224),0),
IF('TL12'!$B$229=L$3,SUMIF('TL12'!$C$238:$C$451,$C21,'TL12'!$J$238:$J$451),0),
IF('TL13'!$B$3=L$3,SUMIF('TL13'!$C$10:$C$224,$C21,'TL13'!$J$10:$J$224),0),
IF('TL13'!$B$229=L$3,SUMIF('TL13'!$C$238:$C$451,$C21,'TL13'!$J$238:$J$451),0),
IF('TL14'!$B$3=L$3,SUMIF('TL14'!$C$10:$C$224,$C21,'TL14'!$J$10:$J$224),0),
IF('TL14'!$B$229=L$3,SUMIF('TL14'!$C$238:$C$451,$C21,'TL14'!$J$238:$J$451),0),
IF('TL15'!$B$3=L$3,SUMIF('TL15'!$C$10:$C$224,$C21,'TL15'!$J$10:$J$224),0),
IF('TL15'!$B$229=L$3,SUMIF('TL15'!$C$238:$C$451,$C21,'TL15'!$J$238:$J$451),0),
IF('TL16'!$B$3=L$3,SUMIF('TL16'!$C$10:$C$224,$C21,'TL16'!$J$10:$J$224),0),
IF('TL16'!$B$229=L$3,SUMIF('TL16'!$C$238:$C$451,$C21,'TL16'!$J$238:$J$451),0),
IF('TL17'!$B$3=L$3,SUMIF('TL17'!$C$10:$C$224,$C21,'TL17'!$J$10:$J$224),0),
IF('TL17'!$B$229=L$3,SUMIF('TL17'!$C$238:$C$451,$C21,'TL17'!$J$238:$J$451),0),
IF('TL18'!$B$3=L$3,SUMIF('TL18'!$C$10:$C$224,$C21,'TL18'!$J$10:$J$224),0),
IF('TL18'!$B$229=L$3,SUMIF('TL18'!$C$238:$C$451,$C21,'TL18'!$J$238:$J$451),0),
IF('TL19'!$B$3=L$3,SUMIF('TL19'!$C$10:$C$224,$C21,'TL19'!$J$10:$J$224),0),
IF('TL19'!$B$229=L$3,SUMIF('TL19'!$C$238:$C$451,$C21,'TL19'!$J$238:$J$451),0)
),0)</f>
        <v/>
      </c>
      <c r="M21" s="9">
        <f>IFERROR(SUM(
IF('TL01'!$B$3=M$3,SUMIF('TL01'!$C$10:$C$224,$C21,'TL01'!$J$10:$J$224),0),
IF('TL01'!$B$229=M$3,SUMIF('TL01'!$C$238:$C$451,$C21,'TL01'!$J$238:$J$451),0),
IF('TL02'!$B$3=M$3,SUMIF('TL02'!$C$10:$C$224,$C21,'TL02'!$J$10:$J$224),0),
IF('TL02'!$B$229=M$3,SUMIF('TL02'!$C$238:$C$451,$C21,'TL02'!$J$238:$J$451),0),
IF('TL03'!$B$3=M$3,SUMIF('TL03'!$C$10:$C$224,$C21,'TL03'!$J$10:$J$224),0),
IF('TL03'!$B$229=M$3,SUMIF('TL03'!$C$238:$C$451,$C21,'TL03'!$J$238:$J$451),0),
IF('TL04'!$B$3=M$3,SUMIF('TL04'!$C$10:$C$224,$C21,'TL04'!$J$10:$J$224),0),
IF('TL04'!$B$229=M$3,SUMIF('TL04'!$C$238:$C$451,$C21,'TL04'!$J$238:$J$451),0),
IF('TL05'!$B$3=M$3,SUMIF('TL05'!$C$10:$C$224,$C21,'TL05'!$J$10:$J$224),0),
IF('TL05'!$B$229=M$3,SUMIF('TL05'!$C$238:$C$451,$C21,'TL05'!$J$238:$J$451),0),
IF('TL06'!$B$3=M$3,SUMIF('TL06'!$C$10:$C$224,$C21,'TL06'!$J$10:$J$224),0),
IF('TL06'!$B$229=M$3,SUMIF('TL06'!$C$238:$C$451,$C21,'TL06'!$J$238:$J$451),0),
IF('TL07'!$B$3=M$3,SUMIF('TL07'!$C$10:$C$224,$C21,'TL07'!$J$10:$J$224),0),
IF('TL07'!$B$229=M$3,SUMIF('TL07'!$C$238:$C$451,$C21,'TL07'!$J$238:$J$451),0),
IF('TL08'!$B$3=M$3,SUMIF('TL08'!$C$10:$C$224,$C21,'TL08'!$J$10:$J$224),0),
IF('TL08'!$B$229=M$3,SUMIF('TL08'!$C$238:$C$451,$C21,'TL08'!$J$238:$J$451),0),
IF('TL09'!$B$3=M$3,SUMIF('TL09'!$C$10:$C$224,$C21,'TL09'!$J$10:$J$224),0),
IF('TL09'!$B$229=M$3,SUMIF('TL09'!$C$238:$C$451,$C21,'TL09'!$J$238:$J$451),0),
IF('TL10'!$B$3=M$3,SUMIF('TL10'!$C$10:$C$224,$C21,'TL10'!$J$10:$J$224),0),
IF('TL10'!$B$229=M$3,SUMIF('TL10'!$C$238:$C$451,$C21,'TL10'!$J$238:$J$451),0),
IF('TL11'!$B$3=M$3,SUMIF('TL11'!$C$10:$C$224,$C21,'TL11'!$J$10:$J$224),0),
IF('TL11'!$B$229=M$3,SUMIF('TL11'!$C$238:$C$451,$C21,'TL11'!$J$238:$J$451),0),
IF('TL12'!$B$3=M$3,SUMIF('TL12'!$C$10:$C$224,$C21,'TL12'!$J$10:$J$224),0),
IF('TL12'!$B$229=M$3,SUMIF('TL12'!$C$238:$C$451,$C21,'TL12'!$J$238:$J$451),0),
IF('TL13'!$B$3=M$3,SUMIF('TL13'!$C$10:$C$224,$C21,'TL13'!$J$10:$J$224),0),
IF('TL13'!$B$229=M$3,SUMIF('TL13'!$C$238:$C$451,$C21,'TL13'!$J$238:$J$451),0),
IF('TL14'!$B$3=M$3,SUMIF('TL14'!$C$10:$C$224,$C21,'TL14'!$J$10:$J$224),0),
IF('TL14'!$B$229=M$3,SUMIF('TL14'!$C$238:$C$451,$C21,'TL14'!$J$238:$J$451),0),
IF('TL15'!$B$3=M$3,SUMIF('TL15'!$C$10:$C$224,$C21,'TL15'!$J$10:$J$224),0),
IF('TL15'!$B$229=M$3,SUMIF('TL15'!$C$238:$C$451,$C21,'TL15'!$J$238:$J$451),0),
IF('TL16'!$B$3=M$3,SUMIF('TL16'!$C$10:$C$224,$C21,'TL16'!$J$10:$J$224),0),
IF('TL16'!$B$229=M$3,SUMIF('TL16'!$C$238:$C$451,$C21,'TL16'!$J$238:$J$451),0),
IF('TL17'!$B$3=M$3,SUMIF('TL17'!$C$10:$C$224,$C21,'TL17'!$J$10:$J$224),0),
IF('TL17'!$B$229=M$3,SUMIF('TL17'!$C$238:$C$451,$C21,'TL17'!$J$238:$J$451),0),
IF('TL18'!$B$3=M$3,SUMIF('TL18'!$C$10:$C$224,$C21,'TL18'!$J$10:$J$224),0),
IF('TL18'!$B$229=M$3,SUMIF('TL18'!$C$238:$C$451,$C21,'TL18'!$J$238:$J$451),0),
IF('TL19'!$B$3=M$3,SUMIF('TL19'!$C$10:$C$224,$C21,'TL19'!$J$10:$J$224),0),
IF('TL19'!$B$229=M$3,SUMIF('TL19'!$C$238:$C$451,$C21,'TL19'!$J$238:$J$451),0)
),0)</f>
        <v/>
      </c>
      <c r="N21" s="9">
        <f>IFERROR(SUM(
IF('TL01'!$B$3=N$3,SUMIF('TL01'!$C$10:$C$224,$C21,'TL01'!$J$10:$J$224),0),
IF('TL01'!$B$229=N$3,SUMIF('TL01'!$C$238:$C$451,$C21,'TL01'!$J$238:$J$451),0),
IF('TL02'!$B$3=N$3,SUMIF('TL02'!$C$10:$C$224,$C21,'TL02'!$J$10:$J$224),0),
IF('TL02'!$B$229=N$3,SUMIF('TL02'!$C$238:$C$451,$C21,'TL02'!$J$238:$J$451),0),
IF('TL03'!$B$3=N$3,SUMIF('TL03'!$C$10:$C$224,$C21,'TL03'!$J$10:$J$224),0),
IF('TL03'!$B$229=N$3,SUMIF('TL03'!$C$238:$C$451,$C21,'TL03'!$J$238:$J$451),0),
IF('TL04'!$B$3=N$3,SUMIF('TL04'!$C$10:$C$224,$C21,'TL04'!$J$10:$J$224),0),
IF('TL04'!$B$229=N$3,SUMIF('TL04'!$C$238:$C$451,$C21,'TL04'!$J$238:$J$451),0),
IF('TL05'!$B$3=N$3,SUMIF('TL05'!$C$10:$C$224,$C21,'TL05'!$J$10:$J$224),0),
IF('TL05'!$B$229=N$3,SUMIF('TL05'!$C$238:$C$451,$C21,'TL05'!$J$238:$J$451),0),
IF('TL06'!$B$3=N$3,SUMIF('TL06'!$C$10:$C$224,$C21,'TL06'!$J$10:$J$224),0),
IF('TL06'!$B$229=N$3,SUMIF('TL06'!$C$238:$C$451,$C21,'TL06'!$J$238:$J$451),0),
IF('TL07'!$B$3=N$3,SUMIF('TL07'!$C$10:$C$224,$C21,'TL07'!$J$10:$J$224),0),
IF('TL07'!$B$229=N$3,SUMIF('TL07'!$C$238:$C$451,$C21,'TL07'!$J$238:$J$451),0),
IF('TL08'!$B$3=N$3,SUMIF('TL08'!$C$10:$C$224,$C21,'TL08'!$J$10:$J$224),0),
IF('TL08'!$B$229=N$3,SUMIF('TL08'!$C$238:$C$451,$C21,'TL08'!$J$238:$J$451),0),
IF('TL09'!$B$3=N$3,SUMIF('TL09'!$C$10:$C$224,$C21,'TL09'!$J$10:$J$224),0),
IF('TL09'!$B$229=N$3,SUMIF('TL09'!$C$238:$C$451,$C21,'TL09'!$J$238:$J$451),0),
IF('TL10'!$B$3=N$3,SUMIF('TL10'!$C$10:$C$224,$C21,'TL10'!$J$10:$J$224),0),
IF('TL10'!$B$229=N$3,SUMIF('TL10'!$C$238:$C$451,$C21,'TL10'!$J$238:$J$451),0),
IF('TL11'!$B$3=N$3,SUMIF('TL11'!$C$10:$C$224,$C21,'TL11'!$J$10:$J$224),0),
IF('TL11'!$B$229=N$3,SUMIF('TL11'!$C$238:$C$451,$C21,'TL11'!$J$238:$J$451),0),
IF('TL12'!$B$3=N$3,SUMIF('TL12'!$C$10:$C$224,$C21,'TL12'!$J$10:$J$224),0),
IF('TL12'!$B$229=N$3,SUMIF('TL12'!$C$238:$C$451,$C21,'TL12'!$J$238:$J$451),0),
IF('TL13'!$B$3=N$3,SUMIF('TL13'!$C$10:$C$224,$C21,'TL13'!$J$10:$J$224),0),
IF('TL13'!$B$229=N$3,SUMIF('TL13'!$C$238:$C$451,$C21,'TL13'!$J$238:$J$451),0),
IF('TL14'!$B$3=N$3,SUMIF('TL14'!$C$10:$C$224,$C21,'TL14'!$J$10:$J$224),0),
IF('TL14'!$B$229=N$3,SUMIF('TL14'!$C$238:$C$451,$C21,'TL14'!$J$238:$J$451),0),
IF('TL15'!$B$3=N$3,SUMIF('TL15'!$C$10:$C$224,$C21,'TL15'!$J$10:$J$224),0),
IF('TL15'!$B$229=N$3,SUMIF('TL15'!$C$238:$C$451,$C21,'TL15'!$J$238:$J$451),0),
IF('TL16'!$B$3=N$3,SUMIF('TL16'!$C$10:$C$224,$C21,'TL16'!$J$10:$J$224),0),
IF('TL16'!$B$229=N$3,SUMIF('TL16'!$C$238:$C$451,$C21,'TL16'!$J$238:$J$451),0),
IF('TL17'!$B$3=N$3,SUMIF('TL17'!$C$10:$C$224,$C21,'TL17'!$J$10:$J$224),0),
IF('TL17'!$B$229=N$3,SUMIF('TL17'!$C$238:$C$451,$C21,'TL17'!$J$238:$J$451),0),
IF('TL18'!$B$3=N$3,SUMIF('TL18'!$C$10:$C$224,$C21,'TL18'!$J$10:$J$224),0),
IF('TL18'!$B$229=N$3,SUMIF('TL18'!$C$238:$C$451,$C21,'TL18'!$J$238:$J$451),0),
IF('TL19'!$B$3=N$3,SUMIF('TL19'!$C$10:$C$224,$C21,'TL19'!$J$10:$J$224),0),
IF('TL19'!$B$229=N$3,SUMIF('TL19'!$C$238:$C$451,$C21,'TL19'!$J$238:$J$451),0)
),0)</f>
        <v/>
      </c>
      <c r="O21" s="9">
        <f>IFERROR(SUM(
IF('TL01'!$B$3=O$3,SUMIF('TL01'!$C$10:$C$224,$C21,'TL01'!$J$10:$J$224),0),
IF('TL01'!$B$229=O$3,SUMIF('TL01'!$C$238:$C$451,$C21,'TL01'!$J$238:$J$451),0),
IF('TL02'!$B$3=O$3,SUMIF('TL02'!$C$10:$C$224,$C21,'TL02'!$J$10:$J$224),0),
IF('TL02'!$B$229=O$3,SUMIF('TL02'!$C$238:$C$451,$C21,'TL02'!$J$238:$J$451),0),
IF('TL03'!$B$3=O$3,SUMIF('TL03'!$C$10:$C$224,$C21,'TL03'!$J$10:$J$224),0),
IF('TL03'!$B$229=O$3,SUMIF('TL03'!$C$238:$C$451,$C21,'TL03'!$J$238:$J$451),0),
IF('TL04'!$B$3=O$3,SUMIF('TL04'!$C$10:$C$224,$C21,'TL04'!$J$10:$J$224),0),
IF('TL04'!$B$229=O$3,SUMIF('TL04'!$C$238:$C$451,$C21,'TL04'!$J$238:$J$451),0),
IF('TL05'!$B$3=O$3,SUMIF('TL05'!$C$10:$C$224,$C21,'TL05'!$J$10:$J$224),0),
IF('TL05'!$B$229=O$3,SUMIF('TL05'!$C$238:$C$451,$C21,'TL05'!$J$238:$J$451),0),
IF('TL06'!$B$3=O$3,SUMIF('TL06'!$C$10:$C$224,$C21,'TL06'!$J$10:$J$224),0),
IF('TL06'!$B$229=O$3,SUMIF('TL06'!$C$238:$C$451,$C21,'TL06'!$J$238:$J$451),0),
IF('TL07'!$B$3=O$3,SUMIF('TL07'!$C$10:$C$224,$C21,'TL07'!$J$10:$J$224),0),
IF('TL07'!$B$229=O$3,SUMIF('TL07'!$C$238:$C$451,$C21,'TL07'!$J$238:$J$451),0),
IF('TL08'!$B$3=O$3,SUMIF('TL08'!$C$10:$C$224,$C21,'TL08'!$J$10:$J$224),0),
IF('TL08'!$B$229=O$3,SUMIF('TL08'!$C$238:$C$451,$C21,'TL08'!$J$238:$J$451),0),
IF('TL09'!$B$3=O$3,SUMIF('TL09'!$C$10:$C$224,$C21,'TL09'!$J$10:$J$224),0),
IF('TL09'!$B$229=O$3,SUMIF('TL09'!$C$238:$C$451,$C21,'TL09'!$J$238:$J$451),0),
IF('TL10'!$B$3=O$3,SUMIF('TL10'!$C$10:$C$224,$C21,'TL10'!$J$10:$J$224),0),
IF('TL10'!$B$229=O$3,SUMIF('TL10'!$C$238:$C$451,$C21,'TL10'!$J$238:$J$451),0),
IF('TL11'!$B$3=O$3,SUMIF('TL11'!$C$10:$C$224,$C21,'TL11'!$J$10:$J$224),0),
IF('TL11'!$B$229=O$3,SUMIF('TL11'!$C$238:$C$451,$C21,'TL11'!$J$238:$J$451),0),
IF('TL12'!$B$3=O$3,SUMIF('TL12'!$C$10:$C$224,$C21,'TL12'!$J$10:$J$224),0),
IF('TL12'!$B$229=O$3,SUMIF('TL12'!$C$238:$C$451,$C21,'TL12'!$J$238:$J$451),0),
IF('TL13'!$B$3=O$3,SUMIF('TL13'!$C$10:$C$224,$C21,'TL13'!$J$10:$J$224),0),
IF('TL13'!$B$229=O$3,SUMIF('TL13'!$C$238:$C$451,$C21,'TL13'!$J$238:$J$451),0),
IF('TL14'!$B$3=O$3,SUMIF('TL14'!$C$10:$C$224,$C21,'TL14'!$J$10:$J$224),0),
IF('TL14'!$B$229=O$3,SUMIF('TL14'!$C$238:$C$451,$C21,'TL14'!$J$238:$J$451),0),
IF('TL15'!$B$3=O$3,SUMIF('TL15'!$C$10:$C$224,$C21,'TL15'!$J$10:$J$224),0),
IF('TL15'!$B$229=O$3,SUMIF('TL15'!$C$238:$C$451,$C21,'TL15'!$J$238:$J$451),0),
IF('TL16'!$B$3=O$3,SUMIF('TL16'!$C$10:$C$224,$C21,'TL16'!$J$10:$J$224),0),
IF('TL16'!$B$229=O$3,SUMIF('TL16'!$C$238:$C$451,$C21,'TL16'!$J$238:$J$451),0),
IF('TL17'!$B$3=O$3,SUMIF('TL17'!$C$10:$C$224,$C21,'TL17'!$J$10:$J$224),0),
IF('TL17'!$B$229=O$3,SUMIF('TL17'!$C$238:$C$451,$C21,'TL17'!$J$238:$J$451),0),
IF('TL18'!$B$3=O$3,SUMIF('TL18'!$C$10:$C$224,$C21,'TL18'!$J$10:$J$224),0),
IF('TL18'!$B$229=O$3,SUMIF('TL18'!$C$238:$C$451,$C21,'TL18'!$J$238:$J$451),0),
IF('TL19'!$B$3=O$3,SUMIF('TL19'!$C$10:$C$224,$C21,'TL19'!$J$10:$J$224),0),
IF('TL19'!$B$229=O$3,SUMIF('TL19'!$C$238:$C$451,$C21,'TL19'!$J$238:$J$451),0)
),0)</f>
        <v/>
      </c>
      <c r="P21" s="9">
        <f>IFERROR(SUM(
IF('TL01'!$B$3=P$3,SUMIF('TL01'!$C$10:$C$224,$C21,'TL01'!$J$10:$J$224),0),
IF('TL01'!$B$229=P$3,SUMIF('TL01'!$C$238:$C$451,$C21,'TL01'!$J$238:$J$451),0),
IF('TL02'!$B$3=P$3,SUMIF('TL02'!$C$10:$C$224,$C21,'TL02'!$J$10:$J$224),0),
IF('TL02'!$B$229=P$3,SUMIF('TL02'!$C$238:$C$451,$C21,'TL02'!$J$238:$J$451),0),
IF('TL03'!$B$3=P$3,SUMIF('TL03'!$C$10:$C$224,$C21,'TL03'!$J$10:$J$224),0),
IF('TL03'!$B$229=P$3,SUMIF('TL03'!$C$238:$C$451,$C21,'TL03'!$J$238:$J$451),0),
IF('TL04'!$B$3=P$3,SUMIF('TL04'!$C$10:$C$224,$C21,'TL04'!$J$10:$J$224),0),
IF('TL04'!$B$229=P$3,SUMIF('TL04'!$C$238:$C$451,$C21,'TL04'!$J$238:$J$451),0),
IF('TL05'!$B$3=P$3,SUMIF('TL05'!$C$10:$C$224,$C21,'TL05'!$J$10:$J$224),0),
IF('TL05'!$B$229=P$3,SUMIF('TL05'!$C$238:$C$451,$C21,'TL05'!$J$238:$J$451),0),
IF('TL06'!$B$3=P$3,SUMIF('TL06'!$C$10:$C$224,$C21,'TL06'!$J$10:$J$224),0),
IF('TL06'!$B$229=P$3,SUMIF('TL06'!$C$238:$C$451,$C21,'TL06'!$J$238:$J$451),0),
IF('TL07'!$B$3=P$3,SUMIF('TL07'!$C$10:$C$224,$C21,'TL07'!$J$10:$J$224),0),
IF('TL07'!$B$229=P$3,SUMIF('TL07'!$C$238:$C$451,$C21,'TL07'!$J$238:$J$451),0),
IF('TL08'!$B$3=P$3,SUMIF('TL08'!$C$10:$C$224,$C21,'TL08'!$J$10:$J$224),0),
IF('TL08'!$B$229=P$3,SUMIF('TL08'!$C$238:$C$451,$C21,'TL08'!$J$238:$J$451),0),
IF('TL09'!$B$3=P$3,SUMIF('TL09'!$C$10:$C$224,$C21,'TL09'!$J$10:$J$224),0),
IF('TL09'!$B$229=P$3,SUMIF('TL09'!$C$238:$C$451,$C21,'TL09'!$J$238:$J$451),0),
IF('TL10'!$B$3=P$3,SUMIF('TL10'!$C$10:$C$224,$C21,'TL10'!$J$10:$J$224),0),
IF('TL10'!$B$229=P$3,SUMIF('TL10'!$C$238:$C$451,$C21,'TL10'!$J$238:$J$451),0),
IF('TL11'!$B$3=P$3,SUMIF('TL11'!$C$10:$C$224,$C21,'TL11'!$J$10:$J$224),0),
IF('TL11'!$B$229=P$3,SUMIF('TL11'!$C$238:$C$451,$C21,'TL11'!$J$238:$J$451),0),
IF('TL12'!$B$3=P$3,SUMIF('TL12'!$C$10:$C$224,$C21,'TL12'!$J$10:$J$224),0),
IF('TL12'!$B$229=P$3,SUMIF('TL12'!$C$238:$C$451,$C21,'TL12'!$J$238:$J$451),0),
IF('TL13'!$B$3=P$3,SUMIF('TL13'!$C$10:$C$224,$C21,'TL13'!$J$10:$J$224),0),
IF('TL13'!$B$229=P$3,SUMIF('TL13'!$C$238:$C$451,$C21,'TL13'!$J$238:$J$451),0),
IF('TL14'!$B$3=P$3,SUMIF('TL14'!$C$10:$C$224,$C21,'TL14'!$J$10:$J$224),0),
IF('TL14'!$B$229=P$3,SUMIF('TL14'!$C$238:$C$451,$C21,'TL14'!$J$238:$J$451),0),
IF('TL15'!$B$3=P$3,SUMIF('TL15'!$C$10:$C$224,$C21,'TL15'!$J$10:$J$224),0),
IF('TL15'!$B$229=P$3,SUMIF('TL15'!$C$238:$C$451,$C21,'TL15'!$J$238:$J$451),0),
IF('TL16'!$B$3=P$3,SUMIF('TL16'!$C$10:$C$224,$C21,'TL16'!$J$10:$J$224),0),
IF('TL16'!$B$229=P$3,SUMIF('TL16'!$C$238:$C$451,$C21,'TL16'!$J$238:$J$451),0),
IF('TL17'!$B$3=P$3,SUMIF('TL17'!$C$10:$C$224,$C21,'TL17'!$J$10:$J$224),0),
IF('TL17'!$B$229=P$3,SUMIF('TL17'!$C$238:$C$451,$C21,'TL17'!$J$238:$J$451),0),
IF('TL18'!$B$3=P$3,SUMIF('TL18'!$C$10:$C$224,$C21,'TL18'!$J$10:$J$224),0),
IF('TL18'!$B$229=P$3,SUMIF('TL18'!$C$238:$C$451,$C21,'TL18'!$J$238:$J$451),0),
IF('TL19'!$B$3=P$3,SUMIF('TL19'!$C$10:$C$224,$C21,'TL19'!$J$10:$J$224),0),
IF('TL19'!$B$229=P$3,SUMIF('TL19'!$C$238:$C$451,$C21,'TL19'!$J$238:$J$451),0)
),0)</f>
        <v/>
      </c>
      <c r="Q21" s="9">
        <f>IFERROR(SUM(
IF('TL01'!$B$3=Q$3,SUMIF('TL01'!$C$10:$C$224,$C21,'TL01'!$J$10:$J$224),0),
IF('TL01'!$B$229=Q$3,SUMIF('TL01'!$C$238:$C$451,$C21,'TL01'!$J$238:$J$451),0),
IF('TL02'!$B$3=Q$3,SUMIF('TL02'!$C$10:$C$224,$C21,'TL02'!$J$10:$J$224),0),
IF('TL02'!$B$229=Q$3,SUMIF('TL02'!$C$238:$C$451,$C21,'TL02'!$J$238:$J$451),0),
IF('TL03'!$B$3=Q$3,SUMIF('TL03'!$C$10:$C$224,$C21,'TL03'!$J$10:$J$224),0),
IF('TL03'!$B$229=Q$3,SUMIF('TL03'!$C$238:$C$451,$C21,'TL03'!$J$238:$J$451),0),
IF('TL04'!$B$3=Q$3,SUMIF('TL04'!$C$10:$C$224,$C21,'TL04'!$J$10:$J$224),0),
IF('TL04'!$B$229=Q$3,SUMIF('TL04'!$C$238:$C$451,$C21,'TL04'!$J$238:$J$451),0),
IF('TL05'!$B$3=Q$3,SUMIF('TL05'!$C$10:$C$224,$C21,'TL05'!$J$10:$J$224),0),
IF('TL05'!$B$229=Q$3,SUMIF('TL05'!$C$238:$C$451,$C21,'TL05'!$J$238:$J$451),0),
IF('TL06'!$B$3=Q$3,SUMIF('TL06'!$C$10:$C$224,$C21,'TL06'!$J$10:$J$224),0),
IF('TL06'!$B$229=Q$3,SUMIF('TL06'!$C$238:$C$451,$C21,'TL06'!$J$238:$J$451),0),
IF('TL07'!$B$3=Q$3,SUMIF('TL07'!$C$10:$C$224,$C21,'TL07'!$J$10:$J$224),0),
IF('TL07'!$B$229=Q$3,SUMIF('TL07'!$C$238:$C$451,$C21,'TL07'!$J$238:$J$451),0),
IF('TL08'!$B$3=Q$3,SUMIF('TL08'!$C$10:$C$224,$C21,'TL08'!$J$10:$J$224),0),
IF('TL08'!$B$229=Q$3,SUMIF('TL08'!$C$238:$C$451,$C21,'TL08'!$J$238:$J$451),0),
IF('TL09'!$B$3=Q$3,SUMIF('TL09'!$C$10:$C$224,$C21,'TL09'!$J$10:$J$224),0),
IF('TL09'!$B$229=Q$3,SUMIF('TL09'!$C$238:$C$451,$C21,'TL09'!$J$238:$J$451),0),
IF('TL10'!$B$3=Q$3,SUMIF('TL10'!$C$10:$C$224,$C21,'TL10'!$J$10:$J$224),0),
IF('TL10'!$B$229=Q$3,SUMIF('TL10'!$C$238:$C$451,$C21,'TL10'!$J$238:$J$451),0),
IF('TL11'!$B$3=Q$3,SUMIF('TL11'!$C$10:$C$224,$C21,'TL11'!$J$10:$J$224),0),
IF('TL11'!$B$229=Q$3,SUMIF('TL11'!$C$238:$C$451,$C21,'TL11'!$J$238:$J$451),0),
IF('TL12'!$B$3=Q$3,SUMIF('TL12'!$C$10:$C$224,$C21,'TL12'!$J$10:$J$224),0),
IF('TL12'!$B$229=Q$3,SUMIF('TL12'!$C$238:$C$451,$C21,'TL12'!$J$238:$J$451),0),
IF('TL13'!$B$3=Q$3,SUMIF('TL13'!$C$10:$C$224,$C21,'TL13'!$J$10:$J$224),0),
IF('TL13'!$B$229=Q$3,SUMIF('TL13'!$C$238:$C$451,$C21,'TL13'!$J$238:$J$451),0),
IF('TL14'!$B$3=Q$3,SUMIF('TL14'!$C$10:$C$224,$C21,'TL14'!$J$10:$J$224),0),
IF('TL14'!$B$229=Q$3,SUMIF('TL14'!$C$238:$C$451,$C21,'TL14'!$J$238:$J$451),0),
IF('TL15'!$B$3=Q$3,SUMIF('TL15'!$C$10:$C$224,$C21,'TL15'!$J$10:$J$224),0),
IF('TL15'!$B$229=Q$3,SUMIF('TL15'!$C$238:$C$451,$C21,'TL15'!$J$238:$J$451),0),
IF('TL16'!$B$3=Q$3,SUMIF('TL16'!$C$10:$C$224,$C21,'TL16'!$J$10:$J$224),0),
IF('TL16'!$B$229=Q$3,SUMIF('TL16'!$C$238:$C$451,$C21,'TL16'!$J$238:$J$451),0),
IF('TL17'!$B$3=Q$3,SUMIF('TL17'!$C$10:$C$224,$C21,'TL17'!$J$10:$J$224),0),
IF('TL17'!$B$229=Q$3,SUMIF('TL17'!$C$238:$C$451,$C21,'TL17'!$J$238:$J$451),0),
IF('TL18'!$B$3=Q$3,SUMIF('TL18'!$C$10:$C$224,$C21,'TL18'!$J$10:$J$224),0),
IF('TL18'!$B$229=Q$3,SUMIF('TL18'!$C$238:$C$451,$C21,'TL18'!$J$238:$J$451),0),
IF('TL19'!$B$3=Q$3,SUMIF('TL19'!$C$10:$C$224,$C21,'TL19'!$J$10:$J$224),0),
IF('TL19'!$B$229=Q$3,SUMIF('TL19'!$C$238:$C$451,$C21,'TL19'!$J$238:$J$451),0)
),0)</f>
        <v/>
      </c>
      <c r="R21" s="9">
        <f>IFERROR(
SUM(
SUMIF('TL01'!C:C,C21,'TL01'!J:J),
SUMIF('TL02'!C:C,C21,'TL02'!J:J),
SUMIF('TL03'!C:C,C21,'TL03'!J:J),
SUMIF('TL04'!C:C,C21,'TL04'!J:J),
SUMIF('TL05'!C:C,C21,'TL05'!J:J),
SUMIF('TL06'!C:C,C21,'TL06'!J:J),
SUMIF('TL07'!C:C,C21,'TL07'!J:J),
SUMIF('TL08'!C:C,C21,'TL08'!J:J),
SUMIF('TL09'!C:C,C21,'TL09'!J:J),
SUMIF('TL10'!C:C,C21,'TL10'!J:J),
SUMIF('TL11'!C:C,C21,'TL11'!J:J),
SUMIF('TL12'!C:C,C21,'TL12'!J:J),
SUMIF('TL13'!C:C,C21,'TL13'!J:J),
SUMIF('TL14'!C:C,C21,'TL14'!J:J),
SUMIF('TL15'!C:C,C21,'TL15'!J:J),
SUMIF('TL16'!C:C,C21,'TL16'!J:J),
SUMIF('TL17'!C:C,C21,'TL17'!J:J),
SUMIF('TL18'!C:C,C21,'TL18'!J:J),SUMIF('TL19'!C:C,C21,'TL19'!J:J))
,0)</f>
        <v/>
      </c>
      <c r="S21" s="17">
        <f>IFERROR(__xludf.DUMMYFUNCTION("IFERROR(VLOOKUP(C21,
IMPORTRANGE(""1wULbzX32WdYsx-lj2U3uUNBBe2INVIRDtcK0d-Dvl90"",
""26-27!C:G""),
5,
FALSE),
"""")"),3018.3019999999997)</f>
        <v/>
      </c>
      <c r="T21" s="9" t="n"/>
      <c r="U21" s="92">
        <f>MAX(0,R21-T21)</f>
        <v/>
      </c>
      <c r="V21" s="93">
        <f>U21*S21</f>
        <v/>
      </c>
    </row>
    <row r="22" hidden="1" ht="22.5" customHeight="1" s="297">
      <c r="A22" s="101" t="n"/>
      <c r="B22" s="102" t="inlineStr">
        <is>
          <t>CORRETIVOS</t>
        </is>
      </c>
      <c r="C22" s="103" t="inlineStr">
        <is>
          <t>CALCÁRIO DOLOMITICO</t>
        </is>
      </c>
      <c r="D22" s="103" t="inlineStr">
        <is>
          <t>CaO 38%  MgO 18%</t>
        </is>
      </c>
      <c r="E22" s="104" t="n"/>
      <c r="F22" s="4" t="inlineStr">
        <is>
          <t>Ton</t>
        </is>
      </c>
      <c r="G22" s="9" t="n"/>
      <c r="H22" s="9">
        <f>IFERROR(__xludf.DUMMYFUNCTION("IFERROR(VLOOKUP(C22,
IMPORTRANGE(""1wULbzX32WdYsx-lj2U3uUNBBe2INVIRDtcK0d-Dvl90"",
""26-27!C:K""),
8,
FALSE),
"""")"),"")</f>
        <v/>
      </c>
      <c r="I22" s="105" t="n"/>
      <c r="J22" s="9">
        <f>IFERROR(SUM(
IF('TL01'!$B$3=J$3,SUMIF('TL01'!$C$10:$C$224,$C22,'TL01'!$J$10:$J$224),0),
IF('TL01'!$B$229=J$3,SUMIF('TL01'!$C$238:$C$451,$C22,'TL01'!$J$238:$J$451),0),
IF('TL02'!$B$3=J$3,SUMIF('TL02'!$C$10:$C$224,$C22,'TL02'!$J$10:$J$224),0),
IF('TL02'!$B$229=J$3,SUMIF('TL02'!$C$238:$C$451,$C22,'TL02'!$J$238:$J$451),0),
IF('TL03'!$B$3=J$3,SUMIF('TL03'!$C$10:$C$224,$C22,'TL03'!$J$10:$J$224),0),
IF('TL03'!$B$229=J$3,SUMIF('TL03'!$C$238:$C$451,$C22,'TL03'!$J$238:$J$451),0),
IF('TL04'!$B$3=J$3,SUMIF('TL04'!$C$10:$C$224,$C22,'TL04'!$J$10:$J$224),0),
IF('TL04'!$B$229=J$3,SUMIF('TL04'!$C$238:$C$451,$C22,'TL04'!$J$238:$J$451),0),
IF('TL05'!$B$3=J$3,SUMIF('TL05'!$C$10:$C$224,$C22,'TL05'!$J$10:$J$224),0),
IF('TL05'!$B$229=J$3,SUMIF('TL05'!$C$238:$C$451,$C22,'TL05'!$J$238:$J$451),0),
IF('TL06'!$B$3=J$3,SUMIF('TL06'!$C$10:$C$224,$C22,'TL06'!$J$10:$J$224),0),
IF('TL06'!$B$229=J$3,SUMIF('TL06'!$C$238:$C$451,$C22,'TL06'!$J$238:$J$451),0),
IF('TL07'!$B$3=J$3,SUMIF('TL07'!$C$10:$C$224,$C22,'TL07'!$J$10:$J$224),0),
IF('TL07'!$B$229=J$3,SUMIF('TL07'!$C$238:$C$451,$C22,'TL07'!$J$238:$J$451),0),
IF('TL08'!$B$3=J$3,SUMIF('TL08'!$C$10:$C$224,$C22,'TL08'!$J$10:$J$224),0),
IF('TL08'!$B$229=J$3,SUMIF('TL08'!$C$238:$C$451,$C22,'TL08'!$J$238:$J$451),0),
IF('TL09'!$B$3=J$3,SUMIF('TL09'!$C$10:$C$224,$C22,'TL09'!$J$10:$J$224),0),
IF('TL09'!$B$229=J$3,SUMIF('TL09'!$C$238:$C$451,$C22,'TL09'!$J$238:$J$451),0),
IF('TL10'!$B$3=J$3,SUMIF('TL10'!$C$10:$C$224,$C22,'TL10'!$J$10:$J$224),0),
IF('TL10'!$B$229=J$3,SUMIF('TL10'!$C$238:$C$451,$C22,'TL10'!$J$238:$J$451),0),
IF('TL11'!$B$3=J$3,SUMIF('TL11'!$C$10:$C$224,$C22,'TL11'!$J$10:$J$224),0),
IF('TL11'!$B$229=J$3,SUMIF('TL11'!$C$238:$C$451,$C22,'TL11'!$J$238:$J$451),0),
IF('TL12'!$B$3=J$3,SUMIF('TL12'!$C$10:$C$224,$C22,'TL12'!$J$10:$J$224),0),
IF('TL12'!$B$229=J$3,SUMIF('TL12'!$C$238:$C$451,$C22,'TL12'!$J$238:$J$451),0),
IF('TL13'!$B$3=J$3,SUMIF('TL13'!$C$10:$C$224,$C22,'TL13'!$J$10:$J$224),0),
IF('TL13'!$B$229=J$3,SUMIF('TL13'!$C$238:$C$451,$C22,'TL13'!$J$238:$J$451),0),
IF('TL14'!$B$3=J$3,SUMIF('TL14'!$C$10:$C$224,$C22,'TL14'!$J$10:$J$224),0),
IF('TL14'!$B$229=J$3,SUMIF('TL14'!$C$238:$C$451,$C22,'TL14'!$J$238:$J$451),0),
IF('TL15'!$B$3=J$3,SUMIF('TL15'!$C$10:$C$224,$C22,'TL15'!$J$10:$J$224),0),
IF('TL15'!$B$229=J$3,SUMIF('TL15'!$C$238:$C$451,$C22,'TL15'!$J$238:$J$451),0),
IF('TL16'!$B$3=J$3,SUMIF('TL16'!$C$10:$C$224,$C22,'TL16'!$J$10:$J$224),0),
IF('TL16'!$B$229=J$3,SUMIF('TL16'!$C$238:$C$451,$C22,'TL16'!$J$238:$J$451),0),
IF('TL17'!$B$3=J$3,SUMIF('TL17'!$C$10:$C$224,$C22,'TL17'!$J$10:$J$224),0),
IF('TL17'!$B$229=J$3,SUMIF('TL17'!$C$238:$C$451,$C22,'TL17'!$J$238:$J$451),0),
IF('TL18'!$B$3=J$3,SUMIF('TL18'!$C$10:$C$224,$C22,'TL18'!$J$10:$J$224),0),
IF('TL18'!$B$229=J$3,SUMIF('TL18'!$C$238:$C$451,$C22,'TL18'!$J$238:$J$451),0),
IF('TL19'!$B$3=J$3,SUMIF('TL19'!$C$10:$C$224,$C22,'TL19'!$J$10:$J$224),0),
IF('TL19'!$B$229=J$3,SUMIF('TL19'!$C$238:$C$451,$C22,'TL19'!$J$238:$J$451),0)
),0)</f>
        <v/>
      </c>
      <c r="K22" s="9">
        <f>IFERROR(SUM(
IF('TL01'!$B$3=K$3,SUMIF('TL01'!$C$10:$C$224,$C22,'TL01'!$J$10:$J$224),0),
IF('TL01'!$B$229=K$3,SUMIF('TL01'!$C$238:$C$451,$C22,'TL01'!$J$238:$J$451),0),
IF('TL02'!$B$3=K$3,SUMIF('TL02'!$C$10:$C$224,$C22,'TL02'!$J$10:$J$224),0),
IF('TL02'!$B$229=K$3,SUMIF('TL02'!$C$238:$C$451,$C22,'TL02'!$J$238:$J$451),0),
IF('TL03'!$B$3=K$3,SUMIF('TL03'!$C$10:$C$224,$C22,'TL03'!$J$10:$J$224),0),
IF('TL03'!$B$229=K$3,SUMIF('TL03'!$C$238:$C$451,$C22,'TL03'!$J$238:$J$451),0),
IF('TL04'!$B$3=K$3,SUMIF('TL04'!$C$10:$C$224,$C22,'TL04'!$J$10:$J$224),0),
IF('TL04'!$B$229=K$3,SUMIF('TL04'!$C$238:$C$451,$C22,'TL04'!$J$238:$J$451),0),
IF('TL05'!$B$3=K$3,SUMIF('TL05'!$C$10:$C$224,$C22,'TL05'!$J$10:$J$224),0),
IF('TL05'!$B$229=K$3,SUMIF('TL05'!$C$238:$C$451,$C22,'TL05'!$J$238:$J$451),0),
IF('TL06'!$B$3=K$3,SUMIF('TL06'!$C$10:$C$224,$C22,'TL06'!$J$10:$J$224),0),
IF('TL06'!$B$229=K$3,SUMIF('TL06'!$C$238:$C$451,$C22,'TL06'!$J$238:$J$451),0),
IF('TL07'!$B$3=K$3,SUMIF('TL07'!$C$10:$C$224,$C22,'TL07'!$J$10:$J$224),0),
IF('TL07'!$B$229=K$3,SUMIF('TL07'!$C$238:$C$451,$C22,'TL07'!$J$238:$J$451),0),
IF('TL08'!$B$3=K$3,SUMIF('TL08'!$C$10:$C$224,$C22,'TL08'!$J$10:$J$224),0),
IF('TL08'!$B$229=K$3,SUMIF('TL08'!$C$238:$C$451,$C22,'TL08'!$J$238:$J$451),0),
IF('TL09'!$B$3=K$3,SUMIF('TL09'!$C$10:$C$224,$C22,'TL09'!$J$10:$J$224),0),
IF('TL09'!$B$229=K$3,SUMIF('TL09'!$C$238:$C$451,$C22,'TL09'!$J$238:$J$451),0),
IF('TL10'!$B$3=K$3,SUMIF('TL10'!$C$10:$C$224,$C22,'TL10'!$J$10:$J$224),0),
IF('TL10'!$B$229=K$3,SUMIF('TL10'!$C$238:$C$451,$C22,'TL10'!$J$238:$J$451),0),
IF('TL11'!$B$3=K$3,SUMIF('TL11'!$C$10:$C$224,$C22,'TL11'!$J$10:$J$224),0),
IF('TL11'!$B$229=K$3,SUMIF('TL11'!$C$238:$C$451,$C22,'TL11'!$J$238:$J$451),0),
IF('TL12'!$B$3=K$3,SUMIF('TL12'!$C$10:$C$224,$C22,'TL12'!$J$10:$J$224),0),
IF('TL12'!$B$229=K$3,SUMIF('TL12'!$C$238:$C$451,$C22,'TL12'!$J$238:$J$451),0),
IF('TL13'!$B$3=K$3,SUMIF('TL13'!$C$10:$C$224,$C22,'TL13'!$J$10:$J$224),0),
IF('TL13'!$B$229=K$3,SUMIF('TL13'!$C$238:$C$451,$C22,'TL13'!$J$238:$J$451),0),
IF('TL14'!$B$3=K$3,SUMIF('TL14'!$C$10:$C$224,$C22,'TL14'!$J$10:$J$224),0),
IF('TL14'!$B$229=K$3,SUMIF('TL14'!$C$238:$C$451,$C22,'TL14'!$J$238:$J$451),0),
IF('TL15'!$B$3=K$3,SUMIF('TL15'!$C$10:$C$224,$C22,'TL15'!$J$10:$J$224),0),
IF('TL15'!$B$229=K$3,SUMIF('TL15'!$C$238:$C$451,$C22,'TL15'!$J$238:$J$451),0),
IF('TL16'!$B$3=K$3,SUMIF('TL16'!$C$10:$C$224,$C22,'TL16'!$J$10:$J$224),0),
IF('TL16'!$B$229=K$3,SUMIF('TL16'!$C$238:$C$451,$C22,'TL16'!$J$238:$J$451),0),
IF('TL17'!$B$3=K$3,SUMIF('TL17'!$C$10:$C$224,$C22,'TL17'!$J$10:$J$224),0),
IF('TL17'!$B$229=K$3,SUMIF('TL17'!$C$238:$C$451,$C22,'TL17'!$J$238:$J$451),0),
IF('TL18'!$B$3=K$3,SUMIF('TL18'!$C$10:$C$224,$C22,'TL18'!$J$10:$J$224),0),
IF('TL18'!$B$229=K$3,SUMIF('TL18'!$C$238:$C$451,$C22,'TL18'!$J$238:$J$451),0),
IF('TL19'!$B$3=K$3,SUMIF('TL19'!$C$10:$C$224,$C22,'TL19'!$J$10:$J$224),0),
IF('TL19'!$B$229=K$3,SUMIF('TL19'!$C$238:$C$451,$C22,'TL19'!$J$238:$J$451),0)
),0)</f>
        <v/>
      </c>
      <c r="L22" s="9">
        <f>IFERROR(SUM(
IF('TL01'!$B$3=L$3,SUMIF('TL01'!$C$10:$C$224,$C22,'TL01'!$J$10:$J$224),0),
IF('TL01'!$B$229=L$3,SUMIF('TL01'!$C$238:$C$451,$C22,'TL01'!$J$238:$J$451),0),
IF('TL02'!$B$3=L$3,SUMIF('TL02'!$C$10:$C$224,$C22,'TL02'!$J$10:$J$224),0),
IF('TL02'!$B$229=L$3,SUMIF('TL02'!$C$238:$C$451,$C22,'TL02'!$J$238:$J$451),0),
IF('TL03'!$B$3=L$3,SUMIF('TL03'!$C$10:$C$224,$C22,'TL03'!$J$10:$J$224),0),
IF('TL03'!$B$229=L$3,SUMIF('TL03'!$C$238:$C$451,$C22,'TL03'!$J$238:$J$451),0),
IF('TL04'!$B$3=L$3,SUMIF('TL04'!$C$10:$C$224,$C22,'TL04'!$J$10:$J$224),0),
IF('TL04'!$B$229=L$3,SUMIF('TL04'!$C$238:$C$451,$C22,'TL04'!$J$238:$J$451),0),
IF('TL05'!$B$3=L$3,SUMIF('TL05'!$C$10:$C$224,$C22,'TL05'!$J$10:$J$224),0),
IF('TL05'!$B$229=L$3,SUMIF('TL05'!$C$238:$C$451,$C22,'TL05'!$J$238:$J$451),0),
IF('TL06'!$B$3=L$3,SUMIF('TL06'!$C$10:$C$224,$C22,'TL06'!$J$10:$J$224),0),
IF('TL06'!$B$229=L$3,SUMIF('TL06'!$C$238:$C$451,$C22,'TL06'!$J$238:$J$451),0),
IF('TL07'!$B$3=L$3,SUMIF('TL07'!$C$10:$C$224,$C22,'TL07'!$J$10:$J$224),0),
IF('TL07'!$B$229=L$3,SUMIF('TL07'!$C$238:$C$451,$C22,'TL07'!$J$238:$J$451),0),
IF('TL08'!$B$3=L$3,SUMIF('TL08'!$C$10:$C$224,$C22,'TL08'!$J$10:$J$224),0),
IF('TL08'!$B$229=L$3,SUMIF('TL08'!$C$238:$C$451,$C22,'TL08'!$J$238:$J$451),0),
IF('TL09'!$B$3=L$3,SUMIF('TL09'!$C$10:$C$224,$C22,'TL09'!$J$10:$J$224),0),
IF('TL09'!$B$229=L$3,SUMIF('TL09'!$C$238:$C$451,$C22,'TL09'!$J$238:$J$451),0),
IF('TL10'!$B$3=L$3,SUMIF('TL10'!$C$10:$C$224,$C22,'TL10'!$J$10:$J$224),0),
IF('TL10'!$B$229=L$3,SUMIF('TL10'!$C$238:$C$451,$C22,'TL10'!$J$238:$J$451),0),
IF('TL11'!$B$3=L$3,SUMIF('TL11'!$C$10:$C$224,$C22,'TL11'!$J$10:$J$224),0),
IF('TL11'!$B$229=L$3,SUMIF('TL11'!$C$238:$C$451,$C22,'TL11'!$J$238:$J$451),0),
IF('TL12'!$B$3=L$3,SUMIF('TL12'!$C$10:$C$224,$C22,'TL12'!$J$10:$J$224),0),
IF('TL12'!$B$229=L$3,SUMIF('TL12'!$C$238:$C$451,$C22,'TL12'!$J$238:$J$451),0),
IF('TL13'!$B$3=L$3,SUMIF('TL13'!$C$10:$C$224,$C22,'TL13'!$J$10:$J$224),0),
IF('TL13'!$B$229=L$3,SUMIF('TL13'!$C$238:$C$451,$C22,'TL13'!$J$238:$J$451),0),
IF('TL14'!$B$3=L$3,SUMIF('TL14'!$C$10:$C$224,$C22,'TL14'!$J$10:$J$224),0),
IF('TL14'!$B$229=L$3,SUMIF('TL14'!$C$238:$C$451,$C22,'TL14'!$J$238:$J$451),0),
IF('TL15'!$B$3=L$3,SUMIF('TL15'!$C$10:$C$224,$C22,'TL15'!$J$10:$J$224),0),
IF('TL15'!$B$229=L$3,SUMIF('TL15'!$C$238:$C$451,$C22,'TL15'!$J$238:$J$451),0),
IF('TL16'!$B$3=L$3,SUMIF('TL16'!$C$10:$C$224,$C22,'TL16'!$J$10:$J$224),0),
IF('TL16'!$B$229=L$3,SUMIF('TL16'!$C$238:$C$451,$C22,'TL16'!$J$238:$J$451),0),
IF('TL17'!$B$3=L$3,SUMIF('TL17'!$C$10:$C$224,$C22,'TL17'!$J$10:$J$224),0),
IF('TL17'!$B$229=L$3,SUMIF('TL17'!$C$238:$C$451,$C22,'TL17'!$J$238:$J$451),0),
IF('TL18'!$B$3=L$3,SUMIF('TL18'!$C$10:$C$224,$C22,'TL18'!$J$10:$J$224),0),
IF('TL18'!$B$229=L$3,SUMIF('TL18'!$C$238:$C$451,$C22,'TL18'!$J$238:$J$451),0),
IF('TL19'!$B$3=L$3,SUMIF('TL19'!$C$10:$C$224,$C22,'TL19'!$J$10:$J$224),0),
IF('TL19'!$B$229=L$3,SUMIF('TL19'!$C$238:$C$451,$C22,'TL19'!$J$238:$J$451),0)
),0)</f>
        <v/>
      </c>
      <c r="M22" s="9">
        <f>IFERROR(SUM(
IF('TL01'!$B$3=M$3,SUMIF('TL01'!$C$10:$C$224,$C22,'TL01'!$J$10:$J$224),0),
IF('TL01'!$B$229=M$3,SUMIF('TL01'!$C$238:$C$451,$C22,'TL01'!$J$238:$J$451),0),
IF('TL02'!$B$3=M$3,SUMIF('TL02'!$C$10:$C$224,$C22,'TL02'!$J$10:$J$224),0),
IF('TL02'!$B$229=M$3,SUMIF('TL02'!$C$238:$C$451,$C22,'TL02'!$J$238:$J$451),0),
IF('TL03'!$B$3=M$3,SUMIF('TL03'!$C$10:$C$224,$C22,'TL03'!$J$10:$J$224),0),
IF('TL03'!$B$229=M$3,SUMIF('TL03'!$C$238:$C$451,$C22,'TL03'!$J$238:$J$451),0),
IF('TL04'!$B$3=M$3,SUMIF('TL04'!$C$10:$C$224,$C22,'TL04'!$J$10:$J$224),0),
IF('TL04'!$B$229=M$3,SUMIF('TL04'!$C$238:$C$451,$C22,'TL04'!$J$238:$J$451),0),
IF('TL05'!$B$3=M$3,SUMIF('TL05'!$C$10:$C$224,$C22,'TL05'!$J$10:$J$224),0),
IF('TL05'!$B$229=M$3,SUMIF('TL05'!$C$238:$C$451,$C22,'TL05'!$J$238:$J$451),0),
IF('TL06'!$B$3=M$3,SUMIF('TL06'!$C$10:$C$224,$C22,'TL06'!$J$10:$J$224),0),
IF('TL06'!$B$229=M$3,SUMIF('TL06'!$C$238:$C$451,$C22,'TL06'!$J$238:$J$451),0),
IF('TL07'!$B$3=M$3,SUMIF('TL07'!$C$10:$C$224,$C22,'TL07'!$J$10:$J$224),0),
IF('TL07'!$B$229=M$3,SUMIF('TL07'!$C$238:$C$451,$C22,'TL07'!$J$238:$J$451),0),
IF('TL08'!$B$3=M$3,SUMIF('TL08'!$C$10:$C$224,$C22,'TL08'!$J$10:$J$224),0),
IF('TL08'!$B$229=M$3,SUMIF('TL08'!$C$238:$C$451,$C22,'TL08'!$J$238:$J$451),0),
IF('TL09'!$B$3=M$3,SUMIF('TL09'!$C$10:$C$224,$C22,'TL09'!$J$10:$J$224),0),
IF('TL09'!$B$229=M$3,SUMIF('TL09'!$C$238:$C$451,$C22,'TL09'!$J$238:$J$451),0),
IF('TL10'!$B$3=M$3,SUMIF('TL10'!$C$10:$C$224,$C22,'TL10'!$J$10:$J$224),0),
IF('TL10'!$B$229=M$3,SUMIF('TL10'!$C$238:$C$451,$C22,'TL10'!$J$238:$J$451),0),
IF('TL11'!$B$3=M$3,SUMIF('TL11'!$C$10:$C$224,$C22,'TL11'!$J$10:$J$224),0),
IF('TL11'!$B$229=M$3,SUMIF('TL11'!$C$238:$C$451,$C22,'TL11'!$J$238:$J$451),0),
IF('TL12'!$B$3=M$3,SUMIF('TL12'!$C$10:$C$224,$C22,'TL12'!$J$10:$J$224),0),
IF('TL12'!$B$229=M$3,SUMIF('TL12'!$C$238:$C$451,$C22,'TL12'!$J$238:$J$451),0),
IF('TL13'!$B$3=M$3,SUMIF('TL13'!$C$10:$C$224,$C22,'TL13'!$J$10:$J$224),0),
IF('TL13'!$B$229=M$3,SUMIF('TL13'!$C$238:$C$451,$C22,'TL13'!$J$238:$J$451),0),
IF('TL14'!$B$3=M$3,SUMIF('TL14'!$C$10:$C$224,$C22,'TL14'!$J$10:$J$224),0),
IF('TL14'!$B$229=M$3,SUMIF('TL14'!$C$238:$C$451,$C22,'TL14'!$J$238:$J$451),0),
IF('TL15'!$B$3=M$3,SUMIF('TL15'!$C$10:$C$224,$C22,'TL15'!$J$10:$J$224),0),
IF('TL15'!$B$229=M$3,SUMIF('TL15'!$C$238:$C$451,$C22,'TL15'!$J$238:$J$451),0),
IF('TL16'!$B$3=M$3,SUMIF('TL16'!$C$10:$C$224,$C22,'TL16'!$J$10:$J$224),0),
IF('TL16'!$B$229=M$3,SUMIF('TL16'!$C$238:$C$451,$C22,'TL16'!$J$238:$J$451),0),
IF('TL17'!$B$3=M$3,SUMIF('TL17'!$C$10:$C$224,$C22,'TL17'!$J$10:$J$224),0),
IF('TL17'!$B$229=M$3,SUMIF('TL17'!$C$238:$C$451,$C22,'TL17'!$J$238:$J$451),0),
IF('TL18'!$B$3=M$3,SUMIF('TL18'!$C$10:$C$224,$C22,'TL18'!$J$10:$J$224),0),
IF('TL18'!$B$229=M$3,SUMIF('TL18'!$C$238:$C$451,$C22,'TL18'!$J$238:$J$451),0),
IF('TL19'!$B$3=M$3,SUMIF('TL19'!$C$10:$C$224,$C22,'TL19'!$J$10:$J$224),0),
IF('TL19'!$B$229=M$3,SUMIF('TL19'!$C$238:$C$451,$C22,'TL19'!$J$238:$J$451),0)
),0)</f>
        <v/>
      </c>
      <c r="N22" s="9">
        <f>IFERROR(SUM(
IF('TL01'!$B$3=N$3,SUMIF('TL01'!$C$10:$C$224,$C22,'TL01'!$J$10:$J$224),0),
IF('TL01'!$B$229=N$3,SUMIF('TL01'!$C$238:$C$451,$C22,'TL01'!$J$238:$J$451),0),
IF('TL02'!$B$3=N$3,SUMIF('TL02'!$C$10:$C$224,$C22,'TL02'!$J$10:$J$224),0),
IF('TL02'!$B$229=N$3,SUMIF('TL02'!$C$238:$C$451,$C22,'TL02'!$J$238:$J$451),0),
IF('TL03'!$B$3=N$3,SUMIF('TL03'!$C$10:$C$224,$C22,'TL03'!$J$10:$J$224),0),
IF('TL03'!$B$229=N$3,SUMIF('TL03'!$C$238:$C$451,$C22,'TL03'!$J$238:$J$451),0),
IF('TL04'!$B$3=N$3,SUMIF('TL04'!$C$10:$C$224,$C22,'TL04'!$J$10:$J$224),0),
IF('TL04'!$B$229=N$3,SUMIF('TL04'!$C$238:$C$451,$C22,'TL04'!$J$238:$J$451),0),
IF('TL05'!$B$3=N$3,SUMIF('TL05'!$C$10:$C$224,$C22,'TL05'!$J$10:$J$224),0),
IF('TL05'!$B$229=N$3,SUMIF('TL05'!$C$238:$C$451,$C22,'TL05'!$J$238:$J$451),0),
IF('TL06'!$B$3=N$3,SUMIF('TL06'!$C$10:$C$224,$C22,'TL06'!$J$10:$J$224),0),
IF('TL06'!$B$229=N$3,SUMIF('TL06'!$C$238:$C$451,$C22,'TL06'!$J$238:$J$451),0),
IF('TL07'!$B$3=N$3,SUMIF('TL07'!$C$10:$C$224,$C22,'TL07'!$J$10:$J$224),0),
IF('TL07'!$B$229=N$3,SUMIF('TL07'!$C$238:$C$451,$C22,'TL07'!$J$238:$J$451),0),
IF('TL08'!$B$3=N$3,SUMIF('TL08'!$C$10:$C$224,$C22,'TL08'!$J$10:$J$224),0),
IF('TL08'!$B$229=N$3,SUMIF('TL08'!$C$238:$C$451,$C22,'TL08'!$J$238:$J$451),0),
IF('TL09'!$B$3=N$3,SUMIF('TL09'!$C$10:$C$224,$C22,'TL09'!$J$10:$J$224),0),
IF('TL09'!$B$229=N$3,SUMIF('TL09'!$C$238:$C$451,$C22,'TL09'!$J$238:$J$451),0),
IF('TL10'!$B$3=N$3,SUMIF('TL10'!$C$10:$C$224,$C22,'TL10'!$J$10:$J$224),0),
IF('TL10'!$B$229=N$3,SUMIF('TL10'!$C$238:$C$451,$C22,'TL10'!$J$238:$J$451),0),
IF('TL11'!$B$3=N$3,SUMIF('TL11'!$C$10:$C$224,$C22,'TL11'!$J$10:$J$224),0),
IF('TL11'!$B$229=N$3,SUMIF('TL11'!$C$238:$C$451,$C22,'TL11'!$J$238:$J$451),0),
IF('TL12'!$B$3=N$3,SUMIF('TL12'!$C$10:$C$224,$C22,'TL12'!$J$10:$J$224),0),
IF('TL12'!$B$229=N$3,SUMIF('TL12'!$C$238:$C$451,$C22,'TL12'!$J$238:$J$451),0),
IF('TL13'!$B$3=N$3,SUMIF('TL13'!$C$10:$C$224,$C22,'TL13'!$J$10:$J$224),0),
IF('TL13'!$B$229=N$3,SUMIF('TL13'!$C$238:$C$451,$C22,'TL13'!$J$238:$J$451),0),
IF('TL14'!$B$3=N$3,SUMIF('TL14'!$C$10:$C$224,$C22,'TL14'!$J$10:$J$224),0),
IF('TL14'!$B$229=N$3,SUMIF('TL14'!$C$238:$C$451,$C22,'TL14'!$J$238:$J$451),0),
IF('TL15'!$B$3=N$3,SUMIF('TL15'!$C$10:$C$224,$C22,'TL15'!$J$10:$J$224),0),
IF('TL15'!$B$229=N$3,SUMIF('TL15'!$C$238:$C$451,$C22,'TL15'!$J$238:$J$451),0),
IF('TL16'!$B$3=N$3,SUMIF('TL16'!$C$10:$C$224,$C22,'TL16'!$J$10:$J$224),0),
IF('TL16'!$B$229=N$3,SUMIF('TL16'!$C$238:$C$451,$C22,'TL16'!$J$238:$J$451),0),
IF('TL17'!$B$3=N$3,SUMIF('TL17'!$C$10:$C$224,$C22,'TL17'!$J$10:$J$224),0),
IF('TL17'!$B$229=N$3,SUMIF('TL17'!$C$238:$C$451,$C22,'TL17'!$J$238:$J$451),0),
IF('TL18'!$B$3=N$3,SUMIF('TL18'!$C$10:$C$224,$C22,'TL18'!$J$10:$J$224),0),
IF('TL18'!$B$229=N$3,SUMIF('TL18'!$C$238:$C$451,$C22,'TL18'!$J$238:$J$451),0),
IF('TL19'!$B$3=N$3,SUMIF('TL19'!$C$10:$C$224,$C22,'TL19'!$J$10:$J$224),0),
IF('TL19'!$B$229=N$3,SUMIF('TL19'!$C$238:$C$451,$C22,'TL19'!$J$238:$J$451),0)
),0)</f>
        <v/>
      </c>
      <c r="O22" s="9">
        <f>IFERROR(SUM(
IF('TL01'!$B$3=O$3,SUMIF('TL01'!$C$10:$C$224,$C22,'TL01'!$J$10:$J$224),0),
IF('TL01'!$B$229=O$3,SUMIF('TL01'!$C$238:$C$451,$C22,'TL01'!$J$238:$J$451),0),
IF('TL02'!$B$3=O$3,SUMIF('TL02'!$C$10:$C$224,$C22,'TL02'!$J$10:$J$224),0),
IF('TL02'!$B$229=O$3,SUMIF('TL02'!$C$238:$C$451,$C22,'TL02'!$J$238:$J$451),0),
IF('TL03'!$B$3=O$3,SUMIF('TL03'!$C$10:$C$224,$C22,'TL03'!$J$10:$J$224),0),
IF('TL03'!$B$229=O$3,SUMIF('TL03'!$C$238:$C$451,$C22,'TL03'!$J$238:$J$451),0),
IF('TL04'!$B$3=O$3,SUMIF('TL04'!$C$10:$C$224,$C22,'TL04'!$J$10:$J$224),0),
IF('TL04'!$B$229=O$3,SUMIF('TL04'!$C$238:$C$451,$C22,'TL04'!$J$238:$J$451),0),
IF('TL05'!$B$3=O$3,SUMIF('TL05'!$C$10:$C$224,$C22,'TL05'!$J$10:$J$224),0),
IF('TL05'!$B$229=O$3,SUMIF('TL05'!$C$238:$C$451,$C22,'TL05'!$J$238:$J$451),0),
IF('TL06'!$B$3=O$3,SUMIF('TL06'!$C$10:$C$224,$C22,'TL06'!$J$10:$J$224),0),
IF('TL06'!$B$229=O$3,SUMIF('TL06'!$C$238:$C$451,$C22,'TL06'!$J$238:$J$451),0),
IF('TL07'!$B$3=O$3,SUMIF('TL07'!$C$10:$C$224,$C22,'TL07'!$J$10:$J$224),0),
IF('TL07'!$B$229=O$3,SUMIF('TL07'!$C$238:$C$451,$C22,'TL07'!$J$238:$J$451),0),
IF('TL08'!$B$3=O$3,SUMIF('TL08'!$C$10:$C$224,$C22,'TL08'!$J$10:$J$224),0),
IF('TL08'!$B$229=O$3,SUMIF('TL08'!$C$238:$C$451,$C22,'TL08'!$J$238:$J$451),0),
IF('TL09'!$B$3=O$3,SUMIF('TL09'!$C$10:$C$224,$C22,'TL09'!$J$10:$J$224),0),
IF('TL09'!$B$229=O$3,SUMIF('TL09'!$C$238:$C$451,$C22,'TL09'!$J$238:$J$451),0),
IF('TL10'!$B$3=O$3,SUMIF('TL10'!$C$10:$C$224,$C22,'TL10'!$J$10:$J$224),0),
IF('TL10'!$B$229=O$3,SUMIF('TL10'!$C$238:$C$451,$C22,'TL10'!$J$238:$J$451),0),
IF('TL11'!$B$3=O$3,SUMIF('TL11'!$C$10:$C$224,$C22,'TL11'!$J$10:$J$224),0),
IF('TL11'!$B$229=O$3,SUMIF('TL11'!$C$238:$C$451,$C22,'TL11'!$J$238:$J$451),0),
IF('TL12'!$B$3=O$3,SUMIF('TL12'!$C$10:$C$224,$C22,'TL12'!$J$10:$J$224),0),
IF('TL12'!$B$229=O$3,SUMIF('TL12'!$C$238:$C$451,$C22,'TL12'!$J$238:$J$451),0),
IF('TL13'!$B$3=O$3,SUMIF('TL13'!$C$10:$C$224,$C22,'TL13'!$J$10:$J$224),0),
IF('TL13'!$B$229=O$3,SUMIF('TL13'!$C$238:$C$451,$C22,'TL13'!$J$238:$J$451),0),
IF('TL14'!$B$3=O$3,SUMIF('TL14'!$C$10:$C$224,$C22,'TL14'!$J$10:$J$224),0),
IF('TL14'!$B$229=O$3,SUMIF('TL14'!$C$238:$C$451,$C22,'TL14'!$J$238:$J$451),0),
IF('TL15'!$B$3=O$3,SUMIF('TL15'!$C$10:$C$224,$C22,'TL15'!$J$10:$J$224),0),
IF('TL15'!$B$229=O$3,SUMIF('TL15'!$C$238:$C$451,$C22,'TL15'!$J$238:$J$451),0),
IF('TL16'!$B$3=O$3,SUMIF('TL16'!$C$10:$C$224,$C22,'TL16'!$J$10:$J$224),0),
IF('TL16'!$B$229=O$3,SUMIF('TL16'!$C$238:$C$451,$C22,'TL16'!$J$238:$J$451),0),
IF('TL17'!$B$3=O$3,SUMIF('TL17'!$C$10:$C$224,$C22,'TL17'!$J$10:$J$224),0),
IF('TL17'!$B$229=O$3,SUMIF('TL17'!$C$238:$C$451,$C22,'TL17'!$J$238:$J$451),0),
IF('TL18'!$B$3=O$3,SUMIF('TL18'!$C$10:$C$224,$C22,'TL18'!$J$10:$J$224),0),
IF('TL18'!$B$229=O$3,SUMIF('TL18'!$C$238:$C$451,$C22,'TL18'!$J$238:$J$451),0),
IF('TL19'!$B$3=O$3,SUMIF('TL19'!$C$10:$C$224,$C22,'TL19'!$J$10:$J$224),0),
IF('TL19'!$B$229=O$3,SUMIF('TL19'!$C$238:$C$451,$C22,'TL19'!$J$238:$J$451),0)
),0)</f>
        <v/>
      </c>
      <c r="P22" s="9">
        <f>IFERROR(SUM(
IF('TL01'!$B$3=P$3,SUMIF('TL01'!$C$10:$C$224,$C22,'TL01'!$J$10:$J$224),0),
IF('TL01'!$B$229=P$3,SUMIF('TL01'!$C$238:$C$451,$C22,'TL01'!$J$238:$J$451),0),
IF('TL02'!$B$3=P$3,SUMIF('TL02'!$C$10:$C$224,$C22,'TL02'!$J$10:$J$224),0),
IF('TL02'!$B$229=P$3,SUMIF('TL02'!$C$238:$C$451,$C22,'TL02'!$J$238:$J$451),0),
IF('TL03'!$B$3=P$3,SUMIF('TL03'!$C$10:$C$224,$C22,'TL03'!$J$10:$J$224),0),
IF('TL03'!$B$229=P$3,SUMIF('TL03'!$C$238:$C$451,$C22,'TL03'!$J$238:$J$451),0),
IF('TL04'!$B$3=P$3,SUMIF('TL04'!$C$10:$C$224,$C22,'TL04'!$J$10:$J$224),0),
IF('TL04'!$B$229=P$3,SUMIF('TL04'!$C$238:$C$451,$C22,'TL04'!$J$238:$J$451),0),
IF('TL05'!$B$3=P$3,SUMIF('TL05'!$C$10:$C$224,$C22,'TL05'!$J$10:$J$224),0),
IF('TL05'!$B$229=P$3,SUMIF('TL05'!$C$238:$C$451,$C22,'TL05'!$J$238:$J$451),0),
IF('TL06'!$B$3=P$3,SUMIF('TL06'!$C$10:$C$224,$C22,'TL06'!$J$10:$J$224),0),
IF('TL06'!$B$229=P$3,SUMIF('TL06'!$C$238:$C$451,$C22,'TL06'!$J$238:$J$451),0),
IF('TL07'!$B$3=P$3,SUMIF('TL07'!$C$10:$C$224,$C22,'TL07'!$J$10:$J$224),0),
IF('TL07'!$B$229=P$3,SUMIF('TL07'!$C$238:$C$451,$C22,'TL07'!$J$238:$J$451),0),
IF('TL08'!$B$3=P$3,SUMIF('TL08'!$C$10:$C$224,$C22,'TL08'!$J$10:$J$224),0),
IF('TL08'!$B$229=P$3,SUMIF('TL08'!$C$238:$C$451,$C22,'TL08'!$J$238:$J$451),0),
IF('TL09'!$B$3=P$3,SUMIF('TL09'!$C$10:$C$224,$C22,'TL09'!$J$10:$J$224),0),
IF('TL09'!$B$229=P$3,SUMIF('TL09'!$C$238:$C$451,$C22,'TL09'!$J$238:$J$451),0),
IF('TL10'!$B$3=P$3,SUMIF('TL10'!$C$10:$C$224,$C22,'TL10'!$J$10:$J$224),0),
IF('TL10'!$B$229=P$3,SUMIF('TL10'!$C$238:$C$451,$C22,'TL10'!$J$238:$J$451),0),
IF('TL11'!$B$3=P$3,SUMIF('TL11'!$C$10:$C$224,$C22,'TL11'!$J$10:$J$224),0),
IF('TL11'!$B$229=P$3,SUMIF('TL11'!$C$238:$C$451,$C22,'TL11'!$J$238:$J$451),0),
IF('TL12'!$B$3=P$3,SUMIF('TL12'!$C$10:$C$224,$C22,'TL12'!$J$10:$J$224),0),
IF('TL12'!$B$229=P$3,SUMIF('TL12'!$C$238:$C$451,$C22,'TL12'!$J$238:$J$451),0),
IF('TL13'!$B$3=P$3,SUMIF('TL13'!$C$10:$C$224,$C22,'TL13'!$J$10:$J$224),0),
IF('TL13'!$B$229=P$3,SUMIF('TL13'!$C$238:$C$451,$C22,'TL13'!$J$238:$J$451),0),
IF('TL14'!$B$3=P$3,SUMIF('TL14'!$C$10:$C$224,$C22,'TL14'!$J$10:$J$224),0),
IF('TL14'!$B$229=P$3,SUMIF('TL14'!$C$238:$C$451,$C22,'TL14'!$J$238:$J$451),0),
IF('TL15'!$B$3=P$3,SUMIF('TL15'!$C$10:$C$224,$C22,'TL15'!$J$10:$J$224),0),
IF('TL15'!$B$229=P$3,SUMIF('TL15'!$C$238:$C$451,$C22,'TL15'!$J$238:$J$451),0),
IF('TL16'!$B$3=P$3,SUMIF('TL16'!$C$10:$C$224,$C22,'TL16'!$J$10:$J$224),0),
IF('TL16'!$B$229=P$3,SUMIF('TL16'!$C$238:$C$451,$C22,'TL16'!$J$238:$J$451),0),
IF('TL17'!$B$3=P$3,SUMIF('TL17'!$C$10:$C$224,$C22,'TL17'!$J$10:$J$224),0),
IF('TL17'!$B$229=P$3,SUMIF('TL17'!$C$238:$C$451,$C22,'TL17'!$J$238:$J$451),0),
IF('TL18'!$B$3=P$3,SUMIF('TL18'!$C$10:$C$224,$C22,'TL18'!$J$10:$J$224),0),
IF('TL18'!$B$229=P$3,SUMIF('TL18'!$C$238:$C$451,$C22,'TL18'!$J$238:$J$451),0),
IF('TL19'!$B$3=P$3,SUMIF('TL19'!$C$10:$C$224,$C22,'TL19'!$J$10:$J$224),0),
IF('TL19'!$B$229=P$3,SUMIF('TL19'!$C$238:$C$451,$C22,'TL19'!$J$238:$J$451),0)
),0)</f>
        <v/>
      </c>
      <c r="Q22" s="9">
        <f>IFERROR(SUM(
IF('TL01'!$B$3=Q$3,SUMIF('TL01'!$C$10:$C$224,$C22,'TL01'!$J$10:$J$224),0),
IF('TL01'!$B$229=Q$3,SUMIF('TL01'!$C$238:$C$451,$C22,'TL01'!$J$238:$J$451),0),
IF('TL02'!$B$3=Q$3,SUMIF('TL02'!$C$10:$C$224,$C22,'TL02'!$J$10:$J$224),0),
IF('TL02'!$B$229=Q$3,SUMIF('TL02'!$C$238:$C$451,$C22,'TL02'!$J$238:$J$451),0),
IF('TL03'!$B$3=Q$3,SUMIF('TL03'!$C$10:$C$224,$C22,'TL03'!$J$10:$J$224),0),
IF('TL03'!$B$229=Q$3,SUMIF('TL03'!$C$238:$C$451,$C22,'TL03'!$J$238:$J$451),0),
IF('TL04'!$B$3=Q$3,SUMIF('TL04'!$C$10:$C$224,$C22,'TL04'!$J$10:$J$224),0),
IF('TL04'!$B$229=Q$3,SUMIF('TL04'!$C$238:$C$451,$C22,'TL04'!$J$238:$J$451),0),
IF('TL05'!$B$3=Q$3,SUMIF('TL05'!$C$10:$C$224,$C22,'TL05'!$J$10:$J$224),0),
IF('TL05'!$B$229=Q$3,SUMIF('TL05'!$C$238:$C$451,$C22,'TL05'!$J$238:$J$451),0),
IF('TL06'!$B$3=Q$3,SUMIF('TL06'!$C$10:$C$224,$C22,'TL06'!$J$10:$J$224),0),
IF('TL06'!$B$229=Q$3,SUMIF('TL06'!$C$238:$C$451,$C22,'TL06'!$J$238:$J$451),0),
IF('TL07'!$B$3=Q$3,SUMIF('TL07'!$C$10:$C$224,$C22,'TL07'!$J$10:$J$224),0),
IF('TL07'!$B$229=Q$3,SUMIF('TL07'!$C$238:$C$451,$C22,'TL07'!$J$238:$J$451),0),
IF('TL08'!$B$3=Q$3,SUMIF('TL08'!$C$10:$C$224,$C22,'TL08'!$J$10:$J$224),0),
IF('TL08'!$B$229=Q$3,SUMIF('TL08'!$C$238:$C$451,$C22,'TL08'!$J$238:$J$451),0),
IF('TL09'!$B$3=Q$3,SUMIF('TL09'!$C$10:$C$224,$C22,'TL09'!$J$10:$J$224),0),
IF('TL09'!$B$229=Q$3,SUMIF('TL09'!$C$238:$C$451,$C22,'TL09'!$J$238:$J$451),0),
IF('TL10'!$B$3=Q$3,SUMIF('TL10'!$C$10:$C$224,$C22,'TL10'!$J$10:$J$224),0),
IF('TL10'!$B$229=Q$3,SUMIF('TL10'!$C$238:$C$451,$C22,'TL10'!$J$238:$J$451),0),
IF('TL11'!$B$3=Q$3,SUMIF('TL11'!$C$10:$C$224,$C22,'TL11'!$J$10:$J$224),0),
IF('TL11'!$B$229=Q$3,SUMIF('TL11'!$C$238:$C$451,$C22,'TL11'!$J$238:$J$451),0),
IF('TL12'!$B$3=Q$3,SUMIF('TL12'!$C$10:$C$224,$C22,'TL12'!$J$10:$J$224),0),
IF('TL12'!$B$229=Q$3,SUMIF('TL12'!$C$238:$C$451,$C22,'TL12'!$J$238:$J$451),0),
IF('TL13'!$B$3=Q$3,SUMIF('TL13'!$C$10:$C$224,$C22,'TL13'!$J$10:$J$224),0),
IF('TL13'!$B$229=Q$3,SUMIF('TL13'!$C$238:$C$451,$C22,'TL13'!$J$238:$J$451),0),
IF('TL14'!$B$3=Q$3,SUMIF('TL14'!$C$10:$C$224,$C22,'TL14'!$J$10:$J$224),0),
IF('TL14'!$B$229=Q$3,SUMIF('TL14'!$C$238:$C$451,$C22,'TL14'!$J$238:$J$451),0),
IF('TL15'!$B$3=Q$3,SUMIF('TL15'!$C$10:$C$224,$C22,'TL15'!$J$10:$J$224),0),
IF('TL15'!$B$229=Q$3,SUMIF('TL15'!$C$238:$C$451,$C22,'TL15'!$J$238:$J$451),0),
IF('TL16'!$B$3=Q$3,SUMIF('TL16'!$C$10:$C$224,$C22,'TL16'!$J$10:$J$224),0),
IF('TL16'!$B$229=Q$3,SUMIF('TL16'!$C$238:$C$451,$C22,'TL16'!$J$238:$J$451),0),
IF('TL17'!$B$3=Q$3,SUMIF('TL17'!$C$10:$C$224,$C22,'TL17'!$J$10:$J$224),0),
IF('TL17'!$B$229=Q$3,SUMIF('TL17'!$C$238:$C$451,$C22,'TL17'!$J$238:$J$451),0),
IF('TL18'!$B$3=Q$3,SUMIF('TL18'!$C$10:$C$224,$C22,'TL18'!$J$10:$J$224),0),
IF('TL18'!$B$229=Q$3,SUMIF('TL18'!$C$238:$C$451,$C22,'TL18'!$J$238:$J$451),0),
IF('TL19'!$B$3=Q$3,SUMIF('TL19'!$C$10:$C$224,$C22,'TL19'!$J$10:$J$224),0),
IF('TL19'!$B$229=Q$3,SUMIF('TL19'!$C$238:$C$451,$C22,'TL19'!$J$238:$J$451),0)
),0)</f>
        <v/>
      </c>
      <c r="R22" s="9">
        <f>IFERROR(
SUM(
SUMIF('TL01'!C:C,C22,'TL01'!J:J),
SUMIF('TL02'!C:C,C22,'TL02'!J:J),
SUMIF('TL03'!C:C,C22,'TL03'!J:J),
SUMIF('TL04'!C:C,C22,'TL04'!J:J),
SUMIF('TL05'!C:C,C22,'TL05'!J:J),
SUMIF('TL06'!C:C,C22,'TL06'!J:J),
SUMIF('TL07'!C:C,C22,'TL07'!J:J),
SUMIF('TL08'!C:C,C22,'TL08'!J:J),
SUMIF('TL09'!C:C,C22,'TL09'!J:J),
SUMIF('TL10'!C:C,C22,'TL10'!J:J),
SUMIF('TL11'!C:C,C22,'TL11'!J:J),
SUMIF('TL12'!C:C,C22,'TL12'!J:J),
SUMIF('TL13'!C:C,C22,'TL13'!J:J),
SUMIF('TL14'!C:C,C22,'TL14'!J:J),
SUMIF('TL15'!C:C,C22,'TL15'!J:J),
SUMIF('TL16'!C:C,C22,'TL16'!J:J),
SUMIF('TL17'!C:C,C22,'TL17'!J:J),
SUMIF('TL18'!C:C,C22,'TL18'!J:J),SUMIF('TL19'!C:C,C22,'TL19'!J:J))
,0)</f>
        <v/>
      </c>
      <c r="S22" s="17">
        <f>IFERROR(__xludf.DUMMYFUNCTION("IFERROR(VLOOKUP(C22,
IMPORTRANGE(""1wULbzX32WdYsx-lj2U3uUNBBe2INVIRDtcK0d-Dvl90"",
""26-27!C:G""),
5,
FALSE),
"""")"),"")</f>
        <v/>
      </c>
      <c r="T22" s="9" t="n">
        <v>4000</v>
      </c>
      <c r="U22" s="92">
        <f>MAX(0,R22-T22)</f>
        <v/>
      </c>
      <c r="V22" s="93">
        <f>U22*S22</f>
        <v/>
      </c>
    </row>
    <row r="23" hidden="1" ht="22.5" customHeight="1" s="297">
      <c r="A23" s="106" t="n"/>
      <c r="B23" s="107" t="inlineStr">
        <is>
          <t>CORRETIVOS</t>
        </is>
      </c>
      <c r="C23" s="108" t="inlineStr">
        <is>
          <t>GESSO AGRICOLA</t>
        </is>
      </c>
      <c r="D23" s="108" t="n"/>
      <c r="E23" s="109" t="n"/>
      <c r="F23" s="4" t="inlineStr">
        <is>
          <t>Ton</t>
        </is>
      </c>
      <c r="G23" s="9" t="n"/>
      <c r="H23" s="9">
        <f>IFERROR(__xludf.DUMMYFUNCTION("IFERROR(VLOOKUP(C23,
IMPORTRANGE(""1wULbzX32WdYsx-lj2U3uUNBBe2INVIRDtcK0d-Dvl90"",
""26-27!C:K""),
8,
FALSE),
"""")"),"")</f>
        <v/>
      </c>
      <c r="I23" s="110" t="n"/>
      <c r="J23" s="9">
        <f>IFERROR(SUM(
IF('TL01'!$B$3=J$3,SUMIF('TL01'!$C$10:$C$224,$C23,'TL01'!$J$10:$J$224),0),
IF('TL01'!$B$229=J$3,SUMIF('TL01'!$C$238:$C$451,$C23,'TL01'!$J$238:$J$451),0),
IF('TL02'!$B$3=J$3,SUMIF('TL02'!$C$10:$C$224,$C23,'TL02'!$J$10:$J$224),0),
IF('TL02'!$B$229=J$3,SUMIF('TL02'!$C$238:$C$451,$C23,'TL02'!$J$238:$J$451),0),
IF('TL03'!$B$3=J$3,SUMIF('TL03'!$C$10:$C$224,$C23,'TL03'!$J$10:$J$224),0),
IF('TL03'!$B$229=J$3,SUMIF('TL03'!$C$238:$C$451,$C23,'TL03'!$J$238:$J$451),0),
IF('TL04'!$B$3=J$3,SUMIF('TL04'!$C$10:$C$224,$C23,'TL04'!$J$10:$J$224),0),
IF('TL04'!$B$229=J$3,SUMIF('TL04'!$C$238:$C$451,$C23,'TL04'!$J$238:$J$451),0),
IF('TL05'!$B$3=J$3,SUMIF('TL05'!$C$10:$C$224,$C23,'TL05'!$J$10:$J$224),0),
IF('TL05'!$B$229=J$3,SUMIF('TL05'!$C$238:$C$451,$C23,'TL05'!$J$238:$J$451),0),
IF('TL06'!$B$3=J$3,SUMIF('TL06'!$C$10:$C$224,$C23,'TL06'!$J$10:$J$224),0),
IF('TL06'!$B$229=J$3,SUMIF('TL06'!$C$238:$C$451,$C23,'TL06'!$J$238:$J$451),0),
IF('TL07'!$B$3=J$3,SUMIF('TL07'!$C$10:$C$224,$C23,'TL07'!$J$10:$J$224),0),
IF('TL07'!$B$229=J$3,SUMIF('TL07'!$C$238:$C$451,$C23,'TL07'!$J$238:$J$451),0),
IF('TL08'!$B$3=J$3,SUMIF('TL08'!$C$10:$C$224,$C23,'TL08'!$J$10:$J$224),0),
IF('TL08'!$B$229=J$3,SUMIF('TL08'!$C$238:$C$451,$C23,'TL08'!$J$238:$J$451),0),
IF('TL09'!$B$3=J$3,SUMIF('TL09'!$C$10:$C$224,$C23,'TL09'!$J$10:$J$224),0),
IF('TL09'!$B$229=J$3,SUMIF('TL09'!$C$238:$C$451,$C23,'TL09'!$J$238:$J$451),0),
IF('TL10'!$B$3=J$3,SUMIF('TL10'!$C$10:$C$224,$C23,'TL10'!$J$10:$J$224),0),
IF('TL10'!$B$229=J$3,SUMIF('TL10'!$C$238:$C$451,$C23,'TL10'!$J$238:$J$451),0),
IF('TL11'!$B$3=J$3,SUMIF('TL11'!$C$10:$C$224,$C23,'TL11'!$J$10:$J$224),0),
IF('TL11'!$B$229=J$3,SUMIF('TL11'!$C$238:$C$451,$C23,'TL11'!$J$238:$J$451),0),
IF('TL12'!$B$3=J$3,SUMIF('TL12'!$C$10:$C$224,$C23,'TL12'!$J$10:$J$224),0),
IF('TL12'!$B$229=J$3,SUMIF('TL12'!$C$238:$C$451,$C23,'TL12'!$J$238:$J$451),0),
IF('TL13'!$B$3=J$3,SUMIF('TL13'!$C$10:$C$224,$C23,'TL13'!$J$10:$J$224),0),
IF('TL13'!$B$229=J$3,SUMIF('TL13'!$C$238:$C$451,$C23,'TL13'!$J$238:$J$451),0),
IF('TL14'!$B$3=J$3,SUMIF('TL14'!$C$10:$C$224,$C23,'TL14'!$J$10:$J$224),0),
IF('TL14'!$B$229=J$3,SUMIF('TL14'!$C$238:$C$451,$C23,'TL14'!$J$238:$J$451),0),
IF('TL15'!$B$3=J$3,SUMIF('TL15'!$C$10:$C$224,$C23,'TL15'!$J$10:$J$224),0),
IF('TL15'!$B$229=J$3,SUMIF('TL15'!$C$238:$C$451,$C23,'TL15'!$J$238:$J$451),0),
IF('TL16'!$B$3=J$3,SUMIF('TL16'!$C$10:$C$224,$C23,'TL16'!$J$10:$J$224),0),
IF('TL16'!$B$229=J$3,SUMIF('TL16'!$C$238:$C$451,$C23,'TL16'!$J$238:$J$451),0),
IF('TL17'!$B$3=J$3,SUMIF('TL17'!$C$10:$C$224,$C23,'TL17'!$J$10:$J$224),0),
IF('TL17'!$B$229=J$3,SUMIF('TL17'!$C$238:$C$451,$C23,'TL17'!$J$238:$J$451),0),
IF('TL18'!$B$3=J$3,SUMIF('TL18'!$C$10:$C$224,$C23,'TL18'!$J$10:$J$224),0),
IF('TL18'!$B$229=J$3,SUMIF('TL18'!$C$238:$C$451,$C23,'TL18'!$J$238:$J$451),0),
IF('TL19'!$B$3=J$3,SUMIF('TL19'!$C$10:$C$224,$C23,'TL19'!$J$10:$J$224),0),
IF('TL19'!$B$229=J$3,SUMIF('TL19'!$C$238:$C$451,$C23,'TL19'!$J$238:$J$451),0)
),0)</f>
        <v/>
      </c>
      <c r="K23" s="9">
        <f>IFERROR(SUM(
IF('TL01'!$B$3=K$3,SUMIF('TL01'!$C$10:$C$224,$C23,'TL01'!$J$10:$J$224),0),
IF('TL01'!$B$229=K$3,SUMIF('TL01'!$C$238:$C$451,$C23,'TL01'!$J$238:$J$451),0),
IF('TL02'!$B$3=K$3,SUMIF('TL02'!$C$10:$C$224,$C23,'TL02'!$J$10:$J$224),0),
IF('TL02'!$B$229=K$3,SUMIF('TL02'!$C$238:$C$451,$C23,'TL02'!$J$238:$J$451),0),
IF('TL03'!$B$3=K$3,SUMIF('TL03'!$C$10:$C$224,$C23,'TL03'!$J$10:$J$224),0),
IF('TL03'!$B$229=K$3,SUMIF('TL03'!$C$238:$C$451,$C23,'TL03'!$J$238:$J$451),0),
IF('TL04'!$B$3=K$3,SUMIF('TL04'!$C$10:$C$224,$C23,'TL04'!$J$10:$J$224),0),
IF('TL04'!$B$229=K$3,SUMIF('TL04'!$C$238:$C$451,$C23,'TL04'!$J$238:$J$451),0),
IF('TL05'!$B$3=K$3,SUMIF('TL05'!$C$10:$C$224,$C23,'TL05'!$J$10:$J$224),0),
IF('TL05'!$B$229=K$3,SUMIF('TL05'!$C$238:$C$451,$C23,'TL05'!$J$238:$J$451),0),
IF('TL06'!$B$3=K$3,SUMIF('TL06'!$C$10:$C$224,$C23,'TL06'!$J$10:$J$224),0),
IF('TL06'!$B$229=K$3,SUMIF('TL06'!$C$238:$C$451,$C23,'TL06'!$J$238:$J$451),0),
IF('TL07'!$B$3=K$3,SUMIF('TL07'!$C$10:$C$224,$C23,'TL07'!$J$10:$J$224),0),
IF('TL07'!$B$229=K$3,SUMIF('TL07'!$C$238:$C$451,$C23,'TL07'!$J$238:$J$451),0),
IF('TL08'!$B$3=K$3,SUMIF('TL08'!$C$10:$C$224,$C23,'TL08'!$J$10:$J$224),0),
IF('TL08'!$B$229=K$3,SUMIF('TL08'!$C$238:$C$451,$C23,'TL08'!$J$238:$J$451),0),
IF('TL09'!$B$3=K$3,SUMIF('TL09'!$C$10:$C$224,$C23,'TL09'!$J$10:$J$224),0),
IF('TL09'!$B$229=K$3,SUMIF('TL09'!$C$238:$C$451,$C23,'TL09'!$J$238:$J$451),0),
IF('TL10'!$B$3=K$3,SUMIF('TL10'!$C$10:$C$224,$C23,'TL10'!$J$10:$J$224),0),
IF('TL10'!$B$229=K$3,SUMIF('TL10'!$C$238:$C$451,$C23,'TL10'!$J$238:$J$451),0),
IF('TL11'!$B$3=K$3,SUMIF('TL11'!$C$10:$C$224,$C23,'TL11'!$J$10:$J$224),0),
IF('TL11'!$B$229=K$3,SUMIF('TL11'!$C$238:$C$451,$C23,'TL11'!$J$238:$J$451),0),
IF('TL12'!$B$3=K$3,SUMIF('TL12'!$C$10:$C$224,$C23,'TL12'!$J$10:$J$224),0),
IF('TL12'!$B$229=K$3,SUMIF('TL12'!$C$238:$C$451,$C23,'TL12'!$J$238:$J$451),0),
IF('TL13'!$B$3=K$3,SUMIF('TL13'!$C$10:$C$224,$C23,'TL13'!$J$10:$J$224),0),
IF('TL13'!$B$229=K$3,SUMIF('TL13'!$C$238:$C$451,$C23,'TL13'!$J$238:$J$451),0),
IF('TL14'!$B$3=K$3,SUMIF('TL14'!$C$10:$C$224,$C23,'TL14'!$J$10:$J$224),0),
IF('TL14'!$B$229=K$3,SUMIF('TL14'!$C$238:$C$451,$C23,'TL14'!$J$238:$J$451),0),
IF('TL15'!$B$3=K$3,SUMIF('TL15'!$C$10:$C$224,$C23,'TL15'!$J$10:$J$224),0),
IF('TL15'!$B$229=K$3,SUMIF('TL15'!$C$238:$C$451,$C23,'TL15'!$J$238:$J$451),0),
IF('TL16'!$B$3=K$3,SUMIF('TL16'!$C$10:$C$224,$C23,'TL16'!$J$10:$J$224),0),
IF('TL16'!$B$229=K$3,SUMIF('TL16'!$C$238:$C$451,$C23,'TL16'!$J$238:$J$451),0),
IF('TL17'!$B$3=K$3,SUMIF('TL17'!$C$10:$C$224,$C23,'TL17'!$J$10:$J$224),0),
IF('TL17'!$B$229=K$3,SUMIF('TL17'!$C$238:$C$451,$C23,'TL17'!$J$238:$J$451),0),
IF('TL18'!$B$3=K$3,SUMIF('TL18'!$C$10:$C$224,$C23,'TL18'!$J$10:$J$224),0),
IF('TL18'!$B$229=K$3,SUMIF('TL18'!$C$238:$C$451,$C23,'TL18'!$J$238:$J$451),0),
IF('TL19'!$B$3=K$3,SUMIF('TL19'!$C$10:$C$224,$C23,'TL19'!$J$10:$J$224),0),
IF('TL19'!$B$229=K$3,SUMIF('TL19'!$C$238:$C$451,$C23,'TL19'!$J$238:$J$451),0)
),0)</f>
        <v/>
      </c>
      <c r="L23" s="9">
        <f>IFERROR(SUM(
IF('TL01'!$B$3=L$3,SUMIF('TL01'!$C$10:$C$224,$C23,'TL01'!$J$10:$J$224),0),
IF('TL01'!$B$229=L$3,SUMIF('TL01'!$C$238:$C$451,$C23,'TL01'!$J$238:$J$451),0),
IF('TL02'!$B$3=L$3,SUMIF('TL02'!$C$10:$C$224,$C23,'TL02'!$J$10:$J$224),0),
IF('TL02'!$B$229=L$3,SUMIF('TL02'!$C$238:$C$451,$C23,'TL02'!$J$238:$J$451),0),
IF('TL03'!$B$3=L$3,SUMIF('TL03'!$C$10:$C$224,$C23,'TL03'!$J$10:$J$224),0),
IF('TL03'!$B$229=L$3,SUMIF('TL03'!$C$238:$C$451,$C23,'TL03'!$J$238:$J$451),0),
IF('TL04'!$B$3=L$3,SUMIF('TL04'!$C$10:$C$224,$C23,'TL04'!$J$10:$J$224),0),
IF('TL04'!$B$229=L$3,SUMIF('TL04'!$C$238:$C$451,$C23,'TL04'!$J$238:$J$451),0),
IF('TL05'!$B$3=L$3,SUMIF('TL05'!$C$10:$C$224,$C23,'TL05'!$J$10:$J$224),0),
IF('TL05'!$B$229=L$3,SUMIF('TL05'!$C$238:$C$451,$C23,'TL05'!$J$238:$J$451),0),
IF('TL06'!$B$3=L$3,SUMIF('TL06'!$C$10:$C$224,$C23,'TL06'!$J$10:$J$224),0),
IF('TL06'!$B$229=L$3,SUMIF('TL06'!$C$238:$C$451,$C23,'TL06'!$J$238:$J$451),0),
IF('TL07'!$B$3=L$3,SUMIF('TL07'!$C$10:$C$224,$C23,'TL07'!$J$10:$J$224),0),
IF('TL07'!$B$229=L$3,SUMIF('TL07'!$C$238:$C$451,$C23,'TL07'!$J$238:$J$451),0),
IF('TL08'!$B$3=L$3,SUMIF('TL08'!$C$10:$C$224,$C23,'TL08'!$J$10:$J$224),0),
IF('TL08'!$B$229=L$3,SUMIF('TL08'!$C$238:$C$451,$C23,'TL08'!$J$238:$J$451),0),
IF('TL09'!$B$3=L$3,SUMIF('TL09'!$C$10:$C$224,$C23,'TL09'!$J$10:$J$224),0),
IF('TL09'!$B$229=L$3,SUMIF('TL09'!$C$238:$C$451,$C23,'TL09'!$J$238:$J$451),0),
IF('TL10'!$B$3=L$3,SUMIF('TL10'!$C$10:$C$224,$C23,'TL10'!$J$10:$J$224),0),
IF('TL10'!$B$229=L$3,SUMIF('TL10'!$C$238:$C$451,$C23,'TL10'!$J$238:$J$451),0),
IF('TL11'!$B$3=L$3,SUMIF('TL11'!$C$10:$C$224,$C23,'TL11'!$J$10:$J$224),0),
IF('TL11'!$B$229=L$3,SUMIF('TL11'!$C$238:$C$451,$C23,'TL11'!$J$238:$J$451),0),
IF('TL12'!$B$3=L$3,SUMIF('TL12'!$C$10:$C$224,$C23,'TL12'!$J$10:$J$224),0),
IF('TL12'!$B$229=L$3,SUMIF('TL12'!$C$238:$C$451,$C23,'TL12'!$J$238:$J$451),0),
IF('TL13'!$B$3=L$3,SUMIF('TL13'!$C$10:$C$224,$C23,'TL13'!$J$10:$J$224),0),
IF('TL13'!$B$229=L$3,SUMIF('TL13'!$C$238:$C$451,$C23,'TL13'!$J$238:$J$451),0),
IF('TL14'!$B$3=L$3,SUMIF('TL14'!$C$10:$C$224,$C23,'TL14'!$J$10:$J$224),0),
IF('TL14'!$B$229=L$3,SUMIF('TL14'!$C$238:$C$451,$C23,'TL14'!$J$238:$J$451),0),
IF('TL15'!$B$3=L$3,SUMIF('TL15'!$C$10:$C$224,$C23,'TL15'!$J$10:$J$224),0),
IF('TL15'!$B$229=L$3,SUMIF('TL15'!$C$238:$C$451,$C23,'TL15'!$J$238:$J$451),0),
IF('TL16'!$B$3=L$3,SUMIF('TL16'!$C$10:$C$224,$C23,'TL16'!$J$10:$J$224),0),
IF('TL16'!$B$229=L$3,SUMIF('TL16'!$C$238:$C$451,$C23,'TL16'!$J$238:$J$451),0),
IF('TL17'!$B$3=L$3,SUMIF('TL17'!$C$10:$C$224,$C23,'TL17'!$J$10:$J$224),0),
IF('TL17'!$B$229=L$3,SUMIF('TL17'!$C$238:$C$451,$C23,'TL17'!$J$238:$J$451),0),
IF('TL18'!$B$3=L$3,SUMIF('TL18'!$C$10:$C$224,$C23,'TL18'!$J$10:$J$224),0),
IF('TL18'!$B$229=L$3,SUMIF('TL18'!$C$238:$C$451,$C23,'TL18'!$J$238:$J$451),0),
IF('TL19'!$B$3=L$3,SUMIF('TL19'!$C$10:$C$224,$C23,'TL19'!$J$10:$J$224),0),
IF('TL19'!$B$229=L$3,SUMIF('TL19'!$C$238:$C$451,$C23,'TL19'!$J$238:$J$451),0)
),0)</f>
        <v/>
      </c>
      <c r="M23" s="9">
        <f>IFERROR(SUM(
IF('TL01'!$B$3=M$3,SUMIF('TL01'!$C$10:$C$224,$C23,'TL01'!$J$10:$J$224),0),
IF('TL01'!$B$229=M$3,SUMIF('TL01'!$C$238:$C$451,$C23,'TL01'!$J$238:$J$451),0),
IF('TL02'!$B$3=M$3,SUMIF('TL02'!$C$10:$C$224,$C23,'TL02'!$J$10:$J$224),0),
IF('TL02'!$B$229=M$3,SUMIF('TL02'!$C$238:$C$451,$C23,'TL02'!$J$238:$J$451),0),
IF('TL03'!$B$3=M$3,SUMIF('TL03'!$C$10:$C$224,$C23,'TL03'!$J$10:$J$224),0),
IF('TL03'!$B$229=M$3,SUMIF('TL03'!$C$238:$C$451,$C23,'TL03'!$J$238:$J$451),0),
IF('TL04'!$B$3=M$3,SUMIF('TL04'!$C$10:$C$224,$C23,'TL04'!$J$10:$J$224),0),
IF('TL04'!$B$229=M$3,SUMIF('TL04'!$C$238:$C$451,$C23,'TL04'!$J$238:$J$451),0),
IF('TL05'!$B$3=M$3,SUMIF('TL05'!$C$10:$C$224,$C23,'TL05'!$J$10:$J$224),0),
IF('TL05'!$B$229=M$3,SUMIF('TL05'!$C$238:$C$451,$C23,'TL05'!$J$238:$J$451),0),
IF('TL06'!$B$3=M$3,SUMIF('TL06'!$C$10:$C$224,$C23,'TL06'!$J$10:$J$224),0),
IF('TL06'!$B$229=M$3,SUMIF('TL06'!$C$238:$C$451,$C23,'TL06'!$J$238:$J$451),0),
IF('TL07'!$B$3=M$3,SUMIF('TL07'!$C$10:$C$224,$C23,'TL07'!$J$10:$J$224),0),
IF('TL07'!$B$229=M$3,SUMIF('TL07'!$C$238:$C$451,$C23,'TL07'!$J$238:$J$451),0),
IF('TL08'!$B$3=M$3,SUMIF('TL08'!$C$10:$C$224,$C23,'TL08'!$J$10:$J$224),0),
IF('TL08'!$B$229=M$3,SUMIF('TL08'!$C$238:$C$451,$C23,'TL08'!$J$238:$J$451),0),
IF('TL09'!$B$3=M$3,SUMIF('TL09'!$C$10:$C$224,$C23,'TL09'!$J$10:$J$224),0),
IF('TL09'!$B$229=M$3,SUMIF('TL09'!$C$238:$C$451,$C23,'TL09'!$J$238:$J$451),0),
IF('TL10'!$B$3=M$3,SUMIF('TL10'!$C$10:$C$224,$C23,'TL10'!$J$10:$J$224),0),
IF('TL10'!$B$229=M$3,SUMIF('TL10'!$C$238:$C$451,$C23,'TL10'!$J$238:$J$451),0),
IF('TL11'!$B$3=M$3,SUMIF('TL11'!$C$10:$C$224,$C23,'TL11'!$J$10:$J$224),0),
IF('TL11'!$B$229=M$3,SUMIF('TL11'!$C$238:$C$451,$C23,'TL11'!$J$238:$J$451),0),
IF('TL12'!$B$3=M$3,SUMIF('TL12'!$C$10:$C$224,$C23,'TL12'!$J$10:$J$224),0),
IF('TL12'!$B$229=M$3,SUMIF('TL12'!$C$238:$C$451,$C23,'TL12'!$J$238:$J$451),0),
IF('TL13'!$B$3=M$3,SUMIF('TL13'!$C$10:$C$224,$C23,'TL13'!$J$10:$J$224),0),
IF('TL13'!$B$229=M$3,SUMIF('TL13'!$C$238:$C$451,$C23,'TL13'!$J$238:$J$451),0),
IF('TL14'!$B$3=M$3,SUMIF('TL14'!$C$10:$C$224,$C23,'TL14'!$J$10:$J$224),0),
IF('TL14'!$B$229=M$3,SUMIF('TL14'!$C$238:$C$451,$C23,'TL14'!$J$238:$J$451),0),
IF('TL15'!$B$3=M$3,SUMIF('TL15'!$C$10:$C$224,$C23,'TL15'!$J$10:$J$224),0),
IF('TL15'!$B$229=M$3,SUMIF('TL15'!$C$238:$C$451,$C23,'TL15'!$J$238:$J$451),0),
IF('TL16'!$B$3=M$3,SUMIF('TL16'!$C$10:$C$224,$C23,'TL16'!$J$10:$J$224),0),
IF('TL16'!$B$229=M$3,SUMIF('TL16'!$C$238:$C$451,$C23,'TL16'!$J$238:$J$451),0),
IF('TL17'!$B$3=M$3,SUMIF('TL17'!$C$10:$C$224,$C23,'TL17'!$J$10:$J$224),0),
IF('TL17'!$B$229=M$3,SUMIF('TL17'!$C$238:$C$451,$C23,'TL17'!$J$238:$J$451),0),
IF('TL18'!$B$3=M$3,SUMIF('TL18'!$C$10:$C$224,$C23,'TL18'!$J$10:$J$224),0),
IF('TL18'!$B$229=M$3,SUMIF('TL18'!$C$238:$C$451,$C23,'TL18'!$J$238:$J$451),0),
IF('TL19'!$B$3=M$3,SUMIF('TL19'!$C$10:$C$224,$C23,'TL19'!$J$10:$J$224),0),
IF('TL19'!$B$229=M$3,SUMIF('TL19'!$C$238:$C$451,$C23,'TL19'!$J$238:$J$451),0)
),0)</f>
        <v/>
      </c>
      <c r="N23" s="9">
        <f>IFERROR(SUM(
IF('TL01'!$B$3=N$3,SUMIF('TL01'!$C$10:$C$224,$C23,'TL01'!$J$10:$J$224),0),
IF('TL01'!$B$229=N$3,SUMIF('TL01'!$C$238:$C$451,$C23,'TL01'!$J$238:$J$451),0),
IF('TL02'!$B$3=N$3,SUMIF('TL02'!$C$10:$C$224,$C23,'TL02'!$J$10:$J$224),0),
IF('TL02'!$B$229=N$3,SUMIF('TL02'!$C$238:$C$451,$C23,'TL02'!$J$238:$J$451),0),
IF('TL03'!$B$3=N$3,SUMIF('TL03'!$C$10:$C$224,$C23,'TL03'!$J$10:$J$224),0),
IF('TL03'!$B$229=N$3,SUMIF('TL03'!$C$238:$C$451,$C23,'TL03'!$J$238:$J$451),0),
IF('TL04'!$B$3=N$3,SUMIF('TL04'!$C$10:$C$224,$C23,'TL04'!$J$10:$J$224),0),
IF('TL04'!$B$229=N$3,SUMIF('TL04'!$C$238:$C$451,$C23,'TL04'!$J$238:$J$451),0),
IF('TL05'!$B$3=N$3,SUMIF('TL05'!$C$10:$C$224,$C23,'TL05'!$J$10:$J$224),0),
IF('TL05'!$B$229=N$3,SUMIF('TL05'!$C$238:$C$451,$C23,'TL05'!$J$238:$J$451),0),
IF('TL06'!$B$3=N$3,SUMIF('TL06'!$C$10:$C$224,$C23,'TL06'!$J$10:$J$224),0),
IF('TL06'!$B$229=N$3,SUMIF('TL06'!$C$238:$C$451,$C23,'TL06'!$J$238:$J$451),0),
IF('TL07'!$B$3=N$3,SUMIF('TL07'!$C$10:$C$224,$C23,'TL07'!$J$10:$J$224),0),
IF('TL07'!$B$229=N$3,SUMIF('TL07'!$C$238:$C$451,$C23,'TL07'!$J$238:$J$451),0),
IF('TL08'!$B$3=N$3,SUMIF('TL08'!$C$10:$C$224,$C23,'TL08'!$J$10:$J$224),0),
IF('TL08'!$B$229=N$3,SUMIF('TL08'!$C$238:$C$451,$C23,'TL08'!$J$238:$J$451),0),
IF('TL09'!$B$3=N$3,SUMIF('TL09'!$C$10:$C$224,$C23,'TL09'!$J$10:$J$224),0),
IF('TL09'!$B$229=N$3,SUMIF('TL09'!$C$238:$C$451,$C23,'TL09'!$J$238:$J$451),0),
IF('TL10'!$B$3=N$3,SUMIF('TL10'!$C$10:$C$224,$C23,'TL10'!$J$10:$J$224),0),
IF('TL10'!$B$229=N$3,SUMIF('TL10'!$C$238:$C$451,$C23,'TL10'!$J$238:$J$451),0),
IF('TL11'!$B$3=N$3,SUMIF('TL11'!$C$10:$C$224,$C23,'TL11'!$J$10:$J$224),0),
IF('TL11'!$B$229=N$3,SUMIF('TL11'!$C$238:$C$451,$C23,'TL11'!$J$238:$J$451),0),
IF('TL12'!$B$3=N$3,SUMIF('TL12'!$C$10:$C$224,$C23,'TL12'!$J$10:$J$224),0),
IF('TL12'!$B$229=N$3,SUMIF('TL12'!$C$238:$C$451,$C23,'TL12'!$J$238:$J$451),0),
IF('TL13'!$B$3=N$3,SUMIF('TL13'!$C$10:$C$224,$C23,'TL13'!$J$10:$J$224),0),
IF('TL13'!$B$229=N$3,SUMIF('TL13'!$C$238:$C$451,$C23,'TL13'!$J$238:$J$451),0),
IF('TL14'!$B$3=N$3,SUMIF('TL14'!$C$10:$C$224,$C23,'TL14'!$J$10:$J$224),0),
IF('TL14'!$B$229=N$3,SUMIF('TL14'!$C$238:$C$451,$C23,'TL14'!$J$238:$J$451),0),
IF('TL15'!$B$3=N$3,SUMIF('TL15'!$C$10:$C$224,$C23,'TL15'!$J$10:$J$224),0),
IF('TL15'!$B$229=N$3,SUMIF('TL15'!$C$238:$C$451,$C23,'TL15'!$J$238:$J$451),0),
IF('TL16'!$B$3=N$3,SUMIF('TL16'!$C$10:$C$224,$C23,'TL16'!$J$10:$J$224),0),
IF('TL16'!$B$229=N$3,SUMIF('TL16'!$C$238:$C$451,$C23,'TL16'!$J$238:$J$451),0),
IF('TL17'!$B$3=N$3,SUMIF('TL17'!$C$10:$C$224,$C23,'TL17'!$J$10:$J$224),0),
IF('TL17'!$B$229=N$3,SUMIF('TL17'!$C$238:$C$451,$C23,'TL17'!$J$238:$J$451),0),
IF('TL18'!$B$3=N$3,SUMIF('TL18'!$C$10:$C$224,$C23,'TL18'!$J$10:$J$224),0),
IF('TL18'!$B$229=N$3,SUMIF('TL18'!$C$238:$C$451,$C23,'TL18'!$J$238:$J$451),0),
IF('TL19'!$B$3=N$3,SUMIF('TL19'!$C$10:$C$224,$C23,'TL19'!$J$10:$J$224),0),
IF('TL19'!$B$229=N$3,SUMIF('TL19'!$C$238:$C$451,$C23,'TL19'!$J$238:$J$451),0)
),0)</f>
        <v/>
      </c>
      <c r="O23" s="9">
        <f>IFERROR(SUM(
IF('TL01'!$B$3=O$3,SUMIF('TL01'!$C$10:$C$224,$C23,'TL01'!$J$10:$J$224),0),
IF('TL01'!$B$229=O$3,SUMIF('TL01'!$C$238:$C$451,$C23,'TL01'!$J$238:$J$451),0),
IF('TL02'!$B$3=O$3,SUMIF('TL02'!$C$10:$C$224,$C23,'TL02'!$J$10:$J$224),0),
IF('TL02'!$B$229=O$3,SUMIF('TL02'!$C$238:$C$451,$C23,'TL02'!$J$238:$J$451),0),
IF('TL03'!$B$3=O$3,SUMIF('TL03'!$C$10:$C$224,$C23,'TL03'!$J$10:$J$224),0),
IF('TL03'!$B$229=O$3,SUMIF('TL03'!$C$238:$C$451,$C23,'TL03'!$J$238:$J$451),0),
IF('TL04'!$B$3=O$3,SUMIF('TL04'!$C$10:$C$224,$C23,'TL04'!$J$10:$J$224),0),
IF('TL04'!$B$229=O$3,SUMIF('TL04'!$C$238:$C$451,$C23,'TL04'!$J$238:$J$451),0),
IF('TL05'!$B$3=O$3,SUMIF('TL05'!$C$10:$C$224,$C23,'TL05'!$J$10:$J$224),0),
IF('TL05'!$B$229=O$3,SUMIF('TL05'!$C$238:$C$451,$C23,'TL05'!$J$238:$J$451),0),
IF('TL06'!$B$3=O$3,SUMIF('TL06'!$C$10:$C$224,$C23,'TL06'!$J$10:$J$224),0),
IF('TL06'!$B$229=O$3,SUMIF('TL06'!$C$238:$C$451,$C23,'TL06'!$J$238:$J$451),0),
IF('TL07'!$B$3=O$3,SUMIF('TL07'!$C$10:$C$224,$C23,'TL07'!$J$10:$J$224),0),
IF('TL07'!$B$229=O$3,SUMIF('TL07'!$C$238:$C$451,$C23,'TL07'!$J$238:$J$451),0),
IF('TL08'!$B$3=O$3,SUMIF('TL08'!$C$10:$C$224,$C23,'TL08'!$J$10:$J$224),0),
IF('TL08'!$B$229=O$3,SUMIF('TL08'!$C$238:$C$451,$C23,'TL08'!$J$238:$J$451),0),
IF('TL09'!$B$3=O$3,SUMIF('TL09'!$C$10:$C$224,$C23,'TL09'!$J$10:$J$224),0),
IF('TL09'!$B$229=O$3,SUMIF('TL09'!$C$238:$C$451,$C23,'TL09'!$J$238:$J$451),0),
IF('TL10'!$B$3=O$3,SUMIF('TL10'!$C$10:$C$224,$C23,'TL10'!$J$10:$J$224),0),
IF('TL10'!$B$229=O$3,SUMIF('TL10'!$C$238:$C$451,$C23,'TL10'!$J$238:$J$451),0),
IF('TL11'!$B$3=O$3,SUMIF('TL11'!$C$10:$C$224,$C23,'TL11'!$J$10:$J$224),0),
IF('TL11'!$B$229=O$3,SUMIF('TL11'!$C$238:$C$451,$C23,'TL11'!$J$238:$J$451),0),
IF('TL12'!$B$3=O$3,SUMIF('TL12'!$C$10:$C$224,$C23,'TL12'!$J$10:$J$224),0),
IF('TL12'!$B$229=O$3,SUMIF('TL12'!$C$238:$C$451,$C23,'TL12'!$J$238:$J$451),0),
IF('TL13'!$B$3=O$3,SUMIF('TL13'!$C$10:$C$224,$C23,'TL13'!$J$10:$J$224),0),
IF('TL13'!$B$229=O$3,SUMIF('TL13'!$C$238:$C$451,$C23,'TL13'!$J$238:$J$451),0),
IF('TL14'!$B$3=O$3,SUMIF('TL14'!$C$10:$C$224,$C23,'TL14'!$J$10:$J$224),0),
IF('TL14'!$B$229=O$3,SUMIF('TL14'!$C$238:$C$451,$C23,'TL14'!$J$238:$J$451),0),
IF('TL15'!$B$3=O$3,SUMIF('TL15'!$C$10:$C$224,$C23,'TL15'!$J$10:$J$224),0),
IF('TL15'!$B$229=O$3,SUMIF('TL15'!$C$238:$C$451,$C23,'TL15'!$J$238:$J$451),0),
IF('TL16'!$B$3=O$3,SUMIF('TL16'!$C$10:$C$224,$C23,'TL16'!$J$10:$J$224),0),
IF('TL16'!$B$229=O$3,SUMIF('TL16'!$C$238:$C$451,$C23,'TL16'!$J$238:$J$451),0),
IF('TL17'!$B$3=O$3,SUMIF('TL17'!$C$10:$C$224,$C23,'TL17'!$J$10:$J$224),0),
IF('TL17'!$B$229=O$3,SUMIF('TL17'!$C$238:$C$451,$C23,'TL17'!$J$238:$J$451),0),
IF('TL18'!$B$3=O$3,SUMIF('TL18'!$C$10:$C$224,$C23,'TL18'!$J$10:$J$224),0),
IF('TL18'!$B$229=O$3,SUMIF('TL18'!$C$238:$C$451,$C23,'TL18'!$J$238:$J$451),0),
IF('TL19'!$B$3=O$3,SUMIF('TL19'!$C$10:$C$224,$C23,'TL19'!$J$10:$J$224),0),
IF('TL19'!$B$229=O$3,SUMIF('TL19'!$C$238:$C$451,$C23,'TL19'!$J$238:$J$451),0)
),0)</f>
        <v/>
      </c>
      <c r="P23" s="9">
        <f>IFERROR(SUM(
IF('TL01'!$B$3=P$3,SUMIF('TL01'!$C$10:$C$224,$C23,'TL01'!$J$10:$J$224),0),
IF('TL01'!$B$229=P$3,SUMIF('TL01'!$C$238:$C$451,$C23,'TL01'!$J$238:$J$451),0),
IF('TL02'!$B$3=P$3,SUMIF('TL02'!$C$10:$C$224,$C23,'TL02'!$J$10:$J$224),0),
IF('TL02'!$B$229=P$3,SUMIF('TL02'!$C$238:$C$451,$C23,'TL02'!$J$238:$J$451),0),
IF('TL03'!$B$3=P$3,SUMIF('TL03'!$C$10:$C$224,$C23,'TL03'!$J$10:$J$224),0),
IF('TL03'!$B$229=P$3,SUMIF('TL03'!$C$238:$C$451,$C23,'TL03'!$J$238:$J$451),0),
IF('TL04'!$B$3=P$3,SUMIF('TL04'!$C$10:$C$224,$C23,'TL04'!$J$10:$J$224),0),
IF('TL04'!$B$229=P$3,SUMIF('TL04'!$C$238:$C$451,$C23,'TL04'!$J$238:$J$451),0),
IF('TL05'!$B$3=P$3,SUMIF('TL05'!$C$10:$C$224,$C23,'TL05'!$J$10:$J$224),0),
IF('TL05'!$B$229=P$3,SUMIF('TL05'!$C$238:$C$451,$C23,'TL05'!$J$238:$J$451),0),
IF('TL06'!$B$3=P$3,SUMIF('TL06'!$C$10:$C$224,$C23,'TL06'!$J$10:$J$224),0),
IF('TL06'!$B$229=P$3,SUMIF('TL06'!$C$238:$C$451,$C23,'TL06'!$J$238:$J$451),0),
IF('TL07'!$B$3=P$3,SUMIF('TL07'!$C$10:$C$224,$C23,'TL07'!$J$10:$J$224),0),
IF('TL07'!$B$229=P$3,SUMIF('TL07'!$C$238:$C$451,$C23,'TL07'!$J$238:$J$451),0),
IF('TL08'!$B$3=P$3,SUMIF('TL08'!$C$10:$C$224,$C23,'TL08'!$J$10:$J$224),0),
IF('TL08'!$B$229=P$3,SUMIF('TL08'!$C$238:$C$451,$C23,'TL08'!$J$238:$J$451),0),
IF('TL09'!$B$3=P$3,SUMIF('TL09'!$C$10:$C$224,$C23,'TL09'!$J$10:$J$224),0),
IF('TL09'!$B$229=P$3,SUMIF('TL09'!$C$238:$C$451,$C23,'TL09'!$J$238:$J$451),0),
IF('TL10'!$B$3=P$3,SUMIF('TL10'!$C$10:$C$224,$C23,'TL10'!$J$10:$J$224),0),
IF('TL10'!$B$229=P$3,SUMIF('TL10'!$C$238:$C$451,$C23,'TL10'!$J$238:$J$451),0),
IF('TL11'!$B$3=P$3,SUMIF('TL11'!$C$10:$C$224,$C23,'TL11'!$J$10:$J$224),0),
IF('TL11'!$B$229=P$3,SUMIF('TL11'!$C$238:$C$451,$C23,'TL11'!$J$238:$J$451),0),
IF('TL12'!$B$3=P$3,SUMIF('TL12'!$C$10:$C$224,$C23,'TL12'!$J$10:$J$224),0),
IF('TL12'!$B$229=P$3,SUMIF('TL12'!$C$238:$C$451,$C23,'TL12'!$J$238:$J$451),0),
IF('TL13'!$B$3=P$3,SUMIF('TL13'!$C$10:$C$224,$C23,'TL13'!$J$10:$J$224),0),
IF('TL13'!$B$229=P$3,SUMIF('TL13'!$C$238:$C$451,$C23,'TL13'!$J$238:$J$451),0),
IF('TL14'!$B$3=P$3,SUMIF('TL14'!$C$10:$C$224,$C23,'TL14'!$J$10:$J$224),0),
IF('TL14'!$B$229=P$3,SUMIF('TL14'!$C$238:$C$451,$C23,'TL14'!$J$238:$J$451),0),
IF('TL15'!$B$3=P$3,SUMIF('TL15'!$C$10:$C$224,$C23,'TL15'!$J$10:$J$224),0),
IF('TL15'!$B$229=P$3,SUMIF('TL15'!$C$238:$C$451,$C23,'TL15'!$J$238:$J$451),0),
IF('TL16'!$B$3=P$3,SUMIF('TL16'!$C$10:$C$224,$C23,'TL16'!$J$10:$J$224),0),
IF('TL16'!$B$229=P$3,SUMIF('TL16'!$C$238:$C$451,$C23,'TL16'!$J$238:$J$451),0),
IF('TL17'!$B$3=P$3,SUMIF('TL17'!$C$10:$C$224,$C23,'TL17'!$J$10:$J$224),0),
IF('TL17'!$B$229=P$3,SUMIF('TL17'!$C$238:$C$451,$C23,'TL17'!$J$238:$J$451),0),
IF('TL18'!$B$3=P$3,SUMIF('TL18'!$C$10:$C$224,$C23,'TL18'!$J$10:$J$224),0),
IF('TL18'!$B$229=P$3,SUMIF('TL18'!$C$238:$C$451,$C23,'TL18'!$J$238:$J$451),0),
IF('TL19'!$B$3=P$3,SUMIF('TL19'!$C$10:$C$224,$C23,'TL19'!$J$10:$J$224),0),
IF('TL19'!$B$229=P$3,SUMIF('TL19'!$C$238:$C$451,$C23,'TL19'!$J$238:$J$451),0)
),0)</f>
        <v/>
      </c>
      <c r="Q23" s="9">
        <f>IFERROR(SUM(
IF('TL01'!$B$3=Q$3,SUMIF('TL01'!$C$10:$C$224,$C23,'TL01'!$J$10:$J$224),0),
IF('TL01'!$B$229=Q$3,SUMIF('TL01'!$C$238:$C$451,$C23,'TL01'!$J$238:$J$451),0),
IF('TL02'!$B$3=Q$3,SUMIF('TL02'!$C$10:$C$224,$C23,'TL02'!$J$10:$J$224),0),
IF('TL02'!$B$229=Q$3,SUMIF('TL02'!$C$238:$C$451,$C23,'TL02'!$J$238:$J$451),0),
IF('TL03'!$B$3=Q$3,SUMIF('TL03'!$C$10:$C$224,$C23,'TL03'!$J$10:$J$224),0),
IF('TL03'!$B$229=Q$3,SUMIF('TL03'!$C$238:$C$451,$C23,'TL03'!$J$238:$J$451),0),
IF('TL04'!$B$3=Q$3,SUMIF('TL04'!$C$10:$C$224,$C23,'TL04'!$J$10:$J$224),0),
IF('TL04'!$B$229=Q$3,SUMIF('TL04'!$C$238:$C$451,$C23,'TL04'!$J$238:$J$451),0),
IF('TL05'!$B$3=Q$3,SUMIF('TL05'!$C$10:$C$224,$C23,'TL05'!$J$10:$J$224),0),
IF('TL05'!$B$229=Q$3,SUMIF('TL05'!$C$238:$C$451,$C23,'TL05'!$J$238:$J$451),0),
IF('TL06'!$B$3=Q$3,SUMIF('TL06'!$C$10:$C$224,$C23,'TL06'!$J$10:$J$224),0),
IF('TL06'!$B$229=Q$3,SUMIF('TL06'!$C$238:$C$451,$C23,'TL06'!$J$238:$J$451),0),
IF('TL07'!$B$3=Q$3,SUMIF('TL07'!$C$10:$C$224,$C23,'TL07'!$J$10:$J$224),0),
IF('TL07'!$B$229=Q$3,SUMIF('TL07'!$C$238:$C$451,$C23,'TL07'!$J$238:$J$451),0),
IF('TL08'!$B$3=Q$3,SUMIF('TL08'!$C$10:$C$224,$C23,'TL08'!$J$10:$J$224),0),
IF('TL08'!$B$229=Q$3,SUMIF('TL08'!$C$238:$C$451,$C23,'TL08'!$J$238:$J$451),0),
IF('TL09'!$B$3=Q$3,SUMIF('TL09'!$C$10:$C$224,$C23,'TL09'!$J$10:$J$224),0),
IF('TL09'!$B$229=Q$3,SUMIF('TL09'!$C$238:$C$451,$C23,'TL09'!$J$238:$J$451),0),
IF('TL10'!$B$3=Q$3,SUMIF('TL10'!$C$10:$C$224,$C23,'TL10'!$J$10:$J$224),0),
IF('TL10'!$B$229=Q$3,SUMIF('TL10'!$C$238:$C$451,$C23,'TL10'!$J$238:$J$451),0),
IF('TL11'!$B$3=Q$3,SUMIF('TL11'!$C$10:$C$224,$C23,'TL11'!$J$10:$J$224),0),
IF('TL11'!$B$229=Q$3,SUMIF('TL11'!$C$238:$C$451,$C23,'TL11'!$J$238:$J$451),0),
IF('TL12'!$B$3=Q$3,SUMIF('TL12'!$C$10:$C$224,$C23,'TL12'!$J$10:$J$224),0),
IF('TL12'!$B$229=Q$3,SUMIF('TL12'!$C$238:$C$451,$C23,'TL12'!$J$238:$J$451),0),
IF('TL13'!$B$3=Q$3,SUMIF('TL13'!$C$10:$C$224,$C23,'TL13'!$J$10:$J$224),0),
IF('TL13'!$B$229=Q$3,SUMIF('TL13'!$C$238:$C$451,$C23,'TL13'!$J$238:$J$451),0),
IF('TL14'!$B$3=Q$3,SUMIF('TL14'!$C$10:$C$224,$C23,'TL14'!$J$10:$J$224),0),
IF('TL14'!$B$229=Q$3,SUMIF('TL14'!$C$238:$C$451,$C23,'TL14'!$J$238:$J$451),0),
IF('TL15'!$B$3=Q$3,SUMIF('TL15'!$C$10:$C$224,$C23,'TL15'!$J$10:$J$224),0),
IF('TL15'!$B$229=Q$3,SUMIF('TL15'!$C$238:$C$451,$C23,'TL15'!$J$238:$J$451),0),
IF('TL16'!$B$3=Q$3,SUMIF('TL16'!$C$10:$C$224,$C23,'TL16'!$J$10:$J$224),0),
IF('TL16'!$B$229=Q$3,SUMIF('TL16'!$C$238:$C$451,$C23,'TL16'!$J$238:$J$451),0),
IF('TL17'!$B$3=Q$3,SUMIF('TL17'!$C$10:$C$224,$C23,'TL17'!$J$10:$J$224),0),
IF('TL17'!$B$229=Q$3,SUMIF('TL17'!$C$238:$C$451,$C23,'TL17'!$J$238:$J$451),0),
IF('TL18'!$B$3=Q$3,SUMIF('TL18'!$C$10:$C$224,$C23,'TL18'!$J$10:$J$224),0),
IF('TL18'!$B$229=Q$3,SUMIF('TL18'!$C$238:$C$451,$C23,'TL18'!$J$238:$J$451),0),
IF('TL19'!$B$3=Q$3,SUMIF('TL19'!$C$10:$C$224,$C23,'TL19'!$J$10:$J$224),0),
IF('TL19'!$B$229=Q$3,SUMIF('TL19'!$C$238:$C$451,$C23,'TL19'!$J$238:$J$451),0)
),0)</f>
        <v/>
      </c>
      <c r="R23" s="9">
        <f>IFERROR(
SUM(
SUMIF('TL01'!C:C,C23,'TL01'!J:J),
SUMIF('TL02'!C:C,C23,'TL02'!J:J),
SUMIF('TL03'!C:C,C23,'TL03'!J:J),
SUMIF('TL04'!C:C,C23,'TL04'!J:J),
SUMIF('TL05'!C:C,C23,'TL05'!J:J),
SUMIF('TL06'!C:C,C23,'TL06'!J:J),
SUMIF('TL07'!C:C,C23,'TL07'!J:J),
SUMIF('TL08'!C:C,C23,'TL08'!J:J),
SUMIF('TL09'!C:C,C23,'TL09'!J:J),
SUMIF('TL10'!C:C,C23,'TL10'!J:J),
SUMIF('TL11'!C:C,C23,'TL11'!J:J),
SUMIF('TL12'!C:C,C23,'TL12'!J:J),
SUMIF('TL13'!C:C,C23,'TL13'!J:J),
SUMIF('TL14'!C:C,C23,'TL14'!J:J),
SUMIF('TL15'!C:C,C23,'TL15'!J:J),
SUMIF('TL16'!C:C,C23,'TL16'!J:J),
SUMIF('TL17'!C:C,C23,'TL17'!J:J),
SUMIF('TL18'!C:C,C23,'TL18'!J:J),SUMIF('TL19'!C:C,C23,'TL19'!J:J))
,0)</f>
        <v/>
      </c>
      <c r="S23" s="17">
        <f>IFERROR(__xludf.DUMMYFUNCTION("IFERROR(VLOOKUP(C23,
IMPORTRANGE(""1wULbzX32WdYsx-lj2U3uUNBBe2INVIRDtcK0d-Dvl90"",
""26-27!C:G""),
5,
FALSE),
"""")"),"")</f>
        <v/>
      </c>
      <c r="T23" s="9" t="n"/>
      <c r="U23" s="92">
        <f>MAX(0,R23-T23)</f>
        <v/>
      </c>
      <c r="V23" s="93">
        <f>U23*S23</f>
        <v/>
      </c>
    </row>
    <row r="24" hidden="1" ht="22.5" customHeight="1" s="297">
      <c r="A24" s="101" t="n"/>
      <c r="B24" s="102" t="inlineStr">
        <is>
          <t>FERTILIZANTES</t>
        </is>
      </c>
      <c r="C24" s="103" t="inlineStr">
        <is>
          <t>I-ACTIVE</t>
        </is>
      </c>
      <c r="D24" s="103" t="inlineStr">
        <is>
          <t>P2O5 12%</t>
        </is>
      </c>
      <c r="E24" s="104" t="n"/>
      <c r="F24" s="4" t="inlineStr">
        <is>
          <t>Ton</t>
        </is>
      </c>
      <c r="G24" s="9" t="n"/>
      <c r="H24" s="9">
        <f>IFERROR(__xludf.DUMMYFUNCTION("IFERROR(VLOOKUP(C24,
IMPORTRANGE(""1wULbzX32WdYsx-lj2U3uUNBBe2INVIRDtcK0d-Dvl90"",
""26-27!C:K""),
8,
FALSE),
"""")"),"")</f>
        <v/>
      </c>
      <c r="I24" s="105" t="n"/>
      <c r="J24" s="9">
        <f>IFERROR(SUM(
IF('TL01'!$B$3=J$3,SUMIF('TL01'!$C$10:$C$224,$C24,'TL01'!$J$10:$J$224),0),
IF('TL01'!$B$229=J$3,SUMIF('TL01'!$C$238:$C$451,$C24,'TL01'!$J$238:$J$451),0),
IF('TL02'!$B$3=J$3,SUMIF('TL02'!$C$10:$C$224,$C24,'TL02'!$J$10:$J$224),0),
IF('TL02'!$B$229=J$3,SUMIF('TL02'!$C$238:$C$451,$C24,'TL02'!$J$238:$J$451),0),
IF('TL03'!$B$3=J$3,SUMIF('TL03'!$C$10:$C$224,$C24,'TL03'!$J$10:$J$224),0),
IF('TL03'!$B$229=J$3,SUMIF('TL03'!$C$238:$C$451,$C24,'TL03'!$J$238:$J$451),0),
IF('TL04'!$B$3=J$3,SUMIF('TL04'!$C$10:$C$224,$C24,'TL04'!$J$10:$J$224),0),
IF('TL04'!$B$229=J$3,SUMIF('TL04'!$C$238:$C$451,$C24,'TL04'!$J$238:$J$451),0),
IF('TL05'!$B$3=J$3,SUMIF('TL05'!$C$10:$C$224,$C24,'TL05'!$J$10:$J$224),0),
IF('TL05'!$B$229=J$3,SUMIF('TL05'!$C$238:$C$451,$C24,'TL05'!$J$238:$J$451),0),
IF('TL06'!$B$3=J$3,SUMIF('TL06'!$C$10:$C$224,$C24,'TL06'!$J$10:$J$224),0),
IF('TL06'!$B$229=J$3,SUMIF('TL06'!$C$238:$C$451,$C24,'TL06'!$J$238:$J$451),0),
IF('TL07'!$B$3=J$3,SUMIF('TL07'!$C$10:$C$224,$C24,'TL07'!$J$10:$J$224),0),
IF('TL07'!$B$229=J$3,SUMIF('TL07'!$C$238:$C$451,$C24,'TL07'!$J$238:$J$451),0),
IF('TL08'!$B$3=J$3,SUMIF('TL08'!$C$10:$C$224,$C24,'TL08'!$J$10:$J$224),0),
IF('TL08'!$B$229=J$3,SUMIF('TL08'!$C$238:$C$451,$C24,'TL08'!$J$238:$J$451),0),
IF('TL09'!$B$3=J$3,SUMIF('TL09'!$C$10:$C$224,$C24,'TL09'!$J$10:$J$224),0),
IF('TL09'!$B$229=J$3,SUMIF('TL09'!$C$238:$C$451,$C24,'TL09'!$J$238:$J$451),0),
IF('TL10'!$B$3=J$3,SUMIF('TL10'!$C$10:$C$224,$C24,'TL10'!$J$10:$J$224),0),
IF('TL10'!$B$229=J$3,SUMIF('TL10'!$C$238:$C$451,$C24,'TL10'!$J$238:$J$451),0),
IF('TL11'!$B$3=J$3,SUMIF('TL11'!$C$10:$C$224,$C24,'TL11'!$J$10:$J$224),0),
IF('TL11'!$B$229=J$3,SUMIF('TL11'!$C$238:$C$451,$C24,'TL11'!$J$238:$J$451),0),
IF('TL12'!$B$3=J$3,SUMIF('TL12'!$C$10:$C$224,$C24,'TL12'!$J$10:$J$224),0),
IF('TL12'!$B$229=J$3,SUMIF('TL12'!$C$238:$C$451,$C24,'TL12'!$J$238:$J$451),0),
IF('TL13'!$B$3=J$3,SUMIF('TL13'!$C$10:$C$224,$C24,'TL13'!$J$10:$J$224),0),
IF('TL13'!$B$229=J$3,SUMIF('TL13'!$C$238:$C$451,$C24,'TL13'!$J$238:$J$451),0),
IF('TL14'!$B$3=J$3,SUMIF('TL14'!$C$10:$C$224,$C24,'TL14'!$J$10:$J$224),0),
IF('TL14'!$B$229=J$3,SUMIF('TL14'!$C$238:$C$451,$C24,'TL14'!$J$238:$J$451),0),
IF('TL15'!$B$3=J$3,SUMIF('TL15'!$C$10:$C$224,$C24,'TL15'!$J$10:$J$224),0),
IF('TL15'!$B$229=J$3,SUMIF('TL15'!$C$238:$C$451,$C24,'TL15'!$J$238:$J$451),0),
IF('TL16'!$B$3=J$3,SUMIF('TL16'!$C$10:$C$224,$C24,'TL16'!$J$10:$J$224),0),
IF('TL16'!$B$229=J$3,SUMIF('TL16'!$C$238:$C$451,$C24,'TL16'!$J$238:$J$451),0),
IF('TL17'!$B$3=J$3,SUMIF('TL17'!$C$10:$C$224,$C24,'TL17'!$J$10:$J$224),0),
IF('TL17'!$B$229=J$3,SUMIF('TL17'!$C$238:$C$451,$C24,'TL17'!$J$238:$J$451),0),
IF('TL18'!$B$3=J$3,SUMIF('TL18'!$C$10:$C$224,$C24,'TL18'!$J$10:$J$224),0),
IF('TL18'!$B$229=J$3,SUMIF('TL18'!$C$238:$C$451,$C24,'TL18'!$J$238:$J$451),0),
IF('TL19'!$B$3=J$3,SUMIF('TL19'!$C$10:$C$224,$C24,'TL19'!$J$10:$J$224),0),
IF('TL19'!$B$229=J$3,SUMIF('TL19'!$C$238:$C$451,$C24,'TL19'!$J$238:$J$451),0)
),0)</f>
        <v/>
      </c>
      <c r="K24" s="9">
        <f>IFERROR(SUM(
IF('TL01'!$B$3=K$3,SUMIF('TL01'!$C$10:$C$224,$C24,'TL01'!$J$10:$J$224),0),
IF('TL01'!$B$229=K$3,SUMIF('TL01'!$C$238:$C$451,$C24,'TL01'!$J$238:$J$451),0),
IF('TL02'!$B$3=K$3,SUMIF('TL02'!$C$10:$C$224,$C24,'TL02'!$J$10:$J$224),0),
IF('TL02'!$B$229=K$3,SUMIF('TL02'!$C$238:$C$451,$C24,'TL02'!$J$238:$J$451),0),
IF('TL03'!$B$3=K$3,SUMIF('TL03'!$C$10:$C$224,$C24,'TL03'!$J$10:$J$224),0),
IF('TL03'!$B$229=K$3,SUMIF('TL03'!$C$238:$C$451,$C24,'TL03'!$J$238:$J$451),0),
IF('TL04'!$B$3=K$3,SUMIF('TL04'!$C$10:$C$224,$C24,'TL04'!$J$10:$J$224),0),
IF('TL04'!$B$229=K$3,SUMIF('TL04'!$C$238:$C$451,$C24,'TL04'!$J$238:$J$451),0),
IF('TL05'!$B$3=K$3,SUMIF('TL05'!$C$10:$C$224,$C24,'TL05'!$J$10:$J$224),0),
IF('TL05'!$B$229=K$3,SUMIF('TL05'!$C$238:$C$451,$C24,'TL05'!$J$238:$J$451),0),
IF('TL06'!$B$3=K$3,SUMIF('TL06'!$C$10:$C$224,$C24,'TL06'!$J$10:$J$224),0),
IF('TL06'!$B$229=K$3,SUMIF('TL06'!$C$238:$C$451,$C24,'TL06'!$J$238:$J$451),0),
IF('TL07'!$B$3=K$3,SUMIF('TL07'!$C$10:$C$224,$C24,'TL07'!$J$10:$J$224),0),
IF('TL07'!$B$229=K$3,SUMIF('TL07'!$C$238:$C$451,$C24,'TL07'!$J$238:$J$451),0),
IF('TL08'!$B$3=K$3,SUMIF('TL08'!$C$10:$C$224,$C24,'TL08'!$J$10:$J$224),0),
IF('TL08'!$B$229=K$3,SUMIF('TL08'!$C$238:$C$451,$C24,'TL08'!$J$238:$J$451),0),
IF('TL09'!$B$3=K$3,SUMIF('TL09'!$C$10:$C$224,$C24,'TL09'!$J$10:$J$224),0),
IF('TL09'!$B$229=K$3,SUMIF('TL09'!$C$238:$C$451,$C24,'TL09'!$J$238:$J$451),0),
IF('TL10'!$B$3=K$3,SUMIF('TL10'!$C$10:$C$224,$C24,'TL10'!$J$10:$J$224),0),
IF('TL10'!$B$229=K$3,SUMIF('TL10'!$C$238:$C$451,$C24,'TL10'!$J$238:$J$451),0),
IF('TL11'!$B$3=K$3,SUMIF('TL11'!$C$10:$C$224,$C24,'TL11'!$J$10:$J$224),0),
IF('TL11'!$B$229=K$3,SUMIF('TL11'!$C$238:$C$451,$C24,'TL11'!$J$238:$J$451),0),
IF('TL12'!$B$3=K$3,SUMIF('TL12'!$C$10:$C$224,$C24,'TL12'!$J$10:$J$224),0),
IF('TL12'!$B$229=K$3,SUMIF('TL12'!$C$238:$C$451,$C24,'TL12'!$J$238:$J$451),0),
IF('TL13'!$B$3=K$3,SUMIF('TL13'!$C$10:$C$224,$C24,'TL13'!$J$10:$J$224),0),
IF('TL13'!$B$229=K$3,SUMIF('TL13'!$C$238:$C$451,$C24,'TL13'!$J$238:$J$451),0),
IF('TL14'!$B$3=K$3,SUMIF('TL14'!$C$10:$C$224,$C24,'TL14'!$J$10:$J$224),0),
IF('TL14'!$B$229=K$3,SUMIF('TL14'!$C$238:$C$451,$C24,'TL14'!$J$238:$J$451),0),
IF('TL15'!$B$3=K$3,SUMIF('TL15'!$C$10:$C$224,$C24,'TL15'!$J$10:$J$224),0),
IF('TL15'!$B$229=K$3,SUMIF('TL15'!$C$238:$C$451,$C24,'TL15'!$J$238:$J$451),0),
IF('TL16'!$B$3=K$3,SUMIF('TL16'!$C$10:$C$224,$C24,'TL16'!$J$10:$J$224),0),
IF('TL16'!$B$229=K$3,SUMIF('TL16'!$C$238:$C$451,$C24,'TL16'!$J$238:$J$451),0),
IF('TL17'!$B$3=K$3,SUMIF('TL17'!$C$10:$C$224,$C24,'TL17'!$J$10:$J$224),0),
IF('TL17'!$B$229=K$3,SUMIF('TL17'!$C$238:$C$451,$C24,'TL17'!$J$238:$J$451),0),
IF('TL18'!$B$3=K$3,SUMIF('TL18'!$C$10:$C$224,$C24,'TL18'!$J$10:$J$224),0),
IF('TL18'!$B$229=K$3,SUMIF('TL18'!$C$238:$C$451,$C24,'TL18'!$J$238:$J$451),0),
IF('TL19'!$B$3=K$3,SUMIF('TL19'!$C$10:$C$224,$C24,'TL19'!$J$10:$J$224),0),
IF('TL19'!$B$229=K$3,SUMIF('TL19'!$C$238:$C$451,$C24,'TL19'!$J$238:$J$451),0)
),0)</f>
        <v/>
      </c>
      <c r="L24" s="9">
        <f>IFERROR(SUM(
IF('TL01'!$B$3=L$3,SUMIF('TL01'!$C$10:$C$224,$C24,'TL01'!$J$10:$J$224),0),
IF('TL01'!$B$229=L$3,SUMIF('TL01'!$C$238:$C$451,$C24,'TL01'!$J$238:$J$451),0),
IF('TL02'!$B$3=L$3,SUMIF('TL02'!$C$10:$C$224,$C24,'TL02'!$J$10:$J$224),0),
IF('TL02'!$B$229=L$3,SUMIF('TL02'!$C$238:$C$451,$C24,'TL02'!$J$238:$J$451),0),
IF('TL03'!$B$3=L$3,SUMIF('TL03'!$C$10:$C$224,$C24,'TL03'!$J$10:$J$224),0),
IF('TL03'!$B$229=L$3,SUMIF('TL03'!$C$238:$C$451,$C24,'TL03'!$J$238:$J$451),0),
IF('TL04'!$B$3=L$3,SUMIF('TL04'!$C$10:$C$224,$C24,'TL04'!$J$10:$J$224),0),
IF('TL04'!$B$229=L$3,SUMIF('TL04'!$C$238:$C$451,$C24,'TL04'!$J$238:$J$451),0),
IF('TL05'!$B$3=L$3,SUMIF('TL05'!$C$10:$C$224,$C24,'TL05'!$J$10:$J$224),0),
IF('TL05'!$B$229=L$3,SUMIF('TL05'!$C$238:$C$451,$C24,'TL05'!$J$238:$J$451),0),
IF('TL06'!$B$3=L$3,SUMIF('TL06'!$C$10:$C$224,$C24,'TL06'!$J$10:$J$224),0),
IF('TL06'!$B$229=L$3,SUMIF('TL06'!$C$238:$C$451,$C24,'TL06'!$J$238:$J$451),0),
IF('TL07'!$B$3=L$3,SUMIF('TL07'!$C$10:$C$224,$C24,'TL07'!$J$10:$J$224),0),
IF('TL07'!$B$229=L$3,SUMIF('TL07'!$C$238:$C$451,$C24,'TL07'!$J$238:$J$451),0),
IF('TL08'!$B$3=L$3,SUMIF('TL08'!$C$10:$C$224,$C24,'TL08'!$J$10:$J$224),0),
IF('TL08'!$B$229=L$3,SUMIF('TL08'!$C$238:$C$451,$C24,'TL08'!$J$238:$J$451),0),
IF('TL09'!$B$3=L$3,SUMIF('TL09'!$C$10:$C$224,$C24,'TL09'!$J$10:$J$224),0),
IF('TL09'!$B$229=L$3,SUMIF('TL09'!$C$238:$C$451,$C24,'TL09'!$J$238:$J$451),0),
IF('TL10'!$B$3=L$3,SUMIF('TL10'!$C$10:$C$224,$C24,'TL10'!$J$10:$J$224),0),
IF('TL10'!$B$229=L$3,SUMIF('TL10'!$C$238:$C$451,$C24,'TL10'!$J$238:$J$451),0),
IF('TL11'!$B$3=L$3,SUMIF('TL11'!$C$10:$C$224,$C24,'TL11'!$J$10:$J$224),0),
IF('TL11'!$B$229=L$3,SUMIF('TL11'!$C$238:$C$451,$C24,'TL11'!$J$238:$J$451),0),
IF('TL12'!$B$3=L$3,SUMIF('TL12'!$C$10:$C$224,$C24,'TL12'!$J$10:$J$224),0),
IF('TL12'!$B$229=L$3,SUMIF('TL12'!$C$238:$C$451,$C24,'TL12'!$J$238:$J$451),0),
IF('TL13'!$B$3=L$3,SUMIF('TL13'!$C$10:$C$224,$C24,'TL13'!$J$10:$J$224),0),
IF('TL13'!$B$229=L$3,SUMIF('TL13'!$C$238:$C$451,$C24,'TL13'!$J$238:$J$451),0),
IF('TL14'!$B$3=L$3,SUMIF('TL14'!$C$10:$C$224,$C24,'TL14'!$J$10:$J$224),0),
IF('TL14'!$B$229=L$3,SUMIF('TL14'!$C$238:$C$451,$C24,'TL14'!$J$238:$J$451),0),
IF('TL15'!$B$3=L$3,SUMIF('TL15'!$C$10:$C$224,$C24,'TL15'!$J$10:$J$224),0),
IF('TL15'!$B$229=L$3,SUMIF('TL15'!$C$238:$C$451,$C24,'TL15'!$J$238:$J$451),0),
IF('TL16'!$B$3=L$3,SUMIF('TL16'!$C$10:$C$224,$C24,'TL16'!$J$10:$J$224),0),
IF('TL16'!$B$229=L$3,SUMIF('TL16'!$C$238:$C$451,$C24,'TL16'!$J$238:$J$451),0),
IF('TL17'!$B$3=L$3,SUMIF('TL17'!$C$10:$C$224,$C24,'TL17'!$J$10:$J$224),0),
IF('TL17'!$B$229=L$3,SUMIF('TL17'!$C$238:$C$451,$C24,'TL17'!$J$238:$J$451),0),
IF('TL18'!$B$3=L$3,SUMIF('TL18'!$C$10:$C$224,$C24,'TL18'!$J$10:$J$224),0),
IF('TL18'!$B$229=L$3,SUMIF('TL18'!$C$238:$C$451,$C24,'TL18'!$J$238:$J$451),0),
IF('TL19'!$B$3=L$3,SUMIF('TL19'!$C$10:$C$224,$C24,'TL19'!$J$10:$J$224),0),
IF('TL19'!$B$229=L$3,SUMIF('TL19'!$C$238:$C$451,$C24,'TL19'!$J$238:$J$451),0)
),0)</f>
        <v/>
      </c>
      <c r="M24" s="9">
        <f>IFERROR(SUM(
IF('TL01'!$B$3=M$3,SUMIF('TL01'!$C$10:$C$224,$C24,'TL01'!$J$10:$J$224),0),
IF('TL01'!$B$229=M$3,SUMIF('TL01'!$C$238:$C$451,$C24,'TL01'!$J$238:$J$451),0),
IF('TL02'!$B$3=M$3,SUMIF('TL02'!$C$10:$C$224,$C24,'TL02'!$J$10:$J$224),0),
IF('TL02'!$B$229=M$3,SUMIF('TL02'!$C$238:$C$451,$C24,'TL02'!$J$238:$J$451),0),
IF('TL03'!$B$3=M$3,SUMIF('TL03'!$C$10:$C$224,$C24,'TL03'!$J$10:$J$224),0),
IF('TL03'!$B$229=M$3,SUMIF('TL03'!$C$238:$C$451,$C24,'TL03'!$J$238:$J$451),0),
IF('TL04'!$B$3=M$3,SUMIF('TL04'!$C$10:$C$224,$C24,'TL04'!$J$10:$J$224),0),
IF('TL04'!$B$229=M$3,SUMIF('TL04'!$C$238:$C$451,$C24,'TL04'!$J$238:$J$451),0),
IF('TL05'!$B$3=M$3,SUMIF('TL05'!$C$10:$C$224,$C24,'TL05'!$J$10:$J$224),0),
IF('TL05'!$B$229=M$3,SUMIF('TL05'!$C$238:$C$451,$C24,'TL05'!$J$238:$J$451),0),
IF('TL06'!$B$3=M$3,SUMIF('TL06'!$C$10:$C$224,$C24,'TL06'!$J$10:$J$224),0),
IF('TL06'!$B$229=M$3,SUMIF('TL06'!$C$238:$C$451,$C24,'TL06'!$J$238:$J$451),0),
IF('TL07'!$B$3=M$3,SUMIF('TL07'!$C$10:$C$224,$C24,'TL07'!$J$10:$J$224),0),
IF('TL07'!$B$229=M$3,SUMIF('TL07'!$C$238:$C$451,$C24,'TL07'!$J$238:$J$451),0),
IF('TL08'!$B$3=M$3,SUMIF('TL08'!$C$10:$C$224,$C24,'TL08'!$J$10:$J$224),0),
IF('TL08'!$B$229=M$3,SUMIF('TL08'!$C$238:$C$451,$C24,'TL08'!$J$238:$J$451),0),
IF('TL09'!$B$3=M$3,SUMIF('TL09'!$C$10:$C$224,$C24,'TL09'!$J$10:$J$224),0),
IF('TL09'!$B$229=M$3,SUMIF('TL09'!$C$238:$C$451,$C24,'TL09'!$J$238:$J$451),0),
IF('TL10'!$B$3=M$3,SUMIF('TL10'!$C$10:$C$224,$C24,'TL10'!$J$10:$J$224),0),
IF('TL10'!$B$229=M$3,SUMIF('TL10'!$C$238:$C$451,$C24,'TL10'!$J$238:$J$451),0),
IF('TL11'!$B$3=M$3,SUMIF('TL11'!$C$10:$C$224,$C24,'TL11'!$J$10:$J$224),0),
IF('TL11'!$B$229=M$3,SUMIF('TL11'!$C$238:$C$451,$C24,'TL11'!$J$238:$J$451),0),
IF('TL12'!$B$3=M$3,SUMIF('TL12'!$C$10:$C$224,$C24,'TL12'!$J$10:$J$224),0),
IF('TL12'!$B$229=M$3,SUMIF('TL12'!$C$238:$C$451,$C24,'TL12'!$J$238:$J$451),0),
IF('TL13'!$B$3=M$3,SUMIF('TL13'!$C$10:$C$224,$C24,'TL13'!$J$10:$J$224),0),
IF('TL13'!$B$229=M$3,SUMIF('TL13'!$C$238:$C$451,$C24,'TL13'!$J$238:$J$451),0),
IF('TL14'!$B$3=M$3,SUMIF('TL14'!$C$10:$C$224,$C24,'TL14'!$J$10:$J$224),0),
IF('TL14'!$B$229=M$3,SUMIF('TL14'!$C$238:$C$451,$C24,'TL14'!$J$238:$J$451),0),
IF('TL15'!$B$3=M$3,SUMIF('TL15'!$C$10:$C$224,$C24,'TL15'!$J$10:$J$224),0),
IF('TL15'!$B$229=M$3,SUMIF('TL15'!$C$238:$C$451,$C24,'TL15'!$J$238:$J$451),0),
IF('TL16'!$B$3=M$3,SUMIF('TL16'!$C$10:$C$224,$C24,'TL16'!$J$10:$J$224),0),
IF('TL16'!$B$229=M$3,SUMIF('TL16'!$C$238:$C$451,$C24,'TL16'!$J$238:$J$451),0),
IF('TL17'!$B$3=M$3,SUMIF('TL17'!$C$10:$C$224,$C24,'TL17'!$J$10:$J$224),0),
IF('TL17'!$B$229=M$3,SUMIF('TL17'!$C$238:$C$451,$C24,'TL17'!$J$238:$J$451),0),
IF('TL18'!$B$3=M$3,SUMIF('TL18'!$C$10:$C$224,$C24,'TL18'!$J$10:$J$224),0),
IF('TL18'!$B$229=M$3,SUMIF('TL18'!$C$238:$C$451,$C24,'TL18'!$J$238:$J$451),0),
IF('TL19'!$B$3=M$3,SUMIF('TL19'!$C$10:$C$224,$C24,'TL19'!$J$10:$J$224),0),
IF('TL19'!$B$229=M$3,SUMIF('TL19'!$C$238:$C$451,$C24,'TL19'!$J$238:$J$451),0)
),0)</f>
        <v/>
      </c>
      <c r="N24" s="9">
        <f>IFERROR(SUM(
IF('TL01'!$B$3=N$3,SUMIF('TL01'!$C$10:$C$224,$C24,'TL01'!$J$10:$J$224),0),
IF('TL01'!$B$229=N$3,SUMIF('TL01'!$C$238:$C$451,$C24,'TL01'!$J$238:$J$451),0),
IF('TL02'!$B$3=N$3,SUMIF('TL02'!$C$10:$C$224,$C24,'TL02'!$J$10:$J$224),0),
IF('TL02'!$B$229=N$3,SUMIF('TL02'!$C$238:$C$451,$C24,'TL02'!$J$238:$J$451),0),
IF('TL03'!$B$3=N$3,SUMIF('TL03'!$C$10:$C$224,$C24,'TL03'!$J$10:$J$224),0),
IF('TL03'!$B$229=N$3,SUMIF('TL03'!$C$238:$C$451,$C24,'TL03'!$J$238:$J$451),0),
IF('TL04'!$B$3=N$3,SUMIF('TL04'!$C$10:$C$224,$C24,'TL04'!$J$10:$J$224),0),
IF('TL04'!$B$229=N$3,SUMIF('TL04'!$C$238:$C$451,$C24,'TL04'!$J$238:$J$451),0),
IF('TL05'!$B$3=N$3,SUMIF('TL05'!$C$10:$C$224,$C24,'TL05'!$J$10:$J$224),0),
IF('TL05'!$B$229=N$3,SUMIF('TL05'!$C$238:$C$451,$C24,'TL05'!$J$238:$J$451),0),
IF('TL06'!$B$3=N$3,SUMIF('TL06'!$C$10:$C$224,$C24,'TL06'!$J$10:$J$224),0),
IF('TL06'!$B$229=N$3,SUMIF('TL06'!$C$238:$C$451,$C24,'TL06'!$J$238:$J$451),0),
IF('TL07'!$B$3=N$3,SUMIF('TL07'!$C$10:$C$224,$C24,'TL07'!$J$10:$J$224),0),
IF('TL07'!$B$229=N$3,SUMIF('TL07'!$C$238:$C$451,$C24,'TL07'!$J$238:$J$451),0),
IF('TL08'!$B$3=N$3,SUMIF('TL08'!$C$10:$C$224,$C24,'TL08'!$J$10:$J$224),0),
IF('TL08'!$B$229=N$3,SUMIF('TL08'!$C$238:$C$451,$C24,'TL08'!$J$238:$J$451),0),
IF('TL09'!$B$3=N$3,SUMIF('TL09'!$C$10:$C$224,$C24,'TL09'!$J$10:$J$224),0),
IF('TL09'!$B$229=N$3,SUMIF('TL09'!$C$238:$C$451,$C24,'TL09'!$J$238:$J$451),0),
IF('TL10'!$B$3=N$3,SUMIF('TL10'!$C$10:$C$224,$C24,'TL10'!$J$10:$J$224),0),
IF('TL10'!$B$229=N$3,SUMIF('TL10'!$C$238:$C$451,$C24,'TL10'!$J$238:$J$451),0),
IF('TL11'!$B$3=N$3,SUMIF('TL11'!$C$10:$C$224,$C24,'TL11'!$J$10:$J$224),0),
IF('TL11'!$B$229=N$3,SUMIF('TL11'!$C$238:$C$451,$C24,'TL11'!$J$238:$J$451),0),
IF('TL12'!$B$3=N$3,SUMIF('TL12'!$C$10:$C$224,$C24,'TL12'!$J$10:$J$224),0),
IF('TL12'!$B$229=N$3,SUMIF('TL12'!$C$238:$C$451,$C24,'TL12'!$J$238:$J$451),0),
IF('TL13'!$B$3=N$3,SUMIF('TL13'!$C$10:$C$224,$C24,'TL13'!$J$10:$J$224),0),
IF('TL13'!$B$229=N$3,SUMIF('TL13'!$C$238:$C$451,$C24,'TL13'!$J$238:$J$451),0),
IF('TL14'!$B$3=N$3,SUMIF('TL14'!$C$10:$C$224,$C24,'TL14'!$J$10:$J$224),0),
IF('TL14'!$B$229=N$3,SUMIF('TL14'!$C$238:$C$451,$C24,'TL14'!$J$238:$J$451),0),
IF('TL15'!$B$3=N$3,SUMIF('TL15'!$C$10:$C$224,$C24,'TL15'!$J$10:$J$224),0),
IF('TL15'!$B$229=N$3,SUMIF('TL15'!$C$238:$C$451,$C24,'TL15'!$J$238:$J$451),0),
IF('TL16'!$B$3=N$3,SUMIF('TL16'!$C$10:$C$224,$C24,'TL16'!$J$10:$J$224),0),
IF('TL16'!$B$229=N$3,SUMIF('TL16'!$C$238:$C$451,$C24,'TL16'!$J$238:$J$451),0),
IF('TL17'!$B$3=N$3,SUMIF('TL17'!$C$10:$C$224,$C24,'TL17'!$J$10:$J$224),0),
IF('TL17'!$B$229=N$3,SUMIF('TL17'!$C$238:$C$451,$C24,'TL17'!$J$238:$J$451),0),
IF('TL18'!$B$3=N$3,SUMIF('TL18'!$C$10:$C$224,$C24,'TL18'!$J$10:$J$224),0),
IF('TL18'!$B$229=N$3,SUMIF('TL18'!$C$238:$C$451,$C24,'TL18'!$J$238:$J$451),0),
IF('TL19'!$B$3=N$3,SUMIF('TL19'!$C$10:$C$224,$C24,'TL19'!$J$10:$J$224),0),
IF('TL19'!$B$229=N$3,SUMIF('TL19'!$C$238:$C$451,$C24,'TL19'!$J$238:$J$451),0)
),0)</f>
        <v/>
      </c>
      <c r="O24" s="9">
        <f>IFERROR(SUM(
IF('TL01'!$B$3=O$3,SUMIF('TL01'!$C$10:$C$224,$C24,'TL01'!$J$10:$J$224),0),
IF('TL01'!$B$229=O$3,SUMIF('TL01'!$C$238:$C$451,$C24,'TL01'!$J$238:$J$451),0),
IF('TL02'!$B$3=O$3,SUMIF('TL02'!$C$10:$C$224,$C24,'TL02'!$J$10:$J$224),0),
IF('TL02'!$B$229=O$3,SUMIF('TL02'!$C$238:$C$451,$C24,'TL02'!$J$238:$J$451),0),
IF('TL03'!$B$3=O$3,SUMIF('TL03'!$C$10:$C$224,$C24,'TL03'!$J$10:$J$224),0),
IF('TL03'!$B$229=O$3,SUMIF('TL03'!$C$238:$C$451,$C24,'TL03'!$J$238:$J$451),0),
IF('TL04'!$B$3=O$3,SUMIF('TL04'!$C$10:$C$224,$C24,'TL04'!$J$10:$J$224),0),
IF('TL04'!$B$229=O$3,SUMIF('TL04'!$C$238:$C$451,$C24,'TL04'!$J$238:$J$451),0),
IF('TL05'!$B$3=O$3,SUMIF('TL05'!$C$10:$C$224,$C24,'TL05'!$J$10:$J$224),0),
IF('TL05'!$B$229=O$3,SUMIF('TL05'!$C$238:$C$451,$C24,'TL05'!$J$238:$J$451),0),
IF('TL06'!$B$3=O$3,SUMIF('TL06'!$C$10:$C$224,$C24,'TL06'!$J$10:$J$224),0),
IF('TL06'!$B$229=O$3,SUMIF('TL06'!$C$238:$C$451,$C24,'TL06'!$J$238:$J$451),0),
IF('TL07'!$B$3=O$3,SUMIF('TL07'!$C$10:$C$224,$C24,'TL07'!$J$10:$J$224),0),
IF('TL07'!$B$229=O$3,SUMIF('TL07'!$C$238:$C$451,$C24,'TL07'!$J$238:$J$451),0),
IF('TL08'!$B$3=O$3,SUMIF('TL08'!$C$10:$C$224,$C24,'TL08'!$J$10:$J$224),0),
IF('TL08'!$B$229=O$3,SUMIF('TL08'!$C$238:$C$451,$C24,'TL08'!$J$238:$J$451),0),
IF('TL09'!$B$3=O$3,SUMIF('TL09'!$C$10:$C$224,$C24,'TL09'!$J$10:$J$224),0),
IF('TL09'!$B$229=O$3,SUMIF('TL09'!$C$238:$C$451,$C24,'TL09'!$J$238:$J$451),0),
IF('TL10'!$B$3=O$3,SUMIF('TL10'!$C$10:$C$224,$C24,'TL10'!$J$10:$J$224),0),
IF('TL10'!$B$229=O$3,SUMIF('TL10'!$C$238:$C$451,$C24,'TL10'!$J$238:$J$451),0),
IF('TL11'!$B$3=O$3,SUMIF('TL11'!$C$10:$C$224,$C24,'TL11'!$J$10:$J$224),0),
IF('TL11'!$B$229=O$3,SUMIF('TL11'!$C$238:$C$451,$C24,'TL11'!$J$238:$J$451),0),
IF('TL12'!$B$3=O$3,SUMIF('TL12'!$C$10:$C$224,$C24,'TL12'!$J$10:$J$224),0),
IF('TL12'!$B$229=O$3,SUMIF('TL12'!$C$238:$C$451,$C24,'TL12'!$J$238:$J$451),0),
IF('TL13'!$B$3=O$3,SUMIF('TL13'!$C$10:$C$224,$C24,'TL13'!$J$10:$J$224),0),
IF('TL13'!$B$229=O$3,SUMIF('TL13'!$C$238:$C$451,$C24,'TL13'!$J$238:$J$451),0),
IF('TL14'!$B$3=O$3,SUMIF('TL14'!$C$10:$C$224,$C24,'TL14'!$J$10:$J$224),0),
IF('TL14'!$B$229=O$3,SUMIF('TL14'!$C$238:$C$451,$C24,'TL14'!$J$238:$J$451),0),
IF('TL15'!$B$3=O$3,SUMIF('TL15'!$C$10:$C$224,$C24,'TL15'!$J$10:$J$224),0),
IF('TL15'!$B$229=O$3,SUMIF('TL15'!$C$238:$C$451,$C24,'TL15'!$J$238:$J$451),0),
IF('TL16'!$B$3=O$3,SUMIF('TL16'!$C$10:$C$224,$C24,'TL16'!$J$10:$J$224),0),
IF('TL16'!$B$229=O$3,SUMIF('TL16'!$C$238:$C$451,$C24,'TL16'!$J$238:$J$451),0),
IF('TL17'!$B$3=O$3,SUMIF('TL17'!$C$10:$C$224,$C24,'TL17'!$J$10:$J$224),0),
IF('TL17'!$B$229=O$3,SUMIF('TL17'!$C$238:$C$451,$C24,'TL17'!$J$238:$J$451),0),
IF('TL18'!$B$3=O$3,SUMIF('TL18'!$C$10:$C$224,$C24,'TL18'!$J$10:$J$224),0),
IF('TL18'!$B$229=O$3,SUMIF('TL18'!$C$238:$C$451,$C24,'TL18'!$J$238:$J$451),0),
IF('TL19'!$B$3=O$3,SUMIF('TL19'!$C$10:$C$224,$C24,'TL19'!$J$10:$J$224),0),
IF('TL19'!$B$229=O$3,SUMIF('TL19'!$C$238:$C$451,$C24,'TL19'!$J$238:$J$451),0)
),0)</f>
        <v/>
      </c>
      <c r="P24" s="9">
        <f>IFERROR(SUM(
IF('TL01'!$B$3=P$3,SUMIF('TL01'!$C$10:$C$224,$C24,'TL01'!$J$10:$J$224),0),
IF('TL01'!$B$229=P$3,SUMIF('TL01'!$C$238:$C$451,$C24,'TL01'!$J$238:$J$451),0),
IF('TL02'!$B$3=P$3,SUMIF('TL02'!$C$10:$C$224,$C24,'TL02'!$J$10:$J$224),0),
IF('TL02'!$B$229=P$3,SUMIF('TL02'!$C$238:$C$451,$C24,'TL02'!$J$238:$J$451),0),
IF('TL03'!$B$3=P$3,SUMIF('TL03'!$C$10:$C$224,$C24,'TL03'!$J$10:$J$224),0),
IF('TL03'!$B$229=P$3,SUMIF('TL03'!$C$238:$C$451,$C24,'TL03'!$J$238:$J$451),0),
IF('TL04'!$B$3=P$3,SUMIF('TL04'!$C$10:$C$224,$C24,'TL04'!$J$10:$J$224),0),
IF('TL04'!$B$229=P$3,SUMIF('TL04'!$C$238:$C$451,$C24,'TL04'!$J$238:$J$451),0),
IF('TL05'!$B$3=P$3,SUMIF('TL05'!$C$10:$C$224,$C24,'TL05'!$J$10:$J$224),0),
IF('TL05'!$B$229=P$3,SUMIF('TL05'!$C$238:$C$451,$C24,'TL05'!$J$238:$J$451),0),
IF('TL06'!$B$3=P$3,SUMIF('TL06'!$C$10:$C$224,$C24,'TL06'!$J$10:$J$224),0),
IF('TL06'!$B$229=P$3,SUMIF('TL06'!$C$238:$C$451,$C24,'TL06'!$J$238:$J$451),0),
IF('TL07'!$B$3=P$3,SUMIF('TL07'!$C$10:$C$224,$C24,'TL07'!$J$10:$J$224),0),
IF('TL07'!$B$229=P$3,SUMIF('TL07'!$C$238:$C$451,$C24,'TL07'!$J$238:$J$451),0),
IF('TL08'!$B$3=P$3,SUMIF('TL08'!$C$10:$C$224,$C24,'TL08'!$J$10:$J$224),0),
IF('TL08'!$B$229=P$3,SUMIF('TL08'!$C$238:$C$451,$C24,'TL08'!$J$238:$J$451),0),
IF('TL09'!$B$3=P$3,SUMIF('TL09'!$C$10:$C$224,$C24,'TL09'!$J$10:$J$224),0),
IF('TL09'!$B$229=P$3,SUMIF('TL09'!$C$238:$C$451,$C24,'TL09'!$J$238:$J$451),0),
IF('TL10'!$B$3=P$3,SUMIF('TL10'!$C$10:$C$224,$C24,'TL10'!$J$10:$J$224),0),
IF('TL10'!$B$229=P$3,SUMIF('TL10'!$C$238:$C$451,$C24,'TL10'!$J$238:$J$451),0),
IF('TL11'!$B$3=P$3,SUMIF('TL11'!$C$10:$C$224,$C24,'TL11'!$J$10:$J$224),0),
IF('TL11'!$B$229=P$3,SUMIF('TL11'!$C$238:$C$451,$C24,'TL11'!$J$238:$J$451),0),
IF('TL12'!$B$3=P$3,SUMIF('TL12'!$C$10:$C$224,$C24,'TL12'!$J$10:$J$224),0),
IF('TL12'!$B$229=P$3,SUMIF('TL12'!$C$238:$C$451,$C24,'TL12'!$J$238:$J$451),0),
IF('TL13'!$B$3=P$3,SUMIF('TL13'!$C$10:$C$224,$C24,'TL13'!$J$10:$J$224),0),
IF('TL13'!$B$229=P$3,SUMIF('TL13'!$C$238:$C$451,$C24,'TL13'!$J$238:$J$451),0),
IF('TL14'!$B$3=P$3,SUMIF('TL14'!$C$10:$C$224,$C24,'TL14'!$J$10:$J$224),0),
IF('TL14'!$B$229=P$3,SUMIF('TL14'!$C$238:$C$451,$C24,'TL14'!$J$238:$J$451),0),
IF('TL15'!$B$3=P$3,SUMIF('TL15'!$C$10:$C$224,$C24,'TL15'!$J$10:$J$224),0),
IF('TL15'!$B$229=P$3,SUMIF('TL15'!$C$238:$C$451,$C24,'TL15'!$J$238:$J$451),0),
IF('TL16'!$B$3=P$3,SUMIF('TL16'!$C$10:$C$224,$C24,'TL16'!$J$10:$J$224),0),
IF('TL16'!$B$229=P$3,SUMIF('TL16'!$C$238:$C$451,$C24,'TL16'!$J$238:$J$451),0),
IF('TL17'!$B$3=P$3,SUMIF('TL17'!$C$10:$C$224,$C24,'TL17'!$J$10:$J$224),0),
IF('TL17'!$B$229=P$3,SUMIF('TL17'!$C$238:$C$451,$C24,'TL17'!$J$238:$J$451),0),
IF('TL18'!$B$3=P$3,SUMIF('TL18'!$C$10:$C$224,$C24,'TL18'!$J$10:$J$224),0),
IF('TL18'!$B$229=P$3,SUMIF('TL18'!$C$238:$C$451,$C24,'TL18'!$J$238:$J$451),0),
IF('TL19'!$B$3=P$3,SUMIF('TL19'!$C$10:$C$224,$C24,'TL19'!$J$10:$J$224),0),
IF('TL19'!$B$229=P$3,SUMIF('TL19'!$C$238:$C$451,$C24,'TL19'!$J$238:$J$451),0)
),0)</f>
        <v/>
      </c>
      <c r="Q24" s="9">
        <f>IFERROR(SUM(
IF('TL01'!$B$3=Q$3,SUMIF('TL01'!$C$10:$C$224,$C24,'TL01'!$J$10:$J$224),0),
IF('TL01'!$B$229=Q$3,SUMIF('TL01'!$C$238:$C$451,$C24,'TL01'!$J$238:$J$451),0),
IF('TL02'!$B$3=Q$3,SUMIF('TL02'!$C$10:$C$224,$C24,'TL02'!$J$10:$J$224),0),
IF('TL02'!$B$229=Q$3,SUMIF('TL02'!$C$238:$C$451,$C24,'TL02'!$J$238:$J$451),0),
IF('TL03'!$B$3=Q$3,SUMIF('TL03'!$C$10:$C$224,$C24,'TL03'!$J$10:$J$224),0),
IF('TL03'!$B$229=Q$3,SUMIF('TL03'!$C$238:$C$451,$C24,'TL03'!$J$238:$J$451),0),
IF('TL04'!$B$3=Q$3,SUMIF('TL04'!$C$10:$C$224,$C24,'TL04'!$J$10:$J$224),0),
IF('TL04'!$B$229=Q$3,SUMIF('TL04'!$C$238:$C$451,$C24,'TL04'!$J$238:$J$451),0),
IF('TL05'!$B$3=Q$3,SUMIF('TL05'!$C$10:$C$224,$C24,'TL05'!$J$10:$J$224),0),
IF('TL05'!$B$229=Q$3,SUMIF('TL05'!$C$238:$C$451,$C24,'TL05'!$J$238:$J$451),0),
IF('TL06'!$B$3=Q$3,SUMIF('TL06'!$C$10:$C$224,$C24,'TL06'!$J$10:$J$224),0),
IF('TL06'!$B$229=Q$3,SUMIF('TL06'!$C$238:$C$451,$C24,'TL06'!$J$238:$J$451),0),
IF('TL07'!$B$3=Q$3,SUMIF('TL07'!$C$10:$C$224,$C24,'TL07'!$J$10:$J$224),0),
IF('TL07'!$B$229=Q$3,SUMIF('TL07'!$C$238:$C$451,$C24,'TL07'!$J$238:$J$451),0),
IF('TL08'!$B$3=Q$3,SUMIF('TL08'!$C$10:$C$224,$C24,'TL08'!$J$10:$J$224),0),
IF('TL08'!$B$229=Q$3,SUMIF('TL08'!$C$238:$C$451,$C24,'TL08'!$J$238:$J$451),0),
IF('TL09'!$B$3=Q$3,SUMIF('TL09'!$C$10:$C$224,$C24,'TL09'!$J$10:$J$224),0),
IF('TL09'!$B$229=Q$3,SUMIF('TL09'!$C$238:$C$451,$C24,'TL09'!$J$238:$J$451),0),
IF('TL10'!$B$3=Q$3,SUMIF('TL10'!$C$10:$C$224,$C24,'TL10'!$J$10:$J$224),0),
IF('TL10'!$B$229=Q$3,SUMIF('TL10'!$C$238:$C$451,$C24,'TL10'!$J$238:$J$451),0),
IF('TL11'!$B$3=Q$3,SUMIF('TL11'!$C$10:$C$224,$C24,'TL11'!$J$10:$J$224),0),
IF('TL11'!$B$229=Q$3,SUMIF('TL11'!$C$238:$C$451,$C24,'TL11'!$J$238:$J$451),0),
IF('TL12'!$B$3=Q$3,SUMIF('TL12'!$C$10:$C$224,$C24,'TL12'!$J$10:$J$224),0),
IF('TL12'!$B$229=Q$3,SUMIF('TL12'!$C$238:$C$451,$C24,'TL12'!$J$238:$J$451),0),
IF('TL13'!$B$3=Q$3,SUMIF('TL13'!$C$10:$C$224,$C24,'TL13'!$J$10:$J$224),0),
IF('TL13'!$B$229=Q$3,SUMIF('TL13'!$C$238:$C$451,$C24,'TL13'!$J$238:$J$451),0),
IF('TL14'!$B$3=Q$3,SUMIF('TL14'!$C$10:$C$224,$C24,'TL14'!$J$10:$J$224),0),
IF('TL14'!$B$229=Q$3,SUMIF('TL14'!$C$238:$C$451,$C24,'TL14'!$J$238:$J$451),0),
IF('TL15'!$B$3=Q$3,SUMIF('TL15'!$C$10:$C$224,$C24,'TL15'!$J$10:$J$224),0),
IF('TL15'!$B$229=Q$3,SUMIF('TL15'!$C$238:$C$451,$C24,'TL15'!$J$238:$J$451),0),
IF('TL16'!$B$3=Q$3,SUMIF('TL16'!$C$10:$C$224,$C24,'TL16'!$J$10:$J$224),0),
IF('TL16'!$B$229=Q$3,SUMIF('TL16'!$C$238:$C$451,$C24,'TL16'!$J$238:$J$451),0),
IF('TL17'!$B$3=Q$3,SUMIF('TL17'!$C$10:$C$224,$C24,'TL17'!$J$10:$J$224),0),
IF('TL17'!$B$229=Q$3,SUMIF('TL17'!$C$238:$C$451,$C24,'TL17'!$J$238:$J$451),0),
IF('TL18'!$B$3=Q$3,SUMIF('TL18'!$C$10:$C$224,$C24,'TL18'!$J$10:$J$224),0),
IF('TL18'!$B$229=Q$3,SUMIF('TL18'!$C$238:$C$451,$C24,'TL18'!$J$238:$J$451),0),
IF('TL19'!$B$3=Q$3,SUMIF('TL19'!$C$10:$C$224,$C24,'TL19'!$J$10:$J$224),0),
IF('TL19'!$B$229=Q$3,SUMIF('TL19'!$C$238:$C$451,$C24,'TL19'!$J$238:$J$451),0)
),0)</f>
        <v/>
      </c>
      <c r="R24" s="9">
        <f>IFERROR(
SUM(
SUMIF('TL01'!C:C,C24,'TL01'!J:J),
SUMIF('TL02'!C:C,C24,'TL02'!J:J),
SUMIF('TL03'!C:C,C24,'TL03'!J:J),
SUMIF('TL04'!C:C,C24,'TL04'!J:J),
SUMIF('TL05'!C:C,C24,'TL05'!J:J),
SUMIF('TL06'!C:C,C24,'TL06'!J:J),
SUMIF('TL07'!C:C,C24,'TL07'!J:J),
SUMIF('TL08'!C:C,C24,'TL08'!J:J),
SUMIF('TL09'!C:C,C24,'TL09'!J:J),
SUMIF('TL10'!C:C,C24,'TL10'!J:J),
SUMIF('TL11'!C:C,C24,'TL11'!J:J),
SUMIF('TL12'!C:C,C24,'TL12'!J:J),
SUMIF('TL13'!C:C,C24,'TL13'!J:J),
SUMIF('TL14'!C:C,C24,'TL14'!J:J),
SUMIF('TL15'!C:C,C24,'TL15'!J:J),
SUMIF('TL16'!C:C,C24,'TL16'!J:J),
SUMIF('TL17'!C:C,C24,'TL17'!J:J),
SUMIF('TL18'!C:C,C24,'TL18'!J:J),SUMIF('TL19'!C:C,C24,'TL19'!J:J))
,0)</f>
        <v/>
      </c>
      <c r="S24" s="17">
        <f>IFERROR(__xludf.DUMMYFUNCTION("IFERROR(VLOOKUP(C24,
IMPORTRANGE(""1wULbzX32WdYsx-lj2U3uUNBBe2INVIRDtcK0d-Dvl90"",
""26-27!C:G""),
5,
FALSE),
"""")"),"")</f>
        <v/>
      </c>
      <c r="T24" s="9" t="n"/>
      <c r="U24" s="92">
        <f>MAX(0,R24-T24)</f>
        <v/>
      </c>
      <c r="V24" s="93">
        <f>U24*S24</f>
        <v/>
      </c>
    </row>
    <row r="25" hidden="1" ht="22.5" customHeight="1" s="297">
      <c r="A25" s="106" t="n"/>
      <c r="B25" s="107" t="inlineStr">
        <is>
          <t>FERTILIZANTES</t>
        </is>
      </c>
      <c r="C25" s="108" t="inlineStr">
        <is>
          <t>MAP</t>
        </is>
      </c>
      <c r="D25" s="108" t="inlineStr">
        <is>
          <t>P2O5 44%</t>
        </is>
      </c>
      <c r="E25" s="109" t="n"/>
      <c r="F25" s="4" t="inlineStr">
        <is>
          <t>Ton</t>
        </is>
      </c>
      <c r="G25" s="9" t="n"/>
      <c r="H25" s="9">
        <f>IFERROR(__xludf.DUMMYFUNCTION("IFERROR(VLOOKUP(C25,
IMPORTRANGE(""1wULbzX32WdYsx-lj2U3uUNBBe2INVIRDtcK0d-Dvl90"",
""26-27!C:K""),
8,
FALSE),
"""")"),"")</f>
        <v/>
      </c>
      <c r="I25" s="110" t="n"/>
      <c r="J25" s="9">
        <f>IFERROR(SUM(
IF('TL01'!$B$3=J$3,SUMIF('TL01'!$C$10:$C$224,$C25,'TL01'!$J$10:$J$224),0),
IF('TL01'!$B$229=J$3,SUMIF('TL01'!$C$238:$C$451,$C25,'TL01'!$J$238:$J$451),0),
IF('TL02'!$B$3=J$3,SUMIF('TL02'!$C$10:$C$224,$C25,'TL02'!$J$10:$J$224),0),
IF('TL02'!$B$229=J$3,SUMIF('TL02'!$C$238:$C$451,$C25,'TL02'!$J$238:$J$451),0),
IF('TL03'!$B$3=J$3,SUMIF('TL03'!$C$10:$C$224,$C25,'TL03'!$J$10:$J$224),0),
IF('TL03'!$B$229=J$3,SUMIF('TL03'!$C$238:$C$451,$C25,'TL03'!$J$238:$J$451),0),
IF('TL04'!$B$3=J$3,SUMIF('TL04'!$C$10:$C$224,$C25,'TL04'!$J$10:$J$224),0),
IF('TL04'!$B$229=J$3,SUMIF('TL04'!$C$238:$C$451,$C25,'TL04'!$J$238:$J$451),0),
IF('TL05'!$B$3=J$3,SUMIF('TL05'!$C$10:$C$224,$C25,'TL05'!$J$10:$J$224),0),
IF('TL05'!$B$229=J$3,SUMIF('TL05'!$C$238:$C$451,$C25,'TL05'!$J$238:$J$451),0),
IF('TL06'!$B$3=J$3,SUMIF('TL06'!$C$10:$C$224,$C25,'TL06'!$J$10:$J$224),0),
IF('TL06'!$B$229=J$3,SUMIF('TL06'!$C$238:$C$451,$C25,'TL06'!$J$238:$J$451),0),
IF('TL07'!$B$3=J$3,SUMIF('TL07'!$C$10:$C$224,$C25,'TL07'!$J$10:$J$224),0),
IF('TL07'!$B$229=J$3,SUMIF('TL07'!$C$238:$C$451,$C25,'TL07'!$J$238:$J$451),0),
IF('TL08'!$B$3=J$3,SUMIF('TL08'!$C$10:$C$224,$C25,'TL08'!$J$10:$J$224),0),
IF('TL08'!$B$229=J$3,SUMIF('TL08'!$C$238:$C$451,$C25,'TL08'!$J$238:$J$451),0),
IF('TL09'!$B$3=J$3,SUMIF('TL09'!$C$10:$C$224,$C25,'TL09'!$J$10:$J$224),0),
IF('TL09'!$B$229=J$3,SUMIF('TL09'!$C$238:$C$451,$C25,'TL09'!$J$238:$J$451),0),
IF('TL10'!$B$3=J$3,SUMIF('TL10'!$C$10:$C$224,$C25,'TL10'!$J$10:$J$224),0),
IF('TL10'!$B$229=J$3,SUMIF('TL10'!$C$238:$C$451,$C25,'TL10'!$J$238:$J$451),0),
IF('TL11'!$B$3=J$3,SUMIF('TL11'!$C$10:$C$224,$C25,'TL11'!$J$10:$J$224),0),
IF('TL11'!$B$229=J$3,SUMIF('TL11'!$C$238:$C$451,$C25,'TL11'!$J$238:$J$451),0),
IF('TL12'!$B$3=J$3,SUMIF('TL12'!$C$10:$C$224,$C25,'TL12'!$J$10:$J$224),0),
IF('TL12'!$B$229=J$3,SUMIF('TL12'!$C$238:$C$451,$C25,'TL12'!$J$238:$J$451),0),
IF('TL13'!$B$3=J$3,SUMIF('TL13'!$C$10:$C$224,$C25,'TL13'!$J$10:$J$224),0),
IF('TL13'!$B$229=J$3,SUMIF('TL13'!$C$238:$C$451,$C25,'TL13'!$J$238:$J$451),0),
IF('TL14'!$B$3=J$3,SUMIF('TL14'!$C$10:$C$224,$C25,'TL14'!$J$10:$J$224),0),
IF('TL14'!$B$229=J$3,SUMIF('TL14'!$C$238:$C$451,$C25,'TL14'!$J$238:$J$451),0),
IF('TL15'!$B$3=J$3,SUMIF('TL15'!$C$10:$C$224,$C25,'TL15'!$J$10:$J$224),0),
IF('TL15'!$B$229=J$3,SUMIF('TL15'!$C$238:$C$451,$C25,'TL15'!$J$238:$J$451),0),
IF('TL16'!$B$3=J$3,SUMIF('TL16'!$C$10:$C$224,$C25,'TL16'!$J$10:$J$224),0),
IF('TL16'!$B$229=J$3,SUMIF('TL16'!$C$238:$C$451,$C25,'TL16'!$J$238:$J$451),0),
IF('TL17'!$B$3=J$3,SUMIF('TL17'!$C$10:$C$224,$C25,'TL17'!$J$10:$J$224),0),
IF('TL17'!$B$229=J$3,SUMIF('TL17'!$C$238:$C$451,$C25,'TL17'!$J$238:$J$451),0),
IF('TL18'!$B$3=J$3,SUMIF('TL18'!$C$10:$C$224,$C25,'TL18'!$J$10:$J$224),0),
IF('TL18'!$B$229=J$3,SUMIF('TL18'!$C$238:$C$451,$C25,'TL18'!$J$238:$J$451),0),
IF('TL19'!$B$3=J$3,SUMIF('TL19'!$C$10:$C$224,$C25,'TL19'!$J$10:$J$224),0),
IF('TL19'!$B$229=J$3,SUMIF('TL19'!$C$238:$C$451,$C25,'TL19'!$J$238:$J$451),0)
),0)</f>
        <v/>
      </c>
      <c r="K25" s="9">
        <f>IFERROR(SUM(
IF('TL01'!$B$3=K$3,SUMIF('TL01'!$C$10:$C$224,$C25,'TL01'!$J$10:$J$224),0),
IF('TL01'!$B$229=K$3,SUMIF('TL01'!$C$238:$C$451,$C25,'TL01'!$J$238:$J$451),0),
IF('TL02'!$B$3=K$3,SUMIF('TL02'!$C$10:$C$224,$C25,'TL02'!$J$10:$J$224),0),
IF('TL02'!$B$229=K$3,SUMIF('TL02'!$C$238:$C$451,$C25,'TL02'!$J$238:$J$451),0),
IF('TL03'!$B$3=K$3,SUMIF('TL03'!$C$10:$C$224,$C25,'TL03'!$J$10:$J$224),0),
IF('TL03'!$B$229=K$3,SUMIF('TL03'!$C$238:$C$451,$C25,'TL03'!$J$238:$J$451),0),
IF('TL04'!$B$3=K$3,SUMIF('TL04'!$C$10:$C$224,$C25,'TL04'!$J$10:$J$224),0),
IF('TL04'!$B$229=K$3,SUMIF('TL04'!$C$238:$C$451,$C25,'TL04'!$J$238:$J$451),0),
IF('TL05'!$B$3=K$3,SUMIF('TL05'!$C$10:$C$224,$C25,'TL05'!$J$10:$J$224),0),
IF('TL05'!$B$229=K$3,SUMIF('TL05'!$C$238:$C$451,$C25,'TL05'!$J$238:$J$451),0),
IF('TL06'!$B$3=K$3,SUMIF('TL06'!$C$10:$C$224,$C25,'TL06'!$J$10:$J$224),0),
IF('TL06'!$B$229=K$3,SUMIF('TL06'!$C$238:$C$451,$C25,'TL06'!$J$238:$J$451),0),
IF('TL07'!$B$3=K$3,SUMIF('TL07'!$C$10:$C$224,$C25,'TL07'!$J$10:$J$224),0),
IF('TL07'!$B$229=K$3,SUMIF('TL07'!$C$238:$C$451,$C25,'TL07'!$J$238:$J$451),0),
IF('TL08'!$B$3=K$3,SUMIF('TL08'!$C$10:$C$224,$C25,'TL08'!$J$10:$J$224),0),
IF('TL08'!$B$229=K$3,SUMIF('TL08'!$C$238:$C$451,$C25,'TL08'!$J$238:$J$451),0),
IF('TL09'!$B$3=K$3,SUMIF('TL09'!$C$10:$C$224,$C25,'TL09'!$J$10:$J$224),0),
IF('TL09'!$B$229=K$3,SUMIF('TL09'!$C$238:$C$451,$C25,'TL09'!$J$238:$J$451),0),
IF('TL10'!$B$3=K$3,SUMIF('TL10'!$C$10:$C$224,$C25,'TL10'!$J$10:$J$224),0),
IF('TL10'!$B$229=K$3,SUMIF('TL10'!$C$238:$C$451,$C25,'TL10'!$J$238:$J$451),0),
IF('TL11'!$B$3=K$3,SUMIF('TL11'!$C$10:$C$224,$C25,'TL11'!$J$10:$J$224),0),
IF('TL11'!$B$229=K$3,SUMIF('TL11'!$C$238:$C$451,$C25,'TL11'!$J$238:$J$451),0),
IF('TL12'!$B$3=K$3,SUMIF('TL12'!$C$10:$C$224,$C25,'TL12'!$J$10:$J$224),0),
IF('TL12'!$B$229=K$3,SUMIF('TL12'!$C$238:$C$451,$C25,'TL12'!$J$238:$J$451),0),
IF('TL13'!$B$3=K$3,SUMIF('TL13'!$C$10:$C$224,$C25,'TL13'!$J$10:$J$224),0),
IF('TL13'!$B$229=K$3,SUMIF('TL13'!$C$238:$C$451,$C25,'TL13'!$J$238:$J$451),0),
IF('TL14'!$B$3=K$3,SUMIF('TL14'!$C$10:$C$224,$C25,'TL14'!$J$10:$J$224),0),
IF('TL14'!$B$229=K$3,SUMIF('TL14'!$C$238:$C$451,$C25,'TL14'!$J$238:$J$451),0),
IF('TL15'!$B$3=K$3,SUMIF('TL15'!$C$10:$C$224,$C25,'TL15'!$J$10:$J$224),0),
IF('TL15'!$B$229=K$3,SUMIF('TL15'!$C$238:$C$451,$C25,'TL15'!$J$238:$J$451),0),
IF('TL16'!$B$3=K$3,SUMIF('TL16'!$C$10:$C$224,$C25,'TL16'!$J$10:$J$224),0),
IF('TL16'!$B$229=K$3,SUMIF('TL16'!$C$238:$C$451,$C25,'TL16'!$J$238:$J$451),0),
IF('TL17'!$B$3=K$3,SUMIF('TL17'!$C$10:$C$224,$C25,'TL17'!$J$10:$J$224),0),
IF('TL17'!$B$229=K$3,SUMIF('TL17'!$C$238:$C$451,$C25,'TL17'!$J$238:$J$451),0),
IF('TL18'!$B$3=K$3,SUMIF('TL18'!$C$10:$C$224,$C25,'TL18'!$J$10:$J$224),0),
IF('TL18'!$B$229=K$3,SUMIF('TL18'!$C$238:$C$451,$C25,'TL18'!$J$238:$J$451),0),
IF('TL19'!$B$3=K$3,SUMIF('TL19'!$C$10:$C$224,$C25,'TL19'!$J$10:$J$224),0),
IF('TL19'!$B$229=K$3,SUMIF('TL19'!$C$238:$C$451,$C25,'TL19'!$J$238:$J$451),0)
),0)</f>
        <v/>
      </c>
      <c r="L25" s="9">
        <f>IFERROR(SUM(
IF('TL01'!$B$3=L$3,SUMIF('TL01'!$C$10:$C$224,$C25,'TL01'!$J$10:$J$224),0),
IF('TL01'!$B$229=L$3,SUMIF('TL01'!$C$238:$C$451,$C25,'TL01'!$J$238:$J$451),0),
IF('TL02'!$B$3=L$3,SUMIF('TL02'!$C$10:$C$224,$C25,'TL02'!$J$10:$J$224),0),
IF('TL02'!$B$229=L$3,SUMIF('TL02'!$C$238:$C$451,$C25,'TL02'!$J$238:$J$451),0),
IF('TL03'!$B$3=L$3,SUMIF('TL03'!$C$10:$C$224,$C25,'TL03'!$J$10:$J$224),0),
IF('TL03'!$B$229=L$3,SUMIF('TL03'!$C$238:$C$451,$C25,'TL03'!$J$238:$J$451),0),
IF('TL04'!$B$3=L$3,SUMIF('TL04'!$C$10:$C$224,$C25,'TL04'!$J$10:$J$224),0),
IF('TL04'!$B$229=L$3,SUMIF('TL04'!$C$238:$C$451,$C25,'TL04'!$J$238:$J$451),0),
IF('TL05'!$B$3=L$3,SUMIF('TL05'!$C$10:$C$224,$C25,'TL05'!$J$10:$J$224),0),
IF('TL05'!$B$229=L$3,SUMIF('TL05'!$C$238:$C$451,$C25,'TL05'!$J$238:$J$451),0),
IF('TL06'!$B$3=L$3,SUMIF('TL06'!$C$10:$C$224,$C25,'TL06'!$J$10:$J$224),0),
IF('TL06'!$B$229=L$3,SUMIF('TL06'!$C$238:$C$451,$C25,'TL06'!$J$238:$J$451),0),
IF('TL07'!$B$3=L$3,SUMIF('TL07'!$C$10:$C$224,$C25,'TL07'!$J$10:$J$224),0),
IF('TL07'!$B$229=L$3,SUMIF('TL07'!$C$238:$C$451,$C25,'TL07'!$J$238:$J$451),0),
IF('TL08'!$B$3=L$3,SUMIF('TL08'!$C$10:$C$224,$C25,'TL08'!$J$10:$J$224),0),
IF('TL08'!$B$229=L$3,SUMIF('TL08'!$C$238:$C$451,$C25,'TL08'!$J$238:$J$451),0),
IF('TL09'!$B$3=L$3,SUMIF('TL09'!$C$10:$C$224,$C25,'TL09'!$J$10:$J$224),0),
IF('TL09'!$B$229=L$3,SUMIF('TL09'!$C$238:$C$451,$C25,'TL09'!$J$238:$J$451),0),
IF('TL10'!$B$3=L$3,SUMIF('TL10'!$C$10:$C$224,$C25,'TL10'!$J$10:$J$224),0),
IF('TL10'!$B$229=L$3,SUMIF('TL10'!$C$238:$C$451,$C25,'TL10'!$J$238:$J$451),0),
IF('TL11'!$B$3=L$3,SUMIF('TL11'!$C$10:$C$224,$C25,'TL11'!$J$10:$J$224),0),
IF('TL11'!$B$229=L$3,SUMIF('TL11'!$C$238:$C$451,$C25,'TL11'!$J$238:$J$451),0),
IF('TL12'!$B$3=L$3,SUMIF('TL12'!$C$10:$C$224,$C25,'TL12'!$J$10:$J$224),0),
IF('TL12'!$B$229=L$3,SUMIF('TL12'!$C$238:$C$451,$C25,'TL12'!$J$238:$J$451),0),
IF('TL13'!$B$3=L$3,SUMIF('TL13'!$C$10:$C$224,$C25,'TL13'!$J$10:$J$224),0),
IF('TL13'!$B$229=L$3,SUMIF('TL13'!$C$238:$C$451,$C25,'TL13'!$J$238:$J$451),0),
IF('TL14'!$B$3=L$3,SUMIF('TL14'!$C$10:$C$224,$C25,'TL14'!$J$10:$J$224),0),
IF('TL14'!$B$229=L$3,SUMIF('TL14'!$C$238:$C$451,$C25,'TL14'!$J$238:$J$451),0),
IF('TL15'!$B$3=L$3,SUMIF('TL15'!$C$10:$C$224,$C25,'TL15'!$J$10:$J$224),0),
IF('TL15'!$B$229=L$3,SUMIF('TL15'!$C$238:$C$451,$C25,'TL15'!$J$238:$J$451),0),
IF('TL16'!$B$3=L$3,SUMIF('TL16'!$C$10:$C$224,$C25,'TL16'!$J$10:$J$224),0),
IF('TL16'!$B$229=L$3,SUMIF('TL16'!$C$238:$C$451,$C25,'TL16'!$J$238:$J$451),0),
IF('TL17'!$B$3=L$3,SUMIF('TL17'!$C$10:$C$224,$C25,'TL17'!$J$10:$J$224),0),
IF('TL17'!$B$229=L$3,SUMIF('TL17'!$C$238:$C$451,$C25,'TL17'!$J$238:$J$451),0),
IF('TL18'!$B$3=L$3,SUMIF('TL18'!$C$10:$C$224,$C25,'TL18'!$J$10:$J$224),0),
IF('TL18'!$B$229=L$3,SUMIF('TL18'!$C$238:$C$451,$C25,'TL18'!$J$238:$J$451),0),
IF('TL19'!$B$3=L$3,SUMIF('TL19'!$C$10:$C$224,$C25,'TL19'!$J$10:$J$224),0),
IF('TL19'!$B$229=L$3,SUMIF('TL19'!$C$238:$C$451,$C25,'TL19'!$J$238:$J$451),0)
),0)</f>
        <v/>
      </c>
      <c r="M25" s="9">
        <f>IFERROR(SUM(
IF('TL01'!$B$3=M$3,SUMIF('TL01'!$C$10:$C$224,$C25,'TL01'!$J$10:$J$224),0),
IF('TL01'!$B$229=M$3,SUMIF('TL01'!$C$238:$C$451,$C25,'TL01'!$J$238:$J$451),0),
IF('TL02'!$B$3=M$3,SUMIF('TL02'!$C$10:$C$224,$C25,'TL02'!$J$10:$J$224),0),
IF('TL02'!$B$229=M$3,SUMIF('TL02'!$C$238:$C$451,$C25,'TL02'!$J$238:$J$451),0),
IF('TL03'!$B$3=M$3,SUMIF('TL03'!$C$10:$C$224,$C25,'TL03'!$J$10:$J$224),0),
IF('TL03'!$B$229=M$3,SUMIF('TL03'!$C$238:$C$451,$C25,'TL03'!$J$238:$J$451),0),
IF('TL04'!$B$3=M$3,SUMIF('TL04'!$C$10:$C$224,$C25,'TL04'!$J$10:$J$224),0),
IF('TL04'!$B$229=M$3,SUMIF('TL04'!$C$238:$C$451,$C25,'TL04'!$J$238:$J$451),0),
IF('TL05'!$B$3=M$3,SUMIF('TL05'!$C$10:$C$224,$C25,'TL05'!$J$10:$J$224),0),
IF('TL05'!$B$229=M$3,SUMIF('TL05'!$C$238:$C$451,$C25,'TL05'!$J$238:$J$451),0),
IF('TL06'!$B$3=M$3,SUMIF('TL06'!$C$10:$C$224,$C25,'TL06'!$J$10:$J$224),0),
IF('TL06'!$B$229=M$3,SUMIF('TL06'!$C$238:$C$451,$C25,'TL06'!$J$238:$J$451),0),
IF('TL07'!$B$3=M$3,SUMIF('TL07'!$C$10:$C$224,$C25,'TL07'!$J$10:$J$224),0),
IF('TL07'!$B$229=M$3,SUMIF('TL07'!$C$238:$C$451,$C25,'TL07'!$J$238:$J$451),0),
IF('TL08'!$B$3=M$3,SUMIF('TL08'!$C$10:$C$224,$C25,'TL08'!$J$10:$J$224),0),
IF('TL08'!$B$229=M$3,SUMIF('TL08'!$C$238:$C$451,$C25,'TL08'!$J$238:$J$451),0),
IF('TL09'!$B$3=M$3,SUMIF('TL09'!$C$10:$C$224,$C25,'TL09'!$J$10:$J$224),0),
IF('TL09'!$B$229=M$3,SUMIF('TL09'!$C$238:$C$451,$C25,'TL09'!$J$238:$J$451),0),
IF('TL10'!$B$3=M$3,SUMIF('TL10'!$C$10:$C$224,$C25,'TL10'!$J$10:$J$224),0),
IF('TL10'!$B$229=M$3,SUMIF('TL10'!$C$238:$C$451,$C25,'TL10'!$J$238:$J$451),0),
IF('TL11'!$B$3=M$3,SUMIF('TL11'!$C$10:$C$224,$C25,'TL11'!$J$10:$J$224),0),
IF('TL11'!$B$229=M$3,SUMIF('TL11'!$C$238:$C$451,$C25,'TL11'!$J$238:$J$451),0),
IF('TL12'!$B$3=M$3,SUMIF('TL12'!$C$10:$C$224,$C25,'TL12'!$J$10:$J$224),0),
IF('TL12'!$B$229=M$3,SUMIF('TL12'!$C$238:$C$451,$C25,'TL12'!$J$238:$J$451),0),
IF('TL13'!$B$3=M$3,SUMIF('TL13'!$C$10:$C$224,$C25,'TL13'!$J$10:$J$224),0),
IF('TL13'!$B$229=M$3,SUMIF('TL13'!$C$238:$C$451,$C25,'TL13'!$J$238:$J$451),0),
IF('TL14'!$B$3=M$3,SUMIF('TL14'!$C$10:$C$224,$C25,'TL14'!$J$10:$J$224),0),
IF('TL14'!$B$229=M$3,SUMIF('TL14'!$C$238:$C$451,$C25,'TL14'!$J$238:$J$451),0),
IF('TL15'!$B$3=M$3,SUMIF('TL15'!$C$10:$C$224,$C25,'TL15'!$J$10:$J$224),0),
IF('TL15'!$B$229=M$3,SUMIF('TL15'!$C$238:$C$451,$C25,'TL15'!$J$238:$J$451),0),
IF('TL16'!$B$3=M$3,SUMIF('TL16'!$C$10:$C$224,$C25,'TL16'!$J$10:$J$224),0),
IF('TL16'!$B$229=M$3,SUMIF('TL16'!$C$238:$C$451,$C25,'TL16'!$J$238:$J$451),0),
IF('TL17'!$B$3=M$3,SUMIF('TL17'!$C$10:$C$224,$C25,'TL17'!$J$10:$J$224),0),
IF('TL17'!$B$229=M$3,SUMIF('TL17'!$C$238:$C$451,$C25,'TL17'!$J$238:$J$451),0),
IF('TL18'!$B$3=M$3,SUMIF('TL18'!$C$10:$C$224,$C25,'TL18'!$J$10:$J$224),0),
IF('TL18'!$B$229=M$3,SUMIF('TL18'!$C$238:$C$451,$C25,'TL18'!$J$238:$J$451),0),
IF('TL19'!$B$3=M$3,SUMIF('TL19'!$C$10:$C$224,$C25,'TL19'!$J$10:$J$224),0),
IF('TL19'!$B$229=M$3,SUMIF('TL19'!$C$238:$C$451,$C25,'TL19'!$J$238:$J$451),0)
),0)</f>
        <v/>
      </c>
      <c r="N25" s="9">
        <f>IFERROR(SUM(
IF('TL01'!$B$3=N$3,SUMIF('TL01'!$C$10:$C$224,$C25,'TL01'!$J$10:$J$224),0),
IF('TL01'!$B$229=N$3,SUMIF('TL01'!$C$238:$C$451,$C25,'TL01'!$J$238:$J$451),0),
IF('TL02'!$B$3=N$3,SUMIF('TL02'!$C$10:$C$224,$C25,'TL02'!$J$10:$J$224),0),
IF('TL02'!$B$229=N$3,SUMIF('TL02'!$C$238:$C$451,$C25,'TL02'!$J$238:$J$451),0),
IF('TL03'!$B$3=N$3,SUMIF('TL03'!$C$10:$C$224,$C25,'TL03'!$J$10:$J$224),0),
IF('TL03'!$B$229=N$3,SUMIF('TL03'!$C$238:$C$451,$C25,'TL03'!$J$238:$J$451),0),
IF('TL04'!$B$3=N$3,SUMIF('TL04'!$C$10:$C$224,$C25,'TL04'!$J$10:$J$224),0),
IF('TL04'!$B$229=N$3,SUMIF('TL04'!$C$238:$C$451,$C25,'TL04'!$J$238:$J$451),0),
IF('TL05'!$B$3=N$3,SUMIF('TL05'!$C$10:$C$224,$C25,'TL05'!$J$10:$J$224),0),
IF('TL05'!$B$229=N$3,SUMIF('TL05'!$C$238:$C$451,$C25,'TL05'!$J$238:$J$451),0),
IF('TL06'!$B$3=N$3,SUMIF('TL06'!$C$10:$C$224,$C25,'TL06'!$J$10:$J$224),0),
IF('TL06'!$B$229=N$3,SUMIF('TL06'!$C$238:$C$451,$C25,'TL06'!$J$238:$J$451),0),
IF('TL07'!$B$3=N$3,SUMIF('TL07'!$C$10:$C$224,$C25,'TL07'!$J$10:$J$224),0),
IF('TL07'!$B$229=N$3,SUMIF('TL07'!$C$238:$C$451,$C25,'TL07'!$J$238:$J$451),0),
IF('TL08'!$B$3=N$3,SUMIF('TL08'!$C$10:$C$224,$C25,'TL08'!$J$10:$J$224),0),
IF('TL08'!$B$229=N$3,SUMIF('TL08'!$C$238:$C$451,$C25,'TL08'!$J$238:$J$451),0),
IF('TL09'!$B$3=N$3,SUMIF('TL09'!$C$10:$C$224,$C25,'TL09'!$J$10:$J$224),0),
IF('TL09'!$B$229=N$3,SUMIF('TL09'!$C$238:$C$451,$C25,'TL09'!$J$238:$J$451),0),
IF('TL10'!$B$3=N$3,SUMIF('TL10'!$C$10:$C$224,$C25,'TL10'!$J$10:$J$224),0),
IF('TL10'!$B$229=N$3,SUMIF('TL10'!$C$238:$C$451,$C25,'TL10'!$J$238:$J$451),0),
IF('TL11'!$B$3=N$3,SUMIF('TL11'!$C$10:$C$224,$C25,'TL11'!$J$10:$J$224),0),
IF('TL11'!$B$229=N$3,SUMIF('TL11'!$C$238:$C$451,$C25,'TL11'!$J$238:$J$451),0),
IF('TL12'!$B$3=N$3,SUMIF('TL12'!$C$10:$C$224,$C25,'TL12'!$J$10:$J$224),0),
IF('TL12'!$B$229=N$3,SUMIF('TL12'!$C$238:$C$451,$C25,'TL12'!$J$238:$J$451),0),
IF('TL13'!$B$3=N$3,SUMIF('TL13'!$C$10:$C$224,$C25,'TL13'!$J$10:$J$224),0),
IF('TL13'!$B$229=N$3,SUMIF('TL13'!$C$238:$C$451,$C25,'TL13'!$J$238:$J$451),0),
IF('TL14'!$B$3=N$3,SUMIF('TL14'!$C$10:$C$224,$C25,'TL14'!$J$10:$J$224),0),
IF('TL14'!$B$229=N$3,SUMIF('TL14'!$C$238:$C$451,$C25,'TL14'!$J$238:$J$451),0),
IF('TL15'!$B$3=N$3,SUMIF('TL15'!$C$10:$C$224,$C25,'TL15'!$J$10:$J$224),0),
IF('TL15'!$B$229=N$3,SUMIF('TL15'!$C$238:$C$451,$C25,'TL15'!$J$238:$J$451),0),
IF('TL16'!$B$3=N$3,SUMIF('TL16'!$C$10:$C$224,$C25,'TL16'!$J$10:$J$224),0),
IF('TL16'!$B$229=N$3,SUMIF('TL16'!$C$238:$C$451,$C25,'TL16'!$J$238:$J$451),0),
IF('TL17'!$B$3=N$3,SUMIF('TL17'!$C$10:$C$224,$C25,'TL17'!$J$10:$J$224),0),
IF('TL17'!$B$229=N$3,SUMIF('TL17'!$C$238:$C$451,$C25,'TL17'!$J$238:$J$451),0),
IF('TL18'!$B$3=N$3,SUMIF('TL18'!$C$10:$C$224,$C25,'TL18'!$J$10:$J$224),0),
IF('TL18'!$B$229=N$3,SUMIF('TL18'!$C$238:$C$451,$C25,'TL18'!$J$238:$J$451),0),
IF('TL19'!$B$3=N$3,SUMIF('TL19'!$C$10:$C$224,$C25,'TL19'!$J$10:$J$224),0),
IF('TL19'!$B$229=N$3,SUMIF('TL19'!$C$238:$C$451,$C25,'TL19'!$J$238:$J$451),0)
),0)</f>
        <v/>
      </c>
      <c r="O25" s="9">
        <f>IFERROR(SUM(
IF('TL01'!$B$3=O$3,SUMIF('TL01'!$C$10:$C$224,$C25,'TL01'!$J$10:$J$224),0),
IF('TL01'!$B$229=O$3,SUMIF('TL01'!$C$238:$C$451,$C25,'TL01'!$J$238:$J$451),0),
IF('TL02'!$B$3=O$3,SUMIF('TL02'!$C$10:$C$224,$C25,'TL02'!$J$10:$J$224),0),
IF('TL02'!$B$229=O$3,SUMIF('TL02'!$C$238:$C$451,$C25,'TL02'!$J$238:$J$451),0),
IF('TL03'!$B$3=O$3,SUMIF('TL03'!$C$10:$C$224,$C25,'TL03'!$J$10:$J$224),0),
IF('TL03'!$B$229=O$3,SUMIF('TL03'!$C$238:$C$451,$C25,'TL03'!$J$238:$J$451),0),
IF('TL04'!$B$3=O$3,SUMIF('TL04'!$C$10:$C$224,$C25,'TL04'!$J$10:$J$224),0),
IF('TL04'!$B$229=O$3,SUMIF('TL04'!$C$238:$C$451,$C25,'TL04'!$J$238:$J$451),0),
IF('TL05'!$B$3=O$3,SUMIF('TL05'!$C$10:$C$224,$C25,'TL05'!$J$10:$J$224),0),
IF('TL05'!$B$229=O$3,SUMIF('TL05'!$C$238:$C$451,$C25,'TL05'!$J$238:$J$451),0),
IF('TL06'!$B$3=O$3,SUMIF('TL06'!$C$10:$C$224,$C25,'TL06'!$J$10:$J$224),0),
IF('TL06'!$B$229=O$3,SUMIF('TL06'!$C$238:$C$451,$C25,'TL06'!$J$238:$J$451),0),
IF('TL07'!$B$3=O$3,SUMIF('TL07'!$C$10:$C$224,$C25,'TL07'!$J$10:$J$224),0),
IF('TL07'!$B$229=O$3,SUMIF('TL07'!$C$238:$C$451,$C25,'TL07'!$J$238:$J$451),0),
IF('TL08'!$B$3=O$3,SUMIF('TL08'!$C$10:$C$224,$C25,'TL08'!$J$10:$J$224),0),
IF('TL08'!$B$229=O$3,SUMIF('TL08'!$C$238:$C$451,$C25,'TL08'!$J$238:$J$451),0),
IF('TL09'!$B$3=O$3,SUMIF('TL09'!$C$10:$C$224,$C25,'TL09'!$J$10:$J$224),0),
IF('TL09'!$B$229=O$3,SUMIF('TL09'!$C$238:$C$451,$C25,'TL09'!$J$238:$J$451),0),
IF('TL10'!$B$3=O$3,SUMIF('TL10'!$C$10:$C$224,$C25,'TL10'!$J$10:$J$224),0),
IF('TL10'!$B$229=O$3,SUMIF('TL10'!$C$238:$C$451,$C25,'TL10'!$J$238:$J$451),0),
IF('TL11'!$B$3=O$3,SUMIF('TL11'!$C$10:$C$224,$C25,'TL11'!$J$10:$J$224),0),
IF('TL11'!$B$229=O$3,SUMIF('TL11'!$C$238:$C$451,$C25,'TL11'!$J$238:$J$451),0),
IF('TL12'!$B$3=O$3,SUMIF('TL12'!$C$10:$C$224,$C25,'TL12'!$J$10:$J$224),0),
IF('TL12'!$B$229=O$3,SUMIF('TL12'!$C$238:$C$451,$C25,'TL12'!$J$238:$J$451),0),
IF('TL13'!$B$3=O$3,SUMIF('TL13'!$C$10:$C$224,$C25,'TL13'!$J$10:$J$224),0),
IF('TL13'!$B$229=O$3,SUMIF('TL13'!$C$238:$C$451,$C25,'TL13'!$J$238:$J$451),0),
IF('TL14'!$B$3=O$3,SUMIF('TL14'!$C$10:$C$224,$C25,'TL14'!$J$10:$J$224),0),
IF('TL14'!$B$229=O$3,SUMIF('TL14'!$C$238:$C$451,$C25,'TL14'!$J$238:$J$451),0),
IF('TL15'!$B$3=O$3,SUMIF('TL15'!$C$10:$C$224,$C25,'TL15'!$J$10:$J$224),0),
IF('TL15'!$B$229=O$3,SUMIF('TL15'!$C$238:$C$451,$C25,'TL15'!$J$238:$J$451),0),
IF('TL16'!$B$3=O$3,SUMIF('TL16'!$C$10:$C$224,$C25,'TL16'!$J$10:$J$224),0),
IF('TL16'!$B$229=O$3,SUMIF('TL16'!$C$238:$C$451,$C25,'TL16'!$J$238:$J$451),0),
IF('TL17'!$B$3=O$3,SUMIF('TL17'!$C$10:$C$224,$C25,'TL17'!$J$10:$J$224),0),
IF('TL17'!$B$229=O$3,SUMIF('TL17'!$C$238:$C$451,$C25,'TL17'!$J$238:$J$451),0),
IF('TL18'!$B$3=O$3,SUMIF('TL18'!$C$10:$C$224,$C25,'TL18'!$J$10:$J$224),0),
IF('TL18'!$B$229=O$3,SUMIF('TL18'!$C$238:$C$451,$C25,'TL18'!$J$238:$J$451),0),
IF('TL19'!$B$3=O$3,SUMIF('TL19'!$C$10:$C$224,$C25,'TL19'!$J$10:$J$224),0),
IF('TL19'!$B$229=O$3,SUMIF('TL19'!$C$238:$C$451,$C25,'TL19'!$J$238:$J$451),0)
),0)</f>
        <v/>
      </c>
      <c r="P25" s="9">
        <f>IFERROR(SUM(
IF('TL01'!$B$3=P$3,SUMIF('TL01'!$C$10:$C$224,$C25,'TL01'!$J$10:$J$224),0),
IF('TL01'!$B$229=P$3,SUMIF('TL01'!$C$238:$C$451,$C25,'TL01'!$J$238:$J$451),0),
IF('TL02'!$B$3=P$3,SUMIF('TL02'!$C$10:$C$224,$C25,'TL02'!$J$10:$J$224),0),
IF('TL02'!$B$229=P$3,SUMIF('TL02'!$C$238:$C$451,$C25,'TL02'!$J$238:$J$451),0),
IF('TL03'!$B$3=P$3,SUMIF('TL03'!$C$10:$C$224,$C25,'TL03'!$J$10:$J$224),0),
IF('TL03'!$B$229=P$3,SUMIF('TL03'!$C$238:$C$451,$C25,'TL03'!$J$238:$J$451),0),
IF('TL04'!$B$3=P$3,SUMIF('TL04'!$C$10:$C$224,$C25,'TL04'!$J$10:$J$224),0),
IF('TL04'!$B$229=P$3,SUMIF('TL04'!$C$238:$C$451,$C25,'TL04'!$J$238:$J$451),0),
IF('TL05'!$B$3=P$3,SUMIF('TL05'!$C$10:$C$224,$C25,'TL05'!$J$10:$J$224),0),
IF('TL05'!$B$229=P$3,SUMIF('TL05'!$C$238:$C$451,$C25,'TL05'!$J$238:$J$451),0),
IF('TL06'!$B$3=P$3,SUMIF('TL06'!$C$10:$C$224,$C25,'TL06'!$J$10:$J$224),0),
IF('TL06'!$B$229=P$3,SUMIF('TL06'!$C$238:$C$451,$C25,'TL06'!$J$238:$J$451),0),
IF('TL07'!$B$3=P$3,SUMIF('TL07'!$C$10:$C$224,$C25,'TL07'!$J$10:$J$224),0),
IF('TL07'!$B$229=P$3,SUMIF('TL07'!$C$238:$C$451,$C25,'TL07'!$J$238:$J$451),0),
IF('TL08'!$B$3=P$3,SUMIF('TL08'!$C$10:$C$224,$C25,'TL08'!$J$10:$J$224),0),
IF('TL08'!$B$229=P$3,SUMIF('TL08'!$C$238:$C$451,$C25,'TL08'!$J$238:$J$451),0),
IF('TL09'!$B$3=P$3,SUMIF('TL09'!$C$10:$C$224,$C25,'TL09'!$J$10:$J$224),0),
IF('TL09'!$B$229=P$3,SUMIF('TL09'!$C$238:$C$451,$C25,'TL09'!$J$238:$J$451),0),
IF('TL10'!$B$3=P$3,SUMIF('TL10'!$C$10:$C$224,$C25,'TL10'!$J$10:$J$224),0),
IF('TL10'!$B$229=P$3,SUMIF('TL10'!$C$238:$C$451,$C25,'TL10'!$J$238:$J$451),0),
IF('TL11'!$B$3=P$3,SUMIF('TL11'!$C$10:$C$224,$C25,'TL11'!$J$10:$J$224),0),
IF('TL11'!$B$229=P$3,SUMIF('TL11'!$C$238:$C$451,$C25,'TL11'!$J$238:$J$451),0),
IF('TL12'!$B$3=P$3,SUMIF('TL12'!$C$10:$C$224,$C25,'TL12'!$J$10:$J$224),0),
IF('TL12'!$B$229=P$3,SUMIF('TL12'!$C$238:$C$451,$C25,'TL12'!$J$238:$J$451),0),
IF('TL13'!$B$3=P$3,SUMIF('TL13'!$C$10:$C$224,$C25,'TL13'!$J$10:$J$224),0),
IF('TL13'!$B$229=P$3,SUMIF('TL13'!$C$238:$C$451,$C25,'TL13'!$J$238:$J$451),0),
IF('TL14'!$B$3=P$3,SUMIF('TL14'!$C$10:$C$224,$C25,'TL14'!$J$10:$J$224),0),
IF('TL14'!$B$229=P$3,SUMIF('TL14'!$C$238:$C$451,$C25,'TL14'!$J$238:$J$451),0),
IF('TL15'!$B$3=P$3,SUMIF('TL15'!$C$10:$C$224,$C25,'TL15'!$J$10:$J$224),0),
IF('TL15'!$B$229=P$3,SUMIF('TL15'!$C$238:$C$451,$C25,'TL15'!$J$238:$J$451),0),
IF('TL16'!$B$3=P$3,SUMIF('TL16'!$C$10:$C$224,$C25,'TL16'!$J$10:$J$224),0),
IF('TL16'!$B$229=P$3,SUMIF('TL16'!$C$238:$C$451,$C25,'TL16'!$J$238:$J$451),0),
IF('TL17'!$B$3=P$3,SUMIF('TL17'!$C$10:$C$224,$C25,'TL17'!$J$10:$J$224),0),
IF('TL17'!$B$229=P$3,SUMIF('TL17'!$C$238:$C$451,$C25,'TL17'!$J$238:$J$451),0),
IF('TL18'!$B$3=P$3,SUMIF('TL18'!$C$10:$C$224,$C25,'TL18'!$J$10:$J$224),0),
IF('TL18'!$B$229=P$3,SUMIF('TL18'!$C$238:$C$451,$C25,'TL18'!$J$238:$J$451),0),
IF('TL19'!$B$3=P$3,SUMIF('TL19'!$C$10:$C$224,$C25,'TL19'!$J$10:$J$224),0),
IF('TL19'!$B$229=P$3,SUMIF('TL19'!$C$238:$C$451,$C25,'TL19'!$J$238:$J$451),0)
),0)</f>
        <v/>
      </c>
      <c r="Q25" s="9">
        <f>IFERROR(SUM(
IF('TL01'!$B$3=Q$3,SUMIF('TL01'!$C$10:$C$224,$C25,'TL01'!$J$10:$J$224),0),
IF('TL01'!$B$229=Q$3,SUMIF('TL01'!$C$238:$C$451,$C25,'TL01'!$J$238:$J$451),0),
IF('TL02'!$B$3=Q$3,SUMIF('TL02'!$C$10:$C$224,$C25,'TL02'!$J$10:$J$224),0),
IF('TL02'!$B$229=Q$3,SUMIF('TL02'!$C$238:$C$451,$C25,'TL02'!$J$238:$J$451),0),
IF('TL03'!$B$3=Q$3,SUMIF('TL03'!$C$10:$C$224,$C25,'TL03'!$J$10:$J$224),0),
IF('TL03'!$B$229=Q$3,SUMIF('TL03'!$C$238:$C$451,$C25,'TL03'!$J$238:$J$451),0),
IF('TL04'!$B$3=Q$3,SUMIF('TL04'!$C$10:$C$224,$C25,'TL04'!$J$10:$J$224),0),
IF('TL04'!$B$229=Q$3,SUMIF('TL04'!$C$238:$C$451,$C25,'TL04'!$J$238:$J$451),0),
IF('TL05'!$B$3=Q$3,SUMIF('TL05'!$C$10:$C$224,$C25,'TL05'!$J$10:$J$224),0),
IF('TL05'!$B$229=Q$3,SUMIF('TL05'!$C$238:$C$451,$C25,'TL05'!$J$238:$J$451),0),
IF('TL06'!$B$3=Q$3,SUMIF('TL06'!$C$10:$C$224,$C25,'TL06'!$J$10:$J$224),0),
IF('TL06'!$B$229=Q$3,SUMIF('TL06'!$C$238:$C$451,$C25,'TL06'!$J$238:$J$451),0),
IF('TL07'!$B$3=Q$3,SUMIF('TL07'!$C$10:$C$224,$C25,'TL07'!$J$10:$J$224),0),
IF('TL07'!$B$229=Q$3,SUMIF('TL07'!$C$238:$C$451,$C25,'TL07'!$J$238:$J$451),0),
IF('TL08'!$B$3=Q$3,SUMIF('TL08'!$C$10:$C$224,$C25,'TL08'!$J$10:$J$224),0),
IF('TL08'!$B$229=Q$3,SUMIF('TL08'!$C$238:$C$451,$C25,'TL08'!$J$238:$J$451),0),
IF('TL09'!$B$3=Q$3,SUMIF('TL09'!$C$10:$C$224,$C25,'TL09'!$J$10:$J$224),0),
IF('TL09'!$B$229=Q$3,SUMIF('TL09'!$C$238:$C$451,$C25,'TL09'!$J$238:$J$451),0),
IF('TL10'!$B$3=Q$3,SUMIF('TL10'!$C$10:$C$224,$C25,'TL10'!$J$10:$J$224),0),
IF('TL10'!$B$229=Q$3,SUMIF('TL10'!$C$238:$C$451,$C25,'TL10'!$J$238:$J$451),0),
IF('TL11'!$B$3=Q$3,SUMIF('TL11'!$C$10:$C$224,$C25,'TL11'!$J$10:$J$224),0),
IF('TL11'!$B$229=Q$3,SUMIF('TL11'!$C$238:$C$451,$C25,'TL11'!$J$238:$J$451),0),
IF('TL12'!$B$3=Q$3,SUMIF('TL12'!$C$10:$C$224,$C25,'TL12'!$J$10:$J$224),0),
IF('TL12'!$B$229=Q$3,SUMIF('TL12'!$C$238:$C$451,$C25,'TL12'!$J$238:$J$451),0),
IF('TL13'!$B$3=Q$3,SUMIF('TL13'!$C$10:$C$224,$C25,'TL13'!$J$10:$J$224),0),
IF('TL13'!$B$229=Q$3,SUMIF('TL13'!$C$238:$C$451,$C25,'TL13'!$J$238:$J$451),0),
IF('TL14'!$B$3=Q$3,SUMIF('TL14'!$C$10:$C$224,$C25,'TL14'!$J$10:$J$224),0),
IF('TL14'!$B$229=Q$3,SUMIF('TL14'!$C$238:$C$451,$C25,'TL14'!$J$238:$J$451),0),
IF('TL15'!$B$3=Q$3,SUMIF('TL15'!$C$10:$C$224,$C25,'TL15'!$J$10:$J$224),0),
IF('TL15'!$B$229=Q$3,SUMIF('TL15'!$C$238:$C$451,$C25,'TL15'!$J$238:$J$451),0),
IF('TL16'!$B$3=Q$3,SUMIF('TL16'!$C$10:$C$224,$C25,'TL16'!$J$10:$J$224),0),
IF('TL16'!$B$229=Q$3,SUMIF('TL16'!$C$238:$C$451,$C25,'TL16'!$J$238:$J$451),0),
IF('TL17'!$B$3=Q$3,SUMIF('TL17'!$C$10:$C$224,$C25,'TL17'!$J$10:$J$224),0),
IF('TL17'!$B$229=Q$3,SUMIF('TL17'!$C$238:$C$451,$C25,'TL17'!$J$238:$J$451),0),
IF('TL18'!$B$3=Q$3,SUMIF('TL18'!$C$10:$C$224,$C25,'TL18'!$J$10:$J$224),0),
IF('TL18'!$B$229=Q$3,SUMIF('TL18'!$C$238:$C$451,$C25,'TL18'!$J$238:$J$451),0),
IF('TL19'!$B$3=Q$3,SUMIF('TL19'!$C$10:$C$224,$C25,'TL19'!$J$10:$J$224),0),
IF('TL19'!$B$229=Q$3,SUMIF('TL19'!$C$238:$C$451,$C25,'TL19'!$J$238:$J$451),0)
),0)</f>
        <v/>
      </c>
      <c r="R25" s="9">
        <f>IFERROR(
SUM(
SUMIF('TL01'!C:C,C25,'TL01'!J:J),
SUMIF('TL02'!C:C,C25,'TL02'!J:J),
SUMIF('TL03'!C:C,C25,'TL03'!J:J),
SUMIF('TL04'!C:C,C25,'TL04'!J:J),
SUMIF('TL05'!C:C,C25,'TL05'!J:J),
SUMIF('TL06'!C:C,C25,'TL06'!J:J),
SUMIF('TL07'!C:C,C25,'TL07'!J:J),
SUMIF('TL08'!C:C,C25,'TL08'!J:J),
SUMIF('TL09'!C:C,C25,'TL09'!J:J),
SUMIF('TL10'!C:C,C25,'TL10'!J:J),
SUMIF('TL11'!C:C,C25,'TL11'!J:J),
SUMIF('TL12'!C:C,C25,'TL12'!J:J),
SUMIF('TL13'!C:C,C25,'TL13'!J:J),
SUMIF('TL14'!C:C,C25,'TL14'!J:J),
SUMIF('TL15'!C:C,C25,'TL15'!J:J),
SUMIF('TL16'!C:C,C25,'TL16'!J:J),
SUMIF('TL17'!C:C,C25,'TL17'!J:J),
SUMIF('TL18'!C:C,C25,'TL18'!J:J),SUMIF('TL19'!C:C,C25,'TL19'!J:J))
,0)</f>
        <v/>
      </c>
      <c r="S25" s="17">
        <f>IFERROR(__xludf.DUMMYFUNCTION("IFERROR(VLOOKUP(C25,
IMPORTRANGE(""1wULbzX32WdYsx-lj2U3uUNBBe2INVIRDtcK0d-Dvl90"",
""26-27!C:G""),
5,
FALSE),
"""")"),"")</f>
        <v/>
      </c>
      <c r="T25" s="9" t="n"/>
      <c r="U25" s="92">
        <f>MAX(0,R25-T25)</f>
        <v/>
      </c>
      <c r="V25" s="93">
        <f>U25*S25</f>
        <v/>
      </c>
    </row>
    <row r="26" hidden="1" ht="22.5" customHeight="1" s="297">
      <c r="A26" s="101" t="n"/>
      <c r="B26" s="102" t="inlineStr">
        <is>
          <t>FERTILIZANTES</t>
        </is>
      </c>
      <c r="C26" s="103" t="inlineStr">
        <is>
          <t>KCL 60%</t>
        </is>
      </c>
      <c r="D26" s="103" t="inlineStr">
        <is>
          <t>K2O 60%</t>
        </is>
      </c>
      <c r="E26" s="104" t="n"/>
      <c r="F26" s="4" t="inlineStr">
        <is>
          <t>Ton</t>
        </is>
      </c>
      <c r="G26" s="9" t="n"/>
      <c r="H26" s="9">
        <f>IFERROR(__xludf.DUMMYFUNCTION("IFERROR(VLOOKUP(C26,
IMPORTRANGE(""1wULbzX32WdYsx-lj2U3uUNBBe2INVIRDtcK0d-Dvl90"",
""26-27!C:K""),
8,
FALSE),
"""")"),"")</f>
        <v/>
      </c>
      <c r="I26" s="105" t="n"/>
      <c r="J26" s="9">
        <f>IFERROR(SUM(
IF('TL01'!$B$3=J$3,SUMIF('TL01'!$C$10:$C$224,$C26,'TL01'!$J$10:$J$224),0),
IF('TL01'!$B$229=J$3,SUMIF('TL01'!$C$238:$C$451,$C26,'TL01'!$J$238:$J$451),0),
IF('TL02'!$B$3=J$3,SUMIF('TL02'!$C$10:$C$224,$C26,'TL02'!$J$10:$J$224),0),
IF('TL02'!$B$229=J$3,SUMIF('TL02'!$C$238:$C$451,$C26,'TL02'!$J$238:$J$451),0),
IF('TL03'!$B$3=J$3,SUMIF('TL03'!$C$10:$C$224,$C26,'TL03'!$J$10:$J$224),0),
IF('TL03'!$B$229=J$3,SUMIF('TL03'!$C$238:$C$451,$C26,'TL03'!$J$238:$J$451),0),
IF('TL04'!$B$3=J$3,SUMIF('TL04'!$C$10:$C$224,$C26,'TL04'!$J$10:$J$224),0),
IF('TL04'!$B$229=J$3,SUMIF('TL04'!$C$238:$C$451,$C26,'TL04'!$J$238:$J$451),0),
IF('TL05'!$B$3=J$3,SUMIF('TL05'!$C$10:$C$224,$C26,'TL05'!$J$10:$J$224),0),
IF('TL05'!$B$229=J$3,SUMIF('TL05'!$C$238:$C$451,$C26,'TL05'!$J$238:$J$451),0),
IF('TL06'!$B$3=J$3,SUMIF('TL06'!$C$10:$C$224,$C26,'TL06'!$J$10:$J$224),0),
IF('TL06'!$B$229=J$3,SUMIF('TL06'!$C$238:$C$451,$C26,'TL06'!$J$238:$J$451),0),
IF('TL07'!$B$3=J$3,SUMIF('TL07'!$C$10:$C$224,$C26,'TL07'!$J$10:$J$224),0),
IF('TL07'!$B$229=J$3,SUMIF('TL07'!$C$238:$C$451,$C26,'TL07'!$J$238:$J$451),0),
IF('TL08'!$B$3=J$3,SUMIF('TL08'!$C$10:$C$224,$C26,'TL08'!$J$10:$J$224),0),
IF('TL08'!$B$229=J$3,SUMIF('TL08'!$C$238:$C$451,$C26,'TL08'!$J$238:$J$451),0),
IF('TL09'!$B$3=J$3,SUMIF('TL09'!$C$10:$C$224,$C26,'TL09'!$J$10:$J$224),0),
IF('TL09'!$B$229=J$3,SUMIF('TL09'!$C$238:$C$451,$C26,'TL09'!$J$238:$J$451),0),
IF('TL10'!$B$3=J$3,SUMIF('TL10'!$C$10:$C$224,$C26,'TL10'!$J$10:$J$224),0),
IF('TL10'!$B$229=J$3,SUMIF('TL10'!$C$238:$C$451,$C26,'TL10'!$J$238:$J$451),0),
IF('TL11'!$B$3=J$3,SUMIF('TL11'!$C$10:$C$224,$C26,'TL11'!$J$10:$J$224),0),
IF('TL11'!$B$229=J$3,SUMIF('TL11'!$C$238:$C$451,$C26,'TL11'!$J$238:$J$451),0),
IF('TL12'!$B$3=J$3,SUMIF('TL12'!$C$10:$C$224,$C26,'TL12'!$J$10:$J$224),0),
IF('TL12'!$B$229=J$3,SUMIF('TL12'!$C$238:$C$451,$C26,'TL12'!$J$238:$J$451),0),
IF('TL13'!$B$3=J$3,SUMIF('TL13'!$C$10:$C$224,$C26,'TL13'!$J$10:$J$224),0),
IF('TL13'!$B$229=J$3,SUMIF('TL13'!$C$238:$C$451,$C26,'TL13'!$J$238:$J$451),0),
IF('TL14'!$B$3=J$3,SUMIF('TL14'!$C$10:$C$224,$C26,'TL14'!$J$10:$J$224),0),
IF('TL14'!$B$229=J$3,SUMIF('TL14'!$C$238:$C$451,$C26,'TL14'!$J$238:$J$451),0),
IF('TL15'!$B$3=J$3,SUMIF('TL15'!$C$10:$C$224,$C26,'TL15'!$J$10:$J$224),0),
IF('TL15'!$B$229=J$3,SUMIF('TL15'!$C$238:$C$451,$C26,'TL15'!$J$238:$J$451),0),
IF('TL16'!$B$3=J$3,SUMIF('TL16'!$C$10:$C$224,$C26,'TL16'!$J$10:$J$224),0),
IF('TL16'!$B$229=J$3,SUMIF('TL16'!$C$238:$C$451,$C26,'TL16'!$J$238:$J$451),0),
IF('TL17'!$B$3=J$3,SUMIF('TL17'!$C$10:$C$224,$C26,'TL17'!$J$10:$J$224),0),
IF('TL17'!$B$229=J$3,SUMIF('TL17'!$C$238:$C$451,$C26,'TL17'!$J$238:$J$451),0),
IF('TL18'!$B$3=J$3,SUMIF('TL18'!$C$10:$C$224,$C26,'TL18'!$J$10:$J$224),0),
IF('TL18'!$B$229=J$3,SUMIF('TL18'!$C$238:$C$451,$C26,'TL18'!$J$238:$J$451),0),
IF('TL19'!$B$3=J$3,SUMIF('TL19'!$C$10:$C$224,$C26,'TL19'!$J$10:$J$224),0),
IF('TL19'!$B$229=J$3,SUMIF('TL19'!$C$238:$C$451,$C26,'TL19'!$J$238:$J$451),0)
),0)</f>
        <v/>
      </c>
      <c r="K26" s="9">
        <f>IFERROR(SUM(
IF('TL01'!$B$3=K$3,SUMIF('TL01'!$C$10:$C$224,$C26,'TL01'!$J$10:$J$224),0),
IF('TL01'!$B$229=K$3,SUMIF('TL01'!$C$238:$C$451,$C26,'TL01'!$J$238:$J$451),0),
IF('TL02'!$B$3=K$3,SUMIF('TL02'!$C$10:$C$224,$C26,'TL02'!$J$10:$J$224),0),
IF('TL02'!$B$229=K$3,SUMIF('TL02'!$C$238:$C$451,$C26,'TL02'!$J$238:$J$451),0),
IF('TL03'!$B$3=K$3,SUMIF('TL03'!$C$10:$C$224,$C26,'TL03'!$J$10:$J$224),0),
IF('TL03'!$B$229=K$3,SUMIF('TL03'!$C$238:$C$451,$C26,'TL03'!$J$238:$J$451),0),
IF('TL04'!$B$3=K$3,SUMIF('TL04'!$C$10:$C$224,$C26,'TL04'!$J$10:$J$224),0),
IF('TL04'!$B$229=K$3,SUMIF('TL04'!$C$238:$C$451,$C26,'TL04'!$J$238:$J$451),0),
IF('TL05'!$B$3=K$3,SUMIF('TL05'!$C$10:$C$224,$C26,'TL05'!$J$10:$J$224),0),
IF('TL05'!$B$229=K$3,SUMIF('TL05'!$C$238:$C$451,$C26,'TL05'!$J$238:$J$451),0),
IF('TL06'!$B$3=K$3,SUMIF('TL06'!$C$10:$C$224,$C26,'TL06'!$J$10:$J$224),0),
IF('TL06'!$B$229=K$3,SUMIF('TL06'!$C$238:$C$451,$C26,'TL06'!$J$238:$J$451),0),
IF('TL07'!$B$3=K$3,SUMIF('TL07'!$C$10:$C$224,$C26,'TL07'!$J$10:$J$224),0),
IF('TL07'!$B$229=K$3,SUMIF('TL07'!$C$238:$C$451,$C26,'TL07'!$J$238:$J$451),0),
IF('TL08'!$B$3=K$3,SUMIF('TL08'!$C$10:$C$224,$C26,'TL08'!$J$10:$J$224),0),
IF('TL08'!$B$229=K$3,SUMIF('TL08'!$C$238:$C$451,$C26,'TL08'!$J$238:$J$451),0),
IF('TL09'!$B$3=K$3,SUMIF('TL09'!$C$10:$C$224,$C26,'TL09'!$J$10:$J$224),0),
IF('TL09'!$B$229=K$3,SUMIF('TL09'!$C$238:$C$451,$C26,'TL09'!$J$238:$J$451),0),
IF('TL10'!$B$3=K$3,SUMIF('TL10'!$C$10:$C$224,$C26,'TL10'!$J$10:$J$224),0),
IF('TL10'!$B$229=K$3,SUMIF('TL10'!$C$238:$C$451,$C26,'TL10'!$J$238:$J$451),0),
IF('TL11'!$B$3=K$3,SUMIF('TL11'!$C$10:$C$224,$C26,'TL11'!$J$10:$J$224),0),
IF('TL11'!$B$229=K$3,SUMIF('TL11'!$C$238:$C$451,$C26,'TL11'!$J$238:$J$451),0),
IF('TL12'!$B$3=K$3,SUMIF('TL12'!$C$10:$C$224,$C26,'TL12'!$J$10:$J$224),0),
IF('TL12'!$B$229=K$3,SUMIF('TL12'!$C$238:$C$451,$C26,'TL12'!$J$238:$J$451),0),
IF('TL13'!$B$3=K$3,SUMIF('TL13'!$C$10:$C$224,$C26,'TL13'!$J$10:$J$224),0),
IF('TL13'!$B$229=K$3,SUMIF('TL13'!$C$238:$C$451,$C26,'TL13'!$J$238:$J$451),0),
IF('TL14'!$B$3=K$3,SUMIF('TL14'!$C$10:$C$224,$C26,'TL14'!$J$10:$J$224),0),
IF('TL14'!$B$229=K$3,SUMIF('TL14'!$C$238:$C$451,$C26,'TL14'!$J$238:$J$451),0),
IF('TL15'!$B$3=K$3,SUMIF('TL15'!$C$10:$C$224,$C26,'TL15'!$J$10:$J$224),0),
IF('TL15'!$B$229=K$3,SUMIF('TL15'!$C$238:$C$451,$C26,'TL15'!$J$238:$J$451),0),
IF('TL16'!$B$3=K$3,SUMIF('TL16'!$C$10:$C$224,$C26,'TL16'!$J$10:$J$224),0),
IF('TL16'!$B$229=K$3,SUMIF('TL16'!$C$238:$C$451,$C26,'TL16'!$J$238:$J$451),0),
IF('TL17'!$B$3=K$3,SUMIF('TL17'!$C$10:$C$224,$C26,'TL17'!$J$10:$J$224),0),
IF('TL17'!$B$229=K$3,SUMIF('TL17'!$C$238:$C$451,$C26,'TL17'!$J$238:$J$451),0),
IF('TL18'!$B$3=K$3,SUMIF('TL18'!$C$10:$C$224,$C26,'TL18'!$J$10:$J$224),0),
IF('TL18'!$B$229=K$3,SUMIF('TL18'!$C$238:$C$451,$C26,'TL18'!$J$238:$J$451),0),
IF('TL19'!$B$3=K$3,SUMIF('TL19'!$C$10:$C$224,$C26,'TL19'!$J$10:$J$224),0),
IF('TL19'!$B$229=K$3,SUMIF('TL19'!$C$238:$C$451,$C26,'TL19'!$J$238:$J$451),0)
),0)</f>
        <v/>
      </c>
      <c r="L26" s="9">
        <f>IFERROR(SUM(
IF('TL01'!$B$3=L$3,SUMIF('TL01'!$C$10:$C$224,$C26,'TL01'!$J$10:$J$224),0),
IF('TL01'!$B$229=L$3,SUMIF('TL01'!$C$238:$C$451,$C26,'TL01'!$J$238:$J$451),0),
IF('TL02'!$B$3=L$3,SUMIF('TL02'!$C$10:$C$224,$C26,'TL02'!$J$10:$J$224),0),
IF('TL02'!$B$229=L$3,SUMIF('TL02'!$C$238:$C$451,$C26,'TL02'!$J$238:$J$451),0),
IF('TL03'!$B$3=L$3,SUMIF('TL03'!$C$10:$C$224,$C26,'TL03'!$J$10:$J$224),0),
IF('TL03'!$B$229=L$3,SUMIF('TL03'!$C$238:$C$451,$C26,'TL03'!$J$238:$J$451),0),
IF('TL04'!$B$3=L$3,SUMIF('TL04'!$C$10:$C$224,$C26,'TL04'!$J$10:$J$224),0),
IF('TL04'!$B$229=L$3,SUMIF('TL04'!$C$238:$C$451,$C26,'TL04'!$J$238:$J$451),0),
IF('TL05'!$B$3=L$3,SUMIF('TL05'!$C$10:$C$224,$C26,'TL05'!$J$10:$J$224),0),
IF('TL05'!$B$229=L$3,SUMIF('TL05'!$C$238:$C$451,$C26,'TL05'!$J$238:$J$451),0),
IF('TL06'!$B$3=L$3,SUMIF('TL06'!$C$10:$C$224,$C26,'TL06'!$J$10:$J$224),0),
IF('TL06'!$B$229=L$3,SUMIF('TL06'!$C$238:$C$451,$C26,'TL06'!$J$238:$J$451),0),
IF('TL07'!$B$3=L$3,SUMIF('TL07'!$C$10:$C$224,$C26,'TL07'!$J$10:$J$224),0),
IF('TL07'!$B$229=L$3,SUMIF('TL07'!$C$238:$C$451,$C26,'TL07'!$J$238:$J$451),0),
IF('TL08'!$B$3=L$3,SUMIF('TL08'!$C$10:$C$224,$C26,'TL08'!$J$10:$J$224),0),
IF('TL08'!$B$229=L$3,SUMIF('TL08'!$C$238:$C$451,$C26,'TL08'!$J$238:$J$451),0),
IF('TL09'!$B$3=L$3,SUMIF('TL09'!$C$10:$C$224,$C26,'TL09'!$J$10:$J$224),0),
IF('TL09'!$B$229=L$3,SUMIF('TL09'!$C$238:$C$451,$C26,'TL09'!$J$238:$J$451),0),
IF('TL10'!$B$3=L$3,SUMIF('TL10'!$C$10:$C$224,$C26,'TL10'!$J$10:$J$224),0),
IF('TL10'!$B$229=L$3,SUMIF('TL10'!$C$238:$C$451,$C26,'TL10'!$J$238:$J$451),0),
IF('TL11'!$B$3=L$3,SUMIF('TL11'!$C$10:$C$224,$C26,'TL11'!$J$10:$J$224),0),
IF('TL11'!$B$229=L$3,SUMIF('TL11'!$C$238:$C$451,$C26,'TL11'!$J$238:$J$451),0),
IF('TL12'!$B$3=L$3,SUMIF('TL12'!$C$10:$C$224,$C26,'TL12'!$J$10:$J$224),0),
IF('TL12'!$B$229=L$3,SUMIF('TL12'!$C$238:$C$451,$C26,'TL12'!$J$238:$J$451),0),
IF('TL13'!$B$3=L$3,SUMIF('TL13'!$C$10:$C$224,$C26,'TL13'!$J$10:$J$224),0),
IF('TL13'!$B$229=L$3,SUMIF('TL13'!$C$238:$C$451,$C26,'TL13'!$J$238:$J$451),0),
IF('TL14'!$B$3=L$3,SUMIF('TL14'!$C$10:$C$224,$C26,'TL14'!$J$10:$J$224),0),
IF('TL14'!$B$229=L$3,SUMIF('TL14'!$C$238:$C$451,$C26,'TL14'!$J$238:$J$451),0),
IF('TL15'!$B$3=L$3,SUMIF('TL15'!$C$10:$C$224,$C26,'TL15'!$J$10:$J$224),0),
IF('TL15'!$B$229=L$3,SUMIF('TL15'!$C$238:$C$451,$C26,'TL15'!$J$238:$J$451),0),
IF('TL16'!$B$3=L$3,SUMIF('TL16'!$C$10:$C$224,$C26,'TL16'!$J$10:$J$224),0),
IF('TL16'!$B$229=L$3,SUMIF('TL16'!$C$238:$C$451,$C26,'TL16'!$J$238:$J$451),0),
IF('TL17'!$B$3=L$3,SUMIF('TL17'!$C$10:$C$224,$C26,'TL17'!$J$10:$J$224),0),
IF('TL17'!$B$229=L$3,SUMIF('TL17'!$C$238:$C$451,$C26,'TL17'!$J$238:$J$451),0),
IF('TL18'!$B$3=L$3,SUMIF('TL18'!$C$10:$C$224,$C26,'TL18'!$J$10:$J$224),0),
IF('TL18'!$B$229=L$3,SUMIF('TL18'!$C$238:$C$451,$C26,'TL18'!$J$238:$J$451),0),
IF('TL19'!$B$3=L$3,SUMIF('TL19'!$C$10:$C$224,$C26,'TL19'!$J$10:$J$224),0),
IF('TL19'!$B$229=L$3,SUMIF('TL19'!$C$238:$C$451,$C26,'TL19'!$J$238:$J$451),0)
),0)</f>
        <v/>
      </c>
      <c r="M26" s="9">
        <f>IFERROR(SUM(
IF('TL01'!$B$3=M$3,SUMIF('TL01'!$C$10:$C$224,$C26,'TL01'!$J$10:$J$224),0),
IF('TL01'!$B$229=M$3,SUMIF('TL01'!$C$238:$C$451,$C26,'TL01'!$J$238:$J$451),0),
IF('TL02'!$B$3=M$3,SUMIF('TL02'!$C$10:$C$224,$C26,'TL02'!$J$10:$J$224),0),
IF('TL02'!$B$229=M$3,SUMIF('TL02'!$C$238:$C$451,$C26,'TL02'!$J$238:$J$451),0),
IF('TL03'!$B$3=M$3,SUMIF('TL03'!$C$10:$C$224,$C26,'TL03'!$J$10:$J$224),0),
IF('TL03'!$B$229=M$3,SUMIF('TL03'!$C$238:$C$451,$C26,'TL03'!$J$238:$J$451),0),
IF('TL04'!$B$3=M$3,SUMIF('TL04'!$C$10:$C$224,$C26,'TL04'!$J$10:$J$224),0),
IF('TL04'!$B$229=M$3,SUMIF('TL04'!$C$238:$C$451,$C26,'TL04'!$J$238:$J$451),0),
IF('TL05'!$B$3=M$3,SUMIF('TL05'!$C$10:$C$224,$C26,'TL05'!$J$10:$J$224),0),
IF('TL05'!$B$229=M$3,SUMIF('TL05'!$C$238:$C$451,$C26,'TL05'!$J$238:$J$451),0),
IF('TL06'!$B$3=M$3,SUMIF('TL06'!$C$10:$C$224,$C26,'TL06'!$J$10:$J$224),0),
IF('TL06'!$B$229=M$3,SUMIF('TL06'!$C$238:$C$451,$C26,'TL06'!$J$238:$J$451),0),
IF('TL07'!$B$3=M$3,SUMIF('TL07'!$C$10:$C$224,$C26,'TL07'!$J$10:$J$224),0),
IF('TL07'!$B$229=M$3,SUMIF('TL07'!$C$238:$C$451,$C26,'TL07'!$J$238:$J$451),0),
IF('TL08'!$B$3=M$3,SUMIF('TL08'!$C$10:$C$224,$C26,'TL08'!$J$10:$J$224),0),
IF('TL08'!$B$229=M$3,SUMIF('TL08'!$C$238:$C$451,$C26,'TL08'!$J$238:$J$451),0),
IF('TL09'!$B$3=M$3,SUMIF('TL09'!$C$10:$C$224,$C26,'TL09'!$J$10:$J$224),0),
IF('TL09'!$B$229=M$3,SUMIF('TL09'!$C$238:$C$451,$C26,'TL09'!$J$238:$J$451),0),
IF('TL10'!$B$3=M$3,SUMIF('TL10'!$C$10:$C$224,$C26,'TL10'!$J$10:$J$224),0),
IF('TL10'!$B$229=M$3,SUMIF('TL10'!$C$238:$C$451,$C26,'TL10'!$J$238:$J$451),0),
IF('TL11'!$B$3=M$3,SUMIF('TL11'!$C$10:$C$224,$C26,'TL11'!$J$10:$J$224),0),
IF('TL11'!$B$229=M$3,SUMIF('TL11'!$C$238:$C$451,$C26,'TL11'!$J$238:$J$451),0),
IF('TL12'!$B$3=M$3,SUMIF('TL12'!$C$10:$C$224,$C26,'TL12'!$J$10:$J$224),0),
IF('TL12'!$B$229=M$3,SUMIF('TL12'!$C$238:$C$451,$C26,'TL12'!$J$238:$J$451),0),
IF('TL13'!$B$3=M$3,SUMIF('TL13'!$C$10:$C$224,$C26,'TL13'!$J$10:$J$224),0),
IF('TL13'!$B$229=M$3,SUMIF('TL13'!$C$238:$C$451,$C26,'TL13'!$J$238:$J$451),0),
IF('TL14'!$B$3=M$3,SUMIF('TL14'!$C$10:$C$224,$C26,'TL14'!$J$10:$J$224),0),
IF('TL14'!$B$229=M$3,SUMIF('TL14'!$C$238:$C$451,$C26,'TL14'!$J$238:$J$451),0),
IF('TL15'!$B$3=M$3,SUMIF('TL15'!$C$10:$C$224,$C26,'TL15'!$J$10:$J$224),0),
IF('TL15'!$B$229=M$3,SUMIF('TL15'!$C$238:$C$451,$C26,'TL15'!$J$238:$J$451),0),
IF('TL16'!$B$3=M$3,SUMIF('TL16'!$C$10:$C$224,$C26,'TL16'!$J$10:$J$224),0),
IF('TL16'!$B$229=M$3,SUMIF('TL16'!$C$238:$C$451,$C26,'TL16'!$J$238:$J$451),0),
IF('TL17'!$B$3=M$3,SUMIF('TL17'!$C$10:$C$224,$C26,'TL17'!$J$10:$J$224),0),
IF('TL17'!$B$229=M$3,SUMIF('TL17'!$C$238:$C$451,$C26,'TL17'!$J$238:$J$451),0),
IF('TL18'!$B$3=M$3,SUMIF('TL18'!$C$10:$C$224,$C26,'TL18'!$J$10:$J$224),0),
IF('TL18'!$B$229=M$3,SUMIF('TL18'!$C$238:$C$451,$C26,'TL18'!$J$238:$J$451),0),
IF('TL19'!$B$3=M$3,SUMIF('TL19'!$C$10:$C$224,$C26,'TL19'!$J$10:$J$224),0),
IF('TL19'!$B$229=M$3,SUMIF('TL19'!$C$238:$C$451,$C26,'TL19'!$J$238:$J$451),0)
),0)</f>
        <v/>
      </c>
      <c r="N26" s="9">
        <f>IFERROR(SUM(
IF('TL01'!$B$3=N$3,SUMIF('TL01'!$C$10:$C$224,$C26,'TL01'!$J$10:$J$224),0),
IF('TL01'!$B$229=N$3,SUMIF('TL01'!$C$238:$C$451,$C26,'TL01'!$J$238:$J$451),0),
IF('TL02'!$B$3=N$3,SUMIF('TL02'!$C$10:$C$224,$C26,'TL02'!$J$10:$J$224),0),
IF('TL02'!$B$229=N$3,SUMIF('TL02'!$C$238:$C$451,$C26,'TL02'!$J$238:$J$451),0),
IF('TL03'!$B$3=N$3,SUMIF('TL03'!$C$10:$C$224,$C26,'TL03'!$J$10:$J$224),0),
IF('TL03'!$B$229=N$3,SUMIF('TL03'!$C$238:$C$451,$C26,'TL03'!$J$238:$J$451),0),
IF('TL04'!$B$3=N$3,SUMIF('TL04'!$C$10:$C$224,$C26,'TL04'!$J$10:$J$224),0),
IF('TL04'!$B$229=N$3,SUMIF('TL04'!$C$238:$C$451,$C26,'TL04'!$J$238:$J$451),0),
IF('TL05'!$B$3=N$3,SUMIF('TL05'!$C$10:$C$224,$C26,'TL05'!$J$10:$J$224),0),
IF('TL05'!$B$229=N$3,SUMIF('TL05'!$C$238:$C$451,$C26,'TL05'!$J$238:$J$451),0),
IF('TL06'!$B$3=N$3,SUMIF('TL06'!$C$10:$C$224,$C26,'TL06'!$J$10:$J$224),0),
IF('TL06'!$B$229=N$3,SUMIF('TL06'!$C$238:$C$451,$C26,'TL06'!$J$238:$J$451),0),
IF('TL07'!$B$3=N$3,SUMIF('TL07'!$C$10:$C$224,$C26,'TL07'!$J$10:$J$224),0),
IF('TL07'!$B$229=N$3,SUMIF('TL07'!$C$238:$C$451,$C26,'TL07'!$J$238:$J$451),0),
IF('TL08'!$B$3=N$3,SUMIF('TL08'!$C$10:$C$224,$C26,'TL08'!$J$10:$J$224),0),
IF('TL08'!$B$229=N$3,SUMIF('TL08'!$C$238:$C$451,$C26,'TL08'!$J$238:$J$451),0),
IF('TL09'!$B$3=N$3,SUMIF('TL09'!$C$10:$C$224,$C26,'TL09'!$J$10:$J$224),0),
IF('TL09'!$B$229=N$3,SUMIF('TL09'!$C$238:$C$451,$C26,'TL09'!$J$238:$J$451),0),
IF('TL10'!$B$3=N$3,SUMIF('TL10'!$C$10:$C$224,$C26,'TL10'!$J$10:$J$224),0),
IF('TL10'!$B$229=N$3,SUMIF('TL10'!$C$238:$C$451,$C26,'TL10'!$J$238:$J$451),0),
IF('TL11'!$B$3=N$3,SUMIF('TL11'!$C$10:$C$224,$C26,'TL11'!$J$10:$J$224),0),
IF('TL11'!$B$229=N$3,SUMIF('TL11'!$C$238:$C$451,$C26,'TL11'!$J$238:$J$451),0),
IF('TL12'!$B$3=N$3,SUMIF('TL12'!$C$10:$C$224,$C26,'TL12'!$J$10:$J$224),0),
IF('TL12'!$B$229=N$3,SUMIF('TL12'!$C$238:$C$451,$C26,'TL12'!$J$238:$J$451),0),
IF('TL13'!$B$3=N$3,SUMIF('TL13'!$C$10:$C$224,$C26,'TL13'!$J$10:$J$224),0),
IF('TL13'!$B$229=N$3,SUMIF('TL13'!$C$238:$C$451,$C26,'TL13'!$J$238:$J$451),0),
IF('TL14'!$B$3=N$3,SUMIF('TL14'!$C$10:$C$224,$C26,'TL14'!$J$10:$J$224),0),
IF('TL14'!$B$229=N$3,SUMIF('TL14'!$C$238:$C$451,$C26,'TL14'!$J$238:$J$451),0),
IF('TL15'!$B$3=N$3,SUMIF('TL15'!$C$10:$C$224,$C26,'TL15'!$J$10:$J$224),0),
IF('TL15'!$B$229=N$3,SUMIF('TL15'!$C$238:$C$451,$C26,'TL15'!$J$238:$J$451),0),
IF('TL16'!$B$3=N$3,SUMIF('TL16'!$C$10:$C$224,$C26,'TL16'!$J$10:$J$224),0),
IF('TL16'!$B$229=N$3,SUMIF('TL16'!$C$238:$C$451,$C26,'TL16'!$J$238:$J$451),0),
IF('TL17'!$B$3=N$3,SUMIF('TL17'!$C$10:$C$224,$C26,'TL17'!$J$10:$J$224),0),
IF('TL17'!$B$229=N$3,SUMIF('TL17'!$C$238:$C$451,$C26,'TL17'!$J$238:$J$451),0),
IF('TL18'!$B$3=N$3,SUMIF('TL18'!$C$10:$C$224,$C26,'TL18'!$J$10:$J$224),0),
IF('TL18'!$B$229=N$3,SUMIF('TL18'!$C$238:$C$451,$C26,'TL18'!$J$238:$J$451),0),
IF('TL19'!$B$3=N$3,SUMIF('TL19'!$C$10:$C$224,$C26,'TL19'!$J$10:$J$224),0),
IF('TL19'!$B$229=N$3,SUMIF('TL19'!$C$238:$C$451,$C26,'TL19'!$J$238:$J$451),0)
),0)</f>
        <v/>
      </c>
      <c r="O26" s="9">
        <f>IFERROR(SUM(
IF('TL01'!$B$3=O$3,SUMIF('TL01'!$C$10:$C$224,$C26,'TL01'!$J$10:$J$224),0),
IF('TL01'!$B$229=O$3,SUMIF('TL01'!$C$238:$C$451,$C26,'TL01'!$J$238:$J$451),0),
IF('TL02'!$B$3=O$3,SUMIF('TL02'!$C$10:$C$224,$C26,'TL02'!$J$10:$J$224),0),
IF('TL02'!$B$229=O$3,SUMIF('TL02'!$C$238:$C$451,$C26,'TL02'!$J$238:$J$451),0),
IF('TL03'!$B$3=O$3,SUMIF('TL03'!$C$10:$C$224,$C26,'TL03'!$J$10:$J$224),0),
IF('TL03'!$B$229=O$3,SUMIF('TL03'!$C$238:$C$451,$C26,'TL03'!$J$238:$J$451),0),
IF('TL04'!$B$3=O$3,SUMIF('TL04'!$C$10:$C$224,$C26,'TL04'!$J$10:$J$224),0),
IF('TL04'!$B$229=O$3,SUMIF('TL04'!$C$238:$C$451,$C26,'TL04'!$J$238:$J$451),0),
IF('TL05'!$B$3=O$3,SUMIF('TL05'!$C$10:$C$224,$C26,'TL05'!$J$10:$J$224),0),
IF('TL05'!$B$229=O$3,SUMIF('TL05'!$C$238:$C$451,$C26,'TL05'!$J$238:$J$451),0),
IF('TL06'!$B$3=O$3,SUMIF('TL06'!$C$10:$C$224,$C26,'TL06'!$J$10:$J$224),0),
IF('TL06'!$B$229=O$3,SUMIF('TL06'!$C$238:$C$451,$C26,'TL06'!$J$238:$J$451),0),
IF('TL07'!$B$3=O$3,SUMIF('TL07'!$C$10:$C$224,$C26,'TL07'!$J$10:$J$224),0),
IF('TL07'!$B$229=O$3,SUMIF('TL07'!$C$238:$C$451,$C26,'TL07'!$J$238:$J$451),0),
IF('TL08'!$B$3=O$3,SUMIF('TL08'!$C$10:$C$224,$C26,'TL08'!$J$10:$J$224),0),
IF('TL08'!$B$229=O$3,SUMIF('TL08'!$C$238:$C$451,$C26,'TL08'!$J$238:$J$451),0),
IF('TL09'!$B$3=O$3,SUMIF('TL09'!$C$10:$C$224,$C26,'TL09'!$J$10:$J$224),0),
IF('TL09'!$B$229=O$3,SUMIF('TL09'!$C$238:$C$451,$C26,'TL09'!$J$238:$J$451),0),
IF('TL10'!$B$3=O$3,SUMIF('TL10'!$C$10:$C$224,$C26,'TL10'!$J$10:$J$224),0),
IF('TL10'!$B$229=O$3,SUMIF('TL10'!$C$238:$C$451,$C26,'TL10'!$J$238:$J$451),0),
IF('TL11'!$B$3=O$3,SUMIF('TL11'!$C$10:$C$224,$C26,'TL11'!$J$10:$J$224),0),
IF('TL11'!$B$229=O$3,SUMIF('TL11'!$C$238:$C$451,$C26,'TL11'!$J$238:$J$451),0),
IF('TL12'!$B$3=O$3,SUMIF('TL12'!$C$10:$C$224,$C26,'TL12'!$J$10:$J$224),0),
IF('TL12'!$B$229=O$3,SUMIF('TL12'!$C$238:$C$451,$C26,'TL12'!$J$238:$J$451),0),
IF('TL13'!$B$3=O$3,SUMIF('TL13'!$C$10:$C$224,$C26,'TL13'!$J$10:$J$224),0),
IF('TL13'!$B$229=O$3,SUMIF('TL13'!$C$238:$C$451,$C26,'TL13'!$J$238:$J$451),0),
IF('TL14'!$B$3=O$3,SUMIF('TL14'!$C$10:$C$224,$C26,'TL14'!$J$10:$J$224),0),
IF('TL14'!$B$229=O$3,SUMIF('TL14'!$C$238:$C$451,$C26,'TL14'!$J$238:$J$451),0),
IF('TL15'!$B$3=O$3,SUMIF('TL15'!$C$10:$C$224,$C26,'TL15'!$J$10:$J$224),0),
IF('TL15'!$B$229=O$3,SUMIF('TL15'!$C$238:$C$451,$C26,'TL15'!$J$238:$J$451),0),
IF('TL16'!$B$3=O$3,SUMIF('TL16'!$C$10:$C$224,$C26,'TL16'!$J$10:$J$224),0),
IF('TL16'!$B$229=O$3,SUMIF('TL16'!$C$238:$C$451,$C26,'TL16'!$J$238:$J$451),0),
IF('TL17'!$B$3=O$3,SUMIF('TL17'!$C$10:$C$224,$C26,'TL17'!$J$10:$J$224),0),
IF('TL17'!$B$229=O$3,SUMIF('TL17'!$C$238:$C$451,$C26,'TL17'!$J$238:$J$451),0),
IF('TL18'!$B$3=O$3,SUMIF('TL18'!$C$10:$C$224,$C26,'TL18'!$J$10:$J$224),0),
IF('TL18'!$B$229=O$3,SUMIF('TL18'!$C$238:$C$451,$C26,'TL18'!$J$238:$J$451),0),
IF('TL19'!$B$3=O$3,SUMIF('TL19'!$C$10:$C$224,$C26,'TL19'!$J$10:$J$224),0),
IF('TL19'!$B$229=O$3,SUMIF('TL19'!$C$238:$C$451,$C26,'TL19'!$J$238:$J$451),0)
),0)</f>
        <v/>
      </c>
      <c r="P26" s="9">
        <f>IFERROR(SUM(
IF('TL01'!$B$3=P$3,SUMIF('TL01'!$C$10:$C$224,$C26,'TL01'!$J$10:$J$224),0),
IF('TL01'!$B$229=P$3,SUMIF('TL01'!$C$238:$C$451,$C26,'TL01'!$J$238:$J$451),0),
IF('TL02'!$B$3=P$3,SUMIF('TL02'!$C$10:$C$224,$C26,'TL02'!$J$10:$J$224),0),
IF('TL02'!$B$229=P$3,SUMIF('TL02'!$C$238:$C$451,$C26,'TL02'!$J$238:$J$451),0),
IF('TL03'!$B$3=P$3,SUMIF('TL03'!$C$10:$C$224,$C26,'TL03'!$J$10:$J$224),0),
IF('TL03'!$B$229=P$3,SUMIF('TL03'!$C$238:$C$451,$C26,'TL03'!$J$238:$J$451),0),
IF('TL04'!$B$3=P$3,SUMIF('TL04'!$C$10:$C$224,$C26,'TL04'!$J$10:$J$224),0),
IF('TL04'!$B$229=P$3,SUMIF('TL04'!$C$238:$C$451,$C26,'TL04'!$J$238:$J$451),0),
IF('TL05'!$B$3=P$3,SUMIF('TL05'!$C$10:$C$224,$C26,'TL05'!$J$10:$J$224),0),
IF('TL05'!$B$229=P$3,SUMIF('TL05'!$C$238:$C$451,$C26,'TL05'!$J$238:$J$451),0),
IF('TL06'!$B$3=P$3,SUMIF('TL06'!$C$10:$C$224,$C26,'TL06'!$J$10:$J$224),0),
IF('TL06'!$B$229=P$3,SUMIF('TL06'!$C$238:$C$451,$C26,'TL06'!$J$238:$J$451),0),
IF('TL07'!$B$3=P$3,SUMIF('TL07'!$C$10:$C$224,$C26,'TL07'!$J$10:$J$224),0),
IF('TL07'!$B$229=P$3,SUMIF('TL07'!$C$238:$C$451,$C26,'TL07'!$J$238:$J$451),0),
IF('TL08'!$B$3=P$3,SUMIF('TL08'!$C$10:$C$224,$C26,'TL08'!$J$10:$J$224),0),
IF('TL08'!$B$229=P$3,SUMIF('TL08'!$C$238:$C$451,$C26,'TL08'!$J$238:$J$451),0),
IF('TL09'!$B$3=P$3,SUMIF('TL09'!$C$10:$C$224,$C26,'TL09'!$J$10:$J$224),0),
IF('TL09'!$B$229=P$3,SUMIF('TL09'!$C$238:$C$451,$C26,'TL09'!$J$238:$J$451),0),
IF('TL10'!$B$3=P$3,SUMIF('TL10'!$C$10:$C$224,$C26,'TL10'!$J$10:$J$224),0),
IF('TL10'!$B$229=P$3,SUMIF('TL10'!$C$238:$C$451,$C26,'TL10'!$J$238:$J$451),0),
IF('TL11'!$B$3=P$3,SUMIF('TL11'!$C$10:$C$224,$C26,'TL11'!$J$10:$J$224),0),
IF('TL11'!$B$229=P$3,SUMIF('TL11'!$C$238:$C$451,$C26,'TL11'!$J$238:$J$451),0),
IF('TL12'!$B$3=P$3,SUMIF('TL12'!$C$10:$C$224,$C26,'TL12'!$J$10:$J$224),0),
IF('TL12'!$B$229=P$3,SUMIF('TL12'!$C$238:$C$451,$C26,'TL12'!$J$238:$J$451),0),
IF('TL13'!$B$3=P$3,SUMIF('TL13'!$C$10:$C$224,$C26,'TL13'!$J$10:$J$224),0),
IF('TL13'!$B$229=P$3,SUMIF('TL13'!$C$238:$C$451,$C26,'TL13'!$J$238:$J$451),0),
IF('TL14'!$B$3=P$3,SUMIF('TL14'!$C$10:$C$224,$C26,'TL14'!$J$10:$J$224),0),
IF('TL14'!$B$229=P$3,SUMIF('TL14'!$C$238:$C$451,$C26,'TL14'!$J$238:$J$451),0),
IF('TL15'!$B$3=P$3,SUMIF('TL15'!$C$10:$C$224,$C26,'TL15'!$J$10:$J$224),0),
IF('TL15'!$B$229=P$3,SUMIF('TL15'!$C$238:$C$451,$C26,'TL15'!$J$238:$J$451),0),
IF('TL16'!$B$3=P$3,SUMIF('TL16'!$C$10:$C$224,$C26,'TL16'!$J$10:$J$224),0),
IF('TL16'!$B$229=P$3,SUMIF('TL16'!$C$238:$C$451,$C26,'TL16'!$J$238:$J$451),0),
IF('TL17'!$B$3=P$3,SUMIF('TL17'!$C$10:$C$224,$C26,'TL17'!$J$10:$J$224),0),
IF('TL17'!$B$229=P$3,SUMIF('TL17'!$C$238:$C$451,$C26,'TL17'!$J$238:$J$451),0),
IF('TL18'!$B$3=P$3,SUMIF('TL18'!$C$10:$C$224,$C26,'TL18'!$J$10:$J$224),0),
IF('TL18'!$B$229=P$3,SUMIF('TL18'!$C$238:$C$451,$C26,'TL18'!$J$238:$J$451),0),
IF('TL19'!$B$3=P$3,SUMIF('TL19'!$C$10:$C$224,$C26,'TL19'!$J$10:$J$224),0),
IF('TL19'!$B$229=P$3,SUMIF('TL19'!$C$238:$C$451,$C26,'TL19'!$J$238:$J$451),0)
),0)</f>
        <v/>
      </c>
      <c r="Q26" s="9">
        <f>IFERROR(SUM(
IF('TL01'!$B$3=Q$3,SUMIF('TL01'!$C$10:$C$224,$C26,'TL01'!$J$10:$J$224),0),
IF('TL01'!$B$229=Q$3,SUMIF('TL01'!$C$238:$C$451,$C26,'TL01'!$J$238:$J$451),0),
IF('TL02'!$B$3=Q$3,SUMIF('TL02'!$C$10:$C$224,$C26,'TL02'!$J$10:$J$224),0),
IF('TL02'!$B$229=Q$3,SUMIF('TL02'!$C$238:$C$451,$C26,'TL02'!$J$238:$J$451),0),
IF('TL03'!$B$3=Q$3,SUMIF('TL03'!$C$10:$C$224,$C26,'TL03'!$J$10:$J$224),0),
IF('TL03'!$B$229=Q$3,SUMIF('TL03'!$C$238:$C$451,$C26,'TL03'!$J$238:$J$451),0),
IF('TL04'!$B$3=Q$3,SUMIF('TL04'!$C$10:$C$224,$C26,'TL04'!$J$10:$J$224),0),
IF('TL04'!$B$229=Q$3,SUMIF('TL04'!$C$238:$C$451,$C26,'TL04'!$J$238:$J$451),0),
IF('TL05'!$B$3=Q$3,SUMIF('TL05'!$C$10:$C$224,$C26,'TL05'!$J$10:$J$224),0),
IF('TL05'!$B$229=Q$3,SUMIF('TL05'!$C$238:$C$451,$C26,'TL05'!$J$238:$J$451),0),
IF('TL06'!$B$3=Q$3,SUMIF('TL06'!$C$10:$C$224,$C26,'TL06'!$J$10:$J$224),0),
IF('TL06'!$B$229=Q$3,SUMIF('TL06'!$C$238:$C$451,$C26,'TL06'!$J$238:$J$451),0),
IF('TL07'!$B$3=Q$3,SUMIF('TL07'!$C$10:$C$224,$C26,'TL07'!$J$10:$J$224),0),
IF('TL07'!$B$229=Q$3,SUMIF('TL07'!$C$238:$C$451,$C26,'TL07'!$J$238:$J$451),0),
IF('TL08'!$B$3=Q$3,SUMIF('TL08'!$C$10:$C$224,$C26,'TL08'!$J$10:$J$224),0),
IF('TL08'!$B$229=Q$3,SUMIF('TL08'!$C$238:$C$451,$C26,'TL08'!$J$238:$J$451),0),
IF('TL09'!$B$3=Q$3,SUMIF('TL09'!$C$10:$C$224,$C26,'TL09'!$J$10:$J$224),0),
IF('TL09'!$B$229=Q$3,SUMIF('TL09'!$C$238:$C$451,$C26,'TL09'!$J$238:$J$451),0),
IF('TL10'!$B$3=Q$3,SUMIF('TL10'!$C$10:$C$224,$C26,'TL10'!$J$10:$J$224),0),
IF('TL10'!$B$229=Q$3,SUMIF('TL10'!$C$238:$C$451,$C26,'TL10'!$J$238:$J$451),0),
IF('TL11'!$B$3=Q$3,SUMIF('TL11'!$C$10:$C$224,$C26,'TL11'!$J$10:$J$224),0),
IF('TL11'!$B$229=Q$3,SUMIF('TL11'!$C$238:$C$451,$C26,'TL11'!$J$238:$J$451),0),
IF('TL12'!$B$3=Q$3,SUMIF('TL12'!$C$10:$C$224,$C26,'TL12'!$J$10:$J$224),0),
IF('TL12'!$B$229=Q$3,SUMIF('TL12'!$C$238:$C$451,$C26,'TL12'!$J$238:$J$451),0),
IF('TL13'!$B$3=Q$3,SUMIF('TL13'!$C$10:$C$224,$C26,'TL13'!$J$10:$J$224),0),
IF('TL13'!$B$229=Q$3,SUMIF('TL13'!$C$238:$C$451,$C26,'TL13'!$J$238:$J$451),0),
IF('TL14'!$B$3=Q$3,SUMIF('TL14'!$C$10:$C$224,$C26,'TL14'!$J$10:$J$224),0),
IF('TL14'!$B$229=Q$3,SUMIF('TL14'!$C$238:$C$451,$C26,'TL14'!$J$238:$J$451),0),
IF('TL15'!$B$3=Q$3,SUMIF('TL15'!$C$10:$C$224,$C26,'TL15'!$J$10:$J$224),0),
IF('TL15'!$B$229=Q$3,SUMIF('TL15'!$C$238:$C$451,$C26,'TL15'!$J$238:$J$451),0),
IF('TL16'!$B$3=Q$3,SUMIF('TL16'!$C$10:$C$224,$C26,'TL16'!$J$10:$J$224),0),
IF('TL16'!$B$229=Q$3,SUMIF('TL16'!$C$238:$C$451,$C26,'TL16'!$J$238:$J$451),0),
IF('TL17'!$B$3=Q$3,SUMIF('TL17'!$C$10:$C$224,$C26,'TL17'!$J$10:$J$224),0),
IF('TL17'!$B$229=Q$3,SUMIF('TL17'!$C$238:$C$451,$C26,'TL17'!$J$238:$J$451),0),
IF('TL18'!$B$3=Q$3,SUMIF('TL18'!$C$10:$C$224,$C26,'TL18'!$J$10:$J$224),0),
IF('TL18'!$B$229=Q$3,SUMIF('TL18'!$C$238:$C$451,$C26,'TL18'!$J$238:$J$451),0),
IF('TL19'!$B$3=Q$3,SUMIF('TL19'!$C$10:$C$224,$C26,'TL19'!$J$10:$J$224),0),
IF('TL19'!$B$229=Q$3,SUMIF('TL19'!$C$238:$C$451,$C26,'TL19'!$J$238:$J$451),0)
),0)</f>
        <v/>
      </c>
      <c r="R26" s="9">
        <f>IFERROR(
SUM(
SUMIF('TL01'!C:C,C26,'TL01'!J:J),
SUMIF('TL02'!C:C,C26,'TL02'!J:J),
SUMIF('TL03'!C:C,C26,'TL03'!J:J),
SUMIF('TL04'!C:C,C26,'TL04'!J:J),
SUMIF('TL05'!C:C,C26,'TL05'!J:J),
SUMIF('TL06'!C:C,C26,'TL06'!J:J),
SUMIF('TL07'!C:C,C26,'TL07'!J:J),
SUMIF('TL08'!C:C,C26,'TL08'!J:J),
SUMIF('TL09'!C:C,C26,'TL09'!J:J),
SUMIF('TL10'!C:C,C26,'TL10'!J:J),
SUMIF('TL11'!C:C,C26,'TL11'!J:J),
SUMIF('TL12'!C:C,C26,'TL12'!J:J),
SUMIF('TL13'!C:C,C26,'TL13'!J:J),
SUMIF('TL14'!C:C,C26,'TL14'!J:J),
SUMIF('TL15'!C:C,C26,'TL15'!J:J),
SUMIF('TL16'!C:C,C26,'TL16'!J:J),
SUMIF('TL17'!C:C,C26,'TL17'!J:J),
SUMIF('TL18'!C:C,C26,'TL18'!J:J),SUMIF('TL19'!C:C,C26,'TL19'!J:J))
,0)</f>
        <v/>
      </c>
      <c r="S26" s="17">
        <f>IFERROR(__xludf.DUMMYFUNCTION("IFERROR(VLOOKUP(C26,
IMPORTRANGE(""1wULbzX32WdYsx-lj2U3uUNBBe2INVIRDtcK0d-Dvl90"",
""26-27!C:G""),
5,
FALSE),
"""")"),"")</f>
        <v/>
      </c>
      <c r="T26" s="9" t="n">
        <v>387</v>
      </c>
      <c r="U26" s="92">
        <f>MAX(0,R26-T26)</f>
        <v/>
      </c>
      <c r="V26" s="93">
        <f>U26*S26</f>
        <v/>
      </c>
    </row>
    <row r="27" hidden="1" ht="22.5" customHeight="1" s="297">
      <c r="A27" s="106" t="n"/>
      <c r="B27" s="107" t="inlineStr">
        <is>
          <t>FERTILIZANTES</t>
        </is>
      </c>
      <c r="C27" s="108" t="inlineStr">
        <is>
          <t>05-37-00</t>
        </is>
      </c>
      <c r="D27" s="108" t="inlineStr">
        <is>
          <t>N 05 P 37 K 0</t>
        </is>
      </c>
      <c r="E27" s="109" t="n"/>
      <c r="F27" s="4" t="inlineStr">
        <is>
          <t>Ton</t>
        </is>
      </c>
      <c r="G27" s="9" t="n"/>
      <c r="H27" s="9">
        <f>IFERROR(__xludf.DUMMYFUNCTION("IFERROR(VLOOKUP(C27,
IMPORTRANGE(""1wULbzX32WdYsx-lj2U3uUNBBe2INVIRDtcK0d-Dvl90"",
""26-27!C:K""),
8,
FALSE),
"""")"),"")</f>
        <v/>
      </c>
      <c r="I27" s="110" t="n"/>
      <c r="J27" s="9">
        <f>IFERROR(SUM(
IF('TL01'!$B$3=J$3,SUMIF('TL01'!$C$10:$C$224,$C27,'TL01'!$J$10:$J$224),0),
IF('TL01'!$B$229=J$3,SUMIF('TL01'!$C$238:$C$451,$C27,'TL01'!$J$238:$J$451),0),
IF('TL02'!$B$3=J$3,SUMIF('TL02'!$C$10:$C$224,$C27,'TL02'!$J$10:$J$224),0),
IF('TL02'!$B$229=J$3,SUMIF('TL02'!$C$238:$C$451,$C27,'TL02'!$J$238:$J$451),0),
IF('TL03'!$B$3=J$3,SUMIF('TL03'!$C$10:$C$224,$C27,'TL03'!$J$10:$J$224),0),
IF('TL03'!$B$229=J$3,SUMIF('TL03'!$C$238:$C$451,$C27,'TL03'!$J$238:$J$451),0),
IF('TL04'!$B$3=J$3,SUMIF('TL04'!$C$10:$C$224,$C27,'TL04'!$J$10:$J$224),0),
IF('TL04'!$B$229=J$3,SUMIF('TL04'!$C$238:$C$451,$C27,'TL04'!$J$238:$J$451),0),
IF('TL05'!$B$3=J$3,SUMIF('TL05'!$C$10:$C$224,$C27,'TL05'!$J$10:$J$224),0),
IF('TL05'!$B$229=J$3,SUMIF('TL05'!$C$238:$C$451,$C27,'TL05'!$J$238:$J$451),0),
IF('TL06'!$B$3=J$3,SUMIF('TL06'!$C$10:$C$224,$C27,'TL06'!$J$10:$J$224),0),
IF('TL06'!$B$229=J$3,SUMIF('TL06'!$C$238:$C$451,$C27,'TL06'!$J$238:$J$451),0),
IF('TL07'!$B$3=J$3,SUMIF('TL07'!$C$10:$C$224,$C27,'TL07'!$J$10:$J$224),0),
IF('TL07'!$B$229=J$3,SUMIF('TL07'!$C$238:$C$451,$C27,'TL07'!$J$238:$J$451),0),
IF('TL08'!$B$3=J$3,SUMIF('TL08'!$C$10:$C$224,$C27,'TL08'!$J$10:$J$224),0),
IF('TL08'!$B$229=J$3,SUMIF('TL08'!$C$238:$C$451,$C27,'TL08'!$J$238:$J$451),0),
IF('TL09'!$B$3=J$3,SUMIF('TL09'!$C$10:$C$224,$C27,'TL09'!$J$10:$J$224),0),
IF('TL09'!$B$229=J$3,SUMIF('TL09'!$C$238:$C$451,$C27,'TL09'!$J$238:$J$451),0),
IF('TL10'!$B$3=J$3,SUMIF('TL10'!$C$10:$C$224,$C27,'TL10'!$J$10:$J$224),0),
IF('TL10'!$B$229=J$3,SUMIF('TL10'!$C$238:$C$451,$C27,'TL10'!$J$238:$J$451),0),
IF('TL11'!$B$3=J$3,SUMIF('TL11'!$C$10:$C$224,$C27,'TL11'!$J$10:$J$224),0),
IF('TL11'!$B$229=J$3,SUMIF('TL11'!$C$238:$C$451,$C27,'TL11'!$J$238:$J$451),0),
IF('TL12'!$B$3=J$3,SUMIF('TL12'!$C$10:$C$224,$C27,'TL12'!$J$10:$J$224),0),
IF('TL12'!$B$229=J$3,SUMIF('TL12'!$C$238:$C$451,$C27,'TL12'!$J$238:$J$451),0),
IF('TL13'!$B$3=J$3,SUMIF('TL13'!$C$10:$C$224,$C27,'TL13'!$J$10:$J$224),0),
IF('TL13'!$B$229=J$3,SUMIF('TL13'!$C$238:$C$451,$C27,'TL13'!$J$238:$J$451),0),
IF('TL14'!$B$3=J$3,SUMIF('TL14'!$C$10:$C$224,$C27,'TL14'!$J$10:$J$224),0),
IF('TL14'!$B$229=J$3,SUMIF('TL14'!$C$238:$C$451,$C27,'TL14'!$J$238:$J$451),0),
IF('TL15'!$B$3=J$3,SUMIF('TL15'!$C$10:$C$224,$C27,'TL15'!$J$10:$J$224),0),
IF('TL15'!$B$229=J$3,SUMIF('TL15'!$C$238:$C$451,$C27,'TL15'!$J$238:$J$451),0),
IF('TL16'!$B$3=J$3,SUMIF('TL16'!$C$10:$C$224,$C27,'TL16'!$J$10:$J$224),0),
IF('TL16'!$B$229=J$3,SUMIF('TL16'!$C$238:$C$451,$C27,'TL16'!$J$238:$J$451),0),
IF('TL17'!$B$3=J$3,SUMIF('TL17'!$C$10:$C$224,$C27,'TL17'!$J$10:$J$224),0),
IF('TL17'!$B$229=J$3,SUMIF('TL17'!$C$238:$C$451,$C27,'TL17'!$J$238:$J$451),0),
IF('TL18'!$B$3=J$3,SUMIF('TL18'!$C$10:$C$224,$C27,'TL18'!$J$10:$J$224),0),
IF('TL18'!$B$229=J$3,SUMIF('TL18'!$C$238:$C$451,$C27,'TL18'!$J$238:$J$451),0),
IF('TL19'!$B$3=J$3,SUMIF('TL19'!$C$10:$C$224,$C27,'TL19'!$J$10:$J$224),0),
IF('TL19'!$B$229=J$3,SUMIF('TL19'!$C$238:$C$451,$C27,'TL19'!$J$238:$J$451),0)
),0)</f>
        <v/>
      </c>
      <c r="K27" s="9">
        <f>IFERROR(SUM(
IF('TL01'!$B$3=K$3,SUMIF('TL01'!$C$10:$C$224,$C27,'TL01'!$J$10:$J$224),0),
IF('TL01'!$B$229=K$3,SUMIF('TL01'!$C$238:$C$451,$C27,'TL01'!$J$238:$J$451),0),
IF('TL02'!$B$3=K$3,SUMIF('TL02'!$C$10:$C$224,$C27,'TL02'!$J$10:$J$224),0),
IF('TL02'!$B$229=K$3,SUMIF('TL02'!$C$238:$C$451,$C27,'TL02'!$J$238:$J$451),0),
IF('TL03'!$B$3=K$3,SUMIF('TL03'!$C$10:$C$224,$C27,'TL03'!$J$10:$J$224),0),
IF('TL03'!$B$229=K$3,SUMIF('TL03'!$C$238:$C$451,$C27,'TL03'!$J$238:$J$451),0),
IF('TL04'!$B$3=K$3,SUMIF('TL04'!$C$10:$C$224,$C27,'TL04'!$J$10:$J$224),0),
IF('TL04'!$B$229=K$3,SUMIF('TL04'!$C$238:$C$451,$C27,'TL04'!$J$238:$J$451),0),
IF('TL05'!$B$3=K$3,SUMIF('TL05'!$C$10:$C$224,$C27,'TL05'!$J$10:$J$224),0),
IF('TL05'!$B$229=K$3,SUMIF('TL05'!$C$238:$C$451,$C27,'TL05'!$J$238:$J$451),0),
IF('TL06'!$B$3=K$3,SUMIF('TL06'!$C$10:$C$224,$C27,'TL06'!$J$10:$J$224),0),
IF('TL06'!$B$229=K$3,SUMIF('TL06'!$C$238:$C$451,$C27,'TL06'!$J$238:$J$451),0),
IF('TL07'!$B$3=K$3,SUMIF('TL07'!$C$10:$C$224,$C27,'TL07'!$J$10:$J$224),0),
IF('TL07'!$B$229=K$3,SUMIF('TL07'!$C$238:$C$451,$C27,'TL07'!$J$238:$J$451),0),
IF('TL08'!$B$3=K$3,SUMIF('TL08'!$C$10:$C$224,$C27,'TL08'!$J$10:$J$224),0),
IF('TL08'!$B$229=K$3,SUMIF('TL08'!$C$238:$C$451,$C27,'TL08'!$J$238:$J$451),0),
IF('TL09'!$B$3=K$3,SUMIF('TL09'!$C$10:$C$224,$C27,'TL09'!$J$10:$J$224),0),
IF('TL09'!$B$229=K$3,SUMIF('TL09'!$C$238:$C$451,$C27,'TL09'!$J$238:$J$451),0),
IF('TL10'!$B$3=K$3,SUMIF('TL10'!$C$10:$C$224,$C27,'TL10'!$J$10:$J$224),0),
IF('TL10'!$B$229=K$3,SUMIF('TL10'!$C$238:$C$451,$C27,'TL10'!$J$238:$J$451),0),
IF('TL11'!$B$3=K$3,SUMIF('TL11'!$C$10:$C$224,$C27,'TL11'!$J$10:$J$224),0),
IF('TL11'!$B$229=K$3,SUMIF('TL11'!$C$238:$C$451,$C27,'TL11'!$J$238:$J$451),0),
IF('TL12'!$B$3=K$3,SUMIF('TL12'!$C$10:$C$224,$C27,'TL12'!$J$10:$J$224),0),
IF('TL12'!$B$229=K$3,SUMIF('TL12'!$C$238:$C$451,$C27,'TL12'!$J$238:$J$451),0),
IF('TL13'!$B$3=K$3,SUMIF('TL13'!$C$10:$C$224,$C27,'TL13'!$J$10:$J$224),0),
IF('TL13'!$B$229=K$3,SUMIF('TL13'!$C$238:$C$451,$C27,'TL13'!$J$238:$J$451),0),
IF('TL14'!$B$3=K$3,SUMIF('TL14'!$C$10:$C$224,$C27,'TL14'!$J$10:$J$224),0),
IF('TL14'!$B$229=K$3,SUMIF('TL14'!$C$238:$C$451,$C27,'TL14'!$J$238:$J$451),0),
IF('TL15'!$B$3=K$3,SUMIF('TL15'!$C$10:$C$224,$C27,'TL15'!$J$10:$J$224),0),
IF('TL15'!$B$229=K$3,SUMIF('TL15'!$C$238:$C$451,$C27,'TL15'!$J$238:$J$451),0),
IF('TL16'!$B$3=K$3,SUMIF('TL16'!$C$10:$C$224,$C27,'TL16'!$J$10:$J$224),0),
IF('TL16'!$B$229=K$3,SUMIF('TL16'!$C$238:$C$451,$C27,'TL16'!$J$238:$J$451),0),
IF('TL17'!$B$3=K$3,SUMIF('TL17'!$C$10:$C$224,$C27,'TL17'!$J$10:$J$224),0),
IF('TL17'!$B$229=K$3,SUMIF('TL17'!$C$238:$C$451,$C27,'TL17'!$J$238:$J$451),0),
IF('TL18'!$B$3=K$3,SUMIF('TL18'!$C$10:$C$224,$C27,'TL18'!$J$10:$J$224),0),
IF('TL18'!$B$229=K$3,SUMIF('TL18'!$C$238:$C$451,$C27,'TL18'!$J$238:$J$451),0),
IF('TL19'!$B$3=K$3,SUMIF('TL19'!$C$10:$C$224,$C27,'TL19'!$J$10:$J$224),0),
IF('TL19'!$B$229=K$3,SUMIF('TL19'!$C$238:$C$451,$C27,'TL19'!$J$238:$J$451),0)
),0)</f>
        <v/>
      </c>
      <c r="L27" s="9">
        <f>IFERROR(SUM(
IF('TL01'!$B$3=L$3,SUMIF('TL01'!$C$10:$C$224,$C27,'TL01'!$J$10:$J$224),0),
IF('TL01'!$B$229=L$3,SUMIF('TL01'!$C$238:$C$451,$C27,'TL01'!$J$238:$J$451),0),
IF('TL02'!$B$3=L$3,SUMIF('TL02'!$C$10:$C$224,$C27,'TL02'!$J$10:$J$224),0),
IF('TL02'!$B$229=L$3,SUMIF('TL02'!$C$238:$C$451,$C27,'TL02'!$J$238:$J$451),0),
IF('TL03'!$B$3=L$3,SUMIF('TL03'!$C$10:$C$224,$C27,'TL03'!$J$10:$J$224),0),
IF('TL03'!$B$229=L$3,SUMIF('TL03'!$C$238:$C$451,$C27,'TL03'!$J$238:$J$451),0),
IF('TL04'!$B$3=L$3,SUMIF('TL04'!$C$10:$C$224,$C27,'TL04'!$J$10:$J$224),0),
IF('TL04'!$B$229=L$3,SUMIF('TL04'!$C$238:$C$451,$C27,'TL04'!$J$238:$J$451),0),
IF('TL05'!$B$3=L$3,SUMIF('TL05'!$C$10:$C$224,$C27,'TL05'!$J$10:$J$224),0),
IF('TL05'!$B$229=L$3,SUMIF('TL05'!$C$238:$C$451,$C27,'TL05'!$J$238:$J$451),0),
IF('TL06'!$B$3=L$3,SUMIF('TL06'!$C$10:$C$224,$C27,'TL06'!$J$10:$J$224),0),
IF('TL06'!$B$229=L$3,SUMIF('TL06'!$C$238:$C$451,$C27,'TL06'!$J$238:$J$451),0),
IF('TL07'!$B$3=L$3,SUMIF('TL07'!$C$10:$C$224,$C27,'TL07'!$J$10:$J$224),0),
IF('TL07'!$B$229=L$3,SUMIF('TL07'!$C$238:$C$451,$C27,'TL07'!$J$238:$J$451),0),
IF('TL08'!$B$3=L$3,SUMIF('TL08'!$C$10:$C$224,$C27,'TL08'!$J$10:$J$224),0),
IF('TL08'!$B$229=L$3,SUMIF('TL08'!$C$238:$C$451,$C27,'TL08'!$J$238:$J$451),0),
IF('TL09'!$B$3=L$3,SUMIF('TL09'!$C$10:$C$224,$C27,'TL09'!$J$10:$J$224),0),
IF('TL09'!$B$229=L$3,SUMIF('TL09'!$C$238:$C$451,$C27,'TL09'!$J$238:$J$451),0),
IF('TL10'!$B$3=L$3,SUMIF('TL10'!$C$10:$C$224,$C27,'TL10'!$J$10:$J$224),0),
IF('TL10'!$B$229=L$3,SUMIF('TL10'!$C$238:$C$451,$C27,'TL10'!$J$238:$J$451),0),
IF('TL11'!$B$3=L$3,SUMIF('TL11'!$C$10:$C$224,$C27,'TL11'!$J$10:$J$224),0),
IF('TL11'!$B$229=L$3,SUMIF('TL11'!$C$238:$C$451,$C27,'TL11'!$J$238:$J$451),0),
IF('TL12'!$B$3=L$3,SUMIF('TL12'!$C$10:$C$224,$C27,'TL12'!$J$10:$J$224),0),
IF('TL12'!$B$229=L$3,SUMIF('TL12'!$C$238:$C$451,$C27,'TL12'!$J$238:$J$451),0),
IF('TL13'!$B$3=L$3,SUMIF('TL13'!$C$10:$C$224,$C27,'TL13'!$J$10:$J$224),0),
IF('TL13'!$B$229=L$3,SUMIF('TL13'!$C$238:$C$451,$C27,'TL13'!$J$238:$J$451),0),
IF('TL14'!$B$3=L$3,SUMIF('TL14'!$C$10:$C$224,$C27,'TL14'!$J$10:$J$224),0),
IF('TL14'!$B$229=L$3,SUMIF('TL14'!$C$238:$C$451,$C27,'TL14'!$J$238:$J$451),0),
IF('TL15'!$B$3=L$3,SUMIF('TL15'!$C$10:$C$224,$C27,'TL15'!$J$10:$J$224),0),
IF('TL15'!$B$229=L$3,SUMIF('TL15'!$C$238:$C$451,$C27,'TL15'!$J$238:$J$451),0),
IF('TL16'!$B$3=L$3,SUMIF('TL16'!$C$10:$C$224,$C27,'TL16'!$J$10:$J$224),0),
IF('TL16'!$B$229=L$3,SUMIF('TL16'!$C$238:$C$451,$C27,'TL16'!$J$238:$J$451),0),
IF('TL17'!$B$3=L$3,SUMIF('TL17'!$C$10:$C$224,$C27,'TL17'!$J$10:$J$224),0),
IF('TL17'!$B$229=L$3,SUMIF('TL17'!$C$238:$C$451,$C27,'TL17'!$J$238:$J$451),0),
IF('TL18'!$B$3=L$3,SUMIF('TL18'!$C$10:$C$224,$C27,'TL18'!$J$10:$J$224),0),
IF('TL18'!$B$229=L$3,SUMIF('TL18'!$C$238:$C$451,$C27,'TL18'!$J$238:$J$451),0),
IF('TL19'!$B$3=L$3,SUMIF('TL19'!$C$10:$C$224,$C27,'TL19'!$J$10:$J$224),0),
IF('TL19'!$B$229=L$3,SUMIF('TL19'!$C$238:$C$451,$C27,'TL19'!$J$238:$J$451),0)
),0)</f>
        <v/>
      </c>
      <c r="M27" s="9">
        <f>IFERROR(SUM(
IF('TL01'!$B$3=M$3,SUMIF('TL01'!$C$10:$C$224,$C27,'TL01'!$J$10:$J$224),0),
IF('TL01'!$B$229=M$3,SUMIF('TL01'!$C$238:$C$451,$C27,'TL01'!$J$238:$J$451),0),
IF('TL02'!$B$3=M$3,SUMIF('TL02'!$C$10:$C$224,$C27,'TL02'!$J$10:$J$224),0),
IF('TL02'!$B$229=M$3,SUMIF('TL02'!$C$238:$C$451,$C27,'TL02'!$J$238:$J$451),0),
IF('TL03'!$B$3=M$3,SUMIF('TL03'!$C$10:$C$224,$C27,'TL03'!$J$10:$J$224),0),
IF('TL03'!$B$229=M$3,SUMIF('TL03'!$C$238:$C$451,$C27,'TL03'!$J$238:$J$451),0),
IF('TL04'!$B$3=M$3,SUMIF('TL04'!$C$10:$C$224,$C27,'TL04'!$J$10:$J$224),0),
IF('TL04'!$B$229=M$3,SUMIF('TL04'!$C$238:$C$451,$C27,'TL04'!$J$238:$J$451),0),
IF('TL05'!$B$3=M$3,SUMIF('TL05'!$C$10:$C$224,$C27,'TL05'!$J$10:$J$224),0),
IF('TL05'!$B$229=M$3,SUMIF('TL05'!$C$238:$C$451,$C27,'TL05'!$J$238:$J$451),0),
IF('TL06'!$B$3=M$3,SUMIF('TL06'!$C$10:$C$224,$C27,'TL06'!$J$10:$J$224),0),
IF('TL06'!$B$229=M$3,SUMIF('TL06'!$C$238:$C$451,$C27,'TL06'!$J$238:$J$451),0),
IF('TL07'!$B$3=M$3,SUMIF('TL07'!$C$10:$C$224,$C27,'TL07'!$J$10:$J$224),0),
IF('TL07'!$B$229=M$3,SUMIF('TL07'!$C$238:$C$451,$C27,'TL07'!$J$238:$J$451),0),
IF('TL08'!$B$3=M$3,SUMIF('TL08'!$C$10:$C$224,$C27,'TL08'!$J$10:$J$224),0),
IF('TL08'!$B$229=M$3,SUMIF('TL08'!$C$238:$C$451,$C27,'TL08'!$J$238:$J$451),0),
IF('TL09'!$B$3=M$3,SUMIF('TL09'!$C$10:$C$224,$C27,'TL09'!$J$10:$J$224),0),
IF('TL09'!$B$229=M$3,SUMIF('TL09'!$C$238:$C$451,$C27,'TL09'!$J$238:$J$451),0),
IF('TL10'!$B$3=M$3,SUMIF('TL10'!$C$10:$C$224,$C27,'TL10'!$J$10:$J$224),0),
IF('TL10'!$B$229=M$3,SUMIF('TL10'!$C$238:$C$451,$C27,'TL10'!$J$238:$J$451),0),
IF('TL11'!$B$3=M$3,SUMIF('TL11'!$C$10:$C$224,$C27,'TL11'!$J$10:$J$224),0),
IF('TL11'!$B$229=M$3,SUMIF('TL11'!$C$238:$C$451,$C27,'TL11'!$J$238:$J$451),0),
IF('TL12'!$B$3=M$3,SUMIF('TL12'!$C$10:$C$224,$C27,'TL12'!$J$10:$J$224),0),
IF('TL12'!$B$229=M$3,SUMIF('TL12'!$C$238:$C$451,$C27,'TL12'!$J$238:$J$451),0),
IF('TL13'!$B$3=M$3,SUMIF('TL13'!$C$10:$C$224,$C27,'TL13'!$J$10:$J$224),0),
IF('TL13'!$B$229=M$3,SUMIF('TL13'!$C$238:$C$451,$C27,'TL13'!$J$238:$J$451),0),
IF('TL14'!$B$3=M$3,SUMIF('TL14'!$C$10:$C$224,$C27,'TL14'!$J$10:$J$224),0),
IF('TL14'!$B$229=M$3,SUMIF('TL14'!$C$238:$C$451,$C27,'TL14'!$J$238:$J$451),0),
IF('TL15'!$B$3=M$3,SUMIF('TL15'!$C$10:$C$224,$C27,'TL15'!$J$10:$J$224),0),
IF('TL15'!$B$229=M$3,SUMIF('TL15'!$C$238:$C$451,$C27,'TL15'!$J$238:$J$451),0),
IF('TL16'!$B$3=M$3,SUMIF('TL16'!$C$10:$C$224,$C27,'TL16'!$J$10:$J$224),0),
IF('TL16'!$B$229=M$3,SUMIF('TL16'!$C$238:$C$451,$C27,'TL16'!$J$238:$J$451),0),
IF('TL17'!$B$3=M$3,SUMIF('TL17'!$C$10:$C$224,$C27,'TL17'!$J$10:$J$224),0),
IF('TL17'!$B$229=M$3,SUMIF('TL17'!$C$238:$C$451,$C27,'TL17'!$J$238:$J$451),0),
IF('TL18'!$B$3=M$3,SUMIF('TL18'!$C$10:$C$224,$C27,'TL18'!$J$10:$J$224),0),
IF('TL18'!$B$229=M$3,SUMIF('TL18'!$C$238:$C$451,$C27,'TL18'!$J$238:$J$451),0),
IF('TL19'!$B$3=M$3,SUMIF('TL19'!$C$10:$C$224,$C27,'TL19'!$J$10:$J$224),0),
IF('TL19'!$B$229=M$3,SUMIF('TL19'!$C$238:$C$451,$C27,'TL19'!$J$238:$J$451),0)
),0)</f>
        <v/>
      </c>
      <c r="N27" s="9">
        <f>IFERROR(SUM(
IF('TL01'!$B$3=N$3,SUMIF('TL01'!$C$10:$C$224,$C27,'TL01'!$J$10:$J$224),0),
IF('TL01'!$B$229=N$3,SUMIF('TL01'!$C$238:$C$451,$C27,'TL01'!$J$238:$J$451),0),
IF('TL02'!$B$3=N$3,SUMIF('TL02'!$C$10:$C$224,$C27,'TL02'!$J$10:$J$224),0),
IF('TL02'!$B$229=N$3,SUMIF('TL02'!$C$238:$C$451,$C27,'TL02'!$J$238:$J$451),0),
IF('TL03'!$B$3=N$3,SUMIF('TL03'!$C$10:$C$224,$C27,'TL03'!$J$10:$J$224),0),
IF('TL03'!$B$229=N$3,SUMIF('TL03'!$C$238:$C$451,$C27,'TL03'!$J$238:$J$451),0),
IF('TL04'!$B$3=N$3,SUMIF('TL04'!$C$10:$C$224,$C27,'TL04'!$J$10:$J$224),0),
IF('TL04'!$B$229=N$3,SUMIF('TL04'!$C$238:$C$451,$C27,'TL04'!$J$238:$J$451),0),
IF('TL05'!$B$3=N$3,SUMIF('TL05'!$C$10:$C$224,$C27,'TL05'!$J$10:$J$224),0),
IF('TL05'!$B$229=N$3,SUMIF('TL05'!$C$238:$C$451,$C27,'TL05'!$J$238:$J$451),0),
IF('TL06'!$B$3=N$3,SUMIF('TL06'!$C$10:$C$224,$C27,'TL06'!$J$10:$J$224),0),
IF('TL06'!$B$229=N$3,SUMIF('TL06'!$C$238:$C$451,$C27,'TL06'!$J$238:$J$451),0),
IF('TL07'!$B$3=N$3,SUMIF('TL07'!$C$10:$C$224,$C27,'TL07'!$J$10:$J$224),0),
IF('TL07'!$B$229=N$3,SUMIF('TL07'!$C$238:$C$451,$C27,'TL07'!$J$238:$J$451),0),
IF('TL08'!$B$3=N$3,SUMIF('TL08'!$C$10:$C$224,$C27,'TL08'!$J$10:$J$224),0),
IF('TL08'!$B$229=N$3,SUMIF('TL08'!$C$238:$C$451,$C27,'TL08'!$J$238:$J$451),0),
IF('TL09'!$B$3=N$3,SUMIF('TL09'!$C$10:$C$224,$C27,'TL09'!$J$10:$J$224),0),
IF('TL09'!$B$229=N$3,SUMIF('TL09'!$C$238:$C$451,$C27,'TL09'!$J$238:$J$451),0),
IF('TL10'!$B$3=N$3,SUMIF('TL10'!$C$10:$C$224,$C27,'TL10'!$J$10:$J$224),0),
IF('TL10'!$B$229=N$3,SUMIF('TL10'!$C$238:$C$451,$C27,'TL10'!$J$238:$J$451),0),
IF('TL11'!$B$3=N$3,SUMIF('TL11'!$C$10:$C$224,$C27,'TL11'!$J$10:$J$224),0),
IF('TL11'!$B$229=N$3,SUMIF('TL11'!$C$238:$C$451,$C27,'TL11'!$J$238:$J$451),0),
IF('TL12'!$B$3=N$3,SUMIF('TL12'!$C$10:$C$224,$C27,'TL12'!$J$10:$J$224),0),
IF('TL12'!$B$229=N$3,SUMIF('TL12'!$C$238:$C$451,$C27,'TL12'!$J$238:$J$451),0),
IF('TL13'!$B$3=N$3,SUMIF('TL13'!$C$10:$C$224,$C27,'TL13'!$J$10:$J$224),0),
IF('TL13'!$B$229=N$3,SUMIF('TL13'!$C$238:$C$451,$C27,'TL13'!$J$238:$J$451),0),
IF('TL14'!$B$3=N$3,SUMIF('TL14'!$C$10:$C$224,$C27,'TL14'!$J$10:$J$224),0),
IF('TL14'!$B$229=N$3,SUMIF('TL14'!$C$238:$C$451,$C27,'TL14'!$J$238:$J$451),0),
IF('TL15'!$B$3=N$3,SUMIF('TL15'!$C$10:$C$224,$C27,'TL15'!$J$10:$J$224),0),
IF('TL15'!$B$229=N$3,SUMIF('TL15'!$C$238:$C$451,$C27,'TL15'!$J$238:$J$451),0),
IF('TL16'!$B$3=N$3,SUMIF('TL16'!$C$10:$C$224,$C27,'TL16'!$J$10:$J$224),0),
IF('TL16'!$B$229=N$3,SUMIF('TL16'!$C$238:$C$451,$C27,'TL16'!$J$238:$J$451),0),
IF('TL17'!$B$3=N$3,SUMIF('TL17'!$C$10:$C$224,$C27,'TL17'!$J$10:$J$224),0),
IF('TL17'!$B$229=N$3,SUMIF('TL17'!$C$238:$C$451,$C27,'TL17'!$J$238:$J$451),0),
IF('TL18'!$B$3=N$3,SUMIF('TL18'!$C$10:$C$224,$C27,'TL18'!$J$10:$J$224),0),
IF('TL18'!$B$229=N$3,SUMIF('TL18'!$C$238:$C$451,$C27,'TL18'!$J$238:$J$451),0),
IF('TL19'!$B$3=N$3,SUMIF('TL19'!$C$10:$C$224,$C27,'TL19'!$J$10:$J$224),0),
IF('TL19'!$B$229=N$3,SUMIF('TL19'!$C$238:$C$451,$C27,'TL19'!$J$238:$J$451),0)
),0)</f>
        <v/>
      </c>
      <c r="O27" s="9">
        <f>IFERROR(SUM(
IF('TL01'!$B$3=O$3,SUMIF('TL01'!$C$10:$C$224,$C27,'TL01'!$J$10:$J$224),0),
IF('TL01'!$B$229=O$3,SUMIF('TL01'!$C$238:$C$451,$C27,'TL01'!$J$238:$J$451),0),
IF('TL02'!$B$3=O$3,SUMIF('TL02'!$C$10:$C$224,$C27,'TL02'!$J$10:$J$224),0),
IF('TL02'!$B$229=O$3,SUMIF('TL02'!$C$238:$C$451,$C27,'TL02'!$J$238:$J$451),0),
IF('TL03'!$B$3=O$3,SUMIF('TL03'!$C$10:$C$224,$C27,'TL03'!$J$10:$J$224),0),
IF('TL03'!$B$229=O$3,SUMIF('TL03'!$C$238:$C$451,$C27,'TL03'!$J$238:$J$451),0),
IF('TL04'!$B$3=O$3,SUMIF('TL04'!$C$10:$C$224,$C27,'TL04'!$J$10:$J$224),0),
IF('TL04'!$B$229=O$3,SUMIF('TL04'!$C$238:$C$451,$C27,'TL04'!$J$238:$J$451),0),
IF('TL05'!$B$3=O$3,SUMIF('TL05'!$C$10:$C$224,$C27,'TL05'!$J$10:$J$224),0),
IF('TL05'!$B$229=O$3,SUMIF('TL05'!$C$238:$C$451,$C27,'TL05'!$J$238:$J$451),0),
IF('TL06'!$B$3=O$3,SUMIF('TL06'!$C$10:$C$224,$C27,'TL06'!$J$10:$J$224),0),
IF('TL06'!$B$229=O$3,SUMIF('TL06'!$C$238:$C$451,$C27,'TL06'!$J$238:$J$451),0),
IF('TL07'!$B$3=O$3,SUMIF('TL07'!$C$10:$C$224,$C27,'TL07'!$J$10:$J$224),0),
IF('TL07'!$B$229=O$3,SUMIF('TL07'!$C$238:$C$451,$C27,'TL07'!$J$238:$J$451),0),
IF('TL08'!$B$3=O$3,SUMIF('TL08'!$C$10:$C$224,$C27,'TL08'!$J$10:$J$224),0),
IF('TL08'!$B$229=O$3,SUMIF('TL08'!$C$238:$C$451,$C27,'TL08'!$J$238:$J$451),0),
IF('TL09'!$B$3=O$3,SUMIF('TL09'!$C$10:$C$224,$C27,'TL09'!$J$10:$J$224),0),
IF('TL09'!$B$229=O$3,SUMIF('TL09'!$C$238:$C$451,$C27,'TL09'!$J$238:$J$451),0),
IF('TL10'!$B$3=O$3,SUMIF('TL10'!$C$10:$C$224,$C27,'TL10'!$J$10:$J$224),0),
IF('TL10'!$B$229=O$3,SUMIF('TL10'!$C$238:$C$451,$C27,'TL10'!$J$238:$J$451),0),
IF('TL11'!$B$3=O$3,SUMIF('TL11'!$C$10:$C$224,$C27,'TL11'!$J$10:$J$224),0),
IF('TL11'!$B$229=O$3,SUMIF('TL11'!$C$238:$C$451,$C27,'TL11'!$J$238:$J$451),0),
IF('TL12'!$B$3=O$3,SUMIF('TL12'!$C$10:$C$224,$C27,'TL12'!$J$10:$J$224),0),
IF('TL12'!$B$229=O$3,SUMIF('TL12'!$C$238:$C$451,$C27,'TL12'!$J$238:$J$451),0),
IF('TL13'!$B$3=O$3,SUMIF('TL13'!$C$10:$C$224,$C27,'TL13'!$J$10:$J$224),0),
IF('TL13'!$B$229=O$3,SUMIF('TL13'!$C$238:$C$451,$C27,'TL13'!$J$238:$J$451),0),
IF('TL14'!$B$3=O$3,SUMIF('TL14'!$C$10:$C$224,$C27,'TL14'!$J$10:$J$224),0),
IF('TL14'!$B$229=O$3,SUMIF('TL14'!$C$238:$C$451,$C27,'TL14'!$J$238:$J$451),0),
IF('TL15'!$B$3=O$3,SUMIF('TL15'!$C$10:$C$224,$C27,'TL15'!$J$10:$J$224),0),
IF('TL15'!$B$229=O$3,SUMIF('TL15'!$C$238:$C$451,$C27,'TL15'!$J$238:$J$451),0),
IF('TL16'!$B$3=O$3,SUMIF('TL16'!$C$10:$C$224,$C27,'TL16'!$J$10:$J$224),0),
IF('TL16'!$B$229=O$3,SUMIF('TL16'!$C$238:$C$451,$C27,'TL16'!$J$238:$J$451),0),
IF('TL17'!$B$3=O$3,SUMIF('TL17'!$C$10:$C$224,$C27,'TL17'!$J$10:$J$224),0),
IF('TL17'!$B$229=O$3,SUMIF('TL17'!$C$238:$C$451,$C27,'TL17'!$J$238:$J$451),0),
IF('TL18'!$B$3=O$3,SUMIF('TL18'!$C$10:$C$224,$C27,'TL18'!$J$10:$J$224),0),
IF('TL18'!$B$229=O$3,SUMIF('TL18'!$C$238:$C$451,$C27,'TL18'!$J$238:$J$451),0),
IF('TL19'!$B$3=O$3,SUMIF('TL19'!$C$10:$C$224,$C27,'TL19'!$J$10:$J$224),0),
IF('TL19'!$B$229=O$3,SUMIF('TL19'!$C$238:$C$451,$C27,'TL19'!$J$238:$J$451),0)
),0)</f>
        <v/>
      </c>
      <c r="P27" s="9">
        <f>IFERROR(SUM(
IF('TL01'!$B$3=P$3,SUMIF('TL01'!$C$10:$C$224,$C27,'TL01'!$J$10:$J$224),0),
IF('TL01'!$B$229=P$3,SUMIF('TL01'!$C$238:$C$451,$C27,'TL01'!$J$238:$J$451),0),
IF('TL02'!$B$3=P$3,SUMIF('TL02'!$C$10:$C$224,$C27,'TL02'!$J$10:$J$224),0),
IF('TL02'!$B$229=P$3,SUMIF('TL02'!$C$238:$C$451,$C27,'TL02'!$J$238:$J$451),0),
IF('TL03'!$B$3=P$3,SUMIF('TL03'!$C$10:$C$224,$C27,'TL03'!$J$10:$J$224),0),
IF('TL03'!$B$229=P$3,SUMIF('TL03'!$C$238:$C$451,$C27,'TL03'!$J$238:$J$451),0),
IF('TL04'!$B$3=P$3,SUMIF('TL04'!$C$10:$C$224,$C27,'TL04'!$J$10:$J$224),0),
IF('TL04'!$B$229=P$3,SUMIF('TL04'!$C$238:$C$451,$C27,'TL04'!$J$238:$J$451),0),
IF('TL05'!$B$3=P$3,SUMIF('TL05'!$C$10:$C$224,$C27,'TL05'!$J$10:$J$224),0),
IF('TL05'!$B$229=P$3,SUMIF('TL05'!$C$238:$C$451,$C27,'TL05'!$J$238:$J$451),0),
IF('TL06'!$B$3=P$3,SUMIF('TL06'!$C$10:$C$224,$C27,'TL06'!$J$10:$J$224),0),
IF('TL06'!$B$229=P$3,SUMIF('TL06'!$C$238:$C$451,$C27,'TL06'!$J$238:$J$451),0),
IF('TL07'!$B$3=P$3,SUMIF('TL07'!$C$10:$C$224,$C27,'TL07'!$J$10:$J$224),0),
IF('TL07'!$B$229=P$3,SUMIF('TL07'!$C$238:$C$451,$C27,'TL07'!$J$238:$J$451),0),
IF('TL08'!$B$3=P$3,SUMIF('TL08'!$C$10:$C$224,$C27,'TL08'!$J$10:$J$224),0),
IF('TL08'!$B$229=P$3,SUMIF('TL08'!$C$238:$C$451,$C27,'TL08'!$J$238:$J$451),0),
IF('TL09'!$B$3=P$3,SUMIF('TL09'!$C$10:$C$224,$C27,'TL09'!$J$10:$J$224),0),
IF('TL09'!$B$229=P$3,SUMIF('TL09'!$C$238:$C$451,$C27,'TL09'!$J$238:$J$451),0),
IF('TL10'!$B$3=P$3,SUMIF('TL10'!$C$10:$C$224,$C27,'TL10'!$J$10:$J$224),0),
IF('TL10'!$B$229=P$3,SUMIF('TL10'!$C$238:$C$451,$C27,'TL10'!$J$238:$J$451),0),
IF('TL11'!$B$3=P$3,SUMIF('TL11'!$C$10:$C$224,$C27,'TL11'!$J$10:$J$224),0),
IF('TL11'!$B$229=P$3,SUMIF('TL11'!$C$238:$C$451,$C27,'TL11'!$J$238:$J$451),0),
IF('TL12'!$B$3=P$3,SUMIF('TL12'!$C$10:$C$224,$C27,'TL12'!$J$10:$J$224),0),
IF('TL12'!$B$229=P$3,SUMIF('TL12'!$C$238:$C$451,$C27,'TL12'!$J$238:$J$451),0),
IF('TL13'!$B$3=P$3,SUMIF('TL13'!$C$10:$C$224,$C27,'TL13'!$J$10:$J$224),0),
IF('TL13'!$B$229=P$3,SUMIF('TL13'!$C$238:$C$451,$C27,'TL13'!$J$238:$J$451),0),
IF('TL14'!$B$3=P$3,SUMIF('TL14'!$C$10:$C$224,$C27,'TL14'!$J$10:$J$224),0),
IF('TL14'!$B$229=P$3,SUMIF('TL14'!$C$238:$C$451,$C27,'TL14'!$J$238:$J$451),0),
IF('TL15'!$B$3=P$3,SUMIF('TL15'!$C$10:$C$224,$C27,'TL15'!$J$10:$J$224),0),
IF('TL15'!$B$229=P$3,SUMIF('TL15'!$C$238:$C$451,$C27,'TL15'!$J$238:$J$451),0),
IF('TL16'!$B$3=P$3,SUMIF('TL16'!$C$10:$C$224,$C27,'TL16'!$J$10:$J$224),0),
IF('TL16'!$B$229=P$3,SUMIF('TL16'!$C$238:$C$451,$C27,'TL16'!$J$238:$J$451),0),
IF('TL17'!$B$3=P$3,SUMIF('TL17'!$C$10:$C$224,$C27,'TL17'!$J$10:$J$224),0),
IF('TL17'!$B$229=P$3,SUMIF('TL17'!$C$238:$C$451,$C27,'TL17'!$J$238:$J$451),0),
IF('TL18'!$B$3=P$3,SUMIF('TL18'!$C$10:$C$224,$C27,'TL18'!$J$10:$J$224),0),
IF('TL18'!$B$229=P$3,SUMIF('TL18'!$C$238:$C$451,$C27,'TL18'!$J$238:$J$451),0),
IF('TL19'!$B$3=P$3,SUMIF('TL19'!$C$10:$C$224,$C27,'TL19'!$J$10:$J$224),0),
IF('TL19'!$B$229=P$3,SUMIF('TL19'!$C$238:$C$451,$C27,'TL19'!$J$238:$J$451),0)
),0)</f>
        <v/>
      </c>
      <c r="Q27" s="9">
        <f>IFERROR(SUM(
IF('TL01'!$B$3=Q$3,SUMIF('TL01'!$C$10:$C$224,$C27,'TL01'!$J$10:$J$224),0),
IF('TL01'!$B$229=Q$3,SUMIF('TL01'!$C$238:$C$451,$C27,'TL01'!$J$238:$J$451),0),
IF('TL02'!$B$3=Q$3,SUMIF('TL02'!$C$10:$C$224,$C27,'TL02'!$J$10:$J$224),0),
IF('TL02'!$B$229=Q$3,SUMIF('TL02'!$C$238:$C$451,$C27,'TL02'!$J$238:$J$451),0),
IF('TL03'!$B$3=Q$3,SUMIF('TL03'!$C$10:$C$224,$C27,'TL03'!$J$10:$J$224),0),
IF('TL03'!$B$229=Q$3,SUMIF('TL03'!$C$238:$C$451,$C27,'TL03'!$J$238:$J$451),0),
IF('TL04'!$B$3=Q$3,SUMIF('TL04'!$C$10:$C$224,$C27,'TL04'!$J$10:$J$224),0),
IF('TL04'!$B$229=Q$3,SUMIF('TL04'!$C$238:$C$451,$C27,'TL04'!$J$238:$J$451),0),
IF('TL05'!$B$3=Q$3,SUMIF('TL05'!$C$10:$C$224,$C27,'TL05'!$J$10:$J$224),0),
IF('TL05'!$B$229=Q$3,SUMIF('TL05'!$C$238:$C$451,$C27,'TL05'!$J$238:$J$451),0),
IF('TL06'!$B$3=Q$3,SUMIF('TL06'!$C$10:$C$224,$C27,'TL06'!$J$10:$J$224),0),
IF('TL06'!$B$229=Q$3,SUMIF('TL06'!$C$238:$C$451,$C27,'TL06'!$J$238:$J$451),0),
IF('TL07'!$B$3=Q$3,SUMIF('TL07'!$C$10:$C$224,$C27,'TL07'!$J$10:$J$224),0),
IF('TL07'!$B$229=Q$3,SUMIF('TL07'!$C$238:$C$451,$C27,'TL07'!$J$238:$J$451),0),
IF('TL08'!$B$3=Q$3,SUMIF('TL08'!$C$10:$C$224,$C27,'TL08'!$J$10:$J$224),0),
IF('TL08'!$B$229=Q$3,SUMIF('TL08'!$C$238:$C$451,$C27,'TL08'!$J$238:$J$451),0),
IF('TL09'!$B$3=Q$3,SUMIF('TL09'!$C$10:$C$224,$C27,'TL09'!$J$10:$J$224),0),
IF('TL09'!$B$229=Q$3,SUMIF('TL09'!$C$238:$C$451,$C27,'TL09'!$J$238:$J$451),0),
IF('TL10'!$B$3=Q$3,SUMIF('TL10'!$C$10:$C$224,$C27,'TL10'!$J$10:$J$224),0),
IF('TL10'!$B$229=Q$3,SUMIF('TL10'!$C$238:$C$451,$C27,'TL10'!$J$238:$J$451),0),
IF('TL11'!$B$3=Q$3,SUMIF('TL11'!$C$10:$C$224,$C27,'TL11'!$J$10:$J$224),0),
IF('TL11'!$B$229=Q$3,SUMIF('TL11'!$C$238:$C$451,$C27,'TL11'!$J$238:$J$451),0),
IF('TL12'!$B$3=Q$3,SUMIF('TL12'!$C$10:$C$224,$C27,'TL12'!$J$10:$J$224),0),
IF('TL12'!$B$229=Q$3,SUMIF('TL12'!$C$238:$C$451,$C27,'TL12'!$J$238:$J$451),0),
IF('TL13'!$B$3=Q$3,SUMIF('TL13'!$C$10:$C$224,$C27,'TL13'!$J$10:$J$224),0),
IF('TL13'!$B$229=Q$3,SUMIF('TL13'!$C$238:$C$451,$C27,'TL13'!$J$238:$J$451),0),
IF('TL14'!$B$3=Q$3,SUMIF('TL14'!$C$10:$C$224,$C27,'TL14'!$J$10:$J$224),0),
IF('TL14'!$B$229=Q$3,SUMIF('TL14'!$C$238:$C$451,$C27,'TL14'!$J$238:$J$451),0),
IF('TL15'!$B$3=Q$3,SUMIF('TL15'!$C$10:$C$224,$C27,'TL15'!$J$10:$J$224),0),
IF('TL15'!$B$229=Q$3,SUMIF('TL15'!$C$238:$C$451,$C27,'TL15'!$J$238:$J$451),0),
IF('TL16'!$B$3=Q$3,SUMIF('TL16'!$C$10:$C$224,$C27,'TL16'!$J$10:$J$224),0),
IF('TL16'!$B$229=Q$3,SUMIF('TL16'!$C$238:$C$451,$C27,'TL16'!$J$238:$J$451),0),
IF('TL17'!$B$3=Q$3,SUMIF('TL17'!$C$10:$C$224,$C27,'TL17'!$J$10:$J$224),0),
IF('TL17'!$B$229=Q$3,SUMIF('TL17'!$C$238:$C$451,$C27,'TL17'!$J$238:$J$451),0),
IF('TL18'!$B$3=Q$3,SUMIF('TL18'!$C$10:$C$224,$C27,'TL18'!$J$10:$J$224),0),
IF('TL18'!$B$229=Q$3,SUMIF('TL18'!$C$238:$C$451,$C27,'TL18'!$J$238:$J$451),0),
IF('TL19'!$B$3=Q$3,SUMIF('TL19'!$C$10:$C$224,$C27,'TL19'!$J$10:$J$224),0),
IF('TL19'!$B$229=Q$3,SUMIF('TL19'!$C$238:$C$451,$C27,'TL19'!$J$238:$J$451),0)
),0)</f>
        <v/>
      </c>
      <c r="R27" s="9">
        <f>IFERROR(
SUM(
SUMIF('TL01'!C:C,C27,'TL01'!J:J),
SUMIF('TL02'!C:C,C27,'TL02'!J:J),
SUMIF('TL03'!C:C,C27,'TL03'!J:J),
SUMIF('TL04'!C:C,C27,'TL04'!J:J),
SUMIF('TL05'!C:C,C27,'TL05'!J:J),
SUMIF('TL06'!C:C,C27,'TL06'!J:J),
SUMIF('TL07'!C:C,C27,'TL07'!J:J),
SUMIF('TL08'!C:C,C27,'TL08'!J:J),
SUMIF('TL09'!C:C,C27,'TL09'!J:J),
SUMIF('TL10'!C:C,C27,'TL10'!J:J),
SUMIF('TL11'!C:C,C27,'TL11'!J:J),
SUMIF('TL12'!C:C,C27,'TL12'!J:J),
SUMIF('TL13'!C:C,C27,'TL13'!J:J),
SUMIF('TL14'!C:C,C27,'TL14'!J:J),
SUMIF('TL15'!C:C,C27,'TL15'!J:J),
SUMIF('TL16'!C:C,C27,'TL16'!J:J),
SUMIF('TL17'!C:C,C27,'TL17'!J:J),
SUMIF('TL18'!C:C,C27,'TL18'!J:J),SUMIF('TL19'!C:C,C27,'TL19'!J:J))
,0)</f>
        <v/>
      </c>
      <c r="S27" s="17">
        <f>IFERROR(__xludf.DUMMYFUNCTION("IFERROR(VLOOKUP(C27,
IMPORTRANGE(""1wULbzX32WdYsx-lj2U3uUNBBe2INVIRDtcK0d-Dvl90"",
""26-27!C:G""),
5,
FALSE),
"""")"),"")</f>
        <v/>
      </c>
      <c r="T27" s="9" t="n"/>
      <c r="U27" s="92">
        <f>MAX(0,R27-T27)</f>
        <v/>
      </c>
      <c r="V27" s="93">
        <f>U27*S27</f>
        <v/>
      </c>
    </row>
    <row r="28" hidden="1" ht="22.5" customHeight="1" s="297">
      <c r="A28" s="101" t="n"/>
      <c r="B28" s="102" t="inlineStr">
        <is>
          <t>FERTILIZANTES</t>
        </is>
      </c>
      <c r="C28" s="103" t="inlineStr">
        <is>
          <t>10-46-00 + S</t>
        </is>
      </c>
      <c r="D28" s="103" t="inlineStr">
        <is>
          <t>N 10 P46</t>
        </is>
      </c>
      <c r="E28" s="104" t="n"/>
      <c r="F28" s="4" t="inlineStr">
        <is>
          <t>Ton</t>
        </is>
      </c>
      <c r="G28" s="9" t="n"/>
      <c r="H28" s="9">
        <f>IFERROR(__xludf.DUMMYFUNCTION("IFERROR(VLOOKUP(C28,
IMPORTRANGE(""1wULbzX32WdYsx-lj2U3uUNBBe2INVIRDtcK0d-Dvl90"",
""26-27!C:K""),
8,
FALSE),
"""")"),"")</f>
        <v/>
      </c>
      <c r="I28" s="105" t="n"/>
      <c r="J28" s="9">
        <f>IFERROR(SUM(
IF('TL01'!$B$3=J$3,SUMIF('TL01'!$C$10:$C$224,$C28,'TL01'!$J$10:$J$224),0),
IF('TL01'!$B$229=J$3,SUMIF('TL01'!$C$238:$C$451,$C28,'TL01'!$J$238:$J$451),0),
IF('TL02'!$B$3=J$3,SUMIF('TL02'!$C$10:$C$224,$C28,'TL02'!$J$10:$J$224),0),
IF('TL02'!$B$229=J$3,SUMIF('TL02'!$C$238:$C$451,$C28,'TL02'!$J$238:$J$451),0),
IF('TL03'!$B$3=J$3,SUMIF('TL03'!$C$10:$C$224,$C28,'TL03'!$J$10:$J$224),0),
IF('TL03'!$B$229=J$3,SUMIF('TL03'!$C$238:$C$451,$C28,'TL03'!$J$238:$J$451),0),
IF('TL04'!$B$3=J$3,SUMIF('TL04'!$C$10:$C$224,$C28,'TL04'!$J$10:$J$224),0),
IF('TL04'!$B$229=J$3,SUMIF('TL04'!$C$238:$C$451,$C28,'TL04'!$J$238:$J$451),0),
IF('TL05'!$B$3=J$3,SUMIF('TL05'!$C$10:$C$224,$C28,'TL05'!$J$10:$J$224),0),
IF('TL05'!$B$229=J$3,SUMIF('TL05'!$C$238:$C$451,$C28,'TL05'!$J$238:$J$451),0),
IF('TL06'!$B$3=J$3,SUMIF('TL06'!$C$10:$C$224,$C28,'TL06'!$J$10:$J$224),0),
IF('TL06'!$B$229=J$3,SUMIF('TL06'!$C$238:$C$451,$C28,'TL06'!$J$238:$J$451),0),
IF('TL07'!$B$3=J$3,SUMIF('TL07'!$C$10:$C$224,$C28,'TL07'!$J$10:$J$224),0),
IF('TL07'!$B$229=J$3,SUMIF('TL07'!$C$238:$C$451,$C28,'TL07'!$J$238:$J$451),0),
IF('TL08'!$B$3=J$3,SUMIF('TL08'!$C$10:$C$224,$C28,'TL08'!$J$10:$J$224),0),
IF('TL08'!$B$229=J$3,SUMIF('TL08'!$C$238:$C$451,$C28,'TL08'!$J$238:$J$451),0),
IF('TL09'!$B$3=J$3,SUMIF('TL09'!$C$10:$C$224,$C28,'TL09'!$J$10:$J$224),0),
IF('TL09'!$B$229=J$3,SUMIF('TL09'!$C$238:$C$451,$C28,'TL09'!$J$238:$J$451),0),
IF('TL10'!$B$3=J$3,SUMIF('TL10'!$C$10:$C$224,$C28,'TL10'!$J$10:$J$224),0),
IF('TL10'!$B$229=J$3,SUMIF('TL10'!$C$238:$C$451,$C28,'TL10'!$J$238:$J$451),0),
IF('TL11'!$B$3=J$3,SUMIF('TL11'!$C$10:$C$224,$C28,'TL11'!$J$10:$J$224),0),
IF('TL11'!$B$229=J$3,SUMIF('TL11'!$C$238:$C$451,$C28,'TL11'!$J$238:$J$451),0),
IF('TL12'!$B$3=J$3,SUMIF('TL12'!$C$10:$C$224,$C28,'TL12'!$J$10:$J$224),0),
IF('TL12'!$B$229=J$3,SUMIF('TL12'!$C$238:$C$451,$C28,'TL12'!$J$238:$J$451),0),
IF('TL13'!$B$3=J$3,SUMIF('TL13'!$C$10:$C$224,$C28,'TL13'!$J$10:$J$224),0),
IF('TL13'!$B$229=J$3,SUMIF('TL13'!$C$238:$C$451,$C28,'TL13'!$J$238:$J$451),0),
IF('TL14'!$B$3=J$3,SUMIF('TL14'!$C$10:$C$224,$C28,'TL14'!$J$10:$J$224),0),
IF('TL14'!$B$229=J$3,SUMIF('TL14'!$C$238:$C$451,$C28,'TL14'!$J$238:$J$451),0),
IF('TL15'!$B$3=J$3,SUMIF('TL15'!$C$10:$C$224,$C28,'TL15'!$J$10:$J$224),0),
IF('TL15'!$B$229=J$3,SUMIF('TL15'!$C$238:$C$451,$C28,'TL15'!$J$238:$J$451),0),
IF('TL16'!$B$3=J$3,SUMIF('TL16'!$C$10:$C$224,$C28,'TL16'!$J$10:$J$224),0),
IF('TL16'!$B$229=J$3,SUMIF('TL16'!$C$238:$C$451,$C28,'TL16'!$J$238:$J$451),0),
IF('TL17'!$B$3=J$3,SUMIF('TL17'!$C$10:$C$224,$C28,'TL17'!$J$10:$J$224),0),
IF('TL17'!$B$229=J$3,SUMIF('TL17'!$C$238:$C$451,$C28,'TL17'!$J$238:$J$451),0),
IF('TL18'!$B$3=J$3,SUMIF('TL18'!$C$10:$C$224,$C28,'TL18'!$J$10:$J$224),0),
IF('TL18'!$B$229=J$3,SUMIF('TL18'!$C$238:$C$451,$C28,'TL18'!$J$238:$J$451),0),
IF('TL19'!$B$3=J$3,SUMIF('TL19'!$C$10:$C$224,$C28,'TL19'!$J$10:$J$224),0),
IF('TL19'!$B$229=J$3,SUMIF('TL19'!$C$238:$C$451,$C28,'TL19'!$J$238:$J$451),0)
),0)</f>
        <v/>
      </c>
      <c r="K28" s="9">
        <f>IFERROR(SUM(
IF('TL01'!$B$3=K$3,SUMIF('TL01'!$C$10:$C$224,$C28,'TL01'!$J$10:$J$224),0),
IF('TL01'!$B$229=K$3,SUMIF('TL01'!$C$238:$C$451,$C28,'TL01'!$J$238:$J$451),0),
IF('TL02'!$B$3=K$3,SUMIF('TL02'!$C$10:$C$224,$C28,'TL02'!$J$10:$J$224),0),
IF('TL02'!$B$229=K$3,SUMIF('TL02'!$C$238:$C$451,$C28,'TL02'!$J$238:$J$451),0),
IF('TL03'!$B$3=K$3,SUMIF('TL03'!$C$10:$C$224,$C28,'TL03'!$J$10:$J$224),0),
IF('TL03'!$B$229=K$3,SUMIF('TL03'!$C$238:$C$451,$C28,'TL03'!$J$238:$J$451),0),
IF('TL04'!$B$3=K$3,SUMIF('TL04'!$C$10:$C$224,$C28,'TL04'!$J$10:$J$224),0),
IF('TL04'!$B$229=K$3,SUMIF('TL04'!$C$238:$C$451,$C28,'TL04'!$J$238:$J$451),0),
IF('TL05'!$B$3=K$3,SUMIF('TL05'!$C$10:$C$224,$C28,'TL05'!$J$10:$J$224),0),
IF('TL05'!$B$229=K$3,SUMIF('TL05'!$C$238:$C$451,$C28,'TL05'!$J$238:$J$451),0),
IF('TL06'!$B$3=K$3,SUMIF('TL06'!$C$10:$C$224,$C28,'TL06'!$J$10:$J$224),0),
IF('TL06'!$B$229=K$3,SUMIF('TL06'!$C$238:$C$451,$C28,'TL06'!$J$238:$J$451),0),
IF('TL07'!$B$3=K$3,SUMIF('TL07'!$C$10:$C$224,$C28,'TL07'!$J$10:$J$224),0),
IF('TL07'!$B$229=K$3,SUMIF('TL07'!$C$238:$C$451,$C28,'TL07'!$J$238:$J$451),0),
IF('TL08'!$B$3=K$3,SUMIF('TL08'!$C$10:$C$224,$C28,'TL08'!$J$10:$J$224),0),
IF('TL08'!$B$229=K$3,SUMIF('TL08'!$C$238:$C$451,$C28,'TL08'!$J$238:$J$451),0),
IF('TL09'!$B$3=K$3,SUMIF('TL09'!$C$10:$C$224,$C28,'TL09'!$J$10:$J$224),0),
IF('TL09'!$B$229=K$3,SUMIF('TL09'!$C$238:$C$451,$C28,'TL09'!$J$238:$J$451),0),
IF('TL10'!$B$3=K$3,SUMIF('TL10'!$C$10:$C$224,$C28,'TL10'!$J$10:$J$224),0),
IF('TL10'!$B$229=K$3,SUMIF('TL10'!$C$238:$C$451,$C28,'TL10'!$J$238:$J$451),0),
IF('TL11'!$B$3=K$3,SUMIF('TL11'!$C$10:$C$224,$C28,'TL11'!$J$10:$J$224),0),
IF('TL11'!$B$229=K$3,SUMIF('TL11'!$C$238:$C$451,$C28,'TL11'!$J$238:$J$451),0),
IF('TL12'!$B$3=K$3,SUMIF('TL12'!$C$10:$C$224,$C28,'TL12'!$J$10:$J$224),0),
IF('TL12'!$B$229=K$3,SUMIF('TL12'!$C$238:$C$451,$C28,'TL12'!$J$238:$J$451),0),
IF('TL13'!$B$3=K$3,SUMIF('TL13'!$C$10:$C$224,$C28,'TL13'!$J$10:$J$224),0),
IF('TL13'!$B$229=K$3,SUMIF('TL13'!$C$238:$C$451,$C28,'TL13'!$J$238:$J$451),0),
IF('TL14'!$B$3=K$3,SUMIF('TL14'!$C$10:$C$224,$C28,'TL14'!$J$10:$J$224),0),
IF('TL14'!$B$229=K$3,SUMIF('TL14'!$C$238:$C$451,$C28,'TL14'!$J$238:$J$451),0),
IF('TL15'!$B$3=K$3,SUMIF('TL15'!$C$10:$C$224,$C28,'TL15'!$J$10:$J$224),0),
IF('TL15'!$B$229=K$3,SUMIF('TL15'!$C$238:$C$451,$C28,'TL15'!$J$238:$J$451),0),
IF('TL16'!$B$3=K$3,SUMIF('TL16'!$C$10:$C$224,$C28,'TL16'!$J$10:$J$224),0),
IF('TL16'!$B$229=K$3,SUMIF('TL16'!$C$238:$C$451,$C28,'TL16'!$J$238:$J$451),0),
IF('TL17'!$B$3=K$3,SUMIF('TL17'!$C$10:$C$224,$C28,'TL17'!$J$10:$J$224),0),
IF('TL17'!$B$229=K$3,SUMIF('TL17'!$C$238:$C$451,$C28,'TL17'!$J$238:$J$451),0),
IF('TL18'!$B$3=K$3,SUMIF('TL18'!$C$10:$C$224,$C28,'TL18'!$J$10:$J$224),0),
IF('TL18'!$B$229=K$3,SUMIF('TL18'!$C$238:$C$451,$C28,'TL18'!$J$238:$J$451),0),
IF('TL19'!$B$3=K$3,SUMIF('TL19'!$C$10:$C$224,$C28,'TL19'!$J$10:$J$224),0),
IF('TL19'!$B$229=K$3,SUMIF('TL19'!$C$238:$C$451,$C28,'TL19'!$J$238:$J$451),0)
),0)</f>
        <v/>
      </c>
      <c r="L28" s="9">
        <f>IFERROR(SUM(
IF('TL01'!$B$3=L$3,SUMIF('TL01'!$C$10:$C$224,$C28,'TL01'!$J$10:$J$224),0),
IF('TL01'!$B$229=L$3,SUMIF('TL01'!$C$238:$C$451,$C28,'TL01'!$J$238:$J$451),0),
IF('TL02'!$B$3=L$3,SUMIF('TL02'!$C$10:$C$224,$C28,'TL02'!$J$10:$J$224),0),
IF('TL02'!$B$229=L$3,SUMIF('TL02'!$C$238:$C$451,$C28,'TL02'!$J$238:$J$451),0),
IF('TL03'!$B$3=L$3,SUMIF('TL03'!$C$10:$C$224,$C28,'TL03'!$J$10:$J$224),0),
IF('TL03'!$B$229=L$3,SUMIF('TL03'!$C$238:$C$451,$C28,'TL03'!$J$238:$J$451),0),
IF('TL04'!$B$3=L$3,SUMIF('TL04'!$C$10:$C$224,$C28,'TL04'!$J$10:$J$224),0),
IF('TL04'!$B$229=L$3,SUMIF('TL04'!$C$238:$C$451,$C28,'TL04'!$J$238:$J$451),0),
IF('TL05'!$B$3=L$3,SUMIF('TL05'!$C$10:$C$224,$C28,'TL05'!$J$10:$J$224),0),
IF('TL05'!$B$229=L$3,SUMIF('TL05'!$C$238:$C$451,$C28,'TL05'!$J$238:$J$451),0),
IF('TL06'!$B$3=L$3,SUMIF('TL06'!$C$10:$C$224,$C28,'TL06'!$J$10:$J$224),0),
IF('TL06'!$B$229=L$3,SUMIF('TL06'!$C$238:$C$451,$C28,'TL06'!$J$238:$J$451),0),
IF('TL07'!$B$3=L$3,SUMIF('TL07'!$C$10:$C$224,$C28,'TL07'!$J$10:$J$224),0),
IF('TL07'!$B$229=L$3,SUMIF('TL07'!$C$238:$C$451,$C28,'TL07'!$J$238:$J$451),0),
IF('TL08'!$B$3=L$3,SUMIF('TL08'!$C$10:$C$224,$C28,'TL08'!$J$10:$J$224),0),
IF('TL08'!$B$229=L$3,SUMIF('TL08'!$C$238:$C$451,$C28,'TL08'!$J$238:$J$451),0),
IF('TL09'!$B$3=L$3,SUMIF('TL09'!$C$10:$C$224,$C28,'TL09'!$J$10:$J$224),0),
IF('TL09'!$B$229=L$3,SUMIF('TL09'!$C$238:$C$451,$C28,'TL09'!$J$238:$J$451),0),
IF('TL10'!$B$3=L$3,SUMIF('TL10'!$C$10:$C$224,$C28,'TL10'!$J$10:$J$224),0),
IF('TL10'!$B$229=L$3,SUMIF('TL10'!$C$238:$C$451,$C28,'TL10'!$J$238:$J$451),0),
IF('TL11'!$B$3=L$3,SUMIF('TL11'!$C$10:$C$224,$C28,'TL11'!$J$10:$J$224),0),
IF('TL11'!$B$229=L$3,SUMIF('TL11'!$C$238:$C$451,$C28,'TL11'!$J$238:$J$451),0),
IF('TL12'!$B$3=L$3,SUMIF('TL12'!$C$10:$C$224,$C28,'TL12'!$J$10:$J$224),0),
IF('TL12'!$B$229=L$3,SUMIF('TL12'!$C$238:$C$451,$C28,'TL12'!$J$238:$J$451),0),
IF('TL13'!$B$3=L$3,SUMIF('TL13'!$C$10:$C$224,$C28,'TL13'!$J$10:$J$224),0),
IF('TL13'!$B$229=L$3,SUMIF('TL13'!$C$238:$C$451,$C28,'TL13'!$J$238:$J$451),0),
IF('TL14'!$B$3=L$3,SUMIF('TL14'!$C$10:$C$224,$C28,'TL14'!$J$10:$J$224),0),
IF('TL14'!$B$229=L$3,SUMIF('TL14'!$C$238:$C$451,$C28,'TL14'!$J$238:$J$451),0),
IF('TL15'!$B$3=L$3,SUMIF('TL15'!$C$10:$C$224,$C28,'TL15'!$J$10:$J$224),0),
IF('TL15'!$B$229=L$3,SUMIF('TL15'!$C$238:$C$451,$C28,'TL15'!$J$238:$J$451),0),
IF('TL16'!$B$3=L$3,SUMIF('TL16'!$C$10:$C$224,$C28,'TL16'!$J$10:$J$224),0),
IF('TL16'!$B$229=L$3,SUMIF('TL16'!$C$238:$C$451,$C28,'TL16'!$J$238:$J$451),0),
IF('TL17'!$B$3=L$3,SUMIF('TL17'!$C$10:$C$224,$C28,'TL17'!$J$10:$J$224),0),
IF('TL17'!$B$229=L$3,SUMIF('TL17'!$C$238:$C$451,$C28,'TL17'!$J$238:$J$451),0),
IF('TL18'!$B$3=L$3,SUMIF('TL18'!$C$10:$C$224,$C28,'TL18'!$J$10:$J$224),0),
IF('TL18'!$B$229=L$3,SUMIF('TL18'!$C$238:$C$451,$C28,'TL18'!$J$238:$J$451),0),
IF('TL19'!$B$3=L$3,SUMIF('TL19'!$C$10:$C$224,$C28,'TL19'!$J$10:$J$224),0),
IF('TL19'!$B$229=L$3,SUMIF('TL19'!$C$238:$C$451,$C28,'TL19'!$J$238:$J$451),0)
),0)</f>
        <v/>
      </c>
      <c r="M28" s="9">
        <f>IFERROR(SUM(
IF('TL01'!$B$3=M$3,SUMIF('TL01'!$C$10:$C$224,$C28,'TL01'!$J$10:$J$224),0),
IF('TL01'!$B$229=M$3,SUMIF('TL01'!$C$238:$C$451,$C28,'TL01'!$J$238:$J$451),0),
IF('TL02'!$B$3=M$3,SUMIF('TL02'!$C$10:$C$224,$C28,'TL02'!$J$10:$J$224),0),
IF('TL02'!$B$229=M$3,SUMIF('TL02'!$C$238:$C$451,$C28,'TL02'!$J$238:$J$451),0),
IF('TL03'!$B$3=M$3,SUMIF('TL03'!$C$10:$C$224,$C28,'TL03'!$J$10:$J$224),0),
IF('TL03'!$B$229=M$3,SUMIF('TL03'!$C$238:$C$451,$C28,'TL03'!$J$238:$J$451),0),
IF('TL04'!$B$3=M$3,SUMIF('TL04'!$C$10:$C$224,$C28,'TL04'!$J$10:$J$224),0),
IF('TL04'!$B$229=M$3,SUMIF('TL04'!$C$238:$C$451,$C28,'TL04'!$J$238:$J$451),0),
IF('TL05'!$B$3=M$3,SUMIF('TL05'!$C$10:$C$224,$C28,'TL05'!$J$10:$J$224),0),
IF('TL05'!$B$229=M$3,SUMIF('TL05'!$C$238:$C$451,$C28,'TL05'!$J$238:$J$451),0),
IF('TL06'!$B$3=M$3,SUMIF('TL06'!$C$10:$C$224,$C28,'TL06'!$J$10:$J$224),0),
IF('TL06'!$B$229=M$3,SUMIF('TL06'!$C$238:$C$451,$C28,'TL06'!$J$238:$J$451),0),
IF('TL07'!$B$3=M$3,SUMIF('TL07'!$C$10:$C$224,$C28,'TL07'!$J$10:$J$224),0),
IF('TL07'!$B$229=M$3,SUMIF('TL07'!$C$238:$C$451,$C28,'TL07'!$J$238:$J$451),0),
IF('TL08'!$B$3=M$3,SUMIF('TL08'!$C$10:$C$224,$C28,'TL08'!$J$10:$J$224),0),
IF('TL08'!$B$229=M$3,SUMIF('TL08'!$C$238:$C$451,$C28,'TL08'!$J$238:$J$451),0),
IF('TL09'!$B$3=M$3,SUMIF('TL09'!$C$10:$C$224,$C28,'TL09'!$J$10:$J$224),0),
IF('TL09'!$B$229=M$3,SUMIF('TL09'!$C$238:$C$451,$C28,'TL09'!$J$238:$J$451),0),
IF('TL10'!$B$3=M$3,SUMIF('TL10'!$C$10:$C$224,$C28,'TL10'!$J$10:$J$224),0),
IF('TL10'!$B$229=M$3,SUMIF('TL10'!$C$238:$C$451,$C28,'TL10'!$J$238:$J$451),0),
IF('TL11'!$B$3=M$3,SUMIF('TL11'!$C$10:$C$224,$C28,'TL11'!$J$10:$J$224),0),
IF('TL11'!$B$229=M$3,SUMIF('TL11'!$C$238:$C$451,$C28,'TL11'!$J$238:$J$451),0),
IF('TL12'!$B$3=M$3,SUMIF('TL12'!$C$10:$C$224,$C28,'TL12'!$J$10:$J$224),0),
IF('TL12'!$B$229=M$3,SUMIF('TL12'!$C$238:$C$451,$C28,'TL12'!$J$238:$J$451),0),
IF('TL13'!$B$3=M$3,SUMIF('TL13'!$C$10:$C$224,$C28,'TL13'!$J$10:$J$224),0),
IF('TL13'!$B$229=M$3,SUMIF('TL13'!$C$238:$C$451,$C28,'TL13'!$J$238:$J$451),0),
IF('TL14'!$B$3=M$3,SUMIF('TL14'!$C$10:$C$224,$C28,'TL14'!$J$10:$J$224),0),
IF('TL14'!$B$229=M$3,SUMIF('TL14'!$C$238:$C$451,$C28,'TL14'!$J$238:$J$451),0),
IF('TL15'!$B$3=M$3,SUMIF('TL15'!$C$10:$C$224,$C28,'TL15'!$J$10:$J$224),0),
IF('TL15'!$B$229=M$3,SUMIF('TL15'!$C$238:$C$451,$C28,'TL15'!$J$238:$J$451),0),
IF('TL16'!$B$3=M$3,SUMIF('TL16'!$C$10:$C$224,$C28,'TL16'!$J$10:$J$224),0),
IF('TL16'!$B$229=M$3,SUMIF('TL16'!$C$238:$C$451,$C28,'TL16'!$J$238:$J$451),0),
IF('TL17'!$B$3=M$3,SUMIF('TL17'!$C$10:$C$224,$C28,'TL17'!$J$10:$J$224),0),
IF('TL17'!$B$229=M$3,SUMIF('TL17'!$C$238:$C$451,$C28,'TL17'!$J$238:$J$451),0),
IF('TL18'!$B$3=M$3,SUMIF('TL18'!$C$10:$C$224,$C28,'TL18'!$J$10:$J$224),0),
IF('TL18'!$B$229=M$3,SUMIF('TL18'!$C$238:$C$451,$C28,'TL18'!$J$238:$J$451),0),
IF('TL19'!$B$3=M$3,SUMIF('TL19'!$C$10:$C$224,$C28,'TL19'!$J$10:$J$224),0),
IF('TL19'!$B$229=M$3,SUMIF('TL19'!$C$238:$C$451,$C28,'TL19'!$J$238:$J$451),0)
),0)</f>
        <v/>
      </c>
      <c r="N28" s="9">
        <f>IFERROR(SUM(
IF('TL01'!$B$3=N$3,SUMIF('TL01'!$C$10:$C$224,$C28,'TL01'!$J$10:$J$224),0),
IF('TL01'!$B$229=N$3,SUMIF('TL01'!$C$238:$C$451,$C28,'TL01'!$J$238:$J$451),0),
IF('TL02'!$B$3=N$3,SUMIF('TL02'!$C$10:$C$224,$C28,'TL02'!$J$10:$J$224),0),
IF('TL02'!$B$229=N$3,SUMIF('TL02'!$C$238:$C$451,$C28,'TL02'!$J$238:$J$451),0),
IF('TL03'!$B$3=N$3,SUMIF('TL03'!$C$10:$C$224,$C28,'TL03'!$J$10:$J$224),0),
IF('TL03'!$B$229=N$3,SUMIF('TL03'!$C$238:$C$451,$C28,'TL03'!$J$238:$J$451),0),
IF('TL04'!$B$3=N$3,SUMIF('TL04'!$C$10:$C$224,$C28,'TL04'!$J$10:$J$224),0),
IF('TL04'!$B$229=N$3,SUMIF('TL04'!$C$238:$C$451,$C28,'TL04'!$J$238:$J$451),0),
IF('TL05'!$B$3=N$3,SUMIF('TL05'!$C$10:$C$224,$C28,'TL05'!$J$10:$J$224),0),
IF('TL05'!$B$229=N$3,SUMIF('TL05'!$C$238:$C$451,$C28,'TL05'!$J$238:$J$451),0),
IF('TL06'!$B$3=N$3,SUMIF('TL06'!$C$10:$C$224,$C28,'TL06'!$J$10:$J$224),0),
IF('TL06'!$B$229=N$3,SUMIF('TL06'!$C$238:$C$451,$C28,'TL06'!$J$238:$J$451),0),
IF('TL07'!$B$3=N$3,SUMIF('TL07'!$C$10:$C$224,$C28,'TL07'!$J$10:$J$224),0),
IF('TL07'!$B$229=N$3,SUMIF('TL07'!$C$238:$C$451,$C28,'TL07'!$J$238:$J$451),0),
IF('TL08'!$B$3=N$3,SUMIF('TL08'!$C$10:$C$224,$C28,'TL08'!$J$10:$J$224),0),
IF('TL08'!$B$229=N$3,SUMIF('TL08'!$C$238:$C$451,$C28,'TL08'!$J$238:$J$451),0),
IF('TL09'!$B$3=N$3,SUMIF('TL09'!$C$10:$C$224,$C28,'TL09'!$J$10:$J$224),0),
IF('TL09'!$B$229=N$3,SUMIF('TL09'!$C$238:$C$451,$C28,'TL09'!$J$238:$J$451),0),
IF('TL10'!$B$3=N$3,SUMIF('TL10'!$C$10:$C$224,$C28,'TL10'!$J$10:$J$224),0),
IF('TL10'!$B$229=N$3,SUMIF('TL10'!$C$238:$C$451,$C28,'TL10'!$J$238:$J$451),0),
IF('TL11'!$B$3=N$3,SUMIF('TL11'!$C$10:$C$224,$C28,'TL11'!$J$10:$J$224),0),
IF('TL11'!$B$229=N$3,SUMIF('TL11'!$C$238:$C$451,$C28,'TL11'!$J$238:$J$451),0),
IF('TL12'!$B$3=N$3,SUMIF('TL12'!$C$10:$C$224,$C28,'TL12'!$J$10:$J$224),0),
IF('TL12'!$B$229=N$3,SUMIF('TL12'!$C$238:$C$451,$C28,'TL12'!$J$238:$J$451),0),
IF('TL13'!$B$3=N$3,SUMIF('TL13'!$C$10:$C$224,$C28,'TL13'!$J$10:$J$224),0),
IF('TL13'!$B$229=N$3,SUMIF('TL13'!$C$238:$C$451,$C28,'TL13'!$J$238:$J$451),0),
IF('TL14'!$B$3=N$3,SUMIF('TL14'!$C$10:$C$224,$C28,'TL14'!$J$10:$J$224),0),
IF('TL14'!$B$229=N$3,SUMIF('TL14'!$C$238:$C$451,$C28,'TL14'!$J$238:$J$451),0),
IF('TL15'!$B$3=N$3,SUMIF('TL15'!$C$10:$C$224,$C28,'TL15'!$J$10:$J$224),0),
IF('TL15'!$B$229=N$3,SUMIF('TL15'!$C$238:$C$451,$C28,'TL15'!$J$238:$J$451),0),
IF('TL16'!$B$3=N$3,SUMIF('TL16'!$C$10:$C$224,$C28,'TL16'!$J$10:$J$224),0),
IF('TL16'!$B$229=N$3,SUMIF('TL16'!$C$238:$C$451,$C28,'TL16'!$J$238:$J$451),0),
IF('TL17'!$B$3=N$3,SUMIF('TL17'!$C$10:$C$224,$C28,'TL17'!$J$10:$J$224),0),
IF('TL17'!$B$229=N$3,SUMIF('TL17'!$C$238:$C$451,$C28,'TL17'!$J$238:$J$451),0),
IF('TL18'!$B$3=N$3,SUMIF('TL18'!$C$10:$C$224,$C28,'TL18'!$J$10:$J$224),0),
IF('TL18'!$B$229=N$3,SUMIF('TL18'!$C$238:$C$451,$C28,'TL18'!$J$238:$J$451),0),
IF('TL19'!$B$3=N$3,SUMIF('TL19'!$C$10:$C$224,$C28,'TL19'!$J$10:$J$224),0),
IF('TL19'!$B$229=N$3,SUMIF('TL19'!$C$238:$C$451,$C28,'TL19'!$J$238:$J$451),0)
),0)</f>
        <v/>
      </c>
      <c r="O28" s="9">
        <f>IFERROR(SUM(
IF('TL01'!$B$3=O$3,SUMIF('TL01'!$C$10:$C$224,$C28,'TL01'!$J$10:$J$224),0),
IF('TL01'!$B$229=O$3,SUMIF('TL01'!$C$238:$C$451,$C28,'TL01'!$J$238:$J$451),0),
IF('TL02'!$B$3=O$3,SUMIF('TL02'!$C$10:$C$224,$C28,'TL02'!$J$10:$J$224),0),
IF('TL02'!$B$229=O$3,SUMIF('TL02'!$C$238:$C$451,$C28,'TL02'!$J$238:$J$451),0),
IF('TL03'!$B$3=O$3,SUMIF('TL03'!$C$10:$C$224,$C28,'TL03'!$J$10:$J$224),0),
IF('TL03'!$B$229=O$3,SUMIF('TL03'!$C$238:$C$451,$C28,'TL03'!$J$238:$J$451),0),
IF('TL04'!$B$3=O$3,SUMIF('TL04'!$C$10:$C$224,$C28,'TL04'!$J$10:$J$224),0),
IF('TL04'!$B$229=O$3,SUMIF('TL04'!$C$238:$C$451,$C28,'TL04'!$J$238:$J$451),0),
IF('TL05'!$B$3=O$3,SUMIF('TL05'!$C$10:$C$224,$C28,'TL05'!$J$10:$J$224),0),
IF('TL05'!$B$229=O$3,SUMIF('TL05'!$C$238:$C$451,$C28,'TL05'!$J$238:$J$451),0),
IF('TL06'!$B$3=O$3,SUMIF('TL06'!$C$10:$C$224,$C28,'TL06'!$J$10:$J$224),0),
IF('TL06'!$B$229=O$3,SUMIF('TL06'!$C$238:$C$451,$C28,'TL06'!$J$238:$J$451),0),
IF('TL07'!$B$3=O$3,SUMIF('TL07'!$C$10:$C$224,$C28,'TL07'!$J$10:$J$224),0),
IF('TL07'!$B$229=O$3,SUMIF('TL07'!$C$238:$C$451,$C28,'TL07'!$J$238:$J$451),0),
IF('TL08'!$B$3=O$3,SUMIF('TL08'!$C$10:$C$224,$C28,'TL08'!$J$10:$J$224),0),
IF('TL08'!$B$229=O$3,SUMIF('TL08'!$C$238:$C$451,$C28,'TL08'!$J$238:$J$451),0),
IF('TL09'!$B$3=O$3,SUMIF('TL09'!$C$10:$C$224,$C28,'TL09'!$J$10:$J$224),0),
IF('TL09'!$B$229=O$3,SUMIF('TL09'!$C$238:$C$451,$C28,'TL09'!$J$238:$J$451),0),
IF('TL10'!$B$3=O$3,SUMIF('TL10'!$C$10:$C$224,$C28,'TL10'!$J$10:$J$224),0),
IF('TL10'!$B$229=O$3,SUMIF('TL10'!$C$238:$C$451,$C28,'TL10'!$J$238:$J$451),0),
IF('TL11'!$B$3=O$3,SUMIF('TL11'!$C$10:$C$224,$C28,'TL11'!$J$10:$J$224),0),
IF('TL11'!$B$229=O$3,SUMIF('TL11'!$C$238:$C$451,$C28,'TL11'!$J$238:$J$451),0),
IF('TL12'!$B$3=O$3,SUMIF('TL12'!$C$10:$C$224,$C28,'TL12'!$J$10:$J$224),0),
IF('TL12'!$B$229=O$3,SUMIF('TL12'!$C$238:$C$451,$C28,'TL12'!$J$238:$J$451),0),
IF('TL13'!$B$3=O$3,SUMIF('TL13'!$C$10:$C$224,$C28,'TL13'!$J$10:$J$224),0),
IF('TL13'!$B$229=O$3,SUMIF('TL13'!$C$238:$C$451,$C28,'TL13'!$J$238:$J$451),0),
IF('TL14'!$B$3=O$3,SUMIF('TL14'!$C$10:$C$224,$C28,'TL14'!$J$10:$J$224),0),
IF('TL14'!$B$229=O$3,SUMIF('TL14'!$C$238:$C$451,$C28,'TL14'!$J$238:$J$451),0),
IF('TL15'!$B$3=O$3,SUMIF('TL15'!$C$10:$C$224,$C28,'TL15'!$J$10:$J$224),0),
IF('TL15'!$B$229=O$3,SUMIF('TL15'!$C$238:$C$451,$C28,'TL15'!$J$238:$J$451),0),
IF('TL16'!$B$3=O$3,SUMIF('TL16'!$C$10:$C$224,$C28,'TL16'!$J$10:$J$224),0),
IF('TL16'!$B$229=O$3,SUMIF('TL16'!$C$238:$C$451,$C28,'TL16'!$J$238:$J$451),0),
IF('TL17'!$B$3=O$3,SUMIF('TL17'!$C$10:$C$224,$C28,'TL17'!$J$10:$J$224),0),
IF('TL17'!$B$229=O$3,SUMIF('TL17'!$C$238:$C$451,$C28,'TL17'!$J$238:$J$451),0),
IF('TL18'!$B$3=O$3,SUMIF('TL18'!$C$10:$C$224,$C28,'TL18'!$J$10:$J$224),0),
IF('TL18'!$B$229=O$3,SUMIF('TL18'!$C$238:$C$451,$C28,'TL18'!$J$238:$J$451),0),
IF('TL19'!$B$3=O$3,SUMIF('TL19'!$C$10:$C$224,$C28,'TL19'!$J$10:$J$224),0),
IF('TL19'!$B$229=O$3,SUMIF('TL19'!$C$238:$C$451,$C28,'TL19'!$J$238:$J$451),0)
),0)</f>
        <v/>
      </c>
      <c r="P28" s="9">
        <f>IFERROR(SUM(
IF('TL01'!$B$3=P$3,SUMIF('TL01'!$C$10:$C$224,$C28,'TL01'!$J$10:$J$224),0),
IF('TL01'!$B$229=P$3,SUMIF('TL01'!$C$238:$C$451,$C28,'TL01'!$J$238:$J$451),0),
IF('TL02'!$B$3=P$3,SUMIF('TL02'!$C$10:$C$224,$C28,'TL02'!$J$10:$J$224),0),
IF('TL02'!$B$229=P$3,SUMIF('TL02'!$C$238:$C$451,$C28,'TL02'!$J$238:$J$451),0),
IF('TL03'!$B$3=P$3,SUMIF('TL03'!$C$10:$C$224,$C28,'TL03'!$J$10:$J$224),0),
IF('TL03'!$B$229=P$3,SUMIF('TL03'!$C$238:$C$451,$C28,'TL03'!$J$238:$J$451),0),
IF('TL04'!$B$3=P$3,SUMIF('TL04'!$C$10:$C$224,$C28,'TL04'!$J$10:$J$224),0),
IF('TL04'!$B$229=P$3,SUMIF('TL04'!$C$238:$C$451,$C28,'TL04'!$J$238:$J$451),0),
IF('TL05'!$B$3=P$3,SUMIF('TL05'!$C$10:$C$224,$C28,'TL05'!$J$10:$J$224),0),
IF('TL05'!$B$229=P$3,SUMIF('TL05'!$C$238:$C$451,$C28,'TL05'!$J$238:$J$451),0),
IF('TL06'!$B$3=P$3,SUMIF('TL06'!$C$10:$C$224,$C28,'TL06'!$J$10:$J$224),0),
IF('TL06'!$B$229=P$3,SUMIF('TL06'!$C$238:$C$451,$C28,'TL06'!$J$238:$J$451),0),
IF('TL07'!$B$3=P$3,SUMIF('TL07'!$C$10:$C$224,$C28,'TL07'!$J$10:$J$224),0),
IF('TL07'!$B$229=P$3,SUMIF('TL07'!$C$238:$C$451,$C28,'TL07'!$J$238:$J$451),0),
IF('TL08'!$B$3=P$3,SUMIF('TL08'!$C$10:$C$224,$C28,'TL08'!$J$10:$J$224),0),
IF('TL08'!$B$229=P$3,SUMIF('TL08'!$C$238:$C$451,$C28,'TL08'!$J$238:$J$451),0),
IF('TL09'!$B$3=P$3,SUMIF('TL09'!$C$10:$C$224,$C28,'TL09'!$J$10:$J$224),0),
IF('TL09'!$B$229=P$3,SUMIF('TL09'!$C$238:$C$451,$C28,'TL09'!$J$238:$J$451),0),
IF('TL10'!$B$3=P$3,SUMIF('TL10'!$C$10:$C$224,$C28,'TL10'!$J$10:$J$224),0),
IF('TL10'!$B$229=P$3,SUMIF('TL10'!$C$238:$C$451,$C28,'TL10'!$J$238:$J$451),0),
IF('TL11'!$B$3=P$3,SUMIF('TL11'!$C$10:$C$224,$C28,'TL11'!$J$10:$J$224),0),
IF('TL11'!$B$229=P$3,SUMIF('TL11'!$C$238:$C$451,$C28,'TL11'!$J$238:$J$451),0),
IF('TL12'!$B$3=P$3,SUMIF('TL12'!$C$10:$C$224,$C28,'TL12'!$J$10:$J$224),0),
IF('TL12'!$B$229=P$3,SUMIF('TL12'!$C$238:$C$451,$C28,'TL12'!$J$238:$J$451),0),
IF('TL13'!$B$3=P$3,SUMIF('TL13'!$C$10:$C$224,$C28,'TL13'!$J$10:$J$224),0),
IF('TL13'!$B$229=P$3,SUMIF('TL13'!$C$238:$C$451,$C28,'TL13'!$J$238:$J$451),0),
IF('TL14'!$B$3=P$3,SUMIF('TL14'!$C$10:$C$224,$C28,'TL14'!$J$10:$J$224),0),
IF('TL14'!$B$229=P$3,SUMIF('TL14'!$C$238:$C$451,$C28,'TL14'!$J$238:$J$451),0),
IF('TL15'!$B$3=P$3,SUMIF('TL15'!$C$10:$C$224,$C28,'TL15'!$J$10:$J$224),0),
IF('TL15'!$B$229=P$3,SUMIF('TL15'!$C$238:$C$451,$C28,'TL15'!$J$238:$J$451),0),
IF('TL16'!$B$3=P$3,SUMIF('TL16'!$C$10:$C$224,$C28,'TL16'!$J$10:$J$224),0),
IF('TL16'!$B$229=P$3,SUMIF('TL16'!$C$238:$C$451,$C28,'TL16'!$J$238:$J$451),0),
IF('TL17'!$B$3=P$3,SUMIF('TL17'!$C$10:$C$224,$C28,'TL17'!$J$10:$J$224),0),
IF('TL17'!$B$229=P$3,SUMIF('TL17'!$C$238:$C$451,$C28,'TL17'!$J$238:$J$451),0),
IF('TL18'!$B$3=P$3,SUMIF('TL18'!$C$10:$C$224,$C28,'TL18'!$J$10:$J$224),0),
IF('TL18'!$B$229=P$3,SUMIF('TL18'!$C$238:$C$451,$C28,'TL18'!$J$238:$J$451),0),
IF('TL19'!$B$3=P$3,SUMIF('TL19'!$C$10:$C$224,$C28,'TL19'!$J$10:$J$224),0),
IF('TL19'!$B$229=P$3,SUMIF('TL19'!$C$238:$C$451,$C28,'TL19'!$J$238:$J$451),0)
),0)</f>
        <v/>
      </c>
      <c r="Q28" s="9">
        <f>IFERROR(SUM(
IF('TL01'!$B$3=Q$3,SUMIF('TL01'!$C$10:$C$224,$C28,'TL01'!$J$10:$J$224),0),
IF('TL01'!$B$229=Q$3,SUMIF('TL01'!$C$238:$C$451,$C28,'TL01'!$J$238:$J$451),0),
IF('TL02'!$B$3=Q$3,SUMIF('TL02'!$C$10:$C$224,$C28,'TL02'!$J$10:$J$224),0),
IF('TL02'!$B$229=Q$3,SUMIF('TL02'!$C$238:$C$451,$C28,'TL02'!$J$238:$J$451),0),
IF('TL03'!$B$3=Q$3,SUMIF('TL03'!$C$10:$C$224,$C28,'TL03'!$J$10:$J$224),0),
IF('TL03'!$B$229=Q$3,SUMIF('TL03'!$C$238:$C$451,$C28,'TL03'!$J$238:$J$451),0),
IF('TL04'!$B$3=Q$3,SUMIF('TL04'!$C$10:$C$224,$C28,'TL04'!$J$10:$J$224),0),
IF('TL04'!$B$229=Q$3,SUMIF('TL04'!$C$238:$C$451,$C28,'TL04'!$J$238:$J$451),0),
IF('TL05'!$B$3=Q$3,SUMIF('TL05'!$C$10:$C$224,$C28,'TL05'!$J$10:$J$224),0),
IF('TL05'!$B$229=Q$3,SUMIF('TL05'!$C$238:$C$451,$C28,'TL05'!$J$238:$J$451),0),
IF('TL06'!$B$3=Q$3,SUMIF('TL06'!$C$10:$C$224,$C28,'TL06'!$J$10:$J$224),0),
IF('TL06'!$B$229=Q$3,SUMIF('TL06'!$C$238:$C$451,$C28,'TL06'!$J$238:$J$451),0),
IF('TL07'!$B$3=Q$3,SUMIF('TL07'!$C$10:$C$224,$C28,'TL07'!$J$10:$J$224),0),
IF('TL07'!$B$229=Q$3,SUMIF('TL07'!$C$238:$C$451,$C28,'TL07'!$J$238:$J$451),0),
IF('TL08'!$B$3=Q$3,SUMIF('TL08'!$C$10:$C$224,$C28,'TL08'!$J$10:$J$224),0),
IF('TL08'!$B$229=Q$3,SUMIF('TL08'!$C$238:$C$451,$C28,'TL08'!$J$238:$J$451),0),
IF('TL09'!$B$3=Q$3,SUMIF('TL09'!$C$10:$C$224,$C28,'TL09'!$J$10:$J$224),0),
IF('TL09'!$B$229=Q$3,SUMIF('TL09'!$C$238:$C$451,$C28,'TL09'!$J$238:$J$451),0),
IF('TL10'!$B$3=Q$3,SUMIF('TL10'!$C$10:$C$224,$C28,'TL10'!$J$10:$J$224),0),
IF('TL10'!$B$229=Q$3,SUMIF('TL10'!$C$238:$C$451,$C28,'TL10'!$J$238:$J$451),0),
IF('TL11'!$B$3=Q$3,SUMIF('TL11'!$C$10:$C$224,$C28,'TL11'!$J$10:$J$224),0),
IF('TL11'!$B$229=Q$3,SUMIF('TL11'!$C$238:$C$451,$C28,'TL11'!$J$238:$J$451),0),
IF('TL12'!$B$3=Q$3,SUMIF('TL12'!$C$10:$C$224,$C28,'TL12'!$J$10:$J$224),0),
IF('TL12'!$B$229=Q$3,SUMIF('TL12'!$C$238:$C$451,$C28,'TL12'!$J$238:$J$451),0),
IF('TL13'!$B$3=Q$3,SUMIF('TL13'!$C$10:$C$224,$C28,'TL13'!$J$10:$J$224),0),
IF('TL13'!$B$229=Q$3,SUMIF('TL13'!$C$238:$C$451,$C28,'TL13'!$J$238:$J$451),0),
IF('TL14'!$B$3=Q$3,SUMIF('TL14'!$C$10:$C$224,$C28,'TL14'!$J$10:$J$224),0),
IF('TL14'!$B$229=Q$3,SUMIF('TL14'!$C$238:$C$451,$C28,'TL14'!$J$238:$J$451),0),
IF('TL15'!$B$3=Q$3,SUMIF('TL15'!$C$10:$C$224,$C28,'TL15'!$J$10:$J$224),0),
IF('TL15'!$B$229=Q$3,SUMIF('TL15'!$C$238:$C$451,$C28,'TL15'!$J$238:$J$451),0),
IF('TL16'!$B$3=Q$3,SUMIF('TL16'!$C$10:$C$224,$C28,'TL16'!$J$10:$J$224),0),
IF('TL16'!$B$229=Q$3,SUMIF('TL16'!$C$238:$C$451,$C28,'TL16'!$J$238:$J$451),0),
IF('TL17'!$B$3=Q$3,SUMIF('TL17'!$C$10:$C$224,$C28,'TL17'!$J$10:$J$224),0),
IF('TL17'!$B$229=Q$3,SUMIF('TL17'!$C$238:$C$451,$C28,'TL17'!$J$238:$J$451),0),
IF('TL18'!$B$3=Q$3,SUMIF('TL18'!$C$10:$C$224,$C28,'TL18'!$J$10:$J$224),0),
IF('TL18'!$B$229=Q$3,SUMIF('TL18'!$C$238:$C$451,$C28,'TL18'!$J$238:$J$451),0),
IF('TL19'!$B$3=Q$3,SUMIF('TL19'!$C$10:$C$224,$C28,'TL19'!$J$10:$J$224),0),
IF('TL19'!$B$229=Q$3,SUMIF('TL19'!$C$238:$C$451,$C28,'TL19'!$J$238:$J$451),0)
),0)</f>
        <v/>
      </c>
      <c r="R28" s="9">
        <f>IFERROR(
SUM(
SUMIF('TL01'!C:C,C28,'TL01'!J:J),
SUMIF('TL02'!C:C,C28,'TL02'!J:J),
SUMIF('TL03'!C:C,C28,'TL03'!J:J),
SUMIF('TL04'!C:C,C28,'TL04'!J:J),
SUMIF('TL05'!C:C,C28,'TL05'!J:J),
SUMIF('TL06'!C:C,C28,'TL06'!J:J),
SUMIF('TL07'!C:C,C28,'TL07'!J:J),
SUMIF('TL08'!C:C,C28,'TL08'!J:J),
SUMIF('TL09'!C:C,C28,'TL09'!J:J),
SUMIF('TL10'!C:C,C28,'TL10'!J:J),
SUMIF('TL11'!C:C,C28,'TL11'!J:J),
SUMIF('TL12'!C:C,C28,'TL12'!J:J),
SUMIF('TL13'!C:C,C28,'TL13'!J:J),
SUMIF('TL14'!C:C,C28,'TL14'!J:J),
SUMIF('TL15'!C:C,C28,'TL15'!J:J),
SUMIF('TL16'!C:C,C28,'TL16'!J:J),
SUMIF('TL17'!C:C,C28,'TL17'!J:J),
SUMIF('TL18'!C:C,C28,'TL18'!J:J),SUMIF('TL19'!C:C,C28,'TL19'!J:J))
,0)</f>
        <v/>
      </c>
      <c r="S28" s="17">
        <f>IFERROR(__xludf.DUMMYFUNCTION("IFERROR(VLOOKUP(C28,
IMPORTRANGE(""1wULbzX32WdYsx-lj2U3uUNBBe2INVIRDtcK0d-Dvl90"",
""26-27!C:G""),
5,
FALSE),
"""")"),"")</f>
        <v/>
      </c>
      <c r="T28" s="9" t="n"/>
      <c r="U28" s="92">
        <f>MAX(0,R28-T28)</f>
        <v/>
      </c>
      <c r="V28" s="93">
        <f>U28*S28</f>
        <v/>
      </c>
    </row>
    <row r="29" hidden="1" ht="22.5" customHeight="1" s="297">
      <c r="A29" s="106" t="n"/>
      <c r="B29" s="107" t="inlineStr">
        <is>
          <t>FERTILIZANTES</t>
        </is>
      </c>
      <c r="C29" s="108" t="inlineStr">
        <is>
          <t>08-42-00</t>
        </is>
      </c>
      <c r="D29" s="108" t="inlineStr">
        <is>
          <t>N 8 P 42</t>
        </is>
      </c>
      <c r="E29" s="109" t="n"/>
      <c r="F29" s="4" t="inlineStr">
        <is>
          <t>Ton</t>
        </is>
      </c>
      <c r="G29" s="9" t="n"/>
      <c r="H29" s="9">
        <f>IFERROR(__xludf.DUMMYFUNCTION("IFERROR(VLOOKUP(C29,
IMPORTRANGE(""1wULbzX32WdYsx-lj2U3uUNBBe2INVIRDtcK0d-Dvl90"",
""26-27!C:K""),
8,
FALSE),
"""")"),"")</f>
        <v/>
      </c>
      <c r="I29" s="110" t="n"/>
      <c r="J29" s="9">
        <f>IFERROR(SUM(
IF('TL01'!$B$3=J$3,SUMIF('TL01'!$C$10:$C$224,$C29,'TL01'!$J$10:$J$224),0),
IF('TL01'!$B$229=J$3,SUMIF('TL01'!$C$238:$C$451,$C29,'TL01'!$J$238:$J$451),0),
IF('TL02'!$B$3=J$3,SUMIF('TL02'!$C$10:$C$224,$C29,'TL02'!$J$10:$J$224),0),
IF('TL02'!$B$229=J$3,SUMIF('TL02'!$C$238:$C$451,$C29,'TL02'!$J$238:$J$451),0),
IF('TL03'!$B$3=J$3,SUMIF('TL03'!$C$10:$C$224,$C29,'TL03'!$J$10:$J$224),0),
IF('TL03'!$B$229=J$3,SUMIF('TL03'!$C$238:$C$451,$C29,'TL03'!$J$238:$J$451),0),
IF('TL04'!$B$3=J$3,SUMIF('TL04'!$C$10:$C$224,$C29,'TL04'!$J$10:$J$224),0),
IF('TL04'!$B$229=J$3,SUMIF('TL04'!$C$238:$C$451,$C29,'TL04'!$J$238:$J$451),0),
IF('TL05'!$B$3=J$3,SUMIF('TL05'!$C$10:$C$224,$C29,'TL05'!$J$10:$J$224),0),
IF('TL05'!$B$229=J$3,SUMIF('TL05'!$C$238:$C$451,$C29,'TL05'!$J$238:$J$451),0),
IF('TL06'!$B$3=J$3,SUMIF('TL06'!$C$10:$C$224,$C29,'TL06'!$J$10:$J$224),0),
IF('TL06'!$B$229=J$3,SUMIF('TL06'!$C$238:$C$451,$C29,'TL06'!$J$238:$J$451),0),
IF('TL07'!$B$3=J$3,SUMIF('TL07'!$C$10:$C$224,$C29,'TL07'!$J$10:$J$224),0),
IF('TL07'!$B$229=J$3,SUMIF('TL07'!$C$238:$C$451,$C29,'TL07'!$J$238:$J$451),0),
IF('TL08'!$B$3=J$3,SUMIF('TL08'!$C$10:$C$224,$C29,'TL08'!$J$10:$J$224),0),
IF('TL08'!$B$229=J$3,SUMIF('TL08'!$C$238:$C$451,$C29,'TL08'!$J$238:$J$451),0),
IF('TL09'!$B$3=J$3,SUMIF('TL09'!$C$10:$C$224,$C29,'TL09'!$J$10:$J$224),0),
IF('TL09'!$B$229=J$3,SUMIF('TL09'!$C$238:$C$451,$C29,'TL09'!$J$238:$J$451),0),
IF('TL10'!$B$3=J$3,SUMIF('TL10'!$C$10:$C$224,$C29,'TL10'!$J$10:$J$224),0),
IF('TL10'!$B$229=J$3,SUMIF('TL10'!$C$238:$C$451,$C29,'TL10'!$J$238:$J$451),0),
IF('TL11'!$B$3=J$3,SUMIF('TL11'!$C$10:$C$224,$C29,'TL11'!$J$10:$J$224),0),
IF('TL11'!$B$229=J$3,SUMIF('TL11'!$C$238:$C$451,$C29,'TL11'!$J$238:$J$451),0),
IF('TL12'!$B$3=J$3,SUMIF('TL12'!$C$10:$C$224,$C29,'TL12'!$J$10:$J$224),0),
IF('TL12'!$B$229=J$3,SUMIF('TL12'!$C$238:$C$451,$C29,'TL12'!$J$238:$J$451),0),
IF('TL13'!$B$3=J$3,SUMIF('TL13'!$C$10:$C$224,$C29,'TL13'!$J$10:$J$224),0),
IF('TL13'!$B$229=J$3,SUMIF('TL13'!$C$238:$C$451,$C29,'TL13'!$J$238:$J$451),0),
IF('TL14'!$B$3=J$3,SUMIF('TL14'!$C$10:$C$224,$C29,'TL14'!$J$10:$J$224),0),
IF('TL14'!$B$229=J$3,SUMIF('TL14'!$C$238:$C$451,$C29,'TL14'!$J$238:$J$451),0),
IF('TL15'!$B$3=J$3,SUMIF('TL15'!$C$10:$C$224,$C29,'TL15'!$J$10:$J$224),0),
IF('TL15'!$B$229=J$3,SUMIF('TL15'!$C$238:$C$451,$C29,'TL15'!$J$238:$J$451),0),
IF('TL16'!$B$3=J$3,SUMIF('TL16'!$C$10:$C$224,$C29,'TL16'!$J$10:$J$224),0),
IF('TL16'!$B$229=J$3,SUMIF('TL16'!$C$238:$C$451,$C29,'TL16'!$J$238:$J$451),0),
IF('TL17'!$B$3=J$3,SUMIF('TL17'!$C$10:$C$224,$C29,'TL17'!$J$10:$J$224),0),
IF('TL17'!$B$229=J$3,SUMIF('TL17'!$C$238:$C$451,$C29,'TL17'!$J$238:$J$451),0),
IF('TL18'!$B$3=J$3,SUMIF('TL18'!$C$10:$C$224,$C29,'TL18'!$J$10:$J$224),0),
IF('TL18'!$B$229=J$3,SUMIF('TL18'!$C$238:$C$451,$C29,'TL18'!$J$238:$J$451),0),
IF('TL19'!$B$3=J$3,SUMIF('TL19'!$C$10:$C$224,$C29,'TL19'!$J$10:$J$224),0),
IF('TL19'!$B$229=J$3,SUMIF('TL19'!$C$238:$C$451,$C29,'TL19'!$J$238:$J$451),0)
),0)</f>
        <v/>
      </c>
      <c r="K29" s="9">
        <f>IFERROR(SUM(
IF('TL01'!$B$3=K$3,SUMIF('TL01'!$C$10:$C$224,$C29,'TL01'!$J$10:$J$224),0),
IF('TL01'!$B$229=K$3,SUMIF('TL01'!$C$238:$C$451,$C29,'TL01'!$J$238:$J$451),0),
IF('TL02'!$B$3=K$3,SUMIF('TL02'!$C$10:$C$224,$C29,'TL02'!$J$10:$J$224),0),
IF('TL02'!$B$229=K$3,SUMIF('TL02'!$C$238:$C$451,$C29,'TL02'!$J$238:$J$451),0),
IF('TL03'!$B$3=K$3,SUMIF('TL03'!$C$10:$C$224,$C29,'TL03'!$J$10:$J$224),0),
IF('TL03'!$B$229=K$3,SUMIF('TL03'!$C$238:$C$451,$C29,'TL03'!$J$238:$J$451),0),
IF('TL04'!$B$3=K$3,SUMIF('TL04'!$C$10:$C$224,$C29,'TL04'!$J$10:$J$224),0),
IF('TL04'!$B$229=K$3,SUMIF('TL04'!$C$238:$C$451,$C29,'TL04'!$J$238:$J$451),0),
IF('TL05'!$B$3=K$3,SUMIF('TL05'!$C$10:$C$224,$C29,'TL05'!$J$10:$J$224),0),
IF('TL05'!$B$229=K$3,SUMIF('TL05'!$C$238:$C$451,$C29,'TL05'!$J$238:$J$451),0),
IF('TL06'!$B$3=K$3,SUMIF('TL06'!$C$10:$C$224,$C29,'TL06'!$J$10:$J$224),0),
IF('TL06'!$B$229=K$3,SUMIF('TL06'!$C$238:$C$451,$C29,'TL06'!$J$238:$J$451),0),
IF('TL07'!$B$3=K$3,SUMIF('TL07'!$C$10:$C$224,$C29,'TL07'!$J$10:$J$224),0),
IF('TL07'!$B$229=K$3,SUMIF('TL07'!$C$238:$C$451,$C29,'TL07'!$J$238:$J$451),0),
IF('TL08'!$B$3=K$3,SUMIF('TL08'!$C$10:$C$224,$C29,'TL08'!$J$10:$J$224),0),
IF('TL08'!$B$229=K$3,SUMIF('TL08'!$C$238:$C$451,$C29,'TL08'!$J$238:$J$451),0),
IF('TL09'!$B$3=K$3,SUMIF('TL09'!$C$10:$C$224,$C29,'TL09'!$J$10:$J$224),0),
IF('TL09'!$B$229=K$3,SUMIF('TL09'!$C$238:$C$451,$C29,'TL09'!$J$238:$J$451),0),
IF('TL10'!$B$3=K$3,SUMIF('TL10'!$C$10:$C$224,$C29,'TL10'!$J$10:$J$224),0),
IF('TL10'!$B$229=K$3,SUMIF('TL10'!$C$238:$C$451,$C29,'TL10'!$J$238:$J$451),0),
IF('TL11'!$B$3=K$3,SUMIF('TL11'!$C$10:$C$224,$C29,'TL11'!$J$10:$J$224),0),
IF('TL11'!$B$229=K$3,SUMIF('TL11'!$C$238:$C$451,$C29,'TL11'!$J$238:$J$451),0),
IF('TL12'!$B$3=K$3,SUMIF('TL12'!$C$10:$C$224,$C29,'TL12'!$J$10:$J$224),0),
IF('TL12'!$B$229=K$3,SUMIF('TL12'!$C$238:$C$451,$C29,'TL12'!$J$238:$J$451),0),
IF('TL13'!$B$3=K$3,SUMIF('TL13'!$C$10:$C$224,$C29,'TL13'!$J$10:$J$224),0),
IF('TL13'!$B$229=K$3,SUMIF('TL13'!$C$238:$C$451,$C29,'TL13'!$J$238:$J$451),0),
IF('TL14'!$B$3=K$3,SUMIF('TL14'!$C$10:$C$224,$C29,'TL14'!$J$10:$J$224),0),
IF('TL14'!$B$229=K$3,SUMIF('TL14'!$C$238:$C$451,$C29,'TL14'!$J$238:$J$451),0),
IF('TL15'!$B$3=K$3,SUMIF('TL15'!$C$10:$C$224,$C29,'TL15'!$J$10:$J$224),0),
IF('TL15'!$B$229=K$3,SUMIF('TL15'!$C$238:$C$451,$C29,'TL15'!$J$238:$J$451),0),
IF('TL16'!$B$3=K$3,SUMIF('TL16'!$C$10:$C$224,$C29,'TL16'!$J$10:$J$224),0),
IF('TL16'!$B$229=K$3,SUMIF('TL16'!$C$238:$C$451,$C29,'TL16'!$J$238:$J$451),0),
IF('TL17'!$B$3=K$3,SUMIF('TL17'!$C$10:$C$224,$C29,'TL17'!$J$10:$J$224),0),
IF('TL17'!$B$229=K$3,SUMIF('TL17'!$C$238:$C$451,$C29,'TL17'!$J$238:$J$451),0),
IF('TL18'!$B$3=K$3,SUMIF('TL18'!$C$10:$C$224,$C29,'TL18'!$J$10:$J$224),0),
IF('TL18'!$B$229=K$3,SUMIF('TL18'!$C$238:$C$451,$C29,'TL18'!$J$238:$J$451),0),
IF('TL19'!$B$3=K$3,SUMIF('TL19'!$C$10:$C$224,$C29,'TL19'!$J$10:$J$224),0),
IF('TL19'!$B$229=K$3,SUMIF('TL19'!$C$238:$C$451,$C29,'TL19'!$J$238:$J$451),0)
),0)</f>
        <v/>
      </c>
      <c r="L29" s="9">
        <f>IFERROR(SUM(
IF('TL01'!$B$3=L$3,SUMIF('TL01'!$C$10:$C$224,$C29,'TL01'!$J$10:$J$224),0),
IF('TL01'!$B$229=L$3,SUMIF('TL01'!$C$238:$C$451,$C29,'TL01'!$J$238:$J$451),0),
IF('TL02'!$B$3=L$3,SUMIF('TL02'!$C$10:$C$224,$C29,'TL02'!$J$10:$J$224),0),
IF('TL02'!$B$229=L$3,SUMIF('TL02'!$C$238:$C$451,$C29,'TL02'!$J$238:$J$451),0),
IF('TL03'!$B$3=L$3,SUMIF('TL03'!$C$10:$C$224,$C29,'TL03'!$J$10:$J$224),0),
IF('TL03'!$B$229=L$3,SUMIF('TL03'!$C$238:$C$451,$C29,'TL03'!$J$238:$J$451),0),
IF('TL04'!$B$3=L$3,SUMIF('TL04'!$C$10:$C$224,$C29,'TL04'!$J$10:$J$224),0),
IF('TL04'!$B$229=L$3,SUMIF('TL04'!$C$238:$C$451,$C29,'TL04'!$J$238:$J$451),0),
IF('TL05'!$B$3=L$3,SUMIF('TL05'!$C$10:$C$224,$C29,'TL05'!$J$10:$J$224),0),
IF('TL05'!$B$229=L$3,SUMIF('TL05'!$C$238:$C$451,$C29,'TL05'!$J$238:$J$451),0),
IF('TL06'!$B$3=L$3,SUMIF('TL06'!$C$10:$C$224,$C29,'TL06'!$J$10:$J$224),0),
IF('TL06'!$B$229=L$3,SUMIF('TL06'!$C$238:$C$451,$C29,'TL06'!$J$238:$J$451),0),
IF('TL07'!$B$3=L$3,SUMIF('TL07'!$C$10:$C$224,$C29,'TL07'!$J$10:$J$224),0),
IF('TL07'!$B$229=L$3,SUMIF('TL07'!$C$238:$C$451,$C29,'TL07'!$J$238:$J$451),0),
IF('TL08'!$B$3=L$3,SUMIF('TL08'!$C$10:$C$224,$C29,'TL08'!$J$10:$J$224),0),
IF('TL08'!$B$229=L$3,SUMIF('TL08'!$C$238:$C$451,$C29,'TL08'!$J$238:$J$451),0),
IF('TL09'!$B$3=L$3,SUMIF('TL09'!$C$10:$C$224,$C29,'TL09'!$J$10:$J$224),0),
IF('TL09'!$B$229=L$3,SUMIF('TL09'!$C$238:$C$451,$C29,'TL09'!$J$238:$J$451),0),
IF('TL10'!$B$3=L$3,SUMIF('TL10'!$C$10:$C$224,$C29,'TL10'!$J$10:$J$224),0),
IF('TL10'!$B$229=L$3,SUMIF('TL10'!$C$238:$C$451,$C29,'TL10'!$J$238:$J$451),0),
IF('TL11'!$B$3=L$3,SUMIF('TL11'!$C$10:$C$224,$C29,'TL11'!$J$10:$J$224),0),
IF('TL11'!$B$229=L$3,SUMIF('TL11'!$C$238:$C$451,$C29,'TL11'!$J$238:$J$451),0),
IF('TL12'!$B$3=L$3,SUMIF('TL12'!$C$10:$C$224,$C29,'TL12'!$J$10:$J$224),0),
IF('TL12'!$B$229=L$3,SUMIF('TL12'!$C$238:$C$451,$C29,'TL12'!$J$238:$J$451),0),
IF('TL13'!$B$3=L$3,SUMIF('TL13'!$C$10:$C$224,$C29,'TL13'!$J$10:$J$224),0),
IF('TL13'!$B$229=L$3,SUMIF('TL13'!$C$238:$C$451,$C29,'TL13'!$J$238:$J$451),0),
IF('TL14'!$B$3=L$3,SUMIF('TL14'!$C$10:$C$224,$C29,'TL14'!$J$10:$J$224),0),
IF('TL14'!$B$229=L$3,SUMIF('TL14'!$C$238:$C$451,$C29,'TL14'!$J$238:$J$451),0),
IF('TL15'!$B$3=L$3,SUMIF('TL15'!$C$10:$C$224,$C29,'TL15'!$J$10:$J$224),0),
IF('TL15'!$B$229=L$3,SUMIF('TL15'!$C$238:$C$451,$C29,'TL15'!$J$238:$J$451),0),
IF('TL16'!$B$3=L$3,SUMIF('TL16'!$C$10:$C$224,$C29,'TL16'!$J$10:$J$224),0),
IF('TL16'!$B$229=L$3,SUMIF('TL16'!$C$238:$C$451,$C29,'TL16'!$J$238:$J$451),0),
IF('TL17'!$B$3=L$3,SUMIF('TL17'!$C$10:$C$224,$C29,'TL17'!$J$10:$J$224),0),
IF('TL17'!$B$229=L$3,SUMIF('TL17'!$C$238:$C$451,$C29,'TL17'!$J$238:$J$451),0),
IF('TL18'!$B$3=L$3,SUMIF('TL18'!$C$10:$C$224,$C29,'TL18'!$J$10:$J$224),0),
IF('TL18'!$B$229=L$3,SUMIF('TL18'!$C$238:$C$451,$C29,'TL18'!$J$238:$J$451),0),
IF('TL19'!$B$3=L$3,SUMIF('TL19'!$C$10:$C$224,$C29,'TL19'!$J$10:$J$224),0),
IF('TL19'!$B$229=L$3,SUMIF('TL19'!$C$238:$C$451,$C29,'TL19'!$J$238:$J$451),0)
),0)</f>
        <v/>
      </c>
      <c r="M29" s="9">
        <f>IFERROR(SUM(
IF('TL01'!$B$3=M$3,SUMIF('TL01'!$C$10:$C$224,$C29,'TL01'!$J$10:$J$224),0),
IF('TL01'!$B$229=M$3,SUMIF('TL01'!$C$238:$C$451,$C29,'TL01'!$J$238:$J$451),0),
IF('TL02'!$B$3=M$3,SUMIF('TL02'!$C$10:$C$224,$C29,'TL02'!$J$10:$J$224),0),
IF('TL02'!$B$229=M$3,SUMIF('TL02'!$C$238:$C$451,$C29,'TL02'!$J$238:$J$451),0),
IF('TL03'!$B$3=M$3,SUMIF('TL03'!$C$10:$C$224,$C29,'TL03'!$J$10:$J$224),0),
IF('TL03'!$B$229=M$3,SUMIF('TL03'!$C$238:$C$451,$C29,'TL03'!$J$238:$J$451),0),
IF('TL04'!$B$3=M$3,SUMIF('TL04'!$C$10:$C$224,$C29,'TL04'!$J$10:$J$224),0),
IF('TL04'!$B$229=M$3,SUMIF('TL04'!$C$238:$C$451,$C29,'TL04'!$J$238:$J$451),0),
IF('TL05'!$B$3=M$3,SUMIF('TL05'!$C$10:$C$224,$C29,'TL05'!$J$10:$J$224),0),
IF('TL05'!$B$229=M$3,SUMIF('TL05'!$C$238:$C$451,$C29,'TL05'!$J$238:$J$451),0),
IF('TL06'!$B$3=M$3,SUMIF('TL06'!$C$10:$C$224,$C29,'TL06'!$J$10:$J$224),0),
IF('TL06'!$B$229=M$3,SUMIF('TL06'!$C$238:$C$451,$C29,'TL06'!$J$238:$J$451),0),
IF('TL07'!$B$3=M$3,SUMIF('TL07'!$C$10:$C$224,$C29,'TL07'!$J$10:$J$224),0),
IF('TL07'!$B$229=M$3,SUMIF('TL07'!$C$238:$C$451,$C29,'TL07'!$J$238:$J$451),0),
IF('TL08'!$B$3=M$3,SUMIF('TL08'!$C$10:$C$224,$C29,'TL08'!$J$10:$J$224),0),
IF('TL08'!$B$229=M$3,SUMIF('TL08'!$C$238:$C$451,$C29,'TL08'!$J$238:$J$451),0),
IF('TL09'!$B$3=M$3,SUMIF('TL09'!$C$10:$C$224,$C29,'TL09'!$J$10:$J$224),0),
IF('TL09'!$B$229=M$3,SUMIF('TL09'!$C$238:$C$451,$C29,'TL09'!$J$238:$J$451),0),
IF('TL10'!$B$3=M$3,SUMIF('TL10'!$C$10:$C$224,$C29,'TL10'!$J$10:$J$224),0),
IF('TL10'!$B$229=M$3,SUMIF('TL10'!$C$238:$C$451,$C29,'TL10'!$J$238:$J$451),0),
IF('TL11'!$B$3=M$3,SUMIF('TL11'!$C$10:$C$224,$C29,'TL11'!$J$10:$J$224),0),
IF('TL11'!$B$229=M$3,SUMIF('TL11'!$C$238:$C$451,$C29,'TL11'!$J$238:$J$451),0),
IF('TL12'!$B$3=M$3,SUMIF('TL12'!$C$10:$C$224,$C29,'TL12'!$J$10:$J$224),0),
IF('TL12'!$B$229=M$3,SUMIF('TL12'!$C$238:$C$451,$C29,'TL12'!$J$238:$J$451),0),
IF('TL13'!$B$3=M$3,SUMIF('TL13'!$C$10:$C$224,$C29,'TL13'!$J$10:$J$224),0),
IF('TL13'!$B$229=M$3,SUMIF('TL13'!$C$238:$C$451,$C29,'TL13'!$J$238:$J$451),0),
IF('TL14'!$B$3=M$3,SUMIF('TL14'!$C$10:$C$224,$C29,'TL14'!$J$10:$J$224),0),
IF('TL14'!$B$229=M$3,SUMIF('TL14'!$C$238:$C$451,$C29,'TL14'!$J$238:$J$451),0),
IF('TL15'!$B$3=M$3,SUMIF('TL15'!$C$10:$C$224,$C29,'TL15'!$J$10:$J$224),0),
IF('TL15'!$B$229=M$3,SUMIF('TL15'!$C$238:$C$451,$C29,'TL15'!$J$238:$J$451),0),
IF('TL16'!$B$3=M$3,SUMIF('TL16'!$C$10:$C$224,$C29,'TL16'!$J$10:$J$224),0),
IF('TL16'!$B$229=M$3,SUMIF('TL16'!$C$238:$C$451,$C29,'TL16'!$J$238:$J$451),0),
IF('TL17'!$B$3=M$3,SUMIF('TL17'!$C$10:$C$224,$C29,'TL17'!$J$10:$J$224),0),
IF('TL17'!$B$229=M$3,SUMIF('TL17'!$C$238:$C$451,$C29,'TL17'!$J$238:$J$451),0),
IF('TL18'!$B$3=M$3,SUMIF('TL18'!$C$10:$C$224,$C29,'TL18'!$J$10:$J$224),0),
IF('TL18'!$B$229=M$3,SUMIF('TL18'!$C$238:$C$451,$C29,'TL18'!$J$238:$J$451),0),
IF('TL19'!$B$3=M$3,SUMIF('TL19'!$C$10:$C$224,$C29,'TL19'!$J$10:$J$224),0),
IF('TL19'!$B$229=M$3,SUMIF('TL19'!$C$238:$C$451,$C29,'TL19'!$J$238:$J$451),0)
),0)</f>
        <v/>
      </c>
      <c r="N29" s="9">
        <f>IFERROR(SUM(
IF('TL01'!$B$3=N$3,SUMIF('TL01'!$C$10:$C$224,$C29,'TL01'!$J$10:$J$224),0),
IF('TL01'!$B$229=N$3,SUMIF('TL01'!$C$238:$C$451,$C29,'TL01'!$J$238:$J$451),0),
IF('TL02'!$B$3=N$3,SUMIF('TL02'!$C$10:$C$224,$C29,'TL02'!$J$10:$J$224),0),
IF('TL02'!$B$229=N$3,SUMIF('TL02'!$C$238:$C$451,$C29,'TL02'!$J$238:$J$451),0),
IF('TL03'!$B$3=N$3,SUMIF('TL03'!$C$10:$C$224,$C29,'TL03'!$J$10:$J$224),0),
IF('TL03'!$B$229=N$3,SUMIF('TL03'!$C$238:$C$451,$C29,'TL03'!$J$238:$J$451),0),
IF('TL04'!$B$3=N$3,SUMIF('TL04'!$C$10:$C$224,$C29,'TL04'!$J$10:$J$224),0),
IF('TL04'!$B$229=N$3,SUMIF('TL04'!$C$238:$C$451,$C29,'TL04'!$J$238:$J$451),0),
IF('TL05'!$B$3=N$3,SUMIF('TL05'!$C$10:$C$224,$C29,'TL05'!$J$10:$J$224),0),
IF('TL05'!$B$229=N$3,SUMIF('TL05'!$C$238:$C$451,$C29,'TL05'!$J$238:$J$451),0),
IF('TL06'!$B$3=N$3,SUMIF('TL06'!$C$10:$C$224,$C29,'TL06'!$J$10:$J$224),0),
IF('TL06'!$B$229=N$3,SUMIF('TL06'!$C$238:$C$451,$C29,'TL06'!$J$238:$J$451),0),
IF('TL07'!$B$3=N$3,SUMIF('TL07'!$C$10:$C$224,$C29,'TL07'!$J$10:$J$224),0),
IF('TL07'!$B$229=N$3,SUMIF('TL07'!$C$238:$C$451,$C29,'TL07'!$J$238:$J$451),0),
IF('TL08'!$B$3=N$3,SUMIF('TL08'!$C$10:$C$224,$C29,'TL08'!$J$10:$J$224),0),
IF('TL08'!$B$229=N$3,SUMIF('TL08'!$C$238:$C$451,$C29,'TL08'!$J$238:$J$451),0),
IF('TL09'!$B$3=N$3,SUMIF('TL09'!$C$10:$C$224,$C29,'TL09'!$J$10:$J$224),0),
IF('TL09'!$B$229=N$3,SUMIF('TL09'!$C$238:$C$451,$C29,'TL09'!$J$238:$J$451),0),
IF('TL10'!$B$3=N$3,SUMIF('TL10'!$C$10:$C$224,$C29,'TL10'!$J$10:$J$224),0),
IF('TL10'!$B$229=N$3,SUMIF('TL10'!$C$238:$C$451,$C29,'TL10'!$J$238:$J$451),0),
IF('TL11'!$B$3=N$3,SUMIF('TL11'!$C$10:$C$224,$C29,'TL11'!$J$10:$J$224),0),
IF('TL11'!$B$229=N$3,SUMIF('TL11'!$C$238:$C$451,$C29,'TL11'!$J$238:$J$451),0),
IF('TL12'!$B$3=N$3,SUMIF('TL12'!$C$10:$C$224,$C29,'TL12'!$J$10:$J$224),0),
IF('TL12'!$B$229=N$3,SUMIF('TL12'!$C$238:$C$451,$C29,'TL12'!$J$238:$J$451),0),
IF('TL13'!$B$3=N$3,SUMIF('TL13'!$C$10:$C$224,$C29,'TL13'!$J$10:$J$224),0),
IF('TL13'!$B$229=N$3,SUMIF('TL13'!$C$238:$C$451,$C29,'TL13'!$J$238:$J$451),0),
IF('TL14'!$B$3=N$3,SUMIF('TL14'!$C$10:$C$224,$C29,'TL14'!$J$10:$J$224),0),
IF('TL14'!$B$229=N$3,SUMIF('TL14'!$C$238:$C$451,$C29,'TL14'!$J$238:$J$451),0),
IF('TL15'!$B$3=N$3,SUMIF('TL15'!$C$10:$C$224,$C29,'TL15'!$J$10:$J$224),0),
IF('TL15'!$B$229=N$3,SUMIF('TL15'!$C$238:$C$451,$C29,'TL15'!$J$238:$J$451),0),
IF('TL16'!$B$3=N$3,SUMIF('TL16'!$C$10:$C$224,$C29,'TL16'!$J$10:$J$224),0),
IF('TL16'!$B$229=N$3,SUMIF('TL16'!$C$238:$C$451,$C29,'TL16'!$J$238:$J$451),0),
IF('TL17'!$B$3=N$3,SUMIF('TL17'!$C$10:$C$224,$C29,'TL17'!$J$10:$J$224),0),
IF('TL17'!$B$229=N$3,SUMIF('TL17'!$C$238:$C$451,$C29,'TL17'!$J$238:$J$451),0),
IF('TL18'!$B$3=N$3,SUMIF('TL18'!$C$10:$C$224,$C29,'TL18'!$J$10:$J$224),0),
IF('TL18'!$B$229=N$3,SUMIF('TL18'!$C$238:$C$451,$C29,'TL18'!$J$238:$J$451),0),
IF('TL19'!$B$3=N$3,SUMIF('TL19'!$C$10:$C$224,$C29,'TL19'!$J$10:$J$224),0),
IF('TL19'!$B$229=N$3,SUMIF('TL19'!$C$238:$C$451,$C29,'TL19'!$J$238:$J$451),0)
),0)</f>
        <v/>
      </c>
      <c r="O29" s="9">
        <f>IFERROR(SUM(
IF('TL01'!$B$3=O$3,SUMIF('TL01'!$C$10:$C$224,$C29,'TL01'!$J$10:$J$224),0),
IF('TL01'!$B$229=O$3,SUMIF('TL01'!$C$238:$C$451,$C29,'TL01'!$J$238:$J$451),0),
IF('TL02'!$B$3=O$3,SUMIF('TL02'!$C$10:$C$224,$C29,'TL02'!$J$10:$J$224),0),
IF('TL02'!$B$229=O$3,SUMIF('TL02'!$C$238:$C$451,$C29,'TL02'!$J$238:$J$451),0),
IF('TL03'!$B$3=O$3,SUMIF('TL03'!$C$10:$C$224,$C29,'TL03'!$J$10:$J$224),0),
IF('TL03'!$B$229=O$3,SUMIF('TL03'!$C$238:$C$451,$C29,'TL03'!$J$238:$J$451),0),
IF('TL04'!$B$3=O$3,SUMIF('TL04'!$C$10:$C$224,$C29,'TL04'!$J$10:$J$224),0),
IF('TL04'!$B$229=O$3,SUMIF('TL04'!$C$238:$C$451,$C29,'TL04'!$J$238:$J$451),0),
IF('TL05'!$B$3=O$3,SUMIF('TL05'!$C$10:$C$224,$C29,'TL05'!$J$10:$J$224),0),
IF('TL05'!$B$229=O$3,SUMIF('TL05'!$C$238:$C$451,$C29,'TL05'!$J$238:$J$451),0),
IF('TL06'!$B$3=O$3,SUMIF('TL06'!$C$10:$C$224,$C29,'TL06'!$J$10:$J$224),0),
IF('TL06'!$B$229=O$3,SUMIF('TL06'!$C$238:$C$451,$C29,'TL06'!$J$238:$J$451),0),
IF('TL07'!$B$3=O$3,SUMIF('TL07'!$C$10:$C$224,$C29,'TL07'!$J$10:$J$224),0),
IF('TL07'!$B$229=O$3,SUMIF('TL07'!$C$238:$C$451,$C29,'TL07'!$J$238:$J$451),0),
IF('TL08'!$B$3=O$3,SUMIF('TL08'!$C$10:$C$224,$C29,'TL08'!$J$10:$J$224),0),
IF('TL08'!$B$229=O$3,SUMIF('TL08'!$C$238:$C$451,$C29,'TL08'!$J$238:$J$451),0),
IF('TL09'!$B$3=O$3,SUMIF('TL09'!$C$10:$C$224,$C29,'TL09'!$J$10:$J$224),0),
IF('TL09'!$B$229=O$3,SUMIF('TL09'!$C$238:$C$451,$C29,'TL09'!$J$238:$J$451),0),
IF('TL10'!$B$3=O$3,SUMIF('TL10'!$C$10:$C$224,$C29,'TL10'!$J$10:$J$224),0),
IF('TL10'!$B$229=O$3,SUMIF('TL10'!$C$238:$C$451,$C29,'TL10'!$J$238:$J$451),0),
IF('TL11'!$B$3=O$3,SUMIF('TL11'!$C$10:$C$224,$C29,'TL11'!$J$10:$J$224),0),
IF('TL11'!$B$229=O$3,SUMIF('TL11'!$C$238:$C$451,$C29,'TL11'!$J$238:$J$451),0),
IF('TL12'!$B$3=O$3,SUMIF('TL12'!$C$10:$C$224,$C29,'TL12'!$J$10:$J$224),0),
IF('TL12'!$B$229=O$3,SUMIF('TL12'!$C$238:$C$451,$C29,'TL12'!$J$238:$J$451),0),
IF('TL13'!$B$3=O$3,SUMIF('TL13'!$C$10:$C$224,$C29,'TL13'!$J$10:$J$224),0),
IF('TL13'!$B$229=O$3,SUMIF('TL13'!$C$238:$C$451,$C29,'TL13'!$J$238:$J$451),0),
IF('TL14'!$B$3=O$3,SUMIF('TL14'!$C$10:$C$224,$C29,'TL14'!$J$10:$J$224),0),
IF('TL14'!$B$229=O$3,SUMIF('TL14'!$C$238:$C$451,$C29,'TL14'!$J$238:$J$451),0),
IF('TL15'!$B$3=O$3,SUMIF('TL15'!$C$10:$C$224,$C29,'TL15'!$J$10:$J$224),0),
IF('TL15'!$B$229=O$3,SUMIF('TL15'!$C$238:$C$451,$C29,'TL15'!$J$238:$J$451),0),
IF('TL16'!$B$3=O$3,SUMIF('TL16'!$C$10:$C$224,$C29,'TL16'!$J$10:$J$224),0),
IF('TL16'!$B$229=O$3,SUMIF('TL16'!$C$238:$C$451,$C29,'TL16'!$J$238:$J$451),0),
IF('TL17'!$B$3=O$3,SUMIF('TL17'!$C$10:$C$224,$C29,'TL17'!$J$10:$J$224),0),
IF('TL17'!$B$229=O$3,SUMIF('TL17'!$C$238:$C$451,$C29,'TL17'!$J$238:$J$451),0),
IF('TL18'!$B$3=O$3,SUMIF('TL18'!$C$10:$C$224,$C29,'TL18'!$J$10:$J$224),0),
IF('TL18'!$B$229=O$3,SUMIF('TL18'!$C$238:$C$451,$C29,'TL18'!$J$238:$J$451),0),
IF('TL19'!$B$3=O$3,SUMIF('TL19'!$C$10:$C$224,$C29,'TL19'!$J$10:$J$224),0),
IF('TL19'!$B$229=O$3,SUMIF('TL19'!$C$238:$C$451,$C29,'TL19'!$J$238:$J$451),0)
),0)</f>
        <v/>
      </c>
      <c r="P29" s="9">
        <f>IFERROR(SUM(
IF('TL01'!$B$3=P$3,SUMIF('TL01'!$C$10:$C$224,$C29,'TL01'!$J$10:$J$224),0),
IF('TL01'!$B$229=P$3,SUMIF('TL01'!$C$238:$C$451,$C29,'TL01'!$J$238:$J$451),0),
IF('TL02'!$B$3=P$3,SUMIF('TL02'!$C$10:$C$224,$C29,'TL02'!$J$10:$J$224),0),
IF('TL02'!$B$229=P$3,SUMIF('TL02'!$C$238:$C$451,$C29,'TL02'!$J$238:$J$451),0),
IF('TL03'!$B$3=P$3,SUMIF('TL03'!$C$10:$C$224,$C29,'TL03'!$J$10:$J$224),0),
IF('TL03'!$B$229=P$3,SUMIF('TL03'!$C$238:$C$451,$C29,'TL03'!$J$238:$J$451),0),
IF('TL04'!$B$3=P$3,SUMIF('TL04'!$C$10:$C$224,$C29,'TL04'!$J$10:$J$224),0),
IF('TL04'!$B$229=P$3,SUMIF('TL04'!$C$238:$C$451,$C29,'TL04'!$J$238:$J$451),0),
IF('TL05'!$B$3=P$3,SUMIF('TL05'!$C$10:$C$224,$C29,'TL05'!$J$10:$J$224),0),
IF('TL05'!$B$229=P$3,SUMIF('TL05'!$C$238:$C$451,$C29,'TL05'!$J$238:$J$451),0),
IF('TL06'!$B$3=P$3,SUMIF('TL06'!$C$10:$C$224,$C29,'TL06'!$J$10:$J$224),0),
IF('TL06'!$B$229=P$3,SUMIF('TL06'!$C$238:$C$451,$C29,'TL06'!$J$238:$J$451),0),
IF('TL07'!$B$3=P$3,SUMIF('TL07'!$C$10:$C$224,$C29,'TL07'!$J$10:$J$224),0),
IF('TL07'!$B$229=P$3,SUMIF('TL07'!$C$238:$C$451,$C29,'TL07'!$J$238:$J$451),0),
IF('TL08'!$B$3=P$3,SUMIF('TL08'!$C$10:$C$224,$C29,'TL08'!$J$10:$J$224),0),
IF('TL08'!$B$229=P$3,SUMIF('TL08'!$C$238:$C$451,$C29,'TL08'!$J$238:$J$451),0),
IF('TL09'!$B$3=P$3,SUMIF('TL09'!$C$10:$C$224,$C29,'TL09'!$J$10:$J$224),0),
IF('TL09'!$B$229=P$3,SUMIF('TL09'!$C$238:$C$451,$C29,'TL09'!$J$238:$J$451),0),
IF('TL10'!$B$3=P$3,SUMIF('TL10'!$C$10:$C$224,$C29,'TL10'!$J$10:$J$224),0),
IF('TL10'!$B$229=P$3,SUMIF('TL10'!$C$238:$C$451,$C29,'TL10'!$J$238:$J$451),0),
IF('TL11'!$B$3=P$3,SUMIF('TL11'!$C$10:$C$224,$C29,'TL11'!$J$10:$J$224),0),
IF('TL11'!$B$229=P$3,SUMIF('TL11'!$C$238:$C$451,$C29,'TL11'!$J$238:$J$451),0),
IF('TL12'!$B$3=P$3,SUMIF('TL12'!$C$10:$C$224,$C29,'TL12'!$J$10:$J$224),0),
IF('TL12'!$B$229=P$3,SUMIF('TL12'!$C$238:$C$451,$C29,'TL12'!$J$238:$J$451),0),
IF('TL13'!$B$3=P$3,SUMIF('TL13'!$C$10:$C$224,$C29,'TL13'!$J$10:$J$224),0),
IF('TL13'!$B$229=P$3,SUMIF('TL13'!$C$238:$C$451,$C29,'TL13'!$J$238:$J$451),0),
IF('TL14'!$B$3=P$3,SUMIF('TL14'!$C$10:$C$224,$C29,'TL14'!$J$10:$J$224),0),
IF('TL14'!$B$229=P$3,SUMIF('TL14'!$C$238:$C$451,$C29,'TL14'!$J$238:$J$451),0),
IF('TL15'!$B$3=P$3,SUMIF('TL15'!$C$10:$C$224,$C29,'TL15'!$J$10:$J$224),0),
IF('TL15'!$B$229=P$3,SUMIF('TL15'!$C$238:$C$451,$C29,'TL15'!$J$238:$J$451),0),
IF('TL16'!$B$3=P$3,SUMIF('TL16'!$C$10:$C$224,$C29,'TL16'!$J$10:$J$224),0),
IF('TL16'!$B$229=P$3,SUMIF('TL16'!$C$238:$C$451,$C29,'TL16'!$J$238:$J$451),0),
IF('TL17'!$B$3=P$3,SUMIF('TL17'!$C$10:$C$224,$C29,'TL17'!$J$10:$J$224),0),
IF('TL17'!$B$229=P$3,SUMIF('TL17'!$C$238:$C$451,$C29,'TL17'!$J$238:$J$451),0),
IF('TL18'!$B$3=P$3,SUMIF('TL18'!$C$10:$C$224,$C29,'TL18'!$J$10:$J$224),0),
IF('TL18'!$B$229=P$3,SUMIF('TL18'!$C$238:$C$451,$C29,'TL18'!$J$238:$J$451),0),
IF('TL19'!$B$3=P$3,SUMIF('TL19'!$C$10:$C$224,$C29,'TL19'!$J$10:$J$224),0),
IF('TL19'!$B$229=P$3,SUMIF('TL19'!$C$238:$C$451,$C29,'TL19'!$J$238:$J$451),0)
),0)</f>
        <v/>
      </c>
      <c r="Q29" s="9">
        <f>IFERROR(SUM(
IF('TL01'!$B$3=Q$3,SUMIF('TL01'!$C$10:$C$224,$C29,'TL01'!$J$10:$J$224),0),
IF('TL01'!$B$229=Q$3,SUMIF('TL01'!$C$238:$C$451,$C29,'TL01'!$J$238:$J$451),0),
IF('TL02'!$B$3=Q$3,SUMIF('TL02'!$C$10:$C$224,$C29,'TL02'!$J$10:$J$224),0),
IF('TL02'!$B$229=Q$3,SUMIF('TL02'!$C$238:$C$451,$C29,'TL02'!$J$238:$J$451),0),
IF('TL03'!$B$3=Q$3,SUMIF('TL03'!$C$10:$C$224,$C29,'TL03'!$J$10:$J$224),0),
IF('TL03'!$B$229=Q$3,SUMIF('TL03'!$C$238:$C$451,$C29,'TL03'!$J$238:$J$451),0),
IF('TL04'!$B$3=Q$3,SUMIF('TL04'!$C$10:$C$224,$C29,'TL04'!$J$10:$J$224),0),
IF('TL04'!$B$229=Q$3,SUMIF('TL04'!$C$238:$C$451,$C29,'TL04'!$J$238:$J$451),0),
IF('TL05'!$B$3=Q$3,SUMIF('TL05'!$C$10:$C$224,$C29,'TL05'!$J$10:$J$224),0),
IF('TL05'!$B$229=Q$3,SUMIF('TL05'!$C$238:$C$451,$C29,'TL05'!$J$238:$J$451),0),
IF('TL06'!$B$3=Q$3,SUMIF('TL06'!$C$10:$C$224,$C29,'TL06'!$J$10:$J$224),0),
IF('TL06'!$B$229=Q$3,SUMIF('TL06'!$C$238:$C$451,$C29,'TL06'!$J$238:$J$451),0),
IF('TL07'!$B$3=Q$3,SUMIF('TL07'!$C$10:$C$224,$C29,'TL07'!$J$10:$J$224),0),
IF('TL07'!$B$229=Q$3,SUMIF('TL07'!$C$238:$C$451,$C29,'TL07'!$J$238:$J$451),0),
IF('TL08'!$B$3=Q$3,SUMIF('TL08'!$C$10:$C$224,$C29,'TL08'!$J$10:$J$224),0),
IF('TL08'!$B$229=Q$3,SUMIF('TL08'!$C$238:$C$451,$C29,'TL08'!$J$238:$J$451),0),
IF('TL09'!$B$3=Q$3,SUMIF('TL09'!$C$10:$C$224,$C29,'TL09'!$J$10:$J$224),0),
IF('TL09'!$B$229=Q$3,SUMIF('TL09'!$C$238:$C$451,$C29,'TL09'!$J$238:$J$451),0),
IF('TL10'!$B$3=Q$3,SUMIF('TL10'!$C$10:$C$224,$C29,'TL10'!$J$10:$J$224),0),
IF('TL10'!$B$229=Q$3,SUMIF('TL10'!$C$238:$C$451,$C29,'TL10'!$J$238:$J$451),0),
IF('TL11'!$B$3=Q$3,SUMIF('TL11'!$C$10:$C$224,$C29,'TL11'!$J$10:$J$224),0),
IF('TL11'!$B$229=Q$3,SUMIF('TL11'!$C$238:$C$451,$C29,'TL11'!$J$238:$J$451),0),
IF('TL12'!$B$3=Q$3,SUMIF('TL12'!$C$10:$C$224,$C29,'TL12'!$J$10:$J$224),0),
IF('TL12'!$B$229=Q$3,SUMIF('TL12'!$C$238:$C$451,$C29,'TL12'!$J$238:$J$451),0),
IF('TL13'!$B$3=Q$3,SUMIF('TL13'!$C$10:$C$224,$C29,'TL13'!$J$10:$J$224),0),
IF('TL13'!$B$229=Q$3,SUMIF('TL13'!$C$238:$C$451,$C29,'TL13'!$J$238:$J$451),0),
IF('TL14'!$B$3=Q$3,SUMIF('TL14'!$C$10:$C$224,$C29,'TL14'!$J$10:$J$224),0),
IF('TL14'!$B$229=Q$3,SUMIF('TL14'!$C$238:$C$451,$C29,'TL14'!$J$238:$J$451),0),
IF('TL15'!$B$3=Q$3,SUMIF('TL15'!$C$10:$C$224,$C29,'TL15'!$J$10:$J$224),0),
IF('TL15'!$B$229=Q$3,SUMIF('TL15'!$C$238:$C$451,$C29,'TL15'!$J$238:$J$451),0),
IF('TL16'!$B$3=Q$3,SUMIF('TL16'!$C$10:$C$224,$C29,'TL16'!$J$10:$J$224),0),
IF('TL16'!$B$229=Q$3,SUMIF('TL16'!$C$238:$C$451,$C29,'TL16'!$J$238:$J$451),0),
IF('TL17'!$B$3=Q$3,SUMIF('TL17'!$C$10:$C$224,$C29,'TL17'!$J$10:$J$224),0),
IF('TL17'!$B$229=Q$3,SUMIF('TL17'!$C$238:$C$451,$C29,'TL17'!$J$238:$J$451),0),
IF('TL18'!$B$3=Q$3,SUMIF('TL18'!$C$10:$C$224,$C29,'TL18'!$J$10:$J$224),0),
IF('TL18'!$B$229=Q$3,SUMIF('TL18'!$C$238:$C$451,$C29,'TL18'!$J$238:$J$451),0),
IF('TL19'!$B$3=Q$3,SUMIF('TL19'!$C$10:$C$224,$C29,'TL19'!$J$10:$J$224),0),
IF('TL19'!$B$229=Q$3,SUMIF('TL19'!$C$238:$C$451,$C29,'TL19'!$J$238:$J$451),0)
),0)</f>
        <v/>
      </c>
      <c r="R29" s="9">
        <f>IFERROR(
SUM(
SUMIF('TL01'!C:C,C29,'TL01'!J:J),
SUMIF('TL02'!C:C,C29,'TL02'!J:J),
SUMIF('TL03'!C:C,C29,'TL03'!J:J),
SUMIF('TL04'!C:C,C29,'TL04'!J:J),
SUMIF('TL05'!C:C,C29,'TL05'!J:J),
SUMIF('TL06'!C:C,C29,'TL06'!J:J),
SUMIF('TL07'!C:C,C29,'TL07'!J:J),
SUMIF('TL08'!C:C,C29,'TL08'!J:J),
SUMIF('TL09'!C:C,C29,'TL09'!J:J),
SUMIF('TL10'!C:C,C29,'TL10'!J:J),
SUMIF('TL11'!C:C,C29,'TL11'!J:J),
SUMIF('TL12'!C:C,C29,'TL12'!J:J),
SUMIF('TL13'!C:C,C29,'TL13'!J:J),
SUMIF('TL14'!C:C,C29,'TL14'!J:J),
SUMIF('TL15'!C:C,C29,'TL15'!J:J),
SUMIF('TL16'!C:C,C29,'TL16'!J:J),
SUMIF('TL17'!C:C,C29,'TL17'!J:J),
SUMIF('TL18'!C:C,C29,'TL18'!J:J),SUMIF('TL19'!C:C,C29,'TL19'!J:J))
,0)</f>
        <v/>
      </c>
      <c r="S29" s="17">
        <f>IFERROR(__xludf.DUMMYFUNCTION("IFERROR(VLOOKUP(C29,
IMPORTRANGE(""1wULbzX32WdYsx-lj2U3uUNBBe2INVIRDtcK0d-Dvl90"",
""26-27!C:G""),
5,
FALSE),
"""")"),"")</f>
        <v/>
      </c>
      <c r="T29" s="9" t="n"/>
      <c r="U29" s="92">
        <f>MAX(0,R29-T29)</f>
        <v/>
      </c>
      <c r="V29" s="93">
        <f>U29*S29</f>
        <v/>
      </c>
    </row>
    <row r="30" hidden="1" ht="22.5" customHeight="1" s="297">
      <c r="A30" s="101" t="n"/>
      <c r="B30" s="102" t="inlineStr">
        <is>
          <t>FERTILIZANTES</t>
        </is>
      </c>
      <c r="C30" s="103" t="inlineStr">
        <is>
          <t>SSP 21</t>
        </is>
      </c>
      <c r="D30" s="103" t="inlineStr">
        <is>
          <t>P 21%</t>
        </is>
      </c>
      <c r="E30" s="104" t="n"/>
      <c r="F30" s="4" t="inlineStr">
        <is>
          <t>Ton</t>
        </is>
      </c>
      <c r="G30" s="9" t="n"/>
      <c r="H30" s="9">
        <f>IFERROR(__xludf.DUMMYFUNCTION("IFERROR(VLOOKUP(C30,
IMPORTRANGE(""1wULbzX32WdYsx-lj2U3uUNBBe2INVIRDtcK0d-Dvl90"",
""26-27!C:K""),
8,
FALSE),
"""")"),"")</f>
        <v/>
      </c>
      <c r="I30" s="105" t="n"/>
      <c r="J30" s="9">
        <f>IFERROR(SUM(
IF('TL01'!$B$3=J$3,SUMIF('TL01'!$C$10:$C$224,$C30,'TL01'!$J$10:$J$224),0),
IF('TL01'!$B$229=J$3,SUMIF('TL01'!$C$238:$C$451,$C30,'TL01'!$J$238:$J$451),0),
IF('TL02'!$B$3=J$3,SUMIF('TL02'!$C$10:$C$224,$C30,'TL02'!$J$10:$J$224),0),
IF('TL02'!$B$229=J$3,SUMIF('TL02'!$C$238:$C$451,$C30,'TL02'!$J$238:$J$451),0),
IF('TL03'!$B$3=J$3,SUMIF('TL03'!$C$10:$C$224,$C30,'TL03'!$J$10:$J$224),0),
IF('TL03'!$B$229=J$3,SUMIF('TL03'!$C$238:$C$451,$C30,'TL03'!$J$238:$J$451),0),
IF('TL04'!$B$3=J$3,SUMIF('TL04'!$C$10:$C$224,$C30,'TL04'!$J$10:$J$224),0),
IF('TL04'!$B$229=J$3,SUMIF('TL04'!$C$238:$C$451,$C30,'TL04'!$J$238:$J$451),0),
IF('TL05'!$B$3=J$3,SUMIF('TL05'!$C$10:$C$224,$C30,'TL05'!$J$10:$J$224),0),
IF('TL05'!$B$229=J$3,SUMIF('TL05'!$C$238:$C$451,$C30,'TL05'!$J$238:$J$451),0),
IF('TL06'!$B$3=J$3,SUMIF('TL06'!$C$10:$C$224,$C30,'TL06'!$J$10:$J$224),0),
IF('TL06'!$B$229=J$3,SUMIF('TL06'!$C$238:$C$451,$C30,'TL06'!$J$238:$J$451),0),
IF('TL07'!$B$3=J$3,SUMIF('TL07'!$C$10:$C$224,$C30,'TL07'!$J$10:$J$224),0),
IF('TL07'!$B$229=J$3,SUMIF('TL07'!$C$238:$C$451,$C30,'TL07'!$J$238:$J$451),0),
IF('TL08'!$B$3=J$3,SUMIF('TL08'!$C$10:$C$224,$C30,'TL08'!$J$10:$J$224),0),
IF('TL08'!$B$229=J$3,SUMIF('TL08'!$C$238:$C$451,$C30,'TL08'!$J$238:$J$451),0),
IF('TL09'!$B$3=J$3,SUMIF('TL09'!$C$10:$C$224,$C30,'TL09'!$J$10:$J$224),0),
IF('TL09'!$B$229=J$3,SUMIF('TL09'!$C$238:$C$451,$C30,'TL09'!$J$238:$J$451),0),
IF('TL10'!$B$3=J$3,SUMIF('TL10'!$C$10:$C$224,$C30,'TL10'!$J$10:$J$224),0),
IF('TL10'!$B$229=J$3,SUMIF('TL10'!$C$238:$C$451,$C30,'TL10'!$J$238:$J$451),0),
IF('TL11'!$B$3=J$3,SUMIF('TL11'!$C$10:$C$224,$C30,'TL11'!$J$10:$J$224),0),
IF('TL11'!$B$229=J$3,SUMIF('TL11'!$C$238:$C$451,$C30,'TL11'!$J$238:$J$451),0),
IF('TL12'!$B$3=J$3,SUMIF('TL12'!$C$10:$C$224,$C30,'TL12'!$J$10:$J$224),0),
IF('TL12'!$B$229=J$3,SUMIF('TL12'!$C$238:$C$451,$C30,'TL12'!$J$238:$J$451),0),
IF('TL13'!$B$3=J$3,SUMIF('TL13'!$C$10:$C$224,$C30,'TL13'!$J$10:$J$224),0),
IF('TL13'!$B$229=J$3,SUMIF('TL13'!$C$238:$C$451,$C30,'TL13'!$J$238:$J$451),0),
IF('TL14'!$B$3=J$3,SUMIF('TL14'!$C$10:$C$224,$C30,'TL14'!$J$10:$J$224),0),
IF('TL14'!$B$229=J$3,SUMIF('TL14'!$C$238:$C$451,$C30,'TL14'!$J$238:$J$451),0),
IF('TL15'!$B$3=J$3,SUMIF('TL15'!$C$10:$C$224,$C30,'TL15'!$J$10:$J$224),0),
IF('TL15'!$B$229=J$3,SUMIF('TL15'!$C$238:$C$451,$C30,'TL15'!$J$238:$J$451),0),
IF('TL16'!$B$3=J$3,SUMIF('TL16'!$C$10:$C$224,$C30,'TL16'!$J$10:$J$224),0),
IF('TL16'!$B$229=J$3,SUMIF('TL16'!$C$238:$C$451,$C30,'TL16'!$J$238:$J$451),0),
IF('TL17'!$B$3=J$3,SUMIF('TL17'!$C$10:$C$224,$C30,'TL17'!$J$10:$J$224),0),
IF('TL17'!$B$229=J$3,SUMIF('TL17'!$C$238:$C$451,$C30,'TL17'!$J$238:$J$451),0),
IF('TL18'!$B$3=J$3,SUMIF('TL18'!$C$10:$C$224,$C30,'TL18'!$J$10:$J$224),0),
IF('TL18'!$B$229=J$3,SUMIF('TL18'!$C$238:$C$451,$C30,'TL18'!$J$238:$J$451),0),
IF('TL19'!$B$3=J$3,SUMIF('TL19'!$C$10:$C$224,$C30,'TL19'!$J$10:$J$224),0),
IF('TL19'!$B$229=J$3,SUMIF('TL19'!$C$238:$C$451,$C30,'TL19'!$J$238:$J$451),0)
),0)</f>
        <v/>
      </c>
      <c r="K30" s="9">
        <f>IFERROR(SUM(
IF('TL01'!$B$3=K$3,SUMIF('TL01'!$C$10:$C$224,$C30,'TL01'!$J$10:$J$224),0),
IF('TL01'!$B$229=K$3,SUMIF('TL01'!$C$238:$C$451,$C30,'TL01'!$J$238:$J$451),0),
IF('TL02'!$B$3=K$3,SUMIF('TL02'!$C$10:$C$224,$C30,'TL02'!$J$10:$J$224),0),
IF('TL02'!$B$229=K$3,SUMIF('TL02'!$C$238:$C$451,$C30,'TL02'!$J$238:$J$451),0),
IF('TL03'!$B$3=K$3,SUMIF('TL03'!$C$10:$C$224,$C30,'TL03'!$J$10:$J$224),0),
IF('TL03'!$B$229=K$3,SUMIF('TL03'!$C$238:$C$451,$C30,'TL03'!$J$238:$J$451),0),
IF('TL04'!$B$3=K$3,SUMIF('TL04'!$C$10:$C$224,$C30,'TL04'!$J$10:$J$224),0),
IF('TL04'!$B$229=K$3,SUMIF('TL04'!$C$238:$C$451,$C30,'TL04'!$J$238:$J$451),0),
IF('TL05'!$B$3=K$3,SUMIF('TL05'!$C$10:$C$224,$C30,'TL05'!$J$10:$J$224),0),
IF('TL05'!$B$229=K$3,SUMIF('TL05'!$C$238:$C$451,$C30,'TL05'!$J$238:$J$451),0),
IF('TL06'!$B$3=K$3,SUMIF('TL06'!$C$10:$C$224,$C30,'TL06'!$J$10:$J$224),0),
IF('TL06'!$B$229=K$3,SUMIF('TL06'!$C$238:$C$451,$C30,'TL06'!$J$238:$J$451),0),
IF('TL07'!$B$3=K$3,SUMIF('TL07'!$C$10:$C$224,$C30,'TL07'!$J$10:$J$224),0),
IF('TL07'!$B$229=K$3,SUMIF('TL07'!$C$238:$C$451,$C30,'TL07'!$J$238:$J$451),0),
IF('TL08'!$B$3=K$3,SUMIF('TL08'!$C$10:$C$224,$C30,'TL08'!$J$10:$J$224),0),
IF('TL08'!$B$229=K$3,SUMIF('TL08'!$C$238:$C$451,$C30,'TL08'!$J$238:$J$451),0),
IF('TL09'!$B$3=K$3,SUMIF('TL09'!$C$10:$C$224,$C30,'TL09'!$J$10:$J$224),0),
IF('TL09'!$B$229=K$3,SUMIF('TL09'!$C$238:$C$451,$C30,'TL09'!$J$238:$J$451),0),
IF('TL10'!$B$3=K$3,SUMIF('TL10'!$C$10:$C$224,$C30,'TL10'!$J$10:$J$224),0),
IF('TL10'!$B$229=K$3,SUMIF('TL10'!$C$238:$C$451,$C30,'TL10'!$J$238:$J$451),0),
IF('TL11'!$B$3=K$3,SUMIF('TL11'!$C$10:$C$224,$C30,'TL11'!$J$10:$J$224),0),
IF('TL11'!$B$229=K$3,SUMIF('TL11'!$C$238:$C$451,$C30,'TL11'!$J$238:$J$451),0),
IF('TL12'!$B$3=K$3,SUMIF('TL12'!$C$10:$C$224,$C30,'TL12'!$J$10:$J$224),0),
IF('TL12'!$B$229=K$3,SUMIF('TL12'!$C$238:$C$451,$C30,'TL12'!$J$238:$J$451),0),
IF('TL13'!$B$3=K$3,SUMIF('TL13'!$C$10:$C$224,$C30,'TL13'!$J$10:$J$224),0),
IF('TL13'!$B$229=K$3,SUMIF('TL13'!$C$238:$C$451,$C30,'TL13'!$J$238:$J$451),0),
IF('TL14'!$B$3=K$3,SUMIF('TL14'!$C$10:$C$224,$C30,'TL14'!$J$10:$J$224),0),
IF('TL14'!$B$229=K$3,SUMIF('TL14'!$C$238:$C$451,$C30,'TL14'!$J$238:$J$451),0),
IF('TL15'!$B$3=K$3,SUMIF('TL15'!$C$10:$C$224,$C30,'TL15'!$J$10:$J$224),0),
IF('TL15'!$B$229=K$3,SUMIF('TL15'!$C$238:$C$451,$C30,'TL15'!$J$238:$J$451),0),
IF('TL16'!$B$3=K$3,SUMIF('TL16'!$C$10:$C$224,$C30,'TL16'!$J$10:$J$224),0),
IF('TL16'!$B$229=K$3,SUMIF('TL16'!$C$238:$C$451,$C30,'TL16'!$J$238:$J$451),0),
IF('TL17'!$B$3=K$3,SUMIF('TL17'!$C$10:$C$224,$C30,'TL17'!$J$10:$J$224),0),
IF('TL17'!$B$229=K$3,SUMIF('TL17'!$C$238:$C$451,$C30,'TL17'!$J$238:$J$451),0),
IF('TL18'!$B$3=K$3,SUMIF('TL18'!$C$10:$C$224,$C30,'TL18'!$J$10:$J$224),0),
IF('TL18'!$B$229=K$3,SUMIF('TL18'!$C$238:$C$451,$C30,'TL18'!$J$238:$J$451),0),
IF('TL19'!$B$3=K$3,SUMIF('TL19'!$C$10:$C$224,$C30,'TL19'!$J$10:$J$224),0),
IF('TL19'!$B$229=K$3,SUMIF('TL19'!$C$238:$C$451,$C30,'TL19'!$J$238:$J$451),0)
),0)</f>
        <v/>
      </c>
      <c r="L30" s="9">
        <f>IFERROR(SUM(
IF('TL01'!$B$3=L$3,SUMIF('TL01'!$C$10:$C$224,$C30,'TL01'!$J$10:$J$224),0),
IF('TL01'!$B$229=L$3,SUMIF('TL01'!$C$238:$C$451,$C30,'TL01'!$J$238:$J$451),0),
IF('TL02'!$B$3=L$3,SUMIF('TL02'!$C$10:$C$224,$C30,'TL02'!$J$10:$J$224),0),
IF('TL02'!$B$229=L$3,SUMIF('TL02'!$C$238:$C$451,$C30,'TL02'!$J$238:$J$451),0),
IF('TL03'!$B$3=L$3,SUMIF('TL03'!$C$10:$C$224,$C30,'TL03'!$J$10:$J$224),0),
IF('TL03'!$B$229=L$3,SUMIF('TL03'!$C$238:$C$451,$C30,'TL03'!$J$238:$J$451),0),
IF('TL04'!$B$3=L$3,SUMIF('TL04'!$C$10:$C$224,$C30,'TL04'!$J$10:$J$224),0),
IF('TL04'!$B$229=L$3,SUMIF('TL04'!$C$238:$C$451,$C30,'TL04'!$J$238:$J$451),0),
IF('TL05'!$B$3=L$3,SUMIF('TL05'!$C$10:$C$224,$C30,'TL05'!$J$10:$J$224),0),
IF('TL05'!$B$229=L$3,SUMIF('TL05'!$C$238:$C$451,$C30,'TL05'!$J$238:$J$451),0),
IF('TL06'!$B$3=L$3,SUMIF('TL06'!$C$10:$C$224,$C30,'TL06'!$J$10:$J$224),0),
IF('TL06'!$B$229=L$3,SUMIF('TL06'!$C$238:$C$451,$C30,'TL06'!$J$238:$J$451),0),
IF('TL07'!$B$3=L$3,SUMIF('TL07'!$C$10:$C$224,$C30,'TL07'!$J$10:$J$224),0),
IF('TL07'!$B$229=L$3,SUMIF('TL07'!$C$238:$C$451,$C30,'TL07'!$J$238:$J$451),0),
IF('TL08'!$B$3=L$3,SUMIF('TL08'!$C$10:$C$224,$C30,'TL08'!$J$10:$J$224),0),
IF('TL08'!$B$229=L$3,SUMIF('TL08'!$C$238:$C$451,$C30,'TL08'!$J$238:$J$451),0),
IF('TL09'!$B$3=L$3,SUMIF('TL09'!$C$10:$C$224,$C30,'TL09'!$J$10:$J$224),0),
IF('TL09'!$B$229=L$3,SUMIF('TL09'!$C$238:$C$451,$C30,'TL09'!$J$238:$J$451),0),
IF('TL10'!$B$3=L$3,SUMIF('TL10'!$C$10:$C$224,$C30,'TL10'!$J$10:$J$224),0),
IF('TL10'!$B$229=L$3,SUMIF('TL10'!$C$238:$C$451,$C30,'TL10'!$J$238:$J$451),0),
IF('TL11'!$B$3=L$3,SUMIF('TL11'!$C$10:$C$224,$C30,'TL11'!$J$10:$J$224),0),
IF('TL11'!$B$229=L$3,SUMIF('TL11'!$C$238:$C$451,$C30,'TL11'!$J$238:$J$451),0),
IF('TL12'!$B$3=L$3,SUMIF('TL12'!$C$10:$C$224,$C30,'TL12'!$J$10:$J$224),0),
IF('TL12'!$B$229=L$3,SUMIF('TL12'!$C$238:$C$451,$C30,'TL12'!$J$238:$J$451),0),
IF('TL13'!$B$3=L$3,SUMIF('TL13'!$C$10:$C$224,$C30,'TL13'!$J$10:$J$224),0),
IF('TL13'!$B$229=L$3,SUMIF('TL13'!$C$238:$C$451,$C30,'TL13'!$J$238:$J$451),0),
IF('TL14'!$B$3=L$3,SUMIF('TL14'!$C$10:$C$224,$C30,'TL14'!$J$10:$J$224),0),
IF('TL14'!$B$229=L$3,SUMIF('TL14'!$C$238:$C$451,$C30,'TL14'!$J$238:$J$451),0),
IF('TL15'!$B$3=L$3,SUMIF('TL15'!$C$10:$C$224,$C30,'TL15'!$J$10:$J$224),0),
IF('TL15'!$B$229=L$3,SUMIF('TL15'!$C$238:$C$451,$C30,'TL15'!$J$238:$J$451),0),
IF('TL16'!$B$3=L$3,SUMIF('TL16'!$C$10:$C$224,$C30,'TL16'!$J$10:$J$224),0),
IF('TL16'!$B$229=L$3,SUMIF('TL16'!$C$238:$C$451,$C30,'TL16'!$J$238:$J$451),0),
IF('TL17'!$B$3=L$3,SUMIF('TL17'!$C$10:$C$224,$C30,'TL17'!$J$10:$J$224),0),
IF('TL17'!$B$229=L$3,SUMIF('TL17'!$C$238:$C$451,$C30,'TL17'!$J$238:$J$451),0),
IF('TL18'!$B$3=L$3,SUMIF('TL18'!$C$10:$C$224,$C30,'TL18'!$J$10:$J$224),0),
IF('TL18'!$B$229=L$3,SUMIF('TL18'!$C$238:$C$451,$C30,'TL18'!$J$238:$J$451),0),
IF('TL19'!$B$3=L$3,SUMIF('TL19'!$C$10:$C$224,$C30,'TL19'!$J$10:$J$224),0),
IF('TL19'!$B$229=L$3,SUMIF('TL19'!$C$238:$C$451,$C30,'TL19'!$J$238:$J$451),0)
),0)</f>
        <v/>
      </c>
      <c r="M30" s="9">
        <f>IFERROR(SUM(
IF('TL01'!$B$3=M$3,SUMIF('TL01'!$C$10:$C$224,$C30,'TL01'!$J$10:$J$224),0),
IF('TL01'!$B$229=M$3,SUMIF('TL01'!$C$238:$C$451,$C30,'TL01'!$J$238:$J$451),0),
IF('TL02'!$B$3=M$3,SUMIF('TL02'!$C$10:$C$224,$C30,'TL02'!$J$10:$J$224),0),
IF('TL02'!$B$229=M$3,SUMIF('TL02'!$C$238:$C$451,$C30,'TL02'!$J$238:$J$451),0),
IF('TL03'!$B$3=M$3,SUMIF('TL03'!$C$10:$C$224,$C30,'TL03'!$J$10:$J$224),0),
IF('TL03'!$B$229=M$3,SUMIF('TL03'!$C$238:$C$451,$C30,'TL03'!$J$238:$J$451),0),
IF('TL04'!$B$3=M$3,SUMIF('TL04'!$C$10:$C$224,$C30,'TL04'!$J$10:$J$224),0),
IF('TL04'!$B$229=M$3,SUMIF('TL04'!$C$238:$C$451,$C30,'TL04'!$J$238:$J$451),0),
IF('TL05'!$B$3=M$3,SUMIF('TL05'!$C$10:$C$224,$C30,'TL05'!$J$10:$J$224),0),
IF('TL05'!$B$229=M$3,SUMIF('TL05'!$C$238:$C$451,$C30,'TL05'!$J$238:$J$451),0),
IF('TL06'!$B$3=M$3,SUMIF('TL06'!$C$10:$C$224,$C30,'TL06'!$J$10:$J$224),0),
IF('TL06'!$B$229=M$3,SUMIF('TL06'!$C$238:$C$451,$C30,'TL06'!$J$238:$J$451),0),
IF('TL07'!$B$3=M$3,SUMIF('TL07'!$C$10:$C$224,$C30,'TL07'!$J$10:$J$224),0),
IF('TL07'!$B$229=M$3,SUMIF('TL07'!$C$238:$C$451,$C30,'TL07'!$J$238:$J$451),0),
IF('TL08'!$B$3=M$3,SUMIF('TL08'!$C$10:$C$224,$C30,'TL08'!$J$10:$J$224),0),
IF('TL08'!$B$229=M$3,SUMIF('TL08'!$C$238:$C$451,$C30,'TL08'!$J$238:$J$451),0),
IF('TL09'!$B$3=M$3,SUMIF('TL09'!$C$10:$C$224,$C30,'TL09'!$J$10:$J$224),0),
IF('TL09'!$B$229=M$3,SUMIF('TL09'!$C$238:$C$451,$C30,'TL09'!$J$238:$J$451),0),
IF('TL10'!$B$3=M$3,SUMIF('TL10'!$C$10:$C$224,$C30,'TL10'!$J$10:$J$224),0),
IF('TL10'!$B$229=M$3,SUMIF('TL10'!$C$238:$C$451,$C30,'TL10'!$J$238:$J$451),0),
IF('TL11'!$B$3=M$3,SUMIF('TL11'!$C$10:$C$224,$C30,'TL11'!$J$10:$J$224),0),
IF('TL11'!$B$229=M$3,SUMIF('TL11'!$C$238:$C$451,$C30,'TL11'!$J$238:$J$451),0),
IF('TL12'!$B$3=M$3,SUMIF('TL12'!$C$10:$C$224,$C30,'TL12'!$J$10:$J$224),0),
IF('TL12'!$B$229=M$3,SUMIF('TL12'!$C$238:$C$451,$C30,'TL12'!$J$238:$J$451),0),
IF('TL13'!$B$3=M$3,SUMIF('TL13'!$C$10:$C$224,$C30,'TL13'!$J$10:$J$224),0),
IF('TL13'!$B$229=M$3,SUMIF('TL13'!$C$238:$C$451,$C30,'TL13'!$J$238:$J$451),0),
IF('TL14'!$B$3=M$3,SUMIF('TL14'!$C$10:$C$224,$C30,'TL14'!$J$10:$J$224),0),
IF('TL14'!$B$229=M$3,SUMIF('TL14'!$C$238:$C$451,$C30,'TL14'!$J$238:$J$451),0),
IF('TL15'!$B$3=M$3,SUMIF('TL15'!$C$10:$C$224,$C30,'TL15'!$J$10:$J$224),0),
IF('TL15'!$B$229=M$3,SUMIF('TL15'!$C$238:$C$451,$C30,'TL15'!$J$238:$J$451),0),
IF('TL16'!$B$3=M$3,SUMIF('TL16'!$C$10:$C$224,$C30,'TL16'!$J$10:$J$224),0),
IF('TL16'!$B$229=M$3,SUMIF('TL16'!$C$238:$C$451,$C30,'TL16'!$J$238:$J$451),0),
IF('TL17'!$B$3=M$3,SUMIF('TL17'!$C$10:$C$224,$C30,'TL17'!$J$10:$J$224),0),
IF('TL17'!$B$229=M$3,SUMIF('TL17'!$C$238:$C$451,$C30,'TL17'!$J$238:$J$451),0),
IF('TL18'!$B$3=M$3,SUMIF('TL18'!$C$10:$C$224,$C30,'TL18'!$J$10:$J$224),0),
IF('TL18'!$B$229=M$3,SUMIF('TL18'!$C$238:$C$451,$C30,'TL18'!$J$238:$J$451),0),
IF('TL19'!$B$3=M$3,SUMIF('TL19'!$C$10:$C$224,$C30,'TL19'!$J$10:$J$224),0),
IF('TL19'!$B$229=M$3,SUMIF('TL19'!$C$238:$C$451,$C30,'TL19'!$J$238:$J$451),0)
),0)</f>
        <v/>
      </c>
      <c r="N30" s="9">
        <f>IFERROR(SUM(
IF('TL01'!$B$3=N$3,SUMIF('TL01'!$C$10:$C$224,$C30,'TL01'!$J$10:$J$224),0),
IF('TL01'!$B$229=N$3,SUMIF('TL01'!$C$238:$C$451,$C30,'TL01'!$J$238:$J$451),0),
IF('TL02'!$B$3=N$3,SUMIF('TL02'!$C$10:$C$224,$C30,'TL02'!$J$10:$J$224),0),
IF('TL02'!$B$229=N$3,SUMIF('TL02'!$C$238:$C$451,$C30,'TL02'!$J$238:$J$451),0),
IF('TL03'!$B$3=N$3,SUMIF('TL03'!$C$10:$C$224,$C30,'TL03'!$J$10:$J$224),0),
IF('TL03'!$B$229=N$3,SUMIF('TL03'!$C$238:$C$451,$C30,'TL03'!$J$238:$J$451),0),
IF('TL04'!$B$3=N$3,SUMIF('TL04'!$C$10:$C$224,$C30,'TL04'!$J$10:$J$224),0),
IF('TL04'!$B$229=N$3,SUMIF('TL04'!$C$238:$C$451,$C30,'TL04'!$J$238:$J$451),0),
IF('TL05'!$B$3=N$3,SUMIF('TL05'!$C$10:$C$224,$C30,'TL05'!$J$10:$J$224),0),
IF('TL05'!$B$229=N$3,SUMIF('TL05'!$C$238:$C$451,$C30,'TL05'!$J$238:$J$451),0),
IF('TL06'!$B$3=N$3,SUMIF('TL06'!$C$10:$C$224,$C30,'TL06'!$J$10:$J$224),0),
IF('TL06'!$B$229=N$3,SUMIF('TL06'!$C$238:$C$451,$C30,'TL06'!$J$238:$J$451),0),
IF('TL07'!$B$3=N$3,SUMIF('TL07'!$C$10:$C$224,$C30,'TL07'!$J$10:$J$224),0),
IF('TL07'!$B$229=N$3,SUMIF('TL07'!$C$238:$C$451,$C30,'TL07'!$J$238:$J$451),0),
IF('TL08'!$B$3=N$3,SUMIF('TL08'!$C$10:$C$224,$C30,'TL08'!$J$10:$J$224),0),
IF('TL08'!$B$229=N$3,SUMIF('TL08'!$C$238:$C$451,$C30,'TL08'!$J$238:$J$451),0),
IF('TL09'!$B$3=N$3,SUMIF('TL09'!$C$10:$C$224,$C30,'TL09'!$J$10:$J$224),0),
IF('TL09'!$B$229=N$3,SUMIF('TL09'!$C$238:$C$451,$C30,'TL09'!$J$238:$J$451),0),
IF('TL10'!$B$3=N$3,SUMIF('TL10'!$C$10:$C$224,$C30,'TL10'!$J$10:$J$224),0),
IF('TL10'!$B$229=N$3,SUMIF('TL10'!$C$238:$C$451,$C30,'TL10'!$J$238:$J$451),0),
IF('TL11'!$B$3=N$3,SUMIF('TL11'!$C$10:$C$224,$C30,'TL11'!$J$10:$J$224),0),
IF('TL11'!$B$229=N$3,SUMIF('TL11'!$C$238:$C$451,$C30,'TL11'!$J$238:$J$451),0),
IF('TL12'!$B$3=N$3,SUMIF('TL12'!$C$10:$C$224,$C30,'TL12'!$J$10:$J$224),0),
IF('TL12'!$B$229=N$3,SUMIF('TL12'!$C$238:$C$451,$C30,'TL12'!$J$238:$J$451),0),
IF('TL13'!$B$3=N$3,SUMIF('TL13'!$C$10:$C$224,$C30,'TL13'!$J$10:$J$224),0),
IF('TL13'!$B$229=N$3,SUMIF('TL13'!$C$238:$C$451,$C30,'TL13'!$J$238:$J$451),0),
IF('TL14'!$B$3=N$3,SUMIF('TL14'!$C$10:$C$224,$C30,'TL14'!$J$10:$J$224),0),
IF('TL14'!$B$229=N$3,SUMIF('TL14'!$C$238:$C$451,$C30,'TL14'!$J$238:$J$451),0),
IF('TL15'!$B$3=N$3,SUMIF('TL15'!$C$10:$C$224,$C30,'TL15'!$J$10:$J$224),0),
IF('TL15'!$B$229=N$3,SUMIF('TL15'!$C$238:$C$451,$C30,'TL15'!$J$238:$J$451),0),
IF('TL16'!$B$3=N$3,SUMIF('TL16'!$C$10:$C$224,$C30,'TL16'!$J$10:$J$224),0),
IF('TL16'!$B$229=N$3,SUMIF('TL16'!$C$238:$C$451,$C30,'TL16'!$J$238:$J$451),0),
IF('TL17'!$B$3=N$3,SUMIF('TL17'!$C$10:$C$224,$C30,'TL17'!$J$10:$J$224),0),
IF('TL17'!$B$229=N$3,SUMIF('TL17'!$C$238:$C$451,$C30,'TL17'!$J$238:$J$451),0),
IF('TL18'!$B$3=N$3,SUMIF('TL18'!$C$10:$C$224,$C30,'TL18'!$J$10:$J$224),0),
IF('TL18'!$B$229=N$3,SUMIF('TL18'!$C$238:$C$451,$C30,'TL18'!$J$238:$J$451),0),
IF('TL19'!$B$3=N$3,SUMIF('TL19'!$C$10:$C$224,$C30,'TL19'!$J$10:$J$224),0),
IF('TL19'!$B$229=N$3,SUMIF('TL19'!$C$238:$C$451,$C30,'TL19'!$J$238:$J$451),0)
),0)</f>
        <v/>
      </c>
      <c r="O30" s="9">
        <f>IFERROR(SUM(
IF('TL01'!$B$3=O$3,SUMIF('TL01'!$C$10:$C$224,$C30,'TL01'!$J$10:$J$224),0),
IF('TL01'!$B$229=O$3,SUMIF('TL01'!$C$238:$C$451,$C30,'TL01'!$J$238:$J$451),0),
IF('TL02'!$B$3=O$3,SUMIF('TL02'!$C$10:$C$224,$C30,'TL02'!$J$10:$J$224),0),
IF('TL02'!$B$229=O$3,SUMIF('TL02'!$C$238:$C$451,$C30,'TL02'!$J$238:$J$451),0),
IF('TL03'!$B$3=O$3,SUMIF('TL03'!$C$10:$C$224,$C30,'TL03'!$J$10:$J$224),0),
IF('TL03'!$B$229=O$3,SUMIF('TL03'!$C$238:$C$451,$C30,'TL03'!$J$238:$J$451),0),
IF('TL04'!$B$3=O$3,SUMIF('TL04'!$C$10:$C$224,$C30,'TL04'!$J$10:$J$224),0),
IF('TL04'!$B$229=O$3,SUMIF('TL04'!$C$238:$C$451,$C30,'TL04'!$J$238:$J$451),0),
IF('TL05'!$B$3=O$3,SUMIF('TL05'!$C$10:$C$224,$C30,'TL05'!$J$10:$J$224),0),
IF('TL05'!$B$229=O$3,SUMIF('TL05'!$C$238:$C$451,$C30,'TL05'!$J$238:$J$451),0),
IF('TL06'!$B$3=O$3,SUMIF('TL06'!$C$10:$C$224,$C30,'TL06'!$J$10:$J$224),0),
IF('TL06'!$B$229=O$3,SUMIF('TL06'!$C$238:$C$451,$C30,'TL06'!$J$238:$J$451),0),
IF('TL07'!$B$3=O$3,SUMIF('TL07'!$C$10:$C$224,$C30,'TL07'!$J$10:$J$224),0),
IF('TL07'!$B$229=O$3,SUMIF('TL07'!$C$238:$C$451,$C30,'TL07'!$J$238:$J$451),0),
IF('TL08'!$B$3=O$3,SUMIF('TL08'!$C$10:$C$224,$C30,'TL08'!$J$10:$J$224),0),
IF('TL08'!$B$229=O$3,SUMIF('TL08'!$C$238:$C$451,$C30,'TL08'!$J$238:$J$451),0),
IF('TL09'!$B$3=O$3,SUMIF('TL09'!$C$10:$C$224,$C30,'TL09'!$J$10:$J$224),0),
IF('TL09'!$B$229=O$3,SUMIF('TL09'!$C$238:$C$451,$C30,'TL09'!$J$238:$J$451),0),
IF('TL10'!$B$3=O$3,SUMIF('TL10'!$C$10:$C$224,$C30,'TL10'!$J$10:$J$224),0),
IF('TL10'!$B$229=O$3,SUMIF('TL10'!$C$238:$C$451,$C30,'TL10'!$J$238:$J$451),0),
IF('TL11'!$B$3=O$3,SUMIF('TL11'!$C$10:$C$224,$C30,'TL11'!$J$10:$J$224),0),
IF('TL11'!$B$229=O$3,SUMIF('TL11'!$C$238:$C$451,$C30,'TL11'!$J$238:$J$451),0),
IF('TL12'!$B$3=O$3,SUMIF('TL12'!$C$10:$C$224,$C30,'TL12'!$J$10:$J$224),0),
IF('TL12'!$B$229=O$3,SUMIF('TL12'!$C$238:$C$451,$C30,'TL12'!$J$238:$J$451),0),
IF('TL13'!$B$3=O$3,SUMIF('TL13'!$C$10:$C$224,$C30,'TL13'!$J$10:$J$224),0),
IF('TL13'!$B$229=O$3,SUMIF('TL13'!$C$238:$C$451,$C30,'TL13'!$J$238:$J$451),0),
IF('TL14'!$B$3=O$3,SUMIF('TL14'!$C$10:$C$224,$C30,'TL14'!$J$10:$J$224),0),
IF('TL14'!$B$229=O$3,SUMIF('TL14'!$C$238:$C$451,$C30,'TL14'!$J$238:$J$451),0),
IF('TL15'!$B$3=O$3,SUMIF('TL15'!$C$10:$C$224,$C30,'TL15'!$J$10:$J$224),0),
IF('TL15'!$B$229=O$3,SUMIF('TL15'!$C$238:$C$451,$C30,'TL15'!$J$238:$J$451),0),
IF('TL16'!$B$3=O$3,SUMIF('TL16'!$C$10:$C$224,$C30,'TL16'!$J$10:$J$224),0),
IF('TL16'!$B$229=O$3,SUMIF('TL16'!$C$238:$C$451,$C30,'TL16'!$J$238:$J$451),0),
IF('TL17'!$B$3=O$3,SUMIF('TL17'!$C$10:$C$224,$C30,'TL17'!$J$10:$J$224),0),
IF('TL17'!$B$229=O$3,SUMIF('TL17'!$C$238:$C$451,$C30,'TL17'!$J$238:$J$451),0),
IF('TL18'!$B$3=O$3,SUMIF('TL18'!$C$10:$C$224,$C30,'TL18'!$J$10:$J$224),0),
IF('TL18'!$B$229=O$3,SUMIF('TL18'!$C$238:$C$451,$C30,'TL18'!$J$238:$J$451),0),
IF('TL19'!$B$3=O$3,SUMIF('TL19'!$C$10:$C$224,$C30,'TL19'!$J$10:$J$224),0),
IF('TL19'!$B$229=O$3,SUMIF('TL19'!$C$238:$C$451,$C30,'TL19'!$J$238:$J$451),0)
),0)</f>
        <v/>
      </c>
      <c r="P30" s="9">
        <f>IFERROR(SUM(
IF('TL01'!$B$3=P$3,SUMIF('TL01'!$C$10:$C$224,$C30,'TL01'!$J$10:$J$224),0),
IF('TL01'!$B$229=P$3,SUMIF('TL01'!$C$238:$C$451,$C30,'TL01'!$J$238:$J$451),0),
IF('TL02'!$B$3=P$3,SUMIF('TL02'!$C$10:$C$224,$C30,'TL02'!$J$10:$J$224),0),
IF('TL02'!$B$229=P$3,SUMIF('TL02'!$C$238:$C$451,$C30,'TL02'!$J$238:$J$451),0),
IF('TL03'!$B$3=P$3,SUMIF('TL03'!$C$10:$C$224,$C30,'TL03'!$J$10:$J$224),0),
IF('TL03'!$B$229=P$3,SUMIF('TL03'!$C$238:$C$451,$C30,'TL03'!$J$238:$J$451),0),
IF('TL04'!$B$3=P$3,SUMIF('TL04'!$C$10:$C$224,$C30,'TL04'!$J$10:$J$224),0),
IF('TL04'!$B$229=P$3,SUMIF('TL04'!$C$238:$C$451,$C30,'TL04'!$J$238:$J$451),0),
IF('TL05'!$B$3=P$3,SUMIF('TL05'!$C$10:$C$224,$C30,'TL05'!$J$10:$J$224),0),
IF('TL05'!$B$229=P$3,SUMIF('TL05'!$C$238:$C$451,$C30,'TL05'!$J$238:$J$451),0),
IF('TL06'!$B$3=P$3,SUMIF('TL06'!$C$10:$C$224,$C30,'TL06'!$J$10:$J$224),0),
IF('TL06'!$B$229=P$3,SUMIF('TL06'!$C$238:$C$451,$C30,'TL06'!$J$238:$J$451),0),
IF('TL07'!$B$3=P$3,SUMIF('TL07'!$C$10:$C$224,$C30,'TL07'!$J$10:$J$224),0),
IF('TL07'!$B$229=P$3,SUMIF('TL07'!$C$238:$C$451,$C30,'TL07'!$J$238:$J$451),0),
IF('TL08'!$B$3=P$3,SUMIF('TL08'!$C$10:$C$224,$C30,'TL08'!$J$10:$J$224),0),
IF('TL08'!$B$229=P$3,SUMIF('TL08'!$C$238:$C$451,$C30,'TL08'!$J$238:$J$451),0),
IF('TL09'!$B$3=P$3,SUMIF('TL09'!$C$10:$C$224,$C30,'TL09'!$J$10:$J$224),0),
IF('TL09'!$B$229=P$3,SUMIF('TL09'!$C$238:$C$451,$C30,'TL09'!$J$238:$J$451),0),
IF('TL10'!$B$3=P$3,SUMIF('TL10'!$C$10:$C$224,$C30,'TL10'!$J$10:$J$224),0),
IF('TL10'!$B$229=P$3,SUMIF('TL10'!$C$238:$C$451,$C30,'TL10'!$J$238:$J$451),0),
IF('TL11'!$B$3=P$3,SUMIF('TL11'!$C$10:$C$224,$C30,'TL11'!$J$10:$J$224),0),
IF('TL11'!$B$229=P$3,SUMIF('TL11'!$C$238:$C$451,$C30,'TL11'!$J$238:$J$451),0),
IF('TL12'!$B$3=P$3,SUMIF('TL12'!$C$10:$C$224,$C30,'TL12'!$J$10:$J$224),0),
IF('TL12'!$B$229=P$3,SUMIF('TL12'!$C$238:$C$451,$C30,'TL12'!$J$238:$J$451),0),
IF('TL13'!$B$3=P$3,SUMIF('TL13'!$C$10:$C$224,$C30,'TL13'!$J$10:$J$224),0),
IF('TL13'!$B$229=P$3,SUMIF('TL13'!$C$238:$C$451,$C30,'TL13'!$J$238:$J$451),0),
IF('TL14'!$B$3=P$3,SUMIF('TL14'!$C$10:$C$224,$C30,'TL14'!$J$10:$J$224),0),
IF('TL14'!$B$229=P$3,SUMIF('TL14'!$C$238:$C$451,$C30,'TL14'!$J$238:$J$451),0),
IF('TL15'!$B$3=P$3,SUMIF('TL15'!$C$10:$C$224,$C30,'TL15'!$J$10:$J$224),0),
IF('TL15'!$B$229=P$3,SUMIF('TL15'!$C$238:$C$451,$C30,'TL15'!$J$238:$J$451),0),
IF('TL16'!$B$3=P$3,SUMIF('TL16'!$C$10:$C$224,$C30,'TL16'!$J$10:$J$224),0),
IF('TL16'!$B$229=P$3,SUMIF('TL16'!$C$238:$C$451,$C30,'TL16'!$J$238:$J$451),0),
IF('TL17'!$B$3=P$3,SUMIF('TL17'!$C$10:$C$224,$C30,'TL17'!$J$10:$J$224),0),
IF('TL17'!$B$229=P$3,SUMIF('TL17'!$C$238:$C$451,$C30,'TL17'!$J$238:$J$451),0),
IF('TL18'!$B$3=P$3,SUMIF('TL18'!$C$10:$C$224,$C30,'TL18'!$J$10:$J$224),0),
IF('TL18'!$B$229=P$3,SUMIF('TL18'!$C$238:$C$451,$C30,'TL18'!$J$238:$J$451),0),
IF('TL19'!$B$3=P$3,SUMIF('TL19'!$C$10:$C$224,$C30,'TL19'!$J$10:$J$224),0),
IF('TL19'!$B$229=P$3,SUMIF('TL19'!$C$238:$C$451,$C30,'TL19'!$J$238:$J$451),0)
),0)</f>
        <v/>
      </c>
      <c r="Q30" s="9">
        <f>IFERROR(SUM(
IF('TL01'!$B$3=Q$3,SUMIF('TL01'!$C$10:$C$224,$C30,'TL01'!$J$10:$J$224),0),
IF('TL01'!$B$229=Q$3,SUMIF('TL01'!$C$238:$C$451,$C30,'TL01'!$J$238:$J$451),0),
IF('TL02'!$B$3=Q$3,SUMIF('TL02'!$C$10:$C$224,$C30,'TL02'!$J$10:$J$224),0),
IF('TL02'!$B$229=Q$3,SUMIF('TL02'!$C$238:$C$451,$C30,'TL02'!$J$238:$J$451),0),
IF('TL03'!$B$3=Q$3,SUMIF('TL03'!$C$10:$C$224,$C30,'TL03'!$J$10:$J$224),0),
IF('TL03'!$B$229=Q$3,SUMIF('TL03'!$C$238:$C$451,$C30,'TL03'!$J$238:$J$451),0),
IF('TL04'!$B$3=Q$3,SUMIF('TL04'!$C$10:$C$224,$C30,'TL04'!$J$10:$J$224),0),
IF('TL04'!$B$229=Q$3,SUMIF('TL04'!$C$238:$C$451,$C30,'TL04'!$J$238:$J$451),0),
IF('TL05'!$B$3=Q$3,SUMIF('TL05'!$C$10:$C$224,$C30,'TL05'!$J$10:$J$224),0),
IF('TL05'!$B$229=Q$3,SUMIF('TL05'!$C$238:$C$451,$C30,'TL05'!$J$238:$J$451),0),
IF('TL06'!$B$3=Q$3,SUMIF('TL06'!$C$10:$C$224,$C30,'TL06'!$J$10:$J$224),0),
IF('TL06'!$B$229=Q$3,SUMIF('TL06'!$C$238:$C$451,$C30,'TL06'!$J$238:$J$451),0),
IF('TL07'!$B$3=Q$3,SUMIF('TL07'!$C$10:$C$224,$C30,'TL07'!$J$10:$J$224),0),
IF('TL07'!$B$229=Q$3,SUMIF('TL07'!$C$238:$C$451,$C30,'TL07'!$J$238:$J$451),0),
IF('TL08'!$B$3=Q$3,SUMIF('TL08'!$C$10:$C$224,$C30,'TL08'!$J$10:$J$224),0),
IF('TL08'!$B$229=Q$3,SUMIF('TL08'!$C$238:$C$451,$C30,'TL08'!$J$238:$J$451),0),
IF('TL09'!$B$3=Q$3,SUMIF('TL09'!$C$10:$C$224,$C30,'TL09'!$J$10:$J$224),0),
IF('TL09'!$B$229=Q$3,SUMIF('TL09'!$C$238:$C$451,$C30,'TL09'!$J$238:$J$451),0),
IF('TL10'!$B$3=Q$3,SUMIF('TL10'!$C$10:$C$224,$C30,'TL10'!$J$10:$J$224),0),
IF('TL10'!$B$229=Q$3,SUMIF('TL10'!$C$238:$C$451,$C30,'TL10'!$J$238:$J$451),0),
IF('TL11'!$B$3=Q$3,SUMIF('TL11'!$C$10:$C$224,$C30,'TL11'!$J$10:$J$224),0),
IF('TL11'!$B$229=Q$3,SUMIF('TL11'!$C$238:$C$451,$C30,'TL11'!$J$238:$J$451),0),
IF('TL12'!$B$3=Q$3,SUMIF('TL12'!$C$10:$C$224,$C30,'TL12'!$J$10:$J$224),0),
IF('TL12'!$B$229=Q$3,SUMIF('TL12'!$C$238:$C$451,$C30,'TL12'!$J$238:$J$451),0),
IF('TL13'!$B$3=Q$3,SUMIF('TL13'!$C$10:$C$224,$C30,'TL13'!$J$10:$J$224),0),
IF('TL13'!$B$229=Q$3,SUMIF('TL13'!$C$238:$C$451,$C30,'TL13'!$J$238:$J$451),0),
IF('TL14'!$B$3=Q$3,SUMIF('TL14'!$C$10:$C$224,$C30,'TL14'!$J$10:$J$224),0),
IF('TL14'!$B$229=Q$3,SUMIF('TL14'!$C$238:$C$451,$C30,'TL14'!$J$238:$J$451),0),
IF('TL15'!$B$3=Q$3,SUMIF('TL15'!$C$10:$C$224,$C30,'TL15'!$J$10:$J$224),0),
IF('TL15'!$B$229=Q$3,SUMIF('TL15'!$C$238:$C$451,$C30,'TL15'!$J$238:$J$451),0),
IF('TL16'!$B$3=Q$3,SUMIF('TL16'!$C$10:$C$224,$C30,'TL16'!$J$10:$J$224),0),
IF('TL16'!$B$229=Q$3,SUMIF('TL16'!$C$238:$C$451,$C30,'TL16'!$J$238:$J$451),0),
IF('TL17'!$B$3=Q$3,SUMIF('TL17'!$C$10:$C$224,$C30,'TL17'!$J$10:$J$224),0),
IF('TL17'!$B$229=Q$3,SUMIF('TL17'!$C$238:$C$451,$C30,'TL17'!$J$238:$J$451),0),
IF('TL18'!$B$3=Q$3,SUMIF('TL18'!$C$10:$C$224,$C30,'TL18'!$J$10:$J$224),0),
IF('TL18'!$B$229=Q$3,SUMIF('TL18'!$C$238:$C$451,$C30,'TL18'!$J$238:$J$451),0),
IF('TL19'!$B$3=Q$3,SUMIF('TL19'!$C$10:$C$224,$C30,'TL19'!$J$10:$J$224),0),
IF('TL19'!$B$229=Q$3,SUMIF('TL19'!$C$238:$C$451,$C30,'TL19'!$J$238:$J$451),0)
),0)</f>
        <v/>
      </c>
      <c r="R30" s="9">
        <f>IFERROR(
SUM(
SUMIF('TL01'!C:C,C30,'TL01'!J:J),
SUMIF('TL02'!C:C,C30,'TL02'!J:J),
SUMIF('TL03'!C:C,C30,'TL03'!J:J),
SUMIF('TL04'!C:C,C30,'TL04'!J:J),
SUMIF('TL05'!C:C,C30,'TL05'!J:J),
SUMIF('TL06'!C:C,C30,'TL06'!J:J),
SUMIF('TL07'!C:C,C30,'TL07'!J:J),
SUMIF('TL08'!C:C,C30,'TL08'!J:J),
SUMIF('TL09'!C:C,C30,'TL09'!J:J),
SUMIF('TL10'!C:C,C30,'TL10'!J:J),
SUMIF('TL11'!C:C,C30,'TL11'!J:J),
SUMIF('TL12'!C:C,C30,'TL12'!J:J),
SUMIF('TL13'!C:C,C30,'TL13'!J:J),
SUMIF('TL14'!C:C,C30,'TL14'!J:J),
SUMIF('TL15'!C:C,C30,'TL15'!J:J),
SUMIF('TL16'!C:C,C30,'TL16'!J:J),
SUMIF('TL17'!C:C,C30,'TL17'!J:J),
SUMIF('TL18'!C:C,C30,'TL18'!J:J),SUMIF('TL19'!C:C,C30,'TL19'!J:J))
,0)</f>
        <v/>
      </c>
      <c r="S30" s="17">
        <f>IFERROR(__xludf.DUMMYFUNCTION("IFERROR(VLOOKUP(C30,
IMPORTRANGE(""1wULbzX32WdYsx-lj2U3uUNBBe2INVIRDtcK0d-Dvl90"",
""26-27!C:G""),
5,
FALSE),
"""")"),"")</f>
        <v/>
      </c>
      <c r="T30" s="9" t="n"/>
      <c r="U30" s="92">
        <f>MAX(0,R30-T30)</f>
        <v/>
      </c>
      <c r="V30" s="93">
        <f>U30*S30</f>
        <v/>
      </c>
    </row>
    <row r="31" hidden="1" ht="22.5" customHeight="1" s="297">
      <c r="A31" s="106" t="n"/>
      <c r="B31" s="107" t="inlineStr">
        <is>
          <t>FERTILIZANTES</t>
        </is>
      </c>
      <c r="C31" s="108" t="inlineStr">
        <is>
          <t>03-15-07 +14%CO</t>
        </is>
      </c>
      <c r="D31" s="108" t="inlineStr">
        <is>
          <t>N 3 P 15 K 07</t>
        </is>
      </c>
      <c r="E31" s="109" t="n"/>
      <c r="F31" s="4" t="inlineStr">
        <is>
          <t>Ton</t>
        </is>
      </c>
      <c r="G31" s="9" t="n"/>
      <c r="H31" s="9">
        <f>IFERROR(__xludf.DUMMYFUNCTION("IFERROR(VLOOKUP(C31,
IMPORTRANGE(""1wULbzX32WdYsx-lj2U3uUNBBe2INVIRDtcK0d-Dvl90"",
""26-27!C:K""),
8,
FALSE),
"""")"),"")</f>
        <v/>
      </c>
      <c r="I31" s="110" t="n"/>
      <c r="J31" s="9">
        <f>IFERROR(SUM(
IF('TL01'!$B$3=J$3,SUMIF('TL01'!$C$10:$C$224,$C31,'TL01'!$J$10:$J$224),0),
IF('TL01'!$B$229=J$3,SUMIF('TL01'!$C$238:$C$451,$C31,'TL01'!$J$238:$J$451),0),
IF('TL02'!$B$3=J$3,SUMIF('TL02'!$C$10:$C$224,$C31,'TL02'!$J$10:$J$224),0),
IF('TL02'!$B$229=J$3,SUMIF('TL02'!$C$238:$C$451,$C31,'TL02'!$J$238:$J$451),0),
IF('TL03'!$B$3=J$3,SUMIF('TL03'!$C$10:$C$224,$C31,'TL03'!$J$10:$J$224),0),
IF('TL03'!$B$229=J$3,SUMIF('TL03'!$C$238:$C$451,$C31,'TL03'!$J$238:$J$451),0),
IF('TL04'!$B$3=J$3,SUMIF('TL04'!$C$10:$C$224,$C31,'TL04'!$J$10:$J$224),0),
IF('TL04'!$B$229=J$3,SUMIF('TL04'!$C$238:$C$451,$C31,'TL04'!$J$238:$J$451),0),
IF('TL05'!$B$3=J$3,SUMIF('TL05'!$C$10:$C$224,$C31,'TL05'!$J$10:$J$224),0),
IF('TL05'!$B$229=J$3,SUMIF('TL05'!$C$238:$C$451,$C31,'TL05'!$J$238:$J$451),0),
IF('TL06'!$B$3=J$3,SUMIF('TL06'!$C$10:$C$224,$C31,'TL06'!$J$10:$J$224),0),
IF('TL06'!$B$229=J$3,SUMIF('TL06'!$C$238:$C$451,$C31,'TL06'!$J$238:$J$451),0),
IF('TL07'!$B$3=J$3,SUMIF('TL07'!$C$10:$C$224,$C31,'TL07'!$J$10:$J$224),0),
IF('TL07'!$B$229=J$3,SUMIF('TL07'!$C$238:$C$451,$C31,'TL07'!$J$238:$J$451),0),
IF('TL08'!$B$3=J$3,SUMIF('TL08'!$C$10:$C$224,$C31,'TL08'!$J$10:$J$224),0),
IF('TL08'!$B$229=J$3,SUMIF('TL08'!$C$238:$C$451,$C31,'TL08'!$J$238:$J$451),0),
IF('TL09'!$B$3=J$3,SUMIF('TL09'!$C$10:$C$224,$C31,'TL09'!$J$10:$J$224),0),
IF('TL09'!$B$229=J$3,SUMIF('TL09'!$C$238:$C$451,$C31,'TL09'!$J$238:$J$451),0),
IF('TL10'!$B$3=J$3,SUMIF('TL10'!$C$10:$C$224,$C31,'TL10'!$J$10:$J$224),0),
IF('TL10'!$B$229=J$3,SUMIF('TL10'!$C$238:$C$451,$C31,'TL10'!$J$238:$J$451),0),
IF('TL11'!$B$3=J$3,SUMIF('TL11'!$C$10:$C$224,$C31,'TL11'!$J$10:$J$224),0),
IF('TL11'!$B$229=J$3,SUMIF('TL11'!$C$238:$C$451,$C31,'TL11'!$J$238:$J$451),0),
IF('TL12'!$B$3=J$3,SUMIF('TL12'!$C$10:$C$224,$C31,'TL12'!$J$10:$J$224),0),
IF('TL12'!$B$229=J$3,SUMIF('TL12'!$C$238:$C$451,$C31,'TL12'!$J$238:$J$451),0),
IF('TL13'!$B$3=J$3,SUMIF('TL13'!$C$10:$C$224,$C31,'TL13'!$J$10:$J$224),0),
IF('TL13'!$B$229=J$3,SUMIF('TL13'!$C$238:$C$451,$C31,'TL13'!$J$238:$J$451),0),
IF('TL14'!$B$3=J$3,SUMIF('TL14'!$C$10:$C$224,$C31,'TL14'!$J$10:$J$224),0),
IF('TL14'!$B$229=J$3,SUMIF('TL14'!$C$238:$C$451,$C31,'TL14'!$J$238:$J$451),0),
IF('TL15'!$B$3=J$3,SUMIF('TL15'!$C$10:$C$224,$C31,'TL15'!$J$10:$J$224),0),
IF('TL15'!$B$229=J$3,SUMIF('TL15'!$C$238:$C$451,$C31,'TL15'!$J$238:$J$451),0),
IF('TL16'!$B$3=J$3,SUMIF('TL16'!$C$10:$C$224,$C31,'TL16'!$J$10:$J$224),0),
IF('TL16'!$B$229=J$3,SUMIF('TL16'!$C$238:$C$451,$C31,'TL16'!$J$238:$J$451),0),
IF('TL17'!$B$3=J$3,SUMIF('TL17'!$C$10:$C$224,$C31,'TL17'!$J$10:$J$224),0),
IF('TL17'!$B$229=J$3,SUMIF('TL17'!$C$238:$C$451,$C31,'TL17'!$J$238:$J$451),0),
IF('TL18'!$B$3=J$3,SUMIF('TL18'!$C$10:$C$224,$C31,'TL18'!$J$10:$J$224),0),
IF('TL18'!$B$229=J$3,SUMIF('TL18'!$C$238:$C$451,$C31,'TL18'!$J$238:$J$451),0),
IF('TL19'!$B$3=J$3,SUMIF('TL19'!$C$10:$C$224,$C31,'TL19'!$J$10:$J$224),0),
IF('TL19'!$B$229=J$3,SUMIF('TL19'!$C$238:$C$451,$C31,'TL19'!$J$238:$J$451),0)
),0)</f>
        <v/>
      </c>
      <c r="K31" s="9">
        <f>IFERROR(SUM(
IF('TL01'!$B$3=K$3,SUMIF('TL01'!$C$10:$C$224,$C31,'TL01'!$J$10:$J$224),0),
IF('TL01'!$B$229=K$3,SUMIF('TL01'!$C$238:$C$451,$C31,'TL01'!$J$238:$J$451),0),
IF('TL02'!$B$3=K$3,SUMIF('TL02'!$C$10:$C$224,$C31,'TL02'!$J$10:$J$224),0),
IF('TL02'!$B$229=K$3,SUMIF('TL02'!$C$238:$C$451,$C31,'TL02'!$J$238:$J$451),0),
IF('TL03'!$B$3=K$3,SUMIF('TL03'!$C$10:$C$224,$C31,'TL03'!$J$10:$J$224),0),
IF('TL03'!$B$229=K$3,SUMIF('TL03'!$C$238:$C$451,$C31,'TL03'!$J$238:$J$451),0),
IF('TL04'!$B$3=K$3,SUMIF('TL04'!$C$10:$C$224,$C31,'TL04'!$J$10:$J$224),0),
IF('TL04'!$B$229=K$3,SUMIF('TL04'!$C$238:$C$451,$C31,'TL04'!$J$238:$J$451),0),
IF('TL05'!$B$3=K$3,SUMIF('TL05'!$C$10:$C$224,$C31,'TL05'!$J$10:$J$224),0),
IF('TL05'!$B$229=K$3,SUMIF('TL05'!$C$238:$C$451,$C31,'TL05'!$J$238:$J$451),0),
IF('TL06'!$B$3=K$3,SUMIF('TL06'!$C$10:$C$224,$C31,'TL06'!$J$10:$J$224),0),
IF('TL06'!$B$229=K$3,SUMIF('TL06'!$C$238:$C$451,$C31,'TL06'!$J$238:$J$451),0),
IF('TL07'!$B$3=K$3,SUMIF('TL07'!$C$10:$C$224,$C31,'TL07'!$J$10:$J$224),0),
IF('TL07'!$B$229=K$3,SUMIF('TL07'!$C$238:$C$451,$C31,'TL07'!$J$238:$J$451),0),
IF('TL08'!$B$3=K$3,SUMIF('TL08'!$C$10:$C$224,$C31,'TL08'!$J$10:$J$224),0),
IF('TL08'!$B$229=K$3,SUMIF('TL08'!$C$238:$C$451,$C31,'TL08'!$J$238:$J$451),0),
IF('TL09'!$B$3=K$3,SUMIF('TL09'!$C$10:$C$224,$C31,'TL09'!$J$10:$J$224),0),
IF('TL09'!$B$229=K$3,SUMIF('TL09'!$C$238:$C$451,$C31,'TL09'!$J$238:$J$451),0),
IF('TL10'!$B$3=K$3,SUMIF('TL10'!$C$10:$C$224,$C31,'TL10'!$J$10:$J$224),0),
IF('TL10'!$B$229=K$3,SUMIF('TL10'!$C$238:$C$451,$C31,'TL10'!$J$238:$J$451),0),
IF('TL11'!$B$3=K$3,SUMIF('TL11'!$C$10:$C$224,$C31,'TL11'!$J$10:$J$224),0),
IF('TL11'!$B$229=K$3,SUMIF('TL11'!$C$238:$C$451,$C31,'TL11'!$J$238:$J$451),0),
IF('TL12'!$B$3=K$3,SUMIF('TL12'!$C$10:$C$224,$C31,'TL12'!$J$10:$J$224),0),
IF('TL12'!$B$229=K$3,SUMIF('TL12'!$C$238:$C$451,$C31,'TL12'!$J$238:$J$451),0),
IF('TL13'!$B$3=K$3,SUMIF('TL13'!$C$10:$C$224,$C31,'TL13'!$J$10:$J$224),0),
IF('TL13'!$B$229=K$3,SUMIF('TL13'!$C$238:$C$451,$C31,'TL13'!$J$238:$J$451),0),
IF('TL14'!$B$3=K$3,SUMIF('TL14'!$C$10:$C$224,$C31,'TL14'!$J$10:$J$224),0),
IF('TL14'!$B$229=K$3,SUMIF('TL14'!$C$238:$C$451,$C31,'TL14'!$J$238:$J$451),0),
IF('TL15'!$B$3=K$3,SUMIF('TL15'!$C$10:$C$224,$C31,'TL15'!$J$10:$J$224),0),
IF('TL15'!$B$229=K$3,SUMIF('TL15'!$C$238:$C$451,$C31,'TL15'!$J$238:$J$451),0),
IF('TL16'!$B$3=K$3,SUMIF('TL16'!$C$10:$C$224,$C31,'TL16'!$J$10:$J$224),0),
IF('TL16'!$B$229=K$3,SUMIF('TL16'!$C$238:$C$451,$C31,'TL16'!$J$238:$J$451),0),
IF('TL17'!$B$3=K$3,SUMIF('TL17'!$C$10:$C$224,$C31,'TL17'!$J$10:$J$224),0),
IF('TL17'!$B$229=K$3,SUMIF('TL17'!$C$238:$C$451,$C31,'TL17'!$J$238:$J$451),0),
IF('TL18'!$B$3=K$3,SUMIF('TL18'!$C$10:$C$224,$C31,'TL18'!$J$10:$J$224),0),
IF('TL18'!$B$229=K$3,SUMIF('TL18'!$C$238:$C$451,$C31,'TL18'!$J$238:$J$451),0),
IF('TL19'!$B$3=K$3,SUMIF('TL19'!$C$10:$C$224,$C31,'TL19'!$J$10:$J$224),0),
IF('TL19'!$B$229=K$3,SUMIF('TL19'!$C$238:$C$451,$C31,'TL19'!$J$238:$J$451),0)
),0)</f>
        <v/>
      </c>
      <c r="L31" s="9">
        <f>IFERROR(SUM(
IF('TL01'!$B$3=L$3,SUMIF('TL01'!$C$10:$C$224,$C31,'TL01'!$J$10:$J$224),0),
IF('TL01'!$B$229=L$3,SUMIF('TL01'!$C$238:$C$451,$C31,'TL01'!$J$238:$J$451),0),
IF('TL02'!$B$3=L$3,SUMIF('TL02'!$C$10:$C$224,$C31,'TL02'!$J$10:$J$224),0),
IF('TL02'!$B$229=L$3,SUMIF('TL02'!$C$238:$C$451,$C31,'TL02'!$J$238:$J$451),0),
IF('TL03'!$B$3=L$3,SUMIF('TL03'!$C$10:$C$224,$C31,'TL03'!$J$10:$J$224),0),
IF('TL03'!$B$229=L$3,SUMIF('TL03'!$C$238:$C$451,$C31,'TL03'!$J$238:$J$451),0),
IF('TL04'!$B$3=L$3,SUMIF('TL04'!$C$10:$C$224,$C31,'TL04'!$J$10:$J$224),0),
IF('TL04'!$B$229=L$3,SUMIF('TL04'!$C$238:$C$451,$C31,'TL04'!$J$238:$J$451),0),
IF('TL05'!$B$3=L$3,SUMIF('TL05'!$C$10:$C$224,$C31,'TL05'!$J$10:$J$224),0),
IF('TL05'!$B$229=L$3,SUMIF('TL05'!$C$238:$C$451,$C31,'TL05'!$J$238:$J$451),0),
IF('TL06'!$B$3=L$3,SUMIF('TL06'!$C$10:$C$224,$C31,'TL06'!$J$10:$J$224),0),
IF('TL06'!$B$229=L$3,SUMIF('TL06'!$C$238:$C$451,$C31,'TL06'!$J$238:$J$451),0),
IF('TL07'!$B$3=L$3,SUMIF('TL07'!$C$10:$C$224,$C31,'TL07'!$J$10:$J$224),0),
IF('TL07'!$B$229=L$3,SUMIF('TL07'!$C$238:$C$451,$C31,'TL07'!$J$238:$J$451),0),
IF('TL08'!$B$3=L$3,SUMIF('TL08'!$C$10:$C$224,$C31,'TL08'!$J$10:$J$224),0),
IF('TL08'!$B$229=L$3,SUMIF('TL08'!$C$238:$C$451,$C31,'TL08'!$J$238:$J$451),0),
IF('TL09'!$B$3=L$3,SUMIF('TL09'!$C$10:$C$224,$C31,'TL09'!$J$10:$J$224),0),
IF('TL09'!$B$229=L$3,SUMIF('TL09'!$C$238:$C$451,$C31,'TL09'!$J$238:$J$451),0),
IF('TL10'!$B$3=L$3,SUMIF('TL10'!$C$10:$C$224,$C31,'TL10'!$J$10:$J$224),0),
IF('TL10'!$B$229=L$3,SUMIF('TL10'!$C$238:$C$451,$C31,'TL10'!$J$238:$J$451),0),
IF('TL11'!$B$3=L$3,SUMIF('TL11'!$C$10:$C$224,$C31,'TL11'!$J$10:$J$224),0),
IF('TL11'!$B$229=L$3,SUMIF('TL11'!$C$238:$C$451,$C31,'TL11'!$J$238:$J$451),0),
IF('TL12'!$B$3=L$3,SUMIF('TL12'!$C$10:$C$224,$C31,'TL12'!$J$10:$J$224),0),
IF('TL12'!$B$229=L$3,SUMIF('TL12'!$C$238:$C$451,$C31,'TL12'!$J$238:$J$451),0),
IF('TL13'!$B$3=L$3,SUMIF('TL13'!$C$10:$C$224,$C31,'TL13'!$J$10:$J$224),0),
IF('TL13'!$B$229=L$3,SUMIF('TL13'!$C$238:$C$451,$C31,'TL13'!$J$238:$J$451),0),
IF('TL14'!$B$3=L$3,SUMIF('TL14'!$C$10:$C$224,$C31,'TL14'!$J$10:$J$224),0),
IF('TL14'!$B$229=L$3,SUMIF('TL14'!$C$238:$C$451,$C31,'TL14'!$J$238:$J$451),0),
IF('TL15'!$B$3=L$3,SUMIF('TL15'!$C$10:$C$224,$C31,'TL15'!$J$10:$J$224),0),
IF('TL15'!$B$229=L$3,SUMIF('TL15'!$C$238:$C$451,$C31,'TL15'!$J$238:$J$451),0),
IF('TL16'!$B$3=L$3,SUMIF('TL16'!$C$10:$C$224,$C31,'TL16'!$J$10:$J$224),0),
IF('TL16'!$B$229=L$3,SUMIF('TL16'!$C$238:$C$451,$C31,'TL16'!$J$238:$J$451),0),
IF('TL17'!$B$3=L$3,SUMIF('TL17'!$C$10:$C$224,$C31,'TL17'!$J$10:$J$224),0),
IF('TL17'!$B$229=L$3,SUMIF('TL17'!$C$238:$C$451,$C31,'TL17'!$J$238:$J$451),0),
IF('TL18'!$B$3=L$3,SUMIF('TL18'!$C$10:$C$224,$C31,'TL18'!$J$10:$J$224),0),
IF('TL18'!$B$229=L$3,SUMIF('TL18'!$C$238:$C$451,$C31,'TL18'!$J$238:$J$451),0),
IF('TL19'!$B$3=L$3,SUMIF('TL19'!$C$10:$C$224,$C31,'TL19'!$J$10:$J$224),0),
IF('TL19'!$B$229=L$3,SUMIF('TL19'!$C$238:$C$451,$C31,'TL19'!$J$238:$J$451),0)
),0)</f>
        <v/>
      </c>
      <c r="M31" s="9">
        <f>IFERROR(SUM(
IF('TL01'!$B$3=M$3,SUMIF('TL01'!$C$10:$C$224,$C31,'TL01'!$J$10:$J$224),0),
IF('TL01'!$B$229=M$3,SUMIF('TL01'!$C$238:$C$451,$C31,'TL01'!$J$238:$J$451),0),
IF('TL02'!$B$3=M$3,SUMIF('TL02'!$C$10:$C$224,$C31,'TL02'!$J$10:$J$224),0),
IF('TL02'!$B$229=M$3,SUMIF('TL02'!$C$238:$C$451,$C31,'TL02'!$J$238:$J$451),0),
IF('TL03'!$B$3=M$3,SUMIF('TL03'!$C$10:$C$224,$C31,'TL03'!$J$10:$J$224),0),
IF('TL03'!$B$229=M$3,SUMIF('TL03'!$C$238:$C$451,$C31,'TL03'!$J$238:$J$451),0),
IF('TL04'!$B$3=M$3,SUMIF('TL04'!$C$10:$C$224,$C31,'TL04'!$J$10:$J$224),0),
IF('TL04'!$B$229=M$3,SUMIF('TL04'!$C$238:$C$451,$C31,'TL04'!$J$238:$J$451),0),
IF('TL05'!$B$3=M$3,SUMIF('TL05'!$C$10:$C$224,$C31,'TL05'!$J$10:$J$224),0),
IF('TL05'!$B$229=M$3,SUMIF('TL05'!$C$238:$C$451,$C31,'TL05'!$J$238:$J$451),0),
IF('TL06'!$B$3=M$3,SUMIF('TL06'!$C$10:$C$224,$C31,'TL06'!$J$10:$J$224),0),
IF('TL06'!$B$229=M$3,SUMIF('TL06'!$C$238:$C$451,$C31,'TL06'!$J$238:$J$451),0),
IF('TL07'!$B$3=M$3,SUMIF('TL07'!$C$10:$C$224,$C31,'TL07'!$J$10:$J$224),0),
IF('TL07'!$B$229=M$3,SUMIF('TL07'!$C$238:$C$451,$C31,'TL07'!$J$238:$J$451),0),
IF('TL08'!$B$3=M$3,SUMIF('TL08'!$C$10:$C$224,$C31,'TL08'!$J$10:$J$224),0),
IF('TL08'!$B$229=M$3,SUMIF('TL08'!$C$238:$C$451,$C31,'TL08'!$J$238:$J$451),0),
IF('TL09'!$B$3=M$3,SUMIF('TL09'!$C$10:$C$224,$C31,'TL09'!$J$10:$J$224),0),
IF('TL09'!$B$229=M$3,SUMIF('TL09'!$C$238:$C$451,$C31,'TL09'!$J$238:$J$451),0),
IF('TL10'!$B$3=M$3,SUMIF('TL10'!$C$10:$C$224,$C31,'TL10'!$J$10:$J$224),0),
IF('TL10'!$B$229=M$3,SUMIF('TL10'!$C$238:$C$451,$C31,'TL10'!$J$238:$J$451),0),
IF('TL11'!$B$3=M$3,SUMIF('TL11'!$C$10:$C$224,$C31,'TL11'!$J$10:$J$224),0),
IF('TL11'!$B$229=M$3,SUMIF('TL11'!$C$238:$C$451,$C31,'TL11'!$J$238:$J$451),0),
IF('TL12'!$B$3=M$3,SUMIF('TL12'!$C$10:$C$224,$C31,'TL12'!$J$10:$J$224),0),
IF('TL12'!$B$229=M$3,SUMIF('TL12'!$C$238:$C$451,$C31,'TL12'!$J$238:$J$451),0),
IF('TL13'!$B$3=M$3,SUMIF('TL13'!$C$10:$C$224,$C31,'TL13'!$J$10:$J$224),0),
IF('TL13'!$B$229=M$3,SUMIF('TL13'!$C$238:$C$451,$C31,'TL13'!$J$238:$J$451),0),
IF('TL14'!$B$3=M$3,SUMIF('TL14'!$C$10:$C$224,$C31,'TL14'!$J$10:$J$224),0),
IF('TL14'!$B$229=M$3,SUMIF('TL14'!$C$238:$C$451,$C31,'TL14'!$J$238:$J$451),0),
IF('TL15'!$B$3=M$3,SUMIF('TL15'!$C$10:$C$224,$C31,'TL15'!$J$10:$J$224),0),
IF('TL15'!$B$229=M$3,SUMIF('TL15'!$C$238:$C$451,$C31,'TL15'!$J$238:$J$451),0),
IF('TL16'!$B$3=M$3,SUMIF('TL16'!$C$10:$C$224,$C31,'TL16'!$J$10:$J$224),0),
IF('TL16'!$B$229=M$3,SUMIF('TL16'!$C$238:$C$451,$C31,'TL16'!$J$238:$J$451),0),
IF('TL17'!$B$3=M$3,SUMIF('TL17'!$C$10:$C$224,$C31,'TL17'!$J$10:$J$224),0),
IF('TL17'!$B$229=M$3,SUMIF('TL17'!$C$238:$C$451,$C31,'TL17'!$J$238:$J$451),0),
IF('TL18'!$B$3=M$3,SUMIF('TL18'!$C$10:$C$224,$C31,'TL18'!$J$10:$J$224),0),
IF('TL18'!$B$229=M$3,SUMIF('TL18'!$C$238:$C$451,$C31,'TL18'!$J$238:$J$451),0),
IF('TL19'!$B$3=M$3,SUMIF('TL19'!$C$10:$C$224,$C31,'TL19'!$J$10:$J$224),0),
IF('TL19'!$B$229=M$3,SUMIF('TL19'!$C$238:$C$451,$C31,'TL19'!$J$238:$J$451),0)
),0)</f>
        <v/>
      </c>
      <c r="N31" s="9">
        <f>IFERROR(SUM(
IF('TL01'!$B$3=N$3,SUMIF('TL01'!$C$10:$C$224,$C31,'TL01'!$J$10:$J$224),0),
IF('TL01'!$B$229=N$3,SUMIF('TL01'!$C$238:$C$451,$C31,'TL01'!$J$238:$J$451),0),
IF('TL02'!$B$3=N$3,SUMIF('TL02'!$C$10:$C$224,$C31,'TL02'!$J$10:$J$224),0),
IF('TL02'!$B$229=N$3,SUMIF('TL02'!$C$238:$C$451,$C31,'TL02'!$J$238:$J$451),0),
IF('TL03'!$B$3=N$3,SUMIF('TL03'!$C$10:$C$224,$C31,'TL03'!$J$10:$J$224),0),
IF('TL03'!$B$229=N$3,SUMIF('TL03'!$C$238:$C$451,$C31,'TL03'!$J$238:$J$451),0),
IF('TL04'!$B$3=N$3,SUMIF('TL04'!$C$10:$C$224,$C31,'TL04'!$J$10:$J$224),0),
IF('TL04'!$B$229=N$3,SUMIF('TL04'!$C$238:$C$451,$C31,'TL04'!$J$238:$J$451),0),
IF('TL05'!$B$3=N$3,SUMIF('TL05'!$C$10:$C$224,$C31,'TL05'!$J$10:$J$224),0),
IF('TL05'!$B$229=N$3,SUMIF('TL05'!$C$238:$C$451,$C31,'TL05'!$J$238:$J$451),0),
IF('TL06'!$B$3=N$3,SUMIF('TL06'!$C$10:$C$224,$C31,'TL06'!$J$10:$J$224),0),
IF('TL06'!$B$229=N$3,SUMIF('TL06'!$C$238:$C$451,$C31,'TL06'!$J$238:$J$451),0),
IF('TL07'!$B$3=N$3,SUMIF('TL07'!$C$10:$C$224,$C31,'TL07'!$J$10:$J$224),0),
IF('TL07'!$B$229=N$3,SUMIF('TL07'!$C$238:$C$451,$C31,'TL07'!$J$238:$J$451),0),
IF('TL08'!$B$3=N$3,SUMIF('TL08'!$C$10:$C$224,$C31,'TL08'!$J$10:$J$224),0),
IF('TL08'!$B$229=N$3,SUMIF('TL08'!$C$238:$C$451,$C31,'TL08'!$J$238:$J$451),0),
IF('TL09'!$B$3=N$3,SUMIF('TL09'!$C$10:$C$224,$C31,'TL09'!$J$10:$J$224),0),
IF('TL09'!$B$229=N$3,SUMIF('TL09'!$C$238:$C$451,$C31,'TL09'!$J$238:$J$451),0),
IF('TL10'!$B$3=N$3,SUMIF('TL10'!$C$10:$C$224,$C31,'TL10'!$J$10:$J$224),0),
IF('TL10'!$B$229=N$3,SUMIF('TL10'!$C$238:$C$451,$C31,'TL10'!$J$238:$J$451),0),
IF('TL11'!$B$3=N$3,SUMIF('TL11'!$C$10:$C$224,$C31,'TL11'!$J$10:$J$224),0),
IF('TL11'!$B$229=N$3,SUMIF('TL11'!$C$238:$C$451,$C31,'TL11'!$J$238:$J$451),0),
IF('TL12'!$B$3=N$3,SUMIF('TL12'!$C$10:$C$224,$C31,'TL12'!$J$10:$J$224),0),
IF('TL12'!$B$229=N$3,SUMIF('TL12'!$C$238:$C$451,$C31,'TL12'!$J$238:$J$451),0),
IF('TL13'!$B$3=N$3,SUMIF('TL13'!$C$10:$C$224,$C31,'TL13'!$J$10:$J$224),0),
IF('TL13'!$B$229=N$3,SUMIF('TL13'!$C$238:$C$451,$C31,'TL13'!$J$238:$J$451),0),
IF('TL14'!$B$3=N$3,SUMIF('TL14'!$C$10:$C$224,$C31,'TL14'!$J$10:$J$224),0),
IF('TL14'!$B$229=N$3,SUMIF('TL14'!$C$238:$C$451,$C31,'TL14'!$J$238:$J$451),0),
IF('TL15'!$B$3=N$3,SUMIF('TL15'!$C$10:$C$224,$C31,'TL15'!$J$10:$J$224),0),
IF('TL15'!$B$229=N$3,SUMIF('TL15'!$C$238:$C$451,$C31,'TL15'!$J$238:$J$451),0),
IF('TL16'!$B$3=N$3,SUMIF('TL16'!$C$10:$C$224,$C31,'TL16'!$J$10:$J$224),0),
IF('TL16'!$B$229=N$3,SUMIF('TL16'!$C$238:$C$451,$C31,'TL16'!$J$238:$J$451),0),
IF('TL17'!$B$3=N$3,SUMIF('TL17'!$C$10:$C$224,$C31,'TL17'!$J$10:$J$224),0),
IF('TL17'!$B$229=N$3,SUMIF('TL17'!$C$238:$C$451,$C31,'TL17'!$J$238:$J$451),0),
IF('TL18'!$B$3=N$3,SUMIF('TL18'!$C$10:$C$224,$C31,'TL18'!$J$10:$J$224),0),
IF('TL18'!$B$229=N$3,SUMIF('TL18'!$C$238:$C$451,$C31,'TL18'!$J$238:$J$451),0),
IF('TL19'!$B$3=N$3,SUMIF('TL19'!$C$10:$C$224,$C31,'TL19'!$J$10:$J$224),0),
IF('TL19'!$B$229=N$3,SUMIF('TL19'!$C$238:$C$451,$C31,'TL19'!$J$238:$J$451),0)
),0)</f>
        <v/>
      </c>
      <c r="O31" s="9">
        <f>IFERROR(SUM(
IF('TL01'!$B$3=O$3,SUMIF('TL01'!$C$10:$C$224,$C31,'TL01'!$J$10:$J$224),0),
IF('TL01'!$B$229=O$3,SUMIF('TL01'!$C$238:$C$451,$C31,'TL01'!$J$238:$J$451),0),
IF('TL02'!$B$3=O$3,SUMIF('TL02'!$C$10:$C$224,$C31,'TL02'!$J$10:$J$224),0),
IF('TL02'!$B$229=O$3,SUMIF('TL02'!$C$238:$C$451,$C31,'TL02'!$J$238:$J$451),0),
IF('TL03'!$B$3=O$3,SUMIF('TL03'!$C$10:$C$224,$C31,'TL03'!$J$10:$J$224),0),
IF('TL03'!$B$229=O$3,SUMIF('TL03'!$C$238:$C$451,$C31,'TL03'!$J$238:$J$451),0),
IF('TL04'!$B$3=O$3,SUMIF('TL04'!$C$10:$C$224,$C31,'TL04'!$J$10:$J$224),0),
IF('TL04'!$B$229=O$3,SUMIF('TL04'!$C$238:$C$451,$C31,'TL04'!$J$238:$J$451),0),
IF('TL05'!$B$3=O$3,SUMIF('TL05'!$C$10:$C$224,$C31,'TL05'!$J$10:$J$224),0),
IF('TL05'!$B$229=O$3,SUMIF('TL05'!$C$238:$C$451,$C31,'TL05'!$J$238:$J$451),0),
IF('TL06'!$B$3=O$3,SUMIF('TL06'!$C$10:$C$224,$C31,'TL06'!$J$10:$J$224),0),
IF('TL06'!$B$229=O$3,SUMIF('TL06'!$C$238:$C$451,$C31,'TL06'!$J$238:$J$451),0),
IF('TL07'!$B$3=O$3,SUMIF('TL07'!$C$10:$C$224,$C31,'TL07'!$J$10:$J$224),0),
IF('TL07'!$B$229=O$3,SUMIF('TL07'!$C$238:$C$451,$C31,'TL07'!$J$238:$J$451),0),
IF('TL08'!$B$3=O$3,SUMIF('TL08'!$C$10:$C$224,$C31,'TL08'!$J$10:$J$224),0),
IF('TL08'!$B$229=O$3,SUMIF('TL08'!$C$238:$C$451,$C31,'TL08'!$J$238:$J$451),0),
IF('TL09'!$B$3=O$3,SUMIF('TL09'!$C$10:$C$224,$C31,'TL09'!$J$10:$J$224),0),
IF('TL09'!$B$229=O$3,SUMIF('TL09'!$C$238:$C$451,$C31,'TL09'!$J$238:$J$451),0),
IF('TL10'!$B$3=O$3,SUMIF('TL10'!$C$10:$C$224,$C31,'TL10'!$J$10:$J$224),0),
IF('TL10'!$B$229=O$3,SUMIF('TL10'!$C$238:$C$451,$C31,'TL10'!$J$238:$J$451),0),
IF('TL11'!$B$3=O$3,SUMIF('TL11'!$C$10:$C$224,$C31,'TL11'!$J$10:$J$224),0),
IF('TL11'!$B$229=O$3,SUMIF('TL11'!$C$238:$C$451,$C31,'TL11'!$J$238:$J$451),0),
IF('TL12'!$B$3=O$3,SUMIF('TL12'!$C$10:$C$224,$C31,'TL12'!$J$10:$J$224),0),
IF('TL12'!$B$229=O$3,SUMIF('TL12'!$C$238:$C$451,$C31,'TL12'!$J$238:$J$451),0),
IF('TL13'!$B$3=O$3,SUMIF('TL13'!$C$10:$C$224,$C31,'TL13'!$J$10:$J$224),0),
IF('TL13'!$B$229=O$3,SUMIF('TL13'!$C$238:$C$451,$C31,'TL13'!$J$238:$J$451),0),
IF('TL14'!$B$3=O$3,SUMIF('TL14'!$C$10:$C$224,$C31,'TL14'!$J$10:$J$224),0),
IF('TL14'!$B$229=O$3,SUMIF('TL14'!$C$238:$C$451,$C31,'TL14'!$J$238:$J$451),0),
IF('TL15'!$B$3=O$3,SUMIF('TL15'!$C$10:$C$224,$C31,'TL15'!$J$10:$J$224),0),
IF('TL15'!$B$229=O$3,SUMIF('TL15'!$C$238:$C$451,$C31,'TL15'!$J$238:$J$451),0),
IF('TL16'!$B$3=O$3,SUMIF('TL16'!$C$10:$C$224,$C31,'TL16'!$J$10:$J$224),0),
IF('TL16'!$B$229=O$3,SUMIF('TL16'!$C$238:$C$451,$C31,'TL16'!$J$238:$J$451),0),
IF('TL17'!$B$3=O$3,SUMIF('TL17'!$C$10:$C$224,$C31,'TL17'!$J$10:$J$224),0),
IF('TL17'!$B$229=O$3,SUMIF('TL17'!$C$238:$C$451,$C31,'TL17'!$J$238:$J$451),0),
IF('TL18'!$B$3=O$3,SUMIF('TL18'!$C$10:$C$224,$C31,'TL18'!$J$10:$J$224),0),
IF('TL18'!$B$229=O$3,SUMIF('TL18'!$C$238:$C$451,$C31,'TL18'!$J$238:$J$451),0),
IF('TL19'!$B$3=O$3,SUMIF('TL19'!$C$10:$C$224,$C31,'TL19'!$J$10:$J$224),0),
IF('TL19'!$B$229=O$3,SUMIF('TL19'!$C$238:$C$451,$C31,'TL19'!$J$238:$J$451),0)
),0)</f>
        <v/>
      </c>
      <c r="P31" s="9">
        <f>IFERROR(SUM(
IF('TL01'!$B$3=P$3,SUMIF('TL01'!$C$10:$C$224,$C31,'TL01'!$J$10:$J$224),0),
IF('TL01'!$B$229=P$3,SUMIF('TL01'!$C$238:$C$451,$C31,'TL01'!$J$238:$J$451),0),
IF('TL02'!$B$3=P$3,SUMIF('TL02'!$C$10:$C$224,$C31,'TL02'!$J$10:$J$224),0),
IF('TL02'!$B$229=P$3,SUMIF('TL02'!$C$238:$C$451,$C31,'TL02'!$J$238:$J$451),0),
IF('TL03'!$B$3=P$3,SUMIF('TL03'!$C$10:$C$224,$C31,'TL03'!$J$10:$J$224),0),
IF('TL03'!$B$229=P$3,SUMIF('TL03'!$C$238:$C$451,$C31,'TL03'!$J$238:$J$451),0),
IF('TL04'!$B$3=P$3,SUMIF('TL04'!$C$10:$C$224,$C31,'TL04'!$J$10:$J$224),0),
IF('TL04'!$B$229=P$3,SUMIF('TL04'!$C$238:$C$451,$C31,'TL04'!$J$238:$J$451),0),
IF('TL05'!$B$3=P$3,SUMIF('TL05'!$C$10:$C$224,$C31,'TL05'!$J$10:$J$224),0),
IF('TL05'!$B$229=P$3,SUMIF('TL05'!$C$238:$C$451,$C31,'TL05'!$J$238:$J$451),0),
IF('TL06'!$B$3=P$3,SUMIF('TL06'!$C$10:$C$224,$C31,'TL06'!$J$10:$J$224),0),
IF('TL06'!$B$229=P$3,SUMIF('TL06'!$C$238:$C$451,$C31,'TL06'!$J$238:$J$451),0),
IF('TL07'!$B$3=P$3,SUMIF('TL07'!$C$10:$C$224,$C31,'TL07'!$J$10:$J$224),0),
IF('TL07'!$B$229=P$3,SUMIF('TL07'!$C$238:$C$451,$C31,'TL07'!$J$238:$J$451),0),
IF('TL08'!$B$3=P$3,SUMIF('TL08'!$C$10:$C$224,$C31,'TL08'!$J$10:$J$224),0),
IF('TL08'!$B$229=P$3,SUMIF('TL08'!$C$238:$C$451,$C31,'TL08'!$J$238:$J$451),0),
IF('TL09'!$B$3=P$3,SUMIF('TL09'!$C$10:$C$224,$C31,'TL09'!$J$10:$J$224),0),
IF('TL09'!$B$229=P$3,SUMIF('TL09'!$C$238:$C$451,$C31,'TL09'!$J$238:$J$451),0),
IF('TL10'!$B$3=P$3,SUMIF('TL10'!$C$10:$C$224,$C31,'TL10'!$J$10:$J$224),0),
IF('TL10'!$B$229=P$3,SUMIF('TL10'!$C$238:$C$451,$C31,'TL10'!$J$238:$J$451),0),
IF('TL11'!$B$3=P$3,SUMIF('TL11'!$C$10:$C$224,$C31,'TL11'!$J$10:$J$224),0),
IF('TL11'!$B$229=P$3,SUMIF('TL11'!$C$238:$C$451,$C31,'TL11'!$J$238:$J$451),0),
IF('TL12'!$B$3=P$3,SUMIF('TL12'!$C$10:$C$224,$C31,'TL12'!$J$10:$J$224),0),
IF('TL12'!$B$229=P$3,SUMIF('TL12'!$C$238:$C$451,$C31,'TL12'!$J$238:$J$451),0),
IF('TL13'!$B$3=P$3,SUMIF('TL13'!$C$10:$C$224,$C31,'TL13'!$J$10:$J$224),0),
IF('TL13'!$B$229=P$3,SUMIF('TL13'!$C$238:$C$451,$C31,'TL13'!$J$238:$J$451),0),
IF('TL14'!$B$3=P$3,SUMIF('TL14'!$C$10:$C$224,$C31,'TL14'!$J$10:$J$224),0),
IF('TL14'!$B$229=P$3,SUMIF('TL14'!$C$238:$C$451,$C31,'TL14'!$J$238:$J$451),0),
IF('TL15'!$B$3=P$3,SUMIF('TL15'!$C$10:$C$224,$C31,'TL15'!$J$10:$J$224),0),
IF('TL15'!$B$229=P$3,SUMIF('TL15'!$C$238:$C$451,$C31,'TL15'!$J$238:$J$451),0),
IF('TL16'!$B$3=P$3,SUMIF('TL16'!$C$10:$C$224,$C31,'TL16'!$J$10:$J$224),0),
IF('TL16'!$B$229=P$3,SUMIF('TL16'!$C$238:$C$451,$C31,'TL16'!$J$238:$J$451),0),
IF('TL17'!$B$3=P$3,SUMIF('TL17'!$C$10:$C$224,$C31,'TL17'!$J$10:$J$224),0),
IF('TL17'!$B$229=P$3,SUMIF('TL17'!$C$238:$C$451,$C31,'TL17'!$J$238:$J$451),0),
IF('TL18'!$B$3=P$3,SUMIF('TL18'!$C$10:$C$224,$C31,'TL18'!$J$10:$J$224),0),
IF('TL18'!$B$229=P$3,SUMIF('TL18'!$C$238:$C$451,$C31,'TL18'!$J$238:$J$451),0),
IF('TL19'!$B$3=P$3,SUMIF('TL19'!$C$10:$C$224,$C31,'TL19'!$J$10:$J$224),0),
IF('TL19'!$B$229=P$3,SUMIF('TL19'!$C$238:$C$451,$C31,'TL19'!$J$238:$J$451),0)
),0)</f>
        <v/>
      </c>
      <c r="Q31" s="9">
        <f>IFERROR(SUM(
IF('TL01'!$B$3=Q$3,SUMIF('TL01'!$C$10:$C$224,$C31,'TL01'!$J$10:$J$224),0),
IF('TL01'!$B$229=Q$3,SUMIF('TL01'!$C$238:$C$451,$C31,'TL01'!$J$238:$J$451),0),
IF('TL02'!$B$3=Q$3,SUMIF('TL02'!$C$10:$C$224,$C31,'TL02'!$J$10:$J$224),0),
IF('TL02'!$B$229=Q$3,SUMIF('TL02'!$C$238:$C$451,$C31,'TL02'!$J$238:$J$451),0),
IF('TL03'!$B$3=Q$3,SUMIF('TL03'!$C$10:$C$224,$C31,'TL03'!$J$10:$J$224),0),
IF('TL03'!$B$229=Q$3,SUMIF('TL03'!$C$238:$C$451,$C31,'TL03'!$J$238:$J$451),0),
IF('TL04'!$B$3=Q$3,SUMIF('TL04'!$C$10:$C$224,$C31,'TL04'!$J$10:$J$224),0),
IF('TL04'!$B$229=Q$3,SUMIF('TL04'!$C$238:$C$451,$C31,'TL04'!$J$238:$J$451),0),
IF('TL05'!$B$3=Q$3,SUMIF('TL05'!$C$10:$C$224,$C31,'TL05'!$J$10:$J$224),0),
IF('TL05'!$B$229=Q$3,SUMIF('TL05'!$C$238:$C$451,$C31,'TL05'!$J$238:$J$451),0),
IF('TL06'!$B$3=Q$3,SUMIF('TL06'!$C$10:$C$224,$C31,'TL06'!$J$10:$J$224),0),
IF('TL06'!$B$229=Q$3,SUMIF('TL06'!$C$238:$C$451,$C31,'TL06'!$J$238:$J$451),0),
IF('TL07'!$B$3=Q$3,SUMIF('TL07'!$C$10:$C$224,$C31,'TL07'!$J$10:$J$224),0),
IF('TL07'!$B$229=Q$3,SUMIF('TL07'!$C$238:$C$451,$C31,'TL07'!$J$238:$J$451),0),
IF('TL08'!$B$3=Q$3,SUMIF('TL08'!$C$10:$C$224,$C31,'TL08'!$J$10:$J$224),0),
IF('TL08'!$B$229=Q$3,SUMIF('TL08'!$C$238:$C$451,$C31,'TL08'!$J$238:$J$451),0),
IF('TL09'!$B$3=Q$3,SUMIF('TL09'!$C$10:$C$224,$C31,'TL09'!$J$10:$J$224),0),
IF('TL09'!$B$229=Q$3,SUMIF('TL09'!$C$238:$C$451,$C31,'TL09'!$J$238:$J$451),0),
IF('TL10'!$B$3=Q$3,SUMIF('TL10'!$C$10:$C$224,$C31,'TL10'!$J$10:$J$224),0),
IF('TL10'!$B$229=Q$3,SUMIF('TL10'!$C$238:$C$451,$C31,'TL10'!$J$238:$J$451),0),
IF('TL11'!$B$3=Q$3,SUMIF('TL11'!$C$10:$C$224,$C31,'TL11'!$J$10:$J$224),0),
IF('TL11'!$B$229=Q$3,SUMIF('TL11'!$C$238:$C$451,$C31,'TL11'!$J$238:$J$451),0),
IF('TL12'!$B$3=Q$3,SUMIF('TL12'!$C$10:$C$224,$C31,'TL12'!$J$10:$J$224),0),
IF('TL12'!$B$229=Q$3,SUMIF('TL12'!$C$238:$C$451,$C31,'TL12'!$J$238:$J$451),0),
IF('TL13'!$B$3=Q$3,SUMIF('TL13'!$C$10:$C$224,$C31,'TL13'!$J$10:$J$224),0),
IF('TL13'!$B$229=Q$3,SUMIF('TL13'!$C$238:$C$451,$C31,'TL13'!$J$238:$J$451),0),
IF('TL14'!$B$3=Q$3,SUMIF('TL14'!$C$10:$C$224,$C31,'TL14'!$J$10:$J$224),0),
IF('TL14'!$B$229=Q$3,SUMIF('TL14'!$C$238:$C$451,$C31,'TL14'!$J$238:$J$451),0),
IF('TL15'!$B$3=Q$3,SUMIF('TL15'!$C$10:$C$224,$C31,'TL15'!$J$10:$J$224),0),
IF('TL15'!$B$229=Q$3,SUMIF('TL15'!$C$238:$C$451,$C31,'TL15'!$J$238:$J$451),0),
IF('TL16'!$B$3=Q$3,SUMIF('TL16'!$C$10:$C$224,$C31,'TL16'!$J$10:$J$224),0),
IF('TL16'!$B$229=Q$3,SUMIF('TL16'!$C$238:$C$451,$C31,'TL16'!$J$238:$J$451),0),
IF('TL17'!$B$3=Q$3,SUMIF('TL17'!$C$10:$C$224,$C31,'TL17'!$J$10:$J$224),0),
IF('TL17'!$B$229=Q$3,SUMIF('TL17'!$C$238:$C$451,$C31,'TL17'!$J$238:$J$451),0),
IF('TL18'!$B$3=Q$3,SUMIF('TL18'!$C$10:$C$224,$C31,'TL18'!$J$10:$J$224),0),
IF('TL18'!$B$229=Q$3,SUMIF('TL18'!$C$238:$C$451,$C31,'TL18'!$J$238:$J$451),0),
IF('TL19'!$B$3=Q$3,SUMIF('TL19'!$C$10:$C$224,$C31,'TL19'!$J$10:$J$224),0),
IF('TL19'!$B$229=Q$3,SUMIF('TL19'!$C$238:$C$451,$C31,'TL19'!$J$238:$J$451),0)
),0)</f>
        <v/>
      </c>
      <c r="R31" s="9">
        <f>IFERROR(
SUM(
SUMIF('TL01'!C:C,C31,'TL01'!J:J),
SUMIF('TL02'!C:C,C31,'TL02'!J:J),
SUMIF('TL03'!C:C,C31,'TL03'!J:J),
SUMIF('TL04'!C:C,C31,'TL04'!J:J),
SUMIF('TL05'!C:C,C31,'TL05'!J:J),
SUMIF('TL06'!C:C,C31,'TL06'!J:J),
SUMIF('TL07'!C:C,C31,'TL07'!J:J),
SUMIF('TL08'!C:C,C31,'TL08'!J:J),
SUMIF('TL09'!C:C,C31,'TL09'!J:J),
SUMIF('TL10'!C:C,C31,'TL10'!J:J),
SUMIF('TL11'!C:C,C31,'TL11'!J:J),
SUMIF('TL12'!C:C,C31,'TL12'!J:J),
SUMIF('TL13'!C:C,C31,'TL13'!J:J),
SUMIF('TL14'!C:C,C31,'TL14'!J:J),
SUMIF('TL15'!C:C,C31,'TL15'!J:J),
SUMIF('TL16'!C:C,C31,'TL16'!J:J),
SUMIF('TL17'!C:C,C31,'TL17'!J:J),
SUMIF('TL18'!C:C,C31,'TL18'!J:J),SUMIF('TL19'!C:C,C31,'TL19'!J:J))
,0)</f>
        <v/>
      </c>
      <c r="S31" s="17">
        <f>IFERROR(__xludf.DUMMYFUNCTION("IFERROR(VLOOKUP(C31,
IMPORTRANGE(""1wULbzX32WdYsx-lj2U3uUNBBe2INVIRDtcK0d-Dvl90"",
""26-27!C:G""),
5,
FALSE),
"""")"),"")</f>
        <v/>
      </c>
      <c r="T31" s="9" t="n"/>
      <c r="U31" s="92">
        <f>MAX(0,R31-T31)</f>
        <v/>
      </c>
      <c r="V31" s="93">
        <f>U31*S31</f>
        <v/>
      </c>
    </row>
    <row r="32" hidden="1" ht="22.5" customHeight="1" s="297">
      <c r="A32" s="101" t="n"/>
      <c r="B32" s="102" t="inlineStr">
        <is>
          <t>FERTILIZANTES</t>
        </is>
      </c>
      <c r="C32" s="103" t="inlineStr">
        <is>
          <t>URÉIA</t>
        </is>
      </c>
      <c r="D32" s="103" t="inlineStr">
        <is>
          <t>N 44</t>
        </is>
      </c>
      <c r="E32" s="104" t="n"/>
      <c r="F32" s="4" t="inlineStr">
        <is>
          <t>Ton</t>
        </is>
      </c>
      <c r="G32" s="9" t="n"/>
      <c r="H32" s="9">
        <f>IFERROR(__xludf.DUMMYFUNCTION("IFERROR(VLOOKUP(C32,
IMPORTRANGE(""1wULbzX32WdYsx-lj2U3uUNBBe2INVIRDtcK0d-Dvl90"",
""26-27!C:K""),
8,
FALSE),
"""")"),"")</f>
        <v/>
      </c>
      <c r="I32" s="105" t="n"/>
      <c r="J32" s="9">
        <f>IFERROR(SUM(
IF('TL01'!$B$3=J$3,SUMIF('TL01'!$C$10:$C$224,$C32,'TL01'!$J$10:$J$224),0),
IF('TL01'!$B$229=J$3,SUMIF('TL01'!$C$238:$C$451,$C32,'TL01'!$J$238:$J$451),0),
IF('TL02'!$B$3=J$3,SUMIF('TL02'!$C$10:$C$224,$C32,'TL02'!$J$10:$J$224),0),
IF('TL02'!$B$229=J$3,SUMIF('TL02'!$C$238:$C$451,$C32,'TL02'!$J$238:$J$451),0),
IF('TL03'!$B$3=J$3,SUMIF('TL03'!$C$10:$C$224,$C32,'TL03'!$J$10:$J$224),0),
IF('TL03'!$B$229=J$3,SUMIF('TL03'!$C$238:$C$451,$C32,'TL03'!$J$238:$J$451),0),
IF('TL04'!$B$3=J$3,SUMIF('TL04'!$C$10:$C$224,$C32,'TL04'!$J$10:$J$224),0),
IF('TL04'!$B$229=J$3,SUMIF('TL04'!$C$238:$C$451,$C32,'TL04'!$J$238:$J$451),0),
IF('TL05'!$B$3=J$3,SUMIF('TL05'!$C$10:$C$224,$C32,'TL05'!$J$10:$J$224),0),
IF('TL05'!$B$229=J$3,SUMIF('TL05'!$C$238:$C$451,$C32,'TL05'!$J$238:$J$451),0),
IF('TL06'!$B$3=J$3,SUMIF('TL06'!$C$10:$C$224,$C32,'TL06'!$J$10:$J$224),0),
IF('TL06'!$B$229=J$3,SUMIF('TL06'!$C$238:$C$451,$C32,'TL06'!$J$238:$J$451),0),
IF('TL07'!$B$3=J$3,SUMIF('TL07'!$C$10:$C$224,$C32,'TL07'!$J$10:$J$224),0),
IF('TL07'!$B$229=J$3,SUMIF('TL07'!$C$238:$C$451,$C32,'TL07'!$J$238:$J$451),0),
IF('TL08'!$B$3=J$3,SUMIF('TL08'!$C$10:$C$224,$C32,'TL08'!$J$10:$J$224),0),
IF('TL08'!$B$229=J$3,SUMIF('TL08'!$C$238:$C$451,$C32,'TL08'!$J$238:$J$451),0),
IF('TL09'!$B$3=J$3,SUMIF('TL09'!$C$10:$C$224,$C32,'TL09'!$J$10:$J$224),0),
IF('TL09'!$B$229=J$3,SUMIF('TL09'!$C$238:$C$451,$C32,'TL09'!$J$238:$J$451),0),
IF('TL10'!$B$3=J$3,SUMIF('TL10'!$C$10:$C$224,$C32,'TL10'!$J$10:$J$224),0),
IF('TL10'!$B$229=J$3,SUMIF('TL10'!$C$238:$C$451,$C32,'TL10'!$J$238:$J$451),0),
IF('TL11'!$B$3=J$3,SUMIF('TL11'!$C$10:$C$224,$C32,'TL11'!$J$10:$J$224),0),
IF('TL11'!$B$229=J$3,SUMIF('TL11'!$C$238:$C$451,$C32,'TL11'!$J$238:$J$451),0),
IF('TL12'!$B$3=J$3,SUMIF('TL12'!$C$10:$C$224,$C32,'TL12'!$J$10:$J$224),0),
IF('TL12'!$B$229=J$3,SUMIF('TL12'!$C$238:$C$451,$C32,'TL12'!$J$238:$J$451),0),
IF('TL13'!$B$3=J$3,SUMIF('TL13'!$C$10:$C$224,$C32,'TL13'!$J$10:$J$224),0),
IF('TL13'!$B$229=J$3,SUMIF('TL13'!$C$238:$C$451,$C32,'TL13'!$J$238:$J$451),0),
IF('TL14'!$B$3=J$3,SUMIF('TL14'!$C$10:$C$224,$C32,'TL14'!$J$10:$J$224),0),
IF('TL14'!$B$229=J$3,SUMIF('TL14'!$C$238:$C$451,$C32,'TL14'!$J$238:$J$451),0),
IF('TL15'!$B$3=J$3,SUMIF('TL15'!$C$10:$C$224,$C32,'TL15'!$J$10:$J$224),0),
IF('TL15'!$B$229=J$3,SUMIF('TL15'!$C$238:$C$451,$C32,'TL15'!$J$238:$J$451),0),
IF('TL16'!$B$3=J$3,SUMIF('TL16'!$C$10:$C$224,$C32,'TL16'!$J$10:$J$224),0),
IF('TL16'!$B$229=J$3,SUMIF('TL16'!$C$238:$C$451,$C32,'TL16'!$J$238:$J$451),0),
IF('TL17'!$B$3=J$3,SUMIF('TL17'!$C$10:$C$224,$C32,'TL17'!$J$10:$J$224),0),
IF('TL17'!$B$229=J$3,SUMIF('TL17'!$C$238:$C$451,$C32,'TL17'!$J$238:$J$451),0),
IF('TL18'!$B$3=J$3,SUMIF('TL18'!$C$10:$C$224,$C32,'TL18'!$J$10:$J$224),0),
IF('TL18'!$B$229=J$3,SUMIF('TL18'!$C$238:$C$451,$C32,'TL18'!$J$238:$J$451),0),
IF('TL19'!$B$3=J$3,SUMIF('TL19'!$C$10:$C$224,$C32,'TL19'!$J$10:$J$224),0),
IF('TL19'!$B$229=J$3,SUMIF('TL19'!$C$238:$C$451,$C32,'TL19'!$J$238:$J$451),0)
),0)</f>
        <v/>
      </c>
      <c r="K32" s="9">
        <f>IFERROR(SUM(
IF('TL01'!$B$3=K$3,SUMIF('TL01'!$C$10:$C$224,$C32,'TL01'!$J$10:$J$224),0),
IF('TL01'!$B$229=K$3,SUMIF('TL01'!$C$238:$C$451,$C32,'TL01'!$J$238:$J$451),0),
IF('TL02'!$B$3=K$3,SUMIF('TL02'!$C$10:$C$224,$C32,'TL02'!$J$10:$J$224),0),
IF('TL02'!$B$229=K$3,SUMIF('TL02'!$C$238:$C$451,$C32,'TL02'!$J$238:$J$451),0),
IF('TL03'!$B$3=K$3,SUMIF('TL03'!$C$10:$C$224,$C32,'TL03'!$J$10:$J$224),0),
IF('TL03'!$B$229=K$3,SUMIF('TL03'!$C$238:$C$451,$C32,'TL03'!$J$238:$J$451),0),
IF('TL04'!$B$3=K$3,SUMIF('TL04'!$C$10:$C$224,$C32,'TL04'!$J$10:$J$224),0),
IF('TL04'!$B$229=K$3,SUMIF('TL04'!$C$238:$C$451,$C32,'TL04'!$J$238:$J$451),0),
IF('TL05'!$B$3=K$3,SUMIF('TL05'!$C$10:$C$224,$C32,'TL05'!$J$10:$J$224),0),
IF('TL05'!$B$229=K$3,SUMIF('TL05'!$C$238:$C$451,$C32,'TL05'!$J$238:$J$451),0),
IF('TL06'!$B$3=K$3,SUMIF('TL06'!$C$10:$C$224,$C32,'TL06'!$J$10:$J$224),0),
IF('TL06'!$B$229=K$3,SUMIF('TL06'!$C$238:$C$451,$C32,'TL06'!$J$238:$J$451),0),
IF('TL07'!$B$3=K$3,SUMIF('TL07'!$C$10:$C$224,$C32,'TL07'!$J$10:$J$224),0),
IF('TL07'!$B$229=K$3,SUMIF('TL07'!$C$238:$C$451,$C32,'TL07'!$J$238:$J$451),0),
IF('TL08'!$B$3=K$3,SUMIF('TL08'!$C$10:$C$224,$C32,'TL08'!$J$10:$J$224),0),
IF('TL08'!$B$229=K$3,SUMIF('TL08'!$C$238:$C$451,$C32,'TL08'!$J$238:$J$451),0),
IF('TL09'!$B$3=K$3,SUMIF('TL09'!$C$10:$C$224,$C32,'TL09'!$J$10:$J$224),0),
IF('TL09'!$B$229=K$3,SUMIF('TL09'!$C$238:$C$451,$C32,'TL09'!$J$238:$J$451),0),
IF('TL10'!$B$3=K$3,SUMIF('TL10'!$C$10:$C$224,$C32,'TL10'!$J$10:$J$224),0),
IF('TL10'!$B$229=K$3,SUMIF('TL10'!$C$238:$C$451,$C32,'TL10'!$J$238:$J$451),0),
IF('TL11'!$B$3=K$3,SUMIF('TL11'!$C$10:$C$224,$C32,'TL11'!$J$10:$J$224),0),
IF('TL11'!$B$229=K$3,SUMIF('TL11'!$C$238:$C$451,$C32,'TL11'!$J$238:$J$451),0),
IF('TL12'!$B$3=K$3,SUMIF('TL12'!$C$10:$C$224,$C32,'TL12'!$J$10:$J$224),0),
IF('TL12'!$B$229=K$3,SUMIF('TL12'!$C$238:$C$451,$C32,'TL12'!$J$238:$J$451),0),
IF('TL13'!$B$3=K$3,SUMIF('TL13'!$C$10:$C$224,$C32,'TL13'!$J$10:$J$224),0),
IF('TL13'!$B$229=K$3,SUMIF('TL13'!$C$238:$C$451,$C32,'TL13'!$J$238:$J$451),0),
IF('TL14'!$B$3=K$3,SUMIF('TL14'!$C$10:$C$224,$C32,'TL14'!$J$10:$J$224),0),
IF('TL14'!$B$229=K$3,SUMIF('TL14'!$C$238:$C$451,$C32,'TL14'!$J$238:$J$451),0),
IF('TL15'!$B$3=K$3,SUMIF('TL15'!$C$10:$C$224,$C32,'TL15'!$J$10:$J$224),0),
IF('TL15'!$B$229=K$3,SUMIF('TL15'!$C$238:$C$451,$C32,'TL15'!$J$238:$J$451),0),
IF('TL16'!$B$3=K$3,SUMIF('TL16'!$C$10:$C$224,$C32,'TL16'!$J$10:$J$224),0),
IF('TL16'!$B$229=K$3,SUMIF('TL16'!$C$238:$C$451,$C32,'TL16'!$J$238:$J$451),0),
IF('TL17'!$B$3=K$3,SUMIF('TL17'!$C$10:$C$224,$C32,'TL17'!$J$10:$J$224),0),
IF('TL17'!$B$229=K$3,SUMIF('TL17'!$C$238:$C$451,$C32,'TL17'!$J$238:$J$451),0),
IF('TL18'!$B$3=K$3,SUMIF('TL18'!$C$10:$C$224,$C32,'TL18'!$J$10:$J$224),0),
IF('TL18'!$B$229=K$3,SUMIF('TL18'!$C$238:$C$451,$C32,'TL18'!$J$238:$J$451),0),
IF('TL19'!$B$3=K$3,SUMIF('TL19'!$C$10:$C$224,$C32,'TL19'!$J$10:$J$224),0),
IF('TL19'!$B$229=K$3,SUMIF('TL19'!$C$238:$C$451,$C32,'TL19'!$J$238:$J$451),0)
),0)</f>
        <v/>
      </c>
      <c r="L32" s="9">
        <f>IFERROR(SUM(
IF('TL01'!$B$3=L$3,SUMIF('TL01'!$C$10:$C$224,$C32,'TL01'!$J$10:$J$224),0),
IF('TL01'!$B$229=L$3,SUMIF('TL01'!$C$238:$C$451,$C32,'TL01'!$J$238:$J$451),0),
IF('TL02'!$B$3=L$3,SUMIF('TL02'!$C$10:$C$224,$C32,'TL02'!$J$10:$J$224),0),
IF('TL02'!$B$229=L$3,SUMIF('TL02'!$C$238:$C$451,$C32,'TL02'!$J$238:$J$451),0),
IF('TL03'!$B$3=L$3,SUMIF('TL03'!$C$10:$C$224,$C32,'TL03'!$J$10:$J$224),0),
IF('TL03'!$B$229=L$3,SUMIF('TL03'!$C$238:$C$451,$C32,'TL03'!$J$238:$J$451),0),
IF('TL04'!$B$3=L$3,SUMIF('TL04'!$C$10:$C$224,$C32,'TL04'!$J$10:$J$224),0),
IF('TL04'!$B$229=L$3,SUMIF('TL04'!$C$238:$C$451,$C32,'TL04'!$J$238:$J$451),0),
IF('TL05'!$B$3=L$3,SUMIF('TL05'!$C$10:$C$224,$C32,'TL05'!$J$10:$J$224),0),
IF('TL05'!$B$229=L$3,SUMIF('TL05'!$C$238:$C$451,$C32,'TL05'!$J$238:$J$451),0),
IF('TL06'!$B$3=L$3,SUMIF('TL06'!$C$10:$C$224,$C32,'TL06'!$J$10:$J$224),0),
IF('TL06'!$B$229=L$3,SUMIF('TL06'!$C$238:$C$451,$C32,'TL06'!$J$238:$J$451),0),
IF('TL07'!$B$3=L$3,SUMIF('TL07'!$C$10:$C$224,$C32,'TL07'!$J$10:$J$224),0),
IF('TL07'!$B$229=L$3,SUMIF('TL07'!$C$238:$C$451,$C32,'TL07'!$J$238:$J$451),0),
IF('TL08'!$B$3=L$3,SUMIF('TL08'!$C$10:$C$224,$C32,'TL08'!$J$10:$J$224),0),
IF('TL08'!$B$229=L$3,SUMIF('TL08'!$C$238:$C$451,$C32,'TL08'!$J$238:$J$451),0),
IF('TL09'!$B$3=L$3,SUMIF('TL09'!$C$10:$C$224,$C32,'TL09'!$J$10:$J$224),0),
IF('TL09'!$B$229=L$3,SUMIF('TL09'!$C$238:$C$451,$C32,'TL09'!$J$238:$J$451),0),
IF('TL10'!$B$3=L$3,SUMIF('TL10'!$C$10:$C$224,$C32,'TL10'!$J$10:$J$224),0),
IF('TL10'!$B$229=L$3,SUMIF('TL10'!$C$238:$C$451,$C32,'TL10'!$J$238:$J$451),0),
IF('TL11'!$B$3=L$3,SUMIF('TL11'!$C$10:$C$224,$C32,'TL11'!$J$10:$J$224),0),
IF('TL11'!$B$229=L$3,SUMIF('TL11'!$C$238:$C$451,$C32,'TL11'!$J$238:$J$451),0),
IF('TL12'!$B$3=L$3,SUMIF('TL12'!$C$10:$C$224,$C32,'TL12'!$J$10:$J$224),0),
IF('TL12'!$B$229=L$3,SUMIF('TL12'!$C$238:$C$451,$C32,'TL12'!$J$238:$J$451),0),
IF('TL13'!$B$3=L$3,SUMIF('TL13'!$C$10:$C$224,$C32,'TL13'!$J$10:$J$224),0),
IF('TL13'!$B$229=L$3,SUMIF('TL13'!$C$238:$C$451,$C32,'TL13'!$J$238:$J$451),0),
IF('TL14'!$B$3=L$3,SUMIF('TL14'!$C$10:$C$224,$C32,'TL14'!$J$10:$J$224),0),
IF('TL14'!$B$229=L$3,SUMIF('TL14'!$C$238:$C$451,$C32,'TL14'!$J$238:$J$451),0),
IF('TL15'!$B$3=L$3,SUMIF('TL15'!$C$10:$C$224,$C32,'TL15'!$J$10:$J$224),0),
IF('TL15'!$B$229=L$3,SUMIF('TL15'!$C$238:$C$451,$C32,'TL15'!$J$238:$J$451),0),
IF('TL16'!$B$3=L$3,SUMIF('TL16'!$C$10:$C$224,$C32,'TL16'!$J$10:$J$224),0),
IF('TL16'!$B$229=L$3,SUMIF('TL16'!$C$238:$C$451,$C32,'TL16'!$J$238:$J$451),0),
IF('TL17'!$B$3=L$3,SUMIF('TL17'!$C$10:$C$224,$C32,'TL17'!$J$10:$J$224),0),
IF('TL17'!$B$229=L$3,SUMIF('TL17'!$C$238:$C$451,$C32,'TL17'!$J$238:$J$451),0),
IF('TL18'!$B$3=L$3,SUMIF('TL18'!$C$10:$C$224,$C32,'TL18'!$J$10:$J$224),0),
IF('TL18'!$B$229=L$3,SUMIF('TL18'!$C$238:$C$451,$C32,'TL18'!$J$238:$J$451),0),
IF('TL19'!$B$3=L$3,SUMIF('TL19'!$C$10:$C$224,$C32,'TL19'!$J$10:$J$224),0),
IF('TL19'!$B$229=L$3,SUMIF('TL19'!$C$238:$C$451,$C32,'TL19'!$J$238:$J$451),0)
),0)</f>
        <v/>
      </c>
      <c r="M32" s="9">
        <f>IFERROR(SUM(
IF('TL01'!$B$3=M$3,SUMIF('TL01'!$C$10:$C$224,$C32,'TL01'!$J$10:$J$224),0),
IF('TL01'!$B$229=M$3,SUMIF('TL01'!$C$238:$C$451,$C32,'TL01'!$J$238:$J$451),0),
IF('TL02'!$B$3=M$3,SUMIF('TL02'!$C$10:$C$224,$C32,'TL02'!$J$10:$J$224),0),
IF('TL02'!$B$229=M$3,SUMIF('TL02'!$C$238:$C$451,$C32,'TL02'!$J$238:$J$451),0),
IF('TL03'!$B$3=M$3,SUMIF('TL03'!$C$10:$C$224,$C32,'TL03'!$J$10:$J$224),0),
IF('TL03'!$B$229=M$3,SUMIF('TL03'!$C$238:$C$451,$C32,'TL03'!$J$238:$J$451),0),
IF('TL04'!$B$3=M$3,SUMIF('TL04'!$C$10:$C$224,$C32,'TL04'!$J$10:$J$224),0),
IF('TL04'!$B$229=M$3,SUMIF('TL04'!$C$238:$C$451,$C32,'TL04'!$J$238:$J$451),0),
IF('TL05'!$B$3=M$3,SUMIF('TL05'!$C$10:$C$224,$C32,'TL05'!$J$10:$J$224),0),
IF('TL05'!$B$229=M$3,SUMIF('TL05'!$C$238:$C$451,$C32,'TL05'!$J$238:$J$451),0),
IF('TL06'!$B$3=M$3,SUMIF('TL06'!$C$10:$C$224,$C32,'TL06'!$J$10:$J$224),0),
IF('TL06'!$B$229=M$3,SUMIF('TL06'!$C$238:$C$451,$C32,'TL06'!$J$238:$J$451),0),
IF('TL07'!$B$3=M$3,SUMIF('TL07'!$C$10:$C$224,$C32,'TL07'!$J$10:$J$224),0),
IF('TL07'!$B$229=M$3,SUMIF('TL07'!$C$238:$C$451,$C32,'TL07'!$J$238:$J$451),0),
IF('TL08'!$B$3=M$3,SUMIF('TL08'!$C$10:$C$224,$C32,'TL08'!$J$10:$J$224),0),
IF('TL08'!$B$229=M$3,SUMIF('TL08'!$C$238:$C$451,$C32,'TL08'!$J$238:$J$451),0),
IF('TL09'!$B$3=M$3,SUMIF('TL09'!$C$10:$C$224,$C32,'TL09'!$J$10:$J$224),0),
IF('TL09'!$B$229=M$3,SUMIF('TL09'!$C$238:$C$451,$C32,'TL09'!$J$238:$J$451),0),
IF('TL10'!$B$3=M$3,SUMIF('TL10'!$C$10:$C$224,$C32,'TL10'!$J$10:$J$224),0),
IF('TL10'!$B$229=M$3,SUMIF('TL10'!$C$238:$C$451,$C32,'TL10'!$J$238:$J$451),0),
IF('TL11'!$B$3=M$3,SUMIF('TL11'!$C$10:$C$224,$C32,'TL11'!$J$10:$J$224),0),
IF('TL11'!$B$229=M$3,SUMIF('TL11'!$C$238:$C$451,$C32,'TL11'!$J$238:$J$451),0),
IF('TL12'!$B$3=M$3,SUMIF('TL12'!$C$10:$C$224,$C32,'TL12'!$J$10:$J$224),0),
IF('TL12'!$B$229=M$3,SUMIF('TL12'!$C$238:$C$451,$C32,'TL12'!$J$238:$J$451),0),
IF('TL13'!$B$3=M$3,SUMIF('TL13'!$C$10:$C$224,$C32,'TL13'!$J$10:$J$224),0),
IF('TL13'!$B$229=M$3,SUMIF('TL13'!$C$238:$C$451,$C32,'TL13'!$J$238:$J$451),0),
IF('TL14'!$B$3=M$3,SUMIF('TL14'!$C$10:$C$224,$C32,'TL14'!$J$10:$J$224),0),
IF('TL14'!$B$229=M$3,SUMIF('TL14'!$C$238:$C$451,$C32,'TL14'!$J$238:$J$451),0),
IF('TL15'!$B$3=M$3,SUMIF('TL15'!$C$10:$C$224,$C32,'TL15'!$J$10:$J$224),0),
IF('TL15'!$B$229=M$3,SUMIF('TL15'!$C$238:$C$451,$C32,'TL15'!$J$238:$J$451),0),
IF('TL16'!$B$3=M$3,SUMIF('TL16'!$C$10:$C$224,$C32,'TL16'!$J$10:$J$224),0),
IF('TL16'!$B$229=M$3,SUMIF('TL16'!$C$238:$C$451,$C32,'TL16'!$J$238:$J$451),0),
IF('TL17'!$B$3=M$3,SUMIF('TL17'!$C$10:$C$224,$C32,'TL17'!$J$10:$J$224),0),
IF('TL17'!$B$229=M$3,SUMIF('TL17'!$C$238:$C$451,$C32,'TL17'!$J$238:$J$451),0),
IF('TL18'!$B$3=M$3,SUMIF('TL18'!$C$10:$C$224,$C32,'TL18'!$J$10:$J$224),0),
IF('TL18'!$B$229=M$3,SUMIF('TL18'!$C$238:$C$451,$C32,'TL18'!$J$238:$J$451),0),
IF('TL19'!$B$3=M$3,SUMIF('TL19'!$C$10:$C$224,$C32,'TL19'!$J$10:$J$224),0),
IF('TL19'!$B$229=M$3,SUMIF('TL19'!$C$238:$C$451,$C32,'TL19'!$J$238:$J$451),0)
),0)</f>
        <v/>
      </c>
      <c r="N32" s="9">
        <f>IFERROR(SUM(
IF('TL01'!$B$3=N$3,SUMIF('TL01'!$C$10:$C$224,$C32,'TL01'!$J$10:$J$224),0),
IF('TL01'!$B$229=N$3,SUMIF('TL01'!$C$238:$C$451,$C32,'TL01'!$J$238:$J$451),0),
IF('TL02'!$B$3=N$3,SUMIF('TL02'!$C$10:$C$224,$C32,'TL02'!$J$10:$J$224),0),
IF('TL02'!$B$229=N$3,SUMIF('TL02'!$C$238:$C$451,$C32,'TL02'!$J$238:$J$451),0),
IF('TL03'!$B$3=N$3,SUMIF('TL03'!$C$10:$C$224,$C32,'TL03'!$J$10:$J$224),0),
IF('TL03'!$B$229=N$3,SUMIF('TL03'!$C$238:$C$451,$C32,'TL03'!$J$238:$J$451),0),
IF('TL04'!$B$3=N$3,SUMIF('TL04'!$C$10:$C$224,$C32,'TL04'!$J$10:$J$224),0),
IF('TL04'!$B$229=N$3,SUMIF('TL04'!$C$238:$C$451,$C32,'TL04'!$J$238:$J$451),0),
IF('TL05'!$B$3=N$3,SUMIF('TL05'!$C$10:$C$224,$C32,'TL05'!$J$10:$J$224),0),
IF('TL05'!$B$229=N$3,SUMIF('TL05'!$C$238:$C$451,$C32,'TL05'!$J$238:$J$451),0),
IF('TL06'!$B$3=N$3,SUMIF('TL06'!$C$10:$C$224,$C32,'TL06'!$J$10:$J$224),0),
IF('TL06'!$B$229=N$3,SUMIF('TL06'!$C$238:$C$451,$C32,'TL06'!$J$238:$J$451),0),
IF('TL07'!$B$3=N$3,SUMIF('TL07'!$C$10:$C$224,$C32,'TL07'!$J$10:$J$224),0),
IF('TL07'!$B$229=N$3,SUMIF('TL07'!$C$238:$C$451,$C32,'TL07'!$J$238:$J$451),0),
IF('TL08'!$B$3=N$3,SUMIF('TL08'!$C$10:$C$224,$C32,'TL08'!$J$10:$J$224),0),
IF('TL08'!$B$229=N$3,SUMIF('TL08'!$C$238:$C$451,$C32,'TL08'!$J$238:$J$451),0),
IF('TL09'!$B$3=N$3,SUMIF('TL09'!$C$10:$C$224,$C32,'TL09'!$J$10:$J$224),0),
IF('TL09'!$B$229=N$3,SUMIF('TL09'!$C$238:$C$451,$C32,'TL09'!$J$238:$J$451),0),
IF('TL10'!$B$3=N$3,SUMIF('TL10'!$C$10:$C$224,$C32,'TL10'!$J$10:$J$224),0),
IF('TL10'!$B$229=N$3,SUMIF('TL10'!$C$238:$C$451,$C32,'TL10'!$J$238:$J$451),0),
IF('TL11'!$B$3=N$3,SUMIF('TL11'!$C$10:$C$224,$C32,'TL11'!$J$10:$J$224),0),
IF('TL11'!$B$229=N$3,SUMIF('TL11'!$C$238:$C$451,$C32,'TL11'!$J$238:$J$451),0),
IF('TL12'!$B$3=N$3,SUMIF('TL12'!$C$10:$C$224,$C32,'TL12'!$J$10:$J$224),0),
IF('TL12'!$B$229=N$3,SUMIF('TL12'!$C$238:$C$451,$C32,'TL12'!$J$238:$J$451),0),
IF('TL13'!$B$3=N$3,SUMIF('TL13'!$C$10:$C$224,$C32,'TL13'!$J$10:$J$224),0),
IF('TL13'!$B$229=N$3,SUMIF('TL13'!$C$238:$C$451,$C32,'TL13'!$J$238:$J$451),0),
IF('TL14'!$B$3=N$3,SUMIF('TL14'!$C$10:$C$224,$C32,'TL14'!$J$10:$J$224),0),
IF('TL14'!$B$229=N$3,SUMIF('TL14'!$C$238:$C$451,$C32,'TL14'!$J$238:$J$451),0),
IF('TL15'!$B$3=N$3,SUMIF('TL15'!$C$10:$C$224,$C32,'TL15'!$J$10:$J$224),0),
IF('TL15'!$B$229=N$3,SUMIF('TL15'!$C$238:$C$451,$C32,'TL15'!$J$238:$J$451),0),
IF('TL16'!$B$3=N$3,SUMIF('TL16'!$C$10:$C$224,$C32,'TL16'!$J$10:$J$224),0),
IF('TL16'!$B$229=N$3,SUMIF('TL16'!$C$238:$C$451,$C32,'TL16'!$J$238:$J$451),0),
IF('TL17'!$B$3=N$3,SUMIF('TL17'!$C$10:$C$224,$C32,'TL17'!$J$10:$J$224),0),
IF('TL17'!$B$229=N$3,SUMIF('TL17'!$C$238:$C$451,$C32,'TL17'!$J$238:$J$451),0),
IF('TL18'!$B$3=N$3,SUMIF('TL18'!$C$10:$C$224,$C32,'TL18'!$J$10:$J$224),0),
IF('TL18'!$B$229=N$3,SUMIF('TL18'!$C$238:$C$451,$C32,'TL18'!$J$238:$J$451),0),
IF('TL19'!$B$3=N$3,SUMIF('TL19'!$C$10:$C$224,$C32,'TL19'!$J$10:$J$224),0),
IF('TL19'!$B$229=N$3,SUMIF('TL19'!$C$238:$C$451,$C32,'TL19'!$J$238:$J$451),0)
),0)</f>
        <v/>
      </c>
      <c r="O32" s="9">
        <f>IFERROR(SUM(
IF('TL01'!$B$3=O$3,SUMIF('TL01'!$C$10:$C$224,$C32,'TL01'!$J$10:$J$224),0),
IF('TL01'!$B$229=O$3,SUMIF('TL01'!$C$238:$C$451,$C32,'TL01'!$J$238:$J$451),0),
IF('TL02'!$B$3=O$3,SUMIF('TL02'!$C$10:$C$224,$C32,'TL02'!$J$10:$J$224),0),
IF('TL02'!$B$229=O$3,SUMIF('TL02'!$C$238:$C$451,$C32,'TL02'!$J$238:$J$451),0),
IF('TL03'!$B$3=O$3,SUMIF('TL03'!$C$10:$C$224,$C32,'TL03'!$J$10:$J$224),0),
IF('TL03'!$B$229=O$3,SUMIF('TL03'!$C$238:$C$451,$C32,'TL03'!$J$238:$J$451),0),
IF('TL04'!$B$3=O$3,SUMIF('TL04'!$C$10:$C$224,$C32,'TL04'!$J$10:$J$224),0),
IF('TL04'!$B$229=O$3,SUMIF('TL04'!$C$238:$C$451,$C32,'TL04'!$J$238:$J$451),0),
IF('TL05'!$B$3=O$3,SUMIF('TL05'!$C$10:$C$224,$C32,'TL05'!$J$10:$J$224),0),
IF('TL05'!$B$229=O$3,SUMIF('TL05'!$C$238:$C$451,$C32,'TL05'!$J$238:$J$451),0),
IF('TL06'!$B$3=O$3,SUMIF('TL06'!$C$10:$C$224,$C32,'TL06'!$J$10:$J$224),0),
IF('TL06'!$B$229=O$3,SUMIF('TL06'!$C$238:$C$451,$C32,'TL06'!$J$238:$J$451),0),
IF('TL07'!$B$3=O$3,SUMIF('TL07'!$C$10:$C$224,$C32,'TL07'!$J$10:$J$224),0),
IF('TL07'!$B$229=O$3,SUMIF('TL07'!$C$238:$C$451,$C32,'TL07'!$J$238:$J$451),0),
IF('TL08'!$B$3=O$3,SUMIF('TL08'!$C$10:$C$224,$C32,'TL08'!$J$10:$J$224),0),
IF('TL08'!$B$229=O$3,SUMIF('TL08'!$C$238:$C$451,$C32,'TL08'!$J$238:$J$451),0),
IF('TL09'!$B$3=O$3,SUMIF('TL09'!$C$10:$C$224,$C32,'TL09'!$J$10:$J$224),0),
IF('TL09'!$B$229=O$3,SUMIF('TL09'!$C$238:$C$451,$C32,'TL09'!$J$238:$J$451),0),
IF('TL10'!$B$3=O$3,SUMIF('TL10'!$C$10:$C$224,$C32,'TL10'!$J$10:$J$224),0),
IF('TL10'!$B$229=O$3,SUMIF('TL10'!$C$238:$C$451,$C32,'TL10'!$J$238:$J$451),0),
IF('TL11'!$B$3=O$3,SUMIF('TL11'!$C$10:$C$224,$C32,'TL11'!$J$10:$J$224),0),
IF('TL11'!$B$229=O$3,SUMIF('TL11'!$C$238:$C$451,$C32,'TL11'!$J$238:$J$451),0),
IF('TL12'!$B$3=O$3,SUMIF('TL12'!$C$10:$C$224,$C32,'TL12'!$J$10:$J$224),0),
IF('TL12'!$B$229=O$3,SUMIF('TL12'!$C$238:$C$451,$C32,'TL12'!$J$238:$J$451),0),
IF('TL13'!$B$3=O$3,SUMIF('TL13'!$C$10:$C$224,$C32,'TL13'!$J$10:$J$224),0),
IF('TL13'!$B$229=O$3,SUMIF('TL13'!$C$238:$C$451,$C32,'TL13'!$J$238:$J$451),0),
IF('TL14'!$B$3=O$3,SUMIF('TL14'!$C$10:$C$224,$C32,'TL14'!$J$10:$J$224),0),
IF('TL14'!$B$229=O$3,SUMIF('TL14'!$C$238:$C$451,$C32,'TL14'!$J$238:$J$451),0),
IF('TL15'!$B$3=O$3,SUMIF('TL15'!$C$10:$C$224,$C32,'TL15'!$J$10:$J$224),0),
IF('TL15'!$B$229=O$3,SUMIF('TL15'!$C$238:$C$451,$C32,'TL15'!$J$238:$J$451),0),
IF('TL16'!$B$3=O$3,SUMIF('TL16'!$C$10:$C$224,$C32,'TL16'!$J$10:$J$224),0),
IF('TL16'!$B$229=O$3,SUMIF('TL16'!$C$238:$C$451,$C32,'TL16'!$J$238:$J$451),0),
IF('TL17'!$B$3=O$3,SUMIF('TL17'!$C$10:$C$224,$C32,'TL17'!$J$10:$J$224),0),
IF('TL17'!$B$229=O$3,SUMIF('TL17'!$C$238:$C$451,$C32,'TL17'!$J$238:$J$451),0),
IF('TL18'!$B$3=O$3,SUMIF('TL18'!$C$10:$C$224,$C32,'TL18'!$J$10:$J$224),0),
IF('TL18'!$B$229=O$3,SUMIF('TL18'!$C$238:$C$451,$C32,'TL18'!$J$238:$J$451),0),
IF('TL19'!$B$3=O$3,SUMIF('TL19'!$C$10:$C$224,$C32,'TL19'!$J$10:$J$224),0),
IF('TL19'!$B$229=O$3,SUMIF('TL19'!$C$238:$C$451,$C32,'TL19'!$J$238:$J$451),0)
),0)</f>
        <v/>
      </c>
      <c r="P32" s="9">
        <f>IFERROR(SUM(
IF('TL01'!$B$3=P$3,SUMIF('TL01'!$C$10:$C$224,$C32,'TL01'!$J$10:$J$224),0),
IF('TL01'!$B$229=P$3,SUMIF('TL01'!$C$238:$C$451,$C32,'TL01'!$J$238:$J$451),0),
IF('TL02'!$B$3=P$3,SUMIF('TL02'!$C$10:$C$224,$C32,'TL02'!$J$10:$J$224),0),
IF('TL02'!$B$229=P$3,SUMIF('TL02'!$C$238:$C$451,$C32,'TL02'!$J$238:$J$451),0),
IF('TL03'!$B$3=P$3,SUMIF('TL03'!$C$10:$C$224,$C32,'TL03'!$J$10:$J$224),0),
IF('TL03'!$B$229=P$3,SUMIF('TL03'!$C$238:$C$451,$C32,'TL03'!$J$238:$J$451),0),
IF('TL04'!$B$3=P$3,SUMIF('TL04'!$C$10:$C$224,$C32,'TL04'!$J$10:$J$224),0),
IF('TL04'!$B$229=P$3,SUMIF('TL04'!$C$238:$C$451,$C32,'TL04'!$J$238:$J$451),0),
IF('TL05'!$B$3=P$3,SUMIF('TL05'!$C$10:$C$224,$C32,'TL05'!$J$10:$J$224),0),
IF('TL05'!$B$229=P$3,SUMIF('TL05'!$C$238:$C$451,$C32,'TL05'!$J$238:$J$451),0),
IF('TL06'!$B$3=P$3,SUMIF('TL06'!$C$10:$C$224,$C32,'TL06'!$J$10:$J$224),0),
IF('TL06'!$B$229=P$3,SUMIF('TL06'!$C$238:$C$451,$C32,'TL06'!$J$238:$J$451),0),
IF('TL07'!$B$3=P$3,SUMIF('TL07'!$C$10:$C$224,$C32,'TL07'!$J$10:$J$224),0),
IF('TL07'!$B$229=P$3,SUMIF('TL07'!$C$238:$C$451,$C32,'TL07'!$J$238:$J$451),0),
IF('TL08'!$B$3=P$3,SUMIF('TL08'!$C$10:$C$224,$C32,'TL08'!$J$10:$J$224),0),
IF('TL08'!$B$229=P$3,SUMIF('TL08'!$C$238:$C$451,$C32,'TL08'!$J$238:$J$451),0),
IF('TL09'!$B$3=P$3,SUMIF('TL09'!$C$10:$C$224,$C32,'TL09'!$J$10:$J$224),0),
IF('TL09'!$B$229=P$3,SUMIF('TL09'!$C$238:$C$451,$C32,'TL09'!$J$238:$J$451),0),
IF('TL10'!$B$3=P$3,SUMIF('TL10'!$C$10:$C$224,$C32,'TL10'!$J$10:$J$224),0),
IF('TL10'!$B$229=P$3,SUMIF('TL10'!$C$238:$C$451,$C32,'TL10'!$J$238:$J$451),0),
IF('TL11'!$B$3=P$3,SUMIF('TL11'!$C$10:$C$224,$C32,'TL11'!$J$10:$J$224),0),
IF('TL11'!$B$229=P$3,SUMIF('TL11'!$C$238:$C$451,$C32,'TL11'!$J$238:$J$451),0),
IF('TL12'!$B$3=P$3,SUMIF('TL12'!$C$10:$C$224,$C32,'TL12'!$J$10:$J$224),0),
IF('TL12'!$B$229=P$3,SUMIF('TL12'!$C$238:$C$451,$C32,'TL12'!$J$238:$J$451),0),
IF('TL13'!$B$3=P$3,SUMIF('TL13'!$C$10:$C$224,$C32,'TL13'!$J$10:$J$224),0),
IF('TL13'!$B$229=P$3,SUMIF('TL13'!$C$238:$C$451,$C32,'TL13'!$J$238:$J$451),0),
IF('TL14'!$B$3=P$3,SUMIF('TL14'!$C$10:$C$224,$C32,'TL14'!$J$10:$J$224),0),
IF('TL14'!$B$229=P$3,SUMIF('TL14'!$C$238:$C$451,$C32,'TL14'!$J$238:$J$451),0),
IF('TL15'!$B$3=P$3,SUMIF('TL15'!$C$10:$C$224,$C32,'TL15'!$J$10:$J$224),0),
IF('TL15'!$B$229=P$3,SUMIF('TL15'!$C$238:$C$451,$C32,'TL15'!$J$238:$J$451),0),
IF('TL16'!$B$3=P$3,SUMIF('TL16'!$C$10:$C$224,$C32,'TL16'!$J$10:$J$224),0),
IF('TL16'!$B$229=P$3,SUMIF('TL16'!$C$238:$C$451,$C32,'TL16'!$J$238:$J$451),0),
IF('TL17'!$B$3=P$3,SUMIF('TL17'!$C$10:$C$224,$C32,'TL17'!$J$10:$J$224),0),
IF('TL17'!$B$229=P$3,SUMIF('TL17'!$C$238:$C$451,$C32,'TL17'!$J$238:$J$451),0),
IF('TL18'!$B$3=P$3,SUMIF('TL18'!$C$10:$C$224,$C32,'TL18'!$J$10:$J$224),0),
IF('TL18'!$B$229=P$3,SUMIF('TL18'!$C$238:$C$451,$C32,'TL18'!$J$238:$J$451),0),
IF('TL19'!$B$3=P$3,SUMIF('TL19'!$C$10:$C$224,$C32,'TL19'!$J$10:$J$224),0),
IF('TL19'!$B$229=P$3,SUMIF('TL19'!$C$238:$C$451,$C32,'TL19'!$J$238:$J$451),0)
),0)</f>
        <v/>
      </c>
      <c r="Q32" s="9">
        <f>IFERROR(SUM(
IF('TL01'!$B$3=Q$3,SUMIF('TL01'!$C$10:$C$224,$C32,'TL01'!$J$10:$J$224),0),
IF('TL01'!$B$229=Q$3,SUMIF('TL01'!$C$238:$C$451,$C32,'TL01'!$J$238:$J$451),0),
IF('TL02'!$B$3=Q$3,SUMIF('TL02'!$C$10:$C$224,$C32,'TL02'!$J$10:$J$224),0),
IF('TL02'!$B$229=Q$3,SUMIF('TL02'!$C$238:$C$451,$C32,'TL02'!$J$238:$J$451),0),
IF('TL03'!$B$3=Q$3,SUMIF('TL03'!$C$10:$C$224,$C32,'TL03'!$J$10:$J$224),0),
IF('TL03'!$B$229=Q$3,SUMIF('TL03'!$C$238:$C$451,$C32,'TL03'!$J$238:$J$451),0),
IF('TL04'!$B$3=Q$3,SUMIF('TL04'!$C$10:$C$224,$C32,'TL04'!$J$10:$J$224),0),
IF('TL04'!$B$229=Q$3,SUMIF('TL04'!$C$238:$C$451,$C32,'TL04'!$J$238:$J$451),0),
IF('TL05'!$B$3=Q$3,SUMIF('TL05'!$C$10:$C$224,$C32,'TL05'!$J$10:$J$224),0),
IF('TL05'!$B$229=Q$3,SUMIF('TL05'!$C$238:$C$451,$C32,'TL05'!$J$238:$J$451),0),
IF('TL06'!$B$3=Q$3,SUMIF('TL06'!$C$10:$C$224,$C32,'TL06'!$J$10:$J$224),0),
IF('TL06'!$B$229=Q$3,SUMIF('TL06'!$C$238:$C$451,$C32,'TL06'!$J$238:$J$451),0),
IF('TL07'!$B$3=Q$3,SUMIF('TL07'!$C$10:$C$224,$C32,'TL07'!$J$10:$J$224),0),
IF('TL07'!$B$229=Q$3,SUMIF('TL07'!$C$238:$C$451,$C32,'TL07'!$J$238:$J$451),0),
IF('TL08'!$B$3=Q$3,SUMIF('TL08'!$C$10:$C$224,$C32,'TL08'!$J$10:$J$224),0),
IF('TL08'!$B$229=Q$3,SUMIF('TL08'!$C$238:$C$451,$C32,'TL08'!$J$238:$J$451),0),
IF('TL09'!$B$3=Q$3,SUMIF('TL09'!$C$10:$C$224,$C32,'TL09'!$J$10:$J$224),0),
IF('TL09'!$B$229=Q$3,SUMIF('TL09'!$C$238:$C$451,$C32,'TL09'!$J$238:$J$451),0),
IF('TL10'!$B$3=Q$3,SUMIF('TL10'!$C$10:$C$224,$C32,'TL10'!$J$10:$J$224),0),
IF('TL10'!$B$229=Q$3,SUMIF('TL10'!$C$238:$C$451,$C32,'TL10'!$J$238:$J$451),0),
IF('TL11'!$B$3=Q$3,SUMIF('TL11'!$C$10:$C$224,$C32,'TL11'!$J$10:$J$224),0),
IF('TL11'!$B$229=Q$3,SUMIF('TL11'!$C$238:$C$451,$C32,'TL11'!$J$238:$J$451),0),
IF('TL12'!$B$3=Q$3,SUMIF('TL12'!$C$10:$C$224,$C32,'TL12'!$J$10:$J$224),0),
IF('TL12'!$B$229=Q$3,SUMIF('TL12'!$C$238:$C$451,$C32,'TL12'!$J$238:$J$451),0),
IF('TL13'!$B$3=Q$3,SUMIF('TL13'!$C$10:$C$224,$C32,'TL13'!$J$10:$J$224),0),
IF('TL13'!$B$229=Q$3,SUMIF('TL13'!$C$238:$C$451,$C32,'TL13'!$J$238:$J$451),0),
IF('TL14'!$B$3=Q$3,SUMIF('TL14'!$C$10:$C$224,$C32,'TL14'!$J$10:$J$224),0),
IF('TL14'!$B$229=Q$3,SUMIF('TL14'!$C$238:$C$451,$C32,'TL14'!$J$238:$J$451),0),
IF('TL15'!$B$3=Q$3,SUMIF('TL15'!$C$10:$C$224,$C32,'TL15'!$J$10:$J$224),0),
IF('TL15'!$B$229=Q$3,SUMIF('TL15'!$C$238:$C$451,$C32,'TL15'!$J$238:$J$451),0),
IF('TL16'!$B$3=Q$3,SUMIF('TL16'!$C$10:$C$224,$C32,'TL16'!$J$10:$J$224),0),
IF('TL16'!$B$229=Q$3,SUMIF('TL16'!$C$238:$C$451,$C32,'TL16'!$J$238:$J$451),0),
IF('TL17'!$B$3=Q$3,SUMIF('TL17'!$C$10:$C$224,$C32,'TL17'!$J$10:$J$224),0),
IF('TL17'!$B$229=Q$3,SUMIF('TL17'!$C$238:$C$451,$C32,'TL17'!$J$238:$J$451),0),
IF('TL18'!$B$3=Q$3,SUMIF('TL18'!$C$10:$C$224,$C32,'TL18'!$J$10:$J$224),0),
IF('TL18'!$B$229=Q$3,SUMIF('TL18'!$C$238:$C$451,$C32,'TL18'!$J$238:$J$451),0),
IF('TL19'!$B$3=Q$3,SUMIF('TL19'!$C$10:$C$224,$C32,'TL19'!$J$10:$J$224),0),
IF('TL19'!$B$229=Q$3,SUMIF('TL19'!$C$238:$C$451,$C32,'TL19'!$J$238:$J$451),0)
),0)</f>
        <v/>
      </c>
      <c r="R32" s="9">
        <f>IFERROR(
SUM(
SUMIF('TL01'!C:C,C32,'TL01'!J:J),
SUMIF('TL02'!C:C,C32,'TL02'!J:J),
SUMIF('TL03'!C:C,C32,'TL03'!J:J),
SUMIF('TL04'!C:C,C32,'TL04'!J:J),
SUMIF('TL05'!C:C,C32,'TL05'!J:J),
SUMIF('TL06'!C:C,C32,'TL06'!J:J),
SUMIF('TL07'!C:C,C32,'TL07'!J:J),
SUMIF('TL08'!C:C,C32,'TL08'!J:J),
SUMIF('TL09'!C:C,C32,'TL09'!J:J),
SUMIF('TL10'!C:C,C32,'TL10'!J:J),
SUMIF('TL11'!C:C,C32,'TL11'!J:J),
SUMIF('TL12'!C:C,C32,'TL12'!J:J),
SUMIF('TL13'!C:C,C32,'TL13'!J:J),
SUMIF('TL14'!C:C,C32,'TL14'!J:J),
SUMIF('TL15'!C:C,C32,'TL15'!J:J),
SUMIF('TL16'!C:C,C32,'TL16'!J:J),
SUMIF('TL17'!C:C,C32,'TL17'!J:J),
SUMIF('TL18'!C:C,C32,'TL18'!J:J),SUMIF('TL19'!C:C,C32,'TL19'!J:J))
,0)</f>
        <v/>
      </c>
      <c r="S32" s="17">
        <f>IFERROR(__xludf.DUMMYFUNCTION("IFERROR(VLOOKUP(C32,
IMPORTRANGE(""1wULbzX32WdYsx-lj2U3uUNBBe2INVIRDtcK0d-Dvl90"",
""26-27!C:G""),
5,
FALSE),
"""")"),"")</f>
        <v/>
      </c>
      <c r="T32" s="9" t="n"/>
      <c r="U32" s="92">
        <f>MAX(0,R32-T32)</f>
        <v/>
      </c>
      <c r="V32" s="93">
        <f>U32*S32</f>
        <v/>
      </c>
    </row>
    <row r="33" hidden="1" ht="22.5" customHeight="1" s="297">
      <c r="A33" s="106" t="n"/>
      <c r="B33" s="107" t="inlineStr">
        <is>
          <t>FERTILIZANTES</t>
        </is>
      </c>
      <c r="C33" s="108" t="inlineStr">
        <is>
          <t>SULFATO DE AMÔNIO</t>
        </is>
      </c>
      <c r="D33" s="108" t="inlineStr">
        <is>
          <t>N 22</t>
        </is>
      </c>
      <c r="E33" s="109" t="n"/>
      <c r="F33" s="4" t="inlineStr">
        <is>
          <t>Ton</t>
        </is>
      </c>
      <c r="G33" s="9" t="n"/>
      <c r="H33" s="9">
        <f>IFERROR(__xludf.DUMMYFUNCTION("IFERROR(VLOOKUP(C33,
IMPORTRANGE(""1wULbzX32WdYsx-lj2U3uUNBBe2INVIRDtcK0d-Dvl90"",
""26-27!C:K""),
8,
FALSE),
"""")"),"")</f>
        <v/>
      </c>
      <c r="I33" s="110" t="n"/>
      <c r="J33" s="9">
        <f>IFERROR(SUM(
IF('TL01'!$B$3=J$3,SUMIF('TL01'!$C$10:$C$224,$C33,'TL01'!$J$10:$J$224),0),
IF('TL01'!$B$229=J$3,SUMIF('TL01'!$C$238:$C$451,$C33,'TL01'!$J$238:$J$451),0),
IF('TL02'!$B$3=J$3,SUMIF('TL02'!$C$10:$C$224,$C33,'TL02'!$J$10:$J$224),0),
IF('TL02'!$B$229=J$3,SUMIF('TL02'!$C$238:$C$451,$C33,'TL02'!$J$238:$J$451),0),
IF('TL03'!$B$3=J$3,SUMIF('TL03'!$C$10:$C$224,$C33,'TL03'!$J$10:$J$224),0),
IF('TL03'!$B$229=J$3,SUMIF('TL03'!$C$238:$C$451,$C33,'TL03'!$J$238:$J$451),0),
IF('TL04'!$B$3=J$3,SUMIF('TL04'!$C$10:$C$224,$C33,'TL04'!$J$10:$J$224),0),
IF('TL04'!$B$229=J$3,SUMIF('TL04'!$C$238:$C$451,$C33,'TL04'!$J$238:$J$451),0),
IF('TL05'!$B$3=J$3,SUMIF('TL05'!$C$10:$C$224,$C33,'TL05'!$J$10:$J$224),0),
IF('TL05'!$B$229=J$3,SUMIF('TL05'!$C$238:$C$451,$C33,'TL05'!$J$238:$J$451),0),
IF('TL06'!$B$3=J$3,SUMIF('TL06'!$C$10:$C$224,$C33,'TL06'!$J$10:$J$224),0),
IF('TL06'!$B$229=J$3,SUMIF('TL06'!$C$238:$C$451,$C33,'TL06'!$J$238:$J$451),0),
IF('TL07'!$B$3=J$3,SUMIF('TL07'!$C$10:$C$224,$C33,'TL07'!$J$10:$J$224),0),
IF('TL07'!$B$229=J$3,SUMIF('TL07'!$C$238:$C$451,$C33,'TL07'!$J$238:$J$451),0),
IF('TL08'!$B$3=J$3,SUMIF('TL08'!$C$10:$C$224,$C33,'TL08'!$J$10:$J$224),0),
IF('TL08'!$B$229=J$3,SUMIF('TL08'!$C$238:$C$451,$C33,'TL08'!$J$238:$J$451),0),
IF('TL09'!$B$3=J$3,SUMIF('TL09'!$C$10:$C$224,$C33,'TL09'!$J$10:$J$224),0),
IF('TL09'!$B$229=J$3,SUMIF('TL09'!$C$238:$C$451,$C33,'TL09'!$J$238:$J$451),0),
IF('TL10'!$B$3=J$3,SUMIF('TL10'!$C$10:$C$224,$C33,'TL10'!$J$10:$J$224),0),
IF('TL10'!$B$229=J$3,SUMIF('TL10'!$C$238:$C$451,$C33,'TL10'!$J$238:$J$451),0),
IF('TL11'!$B$3=J$3,SUMIF('TL11'!$C$10:$C$224,$C33,'TL11'!$J$10:$J$224),0),
IF('TL11'!$B$229=J$3,SUMIF('TL11'!$C$238:$C$451,$C33,'TL11'!$J$238:$J$451),0),
IF('TL12'!$B$3=J$3,SUMIF('TL12'!$C$10:$C$224,$C33,'TL12'!$J$10:$J$224),0),
IF('TL12'!$B$229=J$3,SUMIF('TL12'!$C$238:$C$451,$C33,'TL12'!$J$238:$J$451),0),
IF('TL13'!$B$3=J$3,SUMIF('TL13'!$C$10:$C$224,$C33,'TL13'!$J$10:$J$224),0),
IF('TL13'!$B$229=J$3,SUMIF('TL13'!$C$238:$C$451,$C33,'TL13'!$J$238:$J$451),0),
IF('TL14'!$B$3=J$3,SUMIF('TL14'!$C$10:$C$224,$C33,'TL14'!$J$10:$J$224),0),
IF('TL14'!$B$229=J$3,SUMIF('TL14'!$C$238:$C$451,$C33,'TL14'!$J$238:$J$451),0),
IF('TL15'!$B$3=J$3,SUMIF('TL15'!$C$10:$C$224,$C33,'TL15'!$J$10:$J$224),0),
IF('TL15'!$B$229=J$3,SUMIF('TL15'!$C$238:$C$451,$C33,'TL15'!$J$238:$J$451),0),
IF('TL16'!$B$3=J$3,SUMIF('TL16'!$C$10:$C$224,$C33,'TL16'!$J$10:$J$224),0),
IF('TL16'!$B$229=J$3,SUMIF('TL16'!$C$238:$C$451,$C33,'TL16'!$J$238:$J$451),0),
IF('TL17'!$B$3=J$3,SUMIF('TL17'!$C$10:$C$224,$C33,'TL17'!$J$10:$J$224),0),
IF('TL17'!$B$229=J$3,SUMIF('TL17'!$C$238:$C$451,$C33,'TL17'!$J$238:$J$451),0),
IF('TL18'!$B$3=J$3,SUMIF('TL18'!$C$10:$C$224,$C33,'TL18'!$J$10:$J$224),0),
IF('TL18'!$B$229=J$3,SUMIF('TL18'!$C$238:$C$451,$C33,'TL18'!$J$238:$J$451),0),
IF('TL19'!$B$3=J$3,SUMIF('TL19'!$C$10:$C$224,$C33,'TL19'!$J$10:$J$224),0),
IF('TL19'!$B$229=J$3,SUMIF('TL19'!$C$238:$C$451,$C33,'TL19'!$J$238:$J$451),0)
),0)</f>
        <v/>
      </c>
      <c r="K33" s="9">
        <f>IFERROR(SUM(
IF('TL01'!$B$3=K$3,SUMIF('TL01'!$C$10:$C$224,$C33,'TL01'!$J$10:$J$224),0),
IF('TL01'!$B$229=K$3,SUMIF('TL01'!$C$238:$C$451,$C33,'TL01'!$J$238:$J$451),0),
IF('TL02'!$B$3=K$3,SUMIF('TL02'!$C$10:$C$224,$C33,'TL02'!$J$10:$J$224),0),
IF('TL02'!$B$229=K$3,SUMIF('TL02'!$C$238:$C$451,$C33,'TL02'!$J$238:$J$451),0),
IF('TL03'!$B$3=K$3,SUMIF('TL03'!$C$10:$C$224,$C33,'TL03'!$J$10:$J$224),0),
IF('TL03'!$B$229=K$3,SUMIF('TL03'!$C$238:$C$451,$C33,'TL03'!$J$238:$J$451),0),
IF('TL04'!$B$3=K$3,SUMIF('TL04'!$C$10:$C$224,$C33,'TL04'!$J$10:$J$224),0),
IF('TL04'!$B$229=K$3,SUMIF('TL04'!$C$238:$C$451,$C33,'TL04'!$J$238:$J$451),0),
IF('TL05'!$B$3=K$3,SUMIF('TL05'!$C$10:$C$224,$C33,'TL05'!$J$10:$J$224),0),
IF('TL05'!$B$229=K$3,SUMIF('TL05'!$C$238:$C$451,$C33,'TL05'!$J$238:$J$451),0),
IF('TL06'!$B$3=K$3,SUMIF('TL06'!$C$10:$C$224,$C33,'TL06'!$J$10:$J$224),0),
IF('TL06'!$B$229=K$3,SUMIF('TL06'!$C$238:$C$451,$C33,'TL06'!$J$238:$J$451),0),
IF('TL07'!$B$3=K$3,SUMIF('TL07'!$C$10:$C$224,$C33,'TL07'!$J$10:$J$224),0),
IF('TL07'!$B$229=K$3,SUMIF('TL07'!$C$238:$C$451,$C33,'TL07'!$J$238:$J$451),0),
IF('TL08'!$B$3=K$3,SUMIF('TL08'!$C$10:$C$224,$C33,'TL08'!$J$10:$J$224),0),
IF('TL08'!$B$229=K$3,SUMIF('TL08'!$C$238:$C$451,$C33,'TL08'!$J$238:$J$451),0),
IF('TL09'!$B$3=K$3,SUMIF('TL09'!$C$10:$C$224,$C33,'TL09'!$J$10:$J$224),0),
IF('TL09'!$B$229=K$3,SUMIF('TL09'!$C$238:$C$451,$C33,'TL09'!$J$238:$J$451),0),
IF('TL10'!$B$3=K$3,SUMIF('TL10'!$C$10:$C$224,$C33,'TL10'!$J$10:$J$224),0),
IF('TL10'!$B$229=K$3,SUMIF('TL10'!$C$238:$C$451,$C33,'TL10'!$J$238:$J$451),0),
IF('TL11'!$B$3=K$3,SUMIF('TL11'!$C$10:$C$224,$C33,'TL11'!$J$10:$J$224),0),
IF('TL11'!$B$229=K$3,SUMIF('TL11'!$C$238:$C$451,$C33,'TL11'!$J$238:$J$451),0),
IF('TL12'!$B$3=K$3,SUMIF('TL12'!$C$10:$C$224,$C33,'TL12'!$J$10:$J$224),0),
IF('TL12'!$B$229=K$3,SUMIF('TL12'!$C$238:$C$451,$C33,'TL12'!$J$238:$J$451),0),
IF('TL13'!$B$3=K$3,SUMIF('TL13'!$C$10:$C$224,$C33,'TL13'!$J$10:$J$224),0),
IF('TL13'!$B$229=K$3,SUMIF('TL13'!$C$238:$C$451,$C33,'TL13'!$J$238:$J$451),0),
IF('TL14'!$B$3=K$3,SUMIF('TL14'!$C$10:$C$224,$C33,'TL14'!$J$10:$J$224),0),
IF('TL14'!$B$229=K$3,SUMIF('TL14'!$C$238:$C$451,$C33,'TL14'!$J$238:$J$451),0),
IF('TL15'!$B$3=K$3,SUMIF('TL15'!$C$10:$C$224,$C33,'TL15'!$J$10:$J$224),0),
IF('TL15'!$B$229=K$3,SUMIF('TL15'!$C$238:$C$451,$C33,'TL15'!$J$238:$J$451),0),
IF('TL16'!$B$3=K$3,SUMIF('TL16'!$C$10:$C$224,$C33,'TL16'!$J$10:$J$224),0),
IF('TL16'!$B$229=K$3,SUMIF('TL16'!$C$238:$C$451,$C33,'TL16'!$J$238:$J$451),0),
IF('TL17'!$B$3=K$3,SUMIF('TL17'!$C$10:$C$224,$C33,'TL17'!$J$10:$J$224),0),
IF('TL17'!$B$229=K$3,SUMIF('TL17'!$C$238:$C$451,$C33,'TL17'!$J$238:$J$451),0),
IF('TL18'!$B$3=K$3,SUMIF('TL18'!$C$10:$C$224,$C33,'TL18'!$J$10:$J$224),0),
IF('TL18'!$B$229=K$3,SUMIF('TL18'!$C$238:$C$451,$C33,'TL18'!$J$238:$J$451),0),
IF('TL19'!$B$3=K$3,SUMIF('TL19'!$C$10:$C$224,$C33,'TL19'!$J$10:$J$224),0),
IF('TL19'!$B$229=K$3,SUMIF('TL19'!$C$238:$C$451,$C33,'TL19'!$J$238:$J$451),0)
),0)</f>
        <v/>
      </c>
      <c r="L33" s="9">
        <f>IFERROR(SUM(
IF('TL01'!$B$3=L$3,SUMIF('TL01'!$C$10:$C$224,$C33,'TL01'!$J$10:$J$224),0),
IF('TL01'!$B$229=L$3,SUMIF('TL01'!$C$238:$C$451,$C33,'TL01'!$J$238:$J$451),0),
IF('TL02'!$B$3=L$3,SUMIF('TL02'!$C$10:$C$224,$C33,'TL02'!$J$10:$J$224),0),
IF('TL02'!$B$229=L$3,SUMIF('TL02'!$C$238:$C$451,$C33,'TL02'!$J$238:$J$451),0),
IF('TL03'!$B$3=L$3,SUMIF('TL03'!$C$10:$C$224,$C33,'TL03'!$J$10:$J$224),0),
IF('TL03'!$B$229=L$3,SUMIF('TL03'!$C$238:$C$451,$C33,'TL03'!$J$238:$J$451),0),
IF('TL04'!$B$3=L$3,SUMIF('TL04'!$C$10:$C$224,$C33,'TL04'!$J$10:$J$224),0),
IF('TL04'!$B$229=L$3,SUMIF('TL04'!$C$238:$C$451,$C33,'TL04'!$J$238:$J$451),0),
IF('TL05'!$B$3=L$3,SUMIF('TL05'!$C$10:$C$224,$C33,'TL05'!$J$10:$J$224),0),
IF('TL05'!$B$229=L$3,SUMIF('TL05'!$C$238:$C$451,$C33,'TL05'!$J$238:$J$451),0),
IF('TL06'!$B$3=L$3,SUMIF('TL06'!$C$10:$C$224,$C33,'TL06'!$J$10:$J$224),0),
IF('TL06'!$B$229=L$3,SUMIF('TL06'!$C$238:$C$451,$C33,'TL06'!$J$238:$J$451),0),
IF('TL07'!$B$3=L$3,SUMIF('TL07'!$C$10:$C$224,$C33,'TL07'!$J$10:$J$224),0),
IF('TL07'!$B$229=L$3,SUMIF('TL07'!$C$238:$C$451,$C33,'TL07'!$J$238:$J$451),0),
IF('TL08'!$B$3=L$3,SUMIF('TL08'!$C$10:$C$224,$C33,'TL08'!$J$10:$J$224),0),
IF('TL08'!$B$229=L$3,SUMIF('TL08'!$C$238:$C$451,$C33,'TL08'!$J$238:$J$451),0),
IF('TL09'!$B$3=L$3,SUMIF('TL09'!$C$10:$C$224,$C33,'TL09'!$J$10:$J$224),0),
IF('TL09'!$B$229=L$3,SUMIF('TL09'!$C$238:$C$451,$C33,'TL09'!$J$238:$J$451),0),
IF('TL10'!$B$3=L$3,SUMIF('TL10'!$C$10:$C$224,$C33,'TL10'!$J$10:$J$224),0),
IF('TL10'!$B$229=L$3,SUMIF('TL10'!$C$238:$C$451,$C33,'TL10'!$J$238:$J$451),0),
IF('TL11'!$B$3=L$3,SUMIF('TL11'!$C$10:$C$224,$C33,'TL11'!$J$10:$J$224),0),
IF('TL11'!$B$229=L$3,SUMIF('TL11'!$C$238:$C$451,$C33,'TL11'!$J$238:$J$451),0),
IF('TL12'!$B$3=L$3,SUMIF('TL12'!$C$10:$C$224,$C33,'TL12'!$J$10:$J$224),0),
IF('TL12'!$B$229=L$3,SUMIF('TL12'!$C$238:$C$451,$C33,'TL12'!$J$238:$J$451),0),
IF('TL13'!$B$3=L$3,SUMIF('TL13'!$C$10:$C$224,$C33,'TL13'!$J$10:$J$224),0),
IF('TL13'!$B$229=L$3,SUMIF('TL13'!$C$238:$C$451,$C33,'TL13'!$J$238:$J$451),0),
IF('TL14'!$B$3=L$3,SUMIF('TL14'!$C$10:$C$224,$C33,'TL14'!$J$10:$J$224),0),
IF('TL14'!$B$229=L$3,SUMIF('TL14'!$C$238:$C$451,$C33,'TL14'!$J$238:$J$451),0),
IF('TL15'!$B$3=L$3,SUMIF('TL15'!$C$10:$C$224,$C33,'TL15'!$J$10:$J$224),0),
IF('TL15'!$B$229=L$3,SUMIF('TL15'!$C$238:$C$451,$C33,'TL15'!$J$238:$J$451),0),
IF('TL16'!$B$3=L$3,SUMIF('TL16'!$C$10:$C$224,$C33,'TL16'!$J$10:$J$224),0),
IF('TL16'!$B$229=L$3,SUMIF('TL16'!$C$238:$C$451,$C33,'TL16'!$J$238:$J$451),0),
IF('TL17'!$B$3=L$3,SUMIF('TL17'!$C$10:$C$224,$C33,'TL17'!$J$10:$J$224),0),
IF('TL17'!$B$229=L$3,SUMIF('TL17'!$C$238:$C$451,$C33,'TL17'!$J$238:$J$451),0),
IF('TL18'!$B$3=L$3,SUMIF('TL18'!$C$10:$C$224,$C33,'TL18'!$J$10:$J$224),0),
IF('TL18'!$B$229=L$3,SUMIF('TL18'!$C$238:$C$451,$C33,'TL18'!$J$238:$J$451),0),
IF('TL19'!$B$3=L$3,SUMIF('TL19'!$C$10:$C$224,$C33,'TL19'!$J$10:$J$224),0),
IF('TL19'!$B$229=L$3,SUMIF('TL19'!$C$238:$C$451,$C33,'TL19'!$J$238:$J$451),0)
),0)</f>
        <v/>
      </c>
      <c r="M33" s="9">
        <f>IFERROR(SUM(
IF('TL01'!$B$3=M$3,SUMIF('TL01'!$C$10:$C$224,$C33,'TL01'!$J$10:$J$224),0),
IF('TL01'!$B$229=M$3,SUMIF('TL01'!$C$238:$C$451,$C33,'TL01'!$J$238:$J$451),0),
IF('TL02'!$B$3=M$3,SUMIF('TL02'!$C$10:$C$224,$C33,'TL02'!$J$10:$J$224),0),
IF('TL02'!$B$229=M$3,SUMIF('TL02'!$C$238:$C$451,$C33,'TL02'!$J$238:$J$451),0),
IF('TL03'!$B$3=M$3,SUMIF('TL03'!$C$10:$C$224,$C33,'TL03'!$J$10:$J$224),0),
IF('TL03'!$B$229=M$3,SUMIF('TL03'!$C$238:$C$451,$C33,'TL03'!$J$238:$J$451),0),
IF('TL04'!$B$3=M$3,SUMIF('TL04'!$C$10:$C$224,$C33,'TL04'!$J$10:$J$224),0),
IF('TL04'!$B$229=M$3,SUMIF('TL04'!$C$238:$C$451,$C33,'TL04'!$J$238:$J$451),0),
IF('TL05'!$B$3=M$3,SUMIF('TL05'!$C$10:$C$224,$C33,'TL05'!$J$10:$J$224),0),
IF('TL05'!$B$229=M$3,SUMIF('TL05'!$C$238:$C$451,$C33,'TL05'!$J$238:$J$451),0),
IF('TL06'!$B$3=M$3,SUMIF('TL06'!$C$10:$C$224,$C33,'TL06'!$J$10:$J$224),0),
IF('TL06'!$B$229=M$3,SUMIF('TL06'!$C$238:$C$451,$C33,'TL06'!$J$238:$J$451),0),
IF('TL07'!$B$3=M$3,SUMIF('TL07'!$C$10:$C$224,$C33,'TL07'!$J$10:$J$224),0),
IF('TL07'!$B$229=M$3,SUMIF('TL07'!$C$238:$C$451,$C33,'TL07'!$J$238:$J$451),0),
IF('TL08'!$B$3=M$3,SUMIF('TL08'!$C$10:$C$224,$C33,'TL08'!$J$10:$J$224),0),
IF('TL08'!$B$229=M$3,SUMIF('TL08'!$C$238:$C$451,$C33,'TL08'!$J$238:$J$451),0),
IF('TL09'!$B$3=M$3,SUMIF('TL09'!$C$10:$C$224,$C33,'TL09'!$J$10:$J$224),0),
IF('TL09'!$B$229=M$3,SUMIF('TL09'!$C$238:$C$451,$C33,'TL09'!$J$238:$J$451),0),
IF('TL10'!$B$3=M$3,SUMIF('TL10'!$C$10:$C$224,$C33,'TL10'!$J$10:$J$224),0),
IF('TL10'!$B$229=M$3,SUMIF('TL10'!$C$238:$C$451,$C33,'TL10'!$J$238:$J$451),0),
IF('TL11'!$B$3=M$3,SUMIF('TL11'!$C$10:$C$224,$C33,'TL11'!$J$10:$J$224),0),
IF('TL11'!$B$229=M$3,SUMIF('TL11'!$C$238:$C$451,$C33,'TL11'!$J$238:$J$451),0),
IF('TL12'!$B$3=M$3,SUMIF('TL12'!$C$10:$C$224,$C33,'TL12'!$J$10:$J$224),0),
IF('TL12'!$B$229=M$3,SUMIF('TL12'!$C$238:$C$451,$C33,'TL12'!$J$238:$J$451),0),
IF('TL13'!$B$3=M$3,SUMIF('TL13'!$C$10:$C$224,$C33,'TL13'!$J$10:$J$224),0),
IF('TL13'!$B$229=M$3,SUMIF('TL13'!$C$238:$C$451,$C33,'TL13'!$J$238:$J$451),0),
IF('TL14'!$B$3=M$3,SUMIF('TL14'!$C$10:$C$224,$C33,'TL14'!$J$10:$J$224),0),
IF('TL14'!$B$229=M$3,SUMIF('TL14'!$C$238:$C$451,$C33,'TL14'!$J$238:$J$451),0),
IF('TL15'!$B$3=M$3,SUMIF('TL15'!$C$10:$C$224,$C33,'TL15'!$J$10:$J$224),0),
IF('TL15'!$B$229=M$3,SUMIF('TL15'!$C$238:$C$451,$C33,'TL15'!$J$238:$J$451),0),
IF('TL16'!$B$3=M$3,SUMIF('TL16'!$C$10:$C$224,$C33,'TL16'!$J$10:$J$224),0),
IF('TL16'!$B$229=M$3,SUMIF('TL16'!$C$238:$C$451,$C33,'TL16'!$J$238:$J$451),0),
IF('TL17'!$B$3=M$3,SUMIF('TL17'!$C$10:$C$224,$C33,'TL17'!$J$10:$J$224),0),
IF('TL17'!$B$229=M$3,SUMIF('TL17'!$C$238:$C$451,$C33,'TL17'!$J$238:$J$451),0),
IF('TL18'!$B$3=M$3,SUMIF('TL18'!$C$10:$C$224,$C33,'TL18'!$J$10:$J$224),0),
IF('TL18'!$B$229=M$3,SUMIF('TL18'!$C$238:$C$451,$C33,'TL18'!$J$238:$J$451),0),
IF('TL19'!$B$3=M$3,SUMIF('TL19'!$C$10:$C$224,$C33,'TL19'!$J$10:$J$224),0),
IF('TL19'!$B$229=M$3,SUMIF('TL19'!$C$238:$C$451,$C33,'TL19'!$J$238:$J$451),0)
),0)</f>
        <v/>
      </c>
      <c r="N33" s="9">
        <f>IFERROR(SUM(
IF('TL01'!$B$3=N$3,SUMIF('TL01'!$C$10:$C$224,$C33,'TL01'!$J$10:$J$224),0),
IF('TL01'!$B$229=N$3,SUMIF('TL01'!$C$238:$C$451,$C33,'TL01'!$J$238:$J$451),0),
IF('TL02'!$B$3=N$3,SUMIF('TL02'!$C$10:$C$224,$C33,'TL02'!$J$10:$J$224),0),
IF('TL02'!$B$229=N$3,SUMIF('TL02'!$C$238:$C$451,$C33,'TL02'!$J$238:$J$451),0),
IF('TL03'!$B$3=N$3,SUMIF('TL03'!$C$10:$C$224,$C33,'TL03'!$J$10:$J$224),0),
IF('TL03'!$B$229=N$3,SUMIF('TL03'!$C$238:$C$451,$C33,'TL03'!$J$238:$J$451),0),
IF('TL04'!$B$3=N$3,SUMIF('TL04'!$C$10:$C$224,$C33,'TL04'!$J$10:$J$224),0),
IF('TL04'!$B$229=N$3,SUMIF('TL04'!$C$238:$C$451,$C33,'TL04'!$J$238:$J$451),0),
IF('TL05'!$B$3=N$3,SUMIF('TL05'!$C$10:$C$224,$C33,'TL05'!$J$10:$J$224),0),
IF('TL05'!$B$229=N$3,SUMIF('TL05'!$C$238:$C$451,$C33,'TL05'!$J$238:$J$451),0),
IF('TL06'!$B$3=N$3,SUMIF('TL06'!$C$10:$C$224,$C33,'TL06'!$J$10:$J$224),0),
IF('TL06'!$B$229=N$3,SUMIF('TL06'!$C$238:$C$451,$C33,'TL06'!$J$238:$J$451),0),
IF('TL07'!$B$3=N$3,SUMIF('TL07'!$C$10:$C$224,$C33,'TL07'!$J$10:$J$224),0),
IF('TL07'!$B$229=N$3,SUMIF('TL07'!$C$238:$C$451,$C33,'TL07'!$J$238:$J$451),0),
IF('TL08'!$B$3=N$3,SUMIF('TL08'!$C$10:$C$224,$C33,'TL08'!$J$10:$J$224),0),
IF('TL08'!$B$229=N$3,SUMIF('TL08'!$C$238:$C$451,$C33,'TL08'!$J$238:$J$451),0),
IF('TL09'!$B$3=N$3,SUMIF('TL09'!$C$10:$C$224,$C33,'TL09'!$J$10:$J$224),0),
IF('TL09'!$B$229=N$3,SUMIF('TL09'!$C$238:$C$451,$C33,'TL09'!$J$238:$J$451),0),
IF('TL10'!$B$3=N$3,SUMIF('TL10'!$C$10:$C$224,$C33,'TL10'!$J$10:$J$224),0),
IF('TL10'!$B$229=N$3,SUMIF('TL10'!$C$238:$C$451,$C33,'TL10'!$J$238:$J$451),0),
IF('TL11'!$B$3=N$3,SUMIF('TL11'!$C$10:$C$224,$C33,'TL11'!$J$10:$J$224),0),
IF('TL11'!$B$229=N$3,SUMIF('TL11'!$C$238:$C$451,$C33,'TL11'!$J$238:$J$451),0),
IF('TL12'!$B$3=N$3,SUMIF('TL12'!$C$10:$C$224,$C33,'TL12'!$J$10:$J$224),0),
IF('TL12'!$B$229=N$3,SUMIF('TL12'!$C$238:$C$451,$C33,'TL12'!$J$238:$J$451),0),
IF('TL13'!$B$3=N$3,SUMIF('TL13'!$C$10:$C$224,$C33,'TL13'!$J$10:$J$224),0),
IF('TL13'!$B$229=N$3,SUMIF('TL13'!$C$238:$C$451,$C33,'TL13'!$J$238:$J$451),0),
IF('TL14'!$B$3=N$3,SUMIF('TL14'!$C$10:$C$224,$C33,'TL14'!$J$10:$J$224),0),
IF('TL14'!$B$229=N$3,SUMIF('TL14'!$C$238:$C$451,$C33,'TL14'!$J$238:$J$451),0),
IF('TL15'!$B$3=N$3,SUMIF('TL15'!$C$10:$C$224,$C33,'TL15'!$J$10:$J$224),0),
IF('TL15'!$B$229=N$3,SUMIF('TL15'!$C$238:$C$451,$C33,'TL15'!$J$238:$J$451),0),
IF('TL16'!$B$3=N$3,SUMIF('TL16'!$C$10:$C$224,$C33,'TL16'!$J$10:$J$224),0),
IF('TL16'!$B$229=N$3,SUMIF('TL16'!$C$238:$C$451,$C33,'TL16'!$J$238:$J$451),0),
IF('TL17'!$B$3=N$3,SUMIF('TL17'!$C$10:$C$224,$C33,'TL17'!$J$10:$J$224),0),
IF('TL17'!$B$229=N$3,SUMIF('TL17'!$C$238:$C$451,$C33,'TL17'!$J$238:$J$451),0),
IF('TL18'!$B$3=N$3,SUMIF('TL18'!$C$10:$C$224,$C33,'TL18'!$J$10:$J$224),0),
IF('TL18'!$B$229=N$3,SUMIF('TL18'!$C$238:$C$451,$C33,'TL18'!$J$238:$J$451),0),
IF('TL19'!$B$3=N$3,SUMIF('TL19'!$C$10:$C$224,$C33,'TL19'!$J$10:$J$224),0),
IF('TL19'!$B$229=N$3,SUMIF('TL19'!$C$238:$C$451,$C33,'TL19'!$J$238:$J$451),0)
),0)</f>
        <v/>
      </c>
      <c r="O33" s="9">
        <f>IFERROR(SUM(
IF('TL01'!$B$3=O$3,SUMIF('TL01'!$C$10:$C$224,$C33,'TL01'!$J$10:$J$224),0),
IF('TL01'!$B$229=O$3,SUMIF('TL01'!$C$238:$C$451,$C33,'TL01'!$J$238:$J$451),0),
IF('TL02'!$B$3=O$3,SUMIF('TL02'!$C$10:$C$224,$C33,'TL02'!$J$10:$J$224),0),
IF('TL02'!$B$229=O$3,SUMIF('TL02'!$C$238:$C$451,$C33,'TL02'!$J$238:$J$451),0),
IF('TL03'!$B$3=O$3,SUMIF('TL03'!$C$10:$C$224,$C33,'TL03'!$J$10:$J$224),0),
IF('TL03'!$B$229=O$3,SUMIF('TL03'!$C$238:$C$451,$C33,'TL03'!$J$238:$J$451),0),
IF('TL04'!$B$3=O$3,SUMIF('TL04'!$C$10:$C$224,$C33,'TL04'!$J$10:$J$224),0),
IF('TL04'!$B$229=O$3,SUMIF('TL04'!$C$238:$C$451,$C33,'TL04'!$J$238:$J$451),0),
IF('TL05'!$B$3=O$3,SUMIF('TL05'!$C$10:$C$224,$C33,'TL05'!$J$10:$J$224),0),
IF('TL05'!$B$229=O$3,SUMIF('TL05'!$C$238:$C$451,$C33,'TL05'!$J$238:$J$451),0),
IF('TL06'!$B$3=O$3,SUMIF('TL06'!$C$10:$C$224,$C33,'TL06'!$J$10:$J$224),0),
IF('TL06'!$B$229=O$3,SUMIF('TL06'!$C$238:$C$451,$C33,'TL06'!$J$238:$J$451),0),
IF('TL07'!$B$3=O$3,SUMIF('TL07'!$C$10:$C$224,$C33,'TL07'!$J$10:$J$224),0),
IF('TL07'!$B$229=O$3,SUMIF('TL07'!$C$238:$C$451,$C33,'TL07'!$J$238:$J$451),0),
IF('TL08'!$B$3=O$3,SUMIF('TL08'!$C$10:$C$224,$C33,'TL08'!$J$10:$J$224),0),
IF('TL08'!$B$229=O$3,SUMIF('TL08'!$C$238:$C$451,$C33,'TL08'!$J$238:$J$451),0),
IF('TL09'!$B$3=O$3,SUMIF('TL09'!$C$10:$C$224,$C33,'TL09'!$J$10:$J$224),0),
IF('TL09'!$B$229=O$3,SUMIF('TL09'!$C$238:$C$451,$C33,'TL09'!$J$238:$J$451),0),
IF('TL10'!$B$3=O$3,SUMIF('TL10'!$C$10:$C$224,$C33,'TL10'!$J$10:$J$224),0),
IF('TL10'!$B$229=O$3,SUMIF('TL10'!$C$238:$C$451,$C33,'TL10'!$J$238:$J$451),0),
IF('TL11'!$B$3=O$3,SUMIF('TL11'!$C$10:$C$224,$C33,'TL11'!$J$10:$J$224),0),
IF('TL11'!$B$229=O$3,SUMIF('TL11'!$C$238:$C$451,$C33,'TL11'!$J$238:$J$451),0),
IF('TL12'!$B$3=O$3,SUMIF('TL12'!$C$10:$C$224,$C33,'TL12'!$J$10:$J$224),0),
IF('TL12'!$B$229=O$3,SUMIF('TL12'!$C$238:$C$451,$C33,'TL12'!$J$238:$J$451),0),
IF('TL13'!$B$3=O$3,SUMIF('TL13'!$C$10:$C$224,$C33,'TL13'!$J$10:$J$224),0),
IF('TL13'!$B$229=O$3,SUMIF('TL13'!$C$238:$C$451,$C33,'TL13'!$J$238:$J$451),0),
IF('TL14'!$B$3=O$3,SUMIF('TL14'!$C$10:$C$224,$C33,'TL14'!$J$10:$J$224),0),
IF('TL14'!$B$229=O$3,SUMIF('TL14'!$C$238:$C$451,$C33,'TL14'!$J$238:$J$451),0),
IF('TL15'!$B$3=O$3,SUMIF('TL15'!$C$10:$C$224,$C33,'TL15'!$J$10:$J$224),0),
IF('TL15'!$B$229=O$3,SUMIF('TL15'!$C$238:$C$451,$C33,'TL15'!$J$238:$J$451),0),
IF('TL16'!$B$3=O$3,SUMIF('TL16'!$C$10:$C$224,$C33,'TL16'!$J$10:$J$224),0),
IF('TL16'!$B$229=O$3,SUMIF('TL16'!$C$238:$C$451,$C33,'TL16'!$J$238:$J$451),0),
IF('TL17'!$B$3=O$3,SUMIF('TL17'!$C$10:$C$224,$C33,'TL17'!$J$10:$J$224),0),
IF('TL17'!$B$229=O$3,SUMIF('TL17'!$C$238:$C$451,$C33,'TL17'!$J$238:$J$451),0),
IF('TL18'!$B$3=O$3,SUMIF('TL18'!$C$10:$C$224,$C33,'TL18'!$J$10:$J$224),0),
IF('TL18'!$B$229=O$3,SUMIF('TL18'!$C$238:$C$451,$C33,'TL18'!$J$238:$J$451),0),
IF('TL19'!$B$3=O$3,SUMIF('TL19'!$C$10:$C$224,$C33,'TL19'!$J$10:$J$224),0),
IF('TL19'!$B$229=O$3,SUMIF('TL19'!$C$238:$C$451,$C33,'TL19'!$J$238:$J$451),0)
),0)</f>
        <v/>
      </c>
      <c r="P33" s="9">
        <f>IFERROR(SUM(
IF('TL01'!$B$3=P$3,SUMIF('TL01'!$C$10:$C$224,$C33,'TL01'!$J$10:$J$224),0),
IF('TL01'!$B$229=P$3,SUMIF('TL01'!$C$238:$C$451,$C33,'TL01'!$J$238:$J$451),0),
IF('TL02'!$B$3=P$3,SUMIF('TL02'!$C$10:$C$224,$C33,'TL02'!$J$10:$J$224),0),
IF('TL02'!$B$229=P$3,SUMIF('TL02'!$C$238:$C$451,$C33,'TL02'!$J$238:$J$451),0),
IF('TL03'!$B$3=P$3,SUMIF('TL03'!$C$10:$C$224,$C33,'TL03'!$J$10:$J$224),0),
IF('TL03'!$B$229=P$3,SUMIF('TL03'!$C$238:$C$451,$C33,'TL03'!$J$238:$J$451),0),
IF('TL04'!$B$3=P$3,SUMIF('TL04'!$C$10:$C$224,$C33,'TL04'!$J$10:$J$224),0),
IF('TL04'!$B$229=P$3,SUMIF('TL04'!$C$238:$C$451,$C33,'TL04'!$J$238:$J$451),0),
IF('TL05'!$B$3=P$3,SUMIF('TL05'!$C$10:$C$224,$C33,'TL05'!$J$10:$J$224),0),
IF('TL05'!$B$229=P$3,SUMIF('TL05'!$C$238:$C$451,$C33,'TL05'!$J$238:$J$451),0),
IF('TL06'!$B$3=P$3,SUMIF('TL06'!$C$10:$C$224,$C33,'TL06'!$J$10:$J$224),0),
IF('TL06'!$B$229=P$3,SUMIF('TL06'!$C$238:$C$451,$C33,'TL06'!$J$238:$J$451),0),
IF('TL07'!$B$3=P$3,SUMIF('TL07'!$C$10:$C$224,$C33,'TL07'!$J$10:$J$224),0),
IF('TL07'!$B$229=P$3,SUMIF('TL07'!$C$238:$C$451,$C33,'TL07'!$J$238:$J$451),0),
IF('TL08'!$B$3=P$3,SUMIF('TL08'!$C$10:$C$224,$C33,'TL08'!$J$10:$J$224),0),
IF('TL08'!$B$229=P$3,SUMIF('TL08'!$C$238:$C$451,$C33,'TL08'!$J$238:$J$451),0),
IF('TL09'!$B$3=P$3,SUMIF('TL09'!$C$10:$C$224,$C33,'TL09'!$J$10:$J$224),0),
IF('TL09'!$B$229=P$3,SUMIF('TL09'!$C$238:$C$451,$C33,'TL09'!$J$238:$J$451),0),
IF('TL10'!$B$3=P$3,SUMIF('TL10'!$C$10:$C$224,$C33,'TL10'!$J$10:$J$224),0),
IF('TL10'!$B$229=P$3,SUMIF('TL10'!$C$238:$C$451,$C33,'TL10'!$J$238:$J$451),0),
IF('TL11'!$B$3=P$3,SUMIF('TL11'!$C$10:$C$224,$C33,'TL11'!$J$10:$J$224),0),
IF('TL11'!$B$229=P$3,SUMIF('TL11'!$C$238:$C$451,$C33,'TL11'!$J$238:$J$451),0),
IF('TL12'!$B$3=P$3,SUMIF('TL12'!$C$10:$C$224,$C33,'TL12'!$J$10:$J$224),0),
IF('TL12'!$B$229=P$3,SUMIF('TL12'!$C$238:$C$451,$C33,'TL12'!$J$238:$J$451),0),
IF('TL13'!$B$3=P$3,SUMIF('TL13'!$C$10:$C$224,$C33,'TL13'!$J$10:$J$224),0),
IF('TL13'!$B$229=P$3,SUMIF('TL13'!$C$238:$C$451,$C33,'TL13'!$J$238:$J$451),0),
IF('TL14'!$B$3=P$3,SUMIF('TL14'!$C$10:$C$224,$C33,'TL14'!$J$10:$J$224),0),
IF('TL14'!$B$229=P$3,SUMIF('TL14'!$C$238:$C$451,$C33,'TL14'!$J$238:$J$451),0),
IF('TL15'!$B$3=P$3,SUMIF('TL15'!$C$10:$C$224,$C33,'TL15'!$J$10:$J$224),0),
IF('TL15'!$B$229=P$3,SUMIF('TL15'!$C$238:$C$451,$C33,'TL15'!$J$238:$J$451),0),
IF('TL16'!$B$3=P$3,SUMIF('TL16'!$C$10:$C$224,$C33,'TL16'!$J$10:$J$224),0),
IF('TL16'!$B$229=P$3,SUMIF('TL16'!$C$238:$C$451,$C33,'TL16'!$J$238:$J$451),0),
IF('TL17'!$B$3=P$3,SUMIF('TL17'!$C$10:$C$224,$C33,'TL17'!$J$10:$J$224),0),
IF('TL17'!$B$229=P$3,SUMIF('TL17'!$C$238:$C$451,$C33,'TL17'!$J$238:$J$451),0),
IF('TL18'!$B$3=P$3,SUMIF('TL18'!$C$10:$C$224,$C33,'TL18'!$J$10:$J$224),0),
IF('TL18'!$B$229=P$3,SUMIF('TL18'!$C$238:$C$451,$C33,'TL18'!$J$238:$J$451),0),
IF('TL19'!$B$3=P$3,SUMIF('TL19'!$C$10:$C$224,$C33,'TL19'!$J$10:$J$224),0),
IF('TL19'!$B$229=P$3,SUMIF('TL19'!$C$238:$C$451,$C33,'TL19'!$J$238:$J$451),0)
),0)</f>
        <v/>
      </c>
      <c r="Q33" s="9">
        <f>IFERROR(SUM(
IF('TL01'!$B$3=Q$3,SUMIF('TL01'!$C$10:$C$224,$C33,'TL01'!$J$10:$J$224),0),
IF('TL01'!$B$229=Q$3,SUMIF('TL01'!$C$238:$C$451,$C33,'TL01'!$J$238:$J$451),0),
IF('TL02'!$B$3=Q$3,SUMIF('TL02'!$C$10:$C$224,$C33,'TL02'!$J$10:$J$224),0),
IF('TL02'!$B$229=Q$3,SUMIF('TL02'!$C$238:$C$451,$C33,'TL02'!$J$238:$J$451),0),
IF('TL03'!$B$3=Q$3,SUMIF('TL03'!$C$10:$C$224,$C33,'TL03'!$J$10:$J$224),0),
IF('TL03'!$B$229=Q$3,SUMIF('TL03'!$C$238:$C$451,$C33,'TL03'!$J$238:$J$451),0),
IF('TL04'!$B$3=Q$3,SUMIF('TL04'!$C$10:$C$224,$C33,'TL04'!$J$10:$J$224),0),
IF('TL04'!$B$229=Q$3,SUMIF('TL04'!$C$238:$C$451,$C33,'TL04'!$J$238:$J$451),0),
IF('TL05'!$B$3=Q$3,SUMIF('TL05'!$C$10:$C$224,$C33,'TL05'!$J$10:$J$224),0),
IF('TL05'!$B$229=Q$3,SUMIF('TL05'!$C$238:$C$451,$C33,'TL05'!$J$238:$J$451),0),
IF('TL06'!$B$3=Q$3,SUMIF('TL06'!$C$10:$C$224,$C33,'TL06'!$J$10:$J$224),0),
IF('TL06'!$B$229=Q$3,SUMIF('TL06'!$C$238:$C$451,$C33,'TL06'!$J$238:$J$451),0),
IF('TL07'!$B$3=Q$3,SUMIF('TL07'!$C$10:$C$224,$C33,'TL07'!$J$10:$J$224),0),
IF('TL07'!$B$229=Q$3,SUMIF('TL07'!$C$238:$C$451,$C33,'TL07'!$J$238:$J$451),0),
IF('TL08'!$B$3=Q$3,SUMIF('TL08'!$C$10:$C$224,$C33,'TL08'!$J$10:$J$224),0),
IF('TL08'!$B$229=Q$3,SUMIF('TL08'!$C$238:$C$451,$C33,'TL08'!$J$238:$J$451),0),
IF('TL09'!$B$3=Q$3,SUMIF('TL09'!$C$10:$C$224,$C33,'TL09'!$J$10:$J$224),0),
IF('TL09'!$B$229=Q$3,SUMIF('TL09'!$C$238:$C$451,$C33,'TL09'!$J$238:$J$451),0),
IF('TL10'!$B$3=Q$3,SUMIF('TL10'!$C$10:$C$224,$C33,'TL10'!$J$10:$J$224),0),
IF('TL10'!$B$229=Q$3,SUMIF('TL10'!$C$238:$C$451,$C33,'TL10'!$J$238:$J$451),0),
IF('TL11'!$B$3=Q$3,SUMIF('TL11'!$C$10:$C$224,$C33,'TL11'!$J$10:$J$224),0),
IF('TL11'!$B$229=Q$3,SUMIF('TL11'!$C$238:$C$451,$C33,'TL11'!$J$238:$J$451),0),
IF('TL12'!$B$3=Q$3,SUMIF('TL12'!$C$10:$C$224,$C33,'TL12'!$J$10:$J$224),0),
IF('TL12'!$B$229=Q$3,SUMIF('TL12'!$C$238:$C$451,$C33,'TL12'!$J$238:$J$451),0),
IF('TL13'!$B$3=Q$3,SUMIF('TL13'!$C$10:$C$224,$C33,'TL13'!$J$10:$J$224),0),
IF('TL13'!$B$229=Q$3,SUMIF('TL13'!$C$238:$C$451,$C33,'TL13'!$J$238:$J$451),0),
IF('TL14'!$B$3=Q$3,SUMIF('TL14'!$C$10:$C$224,$C33,'TL14'!$J$10:$J$224),0),
IF('TL14'!$B$229=Q$3,SUMIF('TL14'!$C$238:$C$451,$C33,'TL14'!$J$238:$J$451),0),
IF('TL15'!$B$3=Q$3,SUMIF('TL15'!$C$10:$C$224,$C33,'TL15'!$J$10:$J$224),0),
IF('TL15'!$B$229=Q$3,SUMIF('TL15'!$C$238:$C$451,$C33,'TL15'!$J$238:$J$451),0),
IF('TL16'!$B$3=Q$3,SUMIF('TL16'!$C$10:$C$224,$C33,'TL16'!$J$10:$J$224),0),
IF('TL16'!$B$229=Q$3,SUMIF('TL16'!$C$238:$C$451,$C33,'TL16'!$J$238:$J$451),0),
IF('TL17'!$B$3=Q$3,SUMIF('TL17'!$C$10:$C$224,$C33,'TL17'!$J$10:$J$224),0),
IF('TL17'!$B$229=Q$3,SUMIF('TL17'!$C$238:$C$451,$C33,'TL17'!$J$238:$J$451),0),
IF('TL18'!$B$3=Q$3,SUMIF('TL18'!$C$10:$C$224,$C33,'TL18'!$J$10:$J$224),0),
IF('TL18'!$B$229=Q$3,SUMIF('TL18'!$C$238:$C$451,$C33,'TL18'!$J$238:$J$451),0),
IF('TL19'!$B$3=Q$3,SUMIF('TL19'!$C$10:$C$224,$C33,'TL19'!$J$10:$J$224),0),
IF('TL19'!$B$229=Q$3,SUMIF('TL19'!$C$238:$C$451,$C33,'TL19'!$J$238:$J$451),0)
),0)</f>
        <v/>
      </c>
      <c r="R33" s="9">
        <f>IFERROR(
SUM(
SUMIF('TL01'!C:C,C33,'TL01'!J:J),
SUMIF('TL02'!C:C,C33,'TL02'!J:J),
SUMIF('TL03'!C:C,C33,'TL03'!J:J),
SUMIF('TL04'!C:C,C33,'TL04'!J:J),
SUMIF('TL05'!C:C,C33,'TL05'!J:J),
SUMIF('TL06'!C:C,C33,'TL06'!J:J),
SUMIF('TL07'!C:C,C33,'TL07'!J:J),
SUMIF('TL08'!C:C,C33,'TL08'!J:J),
SUMIF('TL09'!C:C,C33,'TL09'!J:J),
SUMIF('TL10'!C:C,C33,'TL10'!J:J),
SUMIF('TL11'!C:C,C33,'TL11'!J:J),
SUMIF('TL12'!C:C,C33,'TL12'!J:J),
SUMIF('TL13'!C:C,C33,'TL13'!J:J),
SUMIF('TL14'!C:C,C33,'TL14'!J:J),
SUMIF('TL15'!C:C,C33,'TL15'!J:J),
SUMIF('TL16'!C:C,C33,'TL16'!J:J),
SUMIF('TL17'!C:C,C33,'TL17'!J:J),
SUMIF('TL18'!C:C,C33,'TL18'!J:J),SUMIF('TL19'!C:C,C33,'TL19'!J:J))
,0)</f>
        <v/>
      </c>
      <c r="S33" s="17">
        <f>IFERROR(__xludf.DUMMYFUNCTION("IFERROR(VLOOKUP(C33,
IMPORTRANGE(""1wULbzX32WdYsx-lj2U3uUNBBe2INVIRDtcK0d-Dvl90"",
""26-27!C:G""),
5,
FALSE),
"""")"),"")</f>
        <v/>
      </c>
      <c r="T33" s="9" t="n"/>
      <c r="U33" s="92">
        <f>MAX(0,R33-T33)</f>
        <v/>
      </c>
      <c r="V33" s="93">
        <f>U33*S33</f>
        <v/>
      </c>
    </row>
    <row r="34" hidden="1" ht="22.5" customHeight="1" s="297">
      <c r="A34" s="101" t="n"/>
      <c r="B34" s="102" t="inlineStr">
        <is>
          <t>FERTILIZANTES</t>
        </is>
      </c>
      <c r="C34" s="103" t="inlineStr">
        <is>
          <t>BOROGRAN</t>
        </is>
      </c>
      <c r="D34" s="103" t="inlineStr">
        <is>
          <t>B 10</t>
        </is>
      </c>
      <c r="E34" s="104" t="n"/>
      <c r="F34" s="4" t="inlineStr">
        <is>
          <t>Ton</t>
        </is>
      </c>
      <c r="G34" s="9" t="n"/>
      <c r="H34" s="9">
        <f>IFERROR(__xludf.DUMMYFUNCTION("IFERROR(VLOOKUP(C34,
IMPORTRANGE(""1wULbzX32WdYsx-lj2U3uUNBBe2INVIRDtcK0d-Dvl90"",
""26-27!C:K""),
8,
FALSE),
"""")"),"")</f>
        <v/>
      </c>
      <c r="I34" s="105" t="n"/>
      <c r="J34" s="9">
        <f>IFERROR(SUM(
IF('TL01'!$B$3=J$3,SUMIF('TL01'!$C$10:$C$224,$C34,'TL01'!$J$10:$J$224),0),
IF('TL01'!$B$229=J$3,SUMIF('TL01'!$C$238:$C$451,$C34,'TL01'!$J$238:$J$451),0),
IF('TL02'!$B$3=J$3,SUMIF('TL02'!$C$10:$C$224,$C34,'TL02'!$J$10:$J$224),0),
IF('TL02'!$B$229=J$3,SUMIF('TL02'!$C$238:$C$451,$C34,'TL02'!$J$238:$J$451),0),
IF('TL03'!$B$3=J$3,SUMIF('TL03'!$C$10:$C$224,$C34,'TL03'!$J$10:$J$224),0),
IF('TL03'!$B$229=J$3,SUMIF('TL03'!$C$238:$C$451,$C34,'TL03'!$J$238:$J$451),0),
IF('TL04'!$B$3=J$3,SUMIF('TL04'!$C$10:$C$224,$C34,'TL04'!$J$10:$J$224),0),
IF('TL04'!$B$229=J$3,SUMIF('TL04'!$C$238:$C$451,$C34,'TL04'!$J$238:$J$451),0),
IF('TL05'!$B$3=J$3,SUMIF('TL05'!$C$10:$C$224,$C34,'TL05'!$J$10:$J$224),0),
IF('TL05'!$B$229=J$3,SUMIF('TL05'!$C$238:$C$451,$C34,'TL05'!$J$238:$J$451),0),
IF('TL06'!$B$3=J$3,SUMIF('TL06'!$C$10:$C$224,$C34,'TL06'!$J$10:$J$224),0),
IF('TL06'!$B$229=J$3,SUMIF('TL06'!$C$238:$C$451,$C34,'TL06'!$J$238:$J$451),0),
IF('TL07'!$B$3=J$3,SUMIF('TL07'!$C$10:$C$224,$C34,'TL07'!$J$10:$J$224),0),
IF('TL07'!$B$229=J$3,SUMIF('TL07'!$C$238:$C$451,$C34,'TL07'!$J$238:$J$451),0),
IF('TL08'!$B$3=J$3,SUMIF('TL08'!$C$10:$C$224,$C34,'TL08'!$J$10:$J$224),0),
IF('TL08'!$B$229=J$3,SUMIF('TL08'!$C$238:$C$451,$C34,'TL08'!$J$238:$J$451),0),
IF('TL09'!$B$3=J$3,SUMIF('TL09'!$C$10:$C$224,$C34,'TL09'!$J$10:$J$224),0),
IF('TL09'!$B$229=J$3,SUMIF('TL09'!$C$238:$C$451,$C34,'TL09'!$J$238:$J$451),0),
IF('TL10'!$B$3=J$3,SUMIF('TL10'!$C$10:$C$224,$C34,'TL10'!$J$10:$J$224),0),
IF('TL10'!$B$229=J$3,SUMIF('TL10'!$C$238:$C$451,$C34,'TL10'!$J$238:$J$451),0),
IF('TL11'!$B$3=J$3,SUMIF('TL11'!$C$10:$C$224,$C34,'TL11'!$J$10:$J$224),0),
IF('TL11'!$B$229=J$3,SUMIF('TL11'!$C$238:$C$451,$C34,'TL11'!$J$238:$J$451),0),
IF('TL12'!$B$3=J$3,SUMIF('TL12'!$C$10:$C$224,$C34,'TL12'!$J$10:$J$224),0),
IF('TL12'!$B$229=J$3,SUMIF('TL12'!$C$238:$C$451,$C34,'TL12'!$J$238:$J$451),0),
IF('TL13'!$B$3=J$3,SUMIF('TL13'!$C$10:$C$224,$C34,'TL13'!$J$10:$J$224),0),
IF('TL13'!$B$229=J$3,SUMIF('TL13'!$C$238:$C$451,$C34,'TL13'!$J$238:$J$451),0),
IF('TL14'!$B$3=J$3,SUMIF('TL14'!$C$10:$C$224,$C34,'TL14'!$J$10:$J$224),0),
IF('TL14'!$B$229=J$3,SUMIF('TL14'!$C$238:$C$451,$C34,'TL14'!$J$238:$J$451),0),
IF('TL15'!$B$3=J$3,SUMIF('TL15'!$C$10:$C$224,$C34,'TL15'!$J$10:$J$224),0),
IF('TL15'!$B$229=J$3,SUMIF('TL15'!$C$238:$C$451,$C34,'TL15'!$J$238:$J$451),0),
IF('TL16'!$B$3=J$3,SUMIF('TL16'!$C$10:$C$224,$C34,'TL16'!$J$10:$J$224),0),
IF('TL16'!$B$229=J$3,SUMIF('TL16'!$C$238:$C$451,$C34,'TL16'!$J$238:$J$451),0),
IF('TL17'!$B$3=J$3,SUMIF('TL17'!$C$10:$C$224,$C34,'TL17'!$J$10:$J$224),0),
IF('TL17'!$B$229=J$3,SUMIF('TL17'!$C$238:$C$451,$C34,'TL17'!$J$238:$J$451),0),
IF('TL18'!$B$3=J$3,SUMIF('TL18'!$C$10:$C$224,$C34,'TL18'!$J$10:$J$224),0),
IF('TL18'!$B$229=J$3,SUMIF('TL18'!$C$238:$C$451,$C34,'TL18'!$J$238:$J$451),0),
IF('TL19'!$B$3=J$3,SUMIF('TL19'!$C$10:$C$224,$C34,'TL19'!$J$10:$J$224),0),
IF('TL19'!$B$229=J$3,SUMIF('TL19'!$C$238:$C$451,$C34,'TL19'!$J$238:$J$451),0)
),0)</f>
        <v/>
      </c>
      <c r="K34" s="9">
        <f>IFERROR(SUM(
IF('TL01'!$B$3=K$3,SUMIF('TL01'!$C$10:$C$224,$C34,'TL01'!$J$10:$J$224),0),
IF('TL01'!$B$229=K$3,SUMIF('TL01'!$C$238:$C$451,$C34,'TL01'!$J$238:$J$451),0),
IF('TL02'!$B$3=K$3,SUMIF('TL02'!$C$10:$C$224,$C34,'TL02'!$J$10:$J$224),0),
IF('TL02'!$B$229=K$3,SUMIF('TL02'!$C$238:$C$451,$C34,'TL02'!$J$238:$J$451),0),
IF('TL03'!$B$3=K$3,SUMIF('TL03'!$C$10:$C$224,$C34,'TL03'!$J$10:$J$224),0),
IF('TL03'!$B$229=K$3,SUMIF('TL03'!$C$238:$C$451,$C34,'TL03'!$J$238:$J$451),0),
IF('TL04'!$B$3=K$3,SUMIF('TL04'!$C$10:$C$224,$C34,'TL04'!$J$10:$J$224),0),
IF('TL04'!$B$229=K$3,SUMIF('TL04'!$C$238:$C$451,$C34,'TL04'!$J$238:$J$451),0),
IF('TL05'!$B$3=K$3,SUMIF('TL05'!$C$10:$C$224,$C34,'TL05'!$J$10:$J$224),0),
IF('TL05'!$B$229=K$3,SUMIF('TL05'!$C$238:$C$451,$C34,'TL05'!$J$238:$J$451),0),
IF('TL06'!$B$3=K$3,SUMIF('TL06'!$C$10:$C$224,$C34,'TL06'!$J$10:$J$224),0),
IF('TL06'!$B$229=K$3,SUMIF('TL06'!$C$238:$C$451,$C34,'TL06'!$J$238:$J$451),0),
IF('TL07'!$B$3=K$3,SUMIF('TL07'!$C$10:$C$224,$C34,'TL07'!$J$10:$J$224),0),
IF('TL07'!$B$229=K$3,SUMIF('TL07'!$C$238:$C$451,$C34,'TL07'!$J$238:$J$451),0),
IF('TL08'!$B$3=K$3,SUMIF('TL08'!$C$10:$C$224,$C34,'TL08'!$J$10:$J$224),0),
IF('TL08'!$B$229=K$3,SUMIF('TL08'!$C$238:$C$451,$C34,'TL08'!$J$238:$J$451),0),
IF('TL09'!$B$3=K$3,SUMIF('TL09'!$C$10:$C$224,$C34,'TL09'!$J$10:$J$224),0),
IF('TL09'!$B$229=K$3,SUMIF('TL09'!$C$238:$C$451,$C34,'TL09'!$J$238:$J$451),0),
IF('TL10'!$B$3=K$3,SUMIF('TL10'!$C$10:$C$224,$C34,'TL10'!$J$10:$J$224),0),
IF('TL10'!$B$229=K$3,SUMIF('TL10'!$C$238:$C$451,$C34,'TL10'!$J$238:$J$451),0),
IF('TL11'!$B$3=K$3,SUMIF('TL11'!$C$10:$C$224,$C34,'TL11'!$J$10:$J$224),0),
IF('TL11'!$B$229=K$3,SUMIF('TL11'!$C$238:$C$451,$C34,'TL11'!$J$238:$J$451),0),
IF('TL12'!$B$3=K$3,SUMIF('TL12'!$C$10:$C$224,$C34,'TL12'!$J$10:$J$224),0),
IF('TL12'!$B$229=K$3,SUMIF('TL12'!$C$238:$C$451,$C34,'TL12'!$J$238:$J$451),0),
IF('TL13'!$B$3=K$3,SUMIF('TL13'!$C$10:$C$224,$C34,'TL13'!$J$10:$J$224),0),
IF('TL13'!$B$229=K$3,SUMIF('TL13'!$C$238:$C$451,$C34,'TL13'!$J$238:$J$451),0),
IF('TL14'!$B$3=K$3,SUMIF('TL14'!$C$10:$C$224,$C34,'TL14'!$J$10:$J$224),0),
IF('TL14'!$B$229=K$3,SUMIF('TL14'!$C$238:$C$451,$C34,'TL14'!$J$238:$J$451),0),
IF('TL15'!$B$3=K$3,SUMIF('TL15'!$C$10:$C$224,$C34,'TL15'!$J$10:$J$224),0),
IF('TL15'!$B$229=K$3,SUMIF('TL15'!$C$238:$C$451,$C34,'TL15'!$J$238:$J$451),0),
IF('TL16'!$B$3=K$3,SUMIF('TL16'!$C$10:$C$224,$C34,'TL16'!$J$10:$J$224),0),
IF('TL16'!$B$229=K$3,SUMIF('TL16'!$C$238:$C$451,$C34,'TL16'!$J$238:$J$451),0),
IF('TL17'!$B$3=K$3,SUMIF('TL17'!$C$10:$C$224,$C34,'TL17'!$J$10:$J$224),0),
IF('TL17'!$B$229=K$3,SUMIF('TL17'!$C$238:$C$451,$C34,'TL17'!$J$238:$J$451),0),
IF('TL18'!$B$3=K$3,SUMIF('TL18'!$C$10:$C$224,$C34,'TL18'!$J$10:$J$224),0),
IF('TL18'!$B$229=K$3,SUMIF('TL18'!$C$238:$C$451,$C34,'TL18'!$J$238:$J$451),0),
IF('TL19'!$B$3=K$3,SUMIF('TL19'!$C$10:$C$224,$C34,'TL19'!$J$10:$J$224),0),
IF('TL19'!$B$229=K$3,SUMIF('TL19'!$C$238:$C$451,$C34,'TL19'!$J$238:$J$451),0)
),0)</f>
        <v/>
      </c>
      <c r="L34" s="9">
        <f>IFERROR(SUM(
IF('TL01'!$B$3=L$3,SUMIF('TL01'!$C$10:$C$224,$C34,'TL01'!$J$10:$J$224),0),
IF('TL01'!$B$229=L$3,SUMIF('TL01'!$C$238:$C$451,$C34,'TL01'!$J$238:$J$451),0),
IF('TL02'!$B$3=L$3,SUMIF('TL02'!$C$10:$C$224,$C34,'TL02'!$J$10:$J$224),0),
IF('TL02'!$B$229=L$3,SUMIF('TL02'!$C$238:$C$451,$C34,'TL02'!$J$238:$J$451),0),
IF('TL03'!$B$3=L$3,SUMIF('TL03'!$C$10:$C$224,$C34,'TL03'!$J$10:$J$224),0),
IF('TL03'!$B$229=L$3,SUMIF('TL03'!$C$238:$C$451,$C34,'TL03'!$J$238:$J$451),0),
IF('TL04'!$B$3=L$3,SUMIF('TL04'!$C$10:$C$224,$C34,'TL04'!$J$10:$J$224),0),
IF('TL04'!$B$229=L$3,SUMIF('TL04'!$C$238:$C$451,$C34,'TL04'!$J$238:$J$451),0),
IF('TL05'!$B$3=L$3,SUMIF('TL05'!$C$10:$C$224,$C34,'TL05'!$J$10:$J$224),0),
IF('TL05'!$B$229=L$3,SUMIF('TL05'!$C$238:$C$451,$C34,'TL05'!$J$238:$J$451),0),
IF('TL06'!$B$3=L$3,SUMIF('TL06'!$C$10:$C$224,$C34,'TL06'!$J$10:$J$224),0),
IF('TL06'!$B$229=L$3,SUMIF('TL06'!$C$238:$C$451,$C34,'TL06'!$J$238:$J$451),0),
IF('TL07'!$B$3=L$3,SUMIF('TL07'!$C$10:$C$224,$C34,'TL07'!$J$10:$J$224),0),
IF('TL07'!$B$229=L$3,SUMIF('TL07'!$C$238:$C$451,$C34,'TL07'!$J$238:$J$451),0),
IF('TL08'!$B$3=L$3,SUMIF('TL08'!$C$10:$C$224,$C34,'TL08'!$J$10:$J$224),0),
IF('TL08'!$B$229=L$3,SUMIF('TL08'!$C$238:$C$451,$C34,'TL08'!$J$238:$J$451),0),
IF('TL09'!$B$3=L$3,SUMIF('TL09'!$C$10:$C$224,$C34,'TL09'!$J$10:$J$224),0),
IF('TL09'!$B$229=L$3,SUMIF('TL09'!$C$238:$C$451,$C34,'TL09'!$J$238:$J$451),0),
IF('TL10'!$B$3=L$3,SUMIF('TL10'!$C$10:$C$224,$C34,'TL10'!$J$10:$J$224),0),
IF('TL10'!$B$229=L$3,SUMIF('TL10'!$C$238:$C$451,$C34,'TL10'!$J$238:$J$451),0),
IF('TL11'!$B$3=L$3,SUMIF('TL11'!$C$10:$C$224,$C34,'TL11'!$J$10:$J$224),0),
IF('TL11'!$B$229=L$3,SUMIF('TL11'!$C$238:$C$451,$C34,'TL11'!$J$238:$J$451),0),
IF('TL12'!$B$3=L$3,SUMIF('TL12'!$C$10:$C$224,$C34,'TL12'!$J$10:$J$224),0),
IF('TL12'!$B$229=L$3,SUMIF('TL12'!$C$238:$C$451,$C34,'TL12'!$J$238:$J$451),0),
IF('TL13'!$B$3=L$3,SUMIF('TL13'!$C$10:$C$224,$C34,'TL13'!$J$10:$J$224),0),
IF('TL13'!$B$229=L$3,SUMIF('TL13'!$C$238:$C$451,$C34,'TL13'!$J$238:$J$451),0),
IF('TL14'!$B$3=L$3,SUMIF('TL14'!$C$10:$C$224,$C34,'TL14'!$J$10:$J$224),0),
IF('TL14'!$B$229=L$3,SUMIF('TL14'!$C$238:$C$451,$C34,'TL14'!$J$238:$J$451),0),
IF('TL15'!$B$3=L$3,SUMIF('TL15'!$C$10:$C$224,$C34,'TL15'!$J$10:$J$224),0),
IF('TL15'!$B$229=L$3,SUMIF('TL15'!$C$238:$C$451,$C34,'TL15'!$J$238:$J$451),0),
IF('TL16'!$B$3=L$3,SUMIF('TL16'!$C$10:$C$224,$C34,'TL16'!$J$10:$J$224),0),
IF('TL16'!$B$229=L$3,SUMIF('TL16'!$C$238:$C$451,$C34,'TL16'!$J$238:$J$451),0),
IF('TL17'!$B$3=L$3,SUMIF('TL17'!$C$10:$C$224,$C34,'TL17'!$J$10:$J$224),0),
IF('TL17'!$B$229=L$3,SUMIF('TL17'!$C$238:$C$451,$C34,'TL17'!$J$238:$J$451),0),
IF('TL18'!$B$3=L$3,SUMIF('TL18'!$C$10:$C$224,$C34,'TL18'!$J$10:$J$224),0),
IF('TL18'!$B$229=L$3,SUMIF('TL18'!$C$238:$C$451,$C34,'TL18'!$J$238:$J$451),0),
IF('TL19'!$B$3=L$3,SUMIF('TL19'!$C$10:$C$224,$C34,'TL19'!$J$10:$J$224),0),
IF('TL19'!$B$229=L$3,SUMIF('TL19'!$C$238:$C$451,$C34,'TL19'!$J$238:$J$451),0)
),0)</f>
        <v/>
      </c>
      <c r="M34" s="9">
        <f>IFERROR(SUM(
IF('TL01'!$B$3=M$3,SUMIF('TL01'!$C$10:$C$224,$C34,'TL01'!$J$10:$J$224),0),
IF('TL01'!$B$229=M$3,SUMIF('TL01'!$C$238:$C$451,$C34,'TL01'!$J$238:$J$451),0),
IF('TL02'!$B$3=M$3,SUMIF('TL02'!$C$10:$C$224,$C34,'TL02'!$J$10:$J$224),0),
IF('TL02'!$B$229=M$3,SUMIF('TL02'!$C$238:$C$451,$C34,'TL02'!$J$238:$J$451),0),
IF('TL03'!$B$3=M$3,SUMIF('TL03'!$C$10:$C$224,$C34,'TL03'!$J$10:$J$224),0),
IF('TL03'!$B$229=M$3,SUMIF('TL03'!$C$238:$C$451,$C34,'TL03'!$J$238:$J$451),0),
IF('TL04'!$B$3=M$3,SUMIF('TL04'!$C$10:$C$224,$C34,'TL04'!$J$10:$J$224),0),
IF('TL04'!$B$229=M$3,SUMIF('TL04'!$C$238:$C$451,$C34,'TL04'!$J$238:$J$451),0),
IF('TL05'!$B$3=M$3,SUMIF('TL05'!$C$10:$C$224,$C34,'TL05'!$J$10:$J$224),0),
IF('TL05'!$B$229=M$3,SUMIF('TL05'!$C$238:$C$451,$C34,'TL05'!$J$238:$J$451),0),
IF('TL06'!$B$3=M$3,SUMIF('TL06'!$C$10:$C$224,$C34,'TL06'!$J$10:$J$224),0),
IF('TL06'!$B$229=M$3,SUMIF('TL06'!$C$238:$C$451,$C34,'TL06'!$J$238:$J$451),0),
IF('TL07'!$B$3=M$3,SUMIF('TL07'!$C$10:$C$224,$C34,'TL07'!$J$10:$J$224),0),
IF('TL07'!$B$229=M$3,SUMIF('TL07'!$C$238:$C$451,$C34,'TL07'!$J$238:$J$451),0),
IF('TL08'!$B$3=M$3,SUMIF('TL08'!$C$10:$C$224,$C34,'TL08'!$J$10:$J$224),0),
IF('TL08'!$B$229=M$3,SUMIF('TL08'!$C$238:$C$451,$C34,'TL08'!$J$238:$J$451),0),
IF('TL09'!$B$3=M$3,SUMIF('TL09'!$C$10:$C$224,$C34,'TL09'!$J$10:$J$224),0),
IF('TL09'!$B$229=M$3,SUMIF('TL09'!$C$238:$C$451,$C34,'TL09'!$J$238:$J$451),0),
IF('TL10'!$B$3=M$3,SUMIF('TL10'!$C$10:$C$224,$C34,'TL10'!$J$10:$J$224),0),
IF('TL10'!$B$229=M$3,SUMIF('TL10'!$C$238:$C$451,$C34,'TL10'!$J$238:$J$451),0),
IF('TL11'!$B$3=M$3,SUMIF('TL11'!$C$10:$C$224,$C34,'TL11'!$J$10:$J$224),0),
IF('TL11'!$B$229=M$3,SUMIF('TL11'!$C$238:$C$451,$C34,'TL11'!$J$238:$J$451),0),
IF('TL12'!$B$3=M$3,SUMIF('TL12'!$C$10:$C$224,$C34,'TL12'!$J$10:$J$224),0),
IF('TL12'!$B$229=M$3,SUMIF('TL12'!$C$238:$C$451,$C34,'TL12'!$J$238:$J$451),0),
IF('TL13'!$B$3=M$3,SUMIF('TL13'!$C$10:$C$224,$C34,'TL13'!$J$10:$J$224),0),
IF('TL13'!$B$229=M$3,SUMIF('TL13'!$C$238:$C$451,$C34,'TL13'!$J$238:$J$451),0),
IF('TL14'!$B$3=M$3,SUMIF('TL14'!$C$10:$C$224,$C34,'TL14'!$J$10:$J$224),0),
IF('TL14'!$B$229=M$3,SUMIF('TL14'!$C$238:$C$451,$C34,'TL14'!$J$238:$J$451),0),
IF('TL15'!$B$3=M$3,SUMIF('TL15'!$C$10:$C$224,$C34,'TL15'!$J$10:$J$224),0),
IF('TL15'!$B$229=M$3,SUMIF('TL15'!$C$238:$C$451,$C34,'TL15'!$J$238:$J$451),0),
IF('TL16'!$B$3=M$3,SUMIF('TL16'!$C$10:$C$224,$C34,'TL16'!$J$10:$J$224),0),
IF('TL16'!$B$229=M$3,SUMIF('TL16'!$C$238:$C$451,$C34,'TL16'!$J$238:$J$451),0),
IF('TL17'!$B$3=M$3,SUMIF('TL17'!$C$10:$C$224,$C34,'TL17'!$J$10:$J$224),0),
IF('TL17'!$B$229=M$3,SUMIF('TL17'!$C$238:$C$451,$C34,'TL17'!$J$238:$J$451),0),
IF('TL18'!$B$3=M$3,SUMIF('TL18'!$C$10:$C$224,$C34,'TL18'!$J$10:$J$224),0),
IF('TL18'!$B$229=M$3,SUMIF('TL18'!$C$238:$C$451,$C34,'TL18'!$J$238:$J$451),0),
IF('TL19'!$B$3=M$3,SUMIF('TL19'!$C$10:$C$224,$C34,'TL19'!$J$10:$J$224),0),
IF('TL19'!$B$229=M$3,SUMIF('TL19'!$C$238:$C$451,$C34,'TL19'!$J$238:$J$451),0)
),0)</f>
        <v/>
      </c>
      <c r="N34" s="9">
        <f>IFERROR(SUM(
IF('TL01'!$B$3=N$3,SUMIF('TL01'!$C$10:$C$224,$C34,'TL01'!$J$10:$J$224),0),
IF('TL01'!$B$229=N$3,SUMIF('TL01'!$C$238:$C$451,$C34,'TL01'!$J$238:$J$451),0),
IF('TL02'!$B$3=N$3,SUMIF('TL02'!$C$10:$C$224,$C34,'TL02'!$J$10:$J$224),0),
IF('TL02'!$B$229=N$3,SUMIF('TL02'!$C$238:$C$451,$C34,'TL02'!$J$238:$J$451),0),
IF('TL03'!$B$3=N$3,SUMIF('TL03'!$C$10:$C$224,$C34,'TL03'!$J$10:$J$224),0),
IF('TL03'!$B$229=N$3,SUMIF('TL03'!$C$238:$C$451,$C34,'TL03'!$J$238:$J$451),0),
IF('TL04'!$B$3=N$3,SUMIF('TL04'!$C$10:$C$224,$C34,'TL04'!$J$10:$J$224),0),
IF('TL04'!$B$229=N$3,SUMIF('TL04'!$C$238:$C$451,$C34,'TL04'!$J$238:$J$451),0),
IF('TL05'!$B$3=N$3,SUMIF('TL05'!$C$10:$C$224,$C34,'TL05'!$J$10:$J$224),0),
IF('TL05'!$B$229=N$3,SUMIF('TL05'!$C$238:$C$451,$C34,'TL05'!$J$238:$J$451),0),
IF('TL06'!$B$3=N$3,SUMIF('TL06'!$C$10:$C$224,$C34,'TL06'!$J$10:$J$224),0),
IF('TL06'!$B$229=N$3,SUMIF('TL06'!$C$238:$C$451,$C34,'TL06'!$J$238:$J$451),0),
IF('TL07'!$B$3=N$3,SUMIF('TL07'!$C$10:$C$224,$C34,'TL07'!$J$10:$J$224),0),
IF('TL07'!$B$229=N$3,SUMIF('TL07'!$C$238:$C$451,$C34,'TL07'!$J$238:$J$451),0),
IF('TL08'!$B$3=N$3,SUMIF('TL08'!$C$10:$C$224,$C34,'TL08'!$J$10:$J$224),0),
IF('TL08'!$B$229=N$3,SUMIF('TL08'!$C$238:$C$451,$C34,'TL08'!$J$238:$J$451),0),
IF('TL09'!$B$3=N$3,SUMIF('TL09'!$C$10:$C$224,$C34,'TL09'!$J$10:$J$224),0),
IF('TL09'!$B$229=N$3,SUMIF('TL09'!$C$238:$C$451,$C34,'TL09'!$J$238:$J$451),0),
IF('TL10'!$B$3=N$3,SUMIF('TL10'!$C$10:$C$224,$C34,'TL10'!$J$10:$J$224),0),
IF('TL10'!$B$229=N$3,SUMIF('TL10'!$C$238:$C$451,$C34,'TL10'!$J$238:$J$451),0),
IF('TL11'!$B$3=N$3,SUMIF('TL11'!$C$10:$C$224,$C34,'TL11'!$J$10:$J$224),0),
IF('TL11'!$B$229=N$3,SUMIF('TL11'!$C$238:$C$451,$C34,'TL11'!$J$238:$J$451),0),
IF('TL12'!$B$3=N$3,SUMIF('TL12'!$C$10:$C$224,$C34,'TL12'!$J$10:$J$224),0),
IF('TL12'!$B$229=N$3,SUMIF('TL12'!$C$238:$C$451,$C34,'TL12'!$J$238:$J$451),0),
IF('TL13'!$B$3=N$3,SUMIF('TL13'!$C$10:$C$224,$C34,'TL13'!$J$10:$J$224),0),
IF('TL13'!$B$229=N$3,SUMIF('TL13'!$C$238:$C$451,$C34,'TL13'!$J$238:$J$451),0),
IF('TL14'!$B$3=N$3,SUMIF('TL14'!$C$10:$C$224,$C34,'TL14'!$J$10:$J$224),0),
IF('TL14'!$B$229=N$3,SUMIF('TL14'!$C$238:$C$451,$C34,'TL14'!$J$238:$J$451),0),
IF('TL15'!$B$3=N$3,SUMIF('TL15'!$C$10:$C$224,$C34,'TL15'!$J$10:$J$224),0),
IF('TL15'!$B$229=N$3,SUMIF('TL15'!$C$238:$C$451,$C34,'TL15'!$J$238:$J$451),0),
IF('TL16'!$B$3=N$3,SUMIF('TL16'!$C$10:$C$224,$C34,'TL16'!$J$10:$J$224),0),
IF('TL16'!$B$229=N$3,SUMIF('TL16'!$C$238:$C$451,$C34,'TL16'!$J$238:$J$451),0),
IF('TL17'!$B$3=N$3,SUMIF('TL17'!$C$10:$C$224,$C34,'TL17'!$J$10:$J$224),0),
IF('TL17'!$B$229=N$3,SUMIF('TL17'!$C$238:$C$451,$C34,'TL17'!$J$238:$J$451),0),
IF('TL18'!$B$3=N$3,SUMIF('TL18'!$C$10:$C$224,$C34,'TL18'!$J$10:$J$224),0),
IF('TL18'!$B$229=N$3,SUMIF('TL18'!$C$238:$C$451,$C34,'TL18'!$J$238:$J$451),0),
IF('TL19'!$B$3=N$3,SUMIF('TL19'!$C$10:$C$224,$C34,'TL19'!$J$10:$J$224),0),
IF('TL19'!$B$229=N$3,SUMIF('TL19'!$C$238:$C$451,$C34,'TL19'!$J$238:$J$451),0)
),0)</f>
        <v/>
      </c>
      <c r="O34" s="9">
        <f>IFERROR(SUM(
IF('TL01'!$B$3=O$3,SUMIF('TL01'!$C$10:$C$224,$C34,'TL01'!$J$10:$J$224),0),
IF('TL01'!$B$229=O$3,SUMIF('TL01'!$C$238:$C$451,$C34,'TL01'!$J$238:$J$451),0),
IF('TL02'!$B$3=O$3,SUMIF('TL02'!$C$10:$C$224,$C34,'TL02'!$J$10:$J$224),0),
IF('TL02'!$B$229=O$3,SUMIF('TL02'!$C$238:$C$451,$C34,'TL02'!$J$238:$J$451),0),
IF('TL03'!$B$3=O$3,SUMIF('TL03'!$C$10:$C$224,$C34,'TL03'!$J$10:$J$224),0),
IF('TL03'!$B$229=O$3,SUMIF('TL03'!$C$238:$C$451,$C34,'TL03'!$J$238:$J$451),0),
IF('TL04'!$B$3=O$3,SUMIF('TL04'!$C$10:$C$224,$C34,'TL04'!$J$10:$J$224),0),
IF('TL04'!$B$229=O$3,SUMIF('TL04'!$C$238:$C$451,$C34,'TL04'!$J$238:$J$451),0),
IF('TL05'!$B$3=O$3,SUMIF('TL05'!$C$10:$C$224,$C34,'TL05'!$J$10:$J$224),0),
IF('TL05'!$B$229=O$3,SUMIF('TL05'!$C$238:$C$451,$C34,'TL05'!$J$238:$J$451),0),
IF('TL06'!$B$3=O$3,SUMIF('TL06'!$C$10:$C$224,$C34,'TL06'!$J$10:$J$224),0),
IF('TL06'!$B$229=O$3,SUMIF('TL06'!$C$238:$C$451,$C34,'TL06'!$J$238:$J$451),0),
IF('TL07'!$B$3=O$3,SUMIF('TL07'!$C$10:$C$224,$C34,'TL07'!$J$10:$J$224),0),
IF('TL07'!$B$229=O$3,SUMIF('TL07'!$C$238:$C$451,$C34,'TL07'!$J$238:$J$451),0),
IF('TL08'!$B$3=O$3,SUMIF('TL08'!$C$10:$C$224,$C34,'TL08'!$J$10:$J$224),0),
IF('TL08'!$B$229=O$3,SUMIF('TL08'!$C$238:$C$451,$C34,'TL08'!$J$238:$J$451),0),
IF('TL09'!$B$3=O$3,SUMIF('TL09'!$C$10:$C$224,$C34,'TL09'!$J$10:$J$224),0),
IF('TL09'!$B$229=O$3,SUMIF('TL09'!$C$238:$C$451,$C34,'TL09'!$J$238:$J$451),0),
IF('TL10'!$B$3=O$3,SUMIF('TL10'!$C$10:$C$224,$C34,'TL10'!$J$10:$J$224),0),
IF('TL10'!$B$229=O$3,SUMIF('TL10'!$C$238:$C$451,$C34,'TL10'!$J$238:$J$451),0),
IF('TL11'!$B$3=O$3,SUMIF('TL11'!$C$10:$C$224,$C34,'TL11'!$J$10:$J$224),0),
IF('TL11'!$B$229=O$3,SUMIF('TL11'!$C$238:$C$451,$C34,'TL11'!$J$238:$J$451),0),
IF('TL12'!$B$3=O$3,SUMIF('TL12'!$C$10:$C$224,$C34,'TL12'!$J$10:$J$224),0),
IF('TL12'!$B$229=O$3,SUMIF('TL12'!$C$238:$C$451,$C34,'TL12'!$J$238:$J$451),0),
IF('TL13'!$B$3=O$3,SUMIF('TL13'!$C$10:$C$224,$C34,'TL13'!$J$10:$J$224),0),
IF('TL13'!$B$229=O$3,SUMIF('TL13'!$C$238:$C$451,$C34,'TL13'!$J$238:$J$451),0),
IF('TL14'!$B$3=O$3,SUMIF('TL14'!$C$10:$C$224,$C34,'TL14'!$J$10:$J$224),0),
IF('TL14'!$B$229=O$3,SUMIF('TL14'!$C$238:$C$451,$C34,'TL14'!$J$238:$J$451),0),
IF('TL15'!$B$3=O$3,SUMIF('TL15'!$C$10:$C$224,$C34,'TL15'!$J$10:$J$224),0),
IF('TL15'!$B$229=O$3,SUMIF('TL15'!$C$238:$C$451,$C34,'TL15'!$J$238:$J$451),0),
IF('TL16'!$B$3=O$3,SUMIF('TL16'!$C$10:$C$224,$C34,'TL16'!$J$10:$J$224),0),
IF('TL16'!$B$229=O$3,SUMIF('TL16'!$C$238:$C$451,$C34,'TL16'!$J$238:$J$451),0),
IF('TL17'!$B$3=O$3,SUMIF('TL17'!$C$10:$C$224,$C34,'TL17'!$J$10:$J$224),0),
IF('TL17'!$B$229=O$3,SUMIF('TL17'!$C$238:$C$451,$C34,'TL17'!$J$238:$J$451),0),
IF('TL18'!$B$3=O$3,SUMIF('TL18'!$C$10:$C$224,$C34,'TL18'!$J$10:$J$224),0),
IF('TL18'!$B$229=O$3,SUMIF('TL18'!$C$238:$C$451,$C34,'TL18'!$J$238:$J$451),0),
IF('TL19'!$B$3=O$3,SUMIF('TL19'!$C$10:$C$224,$C34,'TL19'!$J$10:$J$224),0),
IF('TL19'!$B$229=O$3,SUMIF('TL19'!$C$238:$C$451,$C34,'TL19'!$J$238:$J$451),0)
),0)</f>
        <v/>
      </c>
      <c r="P34" s="9">
        <f>IFERROR(SUM(
IF('TL01'!$B$3=P$3,SUMIF('TL01'!$C$10:$C$224,$C34,'TL01'!$J$10:$J$224),0),
IF('TL01'!$B$229=P$3,SUMIF('TL01'!$C$238:$C$451,$C34,'TL01'!$J$238:$J$451),0),
IF('TL02'!$B$3=P$3,SUMIF('TL02'!$C$10:$C$224,$C34,'TL02'!$J$10:$J$224),0),
IF('TL02'!$B$229=P$3,SUMIF('TL02'!$C$238:$C$451,$C34,'TL02'!$J$238:$J$451),0),
IF('TL03'!$B$3=P$3,SUMIF('TL03'!$C$10:$C$224,$C34,'TL03'!$J$10:$J$224),0),
IF('TL03'!$B$229=P$3,SUMIF('TL03'!$C$238:$C$451,$C34,'TL03'!$J$238:$J$451),0),
IF('TL04'!$B$3=P$3,SUMIF('TL04'!$C$10:$C$224,$C34,'TL04'!$J$10:$J$224),0),
IF('TL04'!$B$229=P$3,SUMIF('TL04'!$C$238:$C$451,$C34,'TL04'!$J$238:$J$451),0),
IF('TL05'!$B$3=P$3,SUMIF('TL05'!$C$10:$C$224,$C34,'TL05'!$J$10:$J$224),0),
IF('TL05'!$B$229=P$3,SUMIF('TL05'!$C$238:$C$451,$C34,'TL05'!$J$238:$J$451),0),
IF('TL06'!$B$3=P$3,SUMIF('TL06'!$C$10:$C$224,$C34,'TL06'!$J$10:$J$224),0),
IF('TL06'!$B$229=P$3,SUMIF('TL06'!$C$238:$C$451,$C34,'TL06'!$J$238:$J$451),0),
IF('TL07'!$B$3=P$3,SUMIF('TL07'!$C$10:$C$224,$C34,'TL07'!$J$10:$J$224),0),
IF('TL07'!$B$229=P$3,SUMIF('TL07'!$C$238:$C$451,$C34,'TL07'!$J$238:$J$451),0),
IF('TL08'!$B$3=P$3,SUMIF('TL08'!$C$10:$C$224,$C34,'TL08'!$J$10:$J$224),0),
IF('TL08'!$B$229=P$3,SUMIF('TL08'!$C$238:$C$451,$C34,'TL08'!$J$238:$J$451),0),
IF('TL09'!$B$3=P$3,SUMIF('TL09'!$C$10:$C$224,$C34,'TL09'!$J$10:$J$224),0),
IF('TL09'!$B$229=P$3,SUMIF('TL09'!$C$238:$C$451,$C34,'TL09'!$J$238:$J$451),0),
IF('TL10'!$B$3=P$3,SUMIF('TL10'!$C$10:$C$224,$C34,'TL10'!$J$10:$J$224),0),
IF('TL10'!$B$229=P$3,SUMIF('TL10'!$C$238:$C$451,$C34,'TL10'!$J$238:$J$451),0),
IF('TL11'!$B$3=P$3,SUMIF('TL11'!$C$10:$C$224,$C34,'TL11'!$J$10:$J$224),0),
IF('TL11'!$B$229=P$3,SUMIF('TL11'!$C$238:$C$451,$C34,'TL11'!$J$238:$J$451),0),
IF('TL12'!$B$3=P$3,SUMIF('TL12'!$C$10:$C$224,$C34,'TL12'!$J$10:$J$224),0),
IF('TL12'!$B$229=P$3,SUMIF('TL12'!$C$238:$C$451,$C34,'TL12'!$J$238:$J$451),0),
IF('TL13'!$B$3=P$3,SUMIF('TL13'!$C$10:$C$224,$C34,'TL13'!$J$10:$J$224),0),
IF('TL13'!$B$229=P$3,SUMIF('TL13'!$C$238:$C$451,$C34,'TL13'!$J$238:$J$451),0),
IF('TL14'!$B$3=P$3,SUMIF('TL14'!$C$10:$C$224,$C34,'TL14'!$J$10:$J$224),0),
IF('TL14'!$B$229=P$3,SUMIF('TL14'!$C$238:$C$451,$C34,'TL14'!$J$238:$J$451),0),
IF('TL15'!$B$3=P$3,SUMIF('TL15'!$C$10:$C$224,$C34,'TL15'!$J$10:$J$224),0),
IF('TL15'!$B$229=P$3,SUMIF('TL15'!$C$238:$C$451,$C34,'TL15'!$J$238:$J$451),0),
IF('TL16'!$B$3=P$3,SUMIF('TL16'!$C$10:$C$224,$C34,'TL16'!$J$10:$J$224),0),
IF('TL16'!$B$229=P$3,SUMIF('TL16'!$C$238:$C$451,$C34,'TL16'!$J$238:$J$451),0),
IF('TL17'!$B$3=P$3,SUMIF('TL17'!$C$10:$C$224,$C34,'TL17'!$J$10:$J$224),0),
IF('TL17'!$B$229=P$3,SUMIF('TL17'!$C$238:$C$451,$C34,'TL17'!$J$238:$J$451),0),
IF('TL18'!$B$3=P$3,SUMIF('TL18'!$C$10:$C$224,$C34,'TL18'!$J$10:$J$224),0),
IF('TL18'!$B$229=P$3,SUMIF('TL18'!$C$238:$C$451,$C34,'TL18'!$J$238:$J$451),0),
IF('TL19'!$B$3=P$3,SUMIF('TL19'!$C$10:$C$224,$C34,'TL19'!$J$10:$J$224),0),
IF('TL19'!$B$229=P$3,SUMIF('TL19'!$C$238:$C$451,$C34,'TL19'!$J$238:$J$451),0)
),0)</f>
        <v/>
      </c>
      <c r="Q34" s="9">
        <f>IFERROR(SUM(
IF('TL01'!$B$3=Q$3,SUMIF('TL01'!$C$10:$C$224,$C34,'TL01'!$J$10:$J$224),0),
IF('TL01'!$B$229=Q$3,SUMIF('TL01'!$C$238:$C$451,$C34,'TL01'!$J$238:$J$451),0),
IF('TL02'!$B$3=Q$3,SUMIF('TL02'!$C$10:$C$224,$C34,'TL02'!$J$10:$J$224),0),
IF('TL02'!$B$229=Q$3,SUMIF('TL02'!$C$238:$C$451,$C34,'TL02'!$J$238:$J$451),0),
IF('TL03'!$B$3=Q$3,SUMIF('TL03'!$C$10:$C$224,$C34,'TL03'!$J$10:$J$224),0),
IF('TL03'!$B$229=Q$3,SUMIF('TL03'!$C$238:$C$451,$C34,'TL03'!$J$238:$J$451),0),
IF('TL04'!$B$3=Q$3,SUMIF('TL04'!$C$10:$C$224,$C34,'TL04'!$J$10:$J$224),0),
IF('TL04'!$B$229=Q$3,SUMIF('TL04'!$C$238:$C$451,$C34,'TL04'!$J$238:$J$451),0),
IF('TL05'!$B$3=Q$3,SUMIF('TL05'!$C$10:$C$224,$C34,'TL05'!$J$10:$J$224),0),
IF('TL05'!$B$229=Q$3,SUMIF('TL05'!$C$238:$C$451,$C34,'TL05'!$J$238:$J$451),0),
IF('TL06'!$B$3=Q$3,SUMIF('TL06'!$C$10:$C$224,$C34,'TL06'!$J$10:$J$224),0),
IF('TL06'!$B$229=Q$3,SUMIF('TL06'!$C$238:$C$451,$C34,'TL06'!$J$238:$J$451),0),
IF('TL07'!$B$3=Q$3,SUMIF('TL07'!$C$10:$C$224,$C34,'TL07'!$J$10:$J$224),0),
IF('TL07'!$B$229=Q$3,SUMIF('TL07'!$C$238:$C$451,$C34,'TL07'!$J$238:$J$451),0),
IF('TL08'!$B$3=Q$3,SUMIF('TL08'!$C$10:$C$224,$C34,'TL08'!$J$10:$J$224),0),
IF('TL08'!$B$229=Q$3,SUMIF('TL08'!$C$238:$C$451,$C34,'TL08'!$J$238:$J$451),0),
IF('TL09'!$B$3=Q$3,SUMIF('TL09'!$C$10:$C$224,$C34,'TL09'!$J$10:$J$224),0),
IF('TL09'!$B$229=Q$3,SUMIF('TL09'!$C$238:$C$451,$C34,'TL09'!$J$238:$J$451),0),
IF('TL10'!$B$3=Q$3,SUMIF('TL10'!$C$10:$C$224,$C34,'TL10'!$J$10:$J$224),0),
IF('TL10'!$B$229=Q$3,SUMIF('TL10'!$C$238:$C$451,$C34,'TL10'!$J$238:$J$451),0),
IF('TL11'!$B$3=Q$3,SUMIF('TL11'!$C$10:$C$224,$C34,'TL11'!$J$10:$J$224),0),
IF('TL11'!$B$229=Q$3,SUMIF('TL11'!$C$238:$C$451,$C34,'TL11'!$J$238:$J$451),0),
IF('TL12'!$B$3=Q$3,SUMIF('TL12'!$C$10:$C$224,$C34,'TL12'!$J$10:$J$224),0),
IF('TL12'!$B$229=Q$3,SUMIF('TL12'!$C$238:$C$451,$C34,'TL12'!$J$238:$J$451),0),
IF('TL13'!$B$3=Q$3,SUMIF('TL13'!$C$10:$C$224,$C34,'TL13'!$J$10:$J$224),0),
IF('TL13'!$B$229=Q$3,SUMIF('TL13'!$C$238:$C$451,$C34,'TL13'!$J$238:$J$451),0),
IF('TL14'!$B$3=Q$3,SUMIF('TL14'!$C$10:$C$224,$C34,'TL14'!$J$10:$J$224),0),
IF('TL14'!$B$229=Q$3,SUMIF('TL14'!$C$238:$C$451,$C34,'TL14'!$J$238:$J$451),0),
IF('TL15'!$B$3=Q$3,SUMIF('TL15'!$C$10:$C$224,$C34,'TL15'!$J$10:$J$224),0),
IF('TL15'!$B$229=Q$3,SUMIF('TL15'!$C$238:$C$451,$C34,'TL15'!$J$238:$J$451),0),
IF('TL16'!$B$3=Q$3,SUMIF('TL16'!$C$10:$C$224,$C34,'TL16'!$J$10:$J$224),0),
IF('TL16'!$B$229=Q$3,SUMIF('TL16'!$C$238:$C$451,$C34,'TL16'!$J$238:$J$451),0),
IF('TL17'!$B$3=Q$3,SUMIF('TL17'!$C$10:$C$224,$C34,'TL17'!$J$10:$J$224),0),
IF('TL17'!$B$229=Q$3,SUMIF('TL17'!$C$238:$C$451,$C34,'TL17'!$J$238:$J$451),0),
IF('TL18'!$B$3=Q$3,SUMIF('TL18'!$C$10:$C$224,$C34,'TL18'!$J$10:$J$224),0),
IF('TL18'!$B$229=Q$3,SUMIF('TL18'!$C$238:$C$451,$C34,'TL18'!$J$238:$J$451),0),
IF('TL19'!$B$3=Q$3,SUMIF('TL19'!$C$10:$C$224,$C34,'TL19'!$J$10:$J$224),0),
IF('TL19'!$B$229=Q$3,SUMIF('TL19'!$C$238:$C$451,$C34,'TL19'!$J$238:$J$451),0)
),0)</f>
        <v/>
      </c>
      <c r="R34" s="9">
        <f>IFERROR(
SUM(
SUMIF('TL01'!C:C,C34,'TL01'!J:J),
SUMIF('TL02'!C:C,C34,'TL02'!J:J),
SUMIF('TL03'!C:C,C34,'TL03'!J:J),
SUMIF('TL04'!C:C,C34,'TL04'!J:J),
SUMIF('TL05'!C:C,C34,'TL05'!J:J),
SUMIF('TL06'!C:C,C34,'TL06'!J:J),
SUMIF('TL07'!C:C,C34,'TL07'!J:J),
SUMIF('TL08'!C:C,C34,'TL08'!J:J),
SUMIF('TL09'!C:C,C34,'TL09'!J:J),
SUMIF('TL10'!C:C,C34,'TL10'!J:J),
SUMIF('TL11'!C:C,C34,'TL11'!J:J),
SUMIF('TL12'!C:C,C34,'TL12'!J:J),
SUMIF('TL13'!C:C,C34,'TL13'!J:J),
SUMIF('TL14'!C:C,C34,'TL14'!J:J),
SUMIF('TL15'!C:C,C34,'TL15'!J:J),
SUMIF('TL16'!C:C,C34,'TL16'!J:J),
SUMIF('TL17'!C:C,C34,'TL17'!J:J),
SUMIF('TL18'!C:C,C34,'TL18'!J:J),SUMIF('TL19'!C:C,C34,'TL19'!J:J))
,0)</f>
        <v/>
      </c>
      <c r="S34" s="17">
        <f>IFERROR(__xludf.DUMMYFUNCTION("IFERROR(VLOOKUP(C34,
IMPORTRANGE(""1wULbzX32WdYsx-lj2U3uUNBBe2INVIRDtcK0d-Dvl90"",
""26-27!C:G""),
5,
FALSE),
"""")"),"")</f>
        <v/>
      </c>
      <c r="T34" s="9" t="n"/>
      <c r="U34" s="92">
        <f>MAX(0,R34-T34)</f>
        <v/>
      </c>
      <c r="V34" s="93">
        <f>U34*S34</f>
        <v/>
      </c>
    </row>
    <row r="35" hidden="1" ht="22.5" customHeight="1" s="297">
      <c r="A35" s="106" t="n"/>
      <c r="B35" s="107" t="inlineStr">
        <is>
          <t>FERTILIZANTES</t>
        </is>
      </c>
      <c r="C35" s="108" t="inlineStr">
        <is>
          <t>SUPER DUO</t>
        </is>
      </c>
      <c r="D35" s="108" t="inlineStr">
        <is>
          <t>P2O5 14%</t>
        </is>
      </c>
      <c r="E35" s="109" t="n"/>
      <c r="F35" s="4" t="inlineStr">
        <is>
          <t>Ton</t>
        </is>
      </c>
      <c r="G35" s="9" t="n"/>
      <c r="H35" s="9">
        <f>IFERROR(__xludf.DUMMYFUNCTION("IFERROR(VLOOKUP(C35,
IMPORTRANGE(""1wULbzX32WdYsx-lj2U3uUNBBe2INVIRDtcK0d-Dvl90"",
""26-27!C:K""),
8,
FALSE),
"""")"),"")</f>
        <v/>
      </c>
      <c r="I35" s="110" t="n"/>
      <c r="J35" s="9">
        <f>IFERROR(SUM(
IF('TL01'!$B$3=J$3,SUMIF('TL01'!$C$10:$C$224,$C35,'TL01'!$J$10:$J$224),0),
IF('TL01'!$B$229=J$3,SUMIF('TL01'!$C$238:$C$451,$C35,'TL01'!$J$238:$J$451),0),
IF('TL02'!$B$3=J$3,SUMIF('TL02'!$C$10:$C$224,$C35,'TL02'!$J$10:$J$224),0),
IF('TL02'!$B$229=J$3,SUMIF('TL02'!$C$238:$C$451,$C35,'TL02'!$J$238:$J$451),0),
IF('TL03'!$B$3=J$3,SUMIF('TL03'!$C$10:$C$224,$C35,'TL03'!$J$10:$J$224),0),
IF('TL03'!$B$229=J$3,SUMIF('TL03'!$C$238:$C$451,$C35,'TL03'!$J$238:$J$451),0),
IF('TL04'!$B$3=J$3,SUMIF('TL04'!$C$10:$C$224,$C35,'TL04'!$J$10:$J$224),0),
IF('TL04'!$B$229=J$3,SUMIF('TL04'!$C$238:$C$451,$C35,'TL04'!$J$238:$J$451),0),
IF('TL05'!$B$3=J$3,SUMIF('TL05'!$C$10:$C$224,$C35,'TL05'!$J$10:$J$224),0),
IF('TL05'!$B$229=J$3,SUMIF('TL05'!$C$238:$C$451,$C35,'TL05'!$J$238:$J$451),0),
IF('TL06'!$B$3=J$3,SUMIF('TL06'!$C$10:$C$224,$C35,'TL06'!$J$10:$J$224),0),
IF('TL06'!$B$229=J$3,SUMIF('TL06'!$C$238:$C$451,$C35,'TL06'!$J$238:$J$451),0),
IF('TL07'!$B$3=J$3,SUMIF('TL07'!$C$10:$C$224,$C35,'TL07'!$J$10:$J$224),0),
IF('TL07'!$B$229=J$3,SUMIF('TL07'!$C$238:$C$451,$C35,'TL07'!$J$238:$J$451),0),
IF('TL08'!$B$3=J$3,SUMIF('TL08'!$C$10:$C$224,$C35,'TL08'!$J$10:$J$224),0),
IF('TL08'!$B$229=J$3,SUMIF('TL08'!$C$238:$C$451,$C35,'TL08'!$J$238:$J$451),0),
IF('TL09'!$B$3=J$3,SUMIF('TL09'!$C$10:$C$224,$C35,'TL09'!$J$10:$J$224),0),
IF('TL09'!$B$229=J$3,SUMIF('TL09'!$C$238:$C$451,$C35,'TL09'!$J$238:$J$451),0),
IF('TL10'!$B$3=J$3,SUMIF('TL10'!$C$10:$C$224,$C35,'TL10'!$J$10:$J$224),0),
IF('TL10'!$B$229=J$3,SUMIF('TL10'!$C$238:$C$451,$C35,'TL10'!$J$238:$J$451),0),
IF('TL11'!$B$3=J$3,SUMIF('TL11'!$C$10:$C$224,$C35,'TL11'!$J$10:$J$224),0),
IF('TL11'!$B$229=J$3,SUMIF('TL11'!$C$238:$C$451,$C35,'TL11'!$J$238:$J$451),0),
IF('TL12'!$B$3=J$3,SUMIF('TL12'!$C$10:$C$224,$C35,'TL12'!$J$10:$J$224),0),
IF('TL12'!$B$229=J$3,SUMIF('TL12'!$C$238:$C$451,$C35,'TL12'!$J$238:$J$451),0),
IF('TL13'!$B$3=J$3,SUMIF('TL13'!$C$10:$C$224,$C35,'TL13'!$J$10:$J$224),0),
IF('TL13'!$B$229=J$3,SUMIF('TL13'!$C$238:$C$451,$C35,'TL13'!$J$238:$J$451),0),
IF('TL14'!$B$3=J$3,SUMIF('TL14'!$C$10:$C$224,$C35,'TL14'!$J$10:$J$224),0),
IF('TL14'!$B$229=J$3,SUMIF('TL14'!$C$238:$C$451,$C35,'TL14'!$J$238:$J$451),0),
IF('TL15'!$B$3=J$3,SUMIF('TL15'!$C$10:$C$224,$C35,'TL15'!$J$10:$J$224),0),
IF('TL15'!$B$229=J$3,SUMIF('TL15'!$C$238:$C$451,$C35,'TL15'!$J$238:$J$451),0),
IF('TL16'!$B$3=J$3,SUMIF('TL16'!$C$10:$C$224,$C35,'TL16'!$J$10:$J$224),0),
IF('TL16'!$B$229=J$3,SUMIF('TL16'!$C$238:$C$451,$C35,'TL16'!$J$238:$J$451),0),
IF('TL17'!$B$3=J$3,SUMIF('TL17'!$C$10:$C$224,$C35,'TL17'!$J$10:$J$224),0),
IF('TL17'!$B$229=J$3,SUMIF('TL17'!$C$238:$C$451,$C35,'TL17'!$J$238:$J$451),0),
IF('TL18'!$B$3=J$3,SUMIF('TL18'!$C$10:$C$224,$C35,'TL18'!$J$10:$J$224),0),
IF('TL18'!$B$229=J$3,SUMIF('TL18'!$C$238:$C$451,$C35,'TL18'!$J$238:$J$451),0),
IF('TL19'!$B$3=J$3,SUMIF('TL19'!$C$10:$C$224,$C35,'TL19'!$J$10:$J$224),0),
IF('TL19'!$B$229=J$3,SUMIF('TL19'!$C$238:$C$451,$C35,'TL19'!$J$238:$J$451),0)
),0)</f>
        <v/>
      </c>
      <c r="K35" s="9">
        <f>IFERROR(SUM(
IF('TL01'!$B$3=K$3,SUMIF('TL01'!$C$10:$C$224,$C35,'TL01'!$J$10:$J$224),0),
IF('TL01'!$B$229=K$3,SUMIF('TL01'!$C$238:$C$451,$C35,'TL01'!$J$238:$J$451),0),
IF('TL02'!$B$3=K$3,SUMIF('TL02'!$C$10:$C$224,$C35,'TL02'!$J$10:$J$224),0),
IF('TL02'!$B$229=K$3,SUMIF('TL02'!$C$238:$C$451,$C35,'TL02'!$J$238:$J$451),0),
IF('TL03'!$B$3=K$3,SUMIF('TL03'!$C$10:$C$224,$C35,'TL03'!$J$10:$J$224),0),
IF('TL03'!$B$229=K$3,SUMIF('TL03'!$C$238:$C$451,$C35,'TL03'!$J$238:$J$451),0),
IF('TL04'!$B$3=K$3,SUMIF('TL04'!$C$10:$C$224,$C35,'TL04'!$J$10:$J$224),0),
IF('TL04'!$B$229=K$3,SUMIF('TL04'!$C$238:$C$451,$C35,'TL04'!$J$238:$J$451),0),
IF('TL05'!$B$3=K$3,SUMIF('TL05'!$C$10:$C$224,$C35,'TL05'!$J$10:$J$224),0),
IF('TL05'!$B$229=K$3,SUMIF('TL05'!$C$238:$C$451,$C35,'TL05'!$J$238:$J$451),0),
IF('TL06'!$B$3=K$3,SUMIF('TL06'!$C$10:$C$224,$C35,'TL06'!$J$10:$J$224),0),
IF('TL06'!$B$229=K$3,SUMIF('TL06'!$C$238:$C$451,$C35,'TL06'!$J$238:$J$451),0),
IF('TL07'!$B$3=K$3,SUMIF('TL07'!$C$10:$C$224,$C35,'TL07'!$J$10:$J$224),0),
IF('TL07'!$B$229=K$3,SUMIF('TL07'!$C$238:$C$451,$C35,'TL07'!$J$238:$J$451),0),
IF('TL08'!$B$3=K$3,SUMIF('TL08'!$C$10:$C$224,$C35,'TL08'!$J$10:$J$224),0),
IF('TL08'!$B$229=K$3,SUMIF('TL08'!$C$238:$C$451,$C35,'TL08'!$J$238:$J$451),0),
IF('TL09'!$B$3=K$3,SUMIF('TL09'!$C$10:$C$224,$C35,'TL09'!$J$10:$J$224),0),
IF('TL09'!$B$229=K$3,SUMIF('TL09'!$C$238:$C$451,$C35,'TL09'!$J$238:$J$451),0),
IF('TL10'!$B$3=K$3,SUMIF('TL10'!$C$10:$C$224,$C35,'TL10'!$J$10:$J$224),0),
IF('TL10'!$B$229=K$3,SUMIF('TL10'!$C$238:$C$451,$C35,'TL10'!$J$238:$J$451),0),
IF('TL11'!$B$3=K$3,SUMIF('TL11'!$C$10:$C$224,$C35,'TL11'!$J$10:$J$224),0),
IF('TL11'!$B$229=K$3,SUMIF('TL11'!$C$238:$C$451,$C35,'TL11'!$J$238:$J$451),0),
IF('TL12'!$B$3=K$3,SUMIF('TL12'!$C$10:$C$224,$C35,'TL12'!$J$10:$J$224),0),
IF('TL12'!$B$229=K$3,SUMIF('TL12'!$C$238:$C$451,$C35,'TL12'!$J$238:$J$451),0),
IF('TL13'!$B$3=K$3,SUMIF('TL13'!$C$10:$C$224,$C35,'TL13'!$J$10:$J$224),0),
IF('TL13'!$B$229=K$3,SUMIF('TL13'!$C$238:$C$451,$C35,'TL13'!$J$238:$J$451),0),
IF('TL14'!$B$3=K$3,SUMIF('TL14'!$C$10:$C$224,$C35,'TL14'!$J$10:$J$224),0),
IF('TL14'!$B$229=K$3,SUMIF('TL14'!$C$238:$C$451,$C35,'TL14'!$J$238:$J$451),0),
IF('TL15'!$B$3=K$3,SUMIF('TL15'!$C$10:$C$224,$C35,'TL15'!$J$10:$J$224),0),
IF('TL15'!$B$229=K$3,SUMIF('TL15'!$C$238:$C$451,$C35,'TL15'!$J$238:$J$451),0),
IF('TL16'!$B$3=K$3,SUMIF('TL16'!$C$10:$C$224,$C35,'TL16'!$J$10:$J$224),0),
IF('TL16'!$B$229=K$3,SUMIF('TL16'!$C$238:$C$451,$C35,'TL16'!$J$238:$J$451),0),
IF('TL17'!$B$3=K$3,SUMIF('TL17'!$C$10:$C$224,$C35,'TL17'!$J$10:$J$224),0),
IF('TL17'!$B$229=K$3,SUMIF('TL17'!$C$238:$C$451,$C35,'TL17'!$J$238:$J$451),0),
IF('TL18'!$B$3=K$3,SUMIF('TL18'!$C$10:$C$224,$C35,'TL18'!$J$10:$J$224),0),
IF('TL18'!$B$229=K$3,SUMIF('TL18'!$C$238:$C$451,$C35,'TL18'!$J$238:$J$451),0),
IF('TL19'!$B$3=K$3,SUMIF('TL19'!$C$10:$C$224,$C35,'TL19'!$J$10:$J$224),0),
IF('TL19'!$B$229=K$3,SUMIF('TL19'!$C$238:$C$451,$C35,'TL19'!$J$238:$J$451),0)
),0)</f>
        <v/>
      </c>
      <c r="L35" s="9">
        <f>IFERROR(SUM(
IF('TL01'!$B$3=L$3,SUMIF('TL01'!$C$10:$C$224,$C35,'TL01'!$J$10:$J$224),0),
IF('TL01'!$B$229=L$3,SUMIF('TL01'!$C$238:$C$451,$C35,'TL01'!$J$238:$J$451),0),
IF('TL02'!$B$3=L$3,SUMIF('TL02'!$C$10:$C$224,$C35,'TL02'!$J$10:$J$224),0),
IF('TL02'!$B$229=L$3,SUMIF('TL02'!$C$238:$C$451,$C35,'TL02'!$J$238:$J$451),0),
IF('TL03'!$B$3=L$3,SUMIF('TL03'!$C$10:$C$224,$C35,'TL03'!$J$10:$J$224),0),
IF('TL03'!$B$229=L$3,SUMIF('TL03'!$C$238:$C$451,$C35,'TL03'!$J$238:$J$451),0),
IF('TL04'!$B$3=L$3,SUMIF('TL04'!$C$10:$C$224,$C35,'TL04'!$J$10:$J$224),0),
IF('TL04'!$B$229=L$3,SUMIF('TL04'!$C$238:$C$451,$C35,'TL04'!$J$238:$J$451),0),
IF('TL05'!$B$3=L$3,SUMIF('TL05'!$C$10:$C$224,$C35,'TL05'!$J$10:$J$224),0),
IF('TL05'!$B$229=L$3,SUMIF('TL05'!$C$238:$C$451,$C35,'TL05'!$J$238:$J$451),0),
IF('TL06'!$B$3=L$3,SUMIF('TL06'!$C$10:$C$224,$C35,'TL06'!$J$10:$J$224),0),
IF('TL06'!$B$229=L$3,SUMIF('TL06'!$C$238:$C$451,$C35,'TL06'!$J$238:$J$451),0),
IF('TL07'!$B$3=L$3,SUMIF('TL07'!$C$10:$C$224,$C35,'TL07'!$J$10:$J$224),0),
IF('TL07'!$B$229=L$3,SUMIF('TL07'!$C$238:$C$451,$C35,'TL07'!$J$238:$J$451),0),
IF('TL08'!$B$3=L$3,SUMIF('TL08'!$C$10:$C$224,$C35,'TL08'!$J$10:$J$224),0),
IF('TL08'!$B$229=L$3,SUMIF('TL08'!$C$238:$C$451,$C35,'TL08'!$J$238:$J$451),0),
IF('TL09'!$B$3=L$3,SUMIF('TL09'!$C$10:$C$224,$C35,'TL09'!$J$10:$J$224),0),
IF('TL09'!$B$229=L$3,SUMIF('TL09'!$C$238:$C$451,$C35,'TL09'!$J$238:$J$451),0),
IF('TL10'!$B$3=L$3,SUMIF('TL10'!$C$10:$C$224,$C35,'TL10'!$J$10:$J$224),0),
IF('TL10'!$B$229=L$3,SUMIF('TL10'!$C$238:$C$451,$C35,'TL10'!$J$238:$J$451),0),
IF('TL11'!$B$3=L$3,SUMIF('TL11'!$C$10:$C$224,$C35,'TL11'!$J$10:$J$224),0),
IF('TL11'!$B$229=L$3,SUMIF('TL11'!$C$238:$C$451,$C35,'TL11'!$J$238:$J$451),0),
IF('TL12'!$B$3=L$3,SUMIF('TL12'!$C$10:$C$224,$C35,'TL12'!$J$10:$J$224),0),
IF('TL12'!$B$229=L$3,SUMIF('TL12'!$C$238:$C$451,$C35,'TL12'!$J$238:$J$451),0),
IF('TL13'!$B$3=L$3,SUMIF('TL13'!$C$10:$C$224,$C35,'TL13'!$J$10:$J$224),0),
IF('TL13'!$B$229=L$3,SUMIF('TL13'!$C$238:$C$451,$C35,'TL13'!$J$238:$J$451),0),
IF('TL14'!$B$3=L$3,SUMIF('TL14'!$C$10:$C$224,$C35,'TL14'!$J$10:$J$224),0),
IF('TL14'!$B$229=L$3,SUMIF('TL14'!$C$238:$C$451,$C35,'TL14'!$J$238:$J$451),0),
IF('TL15'!$B$3=L$3,SUMIF('TL15'!$C$10:$C$224,$C35,'TL15'!$J$10:$J$224),0),
IF('TL15'!$B$229=L$3,SUMIF('TL15'!$C$238:$C$451,$C35,'TL15'!$J$238:$J$451),0),
IF('TL16'!$B$3=L$3,SUMIF('TL16'!$C$10:$C$224,$C35,'TL16'!$J$10:$J$224),0),
IF('TL16'!$B$229=L$3,SUMIF('TL16'!$C$238:$C$451,$C35,'TL16'!$J$238:$J$451),0),
IF('TL17'!$B$3=L$3,SUMIF('TL17'!$C$10:$C$224,$C35,'TL17'!$J$10:$J$224),0),
IF('TL17'!$B$229=L$3,SUMIF('TL17'!$C$238:$C$451,$C35,'TL17'!$J$238:$J$451),0),
IF('TL18'!$B$3=L$3,SUMIF('TL18'!$C$10:$C$224,$C35,'TL18'!$J$10:$J$224),0),
IF('TL18'!$B$229=L$3,SUMIF('TL18'!$C$238:$C$451,$C35,'TL18'!$J$238:$J$451),0),
IF('TL19'!$B$3=L$3,SUMIF('TL19'!$C$10:$C$224,$C35,'TL19'!$J$10:$J$224),0),
IF('TL19'!$B$229=L$3,SUMIF('TL19'!$C$238:$C$451,$C35,'TL19'!$J$238:$J$451),0)
),0)</f>
        <v/>
      </c>
      <c r="M35" s="9">
        <f>IFERROR(SUM(
IF('TL01'!$B$3=M$3,SUMIF('TL01'!$C$10:$C$224,$C35,'TL01'!$J$10:$J$224),0),
IF('TL01'!$B$229=M$3,SUMIF('TL01'!$C$238:$C$451,$C35,'TL01'!$J$238:$J$451),0),
IF('TL02'!$B$3=M$3,SUMIF('TL02'!$C$10:$C$224,$C35,'TL02'!$J$10:$J$224),0),
IF('TL02'!$B$229=M$3,SUMIF('TL02'!$C$238:$C$451,$C35,'TL02'!$J$238:$J$451),0),
IF('TL03'!$B$3=M$3,SUMIF('TL03'!$C$10:$C$224,$C35,'TL03'!$J$10:$J$224),0),
IF('TL03'!$B$229=M$3,SUMIF('TL03'!$C$238:$C$451,$C35,'TL03'!$J$238:$J$451),0),
IF('TL04'!$B$3=M$3,SUMIF('TL04'!$C$10:$C$224,$C35,'TL04'!$J$10:$J$224),0),
IF('TL04'!$B$229=M$3,SUMIF('TL04'!$C$238:$C$451,$C35,'TL04'!$J$238:$J$451),0),
IF('TL05'!$B$3=M$3,SUMIF('TL05'!$C$10:$C$224,$C35,'TL05'!$J$10:$J$224),0),
IF('TL05'!$B$229=M$3,SUMIF('TL05'!$C$238:$C$451,$C35,'TL05'!$J$238:$J$451),0),
IF('TL06'!$B$3=M$3,SUMIF('TL06'!$C$10:$C$224,$C35,'TL06'!$J$10:$J$224),0),
IF('TL06'!$B$229=M$3,SUMIF('TL06'!$C$238:$C$451,$C35,'TL06'!$J$238:$J$451),0),
IF('TL07'!$B$3=M$3,SUMIF('TL07'!$C$10:$C$224,$C35,'TL07'!$J$10:$J$224),0),
IF('TL07'!$B$229=M$3,SUMIF('TL07'!$C$238:$C$451,$C35,'TL07'!$J$238:$J$451),0),
IF('TL08'!$B$3=M$3,SUMIF('TL08'!$C$10:$C$224,$C35,'TL08'!$J$10:$J$224),0),
IF('TL08'!$B$229=M$3,SUMIF('TL08'!$C$238:$C$451,$C35,'TL08'!$J$238:$J$451),0),
IF('TL09'!$B$3=M$3,SUMIF('TL09'!$C$10:$C$224,$C35,'TL09'!$J$10:$J$224),0),
IF('TL09'!$B$229=M$3,SUMIF('TL09'!$C$238:$C$451,$C35,'TL09'!$J$238:$J$451),0),
IF('TL10'!$B$3=M$3,SUMIF('TL10'!$C$10:$C$224,$C35,'TL10'!$J$10:$J$224),0),
IF('TL10'!$B$229=M$3,SUMIF('TL10'!$C$238:$C$451,$C35,'TL10'!$J$238:$J$451),0),
IF('TL11'!$B$3=M$3,SUMIF('TL11'!$C$10:$C$224,$C35,'TL11'!$J$10:$J$224),0),
IF('TL11'!$B$229=M$3,SUMIF('TL11'!$C$238:$C$451,$C35,'TL11'!$J$238:$J$451),0),
IF('TL12'!$B$3=M$3,SUMIF('TL12'!$C$10:$C$224,$C35,'TL12'!$J$10:$J$224),0),
IF('TL12'!$B$229=M$3,SUMIF('TL12'!$C$238:$C$451,$C35,'TL12'!$J$238:$J$451),0),
IF('TL13'!$B$3=M$3,SUMIF('TL13'!$C$10:$C$224,$C35,'TL13'!$J$10:$J$224),0),
IF('TL13'!$B$229=M$3,SUMIF('TL13'!$C$238:$C$451,$C35,'TL13'!$J$238:$J$451),0),
IF('TL14'!$B$3=M$3,SUMIF('TL14'!$C$10:$C$224,$C35,'TL14'!$J$10:$J$224),0),
IF('TL14'!$B$229=M$3,SUMIF('TL14'!$C$238:$C$451,$C35,'TL14'!$J$238:$J$451),0),
IF('TL15'!$B$3=M$3,SUMIF('TL15'!$C$10:$C$224,$C35,'TL15'!$J$10:$J$224),0),
IF('TL15'!$B$229=M$3,SUMIF('TL15'!$C$238:$C$451,$C35,'TL15'!$J$238:$J$451),0),
IF('TL16'!$B$3=M$3,SUMIF('TL16'!$C$10:$C$224,$C35,'TL16'!$J$10:$J$224),0),
IF('TL16'!$B$229=M$3,SUMIF('TL16'!$C$238:$C$451,$C35,'TL16'!$J$238:$J$451),0),
IF('TL17'!$B$3=M$3,SUMIF('TL17'!$C$10:$C$224,$C35,'TL17'!$J$10:$J$224),0),
IF('TL17'!$B$229=M$3,SUMIF('TL17'!$C$238:$C$451,$C35,'TL17'!$J$238:$J$451),0),
IF('TL18'!$B$3=M$3,SUMIF('TL18'!$C$10:$C$224,$C35,'TL18'!$J$10:$J$224),0),
IF('TL18'!$B$229=M$3,SUMIF('TL18'!$C$238:$C$451,$C35,'TL18'!$J$238:$J$451),0),
IF('TL19'!$B$3=M$3,SUMIF('TL19'!$C$10:$C$224,$C35,'TL19'!$J$10:$J$224),0),
IF('TL19'!$B$229=M$3,SUMIF('TL19'!$C$238:$C$451,$C35,'TL19'!$J$238:$J$451),0)
),0)</f>
        <v/>
      </c>
      <c r="N35" s="9">
        <f>IFERROR(SUM(
IF('TL01'!$B$3=N$3,SUMIF('TL01'!$C$10:$C$224,$C35,'TL01'!$J$10:$J$224),0),
IF('TL01'!$B$229=N$3,SUMIF('TL01'!$C$238:$C$451,$C35,'TL01'!$J$238:$J$451),0),
IF('TL02'!$B$3=N$3,SUMIF('TL02'!$C$10:$C$224,$C35,'TL02'!$J$10:$J$224),0),
IF('TL02'!$B$229=N$3,SUMIF('TL02'!$C$238:$C$451,$C35,'TL02'!$J$238:$J$451),0),
IF('TL03'!$B$3=N$3,SUMIF('TL03'!$C$10:$C$224,$C35,'TL03'!$J$10:$J$224),0),
IF('TL03'!$B$229=N$3,SUMIF('TL03'!$C$238:$C$451,$C35,'TL03'!$J$238:$J$451),0),
IF('TL04'!$B$3=N$3,SUMIF('TL04'!$C$10:$C$224,$C35,'TL04'!$J$10:$J$224),0),
IF('TL04'!$B$229=N$3,SUMIF('TL04'!$C$238:$C$451,$C35,'TL04'!$J$238:$J$451),0),
IF('TL05'!$B$3=N$3,SUMIF('TL05'!$C$10:$C$224,$C35,'TL05'!$J$10:$J$224),0),
IF('TL05'!$B$229=N$3,SUMIF('TL05'!$C$238:$C$451,$C35,'TL05'!$J$238:$J$451),0),
IF('TL06'!$B$3=N$3,SUMIF('TL06'!$C$10:$C$224,$C35,'TL06'!$J$10:$J$224),0),
IF('TL06'!$B$229=N$3,SUMIF('TL06'!$C$238:$C$451,$C35,'TL06'!$J$238:$J$451),0),
IF('TL07'!$B$3=N$3,SUMIF('TL07'!$C$10:$C$224,$C35,'TL07'!$J$10:$J$224),0),
IF('TL07'!$B$229=N$3,SUMIF('TL07'!$C$238:$C$451,$C35,'TL07'!$J$238:$J$451),0),
IF('TL08'!$B$3=N$3,SUMIF('TL08'!$C$10:$C$224,$C35,'TL08'!$J$10:$J$224),0),
IF('TL08'!$B$229=N$3,SUMIF('TL08'!$C$238:$C$451,$C35,'TL08'!$J$238:$J$451),0),
IF('TL09'!$B$3=N$3,SUMIF('TL09'!$C$10:$C$224,$C35,'TL09'!$J$10:$J$224),0),
IF('TL09'!$B$229=N$3,SUMIF('TL09'!$C$238:$C$451,$C35,'TL09'!$J$238:$J$451),0),
IF('TL10'!$B$3=N$3,SUMIF('TL10'!$C$10:$C$224,$C35,'TL10'!$J$10:$J$224),0),
IF('TL10'!$B$229=N$3,SUMIF('TL10'!$C$238:$C$451,$C35,'TL10'!$J$238:$J$451),0),
IF('TL11'!$B$3=N$3,SUMIF('TL11'!$C$10:$C$224,$C35,'TL11'!$J$10:$J$224),0),
IF('TL11'!$B$229=N$3,SUMIF('TL11'!$C$238:$C$451,$C35,'TL11'!$J$238:$J$451),0),
IF('TL12'!$B$3=N$3,SUMIF('TL12'!$C$10:$C$224,$C35,'TL12'!$J$10:$J$224),0),
IF('TL12'!$B$229=N$3,SUMIF('TL12'!$C$238:$C$451,$C35,'TL12'!$J$238:$J$451),0),
IF('TL13'!$B$3=N$3,SUMIF('TL13'!$C$10:$C$224,$C35,'TL13'!$J$10:$J$224),0),
IF('TL13'!$B$229=N$3,SUMIF('TL13'!$C$238:$C$451,$C35,'TL13'!$J$238:$J$451),0),
IF('TL14'!$B$3=N$3,SUMIF('TL14'!$C$10:$C$224,$C35,'TL14'!$J$10:$J$224),0),
IF('TL14'!$B$229=N$3,SUMIF('TL14'!$C$238:$C$451,$C35,'TL14'!$J$238:$J$451),0),
IF('TL15'!$B$3=N$3,SUMIF('TL15'!$C$10:$C$224,$C35,'TL15'!$J$10:$J$224),0),
IF('TL15'!$B$229=N$3,SUMIF('TL15'!$C$238:$C$451,$C35,'TL15'!$J$238:$J$451),0),
IF('TL16'!$B$3=N$3,SUMIF('TL16'!$C$10:$C$224,$C35,'TL16'!$J$10:$J$224),0),
IF('TL16'!$B$229=N$3,SUMIF('TL16'!$C$238:$C$451,$C35,'TL16'!$J$238:$J$451),0),
IF('TL17'!$B$3=N$3,SUMIF('TL17'!$C$10:$C$224,$C35,'TL17'!$J$10:$J$224),0),
IF('TL17'!$B$229=N$3,SUMIF('TL17'!$C$238:$C$451,$C35,'TL17'!$J$238:$J$451),0),
IF('TL18'!$B$3=N$3,SUMIF('TL18'!$C$10:$C$224,$C35,'TL18'!$J$10:$J$224),0),
IF('TL18'!$B$229=N$3,SUMIF('TL18'!$C$238:$C$451,$C35,'TL18'!$J$238:$J$451),0),
IF('TL19'!$B$3=N$3,SUMIF('TL19'!$C$10:$C$224,$C35,'TL19'!$J$10:$J$224),0),
IF('TL19'!$B$229=N$3,SUMIF('TL19'!$C$238:$C$451,$C35,'TL19'!$J$238:$J$451),0)
),0)</f>
        <v/>
      </c>
      <c r="O35" s="9">
        <f>IFERROR(SUM(
IF('TL01'!$B$3=O$3,SUMIF('TL01'!$C$10:$C$224,$C35,'TL01'!$J$10:$J$224),0),
IF('TL01'!$B$229=O$3,SUMIF('TL01'!$C$238:$C$451,$C35,'TL01'!$J$238:$J$451),0),
IF('TL02'!$B$3=O$3,SUMIF('TL02'!$C$10:$C$224,$C35,'TL02'!$J$10:$J$224),0),
IF('TL02'!$B$229=O$3,SUMIF('TL02'!$C$238:$C$451,$C35,'TL02'!$J$238:$J$451),0),
IF('TL03'!$B$3=O$3,SUMIF('TL03'!$C$10:$C$224,$C35,'TL03'!$J$10:$J$224),0),
IF('TL03'!$B$229=O$3,SUMIF('TL03'!$C$238:$C$451,$C35,'TL03'!$J$238:$J$451),0),
IF('TL04'!$B$3=O$3,SUMIF('TL04'!$C$10:$C$224,$C35,'TL04'!$J$10:$J$224),0),
IF('TL04'!$B$229=O$3,SUMIF('TL04'!$C$238:$C$451,$C35,'TL04'!$J$238:$J$451),0),
IF('TL05'!$B$3=O$3,SUMIF('TL05'!$C$10:$C$224,$C35,'TL05'!$J$10:$J$224),0),
IF('TL05'!$B$229=O$3,SUMIF('TL05'!$C$238:$C$451,$C35,'TL05'!$J$238:$J$451),0),
IF('TL06'!$B$3=O$3,SUMIF('TL06'!$C$10:$C$224,$C35,'TL06'!$J$10:$J$224),0),
IF('TL06'!$B$229=O$3,SUMIF('TL06'!$C$238:$C$451,$C35,'TL06'!$J$238:$J$451),0),
IF('TL07'!$B$3=O$3,SUMIF('TL07'!$C$10:$C$224,$C35,'TL07'!$J$10:$J$224),0),
IF('TL07'!$B$229=O$3,SUMIF('TL07'!$C$238:$C$451,$C35,'TL07'!$J$238:$J$451),0),
IF('TL08'!$B$3=O$3,SUMIF('TL08'!$C$10:$C$224,$C35,'TL08'!$J$10:$J$224),0),
IF('TL08'!$B$229=O$3,SUMIF('TL08'!$C$238:$C$451,$C35,'TL08'!$J$238:$J$451),0),
IF('TL09'!$B$3=O$3,SUMIF('TL09'!$C$10:$C$224,$C35,'TL09'!$J$10:$J$224),0),
IF('TL09'!$B$229=O$3,SUMIF('TL09'!$C$238:$C$451,$C35,'TL09'!$J$238:$J$451),0),
IF('TL10'!$B$3=O$3,SUMIF('TL10'!$C$10:$C$224,$C35,'TL10'!$J$10:$J$224),0),
IF('TL10'!$B$229=O$3,SUMIF('TL10'!$C$238:$C$451,$C35,'TL10'!$J$238:$J$451),0),
IF('TL11'!$B$3=O$3,SUMIF('TL11'!$C$10:$C$224,$C35,'TL11'!$J$10:$J$224),0),
IF('TL11'!$B$229=O$3,SUMIF('TL11'!$C$238:$C$451,$C35,'TL11'!$J$238:$J$451),0),
IF('TL12'!$B$3=O$3,SUMIF('TL12'!$C$10:$C$224,$C35,'TL12'!$J$10:$J$224),0),
IF('TL12'!$B$229=O$3,SUMIF('TL12'!$C$238:$C$451,$C35,'TL12'!$J$238:$J$451),0),
IF('TL13'!$B$3=O$3,SUMIF('TL13'!$C$10:$C$224,$C35,'TL13'!$J$10:$J$224),0),
IF('TL13'!$B$229=O$3,SUMIF('TL13'!$C$238:$C$451,$C35,'TL13'!$J$238:$J$451),0),
IF('TL14'!$B$3=O$3,SUMIF('TL14'!$C$10:$C$224,$C35,'TL14'!$J$10:$J$224),0),
IF('TL14'!$B$229=O$3,SUMIF('TL14'!$C$238:$C$451,$C35,'TL14'!$J$238:$J$451),0),
IF('TL15'!$B$3=O$3,SUMIF('TL15'!$C$10:$C$224,$C35,'TL15'!$J$10:$J$224),0),
IF('TL15'!$B$229=O$3,SUMIF('TL15'!$C$238:$C$451,$C35,'TL15'!$J$238:$J$451),0),
IF('TL16'!$B$3=O$3,SUMIF('TL16'!$C$10:$C$224,$C35,'TL16'!$J$10:$J$224),0),
IF('TL16'!$B$229=O$3,SUMIF('TL16'!$C$238:$C$451,$C35,'TL16'!$J$238:$J$451),0),
IF('TL17'!$B$3=O$3,SUMIF('TL17'!$C$10:$C$224,$C35,'TL17'!$J$10:$J$224),0),
IF('TL17'!$B$229=O$3,SUMIF('TL17'!$C$238:$C$451,$C35,'TL17'!$J$238:$J$451),0),
IF('TL18'!$B$3=O$3,SUMIF('TL18'!$C$10:$C$224,$C35,'TL18'!$J$10:$J$224),0),
IF('TL18'!$B$229=O$3,SUMIF('TL18'!$C$238:$C$451,$C35,'TL18'!$J$238:$J$451),0),
IF('TL19'!$B$3=O$3,SUMIF('TL19'!$C$10:$C$224,$C35,'TL19'!$J$10:$J$224),0),
IF('TL19'!$B$229=O$3,SUMIF('TL19'!$C$238:$C$451,$C35,'TL19'!$J$238:$J$451),0)
),0)</f>
        <v/>
      </c>
      <c r="P35" s="9">
        <f>IFERROR(SUM(
IF('TL01'!$B$3=P$3,SUMIF('TL01'!$C$10:$C$224,$C35,'TL01'!$J$10:$J$224),0),
IF('TL01'!$B$229=P$3,SUMIF('TL01'!$C$238:$C$451,$C35,'TL01'!$J$238:$J$451),0),
IF('TL02'!$B$3=P$3,SUMIF('TL02'!$C$10:$C$224,$C35,'TL02'!$J$10:$J$224),0),
IF('TL02'!$B$229=P$3,SUMIF('TL02'!$C$238:$C$451,$C35,'TL02'!$J$238:$J$451),0),
IF('TL03'!$B$3=P$3,SUMIF('TL03'!$C$10:$C$224,$C35,'TL03'!$J$10:$J$224),0),
IF('TL03'!$B$229=P$3,SUMIF('TL03'!$C$238:$C$451,$C35,'TL03'!$J$238:$J$451),0),
IF('TL04'!$B$3=P$3,SUMIF('TL04'!$C$10:$C$224,$C35,'TL04'!$J$10:$J$224),0),
IF('TL04'!$B$229=P$3,SUMIF('TL04'!$C$238:$C$451,$C35,'TL04'!$J$238:$J$451),0),
IF('TL05'!$B$3=P$3,SUMIF('TL05'!$C$10:$C$224,$C35,'TL05'!$J$10:$J$224),0),
IF('TL05'!$B$229=P$3,SUMIF('TL05'!$C$238:$C$451,$C35,'TL05'!$J$238:$J$451),0),
IF('TL06'!$B$3=P$3,SUMIF('TL06'!$C$10:$C$224,$C35,'TL06'!$J$10:$J$224),0),
IF('TL06'!$B$229=P$3,SUMIF('TL06'!$C$238:$C$451,$C35,'TL06'!$J$238:$J$451),0),
IF('TL07'!$B$3=P$3,SUMIF('TL07'!$C$10:$C$224,$C35,'TL07'!$J$10:$J$224),0),
IF('TL07'!$B$229=P$3,SUMIF('TL07'!$C$238:$C$451,$C35,'TL07'!$J$238:$J$451),0),
IF('TL08'!$B$3=P$3,SUMIF('TL08'!$C$10:$C$224,$C35,'TL08'!$J$10:$J$224),0),
IF('TL08'!$B$229=P$3,SUMIF('TL08'!$C$238:$C$451,$C35,'TL08'!$J$238:$J$451),0),
IF('TL09'!$B$3=P$3,SUMIF('TL09'!$C$10:$C$224,$C35,'TL09'!$J$10:$J$224),0),
IF('TL09'!$B$229=P$3,SUMIF('TL09'!$C$238:$C$451,$C35,'TL09'!$J$238:$J$451),0),
IF('TL10'!$B$3=P$3,SUMIF('TL10'!$C$10:$C$224,$C35,'TL10'!$J$10:$J$224),0),
IF('TL10'!$B$229=P$3,SUMIF('TL10'!$C$238:$C$451,$C35,'TL10'!$J$238:$J$451),0),
IF('TL11'!$B$3=P$3,SUMIF('TL11'!$C$10:$C$224,$C35,'TL11'!$J$10:$J$224),0),
IF('TL11'!$B$229=P$3,SUMIF('TL11'!$C$238:$C$451,$C35,'TL11'!$J$238:$J$451),0),
IF('TL12'!$B$3=P$3,SUMIF('TL12'!$C$10:$C$224,$C35,'TL12'!$J$10:$J$224),0),
IF('TL12'!$B$229=P$3,SUMIF('TL12'!$C$238:$C$451,$C35,'TL12'!$J$238:$J$451),0),
IF('TL13'!$B$3=P$3,SUMIF('TL13'!$C$10:$C$224,$C35,'TL13'!$J$10:$J$224),0),
IF('TL13'!$B$229=P$3,SUMIF('TL13'!$C$238:$C$451,$C35,'TL13'!$J$238:$J$451),0),
IF('TL14'!$B$3=P$3,SUMIF('TL14'!$C$10:$C$224,$C35,'TL14'!$J$10:$J$224),0),
IF('TL14'!$B$229=P$3,SUMIF('TL14'!$C$238:$C$451,$C35,'TL14'!$J$238:$J$451),0),
IF('TL15'!$B$3=P$3,SUMIF('TL15'!$C$10:$C$224,$C35,'TL15'!$J$10:$J$224),0),
IF('TL15'!$B$229=P$3,SUMIF('TL15'!$C$238:$C$451,$C35,'TL15'!$J$238:$J$451),0),
IF('TL16'!$B$3=P$3,SUMIF('TL16'!$C$10:$C$224,$C35,'TL16'!$J$10:$J$224),0),
IF('TL16'!$B$229=P$3,SUMIF('TL16'!$C$238:$C$451,$C35,'TL16'!$J$238:$J$451),0),
IF('TL17'!$B$3=P$3,SUMIF('TL17'!$C$10:$C$224,$C35,'TL17'!$J$10:$J$224),0),
IF('TL17'!$B$229=P$3,SUMIF('TL17'!$C$238:$C$451,$C35,'TL17'!$J$238:$J$451),0),
IF('TL18'!$B$3=P$3,SUMIF('TL18'!$C$10:$C$224,$C35,'TL18'!$J$10:$J$224),0),
IF('TL18'!$B$229=P$3,SUMIF('TL18'!$C$238:$C$451,$C35,'TL18'!$J$238:$J$451),0),
IF('TL19'!$B$3=P$3,SUMIF('TL19'!$C$10:$C$224,$C35,'TL19'!$J$10:$J$224),0),
IF('TL19'!$B$229=P$3,SUMIF('TL19'!$C$238:$C$451,$C35,'TL19'!$J$238:$J$451),0)
),0)</f>
        <v/>
      </c>
      <c r="Q35" s="9">
        <f>IFERROR(SUM(
IF('TL01'!$B$3=Q$3,SUMIF('TL01'!$C$10:$C$224,$C35,'TL01'!$J$10:$J$224),0),
IF('TL01'!$B$229=Q$3,SUMIF('TL01'!$C$238:$C$451,$C35,'TL01'!$J$238:$J$451),0),
IF('TL02'!$B$3=Q$3,SUMIF('TL02'!$C$10:$C$224,$C35,'TL02'!$J$10:$J$224),0),
IF('TL02'!$B$229=Q$3,SUMIF('TL02'!$C$238:$C$451,$C35,'TL02'!$J$238:$J$451),0),
IF('TL03'!$B$3=Q$3,SUMIF('TL03'!$C$10:$C$224,$C35,'TL03'!$J$10:$J$224),0),
IF('TL03'!$B$229=Q$3,SUMIF('TL03'!$C$238:$C$451,$C35,'TL03'!$J$238:$J$451),0),
IF('TL04'!$B$3=Q$3,SUMIF('TL04'!$C$10:$C$224,$C35,'TL04'!$J$10:$J$224),0),
IF('TL04'!$B$229=Q$3,SUMIF('TL04'!$C$238:$C$451,$C35,'TL04'!$J$238:$J$451),0),
IF('TL05'!$B$3=Q$3,SUMIF('TL05'!$C$10:$C$224,$C35,'TL05'!$J$10:$J$224),0),
IF('TL05'!$B$229=Q$3,SUMIF('TL05'!$C$238:$C$451,$C35,'TL05'!$J$238:$J$451),0),
IF('TL06'!$B$3=Q$3,SUMIF('TL06'!$C$10:$C$224,$C35,'TL06'!$J$10:$J$224),0),
IF('TL06'!$B$229=Q$3,SUMIF('TL06'!$C$238:$C$451,$C35,'TL06'!$J$238:$J$451),0),
IF('TL07'!$B$3=Q$3,SUMIF('TL07'!$C$10:$C$224,$C35,'TL07'!$J$10:$J$224),0),
IF('TL07'!$B$229=Q$3,SUMIF('TL07'!$C$238:$C$451,$C35,'TL07'!$J$238:$J$451),0),
IF('TL08'!$B$3=Q$3,SUMIF('TL08'!$C$10:$C$224,$C35,'TL08'!$J$10:$J$224),0),
IF('TL08'!$B$229=Q$3,SUMIF('TL08'!$C$238:$C$451,$C35,'TL08'!$J$238:$J$451),0),
IF('TL09'!$B$3=Q$3,SUMIF('TL09'!$C$10:$C$224,$C35,'TL09'!$J$10:$J$224),0),
IF('TL09'!$B$229=Q$3,SUMIF('TL09'!$C$238:$C$451,$C35,'TL09'!$J$238:$J$451),0),
IF('TL10'!$B$3=Q$3,SUMIF('TL10'!$C$10:$C$224,$C35,'TL10'!$J$10:$J$224),0),
IF('TL10'!$B$229=Q$3,SUMIF('TL10'!$C$238:$C$451,$C35,'TL10'!$J$238:$J$451),0),
IF('TL11'!$B$3=Q$3,SUMIF('TL11'!$C$10:$C$224,$C35,'TL11'!$J$10:$J$224),0),
IF('TL11'!$B$229=Q$3,SUMIF('TL11'!$C$238:$C$451,$C35,'TL11'!$J$238:$J$451),0),
IF('TL12'!$B$3=Q$3,SUMIF('TL12'!$C$10:$C$224,$C35,'TL12'!$J$10:$J$224),0),
IF('TL12'!$B$229=Q$3,SUMIF('TL12'!$C$238:$C$451,$C35,'TL12'!$J$238:$J$451),0),
IF('TL13'!$B$3=Q$3,SUMIF('TL13'!$C$10:$C$224,$C35,'TL13'!$J$10:$J$224),0),
IF('TL13'!$B$229=Q$3,SUMIF('TL13'!$C$238:$C$451,$C35,'TL13'!$J$238:$J$451),0),
IF('TL14'!$B$3=Q$3,SUMIF('TL14'!$C$10:$C$224,$C35,'TL14'!$J$10:$J$224),0),
IF('TL14'!$B$229=Q$3,SUMIF('TL14'!$C$238:$C$451,$C35,'TL14'!$J$238:$J$451),0),
IF('TL15'!$B$3=Q$3,SUMIF('TL15'!$C$10:$C$224,$C35,'TL15'!$J$10:$J$224),0),
IF('TL15'!$B$229=Q$3,SUMIF('TL15'!$C$238:$C$451,$C35,'TL15'!$J$238:$J$451),0),
IF('TL16'!$B$3=Q$3,SUMIF('TL16'!$C$10:$C$224,$C35,'TL16'!$J$10:$J$224),0),
IF('TL16'!$B$229=Q$3,SUMIF('TL16'!$C$238:$C$451,$C35,'TL16'!$J$238:$J$451),0),
IF('TL17'!$B$3=Q$3,SUMIF('TL17'!$C$10:$C$224,$C35,'TL17'!$J$10:$J$224),0),
IF('TL17'!$B$229=Q$3,SUMIF('TL17'!$C$238:$C$451,$C35,'TL17'!$J$238:$J$451),0),
IF('TL18'!$B$3=Q$3,SUMIF('TL18'!$C$10:$C$224,$C35,'TL18'!$J$10:$J$224),0),
IF('TL18'!$B$229=Q$3,SUMIF('TL18'!$C$238:$C$451,$C35,'TL18'!$J$238:$J$451),0),
IF('TL19'!$B$3=Q$3,SUMIF('TL19'!$C$10:$C$224,$C35,'TL19'!$J$10:$J$224),0),
IF('TL19'!$B$229=Q$3,SUMIF('TL19'!$C$238:$C$451,$C35,'TL19'!$J$238:$J$451),0)
),0)</f>
        <v/>
      </c>
      <c r="R35" s="9">
        <f>IFERROR(
SUM(
SUMIF('TL01'!C:C,C35,'TL01'!J:J),
SUMIF('TL02'!C:C,C35,'TL02'!J:J),
SUMIF('TL03'!C:C,C35,'TL03'!J:J),
SUMIF('TL04'!C:C,C35,'TL04'!J:J),
SUMIF('TL05'!C:C,C35,'TL05'!J:J),
SUMIF('TL06'!C:C,C35,'TL06'!J:J),
SUMIF('TL07'!C:C,C35,'TL07'!J:J),
SUMIF('TL08'!C:C,C35,'TL08'!J:J),
SUMIF('TL09'!C:C,C35,'TL09'!J:J),
SUMIF('TL10'!C:C,C35,'TL10'!J:J),
SUMIF('TL11'!C:C,C35,'TL11'!J:J),
SUMIF('TL12'!C:C,C35,'TL12'!J:J),
SUMIF('TL13'!C:C,C35,'TL13'!J:J),
SUMIF('TL14'!C:C,C35,'TL14'!J:J),
SUMIF('TL15'!C:C,C35,'TL15'!J:J),
SUMIF('TL16'!C:C,C35,'TL16'!J:J),
SUMIF('TL17'!C:C,C35,'TL17'!J:J),
SUMIF('TL18'!C:C,C35,'TL18'!J:J),SUMIF('TL19'!C:C,C35,'TL19'!J:J))
,0)</f>
        <v/>
      </c>
      <c r="S35" s="17">
        <f>IFERROR(__xludf.DUMMYFUNCTION("IFERROR(VLOOKUP(C35,
IMPORTRANGE(""1wULbzX32WdYsx-lj2U3uUNBBe2INVIRDtcK0d-Dvl90"",
""26-27!C:G""),
5,
FALSE),
"""")"),"")</f>
        <v/>
      </c>
      <c r="T35" s="9" t="n">
        <v>750</v>
      </c>
      <c r="U35" s="92">
        <f>MAX(0,R35-T35)</f>
        <v/>
      </c>
      <c r="V35" s="93">
        <f>U35*S35</f>
        <v/>
      </c>
    </row>
    <row r="36" hidden="1" ht="22.5" customHeight="1" s="297">
      <c r="A36" s="101" t="n"/>
      <c r="B36" s="102" t="inlineStr">
        <is>
          <t>FERTILIZANTES</t>
        </is>
      </c>
      <c r="C36" s="103" t="inlineStr">
        <is>
          <t>08-40-00 - 100M</t>
        </is>
      </c>
      <c r="D36" s="103" t="inlineStr">
        <is>
          <t>P2O5 40</t>
        </is>
      </c>
      <c r="E36" s="104" t="n"/>
      <c r="F36" s="4" t="inlineStr">
        <is>
          <t>Ton</t>
        </is>
      </c>
      <c r="G36" s="9" t="n"/>
      <c r="H36" s="9">
        <f>IFERROR(__xludf.DUMMYFUNCTION("IFERROR(VLOOKUP(C36,
IMPORTRANGE(""1wULbzX32WdYsx-lj2U3uUNBBe2INVIRDtcK0d-Dvl90"",
""26-27!C:K""),
8,
FALSE),
"""")"),"")</f>
        <v/>
      </c>
      <c r="I36" s="105" t="n"/>
      <c r="J36" s="9">
        <f>IFERROR(SUM(
IF('TL01'!$B$3=J$3,SUMIF('TL01'!$C$10:$C$224,$C36,'TL01'!$J$10:$J$224),0),
IF('TL01'!$B$229=J$3,SUMIF('TL01'!$C$238:$C$451,$C36,'TL01'!$J$238:$J$451),0),
IF('TL02'!$B$3=J$3,SUMIF('TL02'!$C$10:$C$224,$C36,'TL02'!$J$10:$J$224),0),
IF('TL02'!$B$229=J$3,SUMIF('TL02'!$C$238:$C$451,$C36,'TL02'!$J$238:$J$451),0),
IF('TL03'!$B$3=J$3,SUMIF('TL03'!$C$10:$C$224,$C36,'TL03'!$J$10:$J$224),0),
IF('TL03'!$B$229=J$3,SUMIF('TL03'!$C$238:$C$451,$C36,'TL03'!$J$238:$J$451),0),
IF('TL04'!$B$3=J$3,SUMIF('TL04'!$C$10:$C$224,$C36,'TL04'!$J$10:$J$224),0),
IF('TL04'!$B$229=J$3,SUMIF('TL04'!$C$238:$C$451,$C36,'TL04'!$J$238:$J$451),0),
IF('TL05'!$B$3=J$3,SUMIF('TL05'!$C$10:$C$224,$C36,'TL05'!$J$10:$J$224),0),
IF('TL05'!$B$229=J$3,SUMIF('TL05'!$C$238:$C$451,$C36,'TL05'!$J$238:$J$451),0),
IF('TL06'!$B$3=J$3,SUMIF('TL06'!$C$10:$C$224,$C36,'TL06'!$J$10:$J$224),0),
IF('TL06'!$B$229=J$3,SUMIF('TL06'!$C$238:$C$451,$C36,'TL06'!$J$238:$J$451),0),
IF('TL07'!$B$3=J$3,SUMIF('TL07'!$C$10:$C$224,$C36,'TL07'!$J$10:$J$224),0),
IF('TL07'!$B$229=J$3,SUMIF('TL07'!$C$238:$C$451,$C36,'TL07'!$J$238:$J$451),0),
IF('TL08'!$B$3=J$3,SUMIF('TL08'!$C$10:$C$224,$C36,'TL08'!$J$10:$J$224),0),
IF('TL08'!$B$229=J$3,SUMIF('TL08'!$C$238:$C$451,$C36,'TL08'!$J$238:$J$451),0),
IF('TL09'!$B$3=J$3,SUMIF('TL09'!$C$10:$C$224,$C36,'TL09'!$J$10:$J$224),0),
IF('TL09'!$B$229=J$3,SUMIF('TL09'!$C$238:$C$451,$C36,'TL09'!$J$238:$J$451),0),
IF('TL10'!$B$3=J$3,SUMIF('TL10'!$C$10:$C$224,$C36,'TL10'!$J$10:$J$224),0),
IF('TL10'!$B$229=J$3,SUMIF('TL10'!$C$238:$C$451,$C36,'TL10'!$J$238:$J$451),0),
IF('TL11'!$B$3=J$3,SUMIF('TL11'!$C$10:$C$224,$C36,'TL11'!$J$10:$J$224),0),
IF('TL11'!$B$229=J$3,SUMIF('TL11'!$C$238:$C$451,$C36,'TL11'!$J$238:$J$451),0),
IF('TL12'!$B$3=J$3,SUMIF('TL12'!$C$10:$C$224,$C36,'TL12'!$J$10:$J$224),0),
IF('TL12'!$B$229=J$3,SUMIF('TL12'!$C$238:$C$451,$C36,'TL12'!$J$238:$J$451),0),
IF('TL13'!$B$3=J$3,SUMIF('TL13'!$C$10:$C$224,$C36,'TL13'!$J$10:$J$224),0),
IF('TL13'!$B$229=J$3,SUMIF('TL13'!$C$238:$C$451,$C36,'TL13'!$J$238:$J$451),0),
IF('TL14'!$B$3=J$3,SUMIF('TL14'!$C$10:$C$224,$C36,'TL14'!$J$10:$J$224),0),
IF('TL14'!$B$229=J$3,SUMIF('TL14'!$C$238:$C$451,$C36,'TL14'!$J$238:$J$451),0),
IF('TL15'!$B$3=J$3,SUMIF('TL15'!$C$10:$C$224,$C36,'TL15'!$J$10:$J$224),0),
IF('TL15'!$B$229=J$3,SUMIF('TL15'!$C$238:$C$451,$C36,'TL15'!$J$238:$J$451),0),
IF('TL16'!$B$3=J$3,SUMIF('TL16'!$C$10:$C$224,$C36,'TL16'!$J$10:$J$224),0),
IF('TL16'!$B$229=J$3,SUMIF('TL16'!$C$238:$C$451,$C36,'TL16'!$J$238:$J$451),0),
IF('TL17'!$B$3=J$3,SUMIF('TL17'!$C$10:$C$224,$C36,'TL17'!$J$10:$J$224),0),
IF('TL17'!$B$229=J$3,SUMIF('TL17'!$C$238:$C$451,$C36,'TL17'!$J$238:$J$451),0),
IF('TL18'!$B$3=J$3,SUMIF('TL18'!$C$10:$C$224,$C36,'TL18'!$J$10:$J$224),0),
IF('TL18'!$B$229=J$3,SUMIF('TL18'!$C$238:$C$451,$C36,'TL18'!$J$238:$J$451),0),
IF('TL19'!$B$3=J$3,SUMIF('TL19'!$C$10:$C$224,$C36,'TL19'!$J$10:$J$224),0),
IF('TL19'!$B$229=J$3,SUMIF('TL19'!$C$238:$C$451,$C36,'TL19'!$J$238:$J$451),0)
),0)</f>
        <v/>
      </c>
      <c r="K36" s="9">
        <f>IFERROR(SUM(
IF('TL01'!$B$3=K$3,SUMIF('TL01'!$C$10:$C$224,$C36,'TL01'!$J$10:$J$224),0),
IF('TL01'!$B$229=K$3,SUMIF('TL01'!$C$238:$C$451,$C36,'TL01'!$J$238:$J$451),0),
IF('TL02'!$B$3=K$3,SUMIF('TL02'!$C$10:$C$224,$C36,'TL02'!$J$10:$J$224),0),
IF('TL02'!$B$229=K$3,SUMIF('TL02'!$C$238:$C$451,$C36,'TL02'!$J$238:$J$451),0),
IF('TL03'!$B$3=K$3,SUMIF('TL03'!$C$10:$C$224,$C36,'TL03'!$J$10:$J$224),0),
IF('TL03'!$B$229=K$3,SUMIF('TL03'!$C$238:$C$451,$C36,'TL03'!$J$238:$J$451),0),
IF('TL04'!$B$3=K$3,SUMIF('TL04'!$C$10:$C$224,$C36,'TL04'!$J$10:$J$224),0),
IF('TL04'!$B$229=K$3,SUMIF('TL04'!$C$238:$C$451,$C36,'TL04'!$J$238:$J$451),0),
IF('TL05'!$B$3=K$3,SUMIF('TL05'!$C$10:$C$224,$C36,'TL05'!$J$10:$J$224),0),
IF('TL05'!$B$229=K$3,SUMIF('TL05'!$C$238:$C$451,$C36,'TL05'!$J$238:$J$451),0),
IF('TL06'!$B$3=K$3,SUMIF('TL06'!$C$10:$C$224,$C36,'TL06'!$J$10:$J$224),0),
IF('TL06'!$B$229=K$3,SUMIF('TL06'!$C$238:$C$451,$C36,'TL06'!$J$238:$J$451),0),
IF('TL07'!$B$3=K$3,SUMIF('TL07'!$C$10:$C$224,$C36,'TL07'!$J$10:$J$224),0),
IF('TL07'!$B$229=K$3,SUMIF('TL07'!$C$238:$C$451,$C36,'TL07'!$J$238:$J$451),0),
IF('TL08'!$B$3=K$3,SUMIF('TL08'!$C$10:$C$224,$C36,'TL08'!$J$10:$J$224),0),
IF('TL08'!$B$229=K$3,SUMIF('TL08'!$C$238:$C$451,$C36,'TL08'!$J$238:$J$451),0),
IF('TL09'!$B$3=K$3,SUMIF('TL09'!$C$10:$C$224,$C36,'TL09'!$J$10:$J$224),0),
IF('TL09'!$B$229=K$3,SUMIF('TL09'!$C$238:$C$451,$C36,'TL09'!$J$238:$J$451),0),
IF('TL10'!$B$3=K$3,SUMIF('TL10'!$C$10:$C$224,$C36,'TL10'!$J$10:$J$224),0),
IF('TL10'!$B$229=K$3,SUMIF('TL10'!$C$238:$C$451,$C36,'TL10'!$J$238:$J$451),0),
IF('TL11'!$B$3=K$3,SUMIF('TL11'!$C$10:$C$224,$C36,'TL11'!$J$10:$J$224),0),
IF('TL11'!$B$229=K$3,SUMIF('TL11'!$C$238:$C$451,$C36,'TL11'!$J$238:$J$451),0),
IF('TL12'!$B$3=K$3,SUMIF('TL12'!$C$10:$C$224,$C36,'TL12'!$J$10:$J$224),0),
IF('TL12'!$B$229=K$3,SUMIF('TL12'!$C$238:$C$451,$C36,'TL12'!$J$238:$J$451),0),
IF('TL13'!$B$3=K$3,SUMIF('TL13'!$C$10:$C$224,$C36,'TL13'!$J$10:$J$224),0),
IF('TL13'!$B$229=K$3,SUMIF('TL13'!$C$238:$C$451,$C36,'TL13'!$J$238:$J$451),0),
IF('TL14'!$B$3=K$3,SUMIF('TL14'!$C$10:$C$224,$C36,'TL14'!$J$10:$J$224),0),
IF('TL14'!$B$229=K$3,SUMIF('TL14'!$C$238:$C$451,$C36,'TL14'!$J$238:$J$451),0),
IF('TL15'!$B$3=K$3,SUMIF('TL15'!$C$10:$C$224,$C36,'TL15'!$J$10:$J$224),0),
IF('TL15'!$B$229=K$3,SUMIF('TL15'!$C$238:$C$451,$C36,'TL15'!$J$238:$J$451),0),
IF('TL16'!$B$3=K$3,SUMIF('TL16'!$C$10:$C$224,$C36,'TL16'!$J$10:$J$224),0),
IF('TL16'!$B$229=K$3,SUMIF('TL16'!$C$238:$C$451,$C36,'TL16'!$J$238:$J$451),0),
IF('TL17'!$B$3=K$3,SUMIF('TL17'!$C$10:$C$224,$C36,'TL17'!$J$10:$J$224),0),
IF('TL17'!$B$229=K$3,SUMIF('TL17'!$C$238:$C$451,$C36,'TL17'!$J$238:$J$451),0),
IF('TL18'!$B$3=K$3,SUMIF('TL18'!$C$10:$C$224,$C36,'TL18'!$J$10:$J$224),0),
IF('TL18'!$B$229=K$3,SUMIF('TL18'!$C$238:$C$451,$C36,'TL18'!$J$238:$J$451),0),
IF('TL19'!$B$3=K$3,SUMIF('TL19'!$C$10:$C$224,$C36,'TL19'!$J$10:$J$224),0),
IF('TL19'!$B$229=K$3,SUMIF('TL19'!$C$238:$C$451,$C36,'TL19'!$J$238:$J$451),0)
),0)</f>
        <v/>
      </c>
      <c r="L36" s="9">
        <f>IFERROR(SUM(
IF('TL01'!$B$3=L$3,SUMIF('TL01'!$C$10:$C$224,$C36,'TL01'!$J$10:$J$224),0),
IF('TL01'!$B$229=L$3,SUMIF('TL01'!$C$238:$C$451,$C36,'TL01'!$J$238:$J$451),0),
IF('TL02'!$B$3=L$3,SUMIF('TL02'!$C$10:$C$224,$C36,'TL02'!$J$10:$J$224),0),
IF('TL02'!$B$229=L$3,SUMIF('TL02'!$C$238:$C$451,$C36,'TL02'!$J$238:$J$451),0),
IF('TL03'!$B$3=L$3,SUMIF('TL03'!$C$10:$C$224,$C36,'TL03'!$J$10:$J$224),0),
IF('TL03'!$B$229=L$3,SUMIF('TL03'!$C$238:$C$451,$C36,'TL03'!$J$238:$J$451),0),
IF('TL04'!$B$3=L$3,SUMIF('TL04'!$C$10:$C$224,$C36,'TL04'!$J$10:$J$224),0),
IF('TL04'!$B$229=L$3,SUMIF('TL04'!$C$238:$C$451,$C36,'TL04'!$J$238:$J$451),0),
IF('TL05'!$B$3=L$3,SUMIF('TL05'!$C$10:$C$224,$C36,'TL05'!$J$10:$J$224),0),
IF('TL05'!$B$229=L$3,SUMIF('TL05'!$C$238:$C$451,$C36,'TL05'!$J$238:$J$451),0),
IF('TL06'!$B$3=L$3,SUMIF('TL06'!$C$10:$C$224,$C36,'TL06'!$J$10:$J$224),0),
IF('TL06'!$B$229=L$3,SUMIF('TL06'!$C$238:$C$451,$C36,'TL06'!$J$238:$J$451),0),
IF('TL07'!$B$3=L$3,SUMIF('TL07'!$C$10:$C$224,$C36,'TL07'!$J$10:$J$224),0),
IF('TL07'!$B$229=L$3,SUMIF('TL07'!$C$238:$C$451,$C36,'TL07'!$J$238:$J$451),0),
IF('TL08'!$B$3=L$3,SUMIF('TL08'!$C$10:$C$224,$C36,'TL08'!$J$10:$J$224),0),
IF('TL08'!$B$229=L$3,SUMIF('TL08'!$C$238:$C$451,$C36,'TL08'!$J$238:$J$451),0),
IF('TL09'!$B$3=L$3,SUMIF('TL09'!$C$10:$C$224,$C36,'TL09'!$J$10:$J$224),0),
IF('TL09'!$B$229=L$3,SUMIF('TL09'!$C$238:$C$451,$C36,'TL09'!$J$238:$J$451),0),
IF('TL10'!$B$3=L$3,SUMIF('TL10'!$C$10:$C$224,$C36,'TL10'!$J$10:$J$224),0),
IF('TL10'!$B$229=L$3,SUMIF('TL10'!$C$238:$C$451,$C36,'TL10'!$J$238:$J$451),0),
IF('TL11'!$B$3=L$3,SUMIF('TL11'!$C$10:$C$224,$C36,'TL11'!$J$10:$J$224),0),
IF('TL11'!$B$229=L$3,SUMIF('TL11'!$C$238:$C$451,$C36,'TL11'!$J$238:$J$451),0),
IF('TL12'!$B$3=L$3,SUMIF('TL12'!$C$10:$C$224,$C36,'TL12'!$J$10:$J$224),0),
IF('TL12'!$B$229=L$3,SUMIF('TL12'!$C$238:$C$451,$C36,'TL12'!$J$238:$J$451),0),
IF('TL13'!$B$3=L$3,SUMIF('TL13'!$C$10:$C$224,$C36,'TL13'!$J$10:$J$224),0),
IF('TL13'!$B$229=L$3,SUMIF('TL13'!$C$238:$C$451,$C36,'TL13'!$J$238:$J$451),0),
IF('TL14'!$B$3=L$3,SUMIF('TL14'!$C$10:$C$224,$C36,'TL14'!$J$10:$J$224),0),
IF('TL14'!$B$229=L$3,SUMIF('TL14'!$C$238:$C$451,$C36,'TL14'!$J$238:$J$451),0),
IF('TL15'!$B$3=L$3,SUMIF('TL15'!$C$10:$C$224,$C36,'TL15'!$J$10:$J$224),0),
IF('TL15'!$B$229=L$3,SUMIF('TL15'!$C$238:$C$451,$C36,'TL15'!$J$238:$J$451),0),
IF('TL16'!$B$3=L$3,SUMIF('TL16'!$C$10:$C$224,$C36,'TL16'!$J$10:$J$224),0),
IF('TL16'!$B$229=L$3,SUMIF('TL16'!$C$238:$C$451,$C36,'TL16'!$J$238:$J$451),0),
IF('TL17'!$B$3=L$3,SUMIF('TL17'!$C$10:$C$224,$C36,'TL17'!$J$10:$J$224),0),
IF('TL17'!$B$229=L$3,SUMIF('TL17'!$C$238:$C$451,$C36,'TL17'!$J$238:$J$451),0),
IF('TL18'!$B$3=L$3,SUMIF('TL18'!$C$10:$C$224,$C36,'TL18'!$J$10:$J$224),0),
IF('TL18'!$B$229=L$3,SUMIF('TL18'!$C$238:$C$451,$C36,'TL18'!$J$238:$J$451),0),
IF('TL19'!$B$3=L$3,SUMIF('TL19'!$C$10:$C$224,$C36,'TL19'!$J$10:$J$224),0),
IF('TL19'!$B$229=L$3,SUMIF('TL19'!$C$238:$C$451,$C36,'TL19'!$J$238:$J$451),0)
),0)</f>
        <v/>
      </c>
      <c r="M36" s="9">
        <f>IFERROR(SUM(
IF('TL01'!$B$3=M$3,SUMIF('TL01'!$C$10:$C$224,$C36,'TL01'!$J$10:$J$224),0),
IF('TL01'!$B$229=M$3,SUMIF('TL01'!$C$238:$C$451,$C36,'TL01'!$J$238:$J$451),0),
IF('TL02'!$B$3=M$3,SUMIF('TL02'!$C$10:$C$224,$C36,'TL02'!$J$10:$J$224),0),
IF('TL02'!$B$229=M$3,SUMIF('TL02'!$C$238:$C$451,$C36,'TL02'!$J$238:$J$451),0),
IF('TL03'!$B$3=M$3,SUMIF('TL03'!$C$10:$C$224,$C36,'TL03'!$J$10:$J$224),0),
IF('TL03'!$B$229=M$3,SUMIF('TL03'!$C$238:$C$451,$C36,'TL03'!$J$238:$J$451),0),
IF('TL04'!$B$3=M$3,SUMIF('TL04'!$C$10:$C$224,$C36,'TL04'!$J$10:$J$224),0),
IF('TL04'!$B$229=M$3,SUMIF('TL04'!$C$238:$C$451,$C36,'TL04'!$J$238:$J$451),0),
IF('TL05'!$B$3=M$3,SUMIF('TL05'!$C$10:$C$224,$C36,'TL05'!$J$10:$J$224),0),
IF('TL05'!$B$229=M$3,SUMIF('TL05'!$C$238:$C$451,$C36,'TL05'!$J$238:$J$451),0),
IF('TL06'!$B$3=M$3,SUMIF('TL06'!$C$10:$C$224,$C36,'TL06'!$J$10:$J$224),0),
IF('TL06'!$B$229=M$3,SUMIF('TL06'!$C$238:$C$451,$C36,'TL06'!$J$238:$J$451),0),
IF('TL07'!$B$3=M$3,SUMIF('TL07'!$C$10:$C$224,$C36,'TL07'!$J$10:$J$224),0),
IF('TL07'!$B$229=M$3,SUMIF('TL07'!$C$238:$C$451,$C36,'TL07'!$J$238:$J$451),0),
IF('TL08'!$B$3=M$3,SUMIF('TL08'!$C$10:$C$224,$C36,'TL08'!$J$10:$J$224),0),
IF('TL08'!$B$229=M$3,SUMIF('TL08'!$C$238:$C$451,$C36,'TL08'!$J$238:$J$451),0),
IF('TL09'!$B$3=M$3,SUMIF('TL09'!$C$10:$C$224,$C36,'TL09'!$J$10:$J$224),0),
IF('TL09'!$B$229=M$3,SUMIF('TL09'!$C$238:$C$451,$C36,'TL09'!$J$238:$J$451),0),
IF('TL10'!$B$3=M$3,SUMIF('TL10'!$C$10:$C$224,$C36,'TL10'!$J$10:$J$224),0),
IF('TL10'!$B$229=M$3,SUMIF('TL10'!$C$238:$C$451,$C36,'TL10'!$J$238:$J$451),0),
IF('TL11'!$B$3=M$3,SUMIF('TL11'!$C$10:$C$224,$C36,'TL11'!$J$10:$J$224),0),
IF('TL11'!$B$229=M$3,SUMIF('TL11'!$C$238:$C$451,$C36,'TL11'!$J$238:$J$451),0),
IF('TL12'!$B$3=M$3,SUMIF('TL12'!$C$10:$C$224,$C36,'TL12'!$J$10:$J$224),0),
IF('TL12'!$B$229=M$3,SUMIF('TL12'!$C$238:$C$451,$C36,'TL12'!$J$238:$J$451),0),
IF('TL13'!$B$3=M$3,SUMIF('TL13'!$C$10:$C$224,$C36,'TL13'!$J$10:$J$224),0),
IF('TL13'!$B$229=M$3,SUMIF('TL13'!$C$238:$C$451,$C36,'TL13'!$J$238:$J$451),0),
IF('TL14'!$B$3=M$3,SUMIF('TL14'!$C$10:$C$224,$C36,'TL14'!$J$10:$J$224),0),
IF('TL14'!$B$229=M$3,SUMIF('TL14'!$C$238:$C$451,$C36,'TL14'!$J$238:$J$451),0),
IF('TL15'!$B$3=M$3,SUMIF('TL15'!$C$10:$C$224,$C36,'TL15'!$J$10:$J$224),0),
IF('TL15'!$B$229=M$3,SUMIF('TL15'!$C$238:$C$451,$C36,'TL15'!$J$238:$J$451),0),
IF('TL16'!$B$3=M$3,SUMIF('TL16'!$C$10:$C$224,$C36,'TL16'!$J$10:$J$224),0),
IF('TL16'!$B$229=M$3,SUMIF('TL16'!$C$238:$C$451,$C36,'TL16'!$J$238:$J$451),0),
IF('TL17'!$B$3=M$3,SUMIF('TL17'!$C$10:$C$224,$C36,'TL17'!$J$10:$J$224),0),
IF('TL17'!$B$229=M$3,SUMIF('TL17'!$C$238:$C$451,$C36,'TL17'!$J$238:$J$451),0),
IF('TL18'!$B$3=M$3,SUMIF('TL18'!$C$10:$C$224,$C36,'TL18'!$J$10:$J$224),0),
IF('TL18'!$B$229=M$3,SUMIF('TL18'!$C$238:$C$451,$C36,'TL18'!$J$238:$J$451),0),
IF('TL19'!$B$3=M$3,SUMIF('TL19'!$C$10:$C$224,$C36,'TL19'!$J$10:$J$224),0),
IF('TL19'!$B$229=M$3,SUMIF('TL19'!$C$238:$C$451,$C36,'TL19'!$J$238:$J$451),0)
),0)</f>
        <v/>
      </c>
      <c r="N36" s="9">
        <f>IFERROR(SUM(
IF('TL01'!$B$3=N$3,SUMIF('TL01'!$C$10:$C$224,$C36,'TL01'!$J$10:$J$224),0),
IF('TL01'!$B$229=N$3,SUMIF('TL01'!$C$238:$C$451,$C36,'TL01'!$J$238:$J$451),0),
IF('TL02'!$B$3=N$3,SUMIF('TL02'!$C$10:$C$224,$C36,'TL02'!$J$10:$J$224),0),
IF('TL02'!$B$229=N$3,SUMIF('TL02'!$C$238:$C$451,$C36,'TL02'!$J$238:$J$451),0),
IF('TL03'!$B$3=N$3,SUMIF('TL03'!$C$10:$C$224,$C36,'TL03'!$J$10:$J$224),0),
IF('TL03'!$B$229=N$3,SUMIF('TL03'!$C$238:$C$451,$C36,'TL03'!$J$238:$J$451),0),
IF('TL04'!$B$3=N$3,SUMIF('TL04'!$C$10:$C$224,$C36,'TL04'!$J$10:$J$224),0),
IF('TL04'!$B$229=N$3,SUMIF('TL04'!$C$238:$C$451,$C36,'TL04'!$J$238:$J$451),0),
IF('TL05'!$B$3=N$3,SUMIF('TL05'!$C$10:$C$224,$C36,'TL05'!$J$10:$J$224),0),
IF('TL05'!$B$229=N$3,SUMIF('TL05'!$C$238:$C$451,$C36,'TL05'!$J$238:$J$451),0),
IF('TL06'!$B$3=N$3,SUMIF('TL06'!$C$10:$C$224,$C36,'TL06'!$J$10:$J$224),0),
IF('TL06'!$B$229=N$3,SUMIF('TL06'!$C$238:$C$451,$C36,'TL06'!$J$238:$J$451),0),
IF('TL07'!$B$3=N$3,SUMIF('TL07'!$C$10:$C$224,$C36,'TL07'!$J$10:$J$224),0),
IF('TL07'!$B$229=N$3,SUMIF('TL07'!$C$238:$C$451,$C36,'TL07'!$J$238:$J$451),0),
IF('TL08'!$B$3=N$3,SUMIF('TL08'!$C$10:$C$224,$C36,'TL08'!$J$10:$J$224),0),
IF('TL08'!$B$229=N$3,SUMIF('TL08'!$C$238:$C$451,$C36,'TL08'!$J$238:$J$451),0),
IF('TL09'!$B$3=N$3,SUMIF('TL09'!$C$10:$C$224,$C36,'TL09'!$J$10:$J$224),0),
IF('TL09'!$B$229=N$3,SUMIF('TL09'!$C$238:$C$451,$C36,'TL09'!$J$238:$J$451),0),
IF('TL10'!$B$3=N$3,SUMIF('TL10'!$C$10:$C$224,$C36,'TL10'!$J$10:$J$224),0),
IF('TL10'!$B$229=N$3,SUMIF('TL10'!$C$238:$C$451,$C36,'TL10'!$J$238:$J$451),0),
IF('TL11'!$B$3=N$3,SUMIF('TL11'!$C$10:$C$224,$C36,'TL11'!$J$10:$J$224),0),
IF('TL11'!$B$229=N$3,SUMIF('TL11'!$C$238:$C$451,$C36,'TL11'!$J$238:$J$451),0),
IF('TL12'!$B$3=N$3,SUMIF('TL12'!$C$10:$C$224,$C36,'TL12'!$J$10:$J$224),0),
IF('TL12'!$B$229=N$3,SUMIF('TL12'!$C$238:$C$451,$C36,'TL12'!$J$238:$J$451),0),
IF('TL13'!$B$3=N$3,SUMIF('TL13'!$C$10:$C$224,$C36,'TL13'!$J$10:$J$224),0),
IF('TL13'!$B$229=N$3,SUMIF('TL13'!$C$238:$C$451,$C36,'TL13'!$J$238:$J$451),0),
IF('TL14'!$B$3=N$3,SUMIF('TL14'!$C$10:$C$224,$C36,'TL14'!$J$10:$J$224),0),
IF('TL14'!$B$229=N$3,SUMIF('TL14'!$C$238:$C$451,$C36,'TL14'!$J$238:$J$451),0),
IF('TL15'!$B$3=N$3,SUMIF('TL15'!$C$10:$C$224,$C36,'TL15'!$J$10:$J$224),0),
IF('TL15'!$B$229=N$3,SUMIF('TL15'!$C$238:$C$451,$C36,'TL15'!$J$238:$J$451),0),
IF('TL16'!$B$3=N$3,SUMIF('TL16'!$C$10:$C$224,$C36,'TL16'!$J$10:$J$224),0),
IF('TL16'!$B$229=N$3,SUMIF('TL16'!$C$238:$C$451,$C36,'TL16'!$J$238:$J$451),0),
IF('TL17'!$B$3=N$3,SUMIF('TL17'!$C$10:$C$224,$C36,'TL17'!$J$10:$J$224),0),
IF('TL17'!$B$229=N$3,SUMIF('TL17'!$C$238:$C$451,$C36,'TL17'!$J$238:$J$451),0),
IF('TL18'!$B$3=N$3,SUMIF('TL18'!$C$10:$C$224,$C36,'TL18'!$J$10:$J$224),0),
IF('TL18'!$B$229=N$3,SUMIF('TL18'!$C$238:$C$451,$C36,'TL18'!$J$238:$J$451),0),
IF('TL19'!$B$3=N$3,SUMIF('TL19'!$C$10:$C$224,$C36,'TL19'!$J$10:$J$224),0),
IF('TL19'!$B$229=N$3,SUMIF('TL19'!$C$238:$C$451,$C36,'TL19'!$J$238:$J$451),0)
),0)</f>
        <v/>
      </c>
      <c r="O36" s="9">
        <f>IFERROR(SUM(
IF('TL01'!$B$3=O$3,SUMIF('TL01'!$C$10:$C$224,$C36,'TL01'!$J$10:$J$224),0),
IF('TL01'!$B$229=O$3,SUMIF('TL01'!$C$238:$C$451,$C36,'TL01'!$J$238:$J$451),0),
IF('TL02'!$B$3=O$3,SUMIF('TL02'!$C$10:$C$224,$C36,'TL02'!$J$10:$J$224),0),
IF('TL02'!$B$229=O$3,SUMIF('TL02'!$C$238:$C$451,$C36,'TL02'!$J$238:$J$451),0),
IF('TL03'!$B$3=O$3,SUMIF('TL03'!$C$10:$C$224,$C36,'TL03'!$J$10:$J$224),0),
IF('TL03'!$B$229=O$3,SUMIF('TL03'!$C$238:$C$451,$C36,'TL03'!$J$238:$J$451),0),
IF('TL04'!$B$3=O$3,SUMIF('TL04'!$C$10:$C$224,$C36,'TL04'!$J$10:$J$224),0),
IF('TL04'!$B$229=O$3,SUMIF('TL04'!$C$238:$C$451,$C36,'TL04'!$J$238:$J$451),0),
IF('TL05'!$B$3=O$3,SUMIF('TL05'!$C$10:$C$224,$C36,'TL05'!$J$10:$J$224),0),
IF('TL05'!$B$229=O$3,SUMIF('TL05'!$C$238:$C$451,$C36,'TL05'!$J$238:$J$451),0),
IF('TL06'!$B$3=O$3,SUMIF('TL06'!$C$10:$C$224,$C36,'TL06'!$J$10:$J$224),0),
IF('TL06'!$B$229=O$3,SUMIF('TL06'!$C$238:$C$451,$C36,'TL06'!$J$238:$J$451),0),
IF('TL07'!$B$3=O$3,SUMIF('TL07'!$C$10:$C$224,$C36,'TL07'!$J$10:$J$224),0),
IF('TL07'!$B$229=O$3,SUMIF('TL07'!$C$238:$C$451,$C36,'TL07'!$J$238:$J$451),0),
IF('TL08'!$B$3=O$3,SUMIF('TL08'!$C$10:$C$224,$C36,'TL08'!$J$10:$J$224),0),
IF('TL08'!$B$229=O$3,SUMIF('TL08'!$C$238:$C$451,$C36,'TL08'!$J$238:$J$451),0),
IF('TL09'!$B$3=O$3,SUMIF('TL09'!$C$10:$C$224,$C36,'TL09'!$J$10:$J$224),0),
IF('TL09'!$B$229=O$3,SUMIF('TL09'!$C$238:$C$451,$C36,'TL09'!$J$238:$J$451),0),
IF('TL10'!$B$3=O$3,SUMIF('TL10'!$C$10:$C$224,$C36,'TL10'!$J$10:$J$224),0),
IF('TL10'!$B$229=O$3,SUMIF('TL10'!$C$238:$C$451,$C36,'TL10'!$J$238:$J$451),0),
IF('TL11'!$B$3=O$3,SUMIF('TL11'!$C$10:$C$224,$C36,'TL11'!$J$10:$J$224),0),
IF('TL11'!$B$229=O$3,SUMIF('TL11'!$C$238:$C$451,$C36,'TL11'!$J$238:$J$451),0),
IF('TL12'!$B$3=O$3,SUMIF('TL12'!$C$10:$C$224,$C36,'TL12'!$J$10:$J$224),0),
IF('TL12'!$B$229=O$3,SUMIF('TL12'!$C$238:$C$451,$C36,'TL12'!$J$238:$J$451),0),
IF('TL13'!$B$3=O$3,SUMIF('TL13'!$C$10:$C$224,$C36,'TL13'!$J$10:$J$224),0),
IF('TL13'!$B$229=O$3,SUMIF('TL13'!$C$238:$C$451,$C36,'TL13'!$J$238:$J$451),0),
IF('TL14'!$B$3=O$3,SUMIF('TL14'!$C$10:$C$224,$C36,'TL14'!$J$10:$J$224),0),
IF('TL14'!$B$229=O$3,SUMIF('TL14'!$C$238:$C$451,$C36,'TL14'!$J$238:$J$451),0),
IF('TL15'!$B$3=O$3,SUMIF('TL15'!$C$10:$C$224,$C36,'TL15'!$J$10:$J$224),0),
IF('TL15'!$B$229=O$3,SUMIF('TL15'!$C$238:$C$451,$C36,'TL15'!$J$238:$J$451),0),
IF('TL16'!$B$3=O$3,SUMIF('TL16'!$C$10:$C$224,$C36,'TL16'!$J$10:$J$224),0),
IF('TL16'!$B$229=O$3,SUMIF('TL16'!$C$238:$C$451,$C36,'TL16'!$J$238:$J$451),0),
IF('TL17'!$B$3=O$3,SUMIF('TL17'!$C$10:$C$224,$C36,'TL17'!$J$10:$J$224),0),
IF('TL17'!$B$229=O$3,SUMIF('TL17'!$C$238:$C$451,$C36,'TL17'!$J$238:$J$451),0),
IF('TL18'!$B$3=O$3,SUMIF('TL18'!$C$10:$C$224,$C36,'TL18'!$J$10:$J$224),0),
IF('TL18'!$B$229=O$3,SUMIF('TL18'!$C$238:$C$451,$C36,'TL18'!$J$238:$J$451),0),
IF('TL19'!$B$3=O$3,SUMIF('TL19'!$C$10:$C$224,$C36,'TL19'!$J$10:$J$224),0),
IF('TL19'!$B$229=O$3,SUMIF('TL19'!$C$238:$C$451,$C36,'TL19'!$J$238:$J$451),0)
),0)</f>
        <v/>
      </c>
      <c r="P36" s="9">
        <f>IFERROR(SUM(
IF('TL01'!$B$3=P$3,SUMIF('TL01'!$C$10:$C$224,$C36,'TL01'!$J$10:$J$224),0),
IF('TL01'!$B$229=P$3,SUMIF('TL01'!$C$238:$C$451,$C36,'TL01'!$J$238:$J$451),0),
IF('TL02'!$B$3=P$3,SUMIF('TL02'!$C$10:$C$224,$C36,'TL02'!$J$10:$J$224),0),
IF('TL02'!$B$229=P$3,SUMIF('TL02'!$C$238:$C$451,$C36,'TL02'!$J$238:$J$451),0),
IF('TL03'!$B$3=P$3,SUMIF('TL03'!$C$10:$C$224,$C36,'TL03'!$J$10:$J$224),0),
IF('TL03'!$B$229=P$3,SUMIF('TL03'!$C$238:$C$451,$C36,'TL03'!$J$238:$J$451),0),
IF('TL04'!$B$3=P$3,SUMIF('TL04'!$C$10:$C$224,$C36,'TL04'!$J$10:$J$224),0),
IF('TL04'!$B$229=P$3,SUMIF('TL04'!$C$238:$C$451,$C36,'TL04'!$J$238:$J$451),0),
IF('TL05'!$B$3=P$3,SUMIF('TL05'!$C$10:$C$224,$C36,'TL05'!$J$10:$J$224),0),
IF('TL05'!$B$229=P$3,SUMIF('TL05'!$C$238:$C$451,$C36,'TL05'!$J$238:$J$451),0),
IF('TL06'!$B$3=P$3,SUMIF('TL06'!$C$10:$C$224,$C36,'TL06'!$J$10:$J$224),0),
IF('TL06'!$B$229=P$3,SUMIF('TL06'!$C$238:$C$451,$C36,'TL06'!$J$238:$J$451),0),
IF('TL07'!$B$3=P$3,SUMIF('TL07'!$C$10:$C$224,$C36,'TL07'!$J$10:$J$224),0),
IF('TL07'!$B$229=P$3,SUMIF('TL07'!$C$238:$C$451,$C36,'TL07'!$J$238:$J$451),0),
IF('TL08'!$B$3=P$3,SUMIF('TL08'!$C$10:$C$224,$C36,'TL08'!$J$10:$J$224),0),
IF('TL08'!$B$229=P$3,SUMIF('TL08'!$C$238:$C$451,$C36,'TL08'!$J$238:$J$451),0),
IF('TL09'!$B$3=P$3,SUMIF('TL09'!$C$10:$C$224,$C36,'TL09'!$J$10:$J$224),0),
IF('TL09'!$B$229=P$3,SUMIF('TL09'!$C$238:$C$451,$C36,'TL09'!$J$238:$J$451),0),
IF('TL10'!$B$3=P$3,SUMIF('TL10'!$C$10:$C$224,$C36,'TL10'!$J$10:$J$224),0),
IF('TL10'!$B$229=P$3,SUMIF('TL10'!$C$238:$C$451,$C36,'TL10'!$J$238:$J$451),0),
IF('TL11'!$B$3=P$3,SUMIF('TL11'!$C$10:$C$224,$C36,'TL11'!$J$10:$J$224),0),
IF('TL11'!$B$229=P$3,SUMIF('TL11'!$C$238:$C$451,$C36,'TL11'!$J$238:$J$451),0),
IF('TL12'!$B$3=P$3,SUMIF('TL12'!$C$10:$C$224,$C36,'TL12'!$J$10:$J$224),0),
IF('TL12'!$B$229=P$3,SUMIF('TL12'!$C$238:$C$451,$C36,'TL12'!$J$238:$J$451),0),
IF('TL13'!$B$3=P$3,SUMIF('TL13'!$C$10:$C$224,$C36,'TL13'!$J$10:$J$224),0),
IF('TL13'!$B$229=P$3,SUMIF('TL13'!$C$238:$C$451,$C36,'TL13'!$J$238:$J$451),0),
IF('TL14'!$B$3=P$3,SUMIF('TL14'!$C$10:$C$224,$C36,'TL14'!$J$10:$J$224),0),
IF('TL14'!$B$229=P$3,SUMIF('TL14'!$C$238:$C$451,$C36,'TL14'!$J$238:$J$451),0),
IF('TL15'!$B$3=P$3,SUMIF('TL15'!$C$10:$C$224,$C36,'TL15'!$J$10:$J$224),0),
IF('TL15'!$B$229=P$3,SUMIF('TL15'!$C$238:$C$451,$C36,'TL15'!$J$238:$J$451),0),
IF('TL16'!$B$3=P$3,SUMIF('TL16'!$C$10:$C$224,$C36,'TL16'!$J$10:$J$224),0),
IF('TL16'!$B$229=P$3,SUMIF('TL16'!$C$238:$C$451,$C36,'TL16'!$J$238:$J$451),0),
IF('TL17'!$B$3=P$3,SUMIF('TL17'!$C$10:$C$224,$C36,'TL17'!$J$10:$J$224),0),
IF('TL17'!$B$229=P$3,SUMIF('TL17'!$C$238:$C$451,$C36,'TL17'!$J$238:$J$451),0),
IF('TL18'!$B$3=P$3,SUMIF('TL18'!$C$10:$C$224,$C36,'TL18'!$J$10:$J$224),0),
IF('TL18'!$B$229=P$3,SUMIF('TL18'!$C$238:$C$451,$C36,'TL18'!$J$238:$J$451),0),
IF('TL19'!$B$3=P$3,SUMIF('TL19'!$C$10:$C$224,$C36,'TL19'!$J$10:$J$224),0),
IF('TL19'!$B$229=P$3,SUMIF('TL19'!$C$238:$C$451,$C36,'TL19'!$J$238:$J$451),0)
),0)</f>
        <v/>
      </c>
      <c r="Q36" s="9">
        <f>IFERROR(SUM(
IF('TL01'!$B$3=Q$3,SUMIF('TL01'!$C$10:$C$224,$C36,'TL01'!$J$10:$J$224),0),
IF('TL01'!$B$229=Q$3,SUMIF('TL01'!$C$238:$C$451,$C36,'TL01'!$J$238:$J$451),0),
IF('TL02'!$B$3=Q$3,SUMIF('TL02'!$C$10:$C$224,$C36,'TL02'!$J$10:$J$224),0),
IF('TL02'!$B$229=Q$3,SUMIF('TL02'!$C$238:$C$451,$C36,'TL02'!$J$238:$J$451),0),
IF('TL03'!$B$3=Q$3,SUMIF('TL03'!$C$10:$C$224,$C36,'TL03'!$J$10:$J$224),0),
IF('TL03'!$B$229=Q$3,SUMIF('TL03'!$C$238:$C$451,$C36,'TL03'!$J$238:$J$451),0),
IF('TL04'!$B$3=Q$3,SUMIF('TL04'!$C$10:$C$224,$C36,'TL04'!$J$10:$J$224),0),
IF('TL04'!$B$229=Q$3,SUMIF('TL04'!$C$238:$C$451,$C36,'TL04'!$J$238:$J$451),0),
IF('TL05'!$B$3=Q$3,SUMIF('TL05'!$C$10:$C$224,$C36,'TL05'!$J$10:$J$224),0),
IF('TL05'!$B$229=Q$3,SUMIF('TL05'!$C$238:$C$451,$C36,'TL05'!$J$238:$J$451),0),
IF('TL06'!$B$3=Q$3,SUMIF('TL06'!$C$10:$C$224,$C36,'TL06'!$J$10:$J$224),0),
IF('TL06'!$B$229=Q$3,SUMIF('TL06'!$C$238:$C$451,$C36,'TL06'!$J$238:$J$451),0),
IF('TL07'!$B$3=Q$3,SUMIF('TL07'!$C$10:$C$224,$C36,'TL07'!$J$10:$J$224),0),
IF('TL07'!$B$229=Q$3,SUMIF('TL07'!$C$238:$C$451,$C36,'TL07'!$J$238:$J$451),0),
IF('TL08'!$B$3=Q$3,SUMIF('TL08'!$C$10:$C$224,$C36,'TL08'!$J$10:$J$224),0),
IF('TL08'!$B$229=Q$3,SUMIF('TL08'!$C$238:$C$451,$C36,'TL08'!$J$238:$J$451),0),
IF('TL09'!$B$3=Q$3,SUMIF('TL09'!$C$10:$C$224,$C36,'TL09'!$J$10:$J$224),0),
IF('TL09'!$B$229=Q$3,SUMIF('TL09'!$C$238:$C$451,$C36,'TL09'!$J$238:$J$451),0),
IF('TL10'!$B$3=Q$3,SUMIF('TL10'!$C$10:$C$224,$C36,'TL10'!$J$10:$J$224),0),
IF('TL10'!$B$229=Q$3,SUMIF('TL10'!$C$238:$C$451,$C36,'TL10'!$J$238:$J$451),0),
IF('TL11'!$B$3=Q$3,SUMIF('TL11'!$C$10:$C$224,$C36,'TL11'!$J$10:$J$224),0),
IF('TL11'!$B$229=Q$3,SUMIF('TL11'!$C$238:$C$451,$C36,'TL11'!$J$238:$J$451),0),
IF('TL12'!$B$3=Q$3,SUMIF('TL12'!$C$10:$C$224,$C36,'TL12'!$J$10:$J$224),0),
IF('TL12'!$B$229=Q$3,SUMIF('TL12'!$C$238:$C$451,$C36,'TL12'!$J$238:$J$451),0),
IF('TL13'!$B$3=Q$3,SUMIF('TL13'!$C$10:$C$224,$C36,'TL13'!$J$10:$J$224),0),
IF('TL13'!$B$229=Q$3,SUMIF('TL13'!$C$238:$C$451,$C36,'TL13'!$J$238:$J$451),0),
IF('TL14'!$B$3=Q$3,SUMIF('TL14'!$C$10:$C$224,$C36,'TL14'!$J$10:$J$224),0),
IF('TL14'!$B$229=Q$3,SUMIF('TL14'!$C$238:$C$451,$C36,'TL14'!$J$238:$J$451),0),
IF('TL15'!$B$3=Q$3,SUMIF('TL15'!$C$10:$C$224,$C36,'TL15'!$J$10:$J$224),0),
IF('TL15'!$B$229=Q$3,SUMIF('TL15'!$C$238:$C$451,$C36,'TL15'!$J$238:$J$451),0),
IF('TL16'!$B$3=Q$3,SUMIF('TL16'!$C$10:$C$224,$C36,'TL16'!$J$10:$J$224),0),
IF('TL16'!$B$229=Q$3,SUMIF('TL16'!$C$238:$C$451,$C36,'TL16'!$J$238:$J$451),0),
IF('TL17'!$B$3=Q$3,SUMIF('TL17'!$C$10:$C$224,$C36,'TL17'!$J$10:$J$224),0),
IF('TL17'!$B$229=Q$3,SUMIF('TL17'!$C$238:$C$451,$C36,'TL17'!$J$238:$J$451),0),
IF('TL18'!$B$3=Q$3,SUMIF('TL18'!$C$10:$C$224,$C36,'TL18'!$J$10:$J$224),0),
IF('TL18'!$B$229=Q$3,SUMIF('TL18'!$C$238:$C$451,$C36,'TL18'!$J$238:$J$451),0),
IF('TL19'!$B$3=Q$3,SUMIF('TL19'!$C$10:$C$224,$C36,'TL19'!$J$10:$J$224),0),
IF('TL19'!$B$229=Q$3,SUMIF('TL19'!$C$238:$C$451,$C36,'TL19'!$J$238:$J$451),0)
),0)</f>
        <v/>
      </c>
      <c r="R36" s="9">
        <f>IFERROR(
SUM(
SUMIF('TL01'!C:C,C36,'TL01'!J:J),
SUMIF('TL02'!C:C,C36,'TL02'!J:J),
SUMIF('TL03'!C:C,C36,'TL03'!J:J),
SUMIF('TL04'!C:C,C36,'TL04'!J:J),
SUMIF('TL05'!C:C,C36,'TL05'!J:J),
SUMIF('TL06'!C:C,C36,'TL06'!J:J),
SUMIF('TL07'!C:C,C36,'TL07'!J:J),
SUMIF('TL08'!C:C,C36,'TL08'!J:J),
SUMIF('TL09'!C:C,C36,'TL09'!J:J),
SUMIF('TL10'!C:C,C36,'TL10'!J:J),
SUMIF('TL11'!C:C,C36,'TL11'!J:J),
SUMIF('TL12'!C:C,C36,'TL12'!J:J),
SUMIF('TL13'!C:C,C36,'TL13'!J:J),
SUMIF('TL14'!C:C,C36,'TL14'!J:J),
SUMIF('TL15'!C:C,C36,'TL15'!J:J),
SUMIF('TL16'!C:C,C36,'TL16'!J:J),
SUMIF('TL17'!C:C,C36,'TL17'!J:J),
SUMIF('TL18'!C:C,C36,'TL18'!J:J),SUMIF('TL19'!C:C,C36,'TL19'!J:J))
,0)</f>
        <v/>
      </c>
      <c r="S36" s="17">
        <f>IFERROR(__xludf.DUMMYFUNCTION("IFERROR(VLOOKUP(C36,
IMPORTRANGE(""1wULbzX32WdYsx-lj2U3uUNBBe2INVIRDtcK0d-Dvl90"",
""26-27!C:G""),
5,
FALSE),
"""")"),"")</f>
        <v/>
      </c>
      <c r="T36" s="9" t="n"/>
      <c r="U36" s="92">
        <f>MAX(0,R36-T36)</f>
        <v/>
      </c>
      <c r="V36" s="93">
        <f>U36*S36</f>
        <v/>
      </c>
    </row>
    <row r="37" hidden="1" ht="22.5" customHeight="1" s="297">
      <c r="A37" s="106" t="n"/>
      <c r="B37" s="107" t="inlineStr">
        <is>
          <t>FERTILIZANTES</t>
        </is>
      </c>
      <c r="C37" s="108" t="inlineStr">
        <is>
          <t>AURUS 500</t>
        </is>
      </c>
      <c r="D37" s="108" t="inlineStr">
        <is>
          <t>S 49%; B 5 %</t>
        </is>
      </c>
      <c r="E37" s="109" t="n"/>
      <c r="F37" s="4" t="inlineStr">
        <is>
          <t>Ton</t>
        </is>
      </c>
      <c r="G37" s="9" t="n"/>
      <c r="H37" s="9">
        <f>IFERROR(__xludf.DUMMYFUNCTION("IFERROR(VLOOKUP(C37,
IMPORTRANGE(""1wULbzX32WdYsx-lj2U3uUNBBe2INVIRDtcK0d-Dvl90"",
""26-27!C:K""),
8,
FALSE),
"""")"),"")</f>
        <v/>
      </c>
      <c r="I37" s="110" t="n"/>
      <c r="J37" s="9">
        <f>IFERROR(SUM(
IF('TL01'!$B$3=J$3,SUMIF('TL01'!$C$10:$C$224,$C37,'TL01'!$J$10:$J$224),0),
IF('TL01'!$B$229=J$3,SUMIF('TL01'!$C$238:$C$451,$C37,'TL01'!$J$238:$J$451),0),
IF('TL02'!$B$3=J$3,SUMIF('TL02'!$C$10:$C$224,$C37,'TL02'!$J$10:$J$224),0),
IF('TL02'!$B$229=J$3,SUMIF('TL02'!$C$238:$C$451,$C37,'TL02'!$J$238:$J$451),0),
IF('TL03'!$B$3=J$3,SUMIF('TL03'!$C$10:$C$224,$C37,'TL03'!$J$10:$J$224),0),
IF('TL03'!$B$229=J$3,SUMIF('TL03'!$C$238:$C$451,$C37,'TL03'!$J$238:$J$451),0),
IF('TL04'!$B$3=J$3,SUMIF('TL04'!$C$10:$C$224,$C37,'TL04'!$J$10:$J$224),0),
IF('TL04'!$B$229=J$3,SUMIF('TL04'!$C$238:$C$451,$C37,'TL04'!$J$238:$J$451),0),
IF('TL05'!$B$3=J$3,SUMIF('TL05'!$C$10:$C$224,$C37,'TL05'!$J$10:$J$224),0),
IF('TL05'!$B$229=J$3,SUMIF('TL05'!$C$238:$C$451,$C37,'TL05'!$J$238:$J$451),0),
IF('TL06'!$B$3=J$3,SUMIF('TL06'!$C$10:$C$224,$C37,'TL06'!$J$10:$J$224),0),
IF('TL06'!$B$229=J$3,SUMIF('TL06'!$C$238:$C$451,$C37,'TL06'!$J$238:$J$451),0),
IF('TL07'!$B$3=J$3,SUMIF('TL07'!$C$10:$C$224,$C37,'TL07'!$J$10:$J$224),0),
IF('TL07'!$B$229=J$3,SUMIF('TL07'!$C$238:$C$451,$C37,'TL07'!$J$238:$J$451),0),
IF('TL08'!$B$3=J$3,SUMIF('TL08'!$C$10:$C$224,$C37,'TL08'!$J$10:$J$224),0),
IF('TL08'!$B$229=J$3,SUMIF('TL08'!$C$238:$C$451,$C37,'TL08'!$J$238:$J$451),0),
IF('TL09'!$B$3=J$3,SUMIF('TL09'!$C$10:$C$224,$C37,'TL09'!$J$10:$J$224),0),
IF('TL09'!$B$229=J$3,SUMIF('TL09'!$C$238:$C$451,$C37,'TL09'!$J$238:$J$451),0),
IF('TL10'!$B$3=J$3,SUMIF('TL10'!$C$10:$C$224,$C37,'TL10'!$J$10:$J$224),0),
IF('TL10'!$B$229=J$3,SUMIF('TL10'!$C$238:$C$451,$C37,'TL10'!$J$238:$J$451),0),
IF('TL11'!$B$3=J$3,SUMIF('TL11'!$C$10:$C$224,$C37,'TL11'!$J$10:$J$224),0),
IF('TL11'!$B$229=J$3,SUMIF('TL11'!$C$238:$C$451,$C37,'TL11'!$J$238:$J$451),0),
IF('TL12'!$B$3=J$3,SUMIF('TL12'!$C$10:$C$224,$C37,'TL12'!$J$10:$J$224),0),
IF('TL12'!$B$229=J$3,SUMIF('TL12'!$C$238:$C$451,$C37,'TL12'!$J$238:$J$451),0),
IF('TL13'!$B$3=J$3,SUMIF('TL13'!$C$10:$C$224,$C37,'TL13'!$J$10:$J$224),0),
IF('TL13'!$B$229=J$3,SUMIF('TL13'!$C$238:$C$451,$C37,'TL13'!$J$238:$J$451),0),
IF('TL14'!$B$3=J$3,SUMIF('TL14'!$C$10:$C$224,$C37,'TL14'!$J$10:$J$224),0),
IF('TL14'!$B$229=J$3,SUMIF('TL14'!$C$238:$C$451,$C37,'TL14'!$J$238:$J$451),0),
IF('TL15'!$B$3=J$3,SUMIF('TL15'!$C$10:$C$224,$C37,'TL15'!$J$10:$J$224),0),
IF('TL15'!$B$229=J$3,SUMIF('TL15'!$C$238:$C$451,$C37,'TL15'!$J$238:$J$451),0),
IF('TL16'!$B$3=J$3,SUMIF('TL16'!$C$10:$C$224,$C37,'TL16'!$J$10:$J$224),0),
IF('TL16'!$B$229=J$3,SUMIF('TL16'!$C$238:$C$451,$C37,'TL16'!$J$238:$J$451),0),
IF('TL17'!$B$3=J$3,SUMIF('TL17'!$C$10:$C$224,$C37,'TL17'!$J$10:$J$224),0),
IF('TL17'!$B$229=J$3,SUMIF('TL17'!$C$238:$C$451,$C37,'TL17'!$J$238:$J$451),0),
IF('TL18'!$B$3=J$3,SUMIF('TL18'!$C$10:$C$224,$C37,'TL18'!$J$10:$J$224),0),
IF('TL18'!$B$229=J$3,SUMIF('TL18'!$C$238:$C$451,$C37,'TL18'!$J$238:$J$451),0),
IF('TL19'!$B$3=J$3,SUMIF('TL19'!$C$10:$C$224,$C37,'TL19'!$J$10:$J$224),0),
IF('TL19'!$B$229=J$3,SUMIF('TL19'!$C$238:$C$451,$C37,'TL19'!$J$238:$J$451),0)
),0)</f>
        <v/>
      </c>
      <c r="K37" s="9">
        <f>IFERROR(SUM(
IF('TL01'!$B$3=K$3,SUMIF('TL01'!$C$10:$C$224,$C37,'TL01'!$J$10:$J$224),0),
IF('TL01'!$B$229=K$3,SUMIF('TL01'!$C$238:$C$451,$C37,'TL01'!$J$238:$J$451),0),
IF('TL02'!$B$3=K$3,SUMIF('TL02'!$C$10:$C$224,$C37,'TL02'!$J$10:$J$224),0),
IF('TL02'!$B$229=K$3,SUMIF('TL02'!$C$238:$C$451,$C37,'TL02'!$J$238:$J$451),0),
IF('TL03'!$B$3=K$3,SUMIF('TL03'!$C$10:$C$224,$C37,'TL03'!$J$10:$J$224),0),
IF('TL03'!$B$229=K$3,SUMIF('TL03'!$C$238:$C$451,$C37,'TL03'!$J$238:$J$451),0),
IF('TL04'!$B$3=K$3,SUMIF('TL04'!$C$10:$C$224,$C37,'TL04'!$J$10:$J$224),0),
IF('TL04'!$B$229=K$3,SUMIF('TL04'!$C$238:$C$451,$C37,'TL04'!$J$238:$J$451),0),
IF('TL05'!$B$3=K$3,SUMIF('TL05'!$C$10:$C$224,$C37,'TL05'!$J$10:$J$224),0),
IF('TL05'!$B$229=K$3,SUMIF('TL05'!$C$238:$C$451,$C37,'TL05'!$J$238:$J$451),0),
IF('TL06'!$B$3=K$3,SUMIF('TL06'!$C$10:$C$224,$C37,'TL06'!$J$10:$J$224),0),
IF('TL06'!$B$229=K$3,SUMIF('TL06'!$C$238:$C$451,$C37,'TL06'!$J$238:$J$451),0),
IF('TL07'!$B$3=K$3,SUMIF('TL07'!$C$10:$C$224,$C37,'TL07'!$J$10:$J$224),0),
IF('TL07'!$B$229=K$3,SUMIF('TL07'!$C$238:$C$451,$C37,'TL07'!$J$238:$J$451),0),
IF('TL08'!$B$3=K$3,SUMIF('TL08'!$C$10:$C$224,$C37,'TL08'!$J$10:$J$224),0),
IF('TL08'!$B$229=K$3,SUMIF('TL08'!$C$238:$C$451,$C37,'TL08'!$J$238:$J$451),0),
IF('TL09'!$B$3=K$3,SUMIF('TL09'!$C$10:$C$224,$C37,'TL09'!$J$10:$J$224),0),
IF('TL09'!$B$229=K$3,SUMIF('TL09'!$C$238:$C$451,$C37,'TL09'!$J$238:$J$451),0),
IF('TL10'!$B$3=K$3,SUMIF('TL10'!$C$10:$C$224,$C37,'TL10'!$J$10:$J$224),0),
IF('TL10'!$B$229=K$3,SUMIF('TL10'!$C$238:$C$451,$C37,'TL10'!$J$238:$J$451),0),
IF('TL11'!$B$3=K$3,SUMIF('TL11'!$C$10:$C$224,$C37,'TL11'!$J$10:$J$224),0),
IF('TL11'!$B$229=K$3,SUMIF('TL11'!$C$238:$C$451,$C37,'TL11'!$J$238:$J$451),0),
IF('TL12'!$B$3=K$3,SUMIF('TL12'!$C$10:$C$224,$C37,'TL12'!$J$10:$J$224),0),
IF('TL12'!$B$229=K$3,SUMIF('TL12'!$C$238:$C$451,$C37,'TL12'!$J$238:$J$451),0),
IF('TL13'!$B$3=K$3,SUMIF('TL13'!$C$10:$C$224,$C37,'TL13'!$J$10:$J$224),0),
IF('TL13'!$B$229=K$3,SUMIF('TL13'!$C$238:$C$451,$C37,'TL13'!$J$238:$J$451),0),
IF('TL14'!$B$3=K$3,SUMIF('TL14'!$C$10:$C$224,$C37,'TL14'!$J$10:$J$224),0),
IF('TL14'!$B$229=K$3,SUMIF('TL14'!$C$238:$C$451,$C37,'TL14'!$J$238:$J$451),0),
IF('TL15'!$B$3=K$3,SUMIF('TL15'!$C$10:$C$224,$C37,'TL15'!$J$10:$J$224),0),
IF('TL15'!$B$229=K$3,SUMIF('TL15'!$C$238:$C$451,$C37,'TL15'!$J$238:$J$451),0),
IF('TL16'!$B$3=K$3,SUMIF('TL16'!$C$10:$C$224,$C37,'TL16'!$J$10:$J$224),0),
IF('TL16'!$B$229=K$3,SUMIF('TL16'!$C$238:$C$451,$C37,'TL16'!$J$238:$J$451),0),
IF('TL17'!$B$3=K$3,SUMIF('TL17'!$C$10:$C$224,$C37,'TL17'!$J$10:$J$224),0),
IF('TL17'!$B$229=K$3,SUMIF('TL17'!$C$238:$C$451,$C37,'TL17'!$J$238:$J$451),0),
IF('TL18'!$B$3=K$3,SUMIF('TL18'!$C$10:$C$224,$C37,'TL18'!$J$10:$J$224),0),
IF('TL18'!$B$229=K$3,SUMIF('TL18'!$C$238:$C$451,$C37,'TL18'!$J$238:$J$451),0),
IF('TL19'!$B$3=K$3,SUMIF('TL19'!$C$10:$C$224,$C37,'TL19'!$J$10:$J$224),0),
IF('TL19'!$B$229=K$3,SUMIF('TL19'!$C$238:$C$451,$C37,'TL19'!$J$238:$J$451),0)
),0)</f>
        <v/>
      </c>
      <c r="L37" s="9">
        <f>IFERROR(SUM(
IF('TL01'!$B$3=L$3,SUMIF('TL01'!$C$10:$C$224,$C37,'TL01'!$J$10:$J$224),0),
IF('TL01'!$B$229=L$3,SUMIF('TL01'!$C$238:$C$451,$C37,'TL01'!$J$238:$J$451),0),
IF('TL02'!$B$3=L$3,SUMIF('TL02'!$C$10:$C$224,$C37,'TL02'!$J$10:$J$224),0),
IF('TL02'!$B$229=L$3,SUMIF('TL02'!$C$238:$C$451,$C37,'TL02'!$J$238:$J$451),0),
IF('TL03'!$B$3=L$3,SUMIF('TL03'!$C$10:$C$224,$C37,'TL03'!$J$10:$J$224),0),
IF('TL03'!$B$229=L$3,SUMIF('TL03'!$C$238:$C$451,$C37,'TL03'!$J$238:$J$451),0),
IF('TL04'!$B$3=L$3,SUMIF('TL04'!$C$10:$C$224,$C37,'TL04'!$J$10:$J$224),0),
IF('TL04'!$B$229=L$3,SUMIF('TL04'!$C$238:$C$451,$C37,'TL04'!$J$238:$J$451),0),
IF('TL05'!$B$3=L$3,SUMIF('TL05'!$C$10:$C$224,$C37,'TL05'!$J$10:$J$224),0),
IF('TL05'!$B$229=L$3,SUMIF('TL05'!$C$238:$C$451,$C37,'TL05'!$J$238:$J$451),0),
IF('TL06'!$B$3=L$3,SUMIF('TL06'!$C$10:$C$224,$C37,'TL06'!$J$10:$J$224),0),
IF('TL06'!$B$229=L$3,SUMIF('TL06'!$C$238:$C$451,$C37,'TL06'!$J$238:$J$451),0),
IF('TL07'!$B$3=L$3,SUMIF('TL07'!$C$10:$C$224,$C37,'TL07'!$J$10:$J$224),0),
IF('TL07'!$B$229=L$3,SUMIF('TL07'!$C$238:$C$451,$C37,'TL07'!$J$238:$J$451),0),
IF('TL08'!$B$3=L$3,SUMIF('TL08'!$C$10:$C$224,$C37,'TL08'!$J$10:$J$224),0),
IF('TL08'!$B$229=L$3,SUMIF('TL08'!$C$238:$C$451,$C37,'TL08'!$J$238:$J$451),0),
IF('TL09'!$B$3=L$3,SUMIF('TL09'!$C$10:$C$224,$C37,'TL09'!$J$10:$J$224),0),
IF('TL09'!$B$229=L$3,SUMIF('TL09'!$C$238:$C$451,$C37,'TL09'!$J$238:$J$451),0),
IF('TL10'!$B$3=L$3,SUMIF('TL10'!$C$10:$C$224,$C37,'TL10'!$J$10:$J$224),0),
IF('TL10'!$B$229=L$3,SUMIF('TL10'!$C$238:$C$451,$C37,'TL10'!$J$238:$J$451),0),
IF('TL11'!$B$3=L$3,SUMIF('TL11'!$C$10:$C$224,$C37,'TL11'!$J$10:$J$224),0),
IF('TL11'!$B$229=L$3,SUMIF('TL11'!$C$238:$C$451,$C37,'TL11'!$J$238:$J$451),0),
IF('TL12'!$B$3=L$3,SUMIF('TL12'!$C$10:$C$224,$C37,'TL12'!$J$10:$J$224),0),
IF('TL12'!$B$229=L$3,SUMIF('TL12'!$C$238:$C$451,$C37,'TL12'!$J$238:$J$451),0),
IF('TL13'!$B$3=L$3,SUMIF('TL13'!$C$10:$C$224,$C37,'TL13'!$J$10:$J$224),0),
IF('TL13'!$B$229=L$3,SUMIF('TL13'!$C$238:$C$451,$C37,'TL13'!$J$238:$J$451),0),
IF('TL14'!$B$3=L$3,SUMIF('TL14'!$C$10:$C$224,$C37,'TL14'!$J$10:$J$224),0),
IF('TL14'!$B$229=L$3,SUMIF('TL14'!$C$238:$C$451,$C37,'TL14'!$J$238:$J$451),0),
IF('TL15'!$B$3=L$3,SUMIF('TL15'!$C$10:$C$224,$C37,'TL15'!$J$10:$J$224),0),
IF('TL15'!$B$229=L$3,SUMIF('TL15'!$C$238:$C$451,$C37,'TL15'!$J$238:$J$451),0),
IF('TL16'!$B$3=L$3,SUMIF('TL16'!$C$10:$C$224,$C37,'TL16'!$J$10:$J$224),0),
IF('TL16'!$B$229=L$3,SUMIF('TL16'!$C$238:$C$451,$C37,'TL16'!$J$238:$J$451),0),
IF('TL17'!$B$3=L$3,SUMIF('TL17'!$C$10:$C$224,$C37,'TL17'!$J$10:$J$224),0),
IF('TL17'!$B$229=L$3,SUMIF('TL17'!$C$238:$C$451,$C37,'TL17'!$J$238:$J$451),0),
IF('TL18'!$B$3=L$3,SUMIF('TL18'!$C$10:$C$224,$C37,'TL18'!$J$10:$J$224),0),
IF('TL18'!$B$229=L$3,SUMIF('TL18'!$C$238:$C$451,$C37,'TL18'!$J$238:$J$451),0),
IF('TL19'!$B$3=L$3,SUMIF('TL19'!$C$10:$C$224,$C37,'TL19'!$J$10:$J$224),0),
IF('TL19'!$B$229=L$3,SUMIF('TL19'!$C$238:$C$451,$C37,'TL19'!$J$238:$J$451),0)
),0)</f>
        <v/>
      </c>
      <c r="M37" s="9">
        <f>IFERROR(SUM(
IF('TL01'!$B$3=M$3,SUMIF('TL01'!$C$10:$C$224,$C37,'TL01'!$J$10:$J$224),0),
IF('TL01'!$B$229=M$3,SUMIF('TL01'!$C$238:$C$451,$C37,'TL01'!$J$238:$J$451),0),
IF('TL02'!$B$3=M$3,SUMIF('TL02'!$C$10:$C$224,$C37,'TL02'!$J$10:$J$224),0),
IF('TL02'!$B$229=M$3,SUMIF('TL02'!$C$238:$C$451,$C37,'TL02'!$J$238:$J$451),0),
IF('TL03'!$B$3=M$3,SUMIF('TL03'!$C$10:$C$224,$C37,'TL03'!$J$10:$J$224),0),
IF('TL03'!$B$229=M$3,SUMIF('TL03'!$C$238:$C$451,$C37,'TL03'!$J$238:$J$451),0),
IF('TL04'!$B$3=M$3,SUMIF('TL04'!$C$10:$C$224,$C37,'TL04'!$J$10:$J$224),0),
IF('TL04'!$B$229=M$3,SUMIF('TL04'!$C$238:$C$451,$C37,'TL04'!$J$238:$J$451),0),
IF('TL05'!$B$3=M$3,SUMIF('TL05'!$C$10:$C$224,$C37,'TL05'!$J$10:$J$224),0),
IF('TL05'!$B$229=M$3,SUMIF('TL05'!$C$238:$C$451,$C37,'TL05'!$J$238:$J$451),0),
IF('TL06'!$B$3=M$3,SUMIF('TL06'!$C$10:$C$224,$C37,'TL06'!$J$10:$J$224),0),
IF('TL06'!$B$229=M$3,SUMIF('TL06'!$C$238:$C$451,$C37,'TL06'!$J$238:$J$451),0),
IF('TL07'!$B$3=M$3,SUMIF('TL07'!$C$10:$C$224,$C37,'TL07'!$J$10:$J$224),0),
IF('TL07'!$B$229=M$3,SUMIF('TL07'!$C$238:$C$451,$C37,'TL07'!$J$238:$J$451),0),
IF('TL08'!$B$3=M$3,SUMIF('TL08'!$C$10:$C$224,$C37,'TL08'!$J$10:$J$224),0),
IF('TL08'!$B$229=M$3,SUMIF('TL08'!$C$238:$C$451,$C37,'TL08'!$J$238:$J$451),0),
IF('TL09'!$B$3=M$3,SUMIF('TL09'!$C$10:$C$224,$C37,'TL09'!$J$10:$J$224),0),
IF('TL09'!$B$229=M$3,SUMIF('TL09'!$C$238:$C$451,$C37,'TL09'!$J$238:$J$451),0),
IF('TL10'!$B$3=M$3,SUMIF('TL10'!$C$10:$C$224,$C37,'TL10'!$J$10:$J$224),0),
IF('TL10'!$B$229=M$3,SUMIF('TL10'!$C$238:$C$451,$C37,'TL10'!$J$238:$J$451),0),
IF('TL11'!$B$3=M$3,SUMIF('TL11'!$C$10:$C$224,$C37,'TL11'!$J$10:$J$224),0),
IF('TL11'!$B$229=M$3,SUMIF('TL11'!$C$238:$C$451,$C37,'TL11'!$J$238:$J$451),0),
IF('TL12'!$B$3=M$3,SUMIF('TL12'!$C$10:$C$224,$C37,'TL12'!$J$10:$J$224),0),
IF('TL12'!$B$229=M$3,SUMIF('TL12'!$C$238:$C$451,$C37,'TL12'!$J$238:$J$451),0),
IF('TL13'!$B$3=M$3,SUMIF('TL13'!$C$10:$C$224,$C37,'TL13'!$J$10:$J$224),0),
IF('TL13'!$B$229=M$3,SUMIF('TL13'!$C$238:$C$451,$C37,'TL13'!$J$238:$J$451),0),
IF('TL14'!$B$3=M$3,SUMIF('TL14'!$C$10:$C$224,$C37,'TL14'!$J$10:$J$224),0),
IF('TL14'!$B$229=M$3,SUMIF('TL14'!$C$238:$C$451,$C37,'TL14'!$J$238:$J$451),0),
IF('TL15'!$B$3=M$3,SUMIF('TL15'!$C$10:$C$224,$C37,'TL15'!$J$10:$J$224),0),
IF('TL15'!$B$229=M$3,SUMIF('TL15'!$C$238:$C$451,$C37,'TL15'!$J$238:$J$451),0),
IF('TL16'!$B$3=M$3,SUMIF('TL16'!$C$10:$C$224,$C37,'TL16'!$J$10:$J$224),0),
IF('TL16'!$B$229=M$3,SUMIF('TL16'!$C$238:$C$451,$C37,'TL16'!$J$238:$J$451),0),
IF('TL17'!$B$3=M$3,SUMIF('TL17'!$C$10:$C$224,$C37,'TL17'!$J$10:$J$224),0),
IF('TL17'!$B$229=M$3,SUMIF('TL17'!$C$238:$C$451,$C37,'TL17'!$J$238:$J$451),0),
IF('TL18'!$B$3=M$3,SUMIF('TL18'!$C$10:$C$224,$C37,'TL18'!$J$10:$J$224),0),
IF('TL18'!$B$229=M$3,SUMIF('TL18'!$C$238:$C$451,$C37,'TL18'!$J$238:$J$451),0),
IF('TL19'!$B$3=M$3,SUMIF('TL19'!$C$10:$C$224,$C37,'TL19'!$J$10:$J$224),0),
IF('TL19'!$B$229=M$3,SUMIF('TL19'!$C$238:$C$451,$C37,'TL19'!$J$238:$J$451),0)
),0)</f>
        <v/>
      </c>
      <c r="N37" s="9">
        <f>IFERROR(SUM(
IF('TL01'!$B$3=N$3,SUMIF('TL01'!$C$10:$C$224,$C37,'TL01'!$J$10:$J$224),0),
IF('TL01'!$B$229=N$3,SUMIF('TL01'!$C$238:$C$451,$C37,'TL01'!$J$238:$J$451),0),
IF('TL02'!$B$3=N$3,SUMIF('TL02'!$C$10:$C$224,$C37,'TL02'!$J$10:$J$224),0),
IF('TL02'!$B$229=N$3,SUMIF('TL02'!$C$238:$C$451,$C37,'TL02'!$J$238:$J$451),0),
IF('TL03'!$B$3=N$3,SUMIF('TL03'!$C$10:$C$224,$C37,'TL03'!$J$10:$J$224),0),
IF('TL03'!$B$229=N$3,SUMIF('TL03'!$C$238:$C$451,$C37,'TL03'!$J$238:$J$451),0),
IF('TL04'!$B$3=N$3,SUMIF('TL04'!$C$10:$C$224,$C37,'TL04'!$J$10:$J$224),0),
IF('TL04'!$B$229=N$3,SUMIF('TL04'!$C$238:$C$451,$C37,'TL04'!$J$238:$J$451),0),
IF('TL05'!$B$3=N$3,SUMIF('TL05'!$C$10:$C$224,$C37,'TL05'!$J$10:$J$224),0),
IF('TL05'!$B$229=N$3,SUMIF('TL05'!$C$238:$C$451,$C37,'TL05'!$J$238:$J$451),0),
IF('TL06'!$B$3=N$3,SUMIF('TL06'!$C$10:$C$224,$C37,'TL06'!$J$10:$J$224),0),
IF('TL06'!$B$229=N$3,SUMIF('TL06'!$C$238:$C$451,$C37,'TL06'!$J$238:$J$451),0),
IF('TL07'!$B$3=N$3,SUMIF('TL07'!$C$10:$C$224,$C37,'TL07'!$J$10:$J$224),0),
IF('TL07'!$B$229=N$3,SUMIF('TL07'!$C$238:$C$451,$C37,'TL07'!$J$238:$J$451),0),
IF('TL08'!$B$3=N$3,SUMIF('TL08'!$C$10:$C$224,$C37,'TL08'!$J$10:$J$224),0),
IF('TL08'!$B$229=N$3,SUMIF('TL08'!$C$238:$C$451,$C37,'TL08'!$J$238:$J$451),0),
IF('TL09'!$B$3=N$3,SUMIF('TL09'!$C$10:$C$224,$C37,'TL09'!$J$10:$J$224),0),
IF('TL09'!$B$229=N$3,SUMIF('TL09'!$C$238:$C$451,$C37,'TL09'!$J$238:$J$451),0),
IF('TL10'!$B$3=N$3,SUMIF('TL10'!$C$10:$C$224,$C37,'TL10'!$J$10:$J$224),0),
IF('TL10'!$B$229=N$3,SUMIF('TL10'!$C$238:$C$451,$C37,'TL10'!$J$238:$J$451),0),
IF('TL11'!$B$3=N$3,SUMIF('TL11'!$C$10:$C$224,$C37,'TL11'!$J$10:$J$224),0),
IF('TL11'!$B$229=N$3,SUMIF('TL11'!$C$238:$C$451,$C37,'TL11'!$J$238:$J$451),0),
IF('TL12'!$B$3=N$3,SUMIF('TL12'!$C$10:$C$224,$C37,'TL12'!$J$10:$J$224),0),
IF('TL12'!$B$229=N$3,SUMIF('TL12'!$C$238:$C$451,$C37,'TL12'!$J$238:$J$451),0),
IF('TL13'!$B$3=N$3,SUMIF('TL13'!$C$10:$C$224,$C37,'TL13'!$J$10:$J$224),0),
IF('TL13'!$B$229=N$3,SUMIF('TL13'!$C$238:$C$451,$C37,'TL13'!$J$238:$J$451),0),
IF('TL14'!$B$3=N$3,SUMIF('TL14'!$C$10:$C$224,$C37,'TL14'!$J$10:$J$224),0),
IF('TL14'!$B$229=N$3,SUMIF('TL14'!$C$238:$C$451,$C37,'TL14'!$J$238:$J$451),0),
IF('TL15'!$B$3=N$3,SUMIF('TL15'!$C$10:$C$224,$C37,'TL15'!$J$10:$J$224),0),
IF('TL15'!$B$229=N$3,SUMIF('TL15'!$C$238:$C$451,$C37,'TL15'!$J$238:$J$451),0),
IF('TL16'!$B$3=N$3,SUMIF('TL16'!$C$10:$C$224,$C37,'TL16'!$J$10:$J$224),0),
IF('TL16'!$B$229=N$3,SUMIF('TL16'!$C$238:$C$451,$C37,'TL16'!$J$238:$J$451),0),
IF('TL17'!$B$3=N$3,SUMIF('TL17'!$C$10:$C$224,$C37,'TL17'!$J$10:$J$224),0),
IF('TL17'!$B$229=N$3,SUMIF('TL17'!$C$238:$C$451,$C37,'TL17'!$J$238:$J$451),0),
IF('TL18'!$B$3=N$3,SUMIF('TL18'!$C$10:$C$224,$C37,'TL18'!$J$10:$J$224),0),
IF('TL18'!$B$229=N$3,SUMIF('TL18'!$C$238:$C$451,$C37,'TL18'!$J$238:$J$451),0),
IF('TL19'!$B$3=N$3,SUMIF('TL19'!$C$10:$C$224,$C37,'TL19'!$J$10:$J$224),0),
IF('TL19'!$B$229=N$3,SUMIF('TL19'!$C$238:$C$451,$C37,'TL19'!$J$238:$J$451),0)
),0)</f>
        <v/>
      </c>
      <c r="O37" s="9">
        <f>IFERROR(SUM(
IF('TL01'!$B$3=O$3,SUMIF('TL01'!$C$10:$C$224,$C37,'TL01'!$J$10:$J$224),0),
IF('TL01'!$B$229=O$3,SUMIF('TL01'!$C$238:$C$451,$C37,'TL01'!$J$238:$J$451),0),
IF('TL02'!$B$3=O$3,SUMIF('TL02'!$C$10:$C$224,$C37,'TL02'!$J$10:$J$224),0),
IF('TL02'!$B$229=O$3,SUMIF('TL02'!$C$238:$C$451,$C37,'TL02'!$J$238:$J$451),0),
IF('TL03'!$B$3=O$3,SUMIF('TL03'!$C$10:$C$224,$C37,'TL03'!$J$10:$J$224),0),
IF('TL03'!$B$229=O$3,SUMIF('TL03'!$C$238:$C$451,$C37,'TL03'!$J$238:$J$451),0),
IF('TL04'!$B$3=O$3,SUMIF('TL04'!$C$10:$C$224,$C37,'TL04'!$J$10:$J$224),0),
IF('TL04'!$B$229=O$3,SUMIF('TL04'!$C$238:$C$451,$C37,'TL04'!$J$238:$J$451),0),
IF('TL05'!$B$3=O$3,SUMIF('TL05'!$C$10:$C$224,$C37,'TL05'!$J$10:$J$224),0),
IF('TL05'!$B$229=O$3,SUMIF('TL05'!$C$238:$C$451,$C37,'TL05'!$J$238:$J$451),0),
IF('TL06'!$B$3=O$3,SUMIF('TL06'!$C$10:$C$224,$C37,'TL06'!$J$10:$J$224),0),
IF('TL06'!$B$229=O$3,SUMIF('TL06'!$C$238:$C$451,$C37,'TL06'!$J$238:$J$451),0),
IF('TL07'!$B$3=O$3,SUMIF('TL07'!$C$10:$C$224,$C37,'TL07'!$J$10:$J$224),0),
IF('TL07'!$B$229=O$3,SUMIF('TL07'!$C$238:$C$451,$C37,'TL07'!$J$238:$J$451),0),
IF('TL08'!$B$3=O$3,SUMIF('TL08'!$C$10:$C$224,$C37,'TL08'!$J$10:$J$224),0),
IF('TL08'!$B$229=O$3,SUMIF('TL08'!$C$238:$C$451,$C37,'TL08'!$J$238:$J$451),0),
IF('TL09'!$B$3=O$3,SUMIF('TL09'!$C$10:$C$224,$C37,'TL09'!$J$10:$J$224),0),
IF('TL09'!$B$229=O$3,SUMIF('TL09'!$C$238:$C$451,$C37,'TL09'!$J$238:$J$451),0),
IF('TL10'!$B$3=O$3,SUMIF('TL10'!$C$10:$C$224,$C37,'TL10'!$J$10:$J$224),0),
IF('TL10'!$B$229=O$3,SUMIF('TL10'!$C$238:$C$451,$C37,'TL10'!$J$238:$J$451),0),
IF('TL11'!$B$3=O$3,SUMIF('TL11'!$C$10:$C$224,$C37,'TL11'!$J$10:$J$224),0),
IF('TL11'!$B$229=O$3,SUMIF('TL11'!$C$238:$C$451,$C37,'TL11'!$J$238:$J$451),0),
IF('TL12'!$B$3=O$3,SUMIF('TL12'!$C$10:$C$224,$C37,'TL12'!$J$10:$J$224),0),
IF('TL12'!$B$229=O$3,SUMIF('TL12'!$C$238:$C$451,$C37,'TL12'!$J$238:$J$451),0),
IF('TL13'!$B$3=O$3,SUMIF('TL13'!$C$10:$C$224,$C37,'TL13'!$J$10:$J$224),0),
IF('TL13'!$B$229=O$3,SUMIF('TL13'!$C$238:$C$451,$C37,'TL13'!$J$238:$J$451),0),
IF('TL14'!$B$3=O$3,SUMIF('TL14'!$C$10:$C$224,$C37,'TL14'!$J$10:$J$224),0),
IF('TL14'!$B$229=O$3,SUMIF('TL14'!$C$238:$C$451,$C37,'TL14'!$J$238:$J$451),0),
IF('TL15'!$B$3=O$3,SUMIF('TL15'!$C$10:$C$224,$C37,'TL15'!$J$10:$J$224),0),
IF('TL15'!$B$229=O$3,SUMIF('TL15'!$C$238:$C$451,$C37,'TL15'!$J$238:$J$451),0),
IF('TL16'!$B$3=O$3,SUMIF('TL16'!$C$10:$C$224,$C37,'TL16'!$J$10:$J$224),0),
IF('TL16'!$B$229=O$3,SUMIF('TL16'!$C$238:$C$451,$C37,'TL16'!$J$238:$J$451),0),
IF('TL17'!$B$3=O$3,SUMIF('TL17'!$C$10:$C$224,$C37,'TL17'!$J$10:$J$224),0),
IF('TL17'!$B$229=O$3,SUMIF('TL17'!$C$238:$C$451,$C37,'TL17'!$J$238:$J$451),0),
IF('TL18'!$B$3=O$3,SUMIF('TL18'!$C$10:$C$224,$C37,'TL18'!$J$10:$J$224),0),
IF('TL18'!$B$229=O$3,SUMIF('TL18'!$C$238:$C$451,$C37,'TL18'!$J$238:$J$451),0),
IF('TL19'!$B$3=O$3,SUMIF('TL19'!$C$10:$C$224,$C37,'TL19'!$J$10:$J$224),0),
IF('TL19'!$B$229=O$3,SUMIF('TL19'!$C$238:$C$451,$C37,'TL19'!$J$238:$J$451),0)
),0)</f>
        <v/>
      </c>
      <c r="P37" s="9">
        <f>IFERROR(SUM(
IF('TL01'!$B$3=P$3,SUMIF('TL01'!$C$10:$C$224,$C37,'TL01'!$J$10:$J$224),0),
IF('TL01'!$B$229=P$3,SUMIF('TL01'!$C$238:$C$451,$C37,'TL01'!$J$238:$J$451),0),
IF('TL02'!$B$3=P$3,SUMIF('TL02'!$C$10:$C$224,$C37,'TL02'!$J$10:$J$224),0),
IF('TL02'!$B$229=P$3,SUMIF('TL02'!$C$238:$C$451,$C37,'TL02'!$J$238:$J$451),0),
IF('TL03'!$B$3=P$3,SUMIF('TL03'!$C$10:$C$224,$C37,'TL03'!$J$10:$J$224),0),
IF('TL03'!$B$229=P$3,SUMIF('TL03'!$C$238:$C$451,$C37,'TL03'!$J$238:$J$451),0),
IF('TL04'!$B$3=P$3,SUMIF('TL04'!$C$10:$C$224,$C37,'TL04'!$J$10:$J$224),0),
IF('TL04'!$B$229=P$3,SUMIF('TL04'!$C$238:$C$451,$C37,'TL04'!$J$238:$J$451),0),
IF('TL05'!$B$3=P$3,SUMIF('TL05'!$C$10:$C$224,$C37,'TL05'!$J$10:$J$224),0),
IF('TL05'!$B$229=P$3,SUMIF('TL05'!$C$238:$C$451,$C37,'TL05'!$J$238:$J$451),0),
IF('TL06'!$B$3=P$3,SUMIF('TL06'!$C$10:$C$224,$C37,'TL06'!$J$10:$J$224),0),
IF('TL06'!$B$229=P$3,SUMIF('TL06'!$C$238:$C$451,$C37,'TL06'!$J$238:$J$451),0),
IF('TL07'!$B$3=P$3,SUMIF('TL07'!$C$10:$C$224,$C37,'TL07'!$J$10:$J$224),0),
IF('TL07'!$B$229=P$3,SUMIF('TL07'!$C$238:$C$451,$C37,'TL07'!$J$238:$J$451),0),
IF('TL08'!$B$3=P$3,SUMIF('TL08'!$C$10:$C$224,$C37,'TL08'!$J$10:$J$224),0),
IF('TL08'!$B$229=P$3,SUMIF('TL08'!$C$238:$C$451,$C37,'TL08'!$J$238:$J$451),0),
IF('TL09'!$B$3=P$3,SUMIF('TL09'!$C$10:$C$224,$C37,'TL09'!$J$10:$J$224),0),
IF('TL09'!$B$229=P$3,SUMIF('TL09'!$C$238:$C$451,$C37,'TL09'!$J$238:$J$451),0),
IF('TL10'!$B$3=P$3,SUMIF('TL10'!$C$10:$C$224,$C37,'TL10'!$J$10:$J$224),0),
IF('TL10'!$B$229=P$3,SUMIF('TL10'!$C$238:$C$451,$C37,'TL10'!$J$238:$J$451),0),
IF('TL11'!$B$3=P$3,SUMIF('TL11'!$C$10:$C$224,$C37,'TL11'!$J$10:$J$224),0),
IF('TL11'!$B$229=P$3,SUMIF('TL11'!$C$238:$C$451,$C37,'TL11'!$J$238:$J$451),0),
IF('TL12'!$B$3=P$3,SUMIF('TL12'!$C$10:$C$224,$C37,'TL12'!$J$10:$J$224),0),
IF('TL12'!$B$229=P$3,SUMIF('TL12'!$C$238:$C$451,$C37,'TL12'!$J$238:$J$451),0),
IF('TL13'!$B$3=P$3,SUMIF('TL13'!$C$10:$C$224,$C37,'TL13'!$J$10:$J$224),0),
IF('TL13'!$B$229=P$3,SUMIF('TL13'!$C$238:$C$451,$C37,'TL13'!$J$238:$J$451),0),
IF('TL14'!$B$3=P$3,SUMIF('TL14'!$C$10:$C$224,$C37,'TL14'!$J$10:$J$224),0),
IF('TL14'!$B$229=P$3,SUMIF('TL14'!$C$238:$C$451,$C37,'TL14'!$J$238:$J$451),0),
IF('TL15'!$B$3=P$3,SUMIF('TL15'!$C$10:$C$224,$C37,'TL15'!$J$10:$J$224),0),
IF('TL15'!$B$229=P$3,SUMIF('TL15'!$C$238:$C$451,$C37,'TL15'!$J$238:$J$451),0),
IF('TL16'!$B$3=P$3,SUMIF('TL16'!$C$10:$C$224,$C37,'TL16'!$J$10:$J$224),0),
IF('TL16'!$B$229=P$3,SUMIF('TL16'!$C$238:$C$451,$C37,'TL16'!$J$238:$J$451),0),
IF('TL17'!$B$3=P$3,SUMIF('TL17'!$C$10:$C$224,$C37,'TL17'!$J$10:$J$224),0),
IF('TL17'!$B$229=P$3,SUMIF('TL17'!$C$238:$C$451,$C37,'TL17'!$J$238:$J$451),0),
IF('TL18'!$B$3=P$3,SUMIF('TL18'!$C$10:$C$224,$C37,'TL18'!$J$10:$J$224),0),
IF('TL18'!$B$229=P$3,SUMIF('TL18'!$C$238:$C$451,$C37,'TL18'!$J$238:$J$451),0),
IF('TL19'!$B$3=P$3,SUMIF('TL19'!$C$10:$C$224,$C37,'TL19'!$J$10:$J$224),0),
IF('TL19'!$B$229=P$3,SUMIF('TL19'!$C$238:$C$451,$C37,'TL19'!$J$238:$J$451),0)
),0)</f>
        <v/>
      </c>
      <c r="Q37" s="9">
        <f>IFERROR(SUM(
IF('TL01'!$B$3=Q$3,SUMIF('TL01'!$C$10:$C$224,$C37,'TL01'!$J$10:$J$224),0),
IF('TL01'!$B$229=Q$3,SUMIF('TL01'!$C$238:$C$451,$C37,'TL01'!$J$238:$J$451),0),
IF('TL02'!$B$3=Q$3,SUMIF('TL02'!$C$10:$C$224,$C37,'TL02'!$J$10:$J$224),0),
IF('TL02'!$B$229=Q$3,SUMIF('TL02'!$C$238:$C$451,$C37,'TL02'!$J$238:$J$451),0),
IF('TL03'!$B$3=Q$3,SUMIF('TL03'!$C$10:$C$224,$C37,'TL03'!$J$10:$J$224),0),
IF('TL03'!$B$229=Q$3,SUMIF('TL03'!$C$238:$C$451,$C37,'TL03'!$J$238:$J$451),0),
IF('TL04'!$B$3=Q$3,SUMIF('TL04'!$C$10:$C$224,$C37,'TL04'!$J$10:$J$224),0),
IF('TL04'!$B$229=Q$3,SUMIF('TL04'!$C$238:$C$451,$C37,'TL04'!$J$238:$J$451),0),
IF('TL05'!$B$3=Q$3,SUMIF('TL05'!$C$10:$C$224,$C37,'TL05'!$J$10:$J$224),0),
IF('TL05'!$B$229=Q$3,SUMIF('TL05'!$C$238:$C$451,$C37,'TL05'!$J$238:$J$451),0),
IF('TL06'!$B$3=Q$3,SUMIF('TL06'!$C$10:$C$224,$C37,'TL06'!$J$10:$J$224),0),
IF('TL06'!$B$229=Q$3,SUMIF('TL06'!$C$238:$C$451,$C37,'TL06'!$J$238:$J$451),0),
IF('TL07'!$B$3=Q$3,SUMIF('TL07'!$C$10:$C$224,$C37,'TL07'!$J$10:$J$224),0),
IF('TL07'!$B$229=Q$3,SUMIF('TL07'!$C$238:$C$451,$C37,'TL07'!$J$238:$J$451),0),
IF('TL08'!$B$3=Q$3,SUMIF('TL08'!$C$10:$C$224,$C37,'TL08'!$J$10:$J$224),0),
IF('TL08'!$B$229=Q$3,SUMIF('TL08'!$C$238:$C$451,$C37,'TL08'!$J$238:$J$451),0),
IF('TL09'!$B$3=Q$3,SUMIF('TL09'!$C$10:$C$224,$C37,'TL09'!$J$10:$J$224),0),
IF('TL09'!$B$229=Q$3,SUMIF('TL09'!$C$238:$C$451,$C37,'TL09'!$J$238:$J$451),0),
IF('TL10'!$B$3=Q$3,SUMIF('TL10'!$C$10:$C$224,$C37,'TL10'!$J$10:$J$224),0),
IF('TL10'!$B$229=Q$3,SUMIF('TL10'!$C$238:$C$451,$C37,'TL10'!$J$238:$J$451),0),
IF('TL11'!$B$3=Q$3,SUMIF('TL11'!$C$10:$C$224,$C37,'TL11'!$J$10:$J$224),0),
IF('TL11'!$B$229=Q$3,SUMIF('TL11'!$C$238:$C$451,$C37,'TL11'!$J$238:$J$451),0),
IF('TL12'!$B$3=Q$3,SUMIF('TL12'!$C$10:$C$224,$C37,'TL12'!$J$10:$J$224),0),
IF('TL12'!$B$229=Q$3,SUMIF('TL12'!$C$238:$C$451,$C37,'TL12'!$J$238:$J$451),0),
IF('TL13'!$B$3=Q$3,SUMIF('TL13'!$C$10:$C$224,$C37,'TL13'!$J$10:$J$224),0),
IF('TL13'!$B$229=Q$3,SUMIF('TL13'!$C$238:$C$451,$C37,'TL13'!$J$238:$J$451),0),
IF('TL14'!$B$3=Q$3,SUMIF('TL14'!$C$10:$C$224,$C37,'TL14'!$J$10:$J$224),0),
IF('TL14'!$B$229=Q$3,SUMIF('TL14'!$C$238:$C$451,$C37,'TL14'!$J$238:$J$451),0),
IF('TL15'!$B$3=Q$3,SUMIF('TL15'!$C$10:$C$224,$C37,'TL15'!$J$10:$J$224),0),
IF('TL15'!$B$229=Q$3,SUMIF('TL15'!$C$238:$C$451,$C37,'TL15'!$J$238:$J$451),0),
IF('TL16'!$B$3=Q$3,SUMIF('TL16'!$C$10:$C$224,$C37,'TL16'!$J$10:$J$224),0),
IF('TL16'!$B$229=Q$3,SUMIF('TL16'!$C$238:$C$451,$C37,'TL16'!$J$238:$J$451),0),
IF('TL17'!$B$3=Q$3,SUMIF('TL17'!$C$10:$C$224,$C37,'TL17'!$J$10:$J$224),0),
IF('TL17'!$B$229=Q$3,SUMIF('TL17'!$C$238:$C$451,$C37,'TL17'!$J$238:$J$451),0),
IF('TL18'!$B$3=Q$3,SUMIF('TL18'!$C$10:$C$224,$C37,'TL18'!$J$10:$J$224),0),
IF('TL18'!$B$229=Q$3,SUMIF('TL18'!$C$238:$C$451,$C37,'TL18'!$J$238:$J$451),0),
IF('TL19'!$B$3=Q$3,SUMIF('TL19'!$C$10:$C$224,$C37,'TL19'!$J$10:$J$224),0),
IF('TL19'!$B$229=Q$3,SUMIF('TL19'!$C$238:$C$451,$C37,'TL19'!$J$238:$J$451),0)
),0)</f>
        <v/>
      </c>
      <c r="R37" s="9">
        <f>IFERROR(
SUM(
SUMIF('TL01'!C:C,C37,'TL01'!J:J),
SUMIF('TL02'!C:C,C37,'TL02'!J:J),
SUMIF('TL03'!C:C,C37,'TL03'!J:J),
SUMIF('TL04'!C:C,C37,'TL04'!J:J),
SUMIF('TL05'!C:C,C37,'TL05'!J:J),
SUMIF('TL06'!C:C,C37,'TL06'!J:J),
SUMIF('TL07'!C:C,C37,'TL07'!J:J),
SUMIF('TL08'!C:C,C37,'TL08'!J:J),
SUMIF('TL09'!C:C,C37,'TL09'!J:J),
SUMIF('TL10'!C:C,C37,'TL10'!J:J),
SUMIF('TL11'!C:C,C37,'TL11'!J:J),
SUMIF('TL12'!C:C,C37,'TL12'!J:J),
SUMIF('TL13'!C:C,C37,'TL13'!J:J),
SUMIF('TL14'!C:C,C37,'TL14'!J:J),
SUMIF('TL15'!C:C,C37,'TL15'!J:J),
SUMIF('TL16'!C:C,C37,'TL16'!J:J),
SUMIF('TL17'!C:C,C37,'TL17'!J:J),
SUMIF('TL18'!C:C,C37,'TL18'!J:J),SUMIF('TL19'!C:C,C37,'TL19'!J:J))
,0)</f>
        <v/>
      </c>
      <c r="S37" s="17">
        <f>IFERROR(__xludf.DUMMYFUNCTION("IFERROR(VLOOKUP(C37,
IMPORTRANGE(""1wULbzX32WdYsx-lj2U3uUNBBe2INVIRDtcK0d-Dvl90"",
""26-27!C:G""),
5,
FALSE),
"""")"),"")</f>
        <v/>
      </c>
      <c r="T37" s="9" t="n"/>
      <c r="U37" s="92">
        <f>MAX(0,R37-T37)</f>
        <v/>
      </c>
      <c r="V37" s="93">
        <f>U37*S37</f>
        <v/>
      </c>
    </row>
    <row r="38" hidden="1" ht="22.5" customHeight="1" s="297">
      <c r="A38" s="101" t="n"/>
      <c r="B38" s="102" t="inlineStr">
        <is>
          <t>FERTILIZANTES</t>
        </is>
      </c>
      <c r="C38" s="103" t="inlineStr">
        <is>
          <t xml:space="preserve">00-01-00+Cu2 Mn8 Zn7 </t>
        </is>
      </c>
      <c r="D38" s="103" t="inlineStr">
        <is>
          <t xml:space="preserve">Cu 2% Mn 8% Zn 7% </t>
        </is>
      </c>
      <c r="E38" s="104" t="n"/>
      <c r="F38" s="4" t="inlineStr">
        <is>
          <t>Ton</t>
        </is>
      </c>
      <c r="G38" s="9" t="n"/>
      <c r="H38" s="9">
        <f>IFERROR(__xludf.DUMMYFUNCTION("IFERROR(VLOOKUP(C38,
IMPORTRANGE(""1wULbzX32WdYsx-lj2U3uUNBBe2INVIRDtcK0d-Dvl90"",
""26-27!C:K""),
8,
FALSE),
"""")"),"")</f>
        <v/>
      </c>
      <c r="I38" s="105" t="n"/>
      <c r="J38" s="9">
        <f>IFERROR(SUM(
IF('TL01'!$B$3=J$3,SUMIF('TL01'!$C$10:$C$224,$C38,'TL01'!$J$10:$J$224),0),
IF('TL01'!$B$229=J$3,SUMIF('TL01'!$C$238:$C$451,$C38,'TL01'!$J$238:$J$451),0),
IF('TL02'!$B$3=J$3,SUMIF('TL02'!$C$10:$C$224,$C38,'TL02'!$J$10:$J$224),0),
IF('TL02'!$B$229=J$3,SUMIF('TL02'!$C$238:$C$451,$C38,'TL02'!$J$238:$J$451),0),
IF('TL03'!$B$3=J$3,SUMIF('TL03'!$C$10:$C$224,$C38,'TL03'!$J$10:$J$224),0),
IF('TL03'!$B$229=J$3,SUMIF('TL03'!$C$238:$C$451,$C38,'TL03'!$J$238:$J$451),0),
IF('TL04'!$B$3=J$3,SUMIF('TL04'!$C$10:$C$224,$C38,'TL04'!$J$10:$J$224),0),
IF('TL04'!$B$229=J$3,SUMIF('TL04'!$C$238:$C$451,$C38,'TL04'!$J$238:$J$451),0),
IF('TL05'!$B$3=J$3,SUMIF('TL05'!$C$10:$C$224,$C38,'TL05'!$J$10:$J$224),0),
IF('TL05'!$B$229=J$3,SUMIF('TL05'!$C$238:$C$451,$C38,'TL05'!$J$238:$J$451),0),
IF('TL06'!$B$3=J$3,SUMIF('TL06'!$C$10:$C$224,$C38,'TL06'!$J$10:$J$224),0),
IF('TL06'!$B$229=J$3,SUMIF('TL06'!$C$238:$C$451,$C38,'TL06'!$J$238:$J$451),0),
IF('TL07'!$B$3=J$3,SUMIF('TL07'!$C$10:$C$224,$C38,'TL07'!$J$10:$J$224),0),
IF('TL07'!$B$229=J$3,SUMIF('TL07'!$C$238:$C$451,$C38,'TL07'!$J$238:$J$451),0),
IF('TL08'!$B$3=J$3,SUMIF('TL08'!$C$10:$C$224,$C38,'TL08'!$J$10:$J$224),0),
IF('TL08'!$B$229=J$3,SUMIF('TL08'!$C$238:$C$451,$C38,'TL08'!$J$238:$J$451),0),
IF('TL09'!$B$3=J$3,SUMIF('TL09'!$C$10:$C$224,$C38,'TL09'!$J$10:$J$224),0),
IF('TL09'!$B$229=J$3,SUMIF('TL09'!$C$238:$C$451,$C38,'TL09'!$J$238:$J$451),0),
IF('TL10'!$B$3=J$3,SUMIF('TL10'!$C$10:$C$224,$C38,'TL10'!$J$10:$J$224),0),
IF('TL10'!$B$229=J$3,SUMIF('TL10'!$C$238:$C$451,$C38,'TL10'!$J$238:$J$451),0),
IF('TL11'!$B$3=J$3,SUMIF('TL11'!$C$10:$C$224,$C38,'TL11'!$J$10:$J$224),0),
IF('TL11'!$B$229=J$3,SUMIF('TL11'!$C$238:$C$451,$C38,'TL11'!$J$238:$J$451),0),
IF('TL12'!$B$3=J$3,SUMIF('TL12'!$C$10:$C$224,$C38,'TL12'!$J$10:$J$224),0),
IF('TL12'!$B$229=J$3,SUMIF('TL12'!$C$238:$C$451,$C38,'TL12'!$J$238:$J$451),0),
IF('TL13'!$B$3=J$3,SUMIF('TL13'!$C$10:$C$224,$C38,'TL13'!$J$10:$J$224),0),
IF('TL13'!$B$229=J$3,SUMIF('TL13'!$C$238:$C$451,$C38,'TL13'!$J$238:$J$451),0),
IF('TL14'!$B$3=J$3,SUMIF('TL14'!$C$10:$C$224,$C38,'TL14'!$J$10:$J$224),0),
IF('TL14'!$B$229=J$3,SUMIF('TL14'!$C$238:$C$451,$C38,'TL14'!$J$238:$J$451),0),
IF('TL15'!$B$3=J$3,SUMIF('TL15'!$C$10:$C$224,$C38,'TL15'!$J$10:$J$224),0),
IF('TL15'!$B$229=J$3,SUMIF('TL15'!$C$238:$C$451,$C38,'TL15'!$J$238:$J$451),0),
IF('TL16'!$B$3=J$3,SUMIF('TL16'!$C$10:$C$224,$C38,'TL16'!$J$10:$J$224),0),
IF('TL16'!$B$229=J$3,SUMIF('TL16'!$C$238:$C$451,$C38,'TL16'!$J$238:$J$451),0),
IF('TL17'!$B$3=J$3,SUMIF('TL17'!$C$10:$C$224,$C38,'TL17'!$J$10:$J$224),0),
IF('TL17'!$B$229=J$3,SUMIF('TL17'!$C$238:$C$451,$C38,'TL17'!$J$238:$J$451),0),
IF('TL18'!$B$3=J$3,SUMIF('TL18'!$C$10:$C$224,$C38,'TL18'!$J$10:$J$224),0),
IF('TL18'!$B$229=J$3,SUMIF('TL18'!$C$238:$C$451,$C38,'TL18'!$J$238:$J$451),0),
IF('TL19'!$B$3=J$3,SUMIF('TL19'!$C$10:$C$224,$C38,'TL19'!$J$10:$J$224),0),
IF('TL19'!$B$229=J$3,SUMIF('TL19'!$C$238:$C$451,$C38,'TL19'!$J$238:$J$451),0)
),0)</f>
        <v/>
      </c>
      <c r="K38" s="9">
        <f>IFERROR(SUM(
IF('TL01'!$B$3=K$3,SUMIF('TL01'!$C$10:$C$224,$C38,'TL01'!$J$10:$J$224),0),
IF('TL01'!$B$229=K$3,SUMIF('TL01'!$C$238:$C$451,$C38,'TL01'!$J$238:$J$451),0),
IF('TL02'!$B$3=K$3,SUMIF('TL02'!$C$10:$C$224,$C38,'TL02'!$J$10:$J$224),0),
IF('TL02'!$B$229=K$3,SUMIF('TL02'!$C$238:$C$451,$C38,'TL02'!$J$238:$J$451),0),
IF('TL03'!$B$3=K$3,SUMIF('TL03'!$C$10:$C$224,$C38,'TL03'!$J$10:$J$224),0),
IF('TL03'!$B$229=K$3,SUMIF('TL03'!$C$238:$C$451,$C38,'TL03'!$J$238:$J$451),0),
IF('TL04'!$B$3=K$3,SUMIF('TL04'!$C$10:$C$224,$C38,'TL04'!$J$10:$J$224),0),
IF('TL04'!$B$229=K$3,SUMIF('TL04'!$C$238:$C$451,$C38,'TL04'!$J$238:$J$451),0),
IF('TL05'!$B$3=K$3,SUMIF('TL05'!$C$10:$C$224,$C38,'TL05'!$J$10:$J$224),0),
IF('TL05'!$B$229=K$3,SUMIF('TL05'!$C$238:$C$451,$C38,'TL05'!$J$238:$J$451),0),
IF('TL06'!$B$3=K$3,SUMIF('TL06'!$C$10:$C$224,$C38,'TL06'!$J$10:$J$224),0),
IF('TL06'!$B$229=K$3,SUMIF('TL06'!$C$238:$C$451,$C38,'TL06'!$J$238:$J$451),0),
IF('TL07'!$B$3=K$3,SUMIF('TL07'!$C$10:$C$224,$C38,'TL07'!$J$10:$J$224),0),
IF('TL07'!$B$229=K$3,SUMIF('TL07'!$C$238:$C$451,$C38,'TL07'!$J$238:$J$451),0),
IF('TL08'!$B$3=K$3,SUMIF('TL08'!$C$10:$C$224,$C38,'TL08'!$J$10:$J$224),0),
IF('TL08'!$B$229=K$3,SUMIF('TL08'!$C$238:$C$451,$C38,'TL08'!$J$238:$J$451),0),
IF('TL09'!$B$3=K$3,SUMIF('TL09'!$C$10:$C$224,$C38,'TL09'!$J$10:$J$224),0),
IF('TL09'!$B$229=K$3,SUMIF('TL09'!$C$238:$C$451,$C38,'TL09'!$J$238:$J$451),0),
IF('TL10'!$B$3=K$3,SUMIF('TL10'!$C$10:$C$224,$C38,'TL10'!$J$10:$J$224),0),
IF('TL10'!$B$229=K$3,SUMIF('TL10'!$C$238:$C$451,$C38,'TL10'!$J$238:$J$451),0),
IF('TL11'!$B$3=K$3,SUMIF('TL11'!$C$10:$C$224,$C38,'TL11'!$J$10:$J$224),0),
IF('TL11'!$B$229=K$3,SUMIF('TL11'!$C$238:$C$451,$C38,'TL11'!$J$238:$J$451),0),
IF('TL12'!$B$3=K$3,SUMIF('TL12'!$C$10:$C$224,$C38,'TL12'!$J$10:$J$224),0),
IF('TL12'!$B$229=K$3,SUMIF('TL12'!$C$238:$C$451,$C38,'TL12'!$J$238:$J$451),0),
IF('TL13'!$B$3=K$3,SUMIF('TL13'!$C$10:$C$224,$C38,'TL13'!$J$10:$J$224),0),
IF('TL13'!$B$229=K$3,SUMIF('TL13'!$C$238:$C$451,$C38,'TL13'!$J$238:$J$451),0),
IF('TL14'!$B$3=K$3,SUMIF('TL14'!$C$10:$C$224,$C38,'TL14'!$J$10:$J$224),0),
IF('TL14'!$B$229=K$3,SUMIF('TL14'!$C$238:$C$451,$C38,'TL14'!$J$238:$J$451),0),
IF('TL15'!$B$3=K$3,SUMIF('TL15'!$C$10:$C$224,$C38,'TL15'!$J$10:$J$224),0),
IF('TL15'!$B$229=K$3,SUMIF('TL15'!$C$238:$C$451,$C38,'TL15'!$J$238:$J$451),0),
IF('TL16'!$B$3=K$3,SUMIF('TL16'!$C$10:$C$224,$C38,'TL16'!$J$10:$J$224),0),
IF('TL16'!$B$229=K$3,SUMIF('TL16'!$C$238:$C$451,$C38,'TL16'!$J$238:$J$451),0),
IF('TL17'!$B$3=K$3,SUMIF('TL17'!$C$10:$C$224,$C38,'TL17'!$J$10:$J$224),0),
IF('TL17'!$B$229=K$3,SUMIF('TL17'!$C$238:$C$451,$C38,'TL17'!$J$238:$J$451),0),
IF('TL18'!$B$3=K$3,SUMIF('TL18'!$C$10:$C$224,$C38,'TL18'!$J$10:$J$224),0),
IF('TL18'!$B$229=K$3,SUMIF('TL18'!$C$238:$C$451,$C38,'TL18'!$J$238:$J$451),0),
IF('TL19'!$B$3=K$3,SUMIF('TL19'!$C$10:$C$224,$C38,'TL19'!$J$10:$J$224),0),
IF('TL19'!$B$229=K$3,SUMIF('TL19'!$C$238:$C$451,$C38,'TL19'!$J$238:$J$451),0)
),0)</f>
        <v/>
      </c>
      <c r="L38" s="9">
        <f>IFERROR(SUM(
IF('TL01'!$B$3=L$3,SUMIF('TL01'!$C$10:$C$224,$C38,'TL01'!$J$10:$J$224),0),
IF('TL01'!$B$229=L$3,SUMIF('TL01'!$C$238:$C$451,$C38,'TL01'!$J$238:$J$451),0),
IF('TL02'!$B$3=L$3,SUMIF('TL02'!$C$10:$C$224,$C38,'TL02'!$J$10:$J$224),0),
IF('TL02'!$B$229=L$3,SUMIF('TL02'!$C$238:$C$451,$C38,'TL02'!$J$238:$J$451),0),
IF('TL03'!$B$3=L$3,SUMIF('TL03'!$C$10:$C$224,$C38,'TL03'!$J$10:$J$224),0),
IF('TL03'!$B$229=L$3,SUMIF('TL03'!$C$238:$C$451,$C38,'TL03'!$J$238:$J$451),0),
IF('TL04'!$B$3=L$3,SUMIF('TL04'!$C$10:$C$224,$C38,'TL04'!$J$10:$J$224),0),
IF('TL04'!$B$229=L$3,SUMIF('TL04'!$C$238:$C$451,$C38,'TL04'!$J$238:$J$451),0),
IF('TL05'!$B$3=L$3,SUMIF('TL05'!$C$10:$C$224,$C38,'TL05'!$J$10:$J$224),0),
IF('TL05'!$B$229=L$3,SUMIF('TL05'!$C$238:$C$451,$C38,'TL05'!$J$238:$J$451),0),
IF('TL06'!$B$3=L$3,SUMIF('TL06'!$C$10:$C$224,$C38,'TL06'!$J$10:$J$224),0),
IF('TL06'!$B$229=L$3,SUMIF('TL06'!$C$238:$C$451,$C38,'TL06'!$J$238:$J$451),0),
IF('TL07'!$B$3=L$3,SUMIF('TL07'!$C$10:$C$224,$C38,'TL07'!$J$10:$J$224),0),
IF('TL07'!$B$229=L$3,SUMIF('TL07'!$C$238:$C$451,$C38,'TL07'!$J$238:$J$451),0),
IF('TL08'!$B$3=L$3,SUMIF('TL08'!$C$10:$C$224,$C38,'TL08'!$J$10:$J$224),0),
IF('TL08'!$B$229=L$3,SUMIF('TL08'!$C$238:$C$451,$C38,'TL08'!$J$238:$J$451),0),
IF('TL09'!$B$3=L$3,SUMIF('TL09'!$C$10:$C$224,$C38,'TL09'!$J$10:$J$224),0),
IF('TL09'!$B$229=L$3,SUMIF('TL09'!$C$238:$C$451,$C38,'TL09'!$J$238:$J$451),0),
IF('TL10'!$B$3=L$3,SUMIF('TL10'!$C$10:$C$224,$C38,'TL10'!$J$10:$J$224),0),
IF('TL10'!$B$229=L$3,SUMIF('TL10'!$C$238:$C$451,$C38,'TL10'!$J$238:$J$451),0),
IF('TL11'!$B$3=L$3,SUMIF('TL11'!$C$10:$C$224,$C38,'TL11'!$J$10:$J$224),0),
IF('TL11'!$B$229=L$3,SUMIF('TL11'!$C$238:$C$451,$C38,'TL11'!$J$238:$J$451),0),
IF('TL12'!$B$3=L$3,SUMIF('TL12'!$C$10:$C$224,$C38,'TL12'!$J$10:$J$224),0),
IF('TL12'!$B$229=L$3,SUMIF('TL12'!$C$238:$C$451,$C38,'TL12'!$J$238:$J$451),0),
IF('TL13'!$B$3=L$3,SUMIF('TL13'!$C$10:$C$224,$C38,'TL13'!$J$10:$J$224),0),
IF('TL13'!$B$229=L$3,SUMIF('TL13'!$C$238:$C$451,$C38,'TL13'!$J$238:$J$451),0),
IF('TL14'!$B$3=L$3,SUMIF('TL14'!$C$10:$C$224,$C38,'TL14'!$J$10:$J$224),0),
IF('TL14'!$B$229=L$3,SUMIF('TL14'!$C$238:$C$451,$C38,'TL14'!$J$238:$J$451),0),
IF('TL15'!$B$3=L$3,SUMIF('TL15'!$C$10:$C$224,$C38,'TL15'!$J$10:$J$224),0),
IF('TL15'!$B$229=L$3,SUMIF('TL15'!$C$238:$C$451,$C38,'TL15'!$J$238:$J$451),0),
IF('TL16'!$B$3=L$3,SUMIF('TL16'!$C$10:$C$224,$C38,'TL16'!$J$10:$J$224),0),
IF('TL16'!$B$229=L$3,SUMIF('TL16'!$C$238:$C$451,$C38,'TL16'!$J$238:$J$451),0),
IF('TL17'!$B$3=L$3,SUMIF('TL17'!$C$10:$C$224,$C38,'TL17'!$J$10:$J$224),0),
IF('TL17'!$B$229=L$3,SUMIF('TL17'!$C$238:$C$451,$C38,'TL17'!$J$238:$J$451),0),
IF('TL18'!$B$3=L$3,SUMIF('TL18'!$C$10:$C$224,$C38,'TL18'!$J$10:$J$224),0),
IF('TL18'!$B$229=L$3,SUMIF('TL18'!$C$238:$C$451,$C38,'TL18'!$J$238:$J$451),0),
IF('TL19'!$B$3=L$3,SUMIF('TL19'!$C$10:$C$224,$C38,'TL19'!$J$10:$J$224),0),
IF('TL19'!$B$229=L$3,SUMIF('TL19'!$C$238:$C$451,$C38,'TL19'!$J$238:$J$451),0)
),0)</f>
        <v/>
      </c>
      <c r="M38" s="9">
        <f>IFERROR(SUM(
IF('TL01'!$B$3=M$3,SUMIF('TL01'!$C$10:$C$224,$C38,'TL01'!$J$10:$J$224),0),
IF('TL01'!$B$229=M$3,SUMIF('TL01'!$C$238:$C$451,$C38,'TL01'!$J$238:$J$451),0),
IF('TL02'!$B$3=M$3,SUMIF('TL02'!$C$10:$C$224,$C38,'TL02'!$J$10:$J$224),0),
IF('TL02'!$B$229=M$3,SUMIF('TL02'!$C$238:$C$451,$C38,'TL02'!$J$238:$J$451),0),
IF('TL03'!$B$3=M$3,SUMIF('TL03'!$C$10:$C$224,$C38,'TL03'!$J$10:$J$224),0),
IF('TL03'!$B$229=M$3,SUMIF('TL03'!$C$238:$C$451,$C38,'TL03'!$J$238:$J$451),0),
IF('TL04'!$B$3=M$3,SUMIF('TL04'!$C$10:$C$224,$C38,'TL04'!$J$10:$J$224),0),
IF('TL04'!$B$229=M$3,SUMIF('TL04'!$C$238:$C$451,$C38,'TL04'!$J$238:$J$451),0),
IF('TL05'!$B$3=M$3,SUMIF('TL05'!$C$10:$C$224,$C38,'TL05'!$J$10:$J$224),0),
IF('TL05'!$B$229=M$3,SUMIF('TL05'!$C$238:$C$451,$C38,'TL05'!$J$238:$J$451),0),
IF('TL06'!$B$3=M$3,SUMIF('TL06'!$C$10:$C$224,$C38,'TL06'!$J$10:$J$224),0),
IF('TL06'!$B$229=M$3,SUMIF('TL06'!$C$238:$C$451,$C38,'TL06'!$J$238:$J$451),0),
IF('TL07'!$B$3=M$3,SUMIF('TL07'!$C$10:$C$224,$C38,'TL07'!$J$10:$J$224),0),
IF('TL07'!$B$229=M$3,SUMIF('TL07'!$C$238:$C$451,$C38,'TL07'!$J$238:$J$451),0),
IF('TL08'!$B$3=M$3,SUMIF('TL08'!$C$10:$C$224,$C38,'TL08'!$J$10:$J$224),0),
IF('TL08'!$B$229=M$3,SUMIF('TL08'!$C$238:$C$451,$C38,'TL08'!$J$238:$J$451),0),
IF('TL09'!$B$3=M$3,SUMIF('TL09'!$C$10:$C$224,$C38,'TL09'!$J$10:$J$224),0),
IF('TL09'!$B$229=M$3,SUMIF('TL09'!$C$238:$C$451,$C38,'TL09'!$J$238:$J$451),0),
IF('TL10'!$B$3=M$3,SUMIF('TL10'!$C$10:$C$224,$C38,'TL10'!$J$10:$J$224),0),
IF('TL10'!$B$229=M$3,SUMIF('TL10'!$C$238:$C$451,$C38,'TL10'!$J$238:$J$451),0),
IF('TL11'!$B$3=M$3,SUMIF('TL11'!$C$10:$C$224,$C38,'TL11'!$J$10:$J$224),0),
IF('TL11'!$B$229=M$3,SUMIF('TL11'!$C$238:$C$451,$C38,'TL11'!$J$238:$J$451),0),
IF('TL12'!$B$3=M$3,SUMIF('TL12'!$C$10:$C$224,$C38,'TL12'!$J$10:$J$224),0),
IF('TL12'!$B$229=M$3,SUMIF('TL12'!$C$238:$C$451,$C38,'TL12'!$J$238:$J$451),0),
IF('TL13'!$B$3=M$3,SUMIF('TL13'!$C$10:$C$224,$C38,'TL13'!$J$10:$J$224),0),
IF('TL13'!$B$229=M$3,SUMIF('TL13'!$C$238:$C$451,$C38,'TL13'!$J$238:$J$451),0),
IF('TL14'!$B$3=M$3,SUMIF('TL14'!$C$10:$C$224,$C38,'TL14'!$J$10:$J$224),0),
IF('TL14'!$B$229=M$3,SUMIF('TL14'!$C$238:$C$451,$C38,'TL14'!$J$238:$J$451),0),
IF('TL15'!$B$3=M$3,SUMIF('TL15'!$C$10:$C$224,$C38,'TL15'!$J$10:$J$224),0),
IF('TL15'!$B$229=M$3,SUMIF('TL15'!$C$238:$C$451,$C38,'TL15'!$J$238:$J$451),0),
IF('TL16'!$B$3=M$3,SUMIF('TL16'!$C$10:$C$224,$C38,'TL16'!$J$10:$J$224),0),
IF('TL16'!$B$229=M$3,SUMIF('TL16'!$C$238:$C$451,$C38,'TL16'!$J$238:$J$451),0),
IF('TL17'!$B$3=M$3,SUMIF('TL17'!$C$10:$C$224,$C38,'TL17'!$J$10:$J$224),0),
IF('TL17'!$B$229=M$3,SUMIF('TL17'!$C$238:$C$451,$C38,'TL17'!$J$238:$J$451),0),
IF('TL18'!$B$3=M$3,SUMIF('TL18'!$C$10:$C$224,$C38,'TL18'!$J$10:$J$224),0),
IF('TL18'!$B$229=M$3,SUMIF('TL18'!$C$238:$C$451,$C38,'TL18'!$J$238:$J$451),0),
IF('TL19'!$B$3=M$3,SUMIF('TL19'!$C$10:$C$224,$C38,'TL19'!$J$10:$J$224),0),
IF('TL19'!$B$229=M$3,SUMIF('TL19'!$C$238:$C$451,$C38,'TL19'!$J$238:$J$451),0)
),0)</f>
        <v/>
      </c>
      <c r="N38" s="9">
        <f>IFERROR(SUM(
IF('TL01'!$B$3=N$3,SUMIF('TL01'!$C$10:$C$224,$C38,'TL01'!$J$10:$J$224),0),
IF('TL01'!$B$229=N$3,SUMIF('TL01'!$C$238:$C$451,$C38,'TL01'!$J$238:$J$451),0),
IF('TL02'!$B$3=N$3,SUMIF('TL02'!$C$10:$C$224,$C38,'TL02'!$J$10:$J$224),0),
IF('TL02'!$B$229=N$3,SUMIF('TL02'!$C$238:$C$451,$C38,'TL02'!$J$238:$J$451),0),
IF('TL03'!$B$3=N$3,SUMIF('TL03'!$C$10:$C$224,$C38,'TL03'!$J$10:$J$224),0),
IF('TL03'!$B$229=N$3,SUMIF('TL03'!$C$238:$C$451,$C38,'TL03'!$J$238:$J$451),0),
IF('TL04'!$B$3=N$3,SUMIF('TL04'!$C$10:$C$224,$C38,'TL04'!$J$10:$J$224),0),
IF('TL04'!$B$229=N$3,SUMIF('TL04'!$C$238:$C$451,$C38,'TL04'!$J$238:$J$451),0),
IF('TL05'!$B$3=N$3,SUMIF('TL05'!$C$10:$C$224,$C38,'TL05'!$J$10:$J$224),0),
IF('TL05'!$B$229=N$3,SUMIF('TL05'!$C$238:$C$451,$C38,'TL05'!$J$238:$J$451),0),
IF('TL06'!$B$3=N$3,SUMIF('TL06'!$C$10:$C$224,$C38,'TL06'!$J$10:$J$224),0),
IF('TL06'!$B$229=N$3,SUMIF('TL06'!$C$238:$C$451,$C38,'TL06'!$J$238:$J$451),0),
IF('TL07'!$B$3=N$3,SUMIF('TL07'!$C$10:$C$224,$C38,'TL07'!$J$10:$J$224),0),
IF('TL07'!$B$229=N$3,SUMIF('TL07'!$C$238:$C$451,$C38,'TL07'!$J$238:$J$451),0),
IF('TL08'!$B$3=N$3,SUMIF('TL08'!$C$10:$C$224,$C38,'TL08'!$J$10:$J$224),0),
IF('TL08'!$B$229=N$3,SUMIF('TL08'!$C$238:$C$451,$C38,'TL08'!$J$238:$J$451),0),
IF('TL09'!$B$3=N$3,SUMIF('TL09'!$C$10:$C$224,$C38,'TL09'!$J$10:$J$224),0),
IF('TL09'!$B$229=N$3,SUMIF('TL09'!$C$238:$C$451,$C38,'TL09'!$J$238:$J$451),0),
IF('TL10'!$B$3=N$3,SUMIF('TL10'!$C$10:$C$224,$C38,'TL10'!$J$10:$J$224),0),
IF('TL10'!$B$229=N$3,SUMIF('TL10'!$C$238:$C$451,$C38,'TL10'!$J$238:$J$451),0),
IF('TL11'!$B$3=N$3,SUMIF('TL11'!$C$10:$C$224,$C38,'TL11'!$J$10:$J$224),0),
IF('TL11'!$B$229=N$3,SUMIF('TL11'!$C$238:$C$451,$C38,'TL11'!$J$238:$J$451),0),
IF('TL12'!$B$3=N$3,SUMIF('TL12'!$C$10:$C$224,$C38,'TL12'!$J$10:$J$224),0),
IF('TL12'!$B$229=N$3,SUMIF('TL12'!$C$238:$C$451,$C38,'TL12'!$J$238:$J$451),0),
IF('TL13'!$B$3=N$3,SUMIF('TL13'!$C$10:$C$224,$C38,'TL13'!$J$10:$J$224),0),
IF('TL13'!$B$229=N$3,SUMIF('TL13'!$C$238:$C$451,$C38,'TL13'!$J$238:$J$451),0),
IF('TL14'!$B$3=N$3,SUMIF('TL14'!$C$10:$C$224,$C38,'TL14'!$J$10:$J$224),0),
IF('TL14'!$B$229=N$3,SUMIF('TL14'!$C$238:$C$451,$C38,'TL14'!$J$238:$J$451),0),
IF('TL15'!$B$3=N$3,SUMIF('TL15'!$C$10:$C$224,$C38,'TL15'!$J$10:$J$224),0),
IF('TL15'!$B$229=N$3,SUMIF('TL15'!$C$238:$C$451,$C38,'TL15'!$J$238:$J$451),0),
IF('TL16'!$B$3=N$3,SUMIF('TL16'!$C$10:$C$224,$C38,'TL16'!$J$10:$J$224),0),
IF('TL16'!$B$229=N$3,SUMIF('TL16'!$C$238:$C$451,$C38,'TL16'!$J$238:$J$451),0),
IF('TL17'!$B$3=N$3,SUMIF('TL17'!$C$10:$C$224,$C38,'TL17'!$J$10:$J$224),0),
IF('TL17'!$B$229=N$3,SUMIF('TL17'!$C$238:$C$451,$C38,'TL17'!$J$238:$J$451),0),
IF('TL18'!$B$3=N$3,SUMIF('TL18'!$C$10:$C$224,$C38,'TL18'!$J$10:$J$224),0),
IF('TL18'!$B$229=N$3,SUMIF('TL18'!$C$238:$C$451,$C38,'TL18'!$J$238:$J$451),0),
IF('TL19'!$B$3=N$3,SUMIF('TL19'!$C$10:$C$224,$C38,'TL19'!$J$10:$J$224),0),
IF('TL19'!$B$229=N$3,SUMIF('TL19'!$C$238:$C$451,$C38,'TL19'!$J$238:$J$451),0)
),0)</f>
        <v/>
      </c>
      <c r="O38" s="9">
        <f>IFERROR(SUM(
IF('TL01'!$B$3=O$3,SUMIF('TL01'!$C$10:$C$224,$C38,'TL01'!$J$10:$J$224),0),
IF('TL01'!$B$229=O$3,SUMIF('TL01'!$C$238:$C$451,$C38,'TL01'!$J$238:$J$451),0),
IF('TL02'!$B$3=O$3,SUMIF('TL02'!$C$10:$C$224,$C38,'TL02'!$J$10:$J$224),0),
IF('TL02'!$B$229=O$3,SUMIF('TL02'!$C$238:$C$451,$C38,'TL02'!$J$238:$J$451),0),
IF('TL03'!$B$3=O$3,SUMIF('TL03'!$C$10:$C$224,$C38,'TL03'!$J$10:$J$224),0),
IF('TL03'!$B$229=O$3,SUMIF('TL03'!$C$238:$C$451,$C38,'TL03'!$J$238:$J$451),0),
IF('TL04'!$B$3=O$3,SUMIF('TL04'!$C$10:$C$224,$C38,'TL04'!$J$10:$J$224),0),
IF('TL04'!$B$229=O$3,SUMIF('TL04'!$C$238:$C$451,$C38,'TL04'!$J$238:$J$451),0),
IF('TL05'!$B$3=O$3,SUMIF('TL05'!$C$10:$C$224,$C38,'TL05'!$J$10:$J$224),0),
IF('TL05'!$B$229=O$3,SUMIF('TL05'!$C$238:$C$451,$C38,'TL05'!$J$238:$J$451),0),
IF('TL06'!$B$3=O$3,SUMIF('TL06'!$C$10:$C$224,$C38,'TL06'!$J$10:$J$224),0),
IF('TL06'!$B$229=O$3,SUMIF('TL06'!$C$238:$C$451,$C38,'TL06'!$J$238:$J$451),0),
IF('TL07'!$B$3=O$3,SUMIF('TL07'!$C$10:$C$224,$C38,'TL07'!$J$10:$J$224),0),
IF('TL07'!$B$229=O$3,SUMIF('TL07'!$C$238:$C$451,$C38,'TL07'!$J$238:$J$451),0),
IF('TL08'!$B$3=O$3,SUMIF('TL08'!$C$10:$C$224,$C38,'TL08'!$J$10:$J$224),0),
IF('TL08'!$B$229=O$3,SUMIF('TL08'!$C$238:$C$451,$C38,'TL08'!$J$238:$J$451),0),
IF('TL09'!$B$3=O$3,SUMIF('TL09'!$C$10:$C$224,$C38,'TL09'!$J$10:$J$224),0),
IF('TL09'!$B$229=O$3,SUMIF('TL09'!$C$238:$C$451,$C38,'TL09'!$J$238:$J$451),0),
IF('TL10'!$B$3=O$3,SUMIF('TL10'!$C$10:$C$224,$C38,'TL10'!$J$10:$J$224),0),
IF('TL10'!$B$229=O$3,SUMIF('TL10'!$C$238:$C$451,$C38,'TL10'!$J$238:$J$451),0),
IF('TL11'!$B$3=O$3,SUMIF('TL11'!$C$10:$C$224,$C38,'TL11'!$J$10:$J$224),0),
IF('TL11'!$B$229=O$3,SUMIF('TL11'!$C$238:$C$451,$C38,'TL11'!$J$238:$J$451),0),
IF('TL12'!$B$3=O$3,SUMIF('TL12'!$C$10:$C$224,$C38,'TL12'!$J$10:$J$224),0),
IF('TL12'!$B$229=O$3,SUMIF('TL12'!$C$238:$C$451,$C38,'TL12'!$J$238:$J$451),0),
IF('TL13'!$B$3=O$3,SUMIF('TL13'!$C$10:$C$224,$C38,'TL13'!$J$10:$J$224),0),
IF('TL13'!$B$229=O$3,SUMIF('TL13'!$C$238:$C$451,$C38,'TL13'!$J$238:$J$451),0),
IF('TL14'!$B$3=O$3,SUMIF('TL14'!$C$10:$C$224,$C38,'TL14'!$J$10:$J$224),0),
IF('TL14'!$B$229=O$3,SUMIF('TL14'!$C$238:$C$451,$C38,'TL14'!$J$238:$J$451),0),
IF('TL15'!$B$3=O$3,SUMIF('TL15'!$C$10:$C$224,$C38,'TL15'!$J$10:$J$224),0),
IF('TL15'!$B$229=O$3,SUMIF('TL15'!$C$238:$C$451,$C38,'TL15'!$J$238:$J$451),0),
IF('TL16'!$B$3=O$3,SUMIF('TL16'!$C$10:$C$224,$C38,'TL16'!$J$10:$J$224),0),
IF('TL16'!$B$229=O$3,SUMIF('TL16'!$C$238:$C$451,$C38,'TL16'!$J$238:$J$451),0),
IF('TL17'!$B$3=O$3,SUMIF('TL17'!$C$10:$C$224,$C38,'TL17'!$J$10:$J$224),0),
IF('TL17'!$B$229=O$3,SUMIF('TL17'!$C$238:$C$451,$C38,'TL17'!$J$238:$J$451),0),
IF('TL18'!$B$3=O$3,SUMIF('TL18'!$C$10:$C$224,$C38,'TL18'!$J$10:$J$224),0),
IF('TL18'!$B$229=O$3,SUMIF('TL18'!$C$238:$C$451,$C38,'TL18'!$J$238:$J$451),0),
IF('TL19'!$B$3=O$3,SUMIF('TL19'!$C$10:$C$224,$C38,'TL19'!$J$10:$J$224),0),
IF('TL19'!$B$229=O$3,SUMIF('TL19'!$C$238:$C$451,$C38,'TL19'!$J$238:$J$451),0)
),0)</f>
        <v/>
      </c>
      <c r="P38" s="9">
        <f>IFERROR(SUM(
IF('TL01'!$B$3=P$3,SUMIF('TL01'!$C$10:$C$224,$C38,'TL01'!$J$10:$J$224),0),
IF('TL01'!$B$229=P$3,SUMIF('TL01'!$C$238:$C$451,$C38,'TL01'!$J$238:$J$451),0),
IF('TL02'!$B$3=P$3,SUMIF('TL02'!$C$10:$C$224,$C38,'TL02'!$J$10:$J$224),0),
IF('TL02'!$B$229=P$3,SUMIF('TL02'!$C$238:$C$451,$C38,'TL02'!$J$238:$J$451),0),
IF('TL03'!$B$3=P$3,SUMIF('TL03'!$C$10:$C$224,$C38,'TL03'!$J$10:$J$224),0),
IF('TL03'!$B$229=P$3,SUMIF('TL03'!$C$238:$C$451,$C38,'TL03'!$J$238:$J$451),0),
IF('TL04'!$B$3=P$3,SUMIF('TL04'!$C$10:$C$224,$C38,'TL04'!$J$10:$J$224),0),
IF('TL04'!$B$229=P$3,SUMIF('TL04'!$C$238:$C$451,$C38,'TL04'!$J$238:$J$451),0),
IF('TL05'!$B$3=P$3,SUMIF('TL05'!$C$10:$C$224,$C38,'TL05'!$J$10:$J$224),0),
IF('TL05'!$B$229=P$3,SUMIF('TL05'!$C$238:$C$451,$C38,'TL05'!$J$238:$J$451),0),
IF('TL06'!$B$3=P$3,SUMIF('TL06'!$C$10:$C$224,$C38,'TL06'!$J$10:$J$224),0),
IF('TL06'!$B$229=P$3,SUMIF('TL06'!$C$238:$C$451,$C38,'TL06'!$J$238:$J$451),0),
IF('TL07'!$B$3=P$3,SUMIF('TL07'!$C$10:$C$224,$C38,'TL07'!$J$10:$J$224),0),
IF('TL07'!$B$229=P$3,SUMIF('TL07'!$C$238:$C$451,$C38,'TL07'!$J$238:$J$451),0),
IF('TL08'!$B$3=P$3,SUMIF('TL08'!$C$10:$C$224,$C38,'TL08'!$J$10:$J$224),0),
IF('TL08'!$B$229=P$3,SUMIF('TL08'!$C$238:$C$451,$C38,'TL08'!$J$238:$J$451),0),
IF('TL09'!$B$3=P$3,SUMIF('TL09'!$C$10:$C$224,$C38,'TL09'!$J$10:$J$224),0),
IF('TL09'!$B$229=P$3,SUMIF('TL09'!$C$238:$C$451,$C38,'TL09'!$J$238:$J$451),0),
IF('TL10'!$B$3=P$3,SUMIF('TL10'!$C$10:$C$224,$C38,'TL10'!$J$10:$J$224),0),
IF('TL10'!$B$229=P$3,SUMIF('TL10'!$C$238:$C$451,$C38,'TL10'!$J$238:$J$451),0),
IF('TL11'!$B$3=P$3,SUMIF('TL11'!$C$10:$C$224,$C38,'TL11'!$J$10:$J$224),0),
IF('TL11'!$B$229=P$3,SUMIF('TL11'!$C$238:$C$451,$C38,'TL11'!$J$238:$J$451),0),
IF('TL12'!$B$3=P$3,SUMIF('TL12'!$C$10:$C$224,$C38,'TL12'!$J$10:$J$224),0),
IF('TL12'!$B$229=P$3,SUMIF('TL12'!$C$238:$C$451,$C38,'TL12'!$J$238:$J$451),0),
IF('TL13'!$B$3=P$3,SUMIF('TL13'!$C$10:$C$224,$C38,'TL13'!$J$10:$J$224),0),
IF('TL13'!$B$229=P$3,SUMIF('TL13'!$C$238:$C$451,$C38,'TL13'!$J$238:$J$451),0),
IF('TL14'!$B$3=P$3,SUMIF('TL14'!$C$10:$C$224,$C38,'TL14'!$J$10:$J$224),0),
IF('TL14'!$B$229=P$3,SUMIF('TL14'!$C$238:$C$451,$C38,'TL14'!$J$238:$J$451),0),
IF('TL15'!$B$3=P$3,SUMIF('TL15'!$C$10:$C$224,$C38,'TL15'!$J$10:$J$224),0),
IF('TL15'!$B$229=P$3,SUMIF('TL15'!$C$238:$C$451,$C38,'TL15'!$J$238:$J$451),0),
IF('TL16'!$B$3=P$3,SUMIF('TL16'!$C$10:$C$224,$C38,'TL16'!$J$10:$J$224),0),
IF('TL16'!$B$229=P$3,SUMIF('TL16'!$C$238:$C$451,$C38,'TL16'!$J$238:$J$451),0),
IF('TL17'!$B$3=P$3,SUMIF('TL17'!$C$10:$C$224,$C38,'TL17'!$J$10:$J$224),0),
IF('TL17'!$B$229=P$3,SUMIF('TL17'!$C$238:$C$451,$C38,'TL17'!$J$238:$J$451),0),
IF('TL18'!$B$3=P$3,SUMIF('TL18'!$C$10:$C$224,$C38,'TL18'!$J$10:$J$224),0),
IF('TL18'!$B$229=P$3,SUMIF('TL18'!$C$238:$C$451,$C38,'TL18'!$J$238:$J$451),0),
IF('TL19'!$B$3=P$3,SUMIF('TL19'!$C$10:$C$224,$C38,'TL19'!$J$10:$J$224),0),
IF('TL19'!$B$229=P$3,SUMIF('TL19'!$C$238:$C$451,$C38,'TL19'!$J$238:$J$451),0)
),0)</f>
        <v/>
      </c>
      <c r="Q38" s="9">
        <f>IFERROR(SUM(
IF('TL01'!$B$3=Q$3,SUMIF('TL01'!$C$10:$C$224,$C38,'TL01'!$J$10:$J$224),0),
IF('TL01'!$B$229=Q$3,SUMIF('TL01'!$C$238:$C$451,$C38,'TL01'!$J$238:$J$451),0),
IF('TL02'!$B$3=Q$3,SUMIF('TL02'!$C$10:$C$224,$C38,'TL02'!$J$10:$J$224),0),
IF('TL02'!$B$229=Q$3,SUMIF('TL02'!$C$238:$C$451,$C38,'TL02'!$J$238:$J$451),0),
IF('TL03'!$B$3=Q$3,SUMIF('TL03'!$C$10:$C$224,$C38,'TL03'!$J$10:$J$224),0),
IF('TL03'!$B$229=Q$3,SUMIF('TL03'!$C$238:$C$451,$C38,'TL03'!$J$238:$J$451),0),
IF('TL04'!$B$3=Q$3,SUMIF('TL04'!$C$10:$C$224,$C38,'TL04'!$J$10:$J$224),0),
IF('TL04'!$B$229=Q$3,SUMIF('TL04'!$C$238:$C$451,$C38,'TL04'!$J$238:$J$451),0),
IF('TL05'!$B$3=Q$3,SUMIF('TL05'!$C$10:$C$224,$C38,'TL05'!$J$10:$J$224),0),
IF('TL05'!$B$229=Q$3,SUMIF('TL05'!$C$238:$C$451,$C38,'TL05'!$J$238:$J$451),0),
IF('TL06'!$B$3=Q$3,SUMIF('TL06'!$C$10:$C$224,$C38,'TL06'!$J$10:$J$224),0),
IF('TL06'!$B$229=Q$3,SUMIF('TL06'!$C$238:$C$451,$C38,'TL06'!$J$238:$J$451),0),
IF('TL07'!$B$3=Q$3,SUMIF('TL07'!$C$10:$C$224,$C38,'TL07'!$J$10:$J$224),0),
IF('TL07'!$B$229=Q$3,SUMIF('TL07'!$C$238:$C$451,$C38,'TL07'!$J$238:$J$451),0),
IF('TL08'!$B$3=Q$3,SUMIF('TL08'!$C$10:$C$224,$C38,'TL08'!$J$10:$J$224),0),
IF('TL08'!$B$229=Q$3,SUMIF('TL08'!$C$238:$C$451,$C38,'TL08'!$J$238:$J$451),0),
IF('TL09'!$B$3=Q$3,SUMIF('TL09'!$C$10:$C$224,$C38,'TL09'!$J$10:$J$224),0),
IF('TL09'!$B$229=Q$3,SUMIF('TL09'!$C$238:$C$451,$C38,'TL09'!$J$238:$J$451),0),
IF('TL10'!$B$3=Q$3,SUMIF('TL10'!$C$10:$C$224,$C38,'TL10'!$J$10:$J$224),0),
IF('TL10'!$B$229=Q$3,SUMIF('TL10'!$C$238:$C$451,$C38,'TL10'!$J$238:$J$451),0),
IF('TL11'!$B$3=Q$3,SUMIF('TL11'!$C$10:$C$224,$C38,'TL11'!$J$10:$J$224),0),
IF('TL11'!$B$229=Q$3,SUMIF('TL11'!$C$238:$C$451,$C38,'TL11'!$J$238:$J$451),0),
IF('TL12'!$B$3=Q$3,SUMIF('TL12'!$C$10:$C$224,$C38,'TL12'!$J$10:$J$224),0),
IF('TL12'!$B$229=Q$3,SUMIF('TL12'!$C$238:$C$451,$C38,'TL12'!$J$238:$J$451),0),
IF('TL13'!$B$3=Q$3,SUMIF('TL13'!$C$10:$C$224,$C38,'TL13'!$J$10:$J$224),0),
IF('TL13'!$B$229=Q$3,SUMIF('TL13'!$C$238:$C$451,$C38,'TL13'!$J$238:$J$451),0),
IF('TL14'!$B$3=Q$3,SUMIF('TL14'!$C$10:$C$224,$C38,'TL14'!$J$10:$J$224),0),
IF('TL14'!$B$229=Q$3,SUMIF('TL14'!$C$238:$C$451,$C38,'TL14'!$J$238:$J$451),0),
IF('TL15'!$B$3=Q$3,SUMIF('TL15'!$C$10:$C$224,$C38,'TL15'!$J$10:$J$224),0),
IF('TL15'!$B$229=Q$3,SUMIF('TL15'!$C$238:$C$451,$C38,'TL15'!$J$238:$J$451),0),
IF('TL16'!$B$3=Q$3,SUMIF('TL16'!$C$10:$C$224,$C38,'TL16'!$J$10:$J$224),0),
IF('TL16'!$B$229=Q$3,SUMIF('TL16'!$C$238:$C$451,$C38,'TL16'!$J$238:$J$451),0),
IF('TL17'!$B$3=Q$3,SUMIF('TL17'!$C$10:$C$224,$C38,'TL17'!$J$10:$J$224),0),
IF('TL17'!$B$229=Q$3,SUMIF('TL17'!$C$238:$C$451,$C38,'TL17'!$J$238:$J$451),0),
IF('TL18'!$B$3=Q$3,SUMIF('TL18'!$C$10:$C$224,$C38,'TL18'!$J$10:$J$224),0),
IF('TL18'!$B$229=Q$3,SUMIF('TL18'!$C$238:$C$451,$C38,'TL18'!$J$238:$J$451),0),
IF('TL19'!$B$3=Q$3,SUMIF('TL19'!$C$10:$C$224,$C38,'TL19'!$J$10:$J$224),0),
IF('TL19'!$B$229=Q$3,SUMIF('TL19'!$C$238:$C$451,$C38,'TL19'!$J$238:$J$451),0)
),0)</f>
        <v/>
      </c>
      <c r="R38" s="9">
        <f>IFERROR(
SUM(
SUMIF('TL01'!C:C,C38,'TL01'!J:J),
SUMIF('TL02'!C:C,C38,'TL02'!J:J),
SUMIF('TL03'!C:C,C38,'TL03'!J:J),
SUMIF('TL04'!C:C,C38,'TL04'!J:J),
SUMIF('TL05'!C:C,C38,'TL05'!J:J),
SUMIF('TL06'!C:C,C38,'TL06'!J:J),
SUMIF('TL07'!C:C,C38,'TL07'!J:J),
SUMIF('TL08'!C:C,C38,'TL08'!J:J),
SUMIF('TL09'!C:C,C38,'TL09'!J:J),
SUMIF('TL10'!C:C,C38,'TL10'!J:J),
SUMIF('TL11'!C:C,C38,'TL11'!J:J),
SUMIF('TL12'!C:C,C38,'TL12'!J:J),
SUMIF('TL13'!C:C,C38,'TL13'!J:J),
SUMIF('TL14'!C:C,C38,'TL14'!J:J),
SUMIF('TL15'!C:C,C38,'TL15'!J:J),
SUMIF('TL16'!C:C,C38,'TL16'!J:J),
SUMIF('TL17'!C:C,C38,'TL17'!J:J),
SUMIF('TL18'!C:C,C38,'TL18'!J:J),SUMIF('TL19'!C:C,C38,'TL19'!J:J))
,0)</f>
        <v/>
      </c>
      <c r="S38" s="17">
        <f>IFERROR(__xludf.DUMMYFUNCTION("IFERROR(VLOOKUP(C38,
IMPORTRANGE(""1wULbzX32WdYsx-lj2U3uUNBBe2INVIRDtcK0d-Dvl90"",
""26-27!C:G""),
5,
FALSE),
"""")"),"")</f>
        <v/>
      </c>
      <c r="T38" s="9" t="n"/>
      <c r="U38" s="92">
        <f>MAX(0,R38-T38)</f>
        <v/>
      </c>
      <c r="V38" s="93">
        <f>U38*S38</f>
        <v/>
      </c>
    </row>
    <row r="39" hidden="1" ht="22.5" customHeight="1" s="297">
      <c r="A39" s="111" t="inlineStr">
        <is>
          <t>ADAMA</t>
        </is>
      </c>
      <c r="B39" s="112" t="inlineStr">
        <is>
          <t>FUNGICIDA</t>
        </is>
      </c>
      <c r="C39" s="113" t="inlineStr">
        <is>
          <t>ACROSS</t>
        </is>
      </c>
      <c r="D39" s="113" t="inlineStr">
        <is>
          <t>AZOXISTROBINA + DIFENOCONAZOL + CLOROTALONIL</t>
        </is>
      </c>
      <c r="E39" s="113" t="inlineStr">
        <is>
          <t>40 + 40 + 500</t>
        </is>
      </c>
      <c r="F39" s="4" t="inlineStr">
        <is>
          <t>L</t>
        </is>
      </c>
      <c r="G39" s="90">
        <f>HYPERLINK("https://www.google.com/search?q=" &amp; C39 &amp; "+bula+agrofit+pdf", "📄 Ver bula")</f>
        <v/>
      </c>
      <c r="H39" s="9">
        <f>IFERROR(__xludf.DUMMYFUNCTION("IFERROR(VLOOKUP(C39,
IMPORTRANGE(""1wULbzX32WdYsx-lj2U3uUNBBe2INVIRDtcK0d-Dvl90"",
""26-27!C:K""),
8,
FALSE),
"""")"),2.0)</f>
        <v/>
      </c>
      <c r="I39" s="114" t="inlineStr">
        <is>
          <t>1x20</t>
        </is>
      </c>
      <c r="J39" s="9">
        <f>IFERROR(SUM(
IF('TL01'!$B$3=J$3,SUMIF('TL01'!$C$10:$C$224,$C39,'TL01'!$J$10:$J$224),0),
IF('TL01'!$B$229=J$3,SUMIF('TL01'!$C$238:$C$451,$C39,'TL01'!$J$238:$J$451),0),
IF('TL02'!$B$3=J$3,SUMIF('TL02'!$C$10:$C$224,$C39,'TL02'!$J$10:$J$224),0),
IF('TL02'!$B$229=J$3,SUMIF('TL02'!$C$238:$C$451,$C39,'TL02'!$J$238:$J$451),0),
IF('TL03'!$B$3=J$3,SUMIF('TL03'!$C$10:$C$224,$C39,'TL03'!$J$10:$J$224),0),
IF('TL03'!$B$229=J$3,SUMIF('TL03'!$C$238:$C$451,$C39,'TL03'!$J$238:$J$451),0),
IF('TL04'!$B$3=J$3,SUMIF('TL04'!$C$10:$C$224,$C39,'TL04'!$J$10:$J$224),0),
IF('TL04'!$B$229=J$3,SUMIF('TL04'!$C$238:$C$451,$C39,'TL04'!$J$238:$J$451),0),
IF('TL05'!$B$3=J$3,SUMIF('TL05'!$C$10:$C$224,$C39,'TL05'!$J$10:$J$224),0),
IF('TL05'!$B$229=J$3,SUMIF('TL05'!$C$238:$C$451,$C39,'TL05'!$J$238:$J$451),0),
IF('TL06'!$B$3=J$3,SUMIF('TL06'!$C$10:$C$224,$C39,'TL06'!$J$10:$J$224),0),
IF('TL06'!$B$229=J$3,SUMIF('TL06'!$C$238:$C$451,$C39,'TL06'!$J$238:$J$451),0),
IF('TL07'!$B$3=J$3,SUMIF('TL07'!$C$10:$C$224,$C39,'TL07'!$J$10:$J$224),0),
IF('TL07'!$B$229=J$3,SUMIF('TL07'!$C$238:$C$451,$C39,'TL07'!$J$238:$J$451),0),
IF('TL08'!$B$3=J$3,SUMIF('TL08'!$C$10:$C$224,$C39,'TL08'!$J$10:$J$224),0),
IF('TL08'!$B$229=J$3,SUMIF('TL08'!$C$238:$C$451,$C39,'TL08'!$J$238:$J$451),0),
IF('TL09'!$B$3=J$3,SUMIF('TL09'!$C$10:$C$224,$C39,'TL09'!$J$10:$J$224),0),
IF('TL09'!$B$229=J$3,SUMIF('TL09'!$C$238:$C$451,$C39,'TL09'!$J$238:$J$451),0),
IF('TL10'!$B$3=J$3,SUMIF('TL10'!$C$10:$C$224,$C39,'TL10'!$J$10:$J$224),0),
IF('TL10'!$B$229=J$3,SUMIF('TL10'!$C$238:$C$451,$C39,'TL10'!$J$238:$J$451),0),
IF('TL11'!$B$3=J$3,SUMIF('TL11'!$C$10:$C$224,$C39,'TL11'!$J$10:$J$224),0),
IF('TL11'!$B$229=J$3,SUMIF('TL11'!$C$238:$C$451,$C39,'TL11'!$J$238:$J$451),0),
IF('TL12'!$B$3=J$3,SUMIF('TL12'!$C$10:$C$224,$C39,'TL12'!$J$10:$J$224),0),
IF('TL12'!$B$229=J$3,SUMIF('TL12'!$C$238:$C$451,$C39,'TL12'!$J$238:$J$451),0),
IF('TL13'!$B$3=J$3,SUMIF('TL13'!$C$10:$C$224,$C39,'TL13'!$J$10:$J$224),0),
IF('TL13'!$B$229=J$3,SUMIF('TL13'!$C$238:$C$451,$C39,'TL13'!$J$238:$J$451),0),
IF('TL14'!$B$3=J$3,SUMIF('TL14'!$C$10:$C$224,$C39,'TL14'!$J$10:$J$224),0),
IF('TL14'!$B$229=J$3,SUMIF('TL14'!$C$238:$C$451,$C39,'TL14'!$J$238:$J$451),0),
IF('TL15'!$B$3=J$3,SUMIF('TL15'!$C$10:$C$224,$C39,'TL15'!$J$10:$J$224),0),
IF('TL15'!$B$229=J$3,SUMIF('TL15'!$C$238:$C$451,$C39,'TL15'!$J$238:$J$451),0),
IF('TL16'!$B$3=J$3,SUMIF('TL16'!$C$10:$C$224,$C39,'TL16'!$J$10:$J$224),0),
IF('TL16'!$B$229=J$3,SUMIF('TL16'!$C$238:$C$451,$C39,'TL16'!$J$238:$J$451),0),
IF('TL17'!$B$3=J$3,SUMIF('TL17'!$C$10:$C$224,$C39,'TL17'!$J$10:$J$224),0),
IF('TL17'!$B$229=J$3,SUMIF('TL17'!$C$238:$C$451,$C39,'TL17'!$J$238:$J$451),0),
IF('TL18'!$B$3=J$3,SUMIF('TL18'!$C$10:$C$224,$C39,'TL18'!$J$10:$J$224),0),
IF('TL18'!$B$229=J$3,SUMIF('TL18'!$C$238:$C$451,$C39,'TL18'!$J$238:$J$451),0),
IF('TL19'!$B$3=J$3,SUMIF('TL19'!$C$10:$C$224,$C39,'TL19'!$J$10:$J$224),0),
IF('TL19'!$B$229=J$3,SUMIF('TL19'!$C$238:$C$451,$C39,'TL19'!$J$238:$J$451),0)
),0)</f>
        <v/>
      </c>
      <c r="K39" s="9">
        <f>IFERROR(SUM(
IF('TL01'!$B$3=K$3,SUMIF('TL01'!$C$10:$C$224,$C39,'TL01'!$J$10:$J$224),0),
IF('TL01'!$B$229=K$3,SUMIF('TL01'!$C$238:$C$451,$C39,'TL01'!$J$238:$J$451),0),
IF('TL02'!$B$3=K$3,SUMIF('TL02'!$C$10:$C$224,$C39,'TL02'!$J$10:$J$224),0),
IF('TL02'!$B$229=K$3,SUMIF('TL02'!$C$238:$C$451,$C39,'TL02'!$J$238:$J$451),0),
IF('TL03'!$B$3=K$3,SUMIF('TL03'!$C$10:$C$224,$C39,'TL03'!$J$10:$J$224),0),
IF('TL03'!$B$229=K$3,SUMIF('TL03'!$C$238:$C$451,$C39,'TL03'!$J$238:$J$451),0),
IF('TL04'!$B$3=K$3,SUMIF('TL04'!$C$10:$C$224,$C39,'TL04'!$J$10:$J$224),0),
IF('TL04'!$B$229=K$3,SUMIF('TL04'!$C$238:$C$451,$C39,'TL04'!$J$238:$J$451),0),
IF('TL05'!$B$3=K$3,SUMIF('TL05'!$C$10:$C$224,$C39,'TL05'!$J$10:$J$224),0),
IF('TL05'!$B$229=K$3,SUMIF('TL05'!$C$238:$C$451,$C39,'TL05'!$J$238:$J$451),0),
IF('TL06'!$B$3=K$3,SUMIF('TL06'!$C$10:$C$224,$C39,'TL06'!$J$10:$J$224),0),
IF('TL06'!$B$229=K$3,SUMIF('TL06'!$C$238:$C$451,$C39,'TL06'!$J$238:$J$451),0),
IF('TL07'!$B$3=K$3,SUMIF('TL07'!$C$10:$C$224,$C39,'TL07'!$J$10:$J$224),0),
IF('TL07'!$B$229=K$3,SUMIF('TL07'!$C$238:$C$451,$C39,'TL07'!$J$238:$J$451),0),
IF('TL08'!$B$3=K$3,SUMIF('TL08'!$C$10:$C$224,$C39,'TL08'!$J$10:$J$224),0),
IF('TL08'!$B$229=K$3,SUMIF('TL08'!$C$238:$C$451,$C39,'TL08'!$J$238:$J$451),0),
IF('TL09'!$B$3=K$3,SUMIF('TL09'!$C$10:$C$224,$C39,'TL09'!$J$10:$J$224),0),
IF('TL09'!$B$229=K$3,SUMIF('TL09'!$C$238:$C$451,$C39,'TL09'!$J$238:$J$451),0),
IF('TL10'!$B$3=K$3,SUMIF('TL10'!$C$10:$C$224,$C39,'TL10'!$J$10:$J$224),0),
IF('TL10'!$B$229=K$3,SUMIF('TL10'!$C$238:$C$451,$C39,'TL10'!$J$238:$J$451),0),
IF('TL11'!$B$3=K$3,SUMIF('TL11'!$C$10:$C$224,$C39,'TL11'!$J$10:$J$224),0),
IF('TL11'!$B$229=K$3,SUMIF('TL11'!$C$238:$C$451,$C39,'TL11'!$J$238:$J$451),0),
IF('TL12'!$B$3=K$3,SUMIF('TL12'!$C$10:$C$224,$C39,'TL12'!$J$10:$J$224),0),
IF('TL12'!$B$229=K$3,SUMIF('TL12'!$C$238:$C$451,$C39,'TL12'!$J$238:$J$451),0),
IF('TL13'!$B$3=K$3,SUMIF('TL13'!$C$10:$C$224,$C39,'TL13'!$J$10:$J$224),0),
IF('TL13'!$B$229=K$3,SUMIF('TL13'!$C$238:$C$451,$C39,'TL13'!$J$238:$J$451),0),
IF('TL14'!$B$3=K$3,SUMIF('TL14'!$C$10:$C$224,$C39,'TL14'!$J$10:$J$224),0),
IF('TL14'!$B$229=K$3,SUMIF('TL14'!$C$238:$C$451,$C39,'TL14'!$J$238:$J$451),0),
IF('TL15'!$B$3=K$3,SUMIF('TL15'!$C$10:$C$224,$C39,'TL15'!$J$10:$J$224),0),
IF('TL15'!$B$229=K$3,SUMIF('TL15'!$C$238:$C$451,$C39,'TL15'!$J$238:$J$451),0),
IF('TL16'!$B$3=K$3,SUMIF('TL16'!$C$10:$C$224,$C39,'TL16'!$J$10:$J$224),0),
IF('TL16'!$B$229=K$3,SUMIF('TL16'!$C$238:$C$451,$C39,'TL16'!$J$238:$J$451),0),
IF('TL17'!$B$3=K$3,SUMIF('TL17'!$C$10:$C$224,$C39,'TL17'!$J$10:$J$224),0),
IF('TL17'!$B$229=K$3,SUMIF('TL17'!$C$238:$C$451,$C39,'TL17'!$J$238:$J$451),0),
IF('TL18'!$B$3=K$3,SUMIF('TL18'!$C$10:$C$224,$C39,'TL18'!$J$10:$J$224),0),
IF('TL18'!$B$229=K$3,SUMIF('TL18'!$C$238:$C$451,$C39,'TL18'!$J$238:$J$451),0),
IF('TL19'!$B$3=K$3,SUMIF('TL19'!$C$10:$C$224,$C39,'TL19'!$J$10:$J$224),0),
IF('TL19'!$B$229=K$3,SUMIF('TL19'!$C$238:$C$451,$C39,'TL19'!$J$238:$J$451),0)
),0)</f>
        <v/>
      </c>
      <c r="L39" s="9">
        <f>IFERROR(SUM(
IF('TL01'!$B$3=L$3,SUMIF('TL01'!$C$10:$C$224,$C39,'TL01'!$J$10:$J$224),0),
IF('TL01'!$B$229=L$3,SUMIF('TL01'!$C$238:$C$451,$C39,'TL01'!$J$238:$J$451),0),
IF('TL02'!$B$3=L$3,SUMIF('TL02'!$C$10:$C$224,$C39,'TL02'!$J$10:$J$224),0),
IF('TL02'!$B$229=L$3,SUMIF('TL02'!$C$238:$C$451,$C39,'TL02'!$J$238:$J$451),0),
IF('TL03'!$B$3=L$3,SUMIF('TL03'!$C$10:$C$224,$C39,'TL03'!$J$10:$J$224),0),
IF('TL03'!$B$229=L$3,SUMIF('TL03'!$C$238:$C$451,$C39,'TL03'!$J$238:$J$451),0),
IF('TL04'!$B$3=L$3,SUMIF('TL04'!$C$10:$C$224,$C39,'TL04'!$J$10:$J$224),0),
IF('TL04'!$B$229=L$3,SUMIF('TL04'!$C$238:$C$451,$C39,'TL04'!$J$238:$J$451),0),
IF('TL05'!$B$3=L$3,SUMIF('TL05'!$C$10:$C$224,$C39,'TL05'!$J$10:$J$224),0),
IF('TL05'!$B$229=L$3,SUMIF('TL05'!$C$238:$C$451,$C39,'TL05'!$J$238:$J$451),0),
IF('TL06'!$B$3=L$3,SUMIF('TL06'!$C$10:$C$224,$C39,'TL06'!$J$10:$J$224),0),
IF('TL06'!$B$229=L$3,SUMIF('TL06'!$C$238:$C$451,$C39,'TL06'!$J$238:$J$451),0),
IF('TL07'!$B$3=L$3,SUMIF('TL07'!$C$10:$C$224,$C39,'TL07'!$J$10:$J$224),0),
IF('TL07'!$B$229=L$3,SUMIF('TL07'!$C$238:$C$451,$C39,'TL07'!$J$238:$J$451),0),
IF('TL08'!$B$3=L$3,SUMIF('TL08'!$C$10:$C$224,$C39,'TL08'!$J$10:$J$224),0),
IF('TL08'!$B$229=L$3,SUMIF('TL08'!$C$238:$C$451,$C39,'TL08'!$J$238:$J$451),0),
IF('TL09'!$B$3=L$3,SUMIF('TL09'!$C$10:$C$224,$C39,'TL09'!$J$10:$J$224),0),
IF('TL09'!$B$229=L$3,SUMIF('TL09'!$C$238:$C$451,$C39,'TL09'!$J$238:$J$451),0),
IF('TL10'!$B$3=L$3,SUMIF('TL10'!$C$10:$C$224,$C39,'TL10'!$J$10:$J$224),0),
IF('TL10'!$B$229=L$3,SUMIF('TL10'!$C$238:$C$451,$C39,'TL10'!$J$238:$J$451),0),
IF('TL11'!$B$3=L$3,SUMIF('TL11'!$C$10:$C$224,$C39,'TL11'!$J$10:$J$224),0),
IF('TL11'!$B$229=L$3,SUMIF('TL11'!$C$238:$C$451,$C39,'TL11'!$J$238:$J$451),0),
IF('TL12'!$B$3=L$3,SUMIF('TL12'!$C$10:$C$224,$C39,'TL12'!$J$10:$J$224),0),
IF('TL12'!$B$229=L$3,SUMIF('TL12'!$C$238:$C$451,$C39,'TL12'!$J$238:$J$451),0),
IF('TL13'!$B$3=L$3,SUMIF('TL13'!$C$10:$C$224,$C39,'TL13'!$J$10:$J$224),0),
IF('TL13'!$B$229=L$3,SUMIF('TL13'!$C$238:$C$451,$C39,'TL13'!$J$238:$J$451),0),
IF('TL14'!$B$3=L$3,SUMIF('TL14'!$C$10:$C$224,$C39,'TL14'!$J$10:$J$224),0),
IF('TL14'!$B$229=L$3,SUMIF('TL14'!$C$238:$C$451,$C39,'TL14'!$J$238:$J$451),0),
IF('TL15'!$B$3=L$3,SUMIF('TL15'!$C$10:$C$224,$C39,'TL15'!$J$10:$J$224),0),
IF('TL15'!$B$229=L$3,SUMIF('TL15'!$C$238:$C$451,$C39,'TL15'!$J$238:$J$451),0),
IF('TL16'!$B$3=L$3,SUMIF('TL16'!$C$10:$C$224,$C39,'TL16'!$J$10:$J$224),0),
IF('TL16'!$B$229=L$3,SUMIF('TL16'!$C$238:$C$451,$C39,'TL16'!$J$238:$J$451),0),
IF('TL17'!$B$3=L$3,SUMIF('TL17'!$C$10:$C$224,$C39,'TL17'!$J$10:$J$224),0),
IF('TL17'!$B$229=L$3,SUMIF('TL17'!$C$238:$C$451,$C39,'TL17'!$J$238:$J$451),0),
IF('TL18'!$B$3=L$3,SUMIF('TL18'!$C$10:$C$224,$C39,'TL18'!$J$10:$J$224),0),
IF('TL18'!$B$229=L$3,SUMIF('TL18'!$C$238:$C$451,$C39,'TL18'!$J$238:$J$451),0),
IF('TL19'!$B$3=L$3,SUMIF('TL19'!$C$10:$C$224,$C39,'TL19'!$J$10:$J$224),0),
IF('TL19'!$B$229=L$3,SUMIF('TL19'!$C$238:$C$451,$C39,'TL19'!$J$238:$J$451),0)
),0)</f>
        <v/>
      </c>
      <c r="M39" s="9">
        <f>IFERROR(SUM(
IF('TL01'!$B$3=M$3,SUMIF('TL01'!$C$10:$C$224,$C39,'TL01'!$J$10:$J$224),0),
IF('TL01'!$B$229=M$3,SUMIF('TL01'!$C$238:$C$451,$C39,'TL01'!$J$238:$J$451),0),
IF('TL02'!$B$3=M$3,SUMIF('TL02'!$C$10:$C$224,$C39,'TL02'!$J$10:$J$224),0),
IF('TL02'!$B$229=M$3,SUMIF('TL02'!$C$238:$C$451,$C39,'TL02'!$J$238:$J$451),0),
IF('TL03'!$B$3=M$3,SUMIF('TL03'!$C$10:$C$224,$C39,'TL03'!$J$10:$J$224),0),
IF('TL03'!$B$229=M$3,SUMIF('TL03'!$C$238:$C$451,$C39,'TL03'!$J$238:$J$451),0),
IF('TL04'!$B$3=M$3,SUMIF('TL04'!$C$10:$C$224,$C39,'TL04'!$J$10:$J$224),0),
IF('TL04'!$B$229=M$3,SUMIF('TL04'!$C$238:$C$451,$C39,'TL04'!$J$238:$J$451),0),
IF('TL05'!$B$3=M$3,SUMIF('TL05'!$C$10:$C$224,$C39,'TL05'!$J$10:$J$224),0),
IF('TL05'!$B$229=M$3,SUMIF('TL05'!$C$238:$C$451,$C39,'TL05'!$J$238:$J$451),0),
IF('TL06'!$B$3=M$3,SUMIF('TL06'!$C$10:$C$224,$C39,'TL06'!$J$10:$J$224),0),
IF('TL06'!$B$229=M$3,SUMIF('TL06'!$C$238:$C$451,$C39,'TL06'!$J$238:$J$451),0),
IF('TL07'!$B$3=M$3,SUMIF('TL07'!$C$10:$C$224,$C39,'TL07'!$J$10:$J$224),0),
IF('TL07'!$B$229=M$3,SUMIF('TL07'!$C$238:$C$451,$C39,'TL07'!$J$238:$J$451),0),
IF('TL08'!$B$3=M$3,SUMIF('TL08'!$C$10:$C$224,$C39,'TL08'!$J$10:$J$224),0),
IF('TL08'!$B$229=M$3,SUMIF('TL08'!$C$238:$C$451,$C39,'TL08'!$J$238:$J$451),0),
IF('TL09'!$B$3=M$3,SUMIF('TL09'!$C$10:$C$224,$C39,'TL09'!$J$10:$J$224),0),
IF('TL09'!$B$229=M$3,SUMIF('TL09'!$C$238:$C$451,$C39,'TL09'!$J$238:$J$451),0),
IF('TL10'!$B$3=M$3,SUMIF('TL10'!$C$10:$C$224,$C39,'TL10'!$J$10:$J$224),0),
IF('TL10'!$B$229=M$3,SUMIF('TL10'!$C$238:$C$451,$C39,'TL10'!$J$238:$J$451),0),
IF('TL11'!$B$3=M$3,SUMIF('TL11'!$C$10:$C$224,$C39,'TL11'!$J$10:$J$224),0),
IF('TL11'!$B$229=M$3,SUMIF('TL11'!$C$238:$C$451,$C39,'TL11'!$J$238:$J$451),0),
IF('TL12'!$B$3=M$3,SUMIF('TL12'!$C$10:$C$224,$C39,'TL12'!$J$10:$J$224),0),
IF('TL12'!$B$229=M$3,SUMIF('TL12'!$C$238:$C$451,$C39,'TL12'!$J$238:$J$451),0),
IF('TL13'!$B$3=M$3,SUMIF('TL13'!$C$10:$C$224,$C39,'TL13'!$J$10:$J$224),0),
IF('TL13'!$B$229=M$3,SUMIF('TL13'!$C$238:$C$451,$C39,'TL13'!$J$238:$J$451),0),
IF('TL14'!$B$3=M$3,SUMIF('TL14'!$C$10:$C$224,$C39,'TL14'!$J$10:$J$224),0),
IF('TL14'!$B$229=M$3,SUMIF('TL14'!$C$238:$C$451,$C39,'TL14'!$J$238:$J$451),0),
IF('TL15'!$B$3=M$3,SUMIF('TL15'!$C$10:$C$224,$C39,'TL15'!$J$10:$J$224),0),
IF('TL15'!$B$229=M$3,SUMIF('TL15'!$C$238:$C$451,$C39,'TL15'!$J$238:$J$451),0),
IF('TL16'!$B$3=M$3,SUMIF('TL16'!$C$10:$C$224,$C39,'TL16'!$J$10:$J$224),0),
IF('TL16'!$B$229=M$3,SUMIF('TL16'!$C$238:$C$451,$C39,'TL16'!$J$238:$J$451),0),
IF('TL17'!$B$3=M$3,SUMIF('TL17'!$C$10:$C$224,$C39,'TL17'!$J$10:$J$224),0),
IF('TL17'!$B$229=M$3,SUMIF('TL17'!$C$238:$C$451,$C39,'TL17'!$J$238:$J$451),0),
IF('TL18'!$B$3=M$3,SUMIF('TL18'!$C$10:$C$224,$C39,'TL18'!$J$10:$J$224),0),
IF('TL18'!$B$229=M$3,SUMIF('TL18'!$C$238:$C$451,$C39,'TL18'!$J$238:$J$451),0),
IF('TL19'!$B$3=M$3,SUMIF('TL19'!$C$10:$C$224,$C39,'TL19'!$J$10:$J$224),0),
IF('TL19'!$B$229=M$3,SUMIF('TL19'!$C$238:$C$451,$C39,'TL19'!$J$238:$J$451),0)
),0)</f>
        <v/>
      </c>
      <c r="N39" s="9">
        <f>IFERROR(SUM(
IF('TL01'!$B$3=N$3,SUMIF('TL01'!$C$10:$C$224,$C39,'TL01'!$J$10:$J$224),0),
IF('TL01'!$B$229=N$3,SUMIF('TL01'!$C$238:$C$451,$C39,'TL01'!$J$238:$J$451),0),
IF('TL02'!$B$3=N$3,SUMIF('TL02'!$C$10:$C$224,$C39,'TL02'!$J$10:$J$224),0),
IF('TL02'!$B$229=N$3,SUMIF('TL02'!$C$238:$C$451,$C39,'TL02'!$J$238:$J$451),0),
IF('TL03'!$B$3=N$3,SUMIF('TL03'!$C$10:$C$224,$C39,'TL03'!$J$10:$J$224),0),
IF('TL03'!$B$229=N$3,SUMIF('TL03'!$C$238:$C$451,$C39,'TL03'!$J$238:$J$451),0),
IF('TL04'!$B$3=N$3,SUMIF('TL04'!$C$10:$C$224,$C39,'TL04'!$J$10:$J$224),0),
IF('TL04'!$B$229=N$3,SUMIF('TL04'!$C$238:$C$451,$C39,'TL04'!$J$238:$J$451),0),
IF('TL05'!$B$3=N$3,SUMIF('TL05'!$C$10:$C$224,$C39,'TL05'!$J$10:$J$224),0),
IF('TL05'!$B$229=N$3,SUMIF('TL05'!$C$238:$C$451,$C39,'TL05'!$J$238:$J$451),0),
IF('TL06'!$B$3=N$3,SUMIF('TL06'!$C$10:$C$224,$C39,'TL06'!$J$10:$J$224),0),
IF('TL06'!$B$229=N$3,SUMIF('TL06'!$C$238:$C$451,$C39,'TL06'!$J$238:$J$451),0),
IF('TL07'!$B$3=N$3,SUMIF('TL07'!$C$10:$C$224,$C39,'TL07'!$J$10:$J$224),0),
IF('TL07'!$B$229=N$3,SUMIF('TL07'!$C$238:$C$451,$C39,'TL07'!$J$238:$J$451),0),
IF('TL08'!$B$3=N$3,SUMIF('TL08'!$C$10:$C$224,$C39,'TL08'!$J$10:$J$224),0),
IF('TL08'!$B$229=N$3,SUMIF('TL08'!$C$238:$C$451,$C39,'TL08'!$J$238:$J$451),0),
IF('TL09'!$B$3=N$3,SUMIF('TL09'!$C$10:$C$224,$C39,'TL09'!$J$10:$J$224),0),
IF('TL09'!$B$229=N$3,SUMIF('TL09'!$C$238:$C$451,$C39,'TL09'!$J$238:$J$451),0),
IF('TL10'!$B$3=N$3,SUMIF('TL10'!$C$10:$C$224,$C39,'TL10'!$J$10:$J$224),0),
IF('TL10'!$B$229=N$3,SUMIF('TL10'!$C$238:$C$451,$C39,'TL10'!$J$238:$J$451),0),
IF('TL11'!$B$3=N$3,SUMIF('TL11'!$C$10:$C$224,$C39,'TL11'!$J$10:$J$224),0),
IF('TL11'!$B$229=N$3,SUMIF('TL11'!$C$238:$C$451,$C39,'TL11'!$J$238:$J$451),0),
IF('TL12'!$B$3=N$3,SUMIF('TL12'!$C$10:$C$224,$C39,'TL12'!$J$10:$J$224),0),
IF('TL12'!$B$229=N$3,SUMIF('TL12'!$C$238:$C$451,$C39,'TL12'!$J$238:$J$451),0),
IF('TL13'!$B$3=N$3,SUMIF('TL13'!$C$10:$C$224,$C39,'TL13'!$J$10:$J$224),0),
IF('TL13'!$B$229=N$3,SUMIF('TL13'!$C$238:$C$451,$C39,'TL13'!$J$238:$J$451),0),
IF('TL14'!$B$3=N$3,SUMIF('TL14'!$C$10:$C$224,$C39,'TL14'!$J$10:$J$224),0),
IF('TL14'!$B$229=N$3,SUMIF('TL14'!$C$238:$C$451,$C39,'TL14'!$J$238:$J$451),0),
IF('TL15'!$B$3=N$3,SUMIF('TL15'!$C$10:$C$224,$C39,'TL15'!$J$10:$J$224),0),
IF('TL15'!$B$229=N$3,SUMIF('TL15'!$C$238:$C$451,$C39,'TL15'!$J$238:$J$451),0),
IF('TL16'!$B$3=N$3,SUMIF('TL16'!$C$10:$C$224,$C39,'TL16'!$J$10:$J$224),0),
IF('TL16'!$B$229=N$3,SUMIF('TL16'!$C$238:$C$451,$C39,'TL16'!$J$238:$J$451),0),
IF('TL17'!$B$3=N$3,SUMIF('TL17'!$C$10:$C$224,$C39,'TL17'!$J$10:$J$224),0),
IF('TL17'!$B$229=N$3,SUMIF('TL17'!$C$238:$C$451,$C39,'TL17'!$J$238:$J$451),0),
IF('TL18'!$B$3=N$3,SUMIF('TL18'!$C$10:$C$224,$C39,'TL18'!$J$10:$J$224),0),
IF('TL18'!$B$229=N$3,SUMIF('TL18'!$C$238:$C$451,$C39,'TL18'!$J$238:$J$451),0),
IF('TL19'!$B$3=N$3,SUMIF('TL19'!$C$10:$C$224,$C39,'TL19'!$J$10:$J$224),0),
IF('TL19'!$B$229=N$3,SUMIF('TL19'!$C$238:$C$451,$C39,'TL19'!$J$238:$J$451),0)
),0)</f>
        <v/>
      </c>
      <c r="O39" s="9">
        <f>IFERROR(SUM(
IF('TL01'!$B$3=O$3,SUMIF('TL01'!$C$10:$C$224,$C39,'TL01'!$J$10:$J$224),0),
IF('TL01'!$B$229=O$3,SUMIF('TL01'!$C$238:$C$451,$C39,'TL01'!$J$238:$J$451),0),
IF('TL02'!$B$3=O$3,SUMIF('TL02'!$C$10:$C$224,$C39,'TL02'!$J$10:$J$224),0),
IF('TL02'!$B$229=O$3,SUMIF('TL02'!$C$238:$C$451,$C39,'TL02'!$J$238:$J$451),0),
IF('TL03'!$B$3=O$3,SUMIF('TL03'!$C$10:$C$224,$C39,'TL03'!$J$10:$J$224),0),
IF('TL03'!$B$229=O$3,SUMIF('TL03'!$C$238:$C$451,$C39,'TL03'!$J$238:$J$451),0),
IF('TL04'!$B$3=O$3,SUMIF('TL04'!$C$10:$C$224,$C39,'TL04'!$J$10:$J$224),0),
IF('TL04'!$B$229=O$3,SUMIF('TL04'!$C$238:$C$451,$C39,'TL04'!$J$238:$J$451),0),
IF('TL05'!$B$3=O$3,SUMIF('TL05'!$C$10:$C$224,$C39,'TL05'!$J$10:$J$224),0),
IF('TL05'!$B$229=O$3,SUMIF('TL05'!$C$238:$C$451,$C39,'TL05'!$J$238:$J$451),0),
IF('TL06'!$B$3=O$3,SUMIF('TL06'!$C$10:$C$224,$C39,'TL06'!$J$10:$J$224),0),
IF('TL06'!$B$229=O$3,SUMIF('TL06'!$C$238:$C$451,$C39,'TL06'!$J$238:$J$451),0),
IF('TL07'!$B$3=O$3,SUMIF('TL07'!$C$10:$C$224,$C39,'TL07'!$J$10:$J$224),0),
IF('TL07'!$B$229=O$3,SUMIF('TL07'!$C$238:$C$451,$C39,'TL07'!$J$238:$J$451),0),
IF('TL08'!$B$3=O$3,SUMIF('TL08'!$C$10:$C$224,$C39,'TL08'!$J$10:$J$224),0),
IF('TL08'!$B$229=O$3,SUMIF('TL08'!$C$238:$C$451,$C39,'TL08'!$J$238:$J$451),0),
IF('TL09'!$B$3=O$3,SUMIF('TL09'!$C$10:$C$224,$C39,'TL09'!$J$10:$J$224),0),
IF('TL09'!$B$229=O$3,SUMIF('TL09'!$C$238:$C$451,$C39,'TL09'!$J$238:$J$451),0),
IF('TL10'!$B$3=O$3,SUMIF('TL10'!$C$10:$C$224,$C39,'TL10'!$J$10:$J$224),0),
IF('TL10'!$B$229=O$3,SUMIF('TL10'!$C$238:$C$451,$C39,'TL10'!$J$238:$J$451),0),
IF('TL11'!$B$3=O$3,SUMIF('TL11'!$C$10:$C$224,$C39,'TL11'!$J$10:$J$224),0),
IF('TL11'!$B$229=O$3,SUMIF('TL11'!$C$238:$C$451,$C39,'TL11'!$J$238:$J$451),0),
IF('TL12'!$B$3=O$3,SUMIF('TL12'!$C$10:$C$224,$C39,'TL12'!$J$10:$J$224),0),
IF('TL12'!$B$229=O$3,SUMIF('TL12'!$C$238:$C$451,$C39,'TL12'!$J$238:$J$451),0),
IF('TL13'!$B$3=O$3,SUMIF('TL13'!$C$10:$C$224,$C39,'TL13'!$J$10:$J$224),0),
IF('TL13'!$B$229=O$3,SUMIF('TL13'!$C$238:$C$451,$C39,'TL13'!$J$238:$J$451),0),
IF('TL14'!$B$3=O$3,SUMIF('TL14'!$C$10:$C$224,$C39,'TL14'!$J$10:$J$224),0),
IF('TL14'!$B$229=O$3,SUMIF('TL14'!$C$238:$C$451,$C39,'TL14'!$J$238:$J$451),0),
IF('TL15'!$B$3=O$3,SUMIF('TL15'!$C$10:$C$224,$C39,'TL15'!$J$10:$J$224),0),
IF('TL15'!$B$229=O$3,SUMIF('TL15'!$C$238:$C$451,$C39,'TL15'!$J$238:$J$451),0),
IF('TL16'!$B$3=O$3,SUMIF('TL16'!$C$10:$C$224,$C39,'TL16'!$J$10:$J$224),0),
IF('TL16'!$B$229=O$3,SUMIF('TL16'!$C$238:$C$451,$C39,'TL16'!$J$238:$J$451),0),
IF('TL17'!$B$3=O$3,SUMIF('TL17'!$C$10:$C$224,$C39,'TL17'!$J$10:$J$224),0),
IF('TL17'!$B$229=O$3,SUMIF('TL17'!$C$238:$C$451,$C39,'TL17'!$J$238:$J$451),0),
IF('TL18'!$B$3=O$3,SUMIF('TL18'!$C$10:$C$224,$C39,'TL18'!$J$10:$J$224),0),
IF('TL18'!$B$229=O$3,SUMIF('TL18'!$C$238:$C$451,$C39,'TL18'!$J$238:$J$451),0),
IF('TL19'!$B$3=O$3,SUMIF('TL19'!$C$10:$C$224,$C39,'TL19'!$J$10:$J$224),0),
IF('TL19'!$B$229=O$3,SUMIF('TL19'!$C$238:$C$451,$C39,'TL19'!$J$238:$J$451),0)
),0)</f>
        <v/>
      </c>
      <c r="P39" s="9">
        <f>IFERROR(SUM(
IF('TL01'!$B$3=P$3,SUMIF('TL01'!$C$10:$C$224,$C39,'TL01'!$J$10:$J$224),0),
IF('TL01'!$B$229=P$3,SUMIF('TL01'!$C$238:$C$451,$C39,'TL01'!$J$238:$J$451),0),
IF('TL02'!$B$3=P$3,SUMIF('TL02'!$C$10:$C$224,$C39,'TL02'!$J$10:$J$224),0),
IF('TL02'!$B$229=P$3,SUMIF('TL02'!$C$238:$C$451,$C39,'TL02'!$J$238:$J$451),0),
IF('TL03'!$B$3=P$3,SUMIF('TL03'!$C$10:$C$224,$C39,'TL03'!$J$10:$J$224),0),
IF('TL03'!$B$229=P$3,SUMIF('TL03'!$C$238:$C$451,$C39,'TL03'!$J$238:$J$451),0),
IF('TL04'!$B$3=P$3,SUMIF('TL04'!$C$10:$C$224,$C39,'TL04'!$J$10:$J$224),0),
IF('TL04'!$B$229=P$3,SUMIF('TL04'!$C$238:$C$451,$C39,'TL04'!$J$238:$J$451),0),
IF('TL05'!$B$3=P$3,SUMIF('TL05'!$C$10:$C$224,$C39,'TL05'!$J$10:$J$224),0),
IF('TL05'!$B$229=P$3,SUMIF('TL05'!$C$238:$C$451,$C39,'TL05'!$J$238:$J$451),0),
IF('TL06'!$B$3=P$3,SUMIF('TL06'!$C$10:$C$224,$C39,'TL06'!$J$10:$J$224),0),
IF('TL06'!$B$229=P$3,SUMIF('TL06'!$C$238:$C$451,$C39,'TL06'!$J$238:$J$451),0),
IF('TL07'!$B$3=P$3,SUMIF('TL07'!$C$10:$C$224,$C39,'TL07'!$J$10:$J$224),0),
IF('TL07'!$B$229=P$3,SUMIF('TL07'!$C$238:$C$451,$C39,'TL07'!$J$238:$J$451),0),
IF('TL08'!$B$3=P$3,SUMIF('TL08'!$C$10:$C$224,$C39,'TL08'!$J$10:$J$224),0),
IF('TL08'!$B$229=P$3,SUMIF('TL08'!$C$238:$C$451,$C39,'TL08'!$J$238:$J$451),0),
IF('TL09'!$B$3=P$3,SUMIF('TL09'!$C$10:$C$224,$C39,'TL09'!$J$10:$J$224),0),
IF('TL09'!$B$229=P$3,SUMIF('TL09'!$C$238:$C$451,$C39,'TL09'!$J$238:$J$451),0),
IF('TL10'!$B$3=P$3,SUMIF('TL10'!$C$10:$C$224,$C39,'TL10'!$J$10:$J$224),0),
IF('TL10'!$B$229=P$3,SUMIF('TL10'!$C$238:$C$451,$C39,'TL10'!$J$238:$J$451),0),
IF('TL11'!$B$3=P$3,SUMIF('TL11'!$C$10:$C$224,$C39,'TL11'!$J$10:$J$224),0),
IF('TL11'!$B$229=P$3,SUMIF('TL11'!$C$238:$C$451,$C39,'TL11'!$J$238:$J$451),0),
IF('TL12'!$B$3=P$3,SUMIF('TL12'!$C$10:$C$224,$C39,'TL12'!$J$10:$J$224),0),
IF('TL12'!$B$229=P$3,SUMIF('TL12'!$C$238:$C$451,$C39,'TL12'!$J$238:$J$451),0),
IF('TL13'!$B$3=P$3,SUMIF('TL13'!$C$10:$C$224,$C39,'TL13'!$J$10:$J$224),0),
IF('TL13'!$B$229=P$3,SUMIF('TL13'!$C$238:$C$451,$C39,'TL13'!$J$238:$J$451),0),
IF('TL14'!$B$3=P$3,SUMIF('TL14'!$C$10:$C$224,$C39,'TL14'!$J$10:$J$224),0),
IF('TL14'!$B$229=P$3,SUMIF('TL14'!$C$238:$C$451,$C39,'TL14'!$J$238:$J$451),0),
IF('TL15'!$B$3=P$3,SUMIF('TL15'!$C$10:$C$224,$C39,'TL15'!$J$10:$J$224),0),
IF('TL15'!$B$229=P$3,SUMIF('TL15'!$C$238:$C$451,$C39,'TL15'!$J$238:$J$451),0),
IF('TL16'!$B$3=P$3,SUMIF('TL16'!$C$10:$C$224,$C39,'TL16'!$J$10:$J$224),0),
IF('TL16'!$B$229=P$3,SUMIF('TL16'!$C$238:$C$451,$C39,'TL16'!$J$238:$J$451),0),
IF('TL17'!$B$3=P$3,SUMIF('TL17'!$C$10:$C$224,$C39,'TL17'!$J$10:$J$224),0),
IF('TL17'!$B$229=P$3,SUMIF('TL17'!$C$238:$C$451,$C39,'TL17'!$J$238:$J$451),0),
IF('TL18'!$B$3=P$3,SUMIF('TL18'!$C$10:$C$224,$C39,'TL18'!$J$10:$J$224),0),
IF('TL18'!$B$229=P$3,SUMIF('TL18'!$C$238:$C$451,$C39,'TL18'!$J$238:$J$451),0),
IF('TL19'!$B$3=P$3,SUMIF('TL19'!$C$10:$C$224,$C39,'TL19'!$J$10:$J$224),0),
IF('TL19'!$B$229=P$3,SUMIF('TL19'!$C$238:$C$451,$C39,'TL19'!$J$238:$J$451),0)
),0)</f>
        <v/>
      </c>
      <c r="Q39" s="9">
        <f>IFERROR(SUM(
IF('TL01'!$B$3=Q$3,SUMIF('TL01'!$C$10:$C$224,$C39,'TL01'!$J$10:$J$224),0),
IF('TL01'!$B$229=Q$3,SUMIF('TL01'!$C$238:$C$451,$C39,'TL01'!$J$238:$J$451),0),
IF('TL02'!$B$3=Q$3,SUMIF('TL02'!$C$10:$C$224,$C39,'TL02'!$J$10:$J$224),0),
IF('TL02'!$B$229=Q$3,SUMIF('TL02'!$C$238:$C$451,$C39,'TL02'!$J$238:$J$451),0),
IF('TL03'!$B$3=Q$3,SUMIF('TL03'!$C$10:$C$224,$C39,'TL03'!$J$10:$J$224),0),
IF('TL03'!$B$229=Q$3,SUMIF('TL03'!$C$238:$C$451,$C39,'TL03'!$J$238:$J$451),0),
IF('TL04'!$B$3=Q$3,SUMIF('TL04'!$C$10:$C$224,$C39,'TL04'!$J$10:$J$224),0),
IF('TL04'!$B$229=Q$3,SUMIF('TL04'!$C$238:$C$451,$C39,'TL04'!$J$238:$J$451),0),
IF('TL05'!$B$3=Q$3,SUMIF('TL05'!$C$10:$C$224,$C39,'TL05'!$J$10:$J$224),0),
IF('TL05'!$B$229=Q$3,SUMIF('TL05'!$C$238:$C$451,$C39,'TL05'!$J$238:$J$451),0),
IF('TL06'!$B$3=Q$3,SUMIF('TL06'!$C$10:$C$224,$C39,'TL06'!$J$10:$J$224),0),
IF('TL06'!$B$229=Q$3,SUMIF('TL06'!$C$238:$C$451,$C39,'TL06'!$J$238:$J$451),0),
IF('TL07'!$B$3=Q$3,SUMIF('TL07'!$C$10:$C$224,$C39,'TL07'!$J$10:$J$224),0),
IF('TL07'!$B$229=Q$3,SUMIF('TL07'!$C$238:$C$451,$C39,'TL07'!$J$238:$J$451),0),
IF('TL08'!$B$3=Q$3,SUMIF('TL08'!$C$10:$C$224,$C39,'TL08'!$J$10:$J$224),0),
IF('TL08'!$B$229=Q$3,SUMIF('TL08'!$C$238:$C$451,$C39,'TL08'!$J$238:$J$451),0),
IF('TL09'!$B$3=Q$3,SUMIF('TL09'!$C$10:$C$224,$C39,'TL09'!$J$10:$J$224),0),
IF('TL09'!$B$229=Q$3,SUMIF('TL09'!$C$238:$C$451,$C39,'TL09'!$J$238:$J$451),0),
IF('TL10'!$B$3=Q$3,SUMIF('TL10'!$C$10:$C$224,$C39,'TL10'!$J$10:$J$224),0),
IF('TL10'!$B$229=Q$3,SUMIF('TL10'!$C$238:$C$451,$C39,'TL10'!$J$238:$J$451),0),
IF('TL11'!$B$3=Q$3,SUMIF('TL11'!$C$10:$C$224,$C39,'TL11'!$J$10:$J$224),0),
IF('TL11'!$B$229=Q$3,SUMIF('TL11'!$C$238:$C$451,$C39,'TL11'!$J$238:$J$451),0),
IF('TL12'!$B$3=Q$3,SUMIF('TL12'!$C$10:$C$224,$C39,'TL12'!$J$10:$J$224),0),
IF('TL12'!$B$229=Q$3,SUMIF('TL12'!$C$238:$C$451,$C39,'TL12'!$J$238:$J$451),0),
IF('TL13'!$B$3=Q$3,SUMIF('TL13'!$C$10:$C$224,$C39,'TL13'!$J$10:$J$224),0),
IF('TL13'!$B$229=Q$3,SUMIF('TL13'!$C$238:$C$451,$C39,'TL13'!$J$238:$J$451),0),
IF('TL14'!$B$3=Q$3,SUMIF('TL14'!$C$10:$C$224,$C39,'TL14'!$J$10:$J$224),0),
IF('TL14'!$B$229=Q$3,SUMIF('TL14'!$C$238:$C$451,$C39,'TL14'!$J$238:$J$451),0),
IF('TL15'!$B$3=Q$3,SUMIF('TL15'!$C$10:$C$224,$C39,'TL15'!$J$10:$J$224),0),
IF('TL15'!$B$229=Q$3,SUMIF('TL15'!$C$238:$C$451,$C39,'TL15'!$J$238:$J$451),0),
IF('TL16'!$B$3=Q$3,SUMIF('TL16'!$C$10:$C$224,$C39,'TL16'!$J$10:$J$224),0),
IF('TL16'!$B$229=Q$3,SUMIF('TL16'!$C$238:$C$451,$C39,'TL16'!$J$238:$J$451),0),
IF('TL17'!$B$3=Q$3,SUMIF('TL17'!$C$10:$C$224,$C39,'TL17'!$J$10:$J$224),0),
IF('TL17'!$B$229=Q$3,SUMIF('TL17'!$C$238:$C$451,$C39,'TL17'!$J$238:$J$451),0),
IF('TL18'!$B$3=Q$3,SUMIF('TL18'!$C$10:$C$224,$C39,'TL18'!$J$10:$J$224),0),
IF('TL18'!$B$229=Q$3,SUMIF('TL18'!$C$238:$C$451,$C39,'TL18'!$J$238:$J$451),0),
IF('TL19'!$B$3=Q$3,SUMIF('TL19'!$C$10:$C$224,$C39,'TL19'!$J$10:$J$224),0),
IF('TL19'!$B$229=Q$3,SUMIF('TL19'!$C$238:$C$451,$C39,'TL19'!$J$238:$J$451),0)
),0)</f>
        <v/>
      </c>
      <c r="R39" s="9">
        <f>IFERROR(
SUM(
SUMIF('TL01'!C:C,C39,'TL01'!J:J),
SUMIF('TL02'!C:C,C39,'TL02'!J:J),
SUMIF('TL03'!C:C,C39,'TL03'!J:J),
SUMIF('TL04'!C:C,C39,'TL04'!J:J),
SUMIF('TL05'!C:C,C39,'TL05'!J:J),
SUMIF('TL06'!C:C,C39,'TL06'!J:J),
SUMIF('TL07'!C:C,C39,'TL07'!J:J),
SUMIF('TL08'!C:C,C39,'TL08'!J:J),
SUMIF('TL09'!C:C,C39,'TL09'!J:J),
SUMIF('TL10'!C:C,C39,'TL10'!J:J),
SUMIF('TL11'!C:C,C39,'TL11'!J:J),
SUMIF('TL12'!C:C,C39,'TL12'!J:J),
SUMIF('TL13'!C:C,C39,'TL13'!J:J),
SUMIF('TL14'!C:C,C39,'TL14'!J:J),
SUMIF('TL15'!C:C,C39,'TL15'!J:J),
SUMIF('TL16'!C:C,C39,'TL16'!J:J),
SUMIF('TL17'!C:C,C39,'TL17'!J:J),
SUMIF('TL18'!C:C,C39,'TL18'!J:J),SUMIF('TL19'!C:C,C39,'TL19'!J:J))
,0)</f>
        <v/>
      </c>
      <c r="S39" s="17">
        <f>IFERROR(__xludf.DUMMYFUNCTION("IFERROR(VLOOKUP(C39,
IMPORTRANGE(""1wULbzX32WdYsx-lj2U3uUNBBe2INVIRDtcK0d-Dvl90"",
""26-27!C:G""),
5,
FALSE),
"""")"),36.07344)</f>
        <v/>
      </c>
      <c r="T39" s="9" t="n"/>
      <c r="U39" s="92">
        <f>MAX(0,R39-T39)</f>
        <v/>
      </c>
      <c r="V39" s="93">
        <f>U39*S39</f>
        <v/>
      </c>
    </row>
    <row r="40" hidden="1" ht="15.75" customHeight="1" s="297">
      <c r="A40" s="115" t="inlineStr">
        <is>
          <t>ADAMA</t>
        </is>
      </c>
      <c r="B40" s="100" t="inlineStr">
        <is>
          <t>FUNGICIDA</t>
        </is>
      </c>
      <c r="C40" s="116" t="inlineStr">
        <is>
          <t>AZIMUT</t>
        </is>
      </c>
      <c r="D40" s="116" t="inlineStr">
        <is>
          <t>AZOXISTROBINA + TEBUCONAZOL</t>
        </is>
      </c>
      <c r="E40" s="116" t="inlineStr">
        <is>
          <t>120 + 200</t>
        </is>
      </c>
      <c r="F40" s="4" t="inlineStr">
        <is>
          <t>L</t>
        </is>
      </c>
      <c r="G40" s="90">
        <f>HYPERLINK("https://www.google.com/search?q=" &amp; C40 &amp; "+bula+agrofit+pdf", "📄 Ver bula")</f>
        <v/>
      </c>
      <c r="H40" s="9">
        <f>IFERROR(__xludf.DUMMYFUNCTION("IFERROR(VLOOKUP(C40,
IMPORTRANGE(""1wULbzX32WdYsx-lj2U3uUNBBe2INVIRDtcK0d-Dvl90"",
""26-27!C:K""),
8,
FALSE),
"""")"),0.5)</f>
        <v/>
      </c>
      <c r="I40" s="117" t="inlineStr">
        <is>
          <t>1x20</t>
        </is>
      </c>
      <c r="J40" s="9">
        <f>IFERROR(SUM(
IF('TL01'!$B$3=J$3,SUMIF('TL01'!$C$10:$C$224,$C40,'TL01'!$J$10:$J$224),0),
IF('TL01'!$B$229=J$3,SUMIF('TL01'!$C$238:$C$451,$C40,'TL01'!$J$238:$J$451),0),
IF('TL02'!$B$3=J$3,SUMIF('TL02'!$C$10:$C$224,$C40,'TL02'!$J$10:$J$224),0),
IF('TL02'!$B$229=J$3,SUMIF('TL02'!$C$238:$C$451,$C40,'TL02'!$J$238:$J$451),0),
IF('TL03'!$B$3=J$3,SUMIF('TL03'!$C$10:$C$224,$C40,'TL03'!$J$10:$J$224),0),
IF('TL03'!$B$229=J$3,SUMIF('TL03'!$C$238:$C$451,$C40,'TL03'!$J$238:$J$451),0),
IF('TL04'!$B$3=J$3,SUMIF('TL04'!$C$10:$C$224,$C40,'TL04'!$J$10:$J$224),0),
IF('TL04'!$B$229=J$3,SUMIF('TL04'!$C$238:$C$451,$C40,'TL04'!$J$238:$J$451),0),
IF('TL05'!$B$3=J$3,SUMIF('TL05'!$C$10:$C$224,$C40,'TL05'!$J$10:$J$224),0),
IF('TL05'!$B$229=J$3,SUMIF('TL05'!$C$238:$C$451,$C40,'TL05'!$J$238:$J$451),0),
IF('TL06'!$B$3=J$3,SUMIF('TL06'!$C$10:$C$224,$C40,'TL06'!$J$10:$J$224),0),
IF('TL06'!$B$229=J$3,SUMIF('TL06'!$C$238:$C$451,$C40,'TL06'!$J$238:$J$451),0),
IF('TL07'!$B$3=J$3,SUMIF('TL07'!$C$10:$C$224,$C40,'TL07'!$J$10:$J$224),0),
IF('TL07'!$B$229=J$3,SUMIF('TL07'!$C$238:$C$451,$C40,'TL07'!$J$238:$J$451),0),
IF('TL08'!$B$3=J$3,SUMIF('TL08'!$C$10:$C$224,$C40,'TL08'!$J$10:$J$224),0),
IF('TL08'!$B$229=J$3,SUMIF('TL08'!$C$238:$C$451,$C40,'TL08'!$J$238:$J$451),0),
IF('TL09'!$B$3=J$3,SUMIF('TL09'!$C$10:$C$224,$C40,'TL09'!$J$10:$J$224),0),
IF('TL09'!$B$229=J$3,SUMIF('TL09'!$C$238:$C$451,$C40,'TL09'!$J$238:$J$451),0),
IF('TL10'!$B$3=J$3,SUMIF('TL10'!$C$10:$C$224,$C40,'TL10'!$J$10:$J$224),0),
IF('TL10'!$B$229=J$3,SUMIF('TL10'!$C$238:$C$451,$C40,'TL10'!$J$238:$J$451),0),
IF('TL11'!$B$3=J$3,SUMIF('TL11'!$C$10:$C$224,$C40,'TL11'!$J$10:$J$224),0),
IF('TL11'!$B$229=J$3,SUMIF('TL11'!$C$238:$C$451,$C40,'TL11'!$J$238:$J$451),0),
IF('TL12'!$B$3=J$3,SUMIF('TL12'!$C$10:$C$224,$C40,'TL12'!$J$10:$J$224),0),
IF('TL12'!$B$229=J$3,SUMIF('TL12'!$C$238:$C$451,$C40,'TL12'!$J$238:$J$451),0),
IF('TL13'!$B$3=J$3,SUMIF('TL13'!$C$10:$C$224,$C40,'TL13'!$J$10:$J$224),0),
IF('TL13'!$B$229=J$3,SUMIF('TL13'!$C$238:$C$451,$C40,'TL13'!$J$238:$J$451),0),
IF('TL14'!$B$3=J$3,SUMIF('TL14'!$C$10:$C$224,$C40,'TL14'!$J$10:$J$224),0),
IF('TL14'!$B$229=J$3,SUMIF('TL14'!$C$238:$C$451,$C40,'TL14'!$J$238:$J$451),0),
IF('TL15'!$B$3=J$3,SUMIF('TL15'!$C$10:$C$224,$C40,'TL15'!$J$10:$J$224),0),
IF('TL15'!$B$229=J$3,SUMIF('TL15'!$C$238:$C$451,$C40,'TL15'!$J$238:$J$451),0),
IF('TL16'!$B$3=J$3,SUMIF('TL16'!$C$10:$C$224,$C40,'TL16'!$J$10:$J$224),0),
IF('TL16'!$B$229=J$3,SUMIF('TL16'!$C$238:$C$451,$C40,'TL16'!$J$238:$J$451),0),
IF('TL17'!$B$3=J$3,SUMIF('TL17'!$C$10:$C$224,$C40,'TL17'!$J$10:$J$224),0),
IF('TL17'!$B$229=J$3,SUMIF('TL17'!$C$238:$C$451,$C40,'TL17'!$J$238:$J$451),0),
IF('TL18'!$B$3=J$3,SUMIF('TL18'!$C$10:$C$224,$C40,'TL18'!$J$10:$J$224),0),
IF('TL18'!$B$229=J$3,SUMIF('TL18'!$C$238:$C$451,$C40,'TL18'!$J$238:$J$451),0),
IF('TL19'!$B$3=J$3,SUMIF('TL19'!$C$10:$C$224,$C40,'TL19'!$J$10:$J$224),0),
IF('TL19'!$B$229=J$3,SUMIF('TL19'!$C$238:$C$451,$C40,'TL19'!$J$238:$J$451),0)
),0)</f>
        <v/>
      </c>
      <c r="K40" s="9">
        <f>IFERROR(SUM(
IF('TL01'!$B$3=K$3,SUMIF('TL01'!$C$10:$C$224,$C40,'TL01'!$J$10:$J$224),0),
IF('TL01'!$B$229=K$3,SUMIF('TL01'!$C$238:$C$451,$C40,'TL01'!$J$238:$J$451),0),
IF('TL02'!$B$3=K$3,SUMIF('TL02'!$C$10:$C$224,$C40,'TL02'!$J$10:$J$224),0),
IF('TL02'!$B$229=K$3,SUMIF('TL02'!$C$238:$C$451,$C40,'TL02'!$J$238:$J$451),0),
IF('TL03'!$B$3=K$3,SUMIF('TL03'!$C$10:$C$224,$C40,'TL03'!$J$10:$J$224),0),
IF('TL03'!$B$229=K$3,SUMIF('TL03'!$C$238:$C$451,$C40,'TL03'!$J$238:$J$451),0),
IF('TL04'!$B$3=K$3,SUMIF('TL04'!$C$10:$C$224,$C40,'TL04'!$J$10:$J$224),0),
IF('TL04'!$B$229=K$3,SUMIF('TL04'!$C$238:$C$451,$C40,'TL04'!$J$238:$J$451),0),
IF('TL05'!$B$3=K$3,SUMIF('TL05'!$C$10:$C$224,$C40,'TL05'!$J$10:$J$224),0),
IF('TL05'!$B$229=K$3,SUMIF('TL05'!$C$238:$C$451,$C40,'TL05'!$J$238:$J$451),0),
IF('TL06'!$B$3=K$3,SUMIF('TL06'!$C$10:$C$224,$C40,'TL06'!$J$10:$J$224),0),
IF('TL06'!$B$229=K$3,SUMIF('TL06'!$C$238:$C$451,$C40,'TL06'!$J$238:$J$451),0),
IF('TL07'!$B$3=K$3,SUMIF('TL07'!$C$10:$C$224,$C40,'TL07'!$J$10:$J$224),0),
IF('TL07'!$B$229=K$3,SUMIF('TL07'!$C$238:$C$451,$C40,'TL07'!$J$238:$J$451),0),
IF('TL08'!$B$3=K$3,SUMIF('TL08'!$C$10:$C$224,$C40,'TL08'!$J$10:$J$224),0),
IF('TL08'!$B$229=K$3,SUMIF('TL08'!$C$238:$C$451,$C40,'TL08'!$J$238:$J$451),0),
IF('TL09'!$B$3=K$3,SUMIF('TL09'!$C$10:$C$224,$C40,'TL09'!$J$10:$J$224),0),
IF('TL09'!$B$229=K$3,SUMIF('TL09'!$C$238:$C$451,$C40,'TL09'!$J$238:$J$451),0),
IF('TL10'!$B$3=K$3,SUMIF('TL10'!$C$10:$C$224,$C40,'TL10'!$J$10:$J$224),0),
IF('TL10'!$B$229=K$3,SUMIF('TL10'!$C$238:$C$451,$C40,'TL10'!$J$238:$J$451),0),
IF('TL11'!$B$3=K$3,SUMIF('TL11'!$C$10:$C$224,$C40,'TL11'!$J$10:$J$224),0),
IF('TL11'!$B$229=K$3,SUMIF('TL11'!$C$238:$C$451,$C40,'TL11'!$J$238:$J$451),0),
IF('TL12'!$B$3=K$3,SUMIF('TL12'!$C$10:$C$224,$C40,'TL12'!$J$10:$J$224),0),
IF('TL12'!$B$229=K$3,SUMIF('TL12'!$C$238:$C$451,$C40,'TL12'!$J$238:$J$451),0),
IF('TL13'!$B$3=K$3,SUMIF('TL13'!$C$10:$C$224,$C40,'TL13'!$J$10:$J$224),0),
IF('TL13'!$B$229=K$3,SUMIF('TL13'!$C$238:$C$451,$C40,'TL13'!$J$238:$J$451),0),
IF('TL14'!$B$3=K$3,SUMIF('TL14'!$C$10:$C$224,$C40,'TL14'!$J$10:$J$224),0),
IF('TL14'!$B$229=K$3,SUMIF('TL14'!$C$238:$C$451,$C40,'TL14'!$J$238:$J$451),0),
IF('TL15'!$B$3=K$3,SUMIF('TL15'!$C$10:$C$224,$C40,'TL15'!$J$10:$J$224),0),
IF('TL15'!$B$229=K$3,SUMIF('TL15'!$C$238:$C$451,$C40,'TL15'!$J$238:$J$451),0),
IF('TL16'!$B$3=K$3,SUMIF('TL16'!$C$10:$C$224,$C40,'TL16'!$J$10:$J$224),0),
IF('TL16'!$B$229=K$3,SUMIF('TL16'!$C$238:$C$451,$C40,'TL16'!$J$238:$J$451),0),
IF('TL17'!$B$3=K$3,SUMIF('TL17'!$C$10:$C$224,$C40,'TL17'!$J$10:$J$224),0),
IF('TL17'!$B$229=K$3,SUMIF('TL17'!$C$238:$C$451,$C40,'TL17'!$J$238:$J$451),0),
IF('TL18'!$B$3=K$3,SUMIF('TL18'!$C$10:$C$224,$C40,'TL18'!$J$10:$J$224),0),
IF('TL18'!$B$229=K$3,SUMIF('TL18'!$C$238:$C$451,$C40,'TL18'!$J$238:$J$451),0),
IF('TL19'!$B$3=K$3,SUMIF('TL19'!$C$10:$C$224,$C40,'TL19'!$J$10:$J$224),0),
IF('TL19'!$B$229=K$3,SUMIF('TL19'!$C$238:$C$451,$C40,'TL19'!$J$238:$J$451),0)
),0)</f>
        <v/>
      </c>
      <c r="L40" s="9">
        <f>IFERROR(SUM(
IF('TL01'!$B$3=L$3,SUMIF('TL01'!$C$10:$C$224,$C40,'TL01'!$J$10:$J$224),0),
IF('TL01'!$B$229=L$3,SUMIF('TL01'!$C$238:$C$451,$C40,'TL01'!$J$238:$J$451),0),
IF('TL02'!$B$3=L$3,SUMIF('TL02'!$C$10:$C$224,$C40,'TL02'!$J$10:$J$224),0),
IF('TL02'!$B$229=L$3,SUMIF('TL02'!$C$238:$C$451,$C40,'TL02'!$J$238:$J$451),0),
IF('TL03'!$B$3=L$3,SUMIF('TL03'!$C$10:$C$224,$C40,'TL03'!$J$10:$J$224),0),
IF('TL03'!$B$229=L$3,SUMIF('TL03'!$C$238:$C$451,$C40,'TL03'!$J$238:$J$451),0),
IF('TL04'!$B$3=L$3,SUMIF('TL04'!$C$10:$C$224,$C40,'TL04'!$J$10:$J$224),0),
IF('TL04'!$B$229=L$3,SUMIF('TL04'!$C$238:$C$451,$C40,'TL04'!$J$238:$J$451),0),
IF('TL05'!$B$3=L$3,SUMIF('TL05'!$C$10:$C$224,$C40,'TL05'!$J$10:$J$224),0),
IF('TL05'!$B$229=L$3,SUMIF('TL05'!$C$238:$C$451,$C40,'TL05'!$J$238:$J$451),0),
IF('TL06'!$B$3=L$3,SUMIF('TL06'!$C$10:$C$224,$C40,'TL06'!$J$10:$J$224),0),
IF('TL06'!$B$229=L$3,SUMIF('TL06'!$C$238:$C$451,$C40,'TL06'!$J$238:$J$451),0),
IF('TL07'!$B$3=L$3,SUMIF('TL07'!$C$10:$C$224,$C40,'TL07'!$J$10:$J$224),0),
IF('TL07'!$B$229=L$3,SUMIF('TL07'!$C$238:$C$451,$C40,'TL07'!$J$238:$J$451),0),
IF('TL08'!$B$3=L$3,SUMIF('TL08'!$C$10:$C$224,$C40,'TL08'!$J$10:$J$224),0),
IF('TL08'!$B$229=L$3,SUMIF('TL08'!$C$238:$C$451,$C40,'TL08'!$J$238:$J$451),0),
IF('TL09'!$B$3=L$3,SUMIF('TL09'!$C$10:$C$224,$C40,'TL09'!$J$10:$J$224),0),
IF('TL09'!$B$229=L$3,SUMIF('TL09'!$C$238:$C$451,$C40,'TL09'!$J$238:$J$451),0),
IF('TL10'!$B$3=L$3,SUMIF('TL10'!$C$10:$C$224,$C40,'TL10'!$J$10:$J$224),0),
IF('TL10'!$B$229=L$3,SUMIF('TL10'!$C$238:$C$451,$C40,'TL10'!$J$238:$J$451),0),
IF('TL11'!$B$3=L$3,SUMIF('TL11'!$C$10:$C$224,$C40,'TL11'!$J$10:$J$224),0),
IF('TL11'!$B$229=L$3,SUMIF('TL11'!$C$238:$C$451,$C40,'TL11'!$J$238:$J$451),0),
IF('TL12'!$B$3=L$3,SUMIF('TL12'!$C$10:$C$224,$C40,'TL12'!$J$10:$J$224),0),
IF('TL12'!$B$229=L$3,SUMIF('TL12'!$C$238:$C$451,$C40,'TL12'!$J$238:$J$451),0),
IF('TL13'!$B$3=L$3,SUMIF('TL13'!$C$10:$C$224,$C40,'TL13'!$J$10:$J$224),0),
IF('TL13'!$B$229=L$3,SUMIF('TL13'!$C$238:$C$451,$C40,'TL13'!$J$238:$J$451),0),
IF('TL14'!$B$3=L$3,SUMIF('TL14'!$C$10:$C$224,$C40,'TL14'!$J$10:$J$224),0),
IF('TL14'!$B$229=L$3,SUMIF('TL14'!$C$238:$C$451,$C40,'TL14'!$J$238:$J$451),0),
IF('TL15'!$B$3=L$3,SUMIF('TL15'!$C$10:$C$224,$C40,'TL15'!$J$10:$J$224),0),
IF('TL15'!$B$229=L$3,SUMIF('TL15'!$C$238:$C$451,$C40,'TL15'!$J$238:$J$451),0),
IF('TL16'!$B$3=L$3,SUMIF('TL16'!$C$10:$C$224,$C40,'TL16'!$J$10:$J$224),0),
IF('TL16'!$B$229=L$3,SUMIF('TL16'!$C$238:$C$451,$C40,'TL16'!$J$238:$J$451),0),
IF('TL17'!$B$3=L$3,SUMIF('TL17'!$C$10:$C$224,$C40,'TL17'!$J$10:$J$224),0),
IF('TL17'!$B$229=L$3,SUMIF('TL17'!$C$238:$C$451,$C40,'TL17'!$J$238:$J$451),0),
IF('TL18'!$B$3=L$3,SUMIF('TL18'!$C$10:$C$224,$C40,'TL18'!$J$10:$J$224),0),
IF('TL18'!$B$229=L$3,SUMIF('TL18'!$C$238:$C$451,$C40,'TL18'!$J$238:$J$451),0),
IF('TL19'!$B$3=L$3,SUMIF('TL19'!$C$10:$C$224,$C40,'TL19'!$J$10:$J$224),0),
IF('TL19'!$B$229=L$3,SUMIF('TL19'!$C$238:$C$451,$C40,'TL19'!$J$238:$J$451),0)
),0)</f>
        <v/>
      </c>
      <c r="M40" s="9">
        <f>IFERROR(SUM(
IF('TL01'!$B$3=M$3,SUMIF('TL01'!$C$10:$C$224,$C40,'TL01'!$J$10:$J$224),0),
IF('TL01'!$B$229=M$3,SUMIF('TL01'!$C$238:$C$451,$C40,'TL01'!$J$238:$J$451),0),
IF('TL02'!$B$3=M$3,SUMIF('TL02'!$C$10:$C$224,$C40,'TL02'!$J$10:$J$224),0),
IF('TL02'!$B$229=M$3,SUMIF('TL02'!$C$238:$C$451,$C40,'TL02'!$J$238:$J$451),0),
IF('TL03'!$B$3=M$3,SUMIF('TL03'!$C$10:$C$224,$C40,'TL03'!$J$10:$J$224),0),
IF('TL03'!$B$229=M$3,SUMIF('TL03'!$C$238:$C$451,$C40,'TL03'!$J$238:$J$451),0),
IF('TL04'!$B$3=M$3,SUMIF('TL04'!$C$10:$C$224,$C40,'TL04'!$J$10:$J$224),0),
IF('TL04'!$B$229=M$3,SUMIF('TL04'!$C$238:$C$451,$C40,'TL04'!$J$238:$J$451),0),
IF('TL05'!$B$3=M$3,SUMIF('TL05'!$C$10:$C$224,$C40,'TL05'!$J$10:$J$224),0),
IF('TL05'!$B$229=M$3,SUMIF('TL05'!$C$238:$C$451,$C40,'TL05'!$J$238:$J$451),0),
IF('TL06'!$B$3=M$3,SUMIF('TL06'!$C$10:$C$224,$C40,'TL06'!$J$10:$J$224),0),
IF('TL06'!$B$229=M$3,SUMIF('TL06'!$C$238:$C$451,$C40,'TL06'!$J$238:$J$451),0),
IF('TL07'!$B$3=M$3,SUMIF('TL07'!$C$10:$C$224,$C40,'TL07'!$J$10:$J$224),0),
IF('TL07'!$B$229=M$3,SUMIF('TL07'!$C$238:$C$451,$C40,'TL07'!$J$238:$J$451),0),
IF('TL08'!$B$3=M$3,SUMIF('TL08'!$C$10:$C$224,$C40,'TL08'!$J$10:$J$224),0),
IF('TL08'!$B$229=M$3,SUMIF('TL08'!$C$238:$C$451,$C40,'TL08'!$J$238:$J$451),0),
IF('TL09'!$B$3=M$3,SUMIF('TL09'!$C$10:$C$224,$C40,'TL09'!$J$10:$J$224),0),
IF('TL09'!$B$229=M$3,SUMIF('TL09'!$C$238:$C$451,$C40,'TL09'!$J$238:$J$451),0),
IF('TL10'!$B$3=M$3,SUMIF('TL10'!$C$10:$C$224,$C40,'TL10'!$J$10:$J$224),0),
IF('TL10'!$B$229=M$3,SUMIF('TL10'!$C$238:$C$451,$C40,'TL10'!$J$238:$J$451),0),
IF('TL11'!$B$3=M$3,SUMIF('TL11'!$C$10:$C$224,$C40,'TL11'!$J$10:$J$224),0),
IF('TL11'!$B$229=M$3,SUMIF('TL11'!$C$238:$C$451,$C40,'TL11'!$J$238:$J$451),0),
IF('TL12'!$B$3=M$3,SUMIF('TL12'!$C$10:$C$224,$C40,'TL12'!$J$10:$J$224),0),
IF('TL12'!$B$229=M$3,SUMIF('TL12'!$C$238:$C$451,$C40,'TL12'!$J$238:$J$451),0),
IF('TL13'!$B$3=M$3,SUMIF('TL13'!$C$10:$C$224,$C40,'TL13'!$J$10:$J$224),0),
IF('TL13'!$B$229=M$3,SUMIF('TL13'!$C$238:$C$451,$C40,'TL13'!$J$238:$J$451),0),
IF('TL14'!$B$3=M$3,SUMIF('TL14'!$C$10:$C$224,$C40,'TL14'!$J$10:$J$224),0),
IF('TL14'!$B$229=M$3,SUMIF('TL14'!$C$238:$C$451,$C40,'TL14'!$J$238:$J$451),0),
IF('TL15'!$B$3=M$3,SUMIF('TL15'!$C$10:$C$224,$C40,'TL15'!$J$10:$J$224),0),
IF('TL15'!$B$229=M$3,SUMIF('TL15'!$C$238:$C$451,$C40,'TL15'!$J$238:$J$451),0),
IF('TL16'!$B$3=M$3,SUMIF('TL16'!$C$10:$C$224,$C40,'TL16'!$J$10:$J$224),0),
IF('TL16'!$B$229=M$3,SUMIF('TL16'!$C$238:$C$451,$C40,'TL16'!$J$238:$J$451),0),
IF('TL17'!$B$3=M$3,SUMIF('TL17'!$C$10:$C$224,$C40,'TL17'!$J$10:$J$224),0),
IF('TL17'!$B$229=M$3,SUMIF('TL17'!$C$238:$C$451,$C40,'TL17'!$J$238:$J$451),0),
IF('TL18'!$B$3=M$3,SUMIF('TL18'!$C$10:$C$224,$C40,'TL18'!$J$10:$J$224),0),
IF('TL18'!$B$229=M$3,SUMIF('TL18'!$C$238:$C$451,$C40,'TL18'!$J$238:$J$451),0),
IF('TL19'!$B$3=M$3,SUMIF('TL19'!$C$10:$C$224,$C40,'TL19'!$J$10:$J$224),0),
IF('TL19'!$B$229=M$3,SUMIF('TL19'!$C$238:$C$451,$C40,'TL19'!$J$238:$J$451),0)
),0)</f>
        <v/>
      </c>
      <c r="N40" s="9">
        <f>IFERROR(SUM(
IF('TL01'!$B$3=N$3,SUMIF('TL01'!$C$10:$C$224,$C40,'TL01'!$J$10:$J$224),0),
IF('TL01'!$B$229=N$3,SUMIF('TL01'!$C$238:$C$451,$C40,'TL01'!$J$238:$J$451),0),
IF('TL02'!$B$3=N$3,SUMIF('TL02'!$C$10:$C$224,$C40,'TL02'!$J$10:$J$224),0),
IF('TL02'!$B$229=N$3,SUMIF('TL02'!$C$238:$C$451,$C40,'TL02'!$J$238:$J$451),0),
IF('TL03'!$B$3=N$3,SUMIF('TL03'!$C$10:$C$224,$C40,'TL03'!$J$10:$J$224),0),
IF('TL03'!$B$229=N$3,SUMIF('TL03'!$C$238:$C$451,$C40,'TL03'!$J$238:$J$451),0),
IF('TL04'!$B$3=N$3,SUMIF('TL04'!$C$10:$C$224,$C40,'TL04'!$J$10:$J$224),0),
IF('TL04'!$B$229=N$3,SUMIF('TL04'!$C$238:$C$451,$C40,'TL04'!$J$238:$J$451),0),
IF('TL05'!$B$3=N$3,SUMIF('TL05'!$C$10:$C$224,$C40,'TL05'!$J$10:$J$224),0),
IF('TL05'!$B$229=N$3,SUMIF('TL05'!$C$238:$C$451,$C40,'TL05'!$J$238:$J$451),0),
IF('TL06'!$B$3=N$3,SUMIF('TL06'!$C$10:$C$224,$C40,'TL06'!$J$10:$J$224),0),
IF('TL06'!$B$229=N$3,SUMIF('TL06'!$C$238:$C$451,$C40,'TL06'!$J$238:$J$451),0),
IF('TL07'!$B$3=N$3,SUMIF('TL07'!$C$10:$C$224,$C40,'TL07'!$J$10:$J$224),0),
IF('TL07'!$B$229=N$3,SUMIF('TL07'!$C$238:$C$451,$C40,'TL07'!$J$238:$J$451),0),
IF('TL08'!$B$3=N$3,SUMIF('TL08'!$C$10:$C$224,$C40,'TL08'!$J$10:$J$224),0),
IF('TL08'!$B$229=N$3,SUMIF('TL08'!$C$238:$C$451,$C40,'TL08'!$J$238:$J$451),0),
IF('TL09'!$B$3=N$3,SUMIF('TL09'!$C$10:$C$224,$C40,'TL09'!$J$10:$J$224),0),
IF('TL09'!$B$229=N$3,SUMIF('TL09'!$C$238:$C$451,$C40,'TL09'!$J$238:$J$451),0),
IF('TL10'!$B$3=N$3,SUMIF('TL10'!$C$10:$C$224,$C40,'TL10'!$J$10:$J$224),0),
IF('TL10'!$B$229=N$3,SUMIF('TL10'!$C$238:$C$451,$C40,'TL10'!$J$238:$J$451),0),
IF('TL11'!$B$3=N$3,SUMIF('TL11'!$C$10:$C$224,$C40,'TL11'!$J$10:$J$224),0),
IF('TL11'!$B$229=N$3,SUMIF('TL11'!$C$238:$C$451,$C40,'TL11'!$J$238:$J$451),0),
IF('TL12'!$B$3=N$3,SUMIF('TL12'!$C$10:$C$224,$C40,'TL12'!$J$10:$J$224),0),
IF('TL12'!$B$229=N$3,SUMIF('TL12'!$C$238:$C$451,$C40,'TL12'!$J$238:$J$451),0),
IF('TL13'!$B$3=N$3,SUMIF('TL13'!$C$10:$C$224,$C40,'TL13'!$J$10:$J$224),0),
IF('TL13'!$B$229=N$3,SUMIF('TL13'!$C$238:$C$451,$C40,'TL13'!$J$238:$J$451),0),
IF('TL14'!$B$3=N$3,SUMIF('TL14'!$C$10:$C$224,$C40,'TL14'!$J$10:$J$224),0),
IF('TL14'!$B$229=N$3,SUMIF('TL14'!$C$238:$C$451,$C40,'TL14'!$J$238:$J$451),0),
IF('TL15'!$B$3=N$3,SUMIF('TL15'!$C$10:$C$224,$C40,'TL15'!$J$10:$J$224),0),
IF('TL15'!$B$229=N$3,SUMIF('TL15'!$C$238:$C$451,$C40,'TL15'!$J$238:$J$451),0),
IF('TL16'!$B$3=N$3,SUMIF('TL16'!$C$10:$C$224,$C40,'TL16'!$J$10:$J$224),0),
IF('TL16'!$B$229=N$3,SUMIF('TL16'!$C$238:$C$451,$C40,'TL16'!$J$238:$J$451),0),
IF('TL17'!$B$3=N$3,SUMIF('TL17'!$C$10:$C$224,$C40,'TL17'!$J$10:$J$224),0),
IF('TL17'!$B$229=N$3,SUMIF('TL17'!$C$238:$C$451,$C40,'TL17'!$J$238:$J$451),0),
IF('TL18'!$B$3=N$3,SUMIF('TL18'!$C$10:$C$224,$C40,'TL18'!$J$10:$J$224),0),
IF('TL18'!$B$229=N$3,SUMIF('TL18'!$C$238:$C$451,$C40,'TL18'!$J$238:$J$451),0),
IF('TL19'!$B$3=N$3,SUMIF('TL19'!$C$10:$C$224,$C40,'TL19'!$J$10:$J$224),0),
IF('TL19'!$B$229=N$3,SUMIF('TL19'!$C$238:$C$451,$C40,'TL19'!$J$238:$J$451),0)
),0)</f>
        <v/>
      </c>
      <c r="O40" s="9">
        <f>IFERROR(SUM(
IF('TL01'!$B$3=O$3,SUMIF('TL01'!$C$10:$C$224,$C40,'TL01'!$J$10:$J$224),0),
IF('TL01'!$B$229=O$3,SUMIF('TL01'!$C$238:$C$451,$C40,'TL01'!$J$238:$J$451),0),
IF('TL02'!$B$3=O$3,SUMIF('TL02'!$C$10:$C$224,$C40,'TL02'!$J$10:$J$224),0),
IF('TL02'!$B$229=O$3,SUMIF('TL02'!$C$238:$C$451,$C40,'TL02'!$J$238:$J$451),0),
IF('TL03'!$B$3=O$3,SUMIF('TL03'!$C$10:$C$224,$C40,'TL03'!$J$10:$J$224),0),
IF('TL03'!$B$229=O$3,SUMIF('TL03'!$C$238:$C$451,$C40,'TL03'!$J$238:$J$451),0),
IF('TL04'!$B$3=O$3,SUMIF('TL04'!$C$10:$C$224,$C40,'TL04'!$J$10:$J$224),0),
IF('TL04'!$B$229=O$3,SUMIF('TL04'!$C$238:$C$451,$C40,'TL04'!$J$238:$J$451),0),
IF('TL05'!$B$3=O$3,SUMIF('TL05'!$C$10:$C$224,$C40,'TL05'!$J$10:$J$224),0),
IF('TL05'!$B$229=O$3,SUMIF('TL05'!$C$238:$C$451,$C40,'TL05'!$J$238:$J$451),0),
IF('TL06'!$B$3=O$3,SUMIF('TL06'!$C$10:$C$224,$C40,'TL06'!$J$10:$J$224),0),
IF('TL06'!$B$229=O$3,SUMIF('TL06'!$C$238:$C$451,$C40,'TL06'!$J$238:$J$451),0),
IF('TL07'!$B$3=O$3,SUMIF('TL07'!$C$10:$C$224,$C40,'TL07'!$J$10:$J$224),0),
IF('TL07'!$B$229=O$3,SUMIF('TL07'!$C$238:$C$451,$C40,'TL07'!$J$238:$J$451),0),
IF('TL08'!$B$3=O$3,SUMIF('TL08'!$C$10:$C$224,$C40,'TL08'!$J$10:$J$224),0),
IF('TL08'!$B$229=O$3,SUMIF('TL08'!$C$238:$C$451,$C40,'TL08'!$J$238:$J$451),0),
IF('TL09'!$B$3=O$3,SUMIF('TL09'!$C$10:$C$224,$C40,'TL09'!$J$10:$J$224),0),
IF('TL09'!$B$229=O$3,SUMIF('TL09'!$C$238:$C$451,$C40,'TL09'!$J$238:$J$451),0),
IF('TL10'!$B$3=O$3,SUMIF('TL10'!$C$10:$C$224,$C40,'TL10'!$J$10:$J$224),0),
IF('TL10'!$B$229=O$3,SUMIF('TL10'!$C$238:$C$451,$C40,'TL10'!$J$238:$J$451),0),
IF('TL11'!$B$3=O$3,SUMIF('TL11'!$C$10:$C$224,$C40,'TL11'!$J$10:$J$224),0),
IF('TL11'!$B$229=O$3,SUMIF('TL11'!$C$238:$C$451,$C40,'TL11'!$J$238:$J$451),0),
IF('TL12'!$B$3=O$3,SUMIF('TL12'!$C$10:$C$224,$C40,'TL12'!$J$10:$J$224),0),
IF('TL12'!$B$229=O$3,SUMIF('TL12'!$C$238:$C$451,$C40,'TL12'!$J$238:$J$451),0),
IF('TL13'!$B$3=O$3,SUMIF('TL13'!$C$10:$C$224,$C40,'TL13'!$J$10:$J$224),0),
IF('TL13'!$B$229=O$3,SUMIF('TL13'!$C$238:$C$451,$C40,'TL13'!$J$238:$J$451),0),
IF('TL14'!$B$3=O$3,SUMIF('TL14'!$C$10:$C$224,$C40,'TL14'!$J$10:$J$224),0),
IF('TL14'!$B$229=O$3,SUMIF('TL14'!$C$238:$C$451,$C40,'TL14'!$J$238:$J$451),0),
IF('TL15'!$B$3=O$3,SUMIF('TL15'!$C$10:$C$224,$C40,'TL15'!$J$10:$J$224),0),
IF('TL15'!$B$229=O$3,SUMIF('TL15'!$C$238:$C$451,$C40,'TL15'!$J$238:$J$451),0),
IF('TL16'!$B$3=O$3,SUMIF('TL16'!$C$10:$C$224,$C40,'TL16'!$J$10:$J$224),0),
IF('TL16'!$B$229=O$3,SUMIF('TL16'!$C$238:$C$451,$C40,'TL16'!$J$238:$J$451),0),
IF('TL17'!$B$3=O$3,SUMIF('TL17'!$C$10:$C$224,$C40,'TL17'!$J$10:$J$224),0),
IF('TL17'!$B$229=O$3,SUMIF('TL17'!$C$238:$C$451,$C40,'TL17'!$J$238:$J$451),0),
IF('TL18'!$B$3=O$3,SUMIF('TL18'!$C$10:$C$224,$C40,'TL18'!$J$10:$J$224),0),
IF('TL18'!$B$229=O$3,SUMIF('TL18'!$C$238:$C$451,$C40,'TL18'!$J$238:$J$451),0),
IF('TL19'!$B$3=O$3,SUMIF('TL19'!$C$10:$C$224,$C40,'TL19'!$J$10:$J$224),0),
IF('TL19'!$B$229=O$3,SUMIF('TL19'!$C$238:$C$451,$C40,'TL19'!$J$238:$J$451),0)
),0)</f>
        <v/>
      </c>
      <c r="P40" s="9">
        <f>IFERROR(SUM(
IF('TL01'!$B$3=P$3,SUMIF('TL01'!$C$10:$C$224,$C40,'TL01'!$J$10:$J$224),0),
IF('TL01'!$B$229=P$3,SUMIF('TL01'!$C$238:$C$451,$C40,'TL01'!$J$238:$J$451),0),
IF('TL02'!$B$3=P$3,SUMIF('TL02'!$C$10:$C$224,$C40,'TL02'!$J$10:$J$224),0),
IF('TL02'!$B$229=P$3,SUMIF('TL02'!$C$238:$C$451,$C40,'TL02'!$J$238:$J$451),0),
IF('TL03'!$B$3=P$3,SUMIF('TL03'!$C$10:$C$224,$C40,'TL03'!$J$10:$J$224),0),
IF('TL03'!$B$229=P$3,SUMIF('TL03'!$C$238:$C$451,$C40,'TL03'!$J$238:$J$451),0),
IF('TL04'!$B$3=P$3,SUMIF('TL04'!$C$10:$C$224,$C40,'TL04'!$J$10:$J$224),0),
IF('TL04'!$B$229=P$3,SUMIF('TL04'!$C$238:$C$451,$C40,'TL04'!$J$238:$J$451),0),
IF('TL05'!$B$3=P$3,SUMIF('TL05'!$C$10:$C$224,$C40,'TL05'!$J$10:$J$224),0),
IF('TL05'!$B$229=P$3,SUMIF('TL05'!$C$238:$C$451,$C40,'TL05'!$J$238:$J$451),0),
IF('TL06'!$B$3=P$3,SUMIF('TL06'!$C$10:$C$224,$C40,'TL06'!$J$10:$J$224),0),
IF('TL06'!$B$229=P$3,SUMIF('TL06'!$C$238:$C$451,$C40,'TL06'!$J$238:$J$451),0),
IF('TL07'!$B$3=P$3,SUMIF('TL07'!$C$10:$C$224,$C40,'TL07'!$J$10:$J$224),0),
IF('TL07'!$B$229=P$3,SUMIF('TL07'!$C$238:$C$451,$C40,'TL07'!$J$238:$J$451),0),
IF('TL08'!$B$3=P$3,SUMIF('TL08'!$C$10:$C$224,$C40,'TL08'!$J$10:$J$224),0),
IF('TL08'!$B$229=P$3,SUMIF('TL08'!$C$238:$C$451,$C40,'TL08'!$J$238:$J$451),0),
IF('TL09'!$B$3=P$3,SUMIF('TL09'!$C$10:$C$224,$C40,'TL09'!$J$10:$J$224),0),
IF('TL09'!$B$229=P$3,SUMIF('TL09'!$C$238:$C$451,$C40,'TL09'!$J$238:$J$451),0),
IF('TL10'!$B$3=P$3,SUMIF('TL10'!$C$10:$C$224,$C40,'TL10'!$J$10:$J$224),0),
IF('TL10'!$B$229=P$3,SUMIF('TL10'!$C$238:$C$451,$C40,'TL10'!$J$238:$J$451),0),
IF('TL11'!$B$3=P$3,SUMIF('TL11'!$C$10:$C$224,$C40,'TL11'!$J$10:$J$224),0),
IF('TL11'!$B$229=P$3,SUMIF('TL11'!$C$238:$C$451,$C40,'TL11'!$J$238:$J$451),0),
IF('TL12'!$B$3=P$3,SUMIF('TL12'!$C$10:$C$224,$C40,'TL12'!$J$10:$J$224),0),
IF('TL12'!$B$229=P$3,SUMIF('TL12'!$C$238:$C$451,$C40,'TL12'!$J$238:$J$451),0),
IF('TL13'!$B$3=P$3,SUMIF('TL13'!$C$10:$C$224,$C40,'TL13'!$J$10:$J$224),0),
IF('TL13'!$B$229=P$3,SUMIF('TL13'!$C$238:$C$451,$C40,'TL13'!$J$238:$J$451),0),
IF('TL14'!$B$3=P$3,SUMIF('TL14'!$C$10:$C$224,$C40,'TL14'!$J$10:$J$224),0),
IF('TL14'!$B$229=P$3,SUMIF('TL14'!$C$238:$C$451,$C40,'TL14'!$J$238:$J$451),0),
IF('TL15'!$B$3=P$3,SUMIF('TL15'!$C$10:$C$224,$C40,'TL15'!$J$10:$J$224),0),
IF('TL15'!$B$229=P$3,SUMIF('TL15'!$C$238:$C$451,$C40,'TL15'!$J$238:$J$451),0),
IF('TL16'!$B$3=P$3,SUMIF('TL16'!$C$10:$C$224,$C40,'TL16'!$J$10:$J$224),0),
IF('TL16'!$B$229=P$3,SUMIF('TL16'!$C$238:$C$451,$C40,'TL16'!$J$238:$J$451),0),
IF('TL17'!$B$3=P$3,SUMIF('TL17'!$C$10:$C$224,$C40,'TL17'!$J$10:$J$224),0),
IF('TL17'!$B$229=P$3,SUMIF('TL17'!$C$238:$C$451,$C40,'TL17'!$J$238:$J$451),0),
IF('TL18'!$B$3=P$3,SUMIF('TL18'!$C$10:$C$224,$C40,'TL18'!$J$10:$J$224),0),
IF('TL18'!$B$229=P$3,SUMIF('TL18'!$C$238:$C$451,$C40,'TL18'!$J$238:$J$451),0),
IF('TL19'!$B$3=P$3,SUMIF('TL19'!$C$10:$C$224,$C40,'TL19'!$J$10:$J$224),0),
IF('TL19'!$B$229=P$3,SUMIF('TL19'!$C$238:$C$451,$C40,'TL19'!$J$238:$J$451),0)
),0)</f>
        <v/>
      </c>
      <c r="Q40" s="9">
        <f>IFERROR(SUM(
IF('TL01'!$B$3=Q$3,SUMIF('TL01'!$C$10:$C$224,$C40,'TL01'!$J$10:$J$224),0),
IF('TL01'!$B$229=Q$3,SUMIF('TL01'!$C$238:$C$451,$C40,'TL01'!$J$238:$J$451),0),
IF('TL02'!$B$3=Q$3,SUMIF('TL02'!$C$10:$C$224,$C40,'TL02'!$J$10:$J$224),0),
IF('TL02'!$B$229=Q$3,SUMIF('TL02'!$C$238:$C$451,$C40,'TL02'!$J$238:$J$451),0),
IF('TL03'!$B$3=Q$3,SUMIF('TL03'!$C$10:$C$224,$C40,'TL03'!$J$10:$J$224),0),
IF('TL03'!$B$229=Q$3,SUMIF('TL03'!$C$238:$C$451,$C40,'TL03'!$J$238:$J$451),0),
IF('TL04'!$B$3=Q$3,SUMIF('TL04'!$C$10:$C$224,$C40,'TL04'!$J$10:$J$224),0),
IF('TL04'!$B$229=Q$3,SUMIF('TL04'!$C$238:$C$451,$C40,'TL04'!$J$238:$J$451),0),
IF('TL05'!$B$3=Q$3,SUMIF('TL05'!$C$10:$C$224,$C40,'TL05'!$J$10:$J$224),0),
IF('TL05'!$B$229=Q$3,SUMIF('TL05'!$C$238:$C$451,$C40,'TL05'!$J$238:$J$451),0),
IF('TL06'!$B$3=Q$3,SUMIF('TL06'!$C$10:$C$224,$C40,'TL06'!$J$10:$J$224),0),
IF('TL06'!$B$229=Q$3,SUMIF('TL06'!$C$238:$C$451,$C40,'TL06'!$J$238:$J$451),0),
IF('TL07'!$B$3=Q$3,SUMIF('TL07'!$C$10:$C$224,$C40,'TL07'!$J$10:$J$224),0),
IF('TL07'!$B$229=Q$3,SUMIF('TL07'!$C$238:$C$451,$C40,'TL07'!$J$238:$J$451),0),
IF('TL08'!$B$3=Q$3,SUMIF('TL08'!$C$10:$C$224,$C40,'TL08'!$J$10:$J$224),0),
IF('TL08'!$B$229=Q$3,SUMIF('TL08'!$C$238:$C$451,$C40,'TL08'!$J$238:$J$451),0),
IF('TL09'!$B$3=Q$3,SUMIF('TL09'!$C$10:$C$224,$C40,'TL09'!$J$10:$J$224),0),
IF('TL09'!$B$229=Q$3,SUMIF('TL09'!$C$238:$C$451,$C40,'TL09'!$J$238:$J$451),0),
IF('TL10'!$B$3=Q$3,SUMIF('TL10'!$C$10:$C$224,$C40,'TL10'!$J$10:$J$224),0),
IF('TL10'!$B$229=Q$3,SUMIF('TL10'!$C$238:$C$451,$C40,'TL10'!$J$238:$J$451),0),
IF('TL11'!$B$3=Q$3,SUMIF('TL11'!$C$10:$C$224,$C40,'TL11'!$J$10:$J$224),0),
IF('TL11'!$B$229=Q$3,SUMIF('TL11'!$C$238:$C$451,$C40,'TL11'!$J$238:$J$451),0),
IF('TL12'!$B$3=Q$3,SUMIF('TL12'!$C$10:$C$224,$C40,'TL12'!$J$10:$J$224),0),
IF('TL12'!$B$229=Q$3,SUMIF('TL12'!$C$238:$C$451,$C40,'TL12'!$J$238:$J$451),0),
IF('TL13'!$B$3=Q$3,SUMIF('TL13'!$C$10:$C$224,$C40,'TL13'!$J$10:$J$224),0),
IF('TL13'!$B$229=Q$3,SUMIF('TL13'!$C$238:$C$451,$C40,'TL13'!$J$238:$J$451),0),
IF('TL14'!$B$3=Q$3,SUMIF('TL14'!$C$10:$C$224,$C40,'TL14'!$J$10:$J$224),0),
IF('TL14'!$B$229=Q$3,SUMIF('TL14'!$C$238:$C$451,$C40,'TL14'!$J$238:$J$451),0),
IF('TL15'!$B$3=Q$3,SUMIF('TL15'!$C$10:$C$224,$C40,'TL15'!$J$10:$J$224),0),
IF('TL15'!$B$229=Q$3,SUMIF('TL15'!$C$238:$C$451,$C40,'TL15'!$J$238:$J$451),0),
IF('TL16'!$B$3=Q$3,SUMIF('TL16'!$C$10:$C$224,$C40,'TL16'!$J$10:$J$224),0),
IF('TL16'!$B$229=Q$3,SUMIF('TL16'!$C$238:$C$451,$C40,'TL16'!$J$238:$J$451),0),
IF('TL17'!$B$3=Q$3,SUMIF('TL17'!$C$10:$C$224,$C40,'TL17'!$J$10:$J$224),0),
IF('TL17'!$B$229=Q$3,SUMIF('TL17'!$C$238:$C$451,$C40,'TL17'!$J$238:$J$451),0),
IF('TL18'!$B$3=Q$3,SUMIF('TL18'!$C$10:$C$224,$C40,'TL18'!$J$10:$J$224),0),
IF('TL18'!$B$229=Q$3,SUMIF('TL18'!$C$238:$C$451,$C40,'TL18'!$J$238:$J$451),0),
IF('TL19'!$B$3=Q$3,SUMIF('TL19'!$C$10:$C$224,$C40,'TL19'!$J$10:$J$224),0),
IF('TL19'!$B$229=Q$3,SUMIF('TL19'!$C$238:$C$451,$C40,'TL19'!$J$238:$J$451),0)
),0)</f>
        <v/>
      </c>
      <c r="R40" s="9">
        <f>IFERROR(
SUM(
SUMIF('TL01'!C:C,C40,'TL01'!J:J),
SUMIF('TL02'!C:C,C40,'TL02'!J:J),
SUMIF('TL03'!C:C,C40,'TL03'!J:J),
SUMIF('TL04'!C:C,C40,'TL04'!J:J),
SUMIF('TL05'!C:C,C40,'TL05'!J:J),
SUMIF('TL06'!C:C,C40,'TL06'!J:J),
SUMIF('TL07'!C:C,C40,'TL07'!J:J),
SUMIF('TL08'!C:C,C40,'TL08'!J:J),
SUMIF('TL09'!C:C,C40,'TL09'!J:J),
SUMIF('TL10'!C:C,C40,'TL10'!J:J),
SUMIF('TL11'!C:C,C40,'TL11'!J:J),
SUMIF('TL12'!C:C,C40,'TL12'!J:J),
SUMIF('TL13'!C:C,C40,'TL13'!J:J),
SUMIF('TL14'!C:C,C40,'TL14'!J:J),
SUMIF('TL15'!C:C,C40,'TL15'!J:J),
SUMIF('TL16'!C:C,C40,'TL16'!J:J),
SUMIF('TL17'!C:C,C40,'TL17'!J:J),
SUMIF('TL18'!C:C,C40,'TL18'!J:J),SUMIF('TL19'!C:C,C40,'TL19'!J:J))
,0)</f>
        <v/>
      </c>
      <c r="S40" s="17">
        <f>IFERROR(__xludf.DUMMYFUNCTION("IFERROR(VLOOKUP(C40,
IMPORTRANGE(""1wULbzX32WdYsx-lj2U3uUNBBe2INVIRDtcK0d-Dvl90"",
""26-27!C:G""),
5,
FALSE),
"""")"),35.32896)</f>
        <v/>
      </c>
      <c r="T40" s="9" t="n">
        <v>340</v>
      </c>
      <c r="U40" s="92">
        <f>MAX(0,R40-T40)</f>
        <v/>
      </c>
      <c r="V40" s="93">
        <f>U40*S40</f>
        <v/>
      </c>
    </row>
    <row r="41" hidden="1" ht="15.75" customHeight="1" s="297">
      <c r="A41" s="111" t="inlineStr">
        <is>
          <t>ADAMA</t>
        </is>
      </c>
      <c r="B41" s="112" t="inlineStr">
        <is>
          <t>FUNGICIDA</t>
        </is>
      </c>
      <c r="C41" s="113" t="inlineStr">
        <is>
          <t>BLINDADO TOV</t>
        </is>
      </c>
      <c r="D41" s="113" t="inlineStr">
        <is>
          <t>PICOXISTROBINA + TEBUCONAZOL + MANCOZEBE</t>
        </is>
      </c>
      <c r="E41" s="113" t="inlineStr">
        <is>
          <t>26,66 + 33,33 + 400</t>
        </is>
      </c>
      <c r="F41" s="4" t="inlineStr">
        <is>
          <t>L</t>
        </is>
      </c>
      <c r="G41" s="90">
        <f>HYPERLINK("https://www.google.com/search?q=" &amp; C41 &amp; "+bula+agrofit+pdf", "📄 Ver bula")</f>
        <v/>
      </c>
      <c r="H41" s="9">
        <f>IFERROR(__xludf.DUMMYFUNCTION("IFERROR(VLOOKUP(C41,
IMPORTRANGE(""1wULbzX32WdYsx-lj2U3uUNBBe2INVIRDtcK0d-Dvl90"",
""26-27!C:K""),
8,
FALSE),
"""")"),2.0)</f>
        <v/>
      </c>
      <c r="I41" s="114" t="inlineStr">
        <is>
          <t>1x20</t>
        </is>
      </c>
      <c r="J41" s="9">
        <f>IFERROR(SUM(
IF('TL01'!$B$3=J$3,SUMIF('TL01'!$C$10:$C$224,$C41,'TL01'!$J$10:$J$224),0),
IF('TL01'!$B$229=J$3,SUMIF('TL01'!$C$238:$C$451,$C41,'TL01'!$J$238:$J$451),0),
IF('TL02'!$B$3=J$3,SUMIF('TL02'!$C$10:$C$224,$C41,'TL02'!$J$10:$J$224),0),
IF('TL02'!$B$229=J$3,SUMIF('TL02'!$C$238:$C$451,$C41,'TL02'!$J$238:$J$451),0),
IF('TL03'!$B$3=J$3,SUMIF('TL03'!$C$10:$C$224,$C41,'TL03'!$J$10:$J$224),0),
IF('TL03'!$B$229=J$3,SUMIF('TL03'!$C$238:$C$451,$C41,'TL03'!$J$238:$J$451),0),
IF('TL04'!$B$3=J$3,SUMIF('TL04'!$C$10:$C$224,$C41,'TL04'!$J$10:$J$224),0),
IF('TL04'!$B$229=J$3,SUMIF('TL04'!$C$238:$C$451,$C41,'TL04'!$J$238:$J$451),0),
IF('TL05'!$B$3=J$3,SUMIF('TL05'!$C$10:$C$224,$C41,'TL05'!$J$10:$J$224),0),
IF('TL05'!$B$229=J$3,SUMIF('TL05'!$C$238:$C$451,$C41,'TL05'!$J$238:$J$451),0),
IF('TL06'!$B$3=J$3,SUMIF('TL06'!$C$10:$C$224,$C41,'TL06'!$J$10:$J$224),0),
IF('TL06'!$B$229=J$3,SUMIF('TL06'!$C$238:$C$451,$C41,'TL06'!$J$238:$J$451),0),
IF('TL07'!$B$3=J$3,SUMIF('TL07'!$C$10:$C$224,$C41,'TL07'!$J$10:$J$224),0),
IF('TL07'!$B$229=J$3,SUMIF('TL07'!$C$238:$C$451,$C41,'TL07'!$J$238:$J$451),0),
IF('TL08'!$B$3=J$3,SUMIF('TL08'!$C$10:$C$224,$C41,'TL08'!$J$10:$J$224),0),
IF('TL08'!$B$229=J$3,SUMIF('TL08'!$C$238:$C$451,$C41,'TL08'!$J$238:$J$451),0),
IF('TL09'!$B$3=J$3,SUMIF('TL09'!$C$10:$C$224,$C41,'TL09'!$J$10:$J$224),0),
IF('TL09'!$B$229=J$3,SUMIF('TL09'!$C$238:$C$451,$C41,'TL09'!$J$238:$J$451),0),
IF('TL10'!$B$3=J$3,SUMIF('TL10'!$C$10:$C$224,$C41,'TL10'!$J$10:$J$224),0),
IF('TL10'!$B$229=J$3,SUMIF('TL10'!$C$238:$C$451,$C41,'TL10'!$J$238:$J$451),0),
IF('TL11'!$B$3=J$3,SUMIF('TL11'!$C$10:$C$224,$C41,'TL11'!$J$10:$J$224),0),
IF('TL11'!$B$229=J$3,SUMIF('TL11'!$C$238:$C$451,$C41,'TL11'!$J$238:$J$451),0),
IF('TL12'!$B$3=J$3,SUMIF('TL12'!$C$10:$C$224,$C41,'TL12'!$J$10:$J$224),0),
IF('TL12'!$B$229=J$3,SUMIF('TL12'!$C$238:$C$451,$C41,'TL12'!$J$238:$J$451),0),
IF('TL13'!$B$3=J$3,SUMIF('TL13'!$C$10:$C$224,$C41,'TL13'!$J$10:$J$224),0),
IF('TL13'!$B$229=J$3,SUMIF('TL13'!$C$238:$C$451,$C41,'TL13'!$J$238:$J$451),0),
IF('TL14'!$B$3=J$3,SUMIF('TL14'!$C$10:$C$224,$C41,'TL14'!$J$10:$J$224),0),
IF('TL14'!$B$229=J$3,SUMIF('TL14'!$C$238:$C$451,$C41,'TL14'!$J$238:$J$451),0),
IF('TL15'!$B$3=J$3,SUMIF('TL15'!$C$10:$C$224,$C41,'TL15'!$J$10:$J$224),0),
IF('TL15'!$B$229=J$3,SUMIF('TL15'!$C$238:$C$451,$C41,'TL15'!$J$238:$J$451),0),
IF('TL16'!$B$3=J$3,SUMIF('TL16'!$C$10:$C$224,$C41,'TL16'!$J$10:$J$224),0),
IF('TL16'!$B$229=J$3,SUMIF('TL16'!$C$238:$C$451,$C41,'TL16'!$J$238:$J$451),0),
IF('TL17'!$B$3=J$3,SUMIF('TL17'!$C$10:$C$224,$C41,'TL17'!$J$10:$J$224),0),
IF('TL17'!$B$229=J$3,SUMIF('TL17'!$C$238:$C$451,$C41,'TL17'!$J$238:$J$451),0),
IF('TL18'!$B$3=J$3,SUMIF('TL18'!$C$10:$C$224,$C41,'TL18'!$J$10:$J$224),0),
IF('TL18'!$B$229=J$3,SUMIF('TL18'!$C$238:$C$451,$C41,'TL18'!$J$238:$J$451),0),
IF('TL19'!$B$3=J$3,SUMIF('TL19'!$C$10:$C$224,$C41,'TL19'!$J$10:$J$224),0),
IF('TL19'!$B$229=J$3,SUMIF('TL19'!$C$238:$C$451,$C41,'TL19'!$J$238:$J$451),0)
),0)</f>
        <v/>
      </c>
      <c r="K41" s="9">
        <f>IFERROR(SUM(
IF('TL01'!$B$3=K$3,SUMIF('TL01'!$C$10:$C$224,$C41,'TL01'!$J$10:$J$224),0),
IF('TL01'!$B$229=K$3,SUMIF('TL01'!$C$238:$C$451,$C41,'TL01'!$J$238:$J$451),0),
IF('TL02'!$B$3=K$3,SUMIF('TL02'!$C$10:$C$224,$C41,'TL02'!$J$10:$J$224),0),
IF('TL02'!$B$229=K$3,SUMIF('TL02'!$C$238:$C$451,$C41,'TL02'!$J$238:$J$451),0),
IF('TL03'!$B$3=K$3,SUMIF('TL03'!$C$10:$C$224,$C41,'TL03'!$J$10:$J$224),0),
IF('TL03'!$B$229=K$3,SUMIF('TL03'!$C$238:$C$451,$C41,'TL03'!$J$238:$J$451),0),
IF('TL04'!$B$3=K$3,SUMIF('TL04'!$C$10:$C$224,$C41,'TL04'!$J$10:$J$224),0),
IF('TL04'!$B$229=K$3,SUMIF('TL04'!$C$238:$C$451,$C41,'TL04'!$J$238:$J$451),0),
IF('TL05'!$B$3=K$3,SUMIF('TL05'!$C$10:$C$224,$C41,'TL05'!$J$10:$J$224),0),
IF('TL05'!$B$229=K$3,SUMIF('TL05'!$C$238:$C$451,$C41,'TL05'!$J$238:$J$451),0),
IF('TL06'!$B$3=K$3,SUMIF('TL06'!$C$10:$C$224,$C41,'TL06'!$J$10:$J$224),0),
IF('TL06'!$B$229=K$3,SUMIF('TL06'!$C$238:$C$451,$C41,'TL06'!$J$238:$J$451),0),
IF('TL07'!$B$3=K$3,SUMIF('TL07'!$C$10:$C$224,$C41,'TL07'!$J$10:$J$224),0),
IF('TL07'!$B$229=K$3,SUMIF('TL07'!$C$238:$C$451,$C41,'TL07'!$J$238:$J$451),0),
IF('TL08'!$B$3=K$3,SUMIF('TL08'!$C$10:$C$224,$C41,'TL08'!$J$10:$J$224),0),
IF('TL08'!$B$229=K$3,SUMIF('TL08'!$C$238:$C$451,$C41,'TL08'!$J$238:$J$451),0),
IF('TL09'!$B$3=K$3,SUMIF('TL09'!$C$10:$C$224,$C41,'TL09'!$J$10:$J$224),0),
IF('TL09'!$B$229=K$3,SUMIF('TL09'!$C$238:$C$451,$C41,'TL09'!$J$238:$J$451),0),
IF('TL10'!$B$3=K$3,SUMIF('TL10'!$C$10:$C$224,$C41,'TL10'!$J$10:$J$224),0),
IF('TL10'!$B$229=K$3,SUMIF('TL10'!$C$238:$C$451,$C41,'TL10'!$J$238:$J$451),0),
IF('TL11'!$B$3=K$3,SUMIF('TL11'!$C$10:$C$224,$C41,'TL11'!$J$10:$J$224),0),
IF('TL11'!$B$229=K$3,SUMIF('TL11'!$C$238:$C$451,$C41,'TL11'!$J$238:$J$451),0),
IF('TL12'!$B$3=K$3,SUMIF('TL12'!$C$10:$C$224,$C41,'TL12'!$J$10:$J$224),0),
IF('TL12'!$B$229=K$3,SUMIF('TL12'!$C$238:$C$451,$C41,'TL12'!$J$238:$J$451),0),
IF('TL13'!$B$3=K$3,SUMIF('TL13'!$C$10:$C$224,$C41,'TL13'!$J$10:$J$224),0),
IF('TL13'!$B$229=K$3,SUMIF('TL13'!$C$238:$C$451,$C41,'TL13'!$J$238:$J$451),0),
IF('TL14'!$B$3=K$3,SUMIF('TL14'!$C$10:$C$224,$C41,'TL14'!$J$10:$J$224),0),
IF('TL14'!$B$229=K$3,SUMIF('TL14'!$C$238:$C$451,$C41,'TL14'!$J$238:$J$451),0),
IF('TL15'!$B$3=K$3,SUMIF('TL15'!$C$10:$C$224,$C41,'TL15'!$J$10:$J$224),0),
IF('TL15'!$B$229=K$3,SUMIF('TL15'!$C$238:$C$451,$C41,'TL15'!$J$238:$J$451),0),
IF('TL16'!$B$3=K$3,SUMIF('TL16'!$C$10:$C$224,$C41,'TL16'!$J$10:$J$224),0),
IF('TL16'!$B$229=K$3,SUMIF('TL16'!$C$238:$C$451,$C41,'TL16'!$J$238:$J$451),0),
IF('TL17'!$B$3=K$3,SUMIF('TL17'!$C$10:$C$224,$C41,'TL17'!$J$10:$J$224),0),
IF('TL17'!$B$229=K$3,SUMIF('TL17'!$C$238:$C$451,$C41,'TL17'!$J$238:$J$451),0),
IF('TL18'!$B$3=K$3,SUMIF('TL18'!$C$10:$C$224,$C41,'TL18'!$J$10:$J$224),0),
IF('TL18'!$B$229=K$3,SUMIF('TL18'!$C$238:$C$451,$C41,'TL18'!$J$238:$J$451),0),
IF('TL19'!$B$3=K$3,SUMIF('TL19'!$C$10:$C$224,$C41,'TL19'!$J$10:$J$224),0),
IF('TL19'!$B$229=K$3,SUMIF('TL19'!$C$238:$C$451,$C41,'TL19'!$J$238:$J$451),0)
),0)</f>
        <v/>
      </c>
      <c r="L41" s="9">
        <f>IFERROR(SUM(
IF('TL01'!$B$3=L$3,SUMIF('TL01'!$C$10:$C$224,$C41,'TL01'!$J$10:$J$224),0),
IF('TL01'!$B$229=L$3,SUMIF('TL01'!$C$238:$C$451,$C41,'TL01'!$J$238:$J$451),0),
IF('TL02'!$B$3=L$3,SUMIF('TL02'!$C$10:$C$224,$C41,'TL02'!$J$10:$J$224),0),
IF('TL02'!$B$229=L$3,SUMIF('TL02'!$C$238:$C$451,$C41,'TL02'!$J$238:$J$451),0),
IF('TL03'!$B$3=L$3,SUMIF('TL03'!$C$10:$C$224,$C41,'TL03'!$J$10:$J$224),0),
IF('TL03'!$B$229=L$3,SUMIF('TL03'!$C$238:$C$451,$C41,'TL03'!$J$238:$J$451),0),
IF('TL04'!$B$3=L$3,SUMIF('TL04'!$C$10:$C$224,$C41,'TL04'!$J$10:$J$224),0),
IF('TL04'!$B$229=L$3,SUMIF('TL04'!$C$238:$C$451,$C41,'TL04'!$J$238:$J$451),0),
IF('TL05'!$B$3=L$3,SUMIF('TL05'!$C$10:$C$224,$C41,'TL05'!$J$10:$J$224),0),
IF('TL05'!$B$229=L$3,SUMIF('TL05'!$C$238:$C$451,$C41,'TL05'!$J$238:$J$451),0),
IF('TL06'!$B$3=L$3,SUMIF('TL06'!$C$10:$C$224,$C41,'TL06'!$J$10:$J$224),0),
IF('TL06'!$B$229=L$3,SUMIF('TL06'!$C$238:$C$451,$C41,'TL06'!$J$238:$J$451),0),
IF('TL07'!$B$3=L$3,SUMIF('TL07'!$C$10:$C$224,$C41,'TL07'!$J$10:$J$224),0),
IF('TL07'!$B$229=L$3,SUMIF('TL07'!$C$238:$C$451,$C41,'TL07'!$J$238:$J$451),0),
IF('TL08'!$B$3=L$3,SUMIF('TL08'!$C$10:$C$224,$C41,'TL08'!$J$10:$J$224),0),
IF('TL08'!$B$229=L$3,SUMIF('TL08'!$C$238:$C$451,$C41,'TL08'!$J$238:$J$451),0),
IF('TL09'!$B$3=L$3,SUMIF('TL09'!$C$10:$C$224,$C41,'TL09'!$J$10:$J$224),0),
IF('TL09'!$B$229=L$3,SUMIF('TL09'!$C$238:$C$451,$C41,'TL09'!$J$238:$J$451),0),
IF('TL10'!$B$3=L$3,SUMIF('TL10'!$C$10:$C$224,$C41,'TL10'!$J$10:$J$224),0),
IF('TL10'!$B$229=L$3,SUMIF('TL10'!$C$238:$C$451,$C41,'TL10'!$J$238:$J$451),0),
IF('TL11'!$B$3=L$3,SUMIF('TL11'!$C$10:$C$224,$C41,'TL11'!$J$10:$J$224),0),
IF('TL11'!$B$229=L$3,SUMIF('TL11'!$C$238:$C$451,$C41,'TL11'!$J$238:$J$451),0),
IF('TL12'!$B$3=L$3,SUMIF('TL12'!$C$10:$C$224,$C41,'TL12'!$J$10:$J$224),0),
IF('TL12'!$B$229=L$3,SUMIF('TL12'!$C$238:$C$451,$C41,'TL12'!$J$238:$J$451),0),
IF('TL13'!$B$3=L$3,SUMIF('TL13'!$C$10:$C$224,$C41,'TL13'!$J$10:$J$224),0),
IF('TL13'!$B$229=L$3,SUMIF('TL13'!$C$238:$C$451,$C41,'TL13'!$J$238:$J$451),0),
IF('TL14'!$B$3=L$3,SUMIF('TL14'!$C$10:$C$224,$C41,'TL14'!$J$10:$J$224),0),
IF('TL14'!$B$229=L$3,SUMIF('TL14'!$C$238:$C$451,$C41,'TL14'!$J$238:$J$451),0),
IF('TL15'!$B$3=L$3,SUMIF('TL15'!$C$10:$C$224,$C41,'TL15'!$J$10:$J$224),0),
IF('TL15'!$B$229=L$3,SUMIF('TL15'!$C$238:$C$451,$C41,'TL15'!$J$238:$J$451),0),
IF('TL16'!$B$3=L$3,SUMIF('TL16'!$C$10:$C$224,$C41,'TL16'!$J$10:$J$224),0),
IF('TL16'!$B$229=L$3,SUMIF('TL16'!$C$238:$C$451,$C41,'TL16'!$J$238:$J$451),0),
IF('TL17'!$B$3=L$3,SUMIF('TL17'!$C$10:$C$224,$C41,'TL17'!$J$10:$J$224),0),
IF('TL17'!$B$229=L$3,SUMIF('TL17'!$C$238:$C$451,$C41,'TL17'!$J$238:$J$451),0),
IF('TL18'!$B$3=L$3,SUMIF('TL18'!$C$10:$C$224,$C41,'TL18'!$J$10:$J$224),0),
IF('TL18'!$B$229=L$3,SUMIF('TL18'!$C$238:$C$451,$C41,'TL18'!$J$238:$J$451),0),
IF('TL19'!$B$3=L$3,SUMIF('TL19'!$C$10:$C$224,$C41,'TL19'!$J$10:$J$224),0),
IF('TL19'!$B$229=L$3,SUMIF('TL19'!$C$238:$C$451,$C41,'TL19'!$J$238:$J$451),0)
),0)</f>
        <v/>
      </c>
      <c r="M41" s="9">
        <f>IFERROR(SUM(
IF('TL01'!$B$3=M$3,SUMIF('TL01'!$C$10:$C$224,$C41,'TL01'!$J$10:$J$224),0),
IF('TL01'!$B$229=M$3,SUMIF('TL01'!$C$238:$C$451,$C41,'TL01'!$J$238:$J$451),0),
IF('TL02'!$B$3=M$3,SUMIF('TL02'!$C$10:$C$224,$C41,'TL02'!$J$10:$J$224),0),
IF('TL02'!$B$229=M$3,SUMIF('TL02'!$C$238:$C$451,$C41,'TL02'!$J$238:$J$451),0),
IF('TL03'!$B$3=M$3,SUMIF('TL03'!$C$10:$C$224,$C41,'TL03'!$J$10:$J$224),0),
IF('TL03'!$B$229=M$3,SUMIF('TL03'!$C$238:$C$451,$C41,'TL03'!$J$238:$J$451),0),
IF('TL04'!$B$3=M$3,SUMIF('TL04'!$C$10:$C$224,$C41,'TL04'!$J$10:$J$224),0),
IF('TL04'!$B$229=M$3,SUMIF('TL04'!$C$238:$C$451,$C41,'TL04'!$J$238:$J$451),0),
IF('TL05'!$B$3=M$3,SUMIF('TL05'!$C$10:$C$224,$C41,'TL05'!$J$10:$J$224),0),
IF('TL05'!$B$229=M$3,SUMIF('TL05'!$C$238:$C$451,$C41,'TL05'!$J$238:$J$451),0),
IF('TL06'!$B$3=M$3,SUMIF('TL06'!$C$10:$C$224,$C41,'TL06'!$J$10:$J$224),0),
IF('TL06'!$B$229=M$3,SUMIF('TL06'!$C$238:$C$451,$C41,'TL06'!$J$238:$J$451),0),
IF('TL07'!$B$3=M$3,SUMIF('TL07'!$C$10:$C$224,$C41,'TL07'!$J$10:$J$224),0),
IF('TL07'!$B$229=M$3,SUMIF('TL07'!$C$238:$C$451,$C41,'TL07'!$J$238:$J$451),0),
IF('TL08'!$B$3=M$3,SUMIF('TL08'!$C$10:$C$224,$C41,'TL08'!$J$10:$J$224),0),
IF('TL08'!$B$229=M$3,SUMIF('TL08'!$C$238:$C$451,$C41,'TL08'!$J$238:$J$451),0),
IF('TL09'!$B$3=M$3,SUMIF('TL09'!$C$10:$C$224,$C41,'TL09'!$J$10:$J$224),0),
IF('TL09'!$B$229=M$3,SUMIF('TL09'!$C$238:$C$451,$C41,'TL09'!$J$238:$J$451),0),
IF('TL10'!$B$3=M$3,SUMIF('TL10'!$C$10:$C$224,$C41,'TL10'!$J$10:$J$224),0),
IF('TL10'!$B$229=M$3,SUMIF('TL10'!$C$238:$C$451,$C41,'TL10'!$J$238:$J$451),0),
IF('TL11'!$B$3=M$3,SUMIF('TL11'!$C$10:$C$224,$C41,'TL11'!$J$10:$J$224),0),
IF('TL11'!$B$229=M$3,SUMIF('TL11'!$C$238:$C$451,$C41,'TL11'!$J$238:$J$451),0),
IF('TL12'!$B$3=M$3,SUMIF('TL12'!$C$10:$C$224,$C41,'TL12'!$J$10:$J$224),0),
IF('TL12'!$B$229=M$3,SUMIF('TL12'!$C$238:$C$451,$C41,'TL12'!$J$238:$J$451),0),
IF('TL13'!$B$3=M$3,SUMIF('TL13'!$C$10:$C$224,$C41,'TL13'!$J$10:$J$224),0),
IF('TL13'!$B$229=M$3,SUMIF('TL13'!$C$238:$C$451,$C41,'TL13'!$J$238:$J$451),0),
IF('TL14'!$B$3=M$3,SUMIF('TL14'!$C$10:$C$224,$C41,'TL14'!$J$10:$J$224),0),
IF('TL14'!$B$229=M$3,SUMIF('TL14'!$C$238:$C$451,$C41,'TL14'!$J$238:$J$451),0),
IF('TL15'!$B$3=M$3,SUMIF('TL15'!$C$10:$C$224,$C41,'TL15'!$J$10:$J$224),0),
IF('TL15'!$B$229=M$3,SUMIF('TL15'!$C$238:$C$451,$C41,'TL15'!$J$238:$J$451),0),
IF('TL16'!$B$3=M$3,SUMIF('TL16'!$C$10:$C$224,$C41,'TL16'!$J$10:$J$224),0),
IF('TL16'!$B$229=M$3,SUMIF('TL16'!$C$238:$C$451,$C41,'TL16'!$J$238:$J$451),0),
IF('TL17'!$B$3=M$3,SUMIF('TL17'!$C$10:$C$224,$C41,'TL17'!$J$10:$J$224),0),
IF('TL17'!$B$229=M$3,SUMIF('TL17'!$C$238:$C$451,$C41,'TL17'!$J$238:$J$451),0),
IF('TL18'!$B$3=M$3,SUMIF('TL18'!$C$10:$C$224,$C41,'TL18'!$J$10:$J$224),0),
IF('TL18'!$B$229=M$3,SUMIF('TL18'!$C$238:$C$451,$C41,'TL18'!$J$238:$J$451),0),
IF('TL19'!$B$3=M$3,SUMIF('TL19'!$C$10:$C$224,$C41,'TL19'!$J$10:$J$224),0),
IF('TL19'!$B$229=M$3,SUMIF('TL19'!$C$238:$C$451,$C41,'TL19'!$J$238:$J$451),0)
),0)</f>
        <v/>
      </c>
      <c r="N41" s="9">
        <f>IFERROR(SUM(
IF('TL01'!$B$3=N$3,SUMIF('TL01'!$C$10:$C$224,$C41,'TL01'!$J$10:$J$224),0),
IF('TL01'!$B$229=N$3,SUMIF('TL01'!$C$238:$C$451,$C41,'TL01'!$J$238:$J$451),0),
IF('TL02'!$B$3=N$3,SUMIF('TL02'!$C$10:$C$224,$C41,'TL02'!$J$10:$J$224),0),
IF('TL02'!$B$229=N$3,SUMIF('TL02'!$C$238:$C$451,$C41,'TL02'!$J$238:$J$451),0),
IF('TL03'!$B$3=N$3,SUMIF('TL03'!$C$10:$C$224,$C41,'TL03'!$J$10:$J$224),0),
IF('TL03'!$B$229=N$3,SUMIF('TL03'!$C$238:$C$451,$C41,'TL03'!$J$238:$J$451),0),
IF('TL04'!$B$3=N$3,SUMIF('TL04'!$C$10:$C$224,$C41,'TL04'!$J$10:$J$224),0),
IF('TL04'!$B$229=N$3,SUMIF('TL04'!$C$238:$C$451,$C41,'TL04'!$J$238:$J$451),0),
IF('TL05'!$B$3=N$3,SUMIF('TL05'!$C$10:$C$224,$C41,'TL05'!$J$10:$J$224),0),
IF('TL05'!$B$229=N$3,SUMIF('TL05'!$C$238:$C$451,$C41,'TL05'!$J$238:$J$451),0),
IF('TL06'!$B$3=N$3,SUMIF('TL06'!$C$10:$C$224,$C41,'TL06'!$J$10:$J$224),0),
IF('TL06'!$B$229=N$3,SUMIF('TL06'!$C$238:$C$451,$C41,'TL06'!$J$238:$J$451),0),
IF('TL07'!$B$3=N$3,SUMIF('TL07'!$C$10:$C$224,$C41,'TL07'!$J$10:$J$224),0),
IF('TL07'!$B$229=N$3,SUMIF('TL07'!$C$238:$C$451,$C41,'TL07'!$J$238:$J$451),0),
IF('TL08'!$B$3=N$3,SUMIF('TL08'!$C$10:$C$224,$C41,'TL08'!$J$10:$J$224),0),
IF('TL08'!$B$229=N$3,SUMIF('TL08'!$C$238:$C$451,$C41,'TL08'!$J$238:$J$451),0),
IF('TL09'!$B$3=N$3,SUMIF('TL09'!$C$10:$C$224,$C41,'TL09'!$J$10:$J$224),0),
IF('TL09'!$B$229=N$3,SUMIF('TL09'!$C$238:$C$451,$C41,'TL09'!$J$238:$J$451),0),
IF('TL10'!$B$3=N$3,SUMIF('TL10'!$C$10:$C$224,$C41,'TL10'!$J$10:$J$224),0),
IF('TL10'!$B$229=N$3,SUMIF('TL10'!$C$238:$C$451,$C41,'TL10'!$J$238:$J$451),0),
IF('TL11'!$B$3=N$3,SUMIF('TL11'!$C$10:$C$224,$C41,'TL11'!$J$10:$J$224),0),
IF('TL11'!$B$229=N$3,SUMIF('TL11'!$C$238:$C$451,$C41,'TL11'!$J$238:$J$451),0),
IF('TL12'!$B$3=N$3,SUMIF('TL12'!$C$10:$C$224,$C41,'TL12'!$J$10:$J$224),0),
IF('TL12'!$B$229=N$3,SUMIF('TL12'!$C$238:$C$451,$C41,'TL12'!$J$238:$J$451),0),
IF('TL13'!$B$3=N$3,SUMIF('TL13'!$C$10:$C$224,$C41,'TL13'!$J$10:$J$224),0),
IF('TL13'!$B$229=N$3,SUMIF('TL13'!$C$238:$C$451,$C41,'TL13'!$J$238:$J$451),0),
IF('TL14'!$B$3=N$3,SUMIF('TL14'!$C$10:$C$224,$C41,'TL14'!$J$10:$J$224),0),
IF('TL14'!$B$229=N$3,SUMIF('TL14'!$C$238:$C$451,$C41,'TL14'!$J$238:$J$451),0),
IF('TL15'!$B$3=N$3,SUMIF('TL15'!$C$10:$C$224,$C41,'TL15'!$J$10:$J$224),0),
IF('TL15'!$B$229=N$3,SUMIF('TL15'!$C$238:$C$451,$C41,'TL15'!$J$238:$J$451),0),
IF('TL16'!$B$3=N$3,SUMIF('TL16'!$C$10:$C$224,$C41,'TL16'!$J$10:$J$224),0),
IF('TL16'!$B$229=N$3,SUMIF('TL16'!$C$238:$C$451,$C41,'TL16'!$J$238:$J$451),0),
IF('TL17'!$B$3=N$3,SUMIF('TL17'!$C$10:$C$224,$C41,'TL17'!$J$10:$J$224),0),
IF('TL17'!$B$229=N$3,SUMIF('TL17'!$C$238:$C$451,$C41,'TL17'!$J$238:$J$451),0),
IF('TL18'!$B$3=N$3,SUMIF('TL18'!$C$10:$C$224,$C41,'TL18'!$J$10:$J$224),0),
IF('TL18'!$B$229=N$3,SUMIF('TL18'!$C$238:$C$451,$C41,'TL18'!$J$238:$J$451),0),
IF('TL19'!$B$3=N$3,SUMIF('TL19'!$C$10:$C$224,$C41,'TL19'!$J$10:$J$224),0),
IF('TL19'!$B$229=N$3,SUMIF('TL19'!$C$238:$C$451,$C41,'TL19'!$J$238:$J$451),0)
),0)</f>
        <v/>
      </c>
      <c r="O41" s="9">
        <f>IFERROR(SUM(
IF('TL01'!$B$3=O$3,SUMIF('TL01'!$C$10:$C$224,$C41,'TL01'!$J$10:$J$224),0),
IF('TL01'!$B$229=O$3,SUMIF('TL01'!$C$238:$C$451,$C41,'TL01'!$J$238:$J$451),0),
IF('TL02'!$B$3=O$3,SUMIF('TL02'!$C$10:$C$224,$C41,'TL02'!$J$10:$J$224),0),
IF('TL02'!$B$229=O$3,SUMIF('TL02'!$C$238:$C$451,$C41,'TL02'!$J$238:$J$451),0),
IF('TL03'!$B$3=O$3,SUMIF('TL03'!$C$10:$C$224,$C41,'TL03'!$J$10:$J$224),0),
IF('TL03'!$B$229=O$3,SUMIF('TL03'!$C$238:$C$451,$C41,'TL03'!$J$238:$J$451),0),
IF('TL04'!$B$3=O$3,SUMIF('TL04'!$C$10:$C$224,$C41,'TL04'!$J$10:$J$224),0),
IF('TL04'!$B$229=O$3,SUMIF('TL04'!$C$238:$C$451,$C41,'TL04'!$J$238:$J$451),0),
IF('TL05'!$B$3=O$3,SUMIF('TL05'!$C$10:$C$224,$C41,'TL05'!$J$10:$J$224),0),
IF('TL05'!$B$229=O$3,SUMIF('TL05'!$C$238:$C$451,$C41,'TL05'!$J$238:$J$451),0),
IF('TL06'!$B$3=O$3,SUMIF('TL06'!$C$10:$C$224,$C41,'TL06'!$J$10:$J$224),0),
IF('TL06'!$B$229=O$3,SUMIF('TL06'!$C$238:$C$451,$C41,'TL06'!$J$238:$J$451),0),
IF('TL07'!$B$3=O$3,SUMIF('TL07'!$C$10:$C$224,$C41,'TL07'!$J$10:$J$224),0),
IF('TL07'!$B$229=O$3,SUMIF('TL07'!$C$238:$C$451,$C41,'TL07'!$J$238:$J$451),0),
IF('TL08'!$B$3=O$3,SUMIF('TL08'!$C$10:$C$224,$C41,'TL08'!$J$10:$J$224),0),
IF('TL08'!$B$229=O$3,SUMIF('TL08'!$C$238:$C$451,$C41,'TL08'!$J$238:$J$451),0),
IF('TL09'!$B$3=O$3,SUMIF('TL09'!$C$10:$C$224,$C41,'TL09'!$J$10:$J$224),0),
IF('TL09'!$B$229=O$3,SUMIF('TL09'!$C$238:$C$451,$C41,'TL09'!$J$238:$J$451),0),
IF('TL10'!$B$3=O$3,SUMIF('TL10'!$C$10:$C$224,$C41,'TL10'!$J$10:$J$224),0),
IF('TL10'!$B$229=O$3,SUMIF('TL10'!$C$238:$C$451,$C41,'TL10'!$J$238:$J$451),0),
IF('TL11'!$B$3=O$3,SUMIF('TL11'!$C$10:$C$224,$C41,'TL11'!$J$10:$J$224),0),
IF('TL11'!$B$229=O$3,SUMIF('TL11'!$C$238:$C$451,$C41,'TL11'!$J$238:$J$451),0),
IF('TL12'!$B$3=O$3,SUMIF('TL12'!$C$10:$C$224,$C41,'TL12'!$J$10:$J$224),0),
IF('TL12'!$B$229=O$3,SUMIF('TL12'!$C$238:$C$451,$C41,'TL12'!$J$238:$J$451),0),
IF('TL13'!$B$3=O$3,SUMIF('TL13'!$C$10:$C$224,$C41,'TL13'!$J$10:$J$224),0),
IF('TL13'!$B$229=O$3,SUMIF('TL13'!$C$238:$C$451,$C41,'TL13'!$J$238:$J$451),0),
IF('TL14'!$B$3=O$3,SUMIF('TL14'!$C$10:$C$224,$C41,'TL14'!$J$10:$J$224),0),
IF('TL14'!$B$229=O$3,SUMIF('TL14'!$C$238:$C$451,$C41,'TL14'!$J$238:$J$451),0),
IF('TL15'!$B$3=O$3,SUMIF('TL15'!$C$10:$C$224,$C41,'TL15'!$J$10:$J$224),0),
IF('TL15'!$B$229=O$3,SUMIF('TL15'!$C$238:$C$451,$C41,'TL15'!$J$238:$J$451),0),
IF('TL16'!$B$3=O$3,SUMIF('TL16'!$C$10:$C$224,$C41,'TL16'!$J$10:$J$224),0),
IF('TL16'!$B$229=O$3,SUMIF('TL16'!$C$238:$C$451,$C41,'TL16'!$J$238:$J$451),0),
IF('TL17'!$B$3=O$3,SUMIF('TL17'!$C$10:$C$224,$C41,'TL17'!$J$10:$J$224),0),
IF('TL17'!$B$229=O$3,SUMIF('TL17'!$C$238:$C$451,$C41,'TL17'!$J$238:$J$451),0),
IF('TL18'!$B$3=O$3,SUMIF('TL18'!$C$10:$C$224,$C41,'TL18'!$J$10:$J$224),0),
IF('TL18'!$B$229=O$3,SUMIF('TL18'!$C$238:$C$451,$C41,'TL18'!$J$238:$J$451),0),
IF('TL19'!$B$3=O$3,SUMIF('TL19'!$C$10:$C$224,$C41,'TL19'!$J$10:$J$224),0),
IF('TL19'!$B$229=O$3,SUMIF('TL19'!$C$238:$C$451,$C41,'TL19'!$J$238:$J$451),0)
),0)</f>
        <v/>
      </c>
      <c r="P41" s="9">
        <f>IFERROR(SUM(
IF('TL01'!$B$3=P$3,SUMIF('TL01'!$C$10:$C$224,$C41,'TL01'!$J$10:$J$224),0),
IF('TL01'!$B$229=P$3,SUMIF('TL01'!$C$238:$C$451,$C41,'TL01'!$J$238:$J$451),0),
IF('TL02'!$B$3=P$3,SUMIF('TL02'!$C$10:$C$224,$C41,'TL02'!$J$10:$J$224),0),
IF('TL02'!$B$229=P$3,SUMIF('TL02'!$C$238:$C$451,$C41,'TL02'!$J$238:$J$451),0),
IF('TL03'!$B$3=P$3,SUMIF('TL03'!$C$10:$C$224,$C41,'TL03'!$J$10:$J$224),0),
IF('TL03'!$B$229=P$3,SUMIF('TL03'!$C$238:$C$451,$C41,'TL03'!$J$238:$J$451),0),
IF('TL04'!$B$3=P$3,SUMIF('TL04'!$C$10:$C$224,$C41,'TL04'!$J$10:$J$224),0),
IF('TL04'!$B$229=P$3,SUMIF('TL04'!$C$238:$C$451,$C41,'TL04'!$J$238:$J$451),0),
IF('TL05'!$B$3=P$3,SUMIF('TL05'!$C$10:$C$224,$C41,'TL05'!$J$10:$J$224),0),
IF('TL05'!$B$229=P$3,SUMIF('TL05'!$C$238:$C$451,$C41,'TL05'!$J$238:$J$451),0),
IF('TL06'!$B$3=P$3,SUMIF('TL06'!$C$10:$C$224,$C41,'TL06'!$J$10:$J$224),0),
IF('TL06'!$B$229=P$3,SUMIF('TL06'!$C$238:$C$451,$C41,'TL06'!$J$238:$J$451),0),
IF('TL07'!$B$3=P$3,SUMIF('TL07'!$C$10:$C$224,$C41,'TL07'!$J$10:$J$224),0),
IF('TL07'!$B$229=P$3,SUMIF('TL07'!$C$238:$C$451,$C41,'TL07'!$J$238:$J$451),0),
IF('TL08'!$B$3=P$3,SUMIF('TL08'!$C$10:$C$224,$C41,'TL08'!$J$10:$J$224),0),
IF('TL08'!$B$229=P$3,SUMIF('TL08'!$C$238:$C$451,$C41,'TL08'!$J$238:$J$451),0),
IF('TL09'!$B$3=P$3,SUMIF('TL09'!$C$10:$C$224,$C41,'TL09'!$J$10:$J$224),0),
IF('TL09'!$B$229=P$3,SUMIF('TL09'!$C$238:$C$451,$C41,'TL09'!$J$238:$J$451),0),
IF('TL10'!$B$3=P$3,SUMIF('TL10'!$C$10:$C$224,$C41,'TL10'!$J$10:$J$224),0),
IF('TL10'!$B$229=P$3,SUMIF('TL10'!$C$238:$C$451,$C41,'TL10'!$J$238:$J$451),0),
IF('TL11'!$B$3=P$3,SUMIF('TL11'!$C$10:$C$224,$C41,'TL11'!$J$10:$J$224),0),
IF('TL11'!$B$229=P$3,SUMIF('TL11'!$C$238:$C$451,$C41,'TL11'!$J$238:$J$451),0),
IF('TL12'!$B$3=P$3,SUMIF('TL12'!$C$10:$C$224,$C41,'TL12'!$J$10:$J$224),0),
IF('TL12'!$B$229=P$3,SUMIF('TL12'!$C$238:$C$451,$C41,'TL12'!$J$238:$J$451),0),
IF('TL13'!$B$3=P$3,SUMIF('TL13'!$C$10:$C$224,$C41,'TL13'!$J$10:$J$224),0),
IF('TL13'!$B$229=P$3,SUMIF('TL13'!$C$238:$C$451,$C41,'TL13'!$J$238:$J$451),0),
IF('TL14'!$B$3=P$3,SUMIF('TL14'!$C$10:$C$224,$C41,'TL14'!$J$10:$J$224),0),
IF('TL14'!$B$229=P$3,SUMIF('TL14'!$C$238:$C$451,$C41,'TL14'!$J$238:$J$451),0),
IF('TL15'!$B$3=P$3,SUMIF('TL15'!$C$10:$C$224,$C41,'TL15'!$J$10:$J$224),0),
IF('TL15'!$B$229=P$3,SUMIF('TL15'!$C$238:$C$451,$C41,'TL15'!$J$238:$J$451),0),
IF('TL16'!$B$3=P$3,SUMIF('TL16'!$C$10:$C$224,$C41,'TL16'!$J$10:$J$224),0),
IF('TL16'!$B$229=P$3,SUMIF('TL16'!$C$238:$C$451,$C41,'TL16'!$J$238:$J$451),0),
IF('TL17'!$B$3=P$3,SUMIF('TL17'!$C$10:$C$224,$C41,'TL17'!$J$10:$J$224),0),
IF('TL17'!$B$229=P$3,SUMIF('TL17'!$C$238:$C$451,$C41,'TL17'!$J$238:$J$451),0),
IF('TL18'!$B$3=P$3,SUMIF('TL18'!$C$10:$C$224,$C41,'TL18'!$J$10:$J$224),0),
IF('TL18'!$B$229=P$3,SUMIF('TL18'!$C$238:$C$451,$C41,'TL18'!$J$238:$J$451),0),
IF('TL19'!$B$3=P$3,SUMIF('TL19'!$C$10:$C$224,$C41,'TL19'!$J$10:$J$224),0),
IF('TL19'!$B$229=P$3,SUMIF('TL19'!$C$238:$C$451,$C41,'TL19'!$J$238:$J$451),0)
),0)</f>
        <v/>
      </c>
      <c r="Q41" s="9">
        <f>IFERROR(SUM(
IF('TL01'!$B$3=Q$3,SUMIF('TL01'!$C$10:$C$224,$C41,'TL01'!$J$10:$J$224),0),
IF('TL01'!$B$229=Q$3,SUMIF('TL01'!$C$238:$C$451,$C41,'TL01'!$J$238:$J$451),0),
IF('TL02'!$B$3=Q$3,SUMIF('TL02'!$C$10:$C$224,$C41,'TL02'!$J$10:$J$224),0),
IF('TL02'!$B$229=Q$3,SUMIF('TL02'!$C$238:$C$451,$C41,'TL02'!$J$238:$J$451),0),
IF('TL03'!$B$3=Q$3,SUMIF('TL03'!$C$10:$C$224,$C41,'TL03'!$J$10:$J$224),0),
IF('TL03'!$B$229=Q$3,SUMIF('TL03'!$C$238:$C$451,$C41,'TL03'!$J$238:$J$451),0),
IF('TL04'!$B$3=Q$3,SUMIF('TL04'!$C$10:$C$224,$C41,'TL04'!$J$10:$J$224),0),
IF('TL04'!$B$229=Q$3,SUMIF('TL04'!$C$238:$C$451,$C41,'TL04'!$J$238:$J$451),0),
IF('TL05'!$B$3=Q$3,SUMIF('TL05'!$C$10:$C$224,$C41,'TL05'!$J$10:$J$224),0),
IF('TL05'!$B$229=Q$3,SUMIF('TL05'!$C$238:$C$451,$C41,'TL05'!$J$238:$J$451),0),
IF('TL06'!$B$3=Q$3,SUMIF('TL06'!$C$10:$C$224,$C41,'TL06'!$J$10:$J$224),0),
IF('TL06'!$B$229=Q$3,SUMIF('TL06'!$C$238:$C$451,$C41,'TL06'!$J$238:$J$451),0),
IF('TL07'!$B$3=Q$3,SUMIF('TL07'!$C$10:$C$224,$C41,'TL07'!$J$10:$J$224),0),
IF('TL07'!$B$229=Q$3,SUMIF('TL07'!$C$238:$C$451,$C41,'TL07'!$J$238:$J$451),0),
IF('TL08'!$B$3=Q$3,SUMIF('TL08'!$C$10:$C$224,$C41,'TL08'!$J$10:$J$224),0),
IF('TL08'!$B$229=Q$3,SUMIF('TL08'!$C$238:$C$451,$C41,'TL08'!$J$238:$J$451),0),
IF('TL09'!$B$3=Q$3,SUMIF('TL09'!$C$10:$C$224,$C41,'TL09'!$J$10:$J$224),0),
IF('TL09'!$B$229=Q$3,SUMIF('TL09'!$C$238:$C$451,$C41,'TL09'!$J$238:$J$451),0),
IF('TL10'!$B$3=Q$3,SUMIF('TL10'!$C$10:$C$224,$C41,'TL10'!$J$10:$J$224),0),
IF('TL10'!$B$229=Q$3,SUMIF('TL10'!$C$238:$C$451,$C41,'TL10'!$J$238:$J$451),0),
IF('TL11'!$B$3=Q$3,SUMIF('TL11'!$C$10:$C$224,$C41,'TL11'!$J$10:$J$224),0),
IF('TL11'!$B$229=Q$3,SUMIF('TL11'!$C$238:$C$451,$C41,'TL11'!$J$238:$J$451),0),
IF('TL12'!$B$3=Q$3,SUMIF('TL12'!$C$10:$C$224,$C41,'TL12'!$J$10:$J$224),0),
IF('TL12'!$B$229=Q$3,SUMIF('TL12'!$C$238:$C$451,$C41,'TL12'!$J$238:$J$451),0),
IF('TL13'!$B$3=Q$3,SUMIF('TL13'!$C$10:$C$224,$C41,'TL13'!$J$10:$J$224),0),
IF('TL13'!$B$229=Q$3,SUMIF('TL13'!$C$238:$C$451,$C41,'TL13'!$J$238:$J$451),0),
IF('TL14'!$B$3=Q$3,SUMIF('TL14'!$C$10:$C$224,$C41,'TL14'!$J$10:$J$224),0),
IF('TL14'!$B$229=Q$3,SUMIF('TL14'!$C$238:$C$451,$C41,'TL14'!$J$238:$J$451),0),
IF('TL15'!$B$3=Q$3,SUMIF('TL15'!$C$10:$C$224,$C41,'TL15'!$J$10:$J$224),0),
IF('TL15'!$B$229=Q$3,SUMIF('TL15'!$C$238:$C$451,$C41,'TL15'!$J$238:$J$451),0),
IF('TL16'!$B$3=Q$3,SUMIF('TL16'!$C$10:$C$224,$C41,'TL16'!$J$10:$J$224),0),
IF('TL16'!$B$229=Q$3,SUMIF('TL16'!$C$238:$C$451,$C41,'TL16'!$J$238:$J$451),0),
IF('TL17'!$B$3=Q$3,SUMIF('TL17'!$C$10:$C$224,$C41,'TL17'!$J$10:$J$224),0),
IF('TL17'!$B$229=Q$3,SUMIF('TL17'!$C$238:$C$451,$C41,'TL17'!$J$238:$J$451),0),
IF('TL18'!$B$3=Q$3,SUMIF('TL18'!$C$10:$C$224,$C41,'TL18'!$J$10:$J$224),0),
IF('TL18'!$B$229=Q$3,SUMIF('TL18'!$C$238:$C$451,$C41,'TL18'!$J$238:$J$451),0),
IF('TL19'!$B$3=Q$3,SUMIF('TL19'!$C$10:$C$224,$C41,'TL19'!$J$10:$J$224),0),
IF('TL19'!$B$229=Q$3,SUMIF('TL19'!$C$238:$C$451,$C41,'TL19'!$J$238:$J$451),0)
),0)</f>
        <v/>
      </c>
      <c r="R41" s="9">
        <f>IFERROR(
SUM(
SUMIF('TL01'!C:C,C41,'TL01'!J:J),
SUMIF('TL02'!C:C,C41,'TL02'!J:J),
SUMIF('TL03'!C:C,C41,'TL03'!J:J),
SUMIF('TL04'!C:C,C41,'TL04'!J:J),
SUMIF('TL05'!C:C,C41,'TL05'!J:J),
SUMIF('TL06'!C:C,C41,'TL06'!J:J),
SUMIF('TL07'!C:C,C41,'TL07'!J:J),
SUMIF('TL08'!C:C,C41,'TL08'!J:J),
SUMIF('TL09'!C:C,C41,'TL09'!J:J),
SUMIF('TL10'!C:C,C41,'TL10'!J:J),
SUMIF('TL11'!C:C,C41,'TL11'!J:J),
SUMIF('TL12'!C:C,C41,'TL12'!J:J),
SUMIF('TL13'!C:C,C41,'TL13'!J:J),
SUMIF('TL14'!C:C,C41,'TL14'!J:J),
SUMIF('TL15'!C:C,C41,'TL15'!J:J),
SUMIF('TL16'!C:C,C41,'TL16'!J:J),
SUMIF('TL17'!C:C,C41,'TL17'!J:J),
SUMIF('TL18'!C:C,C41,'TL18'!J:J),SUMIF('TL19'!C:C,C41,'TL19'!J:J))
,0)</f>
        <v/>
      </c>
      <c r="S41" s="17">
        <f>IFERROR(__xludf.DUMMYFUNCTION("IFERROR(VLOOKUP(C41,
IMPORTRANGE(""1wULbzX32WdYsx-lj2U3uUNBBe2INVIRDtcK0d-Dvl90"",
""26-27!C:G""),
5,
FALSE),
"""")"),39.25440000000001)</f>
        <v/>
      </c>
      <c r="T41" s="9" t="n"/>
      <c r="U41" s="92">
        <f>MAX(0,R41-T41)</f>
        <v/>
      </c>
      <c r="V41" s="93">
        <f>U41*S41</f>
        <v/>
      </c>
    </row>
    <row r="42" hidden="1" ht="15.75" customHeight="1" s="297">
      <c r="A42" s="115" t="inlineStr">
        <is>
          <t>BASF</t>
        </is>
      </c>
      <c r="B42" s="100" t="inlineStr">
        <is>
          <t>FUNGICIDA</t>
        </is>
      </c>
      <c r="C42" s="116" t="inlineStr">
        <is>
          <t>ABACUS HC</t>
        </is>
      </c>
      <c r="D42" s="116" t="inlineStr">
        <is>
          <t>PIRACLOSTROBINA + EPOXICONAZOL</t>
        </is>
      </c>
      <c r="E42" s="116" t="inlineStr">
        <is>
          <t>260 + 160</t>
        </is>
      </c>
      <c r="F42" s="4" t="inlineStr">
        <is>
          <t>L</t>
        </is>
      </c>
      <c r="G42" s="90">
        <f>HYPERLINK("https://www.google.com/search?q=" &amp; C42 &amp; "+bula+agrofit+pdf", "📄 Ver bula")</f>
        <v/>
      </c>
      <c r="H42" s="9">
        <f>IFERROR(__xludf.DUMMYFUNCTION("IFERROR(VLOOKUP(C42,
IMPORTRANGE(""1wULbzX32WdYsx-lj2U3uUNBBe2INVIRDtcK0d-Dvl90"",
""26-27!C:K""),
8,
FALSE),
"""")"),0.3)</f>
        <v/>
      </c>
      <c r="I42" s="117" t="inlineStr">
        <is>
          <t>4X5</t>
        </is>
      </c>
      <c r="J42" s="9">
        <f>IFERROR(SUM(
IF('TL01'!$B$3=J$3,SUMIF('TL01'!$C$10:$C$224,$C42,'TL01'!$J$10:$J$224),0),
IF('TL01'!$B$229=J$3,SUMIF('TL01'!$C$238:$C$451,$C42,'TL01'!$J$238:$J$451),0),
IF('TL02'!$B$3=J$3,SUMIF('TL02'!$C$10:$C$224,$C42,'TL02'!$J$10:$J$224),0),
IF('TL02'!$B$229=J$3,SUMIF('TL02'!$C$238:$C$451,$C42,'TL02'!$J$238:$J$451),0),
IF('TL03'!$B$3=J$3,SUMIF('TL03'!$C$10:$C$224,$C42,'TL03'!$J$10:$J$224),0),
IF('TL03'!$B$229=J$3,SUMIF('TL03'!$C$238:$C$451,$C42,'TL03'!$J$238:$J$451),0),
IF('TL04'!$B$3=J$3,SUMIF('TL04'!$C$10:$C$224,$C42,'TL04'!$J$10:$J$224),0),
IF('TL04'!$B$229=J$3,SUMIF('TL04'!$C$238:$C$451,$C42,'TL04'!$J$238:$J$451),0),
IF('TL05'!$B$3=J$3,SUMIF('TL05'!$C$10:$C$224,$C42,'TL05'!$J$10:$J$224),0),
IF('TL05'!$B$229=J$3,SUMIF('TL05'!$C$238:$C$451,$C42,'TL05'!$J$238:$J$451),0),
IF('TL06'!$B$3=J$3,SUMIF('TL06'!$C$10:$C$224,$C42,'TL06'!$J$10:$J$224),0),
IF('TL06'!$B$229=J$3,SUMIF('TL06'!$C$238:$C$451,$C42,'TL06'!$J$238:$J$451),0),
IF('TL07'!$B$3=J$3,SUMIF('TL07'!$C$10:$C$224,$C42,'TL07'!$J$10:$J$224),0),
IF('TL07'!$B$229=J$3,SUMIF('TL07'!$C$238:$C$451,$C42,'TL07'!$J$238:$J$451),0),
IF('TL08'!$B$3=J$3,SUMIF('TL08'!$C$10:$C$224,$C42,'TL08'!$J$10:$J$224),0),
IF('TL08'!$B$229=J$3,SUMIF('TL08'!$C$238:$C$451,$C42,'TL08'!$J$238:$J$451),0),
IF('TL09'!$B$3=J$3,SUMIF('TL09'!$C$10:$C$224,$C42,'TL09'!$J$10:$J$224),0),
IF('TL09'!$B$229=J$3,SUMIF('TL09'!$C$238:$C$451,$C42,'TL09'!$J$238:$J$451),0),
IF('TL10'!$B$3=J$3,SUMIF('TL10'!$C$10:$C$224,$C42,'TL10'!$J$10:$J$224),0),
IF('TL10'!$B$229=J$3,SUMIF('TL10'!$C$238:$C$451,$C42,'TL10'!$J$238:$J$451),0),
IF('TL11'!$B$3=J$3,SUMIF('TL11'!$C$10:$C$224,$C42,'TL11'!$J$10:$J$224),0),
IF('TL11'!$B$229=J$3,SUMIF('TL11'!$C$238:$C$451,$C42,'TL11'!$J$238:$J$451),0),
IF('TL12'!$B$3=J$3,SUMIF('TL12'!$C$10:$C$224,$C42,'TL12'!$J$10:$J$224),0),
IF('TL12'!$B$229=J$3,SUMIF('TL12'!$C$238:$C$451,$C42,'TL12'!$J$238:$J$451),0),
IF('TL13'!$B$3=J$3,SUMIF('TL13'!$C$10:$C$224,$C42,'TL13'!$J$10:$J$224),0),
IF('TL13'!$B$229=J$3,SUMIF('TL13'!$C$238:$C$451,$C42,'TL13'!$J$238:$J$451),0),
IF('TL14'!$B$3=J$3,SUMIF('TL14'!$C$10:$C$224,$C42,'TL14'!$J$10:$J$224),0),
IF('TL14'!$B$229=J$3,SUMIF('TL14'!$C$238:$C$451,$C42,'TL14'!$J$238:$J$451),0),
IF('TL15'!$B$3=J$3,SUMIF('TL15'!$C$10:$C$224,$C42,'TL15'!$J$10:$J$224),0),
IF('TL15'!$B$229=J$3,SUMIF('TL15'!$C$238:$C$451,$C42,'TL15'!$J$238:$J$451),0),
IF('TL16'!$B$3=J$3,SUMIF('TL16'!$C$10:$C$224,$C42,'TL16'!$J$10:$J$224),0),
IF('TL16'!$B$229=J$3,SUMIF('TL16'!$C$238:$C$451,$C42,'TL16'!$J$238:$J$451),0),
IF('TL17'!$B$3=J$3,SUMIF('TL17'!$C$10:$C$224,$C42,'TL17'!$J$10:$J$224),0),
IF('TL17'!$B$229=J$3,SUMIF('TL17'!$C$238:$C$451,$C42,'TL17'!$J$238:$J$451),0),
IF('TL18'!$B$3=J$3,SUMIF('TL18'!$C$10:$C$224,$C42,'TL18'!$J$10:$J$224),0),
IF('TL18'!$B$229=J$3,SUMIF('TL18'!$C$238:$C$451,$C42,'TL18'!$J$238:$J$451),0),
IF('TL19'!$B$3=J$3,SUMIF('TL19'!$C$10:$C$224,$C42,'TL19'!$J$10:$J$224),0),
IF('TL19'!$B$229=J$3,SUMIF('TL19'!$C$238:$C$451,$C42,'TL19'!$J$238:$J$451),0)
),0)</f>
        <v/>
      </c>
      <c r="K42" s="9">
        <f>IFERROR(SUM(
IF('TL01'!$B$3=K$3,SUMIF('TL01'!$C$10:$C$224,$C42,'TL01'!$J$10:$J$224),0),
IF('TL01'!$B$229=K$3,SUMIF('TL01'!$C$238:$C$451,$C42,'TL01'!$J$238:$J$451),0),
IF('TL02'!$B$3=K$3,SUMIF('TL02'!$C$10:$C$224,$C42,'TL02'!$J$10:$J$224),0),
IF('TL02'!$B$229=K$3,SUMIF('TL02'!$C$238:$C$451,$C42,'TL02'!$J$238:$J$451),0),
IF('TL03'!$B$3=K$3,SUMIF('TL03'!$C$10:$C$224,$C42,'TL03'!$J$10:$J$224),0),
IF('TL03'!$B$229=K$3,SUMIF('TL03'!$C$238:$C$451,$C42,'TL03'!$J$238:$J$451),0),
IF('TL04'!$B$3=K$3,SUMIF('TL04'!$C$10:$C$224,$C42,'TL04'!$J$10:$J$224),0),
IF('TL04'!$B$229=K$3,SUMIF('TL04'!$C$238:$C$451,$C42,'TL04'!$J$238:$J$451),0),
IF('TL05'!$B$3=K$3,SUMIF('TL05'!$C$10:$C$224,$C42,'TL05'!$J$10:$J$224),0),
IF('TL05'!$B$229=K$3,SUMIF('TL05'!$C$238:$C$451,$C42,'TL05'!$J$238:$J$451),0),
IF('TL06'!$B$3=K$3,SUMIF('TL06'!$C$10:$C$224,$C42,'TL06'!$J$10:$J$224),0),
IF('TL06'!$B$229=K$3,SUMIF('TL06'!$C$238:$C$451,$C42,'TL06'!$J$238:$J$451),0),
IF('TL07'!$B$3=K$3,SUMIF('TL07'!$C$10:$C$224,$C42,'TL07'!$J$10:$J$224),0),
IF('TL07'!$B$229=K$3,SUMIF('TL07'!$C$238:$C$451,$C42,'TL07'!$J$238:$J$451),0),
IF('TL08'!$B$3=K$3,SUMIF('TL08'!$C$10:$C$224,$C42,'TL08'!$J$10:$J$224),0),
IF('TL08'!$B$229=K$3,SUMIF('TL08'!$C$238:$C$451,$C42,'TL08'!$J$238:$J$451),0),
IF('TL09'!$B$3=K$3,SUMIF('TL09'!$C$10:$C$224,$C42,'TL09'!$J$10:$J$224),0),
IF('TL09'!$B$229=K$3,SUMIF('TL09'!$C$238:$C$451,$C42,'TL09'!$J$238:$J$451),0),
IF('TL10'!$B$3=K$3,SUMIF('TL10'!$C$10:$C$224,$C42,'TL10'!$J$10:$J$224),0),
IF('TL10'!$B$229=K$3,SUMIF('TL10'!$C$238:$C$451,$C42,'TL10'!$J$238:$J$451),0),
IF('TL11'!$B$3=K$3,SUMIF('TL11'!$C$10:$C$224,$C42,'TL11'!$J$10:$J$224),0),
IF('TL11'!$B$229=K$3,SUMIF('TL11'!$C$238:$C$451,$C42,'TL11'!$J$238:$J$451),0),
IF('TL12'!$B$3=K$3,SUMIF('TL12'!$C$10:$C$224,$C42,'TL12'!$J$10:$J$224),0),
IF('TL12'!$B$229=K$3,SUMIF('TL12'!$C$238:$C$451,$C42,'TL12'!$J$238:$J$451),0),
IF('TL13'!$B$3=K$3,SUMIF('TL13'!$C$10:$C$224,$C42,'TL13'!$J$10:$J$224),0),
IF('TL13'!$B$229=K$3,SUMIF('TL13'!$C$238:$C$451,$C42,'TL13'!$J$238:$J$451),0),
IF('TL14'!$B$3=K$3,SUMIF('TL14'!$C$10:$C$224,$C42,'TL14'!$J$10:$J$224),0),
IF('TL14'!$B$229=K$3,SUMIF('TL14'!$C$238:$C$451,$C42,'TL14'!$J$238:$J$451),0),
IF('TL15'!$B$3=K$3,SUMIF('TL15'!$C$10:$C$224,$C42,'TL15'!$J$10:$J$224),0),
IF('TL15'!$B$229=K$3,SUMIF('TL15'!$C$238:$C$451,$C42,'TL15'!$J$238:$J$451),0),
IF('TL16'!$B$3=K$3,SUMIF('TL16'!$C$10:$C$224,$C42,'TL16'!$J$10:$J$224),0),
IF('TL16'!$B$229=K$3,SUMIF('TL16'!$C$238:$C$451,$C42,'TL16'!$J$238:$J$451),0),
IF('TL17'!$B$3=K$3,SUMIF('TL17'!$C$10:$C$224,$C42,'TL17'!$J$10:$J$224),0),
IF('TL17'!$B$229=K$3,SUMIF('TL17'!$C$238:$C$451,$C42,'TL17'!$J$238:$J$451),0),
IF('TL18'!$B$3=K$3,SUMIF('TL18'!$C$10:$C$224,$C42,'TL18'!$J$10:$J$224),0),
IF('TL18'!$B$229=K$3,SUMIF('TL18'!$C$238:$C$451,$C42,'TL18'!$J$238:$J$451),0),
IF('TL19'!$B$3=K$3,SUMIF('TL19'!$C$10:$C$224,$C42,'TL19'!$J$10:$J$224),0),
IF('TL19'!$B$229=K$3,SUMIF('TL19'!$C$238:$C$451,$C42,'TL19'!$J$238:$J$451),0)
),0)</f>
        <v/>
      </c>
      <c r="L42" s="9">
        <f>IFERROR(SUM(
IF('TL01'!$B$3=L$3,SUMIF('TL01'!$C$10:$C$224,$C42,'TL01'!$J$10:$J$224),0),
IF('TL01'!$B$229=L$3,SUMIF('TL01'!$C$238:$C$451,$C42,'TL01'!$J$238:$J$451),0),
IF('TL02'!$B$3=L$3,SUMIF('TL02'!$C$10:$C$224,$C42,'TL02'!$J$10:$J$224),0),
IF('TL02'!$B$229=L$3,SUMIF('TL02'!$C$238:$C$451,$C42,'TL02'!$J$238:$J$451),0),
IF('TL03'!$B$3=L$3,SUMIF('TL03'!$C$10:$C$224,$C42,'TL03'!$J$10:$J$224),0),
IF('TL03'!$B$229=L$3,SUMIF('TL03'!$C$238:$C$451,$C42,'TL03'!$J$238:$J$451),0),
IF('TL04'!$B$3=L$3,SUMIF('TL04'!$C$10:$C$224,$C42,'TL04'!$J$10:$J$224),0),
IF('TL04'!$B$229=L$3,SUMIF('TL04'!$C$238:$C$451,$C42,'TL04'!$J$238:$J$451),0),
IF('TL05'!$B$3=L$3,SUMIF('TL05'!$C$10:$C$224,$C42,'TL05'!$J$10:$J$224),0),
IF('TL05'!$B$229=L$3,SUMIF('TL05'!$C$238:$C$451,$C42,'TL05'!$J$238:$J$451),0),
IF('TL06'!$B$3=L$3,SUMIF('TL06'!$C$10:$C$224,$C42,'TL06'!$J$10:$J$224),0),
IF('TL06'!$B$229=L$3,SUMIF('TL06'!$C$238:$C$451,$C42,'TL06'!$J$238:$J$451),0),
IF('TL07'!$B$3=L$3,SUMIF('TL07'!$C$10:$C$224,$C42,'TL07'!$J$10:$J$224),0),
IF('TL07'!$B$229=L$3,SUMIF('TL07'!$C$238:$C$451,$C42,'TL07'!$J$238:$J$451),0),
IF('TL08'!$B$3=L$3,SUMIF('TL08'!$C$10:$C$224,$C42,'TL08'!$J$10:$J$224),0),
IF('TL08'!$B$229=L$3,SUMIF('TL08'!$C$238:$C$451,$C42,'TL08'!$J$238:$J$451),0),
IF('TL09'!$B$3=L$3,SUMIF('TL09'!$C$10:$C$224,$C42,'TL09'!$J$10:$J$224),0),
IF('TL09'!$B$229=L$3,SUMIF('TL09'!$C$238:$C$451,$C42,'TL09'!$J$238:$J$451),0),
IF('TL10'!$B$3=L$3,SUMIF('TL10'!$C$10:$C$224,$C42,'TL10'!$J$10:$J$224),0),
IF('TL10'!$B$229=L$3,SUMIF('TL10'!$C$238:$C$451,$C42,'TL10'!$J$238:$J$451),0),
IF('TL11'!$B$3=L$3,SUMIF('TL11'!$C$10:$C$224,$C42,'TL11'!$J$10:$J$224),0),
IF('TL11'!$B$229=L$3,SUMIF('TL11'!$C$238:$C$451,$C42,'TL11'!$J$238:$J$451),0),
IF('TL12'!$B$3=L$3,SUMIF('TL12'!$C$10:$C$224,$C42,'TL12'!$J$10:$J$224),0),
IF('TL12'!$B$229=L$3,SUMIF('TL12'!$C$238:$C$451,$C42,'TL12'!$J$238:$J$451),0),
IF('TL13'!$B$3=L$3,SUMIF('TL13'!$C$10:$C$224,$C42,'TL13'!$J$10:$J$224),0),
IF('TL13'!$B$229=L$3,SUMIF('TL13'!$C$238:$C$451,$C42,'TL13'!$J$238:$J$451),0),
IF('TL14'!$B$3=L$3,SUMIF('TL14'!$C$10:$C$224,$C42,'TL14'!$J$10:$J$224),0),
IF('TL14'!$B$229=L$3,SUMIF('TL14'!$C$238:$C$451,$C42,'TL14'!$J$238:$J$451),0),
IF('TL15'!$B$3=L$3,SUMIF('TL15'!$C$10:$C$224,$C42,'TL15'!$J$10:$J$224),0),
IF('TL15'!$B$229=L$3,SUMIF('TL15'!$C$238:$C$451,$C42,'TL15'!$J$238:$J$451),0),
IF('TL16'!$B$3=L$3,SUMIF('TL16'!$C$10:$C$224,$C42,'TL16'!$J$10:$J$224),0),
IF('TL16'!$B$229=L$3,SUMIF('TL16'!$C$238:$C$451,$C42,'TL16'!$J$238:$J$451),0),
IF('TL17'!$B$3=L$3,SUMIF('TL17'!$C$10:$C$224,$C42,'TL17'!$J$10:$J$224),0),
IF('TL17'!$B$229=L$3,SUMIF('TL17'!$C$238:$C$451,$C42,'TL17'!$J$238:$J$451),0),
IF('TL18'!$B$3=L$3,SUMIF('TL18'!$C$10:$C$224,$C42,'TL18'!$J$10:$J$224),0),
IF('TL18'!$B$229=L$3,SUMIF('TL18'!$C$238:$C$451,$C42,'TL18'!$J$238:$J$451),0),
IF('TL19'!$B$3=L$3,SUMIF('TL19'!$C$10:$C$224,$C42,'TL19'!$J$10:$J$224),0),
IF('TL19'!$B$229=L$3,SUMIF('TL19'!$C$238:$C$451,$C42,'TL19'!$J$238:$J$451),0)
),0)</f>
        <v/>
      </c>
      <c r="M42" s="9">
        <f>IFERROR(SUM(
IF('TL01'!$B$3=M$3,SUMIF('TL01'!$C$10:$C$224,$C42,'TL01'!$J$10:$J$224),0),
IF('TL01'!$B$229=M$3,SUMIF('TL01'!$C$238:$C$451,$C42,'TL01'!$J$238:$J$451),0),
IF('TL02'!$B$3=M$3,SUMIF('TL02'!$C$10:$C$224,$C42,'TL02'!$J$10:$J$224),0),
IF('TL02'!$B$229=M$3,SUMIF('TL02'!$C$238:$C$451,$C42,'TL02'!$J$238:$J$451),0),
IF('TL03'!$B$3=M$3,SUMIF('TL03'!$C$10:$C$224,$C42,'TL03'!$J$10:$J$224),0),
IF('TL03'!$B$229=M$3,SUMIF('TL03'!$C$238:$C$451,$C42,'TL03'!$J$238:$J$451),0),
IF('TL04'!$B$3=M$3,SUMIF('TL04'!$C$10:$C$224,$C42,'TL04'!$J$10:$J$224),0),
IF('TL04'!$B$229=M$3,SUMIF('TL04'!$C$238:$C$451,$C42,'TL04'!$J$238:$J$451),0),
IF('TL05'!$B$3=M$3,SUMIF('TL05'!$C$10:$C$224,$C42,'TL05'!$J$10:$J$224),0),
IF('TL05'!$B$229=M$3,SUMIF('TL05'!$C$238:$C$451,$C42,'TL05'!$J$238:$J$451),0),
IF('TL06'!$B$3=M$3,SUMIF('TL06'!$C$10:$C$224,$C42,'TL06'!$J$10:$J$224),0),
IF('TL06'!$B$229=M$3,SUMIF('TL06'!$C$238:$C$451,$C42,'TL06'!$J$238:$J$451),0),
IF('TL07'!$B$3=M$3,SUMIF('TL07'!$C$10:$C$224,$C42,'TL07'!$J$10:$J$224),0),
IF('TL07'!$B$229=M$3,SUMIF('TL07'!$C$238:$C$451,$C42,'TL07'!$J$238:$J$451),0),
IF('TL08'!$B$3=M$3,SUMIF('TL08'!$C$10:$C$224,$C42,'TL08'!$J$10:$J$224),0),
IF('TL08'!$B$229=M$3,SUMIF('TL08'!$C$238:$C$451,$C42,'TL08'!$J$238:$J$451),0),
IF('TL09'!$B$3=M$3,SUMIF('TL09'!$C$10:$C$224,$C42,'TL09'!$J$10:$J$224),0),
IF('TL09'!$B$229=M$3,SUMIF('TL09'!$C$238:$C$451,$C42,'TL09'!$J$238:$J$451),0),
IF('TL10'!$B$3=M$3,SUMIF('TL10'!$C$10:$C$224,$C42,'TL10'!$J$10:$J$224),0),
IF('TL10'!$B$229=M$3,SUMIF('TL10'!$C$238:$C$451,$C42,'TL10'!$J$238:$J$451),0),
IF('TL11'!$B$3=M$3,SUMIF('TL11'!$C$10:$C$224,$C42,'TL11'!$J$10:$J$224),0),
IF('TL11'!$B$229=M$3,SUMIF('TL11'!$C$238:$C$451,$C42,'TL11'!$J$238:$J$451),0),
IF('TL12'!$B$3=M$3,SUMIF('TL12'!$C$10:$C$224,$C42,'TL12'!$J$10:$J$224),0),
IF('TL12'!$B$229=M$3,SUMIF('TL12'!$C$238:$C$451,$C42,'TL12'!$J$238:$J$451),0),
IF('TL13'!$B$3=M$3,SUMIF('TL13'!$C$10:$C$224,$C42,'TL13'!$J$10:$J$224),0),
IF('TL13'!$B$229=M$3,SUMIF('TL13'!$C$238:$C$451,$C42,'TL13'!$J$238:$J$451),0),
IF('TL14'!$B$3=M$3,SUMIF('TL14'!$C$10:$C$224,$C42,'TL14'!$J$10:$J$224),0),
IF('TL14'!$B$229=M$3,SUMIF('TL14'!$C$238:$C$451,$C42,'TL14'!$J$238:$J$451),0),
IF('TL15'!$B$3=M$3,SUMIF('TL15'!$C$10:$C$224,$C42,'TL15'!$J$10:$J$224),0),
IF('TL15'!$B$229=M$3,SUMIF('TL15'!$C$238:$C$451,$C42,'TL15'!$J$238:$J$451),0),
IF('TL16'!$B$3=M$3,SUMIF('TL16'!$C$10:$C$224,$C42,'TL16'!$J$10:$J$224),0),
IF('TL16'!$B$229=M$3,SUMIF('TL16'!$C$238:$C$451,$C42,'TL16'!$J$238:$J$451),0),
IF('TL17'!$B$3=M$3,SUMIF('TL17'!$C$10:$C$224,$C42,'TL17'!$J$10:$J$224),0),
IF('TL17'!$B$229=M$3,SUMIF('TL17'!$C$238:$C$451,$C42,'TL17'!$J$238:$J$451),0),
IF('TL18'!$B$3=M$3,SUMIF('TL18'!$C$10:$C$224,$C42,'TL18'!$J$10:$J$224),0),
IF('TL18'!$B$229=M$3,SUMIF('TL18'!$C$238:$C$451,$C42,'TL18'!$J$238:$J$451),0),
IF('TL19'!$B$3=M$3,SUMIF('TL19'!$C$10:$C$224,$C42,'TL19'!$J$10:$J$224),0),
IF('TL19'!$B$229=M$3,SUMIF('TL19'!$C$238:$C$451,$C42,'TL19'!$J$238:$J$451),0)
),0)</f>
        <v/>
      </c>
      <c r="N42" s="9">
        <f>IFERROR(SUM(
IF('TL01'!$B$3=N$3,SUMIF('TL01'!$C$10:$C$224,$C42,'TL01'!$J$10:$J$224),0),
IF('TL01'!$B$229=N$3,SUMIF('TL01'!$C$238:$C$451,$C42,'TL01'!$J$238:$J$451),0),
IF('TL02'!$B$3=N$3,SUMIF('TL02'!$C$10:$C$224,$C42,'TL02'!$J$10:$J$224),0),
IF('TL02'!$B$229=N$3,SUMIF('TL02'!$C$238:$C$451,$C42,'TL02'!$J$238:$J$451),0),
IF('TL03'!$B$3=N$3,SUMIF('TL03'!$C$10:$C$224,$C42,'TL03'!$J$10:$J$224),0),
IF('TL03'!$B$229=N$3,SUMIF('TL03'!$C$238:$C$451,$C42,'TL03'!$J$238:$J$451),0),
IF('TL04'!$B$3=N$3,SUMIF('TL04'!$C$10:$C$224,$C42,'TL04'!$J$10:$J$224),0),
IF('TL04'!$B$229=N$3,SUMIF('TL04'!$C$238:$C$451,$C42,'TL04'!$J$238:$J$451),0),
IF('TL05'!$B$3=N$3,SUMIF('TL05'!$C$10:$C$224,$C42,'TL05'!$J$10:$J$224),0),
IF('TL05'!$B$229=N$3,SUMIF('TL05'!$C$238:$C$451,$C42,'TL05'!$J$238:$J$451),0),
IF('TL06'!$B$3=N$3,SUMIF('TL06'!$C$10:$C$224,$C42,'TL06'!$J$10:$J$224),0),
IF('TL06'!$B$229=N$3,SUMIF('TL06'!$C$238:$C$451,$C42,'TL06'!$J$238:$J$451),0),
IF('TL07'!$B$3=N$3,SUMIF('TL07'!$C$10:$C$224,$C42,'TL07'!$J$10:$J$224),0),
IF('TL07'!$B$229=N$3,SUMIF('TL07'!$C$238:$C$451,$C42,'TL07'!$J$238:$J$451),0),
IF('TL08'!$B$3=N$3,SUMIF('TL08'!$C$10:$C$224,$C42,'TL08'!$J$10:$J$224),0),
IF('TL08'!$B$229=N$3,SUMIF('TL08'!$C$238:$C$451,$C42,'TL08'!$J$238:$J$451),0),
IF('TL09'!$B$3=N$3,SUMIF('TL09'!$C$10:$C$224,$C42,'TL09'!$J$10:$J$224),0),
IF('TL09'!$B$229=N$3,SUMIF('TL09'!$C$238:$C$451,$C42,'TL09'!$J$238:$J$451),0),
IF('TL10'!$B$3=N$3,SUMIF('TL10'!$C$10:$C$224,$C42,'TL10'!$J$10:$J$224),0),
IF('TL10'!$B$229=N$3,SUMIF('TL10'!$C$238:$C$451,$C42,'TL10'!$J$238:$J$451),0),
IF('TL11'!$B$3=N$3,SUMIF('TL11'!$C$10:$C$224,$C42,'TL11'!$J$10:$J$224),0),
IF('TL11'!$B$229=N$3,SUMIF('TL11'!$C$238:$C$451,$C42,'TL11'!$J$238:$J$451),0),
IF('TL12'!$B$3=N$3,SUMIF('TL12'!$C$10:$C$224,$C42,'TL12'!$J$10:$J$224),0),
IF('TL12'!$B$229=N$3,SUMIF('TL12'!$C$238:$C$451,$C42,'TL12'!$J$238:$J$451),0),
IF('TL13'!$B$3=N$3,SUMIF('TL13'!$C$10:$C$224,$C42,'TL13'!$J$10:$J$224),0),
IF('TL13'!$B$229=N$3,SUMIF('TL13'!$C$238:$C$451,$C42,'TL13'!$J$238:$J$451),0),
IF('TL14'!$B$3=N$3,SUMIF('TL14'!$C$10:$C$224,$C42,'TL14'!$J$10:$J$224),0),
IF('TL14'!$B$229=N$3,SUMIF('TL14'!$C$238:$C$451,$C42,'TL14'!$J$238:$J$451),0),
IF('TL15'!$B$3=N$3,SUMIF('TL15'!$C$10:$C$224,$C42,'TL15'!$J$10:$J$224),0),
IF('TL15'!$B$229=N$3,SUMIF('TL15'!$C$238:$C$451,$C42,'TL15'!$J$238:$J$451),0),
IF('TL16'!$B$3=N$3,SUMIF('TL16'!$C$10:$C$224,$C42,'TL16'!$J$10:$J$224),0),
IF('TL16'!$B$229=N$3,SUMIF('TL16'!$C$238:$C$451,$C42,'TL16'!$J$238:$J$451),0),
IF('TL17'!$B$3=N$3,SUMIF('TL17'!$C$10:$C$224,$C42,'TL17'!$J$10:$J$224),0),
IF('TL17'!$B$229=N$3,SUMIF('TL17'!$C$238:$C$451,$C42,'TL17'!$J$238:$J$451),0),
IF('TL18'!$B$3=N$3,SUMIF('TL18'!$C$10:$C$224,$C42,'TL18'!$J$10:$J$224),0),
IF('TL18'!$B$229=N$3,SUMIF('TL18'!$C$238:$C$451,$C42,'TL18'!$J$238:$J$451),0),
IF('TL19'!$B$3=N$3,SUMIF('TL19'!$C$10:$C$224,$C42,'TL19'!$J$10:$J$224),0),
IF('TL19'!$B$229=N$3,SUMIF('TL19'!$C$238:$C$451,$C42,'TL19'!$J$238:$J$451),0)
),0)</f>
        <v/>
      </c>
      <c r="O42" s="9">
        <f>IFERROR(SUM(
IF('TL01'!$B$3=O$3,SUMIF('TL01'!$C$10:$C$224,$C42,'TL01'!$J$10:$J$224),0),
IF('TL01'!$B$229=O$3,SUMIF('TL01'!$C$238:$C$451,$C42,'TL01'!$J$238:$J$451),0),
IF('TL02'!$B$3=O$3,SUMIF('TL02'!$C$10:$C$224,$C42,'TL02'!$J$10:$J$224),0),
IF('TL02'!$B$229=O$3,SUMIF('TL02'!$C$238:$C$451,$C42,'TL02'!$J$238:$J$451),0),
IF('TL03'!$B$3=O$3,SUMIF('TL03'!$C$10:$C$224,$C42,'TL03'!$J$10:$J$224),0),
IF('TL03'!$B$229=O$3,SUMIF('TL03'!$C$238:$C$451,$C42,'TL03'!$J$238:$J$451),0),
IF('TL04'!$B$3=O$3,SUMIF('TL04'!$C$10:$C$224,$C42,'TL04'!$J$10:$J$224),0),
IF('TL04'!$B$229=O$3,SUMIF('TL04'!$C$238:$C$451,$C42,'TL04'!$J$238:$J$451),0),
IF('TL05'!$B$3=O$3,SUMIF('TL05'!$C$10:$C$224,$C42,'TL05'!$J$10:$J$224),0),
IF('TL05'!$B$229=O$3,SUMIF('TL05'!$C$238:$C$451,$C42,'TL05'!$J$238:$J$451),0),
IF('TL06'!$B$3=O$3,SUMIF('TL06'!$C$10:$C$224,$C42,'TL06'!$J$10:$J$224),0),
IF('TL06'!$B$229=O$3,SUMIF('TL06'!$C$238:$C$451,$C42,'TL06'!$J$238:$J$451),0),
IF('TL07'!$B$3=O$3,SUMIF('TL07'!$C$10:$C$224,$C42,'TL07'!$J$10:$J$224),0),
IF('TL07'!$B$229=O$3,SUMIF('TL07'!$C$238:$C$451,$C42,'TL07'!$J$238:$J$451),0),
IF('TL08'!$B$3=O$3,SUMIF('TL08'!$C$10:$C$224,$C42,'TL08'!$J$10:$J$224),0),
IF('TL08'!$B$229=O$3,SUMIF('TL08'!$C$238:$C$451,$C42,'TL08'!$J$238:$J$451),0),
IF('TL09'!$B$3=O$3,SUMIF('TL09'!$C$10:$C$224,$C42,'TL09'!$J$10:$J$224),0),
IF('TL09'!$B$229=O$3,SUMIF('TL09'!$C$238:$C$451,$C42,'TL09'!$J$238:$J$451),0),
IF('TL10'!$B$3=O$3,SUMIF('TL10'!$C$10:$C$224,$C42,'TL10'!$J$10:$J$224),0),
IF('TL10'!$B$229=O$3,SUMIF('TL10'!$C$238:$C$451,$C42,'TL10'!$J$238:$J$451),0),
IF('TL11'!$B$3=O$3,SUMIF('TL11'!$C$10:$C$224,$C42,'TL11'!$J$10:$J$224),0),
IF('TL11'!$B$229=O$3,SUMIF('TL11'!$C$238:$C$451,$C42,'TL11'!$J$238:$J$451),0),
IF('TL12'!$B$3=O$3,SUMIF('TL12'!$C$10:$C$224,$C42,'TL12'!$J$10:$J$224),0),
IF('TL12'!$B$229=O$3,SUMIF('TL12'!$C$238:$C$451,$C42,'TL12'!$J$238:$J$451),0),
IF('TL13'!$B$3=O$3,SUMIF('TL13'!$C$10:$C$224,$C42,'TL13'!$J$10:$J$224),0),
IF('TL13'!$B$229=O$3,SUMIF('TL13'!$C$238:$C$451,$C42,'TL13'!$J$238:$J$451),0),
IF('TL14'!$B$3=O$3,SUMIF('TL14'!$C$10:$C$224,$C42,'TL14'!$J$10:$J$224),0),
IF('TL14'!$B$229=O$3,SUMIF('TL14'!$C$238:$C$451,$C42,'TL14'!$J$238:$J$451),0),
IF('TL15'!$B$3=O$3,SUMIF('TL15'!$C$10:$C$224,$C42,'TL15'!$J$10:$J$224),0),
IF('TL15'!$B$229=O$3,SUMIF('TL15'!$C$238:$C$451,$C42,'TL15'!$J$238:$J$451),0),
IF('TL16'!$B$3=O$3,SUMIF('TL16'!$C$10:$C$224,$C42,'TL16'!$J$10:$J$224),0),
IF('TL16'!$B$229=O$3,SUMIF('TL16'!$C$238:$C$451,$C42,'TL16'!$J$238:$J$451),0),
IF('TL17'!$B$3=O$3,SUMIF('TL17'!$C$10:$C$224,$C42,'TL17'!$J$10:$J$224),0),
IF('TL17'!$B$229=O$3,SUMIF('TL17'!$C$238:$C$451,$C42,'TL17'!$J$238:$J$451),0),
IF('TL18'!$B$3=O$3,SUMIF('TL18'!$C$10:$C$224,$C42,'TL18'!$J$10:$J$224),0),
IF('TL18'!$B$229=O$3,SUMIF('TL18'!$C$238:$C$451,$C42,'TL18'!$J$238:$J$451),0),
IF('TL19'!$B$3=O$3,SUMIF('TL19'!$C$10:$C$224,$C42,'TL19'!$J$10:$J$224),0),
IF('TL19'!$B$229=O$3,SUMIF('TL19'!$C$238:$C$451,$C42,'TL19'!$J$238:$J$451),0)
),0)</f>
        <v/>
      </c>
      <c r="P42" s="9">
        <f>IFERROR(SUM(
IF('TL01'!$B$3=P$3,SUMIF('TL01'!$C$10:$C$224,$C42,'TL01'!$J$10:$J$224),0),
IF('TL01'!$B$229=P$3,SUMIF('TL01'!$C$238:$C$451,$C42,'TL01'!$J$238:$J$451),0),
IF('TL02'!$B$3=P$3,SUMIF('TL02'!$C$10:$C$224,$C42,'TL02'!$J$10:$J$224),0),
IF('TL02'!$B$229=P$3,SUMIF('TL02'!$C$238:$C$451,$C42,'TL02'!$J$238:$J$451),0),
IF('TL03'!$B$3=P$3,SUMIF('TL03'!$C$10:$C$224,$C42,'TL03'!$J$10:$J$224),0),
IF('TL03'!$B$229=P$3,SUMIF('TL03'!$C$238:$C$451,$C42,'TL03'!$J$238:$J$451),0),
IF('TL04'!$B$3=P$3,SUMIF('TL04'!$C$10:$C$224,$C42,'TL04'!$J$10:$J$224),0),
IF('TL04'!$B$229=P$3,SUMIF('TL04'!$C$238:$C$451,$C42,'TL04'!$J$238:$J$451),0),
IF('TL05'!$B$3=P$3,SUMIF('TL05'!$C$10:$C$224,$C42,'TL05'!$J$10:$J$224),0),
IF('TL05'!$B$229=P$3,SUMIF('TL05'!$C$238:$C$451,$C42,'TL05'!$J$238:$J$451),0),
IF('TL06'!$B$3=P$3,SUMIF('TL06'!$C$10:$C$224,$C42,'TL06'!$J$10:$J$224),0),
IF('TL06'!$B$229=P$3,SUMIF('TL06'!$C$238:$C$451,$C42,'TL06'!$J$238:$J$451),0),
IF('TL07'!$B$3=P$3,SUMIF('TL07'!$C$10:$C$224,$C42,'TL07'!$J$10:$J$224),0),
IF('TL07'!$B$229=P$3,SUMIF('TL07'!$C$238:$C$451,$C42,'TL07'!$J$238:$J$451),0),
IF('TL08'!$B$3=P$3,SUMIF('TL08'!$C$10:$C$224,$C42,'TL08'!$J$10:$J$224),0),
IF('TL08'!$B$229=P$3,SUMIF('TL08'!$C$238:$C$451,$C42,'TL08'!$J$238:$J$451),0),
IF('TL09'!$B$3=P$3,SUMIF('TL09'!$C$10:$C$224,$C42,'TL09'!$J$10:$J$224),0),
IF('TL09'!$B$229=P$3,SUMIF('TL09'!$C$238:$C$451,$C42,'TL09'!$J$238:$J$451),0),
IF('TL10'!$B$3=P$3,SUMIF('TL10'!$C$10:$C$224,$C42,'TL10'!$J$10:$J$224),0),
IF('TL10'!$B$229=P$3,SUMIF('TL10'!$C$238:$C$451,$C42,'TL10'!$J$238:$J$451),0),
IF('TL11'!$B$3=P$3,SUMIF('TL11'!$C$10:$C$224,$C42,'TL11'!$J$10:$J$224),0),
IF('TL11'!$B$229=P$3,SUMIF('TL11'!$C$238:$C$451,$C42,'TL11'!$J$238:$J$451),0),
IF('TL12'!$B$3=P$3,SUMIF('TL12'!$C$10:$C$224,$C42,'TL12'!$J$10:$J$224),0),
IF('TL12'!$B$229=P$3,SUMIF('TL12'!$C$238:$C$451,$C42,'TL12'!$J$238:$J$451),0),
IF('TL13'!$B$3=P$3,SUMIF('TL13'!$C$10:$C$224,$C42,'TL13'!$J$10:$J$224),0),
IF('TL13'!$B$229=P$3,SUMIF('TL13'!$C$238:$C$451,$C42,'TL13'!$J$238:$J$451),0),
IF('TL14'!$B$3=P$3,SUMIF('TL14'!$C$10:$C$224,$C42,'TL14'!$J$10:$J$224),0),
IF('TL14'!$B$229=P$3,SUMIF('TL14'!$C$238:$C$451,$C42,'TL14'!$J$238:$J$451),0),
IF('TL15'!$B$3=P$3,SUMIF('TL15'!$C$10:$C$224,$C42,'TL15'!$J$10:$J$224),0),
IF('TL15'!$B$229=P$3,SUMIF('TL15'!$C$238:$C$451,$C42,'TL15'!$J$238:$J$451),0),
IF('TL16'!$B$3=P$3,SUMIF('TL16'!$C$10:$C$224,$C42,'TL16'!$J$10:$J$224),0),
IF('TL16'!$B$229=P$3,SUMIF('TL16'!$C$238:$C$451,$C42,'TL16'!$J$238:$J$451),0),
IF('TL17'!$B$3=P$3,SUMIF('TL17'!$C$10:$C$224,$C42,'TL17'!$J$10:$J$224),0),
IF('TL17'!$B$229=P$3,SUMIF('TL17'!$C$238:$C$451,$C42,'TL17'!$J$238:$J$451),0),
IF('TL18'!$B$3=P$3,SUMIF('TL18'!$C$10:$C$224,$C42,'TL18'!$J$10:$J$224),0),
IF('TL18'!$B$229=P$3,SUMIF('TL18'!$C$238:$C$451,$C42,'TL18'!$J$238:$J$451),0),
IF('TL19'!$B$3=P$3,SUMIF('TL19'!$C$10:$C$224,$C42,'TL19'!$J$10:$J$224),0),
IF('TL19'!$B$229=P$3,SUMIF('TL19'!$C$238:$C$451,$C42,'TL19'!$J$238:$J$451),0)
),0)</f>
        <v/>
      </c>
      <c r="Q42" s="9">
        <f>IFERROR(SUM(
IF('TL01'!$B$3=Q$3,SUMIF('TL01'!$C$10:$C$224,$C42,'TL01'!$J$10:$J$224),0),
IF('TL01'!$B$229=Q$3,SUMIF('TL01'!$C$238:$C$451,$C42,'TL01'!$J$238:$J$451),0),
IF('TL02'!$B$3=Q$3,SUMIF('TL02'!$C$10:$C$224,$C42,'TL02'!$J$10:$J$224),0),
IF('TL02'!$B$229=Q$3,SUMIF('TL02'!$C$238:$C$451,$C42,'TL02'!$J$238:$J$451),0),
IF('TL03'!$B$3=Q$3,SUMIF('TL03'!$C$10:$C$224,$C42,'TL03'!$J$10:$J$224),0),
IF('TL03'!$B$229=Q$3,SUMIF('TL03'!$C$238:$C$451,$C42,'TL03'!$J$238:$J$451),0),
IF('TL04'!$B$3=Q$3,SUMIF('TL04'!$C$10:$C$224,$C42,'TL04'!$J$10:$J$224),0),
IF('TL04'!$B$229=Q$3,SUMIF('TL04'!$C$238:$C$451,$C42,'TL04'!$J$238:$J$451),0),
IF('TL05'!$B$3=Q$3,SUMIF('TL05'!$C$10:$C$224,$C42,'TL05'!$J$10:$J$224),0),
IF('TL05'!$B$229=Q$3,SUMIF('TL05'!$C$238:$C$451,$C42,'TL05'!$J$238:$J$451),0),
IF('TL06'!$B$3=Q$3,SUMIF('TL06'!$C$10:$C$224,$C42,'TL06'!$J$10:$J$224),0),
IF('TL06'!$B$229=Q$3,SUMIF('TL06'!$C$238:$C$451,$C42,'TL06'!$J$238:$J$451),0),
IF('TL07'!$B$3=Q$3,SUMIF('TL07'!$C$10:$C$224,$C42,'TL07'!$J$10:$J$224),0),
IF('TL07'!$B$229=Q$3,SUMIF('TL07'!$C$238:$C$451,$C42,'TL07'!$J$238:$J$451),0),
IF('TL08'!$B$3=Q$3,SUMIF('TL08'!$C$10:$C$224,$C42,'TL08'!$J$10:$J$224),0),
IF('TL08'!$B$229=Q$3,SUMIF('TL08'!$C$238:$C$451,$C42,'TL08'!$J$238:$J$451),0),
IF('TL09'!$B$3=Q$3,SUMIF('TL09'!$C$10:$C$224,$C42,'TL09'!$J$10:$J$224),0),
IF('TL09'!$B$229=Q$3,SUMIF('TL09'!$C$238:$C$451,$C42,'TL09'!$J$238:$J$451),0),
IF('TL10'!$B$3=Q$3,SUMIF('TL10'!$C$10:$C$224,$C42,'TL10'!$J$10:$J$224),0),
IF('TL10'!$B$229=Q$3,SUMIF('TL10'!$C$238:$C$451,$C42,'TL10'!$J$238:$J$451),0),
IF('TL11'!$B$3=Q$3,SUMIF('TL11'!$C$10:$C$224,$C42,'TL11'!$J$10:$J$224),0),
IF('TL11'!$B$229=Q$3,SUMIF('TL11'!$C$238:$C$451,$C42,'TL11'!$J$238:$J$451),0),
IF('TL12'!$B$3=Q$3,SUMIF('TL12'!$C$10:$C$224,$C42,'TL12'!$J$10:$J$224),0),
IF('TL12'!$B$229=Q$3,SUMIF('TL12'!$C$238:$C$451,$C42,'TL12'!$J$238:$J$451),0),
IF('TL13'!$B$3=Q$3,SUMIF('TL13'!$C$10:$C$224,$C42,'TL13'!$J$10:$J$224),0),
IF('TL13'!$B$229=Q$3,SUMIF('TL13'!$C$238:$C$451,$C42,'TL13'!$J$238:$J$451),0),
IF('TL14'!$B$3=Q$3,SUMIF('TL14'!$C$10:$C$224,$C42,'TL14'!$J$10:$J$224),0),
IF('TL14'!$B$229=Q$3,SUMIF('TL14'!$C$238:$C$451,$C42,'TL14'!$J$238:$J$451),0),
IF('TL15'!$B$3=Q$3,SUMIF('TL15'!$C$10:$C$224,$C42,'TL15'!$J$10:$J$224),0),
IF('TL15'!$B$229=Q$3,SUMIF('TL15'!$C$238:$C$451,$C42,'TL15'!$J$238:$J$451),0),
IF('TL16'!$B$3=Q$3,SUMIF('TL16'!$C$10:$C$224,$C42,'TL16'!$J$10:$J$224),0),
IF('TL16'!$B$229=Q$3,SUMIF('TL16'!$C$238:$C$451,$C42,'TL16'!$J$238:$J$451),0),
IF('TL17'!$B$3=Q$3,SUMIF('TL17'!$C$10:$C$224,$C42,'TL17'!$J$10:$J$224),0),
IF('TL17'!$B$229=Q$3,SUMIF('TL17'!$C$238:$C$451,$C42,'TL17'!$J$238:$J$451),0),
IF('TL18'!$B$3=Q$3,SUMIF('TL18'!$C$10:$C$224,$C42,'TL18'!$J$10:$J$224),0),
IF('TL18'!$B$229=Q$3,SUMIF('TL18'!$C$238:$C$451,$C42,'TL18'!$J$238:$J$451),0),
IF('TL19'!$B$3=Q$3,SUMIF('TL19'!$C$10:$C$224,$C42,'TL19'!$J$10:$J$224),0),
IF('TL19'!$B$229=Q$3,SUMIF('TL19'!$C$238:$C$451,$C42,'TL19'!$J$238:$J$451),0)
),0)</f>
        <v/>
      </c>
      <c r="R42" s="9">
        <f>IFERROR(
SUM(
SUMIF('TL01'!C:C,C42,'TL01'!J:J),
SUMIF('TL02'!C:C,C42,'TL02'!J:J),
SUMIF('TL03'!C:C,C42,'TL03'!J:J),
SUMIF('TL04'!C:C,C42,'TL04'!J:J),
SUMIF('TL05'!C:C,C42,'TL05'!J:J),
SUMIF('TL06'!C:C,C42,'TL06'!J:J),
SUMIF('TL07'!C:C,C42,'TL07'!J:J),
SUMIF('TL08'!C:C,C42,'TL08'!J:J),
SUMIF('TL09'!C:C,C42,'TL09'!J:J),
SUMIF('TL10'!C:C,C42,'TL10'!J:J),
SUMIF('TL11'!C:C,C42,'TL11'!J:J),
SUMIF('TL12'!C:C,C42,'TL12'!J:J),
SUMIF('TL13'!C:C,C42,'TL13'!J:J),
SUMIF('TL14'!C:C,C42,'TL14'!J:J),
SUMIF('TL15'!C:C,C42,'TL15'!J:J),
SUMIF('TL16'!C:C,C42,'TL16'!J:J),
SUMIF('TL17'!C:C,C42,'TL17'!J:J),
SUMIF('TL18'!C:C,C42,'TL18'!J:J),SUMIF('TL19'!C:C,C42,'TL19'!J:J))
,0)</f>
        <v/>
      </c>
      <c r="S42" s="17">
        <f>IFERROR(__xludf.DUMMYFUNCTION("IFERROR(VLOOKUP(C42,
IMPORTRANGE(""1wULbzX32WdYsx-lj2U3uUNBBe2INVIRDtcK0d-Dvl90"",
""26-27!C:G""),
5,
FALSE),
"""")"),137.32272)</f>
        <v/>
      </c>
      <c r="T42" s="9" t="n"/>
      <c r="U42" s="92">
        <f>MAX(0,R42-T42)</f>
        <v/>
      </c>
      <c r="V42" s="93">
        <f>U42*S42</f>
        <v/>
      </c>
    </row>
    <row r="43" hidden="1" ht="15.75" customHeight="1" s="297">
      <c r="A43" s="111" t="inlineStr">
        <is>
          <t>BASF</t>
        </is>
      </c>
      <c r="B43" s="112" t="inlineStr">
        <is>
          <t>FUNGICIDA</t>
        </is>
      </c>
      <c r="C43" s="113" t="inlineStr">
        <is>
          <t>BELYAN</t>
        </is>
      </c>
      <c r="D43" s="113" t="inlineStr">
        <is>
          <t>MEFENTRIFLUCONAZOL + PIRACLOSTROBINA +
 FLUXAPIROXADE</t>
        </is>
      </c>
      <c r="E43" s="113" t="inlineStr">
        <is>
          <t>133,3 + 177,8 + 88,9</t>
        </is>
      </c>
      <c r="F43" s="4" t="inlineStr">
        <is>
          <t>L</t>
        </is>
      </c>
      <c r="G43" s="90">
        <f>HYPERLINK("https://www.google.com/search?q=" &amp; C43 &amp; "+bula+agrofit+pdf", "📄 Ver bula")</f>
        <v/>
      </c>
      <c r="H43" s="9">
        <f>IFERROR(__xludf.DUMMYFUNCTION("IFERROR(VLOOKUP(C43,
IMPORTRANGE(""1wULbzX32WdYsx-lj2U3uUNBBe2INVIRDtcK0d-Dvl90"",
""26-27!C:K""),
8,
FALSE),
"""")"),0.7)</f>
        <v/>
      </c>
      <c r="I43" s="114" t="inlineStr">
        <is>
          <t>2X10</t>
        </is>
      </c>
      <c r="J43" s="9">
        <f>IFERROR(SUM(
IF('TL01'!$B$3=J$3,SUMIF('TL01'!$C$10:$C$224,$C43,'TL01'!$J$10:$J$224),0),
IF('TL01'!$B$229=J$3,SUMIF('TL01'!$C$238:$C$451,$C43,'TL01'!$J$238:$J$451),0),
IF('TL02'!$B$3=J$3,SUMIF('TL02'!$C$10:$C$224,$C43,'TL02'!$J$10:$J$224),0),
IF('TL02'!$B$229=J$3,SUMIF('TL02'!$C$238:$C$451,$C43,'TL02'!$J$238:$J$451),0),
IF('TL03'!$B$3=J$3,SUMIF('TL03'!$C$10:$C$224,$C43,'TL03'!$J$10:$J$224),0),
IF('TL03'!$B$229=J$3,SUMIF('TL03'!$C$238:$C$451,$C43,'TL03'!$J$238:$J$451),0),
IF('TL04'!$B$3=J$3,SUMIF('TL04'!$C$10:$C$224,$C43,'TL04'!$J$10:$J$224),0),
IF('TL04'!$B$229=J$3,SUMIF('TL04'!$C$238:$C$451,$C43,'TL04'!$J$238:$J$451),0),
IF('TL05'!$B$3=J$3,SUMIF('TL05'!$C$10:$C$224,$C43,'TL05'!$J$10:$J$224),0),
IF('TL05'!$B$229=J$3,SUMIF('TL05'!$C$238:$C$451,$C43,'TL05'!$J$238:$J$451),0),
IF('TL06'!$B$3=J$3,SUMIF('TL06'!$C$10:$C$224,$C43,'TL06'!$J$10:$J$224),0),
IF('TL06'!$B$229=J$3,SUMIF('TL06'!$C$238:$C$451,$C43,'TL06'!$J$238:$J$451),0),
IF('TL07'!$B$3=J$3,SUMIF('TL07'!$C$10:$C$224,$C43,'TL07'!$J$10:$J$224),0),
IF('TL07'!$B$229=J$3,SUMIF('TL07'!$C$238:$C$451,$C43,'TL07'!$J$238:$J$451),0),
IF('TL08'!$B$3=J$3,SUMIF('TL08'!$C$10:$C$224,$C43,'TL08'!$J$10:$J$224),0),
IF('TL08'!$B$229=J$3,SUMIF('TL08'!$C$238:$C$451,$C43,'TL08'!$J$238:$J$451),0),
IF('TL09'!$B$3=J$3,SUMIF('TL09'!$C$10:$C$224,$C43,'TL09'!$J$10:$J$224),0),
IF('TL09'!$B$229=J$3,SUMIF('TL09'!$C$238:$C$451,$C43,'TL09'!$J$238:$J$451),0),
IF('TL10'!$B$3=J$3,SUMIF('TL10'!$C$10:$C$224,$C43,'TL10'!$J$10:$J$224),0),
IF('TL10'!$B$229=J$3,SUMIF('TL10'!$C$238:$C$451,$C43,'TL10'!$J$238:$J$451),0),
IF('TL11'!$B$3=J$3,SUMIF('TL11'!$C$10:$C$224,$C43,'TL11'!$J$10:$J$224),0),
IF('TL11'!$B$229=J$3,SUMIF('TL11'!$C$238:$C$451,$C43,'TL11'!$J$238:$J$451),0),
IF('TL12'!$B$3=J$3,SUMIF('TL12'!$C$10:$C$224,$C43,'TL12'!$J$10:$J$224),0),
IF('TL12'!$B$229=J$3,SUMIF('TL12'!$C$238:$C$451,$C43,'TL12'!$J$238:$J$451),0),
IF('TL13'!$B$3=J$3,SUMIF('TL13'!$C$10:$C$224,$C43,'TL13'!$J$10:$J$224),0),
IF('TL13'!$B$229=J$3,SUMIF('TL13'!$C$238:$C$451,$C43,'TL13'!$J$238:$J$451),0),
IF('TL14'!$B$3=J$3,SUMIF('TL14'!$C$10:$C$224,$C43,'TL14'!$J$10:$J$224),0),
IF('TL14'!$B$229=J$3,SUMIF('TL14'!$C$238:$C$451,$C43,'TL14'!$J$238:$J$451),0),
IF('TL15'!$B$3=J$3,SUMIF('TL15'!$C$10:$C$224,$C43,'TL15'!$J$10:$J$224),0),
IF('TL15'!$B$229=J$3,SUMIF('TL15'!$C$238:$C$451,$C43,'TL15'!$J$238:$J$451),0),
IF('TL16'!$B$3=J$3,SUMIF('TL16'!$C$10:$C$224,$C43,'TL16'!$J$10:$J$224),0),
IF('TL16'!$B$229=J$3,SUMIF('TL16'!$C$238:$C$451,$C43,'TL16'!$J$238:$J$451),0),
IF('TL17'!$B$3=J$3,SUMIF('TL17'!$C$10:$C$224,$C43,'TL17'!$J$10:$J$224),0),
IF('TL17'!$B$229=J$3,SUMIF('TL17'!$C$238:$C$451,$C43,'TL17'!$J$238:$J$451),0),
IF('TL18'!$B$3=J$3,SUMIF('TL18'!$C$10:$C$224,$C43,'TL18'!$J$10:$J$224),0),
IF('TL18'!$B$229=J$3,SUMIF('TL18'!$C$238:$C$451,$C43,'TL18'!$J$238:$J$451),0),
IF('TL19'!$B$3=J$3,SUMIF('TL19'!$C$10:$C$224,$C43,'TL19'!$J$10:$J$224),0),
IF('TL19'!$B$229=J$3,SUMIF('TL19'!$C$238:$C$451,$C43,'TL19'!$J$238:$J$451),0)
),0)</f>
        <v/>
      </c>
      <c r="K43" s="9">
        <f>IFERROR(SUM(
IF('TL01'!$B$3=K$3,SUMIF('TL01'!$C$10:$C$224,$C43,'TL01'!$J$10:$J$224),0),
IF('TL01'!$B$229=K$3,SUMIF('TL01'!$C$238:$C$451,$C43,'TL01'!$J$238:$J$451),0),
IF('TL02'!$B$3=K$3,SUMIF('TL02'!$C$10:$C$224,$C43,'TL02'!$J$10:$J$224),0),
IF('TL02'!$B$229=K$3,SUMIF('TL02'!$C$238:$C$451,$C43,'TL02'!$J$238:$J$451),0),
IF('TL03'!$B$3=K$3,SUMIF('TL03'!$C$10:$C$224,$C43,'TL03'!$J$10:$J$224),0),
IF('TL03'!$B$229=K$3,SUMIF('TL03'!$C$238:$C$451,$C43,'TL03'!$J$238:$J$451),0),
IF('TL04'!$B$3=K$3,SUMIF('TL04'!$C$10:$C$224,$C43,'TL04'!$J$10:$J$224),0),
IF('TL04'!$B$229=K$3,SUMIF('TL04'!$C$238:$C$451,$C43,'TL04'!$J$238:$J$451),0),
IF('TL05'!$B$3=K$3,SUMIF('TL05'!$C$10:$C$224,$C43,'TL05'!$J$10:$J$224),0),
IF('TL05'!$B$229=K$3,SUMIF('TL05'!$C$238:$C$451,$C43,'TL05'!$J$238:$J$451),0),
IF('TL06'!$B$3=K$3,SUMIF('TL06'!$C$10:$C$224,$C43,'TL06'!$J$10:$J$224),0),
IF('TL06'!$B$229=K$3,SUMIF('TL06'!$C$238:$C$451,$C43,'TL06'!$J$238:$J$451),0),
IF('TL07'!$B$3=K$3,SUMIF('TL07'!$C$10:$C$224,$C43,'TL07'!$J$10:$J$224),0),
IF('TL07'!$B$229=K$3,SUMIF('TL07'!$C$238:$C$451,$C43,'TL07'!$J$238:$J$451),0),
IF('TL08'!$B$3=K$3,SUMIF('TL08'!$C$10:$C$224,$C43,'TL08'!$J$10:$J$224),0),
IF('TL08'!$B$229=K$3,SUMIF('TL08'!$C$238:$C$451,$C43,'TL08'!$J$238:$J$451),0),
IF('TL09'!$B$3=K$3,SUMIF('TL09'!$C$10:$C$224,$C43,'TL09'!$J$10:$J$224),0),
IF('TL09'!$B$229=K$3,SUMIF('TL09'!$C$238:$C$451,$C43,'TL09'!$J$238:$J$451),0),
IF('TL10'!$B$3=K$3,SUMIF('TL10'!$C$10:$C$224,$C43,'TL10'!$J$10:$J$224),0),
IF('TL10'!$B$229=K$3,SUMIF('TL10'!$C$238:$C$451,$C43,'TL10'!$J$238:$J$451),0),
IF('TL11'!$B$3=K$3,SUMIF('TL11'!$C$10:$C$224,$C43,'TL11'!$J$10:$J$224),0),
IF('TL11'!$B$229=K$3,SUMIF('TL11'!$C$238:$C$451,$C43,'TL11'!$J$238:$J$451),0),
IF('TL12'!$B$3=K$3,SUMIF('TL12'!$C$10:$C$224,$C43,'TL12'!$J$10:$J$224),0),
IF('TL12'!$B$229=K$3,SUMIF('TL12'!$C$238:$C$451,$C43,'TL12'!$J$238:$J$451),0),
IF('TL13'!$B$3=K$3,SUMIF('TL13'!$C$10:$C$224,$C43,'TL13'!$J$10:$J$224),0),
IF('TL13'!$B$229=K$3,SUMIF('TL13'!$C$238:$C$451,$C43,'TL13'!$J$238:$J$451),0),
IF('TL14'!$B$3=K$3,SUMIF('TL14'!$C$10:$C$224,$C43,'TL14'!$J$10:$J$224),0),
IF('TL14'!$B$229=K$3,SUMIF('TL14'!$C$238:$C$451,$C43,'TL14'!$J$238:$J$451),0),
IF('TL15'!$B$3=K$3,SUMIF('TL15'!$C$10:$C$224,$C43,'TL15'!$J$10:$J$224),0),
IF('TL15'!$B$229=K$3,SUMIF('TL15'!$C$238:$C$451,$C43,'TL15'!$J$238:$J$451),0),
IF('TL16'!$B$3=K$3,SUMIF('TL16'!$C$10:$C$224,$C43,'TL16'!$J$10:$J$224),0),
IF('TL16'!$B$229=K$3,SUMIF('TL16'!$C$238:$C$451,$C43,'TL16'!$J$238:$J$451),0),
IF('TL17'!$B$3=K$3,SUMIF('TL17'!$C$10:$C$224,$C43,'TL17'!$J$10:$J$224),0),
IF('TL17'!$B$229=K$3,SUMIF('TL17'!$C$238:$C$451,$C43,'TL17'!$J$238:$J$451),0),
IF('TL18'!$B$3=K$3,SUMIF('TL18'!$C$10:$C$224,$C43,'TL18'!$J$10:$J$224),0),
IF('TL18'!$B$229=K$3,SUMIF('TL18'!$C$238:$C$451,$C43,'TL18'!$J$238:$J$451),0),
IF('TL19'!$B$3=K$3,SUMIF('TL19'!$C$10:$C$224,$C43,'TL19'!$J$10:$J$224),0),
IF('TL19'!$B$229=K$3,SUMIF('TL19'!$C$238:$C$451,$C43,'TL19'!$J$238:$J$451),0)
),0)</f>
        <v/>
      </c>
      <c r="L43" s="9">
        <f>IFERROR(SUM(
IF('TL01'!$B$3=L$3,SUMIF('TL01'!$C$10:$C$224,$C43,'TL01'!$J$10:$J$224),0),
IF('TL01'!$B$229=L$3,SUMIF('TL01'!$C$238:$C$451,$C43,'TL01'!$J$238:$J$451),0),
IF('TL02'!$B$3=L$3,SUMIF('TL02'!$C$10:$C$224,$C43,'TL02'!$J$10:$J$224),0),
IF('TL02'!$B$229=L$3,SUMIF('TL02'!$C$238:$C$451,$C43,'TL02'!$J$238:$J$451),0),
IF('TL03'!$B$3=L$3,SUMIF('TL03'!$C$10:$C$224,$C43,'TL03'!$J$10:$J$224),0),
IF('TL03'!$B$229=L$3,SUMIF('TL03'!$C$238:$C$451,$C43,'TL03'!$J$238:$J$451),0),
IF('TL04'!$B$3=L$3,SUMIF('TL04'!$C$10:$C$224,$C43,'TL04'!$J$10:$J$224),0),
IF('TL04'!$B$229=L$3,SUMIF('TL04'!$C$238:$C$451,$C43,'TL04'!$J$238:$J$451),0),
IF('TL05'!$B$3=L$3,SUMIF('TL05'!$C$10:$C$224,$C43,'TL05'!$J$10:$J$224),0),
IF('TL05'!$B$229=L$3,SUMIF('TL05'!$C$238:$C$451,$C43,'TL05'!$J$238:$J$451),0),
IF('TL06'!$B$3=L$3,SUMIF('TL06'!$C$10:$C$224,$C43,'TL06'!$J$10:$J$224),0),
IF('TL06'!$B$229=L$3,SUMIF('TL06'!$C$238:$C$451,$C43,'TL06'!$J$238:$J$451),0),
IF('TL07'!$B$3=L$3,SUMIF('TL07'!$C$10:$C$224,$C43,'TL07'!$J$10:$J$224),0),
IF('TL07'!$B$229=L$3,SUMIF('TL07'!$C$238:$C$451,$C43,'TL07'!$J$238:$J$451),0),
IF('TL08'!$B$3=L$3,SUMIF('TL08'!$C$10:$C$224,$C43,'TL08'!$J$10:$J$224),0),
IF('TL08'!$B$229=L$3,SUMIF('TL08'!$C$238:$C$451,$C43,'TL08'!$J$238:$J$451),0),
IF('TL09'!$B$3=L$3,SUMIF('TL09'!$C$10:$C$224,$C43,'TL09'!$J$10:$J$224),0),
IF('TL09'!$B$229=L$3,SUMIF('TL09'!$C$238:$C$451,$C43,'TL09'!$J$238:$J$451),0),
IF('TL10'!$B$3=L$3,SUMIF('TL10'!$C$10:$C$224,$C43,'TL10'!$J$10:$J$224),0),
IF('TL10'!$B$229=L$3,SUMIF('TL10'!$C$238:$C$451,$C43,'TL10'!$J$238:$J$451),0),
IF('TL11'!$B$3=L$3,SUMIF('TL11'!$C$10:$C$224,$C43,'TL11'!$J$10:$J$224),0),
IF('TL11'!$B$229=L$3,SUMIF('TL11'!$C$238:$C$451,$C43,'TL11'!$J$238:$J$451),0),
IF('TL12'!$B$3=L$3,SUMIF('TL12'!$C$10:$C$224,$C43,'TL12'!$J$10:$J$224),0),
IF('TL12'!$B$229=L$3,SUMIF('TL12'!$C$238:$C$451,$C43,'TL12'!$J$238:$J$451),0),
IF('TL13'!$B$3=L$3,SUMIF('TL13'!$C$10:$C$224,$C43,'TL13'!$J$10:$J$224),0),
IF('TL13'!$B$229=L$3,SUMIF('TL13'!$C$238:$C$451,$C43,'TL13'!$J$238:$J$451),0),
IF('TL14'!$B$3=L$3,SUMIF('TL14'!$C$10:$C$224,$C43,'TL14'!$J$10:$J$224),0),
IF('TL14'!$B$229=L$3,SUMIF('TL14'!$C$238:$C$451,$C43,'TL14'!$J$238:$J$451),0),
IF('TL15'!$B$3=L$3,SUMIF('TL15'!$C$10:$C$224,$C43,'TL15'!$J$10:$J$224),0),
IF('TL15'!$B$229=L$3,SUMIF('TL15'!$C$238:$C$451,$C43,'TL15'!$J$238:$J$451),0),
IF('TL16'!$B$3=L$3,SUMIF('TL16'!$C$10:$C$224,$C43,'TL16'!$J$10:$J$224),0),
IF('TL16'!$B$229=L$3,SUMIF('TL16'!$C$238:$C$451,$C43,'TL16'!$J$238:$J$451),0),
IF('TL17'!$B$3=L$3,SUMIF('TL17'!$C$10:$C$224,$C43,'TL17'!$J$10:$J$224),0),
IF('TL17'!$B$229=L$3,SUMIF('TL17'!$C$238:$C$451,$C43,'TL17'!$J$238:$J$451),0),
IF('TL18'!$B$3=L$3,SUMIF('TL18'!$C$10:$C$224,$C43,'TL18'!$J$10:$J$224),0),
IF('TL18'!$B$229=L$3,SUMIF('TL18'!$C$238:$C$451,$C43,'TL18'!$J$238:$J$451),0),
IF('TL19'!$B$3=L$3,SUMIF('TL19'!$C$10:$C$224,$C43,'TL19'!$J$10:$J$224),0),
IF('TL19'!$B$229=L$3,SUMIF('TL19'!$C$238:$C$451,$C43,'TL19'!$J$238:$J$451),0)
),0)</f>
        <v/>
      </c>
      <c r="M43" s="9">
        <f>IFERROR(SUM(
IF('TL01'!$B$3=M$3,SUMIF('TL01'!$C$10:$C$224,$C43,'TL01'!$J$10:$J$224),0),
IF('TL01'!$B$229=M$3,SUMIF('TL01'!$C$238:$C$451,$C43,'TL01'!$J$238:$J$451),0),
IF('TL02'!$B$3=M$3,SUMIF('TL02'!$C$10:$C$224,$C43,'TL02'!$J$10:$J$224),0),
IF('TL02'!$B$229=M$3,SUMIF('TL02'!$C$238:$C$451,$C43,'TL02'!$J$238:$J$451),0),
IF('TL03'!$B$3=M$3,SUMIF('TL03'!$C$10:$C$224,$C43,'TL03'!$J$10:$J$224),0),
IF('TL03'!$B$229=M$3,SUMIF('TL03'!$C$238:$C$451,$C43,'TL03'!$J$238:$J$451),0),
IF('TL04'!$B$3=M$3,SUMIF('TL04'!$C$10:$C$224,$C43,'TL04'!$J$10:$J$224),0),
IF('TL04'!$B$229=M$3,SUMIF('TL04'!$C$238:$C$451,$C43,'TL04'!$J$238:$J$451),0),
IF('TL05'!$B$3=M$3,SUMIF('TL05'!$C$10:$C$224,$C43,'TL05'!$J$10:$J$224),0),
IF('TL05'!$B$229=M$3,SUMIF('TL05'!$C$238:$C$451,$C43,'TL05'!$J$238:$J$451),0),
IF('TL06'!$B$3=M$3,SUMIF('TL06'!$C$10:$C$224,$C43,'TL06'!$J$10:$J$224),0),
IF('TL06'!$B$229=M$3,SUMIF('TL06'!$C$238:$C$451,$C43,'TL06'!$J$238:$J$451),0),
IF('TL07'!$B$3=M$3,SUMIF('TL07'!$C$10:$C$224,$C43,'TL07'!$J$10:$J$224),0),
IF('TL07'!$B$229=M$3,SUMIF('TL07'!$C$238:$C$451,$C43,'TL07'!$J$238:$J$451),0),
IF('TL08'!$B$3=M$3,SUMIF('TL08'!$C$10:$C$224,$C43,'TL08'!$J$10:$J$224),0),
IF('TL08'!$B$229=M$3,SUMIF('TL08'!$C$238:$C$451,$C43,'TL08'!$J$238:$J$451),0),
IF('TL09'!$B$3=M$3,SUMIF('TL09'!$C$10:$C$224,$C43,'TL09'!$J$10:$J$224),0),
IF('TL09'!$B$229=M$3,SUMIF('TL09'!$C$238:$C$451,$C43,'TL09'!$J$238:$J$451),0),
IF('TL10'!$B$3=M$3,SUMIF('TL10'!$C$10:$C$224,$C43,'TL10'!$J$10:$J$224),0),
IF('TL10'!$B$229=M$3,SUMIF('TL10'!$C$238:$C$451,$C43,'TL10'!$J$238:$J$451),0),
IF('TL11'!$B$3=M$3,SUMIF('TL11'!$C$10:$C$224,$C43,'TL11'!$J$10:$J$224),0),
IF('TL11'!$B$229=M$3,SUMIF('TL11'!$C$238:$C$451,$C43,'TL11'!$J$238:$J$451),0),
IF('TL12'!$B$3=M$3,SUMIF('TL12'!$C$10:$C$224,$C43,'TL12'!$J$10:$J$224),0),
IF('TL12'!$B$229=M$3,SUMIF('TL12'!$C$238:$C$451,$C43,'TL12'!$J$238:$J$451),0),
IF('TL13'!$B$3=M$3,SUMIF('TL13'!$C$10:$C$224,$C43,'TL13'!$J$10:$J$224),0),
IF('TL13'!$B$229=M$3,SUMIF('TL13'!$C$238:$C$451,$C43,'TL13'!$J$238:$J$451),0),
IF('TL14'!$B$3=M$3,SUMIF('TL14'!$C$10:$C$224,$C43,'TL14'!$J$10:$J$224),0),
IF('TL14'!$B$229=M$3,SUMIF('TL14'!$C$238:$C$451,$C43,'TL14'!$J$238:$J$451),0),
IF('TL15'!$B$3=M$3,SUMIF('TL15'!$C$10:$C$224,$C43,'TL15'!$J$10:$J$224),0),
IF('TL15'!$B$229=M$3,SUMIF('TL15'!$C$238:$C$451,$C43,'TL15'!$J$238:$J$451),0),
IF('TL16'!$B$3=M$3,SUMIF('TL16'!$C$10:$C$224,$C43,'TL16'!$J$10:$J$224),0),
IF('TL16'!$B$229=M$3,SUMIF('TL16'!$C$238:$C$451,$C43,'TL16'!$J$238:$J$451),0),
IF('TL17'!$B$3=M$3,SUMIF('TL17'!$C$10:$C$224,$C43,'TL17'!$J$10:$J$224),0),
IF('TL17'!$B$229=M$3,SUMIF('TL17'!$C$238:$C$451,$C43,'TL17'!$J$238:$J$451),0),
IF('TL18'!$B$3=M$3,SUMIF('TL18'!$C$10:$C$224,$C43,'TL18'!$J$10:$J$224),0),
IF('TL18'!$B$229=M$3,SUMIF('TL18'!$C$238:$C$451,$C43,'TL18'!$J$238:$J$451),0),
IF('TL19'!$B$3=M$3,SUMIF('TL19'!$C$10:$C$224,$C43,'TL19'!$J$10:$J$224),0),
IF('TL19'!$B$229=M$3,SUMIF('TL19'!$C$238:$C$451,$C43,'TL19'!$J$238:$J$451),0)
),0)</f>
        <v/>
      </c>
      <c r="N43" s="9">
        <f>IFERROR(SUM(
IF('TL01'!$B$3=N$3,SUMIF('TL01'!$C$10:$C$224,$C43,'TL01'!$J$10:$J$224),0),
IF('TL01'!$B$229=N$3,SUMIF('TL01'!$C$238:$C$451,$C43,'TL01'!$J$238:$J$451),0),
IF('TL02'!$B$3=N$3,SUMIF('TL02'!$C$10:$C$224,$C43,'TL02'!$J$10:$J$224),0),
IF('TL02'!$B$229=N$3,SUMIF('TL02'!$C$238:$C$451,$C43,'TL02'!$J$238:$J$451),0),
IF('TL03'!$B$3=N$3,SUMIF('TL03'!$C$10:$C$224,$C43,'TL03'!$J$10:$J$224),0),
IF('TL03'!$B$229=N$3,SUMIF('TL03'!$C$238:$C$451,$C43,'TL03'!$J$238:$J$451),0),
IF('TL04'!$B$3=N$3,SUMIF('TL04'!$C$10:$C$224,$C43,'TL04'!$J$10:$J$224),0),
IF('TL04'!$B$229=N$3,SUMIF('TL04'!$C$238:$C$451,$C43,'TL04'!$J$238:$J$451),0),
IF('TL05'!$B$3=N$3,SUMIF('TL05'!$C$10:$C$224,$C43,'TL05'!$J$10:$J$224),0),
IF('TL05'!$B$229=N$3,SUMIF('TL05'!$C$238:$C$451,$C43,'TL05'!$J$238:$J$451),0),
IF('TL06'!$B$3=N$3,SUMIF('TL06'!$C$10:$C$224,$C43,'TL06'!$J$10:$J$224),0),
IF('TL06'!$B$229=N$3,SUMIF('TL06'!$C$238:$C$451,$C43,'TL06'!$J$238:$J$451),0),
IF('TL07'!$B$3=N$3,SUMIF('TL07'!$C$10:$C$224,$C43,'TL07'!$J$10:$J$224),0),
IF('TL07'!$B$229=N$3,SUMIF('TL07'!$C$238:$C$451,$C43,'TL07'!$J$238:$J$451),0),
IF('TL08'!$B$3=N$3,SUMIF('TL08'!$C$10:$C$224,$C43,'TL08'!$J$10:$J$224),0),
IF('TL08'!$B$229=N$3,SUMIF('TL08'!$C$238:$C$451,$C43,'TL08'!$J$238:$J$451),0),
IF('TL09'!$B$3=N$3,SUMIF('TL09'!$C$10:$C$224,$C43,'TL09'!$J$10:$J$224),0),
IF('TL09'!$B$229=N$3,SUMIF('TL09'!$C$238:$C$451,$C43,'TL09'!$J$238:$J$451),0),
IF('TL10'!$B$3=N$3,SUMIF('TL10'!$C$10:$C$224,$C43,'TL10'!$J$10:$J$224),0),
IF('TL10'!$B$229=N$3,SUMIF('TL10'!$C$238:$C$451,$C43,'TL10'!$J$238:$J$451),0),
IF('TL11'!$B$3=N$3,SUMIF('TL11'!$C$10:$C$224,$C43,'TL11'!$J$10:$J$224),0),
IF('TL11'!$B$229=N$3,SUMIF('TL11'!$C$238:$C$451,$C43,'TL11'!$J$238:$J$451),0),
IF('TL12'!$B$3=N$3,SUMIF('TL12'!$C$10:$C$224,$C43,'TL12'!$J$10:$J$224),0),
IF('TL12'!$B$229=N$3,SUMIF('TL12'!$C$238:$C$451,$C43,'TL12'!$J$238:$J$451),0),
IF('TL13'!$B$3=N$3,SUMIF('TL13'!$C$10:$C$224,$C43,'TL13'!$J$10:$J$224),0),
IF('TL13'!$B$229=N$3,SUMIF('TL13'!$C$238:$C$451,$C43,'TL13'!$J$238:$J$451),0),
IF('TL14'!$B$3=N$3,SUMIF('TL14'!$C$10:$C$224,$C43,'TL14'!$J$10:$J$224),0),
IF('TL14'!$B$229=N$3,SUMIF('TL14'!$C$238:$C$451,$C43,'TL14'!$J$238:$J$451),0),
IF('TL15'!$B$3=N$3,SUMIF('TL15'!$C$10:$C$224,$C43,'TL15'!$J$10:$J$224),0),
IF('TL15'!$B$229=N$3,SUMIF('TL15'!$C$238:$C$451,$C43,'TL15'!$J$238:$J$451),0),
IF('TL16'!$B$3=N$3,SUMIF('TL16'!$C$10:$C$224,$C43,'TL16'!$J$10:$J$224),0),
IF('TL16'!$B$229=N$3,SUMIF('TL16'!$C$238:$C$451,$C43,'TL16'!$J$238:$J$451),0),
IF('TL17'!$B$3=N$3,SUMIF('TL17'!$C$10:$C$224,$C43,'TL17'!$J$10:$J$224),0),
IF('TL17'!$B$229=N$3,SUMIF('TL17'!$C$238:$C$451,$C43,'TL17'!$J$238:$J$451),0),
IF('TL18'!$B$3=N$3,SUMIF('TL18'!$C$10:$C$224,$C43,'TL18'!$J$10:$J$224),0),
IF('TL18'!$B$229=N$3,SUMIF('TL18'!$C$238:$C$451,$C43,'TL18'!$J$238:$J$451),0),
IF('TL19'!$B$3=N$3,SUMIF('TL19'!$C$10:$C$224,$C43,'TL19'!$J$10:$J$224),0),
IF('TL19'!$B$229=N$3,SUMIF('TL19'!$C$238:$C$451,$C43,'TL19'!$J$238:$J$451),0)
),0)</f>
        <v/>
      </c>
      <c r="O43" s="9">
        <f>IFERROR(SUM(
IF('TL01'!$B$3=O$3,SUMIF('TL01'!$C$10:$C$224,$C43,'TL01'!$J$10:$J$224),0),
IF('TL01'!$B$229=O$3,SUMIF('TL01'!$C$238:$C$451,$C43,'TL01'!$J$238:$J$451),0),
IF('TL02'!$B$3=O$3,SUMIF('TL02'!$C$10:$C$224,$C43,'TL02'!$J$10:$J$224),0),
IF('TL02'!$B$229=O$3,SUMIF('TL02'!$C$238:$C$451,$C43,'TL02'!$J$238:$J$451),0),
IF('TL03'!$B$3=O$3,SUMIF('TL03'!$C$10:$C$224,$C43,'TL03'!$J$10:$J$224),0),
IF('TL03'!$B$229=O$3,SUMIF('TL03'!$C$238:$C$451,$C43,'TL03'!$J$238:$J$451),0),
IF('TL04'!$B$3=O$3,SUMIF('TL04'!$C$10:$C$224,$C43,'TL04'!$J$10:$J$224),0),
IF('TL04'!$B$229=O$3,SUMIF('TL04'!$C$238:$C$451,$C43,'TL04'!$J$238:$J$451),0),
IF('TL05'!$B$3=O$3,SUMIF('TL05'!$C$10:$C$224,$C43,'TL05'!$J$10:$J$224),0),
IF('TL05'!$B$229=O$3,SUMIF('TL05'!$C$238:$C$451,$C43,'TL05'!$J$238:$J$451),0),
IF('TL06'!$B$3=O$3,SUMIF('TL06'!$C$10:$C$224,$C43,'TL06'!$J$10:$J$224),0),
IF('TL06'!$B$229=O$3,SUMIF('TL06'!$C$238:$C$451,$C43,'TL06'!$J$238:$J$451),0),
IF('TL07'!$B$3=O$3,SUMIF('TL07'!$C$10:$C$224,$C43,'TL07'!$J$10:$J$224),0),
IF('TL07'!$B$229=O$3,SUMIF('TL07'!$C$238:$C$451,$C43,'TL07'!$J$238:$J$451),0),
IF('TL08'!$B$3=O$3,SUMIF('TL08'!$C$10:$C$224,$C43,'TL08'!$J$10:$J$224),0),
IF('TL08'!$B$229=O$3,SUMIF('TL08'!$C$238:$C$451,$C43,'TL08'!$J$238:$J$451),0),
IF('TL09'!$B$3=O$3,SUMIF('TL09'!$C$10:$C$224,$C43,'TL09'!$J$10:$J$224),0),
IF('TL09'!$B$229=O$3,SUMIF('TL09'!$C$238:$C$451,$C43,'TL09'!$J$238:$J$451),0),
IF('TL10'!$B$3=O$3,SUMIF('TL10'!$C$10:$C$224,$C43,'TL10'!$J$10:$J$224),0),
IF('TL10'!$B$229=O$3,SUMIF('TL10'!$C$238:$C$451,$C43,'TL10'!$J$238:$J$451),0),
IF('TL11'!$B$3=O$3,SUMIF('TL11'!$C$10:$C$224,$C43,'TL11'!$J$10:$J$224),0),
IF('TL11'!$B$229=O$3,SUMIF('TL11'!$C$238:$C$451,$C43,'TL11'!$J$238:$J$451),0),
IF('TL12'!$B$3=O$3,SUMIF('TL12'!$C$10:$C$224,$C43,'TL12'!$J$10:$J$224),0),
IF('TL12'!$B$229=O$3,SUMIF('TL12'!$C$238:$C$451,$C43,'TL12'!$J$238:$J$451),0),
IF('TL13'!$B$3=O$3,SUMIF('TL13'!$C$10:$C$224,$C43,'TL13'!$J$10:$J$224),0),
IF('TL13'!$B$229=O$3,SUMIF('TL13'!$C$238:$C$451,$C43,'TL13'!$J$238:$J$451),0),
IF('TL14'!$B$3=O$3,SUMIF('TL14'!$C$10:$C$224,$C43,'TL14'!$J$10:$J$224),0),
IF('TL14'!$B$229=O$3,SUMIF('TL14'!$C$238:$C$451,$C43,'TL14'!$J$238:$J$451),0),
IF('TL15'!$B$3=O$3,SUMIF('TL15'!$C$10:$C$224,$C43,'TL15'!$J$10:$J$224),0),
IF('TL15'!$B$229=O$3,SUMIF('TL15'!$C$238:$C$451,$C43,'TL15'!$J$238:$J$451),0),
IF('TL16'!$B$3=O$3,SUMIF('TL16'!$C$10:$C$224,$C43,'TL16'!$J$10:$J$224),0),
IF('TL16'!$B$229=O$3,SUMIF('TL16'!$C$238:$C$451,$C43,'TL16'!$J$238:$J$451),0),
IF('TL17'!$B$3=O$3,SUMIF('TL17'!$C$10:$C$224,$C43,'TL17'!$J$10:$J$224),0),
IF('TL17'!$B$229=O$3,SUMIF('TL17'!$C$238:$C$451,$C43,'TL17'!$J$238:$J$451),0),
IF('TL18'!$B$3=O$3,SUMIF('TL18'!$C$10:$C$224,$C43,'TL18'!$J$10:$J$224),0),
IF('TL18'!$B$229=O$3,SUMIF('TL18'!$C$238:$C$451,$C43,'TL18'!$J$238:$J$451),0),
IF('TL19'!$B$3=O$3,SUMIF('TL19'!$C$10:$C$224,$C43,'TL19'!$J$10:$J$224),0),
IF('TL19'!$B$229=O$3,SUMIF('TL19'!$C$238:$C$451,$C43,'TL19'!$J$238:$J$451),0)
),0)</f>
        <v/>
      </c>
      <c r="P43" s="9">
        <f>IFERROR(SUM(
IF('TL01'!$B$3=P$3,SUMIF('TL01'!$C$10:$C$224,$C43,'TL01'!$J$10:$J$224),0),
IF('TL01'!$B$229=P$3,SUMIF('TL01'!$C$238:$C$451,$C43,'TL01'!$J$238:$J$451),0),
IF('TL02'!$B$3=P$3,SUMIF('TL02'!$C$10:$C$224,$C43,'TL02'!$J$10:$J$224),0),
IF('TL02'!$B$229=P$3,SUMIF('TL02'!$C$238:$C$451,$C43,'TL02'!$J$238:$J$451),0),
IF('TL03'!$B$3=P$3,SUMIF('TL03'!$C$10:$C$224,$C43,'TL03'!$J$10:$J$224),0),
IF('TL03'!$B$229=P$3,SUMIF('TL03'!$C$238:$C$451,$C43,'TL03'!$J$238:$J$451),0),
IF('TL04'!$B$3=P$3,SUMIF('TL04'!$C$10:$C$224,$C43,'TL04'!$J$10:$J$224),0),
IF('TL04'!$B$229=P$3,SUMIF('TL04'!$C$238:$C$451,$C43,'TL04'!$J$238:$J$451),0),
IF('TL05'!$B$3=P$3,SUMIF('TL05'!$C$10:$C$224,$C43,'TL05'!$J$10:$J$224),0),
IF('TL05'!$B$229=P$3,SUMIF('TL05'!$C$238:$C$451,$C43,'TL05'!$J$238:$J$451),0),
IF('TL06'!$B$3=P$3,SUMIF('TL06'!$C$10:$C$224,$C43,'TL06'!$J$10:$J$224),0),
IF('TL06'!$B$229=P$3,SUMIF('TL06'!$C$238:$C$451,$C43,'TL06'!$J$238:$J$451),0),
IF('TL07'!$B$3=P$3,SUMIF('TL07'!$C$10:$C$224,$C43,'TL07'!$J$10:$J$224),0),
IF('TL07'!$B$229=P$3,SUMIF('TL07'!$C$238:$C$451,$C43,'TL07'!$J$238:$J$451),0),
IF('TL08'!$B$3=P$3,SUMIF('TL08'!$C$10:$C$224,$C43,'TL08'!$J$10:$J$224),0),
IF('TL08'!$B$229=P$3,SUMIF('TL08'!$C$238:$C$451,$C43,'TL08'!$J$238:$J$451),0),
IF('TL09'!$B$3=P$3,SUMIF('TL09'!$C$10:$C$224,$C43,'TL09'!$J$10:$J$224),0),
IF('TL09'!$B$229=P$3,SUMIF('TL09'!$C$238:$C$451,$C43,'TL09'!$J$238:$J$451),0),
IF('TL10'!$B$3=P$3,SUMIF('TL10'!$C$10:$C$224,$C43,'TL10'!$J$10:$J$224),0),
IF('TL10'!$B$229=P$3,SUMIF('TL10'!$C$238:$C$451,$C43,'TL10'!$J$238:$J$451),0),
IF('TL11'!$B$3=P$3,SUMIF('TL11'!$C$10:$C$224,$C43,'TL11'!$J$10:$J$224),0),
IF('TL11'!$B$229=P$3,SUMIF('TL11'!$C$238:$C$451,$C43,'TL11'!$J$238:$J$451),0),
IF('TL12'!$B$3=P$3,SUMIF('TL12'!$C$10:$C$224,$C43,'TL12'!$J$10:$J$224),0),
IF('TL12'!$B$229=P$3,SUMIF('TL12'!$C$238:$C$451,$C43,'TL12'!$J$238:$J$451),0),
IF('TL13'!$B$3=P$3,SUMIF('TL13'!$C$10:$C$224,$C43,'TL13'!$J$10:$J$224),0),
IF('TL13'!$B$229=P$3,SUMIF('TL13'!$C$238:$C$451,$C43,'TL13'!$J$238:$J$451),0),
IF('TL14'!$B$3=P$3,SUMIF('TL14'!$C$10:$C$224,$C43,'TL14'!$J$10:$J$224),0),
IF('TL14'!$B$229=P$3,SUMIF('TL14'!$C$238:$C$451,$C43,'TL14'!$J$238:$J$451),0),
IF('TL15'!$B$3=P$3,SUMIF('TL15'!$C$10:$C$224,$C43,'TL15'!$J$10:$J$224),0),
IF('TL15'!$B$229=P$3,SUMIF('TL15'!$C$238:$C$451,$C43,'TL15'!$J$238:$J$451),0),
IF('TL16'!$B$3=P$3,SUMIF('TL16'!$C$10:$C$224,$C43,'TL16'!$J$10:$J$224),0),
IF('TL16'!$B$229=P$3,SUMIF('TL16'!$C$238:$C$451,$C43,'TL16'!$J$238:$J$451),0),
IF('TL17'!$B$3=P$3,SUMIF('TL17'!$C$10:$C$224,$C43,'TL17'!$J$10:$J$224),0),
IF('TL17'!$B$229=P$3,SUMIF('TL17'!$C$238:$C$451,$C43,'TL17'!$J$238:$J$451),0),
IF('TL18'!$B$3=P$3,SUMIF('TL18'!$C$10:$C$224,$C43,'TL18'!$J$10:$J$224),0),
IF('TL18'!$B$229=P$3,SUMIF('TL18'!$C$238:$C$451,$C43,'TL18'!$J$238:$J$451),0),
IF('TL19'!$B$3=P$3,SUMIF('TL19'!$C$10:$C$224,$C43,'TL19'!$J$10:$J$224),0),
IF('TL19'!$B$229=P$3,SUMIF('TL19'!$C$238:$C$451,$C43,'TL19'!$J$238:$J$451),0)
),0)</f>
        <v/>
      </c>
      <c r="Q43" s="9">
        <f>IFERROR(SUM(
IF('TL01'!$B$3=Q$3,SUMIF('TL01'!$C$10:$C$224,$C43,'TL01'!$J$10:$J$224),0),
IF('TL01'!$B$229=Q$3,SUMIF('TL01'!$C$238:$C$451,$C43,'TL01'!$J$238:$J$451),0),
IF('TL02'!$B$3=Q$3,SUMIF('TL02'!$C$10:$C$224,$C43,'TL02'!$J$10:$J$224),0),
IF('TL02'!$B$229=Q$3,SUMIF('TL02'!$C$238:$C$451,$C43,'TL02'!$J$238:$J$451),0),
IF('TL03'!$B$3=Q$3,SUMIF('TL03'!$C$10:$C$224,$C43,'TL03'!$J$10:$J$224),0),
IF('TL03'!$B$229=Q$3,SUMIF('TL03'!$C$238:$C$451,$C43,'TL03'!$J$238:$J$451),0),
IF('TL04'!$B$3=Q$3,SUMIF('TL04'!$C$10:$C$224,$C43,'TL04'!$J$10:$J$224),0),
IF('TL04'!$B$229=Q$3,SUMIF('TL04'!$C$238:$C$451,$C43,'TL04'!$J$238:$J$451),0),
IF('TL05'!$B$3=Q$3,SUMIF('TL05'!$C$10:$C$224,$C43,'TL05'!$J$10:$J$224),0),
IF('TL05'!$B$229=Q$3,SUMIF('TL05'!$C$238:$C$451,$C43,'TL05'!$J$238:$J$451),0),
IF('TL06'!$B$3=Q$3,SUMIF('TL06'!$C$10:$C$224,$C43,'TL06'!$J$10:$J$224),0),
IF('TL06'!$B$229=Q$3,SUMIF('TL06'!$C$238:$C$451,$C43,'TL06'!$J$238:$J$451),0),
IF('TL07'!$B$3=Q$3,SUMIF('TL07'!$C$10:$C$224,$C43,'TL07'!$J$10:$J$224),0),
IF('TL07'!$B$229=Q$3,SUMIF('TL07'!$C$238:$C$451,$C43,'TL07'!$J$238:$J$451),0),
IF('TL08'!$B$3=Q$3,SUMIF('TL08'!$C$10:$C$224,$C43,'TL08'!$J$10:$J$224),0),
IF('TL08'!$B$229=Q$3,SUMIF('TL08'!$C$238:$C$451,$C43,'TL08'!$J$238:$J$451),0),
IF('TL09'!$B$3=Q$3,SUMIF('TL09'!$C$10:$C$224,$C43,'TL09'!$J$10:$J$224),0),
IF('TL09'!$B$229=Q$3,SUMIF('TL09'!$C$238:$C$451,$C43,'TL09'!$J$238:$J$451),0),
IF('TL10'!$B$3=Q$3,SUMIF('TL10'!$C$10:$C$224,$C43,'TL10'!$J$10:$J$224),0),
IF('TL10'!$B$229=Q$3,SUMIF('TL10'!$C$238:$C$451,$C43,'TL10'!$J$238:$J$451),0),
IF('TL11'!$B$3=Q$3,SUMIF('TL11'!$C$10:$C$224,$C43,'TL11'!$J$10:$J$224),0),
IF('TL11'!$B$229=Q$3,SUMIF('TL11'!$C$238:$C$451,$C43,'TL11'!$J$238:$J$451),0),
IF('TL12'!$B$3=Q$3,SUMIF('TL12'!$C$10:$C$224,$C43,'TL12'!$J$10:$J$224),0),
IF('TL12'!$B$229=Q$3,SUMIF('TL12'!$C$238:$C$451,$C43,'TL12'!$J$238:$J$451),0),
IF('TL13'!$B$3=Q$3,SUMIF('TL13'!$C$10:$C$224,$C43,'TL13'!$J$10:$J$224),0),
IF('TL13'!$B$229=Q$3,SUMIF('TL13'!$C$238:$C$451,$C43,'TL13'!$J$238:$J$451),0),
IF('TL14'!$B$3=Q$3,SUMIF('TL14'!$C$10:$C$224,$C43,'TL14'!$J$10:$J$224),0),
IF('TL14'!$B$229=Q$3,SUMIF('TL14'!$C$238:$C$451,$C43,'TL14'!$J$238:$J$451),0),
IF('TL15'!$B$3=Q$3,SUMIF('TL15'!$C$10:$C$224,$C43,'TL15'!$J$10:$J$224),0),
IF('TL15'!$B$229=Q$3,SUMIF('TL15'!$C$238:$C$451,$C43,'TL15'!$J$238:$J$451),0),
IF('TL16'!$B$3=Q$3,SUMIF('TL16'!$C$10:$C$224,$C43,'TL16'!$J$10:$J$224),0),
IF('TL16'!$B$229=Q$3,SUMIF('TL16'!$C$238:$C$451,$C43,'TL16'!$J$238:$J$451),0),
IF('TL17'!$B$3=Q$3,SUMIF('TL17'!$C$10:$C$224,$C43,'TL17'!$J$10:$J$224),0),
IF('TL17'!$B$229=Q$3,SUMIF('TL17'!$C$238:$C$451,$C43,'TL17'!$J$238:$J$451),0),
IF('TL18'!$B$3=Q$3,SUMIF('TL18'!$C$10:$C$224,$C43,'TL18'!$J$10:$J$224),0),
IF('TL18'!$B$229=Q$3,SUMIF('TL18'!$C$238:$C$451,$C43,'TL18'!$J$238:$J$451),0),
IF('TL19'!$B$3=Q$3,SUMIF('TL19'!$C$10:$C$224,$C43,'TL19'!$J$10:$J$224),0),
IF('TL19'!$B$229=Q$3,SUMIF('TL19'!$C$238:$C$451,$C43,'TL19'!$J$238:$J$451),0)
),0)</f>
        <v/>
      </c>
      <c r="R43" s="9">
        <f>IFERROR(
SUM(
SUMIF('TL01'!C:C,C43,'TL01'!J:J),
SUMIF('TL02'!C:C,C43,'TL02'!J:J),
SUMIF('TL03'!C:C,C43,'TL03'!J:J),
SUMIF('TL04'!C:C,C43,'TL04'!J:J),
SUMIF('TL05'!C:C,C43,'TL05'!J:J),
SUMIF('TL06'!C:C,C43,'TL06'!J:J),
SUMIF('TL07'!C:C,C43,'TL07'!J:J),
SUMIF('TL08'!C:C,C43,'TL08'!J:J),
SUMIF('TL09'!C:C,C43,'TL09'!J:J),
SUMIF('TL10'!C:C,C43,'TL10'!J:J),
SUMIF('TL11'!C:C,C43,'TL11'!J:J),
SUMIF('TL12'!C:C,C43,'TL12'!J:J),
SUMIF('TL13'!C:C,C43,'TL13'!J:J),
SUMIF('TL14'!C:C,C43,'TL14'!J:J),
SUMIF('TL15'!C:C,C43,'TL15'!J:J),
SUMIF('TL16'!C:C,C43,'TL16'!J:J),
SUMIF('TL17'!C:C,C43,'TL17'!J:J),
SUMIF('TL18'!C:C,C43,'TL18'!J:J),SUMIF('TL19'!C:C,C43,'TL19'!J:J))
,0)</f>
        <v/>
      </c>
      <c r="S43" s="17">
        <f>IFERROR(__xludf.DUMMYFUNCTION("IFERROR(VLOOKUP(C43,
IMPORTRANGE(""1wULbzX32WdYsx-lj2U3uUNBBe2INVIRDtcK0d-Dvl90"",
""26-27!C:G""),
5,
FALSE),
"""")"),170.55360000000002)</f>
        <v/>
      </c>
      <c r="T43" s="9" t="n">
        <v>20</v>
      </c>
      <c r="U43" s="92">
        <f>MAX(0,R43-T43)</f>
        <v/>
      </c>
      <c r="V43" s="93">
        <f>U43*S43</f>
        <v/>
      </c>
    </row>
    <row r="44" hidden="1" ht="15.75" customHeight="1" s="297">
      <c r="A44" s="115" t="inlineStr">
        <is>
          <t>BASF</t>
        </is>
      </c>
      <c r="B44" s="100" t="inlineStr">
        <is>
          <t>FUNGICIDA</t>
        </is>
      </c>
      <c r="C44" s="116" t="inlineStr">
        <is>
          <t>BLAVITY</t>
        </is>
      </c>
      <c r="D44" s="116" t="inlineStr">
        <is>
          <t>FLUXAPIROXADE + PROTIOCONAZOL</t>
        </is>
      </c>
      <c r="E44" s="116" t="inlineStr">
        <is>
          <t>200 + 280</t>
        </is>
      </c>
      <c r="F44" s="4" t="inlineStr">
        <is>
          <t>L</t>
        </is>
      </c>
      <c r="G44" s="90">
        <f>HYPERLINK("https://www.google.com/search?q=" &amp; C44 &amp; "+bula+agrofit+pdf", "📄 Ver bula")</f>
        <v/>
      </c>
      <c r="H44" s="9">
        <f>IFERROR(__xludf.DUMMYFUNCTION("IFERROR(VLOOKUP(C44,
IMPORTRANGE(""1wULbzX32WdYsx-lj2U3uUNBBe2INVIRDtcK0d-Dvl90"",
""26-27!C:K""),
8,
FALSE),
"""")"),0.3)</f>
        <v/>
      </c>
      <c r="I44" s="117" t="inlineStr">
        <is>
          <t>2X10</t>
        </is>
      </c>
      <c r="J44" s="9">
        <f>IFERROR(SUM(
IF('TL01'!$B$3=J$3,SUMIF('TL01'!$C$10:$C$224,$C44,'TL01'!$J$10:$J$224),0),
IF('TL01'!$B$229=J$3,SUMIF('TL01'!$C$238:$C$451,$C44,'TL01'!$J$238:$J$451),0),
IF('TL02'!$B$3=J$3,SUMIF('TL02'!$C$10:$C$224,$C44,'TL02'!$J$10:$J$224),0),
IF('TL02'!$B$229=J$3,SUMIF('TL02'!$C$238:$C$451,$C44,'TL02'!$J$238:$J$451),0),
IF('TL03'!$B$3=J$3,SUMIF('TL03'!$C$10:$C$224,$C44,'TL03'!$J$10:$J$224),0),
IF('TL03'!$B$229=J$3,SUMIF('TL03'!$C$238:$C$451,$C44,'TL03'!$J$238:$J$451),0),
IF('TL04'!$B$3=J$3,SUMIF('TL04'!$C$10:$C$224,$C44,'TL04'!$J$10:$J$224),0),
IF('TL04'!$B$229=J$3,SUMIF('TL04'!$C$238:$C$451,$C44,'TL04'!$J$238:$J$451),0),
IF('TL05'!$B$3=J$3,SUMIF('TL05'!$C$10:$C$224,$C44,'TL05'!$J$10:$J$224),0),
IF('TL05'!$B$229=J$3,SUMIF('TL05'!$C$238:$C$451,$C44,'TL05'!$J$238:$J$451),0),
IF('TL06'!$B$3=J$3,SUMIF('TL06'!$C$10:$C$224,$C44,'TL06'!$J$10:$J$224),0),
IF('TL06'!$B$229=J$3,SUMIF('TL06'!$C$238:$C$451,$C44,'TL06'!$J$238:$J$451),0),
IF('TL07'!$B$3=J$3,SUMIF('TL07'!$C$10:$C$224,$C44,'TL07'!$J$10:$J$224),0),
IF('TL07'!$B$229=J$3,SUMIF('TL07'!$C$238:$C$451,$C44,'TL07'!$J$238:$J$451),0),
IF('TL08'!$B$3=J$3,SUMIF('TL08'!$C$10:$C$224,$C44,'TL08'!$J$10:$J$224),0),
IF('TL08'!$B$229=J$3,SUMIF('TL08'!$C$238:$C$451,$C44,'TL08'!$J$238:$J$451),0),
IF('TL09'!$B$3=J$3,SUMIF('TL09'!$C$10:$C$224,$C44,'TL09'!$J$10:$J$224),0),
IF('TL09'!$B$229=J$3,SUMIF('TL09'!$C$238:$C$451,$C44,'TL09'!$J$238:$J$451),0),
IF('TL10'!$B$3=J$3,SUMIF('TL10'!$C$10:$C$224,$C44,'TL10'!$J$10:$J$224),0),
IF('TL10'!$B$229=J$3,SUMIF('TL10'!$C$238:$C$451,$C44,'TL10'!$J$238:$J$451),0),
IF('TL11'!$B$3=J$3,SUMIF('TL11'!$C$10:$C$224,$C44,'TL11'!$J$10:$J$224),0),
IF('TL11'!$B$229=J$3,SUMIF('TL11'!$C$238:$C$451,$C44,'TL11'!$J$238:$J$451),0),
IF('TL12'!$B$3=J$3,SUMIF('TL12'!$C$10:$C$224,$C44,'TL12'!$J$10:$J$224),0),
IF('TL12'!$B$229=J$3,SUMIF('TL12'!$C$238:$C$451,$C44,'TL12'!$J$238:$J$451),0),
IF('TL13'!$B$3=J$3,SUMIF('TL13'!$C$10:$C$224,$C44,'TL13'!$J$10:$J$224),0),
IF('TL13'!$B$229=J$3,SUMIF('TL13'!$C$238:$C$451,$C44,'TL13'!$J$238:$J$451),0),
IF('TL14'!$B$3=J$3,SUMIF('TL14'!$C$10:$C$224,$C44,'TL14'!$J$10:$J$224),0),
IF('TL14'!$B$229=J$3,SUMIF('TL14'!$C$238:$C$451,$C44,'TL14'!$J$238:$J$451),0),
IF('TL15'!$B$3=J$3,SUMIF('TL15'!$C$10:$C$224,$C44,'TL15'!$J$10:$J$224),0),
IF('TL15'!$B$229=J$3,SUMIF('TL15'!$C$238:$C$451,$C44,'TL15'!$J$238:$J$451),0),
IF('TL16'!$B$3=J$3,SUMIF('TL16'!$C$10:$C$224,$C44,'TL16'!$J$10:$J$224),0),
IF('TL16'!$B$229=J$3,SUMIF('TL16'!$C$238:$C$451,$C44,'TL16'!$J$238:$J$451),0),
IF('TL17'!$B$3=J$3,SUMIF('TL17'!$C$10:$C$224,$C44,'TL17'!$J$10:$J$224),0),
IF('TL17'!$B$229=J$3,SUMIF('TL17'!$C$238:$C$451,$C44,'TL17'!$J$238:$J$451),0),
IF('TL18'!$B$3=J$3,SUMIF('TL18'!$C$10:$C$224,$C44,'TL18'!$J$10:$J$224),0),
IF('TL18'!$B$229=J$3,SUMIF('TL18'!$C$238:$C$451,$C44,'TL18'!$J$238:$J$451),0),
IF('TL19'!$B$3=J$3,SUMIF('TL19'!$C$10:$C$224,$C44,'TL19'!$J$10:$J$224),0),
IF('TL19'!$B$229=J$3,SUMIF('TL19'!$C$238:$C$451,$C44,'TL19'!$J$238:$J$451),0)
),0)</f>
        <v/>
      </c>
      <c r="K44" s="9">
        <f>IFERROR(SUM(
IF('TL01'!$B$3=K$3,SUMIF('TL01'!$C$10:$C$224,$C44,'TL01'!$J$10:$J$224),0),
IF('TL01'!$B$229=K$3,SUMIF('TL01'!$C$238:$C$451,$C44,'TL01'!$J$238:$J$451),0),
IF('TL02'!$B$3=K$3,SUMIF('TL02'!$C$10:$C$224,$C44,'TL02'!$J$10:$J$224),0),
IF('TL02'!$B$229=K$3,SUMIF('TL02'!$C$238:$C$451,$C44,'TL02'!$J$238:$J$451),0),
IF('TL03'!$B$3=K$3,SUMIF('TL03'!$C$10:$C$224,$C44,'TL03'!$J$10:$J$224),0),
IF('TL03'!$B$229=K$3,SUMIF('TL03'!$C$238:$C$451,$C44,'TL03'!$J$238:$J$451),0),
IF('TL04'!$B$3=K$3,SUMIF('TL04'!$C$10:$C$224,$C44,'TL04'!$J$10:$J$224),0),
IF('TL04'!$B$229=K$3,SUMIF('TL04'!$C$238:$C$451,$C44,'TL04'!$J$238:$J$451),0),
IF('TL05'!$B$3=K$3,SUMIF('TL05'!$C$10:$C$224,$C44,'TL05'!$J$10:$J$224),0),
IF('TL05'!$B$229=K$3,SUMIF('TL05'!$C$238:$C$451,$C44,'TL05'!$J$238:$J$451),0),
IF('TL06'!$B$3=K$3,SUMIF('TL06'!$C$10:$C$224,$C44,'TL06'!$J$10:$J$224),0),
IF('TL06'!$B$229=K$3,SUMIF('TL06'!$C$238:$C$451,$C44,'TL06'!$J$238:$J$451),0),
IF('TL07'!$B$3=K$3,SUMIF('TL07'!$C$10:$C$224,$C44,'TL07'!$J$10:$J$224),0),
IF('TL07'!$B$229=K$3,SUMIF('TL07'!$C$238:$C$451,$C44,'TL07'!$J$238:$J$451),0),
IF('TL08'!$B$3=K$3,SUMIF('TL08'!$C$10:$C$224,$C44,'TL08'!$J$10:$J$224),0),
IF('TL08'!$B$229=K$3,SUMIF('TL08'!$C$238:$C$451,$C44,'TL08'!$J$238:$J$451),0),
IF('TL09'!$B$3=K$3,SUMIF('TL09'!$C$10:$C$224,$C44,'TL09'!$J$10:$J$224),0),
IF('TL09'!$B$229=K$3,SUMIF('TL09'!$C$238:$C$451,$C44,'TL09'!$J$238:$J$451),0),
IF('TL10'!$B$3=K$3,SUMIF('TL10'!$C$10:$C$224,$C44,'TL10'!$J$10:$J$224),0),
IF('TL10'!$B$229=K$3,SUMIF('TL10'!$C$238:$C$451,$C44,'TL10'!$J$238:$J$451),0),
IF('TL11'!$B$3=K$3,SUMIF('TL11'!$C$10:$C$224,$C44,'TL11'!$J$10:$J$224),0),
IF('TL11'!$B$229=K$3,SUMIF('TL11'!$C$238:$C$451,$C44,'TL11'!$J$238:$J$451),0),
IF('TL12'!$B$3=K$3,SUMIF('TL12'!$C$10:$C$224,$C44,'TL12'!$J$10:$J$224),0),
IF('TL12'!$B$229=K$3,SUMIF('TL12'!$C$238:$C$451,$C44,'TL12'!$J$238:$J$451),0),
IF('TL13'!$B$3=K$3,SUMIF('TL13'!$C$10:$C$224,$C44,'TL13'!$J$10:$J$224),0),
IF('TL13'!$B$229=K$3,SUMIF('TL13'!$C$238:$C$451,$C44,'TL13'!$J$238:$J$451),0),
IF('TL14'!$B$3=K$3,SUMIF('TL14'!$C$10:$C$224,$C44,'TL14'!$J$10:$J$224),0),
IF('TL14'!$B$229=K$3,SUMIF('TL14'!$C$238:$C$451,$C44,'TL14'!$J$238:$J$451),0),
IF('TL15'!$B$3=K$3,SUMIF('TL15'!$C$10:$C$224,$C44,'TL15'!$J$10:$J$224),0),
IF('TL15'!$B$229=K$3,SUMIF('TL15'!$C$238:$C$451,$C44,'TL15'!$J$238:$J$451),0),
IF('TL16'!$B$3=K$3,SUMIF('TL16'!$C$10:$C$224,$C44,'TL16'!$J$10:$J$224),0),
IF('TL16'!$B$229=K$3,SUMIF('TL16'!$C$238:$C$451,$C44,'TL16'!$J$238:$J$451),0),
IF('TL17'!$B$3=K$3,SUMIF('TL17'!$C$10:$C$224,$C44,'TL17'!$J$10:$J$224),0),
IF('TL17'!$B$229=K$3,SUMIF('TL17'!$C$238:$C$451,$C44,'TL17'!$J$238:$J$451),0),
IF('TL18'!$B$3=K$3,SUMIF('TL18'!$C$10:$C$224,$C44,'TL18'!$J$10:$J$224),0),
IF('TL18'!$B$229=K$3,SUMIF('TL18'!$C$238:$C$451,$C44,'TL18'!$J$238:$J$451),0),
IF('TL19'!$B$3=K$3,SUMIF('TL19'!$C$10:$C$224,$C44,'TL19'!$J$10:$J$224),0),
IF('TL19'!$B$229=K$3,SUMIF('TL19'!$C$238:$C$451,$C44,'TL19'!$J$238:$J$451),0)
),0)</f>
        <v/>
      </c>
      <c r="L44" s="9">
        <f>IFERROR(SUM(
IF('TL01'!$B$3=L$3,SUMIF('TL01'!$C$10:$C$224,$C44,'TL01'!$J$10:$J$224),0),
IF('TL01'!$B$229=L$3,SUMIF('TL01'!$C$238:$C$451,$C44,'TL01'!$J$238:$J$451),0),
IF('TL02'!$B$3=L$3,SUMIF('TL02'!$C$10:$C$224,$C44,'TL02'!$J$10:$J$224),0),
IF('TL02'!$B$229=L$3,SUMIF('TL02'!$C$238:$C$451,$C44,'TL02'!$J$238:$J$451),0),
IF('TL03'!$B$3=L$3,SUMIF('TL03'!$C$10:$C$224,$C44,'TL03'!$J$10:$J$224),0),
IF('TL03'!$B$229=L$3,SUMIF('TL03'!$C$238:$C$451,$C44,'TL03'!$J$238:$J$451),0),
IF('TL04'!$B$3=L$3,SUMIF('TL04'!$C$10:$C$224,$C44,'TL04'!$J$10:$J$224),0),
IF('TL04'!$B$229=L$3,SUMIF('TL04'!$C$238:$C$451,$C44,'TL04'!$J$238:$J$451),0),
IF('TL05'!$B$3=L$3,SUMIF('TL05'!$C$10:$C$224,$C44,'TL05'!$J$10:$J$224),0),
IF('TL05'!$B$229=L$3,SUMIF('TL05'!$C$238:$C$451,$C44,'TL05'!$J$238:$J$451),0),
IF('TL06'!$B$3=L$3,SUMIF('TL06'!$C$10:$C$224,$C44,'TL06'!$J$10:$J$224),0),
IF('TL06'!$B$229=L$3,SUMIF('TL06'!$C$238:$C$451,$C44,'TL06'!$J$238:$J$451),0),
IF('TL07'!$B$3=L$3,SUMIF('TL07'!$C$10:$C$224,$C44,'TL07'!$J$10:$J$224),0),
IF('TL07'!$B$229=L$3,SUMIF('TL07'!$C$238:$C$451,$C44,'TL07'!$J$238:$J$451),0),
IF('TL08'!$B$3=L$3,SUMIF('TL08'!$C$10:$C$224,$C44,'TL08'!$J$10:$J$224),0),
IF('TL08'!$B$229=L$3,SUMIF('TL08'!$C$238:$C$451,$C44,'TL08'!$J$238:$J$451),0),
IF('TL09'!$B$3=L$3,SUMIF('TL09'!$C$10:$C$224,$C44,'TL09'!$J$10:$J$224),0),
IF('TL09'!$B$229=L$3,SUMIF('TL09'!$C$238:$C$451,$C44,'TL09'!$J$238:$J$451),0),
IF('TL10'!$B$3=L$3,SUMIF('TL10'!$C$10:$C$224,$C44,'TL10'!$J$10:$J$224),0),
IF('TL10'!$B$229=L$3,SUMIF('TL10'!$C$238:$C$451,$C44,'TL10'!$J$238:$J$451),0),
IF('TL11'!$B$3=L$3,SUMIF('TL11'!$C$10:$C$224,$C44,'TL11'!$J$10:$J$224),0),
IF('TL11'!$B$229=L$3,SUMIF('TL11'!$C$238:$C$451,$C44,'TL11'!$J$238:$J$451),0),
IF('TL12'!$B$3=L$3,SUMIF('TL12'!$C$10:$C$224,$C44,'TL12'!$J$10:$J$224),0),
IF('TL12'!$B$229=L$3,SUMIF('TL12'!$C$238:$C$451,$C44,'TL12'!$J$238:$J$451),0),
IF('TL13'!$B$3=L$3,SUMIF('TL13'!$C$10:$C$224,$C44,'TL13'!$J$10:$J$224),0),
IF('TL13'!$B$229=L$3,SUMIF('TL13'!$C$238:$C$451,$C44,'TL13'!$J$238:$J$451),0),
IF('TL14'!$B$3=L$3,SUMIF('TL14'!$C$10:$C$224,$C44,'TL14'!$J$10:$J$224),0),
IF('TL14'!$B$229=L$3,SUMIF('TL14'!$C$238:$C$451,$C44,'TL14'!$J$238:$J$451),0),
IF('TL15'!$B$3=L$3,SUMIF('TL15'!$C$10:$C$224,$C44,'TL15'!$J$10:$J$224),0),
IF('TL15'!$B$229=L$3,SUMIF('TL15'!$C$238:$C$451,$C44,'TL15'!$J$238:$J$451),0),
IF('TL16'!$B$3=L$3,SUMIF('TL16'!$C$10:$C$224,$C44,'TL16'!$J$10:$J$224),0),
IF('TL16'!$B$229=L$3,SUMIF('TL16'!$C$238:$C$451,$C44,'TL16'!$J$238:$J$451),0),
IF('TL17'!$B$3=L$3,SUMIF('TL17'!$C$10:$C$224,$C44,'TL17'!$J$10:$J$224),0),
IF('TL17'!$B$229=L$3,SUMIF('TL17'!$C$238:$C$451,$C44,'TL17'!$J$238:$J$451),0),
IF('TL18'!$B$3=L$3,SUMIF('TL18'!$C$10:$C$224,$C44,'TL18'!$J$10:$J$224),0),
IF('TL18'!$B$229=L$3,SUMIF('TL18'!$C$238:$C$451,$C44,'TL18'!$J$238:$J$451),0),
IF('TL19'!$B$3=L$3,SUMIF('TL19'!$C$10:$C$224,$C44,'TL19'!$J$10:$J$224),0),
IF('TL19'!$B$229=L$3,SUMIF('TL19'!$C$238:$C$451,$C44,'TL19'!$J$238:$J$451),0)
),0)</f>
        <v/>
      </c>
      <c r="M44" s="9">
        <f>IFERROR(SUM(
IF('TL01'!$B$3=M$3,SUMIF('TL01'!$C$10:$C$224,$C44,'TL01'!$J$10:$J$224),0),
IF('TL01'!$B$229=M$3,SUMIF('TL01'!$C$238:$C$451,$C44,'TL01'!$J$238:$J$451),0),
IF('TL02'!$B$3=M$3,SUMIF('TL02'!$C$10:$C$224,$C44,'TL02'!$J$10:$J$224),0),
IF('TL02'!$B$229=M$3,SUMIF('TL02'!$C$238:$C$451,$C44,'TL02'!$J$238:$J$451),0),
IF('TL03'!$B$3=M$3,SUMIF('TL03'!$C$10:$C$224,$C44,'TL03'!$J$10:$J$224),0),
IF('TL03'!$B$229=M$3,SUMIF('TL03'!$C$238:$C$451,$C44,'TL03'!$J$238:$J$451),0),
IF('TL04'!$B$3=M$3,SUMIF('TL04'!$C$10:$C$224,$C44,'TL04'!$J$10:$J$224),0),
IF('TL04'!$B$229=M$3,SUMIF('TL04'!$C$238:$C$451,$C44,'TL04'!$J$238:$J$451),0),
IF('TL05'!$B$3=M$3,SUMIF('TL05'!$C$10:$C$224,$C44,'TL05'!$J$10:$J$224),0),
IF('TL05'!$B$229=M$3,SUMIF('TL05'!$C$238:$C$451,$C44,'TL05'!$J$238:$J$451),0),
IF('TL06'!$B$3=M$3,SUMIF('TL06'!$C$10:$C$224,$C44,'TL06'!$J$10:$J$224),0),
IF('TL06'!$B$229=M$3,SUMIF('TL06'!$C$238:$C$451,$C44,'TL06'!$J$238:$J$451),0),
IF('TL07'!$B$3=M$3,SUMIF('TL07'!$C$10:$C$224,$C44,'TL07'!$J$10:$J$224),0),
IF('TL07'!$B$229=M$3,SUMIF('TL07'!$C$238:$C$451,$C44,'TL07'!$J$238:$J$451),0),
IF('TL08'!$B$3=M$3,SUMIF('TL08'!$C$10:$C$224,$C44,'TL08'!$J$10:$J$224),0),
IF('TL08'!$B$229=M$3,SUMIF('TL08'!$C$238:$C$451,$C44,'TL08'!$J$238:$J$451),0),
IF('TL09'!$B$3=M$3,SUMIF('TL09'!$C$10:$C$224,$C44,'TL09'!$J$10:$J$224),0),
IF('TL09'!$B$229=M$3,SUMIF('TL09'!$C$238:$C$451,$C44,'TL09'!$J$238:$J$451),0),
IF('TL10'!$B$3=M$3,SUMIF('TL10'!$C$10:$C$224,$C44,'TL10'!$J$10:$J$224),0),
IF('TL10'!$B$229=M$3,SUMIF('TL10'!$C$238:$C$451,$C44,'TL10'!$J$238:$J$451),0),
IF('TL11'!$B$3=M$3,SUMIF('TL11'!$C$10:$C$224,$C44,'TL11'!$J$10:$J$224),0),
IF('TL11'!$B$229=M$3,SUMIF('TL11'!$C$238:$C$451,$C44,'TL11'!$J$238:$J$451),0),
IF('TL12'!$B$3=M$3,SUMIF('TL12'!$C$10:$C$224,$C44,'TL12'!$J$10:$J$224),0),
IF('TL12'!$B$229=M$3,SUMIF('TL12'!$C$238:$C$451,$C44,'TL12'!$J$238:$J$451),0),
IF('TL13'!$B$3=M$3,SUMIF('TL13'!$C$10:$C$224,$C44,'TL13'!$J$10:$J$224),0),
IF('TL13'!$B$229=M$3,SUMIF('TL13'!$C$238:$C$451,$C44,'TL13'!$J$238:$J$451),0),
IF('TL14'!$B$3=M$3,SUMIF('TL14'!$C$10:$C$224,$C44,'TL14'!$J$10:$J$224),0),
IF('TL14'!$B$229=M$3,SUMIF('TL14'!$C$238:$C$451,$C44,'TL14'!$J$238:$J$451),0),
IF('TL15'!$B$3=M$3,SUMIF('TL15'!$C$10:$C$224,$C44,'TL15'!$J$10:$J$224),0),
IF('TL15'!$B$229=M$3,SUMIF('TL15'!$C$238:$C$451,$C44,'TL15'!$J$238:$J$451),0),
IF('TL16'!$B$3=M$3,SUMIF('TL16'!$C$10:$C$224,$C44,'TL16'!$J$10:$J$224),0),
IF('TL16'!$B$229=M$3,SUMIF('TL16'!$C$238:$C$451,$C44,'TL16'!$J$238:$J$451),0),
IF('TL17'!$B$3=M$3,SUMIF('TL17'!$C$10:$C$224,$C44,'TL17'!$J$10:$J$224),0),
IF('TL17'!$B$229=M$3,SUMIF('TL17'!$C$238:$C$451,$C44,'TL17'!$J$238:$J$451),0),
IF('TL18'!$B$3=M$3,SUMIF('TL18'!$C$10:$C$224,$C44,'TL18'!$J$10:$J$224),0),
IF('TL18'!$B$229=M$3,SUMIF('TL18'!$C$238:$C$451,$C44,'TL18'!$J$238:$J$451),0),
IF('TL19'!$B$3=M$3,SUMIF('TL19'!$C$10:$C$224,$C44,'TL19'!$J$10:$J$224),0),
IF('TL19'!$B$229=M$3,SUMIF('TL19'!$C$238:$C$451,$C44,'TL19'!$J$238:$J$451),0)
),0)</f>
        <v/>
      </c>
      <c r="N44" s="9">
        <f>IFERROR(SUM(
IF('TL01'!$B$3=N$3,SUMIF('TL01'!$C$10:$C$224,$C44,'TL01'!$J$10:$J$224),0),
IF('TL01'!$B$229=N$3,SUMIF('TL01'!$C$238:$C$451,$C44,'TL01'!$J$238:$J$451),0),
IF('TL02'!$B$3=N$3,SUMIF('TL02'!$C$10:$C$224,$C44,'TL02'!$J$10:$J$224),0),
IF('TL02'!$B$229=N$3,SUMIF('TL02'!$C$238:$C$451,$C44,'TL02'!$J$238:$J$451),0),
IF('TL03'!$B$3=N$3,SUMIF('TL03'!$C$10:$C$224,$C44,'TL03'!$J$10:$J$224),0),
IF('TL03'!$B$229=N$3,SUMIF('TL03'!$C$238:$C$451,$C44,'TL03'!$J$238:$J$451),0),
IF('TL04'!$B$3=N$3,SUMIF('TL04'!$C$10:$C$224,$C44,'TL04'!$J$10:$J$224),0),
IF('TL04'!$B$229=N$3,SUMIF('TL04'!$C$238:$C$451,$C44,'TL04'!$J$238:$J$451),0),
IF('TL05'!$B$3=N$3,SUMIF('TL05'!$C$10:$C$224,$C44,'TL05'!$J$10:$J$224),0),
IF('TL05'!$B$229=N$3,SUMIF('TL05'!$C$238:$C$451,$C44,'TL05'!$J$238:$J$451),0),
IF('TL06'!$B$3=N$3,SUMIF('TL06'!$C$10:$C$224,$C44,'TL06'!$J$10:$J$224),0),
IF('TL06'!$B$229=N$3,SUMIF('TL06'!$C$238:$C$451,$C44,'TL06'!$J$238:$J$451),0),
IF('TL07'!$B$3=N$3,SUMIF('TL07'!$C$10:$C$224,$C44,'TL07'!$J$10:$J$224),0),
IF('TL07'!$B$229=N$3,SUMIF('TL07'!$C$238:$C$451,$C44,'TL07'!$J$238:$J$451),0),
IF('TL08'!$B$3=N$3,SUMIF('TL08'!$C$10:$C$224,$C44,'TL08'!$J$10:$J$224),0),
IF('TL08'!$B$229=N$3,SUMIF('TL08'!$C$238:$C$451,$C44,'TL08'!$J$238:$J$451),0),
IF('TL09'!$B$3=N$3,SUMIF('TL09'!$C$10:$C$224,$C44,'TL09'!$J$10:$J$224),0),
IF('TL09'!$B$229=N$3,SUMIF('TL09'!$C$238:$C$451,$C44,'TL09'!$J$238:$J$451),0),
IF('TL10'!$B$3=N$3,SUMIF('TL10'!$C$10:$C$224,$C44,'TL10'!$J$10:$J$224),0),
IF('TL10'!$B$229=N$3,SUMIF('TL10'!$C$238:$C$451,$C44,'TL10'!$J$238:$J$451),0),
IF('TL11'!$B$3=N$3,SUMIF('TL11'!$C$10:$C$224,$C44,'TL11'!$J$10:$J$224),0),
IF('TL11'!$B$229=N$3,SUMIF('TL11'!$C$238:$C$451,$C44,'TL11'!$J$238:$J$451),0),
IF('TL12'!$B$3=N$3,SUMIF('TL12'!$C$10:$C$224,$C44,'TL12'!$J$10:$J$224),0),
IF('TL12'!$B$229=N$3,SUMIF('TL12'!$C$238:$C$451,$C44,'TL12'!$J$238:$J$451),0),
IF('TL13'!$B$3=N$3,SUMIF('TL13'!$C$10:$C$224,$C44,'TL13'!$J$10:$J$224),0),
IF('TL13'!$B$229=N$3,SUMIF('TL13'!$C$238:$C$451,$C44,'TL13'!$J$238:$J$451),0),
IF('TL14'!$B$3=N$3,SUMIF('TL14'!$C$10:$C$224,$C44,'TL14'!$J$10:$J$224),0),
IF('TL14'!$B$229=N$3,SUMIF('TL14'!$C$238:$C$451,$C44,'TL14'!$J$238:$J$451),0),
IF('TL15'!$B$3=N$3,SUMIF('TL15'!$C$10:$C$224,$C44,'TL15'!$J$10:$J$224),0),
IF('TL15'!$B$229=N$3,SUMIF('TL15'!$C$238:$C$451,$C44,'TL15'!$J$238:$J$451),0),
IF('TL16'!$B$3=N$3,SUMIF('TL16'!$C$10:$C$224,$C44,'TL16'!$J$10:$J$224),0),
IF('TL16'!$B$229=N$3,SUMIF('TL16'!$C$238:$C$451,$C44,'TL16'!$J$238:$J$451),0),
IF('TL17'!$B$3=N$3,SUMIF('TL17'!$C$10:$C$224,$C44,'TL17'!$J$10:$J$224),0),
IF('TL17'!$B$229=N$3,SUMIF('TL17'!$C$238:$C$451,$C44,'TL17'!$J$238:$J$451),0),
IF('TL18'!$B$3=N$3,SUMIF('TL18'!$C$10:$C$224,$C44,'TL18'!$J$10:$J$224),0),
IF('TL18'!$B$229=N$3,SUMIF('TL18'!$C$238:$C$451,$C44,'TL18'!$J$238:$J$451),0),
IF('TL19'!$B$3=N$3,SUMIF('TL19'!$C$10:$C$224,$C44,'TL19'!$J$10:$J$224),0),
IF('TL19'!$B$229=N$3,SUMIF('TL19'!$C$238:$C$451,$C44,'TL19'!$J$238:$J$451),0)
),0)</f>
        <v/>
      </c>
      <c r="O44" s="9">
        <f>IFERROR(SUM(
IF('TL01'!$B$3=O$3,SUMIF('TL01'!$C$10:$C$224,$C44,'TL01'!$J$10:$J$224),0),
IF('TL01'!$B$229=O$3,SUMIF('TL01'!$C$238:$C$451,$C44,'TL01'!$J$238:$J$451),0),
IF('TL02'!$B$3=O$3,SUMIF('TL02'!$C$10:$C$224,$C44,'TL02'!$J$10:$J$224),0),
IF('TL02'!$B$229=O$3,SUMIF('TL02'!$C$238:$C$451,$C44,'TL02'!$J$238:$J$451),0),
IF('TL03'!$B$3=O$3,SUMIF('TL03'!$C$10:$C$224,$C44,'TL03'!$J$10:$J$224),0),
IF('TL03'!$B$229=O$3,SUMIF('TL03'!$C$238:$C$451,$C44,'TL03'!$J$238:$J$451),0),
IF('TL04'!$B$3=O$3,SUMIF('TL04'!$C$10:$C$224,$C44,'TL04'!$J$10:$J$224),0),
IF('TL04'!$B$229=O$3,SUMIF('TL04'!$C$238:$C$451,$C44,'TL04'!$J$238:$J$451),0),
IF('TL05'!$B$3=O$3,SUMIF('TL05'!$C$10:$C$224,$C44,'TL05'!$J$10:$J$224),0),
IF('TL05'!$B$229=O$3,SUMIF('TL05'!$C$238:$C$451,$C44,'TL05'!$J$238:$J$451),0),
IF('TL06'!$B$3=O$3,SUMIF('TL06'!$C$10:$C$224,$C44,'TL06'!$J$10:$J$224),0),
IF('TL06'!$B$229=O$3,SUMIF('TL06'!$C$238:$C$451,$C44,'TL06'!$J$238:$J$451),0),
IF('TL07'!$B$3=O$3,SUMIF('TL07'!$C$10:$C$224,$C44,'TL07'!$J$10:$J$224),0),
IF('TL07'!$B$229=O$3,SUMIF('TL07'!$C$238:$C$451,$C44,'TL07'!$J$238:$J$451),0),
IF('TL08'!$B$3=O$3,SUMIF('TL08'!$C$10:$C$224,$C44,'TL08'!$J$10:$J$224),0),
IF('TL08'!$B$229=O$3,SUMIF('TL08'!$C$238:$C$451,$C44,'TL08'!$J$238:$J$451),0),
IF('TL09'!$B$3=O$3,SUMIF('TL09'!$C$10:$C$224,$C44,'TL09'!$J$10:$J$224),0),
IF('TL09'!$B$229=O$3,SUMIF('TL09'!$C$238:$C$451,$C44,'TL09'!$J$238:$J$451),0),
IF('TL10'!$B$3=O$3,SUMIF('TL10'!$C$10:$C$224,$C44,'TL10'!$J$10:$J$224),0),
IF('TL10'!$B$229=O$3,SUMIF('TL10'!$C$238:$C$451,$C44,'TL10'!$J$238:$J$451),0),
IF('TL11'!$B$3=O$3,SUMIF('TL11'!$C$10:$C$224,$C44,'TL11'!$J$10:$J$224),0),
IF('TL11'!$B$229=O$3,SUMIF('TL11'!$C$238:$C$451,$C44,'TL11'!$J$238:$J$451),0),
IF('TL12'!$B$3=O$3,SUMIF('TL12'!$C$10:$C$224,$C44,'TL12'!$J$10:$J$224),0),
IF('TL12'!$B$229=O$3,SUMIF('TL12'!$C$238:$C$451,$C44,'TL12'!$J$238:$J$451),0),
IF('TL13'!$B$3=O$3,SUMIF('TL13'!$C$10:$C$224,$C44,'TL13'!$J$10:$J$224),0),
IF('TL13'!$B$229=O$3,SUMIF('TL13'!$C$238:$C$451,$C44,'TL13'!$J$238:$J$451),0),
IF('TL14'!$B$3=O$3,SUMIF('TL14'!$C$10:$C$224,$C44,'TL14'!$J$10:$J$224),0),
IF('TL14'!$B$229=O$3,SUMIF('TL14'!$C$238:$C$451,$C44,'TL14'!$J$238:$J$451),0),
IF('TL15'!$B$3=O$3,SUMIF('TL15'!$C$10:$C$224,$C44,'TL15'!$J$10:$J$224),0),
IF('TL15'!$B$229=O$3,SUMIF('TL15'!$C$238:$C$451,$C44,'TL15'!$J$238:$J$451),0),
IF('TL16'!$B$3=O$3,SUMIF('TL16'!$C$10:$C$224,$C44,'TL16'!$J$10:$J$224),0),
IF('TL16'!$B$229=O$3,SUMIF('TL16'!$C$238:$C$451,$C44,'TL16'!$J$238:$J$451),0),
IF('TL17'!$B$3=O$3,SUMIF('TL17'!$C$10:$C$224,$C44,'TL17'!$J$10:$J$224),0),
IF('TL17'!$B$229=O$3,SUMIF('TL17'!$C$238:$C$451,$C44,'TL17'!$J$238:$J$451),0),
IF('TL18'!$B$3=O$3,SUMIF('TL18'!$C$10:$C$224,$C44,'TL18'!$J$10:$J$224),0),
IF('TL18'!$B$229=O$3,SUMIF('TL18'!$C$238:$C$451,$C44,'TL18'!$J$238:$J$451),0),
IF('TL19'!$B$3=O$3,SUMIF('TL19'!$C$10:$C$224,$C44,'TL19'!$J$10:$J$224),0),
IF('TL19'!$B$229=O$3,SUMIF('TL19'!$C$238:$C$451,$C44,'TL19'!$J$238:$J$451),0)
),0)</f>
        <v/>
      </c>
      <c r="P44" s="9">
        <f>IFERROR(SUM(
IF('TL01'!$B$3=P$3,SUMIF('TL01'!$C$10:$C$224,$C44,'TL01'!$J$10:$J$224),0),
IF('TL01'!$B$229=P$3,SUMIF('TL01'!$C$238:$C$451,$C44,'TL01'!$J$238:$J$451),0),
IF('TL02'!$B$3=P$3,SUMIF('TL02'!$C$10:$C$224,$C44,'TL02'!$J$10:$J$224),0),
IF('TL02'!$B$229=P$3,SUMIF('TL02'!$C$238:$C$451,$C44,'TL02'!$J$238:$J$451),0),
IF('TL03'!$B$3=P$3,SUMIF('TL03'!$C$10:$C$224,$C44,'TL03'!$J$10:$J$224),0),
IF('TL03'!$B$229=P$3,SUMIF('TL03'!$C$238:$C$451,$C44,'TL03'!$J$238:$J$451),0),
IF('TL04'!$B$3=P$3,SUMIF('TL04'!$C$10:$C$224,$C44,'TL04'!$J$10:$J$224),0),
IF('TL04'!$B$229=P$3,SUMIF('TL04'!$C$238:$C$451,$C44,'TL04'!$J$238:$J$451),0),
IF('TL05'!$B$3=P$3,SUMIF('TL05'!$C$10:$C$224,$C44,'TL05'!$J$10:$J$224),0),
IF('TL05'!$B$229=P$3,SUMIF('TL05'!$C$238:$C$451,$C44,'TL05'!$J$238:$J$451),0),
IF('TL06'!$B$3=P$3,SUMIF('TL06'!$C$10:$C$224,$C44,'TL06'!$J$10:$J$224),0),
IF('TL06'!$B$229=P$3,SUMIF('TL06'!$C$238:$C$451,$C44,'TL06'!$J$238:$J$451),0),
IF('TL07'!$B$3=P$3,SUMIF('TL07'!$C$10:$C$224,$C44,'TL07'!$J$10:$J$224),0),
IF('TL07'!$B$229=P$3,SUMIF('TL07'!$C$238:$C$451,$C44,'TL07'!$J$238:$J$451),0),
IF('TL08'!$B$3=P$3,SUMIF('TL08'!$C$10:$C$224,$C44,'TL08'!$J$10:$J$224),0),
IF('TL08'!$B$229=P$3,SUMIF('TL08'!$C$238:$C$451,$C44,'TL08'!$J$238:$J$451),0),
IF('TL09'!$B$3=P$3,SUMIF('TL09'!$C$10:$C$224,$C44,'TL09'!$J$10:$J$224),0),
IF('TL09'!$B$229=P$3,SUMIF('TL09'!$C$238:$C$451,$C44,'TL09'!$J$238:$J$451),0),
IF('TL10'!$B$3=P$3,SUMIF('TL10'!$C$10:$C$224,$C44,'TL10'!$J$10:$J$224),0),
IF('TL10'!$B$229=P$3,SUMIF('TL10'!$C$238:$C$451,$C44,'TL10'!$J$238:$J$451),0),
IF('TL11'!$B$3=P$3,SUMIF('TL11'!$C$10:$C$224,$C44,'TL11'!$J$10:$J$224),0),
IF('TL11'!$B$229=P$3,SUMIF('TL11'!$C$238:$C$451,$C44,'TL11'!$J$238:$J$451),0),
IF('TL12'!$B$3=P$3,SUMIF('TL12'!$C$10:$C$224,$C44,'TL12'!$J$10:$J$224),0),
IF('TL12'!$B$229=P$3,SUMIF('TL12'!$C$238:$C$451,$C44,'TL12'!$J$238:$J$451),0),
IF('TL13'!$B$3=P$3,SUMIF('TL13'!$C$10:$C$224,$C44,'TL13'!$J$10:$J$224),0),
IF('TL13'!$B$229=P$3,SUMIF('TL13'!$C$238:$C$451,$C44,'TL13'!$J$238:$J$451),0),
IF('TL14'!$B$3=P$3,SUMIF('TL14'!$C$10:$C$224,$C44,'TL14'!$J$10:$J$224),0),
IF('TL14'!$B$229=P$3,SUMIF('TL14'!$C$238:$C$451,$C44,'TL14'!$J$238:$J$451),0),
IF('TL15'!$B$3=P$3,SUMIF('TL15'!$C$10:$C$224,$C44,'TL15'!$J$10:$J$224),0),
IF('TL15'!$B$229=P$3,SUMIF('TL15'!$C$238:$C$451,$C44,'TL15'!$J$238:$J$451),0),
IF('TL16'!$B$3=P$3,SUMIF('TL16'!$C$10:$C$224,$C44,'TL16'!$J$10:$J$224),0),
IF('TL16'!$B$229=P$3,SUMIF('TL16'!$C$238:$C$451,$C44,'TL16'!$J$238:$J$451),0),
IF('TL17'!$B$3=P$3,SUMIF('TL17'!$C$10:$C$224,$C44,'TL17'!$J$10:$J$224),0),
IF('TL17'!$B$229=P$3,SUMIF('TL17'!$C$238:$C$451,$C44,'TL17'!$J$238:$J$451),0),
IF('TL18'!$B$3=P$3,SUMIF('TL18'!$C$10:$C$224,$C44,'TL18'!$J$10:$J$224),0),
IF('TL18'!$B$229=P$3,SUMIF('TL18'!$C$238:$C$451,$C44,'TL18'!$J$238:$J$451),0),
IF('TL19'!$B$3=P$3,SUMIF('TL19'!$C$10:$C$224,$C44,'TL19'!$J$10:$J$224),0),
IF('TL19'!$B$229=P$3,SUMIF('TL19'!$C$238:$C$451,$C44,'TL19'!$J$238:$J$451),0)
),0)</f>
        <v/>
      </c>
      <c r="Q44" s="9">
        <f>IFERROR(SUM(
IF('TL01'!$B$3=Q$3,SUMIF('TL01'!$C$10:$C$224,$C44,'TL01'!$J$10:$J$224),0),
IF('TL01'!$B$229=Q$3,SUMIF('TL01'!$C$238:$C$451,$C44,'TL01'!$J$238:$J$451),0),
IF('TL02'!$B$3=Q$3,SUMIF('TL02'!$C$10:$C$224,$C44,'TL02'!$J$10:$J$224),0),
IF('TL02'!$B$229=Q$3,SUMIF('TL02'!$C$238:$C$451,$C44,'TL02'!$J$238:$J$451),0),
IF('TL03'!$B$3=Q$3,SUMIF('TL03'!$C$10:$C$224,$C44,'TL03'!$J$10:$J$224),0),
IF('TL03'!$B$229=Q$3,SUMIF('TL03'!$C$238:$C$451,$C44,'TL03'!$J$238:$J$451),0),
IF('TL04'!$B$3=Q$3,SUMIF('TL04'!$C$10:$C$224,$C44,'TL04'!$J$10:$J$224),0),
IF('TL04'!$B$229=Q$3,SUMIF('TL04'!$C$238:$C$451,$C44,'TL04'!$J$238:$J$451),0),
IF('TL05'!$B$3=Q$3,SUMIF('TL05'!$C$10:$C$224,$C44,'TL05'!$J$10:$J$224),0),
IF('TL05'!$B$229=Q$3,SUMIF('TL05'!$C$238:$C$451,$C44,'TL05'!$J$238:$J$451),0),
IF('TL06'!$B$3=Q$3,SUMIF('TL06'!$C$10:$C$224,$C44,'TL06'!$J$10:$J$224),0),
IF('TL06'!$B$229=Q$3,SUMIF('TL06'!$C$238:$C$451,$C44,'TL06'!$J$238:$J$451),0),
IF('TL07'!$B$3=Q$3,SUMIF('TL07'!$C$10:$C$224,$C44,'TL07'!$J$10:$J$224),0),
IF('TL07'!$B$229=Q$3,SUMIF('TL07'!$C$238:$C$451,$C44,'TL07'!$J$238:$J$451),0),
IF('TL08'!$B$3=Q$3,SUMIF('TL08'!$C$10:$C$224,$C44,'TL08'!$J$10:$J$224),0),
IF('TL08'!$B$229=Q$3,SUMIF('TL08'!$C$238:$C$451,$C44,'TL08'!$J$238:$J$451),0),
IF('TL09'!$B$3=Q$3,SUMIF('TL09'!$C$10:$C$224,$C44,'TL09'!$J$10:$J$224),0),
IF('TL09'!$B$229=Q$3,SUMIF('TL09'!$C$238:$C$451,$C44,'TL09'!$J$238:$J$451),0),
IF('TL10'!$B$3=Q$3,SUMIF('TL10'!$C$10:$C$224,$C44,'TL10'!$J$10:$J$224),0),
IF('TL10'!$B$229=Q$3,SUMIF('TL10'!$C$238:$C$451,$C44,'TL10'!$J$238:$J$451),0),
IF('TL11'!$B$3=Q$3,SUMIF('TL11'!$C$10:$C$224,$C44,'TL11'!$J$10:$J$224),0),
IF('TL11'!$B$229=Q$3,SUMIF('TL11'!$C$238:$C$451,$C44,'TL11'!$J$238:$J$451),0),
IF('TL12'!$B$3=Q$3,SUMIF('TL12'!$C$10:$C$224,$C44,'TL12'!$J$10:$J$224),0),
IF('TL12'!$B$229=Q$3,SUMIF('TL12'!$C$238:$C$451,$C44,'TL12'!$J$238:$J$451),0),
IF('TL13'!$B$3=Q$3,SUMIF('TL13'!$C$10:$C$224,$C44,'TL13'!$J$10:$J$224),0),
IF('TL13'!$B$229=Q$3,SUMIF('TL13'!$C$238:$C$451,$C44,'TL13'!$J$238:$J$451),0),
IF('TL14'!$B$3=Q$3,SUMIF('TL14'!$C$10:$C$224,$C44,'TL14'!$J$10:$J$224),0),
IF('TL14'!$B$229=Q$3,SUMIF('TL14'!$C$238:$C$451,$C44,'TL14'!$J$238:$J$451),0),
IF('TL15'!$B$3=Q$3,SUMIF('TL15'!$C$10:$C$224,$C44,'TL15'!$J$10:$J$224),0),
IF('TL15'!$B$229=Q$3,SUMIF('TL15'!$C$238:$C$451,$C44,'TL15'!$J$238:$J$451),0),
IF('TL16'!$B$3=Q$3,SUMIF('TL16'!$C$10:$C$224,$C44,'TL16'!$J$10:$J$224),0),
IF('TL16'!$B$229=Q$3,SUMIF('TL16'!$C$238:$C$451,$C44,'TL16'!$J$238:$J$451),0),
IF('TL17'!$B$3=Q$3,SUMIF('TL17'!$C$10:$C$224,$C44,'TL17'!$J$10:$J$224),0),
IF('TL17'!$B$229=Q$3,SUMIF('TL17'!$C$238:$C$451,$C44,'TL17'!$J$238:$J$451),0),
IF('TL18'!$B$3=Q$3,SUMIF('TL18'!$C$10:$C$224,$C44,'TL18'!$J$10:$J$224),0),
IF('TL18'!$B$229=Q$3,SUMIF('TL18'!$C$238:$C$451,$C44,'TL18'!$J$238:$J$451),0),
IF('TL19'!$B$3=Q$3,SUMIF('TL19'!$C$10:$C$224,$C44,'TL19'!$J$10:$J$224),0),
IF('TL19'!$B$229=Q$3,SUMIF('TL19'!$C$238:$C$451,$C44,'TL19'!$J$238:$J$451),0)
),0)</f>
        <v/>
      </c>
      <c r="R44" s="9">
        <f>IFERROR(
SUM(
SUMIF('TL01'!C:C,C44,'TL01'!J:J),
SUMIF('TL02'!C:C,C44,'TL02'!J:J),
SUMIF('TL03'!C:C,C44,'TL03'!J:J),
SUMIF('TL04'!C:C,C44,'TL04'!J:J),
SUMIF('TL05'!C:C,C44,'TL05'!J:J),
SUMIF('TL06'!C:C,C44,'TL06'!J:J),
SUMIF('TL07'!C:C,C44,'TL07'!J:J),
SUMIF('TL08'!C:C,C44,'TL08'!J:J),
SUMIF('TL09'!C:C,C44,'TL09'!J:J),
SUMIF('TL10'!C:C,C44,'TL10'!J:J),
SUMIF('TL11'!C:C,C44,'TL11'!J:J),
SUMIF('TL12'!C:C,C44,'TL12'!J:J),
SUMIF('TL13'!C:C,C44,'TL13'!J:J),
SUMIF('TL14'!C:C,C44,'TL14'!J:J),
SUMIF('TL15'!C:C,C44,'TL15'!J:J),
SUMIF('TL16'!C:C,C44,'TL16'!J:J),
SUMIF('TL17'!C:C,C44,'TL17'!J:J),
SUMIF('TL18'!C:C,C44,'TL18'!J:J),SUMIF('TL19'!C:C,C44,'TL19'!J:J))
,0)</f>
        <v/>
      </c>
      <c r="S44" s="17">
        <f>IFERROR(__xludf.DUMMYFUNCTION("IFERROR(VLOOKUP(C44,
IMPORTRANGE(""1wULbzX32WdYsx-lj2U3uUNBBe2INVIRDtcK0d-Dvl90"",
""26-27!C:G""),
5,
FALSE),
"""")"),297.92736)</f>
        <v/>
      </c>
      <c r="T44" s="9" t="n"/>
      <c r="U44" s="92">
        <f>MAX(0,R44-T44)</f>
        <v/>
      </c>
      <c r="V44" s="93">
        <f>U44*S44</f>
        <v/>
      </c>
    </row>
    <row r="45" hidden="1" ht="15.75" customHeight="1" s="297">
      <c r="A45" s="111" t="inlineStr">
        <is>
          <t>BASF</t>
        </is>
      </c>
      <c r="B45" s="112" t="inlineStr">
        <is>
          <t>FUNGICIDA</t>
        </is>
      </c>
      <c r="C45" s="113" t="inlineStr">
        <is>
          <t>CANTUS</t>
        </is>
      </c>
      <c r="D45" s="113" t="inlineStr">
        <is>
          <t>BOSCALIDA</t>
        </is>
      </c>
      <c r="E45" s="113" t="n">
        <v>500</v>
      </c>
      <c r="F45" s="4" t="inlineStr">
        <is>
          <t>L</t>
        </is>
      </c>
      <c r="G45" s="90">
        <f>HYPERLINK("https://www.google.com/search?q=" &amp; C45 &amp; "+bula+agrofit+pdf", "📄 Ver bula")</f>
        <v/>
      </c>
      <c r="H45" s="9">
        <f>IFERROR(__xludf.DUMMYFUNCTION("IFERROR(VLOOKUP(C45,
IMPORTRANGE(""1wULbzX32WdYsx-lj2U3uUNBBe2INVIRDtcK0d-Dvl90"",
""26-27!C:K""),
8,
FALSE),
"""")"),0.3)</f>
        <v/>
      </c>
      <c r="I45" s="114" t="inlineStr">
        <is>
          <t>4x5</t>
        </is>
      </c>
      <c r="J45" s="9">
        <f>IFERROR(SUM(
IF('TL01'!$B$3=J$3,SUMIF('TL01'!$C$10:$C$224,$C45,'TL01'!$J$10:$J$224),0),
IF('TL01'!$B$229=J$3,SUMIF('TL01'!$C$238:$C$451,$C45,'TL01'!$J$238:$J$451),0),
IF('TL02'!$B$3=J$3,SUMIF('TL02'!$C$10:$C$224,$C45,'TL02'!$J$10:$J$224),0),
IF('TL02'!$B$229=J$3,SUMIF('TL02'!$C$238:$C$451,$C45,'TL02'!$J$238:$J$451),0),
IF('TL03'!$B$3=J$3,SUMIF('TL03'!$C$10:$C$224,$C45,'TL03'!$J$10:$J$224),0),
IF('TL03'!$B$229=J$3,SUMIF('TL03'!$C$238:$C$451,$C45,'TL03'!$J$238:$J$451),0),
IF('TL04'!$B$3=J$3,SUMIF('TL04'!$C$10:$C$224,$C45,'TL04'!$J$10:$J$224),0),
IF('TL04'!$B$229=J$3,SUMIF('TL04'!$C$238:$C$451,$C45,'TL04'!$J$238:$J$451),0),
IF('TL05'!$B$3=J$3,SUMIF('TL05'!$C$10:$C$224,$C45,'TL05'!$J$10:$J$224),0),
IF('TL05'!$B$229=J$3,SUMIF('TL05'!$C$238:$C$451,$C45,'TL05'!$J$238:$J$451),0),
IF('TL06'!$B$3=J$3,SUMIF('TL06'!$C$10:$C$224,$C45,'TL06'!$J$10:$J$224),0),
IF('TL06'!$B$229=J$3,SUMIF('TL06'!$C$238:$C$451,$C45,'TL06'!$J$238:$J$451),0),
IF('TL07'!$B$3=J$3,SUMIF('TL07'!$C$10:$C$224,$C45,'TL07'!$J$10:$J$224),0),
IF('TL07'!$B$229=J$3,SUMIF('TL07'!$C$238:$C$451,$C45,'TL07'!$J$238:$J$451),0),
IF('TL08'!$B$3=J$3,SUMIF('TL08'!$C$10:$C$224,$C45,'TL08'!$J$10:$J$224),0),
IF('TL08'!$B$229=J$3,SUMIF('TL08'!$C$238:$C$451,$C45,'TL08'!$J$238:$J$451),0),
IF('TL09'!$B$3=J$3,SUMIF('TL09'!$C$10:$C$224,$C45,'TL09'!$J$10:$J$224),0),
IF('TL09'!$B$229=J$3,SUMIF('TL09'!$C$238:$C$451,$C45,'TL09'!$J$238:$J$451),0),
IF('TL10'!$B$3=J$3,SUMIF('TL10'!$C$10:$C$224,$C45,'TL10'!$J$10:$J$224),0),
IF('TL10'!$B$229=J$3,SUMIF('TL10'!$C$238:$C$451,$C45,'TL10'!$J$238:$J$451),0),
IF('TL11'!$B$3=J$3,SUMIF('TL11'!$C$10:$C$224,$C45,'TL11'!$J$10:$J$224),0),
IF('TL11'!$B$229=J$3,SUMIF('TL11'!$C$238:$C$451,$C45,'TL11'!$J$238:$J$451),0),
IF('TL12'!$B$3=J$3,SUMIF('TL12'!$C$10:$C$224,$C45,'TL12'!$J$10:$J$224),0),
IF('TL12'!$B$229=J$3,SUMIF('TL12'!$C$238:$C$451,$C45,'TL12'!$J$238:$J$451),0),
IF('TL13'!$B$3=J$3,SUMIF('TL13'!$C$10:$C$224,$C45,'TL13'!$J$10:$J$224),0),
IF('TL13'!$B$229=J$3,SUMIF('TL13'!$C$238:$C$451,$C45,'TL13'!$J$238:$J$451),0),
IF('TL14'!$B$3=J$3,SUMIF('TL14'!$C$10:$C$224,$C45,'TL14'!$J$10:$J$224),0),
IF('TL14'!$B$229=J$3,SUMIF('TL14'!$C$238:$C$451,$C45,'TL14'!$J$238:$J$451),0),
IF('TL15'!$B$3=J$3,SUMIF('TL15'!$C$10:$C$224,$C45,'TL15'!$J$10:$J$224),0),
IF('TL15'!$B$229=J$3,SUMIF('TL15'!$C$238:$C$451,$C45,'TL15'!$J$238:$J$451),0),
IF('TL16'!$B$3=J$3,SUMIF('TL16'!$C$10:$C$224,$C45,'TL16'!$J$10:$J$224),0),
IF('TL16'!$B$229=J$3,SUMIF('TL16'!$C$238:$C$451,$C45,'TL16'!$J$238:$J$451),0),
IF('TL17'!$B$3=J$3,SUMIF('TL17'!$C$10:$C$224,$C45,'TL17'!$J$10:$J$224),0),
IF('TL17'!$B$229=J$3,SUMIF('TL17'!$C$238:$C$451,$C45,'TL17'!$J$238:$J$451),0),
IF('TL18'!$B$3=J$3,SUMIF('TL18'!$C$10:$C$224,$C45,'TL18'!$J$10:$J$224),0),
IF('TL18'!$B$229=J$3,SUMIF('TL18'!$C$238:$C$451,$C45,'TL18'!$J$238:$J$451),0),
IF('TL19'!$B$3=J$3,SUMIF('TL19'!$C$10:$C$224,$C45,'TL19'!$J$10:$J$224),0),
IF('TL19'!$B$229=J$3,SUMIF('TL19'!$C$238:$C$451,$C45,'TL19'!$J$238:$J$451),0)
),0)</f>
        <v/>
      </c>
      <c r="K45" s="9">
        <f>IFERROR(SUM(
IF('TL01'!$B$3=K$3,SUMIF('TL01'!$C$10:$C$224,$C45,'TL01'!$J$10:$J$224),0),
IF('TL01'!$B$229=K$3,SUMIF('TL01'!$C$238:$C$451,$C45,'TL01'!$J$238:$J$451),0),
IF('TL02'!$B$3=K$3,SUMIF('TL02'!$C$10:$C$224,$C45,'TL02'!$J$10:$J$224),0),
IF('TL02'!$B$229=K$3,SUMIF('TL02'!$C$238:$C$451,$C45,'TL02'!$J$238:$J$451),0),
IF('TL03'!$B$3=K$3,SUMIF('TL03'!$C$10:$C$224,$C45,'TL03'!$J$10:$J$224),0),
IF('TL03'!$B$229=K$3,SUMIF('TL03'!$C$238:$C$451,$C45,'TL03'!$J$238:$J$451),0),
IF('TL04'!$B$3=K$3,SUMIF('TL04'!$C$10:$C$224,$C45,'TL04'!$J$10:$J$224),0),
IF('TL04'!$B$229=K$3,SUMIF('TL04'!$C$238:$C$451,$C45,'TL04'!$J$238:$J$451),0),
IF('TL05'!$B$3=K$3,SUMIF('TL05'!$C$10:$C$224,$C45,'TL05'!$J$10:$J$224),0),
IF('TL05'!$B$229=K$3,SUMIF('TL05'!$C$238:$C$451,$C45,'TL05'!$J$238:$J$451),0),
IF('TL06'!$B$3=K$3,SUMIF('TL06'!$C$10:$C$224,$C45,'TL06'!$J$10:$J$224),0),
IF('TL06'!$B$229=K$3,SUMIF('TL06'!$C$238:$C$451,$C45,'TL06'!$J$238:$J$451),0),
IF('TL07'!$B$3=K$3,SUMIF('TL07'!$C$10:$C$224,$C45,'TL07'!$J$10:$J$224),0),
IF('TL07'!$B$229=K$3,SUMIF('TL07'!$C$238:$C$451,$C45,'TL07'!$J$238:$J$451),0),
IF('TL08'!$B$3=K$3,SUMIF('TL08'!$C$10:$C$224,$C45,'TL08'!$J$10:$J$224),0),
IF('TL08'!$B$229=K$3,SUMIF('TL08'!$C$238:$C$451,$C45,'TL08'!$J$238:$J$451),0),
IF('TL09'!$B$3=K$3,SUMIF('TL09'!$C$10:$C$224,$C45,'TL09'!$J$10:$J$224),0),
IF('TL09'!$B$229=K$3,SUMIF('TL09'!$C$238:$C$451,$C45,'TL09'!$J$238:$J$451),0),
IF('TL10'!$B$3=K$3,SUMIF('TL10'!$C$10:$C$224,$C45,'TL10'!$J$10:$J$224),0),
IF('TL10'!$B$229=K$3,SUMIF('TL10'!$C$238:$C$451,$C45,'TL10'!$J$238:$J$451),0),
IF('TL11'!$B$3=K$3,SUMIF('TL11'!$C$10:$C$224,$C45,'TL11'!$J$10:$J$224),0),
IF('TL11'!$B$229=K$3,SUMIF('TL11'!$C$238:$C$451,$C45,'TL11'!$J$238:$J$451),0),
IF('TL12'!$B$3=K$3,SUMIF('TL12'!$C$10:$C$224,$C45,'TL12'!$J$10:$J$224),0),
IF('TL12'!$B$229=K$3,SUMIF('TL12'!$C$238:$C$451,$C45,'TL12'!$J$238:$J$451),0),
IF('TL13'!$B$3=K$3,SUMIF('TL13'!$C$10:$C$224,$C45,'TL13'!$J$10:$J$224),0),
IF('TL13'!$B$229=K$3,SUMIF('TL13'!$C$238:$C$451,$C45,'TL13'!$J$238:$J$451),0),
IF('TL14'!$B$3=K$3,SUMIF('TL14'!$C$10:$C$224,$C45,'TL14'!$J$10:$J$224),0),
IF('TL14'!$B$229=K$3,SUMIF('TL14'!$C$238:$C$451,$C45,'TL14'!$J$238:$J$451),0),
IF('TL15'!$B$3=K$3,SUMIF('TL15'!$C$10:$C$224,$C45,'TL15'!$J$10:$J$224),0),
IF('TL15'!$B$229=K$3,SUMIF('TL15'!$C$238:$C$451,$C45,'TL15'!$J$238:$J$451),0),
IF('TL16'!$B$3=K$3,SUMIF('TL16'!$C$10:$C$224,$C45,'TL16'!$J$10:$J$224),0),
IF('TL16'!$B$229=K$3,SUMIF('TL16'!$C$238:$C$451,$C45,'TL16'!$J$238:$J$451),0),
IF('TL17'!$B$3=K$3,SUMIF('TL17'!$C$10:$C$224,$C45,'TL17'!$J$10:$J$224),0),
IF('TL17'!$B$229=K$3,SUMIF('TL17'!$C$238:$C$451,$C45,'TL17'!$J$238:$J$451),0),
IF('TL18'!$B$3=K$3,SUMIF('TL18'!$C$10:$C$224,$C45,'TL18'!$J$10:$J$224),0),
IF('TL18'!$B$229=K$3,SUMIF('TL18'!$C$238:$C$451,$C45,'TL18'!$J$238:$J$451),0),
IF('TL19'!$B$3=K$3,SUMIF('TL19'!$C$10:$C$224,$C45,'TL19'!$J$10:$J$224),0),
IF('TL19'!$B$229=K$3,SUMIF('TL19'!$C$238:$C$451,$C45,'TL19'!$J$238:$J$451),0)
),0)</f>
        <v/>
      </c>
      <c r="L45" s="9">
        <f>IFERROR(SUM(
IF('TL01'!$B$3=L$3,SUMIF('TL01'!$C$10:$C$224,$C45,'TL01'!$J$10:$J$224),0),
IF('TL01'!$B$229=L$3,SUMIF('TL01'!$C$238:$C$451,$C45,'TL01'!$J$238:$J$451),0),
IF('TL02'!$B$3=L$3,SUMIF('TL02'!$C$10:$C$224,$C45,'TL02'!$J$10:$J$224),0),
IF('TL02'!$B$229=L$3,SUMIF('TL02'!$C$238:$C$451,$C45,'TL02'!$J$238:$J$451),0),
IF('TL03'!$B$3=L$3,SUMIF('TL03'!$C$10:$C$224,$C45,'TL03'!$J$10:$J$224),0),
IF('TL03'!$B$229=L$3,SUMIF('TL03'!$C$238:$C$451,$C45,'TL03'!$J$238:$J$451),0),
IF('TL04'!$B$3=L$3,SUMIF('TL04'!$C$10:$C$224,$C45,'TL04'!$J$10:$J$224),0),
IF('TL04'!$B$229=L$3,SUMIF('TL04'!$C$238:$C$451,$C45,'TL04'!$J$238:$J$451),0),
IF('TL05'!$B$3=L$3,SUMIF('TL05'!$C$10:$C$224,$C45,'TL05'!$J$10:$J$224),0),
IF('TL05'!$B$229=L$3,SUMIF('TL05'!$C$238:$C$451,$C45,'TL05'!$J$238:$J$451),0),
IF('TL06'!$B$3=L$3,SUMIF('TL06'!$C$10:$C$224,$C45,'TL06'!$J$10:$J$224),0),
IF('TL06'!$B$229=L$3,SUMIF('TL06'!$C$238:$C$451,$C45,'TL06'!$J$238:$J$451),0),
IF('TL07'!$B$3=L$3,SUMIF('TL07'!$C$10:$C$224,$C45,'TL07'!$J$10:$J$224),0),
IF('TL07'!$B$229=L$3,SUMIF('TL07'!$C$238:$C$451,$C45,'TL07'!$J$238:$J$451),0),
IF('TL08'!$B$3=L$3,SUMIF('TL08'!$C$10:$C$224,$C45,'TL08'!$J$10:$J$224),0),
IF('TL08'!$B$229=L$3,SUMIF('TL08'!$C$238:$C$451,$C45,'TL08'!$J$238:$J$451),0),
IF('TL09'!$B$3=L$3,SUMIF('TL09'!$C$10:$C$224,$C45,'TL09'!$J$10:$J$224),0),
IF('TL09'!$B$229=L$3,SUMIF('TL09'!$C$238:$C$451,$C45,'TL09'!$J$238:$J$451),0),
IF('TL10'!$B$3=L$3,SUMIF('TL10'!$C$10:$C$224,$C45,'TL10'!$J$10:$J$224),0),
IF('TL10'!$B$229=L$3,SUMIF('TL10'!$C$238:$C$451,$C45,'TL10'!$J$238:$J$451),0),
IF('TL11'!$B$3=L$3,SUMIF('TL11'!$C$10:$C$224,$C45,'TL11'!$J$10:$J$224),0),
IF('TL11'!$B$229=L$3,SUMIF('TL11'!$C$238:$C$451,$C45,'TL11'!$J$238:$J$451),0),
IF('TL12'!$B$3=L$3,SUMIF('TL12'!$C$10:$C$224,$C45,'TL12'!$J$10:$J$224),0),
IF('TL12'!$B$229=L$3,SUMIF('TL12'!$C$238:$C$451,$C45,'TL12'!$J$238:$J$451),0),
IF('TL13'!$B$3=L$3,SUMIF('TL13'!$C$10:$C$224,$C45,'TL13'!$J$10:$J$224),0),
IF('TL13'!$B$229=L$3,SUMIF('TL13'!$C$238:$C$451,$C45,'TL13'!$J$238:$J$451),0),
IF('TL14'!$B$3=L$3,SUMIF('TL14'!$C$10:$C$224,$C45,'TL14'!$J$10:$J$224),0),
IF('TL14'!$B$229=L$3,SUMIF('TL14'!$C$238:$C$451,$C45,'TL14'!$J$238:$J$451),0),
IF('TL15'!$B$3=L$3,SUMIF('TL15'!$C$10:$C$224,$C45,'TL15'!$J$10:$J$224),0),
IF('TL15'!$B$229=L$3,SUMIF('TL15'!$C$238:$C$451,$C45,'TL15'!$J$238:$J$451),0),
IF('TL16'!$B$3=L$3,SUMIF('TL16'!$C$10:$C$224,$C45,'TL16'!$J$10:$J$224),0),
IF('TL16'!$B$229=L$3,SUMIF('TL16'!$C$238:$C$451,$C45,'TL16'!$J$238:$J$451),0),
IF('TL17'!$B$3=L$3,SUMIF('TL17'!$C$10:$C$224,$C45,'TL17'!$J$10:$J$224),0),
IF('TL17'!$B$229=L$3,SUMIF('TL17'!$C$238:$C$451,$C45,'TL17'!$J$238:$J$451),0),
IF('TL18'!$B$3=L$3,SUMIF('TL18'!$C$10:$C$224,$C45,'TL18'!$J$10:$J$224),0),
IF('TL18'!$B$229=L$3,SUMIF('TL18'!$C$238:$C$451,$C45,'TL18'!$J$238:$J$451),0),
IF('TL19'!$B$3=L$3,SUMIF('TL19'!$C$10:$C$224,$C45,'TL19'!$J$10:$J$224),0),
IF('TL19'!$B$229=L$3,SUMIF('TL19'!$C$238:$C$451,$C45,'TL19'!$J$238:$J$451),0)
),0)</f>
        <v/>
      </c>
      <c r="M45" s="9">
        <f>IFERROR(SUM(
IF('TL01'!$B$3=M$3,SUMIF('TL01'!$C$10:$C$224,$C45,'TL01'!$J$10:$J$224),0),
IF('TL01'!$B$229=M$3,SUMIF('TL01'!$C$238:$C$451,$C45,'TL01'!$J$238:$J$451),0),
IF('TL02'!$B$3=M$3,SUMIF('TL02'!$C$10:$C$224,$C45,'TL02'!$J$10:$J$224),0),
IF('TL02'!$B$229=M$3,SUMIF('TL02'!$C$238:$C$451,$C45,'TL02'!$J$238:$J$451),0),
IF('TL03'!$B$3=M$3,SUMIF('TL03'!$C$10:$C$224,$C45,'TL03'!$J$10:$J$224),0),
IF('TL03'!$B$229=M$3,SUMIF('TL03'!$C$238:$C$451,$C45,'TL03'!$J$238:$J$451),0),
IF('TL04'!$B$3=M$3,SUMIF('TL04'!$C$10:$C$224,$C45,'TL04'!$J$10:$J$224),0),
IF('TL04'!$B$229=M$3,SUMIF('TL04'!$C$238:$C$451,$C45,'TL04'!$J$238:$J$451),0),
IF('TL05'!$B$3=M$3,SUMIF('TL05'!$C$10:$C$224,$C45,'TL05'!$J$10:$J$224),0),
IF('TL05'!$B$229=M$3,SUMIF('TL05'!$C$238:$C$451,$C45,'TL05'!$J$238:$J$451),0),
IF('TL06'!$B$3=M$3,SUMIF('TL06'!$C$10:$C$224,$C45,'TL06'!$J$10:$J$224),0),
IF('TL06'!$B$229=M$3,SUMIF('TL06'!$C$238:$C$451,$C45,'TL06'!$J$238:$J$451),0),
IF('TL07'!$B$3=M$3,SUMIF('TL07'!$C$10:$C$224,$C45,'TL07'!$J$10:$J$224),0),
IF('TL07'!$B$229=M$3,SUMIF('TL07'!$C$238:$C$451,$C45,'TL07'!$J$238:$J$451),0),
IF('TL08'!$B$3=M$3,SUMIF('TL08'!$C$10:$C$224,$C45,'TL08'!$J$10:$J$224),0),
IF('TL08'!$B$229=M$3,SUMIF('TL08'!$C$238:$C$451,$C45,'TL08'!$J$238:$J$451),0),
IF('TL09'!$B$3=M$3,SUMIF('TL09'!$C$10:$C$224,$C45,'TL09'!$J$10:$J$224),0),
IF('TL09'!$B$229=M$3,SUMIF('TL09'!$C$238:$C$451,$C45,'TL09'!$J$238:$J$451),0),
IF('TL10'!$B$3=M$3,SUMIF('TL10'!$C$10:$C$224,$C45,'TL10'!$J$10:$J$224),0),
IF('TL10'!$B$229=M$3,SUMIF('TL10'!$C$238:$C$451,$C45,'TL10'!$J$238:$J$451),0),
IF('TL11'!$B$3=M$3,SUMIF('TL11'!$C$10:$C$224,$C45,'TL11'!$J$10:$J$224),0),
IF('TL11'!$B$229=M$3,SUMIF('TL11'!$C$238:$C$451,$C45,'TL11'!$J$238:$J$451),0),
IF('TL12'!$B$3=M$3,SUMIF('TL12'!$C$10:$C$224,$C45,'TL12'!$J$10:$J$224),0),
IF('TL12'!$B$229=M$3,SUMIF('TL12'!$C$238:$C$451,$C45,'TL12'!$J$238:$J$451),0),
IF('TL13'!$B$3=M$3,SUMIF('TL13'!$C$10:$C$224,$C45,'TL13'!$J$10:$J$224),0),
IF('TL13'!$B$229=M$3,SUMIF('TL13'!$C$238:$C$451,$C45,'TL13'!$J$238:$J$451),0),
IF('TL14'!$B$3=M$3,SUMIF('TL14'!$C$10:$C$224,$C45,'TL14'!$J$10:$J$224),0),
IF('TL14'!$B$229=M$3,SUMIF('TL14'!$C$238:$C$451,$C45,'TL14'!$J$238:$J$451),0),
IF('TL15'!$B$3=M$3,SUMIF('TL15'!$C$10:$C$224,$C45,'TL15'!$J$10:$J$224),0),
IF('TL15'!$B$229=M$3,SUMIF('TL15'!$C$238:$C$451,$C45,'TL15'!$J$238:$J$451),0),
IF('TL16'!$B$3=M$3,SUMIF('TL16'!$C$10:$C$224,$C45,'TL16'!$J$10:$J$224),0),
IF('TL16'!$B$229=M$3,SUMIF('TL16'!$C$238:$C$451,$C45,'TL16'!$J$238:$J$451),0),
IF('TL17'!$B$3=M$3,SUMIF('TL17'!$C$10:$C$224,$C45,'TL17'!$J$10:$J$224),0),
IF('TL17'!$B$229=M$3,SUMIF('TL17'!$C$238:$C$451,$C45,'TL17'!$J$238:$J$451),0),
IF('TL18'!$B$3=M$3,SUMIF('TL18'!$C$10:$C$224,$C45,'TL18'!$J$10:$J$224),0),
IF('TL18'!$B$229=M$3,SUMIF('TL18'!$C$238:$C$451,$C45,'TL18'!$J$238:$J$451),0),
IF('TL19'!$B$3=M$3,SUMIF('TL19'!$C$10:$C$224,$C45,'TL19'!$J$10:$J$224),0),
IF('TL19'!$B$229=M$3,SUMIF('TL19'!$C$238:$C$451,$C45,'TL19'!$J$238:$J$451),0)
),0)</f>
        <v/>
      </c>
      <c r="N45" s="9">
        <f>IFERROR(SUM(
IF('TL01'!$B$3=N$3,SUMIF('TL01'!$C$10:$C$224,$C45,'TL01'!$J$10:$J$224),0),
IF('TL01'!$B$229=N$3,SUMIF('TL01'!$C$238:$C$451,$C45,'TL01'!$J$238:$J$451),0),
IF('TL02'!$B$3=N$3,SUMIF('TL02'!$C$10:$C$224,$C45,'TL02'!$J$10:$J$224),0),
IF('TL02'!$B$229=N$3,SUMIF('TL02'!$C$238:$C$451,$C45,'TL02'!$J$238:$J$451),0),
IF('TL03'!$B$3=N$3,SUMIF('TL03'!$C$10:$C$224,$C45,'TL03'!$J$10:$J$224),0),
IF('TL03'!$B$229=N$3,SUMIF('TL03'!$C$238:$C$451,$C45,'TL03'!$J$238:$J$451),0),
IF('TL04'!$B$3=N$3,SUMIF('TL04'!$C$10:$C$224,$C45,'TL04'!$J$10:$J$224),0),
IF('TL04'!$B$229=N$3,SUMIF('TL04'!$C$238:$C$451,$C45,'TL04'!$J$238:$J$451),0),
IF('TL05'!$B$3=N$3,SUMIF('TL05'!$C$10:$C$224,$C45,'TL05'!$J$10:$J$224),0),
IF('TL05'!$B$229=N$3,SUMIF('TL05'!$C$238:$C$451,$C45,'TL05'!$J$238:$J$451),0),
IF('TL06'!$B$3=N$3,SUMIF('TL06'!$C$10:$C$224,$C45,'TL06'!$J$10:$J$224),0),
IF('TL06'!$B$229=N$3,SUMIF('TL06'!$C$238:$C$451,$C45,'TL06'!$J$238:$J$451),0),
IF('TL07'!$B$3=N$3,SUMIF('TL07'!$C$10:$C$224,$C45,'TL07'!$J$10:$J$224),0),
IF('TL07'!$B$229=N$3,SUMIF('TL07'!$C$238:$C$451,$C45,'TL07'!$J$238:$J$451),0),
IF('TL08'!$B$3=N$3,SUMIF('TL08'!$C$10:$C$224,$C45,'TL08'!$J$10:$J$224),0),
IF('TL08'!$B$229=N$3,SUMIF('TL08'!$C$238:$C$451,$C45,'TL08'!$J$238:$J$451),0),
IF('TL09'!$B$3=N$3,SUMIF('TL09'!$C$10:$C$224,$C45,'TL09'!$J$10:$J$224),0),
IF('TL09'!$B$229=N$3,SUMIF('TL09'!$C$238:$C$451,$C45,'TL09'!$J$238:$J$451),0),
IF('TL10'!$B$3=N$3,SUMIF('TL10'!$C$10:$C$224,$C45,'TL10'!$J$10:$J$224),0),
IF('TL10'!$B$229=N$3,SUMIF('TL10'!$C$238:$C$451,$C45,'TL10'!$J$238:$J$451),0),
IF('TL11'!$B$3=N$3,SUMIF('TL11'!$C$10:$C$224,$C45,'TL11'!$J$10:$J$224),0),
IF('TL11'!$B$229=N$3,SUMIF('TL11'!$C$238:$C$451,$C45,'TL11'!$J$238:$J$451),0),
IF('TL12'!$B$3=N$3,SUMIF('TL12'!$C$10:$C$224,$C45,'TL12'!$J$10:$J$224),0),
IF('TL12'!$B$229=N$3,SUMIF('TL12'!$C$238:$C$451,$C45,'TL12'!$J$238:$J$451),0),
IF('TL13'!$B$3=N$3,SUMIF('TL13'!$C$10:$C$224,$C45,'TL13'!$J$10:$J$224),0),
IF('TL13'!$B$229=N$3,SUMIF('TL13'!$C$238:$C$451,$C45,'TL13'!$J$238:$J$451),0),
IF('TL14'!$B$3=N$3,SUMIF('TL14'!$C$10:$C$224,$C45,'TL14'!$J$10:$J$224),0),
IF('TL14'!$B$229=N$3,SUMIF('TL14'!$C$238:$C$451,$C45,'TL14'!$J$238:$J$451),0),
IF('TL15'!$B$3=N$3,SUMIF('TL15'!$C$10:$C$224,$C45,'TL15'!$J$10:$J$224),0),
IF('TL15'!$B$229=N$3,SUMIF('TL15'!$C$238:$C$451,$C45,'TL15'!$J$238:$J$451),0),
IF('TL16'!$B$3=N$3,SUMIF('TL16'!$C$10:$C$224,$C45,'TL16'!$J$10:$J$224),0),
IF('TL16'!$B$229=N$3,SUMIF('TL16'!$C$238:$C$451,$C45,'TL16'!$J$238:$J$451),0),
IF('TL17'!$B$3=N$3,SUMIF('TL17'!$C$10:$C$224,$C45,'TL17'!$J$10:$J$224),0),
IF('TL17'!$B$229=N$3,SUMIF('TL17'!$C$238:$C$451,$C45,'TL17'!$J$238:$J$451),0),
IF('TL18'!$B$3=N$3,SUMIF('TL18'!$C$10:$C$224,$C45,'TL18'!$J$10:$J$224),0),
IF('TL18'!$B$229=N$3,SUMIF('TL18'!$C$238:$C$451,$C45,'TL18'!$J$238:$J$451),0),
IF('TL19'!$B$3=N$3,SUMIF('TL19'!$C$10:$C$224,$C45,'TL19'!$J$10:$J$224),0),
IF('TL19'!$B$229=N$3,SUMIF('TL19'!$C$238:$C$451,$C45,'TL19'!$J$238:$J$451),0)
),0)</f>
        <v/>
      </c>
      <c r="O45" s="9">
        <f>IFERROR(SUM(
IF('TL01'!$B$3=O$3,SUMIF('TL01'!$C$10:$C$224,$C45,'TL01'!$J$10:$J$224),0),
IF('TL01'!$B$229=O$3,SUMIF('TL01'!$C$238:$C$451,$C45,'TL01'!$J$238:$J$451),0),
IF('TL02'!$B$3=O$3,SUMIF('TL02'!$C$10:$C$224,$C45,'TL02'!$J$10:$J$224),0),
IF('TL02'!$B$229=O$3,SUMIF('TL02'!$C$238:$C$451,$C45,'TL02'!$J$238:$J$451),0),
IF('TL03'!$B$3=O$3,SUMIF('TL03'!$C$10:$C$224,$C45,'TL03'!$J$10:$J$224),0),
IF('TL03'!$B$229=O$3,SUMIF('TL03'!$C$238:$C$451,$C45,'TL03'!$J$238:$J$451),0),
IF('TL04'!$B$3=O$3,SUMIF('TL04'!$C$10:$C$224,$C45,'TL04'!$J$10:$J$224),0),
IF('TL04'!$B$229=O$3,SUMIF('TL04'!$C$238:$C$451,$C45,'TL04'!$J$238:$J$451),0),
IF('TL05'!$B$3=O$3,SUMIF('TL05'!$C$10:$C$224,$C45,'TL05'!$J$10:$J$224),0),
IF('TL05'!$B$229=O$3,SUMIF('TL05'!$C$238:$C$451,$C45,'TL05'!$J$238:$J$451),0),
IF('TL06'!$B$3=O$3,SUMIF('TL06'!$C$10:$C$224,$C45,'TL06'!$J$10:$J$224),0),
IF('TL06'!$B$229=O$3,SUMIF('TL06'!$C$238:$C$451,$C45,'TL06'!$J$238:$J$451),0),
IF('TL07'!$B$3=O$3,SUMIF('TL07'!$C$10:$C$224,$C45,'TL07'!$J$10:$J$224),0),
IF('TL07'!$B$229=O$3,SUMIF('TL07'!$C$238:$C$451,$C45,'TL07'!$J$238:$J$451),0),
IF('TL08'!$B$3=O$3,SUMIF('TL08'!$C$10:$C$224,$C45,'TL08'!$J$10:$J$224),0),
IF('TL08'!$B$229=O$3,SUMIF('TL08'!$C$238:$C$451,$C45,'TL08'!$J$238:$J$451),0),
IF('TL09'!$B$3=O$3,SUMIF('TL09'!$C$10:$C$224,$C45,'TL09'!$J$10:$J$224),0),
IF('TL09'!$B$229=O$3,SUMIF('TL09'!$C$238:$C$451,$C45,'TL09'!$J$238:$J$451),0),
IF('TL10'!$B$3=O$3,SUMIF('TL10'!$C$10:$C$224,$C45,'TL10'!$J$10:$J$224),0),
IF('TL10'!$B$229=O$3,SUMIF('TL10'!$C$238:$C$451,$C45,'TL10'!$J$238:$J$451),0),
IF('TL11'!$B$3=O$3,SUMIF('TL11'!$C$10:$C$224,$C45,'TL11'!$J$10:$J$224),0),
IF('TL11'!$B$229=O$3,SUMIF('TL11'!$C$238:$C$451,$C45,'TL11'!$J$238:$J$451),0),
IF('TL12'!$B$3=O$3,SUMIF('TL12'!$C$10:$C$224,$C45,'TL12'!$J$10:$J$224),0),
IF('TL12'!$B$229=O$3,SUMIF('TL12'!$C$238:$C$451,$C45,'TL12'!$J$238:$J$451),0),
IF('TL13'!$B$3=O$3,SUMIF('TL13'!$C$10:$C$224,$C45,'TL13'!$J$10:$J$224),0),
IF('TL13'!$B$229=O$3,SUMIF('TL13'!$C$238:$C$451,$C45,'TL13'!$J$238:$J$451),0),
IF('TL14'!$B$3=O$3,SUMIF('TL14'!$C$10:$C$224,$C45,'TL14'!$J$10:$J$224),0),
IF('TL14'!$B$229=O$3,SUMIF('TL14'!$C$238:$C$451,$C45,'TL14'!$J$238:$J$451),0),
IF('TL15'!$B$3=O$3,SUMIF('TL15'!$C$10:$C$224,$C45,'TL15'!$J$10:$J$224),0),
IF('TL15'!$B$229=O$3,SUMIF('TL15'!$C$238:$C$451,$C45,'TL15'!$J$238:$J$451),0),
IF('TL16'!$B$3=O$3,SUMIF('TL16'!$C$10:$C$224,$C45,'TL16'!$J$10:$J$224),0),
IF('TL16'!$B$229=O$3,SUMIF('TL16'!$C$238:$C$451,$C45,'TL16'!$J$238:$J$451),0),
IF('TL17'!$B$3=O$3,SUMIF('TL17'!$C$10:$C$224,$C45,'TL17'!$J$10:$J$224),0),
IF('TL17'!$B$229=O$3,SUMIF('TL17'!$C$238:$C$451,$C45,'TL17'!$J$238:$J$451),0),
IF('TL18'!$B$3=O$3,SUMIF('TL18'!$C$10:$C$224,$C45,'TL18'!$J$10:$J$224),0),
IF('TL18'!$B$229=O$3,SUMIF('TL18'!$C$238:$C$451,$C45,'TL18'!$J$238:$J$451),0),
IF('TL19'!$B$3=O$3,SUMIF('TL19'!$C$10:$C$224,$C45,'TL19'!$J$10:$J$224),0),
IF('TL19'!$B$229=O$3,SUMIF('TL19'!$C$238:$C$451,$C45,'TL19'!$J$238:$J$451),0)
),0)</f>
        <v/>
      </c>
      <c r="P45" s="9">
        <f>IFERROR(SUM(
IF('TL01'!$B$3=P$3,SUMIF('TL01'!$C$10:$C$224,$C45,'TL01'!$J$10:$J$224),0),
IF('TL01'!$B$229=P$3,SUMIF('TL01'!$C$238:$C$451,$C45,'TL01'!$J$238:$J$451),0),
IF('TL02'!$B$3=P$3,SUMIF('TL02'!$C$10:$C$224,$C45,'TL02'!$J$10:$J$224),0),
IF('TL02'!$B$229=P$3,SUMIF('TL02'!$C$238:$C$451,$C45,'TL02'!$J$238:$J$451),0),
IF('TL03'!$B$3=P$3,SUMIF('TL03'!$C$10:$C$224,$C45,'TL03'!$J$10:$J$224),0),
IF('TL03'!$B$229=P$3,SUMIF('TL03'!$C$238:$C$451,$C45,'TL03'!$J$238:$J$451),0),
IF('TL04'!$B$3=P$3,SUMIF('TL04'!$C$10:$C$224,$C45,'TL04'!$J$10:$J$224),0),
IF('TL04'!$B$229=P$3,SUMIF('TL04'!$C$238:$C$451,$C45,'TL04'!$J$238:$J$451),0),
IF('TL05'!$B$3=P$3,SUMIF('TL05'!$C$10:$C$224,$C45,'TL05'!$J$10:$J$224),0),
IF('TL05'!$B$229=P$3,SUMIF('TL05'!$C$238:$C$451,$C45,'TL05'!$J$238:$J$451),0),
IF('TL06'!$B$3=P$3,SUMIF('TL06'!$C$10:$C$224,$C45,'TL06'!$J$10:$J$224),0),
IF('TL06'!$B$229=P$3,SUMIF('TL06'!$C$238:$C$451,$C45,'TL06'!$J$238:$J$451),0),
IF('TL07'!$B$3=P$3,SUMIF('TL07'!$C$10:$C$224,$C45,'TL07'!$J$10:$J$224),0),
IF('TL07'!$B$229=P$3,SUMIF('TL07'!$C$238:$C$451,$C45,'TL07'!$J$238:$J$451),0),
IF('TL08'!$B$3=P$3,SUMIF('TL08'!$C$10:$C$224,$C45,'TL08'!$J$10:$J$224),0),
IF('TL08'!$B$229=P$3,SUMIF('TL08'!$C$238:$C$451,$C45,'TL08'!$J$238:$J$451),0),
IF('TL09'!$B$3=P$3,SUMIF('TL09'!$C$10:$C$224,$C45,'TL09'!$J$10:$J$224),0),
IF('TL09'!$B$229=P$3,SUMIF('TL09'!$C$238:$C$451,$C45,'TL09'!$J$238:$J$451),0),
IF('TL10'!$B$3=P$3,SUMIF('TL10'!$C$10:$C$224,$C45,'TL10'!$J$10:$J$224),0),
IF('TL10'!$B$229=P$3,SUMIF('TL10'!$C$238:$C$451,$C45,'TL10'!$J$238:$J$451),0),
IF('TL11'!$B$3=P$3,SUMIF('TL11'!$C$10:$C$224,$C45,'TL11'!$J$10:$J$224),0),
IF('TL11'!$B$229=P$3,SUMIF('TL11'!$C$238:$C$451,$C45,'TL11'!$J$238:$J$451),0),
IF('TL12'!$B$3=P$3,SUMIF('TL12'!$C$10:$C$224,$C45,'TL12'!$J$10:$J$224),0),
IF('TL12'!$B$229=P$3,SUMIF('TL12'!$C$238:$C$451,$C45,'TL12'!$J$238:$J$451),0),
IF('TL13'!$B$3=P$3,SUMIF('TL13'!$C$10:$C$224,$C45,'TL13'!$J$10:$J$224),0),
IF('TL13'!$B$229=P$3,SUMIF('TL13'!$C$238:$C$451,$C45,'TL13'!$J$238:$J$451),0),
IF('TL14'!$B$3=P$3,SUMIF('TL14'!$C$10:$C$224,$C45,'TL14'!$J$10:$J$224),0),
IF('TL14'!$B$229=P$3,SUMIF('TL14'!$C$238:$C$451,$C45,'TL14'!$J$238:$J$451),0),
IF('TL15'!$B$3=P$3,SUMIF('TL15'!$C$10:$C$224,$C45,'TL15'!$J$10:$J$224),0),
IF('TL15'!$B$229=P$3,SUMIF('TL15'!$C$238:$C$451,$C45,'TL15'!$J$238:$J$451),0),
IF('TL16'!$B$3=P$3,SUMIF('TL16'!$C$10:$C$224,$C45,'TL16'!$J$10:$J$224),0),
IF('TL16'!$B$229=P$3,SUMIF('TL16'!$C$238:$C$451,$C45,'TL16'!$J$238:$J$451),0),
IF('TL17'!$B$3=P$3,SUMIF('TL17'!$C$10:$C$224,$C45,'TL17'!$J$10:$J$224),0),
IF('TL17'!$B$229=P$3,SUMIF('TL17'!$C$238:$C$451,$C45,'TL17'!$J$238:$J$451),0),
IF('TL18'!$B$3=P$3,SUMIF('TL18'!$C$10:$C$224,$C45,'TL18'!$J$10:$J$224),0),
IF('TL18'!$B$229=P$3,SUMIF('TL18'!$C$238:$C$451,$C45,'TL18'!$J$238:$J$451),0),
IF('TL19'!$B$3=P$3,SUMIF('TL19'!$C$10:$C$224,$C45,'TL19'!$J$10:$J$224),0),
IF('TL19'!$B$229=P$3,SUMIF('TL19'!$C$238:$C$451,$C45,'TL19'!$J$238:$J$451),0)
),0)</f>
        <v/>
      </c>
      <c r="Q45" s="9">
        <f>IFERROR(SUM(
IF('TL01'!$B$3=Q$3,SUMIF('TL01'!$C$10:$C$224,$C45,'TL01'!$J$10:$J$224),0),
IF('TL01'!$B$229=Q$3,SUMIF('TL01'!$C$238:$C$451,$C45,'TL01'!$J$238:$J$451),0),
IF('TL02'!$B$3=Q$3,SUMIF('TL02'!$C$10:$C$224,$C45,'TL02'!$J$10:$J$224),0),
IF('TL02'!$B$229=Q$3,SUMIF('TL02'!$C$238:$C$451,$C45,'TL02'!$J$238:$J$451),0),
IF('TL03'!$B$3=Q$3,SUMIF('TL03'!$C$10:$C$224,$C45,'TL03'!$J$10:$J$224),0),
IF('TL03'!$B$229=Q$3,SUMIF('TL03'!$C$238:$C$451,$C45,'TL03'!$J$238:$J$451),0),
IF('TL04'!$B$3=Q$3,SUMIF('TL04'!$C$10:$C$224,$C45,'TL04'!$J$10:$J$224),0),
IF('TL04'!$B$229=Q$3,SUMIF('TL04'!$C$238:$C$451,$C45,'TL04'!$J$238:$J$451),0),
IF('TL05'!$B$3=Q$3,SUMIF('TL05'!$C$10:$C$224,$C45,'TL05'!$J$10:$J$224),0),
IF('TL05'!$B$229=Q$3,SUMIF('TL05'!$C$238:$C$451,$C45,'TL05'!$J$238:$J$451),0),
IF('TL06'!$B$3=Q$3,SUMIF('TL06'!$C$10:$C$224,$C45,'TL06'!$J$10:$J$224),0),
IF('TL06'!$B$229=Q$3,SUMIF('TL06'!$C$238:$C$451,$C45,'TL06'!$J$238:$J$451),0),
IF('TL07'!$B$3=Q$3,SUMIF('TL07'!$C$10:$C$224,$C45,'TL07'!$J$10:$J$224),0),
IF('TL07'!$B$229=Q$3,SUMIF('TL07'!$C$238:$C$451,$C45,'TL07'!$J$238:$J$451),0),
IF('TL08'!$B$3=Q$3,SUMIF('TL08'!$C$10:$C$224,$C45,'TL08'!$J$10:$J$224),0),
IF('TL08'!$B$229=Q$3,SUMIF('TL08'!$C$238:$C$451,$C45,'TL08'!$J$238:$J$451),0),
IF('TL09'!$B$3=Q$3,SUMIF('TL09'!$C$10:$C$224,$C45,'TL09'!$J$10:$J$224),0),
IF('TL09'!$B$229=Q$3,SUMIF('TL09'!$C$238:$C$451,$C45,'TL09'!$J$238:$J$451),0),
IF('TL10'!$B$3=Q$3,SUMIF('TL10'!$C$10:$C$224,$C45,'TL10'!$J$10:$J$224),0),
IF('TL10'!$B$229=Q$3,SUMIF('TL10'!$C$238:$C$451,$C45,'TL10'!$J$238:$J$451),0),
IF('TL11'!$B$3=Q$3,SUMIF('TL11'!$C$10:$C$224,$C45,'TL11'!$J$10:$J$224),0),
IF('TL11'!$B$229=Q$3,SUMIF('TL11'!$C$238:$C$451,$C45,'TL11'!$J$238:$J$451),0),
IF('TL12'!$B$3=Q$3,SUMIF('TL12'!$C$10:$C$224,$C45,'TL12'!$J$10:$J$224),0),
IF('TL12'!$B$229=Q$3,SUMIF('TL12'!$C$238:$C$451,$C45,'TL12'!$J$238:$J$451),0),
IF('TL13'!$B$3=Q$3,SUMIF('TL13'!$C$10:$C$224,$C45,'TL13'!$J$10:$J$224),0),
IF('TL13'!$B$229=Q$3,SUMIF('TL13'!$C$238:$C$451,$C45,'TL13'!$J$238:$J$451),0),
IF('TL14'!$B$3=Q$3,SUMIF('TL14'!$C$10:$C$224,$C45,'TL14'!$J$10:$J$224),0),
IF('TL14'!$B$229=Q$3,SUMIF('TL14'!$C$238:$C$451,$C45,'TL14'!$J$238:$J$451),0),
IF('TL15'!$B$3=Q$3,SUMIF('TL15'!$C$10:$C$224,$C45,'TL15'!$J$10:$J$224),0),
IF('TL15'!$B$229=Q$3,SUMIF('TL15'!$C$238:$C$451,$C45,'TL15'!$J$238:$J$451),0),
IF('TL16'!$B$3=Q$3,SUMIF('TL16'!$C$10:$C$224,$C45,'TL16'!$J$10:$J$224),0),
IF('TL16'!$B$229=Q$3,SUMIF('TL16'!$C$238:$C$451,$C45,'TL16'!$J$238:$J$451),0),
IF('TL17'!$B$3=Q$3,SUMIF('TL17'!$C$10:$C$224,$C45,'TL17'!$J$10:$J$224),0),
IF('TL17'!$B$229=Q$3,SUMIF('TL17'!$C$238:$C$451,$C45,'TL17'!$J$238:$J$451),0),
IF('TL18'!$B$3=Q$3,SUMIF('TL18'!$C$10:$C$224,$C45,'TL18'!$J$10:$J$224),0),
IF('TL18'!$B$229=Q$3,SUMIF('TL18'!$C$238:$C$451,$C45,'TL18'!$J$238:$J$451),0),
IF('TL19'!$B$3=Q$3,SUMIF('TL19'!$C$10:$C$224,$C45,'TL19'!$J$10:$J$224),0),
IF('TL19'!$B$229=Q$3,SUMIF('TL19'!$C$238:$C$451,$C45,'TL19'!$J$238:$J$451),0)
),0)</f>
        <v/>
      </c>
      <c r="R45" s="9">
        <f>IFERROR(
SUM(
SUMIF('TL01'!C:C,C45,'TL01'!J:J),
SUMIF('TL02'!C:C,C45,'TL02'!J:J),
SUMIF('TL03'!C:C,C45,'TL03'!J:J),
SUMIF('TL04'!C:C,C45,'TL04'!J:J),
SUMIF('TL05'!C:C,C45,'TL05'!J:J),
SUMIF('TL06'!C:C,C45,'TL06'!J:J),
SUMIF('TL07'!C:C,C45,'TL07'!J:J),
SUMIF('TL08'!C:C,C45,'TL08'!J:J),
SUMIF('TL09'!C:C,C45,'TL09'!J:J),
SUMIF('TL10'!C:C,C45,'TL10'!J:J),
SUMIF('TL11'!C:C,C45,'TL11'!J:J),
SUMIF('TL12'!C:C,C45,'TL12'!J:J),
SUMIF('TL13'!C:C,C45,'TL13'!J:J),
SUMIF('TL14'!C:C,C45,'TL14'!J:J),
SUMIF('TL15'!C:C,C45,'TL15'!J:J),
SUMIF('TL16'!C:C,C45,'TL16'!J:J),
SUMIF('TL17'!C:C,C45,'TL17'!J:J),
SUMIF('TL18'!C:C,C45,'TL18'!J:J),SUMIF('TL19'!C:C,C45,'TL19'!J:J))
,0)</f>
        <v/>
      </c>
      <c r="S45" s="17">
        <f>IFERROR(__xludf.DUMMYFUNCTION("IFERROR(VLOOKUP(C45,
IMPORTRANGE(""1wULbzX32WdYsx-lj2U3uUNBBe2INVIRDtcK0d-Dvl90"",
""26-27!C:G""),
5,
FALSE),
"""")"),421.71408)</f>
        <v/>
      </c>
      <c r="T45" s="9" t="n"/>
      <c r="U45" s="92">
        <f>MAX(0,R45-T45)</f>
        <v/>
      </c>
      <c r="V45" s="93">
        <f>U45*S45</f>
        <v/>
      </c>
    </row>
    <row r="46" hidden="1" ht="15.75" customHeight="1" s="297">
      <c r="A46" s="115" t="inlineStr">
        <is>
          <t>BASF</t>
        </is>
      </c>
      <c r="B46" s="100" t="inlineStr">
        <is>
          <t>FUNGICIDA</t>
        </is>
      </c>
      <c r="C46" s="116" t="inlineStr">
        <is>
          <t>KEYRA</t>
        </is>
      </c>
      <c r="D46" s="116" t="inlineStr">
        <is>
          <t>FENPROPIMORFE + MEFENTRIFLUCONAZOL</t>
        </is>
      </c>
      <c r="E46" s="116" t="inlineStr">
        <is>
          <t>400 + 150</t>
        </is>
      </c>
      <c r="F46" s="4" t="inlineStr">
        <is>
          <t>L</t>
        </is>
      </c>
      <c r="G46" s="90">
        <f>HYPERLINK("https://www.google.com/search?q=" &amp; C46 &amp; "+bula+agrofit+pdf", "📄 Ver bula")</f>
        <v/>
      </c>
      <c r="H46" s="9">
        <f>IFERROR(__xludf.DUMMYFUNCTION("IFERROR(VLOOKUP(C46,
IMPORTRANGE(""1wULbzX32WdYsx-lj2U3uUNBBe2INVIRDtcK0d-Dvl90"",
""26-27!C:K""),
8,
FALSE),
"""")"),0.75)</f>
        <v/>
      </c>
      <c r="I46" s="117" t="inlineStr">
        <is>
          <t>2X10</t>
        </is>
      </c>
      <c r="J46" s="9">
        <f>IFERROR(SUM(
IF('TL01'!$B$3=J$3,SUMIF('TL01'!$C$10:$C$224,$C46,'TL01'!$J$10:$J$224),0),
IF('TL01'!$B$229=J$3,SUMIF('TL01'!$C$238:$C$451,$C46,'TL01'!$J$238:$J$451),0),
IF('TL02'!$B$3=J$3,SUMIF('TL02'!$C$10:$C$224,$C46,'TL02'!$J$10:$J$224),0),
IF('TL02'!$B$229=J$3,SUMIF('TL02'!$C$238:$C$451,$C46,'TL02'!$J$238:$J$451),0),
IF('TL03'!$B$3=J$3,SUMIF('TL03'!$C$10:$C$224,$C46,'TL03'!$J$10:$J$224),0),
IF('TL03'!$B$229=J$3,SUMIF('TL03'!$C$238:$C$451,$C46,'TL03'!$J$238:$J$451),0),
IF('TL04'!$B$3=J$3,SUMIF('TL04'!$C$10:$C$224,$C46,'TL04'!$J$10:$J$224),0),
IF('TL04'!$B$229=J$3,SUMIF('TL04'!$C$238:$C$451,$C46,'TL04'!$J$238:$J$451),0),
IF('TL05'!$B$3=J$3,SUMIF('TL05'!$C$10:$C$224,$C46,'TL05'!$J$10:$J$224),0),
IF('TL05'!$B$229=J$3,SUMIF('TL05'!$C$238:$C$451,$C46,'TL05'!$J$238:$J$451),0),
IF('TL06'!$B$3=J$3,SUMIF('TL06'!$C$10:$C$224,$C46,'TL06'!$J$10:$J$224),0),
IF('TL06'!$B$229=J$3,SUMIF('TL06'!$C$238:$C$451,$C46,'TL06'!$J$238:$J$451),0),
IF('TL07'!$B$3=J$3,SUMIF('TL07'!$C$10:$C$224,$C46,'TL07'!$J$10:$J$224),0),
IF('TL07'!$B$229=J$3,SUMIF('TL07'!$C$238:$C$451,$C46,'TL07'!$J$238:$J$451),0),
IF('TL08'!$B$3=J$3,SUMIF('TL08'!$C$10:$C$224,$C46,'TL08'!$J$10:$J$224),0),
IF('TL08'!$B$229=J$3,SUMIF('TL08'!$C$238:$C$451,$C46,'TL08'!$J$238:$J$451),0),
IF('TL09'!$B$3=J$3,SUMIF('TL09'!$C$10:$C$224,$C46,'TL09'!$J$10:$J$224),0),
IF('TL09'!$B$229=J$3,SUMIF('TL09'!$C$238:$C$451,$C46,'TL09'!$J$238:$J$451),0),
IF('TL10'!$B$3=J$3,SUMIF('TL10'!$C$10:$C$224,$C46,'TL10'!$J$10:$J$224),0),
IF('TL10'!$B$229=J$3,SUMIF('TL10'!$C$238:$C$451,$C46,'TL10'!$J$238:$J$451),0),
IF('TL11'!$B$3=J$3,SUMIF('TL11'!$C$10:$C$224,$C46,'TL11'!$J$10:$J$224),0),
IF('TL11'!$B$229=J$3,SUMIF('TL11'!$C$238:$C$451,$C46,'TL11'!$J$238:$J$451),0),
IF('TL12'!$B$3=J$3,SUMIF('TL12'!$C$10:$C$224,$C46,'TL12'!$J$10:$J$224),0),
IF('TL12'!$B$229=J$3,SUMIF('TL12'!$C$238:$C$451,$C46,'TL12'!$J$238:$J$451),0),
IF('TL13'!$B$3=J$3,SUMIF('TL13'!$C$10:$C$224,$C46,'TL13'!$J$10:$J$224),0),
IF('TL13'!$B$229=J$3,SUMIF('TL13'!$C$238:$C$451,$C46,'TL13'!$J$238:$J$451),0),
IF('TL14'!$B$3=J$3,SUMIF('TL14'!$C$10:$C$224,$C46,'TL14'!$J$10:$J$224),0),
IF('TL14'!$B$229=J$3,SUMIF('TL14'!$C$238:$C$451,$C46,'TL14'!$J$238:$J$451),0),
IF('TL15'!$B$3=J$3,SUMIF('TL15'!$C$10:$C$224,$C46,'TL15'!$J$10:$J$224),0),
IF('TL15'!$B$229=J$3,SUMIF('TL15'!$C$238:$C$451,$C46,'TL15'!$J$238:$J$451),0),
IF('TL16'!$B$3=J$3,SUMIF('TL16'!$C$10:$C$224,$C46,'TL16'!$J$10:$J$224),0),
IF('TL16'!$B$229=J$3,SUMIF('TL16'!$C$238:$C$451,$C46,'TL16'!$J$238:$J$451),0),
IF('TL17'!$B$3=J$3,SUMIF('TL17'!$C$10:$C$224,$C46,'TL17'!$J$10:$J$224),0),
IF('TL17'!$B$229=J$3,SUMIF('TL17'!$C$238:$C$451,$C46,'TL17'!$J$238:$J$451),0),
IF('TL18'!$B$3=J$3,SUMIF('TL18'!$C$10:$C$224,$C46,'TL18'!$J$10:$J$224),0),
IF('TL18'!$B$229=J$3,SUMIF('TL18'!$C$238:$C$451,$C46,'TL18'!$J$238:$J$451),0),
IF('TL19'!$B$3=J$3,SUMIF('TL19'!$C$10:$C$224,$C46,'TL19'!$J$10:$J$224),0),
IF('TL19'!$B$229=J$3,SUMIF('TL19'!$C$238:$C$451,$C46,'TL19'!$J$238:$J$451),0)
),0)</f>
        <v/>
      </c>
      <c r="K46" s="9">
        <f>IFERROR(SUM(
IF('TL01'!$B$3=K$3,SUMIF('TL01'!$C$10:$C$224,$C46,'TL01'!$J$10:$J$224),0),
IF('TL01'!$B$229=K$3,SUMIF('TL01'!$C$238:$C$451,$C46,'TL01'!$J$238:$J$451),0),
IF('TL02'!$B$3=K$3,SUMIF('TL02'!$C$10:$C$224,$C46,'TL02'!$J$10:$J$224),0),
IF('TL02'!$B$229=K$3,SUMIF('TL02'!$C$238:$C$451,$C46,'TL02'!$J$238:$J$451),0),
IF('TL03'!$B$3=K$3,SUMIF('TL03'!$C$10:$C$224,$C46,'TL03'!$J$10:$J$224),0),
IF('TL03'!$B$229=K$3,SUMIF('TL03'!$C$238:$C$451,$C46,'TL03'!$J$238:$J$451),0),
IF('TL04'!$B$3=K$3,SUMIF('TL04'!$C$10:$C$224,$C46,'TL04'!$J$10:$J$224),0),
IF('TL04'!$B$229=K$3,SUMIF('TL04'!$C$238:$C$451,$C46,'TL04'!$J$238:$J$451),0),
IF('TL05'!$B$3=K$3,SUMIF('TL05'!$C$10:$C$224,$C46,'TL05'!$J$10:$J$224),0),
IF('TL05'!$B$229=K$3,SUMIF('TL05'!$C$238:$C$451,$C46,'TL05'!$J$238:$J$451),0),
IF('TL06'!$B$3=K$3,SUMIF('TL06'!$C$10:$C$224,$C46,'TL06'!$J$10:$J$224),0),
IF('TL06'!$B$229=K$3,SUMIF('TL06'!$C$238:$C$451,$C46,'TL06'!$J$238:$J$451),0),
IF('TL07'!$B$3=K$3,SUMIF('TL07'!$C$10:$C$224,$C46,'TL07'!$J$10:$J$224),0),
IF('TL07'!$B$229=K$3,SUMIF('TL07'!$C$238:$C$451,$C46,'TL07'!$J$238:$J$451),0),
IF('TL08'!$B$3=K$3,SUMIF('TL08'!$C$10:$C$224,$C46,'TL08'!$J$10:$J$224),0),
IF('TL08'!$B$229=K$3,SUMIF('TL08'!$C$238:$C$451,$C46,'TL08'!$J$238:$J$451),0),
IF('TL09'!$B$3=K$3,SUMIF('TL09'!$C$10:$C$224,$C46,'TL09'!$J$10:$J$224),0),
IF('TL09'!$B$229=K$3,SUMIF('TL09'!$C$238:$C$451,$C46,'TL09'!$J$238:$J$451),0),
IF('TL10'!$B$3=K$3,SUMIF('TL10'!$C$10:$C$224,$C46,'TL10'!$J$10:$J$224),0),
IF('TL10'!$B$229=K$3,SUMIF('TL10'!$C$238:$C$451,$C46,'TL10'!$J$238:$J$451),0),
IF('TL11'!$B$3=K$3,SUMIF('TL11'!$C$10:$C$224,$C46,'TL11'!$J$10:$J$224),0),
IF('TL11'!$B$229=K$3,SUMIF('TL11'!$C$238:$C$451,$C46,'TL11'!$J$238:$J$451),0),
IF('TL12'!$B$3=K$3,SUMIF('TL12'!$C$10:$C$224,$C46,'TL12'!$J$10:$J$224),0),
IF('TL12'!$B$229=K$3,SUMIF('TL12'!$C$238:$C$451,$C46,'TL12'!$J$238:$J$451),0),
IF('TL13'!$B$3=K$3,SUMIF('TL13'!$C$10:$C$224,$C46,'TL13'!$J$10:$J$224),0),
IF('TL13'!$B$229=K$3,SUMIF('TL13'!$C$238:$C$451,$C46,'TL13'!$J$238:$J$451),0),
IF('TL14'!$B$3=K$3,SUMIF('TL14'!$C$10:$C$224,$C46,'TL14'!$J$10:$J$224),0),
IF('TL14'!$B$229=K$3,SUMIF('TL14'!$C$238:$C$451,$C46,'TL14'!$J$238:$J$451),0),
IF('TL15'!$B$3=K$3,SUMIF('TL15'!$C$10:$C$224,$C46,'TL15'!$J$10:$J$224),0),
IF('TL15'!$B$229=K$3,SUMIF('TL15'!$C$238:$C$451,$C46,'TL15'!$J$238:$J$451),0),
IF('TL16'!$B$3=K$3,SUMIF('TL16'!$C$10:$C$224,$C46,'TL16'!$J$10:$J$224),0),
IF('TL16'!$B$229=K$3,SUMIF('TL16'!$C$238:$C$451,$C46,'TL16'!$J$238:$J$451),0),
IF('TL17'!$B$3=K$3,SUMIF('TL17'!$C$10:$C$224,$C46,'TL17'!$J$10:$J$224),0),
IF('TL17'!$B$229=K$3,SUMIF('TL17'!$C$238:$C$451,$C46,'TL17'!$J$238:$J$451),0),
IF('TL18'!$B$3=K$3,SUMIF('TL18'!$C$10:$C$224,$C46,'TL18'!$J$10:$J$224),0),
IF('TL18'!$B$229=K$3,SUMIF('TL18'!$C$238:$C$451,$C46,'TL18'!$J$238:$J$451),0),
IF('TL19'!$B$3=K$3,SUMIF('TL19'!$C$10:$C$224,$C46,'TL19'!$J$10:$J$224),0),
IF('TL19'!$B$229=K$3,SUMIF('TL19'!$C$238:$C$451,$C46,'TL19'!$J$238:$J$451),0)
),0)</f>
        <v/>
      </c>
      <c r="L46" s="9">
        <f>IFERROR(SUM(
IF('TL01'!$B$3=L$3,SUMIF('TL01'!$C$10:$C$224,$C46,'TL01'!$J$10:$J$224),0),
IF('TL01'!$B$229=L$3,SUMIF('TL01'!$C$238:$C$451,$C46,'TL01'!$J$238:$J$451),0),
IF('TL02'!$B$3=L$3,SUMIF('TL02'!$C$10:$C$224,$C46,'TL02'!$J$10:$J$224),0),
IF('TL02'!$B$229=L$3,SUMIF('TL02'!$C$238:$C$451,$C46,'TL02'!$J$238:$J$451),0),
IF('TL03'!$B$3=L$3,SUMIF('TL03'!$C$10:$C$224,$C46,'TL03'!$J$10:$J$224),0),
IF('TL03'!$B$229=L$3,SUMIF('TL03'!$C$238:$C$451,$C46,'TL03'!$J$238:$J$451),0),
IF('TL04'!$B$3=L$3,SUMIF('TL04'!$C$10:$C$224,$C46,'TL04'!$J$10:$J$224),0),
IF('TL04'!$B$229=L$3,SUMIF('TL04'!$C$238:$C$451,$C46,'TL04'!$J$238:$J$451),0),
IF('TL05'!$B$3=L$3,SUMIF('TL05'!$C$10:$C$224,$C46,'TL05'!$J$10:$J$224),0),
IF('TL05'!$B$229=L$3,SUMIF('TL05'!$C$238:$C$451,$C46,'TL05'!$J$238:$J$451),0),
IF('TL06'!$B$3=L$3,SUMIF('TL06'!$C$10:$C$224,$C46,'TL06'!$J$10:$J$224),0),
IF('TL06'!$B$229=L$3,SUMIF('TL06'!$C$238:$C$451,$C46,'TL06'!$J$238:$J$451),0),
IF('TL07'!$B$3=L$3,SUMIF('TL07'!$C$10:$C$224,$C46,'TL07'!$J$10:$J$224),0),
IF('TL07'!$B$229=L$3,SUMIF('TL07'!$C$238:$C$451,$C46,'TL07'!$J$238:$J$451),0),
IF('TL08'!$B$3=L$3,SUMIF('TL08'!$C$10:$C$224,$C46,'TL08'!$J$10:$J$224),0),
IF('TL08'!$B$229=L$3,SUMIF('TL08'!$C$238:$C$451,$C46,'TL08'!$J$238:$J$451),0),
IF('TL09'!$B$3=L$3,SUMIF('TL09'!$C$10:$C$224,$C46,'TL09'!$J$10:$J$224),0),
IF('TL09'!$B$229=L$3,SUMIF('TL09'!$C$238:$C$451,$C46,'TL09'!$J$238:$J$451),0),
IF('TL10'!$B$3=L$3,SUMIF('TL10'!$C$10:$C$224,$C46,'TL10'!$J$10:$J$224),0),
IF('TL10'!$B$229=L$3,SUMIF('TL10'!$C$238:$C$451,$C46,'TL10'!$J$238:$J$451),0),
IF('TL11'!$B$3=L$3,SUMIF('TL11'!$C$10:$C$224,$C46,'TL11'!$J$10:$J$224),0),
IF('TL11'!$B$229=L$3,SUMIF('TL11'!$C$238:$C$451,$C46,'TL11'!$J$238:$J$451),0),
IF('TL12'!$B$3=L$3,SUMIF('TL12'!$C$10:$C$224,$C46,'TL12'!$J$10:$J$224),0),
IF('TL12'!$B$229=L$3,SUMIF('TL12'!$C$238:$C$451,$C46,'TL12'!$J$238:$J$451),0),
IF('TL13'!$B$3=L$3,SUMIF('TL13'!$C$10:$C$224,$C46,'TL13'!$J$10:$J$224),0),
IF('TL13'!$B$229=L$3,SUMIF('TL13'!$C$238:$C$451,$C46,'TL13'!$J$238:$J$451),0),
IF('TL14'!$B$3=L$3,SUMIF('TL14'!$C$10:$C$224,$C46,'TL14'!$J$10:$J$224),0),
IF('TL14'!$B$229=L$3,SUMIF('TL14'!$C$238:$C$451,$C46,'TL14'!$J$238:$J$451),0),
IF('TL15'!$B$3=L$3,SUMIF('TL15'!$C$10:$C$224,$C46,'TL15'!$J$10:$J$224),0),
IF('TL15'!$B$229=L$3,SUMIF('TL15'!$C$238:$C$451,$C46,'TL15'!$J$238:$J$451),0),
IF('TL16'!$B$3=L$3,SUMIF('TL16'!$C$10:$C$224,$C46,'TL16'!$J$10:$J$224),0),
IF('TL16'!$B$229=L$3,SUMIF('TL16'!$C$238:$C$451,$C46,'TL16'!$J$238:$J$451),0),
IF('TL17'!$B$3=L$3,SUMIF('TL17'!$C$10:$C$224,$C46,'TL17'!$J$10:$J$224),0),
IF('TL17'!$B$229=L$3,SUMIF('TL17'!$C$238:$C$451,$C46,'TL17'!$J$238:$J$451),0),
IF('TL18'!$B$3=L$3,SUMIF('TL18'!$C$10:$C$224,$C46,'TL18'!$J$10:$J$224),0),
IF('TL18'!$B$229=L$3,SUMIF('TL18'!$C$238:$C$451,$C46,'TL18'!$J$238:$J$451),0),
IF('TL19'!$B$3=L$3,SUMIF('TL19'!$C$10:$C$224,$C46,'TL19'!$J$10:$J$224),0),
IF('TL19'!$B$229=L$3,SUMIF('TL19'!$C$238:$C$451,$C46,'TL19'!$J$238:$J$451),0)
),0)</f>
        <v/>
      </c>
      <c r="M46" s="9">
        <f>IFERROR(SUM(
IF('TL01'!$B$3=M$3,SUMIF('TL01'!$C$10:$C$224,$C46,'TL01'!$J$10:$J$224),0),
IF('TL01'!$B$229=M$3,SUMIF('TL01'!$C$238:$C$451,$C46,'TL01'!$J$238:$J$451),0),
IF('TL02'!$B$3=M$3,SUMIF('TL02'!$C$10:$C$224,$C46,'TL02'!$J$10:$J$224),0),
IF('TL02'!$B$229=M$3,SUMIF('TL02'!$C$238:$C$451,$C46,'TL02'!$J$238:$J$451),0),
IF('TL03'!$B$3=M$3,SUMIF('TL03'!$C$10:$C$224,$C46,'TL03'!$J$10:$J$224),0),
IF('TL03'!$B$229=M$3,SUMIF('TL03'!$C$238:$C$451,$C46,'TL03'!$J$238:$J$451),0),
IF('TL04'!$B$3=M$3,SUMIF('TL04'!$C$10:$C$224,$C46,'TL04'!$J$10:$J$224),0),
IF('TL04'!$B$229=M$3,SUMIF('TL04'!$C$238:$C$451,$C46,'TL04'!$J$238:$J$451),0),
IF('TL05'!$B$3=M$3,SUMIF('TL05'!$C$10:$C$224,$C46,'TL05'!$J$10:$J$224),0),
IF('TL05'!$B$229=M$3,SUMIF('TL05'!$C$238:$C$451,$C46,'TL05'!$J$238:$J$451),0),
IF('TL06'!$B$3=M$3,SUMIF('TL06'!$C$10:$C$224,$C46,'TL06'!$J$10:$J$224),0),
IF('TL06'!$B$229=M$3,SUMIF('TL06'!$C$238:$C$451,$C46,'TL06'!$J$238:$J$451),0),
IF('TL07'!$B$3=M$3,SUMIF('TL07'!$C$10:$C$224,$C46,'TL07'!$J$10:$J$224),0),
IF('TL07'!$B$229=M$3,SUMIF('TL07'!$C$238:$C$451,$C46,'TL07'!$J$238:$J$451),0),
IF('TL08'!$B$3=M$3,SUMIF('TL08'!$C$10:$C$224,$C46,'TL08'!$J$10:$J$224),0),
IF('TL08'!$B$229=M$3,SUMIF('TL08'!$C$238:$C$451,$C46,'TL08'!$J$238:$J$451),0),
IF('TL09'!$B$3=M$3,SUMIF('TL09'!$C$10:$C$224,$C46,'TL09'!$J$10:$J$224),0),
IF('TL09'!$B$229=M$3,SUMIF('TL09'!$C$238:$C$451,$C46,'TL09'!$J$238:$J$451),0),
IF('TL10'!$B$3=M$3,SUMIF('TL10'!$C$10:$C$224,$C46,'TL10'!$J$10:$J$224),0),
IF('TL10'!$B$229=M$3,SUMIF('TL10'!$C$238:$C$451,$C46,'TL10'!$J$238:$J$451),0),
IF('TL11'!$B$3=M$3,SUMIF('TL11'!$C$10:$C$224,$C46,'TL11'!$J$10:$J$224),0),
IF('TL11'!$B$229=M$3,SUMIF('TL11'!$C$238:$C$451,$C46,'TL11'!$J$238:$J$451),0),
IF('TL12'!$B$3=M$3,SUMIF('TL12'!$C$10:$C$224,$C46,'TL12'!$J$10:$J$224),0),
IF('TL12'!$B$229=M$3,SUMIF('TL12'!$C$238:$C$451,$C46,'TL12'!$J$238:$J$451),0),
IF('TL13'!$B$3=M$3,SUMIF('TL13'!$C$10:$C$224,$C46,'TL13'!$J$10:$J$224),0),
IF('TL13'!$B$229=M$3,SUMIF('TL13'!$C$238:$C$451,$C46,'TL13'!$J$238:$J$451),0),
IF('TL14'!$B$3=M$3,SUMIF('TL14'!$C$10:$C$224,$C46,'TL14'!$J$10:$J$224),0),
IF('TL14'!$B$229=M$3,SUMIF('TL14'!$C$238:$C$451,$C46,'TL14'!$J$238:$J$451),0),
IF('TL15'!$B$3=M$3,SUMIF('TL15'!$C$10:$C$224,$C46,'TL15'!$J$10:$J$224),0),
IF('TL15'!$B$229=M$3,SUMIF('TL15'!$C$238:$C$451,$C46,'TL15'!$J$238:$J$451),0),
IF('TL16'!$B$3=M$3,SUMIF('TL16'!$C$10:$C$224,$C46,'TL16'!$J$10:$J$224),0),
IF('TL16'!$B$229=M$3,SUMIF('TL16'!$C$238:$C$451,$C46,'TL16'!$J$238:$J$451),0),
IF('TL17'!$B$3=M$3,SUMIF('TL17'!$C$10:$C$224,$C46,'TL17'!$J$10:$J$224),0),
IF('TL17'!$B$229=M$3,SUMIF('TL17'!$C$238:$C$451,$C46,'TL17'!$J$238:$J$451),0),
IF('TL18'!$B$3=M$3,SUMIF('TL18'!$C$10:$C$224,$C46,'TL18'!$J$10:$J$224),0),
IF('TL18'!$B$229=M$3,SUMIF('TL18'!$C$238:$C$451,$C46,'TL18'!$J$238:$J$451),0),
IF('TL19'!$B$3=M$3,SUMIF('TL19'!$C$10:$C$224,$C46,'TL19'!$J$10:$J$224),0),
IF('TL19'!$B$229=M$3,SUMIF('TL19'!$C$238:$C$451,$C46,'TL19'!$J$238:$J$451),0)
),0)</f>
        <v/>
      </c>
      <c r="N46" s="9">
        <f>IFERROR(SUM(
IF('TL01'!$B$3=N$3,SUMIF('TL01'!$C$10:$C$224,$C46,'TL01'!$J$10:$J$224),0),
IF('TL01'!$B$229=N$3,SUMIF('TL01'!$C$238:$C$451,$C46,'TL01'!$J$238:$J$451),0),
IF('TL02'!$B$3=N$3,SUMIF('TL02'!$C$10:$C$224,$C46,'TL02'!$J$10:$J$224),0),
IF('TL02'!$B$229=N$3,SUMIF('TL02'!$C$238:$C$451,$C46,'TL02'!$J$238:$J$451),0),
IF('TL03'!$B$3=N$3,SUMIF('TL03'!$C$10:$C$224,$C46,'TL03'!$J$10:$J$224),0),
IF('TL03'!$B$229=N$3,SUMIF('TL03'!$C$238:$C$451,$C46,'TL03'!$J$238:$J$451),0),
IF('TL04'!$B$3=N$3,SUMIF('TL04'!$C$10:$C$224,$C46,'TL04'!$J$10:$J$224),0),
IF('TL04'!$B$229=N$3,SUMIF('TL04'!$C$238:$C$451,$C46,'TL04'!$J$238:$J$451),0),
IF('TL05'!$B$3=N$3,SUMIF('TL05'!$C$10:$C$224,$C46,'TL05'!$J$10:$J$224),0),
IF('TL05'!$B$229=N$3,SUMIF('TL05'!$C$238:$C$451,$C46,'TL05'!$J$238:$J$451),0),
IF('TL06'!$B$3=N$3,SUMIF('TL06'!$C$10:$C$224,$C46,'TL06'!$J$10:$J$224),0),
IF('TL06'!$B$229=N$3,SUMIF('TL06'!$C$238:$C$451,$C46,'TL06'!$J$238:$J$451),0),
IF('TL07'!$B$3=N$3,SUMIF('TL07'!$C$10:$C$224,$C46,'TL07'!$J$10:$J$224),0),
IF('TL07'!$B$229=N$3,SUMIF('TL07'!$C$238:$C$451,$C46,'TL07'!$J$238:$J$451),0),
IF('TL08'!$B$3=N$3,SUMIF('TL08'!$C$10:$C$224,$C46,'TL08'!$J$10:$J$224),0),
IF('TL08'!$B$229=N$3,SUMIF('TL08'!$C$238:$C$451,$C46,'TL08'!$J$238:$J$451),0),
IF('TL09'!$B$3=N$3,SUMIF('TL09'!$C$10:$C$224,$C46,'TL09'!$J$10:$J$224),0),
IF('TL09'!$B$229=N$3,SUMIF('TL09'!$C$238:$C$451,$C46,'TL09'!$J$238:$J$451),0),
IF('TL10'!$B$3=N$3,SUMIF('TL10'!$C$10:$C$224,$C46,'TL10'!$J$10:$J$224),0),
IF('TL10'!$B$229=N$3,SUMIF('TL10'!$C$238:$C$451,$C46,'TL10'!$J$238:$J$451),0),
IF('TL11'!$B$3=N$3,SUMIF('TL11'!$C$10:$C$224,$C46,'TL11'!$J$10:$J$224),0),
IF('TL11'!$B$229=N$3,SUMIF('TL11'!$C$238:$C$451,$C46,'TL11'!$J$238:$J$451),0),
IF('TL12'!$B$3=N$3,SUMIF('TL12'!$C$10:$C$224,$C46,'TL12'!$J$10:$J$224),0),
IF('TL12'!$B$229=N$3,SUMIF('TL12'!$C$238:$C$451,$C46,'TL12'!$J$238:$J$451),0),
IF('TL13'!$B$3=N$3,SUMIF('TL13'!$C$10:$C$224,$C46,'TL13'!$J$10:$J$224),0),
IF('TL13'!$B$229=N$3,SUMIF('TL13'!$C$238:$C$451,$C46,'TL13'!$J$238:$J$451),0),
IF('TL14'!$B$3=N$3,SUMIF('TL14'!$C$10:$C$224,$C46,'TL14'!$J$10:$J$224),0),
IF('TL14'!$B$229=N$3,SUMIF('TL14'!$C$238:$C$451,$C46,'TL14'!$J$238:$J$451),0),
IF('TL15'!$B$3=N$3,SUMIF('TL15'!$C$10:$C$224,$C46,'TL15'!$J$10:$J$224),0),
IF('TL15'!$B$229=N$3,SUMIF('TL15'!$C$238:$C$451,$C46,'TL15'!$J$238:$J$451),0),
IF('TL16'!$B$3=N$3,SUMIF('TL16'!$C$10:$C$224,$C46,'TL16'!$J$10:$J$224),0),
IF('TL16'!$B$229=N$3,SUMIF('TL16'!$C$238:$C$451,$C46,'TL16'!$J$238:$J$451),0),
IF('TL17'!$B$3=N$3,SUMIF('TL17'!$C$10:$C$224,$C46,'TL17'!$J$10:$J$224),0),
IF('TL17'!$B$229=N$3,SUMIF('TL17'!$C$238:$C$451,$C46,'TL17'!$J$238:$J$451),0),
IF('TL18'!$B$3=N$3,SUMIF('TL18'!$C$10:$C$224,$C46,'TL18'!$J$10:$J$224),0),
IF('TL18'!$B$229=N$3,SUMIF('TL18'!$C$238:$C$451,$C46,'TL18'!$J$238:$J$451),0),
IF('TL19'!$B$3=N$3,SUMIF('TL19'!$C$10:$C$224,$C46,'TL19'!$J$10:$J$224),0),
IF('TL19'!$B$229=N$3,SUMIF('TL19'!$C$238:$C$451,$C46,'TL19'!$J$238:$J$451),0)
),0)</f>
        <v/>
      </c>
      <c r="O46" s="9">
        <f>IFERROR(SUM(
IF('TL01'!$B$3=O$3,SUMIF('TL01'!$C$10:$C$224,$C46,'TL01'!$J$10:$J$224),0),
IF('TL01'!$B$229=O$3,SUMIF('TL01'!$C$238:$C$451,$C46,'TL01'!$J$238:$J$451),0),
IF('TL02'!$B$3=O$3,SUMIF('TL02'!$C$10:$C$224,$C46,'TL02'!$J$10:$J$224),0),
IF('TL02'!$B$229=O$3,SUMIF('TL02'!$C$238:$C$451,$C46,'TL02'!$J$238:$J$451),0),
IF('TL03'!$B$3=O$3,SUMIF('TL03'!$C$10:$C$224,$C46,'TL03'!$J$10:$J$224),0),
IF('TL03'!$B$229=O$3,SUMIF('TL03'!$C$238:$C$451,$C46,'TL03'!$J$238:$J$451),0),
IF('TL04'!$B$3=O$3,SUMIF('TL04'!$C$10:$C$224,$C46,'TL04'!$J$10:$J$224),0),
IF('TL04'!$B$229=O$3,SUMIF('TL04'!$C$238:$C$451,$C46,'TL04'!$J$238:$J$451),0),
IF('TL05'!$B$3=O$3,SUMIF('TL05'!$C$10:$C$224,$C46,'TL05'!$J$10:$J$224),0),
IF('TL05'!$B$229=O$3,SUMIF('TL05'!$C$238:$C$451,$C46,'TL05'!$J$238:$J$451),0),
IF('TL06'!$B$3=O$3,SUMIF('TL06'!$C$10:$C$224,$C46,'TL06'!$J$10:$J$224),0),
IF('TL06'!$B$229=O$3,SUMIF('TL06'!$C$238:$C$451,$C46,'TL06'!$J$238:$J$451),0),
IF('TL07'!$B$3=O$3,SUMIF('TL07'!$C$10:$C$224,$C46,'TL07'!$J$10:$J$224),0),
IF('TL07'!$B$229=O$3,SUMIF('TL07'!$C$238:$C$451,$C46,'TL07'!$J$238:$J$451),0),
IF('TL08'!$B$3=O$3,SUMIF('TL08'!$C$10:$C$224,$C46,'TL08'!$J$10:$J$224),0),
IF('TL08'!$B$229=O$3,SUMIF('TL08'!$C$238:$C$451,$C46,'TL08'!$J$238:$J$451),0),
IF('TL09'!$B$3=O$3,SUMIF('TL09'!$C$10:$C$224,$C46,'TL09'!$J$10:$J$224),0),
IF('TL09'!$B$229=O$3,SUMIF('TL09'!$C$238:$C$451,$C46,'TL09'!$J$238:$J$451),0),
IF('TL10'!$B$3=O$3,SUMIF('TL10'!$C$10:$C$224,$C46,'TL10'!$J$10:$J$224),0),
IF('TL10'!$B$229=O$3,SUMIF('TL10'!$C$238:$C$451,$C46,'TL10'!$J$238:$J$451),0),
IF('TL11'!$B$3=O$3,SUMIF('TL11'!$C$10:$C$224,$C46,'TL11'!$J$10:$J$224),0),
IF('TL11'!$B$229=O$3,SUMIF('TL11'!$C$238:$C$451,$C46,'TL11'!$J$238:$J$451),0),
IF('TL12'!$B$3=O$3,SUMIF('TL12'!$C$10:$C$224,$C46,'TL12'!$J$10:$J$224),0),
IF('TL12'!$B$229=O$3,SUMIF('TL12'!$C$238:$C$451,$C46,'TL12'!$J$238:$J$451),0),
IF('TL13'!$B$3=O$3,SUMIF('TL13'!$C$10:$C$224,$C46,'TL13'!$J$10:$J$224),0),
IF('TL13'!$B$229=O$3,SUMIF('TL13'!$C$238:$C$451,$C46,'TL13'!$J$238:$J$451),0),
IF('TL14'!$B$3=O$3,SUMIF('TL14'!$C$10:$C$224,$C46,'TL14'!$J$10:$J$224),0),
IF('TL14'!$B$229=O$3,SUMIF('TL14'!$C$238:$C$451,$C46,'TL14'!$J$238:$J$451),0),
IF('TL15'!$B$3=O$3,SUMIF('TL15'!$C$10:$C$224,$C46,'TL15'!$J$10:$J$224),0),
IF('TL15'!$B$229=O$3,SUMIF('TL15'!$C$238:$C$451,$C46,'TL15'!$J$238:$J$451),0),
IF('TL16'!$B$3=O$3,SUMIF('TL16'!$C$10:$C$224,$C46,'TL16'!$J$10:$J$224),0),
IF('TL16'!$B$229=O$3,SUMIF('TL16'!$C$238:$C$451,$C46,'TL16'!$J$238:$J$451),0),
IF('TL17'!$B$3=O$3,SUMIF('TL17'!$C$10:$C$224,$C46,'TL17'!$J$10:$J$224),0),
IF('TL17'!$B$229=O$3,SUMIF('TL17'!$C$238:$C$451,$C46,'TL17'!$J$238:$J$451),0),
IF('TL18'!$B$3=O$3,SUMIF('TL18'!$C$10:$C$224,$C46,'TL18'!$J$10:$J$224),0),
IF('TL18'!$B$229=O$3,SUMIF('TL18'!$C$238:$C$451,$C46,'TL18'!$J$238:$J$451),0),
IF('TL19'!$B$3=O$3,SUMIF('TL19'!$C$10:$C$224,$C46,'TL19'!$J$10:$J$224),0),
IF('TL19'!$B$229=O$3,SUMIF('TL19'!$C$238:$C$451,$C46,'TL19'!$J$238:$J$451),0)
),0)</f>
        <v/>
      </c>
      <c r="P46" s="9">
        <f>IFERROR(SUM(
IF('TL01'!$B$3=P$3,SUMIF('TL01'!$C$10:$C$224,$C46,'TL01'!$J$10:$J$224),0),
IF('TL01'!$B$229=P$3,SUMIF('TL01'!$C$238:$C$451,$C46,'TL01'!$J$238:$J$451),0),
IF('TL02'!$B$3=P$3,SUMIF('TL02'!$C$10:$C$224,$C46,'TL02'!$J$10:$J$224),0),
IF('TL02'!$B$229=P$3,SUMIF('TL02'!$C$238:$C$451,$C46,'TL02'!$J$238:$J$451),0),
IF('TL03'!$B$3=P$3,SUMIF('TL03'!$C$10:$C$224,$C46,'TL03'!$J$10:$J$224),0),
IF('TL03'!$B$229=P$3,SUMIF('TL03'!$C$238:$C$451,$C46,'TL03'!$J$238:$J$451),0),
IF('TL04'!$B$3=P$3,SUMIF('TL04'!$C$10:$C$224,$C46,'TL04'!$J$10:$J$224),0),
IF('TL04'!$B$229=P$3,SUMIF('TL04'!$C$238:$C$451,$C46,'TL04'!$J$238:$J$451),0),
IF('TL05'!$B$3=P$3,SUMIF('TL05'!$C$10:$C$224,$C46,'TL05'!$J$10:$J$224),0),
IF('TL05'!$B$229=P$3,SUMIF('TL05'!$C$238:$C$451,$C46,'TL05'!$J$238:$J$451),0),
IF('TL06'!$B$3=P$3,SUMIF('TL06'!$C$10:$C$224,$C46,'TL06'!$J$10:$J$224),0),
IF('TL06'!$B$229=P$3,SUMIF('TL06'!$C$238:$C$451,$C46,'TL06'!$J$238:$J$451),0),
IF('TL07'!$B$3=P$3,SUMIF('TL07'!$C$10:$C$224,$C46,'TL07'!$J$10:$J$224),0),
IF('TL07'!$B$229=P$3,SUMIF('TL07'!$C$238:$C$451,$C46,'TL07'!$J$238:$J$451),0),
IF('TL08'!$B$3=P$3,SUMIF('TL08'!$C$10:$C$224,$C46,'TL08'!$J$10:$J$224),0),
IF('TL08'!$B$229=P$3,SUMIF('TL08'!$C$238:$C$451,$C46,'TL08'!$J$238:$J$451),0),
IF('TL09'!$B$3=P$3,SUMIF('TL09'!$C$10:$C$224,$C46,'TL09'!$J$10:$J$224),0),
IF('TL09'!$B$229=P$3,SUMIF('TL09'!$C$238:$C$451,$C46,'TL09'!$J$238:$J$451),0),
IF('TL10'!$B$3=P$3,SUMIF('TL10'!$C$10:$C$224,$C46,'TL10'!$J$10:$J$224),0),
IF('TL10'!$B$229=P$3,SUMIF('TL10'!$C$238:$C$451,$C46,'TL10'!$J$238:$J$451),0),
IF('TL11'!$B$3=P$3,SUMIF('TL11'!$C$10:$C$224,$C46,'TL11'!$J$10:$J$224),0),
IF('TL11'!$B$229=P$3,SUMIF('TL11'!$C$238:$C$451,$C46,'TL11'!$J$238:$J$451),0),
IF('TL12'!$B$3=P$3,SUMIF('TL12'!$C$10:$C$224,$C46,'TL12'!$J$10:$J$224),0),
IF('TL12'!$B$229=P$3,SUMIF('TL12'!$C$238:$C$451,$C46,'TL12'!$J$238:$J$451),0),
IF('TL13'!$B$3=P$3,SUMIF('TL13'!$C$10:$C$224,$C46,'TL13'!$J$10:$J$224),0),
IF('TL13'!$B$229=P$3,SUMIF('TL13'!$C$238:$C$451,$C46,'TL13'!$J$238:$J$451),0),
IF('TL14'!$B$3=P$3,SUMIF('TL14'!$C$10:$C$224,$C46,'TL14'!$J$10:$J$224),0),
IF('TL14'!$B$229=P$3,SUMIF('TL14'!$C$238:$C$451,$C46,'TL14'!$J$238:$J$451),0),
IF('TL15'!$B$3=P$3,SUMIF('TL15'!$C$10:$C$224,$C46,'TL15'!$J$10:$J$224),0),
IF('TL15'!$B$229=P$3,SUMIF('TL15'!$C$238:$C$451,$C46,'TL15'!$J$238:$J$451),0),
IF('TL16'!$B$3=P$3,SUMIF('TL16'!$C$10:$C$224,$C46,'TL16'!$J$10:$J$224),0),
IF('TL16'!$B$229=P$3,SUMIF('TL16'!$C$238:$C$451,$C46,'TL16'!$J$238:$J$451),0),
IF('TL17'!$B$3=P$3,SUMIF('TL17'!$C$10:$C$224,$C46,'TL17'!$J$10:$J$224),0),
IF('TL17'!$B$229=P$3,SUMIF('TL17'!$C$238:$C$451,$C46,'TL17'!$J$238:$J$451),0),
IF('TL18'!$B$3=P$3,SUMIF('TL18'!$C$10:$C$224,$C46,'TL18'!$J$10:$J$224),0),
IF('TL18'!$B$229=P$3,SUMIF('TL18'!$C$238:$C$451,$C46,'TL18'!$J$238:$J$451),0),
IF('TL19'!$B$3=P$3,SUMIF('TL19'!$C$10:$C$224,$C46,'TL19'!$J$10:$J$224),0),
IF('TL19'!$B$229=P$3,SUMIF('TL19'!$C$238:$C$451,$C46,'TL19'!$J$238:$J$451),0)
),0)</f>
        <v/>
      </c>
      <c r="Q46" s="9">
        <f>IFERROR(SUM(
IF('TL01'!$B$3=Q$3,SUMIF('TL01'!$C$10:$C$224,$C46,'TL01'!$J$10:$J$224),0),
IF('TL01'!$B$229=Q$3,SUMIF('TL01'!$C$238:$C$451,$C46,'TL01'!$J$238:$J$451),0),
IF('TL02'!$B$3=Q$3,SUMIF('TL02'!$C$10:$C$224,$C46,'TL02'!$J$10:$J$224),0),
IF('TL02'!$B$229=Q$3,SUMIF('TL02'!$C$238:$C$451,$C46,'TL02'!$J$238:$J$451),0),
IF('TL03'!$B$3=Q$3,SUMIF('TL03'!$C$10:$C$224,$C46,'TL03'!$J$10:$J$224),0),
IF('TL03'!$B$229=Q$3,SUMIF('TL03'!$C$238:$C$451,$C46,'TL03'!$J$238:$J$451),0),
IF('TL04'!$B$3=Q$3,SUMIF('TL04'!$C$10:$C$224,$C46,'TL04'!$J$10:$J$224),0),
IF('TL04'!$B$229=Q$3,SUMIF('TL04'!$C$238:$C$451,$C46,'TL04'!$J$238:$J$451),0),
IF('TL05'!$B$3=Q$3,SUMIF('TL05'!$C$10:$C$224,$C46,'TL05'!$J$10:$J$224),0),
IF('TL05'!$B$229=Q$3,SUMIF('TL05'!$C$238:$C$451,$C46,'TL05'!$J$238:$J$451),0),
IF('TL06'!$B$3=Q$3,SUMIF('TL06'!$C$10:$C$224,$C46,'TL06'!$J$10:$J$224),0),
IF('TL06'!$B$229=Q$3,SUMIF('TL06'!$C$238:$C$451,$C46,'TL06'!$J$238:$J$451),0),
IF('TL07'!$B$3=Q$3,SUMIF('TL07'!$C$10:$C$224,$C46,'TL07'!$J$10:$J$224),0),
IF('TL07'!$B$229=Q$3,SUMIF('TL07'!$C$238:$C$451,$C46,'TL07'!$J$238:$J$451),0),
IF('TL08'!$B$3=Q$3,SUMIF('TL08'!$C$10:$C$224,$C46,'TL08'!$J$10:$J$224),0),
IF('TL08'!$B$229=Q$3,SUMIF('TL08'!$C$238:$C$451,$C46,'TL08'!$J$238:$J$451),0),
IF('TL09'!$B$3=Q$3,SUMIF('TL09'!$C$10:$C$224,$C46,'TL09'!$J$10:$J$224),0),
IF('TL09'!$B$229=Q$3,SUMIF('TL09'!$C$238:$C$451,$C46,'TL09'!$J$238:$J$451),0),
IF('TL10'!$B$3=Q$3,SUMIF('TL10'!$C$10:$C$224,$C46,'TL10'!$J$10:$J$224),0),
IF('TL10'!$B$229=Q$3,SUMIF('TL10'!$C$238:$C$451,$C46,'TL10'!$J$238:$J$451),0),
IF('TL11'!$B$3=Q$3,SUMIF('TL11'!$C$10:$C$224,$C46,'TL11'!$J$10:$J$224),0),
IF('TL11'!$B$229=Q$3,SUMIF('TL11'!$C$238:$C$451,$C46,'TL11'!$J$238:$J$451),0),
IF('TL12'!$B$3=Q$3,SUMIF('TL12'!$C$10:$C$224,$C46,'TL12'!$J$10:$J$224),0),
IF('TL12'!$B$229=Q$3,SUMIF('TL12'!$C$238:$C$451,$C46,'TL12'!$J$238:$J$451),0),
IF('TL13'!$B$3=Q$3,SUMIF('TL13'!$C$10:$C$224,$C46,'TL13'!$J$10:$J$224),0),
IF('TL13'!$B$229=Q$3,SUMIF('TL13'!$C$238:$C$451,$C46,'TL13'!$J$238:$J$451),0),
IF('TL14'!$B$3=Q$3,SUMIF('TL14'!$C$10:$C$224,$C46,'TL14'!$J$10:$J$224),0),
IF('TL14'!$B$229=Q$3,SUMIF('TL14'!$C$238:$C$451,$C46,'TL14'!$J$238:$J$451),0),
IF('TL15'!$B$3=Q$3,SUMIF('TL15'!$C$10:$C$224,$C46,'TL15'!$J$10:$J$224),0),
IF('TL15'!$B$229=Q$3,SUMIF('TL15'!$C$238:$C$451,$C46,'TL15'!$J$238:$J$451),0),
IF('TL16'!$B$3=Q$3,SUMIF('TL16'!$C$10:$C$224,$C46,'TL16'!$J$10:$J$224),0),
IF('TL16'!$B$229=Q$3,SUMIF('TL16'!$C$238:$C$451,$C46,'TL16'!$J$238:$J$451),0),
IF('TL17'!$B$3=Q$3,SUMIF('TL17'!$C$10:$C$224,$C46,'TL17'!$J$10:$J$224),0),
IF('TL17'!$B$229=Q$3,SUMIF('TL17'!$C$238:$C$451,$C46,'TL17'!$J$238:$J$451),0),
IF('TL18'!$B$3=Q$3,SUMIF('TL18'!$C$10:$C$224,$C46,'TL18'!$J$10:$J$224),0),
IF('TL18'!$B$229=Q$3,SUMIF('TL18'!$C$238:$C$451,$C46,'TL18'!$J$238:$J$451),0),
IF('TL19'!$B$3=Q$3,SUMIF('TL19'!$C$10:$C$224,$C46,'TL19'!$J$10:$J$224),0),
IF('TL19'!$B$229=Q$3,SUMIF('TL19'!$C$238:$C$451,$C46,'TL19'!$J$238:$J$451),0)
),0)</f>
        <v/>
      </c>
      <c r="R46" s="9">
        <f>IFERROR(
SUM(
SUMIF('TL01'!C:C,C46,'TL01'!J:J),
SUMIF('TL02'!C:C,C46,'TL02'!J:J),
SUMIF('TL03'!C:C,C46,'TL03'!J:J),
SUMIF('TL04'!C:C,C46,'TL04'!J:J),
SUMIF('TL05'!C:C,C46,'TL05'!J:J),
SUMIF('TL06'!C:C,C46,'TL06'!J:J),
SUMIF('TL07'!C:C,C46,'TL07'!J:J),
SUMIF('TL08'!C:C,C46,'TL08'!J:J),
SUMIF('TL09'!C:C,C46,'TL09'!J:J),
SUMIF('TL10'!C:C,C46,'TL10'!J:J),
SUMIF('TL11'!C:C,C46,'TL11'!J:J),
SUMIF('TL12'!C:C,C46,'TL12'!J:J),
SUMIF('TL13'!C:C,C46,'TL13'!J:J),
SUMIF('TL14'!C:C,C46,'TL14'!J:J),
SUMIF('TL15'!C:C,C46,'TL15'!J:J),
SUMIF('TL16'!C:C,C46,'TL16'!J:J),
SUMIF('TL17'!C:C,C46,'TL17'!J:J),
SUMIF('TL18'!C:C,C46,'TL18'!J:J),SUMIF('TL19'!C:C,C46,'TL19'!J:J))
,0)</f>
        <v/>
      </c>
      <c r="S46" s="17">
        <f>IFERROR(__xludf.DUMMYFUNCTION("IFERROR(VLOOKUP(C46,
IMPORTRANGE(""1wULbzX32WdYsx-lj2U3uUNBBe2INVIRDtcK0d-Dvl90"",
""26-27!C:G""),
5,
FALSE),
"""")"),149.50512000000003)</f>
        <v/>
      </c>
      <c r="T46" s="9" t="n"/>
      <c r="U46" s="92">
        <f>MAX(0,R46-T46)</f>
        <v/>
      </c>
      <c r="V46" s="93">
        <f>U46*S46</f>
        <v/>
      </c>
    </row>
    <row r="47" hidden="1" ht="15.75" customHeight="1" s="297">
      <c r="A47" s="111" t="inlineStr">
        <is>
          <t>BASF</t>
        </is>
      </c>
      <c r="B47" s="112" t="inlineStr">
        <is>
          <t>FUNGICIDA</t>
        </is>
      </c>
      <c r="C47" s="113" t="inlineStr">
        <is>
          <t>MELYRA</t>
        </is>
      </c>
      <c r="D47" s="113" t="inlineStr">
        <is>
          <t>PIRACLOSTROBINA + MEFENTRIFLUCONAZOL</t>
        </is>
      </c>
      <c r="E47" s="113" t="inlineStr">
        <is>
          <t>200 + 200</t>
        </is>
      </c>
      <c r="F47" s="4" t="inlineStr">
        <is>
          <t>L</t>
        </is>
      </c>
      <c r="G47" s="90">
        <f>HYPERLINK("https://www.google.com/search?q=" &amp; C47 &amp; "+bula+agrofit+pdf", "📄 Ver bula")</f>
        <v/>
      </c>
      <c r="H47" s="9">
        <f>IFERROR(__xludf.DUMMYFUNCTION("IFERROR(VLOOKUP(C47,
IMPORTRANGE(""1wULbzX32WdYsx-lj2U3uUNBBe2INVIRDtcK0d-Dvl90"",
""26-27!C:K""),
8,
FALSE),
"""")"),0.6)</f>
        <v/>
      </c>
      <c r="I47" s="114" t="inlineStr">
        <is>
          <t>4X5</t>
        </is>
      </c>
      <c r="J47" s="9">
        <f>IFERROR(SUM(
IF('TL01'!$B$3=J$3,SUMIF('TL01'!$C$10:$C$224,$C47,'TL01'!$J$10:$J$224),0),
IF('TL01'!$B$229=J$3,SUMIF('TL01'!$C$238:$C$451,$C47,'TL01'!$J$238:$J$451),0),
IF('TL02'!$B$3=J$3,SUMIF('TL02'!$C$10:$C$224,$C47,'TL02'!$J$10:$J$224),0),
IF('TL02'!$B$229=J$3,SUMIF('TL02'!$C$238:$C$451,$C47,'TL02'!$J$238:$J$451),0),
IF('TL03'!$B$3=J$3,SUMIF('TL03'!$C$10:$C$224,$C47,'TL03'!$J$10:$J$224),0),
IF('TL03'!$B$229=J$3,SUMIF('TL03'!$C$238:$C$451,$C47,'TL03'!$J$238:$J$451),0),
IF('TL04'!$B$3=J$3,SUMIF('TL04'!$C$10:$C$224,$C47,'TL04'!$J$10:$J$224),0),
IF('TL04'!$B$229=J$3,SUMIF('TL04'!$C$238:$C$451,$C47,'TL04'!$J$238:$J$451),0),
IF('TL05'!$B$3=J$3,SUMIF('TL05'!$C$10:$C$224,$C47,'TL05'!$J$10:$J$224),0),
IF('TL05'!$B$229=J$3,SUMIF('TL05'!$C$238:$C$451,$C47,'TL05'!$J$238:$J$451),0),
IF('TL06'!$B$3=J$3,SUMIF('TL06'!$C$10:$C$224,$C47,'TL06'!$J$10:$J$224),0),
IF('TL06'!$B$229=J$3,SUMIF('TL06'!$C$238:$C$451,$C47,'TL06'!$J$238:$J$451),0),
IF('TL07'!$B$3=J$3,SUMIF('TL07'!$C$10:$C$224,$C47,'TL07'!$J$10:$J$224),0),
IF('TL07'!$B$229=J$3,SUMIF('TL07'!$C$238:$C$451,$C47,'TL07'!$J$238:$J$451),0),
IF('TL08'!$B$3=J$3,SUMIF('TL08'!$C$10:$C$224,$C47,'TL08'!$J$10:$J$224),0),
IF('TL08'!$B$229=J$3,SUMIF('TL08'!$C$238:$C$451,$C47,'TL08'!$J$238:$J$451),0),
IF('TL09'!$B$3=J$3,SUMIF('TL09'!$C$10:$C$224,$C47,'TL09'!$J$10:$J$224),0),
IF('TL09'!$B$229=J$3,SUMIF('TL09'!$C$238:$C$451,$C47,'TL09'!$J$238:$J$451),0),
IF('TL10'!$B$3=J$3,SUMIF('TL10'!$C$10:$C$224,$C47,'TL10'!$J$10:$J$224),0),
IF('TL10'!$B$229=J$3,SUMIF('TL10'!$C$238:$C$451,$C47,'TL10'!$J$238:$J$451),0),
IF('TL11'!$B$3=J$3,SUMIF('TL11'!$C$10:$C$224,$C47,'TL11'!$J$10:$J$224),0),
IF('TL11'!$B$229=J$3,SUMIF('TL11'!$C$238:$C$451,$C47,'TL11'!$J$238:$J$451),0),
IF('TL12'!$B$3=J$3,SUMIF('TL12'!$C$10:$C$224,$C47,'TL12'!$J$10:$J$224),0),
IF('TL12'!$B$229=J$3,SUMIF('TL12'!$C$238:$C$451,$C47,'TL12'!$J$238:$J$451),0),
IF('TL13'!$B$3=J$3,SUMIF('TL13'!$C$10:$C$224,$C47,'TL13'!$J$10:$J$224),0),
IF('TL13'!$B$229=J$3,SUMIF('TL13'!$C$238:$C$451,$C47,'TL13'!$J$238:$J$451),0),
IF('TL14'!$B$3=J$3,SUMIF('TL14'!$C$10:$C$224,$C47,'TL14'!$J$10:$J$224),0),
IF('TL14'!$B$229=J$3,SUMIF('TL14'!$C$238:$C$451,$C47,'TL14'!$J$238:$J$451),0),
IF('TL15'!$B$3=J$3,SUMIF('TL15'!$C$10:$C$224,$C47,'TL15'!$J$10:$J$224),0),
IF('TL15'!$B$229=J$3,SUMIF('TL15'!$C$238:$C$451,$C47,'TL15'!$J$238:$J$451),0),
IF('TL16'!$B$3=J$3,SUMIF('TL16'!$C$10:$C$224,$C47,'TL16'!$J$10:$J$224),0),
IF('TL16'!$B$229=J$3,SUMIF('TL16'!$C$238:$C$451,$C47,'TL16'!$J$238:$J$451),0),
IF('TL17'!$B$3=J$3,SUMIF('TL17'!$C$10:$C$224,$C47,'TL17'!$J$10:$J$224),0),
IF('TL17'!$B$229=J$3,SUMIF('TL17'!$C$238:$C$451,$C47,'TL17'!$J$238:$J$451),0),
IF('TL18'!$B$3=J$3,SUMIF('TL18'!$C$10:$C$224,$C47,'TL18'!$J$10:$J$224),0),
IF('TL18'!$B$229=J$3,SUMIF('TL18'!$C$238:$C$451,$C47,'TL18'!$J$238:$J$451),0),
IF('TL19'!$B$3=J$3,SUMIF('TL19'!$C$10:$C$224,$C47,'TL19'!$J$10:$J$224),0),
IF('TL19'!$B$229=J$3,SUMIF('TL19'!$C$238:$C$451,$C47,'TL19'!$J$238:$J$451),0)
),0)</f>
        <v/>
      </c>
      <c r="K47" s="9">
        <f>IFERROR(SUM(
IF('TL01'!$B$3=K$3,SUMIF('TL01'!$C$10:$C$224,$C47,'TL01'!$J$10:$J$224),0),
IF('TL01'!$B$229=K$3,SUMIF('TL01'!$C$238:$C$451,$C47,'TL01'!$J$238:$J$451),0),
IF('TL02'!$B$3=K$3,SUMIF('TL02'!$C$10:$C$224,$C47,'TL02'!$J$10:$J$224),0),
IF('TL02'!$B$229=K$3,SUMIF('TL02'!$C$238:$C$451,$C47,'TL02'!$J$238:$J$451),0),
IF('TL03'!$B$3=K$3,SUMIF('TL03'!$C$10:$C$224,$C47,'TL03'!$J$10:$J$224),0),
IF('TL03'!$B$229=K$3,SUMIF('TL03'!$C$238:$C$451,$C47,'TL03'!$J$238:$J$451),0),
IF('TL04'!$B$3=K$3,SUMIF('TL04'!$C$10:$C$224,$C47,'TL04'!$J$10:$J$224),0),
IF('TL04'!$B$229=K$3,SUMIF('TL04'!$C$238:$C$451,$C47,'TL04'!$J$238:$J$451),0),
IF('TL05'!$B$3=K$3,SUMIF('TL05'!$C$10:$C$224,$C47,'TL05'!$J$10:$J$224),0),
IF('TL05'!$B$229=K$3,SUMIF('TL05'!$C$238:$C$451,$C47,'TL05'!$J$238:$J$451),0),
IF('TL06'!$B$3=K$3,SUMIF('TL06'!$C$10:$C$224,$C47,'TL06'!$J$10:$J$224),0),
IF('TL06'!$B$229=K$3,SUMIF('TL06'!$C$238:$C$451,$C47,'TL06'!$J$238:$J$451),0),
IF('TL07'!$B$3=K$3,SUMIF('TL07'!$C$10:$C$224,$C47,'TL07'!$J$10:$J$224),0),
IF('TL07'!$B$229=K$3,SUMIF('TL07'!$C$238:$C$451,$C47,'TL07'!$J$238:$J$451),0),
IF('TL08'!$B$3=K$3,SUMIF('TL08'!$C$10:$C$224,$C47,'TL08'!$J$10:$J$224),0),
IF('TL08'!$B$229=K$3,SUMIF('TL08'!$C$238:$C$451,$C47,'TL08'!$J$238:$J$451),0),
IF('TL09'!$B$3=K$3,SUMIF('TL09'!$C$10:$C$224,$C47,'TL09'!$J$10:$J$224),0),
IF('TL09'!$B$229=K$3,SUMIF('TL09'!$C$238:$C$451,$C47,'TL09'!$J$238:$J$451),0),
IF('TL10'!$B$3=K$3,SUMIF('TL10'!$C$10:$C$224,$C47,'TL10'!$J$10:$J$224),0),
IF('TL10'!$B$229=K$3,SUMIF('TL10'!$C$238:$C$451,$C47,'TL10'!$J$238:$J$451),0),
IF('TL11'!$B$3=K$3,SUMIF('TL11'!$C$10:$C$224,$C47,'TL11'!$J$10:$J$224),0),
IF('TL11'!$B$229=K$3,SUMIF('TL11'!$C$238:$C$451,$C47,'TL11'!$J$238:$J$451),0),
IF('TL12'!$B$3=K$3,SUMIF('TL12'!$C$10:$C$224,$C47,'TL12'!$J$10:$J$224),0),
IF('TL12'!$B$229=K$3,SUMIF('TL12'!$C$238:$C$451,$C47,'TL12'!$J$238:$J$451),0),
IF('TL13'!$B$3=K$3,SUMIF('TL13'!$C$10:$C$224,$C47,'TL13'!$J$10:$J$224),0),
IF('TL13'!$B$229=K$3,SUMIF('TL13'!$C$238:$C$451,$C47,'TL13'!$J$238:$J$451),0),
IF('TL14'!$B$3=K$3,SUMIF('TL14'!$C$10:$C$224,$C47,'TL14'!$J$10:$J$224),0),
IF('TL14'!$B$229=K$3,SUMIF('TL14'!$C$238:$C$451,$C47,'TL14'!$J$238:$J$451),0),
IF('TL15'!$B$3=K$3,SUMIF('TL15'!$C$10:$C$224,$C47,'TL15'!$J$10:$J$224),0),
IF('TL15'!$B$229=K$3,SUMIF('TL15'!$C$238:$C$451,$C47,'TL15'!$J$238:$J$451),0),
IF('TL16'!$B$3=K$3,SUMIF('TL16'!$C$10:$C$224,$C47,'TL16'!$J$10:$J$224),0),
IF('TL16'!$B$229=K$3,SUMIF('TL16'!$C$238:$C$451,$C47,'TL16'!$J$238:$J$451),0),
IF('TL17'!$B$3=K$3,SUMIF('TL17'!$C$10:$C$224,$C47,'TL17'!$J$10:$J$224),0),
IF('TL17'!$B$229=K$3,SUMIF('TL17'!$C$238:$C$451,$C47,'TL17'!$J$238:$J$451),0),
IF('TL18'!$B$3=K$3,SUMIF('TL18'!$C$10:$C$224,$C47,'TL18'!$J$10:$J$224),0),
IF('TL18'!$B$229=K$3,SUMIF('TL18'!$C$238:$C$451,$C47,'TL18'!$J$238:$J$451),0),
IF('TL19'!$B$3=K$3,SUMIF('TL19'!$C$10:$C$224,$C47,'TL19'!$J$10:$J$224),0),
IF('TL19'!$B$229=K$3,SUMIF('TL19'!$C$238:$C$451,$C47,'TL19'!$J$238:$J$451),0)
),0)</f>
        <v/>
      </c>
      <c r="L47" s="9">
        <f>IFERROR(SUM(
IF('TL01'!$B$3=L$3,SUMIF('TL01'!$C$10:$C$224,$C47,'TL01'!$J$10:$J$224),0),
IF('TL01'!$B$229=L$3,SUMIF('TL01'!$C$238:$C$451,$C47,'TL01'!$J$238:$J$451),0),
IF('TL02'!$B$3=L$3,SUMIF('TL02'!$C$10:$C$224,$C47,'TL02'!$J$10:$J$224),0),
IF('TL02'!$B$229=L$3,SUMIF('TL02'!$C$238:$C$451,$C47,'TL02'!$J$238:$J$451),0),
IF('TL03'!$B$3=L$3,SUMIF('TL03'!$C$10:$C$224,$C47,'TL03'!$J$10:$J$224),0),
IF('TL03'!$B$229=L$3,SUMIF('TL03'!$C$238:$C$451,$C47,'TL03'!$J$238:$J$451),0),
IF('TL04'!$B$3=L$3,SUMIF('TL04'!$C$10:$C$224,$C47,'TL04'!$J$10:$J$224),0),
IF('TL04'!$B$229=L$3,SUMIF('TL04'!$C$238:$C$451,$C47,'TL04'!$J$238:$J$451),0),
IF('TL05'!$B$3=L$3,SUMIF('TL05'!$C$10:$C$224,$C47,'TL05'!$J$10:$J$224),0),
IF('TL05'!$B$229=L$3,SUMIF('TL05'!$C$238:$C$451,$C47,'TL05'!$J$238:$J$451),0),
IF('TL06'!$B$3=L$3,SUMIF('TL06'!$C$10:$C$224,$C47,'TL06'!$J$10:$J$224),0),
IF('TL06'!$B$229=L$3,SUMIF('TL06'!$C$238:$C$451,$C47,'TL06'!$J$238:$J$451),0),
IF('TL07'!$B$3=L$3,SUMIF('TL07'!$C$10:$C$224,$C47,'TL07'!$J$10:$J$224),0),
IF('TL07'!$B$229=L$3,SUMIF('TL07'!$C$238:$C$451,$C47,'TL07'!$J$238:$J$451),0),
IF('TL08'!$B$3=L$3,SUMIF('TL08'!$C$10:$C$224,$C47,'TL08'!$J$10:$J$224),0),
IF('TL08'!$B$229=L$3,SUMIF('TL08'!$C$238:$C$451,$C47,'TL08'!$J$238:$J$451),0),
IF('TL09'!$B$3=L$3,SUMIF('TL09'!$C$10:$C$224,$C47,'TL09'!$J$10:$J$224),0),
IF('TL09'!$B$229=L$3,SUMIF('TL09'!$C$238:$C$451,$C47,'TL09'!$J$238:$J$451),0),
IF('TL10'!$B$3=L$3,SUMIF('TL10'!$C$10:$C$224,$C47,'TL10'!$J$10:$J$224),0),
IF('TL10'!$B$229=L$3,SUMIF('TL10'!$C$238:$C$451,$C47,'TL10'!$J$238:$J$451),0),
IF('TL11'!$B$3=L$3,SUMIF('TL11'!$C$10:$C$224,$C47,'TL11'!$J$10:$J$224),0),
IF('TL11'!$B$229=L$3,SUMIF('TL11'!$C$238:$C$451,$C47,'TL11'!$J$238:$J$451),0),
IF('TL12'!$B$3=L$3,SUMIF('TL12'!$C$10:$C$224,$C47,'TL12'!$J$10:$J$224),0),
IF('TL12'!$B$229=L$3,SUMIF('TL12'!$C$238:$C$451,$C47,'TL12'!$J$238:$J$451),0),
IF('TL13'!$B$3=L$3,SUMIF('TL13'!$C$10:$C$224,$C47,'TL13'!$J$10:$J$224),0),
IF('TL13'!$B$229=L$3,SUMIF('TL13'!$C$238:$C$451,$C47,'TL13'!$J$238:$J$451),0),
IF('TL14'!$B$3=L$3,SUMIF('TL14'!$C$10:$C$224,$C47,'TL14'!$J$10:$J$224),0),
IF('TL14'!$B$229=L$3,SUMIF('TL14'!$C$238:$C$451,$C47,'TL14'!$J$238:$J$451),0),
IF('TL15'!$B$3=L$3,SUMIF('TL15'!$C$10:$C$224,$C47,'TL15'!$J$10:$J$224),0),
IF('TL15'!$B$229=L$3,SUMIF('TL15'!$C$238:$C$451,$C47,'TL15'!$J$238:$J$451),0),
IF('TL16'!$B$3=L$3,SUMIF('TL16'!$C$10:$C$224,$C47,'TL16'!$J$10:$J$224),0),
IF('TL16'!$B$229=L$3,SUMIF('TL16'!$C$238:$C$451,$C47,'TL16'!$J$238:$J$451),0),
IF('TL17'!$B$3=L$3,SUMIF('TL17'!$C$10:$C$224,$C47,'TL17'!$J$10:$J$224),0),
IF('TL17'!$B$229=L$3,SUMIF('TL17'!$C$238:$C$451,$C47,'TL17'!$J$238:$J$451),0),
IF('TL18'!$B$3=L$3,SUMIF('TL18'!$C$10:$C$224,$C47,'TL18'!$J$10:$J$224),0),
IF('TL18'!$B$229=L$3,SUMIF('TL18'!$C$238:$C$451,$C47,'TL18'!$J$238:$J$451),0),
IF('TL19'!$B$3=L$3,SUMIF('TL19'!$C$10:$C$224,$C47,'TL19'!$J$10:$J$224),0),
IF('TL19'!$B$229=L$3,SUMIF('TL19'!$C$238:$C$451,$C47,'TL19'!$J$238:$J$451),0)
),0)</f>
        <v/>
      </c>
      <c r="M47" s="9">
        <f>IFERROR(SUM(
IF('TL01'!$B$3=M$3,SUMIF('TL01'!$C$10:$C$224,$C47,'TL01'!$J$10:$J$224),0),
IF('TL01'!$B$229=M$3,SUMIF('TL01'!$C$238:$C$451,$C47,'TL01'!$J$238:$J$451),0),
IF('TL02'!$B$3=M$3,SUMIF('TL02'!$C$10:$C$224,$C47,'TL02'!$J$10:$J$224),0),
IF('TL02'!$B$229=M$3,SUMIF('TL02'!$C$238:$C$451,$C47,'TL02'!$J$238:$J$451),0),
IF('TL03'!$B$3=M$3,SUMIF('TL03'!$C$10:$C$224,$C47,'TL03'!$J$10:$J$224),0),
IF('TL03'!$B$229=M$3,SUMIF('TL03'!$C$238:$C$451,$C47,'TL03'!$J$238:$J$451),0),
IF('TL04'!$B$3=M$3,SUMIF('TL04'!$C$10:$C$224,$C47,'TL04'!$J$10:$J$224),0),
IF('TL04'!$B$229=M$3,SUMIF('TL04'!$C$238:$C$451,$C47,'TL04'!$J$238:$J$451),0),
IF('TL05'!$B$3=M$3,SUMIF('TL05'!$C$10:$C$224,$C47,'TL05'!$J$10:$J$224),0),
IF('TL05'!$B$229=M$3,SUMIF('TL05'!$C$238:$C$451,$C47,'TL05'!$J$238:$J$451),0),
IF('TL06'!$B$3=M$3,SUMIF('TL06'!$C$10:$C$224,$C47,'TL06'!$J$10:$J$224),0),
IF('TL06'!$B$229=M$3,SUMIF('TL06'!$C$238:$C$451,$C47,'TL06'!$J$238:$J$451),0),
IF('TL07'!$B$3=M$3,SUMIF('TL07'!$C$10:$C$224,$C47,'TL07'!$J$10:$J$224),0),
IF('TL07'!$B$229=M$3,SUMIF('TL07'!$C$238:$C$451,$C47,'TL07'!$J$238:$J$451),0),
IF('TL08'!$B$3=M$3,SUMIF('TL08'!$C$10:$C$224,$C47,'TL08'!$J$10:$J$224),0),
IF('TL08'!$B$229=M$3,SUMIF('TL08'!$C$238:$C$451,$C47,'TL08'!$J$238:$J$451),0),
IF('TL09'!$B$3=M$3,SUMIF('TL09'!$C$10:$C$224,$C47,'TL09'!$J$10:$J$224),0),
IF('TL09'!$B$229=M$3,SUMIF('TL09'!$C$238:$C$451,$C47,'TL09'!$J$238:$J$451),0),
IF('TL10'!$B$3=M$3,SUMIF('TL10'!$C$10:$C$224,$C47,'TL10'!$J$10:$J$224),0),
IF('TL10'!$B$229=M$3,SUMIF('TL10'!$C$238:$C$451,$C47,'TL10'!$J$238:$J$451),0),
IF('TL11'!$B$3=M$3,SUMIF('TL11'!$C$10:$C$224,$C47,'TL11'!$J$10:$J$224),0),
IF('TL11'!$B$229=M$3,SUMIF('TL11'!$C$238:$C$451,$C47,'TL11'!$J$238:$J$451),0),
IF('TL12'!$B$3=M$3,SUMIF('TL12'!$C$10:$C$224,$C47,'TL12'!$J$10:$J$224),0),
IF('TL12'!$B$229=M$3,SUMIF('TL12'!$C$238:$C$451,$C47,'TL12'!$J$238:$J$451),0),
IF('TL13'!$B$3=M$3,SUMIF('TL13'!$C$10:$C$224,$C47,'TL13'!$J$10:$J$224),0),
IF('TL13'!$B$229=M$3,SUMIF('TL13'!$C$238:$C$451,$C47,'TL13'!$J$238:$J$451),0),
IF('TL14'!$B$3=M$3,SUMIF('TL14'!$C$10:$C$224,$C47,'TL14'!$J$10:$J$224),0),
IF('TL14'!$B$229=M$3,SUMIF('TL14'!$C$238:$C$451,$C47,'TL14'!$J$238:$J$451),0),
IF('TL15'!$B$3=M$3,SUMIF('TL15'!$C$10:$C$224,$C47,'TL15'!$J$10:$J$224),0),
IF('TL15'!$B$229=M$3,SUMIF('TL15'!$C$238:$C$451,$C47,'TL15'!$J$238:$J$451),0),
IF('TL16'!$B$3=M$3,SUMIF('TL16'!$C$10:$C$224,$C47,'TL16'!$J$10:$J$224),0),
IF('TL16'!$B$229=M$3,SUMIF('TL16'!$C$238:$C$451,$C47,'TL16'!$J$238:$J$451),0),
IF('TL17'!$B$3=M$3,SUMIF('TL17'!$C$10:$C$224,$C47,'TL17'!$J$10:$J$224),0),
IF('TL17'!$B$229=M$3,SUMIF('TL17'!$C$238:$C$451,$C47,'TL17'!$J$238:$J$451),0),
IF('TL18'!$B$3=M$3,SUMIF('TL18'!$C$10:$C$224,$C47,'TL18'!$J$10:$J$224),0),
IF('TL18'!$B$229=M$3,SUMIF('TL18'!$C$238:$C$451,$C47,'TL18'!$J$238:$J$451),0),
IF('TL19'!$B$3=M$3,SUMIF('TL19'!$C$10:$C$224,$C47,'TL19'!$J$10:$J$224),0),
IF('TL19'!$B$229=M$3,SUMIF('TL19'!$C$238:$C$451,$C47,'TL19'!$J$238:$J$451),0)
),0)</f>
        <v/>
      </c>
      <c r="N47" s="9">
        <f>IFERROR(SUM(
IF('TL01'!$B$3=N$3,SUMIF('TL01'!$C$10:$C$224,$C47,'TL01'!$J$10:$J$224),0),
IF('TL01'!$B$229=N$3,SUMIF('TL01'!$C$238:$C$451,$C47,'TL01'!$J$238:$J$451),0),
IF('TL02'!$B$3=N$3,SUMIF('TL02'!$C$10:$C$224,$C47,'TL02'!$J$10:$J$224),0),
IF('TL02'!$B$229=N$3,SUMIF('TL02'!$C$238:$C$451,$C47,'TL02'!$J$238:$J$451),0),
IF('TL03'!$B$3=N$3,SUMIF('TL03'!$C$10:$C$224,$C47,'TL03'!$J$10:$J$224),0),
IF('TL03'!$B$229=N$3,SUMIF('TL03'!$C$238:$C$451,$C47,'TL03'!$J$238:$J$451),0),
IF('TL04'!$B$3=N$3,SUMIF('TL04'!$C$10:$C$224,$C47,'TL04'!$J$10:$J$224),0),
IF('TL04'!$B$229=N$3,SUMIF('TL04'!$C$238:$C$451,$C47,'TL04'!$J$238:$J$451),0),
IF('TL05'!$B$3=N$3,SUMIF('TL05'!$C$10:$C$224,$C47,'TL05'!$J$10:$J$224),0),
IF('TL05'!$B$229=N$3,SUMIF('TL05'!$C$238:$C$451,$C47,'TL05'!$J$238:$J$451),0),
IF('TL06'!$B$3=N$3,SUMIF('TL06'!$C$10:$C$224,$C47,'TL06'!$J$10:$J$224),0),
IF('TL06'!$B$229=N$3,SUMIF('TL06'!$C$238:$C$451,$C47,'TL06'!$J$238:$J$451),0),
IF('TL07'!$B$3=N$3,SUMIF('TL07'!$C$10:$C$224,$C47,'TL07'!$J$10:$J$224),0),
IF('TL07'!$B$229=N$3,SUMIF('TL07'!$C$238:$C$451,$C47,'TL07'!$J$238:$J$451),0),
IF('TL08'!$B$3=N$3,SUMIF('TL08'!$C$10:$C$224,$C47,'TL08'!$J$10:$J$224),0),
IF('TL08'!$B$229=N$3,SUMIF('TL08'!$C$238:$C$451,$C47,'TL08'!$J$238:$J$451),0),
IF('TL09'!$B$3=N$3,SUMIF('TL09'!$C$10:$C$224,$C47,'TL09'!$J$10:$J$224),0),
IF('TL09'!$B$229=N$3,SUMIF('TL09'!$C$238:$C$451,$C47,'TL09'!$J$238:$J$451),0),
IF('TL10'!$B$3=N$3,SUMIF('TL10'!$C$10:$C$224,$C47,'TL10'!$J$10:$J$224),0),
IF('TL10'!$B$229=N$3,SUMIF('TL10'!$C$238:$C$451,$C47,'TL10'!$J$238:$J$451),0),
IF('TL11'!$B$3=N$3,SUMIF('TL11'!$C$10:$C$224,$C47,'TL11'!$J$10:$J$224),0),
IF('TL11'!$B$229=N$3,SUMIF('TL11'!$C$238:$C$451,$C47,'TL11'!$J$238:$J$451),0),
IF('TL12'!$B$3=N$3,SUMIF('TL12'!$C$10:$C$224,$C47,'TL12'!$J$10:$J$224),0),
IF('TL12'!$B$229=N$3,SUMIF('TL12'!$C$238:$C$451,$C47,'TL12'!$J$238:$J$451),0),
IF('TL13'!$B$3=N$3,SUMIF('TL13'!$C$10:$C$224,$C47,'TL13'!$J$10:$J$224),0),
IF('TL13'!$B$229=N$3,SUMIF('TL13'!$C$238:$C$451,$C47,'TL13'!$J$238:$J$451),0),
IF('TL14'!$B$3=N$3,SUMIF('TL14'!$C$10:$C$224,$C47,'TL14'!$J$10:$J$224),0),
IF('TL14'!$B$229=N$3,SUMIF('TL14'!$C$238:$C$451,$C47,'TL14'!$J$238:$J$451),0),
IF('TL15'!$B$3=N$3,SUMIF('TL15'!$C$10:$C$224,$C47,'TL15'!$J$10:$J$224),0),
IF('TL15'!$B$229=N$3,SUMIF('TL15'!$C$238:$C$451,$C47,'TL15'!$J$238:$J$451),0),
IF('TL16'!$B$3=N$3,SUMIF('TL16'!$C$10:$C$224,$C47,'TL16'!$J$10:$J$224),0),
IF('TL16'!$B$229=N$3,SUMIF('TL16'!$C$238:$C$451,$C47,'TL16'!$J$238:$J$451),0),
IF('TL17'!$B$3=N$3,SUMIF('TL17'!$C$10:$C$224,$C47,'TL17'!$J$10:$J$224),0),
IF('TL17'!$B$229=N$3,SUMIF('TL17'!$C$238:$C$451,$C47,'TL17'!$J$238:$J$451),0),
IF('TL18'!$B$3=N$3,SUMIF('TL18'!$C$10:$C$224,$C47,'TL18'!$J$10:$J$224),0),
IF('TL18'!$B$229=N$3,SUMIF('TL18'!$C$238:$C$451,$C47,'TL18'!$J$238:$J$451),0),
IF('TL19'!$B$3=N$3,SUMIF('TL19'!$C$10:$C$224,$C47,'TL19'!$J$10:$J$224),0),
IF('TL19'!$B$229=N$3,SUMIF('TL19'!$C$238:$C$451,$C47,'TL19'!$J$238:$J$451),0)
),0)</f>
        <v/>
      </c>
      <c r="O47" s="9">
        <f>IFERROR(SUM(
IF('TL01'!$B$3=O$3,SUMIF('TL01'!$C$10:$C$224,$C47,'TL01'!$J$10:$J$224),0),
IF('TL01'!$B$229=O$3,SUMIF('TL01'!$C$238:$C$451,$C47,'TL01'!$J$238:$J$451),0),
IF('TL02'!$B$3=O$3,SUMIF('TL02'!$C$10:$C$224,$C47,'TL02'!$J$10:$J$224),0),
IF('TL02'!$B$229=O$3,SUMIF('TL02'!$C$238:$C$451,$C47,'TL02'!$J$238:$J$451),0),
IF('TL03'!$B$3=O$3,SUMIF('TL03'!$C$10:$C$224,$C47,'TL03'!$J$10:$J$224),0),
IF('TL03'!$B$229=O$3,SUMIF('TL03'!$C$238:$C$451,$C47,'TL03'!$J$238:$J$451),0),
IF('TL04'!$B$3=O$3,SUMIF('TL04'!$C$10:$C$224,$C47,'TL04'!$J$10:$J$224),0),
IF('TL04'!$B$229=O$3,SUMIF('TL04'!$C$238:$C$451,$C47,'TL04'!$J$238:$J$451),0),
IF('TL05'!$B$3=O$3,SUMIF('TL05'!$C$10:$C$224,$C47,'TL05'!$J$10:$J$224),0),
IF('TL05'!$B$229=O$3,SUMIF('TL05'!$C$238:$C$451,$C47,'TL05'!$J$238:$J$451),0),
IF('TL06'!$B$3=O$3,SUMIF('TL06'!$C$10:$C$224,$C47,'TL06'!$J$10:$J$224),0),
IF('TL06'!$B$229=O$3,SUMIF('TL06'!$C$238:$C$451,$C47,'TL06'!$J$238:$J$451),0),
IF('TL07'!$B$3=O$3,SUMIF('TL07'!$C$10:$C$224,$C47,'TL07'!$J$10:$J$224),0),
IF('TL07'!$B$229=O$3,SUMIF('TL07'!$C$238:$C$451,$C47,'TL07'!$J$238:$J$451),0),
IF('TL08'!$B$3=O$3,SUMIF('TL08'!$C$10:$C$224,$C47,'TL08'!$J$10:$J$224),0),
IF('TL08'!$B$229=O$3,SUMIF('TL08'!$C$238:$C$451,$C47,'TL08'!$J$238:$J$451),0),
IF('TL09'!$B$3=O$3,SUMIF('TL09'!$C$10:$C$224,$C47,'TL09'!$J$10:$J$224),0),
IF('TL09'!$B$229=O$3,SUMIF('TL09'!$C$238:$C$451,$C47,'TL09'!$J$238:$J$451),0),
IF('TL10'!$B$3=O$3,SUMIF('TL10'!$C$10:$C$224,$C47,'TL10'!$J$10:$J$224),0),
IF('TL10'!$B$229=O$3,SUMIF('TL10'!$C$238:$C$451,$C47,'TL10'!$J$238:$J$451),0),
IF('TL11'!$B$3=O$3,SUMIF('TL11'!$C$10:$C$224,$C47,'TL11'!$J$10:$J$224),0),
IF('TL11'!$B$229=O$3,SUMIF('TL11'!$C$238:$C$451,$C47,'TL11'!$J$238:$J$451),0),
IF('TL12'!$B$3=O$3,SUMIF('TL12'!$C$10:$C$224,$C47,'TL12'!$J$10:$J$224),0),
IF('TL12'!$B$229=O$3,SUMIF('TL12'!$C$238:$C$451,$C47,'TL12'!$J$238:$J$451),0),
IF('TL13'!$B$3=O$3,SUMIF('TL13'!$C$10:$C$224,$C47,'TL13'!$J$10:$J$224),0),
IF('TL13'!$B$229=O$3,SUMIF('TL13'!$C$238:$C$451,$C47,'TL13'!$J$238:$J$451),0),
IF('TL14'!$B$3=O$3,SUMIF('TL14'!$C$10:$C$224,$C47,'TL14'!$J$10:$J$224),0),
IF('TL14'!$B$229=O$3,SUMIF('TL14'!$C$238:$C$451,$C47,'TL14'!$J$238:$J$451),0),
IF('TL15'!$B$3=O$3,SUMIF('TL15'!$C$10:$C$224,$C47,'TL15'!$J$10:$J$224),0),
IF('TL15'!$B$229=O$3,SUMIF('TL15'!$C$238:$C$451,$C47,'TL15'!$J$238:$J$451),0),
IF('TL16'!$B$3=O$3,SUMIF('TL16'!$C$10:$C$224,$C47,'TL16'!$J$10:$J$224),0),
IF('TL16'!$B$229=O$3,SUMIF('TL16'!$C$238:$C$451,$C47,'TL16'!$J$238:$J$451),0),
IF('TL17'!$B$3=O$3,SUMIF('TL17'!$C$10:$C$224,$C47,'TL17'!$J$10:$J$224),0),
IF('TL17'!$B$229=O$3,SUMIF('TL17'!$C$238:$C$451,$C47,'TL17'!$J$238:$J$451),0),
IF('TL18'!$B$3=O$3,SUMIF('TL18'!$C$10:$C$224,$C47,'TL18'!$J$10:$J$224),0),
IF('TL18'!$B$229=O$3,SUMIF('TL18'!$C$238:$C$451,$C47,'TL18'!$J$238:$J$451),0),
IF('TL19'!$B$3=O$3,SUMIF('TL19'!$C$10:$C$224,$C47,'TL19'!$J$10:$J$224),0),
IF('TL19'!$B$229=O$3,SUMIF('TL19'!$C$238:$C$451,$C47,'TL19'!$J$238:$J$451),0)
),0)</f>
        <v/>
      </c>
      <c r="P47" s="9">
        <f>IFERROR(SUM(
IF('TL01'!$B$3=P$3,SUMIF('TL01'!$C$10:$C$224,$C47,'TL01'!$J$10:$J$224),0),
IF('TL01'!$B$229=P$3,SUMIF('TL01'!$C$238:$C$451,$C47,'TL01'!$J$238:$J$451),0),
IF('TL02'!$B$3=P$3,SUMIF('TL02'!$C$10:$C$224,$C47,'TL02'!$J$10:$J$224),0),
IF('TL02'!$B$229=P$3,SUMIF('TL02'!$C$238:$C$451,$C47,'TL02'!$J$238:$J$451),0),
IF('TL03'!$B$3=P$3,SUMIF('TL03'!$C$10:$C$224,$C47,'TL03'!$J$10:$J$224),0),
IF('TL03'!$B$229=P$3,SUMIF('TL03'!$C$238:$C$451,$C47,'TL03'!$J$238:$J$451),0),
IF('TL04'!$B$3=P$3,SUMIF('TL04'!$C$10:$C$224,$C47,'TL04'!$J$10:$J$224),0),
IF('TL04'!$B$229=P$3,SUMIF('TL04'!$C$238:$C$451,$C47,'TL04'!$J$238:$J$451),0),
IF('TL05'!$B$3=P$3,SUMIF('TL05'!$C$10:$C$224,$C47,'TL05'!$J$10:$J$224),0),
IF('TL05'!$B$229=P$3,SUMIF('TL05'!$C$238:$C$451,$C47,'TL05'!$J$238:$J$451),0),
IF('TL06'!$B$3=P$3,SUMIF('TL06'!$C$10:$C$224,$C47,'TL06'!$J$10:$J$224),0),
IF('TL06'!$B$229=P$3,SUMIF('TL06'!$C$238:$C$451,$C47,'TL06'!$J$238:$J$451),0),
IF('TL07'!$B$3=P$3,SUMIF('TL07'!$C$10:$C$224,$C47,'TL07'!$J$10:$J$224),0),
IF('TL07'!$B$229=P$3,SUMIF('TL07'!$C$238:$C$451,$C47,'TL07'!$J$238:$J$451),0),
IF('TL08'!$B$3=P$3,SUMIF('TL08'!$C$10:$C$224,$C47,'TL08'!$J$10:$J$224),0),
IF('TL08'!$B$229=P$3,SUMIF('TL08'!$C$238:$C$451,$C47,'TL08'!$J$238:$J$451),0),
IF('TL09'!$B$3=P$3,SUMIF('TL09'!$C$10:$C$224,$C47,'TL09'!$J$10:$J$224),0),
IF('TL09'!$B$229=P$3,SUMIF('TL09'!$C$238:$C$451,$C47,'TL09'!$J$238:$J$451),0),
IF('TL10'!$B$3=P$3,SUMIF('TL10'!$C$10:$C$224,$C47,'TL10'!$J$10:$J$224),0),
IF('TL10'!$B$229=P$3,SUMIF('TL10'!$C$238:$C$451,$C47,'TL10'!$J$238:$J$451),0),
IF('TL11'!$B$3=P$3,SUMIF('TL11'!$C$10:$C$224,$C47,'TL11'!$J$10:$J$224),0),
IF('TL11'!$B$229=P$3,SUMIF('TL11'!$C$238:$C$451,$C47,'TL11'!$J$238:$J$451),0),
IF('TL12'!$B$3=P$3,SUMIF('TL12'!$C$10:$C$224,$C47,'TL12'!$J$10:$J$224),0),
IF('TL12'!$B$229=P$3,SUMIF('TL12'!$C$238:$C$451,$C47,'TL12'!$J$238:$J$451),0),
IF('TL13'!$B$3=P$3,SUMIF('TL13'!$C$10:$C$224,$C47,'TL13'!$J$10:$J$224),0),
IF('TL13'!$B$229=P$3,SUMIF('TL13'!$C$238:$C$451,$C47,'TL13'!$J$238:$J$451),0),
IF('TL14'!$B$3=P$3,SUMIF('TL14'!$C$10:$C$224,$C47,'TL14'!$J$10:$J$224),0),
IF('TL14'!$B$229=P$3,SUMIF('TL14'!$C$238:$C$451,$C47,'TL14'!$J$238:$J$451),0),
IF('TL15'!$B$3=P$3,SUMIF('TL15'!$C$10:$C$224,$C47,'TL15'!$J$10:$J$224),0),
IF('TL15'!$B$229=P$3,SUMIF('TL15'!$C$238:$C$451,$C47,'TL15'!$J$238:$J$451),0),
IF('TL16'!$B$3=P$3,SUMIF('TL16'!$C$10:$C$224,$C47,'TL16'!$J$10:$J$224),0),
IF('TL16'!$B$229=P$3,SUMIF('TL16'!$C$238:$C$451,$C47,'TL16'!$J$238:$J$451),0),
IF('TL17'!$B$3=P$3,SUMIF('TL17'!$C$10:$C$224,$C47,'TL17'!$J$10:$J$224),0),
IF('TL17'!$B$229=P$3,SUMIF('TL17'!$C$238:$C$451,$C47,'TL17'!$J$238:$J$451),0),
IF('TL18'!$B$3=P$3,SUMIF('TL18'!$C$10:$C$224,$C47,'TL18'!$J$10:$J$224),0),
IF('TL18'!$B$229=P$3,SUMIF('TL18'!$C$238:$C$451,$C47,'TL18'!$J$238:$J$451),0),
IF('TL19'!$B$3=P$3,SUMIF('TL19'!$C$10:$C$224,$C47,'TL19'!$J$10:$J$224),0),
IF('TL19'!$B$229=P$3,SUMIF('TL19'!$C$238:$C$451,$C47,'TL19'!$J$238:$J$451),0)
),0)</f>
        <v/>
      </c>
      <c r="Q47" s="9">
        <f>IFERROR(SUM(
IF('TL01'!$B$3=Q$3,SUMIF('TL01'!$C$10:$C$224,$C47,'TL01'!$J$10:$J$224),0),
IF('TL01'!$B$229=Q$3,SUMIF('TL01'!$C$238:$C$451,$C47,'TL01'!$J$238:$J$451),0),
IF('TL02'!$B$3=Q$3,SUMIF('TL02'!$C$10:$C$224,$C47,'TL02'!$J$10:$J$224),0),
IF('TL02'!$B$229=Q$3,SUMIF('TL02'!$C$238:$C$451,$C47,'TL02'!$J$238:$J$451),0),
IF('TL03'!$B$3=Q$3,SUMIF('TL03'!$C$10:$C$224,$C47,'TL03'!$J$10:$J$224),0),
IF('TL03'!$B$229=Q$3,SUMIF('TL03'!$C$238:$C$451,$C47,'TL03'!$J$238:$J$451),0),
IF('TL04'!$B$3=Q$3,SUMIF('TL04'!$C$10:$C$224,$C47,'TL04'!$J$10:$J$224),0),
IF('TL04'!$B$229=Q$3,SUMIF('TL04'!$C$238:$C$451,$C47,'TL04'!$J$238:$J$451),0),
IF('TL05'!$B$3=Q$3,SUMIF('TL05'!$C$10:$C$224,$C47,'TL05'!$J$10:$J$224),0),
IF('TL05'!$B$229=Q$3,SUMIF('TL05'!$C$238:$C$451,$C47,'TL05'!$J$238:$J$451),0),
IF('TL06'!$B$3=Q$3,SUMIF('TL06'!$C$10:$C$224,$C47,'TL06'!$J$10:$J$224),0),
IF('TL06'!$B$229=Q$3,SUMIF('TL06'!$C$238:$C$451,$C47,'TL06'!$J$238:$J$451),0),
IF('TL07'!$B$3=Q$3,SUMIF('TL07'!$C$10:$C$224,$C47,'TL07'!$J$10:$J$224),0),
IF('TL07'!$B$229=Q$3,SUMIF('TL07'!$C$238:$C$451,$C47,'TL07'!$J$238:$J$451),0),
IF('TL08'!$B$3=Q$3,SUMIF('TL08'!$C$10:$C$224,$C47,'TL08'!$J$10:$J$224),0),
IF('TL08'!$B$229=Q$3,SUMIF('TL08'!$C$238:$C$451,$C47,'TL08'!$J$238:$J$451),0),
IF('TL09'!$B$3=Q$3,SUMIF('TL09'!$C$10:$C$224,$C47,'TL09'!$J$10:$J$224),0),
IF('TL09'!$B$229=Q$3,SUMIF('TL09'!$C$238:$C$451,$C47,'TL09'!$J$238:$J$451),0),
IF('TL10'!$B$3=Q$3,SUMIF('TL10'!$C$10:$C$224,$C47,'TL10'!$J$10:$J$224),0),
IF('TL10'!$B$229=Q$3,SUMIF('TL10'!$C$238:$C$451,$C47,'TL10'!$J$238:$J$451),0),
IF('TL11'!$B$3=Q$3,SUMIF('TL11'!$C$10:$C$224,$C47,'TL11'!$J$10:$J$224),0),
IF('TL11'!$B$229=Q$3,SUMIF('TL11'!$C$238:$C$451,$C47,'TL11'!$J$238:$J$451),0),
IF('TL12'!$B$3=Q$3,SUMIF('TL12'!$C$10:$C$224,$C47,'TL12'!$J$10:$J$224),0),
IF('TL12'!$B$229=Q$3,SUMIF('TL12'!$C$238:$C$451,$C47,'TL12'!$J$238:$J$451),0),
IF('TL13'!$B$3=Q$3,SUMIF('TL13'!$C$10:$C$224,$C47,'TL13'!$J$10:$J$224),0),
IF('TL13'!$B$229=Q$3,SUMIF('TL13'!$C$238:$C$451,$C47,'TL13'!$J$238:$J$451),0),
IF('TL14'!$B$3=Q$3,SUMIF('TL14'!$C$10:$C$224,$C47,'TL14'!$J$10:$J$224),0),
IF('TL14'!$B$229=Q$3,SUMIF('TL14'!$C$238:$C$451,$C47,'TL14'!$J$238:$J$451),0),
IF('TL15'!$B$3=Q$3,SUMIF('TL15'!$C$10:$C$224,$C47,'TL15'!$J$10:$J$224),0),
IF('TL15'!$B$229=Q$3,SUMIF('TL15'!$C$238:$C$451,$C47,'TL15'!$J$238:$J$451),0),
IF('TL16'!$B$3=Q$3,SUMIF('TL16'!$C$10:$C$224,$C47,'TL16'!$J$10:$J$224),0),
IF('TL16'!$B$229=Q$3,SUMIF('TL16'!$C$238:$C$451,$C47,'TL16'!$J$238:$J$451),0),
IF('TL17'!$B$3=Q$3,SUMIF('TL17'!$C$10:$C$224,$C47,'TL17'!$J$10:$J$224),0),
IF('TL17'!$B$229=Q$3,SUMIF('TL17'!$C$238:$C$451,$C47,'TL17'!$J$238:$J$451),0),
IF('TL18'!$B$3=Q$3,SUMIF('TL18'!$C$10:$C$224,$C47,'TL18'!$J$10:$J$224),0),
IF('TL18'!$B$229=Q$3,SUMIF('TL18'!$C$238:$C$451,$C47,'TL18'!$J$238:$J$451),0),
IF('TL19'!$B$3=Q$3,SUMIF('TL19'!$C$10:$C$224,$C47,'TL19'!$J$10:$J$224),0),
IF('TL19'!$B$229=Q$3,SUMIF('TL19'!$C$238:$C$451,$C47,'TL19'!$J$238:$J$451),0)
),0)</f>
        <v/>
      </c>
      <c r="R47" s="9">
        <f>IFERROR(
SUM(
SUMIF('TL01'!C:C,C47,'TL01'!J:J),
SUMIF('TL02'!C:C,C47,'TL02'!J:J),
SUMIF('TL03'!C:C,C47,'TL03'!J:J),
SUMIF('TL04'!C:C,C47,'TL04'!J:J),
SUMIF('TL05'!C:C,C47,'TL05'!J:J),
SUMIF('TL06'!C:C,C47,'TL06'!J:J),
SUMIF('TL07'!C:C,C47,'TL07'!J:J),
SUMIF('TL08'!C:C,C47,'TL08'!J:J),
SUMIF('TL09'!C:C,C47,'TL09'!J:J),
SUMIF('TL10'!C:C,C47,'TL10'!J:J),
SUMIF('TL11'!C:C,C47,'TL11'!J:J),
SUMIF('TL12'!C:C,C47,'TL12'!J:J),
SUMIF('TL13'!C:C,C47,'TL13'!J:J),
SUMIF('TL14'!C:C,C47,'TL14'!J:J),
SUMIF('TL15'!C:C,C47,'TL15'!J:J),
SUMIF('TL16'!C:C,C47,'TL16'!J:J),
SUMIF('TL17'!C:C,C47,'TL17'!J:J),
SUMIF('TL18'!C:C,C47,'TL18'!J:J),SUMIF('TL19'!C:C,C47,'TL19'!J:J))
,0)</f>
        <v/>
      </c>
      <c r="S47" s="17">
        <f>IFERROR(__xludf.DUMMYFUNCTION("IFERROR(VLOOKUP(C47,
IMPORTRANGE(""1wULbzX32WdYsx-lj2U3uUNBBe2INVIRDtcK0d-Dvl90"",
""26-27!C:G""),
5,
FALSE),
"""")"),160.40160000000003)</f>
        <v/>
      </c>
      <c r="T47" s="9" t="n"/>
      <c r="U47" s="92">
        <f>MAX(0,R47-T47)</f>
        <v/>
      </c>
      <c r="V47" s="93">
        <f>U47*S47</f>
        <v/>
      </c>
    </row>
    <row r="48" hidden="1" ht="15.75" customHeight="1" s="297">
      <c r="A48" s="115" t="inlineStr">
        <is>
          <t>BASF</t>
        </is>
      </c>
      <c r="B48" s="100" t="inlineStr">
        <is>
          <t>FUNGICIDA</t>
        </is>
      </c>
      <c r="C48" s="116" t="inlineStr">
        <is>
          <t>ORKESTRA SC</t>
        </is>
      </c>
      <c r="D48" s="116" t="inlineStr">
        <is>
          <t>PIRACLOSTROBINA + FLUXAPIROXADE</t>
        </is>
      </c>
      <c r="E48" s="116" t="inlineStr">
        <is>
          <t>333 + 167</t>
        </is>
      </c>
      <c r="F48" s="4" t="inlineStr">
        <is>
          <t>L</t>
        </is>
      </c>
      <c r="G48" s="90">
        <f>HYPERLINK("https://www.google.com/search?q=" &amp; C48 &amp; "+bula+agrofit+pdf", "📄 Ver bula")</f>
        <v/>
      </c>
      <c r="H48" s="9">
        <f>IFERROR(__xludf.DUMMYFUNCTION("IFERROR(VLOOKUP(C48,
IMPORTRANGE(""1wULbzX32WdYsx-lj2U3uUNBBe2INVIRDtcK0d-Dvl90"",
""26-27!C:K""),
8,
FALSE),
"""")"),0.35)</f>
        <v/>
      </c>
      <c r="I48" s="117" t="inlineStr">
        <is>
          <t>4X5</t>
        </is>
      </c>
      <c r="J48" s="9">
        <f>IFERROR(SUM(
IF('TL01'!$B$3=J$3,SUMIF('TL01'!$C$10:$C$224,$C48,'TL01'!$J$10:$J$224),0),
IF('TL01'!$B$229=J$3,SUMIF('TL01'!$C$238:$C$451,$C48,'TL01'!$J$238:$J$451),0),
IF('TL02'!$B$3=J$3,SUMIF('TL02'!$C$10:$C$224,$C48,'TL02'!$J$10:$J$224),0),
IF('TL02'!$B$229=J$3,SUMIF('TL02'!$C$238:$C$451,$C48,'TL02'!$J$238:$J$451),0),
IF('TL03'!$B$3=J$3,SUMIF('TL03'!$C$10:$C$224,$C48,'TL03'!$J$10:$J$224),0),
IF('TL03'!$B$229=J$3,SUMIF('TL03'!$C$238:$C$451,$C48,'TL03'!$J$238:$J$451),0),
IF('TL04'!$B$3=J$3,SUMIF('TL04'!$C$10:$C$224,$C48,'TL04'!$J$10:$J$224),0),
IF('TL04'!$B$229=J$3,SUMIF('TL04'!$C$238:$C$451,$C48,'TL04'!$J$238:$J$451),0),
IF('TL05'!$B$3=J$3,SUMIF('TL05'!$C$10:$C$224,$C48,'TL05'!$J$10:$J$224),0),
IF('TL05'!$B$229=J$3,SUMIF('TL05'!$C$238:$C$451,$C48,'TL05'!$J$238:$J$451),0),
IF('TL06'!$B$3=J$3,SUMIF('TL06'!$C$10:$C$224,$C48,'TL06'!$J$10:$J$224),0),
IF('TL06'!$B$229=J$3,SUMIF('TL06'!$C$238:$C$451,$C48,'TL06'!$J$238:$J$451),0),
IF('TL07'!$B$3=J$3,SUMIF('TL07'!$C$10:$C$224,$C48,'TL07'!$J$10:$J$224),0),
IF('TL07'!$B$229=J$3,SUMIF('TL07'!$C$238:$C$451,$C48,'TL07'!$J$238:$J$451),0),
IF('TL08'!$B$3=J$3,SUMIF('TL08'!$C$10:$C$224,$C48,'TL08'!$J$10:$J$224),0),
IF('TL08'!$B$229=J$3,SUMIF('TL08'!$C$238:$C$451,$C48,'TL08'!$J$238:$J$451),0),
IF('TL09'!$B$3=J$3,SUMIF('TL09'!$C$10:$C$224,$C48,'TL09'!$J$10:$J$224),0),
IF('TL09'!$B$229=J$3,SUMIF('TL09'!$C$238:$C$451,$C48,'TL09'!$J$238:$J$451),0),
IF('TL10'!$B$3=J$3,SUMIF('TL10'!$C$10:$C$224,$C48,'TL10'!$J$10:$J$224),0),
IF('TL10'!$B$229=J$3,SUMIF('TL10'!$C$238:$C$451,$C48,'TL10'!$J$238:$J$451),0),
IF('TL11'!$B$3=J$3,SUMIF('TL11'!$C$10:$C$224,$C48,'TL11'!$J$10:$J$224),0),
IF('TL11'!$B$229=J$3,SUMIF('TL11'!$C$238:$C$451,$C48,'TL11'!$J$238:$J$451),0),
IF('TL12'!$B$3=J$3,SUMIF('TL12'!$C$10:$C$224,$C48,'TL12'!$J$10:$J$224),0),
IF('TL12'!$B$229=J$3,SUMIF('TL12'!$C$238:$C$451,$C48,'TL12'!$J$238:$J$451),0),
IF('TL13'!$B$3=J$3,SUMIF('TL13'!$C$10:$C$224,$C48,'TL13'!$J$10:$J$224),0),
IF('TL13'!$B$229=J$3,SUMIF('TL13'!$C$238:$C$451,$C48,'TL13'!$J$238:$J$451),0),
IF('TL14'!$B$3=J$3,SUMIF('TL14'!$C$10:$C$224,$C48,'TL14'!$J$10:$J$224),0),
IF('TL14'!$B$229=J$3,SUMIF('TL14'!$C$238:$C$451,$C48,'TL14'!$J$238:$J$451),0),
IF('TL15'!$B$3=J$3,SUMIF('TL15'!$C$10:$C$224,$C48,'TL15'!$J$10:$J$224),0),
IF('TL15'!$B$229=J$3,SUMIF('TL15'!$C$238:$C$451,$C48,'TL15'!$J$238:$J$451),0),
IF('TL16'!$B$3=J$3,SUMIF('TL16'!$C$10:$C$224,$C48,'TL16'!$J$10:$J$224),0),
IF('TL16'!$B$229=J$3,SUMIF('TL16'!$C$238:$C$451,$C48,'TL16'!$J$238:$J$451),0),
IF('TL17'!$B$3=J$3,SUMIF('TL17'!$C$10:$C$224,$C48,'TL17'!$J$10:$J$224),0),
IF('TL17'!$B$229=J$3,SUMIF('TL17'!$C$238:$C$451,$C48,'TL17'!$J$238:$J$451),0),
IF('TL18'!$B$3=J$3,SUMIF('TL18'!$C$10:$C$224,$C48,'TL18'!$J$10:$J$224),0),
IF('TL18'!$B$229=J$3,SUMIF('TL18'!$C$238:$C$451,$C48,'TL18'!$J$238:$J$451),0),
IF('TL19'!$B$3=J$3,SUMIF('TL19'!$C$10:$C$224,$C48,'TL19'!$J$10:$J$224),0),
IF('TL19'!$B$229=J$3,SUMIF('TL19'!$C$238:$C$451,$C48,'TL19'!$J$238:$J$451),0)
),0)</f>
        <v/>
      </c>
      <c r="K48" s="9">
        <f>IFERROR(SUM(
IF('TL01'!$B$3=K$3,SUMIF('TL01'!$C$10:$C$224,$C48,'TL01'!$J$10:$J$224),0),
IF('TL01'!$B$229=K$3,SUMIF('TL01'!$C$238:$C$451,$C48,'TL01'!$J$238:$J$451),0),
IF('TL02'!$B$3=K$3,SUMIF('TL02'!$C$10:$C$224,$C48,'TL02'!$J$10:$J$224),0),
IF('TL02'!$B$229=K$3,SUMIF('TL02'!$C$238:$C$451,$C48,'TL02'!$J$238:$J$451),0),
IF('TL03'!$B$3=K$3,SUMIF('TL03'!$C$10:$C$224,$C48,'TL03'!$J$10:$J$224),0),
IF('TL03'!$B$229=K$3,SUMIF('TL03'!$C$238:$C$451,$C48,'TL03'!$J$238:$J$451),0),
IF('TL04'!$B$3=K$3,SUMIF('TL04'!$C$10:$C$224,$C48,'TL04'!$J$10:$J$224),0),
IF('TL04'!$B$229=K$3,SUMIF('TL04'!$C$238:$C$451,$C48,'TL04'!$J$238:$J$451),0),
IF('TL05'!$B$3=K$3,SUMIF('TL05'!$C$10:$C$224,$C48,'TL05'!$J$10:$J$224),0),
IF('TL05'!$B$229=K$3,SUMIF('TL05'!$C$238:$C$451,$C48,'TL05'!$J$238:$J$451),0),
IF('TL06'!$B$3=K$3,SUMIF('TL06'!$C$10:$C$224,$C48,'TL06'!$J$10:$J$224),0),
IF('TL06'!$B$229=K$3,SUMIF('TL06'!$C$238:$C$451,$C48,'TL06'!$J$238:$J$451),0),
IF('TL07'!$B$3=K$3,SUMIF('TL07'!$C$10:$C$224,$C48,'TL07'!$J$10:$J$224),0),
IF('TL07'!$B$229=K$3,SUMIF('TL07'!$C$238:$C$451,$C48,'TL07'!$J$238:$J$451),0),
IF('TL08'!$B$3=K$3,SUMIF('TL08'!$C$10:$C$224,$C48,'TL08'!$J$10:$J$224),0),
IF('TL08'!$B$229=K$3,SUMIF('TL08'!$C$238:$C$451,$C48,'TL08'!$J$238:$J$451),0),
IF('TL09'!$B$3=K$3,SUMIF('TL09'!$C$10:$C$224,$C48,'TL09'!$J$10:$J$224),0),
IF('TL09'!$B$229=K$3,SUMIF('TL09'!$C$238:$C$451,$C48,'TL09'!$J$238:$J$451),0),
IF('TL10'!$B$3=K$3,SUMIF('TL10'!$C$10:$C$224,$C48,'TL10'!$J$10:$J$224),0),
IF('TL10'!$B$229=K$3,SUMIF('TL10'!$C$238:$C$451,$C48,'TL10'!$J$238:$J$451),0),
IF('TL11'!$B$3=K$3,SUMIF('TL11'!$C$10:$C$224,$C48,'TL11'!$J$10:$J$224),0),
IF('TL11'!$B$229=K$3,SUMIF('TL11'!$C$238:$C$451,$C48,'TL11'!$J$238:$J$451),0),
IF('TL12'!$B$3=K$3,SUMIF('TL12'!$C$10:$C$224,$C48,'TL12'!$J$10:$J$224),0),
IF('TL12'!$B$229=K$3,SUMIF('TL12'!$C$238:$C$451,$C48,'TL12'!$J$238:$J$451),0),
IF('TL13'!$B$3=K$3,SUMIF('TL13'!$C$10:$C$224,$C48,'TL13'!$J$10:$J$224),0),
IF('TL13'!$B$229=K$3,SUMIF('TL13'!$C$238:$C$451,$C48,'TL13'!$J$238:$J$451),0),
IF('TL14'!$B$3=K$3,SUMIF('TL14'!$C$10:$C$224,$C48,'TL14'!$J$10:$J$224),0),
IF('TL14'!$B$229=K$3,SUMIF('TL14'!$C$238:$C$451,$C48,'TL14'!$J$238:$J$451),0),
IF('TL15'!$B$3=K$3,SUMIF('TL15'!$C$10:$C$224,$C48,'TL15'!$J$10:$J$224),0),
IF('TL15'!$B$229=K$3,SUMIF('TL15'!$C$238:$C$451,$C48,'TL15'!$J$238:$J$451),0),
IF('TL16'!$B$3=K$3,SUMIF('TL16'!$C$10:$C$224,$C48,'TL16'!$J$10:$J$224),0),
IF('TL16'!$B$229=K$3,SUMIF('TL16'!$C$238:$C$451,$C48,'TL16'!$J$238:$J$451),0),
IF('TL17'!$B$3=K$3,SUMIF('TL17'!$C$10:$C$224,$C48,'TL17'!$J$10:$J$224),0),
IF('TL17'!$B$229=K$3,SUMIF('TL17'!$C$238:$C$451,$C48,'TL17'!$J$238:$J$451),0),
IF('TL18'!$B$3=K$3,SUMIF('TL18'!$C$10:$C$224,$C48,'TL18'!$J$10:$J$224),0),
IF('TL18'!$B$229=K$3,SUMIF('TL18'!$C$238:$C$451,$C48,'TL18'!$J$238:$J$451),0),
IF('TL19'!$B$3=K$3,SUMIF('TL19'!$C$10:$C$224,$C48,'TL19'!$J$10:$J$224),0),
IF('TL19'!$B$229=K$3,SUMIF('TL19'!$C$238:$C$451,$C48,'TL19'!$J$238:$J$451),0)
),0)</f>
        <v/>
      </c>
      <c r="L48" s="9">
        <f>IFERROR(SUM(
IF('TL01'!$B$3=L$3,SUMIF('TL01'!$C$10:$C$224,$C48,'TL01'!$J$10:$J$224),0),
IF('TL01'!$B$229=L$3,SUMIF('TL01'!$C$238:$C$451,$C48,'TL01'!$J$238:$J$451),0),
IF('TL02'!$B$3=L$3,SUMIF('TL02'!$C$10:$C$224,$C48,'TL02'!$J$10:$J$224),0),
IF('TL02'!$B$229=L$3,SUMIF('TL02'!$C$238:$C$451,$C48,'TL02'!$J$238:$J$451),0),
IF('TL03'!$B$3=L$3,SUMIF('TL03'!$C$10:$C$224,$C48,'TL03'!$J$10:$J$224),0),
IF('TL03'!$B$229=L$3,SUMIF('TL03'!$C$238:$C$451,$C48,'TL03'!$J$238:$J$451),0),
IF('TL04'!$B$3=L$3,SUMIF('TL04'!$C$10:$C$224,$C48,'TL04'!$J$10:$J$224),0),
IF('TL04'!$B$229=L$3,SUMIF('TL04'!$C$238:$C$451,$C48,'TL04'!$J$238:$J$451),0),
IF('TL05'!$B$3=L$3,SUMIF('TL05'!$C$10:$C$224,$C48,'TL05'!$J$10:$J$224),0),
IF('TL05'!$B$229=L$3,SUMIF('TL05'!$C$238:$C$451,$C48,'TL05'!$J$238:$J$451),0),
IF('TL06'!$B$3=L$3,SUMIF('TL06'!$C$10:$C$224,$C48,'TL06'!$J$10:$J$224),0),
IF('TL06'!$B$229=L$3,SUMIF('TL06'!$C$238:$C$451,$C48,'TL06'!$J$238:$J$451),0),
IF('TL07'!$B$3=L$3,SUMIF('TL07'!$C$10:$C$224,$C48,'TL07'!$J$10:$J$224),0),
IF('TL07'!$B$229=L$3,SUMIF('TL07'!$C$238:$C$451,$C48,'TL07'!$J$238:$J$451),0),
IF('TL08'!$B$3=L$3,SUMIF('TL08'!$C$10:$C$224,$C48,'TL08'!$J$10:$J$224),0),
IF('TL08'!$B$229=L$3,SUMIF('TL08'!$C$238:$C$451,$C48,'TL08'!$J$238:$J$451),0),
IF('TL09'!$B$3=L$3,SUMIF('TL09'!$C$10:$C$224,$C48,'TL09'!$J$10:$J$224),0),
IF('TL09'!$B$229=L$3,SUMIF('TL09'!$C$238:$C$451,$C48,'TL09'!$J$238:$J$451),0),
IF('TL10'!$B$3=L$3,SUMIF('TL10'!$C$10:$C$224,$C48,'TL10'!$J$10:$J$224),0),
IF('TL10'!$B$229=L$3,SUMIF('TL10'!$C$238:$C$451,$C48,'TL10'!$J$238:$J$451),0),
IF('TL11'!$B$3=L$3,SUMIF('TL11'!$C$10:$C$224,$C48,'TL11'!$J$10:$J$224),0),
IF('TL11'!$B$229=L$3,SUMIF('TL11'!$C$238:$C$451,$C48,'TL11'!$J$238:$J$451),0),
IF('TL12'!$B$3=L$3,SUMIF('TL12'!$C$10:$C$224,$C48,'TL12'!$J$10:$J$224),0),
IF('TL12'!$B$229=L$3,SUMIF('TL12'!$C$238:$C$451,$C48,'TL12'!$J$238:$J$451),0),
IF('TL13'!$B$3=L$3,SUMIF('TL13'!$C$10:$C$224,$C48,'TL13'!$J$10:$J$224),0),
IF('TL13'!$B$229=L$3,SUMIF('TL13'!$C$238:$C$451,$C48,'TL13'!$J$238:$J$451),0),
IF('TL14'!$B$3=L$3,SUMIF('TL14'!$C$10:$C$224,$C48,'TL14'!$J$10:$J$224),0),
IF('TL14'!$B$229=L$3,SUMIF('TL14'!$C$238:$C$451,$C48,'TL14'!$J$238:$J$451),0),
IF('TL15'!$B$3=L$3,SUMIF('TL15'!$C$10:$C$224,$C48,'TL15'!$J$10:$J$224),0),
IF('TL15'!$B$229=L$3,SUMIF('TL15'!$C$238:$C$451,$C48,'TL15'!$J$238:$J$451),0),
IF('TL16'!$B$3=L$3,SUMIF('TL16'!$C$10:$C$224,$C48,'TL16'!$J$10:$J$224),0),
IF('TL16'!$B$229=L$3,SUMIF('TL16'!$C$238:$C$451,$C48,'TL16'!$J$238:$J$451),0),
IF('TL17'!$B$3=L$3,SUMIF('TL17'!$C$10:$C$224,$C48,'TL17'!$J$10:$J$224),0),
IF('TL17'!$B$229=L$3,SUMIF('TL17'!$C$238:$C$451,$C48,'TL17'!$J$238:$J$451),0),
IF('TL18'!$B$3=L$3,SUMIF('TL18'!$C$10:$C$224,$C48,'TL18'!$J$10:$J$224),0),
IF('TL18'!$B$229=L$3,SUMIF('TL18'!$C$238:$C$451,$C48,'TL18'!$J$238:$J$451),0),
IF('TL19'!$B$3=L$3,SUMIF('TL19'!$C$10:$C$224,$C48,'TL19'!$J$10:$J$224),0),
IF('TL19'!$B$229=L$3,SUMIF('TL19'!$C$238:$C$451,$C48,'TL19'!$J$238:$J$451),0)
),0)</f>
        <v/>
      </c>
      <c r="M48" s="9">
        <f>IFERROR(SUM(
IF('TL01'!$B$3=M$3,SUMIF('TL01'!$C$10:$C$224,$C48,'TL01'!$J$10:$J$224),0),
IF('TL01'!$B$229=M$3,SUMIF('TL01'!$C$238:$C$451,$C48,'TL01'!$J$238:$J$451),0),
IF('TL02'!$B$3=M$3,SUMIF('TL02'!$C$10:$C$224,$C48,'TL02'!$J$10:$J$224),0),
IF('TL02'!$B$229=M$3,SUMIF('TL02'!$C$238:$C$451,$C48,'TL02'!$J$238:$J$451),0),
IF('TL03'!$B$3=M$3,SUMIF('TL03'!$C$10:$C$224,$C48,'TL03'!$J$10:$J$224),0),
IF('TL03'!$B$229=M$3,SUMIF('TL03'!$C$238:$C$451,$C48,'TL03'!$J$238:$J$451),0),
IF('TL04'!$B$3=M$3,SUMIF('TL04'!$C$10:$C$224,$C48,'TL04'!$J$10:$J$224),0),
IF('TL04'!$B$229=M$3,SUMIF('TL04'!$C$238:$C$451,$C48,'TL04'!$J$238:$J$451),0),
IF('TL05'!$B$3=M$3,SUMIF('TL05'!$C$10:$C$224,$C48,'TL05'!$J$10:$J$224),0),
IF('TL05'!$B$229=M$3,SUMIF('TL05'!$C$238:$C$451,$C48,'TL05'!$J$238:$J$451),0),
IF('TL06'!$B$3=M$3,SUMIF('TL06'!$C$10:$C$224,$C48,'TL06'!$J$10:$J$224),0),
IF('TL06'!$B$229=M$3,SUMIF('TL06'!$C$238:$C$451,$C48,'TL06'!$J$238:$J$451),0),
IF('TL07'!$B$3=M$3,SUMIF('TL07'!$C$10:$C$224,$C48,'TL07'!$J$10:$J$224),0),
IF('TL07'!$B$229=M$3,SUMIF('TL07'!$C$238:$C$451,$C48,'TL07'!$J$238:$J$451),0),
IF('TL08'!$B$3=M$3,SUMIF('TL08'!$C$10:$C$224,$C48,'TL08'!$J$10:$J$224),0),
IF('TL08'!$B$229=M$3,SUMIF('TL08'!$C$238:$C$451,$C48,'TL08'!$J$238:$J$451),0),
IF('TL09'!$B$3=M$3,SUMIF('TL09'!$C$10:$C$224,$C48,'TL09'!$J$10:$J$224),0),
IF('TL09'!$B$229=M$3,SUMIF('TL09'!$C$238:$C$451,$C48,'TL09'!$J$238:$J$451),0),
IF('TL10'!$B$3=M$3,SUMIF('TL10'!$C$10:$C$224,$C48,'TL10'!$J$10:$J$224),0),
IF('TL10'!$B$229=M$3,SUMIF('TL10'!$C$238:$C$451,$C48,'TL10'!$J$238:$J$451),0),
IF('TL11'!$B$3=M$3,SUMIF('TL11'!$C$10:$C$224,$C48,'TL11'!$J$10:$J$224),0),
IF('TL11'!$B$229=M$3,SUMIF('TL11'!$C$238:$C$451,$C48,'TL11'!$J$238:$J$451),0),
IF('TL12'!$B$3=M$3,SUMIF('TL12'!$C$10:$C$224,$C48,'TL12'!$J$10:$J$224),0),
IF('TL12'!$B$229=M$3,SUMIF('TL12'!$C$238:$C$451,$C48,'TL12'!$J$238:$J$451),0),
IF('TL13'!$B$3=M$3,SUMIF('TL13'!$C$10:$C$224,$C48,'TL13'!$J$10:$J$224),0),
IF('TL13'!$B$229=M$3,SUMIF('TL13'!$C$238:$C$451,$C48,'TL13'!$J$238:$J$451),0),
IF('TL14'!$B$3=M$3,SUMIF('TL14'!$C$10:$C$224,$C48,'TL14'!$J$10:$J$224),0),
IF('TL14'!$B$229=M$3,SUMIF('TL14'!$C$238:$C$451,$C48,'TL14'!$J$238:$J$451),0),
IF('TL15'!$B$3=M$3,SUMIF('TL15'!$C$10:$C$224,$C48,'TL15'!$J$10:$J$224),0),
IF('TL15'!$B$229=M$3,SUMIF('TL15'!$C$238:$C$451,$C48,'TL15'!$J$238:$J$451),0),
IF('TL16'!$B$3=M$3,SUMIF('TL16'!$C$10:$C$224,$C48,'TL16'!$J$10:$J$224),0),
IF('TL16'!$B$229=M$3,SUMIF('TL16'!$C$238:$C$451,$C48,'TL16'!$J$238:$J$451),0),
IF('TL17'!$B$3=M$3,SUMIF('TL17'!$C$10:$C$224,$C48,'TL17'!$J$10:$J$224),0),
IF('TL17'!$B$229=M$3,SUMIF('TL17'!$C$238:$C$451,$C48,'TL17'!$J$238:$J$451),0),
IF('TL18'!$B$3=M$3,SUMIF('TL18'!$C$10:$C$224,$C48,'TL18'!$J$10:$J$224),0),
IF('TL18'!$B$229=M$3,SUMIF('TL18'!$C$238:$C$451,$C48,'TL18'!$J$238:$J$451),0),
IF('TL19'!$B$3=M$3,SUMIF('TL19'!$C$10:$C$224,$C48,'TL19'!$J$10:$J$224),0),
IF('TL19'!$B$229=M$3,SUMIF('TL19'!$C$238:$C$451,$C48,'TL19'!$J$238:$J$451),0)
),0)</f>
        <v/>
      </c>
      <c r="N48" s="9">
        <f>IFERROR(SUM(
IF('TL01'!$B$3=N$3,SUMIF('TL01'!$C$10:$C$224,$C48,'TL01'!$J$10:$J$224),0),
IF('TL01'!$B$229=N$3,SUMIF('TL01'!$C$238:$C$451,$C48,'TL01'!$J$238:$J$451),0),
IF('TL02'!$B$3=N$3,SUMIF('TL02'!$C$10:$C$224,$C48,'TL02'!$J$10:$J$224),0),
IF('TL02'!$B$229=N$3,SUMIF('TL02'!$C$238:$C$451,$C48,'TL02'!$J$238:$J$451),0),
IF('TL03'!$B$3=N$3,SUMIF('TL03'!$C$10:$C$224,$C48,'TL03'!$J$10:$J$224),0),
IF('TL03'!$B$229=N$3,SUMIF('TL03'!$C$238:$C$451,$C48,'TL03'!$J$238:$J$451),0),
IF('TL04'!$B$3=N$3,SUMIF('TL04'!$C$10:$C$224,$C48,'TL04'!$J$10:$J$224),0),
IF('TL04'!$B$229=N$3,SUMIF('TL04'!$C$238:$C$451,$C48,'TL04'!$J$238:$J$451),0),
IF('TL05'!$B$3=N$3,SUMIF('TL05'!$C$10:$C$224,$C48,'TL05'!$J$10:$J$224),0),
IF('TL05'!$B$229=N$3,SUMIF('TL05'!$C$238:$C$451,$C48,'TL05'!$J$238:$J$451),0),
IF('TL06'!$B$3=N$3,SUMIF('TL06'!$C$10:$C$224,$C48,'TL06'!$J$10:$J$224),0),
IF('TL06'!$B$229=N$3,SUMIF('TL06'!$C$238:$C$451,$C48,'TL06'!$J$238:$J$451),0),
IF('TL07'!$B$3=N$3,SUMIF('TL07'!$C$10:$C$224,$C48,'TL07'!$J$10:$J$224),0),
IF('TL07'!$B$229=N$3,SUMIF('TL07'!$C$238:$C$451,$C48,'TL07'!$J$238:$J$451),0),
IF('TL08'!$B$3=N$3,SUMIF('TL08'!$C$10:$C$224,$C48,'TL08'!$J$10:$J$224),0),
IF('TL08'!$B$229=N$3,SUMIF('TL08'!$C$238:$C$451,$C48,'TL08'!$J$238:$J$451),0),
IF('TL09'!$B$3=N$3,SUMIF('TL09'!$C$10:$C$224,$C48,'TL09'!$J$10:$J$224),0),
IF('TL09'!$B$229=N$3,SUMIF('TL09'!$C$238:$C$451,$C48,'TL09'!$J$238:$J$451),0),
IF('TL10'!$B$3=N$3,SUMIF('TL10'!$C$10:$C$224,$C48,'TL10'!$J$10:$J$224),0),
IF('TL10'!$B$229=N$3,SUMIF('TL10'!$C$238:$C$451,$C48,'TL10'!$J$238:$J$451),0),
IF('TL11'!$B$3=N$3,SUMIF('TL11'!$C$10:$C$224,$C48,'TL11'!$J$10:$J$224),0),
IF('TL11'!$B$229=N$3,SUMIF('TL11'!$C$238:$C$451,$C48,'TL11'!$J$238:$J$451),0),
IF('TL12'!$B$3=N$3,SUMIF('TL12'!$C$10:$C$224,$C48,'TL12'!$J$10:$J$224),0),
IF('TL12'!$B$229=N$3,SUMIF('TL12'!$C$238:$C$451,$C48,'TL12'!$J$238:$J$451),0),
IF('TL13'!$B$3=N$3,SUMIF('TL13'!$C$10:$C$224,$C48,'TL13'!$J$10:$J$224),0),
IF('TL13'!$B$229=N$3,SUMIF('TL13'!$C$238:$C$451,$C48,'TL13'!$J$238:$J$451),0),
IF('TL14'!$B$3=N$3,SUMIF('TL14'!$C$10:$C$224,$C48,'TL14'!$J$10:$J$224),0),
IF('TL14'!$B$229=N$3,SUMIF('TL14'!$C$238:$C$451,$C48,'TL14'!$J$238:$J$451),0),
IF('TL15'!$B$3=N$3,SUMIF('TL15'!$C$10:$C$224,$C48,'TL15'!$J$10:$J$224),0),
IF('TL15'!$B$229=N$3,SUMIF('TL15'!$C$238:$C$451,$C48,'TL15'!$J$238:$J$451),0),
IF('TL16'!$B$3=N$3,SUMIF('TL16'!$C$10:$C$224,$C48,'TL16'!$J$10:$J$224),0),
IF('TL16'!$B$229=N$3,SUMIF('TL16'!$C$238:$C$451,$C48,'TL16'!$J$238:$J$451),0),
IF('TL17'!$B$3=N$3,SUMIF('TL17'!$C$10:$C$224,$C48,'TL17'!$J$10:$J$224),0),
IF('TL17'!$B$229=N$3,SUMIF('TL17'!$C$238:$C$451,$C48,'TL17'!$J$238:$J$451),0),
IF('TL18'!$B$3=N$3,SUMIF('TL18'!$C$10:$C$224,$C48,'TL18'!$J$10:$J$224),0),
IF('TL18'!$B$229=N$3,SUMIF('TL18'!$C$238:$C$451,$C48,'TL18'!$J$238:$J$451),0),
IF('TL19'!$B$3=N$3,SUMIF('TL19'!$C$10:$C$224,$C48,'TL19'!$J$10:$J$224),0),
IF('TL19'!$B$229=N$3,SUMIF('TL19'!$C$238:$C$451,$C48,'TL19'!$J$238:$J$451),0)
),0)</f>
        <v/>
      </c>
      <c r="O48" s="9">
        <f>IFERROR(SUM(
IF('TL01'!$B$3=O$3,SUMIF('TL01'!$C$10:$C$224,$C48,'TL01'!$J$10:$J$224),0),
IF('TL01'!$B$229=O$3,SUMIF('TL01'!$C$238:$C$451,$C48,'TL01'!$J$238:$J$451),0),
IF('TL02'!$B$3=O$3,SUMIF('TL02'!$C$10:$C$224,$C48,'TL02'!$J$10:$J$224),0),
IF('TL02'!$B$229=O$3,SUMIF('TL02'!$C$238:$C$451,$C48,'TL02'!$J$238:$J$451),0),
IF('TL03'!$B$3=O$3,SUMIF('TL03'!$C$10:$C$224,$C48,'TL03'!$J$10:$J$224),0),
IF('TL03'!$B$229=O$3,SUMIF('TL03'!$C$238:$C$451,$C48,'TL03'!$J$238:$J$451),0),
IF('TL04'!$B$3=O$3,SUMIF('TL04'!$C$10:$C$224,$C48,'TL04'!$J$10:$J$224),0),
IF('TL04'!$B$229=O$3,SUMIF('TL04'!$C$238:$C$451,$C48,'TL04'!$J$238:$J$451),0),
IF('TL05'!$B$3=O$3,SUMIF('TL05'!$C$10:$C$224,$C48,'TL05'!$J$10:$J$224),0),
IF('TL05'!$B$229=O$3,SUMIF('TL05'!$C$238:$C$451,$C48,'TL05'!$J$238:$J$451),0),
IF('TL06'!$B$3=O$3,SUMIF('TL06'!$C$10:$C$224,$C48,'TL06'!$J$10:$J$224),0),
IF('TL06'!$B$229=O$3,SUMIF('TL06'!$C$238:$C$451,$C48,'TL06'!$J$238:$J$451),0),
IF('TL07'!$B$3=O$3,SUMIF('TL07'!$C$10:$C$224,$C48,'TL07'!$J$10:$J$224),0),
IF('TL07'!$B$229=O$3,SUMIF('TL07'!$C$238:$C$451,$C48,'TL07'!$J$238:$J$451),0),
IF('TL08'!$B$3=O$3,SUMIF('TL08'!$C$10:$C$224,$C48,'TL08'!$J$10:$J$224),0),
IF('TL08'!$B$229=O$3,SUMIF('TL08'!$C$238:$C$451,$C48,'TL08'!$J$238:$J$451),0),
IF('TL09'!$B$3=O$3,SUMIF('TL09'!$C$10:$C$224,$C48,'TL09'!$J$10:$J$224),0),
IF('TL09'!$B$229=O$3,SUMIF('TL09'!$C$238:$C$451,$C48,'TL09'!$J$238:$J$451),0),
IF('TL10'!$B$3=O$3,SUMIF('TL10'!$C$10:$C$224,$C48,'TL10'!$J$10:$J$224),0),
IF('TL10'!$B$229=O$3,SUMIF('TL10'!$C$238:$C$451,$C48,'TL10'!$J$238:$J$451),0),
IF('TL11'!$B$3=O$3,SUMIF('TL11'!$C$10:$C$224,$C48,'TL11'!$J$10:$J$224),0),
IF('TL11'!$B$229=O$3,SUMIF('TL11'!$C$238:$C$451,$C48,'TL11'!$J$238:$J$451),0),
IF('TL12'!$B$3=O$3,SUMIF('TL12'!$C$10:$C$224,$C48,'TL12'!$J$10:$J$224),0),
IF('TL12'!$B$229=O$3,SUMIF('TL12'!$C$238:$C$451,$C48,'TL12'!$J$238:$J$451),0),
IF('TL13'!$B$3=O$3,SUMIF('TL13'!$C$10:$C$224,$C48,'TL13'!$J$10:$J$224),0),
IF('TL13'!$B$229=O$3,SUMIF('TL13'!$C$238:$C$451,$C48,'TL13'!$J$238:$J$451),0),
IF('TL14'!$B$3=O$3,SUMIF('TL14'!$C$10:$C$224,$C48,'TL14'!$J$10:$J$224),0),
IF('TL14'!$B$229=O$3,SUMIF('TL14'!$C$238:$C$451,$C48,'TL14'!$J$238:$J$451),0),
IF('TL15'!$B$3=O$3,SUMIF('TL15'!$C$10:$C$224,$C48,'TL15'!$J$10:$J$224),0),
IF('TL15'!$B$229=O$3,SUMIF('TL15'!$C$238:$C$451,$C48,'TL15'!$J$238:$J$451),0),
IF('TL16'!$B$3=O$3,SUMIF('TL16'!$C$10:$C$224,$C48,'TL16'!$J$10:$J$224),0),
IF('TL16'!$B$229=O$3,SUMIF('TL16'!$C$238:$C$451,$C48,'TL16'!$J$238:$J$451),0),
IF('TL17'!$B$3=O$3,SUMIF('TL17'!$C$10:$C$224,$C48,'TL17'!$J$10:$J$224),0),
IF('TL17'!$B$229=O$3,SUMIF('TL17'!$C$238:$C$451,$C48,'TL17'!$J$238:$J$451),0),
IF('TL18'!$B$3=O$3,SUMIF('TL18'!$C$10:$C$224,$C48,'TL18'!$J$10:$J$224),0),
IF('TL18'!$B$229=O$3,SUMIF('TL18'!$C$238:$C$451,$C48,'TL18'!$J$238:$J$451),0),
IF('TL19'!$B$3=O$3,SUMIF('TL19'!$C$10:$C$224,$C48,'TL19'!$J$10:$J$224),0),
IF('TL19'!$B$229=O$3,SUMIF('TL19'!$C$238:$C$451,$C48,'TL19'!$J$238:$J$451),0)
),0)</f>
        <v/>
      </c>
      <c r="P48" s="9">
        <f>IFERROR(SUM(
IF('TL01'!$B$3=P$3,SUMIF('TL01'!$C$10:$C$224,$C48,'TL01'!$J$10:$J$224),0),
IF('TL01'!$B$229=P$3,SUMIF('TL01'!$C$238:$C$451,$C48,'TL01'!$J$238:$J$451),0),
IF('TL02'!$B$3=P$3,SUMIF('TL02'!$C$10:$C$224,$C48,'TL02'!$J$10:$J$224),0),
IF('TL02'!$B$229=P$3,SUMIF('TL02'!$C$238:$C$451,$C48,'TL02'!$J$238:$J$451),0),
IF('TL03'!$B$3=P$3,SUMIF('TL03'!$C$10:$C$224,$C48,'TL03'!$J$10:$J$224),0),
IF('TL03'!$B$229=P$3,SUMIF('TL03'!$C$238:$C$451,$C48,'TL03'!$J$238:$J$451),0),
IF('TL04'!$B$3=P$3,SUMIF('TL04'!$C$10:$C$224,$C48,'TL04'!$J$10:$J$224),0),
IF('TL04'!$B$229=P$3,SUMIF('TL04'!$C$238:$C$451,$C48,'TL04'!$J$238:$J$451),0),
IF('TL05'!$B$3=P$3,SUMIF('TL05'!$C$10:$C$224,$C48,'TL05'!$J$10:$J$224),0),
IF('TL05'!$B$229=P$3,SUMIF('TL05'!$C$238:$C$451,$C48,'TL05'!$J$238:$J$451),0),
IF('TL06'!$B$3=P$3,SUMIF('TL06'!$C$10:$C$224,$C48,'TL06'!$J$10:$J$224),0),
IF('TL06'!$B$229=P$3,SUMIF('TL06'!$C$238:$C$451,$C48,'TL06'!$J$238:$J$451),0),
IF('TL07'!$B$3=P$3,SUMIF('TL07'!$C$10:$C$224,$C48,'TL07'!$J$10:$J$224),0),
IF('TL07'!$B$229=P$3,SUMIF('TL07'!$C$238:$C$451,$C48,'TL07'!$J$238:$J$451),0),
IF('TL08'!$B$3=P$3,SUMIF('TL08'!$C$10:$C$224,$C48,'TL08'!$J$10:$J$224),0),
IF('TL08'!$B$229=P$3,SUMIF('TL08'!$C$238:$C$451,$C48,'TL08'!$J$238:$J$451),0),
IF('TL09'!$B$3=P$3,SUMIF('TL09'!$C$10:$C$224,$C48,'TL09'!$J$10:$J$224),0),
IF('TL09'!$B$229=P$3,SUMIF('TL09'!$C$238:$C$451,$C48,'TL09'!$J$238:$J$451),0),
IF('TL10'!$B$3=P$3,SUMIF('TL10'!$C$10:$C$224,$C48,'TL10'!$J$10:$J$224),0),
IF('TL10'!$B$229=P$3,SUMIF('TL10'!$C$238:$C$451,$C48,'TL10'!$J$238:$J$451),0),
IF('TL11'!$B$3=P$3,SUMIF('TL11'!$C$10:$C$224,$C48,'TL11'!$J$10:$J$224),0),
IF('TL11'!$B$229=P$3,SUMIF('TL11'!$C$238:$C$451,$C48,'TL11'!$J$238:$J$451),0),
IF('TL12'!$B$3=P$3,SUMIF('TL12'!$C$10:$C$224,$C48,'TL12'!$J$10:$J$224),0),
IF('TL12'!$B$229=P$3,SUMIF('TL12'!$C$238:$C$451,$C48,'TL12'!$J$238:$J$451),0),
IF('TL13'!$B$3=P$3,SUMIF('TL13'!$C$10:$C$224,$C48,'TL13'!$J$10:$J$224),0),
IF('TL13'!$B$229=P$3,SUMIF('TL13'!$C$238:$C$451,$C48,'TL13'!$J$238:$J$451),0),
IF('TL14'!$B$3=P$3,SUMIF('TL14'!$C$10:$C$224,$C48,'TL14'!$J$10:$J$224),0),
IF('TL14'!$B$229=P$3,SUMIF('TL14'!$C$238:$C$451,$C48,'TL14'!$J$238:$J$451),0),
IF('TL15'!$B$3=P$3,SUMIF('TL15'!$C$10:$C$224,$C48,'TL15'!$J$10:$J$224),0),
IF('TL15'!$B$229=P$3,SUMIF('TL15'!$C$238:$C$451,$C48,'TL15'!$J$238:$J$451),0),
IF('TL16'!$B$3=P$3,SUMIF('TL16'!$C$10:$C$224,$C48,'TL16'!$J$10:$J$224),0),
IF('TL16'!$B$229=P$3,SUMIF('TL16'!$C$238:$C$451,$C48,'TL16'!$J$238:$J$451),0),
IF('TL17'!$B$3=P$3,SUMIF('TL17'!$C$10:$C$224,$C48,'TL17'!$J$10:$J$224),0),
IF('TL17'!$B$229=P$3,SUMIF('TL17'!$C$238:$C$451,$C48,'TL17'!$J$238:$J$451),0),
IF('TL18'!$B$3=P$3,SUMIF('TL18'!$C$10:$C$224,$C48,'TL18'!$J$10:$J$224),0),
IF('TL18'!$B$229=P$3,SUMIF('TL18'!$C$238:$C$451,$C48,'TL18'!$J$238:$J$451),0),
IF('TL19'!$B$3=P$3,SUMIF('TL19'!$C$10:$C$224,$C48,'TL19'!$J$10:$J$224),0),
IF('TL19'!$B$229=P$3,SUMIF('TL19'!$C$238:$C$451,$C48,'TL19'!$J$238:$J$451),0)
),0)</f>
        <v/>
      </c>
      <c r="Q48" s="9">
        <f>IFERROR(SUM(
IF('TL01'!$B$3=Q$3,SUMIF('TL01'!$C$10:$C$224,$C48,'TL01'!$J$10:$J$224),0),
IF('TL01'!$B$229=Q$3,SUMIF('TL01'!$C$238:$C$451,$C48,'TL01'!$J$238:$J$451),0),
IF('TL02'!$B$3=Q$3,SUMIF('TL02'!$C$10:$C$224,$C48,'TL02'!$J$10:$J$224),0),
IF('TL02'!$B$229=Q$3,SUMIF('TL02'!$C$238:$C$451,$C48,'TL02'!$J$238:$J$451),0),
IF('TL03'!$B$3=Q$3,SUMIF('TL03'!$C$10:$C$224,$C48,'TL03'!$J$10:$J$224),0),
IF('TL03'!$B$229=Q$3,SUMIF('TL03'!$C$238:$C$451,$C48,'TL03'!$J$238:$J$451),0),
IF('TL04'!$B$3=Q$3,SUMIF('TL04'!$C$10:$C$224,$C48,'TL04'!$J$10:$J$224),0),
IF('TL04'!$B$229=Q$3,SUMIF('TL04'!$C$238:$C$451,$C48,'TL04'!$J$238:$J$451),0),
IF('TL05'!$B$3=Q$3,SUMIF('TL05'!$C$10:$C$224,$C48,'TL05'!$J$10:$J$224),0),
IF('TL05'!$B$229=Q$3,SUMIF('TL05'!$C$238:$C$451,$C48,'TL05'!$J$238:$J$451),0),
IF('TL06'!$B$3=Q$3,SUMIF('TL06'!$C$10:$C$224,$C48,'TL06'!$J$10:$J$224),0),
IF('TL06'!$B$229=Q$3,SUMIF('TL06'!$C$238:$C$451,$C48,'TL06'!$J$238:$J$451),0),
IF('TL07'!$B$3=Q$3,SUMIF('TL07'!$C$10:$C$224,$C48,'TL07'!$J$10:$J$224),0),
IF('TL07'!$B$229=Q$3,SUMIF('TL07'!$C$238:$C$451,$C48,'TL07'!$J$238:$J$451),0),
IF('TL08'!$B$3=Q$3,SUMIF('TL08'!$C$10:$C$224,$C48,'TL08'!$J$10:$J$224),0),
IF('TL08'!$B$229=Q$3,SUMIF('TL08'!$C$238:$C$451,$C48,'TL08'!$J$238:$J$451),0),
IF('TL09'!$B$3=Q$3,SUMIF('TL09'!$C$10:$C$224,$C48,'TL09'!$J$10:$J$224),0),
IF('TL09'!$B$229=Q$3,SUMIF('TL09'!$C$238:$C$451,$C48,'TL09'!$J$238:$J$451),0),
IF('TL10'!$B$3=Q$3,SUMIF('TL10'!$C$10:$C$224,$C48,'TL10'!$J$10:$J$224),0),
IF('TL10'!$B$229=Q$3,SUMIF('TL10'!$C$238:$C$451,$C48,'TL10'!$J$238:$J$451),0),
IF('TL11'!$B$3=Q$3,SUMIF('TL11'!$C$10:$C$224,$C48,'TL11'!$J$10:$J$224),0),
IF('TL11'!$B$229=Q$3,SUMIF('TL11'!$C$238:$C$451,$C48,'TL11'!$J$238:$J$451),0),
IF('TL12'!$B$3=Q$3,SUMIF('TL12'!$C$10:$C$224,$C48,'TL12'!$J$10:$J$224),0),
IF('TL12'!$B$229=Q$3,SUMIF('TL12'!$C$238:$C$451,$C48,'TL12'!$J$238:$J$451),0),
IF('TL13'!$B$3=Q$3,SUMIF('TL13'!$C$10:$C$224,$C48,'TL13'!$J$10:$J$224),0),
IF('TL13'!$B$229=Q$3,SUMIF('TL13'!$C$238:$C$451,$C48,'TL13'!$J$238:$J$451),0),
IF('TL14'!$B$3=Q$3,SUMIF('TL14'!$C$10:$C$224,$C48,'TL14'!$J$10:$J$224),0),
IF('TL14'!$B$229=Q$3,SUMIF('TL14'!$C$238:$C$451,$C48,'TL14'!$J$238:$J$451),0),
IF('TL15'!$B$3=Q$3,SUMIF('TL15'!$C$10:$C$224,$C48,'TL15'!$J$10:$J$224),0),
IF('TL15'!$B$229=Q$3,SUMIF('TL15'!$C$238:$C$451,$C48,'TL15'!$J$238:$J$451),0),
IF('TL16'!$B$3=Q$3,SUMIF('TL16'!$C$10:$C$224,$C48,'TL16'!$J$10:$J$224),0),
IF('TL16'!$B$229=Q$3,SUMIF('TL16'!$C$238:$C$451,$C48,'TL16'!$J$238:$J$451),0),
IF('TL17'!$B$3=Q$3,SUMIF('TL17'!$C$10:$C$224,$C48,'TL17'!$J$10:$J$224),0),
IF('TL17'!$B$229=Q$3,SUMIF('TL17'!$C$238:$C$451,$C48,'TL17'!$J$238:$J$451),0),
IF('TL18'!$B$3=Q$3,SUMIF('TL18'!$C$10:$C$224,$C48,'TL18'!$J$10:$J$224),0),
IF('TL18'!$B$229=Q$3,SUMIF('TL18'!$C$238:$C$451,$C48,'TL18'!$J$238:$J$451),0),
IF('TL19'!$B$3=Q$3,SUMIF('TL19'!$C$10:$C$224,$C48,'TL19'!$J$10:$J$224),0),
IF('TL19'!$B$229=Q$3,SUMIF('TL19'!$C$238:$C$451,$C48,'TL19'!$J$238:$J$451),0)
),0)</f>
        <v/>
      </c>
      <c r="R48" s="9">
        <f>IFERROR(
SUM(
SUMIF('TL01'!C:C,C48,'TL01'!J:J),
SUMIF('TL02'!C:C,C48,'TL02'!J:J),
SUMIF('TL03'!C:C,C48,'TL03'!J:J),
SUMIF('TL04'!C:C,C48,'TL04'!J:J),
SUMIF('TL05'!C:C,C48,'TL05'!J:J),
SUMIF('TL06'!C:C,C48,'TL06'!J:J),
SUMIF('TL07'!C:C,C48,'TL07'!J:J),
SUMIF('TL08'!C:C,C48,'TL08'!J:J),
SUMIF('TL09'!C:C,C48,'TL09'!J:J),
SUMIF('TL10'!C:C,C48,'TL10'!J:J),
SUMIF('TL11'!C:C,C48,'TL11'!J:J),
SUMIF('TL12'!C:C,C48,'TL12'!J:J),
SUMIF('TL13'!C:C,C48,'TL13'!J:J),
SUMIF('TL14'!C:C,C48,'TL14'!J:J),
SUMIF('TL15'!C:C,C48,'TL15'!J:J),
SUMIF('TL16'!C:C,C48,'TL16'!J:J),
SUMIF('TL17'!C:C,C48,'TL17'!J:J),
SUMIF('TL18'!C:C,C48,'TL18'!J:J),SUMIF('TL19'!C:C,C48,'TL19'!J:J))
,0)</f>
        <v/>
      </c>
      <c r="S48" s="17">
        <f>IFERROR(__xludf.DUMMYFUNCTION("IFERROR(VLOOKUP(C48,
IMPORTRANGE(""1wULbzX32WdYsx-lj2U3uUNBBe2INVIRDtcK0d-Dvl90"",
""26-27!C:G""),
5,
FALSE),
"""")"),230.85648000000003)</f>
        <v/>
      </c>
      <c r="T48" s="9" t="n"/>
      <c r="U48" s="92">
        <f>MAX(0,R48-T48)</f>
        <v/>
      </c>
      <c r="V48" s="93">
        <f>U48*S48</f>
        <v/>
      </c>
    </row>
    <row r="49" hidden="1" ht="15.75" customHeight="1" s="297">
      <c r="A49" s="111" t="inlineStr">
        <is>
          <t>BASF</t>
        </is>
      </c>
      <c r="B49" s="112" t="inlineStr">
        <is>
          <t>FUNGICIDA</t>
        </is>
      </c>
      <c r="C49" s="113" t="inlineStr">
        <is>
          <t>SPOT SC</t>
        </is>
      </c>
      <c r="D49" s="113" t="inlineStr">
        <is>
          <t>BOSCALIDA + DIMOXISTROBIN</t>
        </is>
      </c>
      <c r="E49" s="113" t="inlineStr">
        <is>
          <t>200 + 200</t>
        </is>
      </c>
      <c r="F49" s="4" t="inlineStr">
        <is>
          <t>L</t>
        </is>
      </c>
      <c r="G49" s="90">
        <f>HYPERLINK("https://www.google.com/search?q=" &amp; C49 &amp; "+bula+agrofit+pdf", "📄 Ver bula")</f>
        <v/>
      </c>
      <c r="H49" s="9">
        <f>IFERROR(__xludf.DUMMYFUNCTION("IFERROR(VLOOKUP(C49,
IMPORTRANGE(""1wULbzX32WdYsx-lj2U3uUNBBe2INVIRDtcK0d-Dvl90"",
""26-27!C:K""),
8,
FALSE),
"""")"),1.0)</f>
        <v/>
      </c>
      <c r="I49" s="114" t="inlineStr">
        <is>
          <t>4X5</t>
        </is>
      </c>
      <c r="J49" s="9">
        <f>IFERROR(SUM(
IF('TL01'!$B$3=J$3,SUMIF('TL01'!$C$10:$C$224,$C49,'TL01'!$J$10:$J$224),0),
IF('TL01'!$B$229=J$3,SUMIF('TL01'!$C$238:$C$451,$C49,'TL01'!$J$238:$J$451),0),
IF('TL02'!$B$3=J$3,SUMIF('TL02'!$C$10:$C$224,$C49,'TL02'!$J$10:$J$224),0),
IF('TL02'!$B$229=J$3,SUMIF('TL02'!$C$238:$C$451,$C49,'TL02'!$J$238:$J$451),0),
IF('TL03'!$B$3=J$3,SUMIF('TL03'!$C$10:$C$224,$C49,'TL03'!$J$10:$J$224),0),
IF('TL03'!$B$229=J$3,SUMIF('TL03'!$C$238:$C$451,$C49,'TL03'!$J$238:$J$451),0),
IF('TL04'!$B$3=J$3,SUMIF('TL04'!$C$10:$C$224,$C49,'TL04'!$J$10:$J$224),0),
IF('TL04'!$B$229=J$3,SUMIF('TL04'!$C$238:$C$451,$C49,'TL04'!$J$238:$J$451),0),
IF('TL05'!$B$3=J$3,SUMIF('TL05'!$C$10:$C$224,$C49,'TL05'!$J$10:$J$224),0),
IF('TL05'!$B$229=J$3,SUMIF('TL05'!$C$238:$C$451,$C49,'TL05'!$J$238:$J$451),0),
IF('TL06'!$B$3=J$3,SUMIF('TL06'!$C$10:$C$224,$C49,'TL06'!$J$10:$J$224),0),
IF('TL06'!$B$229=J$3,SUMIF('TL06'!$C$238:$C$451,$C49,'TL06'!$J$238:$J$451),0),
IF('TL07'!$B$3=J$3,SUMIF('TL07'!$C$10:$C$224,$C49,'TL07'!$J$10:$J$224),0),
IF('TL07'!$B$229=J$3,SUMIF('TL07'!$C$238:$C$451,$C49,'TL07'!$J$238:$J$451),0),
IF('TL08'!$B$3=J$3,SUMIF('TL08'!$C$10:$C$224,$C49,'TL08'!$J$10:$J$224),0),
IF('TL08'!$B$229=J$3,SUMIF('TL08'!$C$238:$C$451,$C49,'TL08'!$J$238:$J$451),0),
IF('TL09'!$B$3=J$3,SUMIF('TL09'!$C$10:$C$224,$C49,'TL09'!$J$10:$J$224),0),
IF('TL09'!$B$229=J$3,SUMIF('TL09'!$C$238:$C$451,$C49,'TL09'!$J$238:$J$451),0),
IF('TL10'!$B$3=J$3,SUMIF('TL10'!$C$10:$C$224,$C49,'TL10'!$J$10:$J$224),0),
IF('TL10'!$B$229=J$3,SUMIF('TL10'!$C$238:$C$451,$C49,'TL10'!$J$238:$J$451),0),
IF('TL11'!$B$3=J$3,SUMIF('TL11'!$C$10:$C$224,$C49,'TL11'!$J$10:$J$224),0),
IF('TL11'!$B$229=J$3,SUMIF('TL11'!$C$238:$C$451,$C49,'TL11'!$J$238:$J$451),0),
IF('TL12'!$B$3=J$3,SUMIF('TL12'!$C$10:$C$224,$C49,'TL12'!$J$10:$J$224),0),
IF('TL12'!$B$229=J$3,SUMIF('TL12'!$C$238:$C$451,$C49,'TL12'!$J$238:$J$451),0),
IF('TL13'!$B$3=J$3,SUMIF('TL13'!$C$10:$C$224,$C49,'TL13'!$J$10:$J$224),0),
IF('TL13'!$B$229=J$3,SUMIF('TL13'!$C$238:$C$451,$C49,'TL13'!$J$238:$J$451),0),
IF('TL14'!$B$3=J$3,SUMIF('TL14'!$C$10:$C$224,$C49,'TL14'!$J$10:$J$224),0),
IF('TL14'!$B$229=J$3,SUMIF('TL14'!$C$238:$C$451,$C49,'TL14'!$J$238:$J$451),0),
IF('TL15'!$B$3=J$3,SUMIF('TL15'!$C$10:$C$224,$C49,'TL15'!$J$10:$J$224),0),
IF('TL15'!$B$229=J$3,SUMIF('TL15'!$C$238:$C$451,$C49,'TL15'!$J$238:$J$451),0),
IF('TL16'!$B$3=J$3,SUMIF('TL16'!$C$10:$C$224,$C49,'TL16'!$J$10:$J$224),0),
IF('TL16'!$B$229=J$3,SUMIF('TL16'!$C$238:$C$451,$C49,'TL16'!$J$238:$J$451),0),
IF('TL17'!$B$3=J$3,SUMIF('TL17'!$C$10:$C$224,$C49,'TL17'!$J$10:$J$224),0),
IF('TL17'!$B$229=J$3,SUMIF('TL17'!$C$238:$C$451,$C49,'TL17'!$J$238:$J$451),0),
IF('TL18'!$B$3=J$3,SUMIF('TL18'!$C$10:$C$224,$C49,'TL18'!$J$10:$J$224),0),
IF('TL18'!$B$229=J$3,SUMIF('TL18'!$C$238:$C$451,$C49,'TL18'!$J$238:$J$451),0),
IF('TL19'!$B$3=J$3,SUMIF('TL19'!$C$10:$C$224,$C49,'TL19'!$J$10:$J$224),0),
IF('TL19'!$B$229=J$3,SUMIF('TL19'!$C$238:$C$451,$C49,'TL19'!$J$238:$J$451),0)
),0)</f>
        <v/>
      </c>
      <c r="K49" s="9">
        <f>IFERROR(SUM(
IF('TL01'!$B$3=K$3,SUMIF('TL01'!$C$10:$C$224,$C49,'TL01'!$J$10:$J$224),0),
IF('TL01'!$B$229=K$3,SUMIF('TL01'!$C$238:$C$451,$C49,'TL01'!$J$238:$J$451),0),
IF('TL02'!$B$3=K$3,SUMIF('TL02'!$C$10:$C$224,$C49,'TL02'!$J$10:$J$224),0),
IF('TL02'!$B$229=K$3,SUMIF('TL02'!$C$238:$C$451,$C49,'TL02'!$J$238:$J$451),0),
IF('TL03'!$B$3=K$3,SUMIF('TL03'!$C$10:$C$224,$C49,'TL03'!$J$10:$J$224),0),
IF('TL03'!$B$229=K$3,SUMIF('TL03'!$C$238:$C$451,$C49,'TL03'!$J$238:$J$451),0),
IF('TL04'!$B$3=K$3,SUMIF('TL04'!$C$10:$C$224,$C49,'TL04'!$J$10:$J$224),0),
IF('TL04'!$B$229=K$3,SUMIF('TL04'!$C$238:$C$451,$C49,'TL04'!$J$238:$J$451),0),
IF('TL05'!$B$3=K$3,SUMIF('TL05'!$C$10:$C$224,$C49,'TL05'!$J$10:$J$224),0),
IF('TL05'!$B$229=K$3,SUMIF('TL05'!$C$238:$C$451,$C49,'TL05'!$J$238:$J$451),0),
IF('TL06'!$B$3=K$3,SUMIF('TL06'!$C$10:$C$224,$C49,'TL06'!$J$10:$J$224),0),
IF('TL06'!$B$229=K$3,SUMIF('TL06'!$C$238:$C$451,$C49,'TL06'!$J$238:$J$451),0),
IF('TL07'!$B$3=K$3,SUMIF('TL07'!$C$10:$C$224,$C49,'TL07'!$J$10:$J$224),0),
IF('TL07'!$B$229=K$3,SUMIF('TL07'!$C$238:$C$451,$C49,'TL07'!$J$238:$J$451),0),
IF('TL08'!$B$3=K$3,SUMIF('TL08'!$C$10:$C$224,$C49,'TL08'!$J$10:$J$224),0),
IF('TL08'!$B$229=K$3,SUMIF('TL08'!$C$238:$C$451,$C49,'TL08'!$J$238:$J$451),0),
IF('TL09'!$B$3=K$3,SUMIF('TL09'!$C$10:$C$224,$C49,'TL09'!$J$10:$J$224),0),
IF('TL09'!$B$229=K$3,SUMIF('TL09'!$C$238:$C$451,$C49,'TL09'!$J$238:$J$451),0),
IF('TL10'!$B$3=K$3,SUMIF('TL10'!$C$10:$C$224,$C49,'TL10'!$J$10:$J$224),0),
IF('TL10'!$B$229=K$3,SUMIF('TL10'!$C$238:$C$451,$C49,'TL10'!$J$238:$J$451),0),
IF('TL11'!$B$3=K$3,SUMIF('TL11'!$C$10:$C$224,$C49,'TL11'!$J$10:$J$224),0),
IF('TL11'!$B$229=K$3,SUMIF('TL11'!$C$238:$C$451,$C49,'TL11'!$J$238:$J$451),0),
IF('TL12'!$B$3=K$3,SUMIF('TL12'!$C$10:$C$224,$C49,'TL12'!$J$10:$J$224),0),
IF('TL12'!$B$229=K$3,SUMIF('TL12'!$C$238:$C$451,$C49,'TL12'!$J$238:$J$451),0),
IF('TL13'!$B$3=K$3,SUMIF('TL13'!$C$10:$C$224,$C49,'TL13'!$J$10:$J$224),0),
IF('TL13'!$B$229=K$3,SUMIF('TL13'!$C$238:$C$451,$C49,'TL13'!$J$238:$J$451),0),
IF('TL14'!$B$3=K$3,SUMIF('TL14'!$C$10:$C$224,$C49,'TL14'!$J$10:$J$224),0),
IF('TL14'!$B$229=K$3,SUMIF('TL14'!$C$238:$C$451,$C49,'TL14'!$J$238:$J$451),0),
IF('TL15'!$B$3=K$3,SUMIF('TL15'!$C$10:$C$224,$C49,'TL15'!$J$10:$J$224),0),
IF('TL15'!$B$229=K$3,SUMIF('TL15'!$C$238:$C$451,$C49,'TL15'!$J$238:$J$451),0),
IF('TL16'!$B$3=K$3,SUMIF('TL16'!$C$10:$C$224,$C49,'TL16'!$J$10:$J$224),0),
IF('TL16'!$B$229=K$3,SUMIF('TL16'!$C$238:$C$451,$C49,'TL16'!$J$238:$J$451),0),
IF('TL17'!$B$3=K$3,SUMIF('TL17'!$C$10:$C$224,$C49,'TL17'!$J$10:$J$224),0),
IF('TL17'!$B$229=K$3,SUMIF('TL17'!$C$238:$C$451,$C49,'TL17'!$J$238:$J$451),0),
IF('TL18'!$B$3=K$3,SUMIF('TL18'!$C$10:$C$224,$C49,'TL18'!$J$10:$J$224),0),
IF('TL18'!$B$229=K$3,SUMIF('TL18'!$C$238:$C$451,$C49,'TL18'!$J$238:$J$451),0),
IF('TL19'!$B$3=K$3,SUMIF('TL19'!$C$10:$C$224,$C49,'TL19'!$J$10:$J$224),0),
IF('TL19'!$B$229=K$3,SUMIF('TL19'!$C$238:$C$451,$C49,'TL19'!$J$238:$J$451),0)
),0)</f>
        <v/>
      </c>
      <c r="L49" s="9">
        <f>IFERROR(SUM(
IF('TL01'!$B$3=L$3,SUMIF('TL01'!$C$10:$C$224,$C49,'TL01'!$J$10:$J$224),0),
IF('TL01'!$B$229=L$3,SUMIF('TL01'!$C$238:$C$451,$C49,'TL01'!$J$238:$J$451),0),
IF('TL02'!$B$3=L$3,SUMIF('TL02'!$C$10:$C$224,$C49,'TL02'!$J$10:$J$224),0),
IF('TL02'!$B$229=L$3,SUMIF('TL02'!$C$238:$C$451,$C49,'TL02'!$J$238:$J$451),0),
IF('TL03'!$B$3=L$3,SUMIF('TL03'!$C$10:$C$224,$C49,'TL03'!$J$10:$J$224),0),
IF('TL03'!$B$229=L$3,SUMIF('TL03'!$C$238:$C$451,$C49,'TL03'!$J$238:$J$451),0),
IF('TL04'!$B$3=L$3,SUMIF('TL04'!$C$10:$C$224,$C49,'TL04'!$J$10:$J$224),0),
IF('TL04'!$B$229=L$3,SUMIF('TL04'!$C$238:$C$451,$C49,'TL04'!$J$238:$J$451),0),
IF('TL05'!$B$3=L$3,SUMIF('TL05'!$C$10:$C$224,$C49,'TL05'!$J$10:$J$224),0),
IF('TL05'!$B$229=L$3,SUMIF('TL05'!$C$238:$C$451,$C49,'TL05'!$J$238:$J$451),0),
IF('TL06'!$B$3=L$3,SUMIF('TL06'!$C$10:$C$224,$C49,'TL06'!$J$10:$J$224),0),
IF('TL06'!$B$229=L$3,SUMIF('TL06'!$C$238:$C$451,$C49,'TL06'!$J$238:$J$451),0),
IF('TL07'!$B$3=L$3,SUMIF('TL07'!$C$10:$C$224,$C49,'TL07'!$J$10:$J$224),0),
IF('TL07'!$B$229=L$3,SUMIF('TL07'!$C$238:$C$451,$C49,'TL07'!$J$238:$J$451),0),
IF('TL08'!$B$3=L$3,SUMIF('TL08'!$C$10:$C$224,$C49,'TL08'!$J$10:$J$224),0),
IF('TL08'!$B$229=L$3,SUMIF('TL08'!$C$238:$C$451,$C49,'TL08'!$J$238:$J$451),0),
IF('TL09'!$B$3=L$3,SUMIF('TL09'!$C$10:$C$224,$C49,'TL09'!$J$10:$J$224),0),
IF('TL09'!$B$229=L$3,SUMIF('TL09'!$C$238:$C$451,$C49,'TL09'!$J$238:$J$451),0),
IF('TL10'!$B$3=L$3,SUMIF('TL10'!$C$10:$C$224,$C49,'TL10'!$J$10:$J$224),0),
IF('TL10'!$B$229=L$3,SUMIF('TL10'!$C$238:$C$451,$C49,'TL10'!$J$238:$J$451),0),
IF('TL11'!$B$3=L$3,SUMIF('TL11'!$C$10:$C$224,$C49,'TL11'!$J$10:$J$224),0),
IF('TL11'!$B$229=L$3,SUMIF('TL11'!$C$238:$C$451,$C49,'TL11'!$J$238:$J$451),0),
IF('TL12'!$B$3=L$3,SUMIF('TL12'!$C$10:$C$224,$C49,'TL12'!$J$10:$J$224),0),
IF('TL12'!$B$229=L$3,SUMIF('TL12'!$C$238:$C$451,$C49,'TL12'!$J$238:$J$451),0),
IF('TL13'!$B$3=L$3,SUMIF('TL13'!$C$10:$C$224,$C49,'TL13'!$J$10:$J$224),0),
IF('TL13'!$B$229=L$3,SUMIF('TL13'!$C$238:$C$451,$C49,'TL13'!$J$238:$J$451),0),
IF('TL14'!$B$3=L$3,SUMIF('TL14'!$C$10:$C$224,$C49,'TL14'!$J$10:$J$224),0),
IF('TL14'!$B$229=L$3,SUMIF('TL14'!$C$238:$C$451,$C49,'TL14'!$J$238:$J$451),0),
IF('TL15'!$B$3=L$3,SUMIF('TL15'!$C$10:$C$224,$C49,'TL15'!$J$10:$J$224),0),
IF('TL15'!$B$229=L$3,SUMIF('TL15'!$C$238:$C$451,$C49,'TL15'!$J$238:$J$451),0),
IF('TL16'!$B$3=L$3,SUMIF('TL16'!$C$10:$C$224,$C49,'TL16'!$J$10:$J$224),0),
IF('TL16'!$B$229=L$3,SUMIF('TL16'!$C$238:$C$451,$C49,'TL16'!$J$238:$J$451),0),
IF('TL17'!$B$3=L$3,SUMIF('TL17'!$C$10:$C$224,$C49,'TL17'!$J$10:$J$224),0),
IF('TL17'!$B$229=L$3,SUMIF('TL17'!$C$238:$C$451,$C49,'TL17'!$J$238:$J$451),0),
IF('TL18'!$B$3=L$3,SUMIF('TL18'!$C$10:$C$224,$C49,'TL18'!$J$10:$J$224),0),
IF('TL18'!$B$229=L$3,SUMIF('TL18'!$C$238:$C$451,$C49,'TL18'!$J$238:$J$451),0),
IF('TL19'!$B$3=L$3,SUMIF('TL19'!$C$10:$C$224,$C49,'TL19'!$J$10:$J$224),0),
IF('TL19'!$B$229=L$3,SUMIF('TL19'!$C$238:$C$451,$C49,'TL19'!$J$238:$J$451),0)
),0)</f>
        <v/>
      </c>
      <c r="M49" s="9">
        <f>IFERROR(SUM(
IF('TL01'!$B$3=M$3,SUMIF('TL01'!$C$10:$C$224,$C49,'TL01'!$J$10:$J$224),0),
IF('TL01'!$B$229=M$3,SUMIF('TL01'!$C$238:$C$451,$C49,'TL01'!$J$238:$J$451),0),
IF('TL02'!$B$3=M$3,SUMIF('TL02'!$C$10:$C$224,$C49,'TL02'!$J$10:$J$224),0),
IF('TL02'!$B$229=M$3,SUMIF('TL02'!$C$238:$C$451,$C49,'TL02'!$J$238:$J$451),0),
IF('TL03'!$B$3=M$3,SUMIF('TL03'!$C$10:$C$224,$C49,'TL03'!$J$10:$J$224),0),
IF('TL03'!$B$229=M$3,SUMIF('TL03'!$C$238:$C$451,$C49,'TL03'!$J$238:$J$451),0),
IF('TL04'!$B$3=M$3,SUMIF('TL04'!$C$10:$C$224,$C49,'TL04'!$J$10:$J$224),0),
IF('TL04'!$B$229=M$3,SUMIF('TL04'!$C$238:$C$451,$C49,'TL04'!$J$238:$J$451),0),
IF('TL05'!$B$3=M$3,SUMIF('TL05'!$C$10:$C$224,$C49,'TL05'!$J$10:$J$224),0),
IF('TL05'!$B$229=M$3,SUMIF('TL05'!$C$238:$C$451,$C49,'TL05'!$J$238:$J$451),0),
IF('TL06'!$B$3=M$3,SUMIF('TL06'!$C$10:$C$224,$C49,'TL06'!$J$10:$J$224),0),
IF('TL06'!$B$229=M$3,SUMIF('TL06'!$C$238:$C$451,$C49,'TL06'!$J$238:$J$451),0),
IF('TL07'!$B$3=M$3,SUMIF('TL07'!$C$10:$C$224,$C49,'TL07'!$J$10:$J$224),0),
IF('TL07'!$B$229=M$3,SUMIF('TL07'!$C$238:$C$451,$C49,'TL07'!$J$238:$J$451),0),
IF('TL08'!$B$3=M$3,SUMIF('TL08'!$C$10:$C$224,$C49,'TL08'!$J$10:$J$224),0),
IF('TL08'!$B$229=M$3,SUMIF('TL08'!$C$238:$C$451,$C49,'TL08'!$J$238:$J$451),0),
IF('TL09'!$B$3=M$3,SUMIF('TL09'!$C$10:$C$224,$C49,'TL09'!$J$10:$J$224),0),
IF('TL09'!$B$229=M$3,SUMIF('TL09'!$C$238:$C$451,$C49,'TL09'!$J$238:$J$451),0),
IF('TL10'!$B$3=M$3,SUMIF('TL10'!$C$10:$C$224,$C49,'TL10'!$J$10:$J$224),0),
IF('TL10'!$B$229=M$3,SUMIF('TL10'!$C$238:$C$451,$C49,'TL10'!$J$238:$J$451),0),
IF('TL11'!$B$3=M$3,SUMIF('TL11'!$C$10:$C$224,$C49,'TL11'!$J$10:$J$224),0),
IF('TL11'!$B$229=M$3,SUMIF('TL11'!$C$238:$C$451,$C49,'TL11'!$J$238:$J$451),0),
IF('TL12'!$B$3=M$3,SUMIF('TL12'!$C$10:$C$224,$C49,'TL12'!$J$10:$J$224),0),
IF('TL12'!$B$229=M$3,SUMIF('TL12'!$C$238:$C$451,$C49,'TL12'!$J$238:$J$451),0),
IF('TL13'!$B$3=M$3,SUMIF('TL13'!$C$10:$C$224,$C49,'TL13'!$J$10:$J$224),0),
IF('TL13'!$B$229=M$3,SUMIF('TL13'!$C$238:$C$451,$C49,'TL13'!$J$238:$J$451),0),
IF('TL14'!$B$3=M$3,SUMIF('TL14'!$C$10:$C$224,$C49,'TL14'!$J$10:$J$224),0),
IF('TL14'!$B$229=M$3,SUMIF('TL14'!$C$238:$C$451,$C49,'TL14'!$J$238:$J$451),0),
IF('TL15'!$B$3=M$3,SUMIF('TL15'!$C$10:$C$224,$C49,'TL15'!$J$10:$J$224),0),
IF('TL15'!$B$229=M$3,SUMIF('TL15'!$C$238:$C$451,$C49,'TL15'!$J$238:$J$451),0),
IF('TL16'!$B$3=M$3,SUMIF('TL16'!$C$10:$C$224,$C49,'TL16'!$J$10:$J$224),0),
IF('TL16'!$B$229=M$3,SUMIF('TL16'!$C$238:$C$451,$C49,'TL16'!$J$238:$J$451),0),
IF('TL17'!$B$3=M$3,SUMIF('TL17'!$C$10:$C$224,$C49,'TL17'!$J$10:$J$224),0),
IF('TL17'!$B$229=M$3,SUMIF('TL17'!$C$238:$C$451,$C49,'TL17'!$J$238:$J$451),0),
IF('TL18'!$B$3=M$3,SUMIF('TL18'!$C$10:$C$224,$C49,'TL18'!$J$10:$J$224),0),
IF('TL18'!$B$229=M$3,SUMIF('TL18'!$C$238:$C$451,$C49,'TL18'!$J$238:$J$451),0),
IF('TL19'!$B$3=M$3,SUMIF('TL19'!$C$10:$C$224,$C49,'TL19'!$J$10:$J$224),0),
IF('TL19'!$B$229=M$3,SUMIF('TL19'!$C$238:$C$451,$C49,'TL19'!$J$238:$J$451),0)
),0)</f>
        <v/>
      </c>
      <c r="N49" s="9">
        <f>IFERROR(SUM(
IF('TL01'!$B$3=N$3,SUMIF('TL01'!$C$10:$C$224,$C49,'TL01'!$J$10:$J$224),0),
IF('TL01'!$B$229=N$3,SUMIF('TL01'!$C$238:$C$451,$C49,'TL01'!$J$238:$J$451),0),
IF('TL02'!$B$3=N$3,SUMIF('TL02'!$C$10:$C$224,$C49,'TL02'!$J$10:$J$224),0),
IF('TL02'!$B$229=N$3,SUMIF('TL02'!$C$238:$C$451,$C49,'TL02'!$J$238:$J$451),0),
IF('TL03'!$B$3=N$3,SUMIF('TL03'!$C$10:$C$224,$C49,'TL03'!$J$10:$J$224),0),
IF('TL03'!$B$229=N$3,SUMIF('TL03'!$C$238:$C$451,$C49,'TL03'!$J$238:$J$451),0),
IF('TL04'!$B$3=N$3,SUMIF('TL04'!$C$10:$C$224,$C49,'TL04'!$J$10:$J$224),0),
IF('TL04'!$B$229=N$3,SUMIF('TL04'!$C$238:$C$451,$C49,'TL04'!$J$238:$J$451),0),
IF('TL05'!$B$3=N$3,SUMIF('TL05'!$C$10:$C$224,$C49,'TL05'!$J$10:$J$224),0),
IF('TL05'!$B$229=N$3,SUMIF('TL05'!$C$238:$C$451,$C49,'TL05'!$J$238:$J$451),0),
IF('TL06'!$B$3=N$3,SUMIF('TL06'!$C$10:$C$224,$C49,'TL06'!$J$10:$J$224),0),
IF('TL06'!$B$229=N$3,SUMIF('TL06'!$C$238:$C$451,$C49,'TL06'!$J$238:$J$451),0),
IF('TL07'!$B$3=N$3,SUMIF('TL07'!$C$10:$C$224,$C49,'TL07'!$J$10:$J$224),0),
IF('TL07'!$B$229=N$3,SUMIF('TL07'!$C$238:$C$451,$C49,'TL07'!$J$238:$J$451),0),
IF('TL08'!$B$3=N$3,SUMIF('TL08'!$C$10:$C$224,$C49,'TL08'!$J$10:$J$224),0),
IF('TL08'!$B$229=N$3,SUMIF('TL08'!$C$238:$C$451,$C49,'TL08'!$J$238:$J$451),0),
IF('TL09'!$B$3=N$3,SUMIF('TL09'!$C$10:$C$224,$C49,'TL09'!$J$10:$J$224),0),
IF('TL09'!$B$229=N$3,SUMIF('TL09'!$C$238:$C$451,$C49,'TL09'!$J$238:$J$451),0),
IF('TL10'!$B$3=N$3,SUMIF('TL10'!$C$10:$C$224,$C49,'TL10'!$J$10:$J$224),0),
IF('TL10'!$B$229=N$3,SUMIF('TL10'!$C$238:$C$451,$C49,'TL10'!$J$238:$J$451),0),
IF('TL11'!$B$3=N$3,SUMIF('TL11'!$C$10:$C$224,$C49,'TL11'!$J$10:$J$224),0),
IF('TL11'!$B$229=N$3,SUMIF('TL11'!$C$238:$C$451,$C49,'TL11'!$J$238:$J$451),0),
IF('TL12'!$B$3=N$3,SUMIF('TL12'!$C$10:$C$224,$C49,'TL12'!$J$10:$J$224),0),
IF('TL12'!$B$229=N$3,SUMIF('TL12'!$C$238:$C$451,$C49,'TL12'!$J$238:$J$451),0),
IF('TL13'!$B$3=N$3,SUMIF('TL13'!$C$10:$C$224,$C49,'TL13'!$J$10:$J$224),0),
IF('TL13'!$B$229=N$3,SUMIF('TL13'!$C$238:$C$451,$C49,'TL13'!$J$238:$J$451),0),
IF('TL14'!$B$3=N$3,SUMIF('TL14'!$C$10:$C$224,$C49,'TL14'!$J$10:$J$224),0),
IF('TL14'!$B$229=N$3,SUMIF('TL14'!$C$238:$C$451,$C49,'TL14'!$J$238:$J$451),0),
IF('TL15'!$B$3=N$3,SUMIF('TL15'!$C$10:$C$224,$C49,'TL15'!$J$10:$J$224),0),
IF('TL15'!$B$229=N$3,SUMIF('TL15'!$C$238:$C$451,$C49,'TL15'!$J$238:$J$451),0),
IF('TL16'!$B$3=N$3,SUMIF('TL16'!$C$10:$C$224,$C49,'TL16'!$J$10:$J$224),0),
IF('TL16'!$B$229=N$3,SUMIF('TL16'!$C$238:$C$451,$C49,'TL16'!$J$238:$J$451),0),
IF('TL17'!$B$3=N$3,SUMIF('TL17'!$C$10:$C$224,$C49,'TL17'!$J$10:$J$224),0),
IF('TL17'!$B$229=N$3,SUMIF('TL17'!$C$238:$C$451,$C49,'TL17'!$J$238:$J$451),0),
IF('TL18'!$B$3=N$3,SUMIF('TL18'!$C$10:$C$224,$C49,'TL18'!$J$10:$J$224),0),
IF('TL18'!$B$229=N$3,SUMIF('TL18'!$C$238:$C$451,$C49,'TL18'!$J$238:$J$451),0),
IF('TL19'!$B$3=N$3,SUMIF('TL19'!$C$10:$C$224,$C49,'TL19'!$J$10:$J$224),0),
IF('TL19'!$B$229=N$3,SUMIF('TL19'!$C$238:$C$451,$C49,'TL19'!$J$238:$J$451),0)
),0)</f>
        <v/>
      </c>
      <c r="O49" s="9">
        <f>IFERROR(SUM(
IF('TL01'!$B$3=O$3,SUMIF('TL01'!$C$10:$C$224,$C49,'TL01'!$J$10:$J$224),0),
IF('TL01'!$B$229=O$3,SUMIF('TL01'!$C$238:$C$451,$C49,'TL01'!$J$238:$J$451),0),
IF('TL02'!$B$3=O$3,SUMIF('TL02'!$C$10:$C$224,$C49,'TL02'!$J$10:$J$224),0),
IF('TL02'!$B$229=O$3,SUMIF('TL02'!$C$238:$C$451,$C49,'TL02'!$J$238:$J$451),0),
IF('TL03'!$B$3=O$3,SUMIF('TL03'!$C$10:$C$224,$C49,'TL03'!$J$10:$J$224),0),
IF('TL03'!$B$229=O$3,SUMIF('TL03'!$C$238:$C$451,$C49,'TL03'!$J$238:$J$451),0),
IF('TL04'!$B$3=O$3,SUMIF('TL04'!$C$10:$C$224,$C49,'TL04'!$J$10:$J$224),0),
IF('TL04'!$B$229=O$3,SUMIF('TL04'!$C$238:$C$451,$C49,'TL04'!$J$238:$J$451),0),
IF('TL05'!$B$3=O$3,SUMIF('TL05'!$C$10:$C$224,$C49,'TL05'!$J$10:$J$224),0),
IF('TL05'!$B$229=O$3,SUMIF('TL05'!$C$238:$C$451,$C49,'TL05'!$J$238:$J$451),0),
IF('TL06'!$B$3=O$3,SUMIF('TL06'!$C$10:$C$224,$C49,'TL06'!$J$10:$J$224),0),
IF('TL06'!$B$229=O$3,SUMIF('TL06'!$C$238:$C$451,$C49,'TL06'!$J$238:$J$451),0),
IF('TL07'!$B$3=O$3,SUMIF('TL07'!$C$10:$C$224,$C49,'TL07'!$J$10:$J$224),0),
IF('TL07'!$B$229=O$3,SUMIF('TL07'!$C$238:$C$451,$C49,'TL07'!$J$238:$J$451),0),
IF('TL08'!$B$3=O$3,SUMIF('TL08'!$C$10:$C$224,$C49,'TL08'!$J$10:$J$224),0),
IF('TL08'!$B$229=O$3,SUMIF('TL08'!$C$238:$C$451,$C49,'TL08'!$J$238:$J$451),0),
IF('TL09'!$B$3=O$3,SUMIF('TL09'!$C$10:$C$224,$C49,'TL09'!$J$10:$J$224),0),
IF('TL09'!$B$229=O$3,SUMIF('TL09'!$C$238:$C$451,$C49,'TL09'!$J$238:$J$451),0),
IF('TL10'!$B$3=O$3,SUMIF('TL10'!$C$10:$C$224,$C49,'TL10'!$J$10:$J$224),0),
IF('TL10'!$B$229=O$3,SUMIF('TL10'!$C$238:$C$451,$C49,'TL10'!$J$238:$J$451),0),
IF('TL11'!$B$3=O$3,SUMIF('TL11'!$C$10:$C$224,$C49,'TL11'!$J$10:$J$224),0),
IF('TL11'!$B$229=O$3,SUMIF('TL11'!$C$238:$C$451,$C49,'TL11'!$J$238:$J$451),0),
IF('TL12'!$B$3=O$3,SUMIF('TL12'!$C$10:$C$224,$C49,'TL12'!$J$10:$J$224),0),
IF('TL12'!$B$229=O$3,SUMIF('TL12'!$C$238:$C$451,$C49,'TL12'!$J$238:$J$451),0),
IF('TL13'!$B$3=O$3,SUMIF('TL13'!$C$10:$C$224,$C49,'TL13'!$J$10:$J$224),0),
IF('TL13'!$B$229=O$3,SUMIF('TL13'!$C$238:$C$451,$C49,'TL13'!$J$238:$J$451),0),
IF('TL14'!$B$3=O$3,SUMIF('TL14'!$C$10:$C$224,$C49,'TL14'!$J$10:$J$224),0),
IF('TL14'!$B$229=O$3,SUMIF('TL14'!$C$238:$C$451,$C49,'TL14'!$J$238:$J$451),0),
IF('TL15'!$B$3=O$3,SUMIF('TL15'!$C$10:$C$224,$C49,'TL15'!$J$10:$J$224),0),
IF('TL15'!$B$229=O$3,SUMIF('TL15'!$C$238:$C$451,$C49,'TL15'!$J$238:$J$451),0),
IF('TL16'!$B$3=O$3,SUMIF('TL16'!$C$10:$C$224,$C49,'TL16'!$J$10:$J$224),0),
IF('TL16'!$B$229=O$3,SUMIF('TL16'!$C$238:$C$451,$C49,'TL16'!$J$238:$J$451),0),
IF('TL17'!$B$3=O$3,SUMIF('TL17'!$C$10:$C$224,$C49,'TL17'!$J$10:$J$224),0),
IF('TL17'!$B$229=O$3,SUMIF('TL17'!$C$238:$C$451,$C49,'TL17'!$J$238:$J$451),0),
IF('TL18'!$B$3=O$3,SUMIF('TL18'!$C$10:$C$224,$C49,'TL18'!$J$10:$J$224),0),
IF('TL18'!$B$229=O$3,SUMIF('TL18'!$C$238:$C$451,$C49,'TL18'!$J$238:$J$451),0),
IF('TL19'!$B$3=O$3,SUMIF('TL19'!$C$10:$C$224,$C49,'TL19'!$J$10:$J$224),0),
IF('TL19'!$B$229=O$3,SUMIF('TL19'!$C$238:$C$451,$C49,'TL19'!$J$238:$J$451),0)
),0)</f>
        <v/>
      </c>
      <c r="P49" s="9">
        <f>IFERROR(SUM(
IF('TL01'!$B$3=P$3,SUMIF('TL01'!$C$10:$C$224,$C49,'TL01'!$J$10:$J$224),0),
IF('TL01'!$B$229=P$3,SUMIF('TL01'!$C$238:$C$451,$C49,'TL01'!$J$238:$J$451),0),
IF('TL02'!$B$3=P$3,SUMIF('TL02'!$C$10:$C$224,$C49,'TL02'!$J$10:$J$224),0),
IF('TL02'!$B$229=P$3,SUMIF('TL02'!$C$238:$C$451,$C49,'TL02'!$J$238:$J$451),0),
IF('TL03'!$B$3=P$3,SUMIF('TL03'!$C$10:$C$224,$C49,'TL03'!$J$10:$J$224),0),
IF('TL03'!$B$229=P$3,SUMIF('TL03'!$C$238:$C$451,$C49,'TL03'!$J$238:$J$451),0),
IF('TL04'!$B$3=P$3,SUMIF('TL04'!$C$10:$C$224,$C49,'TL04'!$J$10:$J$224),0),
IF('TL04'!$B$229=P$3,SUMIF('TL04'!$C$238:$C$451,$C49,'TL04'!$J$238:$J$451),0),
IF('TL05'!$B$3=P$3,SUMIF('TL05'!$C$10:$C$224,$C49,'TL05'!$J$10:$J$224),0),
IF('TL05'!$B$229=P$3,SUMIF('TL05'!$C$238:$C$451,$C49,'TL05'!$J$238:$J$451),0),
IF('TL06'!$B$3=P$3,SUMIF('TL06'!$C$10:$C$224,$C49,'TL06'!$J$10:$J$224),0),
IF('TL06'!$B$229=P$3,SUMIF('TL06'!$C$238:$C$451,$C49,'TL06'!$J$238:$J$451),0),
IF('TL07'!$B$3=P$3,SUMIF('TL07'!$C$10:$C$224,$C49,'TL07'!$J$10:$J$224),0),
IF('TL07'!$B$229=P$3,SUMIF('TL07'!$C$238:$C$451,$C49,'TL07'!$J$238:$J$451),0),
IF('TL08'!$B$3=P$3,SUMIF('TL08'!$C$10:$C$224,$C49,'TL08'!$J$10:$J$224),0),
IF('TL08'!$B$229=P$3,SUMIF('TL08'!$C$238:$C$451,$C49,'TL08'!$J$238:$J$451),0),
IF('TL09'!$B$3=P$3,SUMIF('TL09'!$C$10:$C$224,$C49,'TL09'!$J$10:$J$224),0),
IF('TL09'!$B$229=P$3,SUMIF('TL09'!$C$238:$C$451,$C49,'TL09'!$J$238:$J$451),0),
IF('TL10'!$B$3=P$3,SUMIF('TL10'!$C$10:$C$224,$C49,'TL10'!$J$10:$J$224),0),
IF('TL10'!$B$229=P$3,SUMIF('TL10'!$C$238:$C$451,$C49,'TL10'!$J$238:$J$451),0),
IF('TL11'!$B$3=P$3,SUMIF('TL11'!$C$10:$C$224,$C49,'TL11'!$J$10:$J$224),0),
IF('TL11'!$B$229=P$3,SUMIF('TL11'!$C$238:$C$451,$C49,'TL11'!$J$238:$J$451),0),
IF('TL12'!$B$3=P$3,SUMIF('TL12'!$C$10:$C$224,$C49,'TL12'!$J$10:$J$224),0),
IF('TL12'!$B$229=P$3,SUMIF('TL12'!$C$238:$C$451,$C49,'TL12'!$J$238:$J$451),0),
IF('TL13'!$B$3=P$3,SUMIF('TL13'!$C$10:$C$224,$C49,'TL13'!$J$10:$J$224),0),
IF('TL13'!$B$229=P$3,SUMIF('TL13'!$C$238:$C$451,$C49,'TL13'!$J$238:$J$451),0),
IF('TL14'!$B$3=P$3,SUMIF('TL14'!$C$10:$C$224,$C49,'TL14'!$J$10:$J$224),0),
IF('TL14'!$B$229=P$3,SUMIF('TL14'!$C$238:$C$451,$C49,'TL14'!$J$238:$J$451),0),
IF('TL15'!$B$3=P$3,SUMIF('TL15'!$C$10:$C$224,$C49,'TL15'!$J$10:$J$224),0),
IF('TL15'!$B$229=P$3,SUMIF('TL15'!$C$238:$C$451,$C49,'TL15'!$J$238:$J$451),0),
IF('TL16'!$B$3=P$3,SUMIF('TL16'!$C$10:$C$224,$C49,'TL16'!$J$10:$J$224),0),
IF('TL16'!$B$229=P$3,SUMIF('TL16'!$C$238:$C$451,$C49,'TL16'!$J$238:$J$451),0),
IF('TL17'!$B$3=P$3,SUMIF('TL17'!$C$10:$C$224,$C49,'TL17'!$J$10:$J$224),0),
IF('TL17'!$B$229=P$3,SUMIF('TL17'!$C$238:$C$451,$C49,'TL17'!$J$238:$J$451),0),
IF('TL18'!$B$3=P$3,SUMIF('TL18'!$C$10:$C$224,$C49,'TL18'!$J$10:$J$224),0),
IF('TL18'!$B$229=P$3,SUMIF('TL18'!$C$238:$C$451,$C49,'TL18'!$J$238:$J$451),0),
IF('TL19'!$B$3=P$3,SUMIF('TL19'!$C$10:$C$224,$C49,'TL19'!$J$10:$J$224),0),
IF('TL19'!$B$229=P$3,SUMIF('TL19'!$C$238:$C$451,$C49,'TL19'!$J$238:$J$451),0)
),0)</f>
        <v/>
      </c>
      <c r="Q49" s="9">
        <f>IFERROR(SUM(
IF('TL01'!$B$3=Q$3,SUMIF('TL01'!$C$10:$C$224,$C49,'TL01'!$J$10:$J$224),0),
IF('TL01'!$B$229=Q$3,SUMIF('TL01'!$C$238:$C$451,$C49,'TL01'!$J$238:$J$451),0),
IF('TL02'!$B$3=Q$3,SUMIF('TL02'!$C$10:$C$224,$C49,'TL02'!$J$10:$J$224),0),
IF('TL02'!$B$229=Q$3,SUMIF('TL02'!$C$238:$C$451,$C49,'TL02'!$J$238:$J$451),0),
IF('TL03'!$B$3=Q$3,SUMIF('TL03'!$C$10:$C$224,$C49,'TL03'!$J$10:$J$224),0),
IF('TL03'!$B$229=Q$3,SUMIF('TL03'!$C$238:$C$451,$C49,'TL03'!$J$238:$J$451),0),
IF('TL04'!$B$3=Q$3,SUMIF('TL04'!$C$10:$C$224,$C49,'TL04'!$J$10:$J$224),0),
IF('TL04'!$B$229=Q$3,SUMIF('TL04'!$C$238:$C$451,$C49,'TL04'!$J$238:$J$451),0),
IF('TL05'!$B$3=Q$3,SUMIF('TL05'!$C$10:$C$224,$C49,'TL05'!$J$10:$J$224),0),
IF('TL05'!$B$229=Q$3,SUMIF('TL05'!$C$238:$C$451,$C49,'TL05'!$J$238:$J$451),0),
IF('TL06'!$B$3=Q$3,SUMIF('TL06'!$C$10:$C$224,$C49,'TL06'!$J$10:$J$224),0),
IF('TL06'!$B$229=Q$3,SUMIF('TL06'!$C$238:$C$451,$C49,'TL06'!$J$238:$J$451),0),
IF('TL07'!$B$3=Q$3,SUMIF('TL07'!$C$10:$C$224,$C49,'TL07'!$J$10:$J$224),0),
IF('TL07'!$B$229=Q$3,SUMIF('TL07'!$C$238:$C$451,$C49,'TL07'!$J$238:$J$451),0),
IF('TL08'!$B$3=Q$3,SUMIF('TL08'!$C$10:$C$224,$C49,'TL08'!$J$10:$J$224),0),
IF('TL08'!$B$229=Q$3,SUMIF('TL08'!$C$238:$C$451,$C49,'TL08'!$J$238:$J$451),0),
IF('TL09'!$B$3=Q$3,SUMIF('TL09'!$C$10:$C$224,$C49,'TL09'!$J$10:$J$224),0),
IF('TL09'!$B$229=Q$3,SUMIF('TL09'!$C$238:$C$451,$C49,'TL09'!$J$238:$J$451),0),
IF('TL10'!$B$3=Q$3,SUMIF('TL10'!$C$10:$C$224,$C49,'TL10'!$J$10:$J$224),0),
IF('TL10'!$B$229=Q$3,SUMIF('TL10'!$C$238:$C$451,$C49,'TL10'!$J$238:$J$451),0),
IF('TL11'!$B$3=Q$3,SUMIF('TL11'!$C$10:$C$224,$C49,'TL11'!$J$10:$J$224),0),
IF('TL11'!$B$229=Q$3,SUMIF('TL11'!$C$238:$C$451,$C49,'TL11'!$J$238:$J$451),0),
IF('TL12'!$B$3=Q$3,SUMIF('TL12'!$C$10:$C$224,$C49,'TL12'!$J$10:$J$224),0),
IF('TL12'!$B$229=Q$3,SUMIF('TL12'!$C$238:$C$451,$C49,'TL12'!$J$238:$J$451),0),
IF('TL13'!$B$3=Q$3,SUMIF('TL13'!$C$10:$C$224,$C49,'TL13'!$J$10:$J$224),0),
IF('TL13'!$B$229=Q$3,SUMIF('TL13'!$C$238:$C$451,$C49,'TL13'!$J$238:$J$451),0),
IF('TL14'!$B$3=Q$3,SUMIF('TL14'!$C$10:$C$224,$C49,'TL14'!$J$10:$J$224),0),
IF('TL14'!$B$229=Q$3,SUMIF('TL14'!$C$238:$C$451,$C49,'TL14'!$J$238:$J$451),0),
IF('TL15'!$B$3=Q$3,SUMIF('TL15'!$C$10:$C$224,$C49,'TL15'!$J$10:$J$224),0),
IF('TL15'!$B$229=Q$3,SUMIF('TL15'!$C$238:$C$451,$C49,'TL15'!$J$238:$J$451),0),
IF('TL16'!$B$3=Q$3,SUMIF('TL16'!$C$10:$C$224,$C49,'TL16'!$J$10:$J$224),0),
IF('TL16'!$B$229=Q$3,SUMIF('TL16'!$C$238:$C$451,$C49,'TL16'!$J$238:$J$451),0),
IF('TL17'!$B$3=Q$3,SUMIF('TL17'!$C$10:$C$224,$C49,'TL17'!$J$10:$J$224),0),
IF('TL17'!$B$229=Q$3,SUMIF('TL17'!$C$238:$C$451,$C49,'TL17'!$J$238:$J$451),0),
IF('TL18'!$B$3=Q$3,SUMIF('TL18'!$C$10:$C$224,$C49,'TL18'!$J$10:$J$224),0),
IF('TL18'!$B$229=Q$3,SUMIF('TL18'!$C$238:$C$451,$C49,'TL18'!$J$238:$J$451),0),
IF('TL19'!$B$3=Q$3,SUMIF('TL19'!$C$10:$C$224,$C49,'TL19'!$J$10:$J$224),0),
IF('TL19'!$B$229=Q$3,SUMIF('TL19'!$C$238:$C$451,$C49,'TL19'!$J$238:$J$451),0)
),0)</f>
        <v/>
      </c>
      <c r="R49" s="9">
        <f>IFERROR(
SUM(
SUMIF('TL01'!C:C,C49,'TL01'!J:J),
SUMIF('TL02'!C:C,C49,'TL02'!J:J),
SUMIF('TL03'!C:C,C49,'TL03'!J:J),
SUMIF('TL04'!C:C,C49,'TL04'!J:J),
SUMIF('TL05'!C:C,C49,'TL05'!J:J),
SUMIF('TL06'!C:C,C49,'TL06'!J:J),
SUMIF('TL07'!C:C,C49,'TL07'!J:J),
SUMIF('TL08'!C:C,C49,'TL08'!J:J),
SUMIF('TL09'!C:C,C49,'TL09'!J:J),
SUMIF('TL10'!C:C,C49,'TL10'!J:J),
SUMIF('TL11'!C:C,C49,'TL11'!J:J),
SUMIF('TL12'!C:C,C49,'TL12'!J:J),
SUMIF('TL13'!C:C,C49,'TL13'!J:J),
SUMIF('TL14'!C:C,C49,'TL14'!J:J),
SUMIF('TL15'!C:C,C49,'TL15'!J:J),
SUMIF('TL16'!C:C,C49,'TL16'!J:J),
SUMIF('TL17'!C:C,C49,'TL17'!J:J),
SUMIF('TL18'!C:C,C49,'TL18'!J:J),SUMIF('TL19'!C:C,C49,'TL19'!J:J))
,0)</f>
        <v/>
      </c>
      <c r="S49" s="17">
        <f>IFERROR(__xludf.DUMMYFUNCTION("IFERROR(VLOOKUP(C49,
IMPORTRANGE(""1wULbzX32WdYsx-lj2U3uUNBBe2INVIRDtcK0d-Dvl90"",
""26-27!C:G""),
5,
FALSE),
"""")"),136.84896000000003)</f>
        <v/>
      </c>
      <c r="T49" s="9" t="n"/>
      <c r="U49" s="92">
        <f>MAX(0,R49-T49)</f>
        <v/>
      </c>
      <c r="V49" s="93">
        <f>U49*S49</f>
        <v/>
      </c>
    </row>
    <row r="50" hidden="1" ht="15.75" customHeight="1" s="297">
      <c r="A50" s="115" t="inlineStr">
        <is>
          <t>BAYER</t>
        </is>
      </c>
      <c r="B50" s="100" t="inlineStr">
        <is>
          <t>FUNGICIDA</t>
        </is>
      </c>
      <c r="C50" s="116" t="inlineStr">
        <is>
          <t>ATTILA</t>
        </is>
      </c>
      <c r="D50" s="116" t="inlineStr">
        <is>
          <t>FLUOPYRAM</t>
        </is>
      </c>
      <c r="E50" s="116" t="n">
        <v>500</v>
      </c>
      <c r="F50" s="4" t="inlineStr">
        <is>
          <t>L</t>
        </is>
      </c>
      <c r="G50" s="90">
        <f>HYPERLINK("https://www.google.com/search?q=" &amp; C50 &amp; "+bula+agrofit+pdf", "📄 Ver bula")</f>
        <v/>
      </c>
      <c r="H50" s="9">
        <f>IFERROR(__xludf.DUMMYFUNCTION("IFERROR(VLOOKUP(C50,
IMPORTRANGE(""1wULbzX32WdYsx-lj2U3uUNBBe2INVIRDtcK0d-Dvl90"",
""26-27!C:K""),
8,
FALSE),
"""")"),0.4)</f>
        <v/>
      </c>
      <c r="I50" s="117" t="inlineStr">
        <is>
          <t>4X5</t>
        </is>
      </c>
      <c r="J50" s="9">
        <f>IFERROR(SUM(
IF('TL01'!$B$3=J$3,SUMIF('TL01'!$C$10:$C$224,$C50,'TL01'!$J$10:$J$224),0),
IF('TL01'!$B$229=J$3,SUMIF('TL01'!$C$238:$C$451,$C50,'TL01'!$J$238:$J$451),0),
IF('TL02'!$B$3=J$3,SUMIF('TL02'!$C$10:$C$224,$C50,'TL02'!$J$10:$J$224),0),
IF('TL02'!$B$229=J$3,SUMIF('TL02'!$C$238:$C$451,$C50,'TL02'!$J$238:$J$451),0),
IF('TL03'!$B$3=J$3,SUMIF('TL03'!$C$10:$C$224,$C50,'TL03'!$J$10:$J$224),0),
IF('TL03'!$B$229=J$3,SUMIF('TL03'!$C$238:$C$451,$C50,'TL03'!$J$238:$J$451),0),
IF('TL04'!$B$3=J$3,SUMIF('TL04'!$C$10:$C$224,$C50,'TL04'!$J$10:$J$224),0),
IF('TL04'!$B$229=J$3,SUMIF('TL04'!$C$238:$C$451,$C50,'TL04'!$J$238:$J$451),0),
IF('TL05'!$B$3=J$3,SUMIF('TL05'!$C$10:$C$224,$C50,'TL05'!$J$10:$J$224),0),
IF('TL05'!$B$229=J$3,SUMIF('TL05'!$C$238:$C$451,$C50,'TL05'!$J$238:$J$451),0),
IF('TL06'!$B$3=J$3,SUMIF('TL06'!$C$10:$C$224,$C50,'TL06'!$J$10:$J$224),0),
IF('TL06'!$B$229=J$3,SUMIF('TL06'!$C$238:$C$451,$C50,'TL06'!$J$238:$J$451),0),
IF('TL07'!$B$3=J$3,SUMIF('TL07'!$C$10:$C$224,$C50,'TL07'!$J$10:$J$224),0),
IF('TL07'!$B$229=J$3,SUMIF('TL07'!$C$238:$C$451,$C50,'TL07'!$J$238:$J$451),0),
IF('TL08'!$B$3=J$3,SUMIF('TL08'!$C$10:$C$224,$C50,'TL08'!$J$10:$J$224),0),
IF('TL08'!$B$229=J$3,SUMIF('TL08'!$C$238:$C$451,$C50,'TL08'!$J$238:$J$451),0),
IF('TL09'!$B$3=J$3,SUMIF('TL09'!$C$10:$C$224,$C50,'TL09'!$J$10:$J$224),0),
IF('TL09'!$B$229=J$3,SUMIF('TL09'!$C$238:$C$451,$C50,'TL09'!$J$238:$J$451),0),
IF('TL10'!$B$3=J$3,SUMIF('TL10'!$C$10:$C$224,$C50,'TL10'!$J$10:$J$224),0),
IF('TL10'!$B$229=J$3,SUMIF('TL10'!$C$238:$C$451,$C50,'TL10'!$J$238:$J$451),0),
IF('TL11'!$B$3=J$3,SUMIF('TL11'!$C$10:$C$224,$C50,'TL11'!$J$10:$J$224),0),
IF('TL11'!$B$229=J$3,SUMIF('TL11'!$C$238:$C$451,$C50,'TL11'!$J$238:$J$451),0),
IF('TL12'!$B$3=J$3,SUMIF('TL12'!$C$10:$C$224,$C50,'TL12'!$J$10:$J$224),0),
IF('TL12'!$B$229=J$3,SUMIF('TL12'!$C$238:$C$451,$C50,'TL12'!$J$238:$J$451),0),
IF('TL13'!$B$3=J$3,SUMIF('TL13'!$C$10:$C$224,$C50,'TL13'!$J$10:$J$224),0),
IF('TL13'!$B$229=J$3,SUMIF('TL13'!$C$238:$C$451,$C50,'TL13'!$J$238:$J$451),0),
IF('TL14'!$B$3=J$3,SUMIF('TL14'!$C$10:$C$224,$C50,'TL14'!$J$10:$J$224),0),
IF('TL14'!$B$229=J$3,SUMIF('TL14'!$C$238:$C$451,$C50,'TL14'!$J$238:$J$451),0),
IF('TL15'!$B$3=J$3,SUMIF('TL15'!$C$10:$C$224,$C50,'TL15'!$J$10:$J$224),0),
IF('TL15'!$B$229=J$3,SUMIF('TL15'!$C$238:$C$451,$C50,'TL15'!$J$238:$J$451),0),
IF('TL16'!$B$3=J$3,SUMIF('TL16'!$C$10:$C$224,$C50,'TL16'!$J$10:$J$224),0),
IF('TL16'!$B$229=J$3,SUMIF('TL16'!$C$238:$C$451,$C50,'TL16'!$J$238:$J$451),0),
IF('TL17'!$B$3=J$3,SUMIF('TL17'!$C$10:$C$224,$C50,'TL17'!$J$10:$J$224),0),
IF('TL17'!$B$229=J$3,SUMIF('TL17'!$C$238:$C$451,$C50,'TL17'!$J$238:$J$451),0),
IF('TL18'!$B$3=J$3,SUMIF('TL18'!$C$10:$C$224,$C50,'TL18'!$J$10:$J$224),0),
IF('TL18'!$B$229=J$3,SUMIF('TL18'!$C$238:$C$451,$C50,'TL18'!$J$238:$J$451),0),
IF('TL19'!$B$3=J$3,SUMIF('TL19'!$C$10:$C$224,$C50,'TL19'!$J$10:$J$224),0),
IF('TL19'!$B$229=J$3,SUMIF('TL19'!$C$238:$C$451,$C50,'TL19'!$J$238:$J$451),0)
),0)</f>
        <v/>
      </c>
      <c r="K50" s="9">
        <f>IFERROR(SUM(
IF('TL01'!$B$3=K$3,SUMIF('TL01'!$C$10:$C$224,$C50,'TL01'!$J$10:$J$224),0),
IF('TL01'!$B$229=K$3,SUMIF('TL01'!$C$238:$C$451,$C50,'TL01'!$J$238:$J$451),0),
IF('TL02'!$B$3=K$3,SUMIF('TL02'!$C$10:$C$224,$C50,'TL02'!$J$10:$J$224),0),
IF('TL02'!$B$229=K$3,SUMIF('TL02'!$C$238:$C$451,$C50,'TL02'!$J$238:$J$451),0),
IF('TL03'!$B$3=K$3,SUMIF('TL03'!$C$10:$C$224,$C50,'TL03'!$J$10:$J$224),0),
IF('TL03'!$B$229=K$3,SUMIF('TL03'!$C$238:$C$451,$C50,'TL03'!$J$238:$J$451),0),
IF('TL04'!$B$3=K$3,SUMIF('TL04'!$C$10:$C$224,$C50,'TL04'!$J$10:$J$224),0),
IF('TL04'!$B$229=K$3,SUMIF('TL04'!$C$238:$C$451,$C50,'TL04'!$J$238:$J$451),0),
IF('TL05'!$B$3=K$3,SUMIF('TL05'!$C$10:$C$224,$C50,'TL05'!$J$10:$J$224),0),
IF('TL05'!$B$229=K$3,SUMIF('TL05'!$C$238:$C$451,$C50,'TL05'!$J$238:$J$451),0),
IF('TL06'!$B$3=K$3,SUMIF('TL06'!$C$10:$C$224,$C50,'TL06'!$J$10:$J$224),0),
IF('TL06'!$B$229=K$3,SUMIF('TL06'!$C$238:$C$451,$C50,'TL06'!$J$238:$J$451),0),
IF('TL07'!$B$3=K$3,SUMIF('TL07'!$C$10:$C$224,$C50,'TL07'!$J$10:$J$224),0),
IF('TL07'!$B$229=K$3,SUMIF('TL07'!$C$238:$C$451,$C50,'TL07'!$J$238:$J$451),0),
IF('TL08'!$B$3=K$3,SUMIF('TL08'!$C$10:$C$224,$C50,'TL08'!$J$10:$J$224),0),
IF('TL08'!$B$229=K$3,SUMIF('TL08'!$C$238:$C$451,$C50,'TL08'!$J$238:$J$451),0),
IF('TL09'!$B$3=K$3,SUMIF('TL09'!$C$10:$C$224,$C50,'TL09'!$J$10:$J$224),0),
IF('TL09'!$B$229=K$3,SUMIF('TL09'!$C$238:$C$451,$C50,'TL09'!$J$238:$J$451),0),
IF('TL10'!$B$3=K$3,SUMIF('TL10'!$C$10:$C$224,$C50,'TL10'!$J$10:$J$224),0),
IF('TL10'!$B$229=K$3,SUMIF('TL10'!$C$238:$C$451,$C50,'TL10'!$J$238:$J$451),0),
IF('TL11'!$B$3=K$3,SUMIF('TL11'!$C$10:$C$224,$C50,'TL11'!$J$10:$J$224),0),
IF('TL11'!$B$229=K$3,SUMIF('TL11'!$C$238:$C$451,$C50,'TL11'!$J$238:$J$451),0),
IF('TL12'!$B$3=K$3,SUMIF('TL12'!$C$10:$C$224,$C50,'TL12'!$J$10:$J$224),0),
IF('TL12'!$B$229=K$3,SUMIF('TL12'!$C$238:$C$451,$C50,'TL12'!$J$238:$J$451),0),
IF('TL13'!$B$3=K$3,SUMIF('TL13'!$C$10:$C$224,$C50,'TL13'!$J$10:$J$224),0),
IF('TL13'!$B$229=K$3,SUMIF('TL13'!$C$238:$C$451,$C50,'TL13'!$J$238:$J$451),0),
IF('TL14'!$B$3=K$3,SUMIF('TL14'!$C$10:$C$224,$C50,'TL14'!$J$10:$J$224),0),
IF('TL14'!$B$229=K$3,SUMIF('TL14'!$C$238:$C$451,$C50,'TL14'!$J$238:$J$451),0),
IF('TL15'!$B$3=K$3,SUMIF('TL15'!$C$10:$C$224,$C50,'TL15'!$J$10:$J$224),0),
IF('TL15'!$B$229=K$3,SUMIF('TL15'!$C$238:$C$451,$C50,'TL15'!$J$238:$J$451),0),
IF('TL16'!$B$3=K$3,SUMIF('TL16'!$C$10:$C$224,$C50,'TL16'!$J$10:$J$224),0),
IF('TL16'!$B$229=K$3,SUMIF('TL16'!$C$238:$C$451,$C50,'TL16'!$J$238:$J$451),0),
IF('TL17'!$B$3=K$3,SUMIF('TL17'!$C$10:$C$224,$C50,'TL17'!$J$10:$J$224),0),
IF('TL17'!$B$229=K$3,SUMIF('TL17'!$C$238:$C$451,$C50,'TL17'!$J$238:$J$451),0),
IF('TL18'!$B$3=K$3,SUMIF('TL18'!$C$10:$C$224,$C50,'TL18'!$J$10:$J$224),0),
IF('TL18'!$B$229=K$3,SUMIF('TL18'!$C$238:$C$451,$C50,'TL18'!$J$238:$J$451),0),
IF('TL19'!$B$3=K$3,SUMIF('TL19'!$C$10:$C$224,$C50,'TL19'!$J$10:$J$224),0),
IF('TL19'!$B$229=K$3,SUMIF('TL19'!$C$238:$C$451,$C50,'TL19'!$J$238:$J$451),0)
),0)</f>
        <v/>
      </c>
      <c r="L50" s="9">
        <f>IFERROR(SUM(
IF('TL01'!$B$3=L$3,SUMIF('TL01'!$C$10:$C$224,$C50,'TL01'!$J$10:$J$224),0),
IF('TL01'!$B$229=L$3,SUMIF('TL01'!$C$238:$C$451,$C50,'TL01'!$J$238:$J$451),0),
IF('TL02'!$B$3=L$3,SUMIF('TL02'!$C$10:$C$224,$C50,'TL02'!$J$10:$J$224),0),
IF('TL02'!$B$229=L$3,SUMIF('TL02'!$C$238:$C$451,$C50,'TL02'!$J$238:$J$451),0),
IF('TL03'!$B$3=L$3,SUMIF('TL03'!$C$10:$C$224,$C50,'TL03'!$J$10:$J$224),0),
IF('TL03'!$B$229=L$3,SUMIF('TL03'!$C$238:$C$451,$C50,'TL03'!$J$238:$J$451),0),
IF('TL04'!$B$3=L$3,SUMIF('TL04'!$C$10:$C$224,$C50,'TL04'!$J$10:$J$224),0),
IF('TL04'!$B$229=L$3,SUMIF('TL04'!$C$238:$C$451,$C50,'TL04'!$J$238:$J$451),0),
IF('TL05'!$B$3=L$3,SUMIF('TL05'!$C$10:$C$224,$C50,'TL05'!$J$10:$J$224),0),
IF('TL05'!$B$229=L$3,SUMIF('TL05'!$C$238:$C$451,$C50,'TL05'!$J$238:$J$451),0),
IF('TL06'!$B$3=L$3,SUMIF('TL06'!$C$10:$C$224,$C50,'TL06'!$J$10:$J$224),0),
IF('TL06'!$B$229=L$3,SUMIF('TL06'!$C$238:$C$451,$C50,'TL06'!$J$238:$J$451),0),
IF('TL07'!$B$3=L$3,SUMIF('TL07'!$C$10:$C$224,$C50,'TL07'!$J$10:$J$224),0),
IF('TL07'!$B$229=L$3,SUMIF('TL07'!$C$238:$C$451,$C50,'TL07'!$J$238:$J$451),0),
IF('TL08'!$B$3=L$3,SUMIF('TL08'!$C$10:$C$224,$C50,'TL08'!$J$10:$J$224),0),
IF('TL08'!$B$229=L$3,SUMIF('TL08'!$C$238:$C$451,$C50,'TL08'!$J$238:$J$451),0),
IF('TL09'!$B$3=L$3,SUMIF('TL09'!$C$10:$C$224,$C50,'TL09'!$J$10:$J$224),0),
IF('TL09'!$B$229=L$3,SUMIF('TL09'!$C$238:$C$451,$C50,'TL09'!$J$238:$J$451),0),
IF('TL10'!$B$3=L$3,SUMIF('TL10'!$C$10:$C$224,$C50,'TL10'!$J$10:$J$224),0),
IF('TL10'!$B$229=L$3,SUMIF('TL10'!$C$238:$C$451,$C50,'TL10'!$J$238:$J$451),0),
IF('TL11'!$B$3=L$3,SUMIF('TL11'!$C$10:$C$224,$C50,'TL11'!$J$10:$J$224),0),
IF('TL11'!$B$229=L$3,SUMIF('TL11'!$C$238:$C$451,$C50,'TL11'!$J$238:$J$451),0),
IF('TL12'!$B$3=L$3,SUMIF('TL12'!$C$10:$C$224,$C50,'TL12'!$J$10:$J$224),0),
IF('TL12'!$B$229=L$3,SUMIF('TL12'!$C$238:$C$451,$C50,'TL12'!$J$238:$J$451),0),
IF('TL13'!$B$3=L$3,SUMIF('TL13'!$C$10:$C$224,$C50,'TL13'!$J$10:$J$224),0),
IF('TL13'!$B$229=L$3,SUMIF('TL13'!$C$238:$C$451,$C50,'TL13'!$J$238:$J$451),0),
IF('TL14'!$B$3=L$3,SUMIF('TL14'!$C$10:$C$224,$C50,'TL14'!$J$10:$J$224),0),
IF('TL14'!$B$229=L$3,SUMIF('TL14'!$C$238:$C$451,$C50,'TL14'!$J$238:$J$451),0),
IF('TL15'!$B$3=L$3,SUMIF('TL15'!$C$10:$C$224,$C50,'TL15'!$J$10:$J$224),0),
IF('TL15'!$B$229=L$3,SUMIF('TL15'!$C$238:$C$451,$C50,'TL15'!$J$238:$J$451),0),
IF('TL16'!$B$3=L$3,SUMIF('TL16'!$C$10:$C$224,$C50,'TL16'!$J$10:$J$224),0),
IF('TL16'!$B$229=L$3,SUMIF('TL16'!$C$238:$C$451,$C50,'TL16'!$J$238:$J$451),0),
IF('TL17'!$B$3=L$3,SUMIF('TL17'!$C$10:$C$224,$C50,'TL17'!$J$10:$J$224),0),
IF('TL17'!$B$229=L$3,SUMIF('TL17'!$C$238:$C$451,$C50,'TL17'!$J$238:$J$451),0),
IF('TL18'!$B$3=L$3,SUMIF('TL18'!$C$10:$C$224,$C50,'TL18'!$J$10:$J$224),0),
IF('TL18'!$B$229=L$3,SUMIF('TL18'!$C$238:$C$451,$C50,'TL18'!$J$238:$J$451),0),
IF('TL19'!$B$3=L$3,SUMIF('TL19'!$C$10:$C$224,$C50,'TL19'!$J$10:$J$224),0),
IF('TL19'!$B$229=L$3,SUMIF('TL19'!$C$238:$C$451,$C50,'TL19'!$J$238:$J$451),0)
),0)</f>
        <v/>
      </c>
      <c r="M50" s="9">
        <f>IFERROR(SUM(
IF('TL01'!$B$3=M$3,SUMIF('TL01'!$C$10:$C$224,$C50,'TL01'!$J$10:$J$224),0),
IF('TL01'!$B$229=M$3,SUMIF('TL01'!$C$238:$C$451,$C50,'TL01'!$J$238:$J$451),0),
IF('TL02'!$B$3=M$3,SUMIF('TL02'!$C$10:$C$224,$C50,'TL02'!$J$10:$J$224),0),
IF('TL02'!$B$229=M$3,SUMIF('TL02'!$C$238:$C$451,$C50,'TL02'!$J$238:$J$451),0),
IF('TL03'!$B$3=M$3,SUMIF('TL03'!$C$10:$C$224,$C50,'TL03'!$J$10:$J$224),0),
IF('TL03'!$B$229=M$3,SUMIF('TL03'!$C$238:$C$451,$C50,'TL03'!$J$238:$J$451),0),
IF('TL04'!$B$3=M$3,SUMIF('TL04'!$C$10:$C$224,$C50,'TL04'!$J$10:$J$224),0),
IF('TL04'!$B$229=M$3,SUMIF('TL04'!$C$238:$C$451,$C50,'TL04'!$J$238:$J$451),0),
IF('TL05'!$B$3=M$3,SUMIF('TL05'!$C$10:$C$224,$C50,'TL05'!$J$10:$J$224),0),
IF('TL05'!$B$229=M$3,SUMIF('TL05'!$C$238:$C$451,$C50,'TL05'!$J$238:$J$451),0),
IF('TL06'!$B$3=M$3,SUMIF('TL06'!$C$10:$C$224,$C50,'TL06'!$J$10:$J$224),0),
IF('TL06'!$B$229=M$3,SUMIF('TL06'!$C$238:$C$451,$C50,'TL06'!$J$238:$J$451),0),
IF('TL07'!$B$3=M$3,SUMIF('TL07'!$C$10:$C$224,$C50,'TL07'!$J$10:$J$224),0),
IF('TL07'!$B$229=M$3,SUMIF('TL07'!$C$238:$C$451,$C50,'TL07'!$J$238:$J$451),0),
IF('TL08'!$B$3=M$3,SUMIF('TL08'!$C$10:$C$224,$C50,'TL08'!$J$10:$J$224),0),
IF('TL08'!$B$229=M$3,SUMIF('TL08'!$C$238:$C$451,$C50,'TL08'!$J$238:$J$451),0),
IF('TL09'!$B$3=M$3,SUMIF('TL09'!$C$10:$C$224,$C50,'TL09'!$J$10:$J$224),0),
IF('TL09'!$B$229=M$3,SUMIF('TL09'!$C$238:$C$451,$C50,'TL09'!$J$238:$J$451),0),
IF('TL10'!$B$3=M$3,SUMIF('TL10'!$C$10:$C$224,$C50,'TL10'!$J$10:$J$224),0),
IF('TL10'!$B$229=M$3,SUMIF('TL10'!$C$238:$C$451,$C50,'TL10'!$J$238:$J$451),0),
IF('TL11'!$B$3=M$3,SUMIF('TL11'!$C$10:$C$224,$C50,'TL11'!$J$10:$J$224),0),
IF('TL11'!$B$229=M$3,SUMIF('TL11'!$C$238:$C$451,$C50,'TL11'!$J$238:$J$451),0),
IF('TL12'!$B$3=M$3,SUMIF('TL12'!$C$10:$C$224,$C50,'TL12'!$J$10:$J$224),0),
IF('TL12'!$B$229=M$3,SUMIF('TL12'!$C$238:$C$451,$C50,'TL12'!$J$238:$J$451),0),
IF('TL13'!$B$3=M$3,SUMIF('TL13'!$C$10:$C$224,$C50,'TL13'!$J$10:$J$224),0),
IF('TL13'!$B$229=M$3,SUMIF('TL13'!$C$238:$C$451,$C50,'TL13'!$J$238:$J$451),0),
IF('TL14'!$B$3=M$3,SUMIF('TL14'!$C$10:$C$224,$C50,'TL14'!$J$10:$J$224),0),
IF('TL14'!$B$229=M$3,SUMIF('TL14'!$C$238:$C$451,$C50,'TL14'!$J$238:$J$451),0),
IF('TL15'!$B$3=M$3,SUMIF('TL15'!$C$10:$C$224,$C50,'TL15'!$J$10:$J$224),0),
IF('TL15'!$B$229=M$3,SUMIF('TL15'!$C$238:$C$451,$C50,'TL15'!$J$238:$J$451),0),
IF('TL16'!$B$3=M$3,SUMIF('TL16'!$C$10:$C$224,$C50,'TL16'!$J$10:$J$224),0),
IF('TL16'!$B$229=M$3,SUMIF('TL16'!$C$238:$C$451,$C50,'TL16'!$J$238:$J$451),0),
IF('TL17'!$B$3=M$3,SUMIF('TL17'!$C$10:$C$224,$C50,'TL17'!$J$10:$J$224),0),
IF('TL17'!$B$229=M$3,SUMIF('TL17'!$C$238:$C$451,$C50,'TL17'!$J$238:$J$451),0),
IF('TL18'!$B$3=M$3,SUMIF('TL18'!$C$10:$C$224,$C50,'TL18'!$J$10:$J$224),0),
IF('TL18'!$B$229=M$3,SUMIF('TL18'!$C$238:$C$451,$C50,'TL18'!$J$238:$J$451),0),
IF('TL19'!$B$3=M$3,SUMIF('TL19'!$C$10:$C$224,$C50,'TL19'!$J$10:$J$224),0),
IF('TL19'!$B$229=M$3,SUMIF('TL19'!$C$238:$C$451,$C50,'TL19'!$J$238:$J$451),0)
),0)</f>
        <v/>
      </c>
      <c r="N50" s="9">
        <f>IFERROR(SUM(
IF('TL01'!$B$3=N$3,SUMIF('TL01'!$C$10:$C$224,$C50,'TL01'!$J$10:$J$224),0),
IF('TL01'!$B$229=N$3,SUMIF('TL01'!$C$238:$C$451,$C50,'TL01'!$J$238:$J$451),0),
IF('TL02'!$B$3=N$3,SUMIF('TL02'!$C$10:$C$224,$C50,'TL02'!$J$10:$J$224),0),
IF('TL02'!$B$229=N$3,SUMIF('TL02'!$C$238:$C$451,$C50,'TL02'!$J$238:$J$451),0),
IF('TL03'!$B$3=N$3,SUMIF('TL03'!$C$10:$C$224,$C50,'TL03'!$J$10:$J$224),0),
IF('TL03'!$B$229=N$3,SUMIF('TL03'!$C$238:$C$451,$C50,'TL03'!$J$238:$J$451),0),
IF('TL04'!$B$3=N$3,SUMIF('TL04'!$C$10:$C$224,$C50,'TL04'!$J$10:$J$224),0),
IF('TL04'!$B$229=N$3,SUMIF('TL04'!$C$238:$C$451,$C50,'TL04'!$J$238:$J$451),0),
IF('TL05'!$B$3=N$3,SUMIF('TL05'!$C$10:$C$224,$C50,'TL05'!$J$10:$J$224),0),
IF('TL05'!$B$229=N$3,SUMIF('TL05'!$C$238:$C$451,$C50,'TL05'!$J$238:$J$451),0),
IF('TL06'!$B$3=N$3,SUMIF('TL06'!$C$10:$C$224,$C50,'TL06'!$J$10:$J$224),0),
IF('TL06'!$B$229=N$3,SUMIF('TL06'!$C$238:$C$451,$C50,'TL06'!$J$238:$J$451),0),
IF('TL07'!$B$3=N$3,SUMIF('TL07'!$C$10:$C$224,$C50,'TL07'!$J$10:$J$224),0),
IF('TL07'!$B$229=N$3,SUMIF('TL07'!$C$238:$C$451,$C50,'TL07'!$J$238:$J$451),0),
IF('TL08'!$B$3=N$3,SUMIF('TL08'!$C$10:$C$224,$C50,'TL08'!$J$10:$J$224),0),
IF('TL08'!$B$229=N$3,SUMIF('TL08'!$C$238:$C$451,$C50,'TL08'!$J$238:$J$451),0),
IF('TL09'!$B$3=N$3,SUMIF('TL09'!$C$10:$C$224,$C50,'TL09'!$J$10:$J$224),0),
IF('TL09'!$B$229=N$3,SUMIF('TL09'!$C$238:$C$451,$C50,'TL09'!$J$238:$J$451),0),
IF('TL10'!$B$3=N$3,SUMIF('TL10'!$C$10:$C$224,$C50,'TL10'!$J$10:$J$224),0),
IF('TL10'!$B$229=N$3,SUMIF('TL10'!$C$238:$C$451,$C50,'TL10'!$J$238:$J$451),0),
IF('TL11'!$B$3=N$3,SUMIF('TL11'!$C$10:$C$224,$C50,'TL11'!$J$10:$J$224),0),
IF('TL11'!$B$229=N$3,SUMIF('TL11'!$C$238:$C$451,$C50,'TL11'!$J$238:$J$451),0),
IF('TL12'!$B$3=N$3,SUMIF('TL12'!$C$10:$C$224,$C50,'TL12'!$J$10:$J$224),0),
IF('TL12'!$B$229=N$3,SUMIF('TL12'!$C$238:$C$451,$C50,'TL12'!$J$238:$J$451),0),
IF('TL13'!$B$3=N$3,SUMIF('TL13'!$C$10:$C$224,$C50,'TL13'!$J$10:$J$224),0),
IF('TL13'!$B$229=N$3,SUMIF('TL13'!$C$238:$C$451,$C50,'TL13'!$J$238:$J$451),0),
IF('TL14'!$B$3=N$3,SUMIF('TL14'!$C$10:$C$224,$C50,'TL14'!$J$10:$J$224),0),
IF('TL14'!$B$229=N$3,SUMIF('TL14'!$C$238:$C$451,$C50,'TL14'!$J$238:$J$451),0),
IF('TL15'!$B$3=N$3,SUMIF('TL15'!$C$10:$C$224,$C50,'TL15'!$J$10:$J$224),0),
IF('TL15'!$B$229=N$3,SUMIF('TL15'!$C$238:$C$451,$C50,'TL15'!$J$238:$J$451),0),
IF('TL16'!$B$3=N$3,SUMIF('TL16'!$C$10:$C$224,$C50,'TL16'!$J$10:$J$224),0),
IF('TL16'!$B$229=N$3,SUMIF('TL16'!$C$238:$C$451,$C50,'TL16'!$J$238:$J$451),0),
IF('TL17'!$B$3=N$3,SUMIF('TL17'!$C$10:$C$224,$C50,'TL17'!$J$10:$J$224),0),
IF('TL17'!$B$229=N$3,SUMIF('TL17'!$C$238:$C$451,$C50,'TL17'!$J$238:$J$451),0),
IF('TL18'!$B$3=N$3,SUMIF('TL18'!$C$10:$C$224,$C50,'TL18'!$J$10:$J$224),0),
IF('TL18'!$B$229=N$3,SUMIF('TL18'!$C$238:$C$451,$C50,'TL18'!$J$238:$J$451),0),
IF('TL19'!$B$3=N$3,SUMIF('TL19'!$C$10:$C$224,$C50,'TL19'!$J$10:$J$224),0),
IF('TL19'!$B$229=N$3,SUMIF('TL19'!$C$238:$C$451,$C50,'TL19'!$J$238:$J$451),0)
),0)</f>
        <v/>
      </c>
      <c r="O50" s="9">
        <f>IFERROR(SUM(
IF('TL01'!$B$3=O$3,SUMIF('TL01'!$C$10:$C$224,$C50,'TL01'!$J$10:$J$224),0),
IF('TL01'!$B$229=O$3,SUMIF('TL01'!$C$238:$C$451,$C50,'TL01'!$J$238:$J$451),0),
IF('TL02'!$B$3=O$3,SUMIF('TL02'!$C$10:$C$224,$C50,'TL02'!$J$10:$J$224),0),
IF('TL02'!$B$229=O$3,SUMIF('TL02'!$C$238:$C$451,$C50,'TL02'!$J$238:$J$451),0),
IF('TL03'!$B$3=O$3,SUMIF('TL03'!$C$10:$C$224,$C50,'TL03'!$J$10:$J$224),0),
IF('TL03'!$B$229=O$3,SUMIF('TL03'!$C$238:$C$451,$C50,'TL03'!$J$238:$J$451),0),
IF('TL04'!$B$3=O$3,SUMIF('TL04'!$C$10:$C$224,$C50,'TL04'!$J$10:$J$224),0),
IF('TL04'!$B$229=O$3,SUMIF('TL04'!$C$238:$C$451,$C50,'TL04'!$J$238:$J$451),0),
IF('TL05'!$B$3=O$3,SUMIF('TL05'!$C$10:$C$224,$C50,'TL05'!$J$10:$J$224),0),
IF('TL05'!$B$229=O$3,SUMIF('TL05'!$C$238:$C$451,$C50,'TL05'!$J$238:$J$451),0),
IF('TL06'!$B$3=O$3,SUMIF('TL06'!$C$10:$C$224,$C50,'TL06'!$J$10:$J$224),0),
IF('TL06'!$B$229=O$3,SUMIF('TL06'!$C$238:$C$451,$C50,'TL06'!$J$238:$J$451),0),
IF('TL07'!$B$3=O$3,SUMIF('TL07'!$C$10:$C$224,$C50,'TL07'!$J$10:$J$224),0),
IF('TL07'!$B$229=O$3,SUMIF('TL07'!$C$238:$C$451,$C50,'TL07'!$J$238:$J$451),0),
IF('TL08'!$B$3=O$3,SUMIF('TL08'!$C$10:$C$224,$C50,'TL08'!$J$10:$J$224),0),
IF('TL08'!$B$229=O$3,SUMIF('TL08'!$C$238:$C$451,$C50,'TL08'!$J$238:$J$451),0),
IF('TL09'!$B$3=O$3,SUMIF('TL09'!$C$10:$C$224,$C50,'TL09'!$J$10:$J$224),0),
IF('TL09'!$B$229=O$3,SUMIF('TL09'!$C$238:$C$451,$C50,'TL09'!$J$238:$J$451),0),
IF('TL10'!$B$3=O$3,SUMIF('TL10'!$C$10:$C$224,$C50,'TL10'!$J$10:$J$224),0),
IF('TL10'!$B$229=O$3,SUMIF('TL10'!$C$238:$C$451,$C50,'TL10'!$J$238:$J$451),0),
IF('TL11'!$B$3=O$3,SUMIF('TL11'!$C$10:$C$224,$C50,'TL11'!$J$10:$J$224),0),
IF('TL11'!$B$229=O$3,SUMIF('TL11'!$C$238:$C$451,$C50,'TL11'!$J$238:$J$451),0),
IF('TL12'!$B$3=O$3,SUMIF('TL12'!$C$10:$C$224,$C50,'TL12'!$J$10:$J$224),0),
IF('TL12'!$B$229=O$3,SUMIF('TL12'!$C$238:$C$451,$C50,'TL12'!$J$238:$J$451),0),
IF('TL13'!$B$3=O$3,SUMIF('TL13'!$C$10:$C$224,$C50,'TL13'!$J$10:$J$224),0),
IF('TL13'!$B$229=O$3,SUMIF('TL13'!$C$238:$C$451,$C50,'TL13'!$J$238:$J$451),0),
IF('TL14'!$B$3=O$3,SUMIF('TL14'!$C$10:$C$224,$C50,'TL14'!$J$10:$J$224),0),
IF('TL14'!$B$229=O$3,SUMIF('TL14'!$C$238:$C$451,$C50,'TL14'!$J$238:$J$451),0),
IF('TL15'!$B$3=O$3,SUMIF('TL15'!$C$10:$C$224,$C50,'TL15'!$J$10:$J$224),0),
IF('TL15'!$B$229=O$3,SUMIF('TL15'!$C$238:$C$451,$C50,'TL15'!$J$238:$J$451),0),
IF('TL16'!$B$3=O$3,SUMIF('TL16'!$C$10:$C$224,$C50,'TL16'!$J$10:$J$224),0),
IF('TL16'!$B$229=O$3,SUMIF('TL16'!$C$238:$C$451,$C50,'TL16'!$J$238:$J$451),0),
IF('TL17'!$B$3=O$3,SUMIF('TL17'!$C$10:$C$224,$C50,'TL17'!$J$10:$J$224),0),
IF('TL17'!$B$229=O$3,SUMIF('TL17'!$C$238:$C$451,$C50,'TL17'!$J$238:$J$451),0),
IF('TL18'!$B$3=O$3,SUMIF('TL18'!$C$10:$C$224,$C50,'TL18'!$J$10:$J$224),0),
IF('TL18'!$B$229=O$3,SUMIF('TL18'!$C$238:$C$451,$C50,'TL18'!$J$238:$J$451),0),
IF('TL19'!$B$3=O$3,SUMIF('TL19'!$C$10:$C$224,$C50,'TL19'!$J$10:$J$224),0),
IF('TL19'!$B$229=O$3,SUMIF('TL19'!$C$238:$C$451,$C50,'TL19'!$J$238:$J$451),0)
),0)</f>
        <v/>
      </c>
      <c r="P50" s="9">
        <f>IFERROR(SUM(
IF('TL01'!$B$3=P$3,SUMIF('TL01'!$C$10:$C$224,$C50,'TL01'!$J$10:$J$224),0),
IF('TL01'!$B$229=P$3,SUMIF('TL01'!$C$238:$C$451,$C50,'TL01'!$J$238:$J$451),0),
IF('TL02'!$B$3=P$3,SUMIF('TL02'!$C$10:$C$224,$C50,'TL02'!$J$10:$J$224),0),
IF('TL02'!$B$229=P$3,SUMIF('TL02'!$C$238:$C$451,$C50,'TL02'!$J$238:$J$451),0),
IF('TL03'!$B$3=P$3,SUMIF('TL03'!$C$10:$C$224,$C50,'TL03'!$J$10:$J$224),0),
IF('TL03'!$B$229=P$3,SUMIF('TL03'!$C$238:$C$451,$C50,'TL03'!$J$238:$J$451),0),
IF('TL04'!$B$3=P$3,SUMIF('TL04'!$C$10:$C$224,$C50,'TL04'!$J$10:$J$224),0),
IF('TL04'!$B$229=P$3,SUMIF('TL04'!$C$238:$C$451,$C50,'TL04'!$J$238:$J$451),0),
IF('TL05'!$B$3=P$3,SUMIF('TL05'!$C$10:$C$224,$C50,'TL05'!$J$10:$J$224),0),
IF('TL05'!$B$229=P$3,SUMIF('TL05'!$C$238:$C$451,$C50,'TL05'!$J$238:$J$451),0),
IF('TL06'!$B$3=P$3,SUMIF('TL06'!$C$10:$C$224,$C50,'TL06'!$J$10:$J$224),0),
IF('TL06'!$B$229=P$3,SUMIF('TL06'!$C$238:$C$451,$C50,'TL06'!$J$238:$J$451),0),
IF('TL07'!$B$3=P$3,SUMIF('TL07'!$C$10:$C$224,$C50,'TL07'!$J$10:$J$224),0),
IF('TL07'!$B$229=P$3,SUMIF('TL07'!$C$238:$C$451,$C50,'TL07'!$J$238:$J$451),0),
IF('TL08'!$B$3=P$3,SUMIF('TL08'!$C$10:$C$224,$C50,'TL08'!$J$10:$J$224),0),
IF('TL08'!$B$229=P$3,SUMIF('TL08'!$C$238:$C$451,$C50,'TL08'!$J$238:$J$451),0),
IF('TL09'!$B$3=P$3,SUMIF('TL09'!$C$10:$C$224,$C50,'TL09'!$J$10:$J$224),0),
IF('TL09'!$B$229=P$3,SUMIF('TL09'!$C$238:$C$451,$C50,'TL09'!$J$238:$J$451),0),
IF('TL10'!$B$3=P$3,SUMIF('TL10'!$C$10:$C$224,$C50,'TL10'!$J$10:$J$224),0),
IF('TL10'!$B$229=P$3,SUMIF('TL10'!$C$238:$C$451,$C50,'TL10'!$J$238:$J$451),0),
IF('TL11'!$B$3=P$3,SUMIF('TL11'!$C$10:$C$224,$C50,'TL11'!$J$10:$J$224),0),
IF('TL11'!$B$229=P$3,SUMIF('TL11'!$C$238:$C$451,$C50,'TL11'!$J$238:$J$451),0),
IF('TL12'!$B$3=P$3,SUMIF('TL12'!$C$10:$C$224,$C50,'TL12'!$J$10:$J$224),0),
IF('TL12'!$B$229=P$3,SUMIF('TL12'!$C$238:$C$451,$C50,'TL12'!$J$238:$J$451),0),
IF('TL13'!$B$3=P$3,SUMIF('TL13'!$C$10:$C$224,$C50,'TL13'!$J$10:$J$224),0),
IF('TL13'!$B$229=P$3,SUMIF('TL13'!$C$238:$C$451,$C50,'TL13'!$J$238:$J$451),0),
IF('TL14'!$B$3=P$3,SUMIF('TL14'!$C$10:$C$224,$C50,'TL14'!$J$10:$J$224),0),
IF('TL14'!$B$229=P$3,SUMIF('TL14'!$C$238:$C$451,$C50,'TL14'!$J$238:$J$451),0),
IF('TL15'!$B$3=P$3,SUMIF('TL15'!$C$10:$C$224,$C50,'TL15'!$J$10:$J$224),0),
IF('TL15'!$B$229=P$3,SUMIF('TL15'!$C$238:$C$451,$C50,'TL15'!$J$238:$J$451),0),
IF('TL16'!$B$3=P$3,SUMIF('TL16'!$C$10:$C$224,$C50,'TL16'!$J$10:$J$224),0),
IF('TL16'!$B$229=P$3,SUMIF('TL16'!$C$238:$C$451,$C50,'TL16'!$J$238:$J$451),0),
IF('TL17'!$B$3=P$3,SUMIF('TL17'!$C$10:$C$224,$C50,'TL17'!$J$10:$J$224),0),
IF('TL17'!$B$229=P$3,SUMIF('TL17'!$C$238:$C$451,$C50,'TL17'!$J$238:$J$451),0),
IF('TL18'!$B$3=P$3,SUMIF('TL18'!$C$10:$C$224,$C50,'TL18'!$J$10:$J$224),0),
IF('TL18'!$B$229=P$3,SUMIF('TL18'!$C$238:$C$451,$C50,'TL18'!$J$238:$J$451),0),
IF('TL19'!$B$3=P$3,SUMIF('TL19'!$C$10:$C$224,$C50,'TL19'!$J$10:$J$224),0),
IF('TL19'!$B$229=P$3,SUMIF('TL19'!$C$238:$C$451,$C50,'TL19'!$J$238:$J$451),0)
),0)</f>
        <v/>
      </c>
      <c r="Q50" s="9">
        <f>IFERROR(SUM(
IF('TL01'!$B$3=Q$3,SUMIF('TL01'!$C$10:$C$224,$C50,'TL01'!$J$10:$J$224),0),
IF('TL01'!$B$229=Q$3,SUMIF('TL01'!$C$238:$C$451,$C50,'TL01'!$J$238:$J$451),0),
IF('TL02'!$B$3=Q$3,SUMIF('TL02'!$C$10:$C$224,$C50,'TL02'!$J$10:$J$224),0),
IF('TL02'!$B$229=Q$3,SUMIF('TL02'!$C$238:$C$451,$C50,'TL02'!$J$238:$J$451),0),
IF('TL03'!$B$3=Q$3,SUMIF('TL03'!$C$10:$C$224,$C50,'TL03'!$J$10:$J$224),0),
IF('TL03'!$B$229=Q$3,SUMIF('TL03'!$C$238:$C$451,$C50,'TL03'!$J$238:$J$451),0),
IF('TL04'!$B$3=Q$3,SUMIF('TL04'!$C$10:$C$224,$C50,'TL04'!$J$10:$J$224),0),
IF('TL04'!$B$229=Q$3,SUMIF('TL04'!$C$238:$C$451,$C50,'TL04'!$J$238:$J$451),0),
IF('TL05'!$B$3=Q$3,SUMIF('TL05'!$C$10:$C$224,$C50,'TL05'!$J$10:$J$224),0),
IF('TL05'!$B$229=Q$3,SUMIF('TL05'!$C$238:$C$451,$C50,'TL05'!$J$238:$J$451),0),
IF('TL06'!$B$3=Q$3,SUMIF('TL06'!$C$10:$C$224,$C50,'TL06'!$J$10:$J$224),0),
IF('TL06'!$B$229=Q$3,SUMIF('TL06'!$C$238:$C$451,$C50,'TL06'!$J$238:$J$451),0),
IF('TL07'!$B$3=Q$3,SUMIF('TL07'!$C$10:$C$224,$C50,'TL07'!$J$10:$J$224),0),
IF('TL07'!$B$229=Q$3,SUMIF('TL07'!$C$238:$C$451,$C50,'TL07'!$J$238:$J$451),0),
IF('TL08'!$B$3=Q$3,SUMIF('TL08'!$C$10:$C$224,$C50,'TL08'!$J$10:$J$224),0),
IF('TL08'!$B$229=Q$3,SUMIF('TL08'!$C$238:$C$451,$C50,'TL08'!$J$238:$J$451),0),
IF('TL09'!$B$3=Q$3,SUMIF('TL09'!$C$10:$C$224,$C50,'TL09'!$J$10:$J$224),0),
IF('TL09'!$B$229=Q$3,SUMIF('TL09'!$C$238:$C$451,$C50,'TL09'!$J$238:$J$451),0),
IF('TL10'!$B$3=Q$3,SUMIF('TL10'!$C$10:$C$224,$C50,'TL10'!$J$10:$J$224),0),
IF('TL10'!$B$229=Q$3,SUMIF('TL10'!$C$238:$C$451,$C50,'TL10'!$J$238:$J$451),0),
IF('TL11'!$B$3=Q$3,SUMIF('TL11'!$C$10:$C$224,$C50,'TL11'!$J$10:$J$224),0),
IF('TL11'!$B$229=Q$3,SUMIF('TL11'!$C$238:$C$451,$C50,'TL11'!$J$238:$J$451),0),
IF('TL12'!$B$3=Q$3,SUMIF('TL12'!$C$10:$C$224,$C50,'TL12'!$J$10:$J$224),0),
IF('TL12'!$B$229=Q$3,SUMIF('TL12'!$C$238:$C$451,$C50,'TL12'!$J$238:$J$451),0),
IF('TL13'!$B$3=Q$3,SUMIF('TL13'!$C$10:$C$224,$C50,'TL13'!$J$10:$J$224),0),
IF('TL13'!$B$229=Q$3,SUMIF('TL13'!$C$238:$C$451,$C50,'TL13'!$J$238:$J$451),0),
IF('TL14'!$B$3=Q$3,SUMIF('TL14'!$C$10:$C$224,$C50,'TL14'!$J$10:$J$224),0),
IF('TL14'!$B$229=Q$3,SUMIF('TL14'!$C$238:$C$451,$C50,'TL14'!$J$238:$J$451),0),
IF('TL15'!$B$3=Q$3,SUMIF('TL15'!$C$10:$C$224,$C50,'TL15'!$J$10:$J$224),0),
IF('TL15'!$B$229=Q$3,SUMIF('TL15'!$C$238:$C$451,$C50,'TL15'!$J$238:$J$451),0),
IF('TL16'!$B$3=Q$3,SUMIF('TL16'!$C$10:$C$224,$C50,'TL16'!$J$10:$J$224),0),
IF('TL16'!$B$229=Q$3,SUMIF('TL16'!$C$238:$C$451,$C50,'TL16'!$J$238:$J$451),0),
IF('TL17'!$B$3=Q$3,SUMIF('TL17'!$C$10:$C$224,$C50,'TL17'!$J$10:$J$224),0),
IF('TL17'!$B$229=Q$3,SUMIF('TL17'!$C$238:$C$451,$C50,'TL17'!$J$238:$J$451),0),
IF('TL18'!$B$3=Q$3,SUMIF('TL18'!$C$10:$C$224,$C50,'TL18'!$J$10:$J$224),0),
IF('TL18'!$B$229=Q$3,SUMIF('TL18'!$C$238:$C$451,$C50,'TL18'!$J$238:$J$451),0),
IF('TL19'!$B$3=Q$3,SUMIF('TL19'!$C$10:$C$224,$C50,'TL19'!$J$10:$J$224),0),
IF('TL19'!$B$229=Q$3,SUMIF('TL19'!$C$238:$C$451,$C50,'TL19'!$J$238:$J$451),0)
),0)</f>
        <v/>
      </c>
      <c r="R50" s="9">
        <f>IFERROR(
SUM(
SUMIF('TL01'!C:C,C50,'TL01'!J:J),
SUMIF('TL02'!C:C,C50,'TL02'!J:J),
SUMIF('TL03'!C:C,C50,'TL03'!J:J),
SUMIF('TL04'!C:C,C50,'TL04'!J:J),
SUMIF('TL05'!C:C,C50,'TL05'!J:J),
SUMIF('TL06'!C:C,C50,'TL06'!J:J),
SUMIF('TL07'!C:C,C50,'TL07'!J:J),
SUMIF('TL08'!C:C,C50,'TL08'!J:J),
SUMIF('TL09'!C:C,C50,'TL09'!J:J),
SUMIF('TL10'!C:C,C50,'TL10'!J:J),
SUMIF('TL11'!C:C,C50,'TL11'!J:J),
SUMIF('TL12'!C:C,C50,'TL12'!J:J),
SUMIF('TL13'!C:C,C50,'TL13'!J:J),
SUMIF('TL14'!C:C,C50,'TL14'!J:J),
SUMIF('TL15'!C:C,C50,'TL15'!J:J),
SUMIF('TL16'!C:C,C50,'TL16'!J:J),
SUMIF('TL17'!C:C,C50,'TL17'!J:J),
SUMIF('TL18'!C:C,C50,'TL18'!J:J),SUMIF('TL19'!C:C,C50,'TL19'!J:J))
,0)</f>
        <v/>
      </c>
      <c r="S50" s="17">
        <f>IFERROR(__xludf.DUMMYFUNCTION("IFERROR(VLOOKUP(C50,
IMPORTRANGE(""1wULbzX32WdYsx-lj2U3uUNBBe2INVIRDtcK0d-Dvl90"",
""26-27!C:G""),
5,
FALSE),
"""")"),399.92112000000003)</f>
        <v/>
      </c>
      <c r="T50" s="9" t="n"/>
      <c r="U50" s="92">
        <f>MAX(0,R50-T50)</f>
        <v/>
      </c>
      <c r="V50" s="93">
        <f>U50*S50</f>
        <v/>
      </c>
    </row>
    <row r="51" hidden="1" ht="15.75" customHeight="1" s="297">
      <c r="A51" s="111" t="inlineStr">
        <is>
          <t>BAYER</t>
        </is>
      </c>
      <c r="B51" s="112" t="inlineStr">
        <is>
          <t>FUNGICIDA</t>
        </is>
      </c>
      <c r="C51" s="113" t="inlineStr">
        <is>
          <t>FOX SUPRA</t>
        </is>
      </c>
      <c r="D51" s="113" t="inlineStr">
        <is>
          <t>IMPIRFLUXAM + PROTIOCONAZOL</t>
        </is>
      </c>
      <c r="E51" s="113" t="inlineStr">
        <is>
          <t>120 + 240</t>
        </is>
      </c>
      <c r="F51" s="4" t="inlineStr">
        <is>
          <t>L</t>
        </is>
      </c>
      <c r="G51" s="90">
        <f>HYPERLINK("https://www.google.com/search?q=" &amp; C51 &amp; "+bula+agrofit+pdf", "📄 Ver bula")</f>
        <v/>
      </c>
      <c r="H51" s="9">
        <f>IFERROR(__xludf.DUMMYFUNCTION("IFERROR(VLOOKUP(C51,
IMPORTRANGE(""1wULbzX32WdYsx-lj2U3uUNBBe2INVIRDtcK0d-Dvl90"",
""26-27!C:K""),
8,
FALSE),
"""")"),0.35)</f>
        <v/>
      </c>
      <c r="I51" s="114" t="inlineStr">
        <is>
          <t>1x20</t>
        </is>
      </c>
      <c r="J51" s="9">
        <f>IFERROR(SUM(
IF('TL01'!$B$3=J$3,SUMIF('TL01'!$C$10:$C$224,$C51,'TL01'!$J$10:$J$224),0),
IF('TL01'!$B$229=J$3,SUMIF('TL01'!$C$238:$C$451,$C51,'TL01'!$J$238:$J$451),0),
IF('TL02'!$B$3=J$3,SUMIF('TL02'!$C$10:$C$224,$C51,'TL02'!$J$10:$J$224),0),
IF('TL02'!$B$229=J$3,SUMIF('TL02'!$C$238:$C$451,$C51,'TL02'!$J$238:$J$451),0),
IF('TL03'!$B$3=J$3,SUMIF('TL03'!$C$10:$C$224,$C51,'TL03'!$J$10:$J$224),0),
IF('TL03'!$B$229=J$3,SUMIF('TL03'!$C$238:$C$451,$C51,'TL03'!$J$238:$J$451),0),
IF('TL04'!$B$3=J$3,SUMIF('TL04'!$C$10:$C$224,$C51,'TL04'!$J$10:$J$224),0),
IF('TL04'!$B$229=J$3,SUMIF('TL04'!$C$238:$C$451,$C51,'TL04'!$J$238:$J$451),0),
IF('TL05'!$B$3=J$3,SUMIF('TL05'!$C$10:$C$224,$C51,'TL05'!$J$10:$J$224),0),
IF('TL05'!$B$229=J$3,SUMIF('TL05'!$C$238:$C$451,$C51,'TL05'!$J$238:$J$451),0),
IF('TL06'!$B$3=J$3,SUMIF('TL06'!$C$10:$C$224,$C51,'TL06'!$J$10:$J$224),0),
IF('TL06'!$B$229=J$3,SUMIF('TL06'!$C$238:$C$451,$C51,'TL06'!$J$238:$J$451),0),
IF('TL07'!$B$3=J$3,SUMIF('TL07'!$C$10:$C$224,$C51,'TL07'!$J$10:$J$224),0),
IF('TL07'!$B$229=J$3,SUMIF('TL07'!$C$238:$C$451,$C51,'TL07'!$J$238:$J$451),0),
IF('TL08'!$B$3=J$3,SUMIF('TL08'!$C$10:$C$224,$C51,'TL08'!$J$10:$J$224),0),
IF('TL08'!$B$229=J$3,SUMIF('TL08'!$C$238:$C$451,$C51,'TL08'!$J$238:$J$451),0),
IF('TL09'!$B$3=J$3,SUMIF('TL09'!$C$10:$C$224,$C51,'TL09'!$J$10:$J$224),0),
IF('TL09'!$B$229=J$3,SUMIF('TL09'!$C$238:$C$451,$C51,'TL09'!$J$238:$J$451),0),
IF('TL10'!$B$3=J$3,SUMIF('TL10'!$C$10:$C$224,$C51,'TL10'!$J$10:$J$224),0),
IF('TL10'!$B$229=J$3,SUMIF('TL10'!$C$238:$C$451,$C51,'TL10'!$J$238:$J$451),0),
IF('TL11'!$B$3=J$3,SUMIF('TL11'!$C$10:$C$224,$C51,'TL11'!$J$10:$J$224),0),
IF('TL11'!$B$229=J$3,SUMIF('TL11'!$C$238:$C$451,$C51,'TL11'!$J$238:$J$451),0),
IF('TL12'!$B$3=J$3,SUMIF('TL12'!$C$10:$C$224,$C51,'TL12'!$J$10:$J$224),0),
IF('TL12'!$B$229=J$3,SUMIF('TL12'!$C$238:$C$451,$C51,'TL12'!$J$238:$J$451),0),
IF('TL13'!$B$3=J$3,SUMIF('TL13'!$C$10:$C$224,$C51,'TL13'!$J$10:$J$224),0),
IF('TL13'!$B$229=J$3,SUMIF('TL13'!$C$238:$C$451,$C51,'TL13'!$J$238:$J$451),0),
IF('TL14'!$B$3=J$3,SUMIF('TL14'!$C$10:$C$224,$C51,'TL14'!$J$10:$J$224),0),
IF('TL14'!$B$229=J$3,SUMIF('TL14'!$C$238:$C$451,$C51,'TL14'!$J$238:$J$451),0),
IF('TL15'!$B$3=J$3,SUMIF('TL15'!$C$10:$C$224,$C51,'TL15'!$J$10:$J$224),0),
IF('TL15'!$B$229=J$3,SUMIF('TL15'!$C$238:$C$451,$C51,'TL15'!$J$238:$J$451),0),
IF('TL16'!$B$3=J$3,SUMIF('TL16'!$C$10:$C$224,$C51,'TL16'!$J$10:$J$224),0),
IF('TL16'!$B$229=J$3,SUMIF('TL16'!$C$238:$C$451,$C51,'TL16'!$J$238:$J$451),0),
IF('TL17'!$B$3=J$3,SUMIF('TL17'!$C$10:$C$224,$C51,'TL17'!$J$10:$J$224),0),
IF('TL17'!$B$229=J$3,SUMIF('TL17'!$C$238:$C$451,$C51,'TL17'!$J$238:$J$451),0),
IF('TL18'!$B$3=J$3,SUMIF('TL18'!$C$10:$C$224,$C51,'TL18'!$J$10:$J$224),0),
IF('TL18'!$B$229=J$3,SUMIF('TL18'!$C$238:$C$451,$C51,'TL18'!$J$238:$J$451),0),
IF('TL19'!$B$3=J$3,SUMIF('TL19'!$C$10:$C$224,$C51,'TL19'!$J$10:$J$224),0),
IF('TL19'!$B$229=J$3,SUMIF('TL19'!$C$238:$C$451,$C51,'TL19'!$J$238:$J$451),0)
),0)</f>
        <v/>
      </c>
      <c r="K51" s="9">
        <f>IFERROR(SUM(
IF('TL01'!$B$3=K$3,SUMIF('TL01'!$C$10:$C$224,$C51,'TL01'!$J$10:$J$224),0),
IF('TL01'!$B$229=K$3,SUMIF('TL01'!$C$238:$C$451,$C51,'TL01'!$J$238:$J$451),0),
IF('TL02'!$B$3=K$3,SUMIF('TL02'!$C$10:$C$224,$C51,'TL02'!$J$10:$J$224),0),
IF('TL02'!$B$229=K$3,SUMIF('TL02'!$C$238:$C$451,$C51,'TL02'!$J$238:$J$451),0),
IF('TL03'!$B$3=K$3,SUMIF('TL03'!$C$10:$C$224,$C51,'TL03'!$J$10:$J$224),0),
IF('TL03'!$B$229=K$3,SUMIF('TL03'!$C$238:$C$451,$C51,'TL03'!$J$238:$J$451),0),
IF('TL04'!$B$3=K$3,SUMIF('TL04'!$C$10:$C$224,$C51,'TL04'!$J$10:$J$224),0),
IF('TL04'!$B$229=K$3,SUMIF('TL04'!$C$238:$C$451,$C51,'TL04'!$J$238:$J$451),0),
IF('TL05'!$B$3=K$3,SUMIF('TL05'!$C$10:$C$224,$C51,'TL05'!$J$10:$J$224),0),
IF('TL05'!$B$229=K$3,SUMIF('TL05'!$C$238:$C$451,$C51,'TL05'!$J$238:$J$451),0),
IF('TL06'!$B$3=K$3,SUMIF('TL06'!$C$10:$C$224,$C51,'TL06'!$J$10:$J$224),0),
IF('TL06'!$B$229=K$3,SUMIF('TL06'!$C$238:$C$451,$C51,'TL06'!$J$238:$J$451),0),
IF('TL07'!$B$3=K$3,SUMIF('TL07'!$C$10:$C$224,$C51,'TL07'!$J$10:$J$224),0),
IF('TL07'!$B$229=K$3,SUMIF('TL07'!$C$238:$C$451,$C51,'TL07'!$J$238:$J$451),0),
IF('TL08'!$B$3=K$3,SUMIF('TL08'!$C$10:$C$224,$C51,'TL08'!$J$10:$J$224),0),
IF('TL08'!$B$229=K$3,SUMIF('TL08'!$C$238:$C$451,$C51,'TL08'!$J$238:$J$451),0),
IF('TL09'!$B$3=K$3,SUMIF('TL09'!$C$10:$C$224,$C51,'TL09'!$J$10:$J$224),0),
IF('TL09'!$B$229=K$3,SUMIF('TL09'!$C$238:$C$451,$C51,'TL09'!$J$238:$J$451),0),
IF('TL10'!$B$3=K$3,SUMIF('TL10'!$C$10:$C$224,$C51,'TL10'!$J$10:$J$224),0),
IF('TL10'!$B$229=K$3,SUMIF('TL10'!$C$238:$C$451,$C51,'TL10'!$J$238:$J$451),0),
IF('TL11'!$B$3=K$3,SUMIF('TL11'!$C$10:$C$224,$C51,'TL11'!$J$10:$J$224),0),
IF('TL11'!$B$229=K$3,SUMIF('TL11'!$C$238:$C$451,$C51,'TL11'!$J$238:$J$451),0),
IF('TL12'!$B$3=K$3,SUMIF('TL12'!$C$10:$C$224,$C51,'TL12'!$J$10:$J$224),0),
IF('TL12'!$B$229=K$3,SUMIF('TL12'!$C$238:$C$451,$C51,'TL12'!$J$238:$J$451),0),
IF('TL13'!$B$3=K$3,SUMIF('TL13'!$C$10:$C$224,$C51,'TL13'!$J$10:$J$224),0),
IF('TL13'!$B$229=K$3,SUMIF('TL13'!$C$238:$C$451,$C51,'TL13'!$J$238:$J$451),0),
IF('TL14'!$B$3=K$3,SUMIF('TL14'!$C$10:$C$224,$C51,'TL14'!$J$10:$J$224),0),
IF('TL14'!$B$229=K$3,SUMIF('TL14'!$C$238:$C$451,$C51,'TL14'!$J$238:$J$451),0),
IF('TL15'!$B$3=K$3,SUMIF('TL15'!$C$10:$C$224,$C51,'TL15'!$J$10:$J$224),0),
IF('TL15'!$B$229=K$3,SUMIF('TL15'!$C$238:$C$451,$C51,'TL15'!$J$238:$J$451),0),
IF('TL16'!$B$3=K$3,SUMIF('TL16'!$C$10:$C$224,$C51,'TL16'!$J$10:$J$224),0),
IF('TL16'!$B$229=K$3,SUMIF('TL16'!$C$238:$C$451,$C51,'TL16'!$J$238:$J$451),0),
IF('TL17'!$B$3=K$3,SUMIF('TL17'!$C$10:$C$224,$C51,'TL17'!$J$10:$J$224),0),
IF('TL17'!$B$229=K$3,SUMIF('TL17'!$C$238:$C$451,$C51,'TL17'!$J$238:$J$451),0),
IF('TL18'!$B$3=K$3,SUMIF('TL18'!$C$10:$C$224,$C51,'TL18'!$J$10:$J$224),0),
IF('TL18'!$B$229=K$3,SUMIF('TL18'!$C$238:$C$451,$C51,'TL18'!$J$238:$J$451),0),
IF('TL19'!$B$3=K$3,SUMIF('TL19'!$C$10:$C$224,$C51,'TL19'!$J$10:$J$224),0),
IF('TL19'!$B$229=K$3,SUMIF('TL19'!$C$238:$C$451,$C51,'TL19'!$J$238:$J$451),0)
),0)</f>
        <v/>
      </c>
      <c r="L51" s="9">
        <f>IFERROR(SUM(
IF('TL01'!$B$3=L$3,SUMIF('TL01'!$C$10:$C$224,$C51,'TL01'!$J$10:$J$224),0),
IF('TL01'!$B$229=L$3,SUMIF('TL01'!$C$238:$C$451,$C51,'TL01'!$J$238:$J$451),0),
IF('TL02'!$B$3=L$3,SUMIF('TL02'!$C$10:$C$224,$C51,'TL02'!$J$10:$J$224),0),
IF('TL02'!$B$229=L$3,SUMIF('TL02'!$C$238:$C$451,$C51,'TL02'!$J$238:$J$451),0),
IF('TL03'!$B$3=L$3,SUMIF('TL03'!$C$10:$C$224,$C51,'TL03'!$J$10:$J$224),0),
IF('TL03'!$B$229=L$3,SUMIF('TL03'!$C$238:$C$451,$C51,'TL03'!$J$238:$J$451),0),
IF('TL04'!$B$3=L$3,SUMIF('TL04'!$C$10:$C$224,$C51,'TL04'!$J$10:$J$224),0),
IF('TL04'!$B$229=L$3,SUMIF('TL04'!$C$238:$C$451,$C51,'TL04'!$J$238:$J$451),0),
IF('TL05'!$B$3=L$3,SUMIF('TL05'!$C$10:$C$224,$C51,'TL05'!$J$10:$J$224),0),
IF('TL05'!$B$229=L$3,SUMIF('TL05'!$C$238:$C$451,$C51,'TL05'!$J$238:$J$451),0),
IF('TL06'!$B$3=L$3,SUMIF('TL06'!$C$10:$C$224,$C51,'TL06'!$J$10:$J$224),0),
IF('TL06'!$B$229=L$3,SUMIF('TL06'!$C$238:$C$451,$C51,'TL06'!$J$238:$J$451),0),
IF('TL07'!$B$3=L$3,SUMIF('TL07'!$C$10:$C$224,$C51,'TL07'!$J$10:$J$224),0),
IF('TL07'!$B$229=L$3,SUMIF('TL07'!$C$238:$C$451,$C51,'TL07'!$J$238:$J$451),0),
IF('TL08'!$B$3=L$3,SUMIF('TL08'!$C$10:$C$224,$C51,'TL08'!$J$10:$J$224),0),
IF('TL08'!$B$229=L$3,SUMIF('TL08'!$C$238:$C$451,$C51,'TL08'!$J$238:$J$451),0),
IF('TL09'!$B$3=L$3,SUMIF('TL09'!$C$10:$C$224,$C51,'TL09'!$J$10:$J$224),0),
IF('TL09'!$B$229=L$3,SUMIF('TL09'!$C$238:$C$451,$C51,'TL09'!$J$238:$J$451),0),
IF('TL10'!$B$3=L$3,SUMIF('TL10'!$C$10:$C$224,$C51,'TL10'!$J$10:$J$224),0),
IF('TL10'!$B$229=L$3,SUMIF('TL10'!$C$238:$C$451,$C51,'TL10'!$J$238:$J$451),0),
IF('TL11'!$B$3=L$3,SUMIF('TL11'!$C$10:$C$224,$C51,'TL11'!$J$10:$J$224),0),
IF('TL11'!$B$229=L$3,SUMIF('TL11'!$C$238:$C$451,$C51,'TL11'!$J$238:$J$451),0),
IF('TL12'!$B$3=L$3,SUMIF('TL12'!$C$10:$C$224,$C51,'TL12'!$J$10:$J$224),0),
IF('TL12'!$B$229=L$3,SUMIF('TL12'!$C$238:$C$451,$C51,'TL12'!$J$238:$J$451),0),
IF('TL13'!$B$3=L$3,SUMIF('TL13'!$C$10:$C$224,$C51,'TL13'!$J$10:$J$224),0),
IF('TL13'!$B$229=L$3,SUMIF('TL13'!$C$238:$C$451,$C51,'TL13'!$J$238:$J$451),0),
IF('TL14'!$B$3=L$3,SUMIF('TL14'!$C$10:$C$224,$C51,'TL14'!$J$10:$J$224),0),
IF('TL14'!$B$229=L$3,SUMIF('TL14'!$C$238:$C$451,$C51,'TL14'!$J$238:$J$451),0),
IF('TL15'!$B$3=L$3,SUMIF('TL15'!$C$10:$C$224,$C51,'TL15'!$J$10:$J$224),0),
IF('TL15'!$B$229=L$3,SUMIF('TL15'!$C$238:$C$451,$C51,'TL15'!$J$238:$J$451),0),
IF('TL16'!$B$3=L$3,SUMIF('TL16'!$C$10:$C$224,$C51,'TL16'!$J$10:$J$224),0),
IF('TL16'!$B$229=L$3,SUMIF('TL16'!$C$238:$C$451,$C51,'TL16'!$J$238:$J$451),0),
IF('TL17'!$B$3=L$3,SUMIF('TL17'!$C$10:$C$224,$C51,'TL17'!$J$10:$J$224),0),
IF('TL17'!$B$229=L$3,SUMIF('TL17'!$C$238:$C$451,$C51,'TL17'!$J$238:$J$451),0),
IF('TL18'!$B$3=L$3,SUMIF('TL18'!$C$10:$C$224,$C51,'TL18'!$J$10:$J$224),0),
IF('TL18'!$B$229=L$3,SUMIF('TL18'!$C$238:$C$451,$C51,'TL18'!$J$238:$J$451),0),
IF('TL19'!$B$3=L$3,SUMIF('TL19'!$C$10:$C$224,$C51,'TL19'!$J$10:$J$224),0),
IF('TL19'!$B$229=L$3,SUMIF('TL19'!$C$238:$C$451,$C51,'TL19'!$J$238:$J$451),0)
),0)</f>
        <v/>
      </c>
      <c r="M51" s="9">
        <f>IFERROR(SUM(
IF('TL01'!$B$3=M$3,SUMIF('TL01'!$C$10:$C$224,$C51,'TL01'!$J$10:$J$224),0),
IF('TL01'!$B$229=M$3,SUMIF('TL01'!$C$238:$C$451,$C51,'TL01'!$J$238:$J$451),0),
IF('TL02'!$B$3=M$3,SUMIF('TL02'!$C$10:$C$224,$C51,'TL02'!$J$10:$J$224),0),
IF('TL02'!$B$229=M$3,SUMIF('TL02'!$C$238:$C$451,$C51,'TL02'!$J$238:$J$451),0),
IF('TL03'!$B$3=M$3,SUMIF('TL03'!$C$10:$C$224,$C51,'TL03'!$J$10:$J$224),0),
IF('TL03'!$B$229=M$3,SUMIF('TL03'!$C$238:$C$451,$C51,'TL03'!$J$238:$J$451),0),
IF('TL04'!$B$3=M$3,SUMIF('TL04'!$C$10:$C$224,$C51,'TL04'!$J$10:$J$224),0),
IF('TL04'!$B$229=M$3,SUMIF('TL04'!$C$238:$C$451,$C51,'TL04'!$J$238:$J$451),0),
IF('TL05'!$B$3=M$3,SUMIF('TL05'!$C$10:$C$224,$C51,'TL05'!$J$10:$J$224),0),
IF('TL05'!$B$229=M$3,SUMIF('TL05'!$C$238:$C$451,$C51,'TL05'!$J$238:$J$451),0),
IF('TL06'!$B$3=M$3,SUMIF('TL06'!$C$10:$C$224,$C51,'TL06'!$J$10:$J$224),0),
IF('TL06'!$B$229=M$3,SUMIF('TL06'!$C$238:$C$451,$C51,'TL06'!$J$238:$J$451),0),
IF('TL07'!$B$3=M$3,SUMIF('TL07'!$C$10:$C$224,$C51,'TL07'!$J$10:$J$224),0),
IF('TL07'!$B$229=M$3,SUMIF('TL07'!$C$238:$C$451,$C51,'TL07'!$J$238:$J$451),0),
IF('TL08'!$B$3=M$3,SUMIF('TL08'!$C$10:$C$224,$C51,'TL08'!$J$10:$J$224),0),
IF('TL08'!$B$229=M$3,SUMIF('TL08'!$C$238:$C$451,$C51,'TL08'!$J$238:$J$451),0),
IF('TL09'!$B$3=M$3,SUMIF('TL09'!$C$10:$C$224,$C51,'TL09'!$J$10:$J$224),0),
IF('TL09'!$B$229=M$3,SUMIF('TL09'!$C$238:$C$451,$C51,'TL09'!$J$238:$J$451),0),
IF('TL10'!$B$3=M$3,SUMIF('TL10'!$C$10:$C$224,$C51,'TL10'!$J$10:$J$224),0),
IF('TL10'!$B$229=M$3,SUMIF('TL10'!$C$238:$C$451,$C51,'TL10'!$J$238:$J$451),0),
IF('TL11'!$B$3=M$3,SUMIF('TL11'!$C$10:$C$224,$C51,'TL11'!$J$10:$J$224),0),
IF('TL11'!$B$229=M$3,SUMIF('TL11'!$C$238:$C$451,$C51,'TL11'!$J$238:$J$451),0),
IF('TL12'!$B$3=M$3,SUMIF('TL12'!$C$10:$C$224,$C51,'TL12'!$J$10:$J$224),0),
IF('TL12'!$B$229=M$3,SUMIF('TL12'!$C$238:$C$451,$C51,'TL12'!$J$238:$J$451),0),
IF('TL13'!$B$3=M$3,SUMIF('TL13'!$C$10:$C$224,$C51,'TL13'!$J$10:$J$224),0),
IF('TL13'!$B$229=M$3,SUMIF('TL13'!$C$238:$C$451,$C51,'TL13'!$J$238:$J$451),0),
IF('TL14'!$B$3=M$3,SUMIF('TL14'!$C$10:$C$224,$C51,'TL14'!$J$10:$J$224),0),
IF('TL14'!$B$229=M$3,SUMIF('TL14'!$C$238:$C$451,$C51,'TL14'!$J$238:$J$451),0),
IF('TL15'!$B$3=M$3,SUMIF('TL15'!$C$10:$C$224,$C51,'TL15'!$J$10:$J$224),0),
IF('TL15'!$B$229=M$3,SUMIF('TL15'!$C$238:$C$451,$C51,'TL15'!$J$238:$J$451),0),
IF('TL16'!$B$3=M$3,SUMIF('TL16'!$C$10:$C$224,$C51,'TL16'!$J$10:$J$224),0),
IF('TL16'!$B$229=M$3,SUMIF('TL16'!$C$238:$C$451,$C51,'TL16'!$J$238:$J$451),0),
IF('TL17'!$B$3=M$3,SUMIF('TL17'!$C$10:$C$224,$C51,'TL17'!$J$10:$J$224),0),
IF('TL17'!$B$229=M$3,SUMIF('TL17'!$C$238:$C$451,$C51,'TL17'!$J$238:$J$451),0),
IF('TL18'!$B$3=M$3,SUMIF('TL18'!$C$10:$C$224,$C51,'TL18'!$J$10:$J$224),0),
IF('TL18'!$B$229=M$3,SUMIF('TL18'!$C$238:$C$451,$C51,'TL18'!$J$238:$J$451),0),
IF('TL19'!$B$3=M$3,SUMIF('TL19'!$C$10:$C$224,$C51,'TL19'!$J$10:$J$224),0),
IF('TL19'!$B$229=M$3,SUMIF('TL19'!$C$238:$C$451,$C51,'TL19'!$J$238:$J$451),0)
),0)</f>
        <v/>
      </c>
      <c r="N51" s="9">
        <f>IFERROR(SUM(
IF('TL01'!$B$3=N$3,SUMIF('TL01'!$C$10:$C$224,$C51,'TL01'!$J$10:$J$224),0),
IF('TL01'!$B$229=N$3,SUMIF('TL01'!$C$238:$C$451,$C51,'TL01'!$J$238:$J$451),0),
IF('TL02'!$B$3=N$3,SUMIF('TL02'!$C$10:$C$224,$C51,'TL02'!$J$10:$J$224),0),
IF('TL02'!$B$229=N$3,SUMIF('TL02'!$C$238:$C$451,$C51,'TL02'!$J$238:$J$451),0),
IF('TL03'!$B$3=N$3,SUMIF('TL03'!$C$10:$C$224,$C51,'TL03'!$J$10:$J$224),0),
IF('TL03'!$B$229=N$3,SUMIF('TL03'!$C$238:$C$451,$C51,'TL03'!$J$238:$J$451),0),
IF('TL04'!$B$3=N$3,SUMIF('TL04'!$C$10:$C$224,$C51,'TL04'!$J$10:$J$224),0),
IF('TL04'!$B$229=N$3,SUMIF('TL04'!$C$238:$C$451,$C51,'TL04'!$J$238:$J$451),0),
IF('TL05'!$B$3=N$3,SUMIF('TL05'!$C$10:$C$224,$C51,'TL05'!$J$10:$J$224),0),
IF('TL05'!$B$229=N$3,SUMIF('TL05'!$C$238:$C$451,$C51,'TL05'!$J$238:$J$451),0),
IF('TL06'!$B$3=N$3,SUMIF('TL06'!$C$10:$C$224,$C51,'TL06'!$J$10:$J$224),0),
IF('TL06'!$B$229=N$3,SUMIF('TL06'!$C$238:$C$451,$C51,'TL06'!$J$238:$J$451),0),
IF('TL07'!$B$3=N$3,SUMIF('TL07'!$C$10:$C$224,$C51,'TL07'!$J$10:$J$224),0),
IF('TL07'!$B$229=N$3,SUMIF('TL07'!$C$238:$C$451,$C51,'TL07'!$J$238:$J$451),0),
IF('TL08'!$B$3=N$3,SUMIF('TL08'!$C$10:$C$224,$C51,'TL08'!$J$10:$J$224),0),
IF('TL08'!$B$229=N$3,SUMIF('TL08'!$C$238:$C$451,$C51,'TL08'!$J$238:$J$451),0),
IF('TL09'!$B$3=N$3,SUMIF('TL09'!$C$10:$C$224,$C51,'TL09'!$J$10:$J$224),0),
IF('TL09'!$B$229=N$3,SUMIF('TL09'!$C$238:$C$451,$C51,'TL09'!$J$238:$J$451),0),
IF('TL10'!$B$3=N$3,SUMIF('TL10'!$C$10:$C$224,$C51,'TL10'!$J$10:$J$224),0),
IF('TL10'!$B$229=N$3,SUMIF('TL10'!$C$238:$C$451,$C51,'TL10'!$J$238:$J$451),0),
IF('TL11'!$B$3=N$3,SUMIF('TL11'!$C$10:$C$224,$C51,'TL11'!$J$10:$J$224),0),
IF('TL11'!$B$229=N$3,SUMIF('TL11'!$C$238:$C$451,$C51,'TL11'!$J$238:$J$451),0),
IF('TL12'!$B$3=N$3,SUMIF('TL12'!$C$10:$C$224,$C51,'TL12'!$J$10:$J$224),0),
IF('TL12'!$B$229=N$3,SUMIF('TL12'!$C$238:$C$451,$C51,'TL12'!$J$238:$J$451),0),
IF('TL13'!$B$3=N$3,SUMIF('TL13'!$C$10:$C$224,$C51,'TL13'!$J$10:$J$224),0),
IF('TL13'!$B$229=N$3,SUMIF('TL13'!$C$238:$C$451,$C51,'TL13'!$J$238:$J$451),0),
IF('TL14'!$B$3=N$3,SUMIF('TL14'!$C$10:$C$224,$C51,'TL14'!$J$10:$J$224),0),
IF('TL14'!$B$229=N$3,SUMIF('TL14'!$C$238:$C$451,$C51,'TL14'!$J$238:$J$451),0),
IF('TL15'!$B$3=N$3,SUMIF('TL15'!$C$10:$C$224,$C51,'TL15'!$J$10:$J$224),0),
IF('TL15'!$B$229=N$3,SUMIF('TL15'!$C$238:$C$451,$C51,'TL15'!$J$238:$J$451),0),
IF('TL16'!$B$3=N$3,SUMIF('TL16'!$C$10:$C$224,$C51,'TL16'!$J$10:$J$224),0),
IF('TL16'!$B$229=N$3,SUMIF('TL16'!$C$238:$C$451,$C51,'TL16'!$J$238:$J$451),0),
IF('TL17'!$B$3=N$3,SUMIF('TL17'!$C$10:$C$224,$C51,'TL17'!$J$10:$J$224),0),
IF('TL17'!$B$229=N$3,SUMIF('TL17'!$C$238:$C$451,$C51,'TL17'!$J$238:$J$451),0),
IF('TL18'!$B$3=N$3,SUMIF('TL18'!$C$10:$C$224,$C51,'TL18'!$J$10:$J$224),0),
IF('TL18'!$B$229=N$3,SUMIF('TL18'!$C$238:$C$451,$C51,'TL18'!$J$238:$J$451),0),
IF('TL19'!$B$3=N$3,SUMIF('TL19'!$C$10:$C$224,$C51,'TL19'!$J$10:$J$224),0),
IF('TL19'!$B$229=N$3,SUMIF('TL19'!$C$238:$C$451,$C51,'TL19'!$J$238:$J$451),0)
),0)</f>
        <v/>
      </c>
      <c r="O51" s="9">
        <f>IFERROR(SUM(
IF('TL01'!$B$3=O$3,SUMIF('TL01'!$C$10:$C$224,$C51,'TL01'!$J$10:$J$224),0),
IF('TL01'!$B$229=O$3,SUMIF('TL01'!$C$238:$C$451,$C51,'TL01'!$J$238:$J$451),0),
IF('TL02'!$B$3=O$3,SUMIF('TL02'!$C$10:$C$224,$C51,'TL02'!$J$10:$J$224),0),
IF('TL02'!$B$229=O$3,SUMIF('TL02'!$C$238:$C$451,$C51,'TL02'!$J$238:$J$451),0),
IF('TL03'!$B$3=O$3,SUMIF('TL03'!$C$10:$C$224,$C51,'TL03'!$J$10:$J$224),0),
IF('TL03'!$B$229=O$3,SUMIF('TL03'!$C$238:$C$451,$C51,'TL03'!$J$238:$J$451),0),
IF('TL04'!$B$3=O$3,SUMIF('TL04'!$C$10:$C$224,$C51,'TL04'!$J$10:$J$224),0),
IF('TL04'!$B$229=O$3,SUMIF('TL04'!$C$238:$C$451,$C51,'TL04'!$J$238:$J$451),0),
IF('TL05'!$B$3=O$3,SUMIF('TL05'!$C$10:$C$224,$C51,'TL05'!$J$10:$J$224),0),
IF('TL05'!$B$229=O$3,SUMIF('TL05'!$C$238:$C$451,$C51,'TL05'!$J$238:$J$451),0),
IF('TL06'!$B$3=O$3,SUMIF('TL06'!$C$10:$C$224,$C51,'TL06'!$J$10:$J$224),0),
IF('TL06'!$B$229=O$3,SUMIF('TL06'!$C$238:$C$451,$C51,'TL06'!$J$238:$J$451),0),
IF('TL07'!$B$3=O$3,SUMIF('TL07'!$C$10:$C$224,$C51,'TL07'!$J$10:$J$224),0),
IF('TL07'!$B$229=O$3,SUMIF('TL07'!$C$238:$C$451,$C51,'TL07'!$J$238:$J$451),0),
IF('TL08'!$B$3=O$3,SUMIF('TL08'!$C$10:$C$224,$C51,'TL08'!$J$10:$J$224),0),
IF('TL08'!$B$229=O$3,SUMIF('TL08'!$C$238:$C$451,$C51,'TL08'!$J$238:$J$451),0),
IF('TL09'!$B$3=O$3,SUMIF('TL09'!$C$10:$C$224,$C51,'TL09'!$J$10:$J$224),0),
IF('TL09'!$B$229=O$3,SUMIF('TL09'!$C$238:$C$451,$C51,'TL09'!$J$238:$J$451),0),
IF('TL10'!$B$3=O$3,SUMIF('TL10'!$C$10:$C$224,$C51,'TL10'!$J$10:$J$224),0),
IF('TL10'!$B$229=O$3,SUMIF('TL10'!$C$238:$C$451,$C51,'TL10'!$J$238:$J$451),0),
IF('TL11'!$B$3=O$3,SUMIF('TL11'!$C$10:$C$224,$C51,'TL11'!$J$10:$J$224),0),
IF('TL11'!$B$229=O$3,SUMIF('TL11'!$C$238:$C$451,$C51,'TL11'!$J$238:$J$451),0),
IF('TL12'!$B$3=O$3,SUMIF('TL12'!$C$10:$C$224,$C51,'TL12'!$J$10:$J$224),0),
IF('TL12'!$B$229=O$3,SUMIF('TL12'!$C$238:$C$451,$C51,'TL12'!$J$238:$J$451),0),
IF('TL13'!$B$3=O$3,SUMIF('TL13'!$C$10:$C$224,$C51,'TL13'!$J$10:$J$224),0),
IF('TL13'!$B$229=O$3,SUMIF('TL13'!$C$238:$C$451,$C51,'TL13'!$J$238:$J$451),0),
IF('TL14'!$B$3=O$3,SUMIF('TL14'!$C$10:$C$224,$C51,'TL14'!$J$10:$J$224),0),
IF('TL14'!$B$229=O$3,SUMIF('TL14'!$C$238:$C$451,$C51,'TL14'!$J$238:$J$451),0),
IF('TL15'!$B$3=O$3,SUMIF('TL15'!$C$10:$C$224,$C51,'TL15'!$J$10:$J$224),0),
IF('TL15'!$B$229=O$3,SUMIF('TL15'!$C$238:$C$451,$C51,'TL15'!$J$238:$J$451),0),
IF('TL16'!$B$3=O$3,SUMIF('TL16'!$C$10:$C$224,$C51,'TL16'!$J$10:$J$224),0),
IF('TL16'!$B$229=O$3,SUMIF('TL16'!$C$238:$C$451,$C51,'TL16'!$J$238:$J$451),0),
IF('TL17'!$B$3=O$3,SUMIF('TL17'!$C$10:$C$224,$C51,'TL17'!$J$10:$J$224),0),
IF('TL17'!$B$229=O$3,SUMIF('TL17'!$C$238:$C$451,$C51,'TL17'!$J$238:$J$451),0),
IF('TL18'!$B$3=O$3,SUMIF('TL18'!$C$10:$C$224,$C51,'TL18'!$J$10:$J$224),0),
IF('TL18'!$B$229=O$3,SUMIF('TL18'!$C$238:$C$451,$C51,'TL18'!$J$238:$J$451),0),
IF('TL19'!$B$3=O$3,SUMIF('TL19'!$C$10:$C$224,$C51,'TL19'!$J$10:$J$224),0),
IF('TL19'!$B$229=O$3,SUMIF('TL19'!$C$238:$C$451,$C51,'TL19'!$J$238:$J$451),0)
),0)</f>
        <v/>
      </c>
      <c r="P51" s="9">
        <f>IFERROR(SUM(
IF('TL01'!$B$3=P$3,SUMIF('TL01'!$C$10:$C$224,$C51,'TL01'!$J$10:$J$224),0),
IF('TL01'!$B$229=P$3,SUMIF('TL01'!$C$238:$C$451,$C51,'TL01'!$J$238:$J$451),0),
IF('TL02'!$B$3=P$3,SUMIF('TL02'!$C$10:$C$224,$C51,'TL02'!$J$10:$J$224),0),
IF('TL02'!$B$229=P$3,SUMIF('TL02'!$C$238:$C$451,$C51,'TL02'!$J$238:$J$451),0),
IF('TL03'!$B$3=P$3,SUMIF('TL03'!$C$10:$C$224,$C51,'TL03'!$J$10:$J$224),0),
IF('TL03'!$B$229=P$3,SUMIF('TL03'!$C$238:$C$451,$C51,'TL03'!$J$238:$J$451),0),
IF('TL04'!$B$3=P$3,SUMIF('TL04'!$C$10:$C$224,$C51,'TL04'!$J$10:$J$224),0),
IF('TL04'!$B$229=P$3,SUMIF('TL04'!$C$238:$C$451,$C51,'TL04'!$J$238:$J$451),0),
IF('TL05'!$B$3=P$3,SUMIF('TL05'!$C$10:$C$224,$C51,'TL05'!$J$10:$J$224),0),
IF('TL05'!$B$229=P$3,SUMIF('TL05'!$C$238:$C$451,$C51,'TL05'!$J$238:$J$451),0),
IF('TL06'!$B$3=P$3,SUMIF('TL06'!$C$10:$C$224,$C51,'TL06'!$J$10:$J$224),0),
IF('TL06'!$B$229=P$3,SUMIF('TL06'!$C$238:$C$451,$C51,'TL06'!$J$238:$J$451),0),
IF('TL07'!$B$3=P$3,SUMIF('TL07'!$C$10:$C$224,$C51,'TL07'!$J$10:$J$224),0),
IF('TL07'!$B$229=P$3,SUMIF('TL07'!$C$238:$C$451,$C51,'TL07'!$J$238:$J$451),0),
IF('TL08'!$B$3=P$3,SUMIF('TL08'!$C$10:$C$224,$C51,'TL08'!$J$10:$J$224),0),
IF('TL08'!$B$229=P$3,SUMIF('TL08'!$C$238:$C$451,$C51,'TL08'!$J$238:$J$451),0),
IF('TL09'!$B$3=P$3,SUMIF('TL09'!$C$10:$C$224,$C51,'TL09'!$J$10:$J$224),0),
IF('TL09'!$B$229=P$3,SUMIF('TL09'!$C$238:$C$451,$C51,'TL09'!$J$238:$J$451),0),
IF('TL10'!$B$3=P$3,SUMIF('TL10'!$C$10:$C$224,$C51,'TL10'!$J$10:$J$224),0),
IF('TL10'!$B$229=P$3,SUMIF('TL10'!$C$238:$C$451,$C51,'TL10'!$J$238:$J$451),0),
IF('TL11'!$B$3=P$3,SUMIF('TL11'!$C$10:$C$224,$C51,'TL11'!$J$10:$J$224),0),
IF('TL11'!$B$229=P$3,SUMIF('TL11'!$C$238:$C$451,$C51,'TL11'!$J$238:$J$451),0),
IF('TL12'!$B$3=P$3,SUMIF('TL12'!$C$10:$C$224,$C51,'TL12'!$J$10:$J$224),0),
IF('TL12'!$B$229=P$3,SUMIF('TL12'!$C$238:$C$451,$C51,'TL12'!$J$238:$J$451),0),
IF('TL13'!$B$3=P$3,SUMIF('TL13'!$C$10:$C$224,$C51,'TL13'!$J$10:$J$224),0),
IF('TL13'!$B$229=P$3,SUMIF('TL13'!$C$238:$C$451,$C51,'TL13'!$J$238:$J$451),0),
IF('TL14'!$B$3=P$3,SUMIF('TL14'!$C$10:$C$224,$C51,'TL14'!$J$10:$J$224),0),
IF('TL14'!$B$229=P$3,SUMIF('TL14'!$C$238:$C$451,$C51,'TL14'!$J$238:$J$451),0),
IF('TL15'!$B$3=P$3,SUMIF('TL15'!$C$10:$C$224,$C51,'TL15'!$J$10:$J$224),0),
IF('TL15'!$B$229=P$3,SUMIF('TL15'!$C$238:$C$451,$C51,'TL15'!$J$238:$J$451),0),
IF('TL16'!$B$3=P$3,SUMIF('TL16'!$C$10:$C$224,$C51,'TL16'!$J$10:$J$224),0),
IF('TL16'!$B$229=P$3,SUMIF('TL16'!$C$238:$C$451,$C51,'TL16'!$J$238:$J$451),0),
IF('TL17'!$B$3=P$3,SUMIF('TL17'!$C$10:$C$224,$C51,'TL17'!$J$10:$J$224),0),
IF('TL17'!$B$229=P$3,SUMIF('TL17'!$C$238:$C$451,$C51,'TL17'!$J$238:$J$451),0),
IF('TL18'!$B$3=P$3,SUMIF('TL18'!$C$10:$C$224,$C51,'TL18'!$J$10:$J$224),0),
IF('TL18'!$B$229=P$3,SUMIF('TL18'!$C$238:$C$451,$C51,'TL18'!$J$238:$J$451),0),
IF('TL19'!$B$3=P$3,SUMIF('TL19'!$C$10:$C$224,$C51,'TL19'!$J$10:$J$224),0),
IF('TL19'!$B$229=P$3,SUMIF('TL19'!$C$238:$C$451,$C51,'TL19'!$J$238:$J$451),0)
),0)</f>
        <v/>
      </c>
      <c r="Q51" s="9">
        <f>IFERROR(SUM(
IF('TL01'!$B$3=Q$3,SUMIF('TL01'!$C$10:$C$224,$C51,'TL01'!$J$10:$J$224),0),
IF('TL01'!$B$229=Q$3,SUMIF('TL01'!$C$238:$C$451,$C51,'TL01'!$J$238:$J$451),0),
IF('TL02'!$B$3=Q$3,SUMIF('TL02'!$C$10:$C$224,$C51,'TL02'!$J$10:$J$224),0),
IF('TL02'!$B$229=Q$3,SUMIF('TL02'!$C$238:$C$451,$C51,'TL02'!$J$238:$J$451),0),
IF('TL03'!$B$3=Q$3,SUMIF('TL03'!$C$10:$C$224,$C51,'TL03'!$J$10:$J$224),0),
IF('TL03'!$B$229=Q$3,SUMIF('TL03'!$C$238:$C$451,$C51,'TL03'!$J$238:$J$451),0),
IF('TL04'!$B$3=Q$3,SUMIF('TL04'!$C$10:$C$224,$C51,'TL04'!$J$10:$J$224),0),
IF('TL04'!$B$229=Q$3,SUMIF('TL04'!$C$238:$C$451,$C51,'TL04'!$J$238:$J$451),0),
IF('TL05'!$B$3=Q$3,SUMIF('TL05'!$C$10:$C$224,$C51,'TL05'!$J$10:$J$224),0),
IF('TL05'!$B$229=Q$3,SUMIF('TL05'!$C$238:$C$451,$C51,'TL05'!$J$238:$J$451),0),
IF('TL06'!$B$3=Q$3,SUMIF('TL06'!$C$10:$C$224,$C51,'TL06'!$J$10:$J$224),0),
IF('TL06'!$B$229=Q$3,SUMIF('TL06'!$C$238:$C$451,$C51,'TL06'!$J$238:$J$451),0),
IF('TL07'!$B$3=Q$3,SUMIF('TL07'!$C$10:$C$224,$C51,'TL07'!$J$10:$J$224),0),
IF('TL07'!$B$229=Q$3,SUMIF('TL07'!$C$238:$C$451,$C51,'TL07'!$J$238:$J$451),0),
IF('TL08'!$B$3=Q$3,SUMIF('TL08'!$C$10:$C$224,$C51,'TL08'!$J$10:$J$224),0),
IF('TL08'!$B$229=Q$3,SUMIF('TL08'!$C$238:$C$451,$C51,'TL08'!$J$238:$J$451),0),
IF('TL09'!$B$3=Q$3,SUMIF('TL09'!$C$10:$C$224,$C51,'TL09'!$J$10:$J$224),0),
IF('TL09'!$B$229=Q$3,SUMIF('TL09'!$C$238:$C$451,$C51,'TL09'!$J$238:$J$451),0),
IF('TL10'!$B$3=Q$3,SUMIF('TL10'!$C$10:$C$224,$C51,'TL10'!$J$10:$J$224),0),
IF('TL10'!$B$229=Q$3,SUMIF('TL10'!$C$238:$C$451,$C51,'TL10'!$J$238:$J$451),0),
IF('TL11'!$B$3=Q$3,SUMIF('TL11'!$C$10:$C$224,$C51,'TL11'!$J$10:$J$224),0),
IF('TL11'!$B$229=Q$3,SUMIF('TL11'!$C$238:$C$451,$C51,'TL11'!$J$238:$J$451),0),
IF('TL12'!$B$3=Q$3,SUMIF('TL12'!$C$10:$C$224,$C51,'TL12'!$J$10:$J$224),0),
IF('TL12'!$B$229=Q$3,SUMIF('TL12'!$C$238:$C$451,$C51,'TL12'!$J$238:$J$451),0),
IF('TL13'!$B$3=Q$3,SUMIF('TL13'!$C$10:$C$224,$C51,'TL13'!$J$10:$J$224),0),
IF('TL13'!$B$229=Q$3,SUMIF('TL13'!$C$238:$C$451,$C51,'TL13'!$J$238:$J$451),0),
IF('TL14'!$B$3=Q$3,SUMIF('TL14'!$C$10:$C$224,$C51,'TL14'!$J$10:$J$224),0),
IF('TL14'!$B$229=Q$3,SUMIF('TL14'!$C$238:$C$451,$C51,'TL14'!$J$238:$J$451),0),
IF('TL15'!$B$3=Q$3,SUMIF('TL15'!$C$10:$C$224,$C51,'TL15'!$J$10:$J$224),0),
IF('TL15'!$B$229=Q$3,SUMIF('TL15'!$C$238:$C$451,$C51,'TL15'!$J$238:$J$451),0),
IF('TL16'!$B$3=Q$3,SUMIF('TL16'!$C$10:$C$224,$C51,'TL16'!$J$10:$J$224),0),
IF('TL16'!$B$229=Q$3,SUMIF('TL16'!$C$238:$C$451,$C51,'TL16'!$J$238:$J$451),0),
IF('TL17'!$B$3=Q$3,SUMIF('TL17'!$C$10:$C$224,$C51,'TL17'!$J$10:$J$224),0),
IF('TL17'!$B$229=Q$3,SUMIF('TL17'!$C$238:$C$451,$C51,'TL17'!$J$238:$J$451),0),
IF('TL18'!$B$3=Q$3,SUMIF('TL18'!$C$10:$C$224,$C51,'TL18'!$J$10:$J$224),0),
IF('TL18'!$B$229=Q$3,SUMIF('TL18'!$C$238:$C$451,$C51,'TL18'!$J$238:$J$451),0),
IF('TL19'!$B$3=Q$3,SUMIF('TL19'!$C$10:$C$224,$C51,'TL19'!$J$10:$J$224),0),
IF('TL19'!$B$229=Q$3,SUMIF('TL19'!$C$238:$C$451,$C51,'TL19'!$J$238:$J$451),0)
),0)</f>
        <v/>
      </c>
      <c r="R51" s="9">
        <f>IFERROR(
SUM(
SUMIF('TL01'!C:C,C51,'TL01'!J:J),
SUMIF('TL02'!C:C,C51,'TL02'!J:J),
SUMIF('TL03'!C:C,C51,'TL03'!J:J),
SUMIF('TL04'!C:C,C51,'TL04'!J:J),
SUMIF('TL05'!C:C,C51,'TL05'!J:J),
SUMIF('TL06'!C:C,C51,'TL06'!J:J),
SUMIF('TL07'!C:C,C51,'TL07'!J:J),
SUMIF('TL08'!C:C,C51,'TL08'!J:J),
SUMIF('TL09'!C:C,C51,'TL09'!J:J),
SUMIF('TL10'!C:C,C51,'TL10'!J:J),
SUMIF('TL11'!C:C,C51,'TL11'!J:J),
SUMIF('TL12'!C:C,C51,'TL12'!J:J),
SUMIF('TL13'!C:C,C51,'TL13'!J:J),
SUMIF('TL14'!C:C,C51,'TL14'!J:J),
SUMIF('TL15'!C:C,C51,'TL15'!J:J),
SUMIF('TL16'!C:C,C51,'TL16'!J:J),
SUMIF('TL17'!C:C,C51,'TL17'!J:J),
SUMIF('TL18'!C:C,C51,'TL18'!J:J),SUMIF('TL19'!C:C,C51,'TL19'!J:J))
,0)</f>
        <v/>
      </c>
      <c r="S51" s="17">
        <f>IFERROR(__xludf.DUMMYFUNCTION("IFERROR(VLOOKUP(C51,
IMPORTRANGE(""1wULbzX32WdYsx-lj2U3uUNBBe2INVIRDtcK0d-Dvl90"",
""26-27!C:G""),
5,
FALSE),
"""")"),267.74208000000004)</f>
        <v/>
      </c>
      <c r="T51" s="9" t="n"/>
      <c r="U51" s="92">
        <f>MAX(0,R51-T51)</f>
        <v/>
      </c>
      <c r="V51" s="93">
        <f>U51*S51</f>
        <v/>
      </c>
    </row>
    <row r="52" hidden="1" ht="15.75" customHeight="1" s="297">
      <c r="A52" s="115" t="inlineStr">
        <is>
          <t>BAYER</t>
        </is>
      </c>
      <c r="B52" s="100" t="inlineStr">
        <is>
          <t>FUNGICIDA</t>
        </is>
      </c>
      <c r="C52" s="116" t="inlineStr">
        <is>
          <t>FOX XPRO</t>
        </is>
      </c>
      <c r="D52" s="116" t="inlineStr">
        <is>
          <t>BIXAFEM + PROTIOCONAZOL + TRIFLOXISTROBINA</t>
        </is>
      </c>
      <c r="E52" s="116" t="inlineStr">
        <is>
          <t>125 + 175 + 150</t>
        </is>
      </c>
      <c r="F52" s="4" t="inlineStr">
        <is>
          <t>L</t>
        </is>
      </c>
      <c r="G52" s="90">
        <f>HYPERLINK("https://www.google.com/search?q=" &amp; C52 &amp; "+bula+agrofit+pdf", "📄 Ver bula")</f>
        <v/>
      </c>
      <c r="H52" s="9">
        <f>IFERROR(__xludf.DUMMYFUNCTION("IFERROR(VLOOKUP(C52,
IMPORTRANGE(""1wULbzX32WdYsx-lj2U3uUNBBe2INVIRDtcK0d-Dvl90"",
""26-27!C:K""),
8,
FALSE),
"""")"),0.5)</f>
        <v/>
      </c>
      <c r="I52" s="117" t="inlineStr">
        <is>
          <t>1x20</t>
        </is>
      </c>
      <c r="J52" s="9">
        <f>IFERROR(SUM(
IF('TL01'!$B$3=J$3,SUMIF('TL01'!$C$10:$C$224,$C52,'TL01'!$J$10:$J$224),0),
IF('TL01'!$B$229=J$3,SUMIF('TL01'!$C$238:$C$451,$C52,'TL01'!$J$238:$J$451),0),
IF('TL02'!$B$3=J$3,SUMIF('TL02'!$C$10:$C$224,$C52,'TL02'!$J$10:$J$224),0),
IF('TL02'!$B$229=J$3,SUMIF('TL02'!$C$238:$C$451,$C52,'TL02'!$J$238:$J$451),0),
IF('TL03'!$B$3=J$3,SUMIF('TL03'!$C$10:$C$224,$C52,'TL03'!$J$10:$J$224),0),
IF('TL03'!$B$229=J$3,SUMIF('TL03'!$C$238:$C$451,$C52,'TL03'!$J$238:$J$451),0),
IF('TL04'!$B$3=J$3,SUMIF('TL04'!$C$10:$C$224,$C52,'TL04'!$J$10:$J$224),0),
IF('TL04'!$B$229=J$3,SUMIF('TL04'!$C$238:$C$451,$C52,'TL04'!$J$238:$J$451),0),
IF('TL05'!$B$3=J$3,SUMIF('TL05'!$C$10:$C$224,$C52,'TL05'!$J$10:$J$224),0),
IF('TL05'!$B$229=J$3,SUMIF('TL05'!$C$238:$C$451,$C52,'TL05'!$J$238:$J$451),0),
IF('TL06'!$B$3=J$3,SUMIF('TL06'!$C$10:$C$224,$C52,'TL06'!$J$10:$J$224),0),
IF('TL06'!$B$229=J$3,SUMIF('TL06'!$C$238:$C$451,$C52,'TL06'!$J$238:$J$451),0),
IF('TL07'!$B$3=J$3,SUMIF('TL07'!$C$10:$C$224,$C52,'TL07'!$J$10:$J$224),0),
IF('TL07'!$B$229=J$3,SUMIF('TL07'!$C$238:$C$451,$C52,'TL07'!$J$238:$J$451),0),
IF('TL08'!$B$3=J$3,SUMIF('TL08'!$C$10:$C$224,$C52,'TL08'!$J$10:$J$224),0),
IF('TL08'!$B$229=J$3,SUMIF('TL08'!$C$238:$C$451,$C52,'TL08'!$J$238:$J$451),0),
IF('TL09'!$B$3=J$3,SUMIF('TL09'!$C$10:$C$224,$C52,'TL09'!$J$10:$J$224),0),
IF('TL09'!$B$229=J$3,SUMIF('TL09'!$C$238:$C$451,$C52,'TL09'!$J$238:$J$451),0),
IF('TL10'!$B$3=J$3,SUMIF('TL10'!$C$10:$C$224,$C52,'TL10'!$J$10:$J$224),0),
IF('TL10'!$B$229=J$3,SUMIF('TL10'!$C$238:$C$451,$C52,'TL10'!$J$238:$J$451),0),
IF('TL11'!$B$3=J$3,SUMIF('TL11'!$C$10:$C$224,$C52,'TL11'!$J$10:$J$224),0),
IF('TL11'!$B$229=J$3,SUMIF('TL11'!$C$238:$C$451,$C52,'TL11'!$J$238:$J$451),0),
IF('TL12'!$B$3=J$3,SUMIF('TL12'!$C$10:$C$224,$C52,'TL12'!$J$10:$J$224),0),
IF('TL12'!$B$229=J$3,SUMIF('TL12'!$C$238:$C$451,$C52,'TL12'!$J$238:$J$451),0),
IF('TL13'!$B$3=J$3,SUMIF('TL13'!$C$10:$C$224,$C52,'TL13'!$J$10:$J$224),0),
IF('TL13'!$B$229=J$3,SUMIF('TL13'!$C$238:$C$451,$C52,'TL13'!$J$238:$J$451),0),
IF('TL14'!$B$3=J$3,SUMIF('TL14'!$C$10:$C$224,$C52,'TL14'!$J$10:$J$224),0),
IF('TL14'!$B$229=J$3,SUMIF('TL14'!$C$238:$C$451,$C52,'TL14'!$J$238:$J$451),0),
IF('TL15'!$B$3=J$3,SUMIF('TL15'!$C$10:$C$224,$C52,'TL15'!$J$10:$J$224),0),
IF('TL15'!$B$229=J$3,SUMIF('TL15'!$C$238:$C$451,$C52,'TL15'!$J$238:$J$451),0),
IF('TL16'!$B$3=J$3,SUMIF('TL16'!$C$10:$C$224,$C52,'TL16'!$J$10:$J$224),0),
IF('TL16'!$B$229=J$3,SUMIF('TL16'!$C$238:$C$451,$C52,'TL16'!$J$238:$J$451),0),
IF('TL17'!$B$3=J$3,SUMIF('TL17'!$C$10:$C$224,$C52,'TL17'!$J$10:$J$224),0),
IF('TL17'!$B$229=J$3,SUMIF('TL17'!$C$238:$C$451,$C52,'TL17'!$J$238:$J$451),0),
IF('TL18'!$B$3=J$3,SUMIF('TL18'!$C$10:$C$224,$C52,'TL18'!$J$10:$J$224),0),
IF('TL18'!$B$229=J$3,SUMIF('TL18'!$C$238:$C$451,$C52,'TL18'!$J$238:$J$451),0),
IF('TL19'!$B$3=J$3,SUMIF('TL19'!$C$10:$C$224,$C52,'TL19'!$J$10:$J$224),0),
IF('TL19'!$B$229=J$3,SUMIF('TL19'!$C$238:$C$451,$C52,'TL19'!$J$238:$J$451),0)
),0)</f>
        <v/>
      </c>
      <c r="K52" s="9">
        <f>IFERROR(SUM(
IF('TL01'!$B$3=K$3,SUMIF('TL01'!$C$10:$C$224,$C52,'TL01'!$J$10:$J$224),0),
IF('TL01'!$B$229=K$3,SUMIF('TL01'!$C$238:$C$451,$C52,'TL01'!$J$238:$J$451),0),
IF('TL02'!$B$3=K$3,SUMIF('TL02'!$C$10:$C$224,$C52,'TL02'!$J$10:$J$224),0),
IF('TL02'!$B$229=K$3,SUMIF('TL02'!$C$238:$C$451,$C52,'TL02'!$J$238:$J$451),0),
IF('TL03'!$B$3=K$3,SUMIF('TL03'!$C$10:$C$224,$C52,'TL03'!$J$10:$J$224),0),
IF('TL03'!$B$229=K$3,SUMIF('TL03'!$C$238:$C$451,$C52,'TL03'!$J$238:$J$451),0),
IF('TL04'!$B$3=K$3,SUMIF('TL04'!$C$10:$C$224,$C52,'TL04'!$J$10:$J$224),0),
IF('TL04'!$B$229=K$3,SUMIF('TL04'!$C$238:$C$451,$C52,'TL04'!$J$238:$J$451),0),
IF('TL05'!$B$3=K$3,SUMIF('TL05'!$C$10:$C$224,$C52,'TL05'!$J$10:$J$224),0),
IF('TL05'!$B$229=K$3,SUMIF('TL05'!$C$238:$C$451,$C52,'TL05'!$J$238:$J$451),0),
IF('TL06'!$B$3=K$3,SUMIF('TL06'!$C$10:$C$224,$C52,'TL06'!$J$10:$J$224),0),
IF('TL06'!$B$229=K$3,SUMIF('TL06'!$C$238:$C$451,$C52,'TL06'!$J$238:$J$451),0),
IF('TL07'!$B$3=K$3,SUMIF('TL07'!$C$10:$C$224,$C52,'TL07'!$J$10:$J$224),0),
IF('TL07'!$B$229=K$3,SUMIF('TL07'!$C$238:$C$451,$C52,'TL07'!$J$238:$J$451),0),
IF('TL08'!$B$3=K$3,SUMIF('TL08'!$C$10:$C$224,$C52,'TL08'!$J$10:$J$224),0),
IF('TL08'!$B$229=K$3,SUMIF('TL08'!$C$238:$C$451,$C52,'TL08'!$J$238:$J$451),0),
IF('TL09'!$B$3=K$3,SUMIF('TL09'!$C$10:$C$224,$C52,'TL09'!$J$10:$J$224),0),
IF('TL09'!$B$229=K$3,SUMIF('TL09'!$C$238:$C$451,$C52,'TL09'!$J$238:$J$451),0),
IF('TL10'!$B$3=K$3,SUMIF('TL10'!$C$10:$C$224,$C52,'TL10'!$J$10:$J$224),0),
IF('TL10'!$B$229=K$3,SUMIF('TL10'!$C$238:$C$451,$C52,'TL10'!$J$238:$J$451),0),
IF('TL11'!$B$3=K$3,SUMIF('TL11'!$C$10:$C$224,$C52,'TL11'!$J$10:$J$224),0),
IF('TL11'!$B$229=K$3,SUMIF('TL11'!$C$238:$C$451,$C52,'TL11'!$J$238:$J$451),0),
IF('TL12'!$B$3=K$3,SUMIF('TL12'!$C$10:$C$224,$C52,'TL12'!$J$10:$J$224),0),
IF('TL12'!$B$229=K$3,SUMIF('TL12'!$C$238:$C$451,$C52,'TL12'!$J$238:$J$451),0),
IF('TL13'!$B$3=K$3,SUMIF('TL13'!$C$10:$C$224,$C52,'TL13'!$J$10:$J$224),0),
IF('TL13'!$B$229=K$3,SUMIF('TL13'!$C$238:$C$451,$C52,'TL13'!$J$238:$J$451),0),
IF('TL14'!$B$3=K$3,SUMIF('TL14'!$C$10:$C$224,$C52,'TL14'!$J$10:$J$224),0),
IF('TL14'!$B$229=K$3,SUMIF('TL14'!$C$238:$C$451,$C52,'TL14'!$J$238:$J$451),0),
IF('TL15'!$B$3=K$3,SUMIF('TL15'!$C$10:$C$224,$C52,'TL15'!$J$10:$J$224),0),
IF('TL15'!$B$229=K$3,SUMIF('TL15'!$C$238:$C$451,$C52,'TL15'!$J$238:$J$451),0),
IF('TL16'!$B$3=K$3,SUMIF('TL16'!$C$10:$C$224,$C52,'TL16'!$J$10:$J$224),0),
IF('TL16'!$B$229=K$3,SUMIF('TL16'!$C$238:$C$451,$C52,'TL16'!$J$238:$J$451),0),
IF('TL17'!$B$3=K$3,SUMIF('TL17'!$C$10:$C$224,$C52,'TL17'!$J$10:$J$224),0),
IF('TL17'!$B$229=K$3,SUMIF('TL17'!$C$238:$C$451,$C52,'TL17'!$J$238:$J$451),0),
IF('TL18'!$B$3=K$3,SUMIF('TL18'!$C$10:$C$224,$C52,'TL18'!$J$10:$J$224),0),
IF('TL18'!$B$229=K$3,SUMIF('TL18'!$C$238:$C$451,$C52,'TL18'!$J$238:$J$451),0),
IF('TL19'!$B$3=K$3,SUMIF('TL19'!$C$10:$C$224,$C52,'TL19'!$J$10:$J$224),0),
IF('TL19'!$B$229=K$3,SUMIF('TL19'!$C$238:$C$451,$C52,'TL19'!$J$238:$J$451),0)
),0)</f>
        <v/>
      </c>
      <c r="L52" s="9">
        <f>IFERROR(SUM(
IF('TL01'!$B$3=L$3,SUMIF('TL01'!$C$10:$C$224,$C52,'TL01'!$J$10:$J$224),0),
IF('TL01'!$B$229=L$3,SUMIF('TL01'!$C$238:$C$451,$C52,'TL01'!$J$238:$J$451),0),
IF('TL02'!$B$3=L$3,SUMIF('TL02'!$C$10:$C$224,$C52,'TL02'!$J$10:$J$224),0),
IF('TL02'!$B$229=L$3,SUMIF('TL02'!$C$238:$C$451,$C52,'TL02'!$J$238:$J$451),0),
IF('TL03'!$B$3=L$3,SUMIF('TL03'!$C$10:$C$224,$C52,'TL03'!$J$10:$J$224),0),
IF('TL03'!$B$229=L$3,SUMIF('TL03'!$C$238:$C$451,$C52,'TL03'!$J$238:$J$451),0),
IF('TL04'!$B$3=L$3,SUMIF('TL04'!$C$10:$C$224,$C52,'TL04'!$J$10:$J$224),0),
IF('TL04'!$B$229=L$3,SUMIF('TL04'!$C$238:$C$451,$C52,'TL04'!$J$238:$J$451),0),
IF('TL05'!$B$3=L$3,SUMIF('TL05'!$C$10:$C$224,$C52,'TL05'!$J$10:$J$224),0),
IF('TL05'!$B$229=L$3,SUMIF('TL05'!$C$238:$C$451,$C52,'TL05'!$J$238:$J$451),0),
IF('TL06'!$B$3=L$3,SUMIF('TL06'!$C$10:$C$224,$C52,'TL06'!$J$10:$J$224),0),
IF('TL06'!$B$229=L$3,SUMIF('TL06'!$C$238:$C$451,$C52,'TL06'!$J$238:$J$451),0),
IF('TL07'!$B$3=L$3,SUMIF('TL07'!$C$10:$C$224,$C52,'TL07'!$J$10:$J$224),0),
IF('TL07'!$B$229=L$3,SUMIF('TL07'!$C$238:$C$451,$C52,'TL07'!$J$238:$J$451),0),
IF('TL08'!$B$3=L$3,SUMIF('TL08'!$C$10:$C$224,$C52,'TL08'!$J$10:$J$224),0),
IF('TL08'!$B$229=L$3,SUMIF('TL08'!$C$238:$C$451,$C52,'TL08'!$J$238:$J$451),0),
IF('TL09'!$B$3=L$3,SUMIF('TL09'!$C$10:$C$224,$C52,'TL09'!$J$10:$J$224),0),
IF('TL09'!$B$229=L$3,SUMIF('TL09'!$C$238:$C$451,$C52,'TL09'!$J$238:$J$451),0),
IF('TL10'!$B$3=L$3,SUMIF('TL10'!$C$10:$C$224,$C52,'TL10'!$J$10:$J$224),0),
IF('TL10'!$B$229=L$3,SUMIF('TL10'!$C$238:$C$451,$C52,'TL10'!$J$238:$J$451),0),
IF('TL11'!$B$3=L$3,SUMIF('TL11'!$C$10:$C$224,$C52,'TL11'!$J$10:$J$224),0),
IF('TL11'!$B$229=L$3,SUMIF('TL11'!$C$238:$C$451,$C52,'TL11'!$J$238:$J$451),0),
IF('TL12'!$B$3=L$3,SUMIF('TL12'!$C$10:$C$224,$C52,'TL12'!$J$10:$J$224),0),
IF('TL12'!$B$229=L$3,SUMIF('TL12'!$C$238:$C$451,$C52,'TL12'!$J$238:$J$451),0),
IF('TL13'!$B$3=L$3,SUMIF('TL13'!$C$10:$C$224,$C52,'TL13'!$J$10:$J$224),0),
IF('TL13'!$B$229=L$3,SUMIF('TL13'!$C$238:$C$451,$C52,'TL13'!$J$238:$J$451),0),
IF('TL14'!$B$3=L$3,SUMIF('TL14'!$C$10:$C$224,$C52,'TL14'!$J$10:$J$224),0),
IF('TL14'!$B$229=L$3,SUMIF('TL14'!$C$238:$C$451,$C52,'TL14'!$J$238:$J$451),0),
IF('TL15'!$B$3=L$3,SUMIF('TL15'!$C$10:$C$224,$C52,'TL15'!$J$10:$J$224),0),
IF('TL15'!$B$229=L$3,SUMIF('TL15'!$C$238:$C$451,$C52,'TL15'!$J$238:$J$451),0),
IF('TL16'!$B$3=L$3,SUMIF('TL16'!$C$10:$C$224,$C52,'TL16'!$J$10:$J$224),0),
IF('TL16'!$B$229=L$3,SUMIF('TL16'!$C$238:$C$451,$C52,'TL16'!$J$238:$J$451),0),
IF('TL17'!$B$3=L$3,SUMIF('TL17'!$C$10:$C$224,$C52,'TL17'!$J$10:$J$224),0),
IF('TL17'!$B$229=L$3,SUMIF('TL17'!$C$238:$C$451,$C52,'TL17'!$J$238:$J$451),0),
IF('TL18'!$B$3=L$3,SUMIF('TL18'!$C$10:$C$224,$C52,'TL18'!$J$10:$J$224),0),
IF('TL18'!$B$229=L$3,SUMIF('TL18'!$C$238:$C$451,$C52,'TL18'!$J$238:$J$451),0),
IF('TL19'!$B$3=L$3,SUMIF('TL19'!$C$10:$C$224,$C52,'TL19'!$J$10:$J$224),0),
IF('TL19'!$B$229=L$3,SUMIF('TL19'!$C$238:$C$451,$C52,'TL19'!$J$238:$J$451),0)
),0)</f>
        <v/>
      </c>
      <c r="M52" s="9">
        <f>IFERROR(SUM(
IF('TL01'!$B$3=M$3,SUMIF('TL01'!$C$10:$C$224,$C52,'TL01'!$J$10:$J$224),0),
IF('TL01'!$B$229=M$3,SUMIF('TL01'!$C$238:$C$451,$C52,'TL01'!$J$238:$J$451),0),
IF('TL02'!$B$3=M$3,SUMIF('TL02'!$C$10:$C$224,$C52,'TL02'!$J$10:$J$224),0),
IF('TL02'!$B$229=M$3,SUMIF('TL02'!$C$238:$C$451,$C52,'TL02'!$J$238:$J$451),0),
IF('TL03'!$B$3=M$3,SUMIF('TL03'!$C$10:$C$224,$C52,'TL03'!$J$10:$J$224),0),
IF('TL03'!$B$229=M$3,SUMIF('TL03'!$C$238:$C$451,$C52,'TL03'!$J$238:$J$451),0),
IF('TL04'!$B$3=M$3,SUMIF('TL04'!$C$10:$C$224,$C52,'TL04'!$J$10:$J$224),0),
IF('TL04'!$B$229=M$3,SUMIF('TL04'!$C$238:$C$451,$C52,'TL04'!$J$238:$J$451),0),
IF('TL05'!$B$3=M$3,SUMIF('TL05'!$C$10:$C$224,$C52,'TL05'!$J$10:$J$224),0),
IF('TL05'!$B$229=M$3,SUMIF('TL05'!$C$238:$C$451,$C52,'TL05'!$J$238:$J$451),0),
IF('TL06'!$B$3=M$3,SUMIF('TL06'!$C$10:$C$224,$C52,'TL06'!$J$10:$J$224),0),
IF('TL06'!$B$229=M$3,SUMIF('TL06'!$C$238:$C$451,$C52,'TL06'!$J$238:$J$451),0),
IF('TL07'!$B$3=M$3,SUMIF('TL07'!$C$10:$C$224,$C52,'TL07'!$J$10:$J$224),0),
IF('TL07'!$B$229=M$3,SUMIF('TL07'!$C$238:$C$451,$C52,'TL07'!$J$238:$J$451),0),
IF('TL08'!$B$3=M$3,SUMIF('TL08'!$C$10:$C$224,$C52,'TL08'!$J$10:$J$224),0),
IF('TL08'!$B$229=M$3,SUMIF('TL08'!$C$238:$C$451,$C52,'TL08'!$J$238:$J$451),0),
IF('TL09'!$B$3=M$3,SUMIF('TL09'!$C$10:$C$224,$C52,'TL09'!$J$10:$J$224),0),
IF('TL09'!$B$229=M$3,SUMIF('TL09'!$C$238:$C$451,$C52,'TL09'!$J$238:$J$451),0),
IF('TL10'!$B$3=M$3,SUMIF('TL10'!$C$10:$C$224,$C52,'TL10'!$J$10:$J$224),0),
IF('TL10'!$B$229=M$3,SUMIF('TL10'!$C$238:$C$451,$C52,'TL10'!$J$238:$J$451),0),
IF('TL11'!$B$3=M$3,SUMIF('TL11'!$C$10:$C$224,$C52,'TL11'!$J$10:$J$224),0),
IF('TL11'!$B$229=M$3,SUMIF('TL11'!$C$238:$C$451,$C52,'TL11'!$J$238:$J$451),0),
IF('TL12'!$B$3=M$3,SUMIF('TL12'!$C$10:$C$224,$C52,'TL12'!$J$10:$J$224),0),
IF('TL12'!$B$229=M$3,SUMIF('TL12'!$C$238:$C$451,$C52,'TL12'!$J$238:$J$451),0),
IF('TL13'!$B$3=M$3,SUMIF('TL13'!$C$10:$C$224,$C52,'TL13'!$J$10:$J$224),0),
IF('TL13'!$B$229=M$3,SUMIF('TL13'!$C$238:$C$451,$C52,'TL13'!$J$238:$J$451),0),
IF('TL14'!$B$3=M$3,SUMIF('TL14'!$C$10:$C$224,$C52,'TL14'!$J$10:$J$224),0),
IF('TL14'!$B$229=M$3,SUMIF('TL14'!$C$238:$C$451,$C52,'TL14'!$J$238:$J$451),0),
IF('TL15'!$B$3=M$3,SUMIF('TL15'!$C$10:$C$224,$C52,'TL15'!$J$10:$J$224),0),
IF('TL15'!$B$229=M$3,SUMIF('TL15'!$C$238:$C$451,$C52,'TL15'!$J$238:$J$451),0),
IF('TL16'!$B$3=M$3,SUMIF('TL16'!$C$10:$C$224,$C52,'TL16'!$J$10:$J$224),0),
IF('TL16'!$B$229=M$3,SUMIF('TL16'!$C$238:$C$451,$C52,'TL16'!$J$238:$J$451),0),
IF('TL17'!$B$3=M$3,SUMIF('TL17'!$C$10:$C$224,$C52,'TL17'!$J$10:$J$224),0),
IF('TL17'!$B$229=M$3,SUMIF('TL17'!$C$238:$C$451,$C52,'TL17'!$J$238:$J$451),0),
IF('TL18'!$B$3=M$3,SUMIF('TL18'!$C$10:$C$224,$C52,'TL18'!$J$10:$J$224),0),
IF('TL18'!$B$229=M$3,SUMIF('TL18'!$C$238:$C$451,$C52,'TL18'!$J$238:$J$451),0),
IF('TL19'!$B$3=M$3,SUMIF('TL19'!$C$10:$C$224,$C52,'TL19'!$J$10:$J$224),0),
IF('TL19'!$B$229=M$3,SUMIF('TL19'!$C$238:$C$451,$C52,'TL19'!$J$238:$J$451),0)
),0)</f>
        <v/>
      </c>
      <c r="N52" s="9">
        <f>IFERROR(SUM(
IF('TL01'!$B$3=N$3,SUMIF('TL01'!$C$10:$C$224,$C52,'TL01'!$J$10:$J$224),0),
IF('TL01'!$B$229=N$3,SUMIF('TL01'!$C$238:$C$451,$C52,'TL01'!$J$238:$J$451),0),
IF('TL02'!$B$3=N$3,SUMIF('TL02'!$C$10:$C$224,$C52,'TL02'!$J$10:$J$224),0),
IF('TL02'!$B$229=N$3,SUMIF('TL02'!$C$238:$C$451,$C52,'TL02'!$J$238:$J$451),0),
IF('TL03'!$B$3=N$3,SUMIF('TL03'!$C$10:$C$224,$C52,'TL03'!$J$10:$J$224),0),
IF('TL03'!$B$229=N$3,SUMIF('TL03'!$C$238:$C$451,$C52,'TL03'!$J$238:$J$451),0),
IF('TL04'!$B$3=N$3,SUMIF('TL04'!$C$10:$C$224,$C52,'TL04'!$J$10:$J$224),0),
IF('TL04'!$B$229=N$3,SUMIF('TL04'!$C$238:$C$451,$C52,'TL04'!$J$238:$J$451),0),
IF('TL05'!$B$3=N$3,SUMIF('TL05'!$C$10:$C$224,$C52,'TL05'!$J$10:$J$224),0),
IF('TL05'!$B$229=N$3,SUMIF('TL05'!$C$238:$C$451,$C52,'TL05'!$J$238:$J$451),0),
IF('TL06'!$B$3=N$3,SUMIF('TL06'!$C$10:$C$224,$C52,'TL06'!$J$10:$J$224),0),
IF('TL06'!$B$229=N$3,SUMIF('TL06'!$C$238:$C$451,$C52,'TL06'!$J$238:$J$451),0),
IF('TL07'!$B$3=N$3,SUMIF('TL07'!$C$10:$C$224,$C52,'TL07'!$J$10:$J$224),0),
IF('TL07'!$B$229=N$3,SUMIF('TL07'!$C$238:$C$451,$C52,'TL07'!$J$238:$J$451),0),
IF('TL08'!$B$3=N$3,SUMIF('TL08'!$C$10:$C$224,$C52,'TL08'!$J$10:$J$224),0),
IF('TL08'!$B$229=N$3,SUMIF('TL08'!$C$238:$C$451,$C52,'TL08'!$J$238:$J$451),0),
IF('TL09'!$B$3=N$3,SUMIF('TL09'!$C$10:$C$224,$C52,'TL09'!$J$10:$J$224),0),
IF('TL09'!$B$229=N$3,SUMIF('TL09'!$C$238:$C$451,$C52,'TL09'!$J$238:$J$451),0),
IF('TL10'!$B$3=N$3,SUMIF('TL10'!$C$10:$C$224,$C52,'TL10'!$J$10:$J$224),0),
IF('TL10'!$B$229=N$3,SUMIF('TL10'!$C$238:$C$451,$C52,'TL10'!$J$238:$J$451),0),
IF('TL11'!$B$3=N$3,SUMIF('TL11'!$C$10:$C$224,$C52,'TL11'!$J$10:$J$224),0),
IF('TL11'!$B$229=N$3,SUMIF('TL11'!$C$238:$C$451,$C52,'TL11'!$J$238:$J$451),0),
IF('TL12'!$B$3=N$3,SUMIF('TL12'!$C$10:$C$224,$C52,'TL12'!$J$10:$J$224),0),
IF('TL12'!$B$229=N$3,SUMIF('TL12'!$C$238:$C$451,$C52,'TL12'!$J$238:$J$451),0),
IF('TL13'!$B$3=N$3,SUMIF('TL13'!$C$10:$C$224,$C52,'TL13'!$J$10:$J$224),0),
IF('TL13'!$B$229=N$3,SUMIF('TL13'!$C$238:$C$451,$C52,'TL13'!$J$238:$J$451),0),
IF('TL14'!$B$3=N$3,SUMIF('TL14'!$C$10:$C$224,$C52,'TL14'!$J$10:$J$224),0),
IF('TL14'!$B$229=N$3,SUMIF('TL14'!$C$238:$C$451,$C52,'TL14'!$J$238:$J$451),0),
IF('TL15'!$B$3=N$3,SUMIF('TL15'!$C$10:$C$224,$C52,'TL15'!$J$10:$J$224),0),
IF('TL15'!$B$229=N$3,SUMIF('TL15'!$C$238:$C$451,$C52,'TL15'!$J$238:$J$451),0),
IF('TL16'!$B$3=N$3,SUMIF('TL16'!$C$10:$C$224,$C52,'TL16'!$J$10:$J$224),0),
IF('TL16'!$B$229=N$3,SUMIF('TL16'!$C$238:$C$451,$C52,'TL16'!$J$238:$J$451),0),
IF('TL17'!$B$3=N$3,SUMIF('TL17'!$C$10:$C$224,$C52,'TL17'!$J$10:$J$224),0),
IF('TL17'!$B$229=N$3,SUMIF('TL17'!$C$238:$C$451,$C52,'TL17'!$J$238:$J$451),0),
IF('TL18'!$B$3=N$3,SUMIF('TL18'!$C$10:$C$224,$C52,'TL18'!$J$10:$J$224),0),
IF('TL18'!$B$229=N$3,SUMIF('TL18'!$C$238:$C$451,$C52,'TL18'!$J$238:$J$451),0),
IF('TL19'!$B$3=N$3,SUMIF('TL19'!$C$10:$C$224,$C52,'TL19'!$J$10:$J$224),0),
IF('TL19'!$B$229=N$3,SUMIF('TL19'!$C$238:$C$451,$C52,'TL19'!$J$238:$J$451),0)
),0)</f>
        <v/>
      </c>
      <c r="O52" s="9">
        <f>IFERROR(SUM(
IF('TL01'!$B$3=O$3,SUMIF('TL01'!$C$10:$C$224,$C52,'TL01'!$J$10:$J$224),0),
IF('TL01'!$B$229=O$3,SUMIF('TL01'!$C$238:$C$451,$C52,'TL01'!$J$238:$J$451),0),
IF('TL02'!$B$3=O$3,SUMIF('TL02'!$C$10:$C$224,$C52,'TL02'!$J$10:$J$224),0),
IF('TL02'!$B$229=O$3,SUMIF('TL02'!$C$238:$C$451,$C52,'TL02'!$J$238:$J$451),0),
IF('TL03'!$B$3=O$3,SUMIF('TL03'!$C$10:$C$224,$C52,'TL03'!$J$10:$J$224),0),
IF('TL03'!$B$229=O$3,SUMIF('TL03'!$C$238:$C$451,$C52,'TL03'!$J$238:$J$451),0),
IF('TL04'!$B$3=O$3,SUMIF('TL04'!$C$10:$C$224,$C52,'TL04'!$J$10:$J$224),0),
IF('TL04'!$B$229=O$3,SUMIF('TL04'!$C$238:$C$451,$C52,'TL04'!$J$238:$J$451),0),
IF('TL05'!$B$3=O$3,SUMIF('TL05'!$C$10:$C$224,$C52,'TL05'!$J$10:$J$224),0),
IF('TL05'!$B$229=O$3,SUMIF('TL05'!$C$238:$C$451,$C52,'TL05'!$J$238:$J$451),0),
IF('TL06'!$B$3=O$3,SUMIF('TL06'!$C$10:$C$224,$C52,'TL06'!$J$10:$J$224),0),
IF('TL06'!$B$229=O$3,SUMIF('TL06'!$C$238:$C$451,$C52,'TL06'!$J$238:$J$451),0),
IF('TL07'!$B$3=O$3,SUMIF('TL07'!$C$10:$C$224,$C52,'TL07'!$J$10:$J$224),0),
IF('TL07'!$B$229=O$3,SUMIF('TL07'!$C$238:$C$451,$C52,'TL07'!$J$238:$J$451),0),
IF('TL08'!$B$3=O$3,SUMIF('TL08'!$C$10:$C$224,$C52,'TL08'!$J$10:$J$224),0),
IF('TL08'!$B$229=O$3,SUMIF('TL08'!$C$238:$C$451,$C52,'TL08'!$J$238:$J$451),0),
IF('TL09'!$B$3=O$3,SUMIF('TL09'!$C$10:$C$224,$C52,'TL09'!$J$10:$J$224),0),
IF('TL09'!$B$229=O$3,SUMIF('TL09'!$C$238:$C$451,$C52,'TL09'!$J$238:$J$451),0),
IF('TL10'!$B$3=O$3,SUMIF('TL10'!$C$10:$C$224,$C52,'TL10'!$J$10:$J$224),0),
IF('TL10'!$B$229=O$3,SUMIF('TL10'!$C$238:$C$451,$C52,'TL10'!$J$238:$J$451),0),
IF('TL11'!$B$3=O$3,SUMIF('TL11'!$C$10:$C$224,$C52,'TL11'!$J$10:$J$224),0),
IF('TL11'!$B$229=O$3,SUMIF('TL11'!$C$238:$C$451,$C52,'TL11'!$J$238:$J$451),0),
IF('TL12'!$B$3=O$3,SUMIF('TL12'!$C$10:$C$224,$C52,'TL12'!$J$10:$J$224),0),
IF('TL12'!$B$229=O$3,SUMIF('TL12'!$C$238:$C$451,$C52,'TL12'!$J$238:$J$451),0),
IF('TL13'!$B$3=O$3,SUMIF('TL13'!$C$10:$C$224,$C52,'TL13'!$J$10:$J$224),0),
IF('TL13'!$B$229=O$3,SUMIF('TL13'!$C$238:$C$451,$C52,'TL13'!$J$238:$J$451),0),
IF('TL14'!$B$3=O$3,SUMIF('TL14'!$C$10:$C$224,$C52,'TL14'!$J$10:$J$224),0),
IF('TL14'!$B$229=O$3,SUMIF('TL14'!$C$238:$C$451,$C52,'TL14'!$J$238:$J$451),0),
IF('TL15'!$B$3=O$3,SUMIF('TL15'!$C$10:$C$224,$C52,'TL15'!$J$10:$J$224),0),
IF('TL15'!$B$229=O$3,SUMIF('TL15'!$C$238:$C$451,$C52,'TL15'!$J$238:$J$451),0),
IF('TL16'!$B$3=O$3,SUMIF('TL16'!$C$10:$C$224,$C52,'TL16'!$J$10:$J$224),0),
IF('TL16'!$B$229=O$3,SUMIF('TL16'!$C$238:$C$451,$C52,'TL16'!$J$238:$J$451),0),
IF('TL17'!$B$3=O$3,SUMIF('TL17'!$C$10:$C$224,$C52,'TL17'!$J$10:$J$224),0),
IF('TL17'!$B$229=O$3,SUMIF('TL17'!$C$238:$C$451,$C52,'TL17'!$J$238:$J$451),0),
IF('TL18'!$B$3=O$3,SUMIF('TL18'!$C$10:$C$224,$C52,'TL18'!$J$10:$J$224),0),
IF('TL18'!$B$229=O$3,SUMIF('TL18'!$C$238:$C$451,$C52,'TL18'!$J$238:$J$451),0),
IF('TL19'!$B$3=O$3,SUMIF('TL19'!$C$10:$C$224,$C52,'TL19'!$J$10:$J$224),0),
IF('TL19'!$B$229=O$3,SUMIF('TL19'!$C$238:$C$451,$C52,'TL19'!$J$238:$J$451),0)
),0)</f>
        <v/>
      </c>
      <c r="P52" s="9">
        <f>IFERROR(SUM(
IF('TL01'!$B$3=P$3,SUMIF('TL01'!$C$10:$C$224,$C52,'TL01'!$J$10:$J$224),0),
IF('TL01'!$B$229=P$3,SUMIF('TL01'!$C$238:$C$451,$C52,'TL01'!$J$238:$J$451),0),
IF('TL02'!$B$3=P$3,SUMIF('TL02'!$C$10:$C$224,$C52,'TL02'!$J$10:$J$224),0),
IF('TL02'!$B$229=P$3,SUMIF('TL02'!$C$238:$C$451,$C52,'TL02'!$J$238:$J$451),0),
IF('TL03'!$B$3=P$3,SUMIF('TL03'!$C$10:$C$224,$C52,'TL03'!$J$10:$J$224),0),
IF('TL03'!$B$229=P$3,SUMIF('TL03'!$C$238:$C$451,$C52,'TL03'!$J$238:$J$451),0),
IF('TL04'!$B$3=P$3,SUMIF('TL04'!$C$10:$C$224,$C52,'TL04'!$J$10:$J$224),0),
IF('TL04'!$B$229=P$3,SUMIF('TL04'!$C$238:$C$451,$C52,'TL04'!$J$238:$J$451),0),
IF('TL05'!$B$3=P$3,SUMIF('TL05'!$C$10:$C$224,$C52,'TL05'!$J$10:$J$224),0),
IF('TL05'!$B$229=P$3,SUMIF('TL05'!$C$238:$C$451,$C52,'TL05'!$J$238:$J$451),0),
IF('TL06'!$B$3=P$3,SUMIF('TL06'!$C$10:$C$224,$C52,'TL06'!$J$10:$J$224),0),
IF('TL06'!$B$229=P$3,SUMIF('TL06'!$C$238:$C$451,$C52,'TL06'!$J$238:$J$451),0),
IF('TL07'!$B$3=P$3,SUMIF('TL07'!$C$10:$C$224,$C52,'TL07'!$J$10:$J$224),0),
IF('TL07'!$B$229=P$3,SUMIF('TL07'!$C$238:$C$451,$C52,'TL07'!$J$238:$J$451),0),
IF('TL08'!$B$3=P$3,SUMIF('TL08'!$C$10:$C$224,$C52,'TL08'!$J$10:$J$224),0),
IF('TL08'!$B$229=P$3,SUMIF('TL08'!$C$238:$C$451,$C52,'TL08'!$J$238:$J$451),0),
IF('TL09'!$B$3=P$3,SUMIF('TL09'!$C$10:$C$224,$C52,'TL09'!$J$10:$J$224),0),
IF('TL09'!$B$229=P$3,SUMIF('TL09'!$C$238:$C$451,$C52,'TL09'!$J$238:$J$451),0),
IF('TL10'!$B$3=P$3,SUMIF('TL10'!$C$10:$C$224,$C52,'TL10'!$J$10:$J$224),0),
IF('TL10'!$B$229=P$3,SUMIF('TL10'!$C$238:$C$451,$C52,'TL10'!$J$238:$J$451),0),
IF('TL11'!$B$3=P$3,SUMIF('TL11'!$C$10:$C$224,$C52,'TL11'!$J$10:$J$224),0),
IF('TL11'!$B$229=P$3,SUMIF('TL11'!$C$238:$C$451,$C52,'TL11'!$J$238:$J$451),0),
IF('TL12'!$B$3=P$3,SUMIF('TL12'!$C$10:$C$224,$C52,'TL12'!$J$10:$J$224),0),
IF('TL12'!$B$229=P$3,SUMIF('TL12'!$C$238:$C$451,$C52,'TL12'!$J$238:$J$451),0),
IF('TL13'!$B$3=P$3,SUMIF('TL13'!$C$10:$C$224,$C52,'TL13'!$J$10:$J$224),0),
IF('TL13'!$B$229=P$3,SUMIF('TL13'!$C$238:$C$451,$C52,'TL13'!$J$238:$J$451),0),
IF('TL14'!$B$3=P$3,SUMIF('TL14'!$C$10:$C$224,$C52,'TL14'!$J$10:$J$224),0),
IF('TL14'!$B$229=P$3,SUMIF('TL14'!$C$238:$C$451,$C52,'TL14'!$J$238:$J$451),0),
IF('TL15'!$B$3=P$3,SUMIF('TL15'!$C$10:$C$224,$C52,'TL15'!$J$10:$J$224),0),
IF('TL15'!$B$229=P$3,SUMIF('TL15'!$C$238:$C$451,$C52,'TL15'!$J$238:$J$451),0),
IF('TL16'!$B$3=P$3,SUMIF('TL16'!$C$10:$C$224,$C52,'TL16'!$J$10:$J$224),0),
IF('TL16'!$B$229=P$3,SUMIF('TL16'!$C$238:$C$451,$C52,'TL16'!$J$238:$J$451),0),
IF('TL17'!$B$3=P$3,SUMIF('TL17'!$C$10:$C$224,$C52,'TL17'!$J$10:$J$224),0),
IF('TL17'!$B$229=P$3,SUMIF('TL17'!$C$238:$C$451,$C52,'TL17'!$J$238:$J$451),0),
IF('TL18'!$B$3=P$3,SUMIF('TL18'!$C$10:$C$224,$C52,'TL18'!$J$10:$J$224),0),
IF('TL18'!$B$229=P$3,SUMIF('TL18'!$C$238:$C$451,$C52,'TL18'!$J$238:$J$451),0),
IF('TL19'!$B$3=P$3,SUMIF('TL19'!$C$10:$C$224,$C52,'TL19'!$J$10:$J$224),0),
IF('TL19'!$B$229=P$3,SUMIF('TL19'!$C$238:$C$451,$C52,'TL19'!$J$238:$J$451),0)
),0)</f>
        <v/>
      </c>
      <c r="Q52" s="9">
        <f>IFERROR(SUM(
IF('TL01'!$B$3=Q$3,SUMIF('TL01'!$C$10:$C$224,$C52,'TL01'!$J$10:$J$224),0),
IF('TL01'!$B$229=Q$3,SUMIF('TL01'!$C$238:$C$451,$C52,'TL01'!$J$238:$J$451),0),
IF('TL02'!$B$3=Q$3,SUMIF('TL02'!$C$10:$C$224,$C52,'TL02'!$J$10:$J$224),0),
IF('TL02'!$B$229=Q$3,SUMIF('TL02'!$C$238:$C$451,$C52,'TL02'!$J$238:$J$451),0),
IF('TL03'!$B$3=Q$3,SUMIF('TL03'!$C$10:$C$224,$C52,'TL03'!$J$10:$J$224),0),
IF('TL03'!$B$229=Q$3,SUMIF('TL03'!$C$238:$C$451,$C52,'TL03'!$J$238:$J$451),0),
IF('TL04'!$B$3=Q$3,SUMIF('TL04'!$C$10:$C$224,$C52,'TL04'!$J$10:$J$224),0),
IF('TL04'!$B$229=Q$3,SUMIF('TL04'!$C$238:$C$451,$C52,'TL04'!$J$238:$J$451),0),
IF('TL05'!$B$3=Q$3,SUMIF('TL05'!$C$10:$C$224,$C52,'TL05'!$J$10:$J$224),0),
IF('TL05'!$B$229=Q$3,SUMIF('TL05'!$C$238:$C$451,$C52,'TL05'!$J$238:$J$451),0),
IF('TL06'!$B$3=Q$3,SUMIF('TL06'!$C$10:$C$224,$C52,'TL06'!$J$10:$J$224),0),
IF('TL06'!$B$229=Q$3,SUMIF('TL06'!$C$238:$C$451,$C52,'TL06'!$J$238:$J$451),0),
IF('TL07'!$B$3=Q$3,SUMIF('TL07'!$C$10:$C$224,$C52,'TL07'!$J$10:$J$224),0),
IF('TL07'!$B$229=Q$3,SUMIF('TL07'!$C$238:$C$451,$C52,'TL07'!$J$238:$J$451),0),
IF('TL08'!$B$3=Q$3,SUMIF('TL08'!$C$10:$C$224,$C52,'TL08'!$J$10:$J$224),0),
IF('TL08'!$B$229=Q$3,SUMIF('TL08'!$C$238:$C$451,$C52,'TL08'!$J$238:$J$451),0),
IF('TL09'!$B$3=Q$3,SUMIF('TL09'!$C$10:$C$224,$C52,'TL09'!$J$10:$J$224),0),
IF('TL09'!$B$229=Q$3,SUMIF('TL09'!$C$238:$C$451,$C52,'TL09'!$J$238:$J$451),0),
IF('TL10'!$B$3=Q$3,SUMIF('TL10'!$C$10:$C$224,$C52,'TL10'!$J$10:$J$224),0),
IF('TL10'!$B$229=Q$3,SUMIF('TL10'!$C$238:$C$451,$C52,'TL10'!$J$238:$J$451),0),
IF('TL11'!$B$3=Q$3,SUMIF('TL11'!$C$10:$C$224,$C52,'TL11'!$J$10:$J$224),0),
IF('TL11'!$B$229=Q$3,SUMIF('TL11'!$C$238:$C$451,$C52,'TL11'!$J$238:$J$451),0),
IF('TL12'!$B$3=Q$3,SUMIF('TL12'!$C$10:$C$224,$C52,'TL12'!$J$10:$J$224),0),
IF('TL12'!$B$229=Q$3,SUMIF('TL12'!$C$238:$C$451,$C52,'TL12'!$J$238:$J$451),0),
IF('TL13'!$B$3=Q$3,SUMIF('TL13'!$C$10:$C$224,$C52,'TL13'!$J$10:$J$224),0),
IF('TL13'!$B$229=Q$3,SUMIF('TL13'!$C$238:$C$451,$C52,'TL13'!$J$238:$J$451),0),
IF('TL14'!$B$3=Q$3,SUMIF('TL14'!$C$10:$C$224,$C52,'TL14'!$J$10:$J$224),0),
IF('TL14'!$B$229=Q$3,SUMIF('TL14'!$C$238:$C$451,$C52,'TL14'!$J$238:$J$451),0),
IF('TL15'!$B$3=Q$3,SUMIF('TL15'!$C$10:$C$224,$C52,'TL15'!$J$10:$J$224),0),
IF('TL15'!$B$229=Q$3,SUMIF('TL15'!$C$238:$C$451,$C52,'TL15'!$J$238:$J$451),0),
IF('TL16'!$B$3=Q$3,SUMIF('TL16'!$C$10:$C$224,$C52,'TL16'!$J$10:$J$224),0),
IF('TL16'!$B$229=Q$3,SUMIF('TL16'!$C$238:$C$451,$C52,'TL16'!$J$238:$J$451),0),
IF('TL17'!$B$3=Q$3,SUMIF('TL17'!$C$10:$C$224,$C52,'TL17'!$J$10:$J$224),0),
IF('TL17'!$B$229=Q$3,SUMIF('TL17'!$C$238:$C$451,$C52,'TL17'!$J$238:$J$451),0),
IF('TL18'!$B$3=Q$3,SUMIF('TL18'!$C$10:$C$224,$C52,'TL18'!$J$10:$J$224),0),
IF('TL18'!$B$229=Q$3,SUMIF('TL18'!$C$238:$C$451,$C52,'TL18'!$J$238:$J$451),0),
IF('TL19'!$B$3=Q$3,SUMIF('TL19'!$C$10:$C$224,$C52,'TL19'!$J$10:$J$224),0),
IF('TL19'!$B$229=Q$3,SUMIF('TL19'!$C$238:$C$451,$C52,'TL19'!$J$238:$J$451),0)
),0)</f>
        <v/>
      </c>
      <c r="R52" s="9">
        <f>IFERROR(
SUM(
SUMIF('TL01'!C:C,C52,'TL01'!J:J),
SUMIF('TL02'!C:C,C52,'TL02'!J:J),
SUMIF('TL03'!C:C,C52,'TL03'!J:J),
SUMIF('TL04'!C:C,C52,'TL04'!J:J),
SUMIF('TL05'!C:C,C52,'TL05'!J:J),
SUMIF('TL06'!C:C,C52,'TL06'!J:J),
SUMIF('TL07'!C:C,C52,'TL07'!J:J),
SUMIF('TL08'!C:C,C52,'TL08'!J:J),
SUMIF('TL09'!C:C,C52,'TL09'!J:J),
SUMIF('TL10'!C:C,C52,'TL10'!J:J),
SUMIF('TL11'!C:C,C52,'TL11'!J:J),
SUMIF('TL12'!C:C,C52,'TL12'!J:J),
SUMIF('TL13'!C:C,C52,'TL13'!J:J),
SUMIF('TL14'!C:C,C52,'TL14'!J:J),
SUMIF('TL15'!C:C,C52,'TL15'!J:J),
SUMIF('TL16'!C:C,C52,'TL16'!J:J),
SUMIF('TL17'!C:C,C52,'TL17'!J:J),
SUMIF('TL18'!C:C,C52,'TL18'!J:J),SUMIF('TL19'!C:C,C52,'TL19'!J:J))
,0)</f>
        <v/>
      </c>
      <c r="S52" s="17">
        <f>IFERROR(__xludf.DUMMYFUNCTION("IFERROR(VLOOKUP(C52,
IMPORTRANGE(""1wULbzX32WdYsx-lj2U3uUNBBe2INVIRDtcK0d-Dvl90"",
""26-27!C:G""),
5,
FALSE),
"""")"),198.16704000000001)</f>
        <v/>
      </c>
      <c r="T52" s="9" t="n">
        <v>220</v>
      </c>
      <c r="U52" s="92">
        <f>MAX(0,R52-T52)</f>
        <v/>
      </c>
      <c r="V52" s="93">
        <f>U52*S52</f>
        <v/>
      </c>
    </row>
    <row r="53" hidden="1" ht="15.75" customHeight="1" s="297">
      <c r="A53" s="111" t="inlineStr">
        <is>
          <t>BAYER</t>
        </is>
      </c>
      <c r="B53" s="112" t="inlineStr">
        <is>
          <t>FUNGICIDA</t>
        </is>
      </c>
      <c r="C53" s="113" t="inlineStr">
        <is>
          <t>NATIVO</t>
        </is>
      </c>
      <c r="D53" s="113" t="inlineStr">
        <is>
          <t>TRIFLOXISTROBINA + TEBUCONAZOL</t>
        </is>
      </c>
      <c r="E53" s="113" t="inlineStr">
        <is>
          <t>100 + 200</t>
        </is>
      </c>
      <c r="F53" s="4" t="inlineStr">
        <is>
          <t>L</t>
        </is>
      </c>
      <c r="G53" s="90">
        <f>HYPERLINK("https://www.google.com/search?q=" &amp; C53 &amp; "+bula+agrofit+pdf", "📄 Ver bula")</f>
        <v/>
      </c>
      <c r="H53" s="9">
        <f>IFERROR(__xludf.DUMMYFUNCTION("IFERROR(VLOOKUP(C53,
IMPORTRANGE(""1wULbzX32WdYsx-lj2U3uUNBBe2INVIRDtcK0d-Dvl90"",
""26-27!C:K""),
8,
FALSE),
"""")"),0.6)</f>
        <v/>
      </c>
      <c r="I53" s="114" t="inlineStr">
        <is>
          <t>1x20</t>
        </is>
      </c>
      <c r="J53" s="9">
        <f>IFERROR(SUM(
IF('TL01'!$B$3=J$3,SUMIF('TL01'!$C$10:$C$224,$C53,'TL01'!$J$10:$J$224),0),
IF('TL01'!$B$229=J$3,SUMIF('TL01'!$C$238:$C$451,$C53,'TL01'!$J$238:$J$451),0),
IF('TL02'!$B$3=J$3,SUMIF('TL02'!$C$10:$C$224,$C53,'TL02'!$J$10:$J$224),0),
IF('TL02'!$B$229=J$3,SUMIF('TL02'!$C$238:$C$451,$C53,'TL02'!$J$238:$J$451),0),
IF('TL03'!$B$3=J$3,SUMIF('TL03'!$C$10:$C$224,$C53,'TL03'!$J$10:$J$224),0),
IF('TL03'!$B$229=J$3,SUMIF('TL03'!$C$238:$C$451,$C53,'TL03'!$J$238:$J$451),0),
IF('TL04'!$B$3=J$3,SUMIF('TL04'!$C$10:$C$224,$C53,'TL04'!$J$10:$J$224),0),
IF('TL04'!$B$229=J$3,SUMIF('TL04'!$C$238:$C$451,$C53,'TL04'!$J$238:$J$451),0),
IF('TL05'!$B$3=J$3,SUMIF('TL05'!$C$10:$C$224,$C53,'TL05'!$J$10:$J$224),0),
IF('TL05'!$B$229=J$3,SUMIF('TL05'!$C$238:$C$451,$C53,'TL05'!$J$238:$J$451),0),
IF('TL06'!$B$3=J$3,SUMIF('TL06'!$C$10:$C$224,$C53,'TL06'!$J$10:$J$224),0),
IF('TL06'!$B$229=J$3,SUMIF('TL06'!$C$238:$C$451,$C53,'TL06'!$J$238:$J$451),0),
IF('TL07'!$B$3=J$3,SUMIF('TL07'!$C$10:$C$224,$C53,'TL07'!$J$10:$J$224),0),
IF('TL07'!$B$229=J$3,SUMIF('TL07'!$C$238:$C$451,$C53,'TL07'!$J$238:$J$451),0),
IF('TL08'!$B$3=J$3,SUMIF('TL08'!$C$10:$C$224,$C53,'TL08'!$J$10:$J$224),0),
IF('TL08'!$B$229=J$3,SUMIF('TL08'!$C$238:$C$451,$C53,'TL08'!$J$238:$J$451),0),
IF('TL09'!$B$3=J$3,SUMIF('TL09'!$C$10:$C$224,$C53,'TL09'!$J$10:$J$224),0),
IF('TL09'!$B$229=J$3,SUMIF('TL09'!$C$238:$C$451,$C53,'TL09'!$J$238:$J$451),0),
IF('TL10'!$B$3=J$3,SUMIF('TL10'!$C$10:$C$224,$C53,'TL10'!$J$10:$J$224),0),
IF('TL10'!$B$229=J$3,SUMIF('TL10'!$C$238:$C$451,$C53,'TL10'!$J$238:$J$451),0),
IF('TL11'!$B$3=J$3,SUMIF('TL11'!$C$10:$C$224,$C53,'TL11'!$J$10:$J$224),0),
IF('TL11'!$B$229=J$3,SUMIF('TL11'!$C$238:$C$451,$C53,'TL11'!$J$238:$J$451),0),
IF('TL12'!$B$3=J$3,SUMIF('TL12'!$C$10:$C$224,$C53,'TL12'!$J$10:$J$224),0),
IF('TL12'!$B$229=J$3,SUMIF('TL12'!$C$238:$C$451,$C53,'TL12'!$J$238:$J$451),0),
IF('TL13'!$B$3=J$3,SUMIF('TL13'!$C$10:$C$224,$C53,'TL13'!$J$10:$J$224),0),
IF('TL13'!$B$229=J$3,SUMIF('TL13'!$C$238:$C$451,$C53,'TL13'!$J$238:$J$451),0),
IF('TL14'!$B$3=J$3,SUMIF('TL14'!$C$10:$C$224,$C53,'TL14'!$J$10:$J$224),0),
IF('TL14'!$B$229=J$3,SUMIF('TL14'!$C$238:$C$451,$C53,'TL14'!$J$238:$J$451),0),
IF('TL15'!$B$3=J$3,SUMIF('TL15'!$C$10:$C$224,$C53,'TL15'!$J$10:$J$224),0),
IF('TL15'!$B$229=J$3,SUMIF('TL15'!$C$238:$C$451,$C53,'TL15'!$J$238:$J$451),0),
IF('TL16'!$B$3=J$3,SUMIF('TL16'!$C$10:$C$224,$C53,'TL16'!$J$10:$J$224),0),
IF('TL16'!$B$229=J$3,SUMIF('TL16'!$C$238:$C$451,$C53,'TL16'!$J$238:$J$451),0),
IF('TL17'!$B$3=J$3,SUMIF('TL17'!$C$10:$C$224,$C53,'TL17'!$J$10:$J$224),0),
IF('TL17'!$B$229=J$3,SUMIF('TL17'!$C$238:$C$451,$C53,'TL17'!$J$238:$J$451),0),
IF('TL18'!$B$3=J$3,SUMIF('TL18'!$C$10:$C$224,$C53,'TL18'!$J$10:$J$224),0),
IF('TL18'!$B$229=J$3,SUMIF('TL18'!$C$238:$C$451,$C53,'TL18'!$J$238:$J$451),0),
IF('TL19'!$B$3=J$3,SUMIF('TL19'!$C$10:$C$224,$C53,'TL19'!$J$10:$J$224),0),
IF('TL19'!$B$229=J$3,SUMIF('TL19'!$C$238:$C$451,$C53,'TL19'!$J$238:$J$451),0)
),0)</f>
        <v/>
      </c>
      <c r="K53" s="9">
        <f>IFERROR(SUM(
IF('TL01'!$B$3=K$3,SUMIF('TL01'!$C$10:$C$224,$C53,'TL01'!$J$10:$J$224),0),
IF('TL01'!$B$229=K$3,SUMIF('TL01'!$C$238:$C$451,$C53,'TL01'!$J$238:$J$451),0),
IF('TL02'!$B$3=K$3,SUMIF('TL02'!$C$10:$C$224,$C53,'TL02'!$J$10:$J$224),0),
IF('TL02'!$B$229=K$3,SUMIF('TL02'!$C$238:$C$451,$C53,'TL02'!$J$238:$J$451),0),
IF('TL03'!$B$3=K$3,SUMIF('TL03'!$C$10:$C$224,$C53,'TL03'!$J$10:$J$224),0),
IF('TL03'!$B$229=K$3,SUMIF('TL03'!$C$238:$C$451,$C53,'TL03'!$J$238:$J$451),0),
IF('TL04'!$B$3=K$3,SUMIF('TL04'!$C$10:$C$224,$C53,'TL04'!$J$10:$J$224),0),
IF('TL04'!$B$229=K$3,SUMIF('TL04'!$C$238:$C$451,$C53,'TL04'!$J$238:$J$451),0),
IF('TL05'!$B$3=K$3,SUMIF('TL05'!$C$10:$C$224,$C53,'TL05'!$J$10:$J$224),0),
IF('TL05'!$B$229=K$3,SUMIF('TL05'!$C$238:$C$451,$C53,'TL05'!$J$238:$J$451),0),
IF('TL06'!$B$3=K$3,SUMIF('TL06'!$C$10:$C$224,$C53,'TL06'!$J$10:$J$224),0),
IF('TL06'!$B$229=K$3,SUMIF('TL06'!$C$238:$C$451,$C53,'TL06'!$J$238:$J$451),0),
IF('TL07'!$B$3=K$3,SUMIF('TL07'!$C$10:$C$224,$C53,'TL07'!$J$10:$J$224),0),
IF('TL07'!$B$229=K$3,SUMIF('TL07'!$C$238:$C$451,$C53,'TL07'!$J$238:$J$451),0),
IF('TL08'!$B$3=K$3,SUMIF('TL08'!$C$10:$C$224,$C53,'TL08'!$J$10:$J$224),0),
IF('TL08'!$B$229=K$3,SUMIF('TL08'!$C$238:$C$451,$C53,'TL08'!$J$238:$J$451),0),
IF('TL09'!$B$3=K$3,SUMIF('TL09'!$C$10:$C$224,$C53,'TL09'!$J$10:$J$224),0),
IF('TL09'!$B$229=K$3,SUMIF('TL09'!$C$238:$C$451,$C53,'TL09'!$J$238:$J$451),0),
IF('TL10'!$B$3=K$3,SUMIF('TL10'!$C$10:$C$224,$C53,'TL10'!$J$10:$J$224),0),
IF('TL10'!$B$229=K$3,SUMIF('TL10'!$C$238:$C$451,$C53,'TL10'!$J$238:$J$451),0),
IF('TL11'!$B$3=K$3,SUMIF('TL11'!$C$10:$C$224,$C53,'TL11'!$J$10:$J$224),0),
IF('TL11'!$B$229=K$3,SUMIF('TL11'!$C$238:$C$451,$C53,'TL11'!$J$238:$J$451),0),
IF('TL12'!$B$3=K$3,SUMIF('TL12'!$C$10:$C$224,$C53,'TL12'!$J$10:$J$224),0),
IF('TL12'!$B$229=K$3,SUMIF('TL12'!$C$238:$C$451,$C53,'TL12'!$J$238:$J$451),0),
IF('TL13'!$B$3=K$3,SUMIF('TL13'!$C$10:$C$224,$C53,'TL13'!$J$10:$J$224),0),
IF('TL13'!$B$229=K$3,SUMIF('TL13'!$C$238:$C$451,$C53,'TL13'!$J$238:$J$451),0),
IF('TL14'!$B$3=K$3,SUMIF('TL14'!$C$10:$C$224,$C53,'TL14'!$J$10:$J$224),0),
IF('TL14'!$B$229=K$3,SUMIF('TL14'!$C$238:$C$451,$C53,'TL14'!$J$238:$J$451),0),
IF('TL15'!$B$3=K$3,SUMIF('TL15'!$C$10:$C$224,$C53,'TL15'!$J$10:$J$224),0),
IF('TL15'!$B$229=K$3,SUMIF('TL15'!$C$238:$C$451,$C53,'TL15'!$J$238:$J$451),0),
IF('TL16'!$B$3=K$3,SUMIF('TL16'!$C$10:$C$224,$C53,'TL16'!$J$10:$J$224),0),
IF('TL16'!$B$229=K$3,SUMIF('TL16'!$C$238:$C$451,$C53,'TL16'!$J$238:$J$451),0),
IF('TL17'!$B$3=K$3,SUMIF('TL17'!$C$10:$C$224,$C53,'TL17'!$J$10:$J$224),0),
IF('TL17'!$B$229=K$3,SUMIF('TL17'!$C$238:$C$451,$C53,'TL17'!$J$238:$J$451),0),
IF('TL18'!$B$3=K$3,SUMIF('TL18'!$C$10:$C$224,$C53,'TL18'!$J$10:$J$224),0),
IF('TL18'!$B$229=K$3,SUMIF('TL18'!$C$238:$C$451,$C53,'TL18'!$J$238:$J$451),0),
IF('TL19'!$B$3=K$3,SUMIF('TL19'!$C$10:$C$224,$C53,'TL19'!$J$10:$J$224),0),
IF('TL19'!$B$229=K$3,SUMIF('TL19'!$C$238:$C$451,$C53,'TL19'!$J$238:$J$451),0)
),0)</f>
        <v/>
      </c>
      <c r="L53" s="9">
        <f>IFERROR(SUM(
IF('TL01'!$B$3=L$3,SUMIF('TL01'!$C$10:$C$224,$C53,'TL01'!$J$10:$J$224),0),
IF('TL01'!$B$229=L$3,SUMIF('TL01'!$C$238:$C$451,$C53,'TL01'!$J$238:$J$451),0),
IF('TL02'!$B$3=L$3,SUMIF('TL02'!$C$10:$C$224,$C53,'TL02'!$J$10:$J$224),0),
IF('TL02'!$B$229=L$3,SUMIF('TL02'!$C$238:$C$451,$C53,'TL02'!$J$238:$J$451),0),
IF('TL03'!$B$3=L$3,SUMIF('TL03'!$C$10:$C$224,$C53,'TL03'!$J$10:$J$224),0),
IF('TL03'!$B$229=L$3,SUMIF('TL03'!$C$238:$C$451,$C53,'TL03'!$J$238:$J$451),0),
IF('TL04'!$B$3=L$3,SUMIF('TL04'!$C$10:$C$224,$C53,'TL04'!$J$10:$J$224),0),
IF('TL04'!$B$229=L$3,SUMIF('TL04'!$C$238:$C$451,$C53,'TL04'!$J$238:$J$451),0),
IF('TL05'!$B$3=L$3,SUMIF('TL05'!$C$10:$C$224,$C53,'TL05'!$J$10:$J$224),0),
IF('TL05'!$B$229=L$3,SUMIF('TL05'!$C$238:$C$451,$C53,'TL05'!$J$238:$J$451),0),
IF('TL06'!$B$3=L$3,SUMIF('TL06'!$C$10:$C$224,$C53,'TL06'!$J$10:$J$224),0),
IF('TL06'!$B$229=L$3,SUMIF('TL06'!$C$238:$C$451,$C53,'TL06'!$J$238:$J$451),0),
IF('TL07'!$B$3=L$3,SUMIF('TL07'!$C$10:$C$224,$C53,'TL07'!$J$10:$J$224),0),
IF('TL07'!$B$229=L$3,SUMIF('TL07'!$C$238:$C$451,$C53,'TL07'!$J$238:$J$451),0),
IF('TL08'!$B$3=L$3,SUMIF('TL08'!$C$10:$C$224,$C53,'TL08'!$J$10:$J$224),0),
IF('TL08'!$B$229=L$3,SUMIF('TL08'!$C$238:$C$451,$C53,'TL08'!$J$238:$J$451),0),
IF('TL09'!$B$3=L$3,SUMIF('TL09'!$C$10:$C$224,$C53,'TL09'!$J$10:$J$224),0),
IF('TL09'!$B$229=L$3,SUMIF('TL09'!$C$238:$C$451,$C53,'TL09'!$J$238:$J$451),0),
IF('TL10'!$B$3=L$3,SUMIF('TL10'!$C$10:$C$224,$C53,'TL10'!$J$10:$J$224),0),
IF('TL10'!$B$229=L$3,SUMIF('TL10'!$C$238:$C$451,$C53,'TL10'!$J$238:$J$451),0),
IF('TL11'!$B$3=L$3,SUMIF('TL11'!$C$10:$C$224,$C53,'TL11'!$J$10:$J$224),0),
IF('TL11'!$B$229=L$3,SUMIF('TL11'!$C$238:$C$451,$C53,'TL11'!$J$238:$J$451),0),
IF('TL12'!$B$3=L$3,SUMIF('TL12'!$C$10:$C$224,$C53,'TL12'!$J$10:$J$224),0),
IF('TL12'!$B$229=L$3,SUMIF('TL12'!$C$238:$C$451,$C53,'TL12'!$J$238:$J$451),0),
IF('TL13'!$B$3=L$3,SUMIF('TL13'!$C$10:$C$224,$C53,'TL13'!$J$10:$J$224),0),
IF('TL13'!$B$229=L$3,SUMIF('TL13'!$C$238:$C$451,$C53,'TL13'!$J$238:$J$451),0),
IF('TL14'!$B$3=L$3,SUMIF('TL14'!$C$10:$C$224,$C53,'TL14'!$J$10:$J$224),0),
IF('TL14'!$B$229=L$3,SUMIF('TL14'!$C$238:$C$451,$C53,'TL14'!$J$238:$J$451),0),
IF('TL15'!$B$3=L$3,SUMIF('TL15'!$C$10:$C$224,$C53,'TL15'!$J$10:$J$224),0),
IF('TL15'!$B$229=L$3,SUMIF('TL15'!$C$238:$C$451,$C53,'TL15'!$J$238:$J$451),0),
IF('TL16'!$B$3=L$3,SUMIF('TL16'!$C$10:$C$224,$C53,'TL16'!$J$10:$J$224),0),
IF('TL16'!$B$229=L$3,SUMIF('TL16'!$C$238:$C$451,$C53,'TL16'!$J$238:$J$451),0),
IF('TL17'!$B$3=L$3,SUMIF('TL17'!$C$10:$C$224,$C53,'TL17'!$J$10:$J$224),0),
IF('TL17'!$B$229=L$3,SUMIF('TL17'!$C$238:$C$451,$C53,'TL17'!$J$238:$J$451),0),
IF('TL18'!$B$3=L$3,SUMIF('TL18'!$C$10:$C$224,$C53,'TL18'!$J$10:$J$224),0),
IF('TL18'!$B$229=L$3,SUMIF('TL18'!$C$238:$C$451,$C53,'TL18'!$J$238:$J$451),0),
IF('TL19'!$B$3=L$3,SUMIF('TL19'!$C$10:$C$224,$C53,'TL19'!$J$10:$J$224),0),
IF('TL19'!$B$229=L$3,SUMIF('TL19'!$C$238:$C$451,$C53,'TL19'!$J$238:$J$451),0)
),0)</f>
        <v/>
      </c>
      <c r="M53" s="9">
        <f>IFERROR(SUM(
IF('TL01'!$B$3=M$3,SUMIF('TL01'!$C$10:$C$224,$C53,'TL01'!$J$10:$J$224),0),
IF('TL01'!$B$229=M$3,SUMIF('TL01'!$C$238:$C$451,$C53,'TL01'!$J$238:$J$451),0),
IF('TL02'!$B$3=M$3,SUMIF('TL02'!$C$10:$C$224,$C53,'TL02'!$J$10:$J$224),0),
IF('TL02'!$B$229=M$3,SUMIF('TL02'!$C$238:$C$451,$C53,'TL02'!$J$238:$J$451),0),
IF('TL03'!$B$3=M$3,SUMIF('TL03'!$C$10:$C$224,$C53,'TL03'!$J$10:$J$224),0),
IF('TL03'!$B$229=M$3,SUMIF('TL03'!$C$238:$C$451,$C53,'TL03'!$J$238:$J$451),0),
IF('TL04'!$B$3=M$3,SUMIF('TL04'!$C$10:$C$224,$C53,'TL04'!$J$10:$J$224),0),
IF('TL04'!$B$229=M$3,SUMIF('TL04'!$C$238:$C$451,$C53,'TL04'!$J$238:$J$451),0),
IF('TL05'!$B$3=M$3,SUMIF('TL05'!$C$10:$C$224,$C53,'TL05'!$J$10:$J$224),0),
IF('TL05'!$B$229=M$3,SUMIF('TL05'!$C$238:$C$451,$C53,'TL05'!$J$238:$J$451),0),
IF('TL06'!$B$3=M$3,SUMIF('TL06'!$C$10:$C$224,$C53,'TL06'!$J$10:$J$224),0),
IF('TL06'!$B$229=M$3,SUMIF('TL06'!$C$238:$C$451,$C53,'TL06'!$J$238:$J$451),0),
IF('TL07'!$B$3=M$3,SUMIF('TL07'!$C$10:$C$224,$C53,'TL07'!$J$10:$J$224),0),
IF('TL07'!$B$229=M$3,SUMIF('TL07'!$C$238:$C$451,$C53,'TL07'!$J$238:$J$451),0),
IF('TL08'!$B$3=M$3,SUMIF('TL08'!$C$10:$C$224,$C53,'TL08'!$J$10:$J$224),0),
IF('TL08'!$B$229=M$3,SUMIF('TL08'!$C$238:$C$451,$C53,'TL08'!$J$238:$J$451),0),
IF('TL09'!$B$3=M$3,SUMIF('TL09'!$C$10:$C$224,$C53,'TL09'!$J$10:$J$224),0),
IF('TL09'!$B$229=M$3,SUMIF('TL09'!$C$238:$C$451,$C53,'TL09'!$J$238:$J$451),0),
IF('TL10'!$B$3=M$3,SUMIF('TL10'!$C$10:$C$224,$C53,'TL10'!$J$10:$J$224),0),
IF('TL10'!$B$229=M$3,SUMIF('TL10'!$C$238:$C$451,$C53,'TL10'!$J$238:$J$451),0),
IF('TL11'!$B$3=M$3,SUMIF('TL11'!$C$10:$C$224,$C53,'TL11'!$J$10:$J$224),0),
IF('TL11'!$B$229=M$3,SUMIF('TL11'!$C$238:$C$451,$C53,'TL11'!$J$238:$J$451),0),
IF('TL12'!$B$3=M$3,SUMIF('TL12'!$C$10:$C$224,$C53,'TL12'!$J$10:$J$224),0),
IF('TL12'!$B$229=M$3,SUMIF('TL12'!$C$238:$C$451,$C53,'TL12'!$J$238:$J$451),0),
IF('TL13'!$B$3=M$3,SUMIF('TL13'!$C$10:$C$224,$C53,'TL13'!$J$10:$J$224),0),
IF('TL13'!$B$229=M$3,SUMIF('TL13'!$C$238:$C$451,$C53,'TL13'!$J$238:$J$451),0),
IF('TL14'!$B$3=M$3,SUMIF('TL14'!$C$10:$C$224,$C53,'TL14'!$J$10:$J$224),0),
IF('TL14'!$B$229=M$3,SUMIF('TL14'!$C$238:$C$451,$C53,'TL14'!$J$238:$J$451),0),
IF('TL15'!$B$3=M$3,SUMIF('TL15'!$C$10:$C$224,$C53,'TL15'!$J$10:$J$224),0),
IF('TL15'!$B$229=M$3,SUMIF('TL15'!$C$238:$C$451,$C53,'TL15'!$J$238:$J$451),0),
IF('TL16'!$B$3=M$3,SUMIF('TL16'!$C$10:$C$224,$C53,'TL16'!$J$10:$J$224),0),
IF('TL16'!$B$229=M$3,SUMIF('TL16'!$C$238:$C$451,$C53,'TL16'!$J$238:$J$451),0),
IF('TL17'!$B$3=M$3,SUMIF('TL17'!$C$10:$C$224,$C53,'TL17'!$J$10:$J$224),0),
IF('TL17'!$B$229=M$3,SUMIF('TL17'!$C$238:$C$451,$C53,'TL17'!$J$238:$J$451),0),
IF('TL18'!$B$3=M$3,SUMIF('TL18'!$C$10:$C$224,$C53,'TL18'!$J$10:$J$224),0),
IF('TL18'!$B$229=M$3,SUMIF('TL18'!$C$238:$C$451,$C53,'TL18'!$J$238:$J$451),0),
IF('TL19'!$B$3=M$3,SUMIF('TL19'!$C$10:$C$224,$C53,'TL19'!$J$10:$J$224),0),
IF('TL19'!$B$229=M$3,SUMIF('TL19'!$C$238:$C$451,$C53,'TL19'!$J$238:$J$451),0)
),0)</f>
        <v/>
      </c>
      <c r="N53" s="9">
        <f>IFERROR(SUM(
IF('TL01'!$B$3=N$3,SUMIF('TL01'!$C$10:$C$224,$C53,'TL01'!$J$10:$J$224),0),
IF('TL01'!$B$229=N$3,SUMIF('TL01'!$C$238:$C$451,$C53,'TL01'!$J$238:$J$451),0),
IF('TL02'!$B$3=N$3,SUMIF('TL02'!$C$10:$C$224,$C53,'TL02'!$J$10:$J$224),0),
IF('TL02'!$B$229=N$3,SUMIF('TL02'!$C$238:$C$451,$C53,'TL02'!$J$238:$J$451),0),
IF('TL03'!$B$3=N$3,SUMIF('TL03'!$C$10:$C$224,$C53,'TL03'!$J$10:$J$224),0),
IF('TL03'!$B$229=N$3,SUMIF('TL03'!$C$238:$C$451,$C53,'TL03'!$J$238:$J$451),0),
IF('TL04'!$B$3=N$3,SUMIF('TL04'!$C$10:$C$224,$C53,'TL04'!$J$10:$J$224),0),
IF('TL04'!$B$229=N$3,SUMIF('TL04'!$C$238:$C$451,$C53,'TL04'!$J$238:$J$451),0),
IF('TL05'!$B$3=N$3,SUMIF('TL05'!$C$10:$C$224,$C53,'TL05'!$J$10:$J$224),0),
IF('TL05'!$B$229=N$3,SUMIF('TL05'!$C$238:$C$451,$C53,'TL05'!$J$238:$J$451),0),
IF('TL06'!$B$3=N$3,SUMIF('TL06'!$C$10:$C$224,$C53,'TL06'!$J$10:$J$224),0),
IF('TL06'!$B$229=N$3,SUMIF('TL06'!$C$238:$C$451,$C53,'TL06'!$J$238:$J$451),0),
IF('TL07'!$B$3=N$3,SUMIF('TL07'!$C$10:$C$224,$C53,'TL07'!$J$10:$J$224),0),
IF('TL07'!$B$229=N$3,SUMIF('TL07'!$C$238:$C$451,$C53,'TL07'!$J$238:$J$451),0),
IF('TL08'!$B$3=N$3,SUMIF('TL08'!$C$10:$C$224,$C53,'TL08'!$J$10:$J$224),0),
IF('TL08'!$B$229=N$3,SUMIF('TL08'!$C$238:$C$451,$C53,'TL08'!$J$238:$J$451),0),
IF('TL09'!$B$3=N$3,SUMIF('TL09'!$C$10:$C$224,$C53,'TL09'!$J$10:$J$224),0),
IF('TL09'!$B$229=N$3,SUMIF('TL09'!$C$238:$C$451,$C53,'TL09'!$J$238:$J$451),0),
IF('TL10'!$B$3=N$3,SUMIF('TL10'!$C$10:$C$224,$C53,'TL10'!$J$10:$J$224),0),
IF('TL10'!$B$229=N$3,SUMIF('TL10'!$C$238:$C$451,$C53,'TL10'!$J$238:$J$451),0),
IF('TL11'!$B$3=N$3,SUMIF('TL11'!$C$10:$C$224,$C53,'TL11'!$J$10:$J$224),0),
IF('TL11'!$B$229=N$3,SUMIF('TL11'!$C$238:$C$451,$C53,'TL11'!$J$238:$J$451),0),
IF('TL12'!$B$3=N$3,SUMIF('TL12'!$C$10:$C$224,$C53,'TL12'!$J$10:$J$224),0),
IF('TL12'!$B$229=N$3,SUMIF('TL12'!$C$238:$C$451,$C53,'TL12'!$J$238:$J$451),0),
IF('TL13'!$B$3=N$3,SUMIF('TL13'!$C$10:$C$224,$C53,'TL13'!$J$10:$J$224),0),
IF('TL13'!$B$229=N$3,SUMIF('TL13'!$C$238:$C$451,$C53,'TL13'!$J$238:$J$451),0),
IF('TL14'!$B$3=N$3,SUMIF('TL14'!$C$10:$C$224,$C53,'TL14'!$J$10:$J$224),0),
IF('TL14'!$B$229=N$3,SUMIF('TL14'!$C$238:$C$451,$C53,'TL14'!$J$238:$J$451),0),
IF('TL15'!$B$3=N$3,SUMIF('TL15'!$C$10:$C$224,$C53,'TL15'!$J$10:$J$224),0),
IF('TL15'!$B$229=N$3,SUMIF('TL15'!$C$238:$C$451,$C53,'TL15'!$J$238:$J$451),0),
IF('TL16'!$B$3=N$3,SUMIF('TL16'!$C$10:$C$224,$C53,'TL16'!$J$10:$J$224),0),
IF('TL16'!$B$229=N$3,SUMIF('TL16'!$C$238:$C$451,$C53,'TL16'!$J$238:$J$451),0),
IF('TL17'!$B$3=N$3,SUMIF('TL17'!$C$10:$C$224,$C53,'TL17'!$J$10:$J$224),0),
IF('TL17'!$B$229=N$3,SUMIF('TL17'!$C$238:$C$451,$C53,'TL17'!$J$238:$J$451),0),
IF('TL18'!$B$3=N$3,SUMIF('TL18'!$C$10:$C$224,$C53,'TL18'!$J$10:$J$224),0),
IF('TL18'!$B$229=N$3,SUMIF('TL18'!$C$238:$C$451,$C53,'TL18'!$J$238:$J$451),0),
IF('TL19'!$B$3=N$3,SUMIF('TL19'!$C$10:$C$224,$C53,'TL19'!$J$10:$J$224),0),
IF('TL19'!$B$229=N$3,SUMIF('TL19'!$C$238:$C$451,$C53,'TL19'!$J$238:$J$451),0)
),0)</f>
        <v/>
      </c>
      <c r="O53" s="9">
        <f>IFERROR(SUM(
IF('TL01'!$B$3=O$3,SUMIF('TL01'!$C$10:$C$224,$C53,'TL01'!$J$10:$J$224),0),
IF('TL01'!$B$229=O$3,SUMIF('TL01'!$C$238:$C$451,$C53,'TL01'!$J$238:$J$451),0),
IF('TL02'!$B$3=O$3,SUMIF('TL02'!$C$10:$C$224,$C53,'TL02'!$J$10:$J$224),0),
IF('TL02'!$B$229=O$3,SUMIF('TL02'!$C$238:$C$451,$C53,'TL02'!$J$238:$J$451),0),
IF('TL03'!$B$3=O$3,SUMIF('TL03'!$C$10:$C$224,$C53,'TL03'!$J$10:$J$224),0),
IF('TL03'!$B$229=O$3,SUMIF('TL03'!$C$238:$C$451,$C53,'TL03'!$J$238:$J$451),0),
IF('TL04'!$B$3=O$3,SUMIF('TL04'!$C$10:$C$224,$C53,'TL04'!$J$10:$J$224),0),
IF('TL04'!$B$229=O$3,SUMIF('TL04'!$C$238:$C$451,$C53,'TL04'!$J$238:$J$451),0),
IF('TL05'!$B$3=O$3,SUMIF('TL05'!$C$10:$C$224,$C53,'TL05'!$J$10:$J$224),0),
IF('TL05'!$B$229=O$3,SUMIF('TL05'!$C$238:$C$451,$C53,'TL05'!$J$238:$J$451),0),
IF('TL06'!$B$3=O$3,SUMIF('TL06'!$C$10:$C$224,$C53,'TL06'!$J$10:$J$224),0),
IF('TL06'!$B$229=O$3,SUMIF('TL06'!$C$238:$C$451,$C53,'TL06'!$J$238:$J$451),0),
IF('TL07'!$B$3=O$3,SUMIF('TL07'!$C$10:$C$224,$C53,'TL07'!$J$10:$J$224),0),
IF('TL07'!$B$229=O$3,SUMIF('TL07'!$C$238:$C$451,$C53,'TL07'!$J$238:$J$451),0),
IF('TL08'!$B$3=O$3,SUMIF('TL08'!$C$10:$C$224,$C53,'TL08'!$J$10:$J$224),0),
IF('TL08'!$B$229=O$3,SUMIF('TL08'!$C$238:$C$451,$C53,'TL08'!$J$238:$J$451),0),
IF('TL09'!$B$3=O$3,SUMIF('TL09'!$C$10:$C$224,$C53,'TL09'!$J$10:$J$224),0),
IF('TL09'!$B$229=O$3,SUMIF('TL09'!$C$238:$C$451,$C53,'TL09'!$J$238:$J$451),0),
IF('TL10'!$B$3=O$3,SUMIF('TL10'!$C$10:$C$224,$C53,'TL10'!$J$10:$J$224),0),
IF('TL10'!$B$229=O$3,SUMIF('TL10'!$C$238:$C$451,$C53,'TL10'!$J$238:$J$451),0),
IF('TL11'!$B$3=O$3,SUMIF('TL11'!$C$10:$C$224,$C53,'TL11'!$J$10:$J$224),0),
IF('TL11'!$B$229=O$3,SUMIF('TL11'!$C$238:$C$451,$C53,'TL11'!$J$238:$J$451),0),
IF('TL12'!$B$3=O$3,SUMIF('TL12'!$C$10:$C$224,$C53,'TL12'!$J$10:$J$224),0),
IF('TL12'!$B$229=O$3,SUMIF('TL12'!$C$238:$C$451,$C53,'TL12'!$J$238:$J$451),0),
IF('TL13'!$B$3=O$3,SUMIF('TL13'!$C$10:$C$224,$C53,'TL13'!$J$10:$J$224),0),
IF('TL13'!$B$229=O$3,SUMIF('TL13'!$C$238:$C$451,$C53,'TL13'!$J$238:$J$451),0),
IF('TL14'!$B$3=O$3,SUMIF('TL14'!$C$10:$C$224,$C53,'TL14'!$J$10:$J$224),0),
IF('TL14'!$B$229=O$3,SUMIF('TL14'!$C$238:$C$451,$C53,'TL14'!$J$238:$J$451),0),
IF('TL15'!$B$3=O$3,SUMIF('TL15'!$C$10:$C$224,$C53,'TL15'!$J$10:$J$224),0),
IF('TL15'!$B$229=O$3,SUMIF('TL15'!$C$238:$C$451,$C53,'TL15'!$J$238:$J$451),0),
IF('TL16'!$B$3=O$3,SUMIF('TL16'!$C$10:$C$224,$C53,'TL16'!$J$10:$J$224),0),
IF('TL16'!$B$229=O$3,SUMIF('TL16'!$C$238:$C$451,$C53,'TL16'!$J$238:$J$451),0),
IF('TL17'!$B$3=O$3,SUMIF('TL17'!$C$10:$C$224,$C53,'TL17'!$J$10:$J$224),0),
IF('TL17'!$B$229=O$3,SUMIF('TL17'!$C$238:$C$451,$C53,'TL17'!$J$238:$J$451),0),
IF('TL18'!$B$3=O$3,SUMIF('TL18'!$C$10:$C$224,$C53,'TL18'!$J$10:$J$224),0),
IF('TL18'!$B$229=O$3,SUMIF('TL18'!$C$238:$C$451,$C53,'TL18'!$J$238:$J$451),0),
IF('TL19'!$B$3=O$3,SUMIF('TL19'!$C$10:$C$224,$C53,'TL19'!$J$10:$J$224),0),
IF('TL19'!$B$229=O$3,SUMIF('TL19'!$C$238:$C$451,$C53,'TL19'!$J$238:$J$451),0)
),0)</f>
        <v/>
      </c>
      <c r="P53" s="9">
        <f>IFERROR(SUM(
IF('TL01'!$B$3=P$3,SUMIF('TL01'!$C$10:$C$224,$C53,'TL01'!$J$10:$J$224),0),
IF('TL01'!$B$229=P$3,SUMIF('TL01'!$C$238:$C$451,$C53,'TL01'!$J$238:$J$451),0),
IF('TL02'!$B$3=P$3,SUMIF('TL02'!$C$10:$C$224,$C53,'TL02'!$J$10:$J$224),0),
IF('TL02'!$B$229=P$3,SUMIF('TL02'!$C$238:$C$451,$C53,'TL02'!$J$238:$J$451),0),
IF('TL03'!$B$3=P$3,SUMIF('TL03'!$C$10:$C$224,$C53,'TL03'!$J$10:$J$224),0),
IF('TL03'!$B$229=P$3,SUMIF('TL03'!$C$238:$C$451,$C53,'TL03'!$J$238:$J$451),0),
IF('TL04'!$B$3=P$3,SUMIF('TL04'!$C$10:$C$224,$C53,'TL04'!$J$10:$J$224),0),
IF('TL04'!$B$229=P$3,SUMIF('TL04'!$C$238:$C$451,$C53,'TL04'!$J$238:$J$451),0),
IF('TL05'!$B$3=P$3,SUMIF('TL05'!$C$10:$C$224,$C53,'TL05'!$J$10:$J$224),0),
IF('TL05'!$B$229=P$3,SUMIF('TL05'!$C$238:$C$451,$C53,'TL05'!$J$238:$J$451),0),
IF('TL06'!$B$3=P$3,SUMIF('TL06'!$C$10:$C$224,$C53,'TL06'!$J$10:$J$224),0),
IF('TL06'!$B$229=P$3,SUMIF('TL06'!$C$238:$C$451,$C53,'TL06'!$J$238:$J$451),0),
IF('TL07'!$B$3=P$3,SUMIF('TL07'!$C$10:$C$224,$C53,'TL07'!$J$10:$J$224),0),
IF('TL07'!$B$229=P$3,SUMIF('TL07'!$C$238:$C$451,$C53,'TL07'!$J$238:$J$451),0),
IF('TL08'!$B$3=P$3,SUMIF('TL08'!$C$10:$C$224,$C53,'TL08'!$J$10:$J$224),0),
IF('TL08'!$B$229=P$3,SUMIF('TL08'!$C$238:$C$451,$C53,'TL08'!$J$238:$J$451),0),
IF('TL09'!$B$3=P$3,SUMIF('TL09'!$C$10:$C$224,$C53,'TL09'!$J$10:$J$224),0),
IF('TL09'!$B$229=P$3,SUMIF('TL09'!$C$238:$C$451,$C53,'TL09'!$J$238:$J$451),0),
IF('TL10'!$B$3=P$3,SUMIF('TL10'!$C$10:$C$224,$C53,'TL10'!$J$10:$J$224),0),
IF('TL10'!$B$229=P$3,SUMIF('TL10'!$C$238:$C$451,$C53,'TL10'!$J$238:$J$451),0),
IF('TL11'!$B$3=P$3,SUMIF('TL11'!$C$10:$C$224,$C53,'TL11'!$J$10:$J$224),0),
IF('TL11'!$B$229=P$3,SUMIF('TL11'!$C$238:$C$451,$C53,'TL11'!$J$238:$J$451),0),
IF('TL12'!$B$3=P$3,SUMIF('TL12'!$C$10:$C$224,$C53,'TL12'!$J$10:$J$224),0),
IF('TL12'!$B$229=P$3,SUMIF('TL12'!$C$238:$C$451,$C53,'TL12'!$J$238:$J$451),0),
IF('TL13'!$B$3=P$3,SUMIF('TL13'!$C$10:$C$224,$C53,'TL13'!$J$10:$J$224),0),
IF('TL13'!$B$229=P$3,SUMIF('TL13'!$C$238:$C$451,$C53,'TL13'!$J$238:$J$451),0),
IF('TL14'!$B$3=P$3,SUMIF('TL14'!$C$10:$C$224,$C53,'TL14'!$J$10:$J$224),0),
IF('TL14'!$B$229=P$3,SUMIF('TL14'!$C$238:$C$451,$C53,'TL14'!$J$238:$J$451),0),
IF('TL15'!$B$3=P$3,SUMIF('TL15'!$C$10:$C$224,$C53,'TL15'!$J$10:$J$224),0),
IF('TL15'!$B$229=P$3,SUMIF('TL15'!$C$238:$C$451,$C53,'TL15'!$J$238:$J$451),0),
IF('TL16'!$B$3=P$3,SUMIF('TL16'!$C$10:$C$224,$C53,'TL16'!$J$10:$J$224),0),
IF('TL16'!$B$229=P$3,SUMIF('TL16'!$C$238:$C$451,$C53,'TL16'!$J$238:$J$451),0),
IF('TL17'!$B$3=P$3,SUMIF('TL17'!$C$10:$C$224,$C53,'TL17'!$J$10:$J$224),0),
IF('TL17'!$B$229=P$3,SUMIF('TL17'!$C$238:$C$451,$C53,'TL17'!$J$238:$J$451),0),
IF('TL18'!$B$3=P$3,SUMIF('TL18'!$C$10:$C$224,$C53,'TL18'!$J$10:$J$224),0),
IF('TL18'!$B$229=P$3,SUMIF('TL18'!$C$238:$C$451,$C53,'TL18'!$J$238:$J$451),0),
IF('TL19'!$B$3=P$3,SUMIF('TL19'!$C$10:$C$224,$C53,'TL19'!$J$10:$J$224),0),
IF('TL19'!$B$229=P$3,SUMIF('TL19'!$C$238:$C$451,$C53,'TL19'!$J$238:$J$451),0)
),0)</f>
        <v/>
      </c>
      <c r="Q53" s="9">
        <f>IFERROR(SUM(
IF('TL01'!$B$3=Q$3,SUMIF('TL01'!$C$10:$C$224,$C53,'TL01'!$J$10:$J$224),0),
IF('TL01'!$B$229=Q$3,SUMIF('TL01'!$C$238:$C$451,$C53,'TL01'!$J$238:$J$451),0),
IF('TL02'!$B$3=Q$3,SUMIF('TL02'!$C$10:$C$224,$C53,'TL02'!$J$10:$J$224),0),
IF('TL02'!$B$229=Q$3,SUMIF('TL02'!$C$238:$C$451,$C53,'TL02'!$J$238:$J$451),0),
IF('TL03'!$B$3=Q$3,SUMIF('TL03'!$C$10:$C$224,$C53,'TL03'!$J$10:$J$224),0),
IF('TL03'!$B$229=Q$3,SUMIF('TL03'!$C$238:$C$451,$C53,'TL03'!$J$238:$J$451),0),
IF('TL04'!$B$3=Q$3,SUMIF('TL04'!$C$10:$C$224,$C53,'TL04'!$J$10:$J$224),0),
IF('TL04'!$B$229=Q$3,SUMIF('TL04'!$C$238:$C$451,$C53,'TL04'!$J$238:$J$451),0),
IF('TL05'!$B$3=Q$3,SUMIF('TL05'!$C$10:$C$224,$C53,'TL05'!$J$10:$J$224),0),
IF('TL05'!$B$229=Q$3,SUMIF('TL05'!$C$238:$C$451,$C53,'TL05'!$J$238:$J$451),0),
IF('TL06'!$B$3=Q$3,SUMIF('TL06'!$C$10:$C$224,$C53,'TL06'!$J$10:$J$224),0),
IF('TL06'!$B$229=Q$3,SUMIF('TL06'!$C$238:$C$451,$C53,'TL06'!$J$238:$J$451),0),
IF('TL07'!$B$3=Q$3,SUMIF('TL07'!$C$10:$C$224,$C53,'TL07'!$J$10:$J$224),0),
IF('TL07'!$B$229=Q$3,SUMIF('TL07'!$C$238:$C$451,$C53,'TL07'!$J$238:$J$451),0),
IF('TL08'!$B$3=Q$3,SUMIF('TL08'!$C$10:$C$224,$C53,'TL08'!$J$10:$J$224),0),
IF('TL08'!$B$229=Q$3,SUMIF('TL08'!$C$238:$C$451,$C53,'TL08'!$J$238:$J$451),0),
IF('TL09'!$B$3=Q$3,SUMIF('TL09'!$C$10:$C$224,$C53,'TL09'!$J$10:$J$224),0),
IF('TL09'!$B$229=Q$3,SUMIF('TL09'!$C$238:$C$451,$C53,'TL09'!$J$238:$J$451),0),
IF('TL10'!$B$3=Q$3,SUMIF('TL10'!$C$10:$C$224,$C53,'TL10'!$J$10:$J$224),0),
IF('TL10'!$B$229=Q$3,SUMIF('TL10'!$C$238:$C$451,$C53,'TL10'!$J$238:$J$451),0),
IF('TL11'!$B$3=Q$3,SUMIF('TL11'!$C$10:$C$224,$C53,'TL11'!$J$10:$J$224),0),
IF('TL11'!$B$229=Q$3,SUMIF('TL11'!$C$238:$C$451,$C53,'TL11'!$J$238:$J$451),0),
IF('TL12'!$B$3=Q$3,SUMIF('TL12'!$C$10:$C$224,$C53,'TL12'!$J$10:$J$224),0),
IF('TL12'!$B$229=Q$3,SUMIF('TL12'!$C$238:$C$451,$C53,'TL12'!$J$238:$J$451),0),
IF('TL13'!$B$3=Q$3,SUMIF('TL13'!$C$10:$C$224,$C53,'TL13'!$J$10:$J$224),0),
IF('TL13'!$B$229=Q$3,SUMIF('TL13'!$C$238:$C$451,$C53,'TL13'!$J$238:$J$451),0),
IF('TL14'!$B$3=Q$3,SUMIF('TL14'!$C$10:$C$224,$C53,'TL14'!$J$10:$J$224),0),
IF('TL14'!$B$229=Q$3,SUMIF('TL14'!$C$238:$C$451,$C53,'TL14'!$J$238:$J$451),0),
IF('TL15'!$B$3=Q$3,SUMIF('TL15'!$C$10:$C$224,$C53,'TL15'!$J$10:$J$224),0),
IF('TL15'!$B$229=Q$3,SUMIF('TL15'!$C$238:$C$451,$C53,'TL15'!$J$238:$J$451),0),
IF('TL16'!$B$3=Q$3,SUMIF('TL16'!$C$10:$C$224,$C53,'TL16'!$J$10:$J$224),0),
IF('TL16'!$B$229=Q$3,SUMIF('TL16'!$C$238:$C$451,$C53,'TL16'!$J$238:$J$451),0),
IF('TL17'!$B$3=Q$3,SUMIF('TL17'!$C$10:$C$224,$C53,'TL17'!$J$10:$J$224),0),
IF('TL17'!$B$229=Q$3,SUMIF('TL17'!$C$238:$C$451,$C53,'TL17'!$J$238:$J$451),0),
IF('TL18'!$B$3=Q$3,SUMIF('TL18'!$C$10:$C$224,$C53,'TL18'!$J$10:$J$224),0),
IF('TL18'!$B$229=Q$3,SUMIF('TL18'!$C$238:$C$451,$C53,'TL18'!$J$238:$J$451),0),
IF('TL19'!$B$3=Q$3,SUMIF('TL19'!$C$10:$C$224,$C53,'TL19'!$J$10:$J$224),0),
IF('TL19'!$B$229=Q$3,SUMIF('TL19'!$C$238:$C$451,$C53,'TL19'!$J$238:$J$451),0)
),0)</f>
        <v/>
      </c>
      <c r="R53" s="9">
        <f>IFERROR(
SUM(
SUMIF('TL01'!C:C,C53,'TL01'!J:J),
SUMIF('TL02'!C:C,C53,'TL02'!J:J),
SUMIF('TL03'!C:C,C53,'TL03'!J:J),
SUMIF('TL04'!C:C,C53,'TL04'!J:J),
SUMIF('TL05'!C:C,C53,'TL05'!J:J),
SUMIF('TL06'!C:C,C53,'TL06'!J:J),
SUMIF('TL07'!C:C,C53,'TL07'!J:J),
SUMIF('TL08'!C:C,C53,'TL08'!J:J),
SUMIF('TL09'!C:C,C53,'TL09'!J:J),
SUMIF('TL10'!C:C,C53,'TL10'!J:J),
SUMIF('TL11'!C:C,C53,'TL11'!J:J),
SUMIF('TL12'!C:C,C53,'TL12'!J:J),
SUMIF('TL13'!C:C,C53,'TL13'!J:J),
SUMIF('TL14'!C:C,C53,'TL14'!J:J),
SUMIF('TL15'!C:C,C53,'TL15'!J:J),
SUMIF('TL16'!C:C,C53,'TL16'!J:J),
SUMIF('TL17'!C:C,C53,'TL17'!J:J),
SUMIF('TL18'!C:C,C53,'TL18'!J:J),SUMIF('TL19'!C:C,C53,'TL19'!J:J))
,0)</f>
        <v/>
      </c>
      <c r="S53" s="17">
        <f>IFERROR(__xludf.DUMMYFUNCTION("IFERROR(VLOOKUP(C53,
IMPORTRANGE(""1wULbzX32WdYsx-lj2U3uUNBBe2INVIRDtcK0d-Dvl90"",
""26-27!C:G""),
5,
FALSE),
"""")"),61.79184000000001)</f>
        <v/>
      </c>
      <c r="T53" s="9" t="n">
        <v>780</v>
      </c>
      <c r="U53" s="92">
        <f>MAX(0,R53-T53)</f>
        <v/>
      </c>
      <c r="V53" s="93">
        <f>U53*S53</f>
        <v/>
      </c>
    </row>
    <row r="54" hidden="1" ht="15.75" customHeight="1" s="297">
      <c r="A54" s="115" t="inlineStr">
        <is>
          <t>BAYER</t>
        </is>
      </c>
      <c r="B54" s="100" t="inlineStr">
        <is>
          <t>FUNGICIDA</t>
        </is>
      </c>
      <c r="C54" s="116" t="inlineStr">
        <is>
          <t>NATIVO PLUS</t>
        </is>
      </c>
      <c r="D54" s="116" t="inlineStr">
        <is>
          <t>TEBUCONAZOL + TRIFLOXISTROBINA + OXICLORETO DE
 COBRE</t>
        </is>
      </c>
      <c r="E54" s="116" t="inlineStr">
        <is>
          <t>90 + 75 + 420</t>
        </is>
      </c>
      <c r="F54" s="4" t="inlineStr">
        <is>
          <t>L</t>
        </is>
      </c>
      <c r="G54" s="90">
        <f>HYPERLINK("https://www.google.com/search?q=" &amp; C54 &amp; "+bula+agrofit+pdf", "📄 Ver bula")</f>
        <v/>
      </c>
      <c r="H54" s="9">
        <f>IFERROR(__xludf.DUMMYFUNCTION("IFERROR(VLOOKUP(C54,
IMPORTRANGE(""1wULbzX32WdYsx-lj2U3uUNBBe2INVIRDtcK0d-Dvl90"",
""26-27!C:K""),
8,
FALSE),
"""")"),1.0)</f>
        <v/>
      </c>
      <c r="I54" s="117" t="inlineStr">
        <is>
          <t>4X5</t>
        </is>
      </c>
      <c r="J54" s="9">
        <f>IFERROR(SUM(
IF('TL01'!$B$3=J$3,SUMIF('TL01'!$C$10:$C$224,$C54,'TL01'!$J$10:$J$224),0),
IF('TL01'!$B$229=J$3,SUMIF('TL01'!$C$238:$C$451,$C54,'TL01'!$J$238:$J$451),0),
IF('TL02'!$B$3=J$3,SUMIF('TL02'!$C$10:$C$224,$C54,'TL02'!$J$10:$J$224),0),
IF('TL02'!$B$229=J$3,SUMIF('TL02'!$C$238:$C$451,$C54,'TL02'!$J$238:$J$451),0),
IF('TL03'!$B$3=J$3,SUMIF('TL03'!$C$10:$C$224,$C54,'TL03'!$J$10:$J$224),0),
IF('TL03'!$B$229=J$3,SUMIF('TL03'!$C$238:$C$451,$C54,'TL03'!$J$238:$J$451),0),
IF('TL04'!$B$3=J$3,SUMIF('TL04'!$C$10:$C$224,$C54,'TL04'!$J$10:$J$224),0),
IF('TL04'!$B$229=J$3,SUMIF('TL04'!$C$238:$C$451,$C54,'TL04'!$J$238:$J$451),0),
IF('TL05'!$B$3=J$3,SUMIF('TL05'!$C$10:$C$224,$C54,'TL05'!$J$10:$J$224),0),
IF('TL05'!$B$229=J$3,SUMIF('TL05'!$C$238:$C$451,$C54,'TL05'!$J$238:$J$451),0),
IF('TL06'!$B$3=J$3,SUMIF('TL06'!$C$10:$C$224,$C54,'TL06'!$J$10:$J$224),0),
IF('TL06'!$B$229=J$3,SUMIF('TL06'!$C$238:$C$451,$C54,'TL06'!$J$238:$J$451),0),
IF('TL07'!$B$3=J$3,SUMIF('TL07'!$C$10:$C$224,$C54,'TL07'!$J$10:$J$224),0),
IF('TL07'!$B$229=J$3,SUMIF('TL07'!$C$238:$C$451,$C54,'TL07'!$J$238:$J$451),0),
IF('TL08'!$B$3=J$3,SUMIF('TL08'!$C$10:$C$224,$C54,'TL08'!$J$10:$J$224),0),
IF('TL08'!$B$229=J$3,SUMIF('TL08'!$C$238:$C$451,$C54,'TL08'!$J$238:$J$451),0),
IF('TL09'!$B$3=J$3,SUMIF('TL09'!$C$10:$C$224,$C54,'TL09'!$J$10:$J$224),0),
IF('TL09'!$B$229=J$3,SUMIF('TL09'!$C$238:$C$451,$C54,'TL09'!$J$238:$J$451),0),
IF('TL10'!$B$3=J$3,SUMIF('TL10'!$C$10:$C$224,$C54,'TL10'!$J$10:$J$224),0),
IF('TL10'!$B$229=J$3,SUMIF('TL10'!$C$238:$C$451,$C54,'TL10'!$J$238:$J$451),0),
IF('TL11'!$B$3=J$3,SUMIF('TL11'!$C$10:$C$224,$C54,'TL11'!$J$10:$J$224),0),
IF('TL11'!$B$229=J$3,SUMIF('TL11'!$C$238:$C$451,$C54,'TL11'!$J$238:$J$451),0),
IF('TL12'!$B$3=J$3,SUMIF('TL12'!$C$10:$C$224,$C54,'TL12'!$J$10:$J$224),0),
IF('TL12'!$B$229=J$3,SUMIF('TL12'!$C$238:$C$451,$C54,'TL12'!$J$238:$J$451),0),
IF('TL13'!$B$3=J$3,SUMIF('TL13'!$C$10:$C$224,$C54,'TL13'!$J$10:$J$224),0),
IF('TL13'!$B$229=J$3,SUMIF('TL13'!$C$238:$C$451,$C54,'TL13'!$J$238:$J$451),0),
IF('TL14'!$B$3=J$3,SUMIF('TL14'!$C$10:$C$224,$C54,'TL14'!$J$10:$J$224),0),
IF('TL14'!$B$229=J$3,SUMIF('TL14'!$C$238:$C$451,$C54,'TL14'!$J$238:$J$451),0),
IF('TL15'!$B$3=J$3,SUMIF('TL15'!$C$10:$C$224,$C54,'TL15'!$J$10:$J$224),0),
IF('TL15'!$B$229=J$3,SUMIF('TL15'!$C$238:$C$451,$C54,'TL15'!$J$238:$J$451),0),
IF('TL16'!$B$3=J$3,SUMIF('TL16'!$C$10:$C$224,$C54,'TL16'!$J$10:$J$224),0),
IF('TL16'!$B$229=J$3,SUMIF('TL16'!$C$238:$C$451,$C54,'TL16'!$J$238:$J$451),0),
IF('TL17'!$B$3=J$3,SUMIF('TL17'!$C$10:$C$224,$C54,'TL17'!$J$10:$J$224),0),
IF('TL17'!$B$229=J$3,SUMIF('TL17'!$C$238:$C$451,$C54,'TL17'!$J$238:$J$451),0),
IF('TL18'!$B$3=J$3,SUMIF('TL18'!$C$10:$C$224,$C54,'TL18'!$J$10:$J$224),0),
IF('TL18'!$B$229=J$3,SUMIF('TL18'!$C$238:$C$451,$C54,'TL18'!$J$238:$J$451),0),
IF('TL19'!$B$3=J$3,SUMIF('TL19'!$C$10:$C$224,$C54,'TL19'!$J$10:$J$224),0),
IF('TL19'!$B$229=J$3,SUMIF('TL19'!$C$238:$C$451,$C54,'TL19'!$J$238:$J$451),0)
),0)</f>
        <v/>
      </c>
      <c r="K54" s="9">
        <f>IFERROR(SUM(
IF('TL01'!$B$3=K$3,SUMIF('TL01'!$C$10:$C$224,$C54,'TL01'!$J$10:$J$224),0),
IF('TL01'!$B$229=K$3,SUMIF('TL01'!$C$238:$C$451,$C54,'TL01'!$J$238:$J$451),0),
IF('TL02'!$B$3=K$3,SUMIF('TL02'!$C$10:$C$224,$C54,'TL02'!$J$10:$J$224),0),
IF('TL02'!$B$229=K$3,SUMIF('TL02'!$C$238:$C$451,$C54,'TL02'!$J$238:$J$451),0),
IF('TL03'!$B$3=K$3,SUMIF('TL03'!$C$10:$C$224,$C54,'TL03'!$J$10:$J$224),0),
IF('TL03'!$B$229=K$3,SUMIF('TL03'!$C$238:$C$451,$C54,'TL03'!$J$238:$J$451),0),
IF('TL04'!$B$3=K$3,SUMIF('TL04'!$C$10:$C$224,$C54,'TL04'!$J$10:$J$224),0),
IF('TL04'!$B$229=K$3,SUMIF('TL04'!$C$238:$C$451,$C54,'TL04'!$J$238:$J$451),0),
IF('TL05'!$B$3=K$3,SUMIF('TL05'!$C$10:$C$224,$C54,'TL05'!$J$10:$J$224),0),
IF('TL05'!$B$229=K$3,SUMIF('TL05'!$C$238:$C$451,$C54,'TL05'!$J$238:$J$451),0),
IF('TL06'!$B$3=K$3,SUMIF('TL06'!$C$10:$C$224,$C54,'TL06'!$J$10:$J$224),0),
IF('TL06'!$B$229=K$3,SUMIF('TL06'!$C$238:$C$451,$C54,'TL06'!$J$238:$J$451),0),
IF('TL07'!$B$3=K$3,SUMIF('TL07'!$C$10:$C$224,$C54,'TL07'!$J$10:$J$224),0),
IF('TL07'!$B$229=K$3,SUMIF('TL07'!$C$238:$C$451,$C54,'TL07'!$J$238:$J$451),0),
IF('TL08'!$B$3=K$3,SUMIF('TL08'!$C$10:$C$224,$C54,'TL08'!$J$10:$J$224),0),
IF('TL08'!$B$229=K$3,SUMIF('TL08'!$C$238:$C$451,$C54,'TL08'!$J$238:$J$451),0),
IF('TL09'!$B$3=K$3,SUMIF('TL09'!$C$10:$C$224,$C54,'TL09'!$J$10:$J$224),0),
IF('TL09'!$B$229=K$3,SUMIF('TL09'!$C$238:$C$451,$C54,'TL09'!$J$238:$J$451),0),
IF('TL10'!$B$3=K$3,SUMIF('TL10'!$C$10:$C$224,$C54,'TL10'!$J$10:$J$224),0),
IF('TL10'!$B$229=K$3,SUMIF('TL10'!$C$238:$C$451,$C54,'TL10'!$J$238:$J$451),0),
IF('TL11'!$B$3=K$3,SUMIF('TL11'!$C$10:$C$224,$C54,'TL11'!$J$10:$J$224),0),
IF('TL11'!$B$229=K$3,SUMIF('TL11'!$C$238:$C$451,$C54,'TL11'!$J$238:$J$451),0),
IF('TL12'!$B$3=K$3,SUMIF('TL12'!$C$10:$C$224,$C54,'TL12'!$J$10:$J$224),0),
IF('TL12'!$B$229=K$3,SUMIF('TL12'!$C$238:$C$451,$C54,'TL12'!$J$238:$J$451),0),
IF('TL13'!$B$3=K$3,SUMIF('TL13'!$C$10:$C$224,$C54,'TL13'!$J$10:$J$224),0),
IF('TL13'!$B$229=K$3,SUMIF('TL13'!$C$238:$C$451,$C54,'TL13'!$J$238:$J$451),0),
IF('TL14'!$B$3=K$3,SUMIF('TL14'!$C$10:$C$224,$C54,'TL14'!$J$10:$J$224),0),
IF('TL14'!$B$229=K$3,SUMIF('TL14'!$C$238:$C$451,$C54,'TL14'!$J$238:$J$451),0),
IF('TL15'!$B$3=K$3,SUMIF('TL15'!$C$10:$C$224,$C54,'TL15'!$J$10:$J$224),0),
IF('TL15'!$B$229=K$3,SUMIF('TL15'!$C$238:$C$451,$C54,'TL15'!$J$238:$J$451),0),
IF('TL16'!$B$3=K$3,SUMIF('TL16'!$C$10:$C$224,$C54,'TL16'!$J$10:$J$224),0),
IF('TL16'!$B$229=K$3,SUMIF('TL16'!$C$238:$C$451,$C54,'TL16'!$J$238:$J$451),0),
IF('TL17'!$B$3=K$3,SUMIF('TL17'!$C$10:$C$224,$C54,'TL17'!$J$10:$J$224),0),
IF('TL17'!$B$229=K$3,SUMIF('TL17'!$C$238:$C$451,$C54,'TL17'!$J$238:$J$451),0),
IF('TL18'!$B$3=K$3,SUMIF('TL18'!$C$10:$C$224,$C54,'TL18'!$J$10:$J$224),0),
IF('TL18'!$B$229=K$3,SUMIF('TL18'!$C$238:$C$451,$C54,'TL18'!$J$238:$J$451),0),
IF('TL19'!$B$3=K$3,SUMIF('TL19'!$C$10:$C$224,$C54,'TL19'!$J$10:$J$224),0),
IF('TL19'!$B$229=K$3,SUMIF('TL19'!$C$238:$C$451,$C54,'TL19'!$J$238:$J$451),0)
),0)</f>
        <v/>
      </c>
      <c r="L54" s="9">
        <f>IFERROR(SUM(
IF('TL01'!$B$3=L$3,SUMIF('TL01'!$C$10:$C$224,$C54,'TL01'!$J$10:$J$224),0),
IF('TL01'!$B$229=L$3,SUMIF('TL01'!$C$238:$C$451,$C54,'TL01'!$J$238:$J$451),0),
IF('TL02'!$B$3=L$3,SUMIF('TL02'!$C$10:$C$224,$C54,'TL02'!$J$10:$J$224),0),
IF('TL02'!$B$229=L$3,SUMIF('TL02'!$C$238:$C$451,$C54,'TL02'!$J$238:$J$451),0),
IF('TL03'!$B$3=L$3,SUMIF('TL03'!$C$10:$C$224,$C54,'TL03'!$J$10:$J$224),0),
IF('TL03'!$B$229=L$3,SUMIF('TL03'!$C$238:$C$451,$C54,'TL03'!$J$238:$J$451),0),
IF('TL04'!$B$3=L$3,SUMIF('TL04'!$C$10:$C$224,$C54,'TL04'!$J$10:$J$224),0),
IF('TL04'!$B$229=L$3,SUMIF('TL04'!$C$238:$C$451,$C54,'TL04'!$J$238:$J$451),0),
IF('TL05'!$B$3=L$3,SUMIF('TL05'!$C$10:$C$224,$C54,'TL05'!$J$10:$J$224),0),
IF('TL05'!$B$229=L$3,SUMIF('TL05'!$C$238:$C$451,$C54,'TL05'!$J$238:$J$451),0),
IF('TL06'!$B$3=L$3,SUMIF('TL06'!$C$10:$C$224,$C54,'TL06'!$J$10:$J$224),0),
IF('TL06'!$B$229=L$3,SUMIF('TL06'!$C$238:$C$451,$C54,'TL06'!$J$238:$J$451),0),
IF('TL07'!$B$3=L$3,SUMIF('TL07'!$C$10:$C$224,$C54,'TL07'!$J$10:$J$224),0),
IF('TL07'!$B$229=L$3,SUMIF('TL07'!$C$238:$C$451,$C54,'TL07'!$J$238:$J$451),0),
IF('TL08'!$B$3=L$3,SUMIF('TL08'!$C$10:$C$224,$C54,'TL08'!$J$10:$J$224),0),
IF('TL08'!$B$229=L$3,SUMIF('TL08'!$C$238:$C$451,$C54,'TL08'!$J$238:$J$451),0),
IF('TL09'!$B$3=L$3,SUMIF('TL09'!$C$10:$C$224,$C54,'TL09'!$J$10:$J$224),0),
IF('TL09'!$B$229=L$3,SUMIF('TL09'!$C$238:$C$451,$C54,'TL09'!$J$238:$J$451),0),
IF('TL10'!$B$3=L$3,SUMIF('TL10'!$C$10:$C$224,$C54,'TL10'!$J$10:$J$224),0),
IF('TL10'!$B$229=L$3,SUMIF('TL10'!$C$238:$C$451,$C54,'TL10'!$J$238:$J$451),0),
IF('TL11'!$B$3=L$3,SUMIF('TL11'!$C$10:$C$224,$C54,'TL11'!$J$10:$J$224),0),
IF('TL11'!$B$229=L$3,SUMIF('TL11'!$C$238:$C$451,$C54,'TL11'!$J$238:$J$451),0),
IF('TL12'!$B$3=L$3,SUMIF('TL12'!$C$10:$C$224,$C54,'TL12'!$J$10:$J$224),0),
IF('TL12'!$B$229=L$3,SUMIF('TL12'!$C$238:$C$451,$C54,'TL12'!$J$238:$J$451),0),
IF('TL13'!$B$3=L$3,SUMIF('TL13'!$C$10:$C$224,$C54,'TL13'!$J$10:$J$224),0),
IF('TL13'!$B$229=L$3,SUMIF('TL13'!$C$238:$C$451,$C54,'TL13'!$J$238:$J$451),0),
IF('TL14'!$B$3=L$3,SUMIF('TL14'!$C$10:$C$224,$C54,'TL14'!$J$10:$J$224),0),
IF('TL14'!$B$229=L$3,SUMIF('TL14'!$C$238:$C$451,$C54,'TL14'!$J$238:$J$451),0),
IF('TL15'!$B$3=L$3,SUMIF('TL15'!$C$10:$C$224,$C54,'TL15'!$J$10:$J$224),0),
IF('TL15'!$B$229=L$3,SUMIF('TL15'!$C$238:$C$451,$C54,'TL15'!$J$238:$J$451),0),
IF('TL16'!$B$3=L$3,SUMIF('TL16'!$C$10:$C$224,$C54,'TL16'!$J$10:$J$224),0),
IF('TL16'!$B$229=L$3,SUMIF('TL16'!$C$238:$C$451,$C54,'TL16'!$J$238:$J$451),0),
IF('TL17'!$B$3=L$3,SUMIF('TL17'!$C$10:$C$224,$C54,'TL17'!$J$10:$J$224),0),
IF('TL17'!$B$229=L$3,SUMIF('TL17'!$C$238:$C$451,$C54,'TL17'!$J$238:$J$451),0),
IF('TL18'!$B$3=L$3,SUMIF('TL18'!$C$10:$C$224,$C54,'TL18'!$J$10:$J$224),0),
IF('TL18'!$B$229=L$3,SUMIF('TL18'!$C$238:$C$451,$C54,'TL18'!$J$238:$J$451),0),
IF('TL19'!$B$3=L$3,SUMIF('TL19'!$C$10:$C$224,$C54,'TL19'!$J$10:$J$224),0),
IF('TL19'!$B$229=L$3,SUMIF('TL19'!$C$238:$C$451,$C54,'TL19'!$J$238:$J$451),0)
),0)</f>
        <v/>
      </c>
      <c r="M54" s="9">
        <f>IFERROR(SUM(
IF('TL01'!$B$3=M$3,SUMIF('TL01'!$C$10:$C$224,$C54,'TL01'!$J$10:$J$224),0),
IF('TL01'!$B$229=M$3,SUMIF('TL01'!$C$238:$C$451,$C54,'TL01'!$J$238:$J$451),0),
IF('TL02'!$B$3=M$3,SUMIF('TL02'!$C$10:$C$224,$C54,'TL02'!$J$10:$J$224),0),
IF('TL02'!$B$229=M$3,SUMIF('TL02'!$C$238:$C$451,$C54,'TL02'!$J$238:$J$451),0),
IF('TL03'!$B$3=M$3,SUMIF('TL03'!$C$10:$C$224,$C54,'TL03'!$J$10:$J$224),0),
IF('TL03'!$B$229=M$3,SUMIF('TL03'!$C$238:$C$451,$C54,'TL03'!$J$238:$J$451),0),
IF('TL04'!$B$3=M$3,SUMIF('TL04'!$C$10:$C$224,$C54,'TL04'!$J$10:$J$224),0),
IF('TL04'!$B$229=M$3,SUMIF('TL04'!$C$238:$C$451,$C54,'TL04'!$J$238:$J$451),0),
IF('TL05'!$B$3=M$3,SUMIF('TL05'!$C$10:$C$224,$C54,'TL05'!$J$10:$J$224),0),
IF('TL05'!$B$229=M$3,SUMIF('TL05'!$C$238:$C$451,$C54,'TL05'!$J$238:$J$451),0),
IF('TL06'!$B$3=M$3,SUMIF('TL06'!$C$10:$C$224,$C54,'TL06'!$J$10:$J$224),0),
IF('TL06'!$B$229=M$3,SUMIF('TL06'!$C$238:$C$451,$C54,'TL06'!$J$238:$J$451),0),
IF('TL07'!$B$3=M$3,SUMIF('TL07'!$C$10:$C$224,$C54,'TL07'!$J$10:$J$224),0),
IF('TL07'!$B$229=M$3,SUMIF('TL07'!$C$238:$C$451,$C54,'TL07'!$J$238:$J$451),0),
IF('TL08'!$B$3=M$3,SUMIF('TL08'!$C$10:$C$224,$C54,'TL08'!$J$10:$J$224),0),
IF('TL08'!$B$229=M$3,SUMIF('TL08'!$C$238:$C$451,$C54,'TL08'!$J$238:$J$451),0),
IF('TL09'!$B$3=M$3,SUMIF('TL09'!$C$10:$C$224,$C54,'TL09'!$J$10:$J$224),0),
IF('TL09'!$B$229=M$3,SUMIF('TL09'!$C$238:$C$451,$C54,'TL09'!$J$238:$J$451),0),
IF('TL10'!$B$3=M$3,SUMIF('TL10'!$C$10:$C$224,$C54,'TL10'!$J$10:$J$224),0),
IF('TL10'!$B$229=M$3,SUMIF('TL10'!$C$238:$C$451,$C54,'TL10'!$J$238:$J$451),0),
IF('TL11'!$B$3=M$3,SUMIF('TL11'!$C$10:$C$224,$C54,'TL11'!$J$10:$J$224),0),
IF('TL11'!$B$229=M$3,SUMIF('TL11'!$C$238:$C$451,$C54,'TL11'!$J$238:$J$451),0),
IF('TL12'!$B$3=M$3,SUMIF('TL12'!$C$10:$C$224,$C54,'TL12'!$J$10:$J$224),0),
IF('TL12'!$B$229=M$3,SUMIF('TL12'!$C$238:$C$451,$C54,'TL12'!$J$238:$J$451),0),
IF('TL13'!$B$3=M$3,SUMIF('TL13'!$C$10:$C$224,$C54,'TL13'!$J$10:$J$224),0),
IF('TL13'!$B$229=M$3,SUMIF('TL13'!$C$238:$C$451,$C54,'TL13'!$J$238:$J$451),0),
IF('TL14'!$B$3=M$3,SUMIF('TL14'!$C$10:$C$224,$C54,'TL14'!$J$10:$J$224),0),
IF('TL14'!$B$229=M$3,SUMIF('TL14'!$C$238:$C$451,$C54,'TL14'!$J$238:$J$451),0),
IF('TL15'!$B$3=M$3,SUMIF('TL15'!$C$10:$C$224,$C54,'TL15'!$J$10:$J$224),0),
IF('TL15'!$B$229=M$3,SUMIF('TL15'!$C$238:$C$451,$C54,'TL15'!$J$238:$J$451),0),
IF('TL16'!$B$3=M$3,SUMIF('TL16'!$C$10:$C$224,$C54,'TL16'!$J$10:$J$224),0),
IF('TL16'!$B$229=M$3,SUMIF('TL16'!$C$238:$C$451,$C54,'TL16'!$J$238:$J$451),0),
IF('TL17'!$B$3=M$3,SUMIF('TL17'!$C$10:$C$224,$C54,'TL17'!$J$10:$J$224),0),
IF('TL17'!$B$229=M$3,SUMIF('TL17'!$C$238:$C$451,$C54,'TL17'!$J$238:$J$451),0),
IF('TL18'!$B$3=M$3,SUMIF('TL18'!$C$10:$C$224,$C54,'TL18'!$J$10:$J$224),0),
IF('TL18'!$B$229=M$3,SUMIF('TL18'!$C$238:$C$451,$C54,'TL18'!$J$238:$J$451),0),
IF('TL19'!$B$3=M$3,SUMIF('TL19'!$C$10:$C$224,$C54,'TL19'!$J$10:$J$224),0),
IF('TL19'!$B$229=M$3,SUMIF('TL19'!$C$238:$C$451,$C54,'TL19'!$J$238:$J$451),0)
),0)</f>
        <v/>
      </c>
      <c r="N54" s="9">
        <f>IFERROR(SUM(
IF('TL01'!$B$3=N$3,SUMIF('TL01'!$C$10:$C$224,$C54,'TL01'!$J$10:$J$224),0),
IF('TL01'!$B$229=N$3,SUMIF('TL01'!$C$238:$C$451,$C54,'TL01'!$J$238:$J$451),0),
IF('TL02'!$B$3=N$3,SUMIF('TL02'!$C$10:$C$224,$C54,'TL02'!$J$10:$J$224),0),
IF('TL02'!$B$229=N$3,SUMIF('TL02'!$C$238:$C$451,$C54,'TL02'!$J$238:$J$451),0),
IF('TL03'!$B$3=N$3,SUMIF('TL03'!$C$10:$C$224,$C54,'TL03'!$J$10:$J$224),0),
IF('TL03'!$B$229=N$3,SUMIF('TL03'!$C$238:$C$451,$C54,'TL03'!$J$238:$J$451),0),
IF('TL04'!$B$3=N$3,SUMIF('TL04'!$C$10:$C$224,$C54,'TL04'!$J$10:$J$224),0),
IF('TL04'!$B$229=N$3,SUMIF('TL04'!$C$238:$C$451,$C54,'TL04'!$J$238:$J$451),0),
IF('TL05'!$B$3=N$3,SUMIF('TL05'!$C$10:$C$224,$C54,'TL05'!$J$10:$J$224),0),
IF('TL05'!$B$229=N$3,SUMIF('TL05'!$C$238:$C$451,$C54,'TL05'!$J$238:$J$451),0),
IF('TL06'!$B$3=N$3,SUMIF('TL06'!$C$10:$C$224,$C54,'TL06'!$J$10:$J$224),0),
IF('TL06'!$B$229=N$3,SUMIF('TL06'!$C$238:$C$451,$C54,'TL06'!$J$238:$J$451),0),
IF('TL07'!$B$3=N$3,SUMIF('TL07'!$C$10:$C$224,$C54,'TL07'!$J$10:$J$224),0),
IF('TL07'!$B$229=N$3,SUMIF('TL07'!$C$238:$C$451,$C54,'TL07'!$J$238:$J$451),0),
IF('TL08'!$B$3=N$3,SUMIF('TL08'!$C$10:$C$224,$C54,'TL08'!$J$10:$J$224),0),
IF('TL08'!$B$229=N$3,SUMIF('TL08'!$C$238:$C$451,$C54,'TL08'!$J$238:$J$451),0),
IF('TL09'!$B$3=N$3,SUMIF('TL09'!$C$10:$C$224,$C54,'TL09'!$J$10:$J$224),0),
IF('TL09'!$B$229=N$3,SUMIF('TL09'!$C$238:$C$451,$C54,'TL09'!$J$238:$J$451),0),
IF('TL10'!$B$3=N$3,SUMIF('TL10'!$C$10:$C$224,$C54,'TL10'!$J$10:$J$224),0),
IF('TL10'!$B$229=N$3,SUMIF('TL10'!$C$238:$C$451,$C54,'TL10'!$J$238:$J$451),0),
IF('TL11'!$B$3=N$3,SUMIF('TL11'!$C$10:$C$224,$C54,'TL11'!$J$10:$J$224),0),
IF('TL11'!$B$229=N$3,SUMIF('TL11'!$C$238:$C$451,$C54,'TL11'!$J$238:$J$451),0),
IF('TL12'!$B$3=N$3,SUMIF('TL12'!$C$10:$C$224,$C54,'TL12'!$J$10:$J$224),0),
IF('TL12'!$B$229=N$3,SUMIF('TL12'!$C$238:$C$451,$C54,'TL12'!$J$238:$J$451),0),
IF('TL13'!$B$3=N$3,SUMIF('TL13'!$C$10:$C$224,$C54,'TL13'!$J$10:$J$224),0),
IF('TL13'!$B$229=N$3,SUMIF('TL13'!$C$238:$C$451,$C54,'TL13'!$J$238:$J$451),0),
IF('TL14'!$B$3=N$3,SUMIF('TL14'!$C$10:$C$224,$C54,'TL14'!$J$10:$J$224),0),
IF('TL14'!$B$229=N$3,SUMIF('TL14'!$C$238:$C$451,$C54,'TL14'!$J$238:$J$451),0),
IF('TL15'!$B$3=N$3,SUMIF('TL15'!$C$10:$C$224,$C54,'TL15'!$J$10:$J$224),0),
IF('TL15'!$B$229=N$3,SUMIF('TL15'!$C$238:$C$451,$C54,'TL15'!$J$238:$J$451),0),
IF('TL16'!$B$3=N$3,SUMIF('TL16'!$C$10:$C$224,$C54,'TL16'!$J$10:$J$224),0),
IF('TL16'!$B$229=N$3,SUMIF('TL16'!$C$238:$C$451,$C54,'TL16'!$J$238:$J$451),0),
IF('TL17'!$B$3=N$3,SUMIF('TL17'!$C$10:$C$224,$C54,'TL17'!$J$10:$J$224),0),
IF('TL17'!$B$229=N$3,SUMIF('TL17'!$C$238:$C$451,$C54,'TL17'!$J$238:$J$451),0),
IF('TL18'!$B$3=N$3,SUMIF('TL18'!$C$10:$C$224,$C54,'TL18'!$J$10:$J$224),0),
IF('TL18'!$B$229=N$3,SUMIF('TL18'!$C$238:$C$451,$C54,'TL18'!$J$238:$J$451),0),
IF('TL19'!$B$3=N$3,SUMIF('TL19'!$C$10:$C$224,$C54,'TL19'!$J$10:$J$224),0),
IF('TL19'!$B$229=N$3,SUMIF('TL19'!$C$238:$C$451,$C54,'TL19'!$J$238:$J$451),0)
),0)</f>
        <v/>
      </c>
      <c r="O54" s="9">
        <f>IFERROR(SUM(
IF('TL01'!$B$3=O$3,SUMIF('TL01'!$C$10:$C$224,$C54,'TL01'!$J$10:$J$224),0),
IF('TL01'!$B$229=O$3,SUMIF('TL01'!$C$238:$C$451,$C54,'TL01'!$J$238:$J$451),0),
IF('TL02'!$B$3=O$3,SUMIF('TL02'!$C$10:$C$224,$C54,'TL02'!$J$10:$J$224),0),
IF('TL02'!$B$229=O$3,SUMIF('TL02'!$C$238:$C$451,$C54,'TL02'!$J$238:$J$451),0),
IF('TL03'!$B$3=O$3,SUMIF('TL03'!$C$10:$C$224,$C54,'TL03'!$J$10:$J$224),0),
IF('TL03'!$B$229=O$3,SUMIF('TL03'!$C$238:$C$451,$C54,'TL03'!$J$238:$J$451),0),
IF('TL04'!$B$3=O$3,SUMIF('TL04'!$C$10:$C$224,$C54,'TL04'!$J$10:$J$224),0),
IF('TL04'!$B$229=O$3,SUMIF('TL04'!$C$238:$C$451,$C54,'TL04'!$J$238:$J$451),0),
IF('TL05'!$B$3=O$3,SUMIF('TL05'!$C$10:$C$224,$C54,'TL05'!$J$10:$J$224),0),
IF('TL05'!$B$229=O$3,SUMIF('TL05'!$C$238:$C$451,$C54,'TL05'!$J$238:$J$451),0),
IF('TL06'!$B$3=O$3,SUMIF('TL06'!$C$10:$C$224,$C54,'TL06'!$J$10:$J$224),0),
IF('TL06'!$B$229=O$3,SUMIF('TL06'!$C$238:$C$451,$C54,'TL06'!$J$238:$J$451),0),
IF('TL07'!$B$3=O$3,SUMIF('TL07'!$C$10:$C$224,$C54,'TL07'!$J$10:$J$224),0),
IF('TL07'!$B$229=O$3,SUMIF('TL07'!$C$238:$C$451,$C54,'TL07'!$J$238:$J$451),0),
IF('TL08'!$B$3=O$3,SUMIF('TL08'!$C$10:$C$224,$C54,'TL08'!$J$10:$J$224),0),
IF('TL08'!$B$229=O$3,SUMIF('TL08'!$C$238:$C$451,$C54,'TL08'!$J$238:$J$451),0),
IF('TL09'!$B$3=O$3,SUMIF('TL09'!$C$10:$C$224,$C54,'TL09'!$J$10:$J$224),0),
IF('TL09'!$B$229=O$3,SUMIF('TL09'!$C$238:$C$451,$C54,'TL09'!$J$238:$J$451),0),
IF('TL10'!$B$3=O$3,SUMIF('TL10'!$C$10:$C$224,$C54,'TL10'!$J$10:$J$224),0),
IF('TL10'!$B$229=O$3,SUMIF('TL10'!$C$238:$C$451,$C54,'TL10'!$J$238:$J$451),0),
IF('TL11'!$B$3=O$3,SUMIF('TL11'!$C$10:$C$224,$C54,'TL11'!$J$10:$J$224),0),
IF('TL11'!$B$229=O$3,SUMIF('TL11'!$C$238:$C$451,$C54,'TL11'!$J$238:$J$451),0),
IF('TL12'!$B$3=O$3,SUMIF('TL12'!$C$10:$C$224,$C54,'TL12'!$J$10:$J$224),0),
IF('TL12'!$B$229=O$3,SUMIF('TL12'!$C$238:$C$451,$C54,'TL12'!$J$238:$J$451),0),
IF('TL13'!$B$3=O$3,SUMIF('TL13'!$C$10:$C$224,$C54,'TL13'!$J$10:$J$224),0),
IF('TL13'!$B$229=O$3,SUMIF('TL13'!$C$238:$C$451,$C54,'TL13'!$J$238:$J$451),0),
IF('TL14'!$B$3=O$3,SUMIF('TL14'!$C$10:$C$224,$C54,'TL14'!$J$10:$J$224),0),
IF('TL14'!$B$229=O$3,SUMIF('TL14'!$C$238:$C$451,$C54,'TL14'!$J$238:$J$451),0),
IF('TL15'!$B$3=O$3,SUMIF('TL15'!$C$10:$C$224,$C54,'TL15'!$J$10:$J$224),0),
IF('TL15'!$B$229=O$3,SUMIF('TL15'!$C$238:$C$451,$C54,'TL15'!$J$238:$J$451),0),
IF('TL16'!$B$3=O$3,SUMIF('TL16'!$C$10:$C$224,$C54,'TL16'!$J$10:$J$224),0),
IF('TL16'!$B$229=O$3,SUMIF('TL16'!$C$238:$C$451,$C54,'TL16'!$J$238:$J$451),0),
IF('TL17'!$B$3=O$3,SUMIF('TL17'!$C$10:$C$224,$C54,'TL17'!$J$10:$J$224),0),
IF('TL17'!$B$229=O$3,SUMIF('TL17'!$C$238:$C$451,$C54,'TL17'!$J$238:$J$451),0),
IF('TL18'!$B$3=O$3,SUMIF('TL18'!$C$10:$C$224,$C54,'TL18'!$J$10:$J$224),0),
IF('TL18'!$B$229=O$3,SUMIF('TL18'!$C$238:$C$451,$C54,'TL18'!$J$238:$J$451),0),
IF('TL19'!$B$3=O$3,SUMIF('TL19'!$C$10:$C$224,$C54,'TL19'!$J$10:$J$224),0),
IF('TL19'!$B$229=O$3,SUMIF('TL19'!$C$238:$C$451,$C54,'TL19'!$J$238:$J$451),0)
),0)</f>
        <v/>
      </c>
      <c r="P54" s="9">
        <f>IFERROR(SUM(
IF('TL01'!$B$3=P$3,SUMIF('TL01'!$C$10:$C$224,$C54,'TL01'!$J$10:$J$224),0),
IF('TL01'!$B$229=P$3,SUMIF('TL01'!$C$238:$C$451,$C54,'TL01'!$J$238:$J$451),0),
IF('TL02'!$B$3=P$3,SUMIF('TL02'!$C$10:$C$224,$C54,'TL02'!$J$10:$J$224),0),
IF('TL02'!$B$229=P$3,SUMIF('TL02'!$C$238:$C$451,$C54,'TL02'!$J$238:$J$451),0),
IF('TL03'!$B$3=P$3,SUMIF('TL03'!$C$10:$C$224,$C54,'TL03'!$J$10:$J$224),0),
IF('TL03'!$B$229=P$3,SUMIF('TL03'!$C$238:$C$451,$C54,'TL03'!$J$238:$J$451),0),
IF('TL04'!$B$3=P$3,SUMIF('TL04'!$C$10:$C$224,$C54,'TL04'!$J$10:$J$224),0),
IF('TL04'!$B$229=P$3,SUMIF('TL04'!$C$238:$C$451,$C54,'TL04'!$J$238:$J$451),0),
IF('TL05'!$B$3=P$3,SUMIF('TL05'!$C$10:$C$224,$C54,'TL05'!$J$10:$J$224),0),
IF('TL05'!$B$229=P$3,SUMIF('TL05'!$C$238:$C$451,$C54,'TL05'!$J$238:$J$451),0),
IF('TL06'!$B$3=P$3,SUMIF('TL06'!$C$10:$C$224,$C54,'TL06'!$J$10:$J$224),0),
IF('TL06'!$B$229=P$3,SUMIF('TL06'!$C$238:$C$451,$C54,'TL06'!$J$238:$J$451),0),
IF('TL07'!$B$3=P$3,SUMIF('TL07'!$C$10:$C$224,$C54,'TL07'!$J$10:$J$224),0),
IF('TL07'!$B$229=P$3,SUMIF('TL07'!$C$238:$C$451,$C54,'TL07'!$J$238:$J$451),0),
IF('TL08'!$B$3=P$3,SUMIF('TL08'!$C$10:$C$224,$C54,'TL08'!$J$10:$J$224),0),
IF('TL08'!$B$229=P$3,SUMIF('TL08'!$C$238:$C$451,$C54,'TL08'!$J$238:$J$451),0),
IF('TL09'!$B$3=P$3,SUMIF('TL09'!$C$10:$C$224,$C54,'TL09'!$J$10:$J$224),0),
IF('TL09'!$B$229=P$3,SUMIF('TL09'!$C$238:$C$451,$C54,'TL09'!$J$238:$J$451),0),
IF('TL10'!$B$3=P$3,SUMIF('TL10'!$C$10:$C$224,$C54,'TL10'!$J$10:$J$224),0),
IF('TL10'!$B$229=P$3,SUMIF('TL10'!$C$238:$C$451,$C54,'TL10'!$J$238:$J$451),0),
IF('TL11'!$B$3=P$3,SUMIF('TL11'!$C$10:$C$224,$C54,'TL11'!$J$10:$J$224),0),
IF('TL11'!$B$229=P$3,SUMIF('TL11'!$C$238:$C$451,$C54,'TL11'!$J$238:$J$451),0),
IF('TL12'!$B$3=P$3,SUMIF('TL12'!$C$10:$C$224,$C54,'TL12'!$J$10:$J$224),0),
IF('TL12'!$B$229=P$3,SUMIF('TL12'!$C$238:$C$451,$C54,'TL12'!$J$238:$J$451),0),
IF('TL13'!$B$3=P$3,SUMIF('TL13'!$C$10:$C$224,$C54,'TL13'!$J$10:$J$224),0),
IF('TL13'!$B$229=P$3,SUMIF('TL13'!$C$238:$C$451,$C54,'TL13'!$J$238:$J$451),0),
IF('TL14'!$B$3=P$3,SUMIF('TL14'!$C$10:$C$224,$C54,'TL14'!$J$10:$J$224),0),
IF('TL14'!$B$229=P$3,SUMIF('TL14'!$C$238:$C$451,$C54,'TL14'!$J$238:$J$451),0),
IF('TL15'!$B$3=P$3,SUMIF('TL15'!$C$10:$C$224,$C54,'TL15'!$J$10:$J$224),0),
IF('TL15'!$B$229=P$3,SUMIF('TL15'!$C$238:$C$451,$C54,'TL15'!$J$238:$J$451),0),
IF('TL16'!$B$3=P$3,SUMIF('TL16'!$C$10:$C$224,$C54,'TL16'!$J$10:$J$224),0),
IF('TL16'!$B$229=P$3,SUMIF('TL16'!$C$238:$C$451,$C54,'TL16'!$J$238:$J$451),0),
IF('TL17'!$B$3=P$3,SUMIF('TL17'!$C$10:$C$224,$C54,'TL17'!$J$10:$J$224),0),
IF('TL17'!$B$229=P$3,SUMIF('TL17'!$C$238:$C$451,$C54,'TL17'!$J$238:$J$451),0),
IF('TL18'!$B$3=P$3,SUMIF('TL18'!$C$10:$C$224,$C54,'TL18'!$J$10:$J$224),0),
IF('TL18'!$B$229=P$3,SUMIF('TL18'!$C$238:$C$451,$C54,'TL18'!$J$238:$J$451),0),
IF('TL19'!$B$3=P$3,SUMIF('TL19'!$C$10:$C$224,$C54,'TL19'!$J$10:$J$224),0),
IF('TL19'!$B$229=P$3,SUMIF('TL19'!$C$238:$C$451,$C54,'TL19'!$J$238:$J$451),0)
),0)</f>
        <v/>
      </c>
      <c r="Q54" s="9">
        <f>IFERROR(SUM(
IF('TL01'!$B$3=Q$3,SUMIF('TL01'!$C$10:$C$224,$C54,'TL01'!$J$10:$J$224),0),
IF('TL01'!$B$229=Q$3,SUMIF('TL01'!$C$238:$C$451,$C54,'TL01'!$J$238:$J$451),0),
IF('TL02'!$B$3=Q$3,SUMIF('TL02'!$C$10:$C$224,$C54,'TL02'!$J$10:$J$224),0),
IF('TL02'!$B$229=Q$3,SUMIF('TL02'!$C$238:$C$451,$C54,'TL02'!$J$238:$J$451),0),
IF('TL03'!$B$3=Q$3,SUMIF('TL03'!$C$10:$C$224,$C54,'TL03'!$J$10:$J$224),0),
IF('TL03'!$B$229=Q$3,SUMIF('TL03'!$C$238:$C$451,$C54,'TL03'!$J$238:$J$451),0),
IF('TL04'!$B$3=Q$3,SUMIF('TL04'!$C$10:$C$224,$C54,'TL04'!$J$10:$J$224),0),
IF('TL04'!$B$229=Q$3,SUMIF('TL04'!$C$238:$C$451,$C54,'TL04'!$J$238:$J$451),0),
IF('TL05'!$B$3=Q$3,SUMIF('TL05'!$C$10:$C$224,$C54,'TL05'!$J$10:$J$224),0),
IF('TL05'!$B$229=Q$3,SUMIF('TL05'!$C$238:$C$451,$C54,'TL05'!$J$238:$J$451),0),
IF('TL06'!$B$3=Q$3,SUMIF('TL06'!$C$10:$C$224,$C54,'TL06'!$J$10:$J$224),0),
IF('TL06'!$B$229=Q$3,SUMIF('TL06'!$C$238:$C$451,$C54,'TL06'!$J$238:$J$451),0),
IF('TL07'!$B$3=Q$3,SUMIF('TL07'!$C$10:$C$224,$C54,'TL07'!$J$10:$J$224),0),
IF('TL07'!$B$229=Q$3,SUMIF('TL07'!$C$238:$C$451,$C54,'TL07'!$J$238:$J$451),0),
IF('TL08'!$B$3=Q$3,SUMIF('TL08'!$C$10:$C$224,$C54,'TL08'!$J$10:$J$224),0),
IF('TL08'!$B$229=Q$3,SUMIF('TL08'!$C$238:$C$451,$C54,'TL08'!$J$238:$J$451),0),
IF('TL09'!$B$3=Q$3,SUMIF('TL09'!$C$10:$C$224,$C54,'TL09'!$J$10:$J$224),0),
IF('TL09'!$B$229=Q$3,SUMIF('TL09'!$C$238:$C$451,$C54,'TL09'!$J$238:$J$451),0),
IF('TL10'!$B$3=Q$3,SUMIF('TL10'!$C$10:$C$224,$C54,'TL10'!$J$10:$J$224),0),
IF('TL10'!$B$229=Q$3,SUMIF('TL10'!$C$238:$C$451,$C54,'TL10'!$J$238:$J$451),0),
IF('TL11'!$B$3=Q$3,SUMIF('TL11'!$C$10:$C$224,$C54,'TL11'!$J$10:$J$224),0),
IF('TL11'!$B$229=Q$3,SUMIF('TL11'!$C$238:$C$451,$C54,'TL11'!$J$238:$J$451),0),
IF('TL12'!$B$3=Q$3,SUMIF('TL12'!$C$10:$C$224,$C54,'TL12'!$J$10:$J$224),0),
IF('TL12'!$B$229=Q$3,SUMIF('TL12'!$C$238:$C$451,$C54,'TL12'!$J$238:$J$451),0),
IF('TL13'!$B$3=Q$3,SUMIF('TL13'!$C$10:$C$224,$C54,'TL13'!$J$10:$J$224),0),
IF('TL13'!$B$229=Q$3,SUMIF('TL13'!$C$238:$C$451,$C54,'TL13'!$J$238:$J$451),0),
IF('TL14'!$B$3=Q$3,SUMIF('TL14'!$C$10:$C$224,$C54,'TL14'!$J$10:$J$224),0),
IF('TL14'!$B$229=Q$3,SUMIF('TL14'!$C$238:$C$451,$C54,'TL14'!$J$238:$J$451),0),
IF('TL15'!$B$3=Q$3,SUMIF('TL15'!$C$10:$C$224,$C54,'TL15'!$J$10:$J$224),0),
IF('TL15'!$B$229=Q$3,SUMIF('TL15'!$C$238:$C$451,$C54,'TL15'!$J$238:$J$451),0),
IF('TL16'!$B$3=Q$3,SUMIF('TL16'!$C$10:$C$224,$C54,'TL16'!$J$10:$J$224),0),
IF('TL16'!$B$229=Q$3,SUMIF('TL16'!$C$238:$C$451,$C54,'TL16'!$J$238:$J$451),0),
IF('TL17'!$B$3=Q$3,SUMIF('TL17'!$C$10:$C$224,$C54,'TL17'!$J$10:$J$224),0),
IF('TL17'!$B$229=Q$3,SUMIF('TL17'!$C$238:$C$451,$C54,'TL17'!$J$238:$J$451),0),
IF('TL18'!$B$3=Q$3,SUMIF('TL18'!$C$10:$C$224,$C54,'TL18'!$J$10:$J$224),0),
IF('TL18'!$B$229=Q$3,SUMIF('TL18'!$C$238:$C$451,$C54,'TL18'!$J$238:$J$451),0),
IF('TL19'!$B$3=Q$3,SUMIF('TL19'!$C$10:$C$224,$C54,'TL19'!$J$10:$J$224),0),
IF('TL19'!$B$229=Q$3,SUMIF('TL19'!$C$238:$C$451,$C54,'TL19'!$J$238:$J$451),0)
),0)</f>
        <v/>
      </c>
      <c r="R54" s="9">
        <f>IFERROR(
SUM(
SUMIF('TL01'!C:C,C54,'TL01'!J:J),
SUMIF('TL02'!C:C,C54,'TL02'!J:J),
SUMIF('TL03'!C:C,C54,'TL03'!J:J),
SUMIF('TL04'!C:C,C54,'TL04'!J:J),
SUMIF('TL05'!C:C,C54,'TL05'!J:J),
SUMIF('TL06'!C:C,C54,'TL06'!J:J),
SUMIF('TL07'!C:C,C54,'TL07'!J:J),
SUMIF('TL08'!C:C,C54,'TL08'!J:J),
SUMIF('TL09'!C:C,C54,'TL09'!J:J),
SUMIF('TL10'!C:C,C54,'TL10'!J:J),
SUMIF('TL11'!C:C,C54,'TL11'!J:J),
SUMIF('TL12'!C:C,C54,'TL12'!J:J),
SUMIF('TL13'!C:C,C54,'TL13'!J:J),
SUMIF('TL14'!C:C,C54,'TL14'!J:J),
SUMIF('TL15'!C:C,C54,'TL15'!J:J),
SUMIF('TL16'!C:C,C54,'TL16'!J:J),
SUMIF('TL17'!C:C,C54,'TL17'!J:J),
SUMIF('TL18'!C:C,C54,'TL18'!J:J),SUMIF('TL19'!C:C,C54,'TL19'!J:J))
,0)</f>
        <v/>
      </c>
      <c r="S54" s="17">
        <f>IFERROR(__xludf.DUMMYFUNCTION("IFERROR(VLOOKUP(C54,
IMPORTRANGE(""1wULbzX32WdYsx-lj2U3uUNBBe2INVIRDtcK0d-Dvl90"",
""26-27!C:G""),
5,
FALSE),
"""")"),83.31408000000002)</f>
        <v/>
      </c>
      <c r="T54" s="9" t="n"/>
      <c r="U54" s="92">
        <f>MAX(0,R54-T54)</f>
        <v/>
      </c>
      <c r="V54" s="93">
        <f>U54*S54</f>
        <v/>
      </c>
    </row>
    <row r="55" hidden="1" ht="15.75" customHeight="1" s="297">
      <c r="A55" s="111" t="inlineStr">
        <is>
          <t>BAYER</t>
        </is>
      </c>
      <c r="B55" s="112" t="inlineStr">
        <is>
          <t>FUNGICIDA</t>
        </is>
      </c>
      <c r="C55" s="113" t="inlineStr">
        <is>
          <t>SPHERE MAX</t>
        </is>
      </c>
      <c r="D55" s="113" t="inlineStr">
        <is>
          <t>TRIFLOXISTROBINA + CIPROCONAZOL</t>
        </is>
      </c>
      <c r="E55" s="113" t="inlineStr">
        <is>
          <t>375 + 160</t>
        </is>
      </c>
      <c r="F55" s="4" t="inlineStr">
        <is>
          <t>L</t>
        </is>
      </c>
      <c r="G55" s="90">
        <f>HYPERLINK("https://www.google.com/search?q=" &amp; C55 &amp; "+bula+agrofit+pdf", "📄 Ver bula")</f>
        <v/>
      </c>
      <c r="H55" s="9">
        <f>IFERROR(__xludf.DUMMYFUNCTION("IFERROR(VLOOKUP(C55,
IMPORTRANGE(""1wULbzX32WdYsx-lj2U3uUNBBe2INVIRDtcK0d-Dvl90"",
""26-27!C:K""),
8,
FALSE),
"""")"),0.2)</f>
        <v/>
      </c>
      <c r="I55" s="114" t="inlineStr">
        <is>
          <t>4X5</t>
        </is>
      </c>
      <c r="J55" s="9">
        <f>IFERROR(SUM(
IF('TL01'!$B$3=J$3,SUMIF('TL01'!$C$10:$C$224,$C55,'TL01'!$J$10:$J$224),0),
IF('TL01'!$B$229=J$3,SUMIF('TL01'!$C$238:$C$451,$C55,'TL01'!$J$238:$J$451),0),
IF('TL02'!$B$3=J$3,SUMIF('TL02'!$C$10:$C$224,$C55,'TL02'!$J$10:$J$224),0),
IF('TL02'!$B$229=J$3,SUMIF('TL02'!$C$238:$C$451,$C55,'TL02'!$J$238:$J$451),0),
IF('TL03'!$B$3=J$3,SUMIF('TL03'!$C$10:$C$224,$C55,'TL03'!$J$10:$J$224),0),
IF('TL03'!$B$229=J$3,SUMIF('TL03'!$C$238:$C$451,$C55,'TL03'!$J$238:$J$451),0),
IF('TL04'!$B$3=J$3,SUMIF('TL04'!$C$10:$C$224,$C55,'TL04'!$J$10:$J$224),0),
IF('TL04'!$B$229=J$3,SUMIF('TL04'!$C$238:$C$451,$C55,'TL04'!$J$238:$J$451),0),
IF('TL05'!$B$3=J$3,SUMIF('TL05'!$C$10:$C$224,$C55,'TL05'!$J$10:$J$224),0),
IF('TL05'!$B$229=J$3,SUMIF('TL05'!$C$238:$C$451,$C55,'TL05'!$J$238:$J$451),0),
IF('TL06'!$B$3=J$3,SUMIF('TL06'!$C$10:$C$224,$C55,'TL06'!$J$10:$J$224),0),
IF('TL06'!$B$229=J$3,SUMIF('TL06'!$C$238:$C$451,$C55,'TL06'!$J$238:$J$451),0),
IF('TL07'!$B$3=J$3,SUMIF('TL07'!$C$10:$C$224,$C55,'TL07'!$J$10:$J$224),0),
IF('TL07'!$B$229=J$3,SUMIF('TL07'!$C$238:$C$451,$C55,'TL07'!$J$238:$J$451),0),
IF('TL08'!$B$3=J$3,SUMIF('TL08'!$C$10:$C$224,$C55,'TL08'!$J$10:$J$224),0),
IF('TL08'!$B$229=J$3,SUMIF('TL08'!$C$238:$C$451,$C55,'TL08'!$J$238:$J$451),0),
IF('TL09'!$B$3=J$3,SUMIF('TL09'!$C$10:$C$224,$C55,'TL09'!$J$10:$J$224),0),
IF('TL09'!$B$229=J$3,SUMIF('TL09'!$C$238:$C$451,$C55,'TL09'!$J$238:$J$451),0),
IF('TL10'!$B$3=J$3,SUMIF('TL10'!$C$10:$C$224,$C55,'TL10'!$J$10:$J$224),0),
IF('TL10'!$B$229=J$3,SUMIF('TL10'!$C$238:$C$451,$C55,'TL10'!$J$238:$J$451),0),
IF('TL11'!$B$3=J$3,SUMIF('TL11'!$C$10:$C$224,$C55,'TL11'!$J$10:$J$224),0),
IF('TL11'!$B$229=J$3,SUMIF('TL11'!$C$238:$C$451,$C55,'TL11'!$J$238:$J$451),0),
IF('TL12'!$B$3=J$3,SUMIF('TL12'!$C$10:$C$224,$C55,'TL12'!$J$10:$J$224),0),
IF('TL12'!$B$229=J$3,SUMIF('TL12'!$C$238:$C$451,$C55,'TL12'!$J$238:$J$451),0),
IF('TL13'!$B$3=J$3,SUMIF('TL13'!$C$10:$C$224,$C55,'TL13'!$J$10:$J$224),0),
IF('TL13'!$B$229=J$3,SUMIF('TL13'!$C$238:$C$451,$C55,'TL13'!$J$238:$J$451),0),
IF('TL14'!$B$3=J$3,SUMIF('TL14'!$C$10:$C$224,$C55,'TL14'!$J$10:$J$224),0),
IF('TL14'!$B$229=J$3,SUMIF('TL14'!$C$238:$C$451,$C55,'TL14'!$J$238:$J$451),0),
IF('TL15'!$B$3=J$3,SUMIF('TL15'!$C$10:$C$224,$C55,'TL15'!$J$10:$J$224),0),
IF('TL15'!$B$229=J$3,SUMIF('TL15'!$C$238:$C$451,$C55,'TL15'!$J$238:$J$451),0),
IF('TL16'!$B$3=J$3,SUMIF('TL16'!$C$10:$C$224,$C55,'TL16'!$J$10:$J$224),0),
IF('TL16'!$B$229=J$3,SUMIF('TL16'!$C$238:$C$451,$C55,'TL16'!$J$238:$J$451),0),
IF('TL17'!$B$3=J$3,SUMIF('TL17'!$C$10:$C$224,$C55,'TL17'!$J$10:$J$224),0),
IF('TL17'!$B$229=J$3,SUMIF('TL17'!$C$238:$C$451,$C55,'TL17'!$J$238:$J$451),0),
IF('TL18'!$B$3=J$3,SUMIF('TL18'!$C$10:$C$224,$C55,'TL18'!$J$10:$J$224),0),
IF('TL18'!$B$229=J$3,SUMIF('TL18'!$C$238:$C$451,$C55,'TL18'!$J$238:$J$451),0),
IF('TL19'!$B$3=J$3,SUMIF('TL19'!$C$10:$C$224,$C55,'TL19'!$J$10:$J$224),0),
IF('TL19'!$B$229=J$3,SUMIF('TL19'!$C$238:$C$451,$C55,'TL19'!$J$238:$J$451),0)
),0)</f>
        <v/>
      </c>
      <c r="K55" s="9">
        <f>IFERROR(SUM(
IF('TL01'!$B$3=K$3,SUMIF('TL01'!$C$10:$C$224,$C55,'TL01'!$J$10:$J$224),0),
IF('TL01'!$B$229=K$3,SUMIF('TL01'!$C$238:$C$451,$C55,'TL01'!$J$238:$J$451),0),
IF('TL02'!$B$3=K$3,SUMIF('TL02'!$C$10:$C$224,$C55,'TL02'!$J$10:$J$224),0),
IF('TL02'!$B$229=K$3,SUMIF('TL02'!$C$238:$C$451,$C55,'TL02'!$J$238:$J$451),0),
IF('TL03'!$B$3=K$3,SUMIF('TL03'!$C$10:$C$224,$C55,'TL03'!$J$10:$J$224),0),
IF('TL03'!$B$229=K$3,SUMIF('TL03'!$C$238:$C$451,$C55,'TL03'!$J$238:$J$451),0),
IF('TL04'!$B$3=K$3,SUMIF('TL04'!$C$10:$C$224,$C55,'TL04'!$J$10:$J$224),0),
IF('TL04'!$B$229=K$3,SUMIF('TL04'!$C$238:$C$451,$C55,'TL04'!$J$238:$J$451),0),
IF('TL05'!$B$3=K$3,SUMIF('TL05'!$C$10:$C$224,$C55,'TL05'!$J$10:$J$224),0),
IF('TL05'!$B$229=K$3,SUMIF('TL05'!$C$238:$C$451,$C55,'TL05'!$J$238:$J$451),0),
IF('TL06'!$B$3=K$3,SUMIF('TL06'!$C$10:$C$224,$C55,'TL06'!$J$10:$J$224),0),
IF('TL06'!$B$229=K$3,SUMIF('TL06'!$C$238:$C$451,$C55,'TL06'!$J$238:$J$451),0),
IF('TL07'!$B$3=K$3,SUMIF('TL07'!$C$10:$C$224,$C55,'TL07'!$J$10:$J$224),0),
IF('TL07'!$B$229=K$3,SUMIF('TL07'!$C$238:$C$451,$C55,'TL07'!$J$238:$J$451),0),
IF('TL08'!$B$3=K$3,SUMIF('TL08'!$C$10:$C$224,$C55,'TL08'!$J$10:$J$224),0),
IF('TL08'!$B$229=K$3,SUMIF('TL08'!$C$238:$C$451,$C55,'TL08'!$J$238:$J$451),0),
IF('TL09'!$B$3=K$3,SUMIF('TL09'!$C$10:$C$224,$C55,'TL09'!$J$10:$J$224),0),
IF('TL09'!$B$229=K$3,SUMIF('TL09'!$C$238:$C$451,$C55,'TL09'!$J$238:$J$451),0),
IF('TL10'!$B$3=K$3,SUMIF('TL10'!$C$10:$C$224,$C55,'TL10'!$J$10:$J$224),0),
IF('TL10'!$B$229=K$3,SUMIF('TL10'!$C$238:$C$451,$C55,'TL10'!$J$238:$J$451),0),
IF('TL11'!$B$3=K$3,SUMIF('TL11'!$C$10:$C$224,$C55,'TL11'!$J$10:$J$224),0),
IF('TL11'!$B$229=K$3,SUMIF('TL11'!$C$238:$C$451,$C55,'TL11'!$J$238:$J$451),0),
IF('TL12'!$B$3=K$3,SUMIF('TL12'!$C$10:$C$224,$C55,'TL12'!$J$10:$J$224),0),
IF('TL12'!$B$229=K$3,SUMIF('TL12'!$C$238:$C$451,$C55,'TL12'!$J$238:$J$451),0),
IF('TL13'!$B$3=K$3,SUMIF('TL13'!$C$10:$C$224,$C55,'TL13'!$J$10:$J$224),0),
IF('TL13'!$B$229=K$3,SUMIF('TL13'!$C$238:$C$451,$C55,'TL13'!$J$238:$J$451),0),
IF('TL14'!$B$3=K$3,SUMIF('TL14'!$C$10:$C$224,$C55,'TL14'!$J$10:$J$224),0),
IF('TL14'!$B$229=K$3,SUMIF('TL14'!$C$238:$C$451,$C55,'TL14'!$J$238:$J$451),0),
IF('TL15'!$B$3=K$3,SUMIF('TL15'!$C$10:$C$224,$C55,'TL15'!$J$10:$J$224),0),
IF('TL15'!$B$229=K$3,SUMIF('TL15'!$C$238:$C$451,$C55,'TL15'!$J$238:$J$451),0),
IF('TL16'!$B$3=K$3,SUMIF('TL16'!$C$10:$C$224,$C55,'TL16'!$J$10:$J$224),0),
IF('TL16'!$B$229=K$3,SUMIF('TL16'!$C$238:$C$451,$C55,'TL16'!$J$238:$J$451),0),
IF('TL17'!$B$3=K$3,SUMIF('TL17'!$C$10:$C$224,$C55,'TL17'!$J$10:$J$224),0),
IF('TL17'!$B$229=K$3,SUMIF('TL17'!$C$238:$C$451,$C55,'TL17'!$J$238:$J$451),0),
IF('TL18'!$B$3=K$3,SUMIF('TL18'!$C$10:$C$224,$C55,'TL18'!$J$10:$J$224),0),
IF('TL18'!$B$229=K$3,SUMIF('TL18'!$C$238:$C$451,$C55,'TL18'!$J$238:$J$451),0),
IF('TL19'!$B$3=K$3,SUMIF('TL19'!$C$10:$C$224,$C55,'TL19'!$J$10:$J$224),0),
IF('TL19'!$B$229=K$3,SUMIF('TL19'!$C$238:$C$451,$C55,'TL19'!$J$238:$J$451),0)
),0)</f>
        <v/>
      </c>
      <c r="L55" s="9">
        <f>IFERROR(SUM(
IF('TL01'!$B$3=L$3,SUMIF('TL01'!$C$10:$C$224,$C55,'TL01'!$J$10:$J$224),0),
IF('TL01'!$B$229=L$3,SUMIF('TL01'!$C$238:$C$451,$C55,'TL01'!$J$238:$J$451),0),
IF('TL02'!$B$3=L$3,SUMIF('TL02'!$C$10:$C$224,$C55,'TL02'!$J$10:$J$224),0),
IF('TL02'!$B$229=L$3,SUMIF('TL02'!$C$238:$C$451,$C55,'TL02'!$J$238:$J$451),0),
IF('TL03'!$B$3=L$3,SUMIF('TL03'!$C$10:$C$224,$C55,'TL03'!$J$10:$J$224),0),
IF('TL03'!$B$229=L$3,SUMIF('TL03'!$C$238:$C$451,$C55,'TL03'!$J$238:$J$451),0),
IF('TL04'!$B$3=L$3,SUMIF('TL04'!$C$10:$C$224,$C55,'TL04'!$J$10:$J$224),0),
IF('TL04'!$B$229=L$3,SUMIF('TL04'!$C$238:$C$451,$C55,'TL04'!$J$238:$J$451),0),
IF('TL05'!$B$3=L$3,SUMIF('TL05'!$C$10:$C$224,$C55,'TL05'!$J$10:$J$224),0),
IF('TL05'!$B$229=L$3,SUMIF('TL05'!$C$238:$C$451,$C55,'TL05'!$J$238:$J$451),0),
IF('TL06'!$B$3=L$3,SUMIF('TL06'!$C$10:$C$224,$C55,'TL06'!$J$10:$J$224),0),
IF('TL06'!$B$229=L$3,SUMIF('TL06'!$C$238:$C$451,$C55,'TL06'!$J$238:$J$451),0),
IF('TL07'!$B$3=L$3,SUMIF('TL07'!$C$10:$C$224,$C55,'TL07'!$J$10:$J$224),0),
IF('TL07'!$B$229=L$3,SUMIF('TL07'!$C$238:$C$451,$C55,'TL07'!$J$238:$J$451),0),
IF('TL08'!$B$3=L$3,SUMIF('TL08'!$C$10:$C$224,$C55,'TL08'!$J$10:$J$224),0),
IF('TL08'!$B$229=L$3,SUMIF('TL08'!$C$238:$C$451,$C55,'TL08'!$J$238:$J$451),0),
IF('TL09'!$B$3=L$3,SUMIF('TL09'!$C$10:$C$224,$C55,'TL09'!$J$10:$J$224),0),
IF('TL09'!$B$229=L$3,SUMIF('TL09'!$C$238:$C$451,$C55,'TL09'!$J$238:$J$451),0),
IF('TL10'!$B$3=L$3,SUMIF('TL10'!$C$10:$C$224,$C55,'TL10'!$J$10:$J$224),0),
IF('TL10'!$B$229=L$3,SUMIF('TL10'!$C$238:$C$451,$C55,'TL10'!$J$238:$J$451),0),
IF('TL11'!$B$3=L$3,SUMIF('TL11'!$C$10:$C$224,$C55,'TL11'!$J$10:$J$224),0),
IF('TL11'!$B$229=L$3,SUMIF('TL11'!$C$238:$C$451,$C55,'TL11'!$J$238:$J$451),0),
IF('TL12'!$B$3=L$3,SUMIF('TL12'!$C$10:$C$224,$C55,'TL12'!$J$10:$J$224),0),
IF('TL12'!$B$229=L$3,SUMIF('TL12'!$C$238:$C$451,$C55,'TL12'!$J$238:$J$451),0),
IF('TL13'!$B$3=L$3,SUMIF('TL13'!$C$10:$C$224,$C55,'TL13'!$J$10:$J$224),0),
IF('TL13'!$B$229=L$3,SUMIF('TL13'!$C$238:$C$451,$C55,'TL13'!$J$238:$J$451),0),
IF('TL14'!$B$3=L$3,SUMIF('TL14'!$C$10:$C$224,$C55,'TL14'!$J$10:$J$224),0),
IF('TL14'!$B$229=L$3,SUMIF('TL14'!$C$238:$C$451,$C55,'TL14'!$J$238:$J$451),0),
IF('TL15'!$B$3=L$3,SUMIF('TL15'!$C$10:$C$224,$C55,'TL15'!$J$10:$J$224),0),
IF('TL15'!$B$229=L$3,SUMIF('TL15'!$C$238:$C$451,$C55,'TL15'!$J$238:$J$451),0),
IF('TL16'!$B$3=L$3,SUMIF('TL16'!$C$10:$C$224,$C55,'TL16'!$J$10:$J$224),0),
IF('TL16'!$B$229=L$3,SUMIF('TL16'!$C$238:$C$451,$C55,'TL16'!$J$238:$J$451),0),
IF('TL17'!$B$3=L$3,SUMIF('TL17'!$C$10:$C$224,$C55,'TL17'!$J$10:$J$224),0),
IF('TL17'!$B$229=L$3,SUMIF('TL17'!$C$238:$C$451,$C55,'TL17'!$J$238:$J$451),0),
IF('TL18'!$B$3=L$3,SUMIF('TL18'!$C$10:$C$224,$C55,'TL18'!$J$10:$J$224),0),
IF('TL18'!$B$229=L$3,SUMIF('TL18'!$C$238:$C$451,$C55,'TL18'!$J$238:$J$451),0),
IF('TL19'!$B$3=L$3,SUMIF('TL19'!$C$10:$C$224,$C55,'TL19'!$J$10:$J$224),0),
IF('TL19'!$B$229=L$3,SUMIF('TL19'!$C$238:$C$451,$C55,'TL19'!$J$238:$J$451),0)
),0)</f>
        <v/>
      </c>
      <c r="M55" s="9">
        <f>IFERROR(SUM(
IF('TL01'!$B$3=M$3,SUMIF('TL01'!$C$10:$C$224,$C55,'TL01'!$J$10:$J$224),0),
IF('TL01'!$B$229=M$3,SUMIF('TL01'!$C$238:$C$451,$C55,'TL01'!$J$238:$J$451),0),
IF('TL02'!$B$3=M$3,SUMIF('TL02'!$C$10:$C$224,$C55,'TL02'!$J$10:$J$224),0),
IF('TL02'!$B$229=M$3,SUMIF('TL02'!$C$238:$C$451,$C55,'TL02'!$J$238:$J$451),0),
IF('TL03'!$B$3=M$3,SUMIF('TL03'!$C$10:$C$224,$C55,'TL03'!$J$10:$J$224),0),
IF('TL03'!$B$229=M$3,SUMIF('TL03'!$C$238:$C$451,$C55,'TL03'!$J$238:$J$451),0),
IF('TL04'!$B$3=M$3,SUMIF('TL04'!$C$10:$C$224,$C55,'TL04'!$J$10:$J$224),0),
IF('TL04'!$B$229=M$3,SUMIF('TL04'!$C$238:$C$451,$C55,'TL04'!$J$238:$J$451),0),
IF('TL05'!$B$3=M$3,SUMIF('TL05'!$C$10:$C$224,$C55,'TL05'!$J$10:$J$224),0),
IF('TL05'!$B$229=M$3,SUMIF('TL05'!$C$238:$C$451,$C55,'TL05'!$J$238:$J$451),0),
IF('TL06'!$B$3=M$3,SUMIF('TL06'!$C$10:$C$224,$C55,'TL06'!$J$10:$J$224),0),
IF('TL06'!$B$229=M$3,SUMIF('TL06'!$C$238:$C$451,$C55,'TL06'!$J$238:$J$451),0),
IF('TL07'!$B$3=M$3,SUMIF('TL07'!$C$10:$C$224,$C55,'TL07'!$J$10:$J$224),0),
IF('TL07'!$B$229=M$3,SUMIF('TL07'!$C$238:$C$451,$C55,'TL07'!$J$238:$J$451),0),
IF('TL08'!$B$3=M$3,SUMIF('TL08'!$C$10:$C$224,$C55,'TL08'!$J$10:$J$224),0),
IF('TL08'!$B$229=M$3,SUMIF('TL08'!$C$238:$C$451,$C55,'TL08'!$J$238:$J$451),0),
IF('TL09'!$B$3=M$3,SUMIF('TL09'!$C$10:$C$224,$C55,'TL09'!$J$10:$J$224),0),
IF('TL09'!$B$229=M$3,SUMIF('TL09'!$C$238:$C$451,$C55,'TL09'!$J$238:$J$451),0),
IF('TL10'!$B$3=M$3,SUMIF('TL10'!$C$10:$C$224,$C55,'TL10'!$J$10:$J$224),0),
IF('TL10'!$B$229=M$3,SUMIF('TL10'!$C$238:$C$451,$C55,'TL10'!$J$238:$J$451),0),
IF('TL11'!$B$3=M$3,SUMIF('TL11'!$C$10:$C$224,$C55,'TL11'!$J$10:$J$224),0),
IF('TL11'!$B$229=M$3,SUMIF('TL11'!$C$238:$C$451,$C55,'TL11'!$J$238:$J$451),0),
IF('TL12'!$B$3=M$3,SUMIF('TL12'!$C$10:$C$224,$C55,'TL12'!$J$10:$J$224),0),
IF('TL12'!$B$229=M$3,SUMIF('TL12'!$C$238:$C$451,$C55,'TL12'!$J$238:$J$451),0),
IF('TL13'!$B$3=M$3,SUMIF('TL13'!$C$10:$C$224,$C55,'TL13'!$J$10:$J$224),0),
IF('TL13'!$B$229=M$3,SUMIF('TL13'!$C$238:$C$451,$C55,'TL13'!$J$238:$J$451),0),
IF('TL14'!$B$3=M$3,SUMIF('TL14'!$C$10:$C$224,$C55,'TL14'!$J$10:$J$224),0),
IF('TL14'!$B$229=M$3,SUMIF('TL14'!$C$238:$C$451,$C55,'TL14'!$J$238:$J$451),0),
IF('TL15'!$B$3=M$3,SUMIF('TL15'!$C$10:$C$224,$C55,'TL15'!$J$10:$J$224),0),
IF('TL15'!$B$229=M$3,SUMIF('TL15'!$C$238:$C$451,$C55,'TL15'!$J$238:$J$451),0),
IF('TL16'!$B$3=M$3,SUMIF('TL16'!$C$10:$C$224,$C55,'TL16'!$J$10:$J$224),0),
IF('TL16'!$B$229=M$3,SUMIF('TL16'!$C$238:$C$451,$C55,'TL16'!$J$238:$J$451),0),
IF('TL17'!$B$3=M$3,SUMIF('TL17'!$C$10:$C$224,$C55,'TL17'!$J$10:$J$224),0),
IF('TL17'!$B$229=M$3,SUMIF('TL17'!$C$238:$C$451,$C55,'TL17'!$J$238:$J$451),0),
IF('TL18'!$B$3=M$3,SUMIF('TL18'!$C$10:$C$224,$C55,'TL18'!$J$10:$J$224),0),
IF('TL18'!$B$229=M$3,SUMIF('TL18'!$C$238:$C$451,$C55,'TL18'!$J$238:$J$451),0),
IF('TL19'!$B$3=M$3,SUMIF('TL19'!$C$10:$C$224,$C55,'TL19'!$J$10:$J$224),0),
IF('TL19'!$B$229=M$3,SUMIF('TL19'!$C$238:$C$451,$C55,'TL19'!$J$238:$J$451),0)
),0)</f>
        <v/>
      </c>
      <c r="N55" s="9">
        <f>IFERROR(SUM(
IF('TL01'!$B$3=N$3,SUMIF('TL01'!$C$10:$C$224,$C55,'TL01'!$J$10:$J$224),0),
IF('TL01'!$B$229=N$3,SUMIF('TL01'!$C$238:$C$451,$C55,'TL01'!$J$238:$J$451),0),
IF('TL02'!$B$3=N$3,SUMIF('TL02'!$C$10:$C$224,$C55,'TL02'!$J$10:$J$224),0),
IF('TL02'!$B$229=N$3,SUMIF('TL02'!$C$238:$C$451,$C55,'TL02'!$J$238:$J$451),0),
IF('TL03'!$B$3=N$3,SUMIF('TL03'!$C$10:$C$224,$C55,'TL03'!$J$10:$J$224),0),
IF('TL03'!$B$229=N$3,SUMIF('TL03'!$C$238:$C$451,$C55,'TL03'!$J$238:$J$451),0),
IF('TL04'!$B$3=N$3,SUMIF('TL04'!$C$10:$C$224,$C55,'TL04'!$J$10:$J$224),0),
IF('TL04'!$B$229=N$3,SUMIF('TL04'!$C$238:$C$451,$C55,'TL04'!$J$238:$J$451),0),
IF('TL05'!$B$3=N$3,SUMIF('TL05'!$C$10:$C$224,$C55,'TL05'!$J$10:$J$224),0),
IF('TL05'!$B$229=N$3,SUMIF('TL05'!$C$238:$C$451,$C55,'TL05'!$J$238:$J$451),0),
IF('TL06'!$B$3=N$3,SUMIF('TL06'!$C$10:$C$224,$C55,'TL06'!$J$10:$J$224),0),
IF('TL06'!$B$229=N$3,SUMIF('TL06'!$C$238:$C$451,$C55,'TL06'!$J$238:$J$451),0),
IF('TL07'!$B$3=N$3,SUMIF('TL07'!$C$10:$C$224,$C55,'TL07'!$J$10:$J$224),0),
IF('TL07'!$B$229=N$3,SUMIF('TL07'!$C$238:$C$451,$C55,'TL07'!$J$238:$J$451),0),
IF('TL08'!$B$3=N$3,SUMIF('TL08'!$C$10:$C$224,$C55,'TL08'!$J$10:$J$224),0),
IF('TL08'!$B$229=N$3,SUMIF('TL08'!$C$238:$C$451,$C55,'TL08'!$J$238:$J$451),0),
IF('TL09'!$B$3=N$3,SUMIF('TL09'!$C$10:$C$224,$C55,'TL09'!$J$10:$J$224),0),
IF('TL09'!$B$229=N$3,SUMIF('TL09'!$C$238:$C$451,$C55,'TL09'!$J$238:$J$451),0),
IF('TL10'!$B$3=N$3,SUMIF('TL10'!$C$10:$C$224,$C55,'TL10'!$J$10:$J$224),0),
IF('TL10'!$B$229=N$3,SUMIF('TL10'!$C$238:$C$451,$C55,'TL10'!$J$238:$J$451),0),
IF('TL11'!$B$3=N$3,SUMIF('TL11'!$C$10:$C$224,$C55,'TL11'!$J$10:$J$224),0),
IF('TL11'!$B$229=N$3,SUMIF('TL11'!$C$238:$C$451,$C55,'TL11'!$J$238:$J$451),0),
IF('TL12'!$B$3=N$3,SUMIF('TL12'!$C$10:$C$224,$C55,'TL12'!$J$10:$J$224),0),
IF('TL12'!$B$229=N$3,SUMIF('TL12'!$C$238:$C$451,$C55,'TL12'!$J$238:$J$451),0),
IF('TL13'!$B$3=N$3,SUMIF('TL13'!$C$10:$C$224,$C55,'TL13'!$J$10:$J$224),0),
IF('TL13'!$B$229=N$3,SUMIF('TL13'!$C$238:$C$451,$C55,'TL13'!$J$238:$J$451),0),
IF('TL14'!$B$3=N$3,SUMIF('TL14'!$C$10:$C$224,$C55,'TL14'!$J$10:$J$224),0),
IF('TL14'!$B$229=N$3,SUMIF('TL14'!$C$238:$C$451,$C55,'TL14'!$J$238:$J$451),0),
IF('TL15'!$B$3=N$3,SUMIF('TL15'!$C$10:$C$224,$C55,'TL15'!$J$10:$J$224),0),
IF('TL15'!$B$229=N$3,SUMIF('TL15'!$C$238:$C$451,$C55,'TL15'!$J$238:$J$451),0),
IF('TL16'!$B$3=N$3,SUMIF('TL16'!$C$10:$C$224,$C55,'TL16'!$J$10:$J$224),0),
IF('TL16'!$B$229=N$3,SUMIF('TL16'!$C$238:$C$451,$C55,'TL16'!$J$238:$J$451),0),
IF('TL17'!$B$3=N$3,SUMIF('TL17'!$C$10:$C$224,$C55,'TL17'!$J$10:$J$224),0),
IF('TL17'!$B$229=N$3,SUMIF('TL17'!$C$238:$C$451,$C55,'TL17'!$J$238:$J$451),0),
IF('TL18'!$B$3=N$3,SUMIF('TL18'!$C$10:$C$224,$C55,'TL18'!$J$10:$J$224),0),
IF('TL18'!$B$229=N$3,SUMIF('TL18'!$C$238:$C$451,$C55,'TL18'!$J$238:$J$451),0),
IF('TL19'!$B$3=N$3,SUMIF('TL19'!$C$10:$C$224,$C55,'TL19'!$J$10:$J$224),0),
IF('TL19'!$B$229=N$3,SUMIF('TL19'!$C$238:$C$451,$C55,'TL19'!$J$238:$J$451),0)
),0)</f>
        <v/>
      </c>
      <c r="O55" s="9">
        <f>IFERROR(SUM(
IF('TL01'!$B$3=O$3,SUMIF('TL01'!$C$10:$C$224,$C55,'TL01'!$J$10:$J$224),0),
IF('TL01'!$B$229=O$3,SUMIF('TL01'!$C$238:$C$451,$C55,'TL01'!$J$238:$J$451),0),
IF('TL02'!$B$3=O$3,SUMIF('TL02'!$C$10:$C$224,$C55,'TL02'!$J$10:$J$224),0),
IF('TL02'!$B$229=O$3,SUMIF('TL02'!$C$238:$C$451,$C55,'TL02'!$J$238:$J$451),0),
IF('TL03'!$B$3=O$3,SUMIF('TL03'!$C$10:$C$224,$C55,'TL03'!$J$10:$J$224),0),
IF('TL03'!$B$229=O$3,SUMIF('TL03'!$C$238:$C$451,$C55,'TL03'!$J$238:$J$451),0),
IF('TL04'!$B$3=O$3,SUMIF('TL04'!$C$10:$C$224,$C55,'TL04'!$J$10:$J$224),0),
IF('TL04'!$B$229=O$3,SUMIF('TL04'!$C$238:$C$451,$C55,'TL04'!$J$238:$J$451),0),
IF('TL05'!$B$3=O$3,SUMIF('TL05'!$C$10:$C$224,$C55,'TL05'!$J$10:$J$224),0),
IF('TL05'!$B$229=O$3,SUMIF('TL05'!$C$238:$C$451,$C55,'TL05'!$J$238:$J$451),0),
IF('TL06'!$B$3=O$3,SUMIF('TL06'!$C$10:$C$224,$C55,'TL06'!$J$10:$J$224),0),
IF('TL06'!$B$229=O$3,SUMIF('TL06'!$C$238:$C$451,$C55,'TL06'!$J$238:$J$451),0),
IF('TL07'!$B$3=O$3,SUMIF('TL07'!$C$10:$C$224,$C55,'TL07'!$J$10:$J$224),0),
IF('TL07'!$B$229=O$3,SUMIF('TL07'!$C$238:$C$451,$C55,'TL07'!$J$238:$J$451),0),
IF('TL08'!$B$3=O$3,SUMIF('TL08'!$C$10:$C$224,$C55,'TL08'!$J$10:$J$224),0),
IF('TL08'!$B$229=O$3,SUMIF('TL08'!$C$238:$C$451,$C55,'TL08'!$J$238:$J$451),0),
IF('TL09'!$B$3=O$3,SUMIF('TL09'!$C$10:$C$224,$C55,'TL09'!$J$10:$J$224),0),
IF('TL09'!$B$229=O$3,SUMIF('TL09'!$C$238:$C$451,$C55,'TL09'!$J$238:$J$451),0),
IF('TL10'!$B$3=O$3,SUMIF('TL10'!$C$10:$C$224,$C55,'TL10'!$J$10:$J$224),0),
IF('TL10'!$B$229=O$3,SUMIF('TL10'!$C$238:$C$451,$C55,'TL10'!$J$238:$J$451),0),
IF('TL11'!$B$3=O$3,SUMIF('TL11'!$C$10:$C$224,$C55,'TL11'!$J$10:$J$224),0),
IF('TL11'!$B$229=O$3,SUMIF('TL11'!$C$238:$C$451,$C55,'TL11'!$J$238:$J$451),0),
IF('TL12'!$B$3=O$3,SUMIF('TL12'!$C$10:$C$224,$C55,'TL12'!$J$10:$J$224),0),
IF('TL12'!$B$229=O$3,SUMIF('TL12'!$C$238:$C$451,$C55,'TL12'!$J$238:$J$451),0),
IF('TL13'!$B$3=O$3,SUMIF('TL13'!$C$10:$C$224,$C55,'TL13'!$J$10:$J$224),0),
IF('TL13'!$B$229=O$3,SUMIF('TL13'!$C$238:$C$451,$C55,'TL13'!$J$238:$J$451),0),
IF('TL14'!$B$3=O$3,SUMIF('TL14'!$C$10:$C$224,$C55,'TL14'!$J$10:$J$224),0),
IF('TL14'!$B$229=O$3,SUMIF('TL14'!$C$238:$C$451,$C55,'TL14'!$J$238:$J$451),0),
IF('TL15'!$B$3=O$3,SUMIF('TL15'!$C$10:$C$224,$C55,'TL15'!$J$10:$J$224),0),
IF('TL15'!$B$229=O$3,SUMIF('TL15'!$C$238:$C$451,$C55,'TL15'!$J$238:$J$451),0),
IF('TL16'!$B$3=O$3,SUMIF('TL16'!$C$10:$C$224,$C55,'TL16'!$J$10:$J$224),0),
IF('TL16'!$B$229=O$3,SUMIF('TL16'!$C$238:$C$451,$C55,'TL16'!$J$238:$J$451),0),
IF('TL17'!$B$3=O$3,SUMIF('TL17'!$C$10:$C$224,$C55,'TL17'!$J$10:$J$224),0),
IF('TL17'!$B$229=O$3,SUMIF('TL17'!$C$238:$C$451,$C55,'TL17'!$J$238:$J$451),0),
IF('TL18'!$B$3=O$3,SUMIF('TL18'!$C$10:$C$224,$C55,'TL18'!$J$10:$J$224),0),
IF('TL18'!$B$229=O$3,SUMIF('TL18'!$C$238:$C$451,$C55,'TL18'!$J$238:$J$451),0),
IF('TL19'!$B$3=O$3,SUMIF('TL19'!$C$10:$C$224,$C55,'TL19'!$J$10:$J$224),0),
IF('TL19'!$B$229=O$3,SUMIF('TL19'!$C$238:$C$451,$C55,'TL19'!$J$238:$J$451),0)
),0)</f>
        <v/>
      </c>
      <c r="P55" s="9">
        <f>IFERROR(SUM(
IF('TL01'!$B$3=P$3,SUMIF('TL01'!$C$10:$C$224,$C55,'TL01'!$J$10:$J$224),0),
IF('TL01'!$B$229=P$3,SUMIF('TL01'!$C$238:$C$451,$C55,'TL01'!$J$238:$J$451),0),
IF('TL02'!$B$3=P$3,SUMIF('TL02'!$C$10:$C$224,$C55,'TL02'!$J$10:$J$224),0),
IF('TL02'!$B$229=P$3,SUMIF('TL02'!$C$238:$C$451,$C55,'TL02'!$J$238:$J$451),0),
IF('TL03'!$B$3=P$3,SUMIF('TL03'!$C$10:$C$224,$C55,'TL03'!$J$10:$J$224),0),
IF('TL03'!$B$229=P$3,SUMIF('TL03'!$C$238:$C$451,$C55,'TL03'!$J$238:$J$451),0),
IF('TL04'!$B$3=P$3,SUMIF('TL04'!$C$10:$C$224,$C55,'TL04'!$J$10:$J$224),0),
IF('TL04'!$B$229=P$3,SUMIF('TL04'!$C$238:$C$451,$C55,'TL04'!$J$238:$J$451),0),
IF('TL05'!$B$3=P$3,SUMIF('TL05'!$C$10:$C$224,$C55,'TL05'!$J$10:$J$224),0),
IF('TL05'!$B$229=P$3,SUMIF('TL05'!$C$238:$C$451,$C55,'TL05'!$J$238:$J$451),0),
IF('TL06'!$B$3=P$3,SUMIF('TL06'!$C$10:$C$224,$C55,'TL06'!$J$10:$J$224),0),
IF('TL06'!$B$229=P$3,SUMIF('TL06'!$C$238:$C$451,$C55,'TL06'!$J$238:$J$451),0),
IF('TL07'!$B$3=P$3,SUMIF('TL07'!$C$10:$C$224,$C55,'TL07'!$J$10:$J$224),0),
IF('TL07'!$B$229=P$3,SUMIF('TL07'!$C$238:$C$451,$C55,'TL07'!$J$238:$J$451),0),
IF('TL08'!$B$3=P$3,SUMIF('TL08'!$C$10:$C$224,$C55,'TL08'!$J$10:$J$224),0),
IF('TL08'!$B$229=P$3,SUMIF('TL08'!$C$238:$C$451,$C55,'TL08'!$J$238:$J$451),0),
IF('TL09'!$B$3=P$3,SUMIF('TL09'!$C$10:$C$224,$C55,'TL09'!$J$10:$J$224),0),
IF('TL09'!$B$229=P$3,SUMIF('TL09'!$C$238:$C$451,$C55,'TL09'!$J$238:$J$451),0),
IF('TL10'!$B$3=P$3,SUMIF('TL10'!$C$10:$C$224,$C55,'TL10'!$J$10:$J$224),0),
IF('TL10'!$B$229=P$3,SUMIF('TL10'!$C$238:$C$451,$C55,'TL10'!$J$238:$J$451),0),
IF('TL11'!$B$3=P$3,SUMIF('TL11'!$C$10:$C$224,$C55,'TL11'!$J$10:$J$224),0),
IF('TL11'!$B$229=P$3,SUMIF('TL11'!$C$238:$C$451,$C55,'TL11'!$J$238:$J$451),0),
IF('TL12'!$B$3=P$3,SUMIF('TL12'!$C$10:$C$224,$C55,'TL12'!$J$10:$J$224),0),
IF('TL12'!$B$229=P$3,SUMIF('TL12'!$C$238:$C$451,$C55,'TL12'!$J$238:$J$451),0),
IF('TL13'!$B$3=P$3,SUMIF('TL13'!$C$10:$C$224,$C55,'TL13'!$J$10:$J$224),0),
IF('TL13'!$B$229=P$3,SUMIF('TL13'!$C$238:$C$451,$C55,'TL13'!$J$238:$J$451),0),
IF('TL14'!$B$3=P$3,SUMIF('TL14'!$C$10:$C$224,$C55,'TL14'!$J$10:$J$224),0),
IF('TL14'!$B$229=P$3,SUMIF('TL14'!$C$238:$C$451,$C55,'TL14'!$J$238:$J$451),0),
IF('TL15'!$B$3=P$3,SUMIF('TL15'!$C$10:$C$224,$C55,'TL15'!$J$10:$J$224),0),
IF('TL15'!$B$229=P$3,SUMIF('TL15'!$C$238:$C$451,$C55,'TL15'!$J$238:$J$451),0),
IF('TL16'!$B$3=P$3,SUMIF('TL16'!$C$10:$C$224,$C55,'TL16'!$J$10:$J$224),0),
IF('TL16'!$B$229=P$3,SUMIF('TL16'!$C$238:$C$451,$C55,'TL16'!$J$238:$J$451),0),
IF('TL17'!$B$3=P$3,SUMIF('TL17'!$C$10:$C$224,$C55,'TL17'!$J$10:$J$224),0),
IF('TL17'!$B$229=P$3,SUMIF('TL17'!$C$238:$C$451,$C55,'TL17'!$J$238:$J$451),0),
IF('TL18'!$B$3=P$3,SUMIF('TL18'!$C$10:$C$224,$C55,'TL18'!$J$10:$J$224),0),
IF('TL18'!$B$229=P$3,SUMIF('TL18'!$C$238:$C$451,$C55,'TL18'!$J$238:$J$451),0),
IF('TL19'!$B$3=P$3,SUMIF('TL19'!$C$10:$C$224,$C55,'TL19'!$J$10:$J$224),0),
IF('TL19'!$B$229=P$3,SUMIF('TL19'!$C$238:$C$451,$C55,'TL19'!$J$238:$J$451),0)
),0)</f>
        <v/>
      </c>
      <c r="Q55" s="9">
        <f>IFERROR(SUM(
IF('TL01'!$B$3=Q$3,SUMIF('TL01'!$C$10:$C$224,$C55,'TL01'!$J$10:$J$224),0),
IF('TL01'!$B$229=Q$3,SUMIF('TL01'!$C$238:$C$451,$C55,'TL01'!$J$238:$J$451),0),
IF('TL02'!$B$3=Q$3,SUMIF('TL02'!$C$10:$C$224,$C55,'TL02'!$J$10:$J$224),0),
IF('TL02'!$B$229=Q$3,SUMIF('TL02'!$C$238:$C$451,$C55,'TL02'!$J$238:$J$451),0),
IF('TL03'!$B$3=Q$3,SUMIF('TL03'!$C$10:$C$224,$C55,'TL03'!$J$10:$J$224),0),
IF('TL03'!$B$229=Q$3,SUMIF('TL03'!$C$238:$C$451,$C55,'TL03'!$J$238:$J$451),0),
IF('TL04'!$B$3=Q$3,SUMIF('TL04'!$C$10:$C$224,$C55,'TL04'!$J$10:$J$224),0),
IF('TL04'!$B$229=Q$3,SUMIF('TL04'!$C$238:$C$451,$C55,'TL04'!$J$238:$J$451),0),
IF('TL05'!$B$3=Q$3,SUMIF('TL05'!$C$10:$C$224,$C55,'TL05'!$J$10:$J$224),0),
IF('TL05'!$B$229=Q$3,SUMIF('TL05'!$C$238:$C$451,$C55,'TL05'!$J$238:$J$451),0),
IF('TL06'!$B$3=Q$3,SUMIF('TL06'!$C$10:$C$224,$C55,'TL06'!$J$10:$J$224),0),
IF('TL06'!$B$229=Q$3,SUMIF('TL06'!$C$238:$C$451,$C55,'TL06'!$J$238:$J$451),0),
IF('TL07'!$B$3=Q$3,SUMIF('TL07'!$C$10:$C$224,$C55,'TL07'!$J$10:$J$224),0),
IF('TL07'!$B$229=Q$3,SUMIF('TL07'!$C$238:$C$451,$C55,'TL07'!$J$238:$J$451),0),
IF('TL08'!$B$3=Q$3,SUMIF('TL08'!$C$10:$C$224,$C55,'TL08'!$J$10:$J$224),0),
IF('TL08'!$B$229=Q$3,SUMIF('TL08'!$C$238:$C$451,$C55,'TL08'!$J$238:$J$451),0),
IF('TL09'!$B$3=Q$3,SUMIF('TL09'!$C$10:$C$224,$C55,'TL09'!$J$10:$J$224),0),
IF('TL09'!$B$229=Q$3,SUMIF('TL09'!$C$238:$C$451,$C55,'TL09'!$J$238:$J$451),0),
IF('TL10'!$B$3=Q$3,SUMIF('TL10'!$C$10:$C$224,$C55,'TL10'!$J$10:$J$224),0),
IF('TL10'!$B$229=Q$3,SUMIF('TL10'!$C$238:$C$451,$C55,'TL10'!$J$238:$J$451),0),
IF('TL11'!$B$3=Q$3,SUMIF('TL11'!$C$10:$C$224,$C55,'TL11'!$J$10:$J$224),0),
IF('TL11'!$B$229=Q$3,SUMIF('TL11'!$C$238:$C$451,$C55,'TL11'!$J$238:$J$451),0),
IF('TL12'!$B$3=Q$3,SUMIF('TL12'!$C$10:$C$224,$C55,'TL12'!$J$10:$J$224),0),
IF('TL12'!$B$229=Q$3,SUMIF('TL12'!$C$238:$C$451,$C55,'TL12'!$J$238:$J$451),0),
IF('TL13'!$B$3=Q$3,SUMIF('TL13'!$C$10:$C$224,$C55,'TL13'!$J$10:$J$224),0),
IF('TL13'!$B$229=Q$3,SUMIF('TL13'!$C$238:$C$451,$C55,'TL13'!$J$238:$J$451),0),
IF('TL14'!$B$3=Q$3,SUMIF('TL14'!$C$10:$C$224,$C55,'TL14'!$J$10:$J$224),0),
IF('TL14'!$B$229=Q$3,SUMIF('TL14'!$C$238:$C$451,$C55,'TL14'!$J$238:$J$451),0),
IF('TL15'!$B$3=Q$3,SUMIF('TL15'!$C$10:$C$224,$C55,'TL15'!$J$10:$J$224),0),
IF('TL15'!$B$229=Q$3,SUMIF('TL15'!$C$238:$C$451,$C55,'TL15'!$J$238:$J$451),0),
IF('TL16'!$B$3=Q$3,SUMIF('TL16'!$C$10:$C$224,$C55,'TL16'!$J$10:$J$224),0),
IF('TL16'!$B$229=Q$3,SUMIF('TL16'!$C$238:$C$451,$C55,'TL16'!$J$238:$J$451),0),
IF('TL17'!$B$3=Q$3,SUMIF('TL17'!$C$10:$C$224,$C55,'TL17'!$J$10:$J$224),0),
IF('TL17'!$B$229=Q$3,SUMIF('TL17'!$C$238:$C$451,$C55,'TL17'!$J$238:$J$451),0),
IF('TL18'!$B$3=Q$3,SUMIF('TL18'!$C$10:$C$224,$C55,'TL18'!$J$10:$J$224),0),
IF('TL18'!$B$229=Q$3,SUMIF('TL18'!$C$238:$C$451,$C55,'TL18'!$J$238:$J$451),0),
IF('TL19'!$B$3=Q$3,SUMIF('TL19'!$C$10:$C$224,$C55,'TL19'!$J$10:$J$224),0),
IF('TL19'!$B$229=Q$3,SUMIF('TL19'!$C$238:$C$451,$C55,'TL19'!$J$238:$J$451),0)
),0)</f>
        <v/>
      </c>
      <c r="R55" s="9">
        <f>IFERROR(
SUM(
SUMIF('TL01'!C:C,C55,'TL01'!J:J),
SUMIF('TL02'!C:C,C55,'TL02'!J:J),
SUMIF('TL03'!C:C,C55,'TL03'!J:J),
SUMIF('TL04'!C:C,C55,'TL04'!J:J),
SUMIF('TL05'!C:C,C55,'TL05'!J:J),
SUMIF('TL06'!C:C,C55,'TL06'!J:J),
SUMIF('TL07'!C:C,C55,'TL07'!J:J),
SUMIF('TL08'!C:C,C55,'TL08'!J:J),
SUMIF('TL09'!C:C,C55,'TL09'!J:J),
SUMIF('TL10'!C:C,C55,'TL10'!J:J),
SUMIF('TL11'!C:C,C55,'TL11'!J:J),
SUMIF('TL12'!C:C,C55,'TL12'!J:J),
SUMIF('TL13'!C:C,C55,'TL13'!J:J),
SUMIF('TL14'!C:C,C55,'TL14'!J:J),
SUMIF('TL15'!C:C,C55,'TL15'!J:J),
SUMIF('TL16'!C:C,C55,'TL16'!J:J),
SUMIF('TL17'!C:C,C55,'TL17'!J:J),
SUMIF('TL18'!C:C,C55,'TL18'!J:J),SUMIF('TL19'!C:C,C55,'TL19'!J:J))
,0)</f>
        <v/>
      </c>
      <c r="S55" s="17">
        <f>IFERROR(__xludf.DUMMYFUNCTION("IFERROR(VLOOKUP(C55,
IMPORTRANGE(""1wULbzX32WdYsx-lj2U3uUNBBe2INVIRDtcK0d-Dvl90"",
""26-27!C:G""),
5,
FALSE),
"""")"),179.14896000000005)</f>
        <v/>
      </c>
      <c r="T55" s="9" t="n"/>
      <c r="U55" s="92">
        <f>MAX(0,R55-T55)</f>
        <v/>
      </c>
      <c r="V55" s="93">
        <f>U55*S55</f>
        <v/>
      </c>
    </row>
    <row r="56" hidden="1" ht="15.75" customHeight="1" s="297">
      <c r="A56" s="115" t="inlineStr">
        <is>
          <t>BAYER</t>
        </is>
      </c>
      <c r="B56" s="100" t="inlineStr">
        <is>
          <t>TS</t>
        </is>
      </c>
      <c r="C56" s="116" t="inlineStr">
        <is>
          <t>VERANGO PRIME</t>
        </is>
      </c>
      <c r="D56" s="116" t="inlineStr">
        <is>
          <t>FLUOPYRAM</t>
        </is>
      </c>
      <c r="E56" s="116" t="n">
        <v>500</v>
      </c>
      <c r="F56" s="4" t="inlineStr">
        <is>
          <t>L</t>
        </is>
      </c>
      <c r="G56" s="90">
        <f>HYPERLINK("https://www.google.com/search?q=" &amp; C56 &amp; "+bula+agrofit+pdf", "📄 Ver bula")</f>
        <v/>
      </c>
      <c r="H56" s="9">
        <f>IFERROR(__xludf.DUMMYFUNCTION("IFERROR(VLOOKUP(C56,
IMPORTRANGE(""1wULbzX32WdYsx-lj2U3uUNBBe2INVIRDtcK0d-Dvl90"",
""26-27!C:K""),
8,
FALSE),
"""")"),0.5)</f>
        <v/>
      </c>
      <c r="I56" s="117" t="inlineStr">
        <is>
          <t>4X5</t>
        </is>
      </c>
      <c r="J56" s="9">
        <f>IFERROR(SUM(
IF('TL01'!$B$3=J$3,SUMIF('TL01'!$C$10:$C$224,$C56,'TL01'!$J$10:$J$224),0),
IF('TL01'!$B$229=J$3,SUMIF('TL01'!$C$238:$C$451,$C56,'TL01'!$J$238:$J$451),0),
IF('TL02'!$B$3=J$3,SUMIF('TL02'!$C$10:$C$224,$C56,'TL02'!$J$10:$J$224),0),
IF('TL02'!$B$229=J$3,SUMIF('TL02'!$C$238:$C$451,$C56,'TL02'!$J$238:$J$451),0),
IF('TL03'!$B$3=J$3,SUMIF('TL03'!$C$10:$C$224,$C56,'TL03'!$J$10:$J$224),0),
IF('TL03'!$B$229=J$3,SUMIF('TL03'!$C$238:$C$451,$C56,'TL03'!$J$238:$J$451),0),
IF('TL04'!$B$3=J$3,SUMIF('TL04'!$C$10:$C$224,$C56,'TL04'!$J$10:$J$224),0),
IF('TL04'!$B$229=J$3,SUMIF('TL04'!$C$238:$C$451,$C56,'TL04'!$J$238:$J$451),0),
IF('TL05'!$B$3=J$3,SUMIF('TL05'!$C$10:$C$224,$C56,'TL05'!$J$10:$J$224),0),
IF('TL05'!$B$229=J$3,SUMIF('TL05'!$C$238:$C$451,$C56,'TL05'!$J$238:$J$451),0),
IF('TL06'!$B$3=J$3,SUMIF('TL06'!$C$10:$C$224,$C56,'TL06'!$J$10:$J$224),0),
IF('TL06'!$B$229=J$3,SUMIF('TL06'!$C$238:$C$451,$C56,'TL06'!$J$238:$J$451),0),
IF('TL07'!$B$3=J$3,SUMIF('TL07'!$C$10:$C$224,$C56,'TL07'!$J$10:$J$224),0),
IF('TL07'!$B$229=J$3,SUMIF('TL07'!$C$238:$C$451,$C56,'TL07'!$J$238:$J$451),0),
IF('TL08'!$B$3=J$3,SUMIF('TL08'!$C$10:$C$224,$C56,'TL08'!$J$10:$J$224),0),
IF('TL08'!$B$229=J$3,SUMIF('TL08'!$C$238:$C$451,$C56,'TL08'!$J$238:$J$451),0),
IF('TL09'!$B$3=J$3,SUMIF('TL09'!$C$10:$C$224,$C56,'TL09'!$J$10:$J$224),0),
IF('TL09'!$B$229=J$3,SUMIF('TL09'!$C$238:$C$451,$C56,'TL09'!$J$238:$J$451),0),
IF('TL10'!$B$3=J$3,SUMIF('TL10'!$C$10:$C$224,$C56,'TL10'!$J$10:$J$224),0),
IF('TL10'!$B$229=J$3,SUMIF('TL10'!$C$238:$C$451,$C56,'TL10'!$J$238:$J$451),0),
IF('TL11'!$B$3=J$3,SUMIF('TL11'!$C$10:$C$224,$C56,'TL11'!$J$10:$J$224),0),
IF('TL11'!$B$229=J$3,SUMIF('TL11'!$C$238:$C$451,$C56,'TL11'!$J$238:$J$451),0),
IF('TL12'!$B$3=J$3,SUMIF('TL12'!$C$10:$C$224,$C56,'TL12'!$J$10:$J$224),0),
IF('TL12'!$B$229=J$3,SUMIF('TL12'!$C$238:$C$451,$C56,'TL12'!$J$238:$J$451),0),
IF('TL13'!$B$3=J$3,SUMIF('TL13'!$C$10:$C$224,$C56,'TL13'!$J$10:$J$224),0),
IF('TL13'!$B$229=J$3,SUMIF('TL13'!$C$238:$C$451,$C56,'TL13'!$J$238:$J$451),0),
IF('TL14'!$B$3=J$3,SUMIF('TL14'!$C$10:$C$224,$C56,'TL14'!$J$10:$J$224),0),
IF('TL14'!$B$229=J$3,SUMIF('TL14'!$C$238:$C$451,$C56,'TL14'!$J$238:$J$451),0),
IF('TL15'!$B$3=J$3,SUMIF('TL15'!$C$10:$C$224,$C56,'TL15'!$J$10:$J$224),0),
IF('TL15'!$B$229=J$3,SUMIF('TL15'!$C$238:$C$451,$C56,'TL15'!$J$238:$J$451),0),
IF('TL16'!$B$3=J$3,SUMIF('TL16'!$C$10:$C$224,$C56,'TL16'!$J$10:$J$224),0),
IF('TL16'!$B$229=J$3,SUMIF('TL16'!$C$238:$C$451,$C56,'TL16'!$J$238:$J$451),0),
IF('TL17'!$B$3=J$3,SUMIF('TL17'!$C$10:$C$224,$C56,'TL17'!$J$10:$J$224),0),
IF('TL17'!$B$229=J$3,SUMIF('TL17'!$C$238:$C$451,$C56,'TL17'!$J$238:$J$451),0),
IF('TL18'!$B$3=J$3,SUMIF('TL18'!$C$10:$C$224,$C56,'TL18'!$J$10:$J$224),0),
IF('TL18'!$B$229=J$3,SUMIF('TL18'!$C$238:$C$451,$C56,'TL18'!$J$238:$J$451),0),
IF('TL19'!$B$3=J$3,SUMIF('TL19'!$C$10:$C$224,$C56,'TL19'!$J$10:$J$224),0),
IF('TL19'!$B$229=J$3,SUMIF('TL19'!$C$238:$C$451,$C56,'TL19'!$J$238:$J$451),0)
),0)</f>
        <v/>
      </c>
      <c r="K56" s="9">
        <f>IFERROR(SUM(
IF('TL01'!$B$3=K$3,SUMIF('TL01'!$C$10:$C$224,$C56,'TL01'!$J$10:$J$224),0),
IF('TL01'!$B$229=K$3,SUMIF('TL01'!$C$238:$C$451,$C56,'TL01'!$J$238:$J$451),0),
IF('TL02'!$B$3=K$3,SUMIF('TL02'!$C$10:$C$224,$C56,'TL02'!$J$10:$J$224),0),
IF('TL02'!$B$229=K$3,SUMIF('TL02'!$C$238:$C$451,$C56,'TL02'!$J$238:$J$451),0),
IF('TL03'!$B$3=K$3,SUMIF('TL03'!$C$10:$C$224,$C56,'TL03'!$J$10:$J$224),0),
IF('TL03'!$B$229=K$3,SUMIF('TL03'!$C$238:$C$451,$C56,'TL03'!$J$238:$J$451),0),
IF('TL04'!$B$3=K$3,SUMIF('TL04'!$C$10:$C$224,$C56,'TL04'!$J$10:$J$224),0),
IF('TL04'!$B$229=K$3,SUMIF('TL04'!$C$238:$C$451,$C56,'TL04'!$J$238:$J$451),0),
IF('TL05'!$B$3=K$3,SUMIF('TL05'!$C$10:$C$224,$C56,'TL05'!$J$10:$J$224),0),
IF('TL05'!$B$229=K$3,SUMIF('TL05'!$C$238:$C$451,$C56,'TL05'!$J$238:$J$451),0),
IF('TL06'!$B$3=K$3,SUMIF('TL06'!$C$10:$C$224,$C56,'TL06'!$J$10:$J$224),0),
IF('TL06'!$B$229=K$3,SUMIF('TL06'!$C$238:$C$451,$C56,'TL06'!$J$238:$J$451),0),
IF('TL07'!$B$3=K$3,SUMIF('TL07'!$C$10:$C$224,$C56,'TL07'!$J$10:$J$224),0),
IF('TL07'!$B$229=K$3,SUMIF('TL07'!$C$238:$C$451,$C56,'TL07'!$J$238:$J$451),0),
IF('TL08'!$B$3=K$3,SUMIF('TL08'!$C$10:$C$224,$C56,'TL08'!$J$10:$J$224),0),
IF('TL08'!$B$229=K$3,SUMIF('TL08'!$C$238:$C$451,$C56,'TL08'!$J$238:$J$451),0),
IF('TL09'!$B$3=K$3,SUMIF('TL09'!$C$10:$C$224,$C56,'TL09'!$J$10:$J$224),0),
IF('TL09'!$B$229=K$3,SUMIF('TL09'!$C$238:$C$451,$C56,'TL09'!$J$238:$J$451),0),
IF('TL10'!$B$3=K$3,SUMIF('TL10'!$C$10:$C$224,$C56,'TL10'!$J$10:$J$224),0),
IF('TL10'!$B$229=K$3,SUMIF('TL10'!$C$238:$C$451,$C56,'TL10'!$J$238:$J$451),0),
IF('TL11'!$B$3=K$3,SUMIF('TL11'!$C$10:$C$224,$C56,'TL11'!$J$10:$J$224),0),
IF('TL11'!$B$229=K$3,SUMIF('TL11'!$C$238:$C$451,$C56,'TL11'!$J$238:$J$451),0),
IF('TL12'!$B$3=K$3,SUMIF('TL12'!$C$10:$C$224,$C56,'TL12'!$J$10:$J$224),0),
IF('TL12'!$B$229=K$3,SUMIF('TL12'!$C$238:$C$451,$C56,'TL12'!$J$238:$J$451),0),
IF('TL13'!$B$3=K$3,SUMIF('TL13'!$C$10:$C$224,$C56,'TL13'!$J$10:$J$224),0),
IF('TL13'!$B$229=K$3,SUMIF('TL13'!$C$238:$C$451,$C56,'TL13'!$J$238:$J$451),0),
IF('TL14'!$B$3=K$3,SUMIF('TL14'!$C$10:$C$224,$C56,'TL14'!$J$10:$J$224),0),
IF('TL14'!$B$229=K$3,SUMIF('TL14'!$C$238:$C$451,$C56,'TL14'!$J$238:$J$451),0),
IF('TL15'!$B$3=K$3,SUMIF('TL15'!$C$10:$C$224,$C56,'TL15'!$J$10:$J$224),0),
IF('TL15'!$B$229=K$3,SUMIF('TL15'!$C$238:$C$451,$C56,'TL15'!$J$238:$J$451),0),
IF('TL16'!$B$3=K$3,SUMIF('TL16'!$C$10:$C$224,$C56,'TL16'!$J$10:$J$224),0),
IF('TL16'!$B$229=K$3,SUMIF('TL16'!$C$238:$C$451,$C56,'TL16'!$J$238:$J$451),0),
IF('TL17'!$B$3=K$3,SUMIF('TL17'!$C$10:$C$224,$C56,'TL17'!$J$10:$J$224),0),
IF('TL17'!$B$229=K$3,SUMIF('TL17'!$C$238:$C$451,$C56,'TL17'!$J$238:$J$451),0),
IF('TL18'!$B$3=K$3,SUMIF('TL18'!$C$10:$C$224,$C56,'TL18'!$J$10:$J$224),0),
IF('TL18'!$B$229=K$3,SUMIF('TL18'!$C$238:$C$451,$C56,'TL18'!$J$238:$J$451),0),
IF('TL19'!$B$3=K$3,SUMIF('TL19'!$C$10:$C$224,$C56,'TL19'!$J$10:$J$224),0),
IF('TL19'!$B$229=K$3,SUMIF('TL19'!$C$238:$C$451,$C56,'TL19'!$J$238:$J$451),0)
),0)</f>
        <v/>
      </c>
      <c r="L56" s="9">
        <f>IFERROR(SUM(
IF('TL01'!$B$3=L$3,SUMIF('TL01'!$C$10:$C$224,$C56,'TL01'!$J$10:$J$224),0),
IF('TL01'!$B$229=L$3,SUMIF('TL01'!$C$238:$C$451,$C56,'TL01'!$J$238:$J$451),0),
IF('TL02'!$B$3=L$3,SUMIF('TL02'!$C$10:$C$224,$C56,'TL02'!$J$10:$J$224),0),
IF('TL02'!$B$229=L$3,SUMIF('TL02'!$C$238:$C$451,$C56,'TL02'!$J$238:$J$451),0),
IF('TL03'!$B$3=L$3,SUMIF('TL03'!$C$10:$C$224,$C56,'TL03'!$J$10:$J$224),0),
IF('TL03'!$B$229=L$3,SUMIF('TL03'!$C$238:$C$451,$C56,'TL03'!$J$238:$J$451),0),
IF('TL04'!$B$3=L$3,SUMIF('TL04'!$C$10:$C$224,$C56,'TL04'!$J$10:$J$224),0),
IF('TL04'!$B$229=L$3,SUMIF('TL04'!$C$238:$C$451,$C56,'TL04'!$J$238:$J$451),0),
IF('TL05'!$B$3=L$3,SUMIF('TL05'!$C$10:$C$224,$C56,'TL05'!$J$10:$J$224),0),
IF('TL05'!$B$229=L$3,SUMIF('TL05'!$C$238:$C$451,$C56,'TL05'!$J$238:$J$451),0),
IF('TL06'!$B$3=L$3,SUMIF('TL06'!$C$10:$C$224,$C56,'TL06'!$J$10:$J$224),0),
IF('TL06'!$B$229=L$3,SUMIF('TL06'!$C$238:$C$451,$C56,'TL06'!$J$238:$J$451),0),
IF('TL07'!$B$3=L$3,SUMIF('TL07'!$C$10:$C$224,$C56,'TL07'!$J$10:$J$224),0),
IF('TL07'!$B$229=L$3,SUMIF('TL07'!$C$238:$C$451,$C56,'TL07'!$J$238:$J$451),0),
IF('TL08'!$B$3=L$3,SUMIF('TL08'!$C$10:$C$224,$C56,'TL08'!$J$10:$J$224),0),
IF('TL08'!$B$229=L$3,SUMIF('TL08'!$C$238:$C$451,$C56,'TL08'!$J$238:$J$451),0),
IF('TL09'!$B$3=L$3,SUMIF('TL09'!$C$10:$C$224,$C56,'TL09'!$J$10:$J$224),0),
IF('TL09'!$B$229=L$3,SUMIF('TL09'!$C$238:$C$451,$C56,'TL09'!$J$238:$J$451),0),
IF('TL10'!$B$3=L$3,SUMIF('TL10'!$C$10:$C$224,$C56,'TL10'!$J$10:$J$224),0),
IF('TL10'!$B$229=L$3,SUMIF('TL10'!$C$238:$C$451,$C56,'TL10'!$J$238:$J$451),0),
IF('TL11'!$B$3=L$3,SUMIF('TL11'!$C$10:$C$224,$C56,'TL11'!$J$10:$J$224),0),
IF('TL11'!$B$229=L$3,SUMIF('TL11'!$C$238:$C$451,$C56,'TL11'!$J$238:$J$451),0),
IF('TL12'!$B$3=L$3,SUMIF('TL12'!$C$10:$C$224,$C56,'TL12'!$J$10:$J$224),0),
IF('TL12'!$B$229=L$3,SUMIF('TL12'!$C$238:$C$451,$C56,'TL12'!$J$238:$J$451),0),
IF('TL13'!$B$3=L$3,SUMIF('TL13'!$C$10:$C$224,$C56,'TL13'!$J$10:$J$224),0),
IF('TL13'!$B$229=L$3,SUMIF('TL13'!$C$238:$C$451,$C56,'TL13'!$J$238:$J$451),0),
IF('TL14'!$B$3=L$3,SUMIF('TL14'!$C$10:$C$224,$C56,'TL14'!$J$10:$J$224),0),
IF('TL14'!$B$229=L$3,SUMIF('TL14'!$C$238:$C$451,$C56,'TL14'!$J$238:$J$451),0),
IF('TL15'!$B$3=L$3,SUMIF('TL15'!$C$10:$C$224,$C56,'TL15'!$J$10:$J$224),0),
IF('TL15'!$B$229=L$3,SUMIF('TL15'!$C$238:$C$451,$C56,'TL15'!$J$238:$J$451),0),
IF('TL16'!$B$3=L$3,SUMIF('TL16'!$C$10:$C$224,$C56,'TL16'!$J$10:$J$224),0),
IF('TL16'!$B$229=L$3,SUMIF('TL16'!$C$238:$C$451,$C56,'TL16'!$J$238:$J$451),0),
IF('TL17'!$B$3=L$3,SUMIF('TL17'!$C$10:$C$224,$C56,'TL17'!$J$10:$J$224),0),
IF('TL17'!$B$229=L$3,SUMIF('TL17'!$C$238:$C$451,$C56,'TL17'!$J$238:$J$451),0),
IF('TL18'!$B$3=L$3,SUMIF('TL18'!$C$10:$C$224,$C56,'TL18'!$J$10:$J$224),0),
IF('TL18'!$B$229=L$3,SUMIF('TL18'!$C$238:$C$451,$C56,'TL18'!$J$238:$J$451),0),
IF('TL19'!$B$3=L$3,SUMIF('TL19'!$C$10:$C$224,$C56,'TL19'!$J$10:$J$224),0),
IF('TL19'!$B$229=L$3,SUMIF('TL19'!$C$238:$C$451,$C56,'TL19'!$J$238:$J$451),0)
),0)</f>
        <v/>
      </c>
      <c r="M56" s="9">
        <f>IFERROR(SUM(
IF('TL01'!$B$3=M$3,SUMIF('TL01'!$C$10:$C$224,$C56,'TL01'!$J$10:$J$224),0),
IF('TL01'!$B$229=M$3,SUMIF('TL01'!$C$238:$C$451,$C56,'TL01'!$J$238:$J$451),0),
IF('TL02'!$B$3=M$3,SUMIF('TL02'!$C$10:$C$224,$C56,'TL02'!$J$10:$J$224),0),
IF('TL02'!$B$229=M$3,SUMIF('TL02'!$C$238:$C$451,$C56,'TL02'!$J$238:$J$451),0),
IF('TL03'!$B$3=M$3,SUMIF('TL03'!$C$10:$C$224,$C56,'TL03'!$J$10:$J$224),0),
IF('TL03'!$B$229=M$3,SUMIF('TL03'!$C$238:$C$451,$C56,'TL03'!$J$238:$J$451),0),
IF('TL04'!$B$3=M$3,SUMIF('TL04'!$C$10:$C$224,$C56,'TL04'!$J$10:$J$224),0),
IF('TL04'!$B$229=M$3,SUMIF('TL04'!$C$238:$C$451,$C56,'TL04'!$J$238:$J$451),0),
IF('TL05'!$B$3=M$3,SUMIF('TL05'!$C$10:$C$224,$C56,'TL05'!$J$10:$J$224),0),
IF('TL05'!$B$229=M$3,SUMIF('TL05'!$C$238:$C$451,$C56,'TL05'!$J$238:$J$451),0),
IF('TL06'!$B$3=M$3,SUMIF('TL06'!$C$10:$C$224,$C56,'TL06'!$J$10:$J$224),0),
IF('TL06'!$B$229=M$3,SUMIF('TL06'!$C$238:$C$451,$C56,'TL06'!$J$238:$J$451),0),
IF('TL07'!$B$3=M$3,SUMIF('TL07'!$C$10:$C$224,$C56,'TL07'!$J$10:$J$224),0),
IF('TL07'!$B$229=M$3,SUMIF('TL07'!$C$238:$C$451,$C56,'TL07'!$J$238:$J$451),0),
IF('TL08'!$B$3=M$3,SUMIF('TL08'!$C$10:$C$224,$C56,'TL08'!$J$10:$J$224),0),
IF('TL08'!$B$229=M$3,SUMIF('TL08'!$C$238:$C$451,$C56,'TL08'!$J$238:$J$451),0),
IF('TL09'!$B$3=M$3,SUMIF('TL09'!$C$10:$C$224,$C56,'TL09'!$J$10:$J$224),0),
IF('TL09'!$B$229=M$3,SUMIF('TL09'!$C$238:$C$451,$C56,'TL09'!$J$238:$J$451),0),
IF('TL10'!$B$3=M$3,SUMIF('TL10'!$C$10:$C$224,$C56,'TL10'!$J$10:$J$224),0),
IF('TL10'!$B$229=M$3,SUMIF('TL10'!$C$238:$C$451,$C56,'TL10'!$J$238:$J$451),0),
IF('TL11'!$B$3=M$3,SUMIF('TL11'!$C$10:$C$224,$C56,'TL11'!$J$10:$J$224),0),
IF('TL11'!$B$229=M$3,SUMIF('TL11'!$C$238:$C$451,$C56,'TL11'!$J$238:$J$451),0),
IF('TL12'!$B$3=M$3,SUMIF('TL12'!$C$10:$C$224,$C56,'TL12'!$J$10:$J$224),0),
IF('TL12'!$B$229=M$3,SUMIF('TL12'!$C$238:$C$451,$C56,'TL12'!$J$238:$J$451),0),
IF('TL13'!$B$3=M$3,SUMIF('TL13'!$C$10:$C$224,$C56,'TL13'!$J$10:$J$224),0),
IF('TL13'!$B$229=M$3,SUMIF('TL13'!$C$238:$C$451,$C56,'TL13'!$J$238:$J$451),0),
IF('TL14'!$B$3=M$3,SUMIF('TL14'!$C$10:$C$224,$C56,'TL14'!$J$10:$J$224),0),
IF('TL14'!$B$229=M$3,SUMIF('TL14'!$C$238:$C$451,$C56,'TL14'!$J$238:$J$451),0),
IF('TL15'!$B$3=M$3,SUMIF('TL15'!$C$10:$C$224,$C56,'TL15'!$J$10:$J$224),0),
IF('TL15'!$B$229=M$3,SUMIF('TL15'!$C$238:$C$451,$C56,'TL15'!$J$238:$J$451),0),
IF('TL16'!$B$3=M$3,SUMIF('TL16'!$C$10:$C$224,$C56,'TL16'!$J$10:$J$224),0),
IF('TL16'!$B$229=M$3,SUMIF('TL16'!$C$238:$C$451,$C56,'TL16'!$J$238:$J$451),0),
IF('TL17'!$B$3=M$3,SUMIF('TL17'!$C$10:$C$224,$C56,'TL17'!$J$10:$J$224),0),
IF('TL17'!$B$229=M$3,SUMIF('TL17'!$C$238:$C$451,$C56,'TL17'!$J$238:$J$451),0),
IF('TL18'!$B$3=M$3,SUMIF('TL18'!$C$10:$C$224,$C56,'TL18'!$J$10:$J$224),0),
IF('TL18'!$B$229=M$3,SUMIF('TL18'!$C$238:$C$451,$C56,'TL18'!$J$238:$J$451),0),
IF('TL19'!$B$3=M$3,SUMIF('TL19'!$C$10:$C$224,$C56,'TL19'!$J$10:$J$224),0),
IF('TL19'!$B$229=M$3,SUMIF('TL19'!$C$238:$C$451,$C56,'TL19'!$J$238:$J$451),0)
),0)</f>
        <v/>
      </c>
      <c r="N56" s="9">
        <f>IFERROR(SUM(
IF('TL01'!$B$3=N$3,SUMIF('TL01'!$C$10:$C$224,$C56,'TL01'!$J$10:$J$224),0),
IF('TL01'!$B$229=N$3,SUMIF('TL01'!$C$238:$C$451,$C56,'TL01'!$J$238:$J$451),0),
IF('TL02'!$B$3=N$3,SUMIF('TL02'!$C$10:$C$224,$C56,'TL02'!$J$10:$J$224),0),
IF('TL02'!$B$229=N$3,SUMIF('TL02'!$C$238:$C$451,$C56,'TL02'!$J$238:$J$451),0),
IF('TL03'!$B$3=N$3,SUMIF('TL03'!$C$10:$C$224,$C56,'TL03'!$J$10:$J$224),0),
IF('TL03'!$B$229=N$3,SUMIF('TL03'!$C$238:$C$451,$C56,'TL03'!$J$238:$J$451),0),
IF('TL04'!$B$3=N$3,SUMIF('TL04'!$C$10:$C$224,$C56,'TL04'!$J$10:$J$224),0),
IF('TL04'!$B$229=N$3,SUMIF('TL04'!$C$238:$C$451,$C56,'TL04'!$J$238:$J$451),0),
IF('TL05'!$B$3=N$3,SUMIF('TL05'!$C$10:$C$224,$C56,'TL05'!$J$10:$J$224),0),
IF('TL05'!$B$229=N$3,SUMIF('TL05'!$C$238:$C$451,$C56,'TL05'!$J$238:$J$451),0),
IF('TL06'!$B$3=N$3,SUMIF('TL06'!$C$10:$C$224,$C56,'TL06'!$J$10:$J$224),0),
IF('TL06'!$B$229=N$3,SUMIF('TL06'!$C$238:$C$451,$C56,'TL06'!$J$238:$J$451),0),
IF('TL07'!$B$3=N$3,SUMIF('TL07'!$C$10:$C$224,$C56,'TL07'!$J$10:$J$224),0),
IF('TL07'!$B$229=N$3,SUMIF('TL07'!$C$238:$C$451,$C56,'TL07'!$J$238:$J$451),0),
IF('TL08'!$B$3=N$3,SUMIF('TL08'!$C$10:$C$224,$C56,'TL08'!$J$10:$J$224),0),
IF('TL08'!$B$229=N$3,SUMIF('TL08'!$C$238:$C$451,$C56,'TL08'!$J$238:$J$451),0),
IF('TL09'!$B$3=N$3,SUMIF('TL09'!$C$10:$C$224,$C56,'TL09'!$J$10:$J$224),0),
IF('TL09'!$B$229=N$3,SUMIF('TL09'!$C$238:$C$451,$C56,'TL09'!$J$238:$J$451),0),
IF('TL10'!$B$3=N$3,SUMIF('TL10'!$C$10:$C$224,$C56,'TL10'!$J$10:$J$224),0),
IF('TL10'!$B$229=N$3,SUMIF('TL10'!$C$238:$C$451,$C56,'TL10'!$J$238:$J$451),0),
IF('TL11'!$B$3=N$3,SUMIF('TL11'!$C$10:$C$224,$C56,'TL11'!$J$10:$J$224),0),
IF('TL11'!$B$229=N$3,SUMIF('TL11'!$C$238:$C$451,$C56,'TL11'!$J$238:$J$451),0),
IF('TL12'!$B$3=N$3,SUMIF('TL12'!$C$10:$C$224,$C56,'TL12'!$J$10:$J$224),0),
IF('TL12'!$B$229=N$3,SUMIF('TL12'!$C$238:$C$451,$C56,'TL12'!$J$238:$J$451),0),
IF('TL13'!$B$3=N$3,SUMIF('TL13'!$C$10:$C$224,$C56,'TL13'!$J$10:$J$224),0),
IF('TL13'!$B$229=N$3,SUMIF('TL13'!$C$238:$C$451,$C56,'TL13'!$J$238:$J$451),0),
IF('TL14'!$B$3=N$3,SUMIF('TL14'!$C$10:$C$224,$C56,'TL14'!$J$10:$J$224),0),
IF('TL14'!$B$229=N$3,SUMIF('TL14'!$C$238:$C$451,$C56,'TL14'!$J$238:$J$451),0),
IF('TL15'!$B$3=N$3,SUMIF('TL15'!$C$10:$C$224,$C56,'TL15'!$J$10:$J$224),0),
IF('TL15'!$B$229=N$3,SUMIF('TL15'!$C$238:$C$451,$C56,'TL15'!$J$238:$J$451),0),
IF('TL16'!$B$3=N$3,SUMIF('TL16'!$C$10:$C$224,$C56,'TL16'!$J$10:$J$224),0),
IF('TL16'!$B$229=N$3,SUMIF('TL16'!$C$238:$C$451,$C56,'TL16'!$J$238:$J$451),0),
IF('TL17'!$B$3=N$3,SUMIF('TL17'!$C$10:$C$224,$C56,'TL17'!$J$10:$J$224),0),
IF('TL17'!$B$229=N$3,SUMIF('TL17'!$C$238:$C$451,$C56,'TL17'!$J$238:$J$451),0),
IF('TL18'!$B$3=N$3,SUMIF('TL18'!$C$10:$C$224,$C56,'TL18'!$J$10:$J$224),0),
IF('TL18'!$B$229=N$3,SUMIF('TL18'!$C$238:$C$451,$C56,'TL18'!$J$238:$J$451),0),
IF('TL19'!$B$3=N$3,SUMIF('TL19'!$C$10:$C$224,$C56,'TL19'!$J$10:$J$224),0),
IF('TL19'!$B$229=N$3,SUMIF('TL19'!$C$238:$C$451,$C56,'TL19'!$J$238:$J$451),0)
),0)</f>
        <v/>
      </c>
      <c r="O56" s="9">
        <f>IFERROR(SUM(
IF('TL01'!$B$3=O$3,SUMIF('TL01'!$C$10:$C$224,$C56,'TL01'!$J$10:$J$224),0),
IF('TL01'!$B$229=O$3,SUMIF('TL01'!$C$238:$C$451,$C56,'TL01'!$J$238:$J$451),0),
IF('TL02'!$B$3=O$3,SUMIF('TL02'!$C$10:$C$224,$C56,'TL02'!$J$10:$J$224),0),
IF('TL02'!$B$229=O$3,SUMIF('TL02'!$C$238:$C$451,$C56,'TL02'!$J$238:$J$451),0),
IF('TL03'!$B$3=O$3,SUMIF('TL03'!$C$10:$C$224,$C56,'TL03'!$J$10:$J$224),0),
IF('TL03'!$B$229=O$3,SUMIF('TL03'!$C$238:$C$451,$C56,'TL03'!$J$238:$J$451),0),
IF('TL04'!$B$3=O$3,SUMIF('TL04'!$C$10:$C$224,$C56,'TL04'!$J$10:$J$224),0),
IF('TL04'!$B$229=O$3,SUMIF('TL04'!$C$238:$C$451,$C56,'TL04'!$J$238:$J$451),0),
IF('TL05'!$B$3=O$3,SUMIF('TL05'!$C$10:$C$224,$C56,'TL05'!$J$10:$J$224),0),
IF('TL05'!$B$229=O$3,SUMIF('TL05'!$C$238:$C$451,$C56,'TL05'!$J$238:$J$451),0),
IF('TL06'!$B$3=O$3,SUMIF('TL06'!$C$10:$C$224,$C56,'TL06'!$J$10:$J$224),0),
IF('TL06'!$B$229=O$3,SUMIF('TL06'!$C$238:$C$451,$C56,'TL06'!$J$238:$J$451),0),
IF('TL07'!$B$3=O$3,SUMIF('TL07'!$C$10:$C$224,$C56,'TL07'!$J$10:$J$224),0),
IF('TL07'!$B$229=O$3,SUMIF('TL07'!$C$238:$C$451,$C56,'TL07'!$J$238:$J$451),0),
IF('TL08'!$B$3=O$3,SUMIF('TL08'!$C$10:$C$224,$C56,'TL08'!$J$10:$J$224),0),
IF('TL08'!$B$229=O$3,SUMIF('TL08'!$C$238:$C$451,$C56,'TL08'!$J$238:$J$451),0),
IF('TL09'!$B$3=O$3,SUMIF('TL09'!$C$10:$C$224,$C56,'TL09'!$J$10:$J$224),0),
IF('TL09'!$B$229=O$3,SUMIF('TL09'!$C$238:$C$451,$C56,'TL09'!$J$238:$J$451),0),
IF('TL10'!$B$3=O$3,SUMIF('TL10'!$C$10:$C$224,$C56,'TL10'!$J$10:$J$224),0),
IF('TL10'!$B$229=O$3,SUMIF('TL10'!$C$238:$C$451,$C56,'TL10'!$J$238:$J$451),0),
IF('TL11'!$B$3=O$3,SUMIF('TL11'!$C$10:$C$224,$C56,'TL11'!$J$10:$J$224),0),
IF('TL11'!$B$229=O$3,SUMIF('TL11'!$C$238:$C$451,$C56,'TL11'!$J$238:$J$451),0),
IF('TL12'!$B$3=O$3,SUMIF('TL12'!$C$10:$C$224,$C56,'TL12'!$J$10:$J$224),0),
IF('TL12'!$B$229=O$3,SUMIF('TL12'!$C$238:$C$451,$C56,'TL12'!$J$238:$J$451),0),
IF('TL13'!$B$3=O$3,SUMIF('TL13'!$C$10:$C$224,$C56,'TL13'!$J$10:$J$224),0),
IF('TL13'!$B$229=O$3,SUMIF('TL13'!$C$238:$C$451,$C56,'TL13'!$J$238:$J$451),0),
IF('TL14'!$B$3=O$3,SUMIF('TL14'!$C$10:$C$224,$C56,'TL14'!$J$10:$J$224),0),
IF('TL14'!$B$229=O$3,SUMIF('TL14'!$C$238:$C$451,$C56,'TL14'!$J$238:$J$451),0),
IF('TL15'!$B$3=O$3,SUMIF('TL15'!$C$10:$C$224,$C56,'TL15'!$J$10:$J$224),0),
IF('TL15'!$B$229=O$3,SUMIF('TL15'!$C$238:$C$451,$C56,'TL15'!$J$238:$J$451),0),
IF('TL16'!$B$3=O$3,SUMIF('TL16'!$C$10:$C$224,$C56,'TL16'!$J$10:$J$224),0),
IF('TL16'!$B$229=O$3,SUMIF('TL16'!$C$238:$C$451,$C56,'TL16'!$J$238:$J$451),0),
IF('TL17'!$B$3=O$3,SUMIF('TL17'!$C$10:$C$224,$C56,'TL17'!$J$10:$J$224),0),
IF('TL17'!$B$229=O$3,SUMIF('TL17'!$C$238:$C$451,$C56,'TL17'!$J$238:$J$451),0),
IF('TL18'!$B$3=O$3,SUMIF('TL18'!$C$10:$C$224,$C56,'TL18'!$J$10:$J$224),0),
IF('TL18'!$B$229=O$3,SUMIF('TL18'!$C$238:$C$451,$C56,'TL18'!$J$238:$J$451),0),
IF('TL19'!$B$3=O$3,SUMIF('TL19'!$C$10:$C$224,$C56,'TL19'!$J$10:$J$224),0),
IF('TL19'!$B$229=O$3,SUMIF('TL19'!$C$238:$C$451,$C56,'TL19'!$J$238:$J$451),0)
),0)</f>
        <v/>
      </c>
      <c r="P56" s="9">
        <f>IFERROR(SUM(
IF('TL01'!$B$3=P$3,SUMIF('TL01'!$C$10:$C$224,$C56,'TL01'!$J$10:$J$224),0),
IF('TL01'!$B$229=P$3,SUMIF('TL01'!$C$238:$C$451,$C56,'TL01'!$J$238:$J$451),0),
IF('TL02'!$B$3=P$3,SUMIF('TL02'!$C$10:$C$224,$C56,'TL02'!$J$10:$J$224),0),
IF('TL02'!$B$229=P$3,SUMIF('TL02'!$C$238:$C$451,$C56,'TL02'!$J$238:$J$451),0),
IF('TL03'!$B$3=P$3,SUMIF('TL03'!$C$10:$C$224,$C56,'TL03'!$J$10:$J$224),0),
IF('TL03'!$B$229=P$3,SUMIF('TL03'!$C$238:$C$451,$C56,'TL03'!$J$238:$J$451),0),
IF('TL04'!$B$3=P$3,SUMIF('TL04'!$C$10:$C$224,$C56,'TL04'!$J$10:$J$224),0),
IF('TL04'!$B$229=P$3,SUMIF('TL04'!$C$238:$C$451,$C56,'TL04'!$J$238:$J$451),0),
IF('TL05'!$B$3=P$3,SUMIF('TL05'!$C$10:$C$224,$C56,'TL05'!$J$10:$J$224),0),
IF('TL05'!$B$229=P$3,SUMIF('TL05'!$C$238:$C$451,$C56,'TL05'!$J$238:$J$451),0),
IF('TL06'!$B$3=P$3,SUMIF('TL06'!$C$10:$C$224,$C56,'TL06'!$J$10:$J$224),0),
IF('TL06'!$B$229=P$3,SUMIF('TL06'!$C$238:$C$451,$C56,'TL06'!$J$238:$J$451),0),
IF('TL07'!$B$3=P$3,SUMIF('TL07'!$C$10:$C$224,$C56,'TL07'!$J$10:$J$224),0),
IF('TL07'!$B$229=P$3,SUMIF('TL07'!$C$238:$C$451,$C56,'TL07'!$J$238:$J$451),0),
IF('TL08'!$B$3=P$3,SUMIF('TL08'!$C$10:$C$224,$C56,'TL08'!$J$10:$J$224),0),
IF('TL08'!$B$229=P$3,SUMIF('TL08'!$C$238:$C$451,$C56,'TL08'!$J$238:$J$451),0),
IF('TL09'!$B$3=P$3,SUMIF('TL09'!$C$10:$C$224,$C56,'TL09'!$J$10:$J$224),0),
IF('TL09'!$B$229=P$3,SUMIF('TL09'!$C$238:$C$451,$C56,'TL09'!$J$238:$J$451),0),
IF('TL10'!$B$3=P$3,SUMIF('TL10'!$C$10:$C$224,$C56,'TL10'!$J$10:$J$224),0),
IF('TL10'!$B$229=P$3,SUMIF('TL10'!$C$238:$C$451,$C56,'TL10'!$J$238:$J$451),0),
IF('TL11'!$B$3=P$3,SUMIF('TL11'!$C$10:$C$224,$C56,'TL11'!$J$10:$J$224),0),
IF('TL11'!$B$229=P$3,SUMIF('TL11'!$C$238:$C$451,$C56,'TL11'!$J$238:$J$451),0),
IF('TL12'!$B$3=P$3,SUMIF('TL12'!$C$10:$C$224,$C56,'TL12'!$J$10:$J$224),0),
IF('TL12'!$B$229=P$3,SUMIF('TL12'!$C$238:$C$451,$C56,'TL12'!$J$238:$J$451),0),
IF('TL13'!$B$3=P$3,SUMIF('TL13'!$C$10:$C$224,$C56,'TL13'!$J$10:$J$224),0),
IF('TL13'!$B$229=P$3,SUMIF('TL13'!$C$238:$C$451,$C56,'TL13'!$J$238:$J$451),0),
IF('TL14'!$B$3=P$3,SUMIF('TL14'!$C$10:$C$224,$C56,'TL14'!$J$10:$J$224),0),
IF('TL14'!$B$229=P$3,SUMIF('TL14'!$C$238:$C$451,$C56,'TL14'!$J$238:$J$451),0),
IF('TL15'!$B$3=P$3,SUMIF('TL15'!$C$10:$C$224,$C56,'TL15'!$J$10:$J$224),0),
IF('TL15'!$B$229=P$3,SUMIF('TL15'!$C$238:$C$451,$C56,'TL15'!$J$238:$J$451),0),
IF('TL16'!$B$3=P$3,SUMIF('TL16'!$C$10:$C$224,$C56,'TL16'!$J$10:$J$224),0),
IF('TL16'!$B$229=P$3,SUMIF('TL16'!$C$238:$C$451,$C56,'TL16'!$J$238:$J$451),0),
IF('TL17'!$B$3=P$3,SUMIF('TL17'!$C$10:$C$224,$C56,'TL17'!$J$10:$J$224),0),
IF('TL17'!$B$229=P$3,SUMIF('TL17'!$C$238:$C$451,$C56,'TL17'!$J$238:$J$451),0),
IF('TL18'!$B$3=P$3,SUMIF('TL18'!$C$10:$C$224,$C56,'TL18'!$J$10:$J$224),0),
IF('TL18'!$B$229=P$3,SUMIF('TL18'!$C$238:$C$451,$C56,'TL18'!$J$238:$J$451),0),
IF('TL19'!$B$3=P$3,SUMIF('TL19'!$C$10:$C$224,$C56,'TL19'!$J$10:$J$224),0),
IF('TL19'!$B$229=P$3,SUMIF('TL19'!$C$238:$C$451,$C56,'TL19'!$J$238:$J$451),0)
),0)</f>
        <v/>
      </c>
      <c r="Q56" s="9">
        <f>IFERROR(SUM(
IF('TL01'!$B$3=Q$3,SUMIF('TL01'!$C$10:$C$224,$C56,'TL01'!$J$10:$J$224),0),
IF('TL01'!$B$229=Q$3,SUMIF('TL01'!$C$238:$C$451,$C56,'TL01'!$J$238:$J$451),0),
IF('TL02'!$B$3=Q$3,SUMIF('TL02'!$C$10:$C$224,$C56,'TL02'!$J$10:$J$224),0),
IF('TL02'!$B$229=Q$3,SUMIF('TL02'!$C$238:$C$451,$C56,'TL02'!$J$238:$J$451),0),
IF('TL03'!$B$3=Q$3,SUMIF('TL03'!$C$10:$C$224,$C56,'TL03'!$J$10:$J$224),0),
IF('TL03'!$B$229=Q$3,SUMIF('TL03'!$C$238:$C$451,$C56,'TL03'!$J$238:$J$451),0),
IF('TL04'!$B$3=Q$3,SUMIF('TL04'!$C$10:$C$224,$C56,'TL04'!$J$10:$J$224),0),
IF('TL04'!$B$229=Q$3,SUMIF('TL04'!$C$238:$C$451,$C56,'TL04'!$J$238:$J$451),0),
IF('TL05'!$B$3=Q$3,SUMIF('TL05'!$C$10:$C$224,$C56,'TL05'!$J$10:$J$224),0),
IF('TL05'!$B$229=Q$3,SUMIF('TL05'!$C$238:$C$451,$C56,'TL05'!$J$238:$J$451),0),
IF('TL06'!$B$3=Q$3,SUMIF('TL06'!$C$10:$C$224,$C56,'TL06'!$J$10:$J$224),0),
IF('TL06'!$B$229=Q$3,SUMIF('TL06'!$C$238:$C$451,$C56,'TL06'!$J$238:$J$451),0),
IF('TL07'!$B$3=Q$3,SUMIF('TL07'!$C$10:$C$224,$C56,'TL07'!$J$10:$J$224),0),
IF('TL07'!$B$229=Q$3,SUMIF('TL07'!$C$238:$C$451,$C56,'TL07'!$J$238:$J$451),0),
IF('TL08'!$B$3=Q$3,SUMIF('TL08'!$C$10:$C$224,$C56,'TL08'!$J$10:$J$224),0),
IF('TL08'!$B$229=Q$3,SUMIF('TL08'!$C$238:$C$451,$C56,'TL08'!$J$238:$J$451),0),
IF('TL09'!$B$3=Q$3,SUMIF('TL09'!$C$10:$C$224,$C56,'TL09'!$J$10:$J$224),0),
IF('TL09'!$B$229=Q$3,SUMIF('TL09'!$C$238:$C$451,$C56,'TL09'!$J$238:$J$451),0),
IF('TL10'!$B$3=Q$3,SUMIF('TL10'!$C$10:$C$224,$C56,'TL10'!$J$10:$J$224),0),
IF('TL10'!$B$229=Q$3,SUMIF('TL10'!$C$238:$C$451,$C56,'TL10'!$J$238:$J$451),0),
IF('TL11'!$B$3=Q$3,SUMIF('TL11'!$C$10:$C$224,$C56,'TL11'!$J$10:$J$224),0),
IF('TL11'!$B$229=Q$3,SUMIF('TL11'!$C$238:$C$451,$C56,'TL11'!$J$238:$J$451),0),
IF('TL12'!$B$3=Q$3,SUMIF('TL12'!$C$10:$C$224,$C56,'TL12'!$J$10:$J$224),0),
IF('TL12'!$B$229=Q$3,SUMIF('TL12'!$C$238:$C$451,$C56,'TL12'!$J$238:$J$451),0),
IF('TL13'!$B$3=Q$3,SUMIF('TL13'!$C$10:$C$224,$C56,'TL13'!$J$10:$J$224),0),
IF('TL13'!$B$229=Q$3,SUMIF('TL13'!$C$238:$C$451,$C56,'TL13'!$J$238:$J$451),0),
IF('TL14'!$B$3=Q$3,SUMIF('TL14'!$C$10:$C$224,$C56,'TL14'!$J$10:$J$224),0),
IF('TL14'!$B$229=Q$3,SUMIF('TL14'!$C$238:$C$451,$C56,'TL14'!$J$238:$J$451),0),
IF('TL15'!$B$3=Q$3,SUMIF('TL15'!$C$10:$C$224,$C56,'TL15'!$J$10:$J$224),0),
IF('TL15'!$B$229=Q$3,SUMIF('TL15'!$C$238:$C$451,$C56,'TL15'!$J$238:$J$451),0),
IF('TL16'!$B$3=Q$3,SUMIF('TL16'!$C$10:$C$224,$C56,'TL16'!$J$10:$J$224),0),
IF('TL16'!$B$229=Q$3,SUMIF('TL16'!$C$238:$C$451,$C56,'TL16'!$J$238:$J$451),0),
IF('TL17'!$B$3=Q$3,SUMIF('TL17'!$C$10:$C$224,$C56,'TL17'!$J$10:$J$224),0),
IF('TL17'!$B$229=Q$3,SUMIF('TL17'!$C$238:$C$451,$C56,'TL17'!$J$238:$J$451),0),
IF('TL18'!$B$3=Q$3,SUMIF('TL18'!$C$10:$C$224,$C56,'TL18'!$J$10:$J$224),0),
IF('TL18'!$B$229=Q$3,SUMIF('TL18'!$C$238:$C$451,$C56,'TL18'!$J$238:$J$451),0),
IF('TL19'!$B$3=Q$3,SUMIF('TL19'!$C$10:$C$224,$C56,'TL19'!$J$10:$J$224),0),
IF('TL19'!$B$229=Q$3,SUMIF('TL19'!$C$238:$C$451,$C56,'TL19'!$J$238:$J$451),0)
),0)</f>
        <v/>
      </c>
      <c r="R56" s="9">
        <f>IFERROR(
SUM(
SUMIF('TL01'!C:C,C56,'TL01'!J:J),
SUMIF('TL02'!C:C,C56,'TL02'!J:J),
SUMIF('TL03'!C:C,C56,'TL03'!J:J),
SUMIF('TL04'!C:C,C56,'TL04'!J:J),
SUMIF('TL05'!C:C,C56,'TL05'!J:J),
SUMIF('TL06'!C:C,C56,'TL06'!J:J),
SUMIF('TL07'!C:C,C56,'TL07'!J:J),
SUMIF('TL08'!C:C,C56,'TL08'!J:J),
SUMIF('TL09'!C:C,C56,'TL09'!J:J),
SUMIF('TL10'!C:C,C56,'TL10'!J:J),
SUMIF('TL11'!C:C,C56,'TL11'!J:J),
SUMIF('TL12'!C:C,C56,'TL12'!J:J),
SUMIF('TL13'!C:C,C56,'TL13'!J:J),
SUMIF('TL14'!C:C,C56,'TL14'!J:J),
SUMIF('TL15'!C:C,C56,'TL15'!J:J),
SUMIF('TL16'!C:C,C56,'TL16'!J:J),
SUMIF('TL17'!C:C,C56,'TL17'!J:J),
SUMIF('TL18'!C:C,C56,'TL18'!J:J),SUMIF('TL19'!C:C,C56,'TL19'!J:J))
,0)</f>
        <v/>
      </c>
      <c r="S56" s="17">
        <f>IFERROR(__xludf.DUMMYFUNCTION("IFERROR(VLOOKUP(C56,
IMPORTRANGE(""1wULbzX32WdYsx-lj2U3uUNBBe2INVIRDtcK0d-Dvl90"",
""26-27!C:G""),
5,
FALSE),
"""")"),404.5233600000001)</f>
        <v/>
      </c>
      <c r="T56" s="118" t="n">
        <v>25</v>
      </c>
      <c r="U56" s="92">
        <f>MAX(0,R56-T56)</f>
        <v/>
      </c>
      <c r="V56" s="93">
        <f>U56*S56</f>
        <v/>
      </c>
    </row>
    <row r="57" hidden="1" ht="15.75" customHeight="1" s="297">
      <c r="A57" s="111" t="inlineStr">
        <is>
          <t>CCAB</t>
        </is>
      </c>
      <c r="B57" s="112" t="inlineStr">
        <is>
          <t>FUNGICIDA</t>
        </is>
      </c>
      <c r="C57" s="113" t="inlineStr">
        <is>
          <t>AZOXISTROBIN 200 + CIPROCONAZOL
 80 SC CCAB</t>
        </is>
      </c>
      <c r="D57" s="113" t="inlineStr">
        <is>
          <t>AZOXISTROBINA + CIPROCONAZOL</t>
        </is>
      </c>
      <c r="E57" s="113" t="inlineStr">
        <is>
          <t>200 + 80</t>
        </is>
      </c>
      <c r="F57" s="4" t="inlineStr">
        <is>
          <t>L</t>
        </is>
      </c>
      <c r="G57" s="90">
        <f>HYPERLINK("https://www.google.com/search?q=" &amp; C57 &amp; "+bula+agrofit+pdf", "📄 Ver bula")</f>
        <v/>
      </c>
      <c r="H57" s="9">
        <f>IFERROR(__xludf.DUMMYFUNCTION("IFERROR(VLOOKUP(C57,
IMPORTRANGE(""1wULbzX32WdYsx-lj2U3uUNBBe2INVIRDtcK0d-Dvl90"",
""26-27!C:K""),
8,
FALSE),
"""")"),0.3)</f>
        <v/>
      </c>
      <c r="I57" s="114" t="inlineStr">
        <is>
          <t>1x20</t>
        </is>
      </c>
      <c r="J57" s="9">
        <f>IFERROR(SUM(
IF('TL01'!$B$3=J$3,SUMIF('TL01'!$C$10:$C$224,$C57,'TL01'!$J$10:$J$224),0),
IF('TL01'!$B$229=J$3,SUMIF('TL01'!$C$238:$C$451,$C57,'TL01'!$J$238:$J$451),0),
IF('TL02'!$B$3=J$3,SUMIF('TL02'!$C$10:$C$224,$C57,'TL02'!$J$10:$J$224),0),
IF('TL02'!$B$229=J$3,SUMIF('TL02'!$C$238:$C$451,$C57,'TL02'!$J$238:$J$451),0),
IF('TL03'!$B$3=J$3,SUMIF('TL03'!$C$10:$C$224,$C57,'TL03'!$J$10:$J$224),0),
IF('TL03'!$B$229=J$3,SUMIF('TL03'!$C$238:$C$451,$C57,'TL03'!$J$238:$J$451),0),
IF('TL04'!$B$3=J$3,SUMIF('TL04'!$C$10:$C$224,$C57,'TL04'!$J$10:$J$224),0),
IF('TL04'!$B$229=J$3,SUMIF('TL04'!$C$238:$C$451,$C57,'TL04'!$J$238:$J$451),0),
IF('TL05'!$B$3=J$3,SUMIF('TL05'!$C$10:$C$224,$C57,'TL05'!$J$10:$J$224),0),
IF('TL05'!$B$229=J$3,SUMIF('TL05'!$C$238:$C$451,$C57,'TL05'!$J$238:$J$451),0),
IF('TL06'!$B$3=J$3,SUMIF('TL06'!$C$10:$C$224,$C57,'TL06'!$J$10:$J$224),0),
IF('TL06'!$B$229=J$3,SUMIF('TL06'!$C$238:$C$451,$C57,'TL06'!$J$238:$J$451),0),
IF('TL07'!$B$3=J$3,SUMIF('TL07'!$C$10:$C$224,$C57,'TL07'!$J$10:$J$224),0),
IF('TL07'!$B$229=J$3,SUMIF('TL07'!$C$238:$C$451,$C57,'TL07'!$J$238:$J$451),0),
IF('TL08'!$B$3=J$3,SUMIF('TL08'!$C$10:$C$224,$C57,'TL08'!$J$10:$J$224),0),
IF('TL08'!$B$229=J$3,SUMIF('TL08'!$C$238:$C$451,$C57,'TL08'!$J$238:$J$451),0),
IF('TL09'!$B$3=J$3,SUMIF('TL09'!$C$10:$C$224,$C57,'TL09'!$J$10:$J$224),0),
IF('TL09'!$B$229=J$3,SUMIF('TL09'!$C$238:$C$451,$C57,'TL09'!$J$238:$J$451),0),
IF('TL10'!$B$3=J$3,SUMIF('TL10'!$C$10:$C$224,$C57,'TL10'!$J$10:$J$224),0),
IF('TL10'!$B$229=J$3,SUMIF('TL10'!$C$238:$C$451,$C57,'TL10'!$J$238:$J$451),0),
IF('TL11'!$B$3=J$3,SUMIF('TL11'!$C$10:$C$224,$C57,'TL11'!$J$10:$J$224),0),
IF('TL11'!$B$229=J$3,SUMIF('TL11'!$C$238:$C$451,$C57,'TL11'!$J$238:$J$451),0),
IF('TL12'!$B$3=J$3,SUMIF('TL12'!$C$10:$C$224,$C57,'TL12'!$J$10:$J$224),0),
IF('TL12'!$B$229=J$3,SUMIF('TL12'!$C$238:$C$451,$C57,'TL12'!$J$238:$J$451),0),
IF('TL13'!$B$3=J$3,SUMIF('TL13'!$C$10:$C$224,$C57,'TL13'!$J$10:$J$224),0),
IF('TL13'!$B$229=J$3,SUMIF('TL13'!$C$238:$C$451,$C57,'TL13'!$J$238:$J$451),0),
IF('TL14'!$B$3=J$3,SUMIF('TL14'!$C$10:$C$224,$C57,'TL14'!$J$10:$J$224),0),
IF('TL14'!$B$229=J$3,SUMIF('TL14'!$C$238:$C$451,$C57,'TL14'!$J$238:$J$451),0),
IF('TL15'!$B$3=J$3,SUMIF('TL15'!$C$10:$C$224,$C57,'TL15'!$J$10:$J$224),0),
IF('TL15'!$B$229=J$3,SUMIF('TL15'!$C$238:$C$451,$C57,'TL15'!$J$238:$J$451),0),
IF('TL16'!$B$3=J$3,SUMIF('TL16'!$C$10:$C$224,$C57,'TL16'!$J$10:$J$224),0),
IF('TL16'!$B$229=J$3,SUMIF('TL16'!$C$238:$C$451,$C57,'TL16'!$J$238:$J$451),0),
IF('TL17'!$B$3=J$3,SUMIF('TL17'!$C$10:$C$224,$C57,'TL17'!$J$10:$J$224),0),
IF('TL17'!$B$229=J$3,SUMIF('TL17'!$C$238:$C$451,$C57,'TL17'!$J$238:$J$451),0),
IF('TL18'!$B$3=J$3,SUMIF('TL18'!$C$10:$C$224,$C57,'TL18'!$J$10:$J$224),0),
IF('TL18'!$B$229=J$3,SUMIF('TL18'!$C$238:$C$451,$C57,'TL18'!$J$238:$J$451),0),
IF('TL19'!$B$3=J$3,SUMIF('TL19'!$C$10:$C$224,$C57,'TL19'!$J$10:$J$224),0),
IF('TL19'!$B$229=J$3,SUMIF('TL19'!$C$238:$C$451,$C57,'TL19'!$J$238:$J$451),0)
),0)</f>
        <v/>
      </c>
      <c r="K57" s="9">
        <f>IFERROR(SUM(
IF('TL01'!$B$3=K$3,SUMIF('TL01'!$C$10:$C$224,$C57,'TL01'!$J$10:$J$224),0),
IF('TL01'!$B$229=K$3,SUMIF('TL01'!$C$238:$C$451,$C57,'TL01'!$J$238:$J$451),0),
IF('TL02'!$B$3=K$3,SUMIF('TL02'!$C$10:$C$224,$C57,'TL02'!$J$10:$J$224),0),
IF('TL02'!$B$229=K$3,SUMIF('TL02'!$C$238:$C$451,$C57,'TL02'!$J$238:$J$451),0),
IF('TL03'!$B$3=K$3,SUMIF('TL03'!$C$10:$C$224,$C57,'TL03'!$J$10:$J$224),0),
IF('TL03'!$B$229=K$3,SUMIF('TL03'!$C$238:$C$451,$C57,'TL03'!$J$238:$J$451),0),
IF('TL04'!$B$3=K$3,SUMIF('TL04'!$C$10:$C$224,$C57,'TL04'!$J$10:$J$224),0),
IF('TL04'!$B$229=K$3,SUMIF('TL04'!$C$238:$C$451,$C57,'TL04'!$J$238:$J$451),0),
IF('TL05'!$B$3=K$3,SUMIF('TL05'!$C$10:$C$224,$C57,'TL05'!$J$10:$J$224),0),
IF('TL05'!$B$229=K$3,SUMIF('TL05'!$C$238:$C$451,$C57,'TL05'!$J$238:$J$451),0),
IF('TL06'!$B$3=K$3,SUMIF('TL06'!$C$10:$C$224,$C57,'TL06'!$J$10:$J$224),0),
IF('TL06'!$B$229=K$3,SUMIF('TL06'!$C$238:$C$451,$C57,'TL06'!$J$238:$J$451),0),
IF('TL07'!$B$3=K$3,SUMIF('TL07'!$C$10:$C$224,$C57,'TL07'!$J$10:$J$224),0),
IF('TL07'!$B$229=K$3,SUMIF('TL07'!$C$238:$C$451,$C57,'TL07'!$J$238:$J$451),0),
IF('TL08'!$B$3=K$3,SUMIF('TL08'!$C$10:$C$224,$C57,'TL08'!$J$10:$J$224),0),
IF('TL08'!$B$229=K$3,SUMIF('TL08'!$C$238:$C$451,$C57,'TL08'!$J$238:$J$451),0),
IF('TL09'!$B$3=K$3,SUMIF('TL09'!$C$10:$C$224,$C57,'TL09'!$J$10:$J$224),0),
IF('TL09'!$B$229=K$3,SUMIF('TL09'!$C$238:$C$451,$C57,'TL09'!$J$238:$J$451),0),
IF('TL10'!$B$3=K$3,SUMIF('TL10'!$C$10:$C$224,$C57,'TL10'!$J$10:$J$224),0),
IF('TL10'!$B$229=K$3,SUMIF('TL10'!$C$238:$C$451,$C57,'TL10'!$J$238:$J$451),0),
IF('TL11'!$B$3=K$3,SUMIF('TL11'!$C$10:$C$224,$C57,'TL11'!$J$10:$J$224),0),
IF('TL11'!$B$229=K$3,SUMIF('TL11'!$C$238:$C$451,$C57,'TL11'!$J$238:$J$451),0),
IF('TL12'!$B$3=K$3,SUMIF('TL12'!$C$10:$C$224,$C57,'TL12'!$J$10:$J$224),0),
IF('TL12'!$B$229=K$3,SUMIF('TL12'!$C$238:$C$451,$C57,'TL12'!$J$238:$J$451),0),
IF('TL13'!$B$3=K$3,SUMIF('TL13'!$C$10:$C$224,$C57,'TL13'!$J$10:$J$224),0),
IF('TL13'!$B$229=K$3,SUMIF('TL13'!$C$238:$C$451,$C57,'TL13'!$J$238:$J$451),0),
IF('TL14'!$B$3=K$3,SUMIF('TL14'!$C$10:$C$224,$C57,'TL14'!$J$10:$J$224),0),
IF('TL14'!$B$229=K$3,SUMIF('TL14'!$C$238:$C$451,$C57,'TL14'!$J$238:$J$451),0),
IF('TL15'!$B$3=K$3,SUMIF('TL15'!$C$10:$C$224,$C57,'TL15'!$J$10:$J$224),0),
IF('TL15'!$B$229=K$3,SUMIF('TL15'!$C$238:$C$451,$C57,'TL15'!$J$238:$J$451),0),
IF('TL16'!$B$3=K$3,SUMIF('TL16'!$C$10:$C$224,$C57,'TL16'!$J$10:$J$224),0),
IF('TL16'!$B$229=K$3,SUMIF('TL16'!$C$238:$C$451,$C57,'TL16'!$J$238:$J$451),0),
IF('TL17'!$B$3=K$3,SUMIF('TL17'!$C$10:$C$224,$C57,'TL17'!$J$10:$J$224),0),
IF('TL17'!$B$229=K$3,SUMIF('TL17'!$C$238:$C$451,$C57,'TL17'!$J$238:$J$451),0),
IF('TL18'!$B$3=K$3,SUMIF('TL18'!$C$10:$C$224,$C57,'TL18'!$J$10:$J$224),0),
IF('TL18'!$B$229=K$3,SUMIF('TL18'!$C$238:$C$451,$C57,'TL18'!$J$238:$J$451),0),
IF('TL19'!$B$3=K$3,SUMIF('TL19'!$C$10:$C$224,$C57,'TL19'!$J$10:$J$224),0),
IF('TL19'!$B$229=K$3,SUMIF('TL19'!$C$238:$C$451,$C57,'TL19'!$J$238:$J$451),0)
),0)</f>
        <v/>
      </c>
      <c r="L57" s="9">
        <f>IFERROR(SUM(
IF('TL01'!$B$3=L$3,SUMIF('TL01'!$C$10:$C$224,$C57,'TL01'!$J$10:$J$224),0),
IF('TL01'!$B$229=L$3,SUMIF('TL01'!$C$238:$C$451,$C57,'TL01'!$J$238:$J$451),0),
IF('TL02'!$B$3=L$3,SUMIF('TL02'!$C$10:$C$224,$C57,'TL02'!$J$10:$J$224),0),
IF('TL02'!$B$229=L$3,SUMIF('TL02'!$C$238:$C$451,$C57,'TL02'!$J$238:$J$451),0),
IF('TL03'!$B$3=L$3,SUMIF('TL03'!$C$10:$C$224,$C57,'TL03'!$J$10:$J$224),0),
IF('TL03'!$B$229=L$3,SUMIF('TL03'!$C$238:$C$451,$C57,'TL03'!$J$238:$J$451),0),
IF('TL04'!$B$3=L$3,SUMIF('TL04'!$C$10:$C$224,$C57,'TL04'!$J$10:$J$224),0),
IF('TL04'!$B$229=L$3,SUMIF('TL04'!$C$238:$C$451,$C57,'TL04'!$J$238:$J$451),0),
IF('TL05'!$B$3=L$3,SUMIF('TL05'!$C$10:$C$224,$C57,'TL05'!$J$10:$J$224),0),
IF('TL05'!$B$229=L$3,SUMIF('TL05'!$C$238:$C$451,$C57,'TL05'!$J$238:$J$451),0),
IF('TL06'!$B$3=L$3,SUMIF('TL06'!$C$10:$C$224,$C57,'TL06'!$J$10:$J$224),0),
IF('TL06'!$B$229=L$3,SUMIF('TL06'!$C$238:$C$451,$C57,'TL06'!$J$238:$J$451),0),
IF('TL07'!$B$3=L$3,SUMIF('TL07'!$C$10:$C$224,$C57,'TL07'!$J$10:$J$224),0),
IF('TL07'!$B$229=L$3,SUMIF('TL07'!$C$238:$C$451,$C57,'TL07'!$J$238:$J$451),0),
IF('TL08'!$B$3=L$3,SUMIF('TL08'!$C$10:$C$224,$C57,'TL08'!$J$10:$J$224),0),
IF('TL08'!$B$229=L$3,SUMIF('TL08'!$C$238:$C$451,$C57,'TL08'!$J$238:$J$451),0),
IF('TL09'!$B$3=L$3,SUMIF('TL09'!$C$10:$C$224,$C57,'TL09'!$J$10:$J$224),0),
IF('TL09'!$B$229=L$3,SUMIF('TL09'!$C$238:$C$451,$C57,'TL09'!$J$238:$J$451),0),
IF('TL10'!$B$3=L$3,SUMIF('TL10'!$C$10:$C$224,$C57,'TL10'!$J$10:$J$224),0),
IF('TL10'!$B$229=L$3,SUMIF('TL10'!$C$238:$C$451,$C57,'TL10'!$J$238:$J$451),0),
IF('TL11'!$B$3=L$3,SUMIF('TL11'!$C$10:$C$224,$C57,'TL11'!$J$10:$J$224),0),
IF('TL11'!$B$229=L$3,SUMIF('TL11'!$C$238:$C$451,$C57,'TL11'!$J$238:$J$451),0),
IF('TL12'!$B$3=L$3,SUMIF('TL12'!$C$10:$C$224,$C57,'TL12'!$J$10:$J$224),0),
IF('TL12'!$B$229=L$3,SUMIF('TL12'!$C$238:$C$451,$C57,'TL12'!$J$238:$J$451),0),
IF('TL13'!$B$3=L$3,SUMIF('TL13'!$C$10:$C$224,$C57,'TL13'!$J$10:$J$224),0),
IF('TL13'!$B$229=L$3,SUMIF('TL13'!$C$238:$C$451,$C57,'TL13'!$J$238:$J$451),0),
IF('TL14'!$B$3=L$3,SUMIF('TL14'!$C$10:$C$224,$C57,'TL14'!$J$10:$J$224),0),
IF('TL14'!$B$229=L$3,SUMIF('TL14'!$C$238:$C$451,$C57,'TL14'!$J$238:$J$451),0),
IF('TL15'!$B$3=L$3,SUMIF('TL15'!$C$10:$C$224,$C57,'TL15'!$J$10:$J$224),0),
IF('TL15'!$B$229=L$3,SUMIF('TL15'!$C$238:$C$451,$C57,'TL15'!$J$238:$J$451),0),
IF('TL16'!$B$3=L$3,SUMIF('TL16'!$C$10:$C$224,$C57,'TL16'!$J$10:$J$224),0),
IF('TL16'!$B$229=L$3,SUMIF('TL16'!$C$238:$C$451,$C57,'TL16'!$J$238:$J$451),0),
IF('TL17'!$B$3=L$3,SUMIF('TL17'!$C$10:$C$224,$C57,'TL17'!$J$10:$J$224),0),
IF('TL17'!$B$229=L$3,SUMIF('TL17'!$C$238:$C$451,$C57,'TL17'!$J$238:$J$451),0),
IF('TL18'!$B$3=L$3,SUMIF('TL18'!$C$10:$C$224,$C57,'TL18'!$J$10:$J$224),0),
IF('TL18'!$B$229=L$3,SUMIF('TL18'!$C$238:$C$451,$C57,'TL18'!$J$238:$J$451),0),
IF('TL19'!$B$3=L$3,SUMIF('TL19'!$C$10:$C$224,$C57,'TL19'!$J$10:$J$224),0),
IF('TL19'!$B$229=L$3,SUMIF('TL19'!$C$238:$C$451,$C57,'TL19'!$J$238:$J$451),0)
),0)</f>
        <v/>
      </c>
      <c r="M57" s="9">
        <f>IFERROR(SUM(
IF('TL01'!$B$3=M$3,SUMIF('TL01'!$C$10:$C$224,$C57,'TL01'!$J$10:$J$224),0),
IF('TL01'!$B$229=M$3,SUMIF('TL01'!$C$238:$C$451,$C57,'TL01'!$J$238:$J$451),0),
IF('TL02'!$B$3=M$3,SUMIF('TL02'!$C$10:$C$224,$C57,'TL02'!$J$10:$J$224),0),
IF('TL02'!$B$229=M$3,SUMIF('TL02'!$C$238:$C$451,$C57,'TL02'!$J$238:$J$451),0),
IF('TL03'!$B$3=M$3,SUMIF('TL03'!$C$10:$C$224,$C57,'TL03'!$J$10:$J$224),0),
IF('TL03'!$B$229=M$3,SUMIF('TL03'!$C$238:$C$451,$C57,'TL03'!$J$238:$J$451),0),
IF('TL04'!$B$3=M$3,SUMIF('TL04'!$C$10:$C$224,$C57,'TL04'!$J$10:$J$224),0),
IF('TL04'!$B$229=M$3,SUMIF('TL04'!$C$238:$C$451,$C57,'TL04'!$J$238:$J$451),0),
IF('TL05'!$B$3=M$3,SUMIF('TL05'!$C$10:$C$224,$C57,'TL05'!$J$10:$J$224),0),
IF('TL05'!$B$229=M$3,SUMIF('TL05'!$C$238:$C$451,$C57,'TL05'!$J$238:$J$451),0),
IF('TL06'!$B$3=M$3,SUMIF('TL06'!$C$10:$C$224,$C57,'TL06'!$J$10:$J$224),0),
IF('TL06'!$B$229=M$3,SUMIF('TL06'!$C$238:$C$451,$C57,'TL06'!$J$238:$J$451),0),
IF('TL07'!$B$3=M$3,SUMIF('TL07'!$C$10:$C$224,$C57,'TL07'!$J$10:$J$224),0),
IF('TL07'!$B$229=M$3,SUMIF('TL07'!$C$238:$C$451,$C57,'TL07'!$J$238:$J$451),0),
IF('TL08'!$B$3=M$3,SUMIF('TL08'!$C$10:$C$224,$C57,'TL08'!$J$10:$J$224),0),
IF('TL08'!$B$229=M$3,SUMIF('TL08'!$C$238:$C$451,$C57,'TL08'!$J$238:$J$451),0),
IF('TL09'!$B$3=M$3,SUMIF('TL09'!$C$10:$C$224,$C57,'TL09'!$J$10:$J$224),0),
IF('TL09'!$B$229=M$3,SUMIF('TL09'!$C$238:$C$451,$C57,'TL09'!$J$238:$J$451),0),
IF('TL10'!$B$3=M$3,SUMIF('TL10'!$C$10:$C$224,$C57,'TL10'!$J$10:$J$224),0),
IF('TL10'!$B$229=M$3,SUMIF('TL10'!$C$238:$C$451,$C57,'TL10'!$J$238:$J$451),0),
IF('TL11'!$B$3=M$3,SUMIF('TL11'!$C$10:$C$224,$C57,'TL11'!$J$10:$J$224),0),
IF('TL11'!$B$229=M$3,SUMIF('TL11'!$C$238:$C$451,$C57,'TL11'!$J$238:$J$451),0),
IF('TL12'!$B$3=M$3,SUMIF('TL12'!$C$10:$C$224,$C57,'TL12'!$J$10:$J$224),0),
IF('TL12'!$B$229=M$3,SUMIF('TL12'!$C$238:$C$451,$C57,'TL12'!$J$238:$J$451),0),
IF('TL13'!$B$3=M$3,SUMIF('TL13'!$C$10:$C$224,$C57,'TL13'!$J$10:$J$224),0),
IF('TL13'!$B$229=M$3,SUMIF('TL13'!$C$238:$C$451,$C57,'TL13'!$J$238:$J$451),0),
IF('TL14'!$B$3=M$3,SUMIF('TL14'!$C$10:$C$224,$C57,'TL14'!$J$10:$J$224),0),
IF('TL14'!$B$229=M$3,SUMIF('TL14'!$C$238:$C$451,$C57,'TL14'!$J$238:$J$451),0),
IF('TL15'!$B$3=M$3,SUMIF('TL15'!$C$10:$C$224,$C57,'TL15'!$J$10:$J$224),0),
IF('TL15'!$B$229=M$3,SUMIF('TL15'!$C$238:$C$451,$C57,'TL15'!$J$238:$J$451),0),
IF('TL16'!$B$3=M$3,SUMIF('TL16'!$C$10:$C$224,$C57,'TL16'!$J$10:$J$224),0),
IF('TL16'!$B$229=M$3,SUMIF('TL16'!$C$238:$C$451,$C57,'TL16'!$J$238:$J$451),0),
IF('TL17'!$B$3=M$3,SUMIF('TL17'!$C$10:$C$224,$C57,'TL17'!$J$10:$J$224),0),
IF('TL17'!$B$229=M$3,SUMIF('TL17'!$C$238:$C$451,$C57,'TL17'!$J$238:$J$451),0),
IF('TL18'!$B$3=M$3,SUMIF('TL18'!$C$10:$C$224,$C57,'TL18'!$J$10:$J$224),0),
IF('TL18'!$B$229=M$3,SUMIF('TL18'!$C$238:$C$451,$C57,'TL18'!$J$238:$J$451),0),
IF('TL19'!$B$3=M$3,SUMIF('TL19'!$C$10:$C$224,$C57,'TL19'!$J$10:$J$224),0),
IF('TL19'!$B$229=M$3,SUMIF('TL19'!$C$238:$C$451,$C57,'TL19'!$J$238:$J$451),0)
),0)</f>
        <v/>
      </c>
      <c r="N57" s="9">
        <f>IFERROR(SUM(
IF('TL01'!$B$3=N$3,SUMIF('TL01'!$C$10:$C$224,$C57,'TL01'!$J$10:$J$224),0),
IF('TL01'!$B$229=N$3,SUMIF('TL01'!$C$238:$C$451,$C57,'TL01'!$J$238:$J$451),0),
IF('TL02'!$B$3=N$3,SUMIF('TL02'!$C$10:$C$224,$C57,'TL02'!$J$10:$J$224),0),
IF('TL02'!$B$229=N$3,SUMIF('TL02'!$C$238:$C$451,$C57,'TL02'!$J$238:$J$451),0),
IF('TL03'!$B$3=N$3,SUMIF('TL03'!$C$10:$C$224,$C57,'TL03'!$J$10:$J$224),0),
IF('TL03'!$B$229=N$3,SUMIF('TL03'!$C$238:$C$451,$C57,'TL03'!$J$238:$J$451),0),
IF('TL04'!$B$3=N$3,SUMIF('TL04'!$C$10:$C$224,$C57,'TL04'!$J$10:$J$224),0),
IF('TL04'!$B$229=N$3,SUMIF('TL04'!$C$238:$C$451,$C57,'TL04'!$J$238:$J$451),0),
IF('TL05'!$B$3=N$3,SUMIF('TL05'!$C$10:$C$224,$C57,'TL05'!$J$10:$J$224),0),
IF('TL05'!$B$229=N$3,SUMIF('TL05'!$C$238:$C$451,$C57,'TL05'!$J$238:$J$451),0),
IF('TL06'!$B$3=N$3,SUMIF('TL06'!$C$10:$C$224,$C57,'TL06'!$J$10:$J$224),0),
IF('TL06'!$B$229=N$3,SUMIF('TL06'!$C$238:$C$451,$C57,'TL06'!$J$238:$J$451),0),
IF('TL07'!$B$3=N$3,SUMIF('TL07'!$C$10:$C$224,$C57,'TL07'!$J$10:$J$224),0),
IF('TL07'!$B$229=N$3,SUMIF('TL07'!$C$238:$C$451,$C57,'TL07'!$J$238:$J$451),0),
IF('TL08'!$B$3=N$3,SUMIF('TL08'!$C$10:$C$224,$C57,'TL08'!$J$10:$J$224),0),
IF('TL08'!$B$229=N$3,SUMIF('TL08'!$C$238:$C$451,$C57,'TL08'!$J$238:$J$451),0),
IF('TL09'!$B$3=N$3,SUMIF('TL09'!$C$10:$C$224,$C57,'TL09'!$J$10:$J$224),0),
IF('TL09'!$B$229=N$3,SUMIF('TL09'!$C$238:$C$451,$C57,'TL09'!$J$238:$J$451),0),
IF('TL10'!$B$3=N$3,SUMIF('TL10'!$C$10:$C$224,$C57,'TL10'!$J$10:$J$224),0),
IF('TL10'!$B$229=N$3,SUMIF('TL10'!$C$238:$C$451,$C57,'TL10'!$J$238:$J$451),0),
IF('TL11'!$B$3=N$3,SUMIF('TL11'!$C$10:$C$224,$C57,'TL11'!$J$10:$J$224),0),
IF('TL11'!$B$229=N$3,SUMIF('TL11'!$C$238:$C$451,$C57,'TL11'!$J$238:$J$451),0),
IF('TL12'!$B$3=N$3,SUMIF('TL12'!$C$10:$C$224,$C57,'TL12'!$J$10:$J$224),0),
IF('TL12'!$B$229=N$3,SUMIF('TL12'!$C$238:$C$451,$C57,'TL12'!$J$238:$J$451),0),
IF('TL13'!$B$3=N$3,SUMIF('TL13'!$C$10:$C$224,$C57,'TL13'!$J$10:$J$224),0),
IF('TL13'!$B$229=N$3,SUMIF('TL13'!$C$238:$C$451,$C57,'TL13'!$J$238:$J$451),0),
IF('TL14'!$B$3=N$3,SUMIF('TL14'!$C$10:$C$224,$C57,'TL14'!$J$10:$J$224),0),
IF('TL14'!$B$229=N$3,SUMIF('TL14'!$C$238:$C$451,$C57,'TL14'!$J$238:$J$451),0),
IF('TL15'!$B$3=N$3,SUMIF('TL15'!$C$10:$C$224,$C57,'TL15'!$J$10:$J$224),0),
IF('TL15'!$B$229=N$3,SUMIF('TL15'!$C$238:$C$451,$C57,'TL15'!$J$238:$J$451),0),
IF('TL16'!$B$3=N$3,SUMIF('TL16'!$C$10:$C$224,$C57,'TL16'!$J$10:$J$224),0),
IF('TL16'!$B$229=N$3,SUMIF('TL16'!$C$238:$C$451,$C57,'TL16'!$J$238:$J$451),0),
IF('TL17'!$B$3=N$3,SUMIF('TL17'!$C$10:$C$224,$C57,'TL17'!$J$10:$J$224),0),
IF('TL17'!$B$229=N$3,SUMIF('TL17'!$C$238:$C$451,$C57,'TL17'!$J$238:$J$451),0),
IF('TL18'!$B$3=N$3,SUMIF('TL18'!$C$10:$C$224,$C57,'TL18'!$J$10:$J$224),0),
IF('TL18'!$B$229=N$3,SUMIF('TL18'!$C$238:$C$451,$C57,'TL18'!$J$238:$J$451),0),
IF('TL19'!$B$3=N$3,SUMIF('TL19'!$C$10:$C$224,$C57,'TL19'!$J$10:$J$224),0),
IF('TL19'!$B$229=N$3,SUMIF('TL19'!$C$238:$C$451,$C57,'TL19'!$J$238:$J$451),0)
),0)</f>
        <v/>
      </c>
      <c r="O57" s="9">
        <f>IFERROR(SUM(
IF('TL01'!$B$3=O$3,SUMIF('TL01'!$C$10:$C$224,$C57,'TL01'!$J$10:$J$224),0),
IF('TL01'!$B$229=O$3,SUMIF('TL01'!$C$238:$C$451,$C57,'TL01'!$J$238:$J$451),0),
IF('TL02'!$B$3=O$3,SUMIF('TL02'!$C$10:$C$224,$C57,'TL02'!$J$10:$J$224),0),
IF('TL02'!$B$229=O$3,SUMIF('TL02'!$C$238:$C$451,$C57,'TL02'!$J$238:$J$451),0),
IF('TL03'!$B$3=O$3,SUMIF('TL03'!$C$10:$C$224,$C57,'TL03'!$J$10:$J$224),0),
IF('TL03'!$B$229=O$3,SUMIF('TL03'!$C$238:$C$451,$C57,'TL03'!$J$238:$J$451),0),
IF('TL04'!$B$3=O$3,SUMIF('TL04'!$C$10:$C$224,$C57,'TL04'!$J$10:$J$224),0),
IF('TL04'!$B$229=O$3,SUMIF('TL04'!$C$238:$C$451,$C57,'TL04'!$J$238:$J$451),0),
IF('TL05'!$B$3=O$3,SUMIF('TL05'!$C$10:$C$224,$C57,'TL05'!$J$10:$J$224),0),
IF('TL05'!$B$229=O$3,SUMIF('TL05'!$C$238:$C$451,$C57,'TL05'!$J$238:$J$451),0),
IF('TL06'!$B$3=O$3,SUMIF('TL06'!$C$10:$C$224,$C57,'TL06'!$J$10:$J$224),0),
IF('TL06'!$B$229=O$3,SUMIF('TL06'!$C$238:$C$451,$C57,'TL06'!$J$238:$J$451),0),
IF('TL07'!$B$3=O$3,SUMIF('TL07'!$C$10:$C$224,$C57,'TL07'!$J$10:$J$224),0),
IF('TL07'!$B$229=O$3,SUMIF('TL07'!$C$238:$C$451,$C57,'TL07'!$J$238:$J$451),0),
IF('TL08'!$B$3=O$3,SUMIF('TL08'!$C$10:$C$224,$C57,'TL08'!$J$10:$J$224),0),
IF('TL08'!$B$229=O$3,SUMIF('TL08'!$C$238:$C$451,$C57,'TL08'!$J$238:$J$451),0),
IF('TL09'!$B$3=O$3,SUMIF('TL09'!$C$10:$C$224,$C57,'TL09'!$J$10:$J$224),0),
IF('TL09'!$B$229=O$3,SUMIF('TL09'!$C$238:$C$451,$C57,'TL09'!$J$238:$J$451),0),
IF('TL10'!$B$3=O$3,SUMIF('TL10'!$C$10:$C$224,$C57,'TL10'!$J$10:$J$224),0),
IF('TL10'!$B$229=O$3,SUMIF('TL10'!$C$238:$C$451,$C57,'TL10'!$J$238:$J$451),0),
IF('TL11'!$B$3=O$3,SUMIF('TL11'!$C$10:$C$224,$C57,'TL11'!$J$10:$J$224),0),
IF('TL11'!$B$229=O$3,SUMIF('TL11'!$C$238:$C$451,$C57,'TL11'!$J$238:$J$451),0),
IF('TL12'!$B$3=O$3,SUMIF('TL12'!$C$10:$C$224,$C57,'TL12'!$J$10:$J$224),0),
IF('TL12'!$B$229=O$3,SUMIF('TL12'!$C$238:$C$451,$C57,'TL12'!$J$238:$J$451),0),
IF('TL13'!$B$3=O$3,SUMIF('TL13'!$C$10:$C$224,$C57,'TL13'!$J$10:$J$224),0),
IF('TL13'!$B$229=O$3,SUMIF('TL13'!$C$238:$C$451,$C57,'TL13'!$J$238:$J$451),0),
IF('TL14'!$B$3=O$3,SUMIF('TL14'!$C$10:$C$224,$C57,'TL14'!$J$10:$J$224),0),
IF('TL14'!$B$229=O$3,SUMIF('TL14'!$C$238:$C$451,$C57,'TL14'!$J$238:$J$451),0),
IF('TL15'!$B$3=O$3,SUMIF('TL15'!$C$10:$C$224,$C57,'TL15'!$J$10:$J$224),0),
IF('TL15'!$B$229=O$3,SUMIF('TL15'!$C$238:$C$451,$C57,'TL15'!$J$238:$J$451),0),
IF('TL16'!$B$3=O$3,SUMIF('TL16'!$C$10:$C$224,$C57,'TL16'!$J$10:$J$224),0),
IF('TL16'!$B$229=O$3,SUMIF('TL16'!$C$238:$C$451,$C57,'TL16'!$J$238:$J$451),0),
IF('TL17'!$B$3=O$3,SUMIF('TL17'!$C$10:$C$224,$C57,'TL17'!$J$10:$J$224),0),
IF('TL17'!$B$229=O$3,SUMIF('TL17'!$C$238:$C$451,$C57,'TL17'!$J$238:$J$451),0),
IF('TL18'!$B$3=O$3,SUMIF('TL18'!$C$10:$C$224,$C57,'TL18'!$J$10:$J$224),0),
IF('TL18'!$B$229=O$3,SUMIF('TL18'!$C$238:$C$451,$C57,'TL18'!$J$238:$J$451),0),
IF('TL19'!$B$3=O$3,SUMIF('TL19'!$C$10:$C$224,$C57,'TL19'!$J$10:$J$224),0),
IF('TL19'!$B$229=O$3,SUMIF('TL19'!$C$238:$C$451,$C57,'TL19'!$J$238:$J$451),0)
),0)</f>
        <v/>
      </c>
      <c r="P57" s="9">
        <f>IFERROR(SUM(
IF('TL01'!$B$3=P$3,SUMIF('TL01'!$C$10:$C$224,$C57,'TL01'!$J$10:$J$224),0),
IF('TL01'!$B$229=P$3,SUMIF('TL01'!$C$238:$C$451,$C57,'TL01'!$J$238:$J$451),0),
IF('TL02'!$B$3=P$3,SUMIF('TL02'!$C$10:$C$224,$C57,'TL02'!$J$10:$J$224),0),
IF('TL02'!$B$229=P$3,SUMIF('TL02'!$C$238:$C$451,$C57,'TL02'!$J$238:$J$451),0),
IF('TL03'!$B$3=P$3,SUMIF('TL03'!$C$10:$C$224,$C57,'TL03'!$J$10:$J$224),0),
IF('TL03'!$B$229=P$3,SUMIF('TL03'!$C$238:$C$451,$C57,'TL03'!$J$238:$J$451),0),
IF('TL04'!$B$3=P$3,SUMIF('TL04'!$C$10:$C$224,$C57,'TL04'!$J$10:$J$224),0),
IF('TL04'!$B$229=P$3,SUMIF('TL04'!$C$238:$C$451,$C57,'TL04'!$J$238:$J$451),0),
IF('TL05'!$B$3=P$3,SUMIF('TL05'!$C$10:$C$224,$C57,'TL05'!$J$10:$J$224),0),
IF('TL05'!$B$229=P$3,SUMIF('TL05'!$C$238:$C$451,$C57,'TL05'!$J$238:$J$451),0),
IF('TL06'!$B$3=P$3,SUMIF('TL06'!$C$10:$C$224,$C57,'TL06'!$J$10:$J$224),0),
IF('TL06'!$B$229=P$3,SUMIF('TL06'!$C$238:$C$451,$C57,'TL06'!$J$238:$J$451),0),
IF('TL07'!$B$3=P$3,SUMIF('TL07'!$C$10:$C$224,$C57,'TL07'!$J$10:$J$224),0),
IF('TL07'!$B$229=P$3,SUMIF('TL07'!$C$238:$C$451,$C57,'TL07'!$J$238:$J$451),0),
IF('TL08'!$B$3=P$3,SUMIF('TL08'!$C$10:$C$224,$C57,'TL08'!$J$10:$J$224),0),
IF('TL08'!$B$229=P$3,SUMIF('TL08'!$C$238:$C$451,$C57,'TL08'!$J$238:$J$451),0),
IF('TL09'!$B$3=P$3,SUMIF('TL09'!$C$10:$C$224,$C57,'TL09'!$J$10:$J$224),0),
IF('TL09'!$B$229=P$3,SUMIF('TL09'!$C$238:$C$451,$C57,'TL09'!$J$238:$J$451),0),
IF('TL10'!$B$3=P$3,SUMIF('TL10'!$C$10:$C$224,$C57,'TL10'!$J$10:$J$224),0),
IF('TL10'!$B$229=P$3,SUMIF('TL10'!$C$238:$C$451,$C57,'TL10'!$J$238:$J$451),0),
IF('TL11'!$B$3=P$3,SUMIF('TL11'!$C$10:$C$224,$C57,'TL11'!$J$10:$J$224),0),
IF('TL11'!$B$229=P$3,SUMIF('TL11'!$C$238:$C$451,$C57,'TL11'!$J$238:$J$451),0),
IF('TL12'!$B$3=P$3,SUMIF('TL12'!$C$10:$C$224,$C57,'TL12'!$J$10:$J$224),0),
IF('TL12'!$B$229=P$3,SUMIF('TL12'!$C$238:$C$451,$C57,'TL12'!$J$238:$J$451),0),
IF('TL13'!$B$3=P$3,SUMIF('TL13'!$C$10:$C$224,$C57,'TL13'!$J$10:$J$224),0),
IF('TL13'!$B$229=P$3,SUMIF('TL13'!$C$238:$C$451,$C57,'TL13'!$J$238:$J$451),0),
IF('TL14'!$B$3=P$3,SUMIF('TL14'!$C$10:$C$224,$C57,'TL14'!$J$10:$J$224),0),
IF('TL14'!$B$229=P$3,SUMIF('TL14'!$C$238:$C$451,$C57,'TL14'!$J$238:$J$451),0),
IF('TL15'!$B$3=P$3,SUMIF('TL15'!$C$10:$C$224,$C57,'TL15'!$J$10:$J$224),0),
IF('TL15'!$B$229=P$3,SUMIF('TL15'!$C$238:$C$451,$C57,'TL15'!$J$238:$J$451),0),
IF('TL16'!$B$3=P$3,SUMIF('TL16'!$C$10:$C$224,$C57,'TL16'!$J$10:$J$224),0),
IF('TL16'!$B$229=P$3,SUMIF('TL16'!$C$238:$C$451,$C57,'TL16'!$J$238:$J$451),0),
IF('TL17'!$B$3=P$3,SUMIF('TL17'!$C$10:$C$224,$C57,'TL17'!$J$10:$J$224),0),
IF('TL17'!$B$229=P$3,SUMIF('TL17'!$C$238:$C$451,$C57,'TL17'!$J$238:$J$451),0),
IF('TL18'!$B$3=P$3,SUMIF('TL18'!$C$10:$C$224,$C57,'TL18'!$J$10:$J$224),0),
IF('TL18'!$B$229=P$3,SUMIF('TL18'!$C$238:$C$451,$C57,'TL18'!$J$238:$J$451),0),
IF('TL19'!$B$3=P$3,SUMIF('TL19'!$C$10:$C$224,$C57,'TL19'!$J$10:$J$224),0),
IF('TL19'!$B$229=P$3,SUMIF('TL19'!$C$238:$C$451,$C57,'TL19'!$J$238:$J$451),0)
),0)</f>
        <v/>
      </c>
      <c r="Q57" s="9">
        <f>IFERROR(SUM(
IF('TL01'!$B$3=Q$3,SUMIF('TL01'!$C$10:$C$224,$C57,'TL01'!$J$10:$J$224),0),
IF('TL01'!$B$229=Q$3,SUMIF('TL01'!$C$238:$C$451,$C57,'TL01'!$J$238:$J$451),0),
IF('TL02'!$B$3=Q$3,SUMIF('TL02'!$C$10:$C$224,$C57,'TL02'!$J$10:$J$224),0),
IF('TL02'!$B$229=Q$3,SUMIF('TL02'!$C$238:$C$451,$C57,'TL02'!$J$238:$J$451),0),
IF('TL03'!$B$3=Q$3,SUMIF('TL03'!$C$10:$C$224,$C57,'TL03'!$J$10:$J$224),0),
IF('TL03'!$B$229=Q$3,SUMIF('TL03'!$C$238:$C$451,$C57,'TL03'!$J$238:$J$451),0),
IF('TL04'!$B$3=Q$3,SUMIF('TL04'!$C$10:$C$224,$C57,'TL04'!$J$10:$J$224),0),
IF('TL04'!$B$229=Q$3,SUMIF('TL04'!$C$238:$C$451,$C57,'TL04'!$J$238:$J$451),0),
IF('TL05'!$B$3=Q$3,SUMIF('TL05'!$C$10:$C$224,$C57,'TL05'!$J$10:$J$224),0),
IF('TL05'!$B$229=Q$3,SUMIF('TL05'!$C$238:$C$451,$C57,'TL05'!$J$238:$J$451),0),
IF('TL06'!$B$3=Q$3,SUMIF('TL06'!$C$10:$C$224,$C57,'TL06'!$J$10:$J$224),0),
IF('TL06'!$B$229=Q$3,SUMIF('TL06'!$C$238:$C$451,$C57,'TL06'!$J$238:$J$451),0),
IF('TL07'!$B$3=Q$3,SUMIF('TL07'!$C$10:$C$224,$C57,'TL07'!$J$10:$J$224),0),
IF('TL07'!$B$229=Q$3,SUMIF('TL07'!$C$238:$C$451,$C57,'TL07'!$J$238:$J$451),0),
IF('TL08'!$B$3=Q$3,SUMIF('TL08'!$C$10:$C$224,$C57,'TL08'!$J$10:$J$224),0),
IF('TL08'!$B$229=Q$3,SUMIF('TL08'!$C$238:$C$451,$C57,'TL08'!$J$238:$J$451),0),
IF('TL09'!$B$3=Q$3,SUMIF('TL09'!$C$10:$C$224,$C57,'TL09'!$J$10:$J$224),0),
IF('TL09'!$B$229=Q$3,SUMIF('TL09'!$C$238:$C$451,$C57,'TL09'!$J$238:$J$451),0),
IF('TL10'!$B$3=Q$3,SUMIF('TL10'!$C$10:$C$224,$C57,'TL10'!$J$10:$J$224),0),
IF('TL10'!$B$229=Q$3,SUMIF('TL10'!$C$238:$C$451,$C57,'TL10'!$J$238:$J$451),0),
IF('TL11'!$B$3=Q$3,SUMIF('TL11'!$C$10:$C$224,$C57,'TL11'!$J$10:$J$224),0),
IF('TL11'!$B$229=Q$3,SUMIF('TL11'!$C$238:$C$451,$C57,'TL11'!$J$238:$J$451),0),
IF('TL12'!$B$3=Q$3,SUMIF('TL12'!$C$10:$C$224,$C57,'TL12'!$J$10:$J$224),0),
IF('TL12'!$B$229=Q$3,SUMIF('TL12'!$C$238:$C$451,$C57,'TL12'!$J$238:$J$451),0),
IF('TL13'!$B$3=Q$3,SUMIF('TL13'!$C$10:$C$224,$C57,'TL13'!$J$10:$J$224),0),
IF('TL13'!$B$229=Q$3,SUMIF('TL13'!$C$238:$C$451,$C57,'TL13'!$J$238:$J$451),0),
IF('TL14'!$B$3=Q$3,SUMIF('TL14'!$C$10:$C$224,$C57,'TL14'!$J$10:$J$224),0),
IF('TL14'!$B$229=Q$3,SUMIF('TL14'!$C$238:$C$451,$C57,'TL14'!$J$238:$J$451),0),
IF('TL15'!$B$3=Q$3,SUMIF('TL15'!$C$10:$C$224,$C57,'TL15'!$J$10:$J$224),0),
IF('TL15'!$B$229=Q$3,SUMIF('TL15'!$C$238:$C$451,$C57,'TL15'!$J$238:$J$451),0),
IF('TL16'!$B$3=Q$3,SUMIF('TL16'!$C$10:$C$224,$C57,'TL16'!$J$10:$J$224),0),
IF('TL16'!$B$229=Q$3,SUMIF('TL16'!$C$238:$C$451,$C57,'TL16'!$J$238:$J$451),0),
IF('TL17'!$B$3=Q$3,SUMIF('TL17'!$C$10:$C$224,$C57,'TL17'!$J$10:$J$224),0),
IF('TL17'!$B$229=Q$3,SUMIF('TL17'!$C$238:$C$451,$C57,'TL17'!$J$238:$J$451),0),
IF('TL18'!$B$3=Q$3,SUMIF('TL18'!$C$10:$C$224,$C57,'TL18'!$J$10:$J$224),0),
IF('TL18'!$B$229=Q$3,SUMIF('TL18'!$C$238:$C$451,$C57,'TL18'!$J$238:$J$451),0),
IF('TL19'!$B$3=Q$3,SUMIF('TL19'!$C$10:$C$224,$C57,'TL19'!$J$10:$J$224),0),
IF('TL19'!$B$229=Q$3,SUMIF('TL19'!$C$238:$C$451,$C57,'TL19'!$J$238:$J$451),0)
),0)</f>
        <v/>
      </c>
      <c r="R57" s="9">
        <f>IFERROR(
SUM(
SUMIF('TL01'!C:C,C57,'TL01'!J:J),
SUMIF('TL02'!C:C,C57,'TL02'!J:J),
SUMIF('TL03'!C:C,C57,'TL03'!J:J),
SUMIF('TL04'!C:C,C57,'TL04'!J:J),
SUMIF('TL05'!C:C,C57,'TL05'!J:J),
SUMIF('TL06'!C:C,C57,'TL06'!J:J),
SUMIF('TL07'!C:C,C57,'TL07'!J:J),
SUMIF('TL08'!C:C,C57,'TL08'!J:J),
SUMIF('TL09'!C:C,C57,'TL09'!J:J),
SUMIF('TL10'!C:C,C57,'TL10'!J:J),
SUMIF('TL11'!C:C,C57,'TL11'!J:J),
SUMIF('TL12'!C:C,C57,'TL12'!J:J),
SUMIF('TL13'!C:C,C57,'TL13'!J:J),
SUMIF('TL14'!C:C,C57,'TL14'!J:J),
SUMIF('TL15'!C:C,C57,'TL15'!J:J),
SUMIF('TL16'!C:C,C57,'TL16'!J:J),
SUMIF('TL17'!C:C,C57,'TL17'!J:J),
SUMIF('TL18'!C:C,C57,'TL18'!J:J),SUMIF('TL19'!C:C,C57,'TL19'!J:J))
,0)</f>
        <v/>
      </c>
      <c r="S57" s="17">
        <f>IFERROR(__xludf.DUMMYFUNCTION("IFERROR(VLOOKUP(C57,
IMPORTRANGE(""1wULbzX32WdYsx-lj2U3uUNBBe2INVIRDtcK0d-Dvl90"",
""26-27!C:G""),
5,
FALSE),
"""")"),61.11504000000001)</f>
        <v/>
      </c>
      <c r="T57" s="9" t="n"/>
      <c r="U57" s="92">
        <f>MAX(0,R57-T57)</f>
        <v/>
      </c>
      <c r="V57" s="93">
        <f>U57*S57</f>
        <v/>
      </c>
    </row>
    <row r="58" hidden="1" ht="15.75" customHeight="1" s="297">
      <c r="A58" s="115" t="inlineStr">
        <is>
          <t>CCAB</t>
        </is>
      </c>
      <c r="B58" s="100" t="inlineStr">
        <is>
          <t>FUNGICIDA</t>
        </is>
      </c>
      <c r="C58" s="116" t="inlineStr">
        <is>
          <t>MANCOZEB CCAB 750 WG</t>
        </is>
      </c>
      <c r="D58" s="116" t="inlineStr">
        <is>
          <t>MANCOZEBE</t>
        </is>
      </c>
      <c r="E58" s="116" t="n">
        <v>750</v>
      </c>
      <c r="F58" s="4" t="inlineStr">
        <is>
          <t>L</t>
        </is>
      </c>
      <c r="G58" s="90">
        <f>HYPERLINK("https://www.google.com/search?q=" &amp; C58 &amp; "+bula+agrofit+pdf", "📄 Ver bula")</f>
        <v/>
      </c>
      <c r="H58" s="9">
        <f>IFERROR(__xludf.DUMMYFUNCTION("IFERROR(VLOOKUP(C58,
IMPORTRANGE(""1wULbzX32WdYsx-lj2U3uUNBBe2INVIRDtcK0d-Dvl90"",
""26-27!C:K""),
8,
FALSE),
"""")"),1.5)</f>
        <v/>
      </c>
      <c r="I58" s="117" t="inlineStr">
        <is>
          <t>1x15</t>
        </is>
      </c>
      <c r="J58" s="9">
        <f>IFERROR(SUM(
IF('TL01'!$B$3=J$3,SUMIF('TL01'!$C$10:$C$224,$C58,'TL01'!$J$10:$J$224),0),
IF('TL01'!$B$229=J$3,SUMIF('TL01'!$C$238:$C$451,$C58,'TL01'!$J$238:$J$451),0),
IF('TL02'!$B$3=J$3,SUMIF('TL02'!$C$10:$C$224,$C58,'TL02'!$J$10:$J$224),0),
IF('TL02'!$B$229=J$3,SUMIF('TL02'!$C$238:$C$451,$C58,'TL02'!$J$238:$J$451),0),
IF('TL03'!$B$3=J$3,SUMIF('TL03'!$C$10:$C$224,$C58,'TL03'!$J$10:$J$224),0),
IF('TL03'!$B$229=J$3,SUMIF('TL03'!$C$238:$C$451,$C58,'TL03'!$J$238:$J$451),0),
IF('TL04'!$B$3=J$3,SUMIF('TL04'!$C$10:$C$224,$C58,'TL04'!$J$10:$J$224),0),
IF('TL04'!$B$229=J$3,SUMIF('TL04'!$C$238:$C$451,$C58,'TL04'!$J$238:$J$451),0),
IF('TL05'!$B$3=J$3,SUMIF('TL05'!$C$10:$C$224,$C58,'TL05'!$J$10:$J$224),0),
IF('TL05'!$B$229=J$3,SUMIF('TL05'!$C$238:$C$451,$C58,'TL05'!$J$238:$J$451),0),
IF('TL06'!$B$3=J$3,SUMIF('TL06'!$C$10:$C$224,$C58,'TL06'!$J$10:$J$224),0),
IF('TL06'!$B$229=J$3,SUMIF('TL06'!$C$238:$C$451,$C58,'TL06'!$J$238:$J$451),0),
IF('TL07'!$B$3=J$3,SUMIF('TL07'!$C$10:$C$224,$C58,'TL07'!$J$10:$J$224),0),
IF('TL07'!$B$229=J$3,SUMIF('TL07'!$C$238:$C$451,$C58,'TL07'!$J$238:$J$451),0),
IF('TL08'!$B$3=J$3,SUMIF('TL08'!$C$10:$C$224,$C58,'TL08'!$J$10:$J$224),0),
IF('TL08'!$B$229=J$3,SUMIF('TL08'!$C$238:$C$451,$C58,'TL08'!$J$238:$J$451),0),
IF('TL09'!$B$3=J$3,SUMIF('TL09'!$C$10:$C$224,$C58,'TL09'!$J$10:$J$224),0),
IF('TL09'!$B$229=J$3,SUMIF('TL09'!$C$238:$C$451,$C58,'TL09'!$J$238:$J$451),0),
IF('TL10'!$B$3=J$3,SUMIF('TL10'!$C$10:$C$224,$C58,'TL10'!$J$10:$J$224),0),
IF('TL10'!$B$229=J$3,SUMIF('TL10'!$C$238:$C$451,$C58,'TL10'!$J$238:$J$451),0),
IF('TL11'!$B$3=J$3,SUMIF('TL11'!$C$10:$C$224,$C58,'TL11'!$J$10:$J$224),0),
IF('TL11'!$B$229=J$3,SUMIF('TL11'!$C$238:$C$451,$C58,'TL11'!$J$238:$J$451),0),
IF('TL12'!$B$3=J$3,SUMIF('TL12'!$C$10:$C$224,$C58,'TL12'!$J$10:$J$224),0),
IF('TL12'!$B$229=J$3,SUMIF('TL12'!$C$238:$C$451,$C58,'TL12'!$J$238:$J$451),0),
IF('TL13'!$B$3=J$3,SUMIF('TL13'!$C$10:$C$224,$C58,'TL13'!$J$10:$J$224),0),
IF('TL13'!$B$229=J$3,SUMIF('TL13'!$C$238:$C$451,$C58,'TL13'!$J$238:$J$451),0),
IF('TL14'!$B$3=J$3,SUMIF('TL14'!$C$10:$C$224,$C58,'TL14'!$J$10:$J$224),0),
IF('TL14'!$B$229=J$3,SUMIF('TL14'!$C$238:$C$451,$C58,'TL14'!$J$238:$J$451),0),
IF('TL15'!$B$3=J$3,SUMIF('TL15'!$C$10:$C$224,$C58,'TL15'!$J$10:$J$224),0),
IF('TL15'!$B$229=J$3,SUMIF('TL15'!$C$238:$C$451,$C58,'TL15'!$J$238:$J$451),0),
IF('TL16'!$B$3=J$3,SUMIF('TL16'!$C$10:$C$224,$C58,'TL16'!$J$10:$J$224),0),
IF('TL16'!$B$229=J$3,SUMIF('TL16'!$C$238:$C$451,$C58,'TL16'!$J$238:$J$451),0),
IF('TL17'!$B$3=J$3,SUMIF('TL17'!$C$10:$C$224,$C58,'TL17'!$J$10:$J$224),0),
IF('TL17'!$B$229=J$3,SUMIF('TL17'!$C$238:$C$451,$C58,'TL17'!$J$238:$J$451),0),
IF('TL18'!$B$3=J$3,SUMIF('TL18'!$C$10:$C$224,$C58,'TL18'!$J$10:$J$224),0),
IF('TL18'!$B$229=J$3,SUMIF('TL18'!$C$238:$C$451,$C58,'TL18'!$J$238:$J$451),0),
IF('TL19'!$B$3=J$3,SUMIF('TL19'!$C$10:$C$224,$C58,'TL19'!$J$10:$J$224),0),
IF('TL19'!$B$229=J$3,SUMIF('TL19'!$C$238:$C$451,$C58,'TL19'!$J$238:$J$451),0)
),0)</f>
        <v/>
      </c>
      <c r="K58" s="9">
        <f>IFERROR(SUM(
IF('TL01'!$B$3=K$3,SUMIF('TL01'!$C$10:$C$224,$C58,'TL01'!$J$10:$J$224),0),
IF('TL01'!$B$229=K$3,SUMIF('TL01'!$C$238:$C$451,$C58,'TL01'!$J$238:$J$451),0),
IF('TL02'!$B$3=K$3,SUMIF('TL02'!$C$10:$C$224,$C58,'TL02'!$J$10:$J$224),0),
IF('TL02'!$B$229=K$3,SUMIF('TL02'!$C$238:$C$451,$C58,'TL02'!$J$238:$J$451),0),
IF('TL03'!$B$3=K$3,SUMIF('TL03'!$C$10:$C$224,$C58,'TL03'!$J$10:$J$224),0),
IF('TL03'!$B$229=K$3,SUMIF('TL03'!$C$238:$C$451,$C58,'TL03'!$J$238:$J$451),0),
IF('TL04'!$B$3=K$3,SUMIF('TL04'!$C$10:$C$224,$C58,'TL04'!$J$10:$J$224),0),
IF('TL04'!$B$229=K$3,SUMIF('TL04'!$C$238:$C$451,$C58,'TL04'!$J$238:$J$451),0),
IF('TL05'!$B$3=K$3,SUMIF('TL05'!$C$10:$C$224,$C58,'TL05'!$J$10:$J$224),0),
IF('TL05'!$B$229=K$3,SUMIF('TL05'!$C$238:$C$451,$C58,'TL05'!$J$238:$J$451),0),
IF('TL06'!$B$3=K$3,SUMIF('TL06'!$C$10:$C$224,$C58,'TL06'!$J$10:$J$224),0),
IF('TL06'!$B$229=K$3,SUMIF('TL06'!$C$238:$C$451,$C58,'TL06'!$J$238:$J$451),0),
IF('TL07'!$B$3=K$3,SUMIF('TL07'!$C$10:$C$224,$C58,'TL07'!$J$10:$J$224),0),
IF('TL07'!$B$229=K$3,SUMIF('TL07'!$C$238:$C$451,$C58,'TL07'!$J$238:$J$451),0),
IF('TL08'!$B$3=K$3,SUMIF('TL08'!$C$10:$C$224,$C58,'TL08'!$J$10:$J$224),0),
IF('TL08'!$B$229=K$3,SUMIF('TL08'!$C$238:$C$451,$C58,'TL08'!$J$238:$J$451),0),
IF('TL09'!$B$3=K$3,SUMIF('TL09'!$C$10:$C$224,$C58,'TL09'!$J$10:$J$224),0),
IF('TL09'!$B$229=K$3,SUMIF('TL09'!$C$238:$C$451,$C58,'TL09'!$J$238:$J$451),0),
IF('TL10'!$B$3=K$3,SUMIF('TL10'!$C$10:$C$224,$C58,'TL10'!$J$10:$J$224),0),
IF('TL10'!$B$229=K$3,SUMIF('TL10'!$C$238:$C$451,$C58,'TL10'!$J$238:$J$451),0),
IF('TL11'!$B$3=K$3,SUMIF('TL11'!$C$10:$C$224,$C58,'TL11'!$J$10:$J$224),0),
IF('TL11'!$B$229=K$3,SUMIF('TL11'!$C$238:$C$451,$C58,'TL11'!$J$238:$J$451),0),
IF('TL12'!$B$3=K$3,SUMIF('TL12'!$C$10:$C$224,$C58,'TL12'!$J$10:$J$224),0),
IF('TL12'!$B$229=K$3,SUMIF('TL12'!$C$238:$C$451,$C58,'TL12'!$J$238:$J$451),0),
IF('TL13'!$B$3=K$3,SUMIF('TL13'!$C$10:$C$224,$C58,'TL13'!$J$10:$J$224),0),
IF('TL13'!$B$229=K$3,SUMIF('TL13'!$C$238:$C$451,$C58,'TL13'!$J$238:$J$451),0),
IF('TL14'!$B$3=K$3,SUMIF('TL14'!$C$10:$C$224,$C58,'TL14'!$J$10:$J$224),0),
IF('TL14'!$B$229=K$3,SUMIF('TL14'!$C$238:$C$451,$C58,'TL14'!$J$238:$J$451),0),
IF('TL15'!$B$3=K$3,SUMIF('TL15'!$C$10:$C$224,$C58,'TL15'!$J$10:$J$224),0),
IF('TL15'!$B$229=K$3,SUMIF('TL15'!$C$238:$C$451,$C58,'TL15'!$J$238:$J$451),0),
IF('TL16'!$B$3=K$3,SUMIF('TL16'!$C$10:$C$224,$C58,'TL16'!$J$10:$J$224),0),
IF('TL16'!$B$229=K$3,SUMIF('TL16'!$C$238:$C$451,$C58,'TL16'!$J$238:$J$451),0),
IF('TL17'!$B$3=K$3,SUMIF('TL17'!$C$10:$C$224,$C58,'TL17'!$J$10:$J$224),0),
IF('TL17'!$B$229=K$3,SUMIF('TL17'!$C$238:$C$451,$C58,'TL17'!$J$238:$J$451),0),
IF('TL18'!$B$3=K$3,SUMIF('TL18'!$C$10:$C$224,$C58,'TL18'!$J$10:$J$224),0),
IF('TL18'!$B$229=K$3,SUMIF('TL18'!$C$238:$C$451,$C58,'TL18'!$J$238:$J$451),0),
IF('TL19'!$B$3=K$3,SUMIF('TL19'!$C$10:$C$224,$C58,'TL19'!$J$10:$J$224),0),
IF('TL19'!$B$229=K$3,SUMIF('TL19'!$C$238:$C$451,$C58,'TL19'!$J$238:$J$451),0)
),0)</f>
        <v/>
      </c>
      <c r="L58" s="9">
        <f>IFERROR(SUM(
IF('TL01'!$B$3=L$3,SUMIF('TL01'!$C$10:$C$224,$C58,'TL01'!$J$10:$J$224),0),
IF('TL01'!$B$229=L$3,SUMIF('TL01'!$C$238:$C$451,$C58,'TL01'!$J$238:$J$451),0),
IF('TL02'!$B$3=L$3,SUMIF('TL02'!$C$10:$C$224,$C58,'TL02'!$J$10:$J$224),0),
IF('TL02'!$B$229=L$3,SUMIF('TL02'!$C$238:$C$451,$C58,'TL02'!$J$238:$J$451),0),
IF('TL03'!$B$3=L$3,SUMIF('TL03'!$C$10:$C$224,$C58,'TL03'!$J$10:$J$224),0),
IF('TL03'!$B$229=L$3,SUMIF('TL03'!$C$238:$C$451,$C58,'TL03'!$J$238:$J$451),0),
IF('TL04'!$B$3=L$3,SUMIF('TL04'!$C$10:$C$224,$C58,'TL04'!$J$10:$J$224),0),
IF('TL04'!$B$229=L$3,SUMIF('TL04'!$C$238:$C$451,$C58,'TL04'!$J$238:$J$451),0),
IF('TL05'!$B$3=L$3,SUMIF('TL05'!$C$10:$C$224,$C58,'TL05'!$J$10:$J$224),0),
IF('TL05'!$B$229=L$3,SUMIF('TL05'!$C$238:$C$451,$C58,'TL05'!$J$238:$J$451),0),
IF('TL06'!$B$3=L$3,SUMIF('TL06'!$C$10:$C$224,$C58,'TL06'!$J$10:$J$224),0),
IF('TL06'!$B$229=L$3,SUMIF('TL06'!$C$238:$C$451,$C58,'TL06'!$J$238:$J$451),0),
IF('TL07'!$B$3=L$3,SUMIF('TL07'!$C$10:$C$224,$C58,'TL07'!$J$10:$J$224),0),
IF('TL07'!$B$229=L$3,SUMIF('TL07'!$C$238:$C$451,$C58,'TL07'!$J$238:$J$451),0),
IF('TL08'!$B$3=L$3,SUMIF('TL08'!$C$10:$C$224,$C58,'TL08'!$J$10:$J$224),0),
IF('TL08'!$B$229=L$3,SUMIF('TL08'!$C$238:$C$451,$C58,'TL08'!$J$238:$J$451),0),
IF('TL09'!$B$3=L$3,SUMIF('TL09'!$C$10:$C$224,$C58,'TL09'!$J$10:$J$224),0),
IF('TL09'!$B$229=L$3,SUMIF('TL09'!$C$238:$C$451,$C58,'TL09'!$J$238:$J$451),0),
IF('TL10'!$B$3=L$3,SUMIF('TL10'!$C$10:$C$224,$C58,'TL10'!$J$10:$J$224),0),
IF('TL10'!$B$229=L$3,SUMIF('TL10'!$C$238:$C$451,$C58,'TL10'!$J$238:$J$451),0),
IF('TL11'!$B$3=L$3,SUMIF('TL11'!$C$10:$C$224,$C58,'TL11'!$J$10:$J$224),0),
IF('TL11'!$B$229=L$3,SUMIF('TL11'!$C$238:$C$451,$C58,'TL11'!$J$238:$J$451),0),
IF('TL12'!$B$3=L$3,SUMIF('TL12'!$C$10:$C$224,$C58,'TL12'!$J$10:$J$224),0),
IF('TL12'!$B$229=L$3,SUMIF('TL12'!$C$238:$C$451,$C58,'TL12'!$J$238:$J$451),0),
IF('TL13'!$B$3=L$3,SUMIF('TL13'!$C$10:$C$224,$C58,'TL13'!$J$10:$J$224),0),
IF('TL13'!$B$229=L$3,SUMIF('TL13'!$C$238:$C$451,$C58,'TL13'!$J$238:$J$451),0),
IF('TL14'!$B$3=L$3,SUMIF('TL14'!$C$10:$C$224,$C58,'TL14'!$J$10:$J$224),0),
IF('TL14'!$B$229=L$3,SUMIF('TL14'!$C$238:$C$451,$C58,'TL14'!$J$238:$J$451),0),
IF('TL15'!$B$3=L$3,SUMIF('TL15'!$C$10:$C$224,$C58,'TL15'!$J$10:$J$224),0),
IF('TL15'!$B$229=L$3,SUMIF('TL15'!$C$238:$C$451,$C58,'TL15'!$J$238:$J$451),0),
IF('TL16'!$B$3=L$3,SUMIF('TL16'!$C$10:$C$224,$C58,'TL16'!$J$10:$J$224),0),
IF('TL16'!$B$229=L$3,SUMIF('TL16'!$C$238:$C$451,$C58,'TL16'!$J$238:$J$451),0),
IF('TL17'!$B$3=L$3,SUMIF('TL17'!$C$10:$C$224,$C58,'TL17'!$J$10:$J$224),0),
IF('TL17'!$B$229=L$3,SUMIF('TL17'!$C$238:$C$451,$C58,'TL17'!$J$238:$J$451),0),
IF('TL18'!$B$3=L$3,SUMIF('TL18'!$C$10:$C$224,$C58,'TL18'!$J$10:$J$224),0),
IF('TL18'!$B$229=L$3,SUMIF('TL18'!$C$238:$C$451,$C58,'TL18'!$J$238:$J$451),0),
IF('TL19'!$B$3=L$3,SUMIF('TL19'!$C$10:$C$224,$C58,'TL19'!$J$10:$J$224),0),
IF('TL19'!$B$229=L$3,SUMIF('TL19'!$C$238:$C$451,$C58,'TL19'!$J$238:$J$451),0)
),0)</f>
        <v/>
      </c>
      <c r="M58" s="9">
        <f>IFERROR(SUM(
IF('TL01'!$B$3=M$3,SUMIF('TL01'!$C$10:$C$224,$C58,'TL01'!$J$10:$J$224),0),
IF('TL01'!$B$229=M$3,SUMIF('TL01'!$C$238:$C$451,$C58,'TL01'!$J$238:$J$451),0),
IF('TL02'!$B$3=M$3,SUMIF('TL02'!$C$10:$C$224,$C58,'TL02'!$J$10:$J$224),0),
IF('TL02'!$B$229=M$3,SUMIF('TL02'!$C$238:$C$451,$C58,'TL02'!$J$238:$J$451),0),
IF('TL03'!$B$3=M$3,SUMIF('TL03'!$C$10:$C$224,$C58,'TL03'!$J$10:$J$224),0),
IF('TL03'!$B$229=M$3,SUMIF('TL03'!$C$238:$C$451,$C58,'TL03'!$J$238:$J$451),0),
IF('TL04'!$B$3=M$3,SUMIF('TL04'!$C$10:$C$224,$C58,'TL04'!$J$10:$J$224),0),
IF('TL04'!$B$229=M$3,SUMIF('TL04'!$C$238:$C$451,$C58,'TL04'!$J$238:$J$451),0),
IF('TL05'!$B$3=M$3,SUMIF('TL05'!$C$10:$C$224,$C58,'TL05'!$J$10:$J$224),0),
IF('TL05'!$B$229=M$3,SUMIF('TL05'!$C$238:$C$451,$C58,'TL05'!$J$238:$J$451),0),
IF('TL06'!$B$3=M$3,SUMIF('TL06'!$C$10:$C$224,$C58,'TL06'!$J$10:$J$224),0),
IF('TL06'!$B$229=M$3,SUMIF('TL06'!$C$238:$C$451,$C58,'TL06'!$J$238:$J$451),0),
IF('TL07'!$B$3=M$3,SUMIF('TL07'!$C$10:$C$224,$C58,'TL07'!$J$10:$J$224),0),
IF('TL07'!$B$229=M$3,SUMIF('TL07'!$C$238:$C$451,$C58,'TL07'!$J$238:$J$451),0),
IF('TL08'!$B$3=M$3,SUMIF('TL08'!$C$10:$C$224,$C58,'TL08'!$J$10:$J$224),0),
IF('TL08'!$B$229=M$3,SUMIF('TL08'!$C$238:$C$451,$C58,'TL08'!$J$238:$J$451),0),
IF('TL09'!$B$3=M$3,SUMIF('TL09'!$C$10:$C$224,$C58,'TL09'!$J$10:$J$224),0),
IF('TL09'!$B$229=M$3,SUMIF('TL09'!$C$238:$C$451,$C58,'TL09'!$J$238:$J$451),0),
IF('TL10'!$B$3=M$3,SUMIF('TL10'!$C$10:$C$224,$C58,'TL10'!$J$10:$J$224),0),
IF('TL10'!$B$229=M$3,SUMIF('TL10'!$C$238:$C$451,$C58,'TL10'!$J$238:$J$451),0),
IF('TL11'!$B$3=M$3,SUMIF('TL11'!$C$10:$C$224,$C58,'TL11'!$J$10:$J$224),0),
IF('TL11'!$B$229=M$3,SUMIF('TL11'!$C$238:$C$451,$C58,'TL11'!$J$238:$J$451),0),
IF('TL12'!$B$3=M$3,SUMIF('TL12'!$C$10:$C$224,$C58,'TL12'!$J$10:$J$224),0),
IF('TL12'!$B$229=M$3,SUMIF('TL12'!$C$238:$C$451,$C58,'TL12'!$J$238:$J$451),0),
IF('TL13'!$B$3=M$3,SUMIF('TL13'!$C$10:$C$224,$C58,'TL13'!$J$10:$J$224),0),
IF('TL13'!$B$229=M$3,SUMIF('TL13'!$C$238:$C$451,$C58,'TL13'!$J$238:$J$451),0),
IF('TL14'!$B$3=M$3,SUMIF('TL14'!$C$10:$C$224,$C58,'TL14'!$J$10:$J$224),0),
IF('TL14'!$B$229=M$3,SUMIF('TL14'!$C$238:$C$451,$C58,'TL14'!$J$238:$J$451),0),
IF('TL15'!$B$3=M$3,SUMIF('TL15'!$C$10:$C$224,$C58,'TL15'!$J$10:$J$224),0),
IF('TL15'!$B$229=M$3,SUMIF('TL15'!$C$238:$C$451,$C58,'TL15'!$J$238:$J$451),0),
IF('TL16'!$B$3=M$3,SUMIF('TL16'!$C$10:$C$224,$C58,'TL16'!$J$10:$J$224),0),
IF('TL16'!$B$229=M$3,SUMIF('TL16'!$C$238:$C$451,$C58,'TL16'!$J$238:$J$451),0),
IF('TL17'!$B$3=M$3,SUMIF('TL17'!$C$10:$C$224,$C58,'TL17'!$J$10:$J$224),0),
IF('TL17'!$B$229=M$3,SUMIF('TL17'!$C$238:$C$451,$C58,'TL17'!$J$238:$J$451),0),
IF('TL18'!$B$3=M$3,SUMIF('TL18'!$C$10:$C$224,$C58,'TL18'!$J$10:$J$224),0),
IF('TL18'!$B$229=M$3,SUMIF('TL18'!$C$238:$C$451,$C58,'TL18'!$J$238:$J$451),0),
IF('TL19'!$B$3=M$3,SUMIF('TL19'!$C$10:$C$224,$C58,'TL19'!$J$10:$J$224),0),
IF('TL19'!$B$229=M$3,SUMIF('TL19'!$C$238:$C$451,$C58,'TL19'!$J$238:$J$451),0)
),0)</f>
        <v/>
      </c>
      <c r="N58" s="9">
        <f>IFERROR(SUM(
IF('TL01'!$B$3=N$3,SUMIF('TL01'!$C$10:$C$224,$C58,'TL01'!$J$10:$J$224),0),
IF('TL01'!$B$229=N$3,SUMIF('TL01'!$C$238:$C$451,$C58,'TL01'!$J$238:$J$451),0),
IF('TL02'!$B$3=N$3,SUMIF('TL02'!$C$10:$C$224,$C58,'TL02'!$J$10:$J$224),0),
IF('TL02'!$B$229=N$3,SUMIF('TL02'!$C$238:$C$451,$C58,'TL02'!$J$238:$J$451),0),
IF('TL03'!$B$3=N$3,SUMIF('TL03'!$C$10:$C$224,$C58,'TL03'!$J$10:$J$224),0),
IF('TL03'!$B$229=N$3,SUMIF('TL03'!$C$238:$C$451,$C58,'TL03'!$J$238:$J$451),0),
IF('TL04'!$B$3=N$3,SUMIF('TL04'!$C$10:$C$224,$C58,'TL04'!$J$10:$J$224),0),
IF('TL04'!$B$229=N$3,SUMIF('TL04'!$C$238:$C$451,$C58,'TL04'!$J$238:$J$451),0),
IF('TL05'!$B$3=N$3,SUMIF('TL05'!$C$10:$C$224,$C58,'TL05'!$J$10:$J$224),0),
IF('TL05'!$B$229=N$3,SUMIF('TL05'!$C$238:$C$451,$C58,'TL05'!$J$238:$J$451),0),
IF('TL06'!$B$3=N$3,SUMIF('TL06'!$C$10:$C$224,$C58,'TL06'!$J$10:$J$224),0),
IF('TL06'!$B$229=N$3,SUMIF('TL06'!$C$238:$C$451,$C58,'TL06'!$J$238:$J$451),0),
IF('TL07'!$B$3=N$3,SUMIF('TL07'!$C$10:$C$224,$C58,'TL07'!$J$10:$J$224),0),
IF('TL07'!$B$229=N$3,SUMIF('TL07'!$C$238:$C$451,$C58,'TL07'!$J$238:$J$451),0),
IF('TL08'!$B$3=N$3,SUMIF('TL08'!$C$10:$C$224,$C58,'TL08'!$J$10:$J$224),0),
IF('TL08'!$B$229=N$3,SUMIF('TL08'!$C$238:$C$451,$C58,'TL08'!$J$238:$J$451),0),
IF('TL09'!$B$3=N$3,SUMIF('TL09'!$C$10:$C$224,$C58,'TL09'!$J$10:$J$224),0),
IF('TL09'!$B$229=N$3,SUMIF('TL09'!$C$238:$C$451,$C58,'TL09'!$J$238:$J$451),0),
IF('TL10'!$B$3=N$3,SUMIF('TL10'!$C$10:$C$224,$C58,'TL10'!$J$10:$J$224),0),
IF('TL10'!$B$229=N$3,SUMIF('TL10'!$C$238:$C$451,$C58,'TL10'!$J$238:$J$451),0),
IF('TL11'!$B$3=N$3,SUMIF('TL11'!$C$10:$C$224,$C58,'TL11'!$J$10:$J$224),0),
IF('TL11'!$B$229=N$3,SUMIF('TL11'!$C$238:$C$451,$C58,'TL11'!$J$238:$J$451),0),
IF('TL12'!$B$3=N$3,SUMIF('TL12'!$C$10:$C$224,$C58,'TL12'!$J$10:$J$224),0),
IF('TL12'!$B$229=N$3,SUMIF('TL12'!$C$238:$C$451,$C58,'TL12'!$J$238:$J$451),0),
IF('TL13'!$B$3=N$3,SUMIF('TL13'!$C$10:$C$224,$C58,'TL13'!$J$10:$J$224),0),
IF('TL13'!$B$229=N$3,SUMIF('TL13'!$C$238:$C$451,$C58,'TL13'!$J$238:$J$451),0),
IF('TL14'!$B$3=N$3,SUMIF('TL14'!$C$10:$C$224,$C58,'TL14'!$J$10:$J$224),0),
IF('TL14'!$B$229=N$3,SUMIF('TL14'!$C$238:$C$451,$C58,'TL14'!$J$238:$J$451),0),
IF('TL15'!$B$3=N$3,SUMIF('TL15'!$C$10:$C$224,$C58,'TL15'!$J$10:$J$224),0),
IF('TL15'!$B$229=N$3,SUMIF('TL15'!$C$238:$C$451,$C58,'TL15'!$J$238:$J$451),0),
IF('TL16'!$B$3=N$3,SUMIF('TL16'!$C$10:$C$224,$C58,'TL16'!$J$10:$J$224),0),
IF('TL16'!$B$229=N$3,SUMIF('TL16'!$C$238:$C$451,$C58,'TL16'!$J$238:$J$451),0),
IF('TL17'!$B$3=N$3,SUMIF('TL17'!$C$10:$C$224,$C58,'TL17'!$J$10:$J$224),0),
IF('TL17'!$B$229=N$3,SUMIF('TL17'!$C$238:$C$451,$C58,'TL17'!$J$238:$J$451),0),
IF('TL18'!$B$3=N$3,SUMIF('TL18'!$C$10:$C$224,$C58,'TL18'!$J$10:$J$224),0),
IF('TL18'!$B$229=N$3,SUMIF('TL18'!$C$238:$C$451,$C58,'TL18'!$J$238:$J$451),0),
IF('TL19'!$B$3=N$3,SUMIF('TL19'!$C$10:$C$224,$C58,'TL19'!$J$10:$J$224),0),
IF('TL19'!$B$229=N$3,SUMIF('TL19'!$C$238:$C$451,$C58,'TL19'!$J$238:$J$451),0)
),0)</f>
        <v/>
      </c>
      <c r="O58" s="9">
        <f>IFERROR(SUM(
IF('TL01'!$B$3=O$3,SUMIF('TL01'!$C$10:$C$224,$C58,'TL01'!$J$10:$J$224),0),
IF('TL01'!$B$229=O$3,SUMIF('TL01'!$C$238:$C$451,$C58,'TL01'!$J$238:$J$451),0),
IF('TL02'!$B$3=O$3,SUMIF('TL02'!$C$10:$C$224,$C58,'TL02'!$J$10:$J$224),0),
IF('TL02'!$B$229=O$3,SUMIF('TL02'!$C$238:$C$451,$C58,'TL02'!$J$238:$J$451),0),
IF('TL03'!$B$3=O$3,SUMIF('TL03'!$C$10:$C$224,$C58,'TL03'!$J$10:$J$224),0),
IF('TL03'!$B$229=O$3,SUMIF('TL03'!$C$238:$C$451,$C58,'TL03'!$J$238:$J$451),0),
IF('TL04'!$B$3=O$3,SUMIF('TL04'!$C$10:$C$224,$C58,'TL04'!$J$10:$J$224),0),
IF('TL04'!$B$229=O$3,SUMIF('TL04'!$C$238:$C$451,$C58,'TL04'!$J$238:$J$451),0),
IF('TL05'!$B$3=O$3,SUMIF('TL05'!$C$10:$C$224,$C58,'TL05'!$J$10:$J$224),0),
IF('TL05'!$B$229=O$3,SUMIF('TL05'!$C$238:$C$451,$C58,'TL05'!$J$238:$J$451),0),
IF('TL06'!$B$3=O$3,SUMIF('TL06'!$C$10:$C$224,$C58,'TL06'!$J$10:$J$224),0),
IF('TL06'!$B$229=O$3,SUMIF('TL06'!$C$238:$C$451,$C58,'TL06'!$J$238:$J$451),0),
IF('TL07'!$B$3=O$3,SUMIF('TL07'!$C$10:$C$224,$C58,'TL07'!$J$10:$J$224),0),
IF('TL07'!$B$229=O$3,SUMIF('TL07'!$C$238:$C$451,$C58,'TL07'!$J$238:$J$451),0),
IF('TL08'!$B$3=O$3,SUMIF('TL08'!$C$10:$C$224,$C58,'TL08'!$J$10:$J$224),0),
IF('TL08'!$B$229=O$3,SUMIF('TL08'!$C$238:$C$451,$C58,'TL08'!$J$238:$J$451),0),
IF('TL09'!$B$3=O$3,SUMIF('TL09'!$C$10:$C$224,$C58,'TL09'!$J$10:$J$224),0),
IF('TL09'!$B$229=O$3,SUMIF('TL09'!$C$238:$C$451,$C58,'TL09'!$J$238:$J$451),0),
IF('TL10'!$B$3=O$3,SUMIF('TL10'!$C$10:$C$224,$C58,'TL10'!$J$10:$J$224),0),
IF('TL10'!$B$229=O$3,SUMIF('TL10'!$C$238:$C$451,$C58,'TL10'!$J$238:$J$451),0),
IF('TL11'!$B$3=O$3,SUMIF('TL11'!$C$10:$C$224,$C58,'TL11'!$J$10:$J$224),0),
IF('TL11'!$B$229=O$3,SUMIF('TL11'!$C$238:$C$451,$C58,'TL11'!$J$238:$J$451),0),
IF('TL12'!$B$3=O$3,SUMIF('TL12'!$C$10:$C$224,$C58,'TL12'!$J$10:$J$224),0),
IF('TL12'!$B$229=O$3,SUMIF('TL12'!$C$238:$C$451,$C58,'TL12'!$J$238:$J$451),0),
IF('TL13'!$B$3=O$3,SUMIF('TL13'!$C$10:$C$224,$C58,'TL13'!$J$10:$J$224),0),
IF('TL13'!$B$229=O$3,SUMIF('TL13'!$C$238:$C$451,$C58,'TL13'!$J$238:$J$451),0),
IF('TL14'!$B$3=O$3,SUMIF('TL14'!$C$10:$C$224,$C58,'TL14'!$J$10:$J$224),0),
IF('TL14'!$B$229=O$3,SUMIF('TL14'!$C$238:$C$451,$C58,'TL14'!$J$238:$J$451),0),
IF('TL15'!$B$3=O$3,SUMIF('TL15'!$C$10:$C$224,$C58,'TL15'!$J$10:$J$224),0),
IF('TL15'!$B$229=O$3,SUMIF('TL15'!$C$238:$C$451,$C58,'TL15'!$J$238:$J$451),0),
IF('TL16'!$B$3=O$3,SUMIF('TL16'!$C$10:$C$224,$C58,'TL16'!$J$10:$J$224),0),
IF('TL16'!$B$229=O$3,SUMIF('TL16'!$C$238:$C$451,$C58,'TL16'!$J$238:$J$451),0),
IF('TL17'!$B$3=O$3,SUMIF('TL17'!$C$10:$C$224,$C58,'TL17'!$J$10:$J$224),0),
IF('TL17'!$B$229=O$3,SUMIF('TL17'!$C$238:$C$451,$C58,'TL17'!$J$238:$J$451),0),
IF('TL18'!$B$3=O$3,SUMIF('TL18'!$C$10:$C$224,$C58,'TL18'!$J$10:$J$224),0),
IF('TL18'!$B$229=O$3,SUMIF('TL18'!$C$238:$C$451,$C58,'TL18'!$J$238:$J$451),0),
IF('TL19'!$B$3=O$3,SUMIF('TL19'!$C$10:$C$224,$C58,'TL19'!$J$10:$J$224),0),
IF('TL19'!$B$229=O$3,SUMIF('TL19'!$C$238:$C$451,$C58,'TL19'!$J$238:$J$451),0)
),0)</f>
        <v/>
      </c>
      <c r="P58" s="9">
        <f>IFERROR(SUM(
IF('TL01'!$B$3=P$3,SUMIF('TL01'!$C$10:$C$224,$C58,'TL01'!$J$10:$J$224),0),
IF('TL01'!$B$229=P$3,SUMIF('TL01'!$C$238:$C$451,$C58,'TL01'!$J$238:$J$451),0),
IF('TL02'!$B$3=P$3,SUMIF('TL02'!$C$10:$C$224,$C58,'TL02'!$J$10:$J$224),0),
IF('TL02'!$B$229=P$3,SUMIF('TL02'!$C$238:$C$451,$C58,'TL02'!$J$238:$J$451),0),
IF('TL03'!$B$3=P$3,SUMIF('TL03'!$C$10:$C$224,$C58,'TL03'!$J$10:$J$224),0),
IF('TL03'!$B$229=P$3,SUMIF('TL03'!$C$238:$C$451,$C58,'TL03'!$J$238:$J$451),0),
IF('TL04'!$B$3=P$3,SUMIF('TL04'!$C$10:$C$224,$C58,'TL04'!$J$10:$J$224),0),
IF('TL04'!$B$229=P$3,SUMIF('TL04'!$C$238:$C$451,$C58,'TL04'!$J$238:$J$451),0),
IF('TL05'!$B$3=P$3,SUMIF('TL05'!$C$10:$C$224,$C58,'TL05'!$J$10:$J$224),0),
IF('TL05'!$B$229=P$3,SUMIF('TL05'!$C$238:$C$451,$C58,'TL05'!$J$238:$J$451),0),
IF('TL06'!$B$3=P$3,SUMIF('TL06'!$C$10:$C$224,$C58,'TL06'!$J$10:$J$224),0),
IF('TL06'!$B$229=P$3,SUMIF('TL06'!$C$238:$C$451,$C58,'TL06'!$J$238:$J$451),0),
IF('TL07'!$B$3=P$3,SUMIF('TL07'!$C$10:$C$224,$C58,'TL07'!$J$10:$J$224),0),
IF('TL07'!$B$229=P$3,SUMIF('TL07'!$C$238:$C$451,$C58,'TL07'!$J$238:$J$451),0),
IF('TL08'!$B$3=P$3,SUMIF('TL08'!$C$10:$C$224,$C58,'TL08'!$J$10:$J$224),0),
IF('TL08'!$B$229=P$3,SUMIF('TL08'!$C$238:$C$451,$C58,'TL08'!$J$238:$J$451),0),
IF('TL09'!$B$3=P$3,SUMIF('TL09'!$C$10:$C$224,$C58,'TL09'!$J$10:$J$224),0),
IF('TL09'!$B$229=P$3,SUMIF('TL09'!$C$238:$C$451,$C58,'TL09'!$J$238:$J$451),0),
IF('TL10'!$B$3=P$3,SUMIF('TL10'!$C$10:$C$224,$C58,'TL10'!$J$10:$J$224),0),
IF('TL10'!$B$229=P$3,SUMIF('TL10'!$C$238:$C$451,$C58,'TL10'!$J$238:$J$451),0),
IF('TL11'!$B$3=P$3,SUMIF('TL11'!$C$10:$C$224,$C58,'TL11'!$J$10:$J$224),0),
IF('TL11'!$B$229=P$3,SUMIF('TL11'!$C$238:$C$451,$C58,'TL11'!$J$238:$J$451),0),
IF('TL12'!$B$3=P$3,SUMIF('TL12'!$C$10:$C$224,$C58,'TL12'!$J$10:$J$224),0),
IF('TL12'!$B$229=P$3,SUMIF('TL12'!$C$238:$C$451,$C58,'TL12'!$J$238:$J$451),0),
IF('TL13'!$B$3=P$3,SUMIF('TL13'!$C$10:$C$224,$C58,'TL13'!$J$10:$J$224),0),
IF('TL13'!$B$229=P$3,SUMIF('TL13'!$C$238:$C$451,$C58,'TL13'!$J$238:$J$451),0),
IF('TL14'!$B$3=P$3,SUMIF('TL14'!$C$10:$C$224,$C58,'TL14'!$J$10:$J$224),0),
IF('TL14'!$B$229=P$3,SUMIF('TL14'!$C$238:$C$451,$C58,'TL14'!$J$238:$J$451),0),
IF('TL15'!$B$3=P$3,SUMIF('TL15'!$C$10:$C$224,$C58,'TL15'!$J$10:$J$224),0),
IF('TL15'!$B$229=P$3,SUMIF('TL15'!$C$238:$C$451,$C58,'TL15'!$J$238:$J$451),0),
IF('TL16'!$B$3=P$3,SUMIF('TL16'!$C$10:$C$224,$C58,'TL16'!$J$10:$J$224),0),
IF('TL16'!$B$229=P$3,SUMIF('TL16'!$C$238:$C$451,$C58,'TL16'!$J$238:$J$451),0),
IF('TL17'!$B$3=P$3,SUMIF('TL17'!$C$10:$C$224,$C58,'TL17'!$J$10:$J$224),0),
IF('TL17'!$B$229=P$3,SUMIF('TL17'!$C$238:$C$451,$C58,'TL17'!$J$238:$J$451),0),
IF('TL18'!$B$3=P$3,SUMIF('TL18'!$C$10:$C$224,$C58,'TL18'!$J$10:$J$224),0),
IF('TL18'!$B$229=P$3,SUMIF('TL18'!$C$238:$C$451,$C58,'TL18'!$J$238:$J$451),0),
IF('TL19'!$B$3=P$3,SUMIF('TL19'!$C$10:$C$224,$C58,'TL19'!$J$10:$J$224),0),
IF('TL19'!$B$229=P$3,SUMIF('TL19'!$C$238:$C$451,$C58,'TL19'!$J$238:$J$451),0)
),0)</f>
        <v/>
      </c>
      <c r="Q58" s="9">
        <f>IFERROR(SUM(
IF('TL01'!$B$3=Q$3,SUMIF('TL01'!$C$10:$C$224,$C58,'TL01'!$J$10:$J$224),0),
IF('TL01'!$B$229=Q$3,SUMIF('TL01'!$C$238:$C$451,$C58,'TL01'!$J$238:$J$451),0),
IF('TL02'!$B$3=Q$3,SUMIF('TL02'!$C$10:$C$224,$C58,'TL02'!$J$10:$J$224),0),
IF('TL02'!$B$229=Q$3,SUMIF('TL02'!$C$238:$C$451,$C58,'TL02'!$J$238:$J$451),0),
IF('TL03'!$B$3=Q$3,SUMIF('TL03'!$C$10:$C$224,$C58,'TL03'!$J$10:$J$224),0),
IF('TL03'!$B$229=Q$3,SUMIF('TL03'!$C$238:$C$451,$C58,'TL03'!$J$238:$J$451),0),
IF('TL04'!$B$3=Q$3,SUMIF('TL04'!$C$10:$C$224,$C58,'TL04'!$J$10:$J$224),0),
IF('TL04'!$B$229=Q$3,SUMIF('TL04'!$C$238:$C$451,$C58,'TL04'!$J$238:$J$451),0),
IF('TL05'!$B$3=Q$3,SUMIF('TL05'!$C$10:$C$224,$C58,'TL05'!$J$10:$J$224),0),
IF('TL05'!$B$229=Q$3,SUMIF('TL05'!$C$238:$C$451,$C58,'TL05'!$J$238:$J$451),0),
IF('TL06'!$B$3=Q$3,SUMIF('TL06'!$C$10:$C$224,$C58,'TL06'!$J$10:$J$224),0),
IF('TL06'!$B$229=Q$3,SUMIF('TL06'!$C$238:$C$451,$C58,'TL06'!$J$238:$J$451),0),
IF('TL07'!$B$3=Q$3,SUMIF('TL07'!$C$10:$C$224,$C58,'TL07'!$J$10:$J$224),0),
IF('TL07'!$B$229=Q$3,SUMIF('TL07'!$C$238:$C$451,$C58,'TL07'!$J$238:$J$451),0),
IF('TL08'!$B$3=Q$3,SUMIF('TL08'!$C$10:$C$224,$C58,'TL08'!$J$10:$J$224),0),
IF('TL08'!$B$229=Q$3,SUMIF('TL08'!$C$238:$C$451,$C58,'TL08'!$J$238:$J$451),0),
IF('TL09'!$B$3=Q$3,SUMIF('TL09'!$C$10:$C$224,$C58,'TL09'!$J$10:$J$224),0),
IF('TL09'!$B$229=Q$3,SUMIF('TL09'!$C$238:$C$451,$C58,'TL09'!$J$238:$J$451),0),
IF('TL10'!$B$3=Q$3,SUMIF('TL10'!$C$10:$C$224,$C58,'TL10'!$J$10:$J$224),0),
IF('TL10'!$B$229=Q$3,SUMIF('TL10'!$C$238:$C$451,$C58,'TL10'!$J$238:$J$451),0),
IF('TL11'!$B$3=Q$3,SUMIF('TL11'!$C$10:$C$224,$C58,'TL11'!$J$10:$J$224),0),
IF('TL11'!$B$229=Q$3,SUMIF('TL11'!$C$238:$C$451,$C58,'TL11'!$J$238:$J$451),0),
IF('TL12'!$B$3=Q$3,SUMIF('TL12'!$C$10:$C$224,$C58,'TL12'!$J$10:$J$224),0),
IF('TL12'!$B$229=Q$3,SUMIF('TL12'!$C$238:$C$451,$C58,'TL12'!$J$238:$J$451),0),
IF('TL13'!$B$3=Q$3,SUMIF('TL13'!$C$10:$C$224,$C58,'TL13'!$J$10:$J$224),0),
IF('TL13'!$B$229=Q$3,SUMIF('TL13'!$C$238:$C$451,$C58,'TL13'!$J$238:$J$451),0),
IF('TL14'!$B$3=Q$3,SUMIF('TL14'!$C$10:$C$224,$C58,'TL14'!$J$10:$J$224),0),
IF('TL14'!$B$229=Q$3,SUMIF('TL14'!$C$238:$C$451,$C58,'TL14'!$J$238:$J$451),0),
IF('TL15'!$B$3=Q$3,SUMIF('TL15'!$C$10:$C$224,$C58,'TL15'!$J$10:$J$224),0),
IF('TL15'!$B$229=Q$3,SUMIF('TL15'!$C$238:$C$451,$C58,'TL15'!$J$238:$J$451),0),
IF('TL16'!$B$3=Q$3,SUMIF('TL16'!$C$10:$C$224,$C58,'TL16'!$J$10:$J$224),0),
IF('TL16'!$B$229=Q$3,SUMIF('TL16'!$C$238:$C$451,$C58,'TL16'!$J$238:$J$451),0),
IF('TL17'!$B$3=Q$3,SUMIF('TL17'!$C$10:$C$224,$C58,'TL17'!$J$10:$J$224),0),
IF('TL17'!$B$229=Q$3,SUMIF('TL17'!$C$238:$C$451,$C58,'TL17'!$J$238:$J$451),0),
IF('TL18'!$B$3=Q$3,SUMIF('TL18'!$C$10:$C$224,$C58,'TL18'!$J$10:$J$224),0),
IF('TL18'!$B$229=Q$3,SUMIF('TL18'!$C$238:$C$451,$C58,'TL18'!$J$238:$J$451),0),
IF('TL19'!$B$3=Q$3,SUMIF('TL19'!$C$10:$C$224,$C58,'TL19'!$J$10:$J$224),0),
IF('TL19'!$B$229=Q$3,SUMIF('TL19'!$C$238:$C$451,$C58,'TL19'!$J$238:$J$451),0)
),0)</f>
        <v/>
      </c>
      <c r="R58" s="9">
        <f>IFERROR(
SUM(
SUMIF('TL01'!C:C,C58,'TL01'!J:J),
SUMIF('TL02'!C:C,C58,'TL02'!J:J),
SUMIF('TL03'!C:C,C58,'TL03'!J:J),
SUMIF('TL04'!C:C,C58,'TL04'!J:J),
SUMIF('TL05'!C:C,C58,'TL05'!J:J),
SUMIF('TL06'!C:C,C58,'TL06'!J:J),
SUMIF('TL07'!C:C,C58,'TL07'!J:J),
SUMIF('TL08'!C:C,C58,'TL08'!J:J),
SUMIF('TL09'!C:C,C58,'TL09'!J:J),
SUMIF('TL10'!C:C,C58,'TL10'!J:J),
SUMIF('TL11'!C:C,C58,'TL11'!J:J),
SUMIF('TL12'!C:C,C58,'TL12'!J:J),
SUMIF('TL13'!C:C,C58,'TL13'!J:J),
SUMIF('TL14'!C:C,C58,'TL14'!J:J),
SUMIF('TL15'!C:C,C58,'TL15'!J:J),
SUMIF('TL16'!C:C,C58,'TL16'!J:J),
SUMIF('TL17'!C:C,C58,'TL17'!J:J),
SUMIF('TL18'!C:C,C58,'TL18'!J:J),SUMIF('TL19'!C:C,C58,'TL19'!J:J))
,0)</f>
        <v/>
      </c>
      <c r="S58" s="17">
        <f>IFERROR(__xludf.DUMMYFUNCTION("IFERROR(VLOOKUP(C58,
IMPORTRANGE(""1wULbzX32WdYsx-lj2U3uUNBBe2INVIRDtcK0d-Dvl90"",
""26-27!C:G""),
5,
FALSE),
"""")"),27.681120000000004)</f>
        <v/>
      </c>
      <c r="T58" s="118">
        <f>2580+1100</f>
        <v/>
      </c>
      <c r="U58" s="92">
        <f>MAX(0,R58-T58)</f>
        <v/>
      </c>
      <c r="V58" s="93">
        <f>U58*S58</f>
        <v/>
      </c>
    </row>
    <row r="59" hidden="1" ht="15.75" customHeight="1" s="297">
      <c r="A59" s="111" t="inlineStr">
        <is>
          <t>CORTEVA</t>
        </is>
      </c>
      <c r="B59" s="112" t="inlineStr">
        <is>
          <t>FUNGICIDA</t>
        </is>
      </c>
      <c r="C59" s="113" t="inlineStr">
        <is>
          <t>APROACH POWER</t>
        </is>
      </c>
      <c r="D59" s="113" t="inlineStr">
        <is>
          <t>PICOXISTROBINA + CIPROCONAZOL</t>
        </is>
      </c>
      <c r="E59" s="113" t="inlineStr">
        <is>
          <t>90 + 40</t>
        </is>
      </c>
      <c r="F59" s="4" t="inlineStr">
        <is>
          <t>L</t>
        </is>
      </c>
      <c r="G59" s="90">
        <f>HYPERLINK("https://www.google.com/search?q=" &amp; C59 &amp; "+bula+agrofit+pdf", "📄 Ver bula")</f>
        <v/>
      </c>
      <c r="H59" s="9">
        <f>IFERROR(__xludf.DUMMYFUNCTION("IFERROR(VLOOKUP(C59,
IMPORTRANGE(""1wULbzX32WdYsx-lj2U3uUNBBe2INVIRDtcK0d-Dvl90"",
""26-27!C:K""),
8,
FALSE),
"""")"),0.6)</f>
        <v/>
      </c>
      <c r="I59" s="114" t="inlineStr">
        <is>
          <t>1x20</t>
        </is>
      </c>
      <c r="J59" s="9">
        <f>IFERROR(SUM(
IF('TL01'!$B$3=J$3,SUMIF('TL01'!$C$10:$C$224,$C59,'TL01'!$J$10:$J$224),0),
IF('TL01'!$B$229=J$3,SUMIF('TL01'!$C$238:$C$451,$C59,'TL01'!$J$238:$J$451),0),
IF('TL02'!$B$3=J$3,SUMIF('TL02'!$C$10:$C$224,$C59,'TL02'!$J$10:$J$224),0),
IF('TL02'!$B$229=J$3,SUMIF('TL02'!$C$238:$C$451,$C59,'TL02'!$J$238:$J$451),0),
IF('TL03'!$B$3=J$3,SUMIF('TL03'!$C$10:$C$224,$C59,'TL03'!$J$10:$J$224),0),
IF('TL03'!$B$229=J$3,SUMIF('TL03'!$C$238:$C$451,$C59,'TL03'!$J$238:$J$451),0),
IF('TL04'!$B$3=J$3,SUMIF('TL04'!$C$10:$C$224,$C59,'TL04'!$J$10:$J$224),0),
IF('TL04'!$B$229=J$3,SUMIF('TL04'!$C$238:$C$451,$C59,'TL04'!$J$238:$J$451),0),
IF('TL05'!$B$3=J$3,SUMIF('TL05'!$C$10:$C$224,$C59,'TL05'!$J$10:$J$224),0),
IF('TL05'!$B$229=J$3,SUMIF('TL05'!$C$238:$C$451,$C59,'TL05'!$J$238:$J$451),0),
IF('TL06'!$B$3=J$3,SUMIF('TL06'!$C$10:$C$224,$C59,'TL06'!$J$10:$J$224),0),
IF('TL06'!$B$229=J$3,SUMIF('TL06'!$C$238:$C$451,$C59,'TL06'!$J$238:$J$451),0),
IF('TL07'!$B$3=J$3,SUMIF('TL07'!$C$10:$C$224,$C59,'TL07'!$J$10:$J$224),0),
IF('TL07'!$B$229=J$3,SUMIF('TL07'!$C$238:$C$451,$C59,'TL07'!$J$238:$J$451),0),
IF('TL08'!$B$3=J$3,SUMIF('TL08'!$C$10:$C$224,$C59,'TL08'!$J$10:$J$224),0),
IF('TL08'!$B$229=J$3,SUMIF('TL08'!$C$238:$C$451,$C59,'TL08'!$J$238:$J$451),0),
IF('TL09'!$B$3=J$3,SUMIF('TL09'!$C$10:$C$224,$C59,'TL09'!$J$10:$J$224),0),
IF('TL09'!$B$229=J$3,SUMIF('TL09'!$C$238:$C$451,$C59,'TL09'!$J$238:$J$451),0),
IF('TL10'!$B$3=J$3,SUMIF('TL10'!$C$10:$C$224,$C59,'TL10'!$J$10:$J$224),0),
IF('TL10'!$B$229=J$3,SUMIF('TL10'!$C$238:$C$451,$C59,'TL10'!$J$238:$J$451),0),
IF('TL11'!$B$3=J$3,SUMIF('TL11'!$C$10:$C$224,$C59,'TL11'!$J$10:$J$224),0),
IF('TL11'!$B$229=J$3,SUMIF('TL11'!$C$238:$C$451,$C59,'TL11'!$J$238:$J$451),0),
IF('TL12'!$B$3=J$3,SUMIF('TL12'!$C$10:$C$224,$C59,'TL12'!$J$10:$J$224),0),
IF('TL12'!$B$229=J$3,SUMIF('TL12'!$C$238:$C$451,$C59,'TL12'!$J$238:$J$451),0),
IF('TL13'!$B$3=J$3,SUMIF('TL13'!$C$10:$C$224,$C59,'TL13'!$J$10:$J$224),0),
IF('TL13'!$B$229=J$3,SUMIF('TL13'!$C$238:$C$451,$C59,'TL13'!$J$238:$J$451),0),
IF('TL14'!$B$3=J$3,SUMIF('TL14'!$C$10:$C$224,$C59,'TL14'!$J$10:$J$224),0),
IF('TL14'!$B$229=J$3,SUMIF('TL14'!$C$238:$C$451,$C59,'TL14'!$J$238:$J$451),0),
IF('TL15'!$B$3=J$3,SUMIF('TL15'!$C$10:$C$224,$C59,'TL15'!$J$10:$J$224),0),
IF('TL15'!$B$229=J$3,SUMIF('TL15'!$C$238:$C$451,$C59,'TL15'!$J$238:$J$451),0),
IF('TL16'!$B$3=J$3,SUMIF('TL16'!$C$10:$C$224,$C59,'TL16'!$J$10:$J$224),0),
IF('TL16'!$B$229=J$3,SUMIF('TL16'!$C$238:$C$451,$C59,'TL16'!$J$238:$J$451),0),
IF('TL17'!$B$3=J$3,SUMIF('TL17'!$C$10:$C$224,$C59,'TL17'!$J$10:$J$224),0),
IF('TL17'!$B$229=J$3,SUMIF('TL17'!$C$238:$C$451,$C59,'TL17'!$J$238:$J$451),0),
IF('TL18'!$B$3=J$3,SUMIF('TL18'!$C$10:$C$224,$C59,'TL18'!$J$10:$J$224),0),
IF('TL18'!$B$229=J$3,SUMIF('TL18'!$C$238:$C$451,$C59,'TL18'!$J$238:$J$451),0),
IF('TL19'!$B$3=J$3,SUMIF('TL19'!$C$10:$C$224,$C59,'TL19'!$J$10:$J$224),0),
IF('TL19'!$B$229=J$3,SUMIF('TL19'!$C$238:$C$451,$C59,'TL19'!$J$238:$J$451),0)
),0)</f>
        <v/>
      </c>
      <c r="K59" s="9">
        <f>IFERROR(SUM(
IF('TL01'!$B$3=K$3,SUMIF('TL01'!$C$10:$C$224,$C59,'TL01'!$J$10:$J$224),0),
IF('TL01'!$B$229=K$3,SUMIF('TL01'!$C$238:$C$451,$C59,'TL01'!$J$238:$J$451),0),
IF('TL02'!$B$3=K$3,SUMIF('TL02'!$C$10:$C$224,$C59,'TL02'!$J$10:$J$224),0),
IF('TL02'!$B$229=K$3,SUMIF('TL02'!$C$238:$C$451,$C59,'TL02'!$J$238:$J$451),0),
IF('TL03'!$B$3=K$3,SUMIF('TL03'!$C$10:$C$224,$C59,'TL03'!$J$10:$J$224),0),
IF('TL03'!$B$229=K$3,SUMIF('TL03'!$C$238:$C$451,$C59,'TL03'!$J$238:$J$451),0),
IF('TL04'!$B$3=K$3,SUMIF('TL04'!$C$10:$C$224,$C59,'TL04'!$J$10:$J$224),0),
IF('TL04'!$B$229=K$3,SUMIF('TL04'!$C$238:$C$451,$C59,'TL04'!$J$238:$J$451),0),
IF('TL05'!$B$3=K$3,SUMIF('TL05'!$C$10:$C$224,$C59,'TL05'!$J$10:$J$224),0),
IF('TL05'!$B$229=K$3,SUMIF('TL05'!$C$238:$C$451,$C59,'TL05'!$J$238:$J$451),0),
IF('TL06'!$B$3=K$3,SUMIF('TL06'!$C$10:$C$224,$C59,'TL06'!$J$10:$J$224),0),
IF('TL06'!$B$229=K$3,SUMIF('TL06'!$C$238:$C$451,$C59,'TL06'!$J$238:$J$451),0),
IF('TL07'!$B$3=K$3,SUMIF('TL07'!$C$10:$C$224,$C59,'TL07'!$J$10:$J$224),0),
IF('TL07'!$B$229=K$3,SUMIF('TL07'!$C$238:$C$451,$C59,'TL07'!$J$238:$J$451),0),
IF('TL08'!$B$3=K$3,SUMIF('TL08'!$C$10:$C$224,$C59,'TL08'!$J$10:$J$224),0),
IF('TL08'!$B$229=K$3,SUMIF('TL08'!$C$238:$C$451,$C59,'TL08'!$J$238:$J$451),0),
IF('TL09'!$B$3=K$3,SUMIF('TL09'!$C$10:$C$224,$C59,'TL09'!$J$10:$J$224),0),
IF('TL09'!$B$229=K$3,SUMIF('TL09'!$C$238:$C$451,$C59,'TL09'!$J$238:$J$451),0),
IF('TL10'!$B$3=K$3,SUMIF('TL10'!$C$10:$C$224,$C59,'TL10'!$J$10:$J$224),0),
IF('TL10'!$B$229=K$3,SUMIF('TL10'!$C$238:$C$451,$C59,'TL10'!$J$238:$J$451),0),
IF('TL11'!$B$3=K$3,SUMIF('TL11'!$C$10:$C$224,$C59,'TL11'!$J$10:$J$224),0),
IF('TL11'!$B$229=K$3,SUMIF('TL11'!$C$238:$C$451,$C59,'TL11'!$J$238:$J$451),0),
IF('TL12'!$B$3=K$3,SUMIF('TL12'!$C$10:$C$224,$C59,'TL12'!$J$10:$J$224),0),
IF('TL12'!$B$229=K$3,SUMIF('TL12'!$C$238:$C$451,$C59,'TL12'!$J$238:$J$451),0),
IF('TL13'!$B$3=K$3,SUMIF('TL13'!$C$10:$C$224,$C59,'TL13'!$J$10:$J$224),0),
IF('TL13'!$B$229=K$3,SUMIF('TL13'!$C$238:$C$451,$C59,'TL13'!$J$238:$J$451),0),
IF('TL14'!$B$3=K$3,SUMIF('TL14'!$C$10:$C$224,$C59,'TL14'!$J$10:$J$224),0),
IF('TL14'!$B$229=K$3,SUMIF('TL14'!$C$238:$C$451,$C59,'TL14'!$J$238:$J$451),0),
IF('TL15'!$B$3=K$3,SUMIF('TL15'!$C$10:$C$224,$C59,'TL15'!$J$10:$J$224),0),
IF('TL15'!$B$229=K$3,SUMIF('TL15'!$C$238:$C$451,$C59,'TL15'!$J$238:$J$451),0),
IF('TL16'!$B$3=K$3,SUMIF('TL16'!$C$10:$C$224,$C59,'TL16'!$J$10:$J$224),0),
IF('TL16'!$B$229=K$3,SUMIF('TL16'!$C$238:$C$451,$C59,'TL16'!$J$238:$J$451),0),
IF('TL17'!$B$3=K$3,SUMIF('TL17'!$C$10:$C$224,$C59,'TL17'!$J$10:$J$224),0),
IF('TL17'!$B$229=K$3,SUMIF('TL17'!$C$238:$C$451,$C59,'TL17'!$J$238:$J$451),0),
IF('TL18'!$B$3=K$3,SUMIF('TL18'!$C$10:$C$224,$C59,'TL18'!$J$10:$J$224),0),
IF('TL18'!$B$229=K$3,SUMIF('TL18'!$C$238:$C$451,$C59,'TL18'!$J$238:$J$451),0),
IF('TL19'!$B$3=K$3,SUMIF('TL19'!$C$10:$C$224,$C59,'TL19'!$J$10:$J$224),0),
IF('TL19'!$B$229=K$3,SUMIF('TL19'!$C$238:$C$451,$C59,'TL19'!$J$238:$J$451),0)
),0)</f>
        <v/>
      </c>
      <c r="L59" s="9">
        <f>IFERROR(SUM(
IF('TL01'!$B$3=L$3,SUMIF('TL01'!$C$10:$C$224,$C59,'TL01'!$J$10:$J$224),0),
IF('TL01'!$B$229=L$3,SUMIF('TL01'!$C$238:$C$451,$C59,'TL01'!$J$238:$J$451),0),
IF('TL02'!$B$3=L$3,SUMIF('TL02'!$C$10:$C$224,$C59,'TL02'!$J$10:$J$224),0),
IF('TL02'!$B$229=L$3,SUMIF('TL02'!$C$238:$C$451,$C59,'TL02'!$J$238:$J$451),0),
IF('TL03'!$B$3=L$3,SUMIF('TL03'!$C$10:$C$224,$C59,'TL03'!$J$10:$J$224),0),
IF('TL03'!$B$229=L$3,SUMIF('TL03'!$C$238:$C$451,$C59,'TL03'!$J$238:$J$451),0),
IF('TL04'!$B$3=L$3,SUMIF('TL04'!$C$10:$C$224,$C59,'TL04'!$J$10:$J$224),0),
IF('TL04'!$B$229=L$3,SUMIF('TL04'!$C$238:$C$451,$C59,'TL04'!$J$238:$J$451),0),
IF('TL05'!$B$3=L$3,SUMIF('TL05'!$C$10:$C$224,$C59,'TL05'!$J$10:$J$224),0),
IF('TL05'!$B$229=L$3,SUMIF('TL05'!$C$238:$C$451,$C59,'TL05'!$J$238:$J$451),0),
IF('TL06'!$B$3=L$3,SUMIF('TL06'!$C$10:$C$224,$C59,'TL06'!$J$10:$J$224),0),
IF('TL06'!$B$229=L$3,SUMIF('TL06'!$C$238:$C$451,$C59,'TL06'!$J$238:$J$451),0),
IF('TL07'!$B$3=L$3,SUMIF('TL07'!$C$10:$C$224,$C59,'TL07'!$J$10:$J$224),0),
IF('TL07'!$B$229=L$3,SUMIF('TL07'!$C$238:$C$451,$C59,'TL07'!$J$238:$J$451),0),
IF('TL08'!$B$3=L$3,SUMIF('TL08'!$C$10:$C$224,$C59,'TL08'!$J$10:$J$224),0),
IF('TL08'!$B$229=L$3,SUMIF('TL08'!$C$238:$C$451,$C59,'TL08'!$J$238:$J$451),0),
IF('TL09'!$B$3=L$3,SUMIF('TL09'!$C$10:$C$224,$C59,'TL09'!$J$10:$J$224),0),
IF('TL09'!$B$229=L$3,SUMIF('TL09'!$C$238:$C$451,$C59,'TL09'!$J$238:$J$451),0),
IF('TL10'!$B$3=L$3,SUMIF('TL10'!$C$10:$C$224,$C59,'TL10'!$J$10:$J$224),0),
IF('TL10'!$B$229=L$3,SUMIF('TL10'!$C$238:$C$451,$C59,'TL10'!$J$238:$J$451),0),
IF('TL11'!$B$3=L$3,SUMIF('TL11'!$C$10:$C$224,$C59,'TL11'!$J$10:$J$224),0),
IF('TL11'!$B$229=L$3,SUMIF('TL11'!$C$238:$C$451,$C59,'TL11'!$J$238:$J$451),0),
IF('TL12'!$B$3=L$3,SUMIF('TL12'!$C$10:$C$224,$C59,'TL12'!$J$10:$J$224),0),
IF('TL12'!$B$229=L$3,SUMIF('TL12'!$C$238:$C$451,$C59,'TL12'!$J$238:$J$451),0),
IF('TL13'!$B$3=L$3,SUMIF('TL13'!$C$10:$C$224,$C59,'TL13'!$J$10:$J$224),0),
IF('TL13'!$B$229=L$3,SUMIF('TL13'!$C$238:$C$451,$C59,'TL13'!$J$238:$J$451),0),
IF('TL14'!$B$3=L$3,SUMIF('TL14'!$C$10:$C$224,$C59,'TL14'!$J$10:$J$224),0),
IF('TL14'!$B$229=L$3,SUMIF('TL14'!$C$238:$C$451,$C59,'TL14'!$J$238:$J$451),0),
IF('TL15'!$B$3=L$3,SUMIF('TL15'!$C$10:$C$224,$C59,'TL15'!$J$10:$J$224),0),
IF('TL15'!$B$229=L$3,SUMIF('TL15'!$C$238:$C$451,$C59,'TL15'!$J$238:$J$451),0),
IF('TL16'!$B$3=L$3,SUMIF('TL16'!$C$10:$C$224,$C59,'TL16'!$J$10:$J$224),0),
IF('TL16'!$B$229=L$3,SUMIF('TL16'!$C$238:$C$451,$C59,'TL16'!$J$238:$J$451),0),
IF('TL17'!$B$3=L$3,SUMIF('TL17'!$C$10:$C$224,$C59,'TL17'!$J$10:$J$224),0),
IF('TL17'!$B$229=L$3,SUMIF('TL17'!$C$238:$C$451,$C59,'TL17'!$J$238:$J$451),0),
IF('TL18'!$B$3=L$3,SUMIF('TL18'!$C$10:$C$224,$C59,'TL18'!$J$10:$J$224),0),
IF('TL18'!$B$229=L$3,SUMIF('TL18'!$C$238:$C$451,$C59,'TL18'!$J$238:$J$451),0),
IF('TL19'!$B$3=L$3,SUMIF('TL19'!$C$10:$C$224,$C59,'TL19'!$J$10:$J$224),0),
IF('TL19'!$B$229=L$3,SUMIF('TL19'!$C$238:$C$451,$C59,'TL19'!$J$238:$J$451),0)
),0)</f>
        <v/>
      </c>
      <c r="M59" s="9">
        <f>IFERROR(SUM(
IF('TL01'!$B$3=M$3,SUMIF('TL01'!$C$10:$C$224,$C59,'TL01'!$J$10:$J$224),0),
IF('TL01'!$B$229=M$3,SUMIF('TL01'!$C$238:$C$451,$C59,'TL01'!$J$238:$J$451),0),
IF('TL02'!$B$3=M$3,SUMIF('TL02'!$C$10:$C$224,$C59,'TL02'!$J$10:$J$224),0),
IF('TL02'!$B$229=M$3,SUMIF('TL02'!$C$238:$C$451,$C59,'TL02'!$J$238:$J$451),0),
IF('TL03'!$B$3=M$3,SUMIF('TL03'!$C$10:$C$224,$C59,'TL03'!$J$10:$J$224),0),
IF('TL03'!$B$229=M$3,SUMIF('TL03'!$C$238:$C$451,$C59,'TL03'!$J$238:$J$451),0),
IF('TL04'!$B$3=M$3,SUMIF('TL04'!$C$10:$C$224,$C59,'TL04'!$J$10:$J$224),0),
IF('TL04'!$B$229=M$3,SUMIF('TL04'!$C$238:$C$451,$C59,'TL04'!$J$238:$J$451),0),
IF('TL05'!$B$3=M$3,SUMIF('TL05'!$C$10:$C$224,$C59,'TL05'!$J$10:$J$224),0),
IF('TL05'!$B$229=M$3,SUMIF('TL05'!$C$238:$C$451,$C59,'TL05'!$J$238:$J$451),0),
IF('TL06'!$B$3=M$3,SUMIF('TL06'!$C$10:$C$224,$C59,'TL06'!$J$10:$J$224),0),
IF('TL06'!$B$229=M$3,SUMIF('TL06'!$C$238:$C$451,$C59,'TL06'!$J$238:$J$451),0),
IF('TL07'!$B$3=M$3,SUMIF('TL07'!$C$10:$C$224,$C59,'TL07'!$J$10:$J$224),0),
IF('TL07'!$B$229=M$3,SUMIF('TL07'!$C$238:$C$451,$C59,'TL07'!$J$238:$J$451),0),
IF('TL08'!$B$3=M$3,SUMIF('TL08'!$C$10:$C$224,$C59,'TL08'!$J$10:$J$224),0),
IF('TL08'!$B$229=M$3,SUMIF('TL08'!$C$238:$C$451,$C59,'TL08'!$J$238:$J$451),0),
IF('TL09'!$B$3=M$3,SUMIF('TL09'!$C$10:$C$224,$C59,'TL09'!$J$10:$J$224),0),
IF('TL09'!$B$229=M$3,SUMIF('TL09'!$C$238:$C$451,$C59,'TL09'!$J$238:$J$451),0),
IF('TL10'!$B$3=M$3,SUMIF('TL10'!$C$10:$C$224,$C59,'TL10'!$J$10:$J$224),0),
IF('TL10'!$B$229=M$3,SUMIF('TL10'!$C$238:$C$451,$C59,'TL10'!$J$238:$J$451),0),
IF('TL11'!$B$3=M$3,SUMIF('TL11'!$C$10:$C$224,$C59,'TL11'!$J$10:$J$224),0),
IF('TL11'!$B$229=M$3,SUMIF('TL11'!$C$238:$C$451,$C59,'TL11'!$J$238:$J$451),0),
IF('TL12'!$B$3=M$3,SUMIF('TL12'!$C$10:$C$224,$C59,'TL12'!$J$10:$J$224),0),
IF('TL12'!$B$229=M$3,SUMIF('TL12'!$C$238:$C$451,$C59,'TL12'!$J$238:$J$451),0),
IF('TL13'!$B$3=M$3,SUMIF('TL13'!$C$10:$C$224,$C59,'TL13'!$J$10:$J$224),0),
IF('TL13'!$B$229=M$3,SUMIF('TL13'!$C$238:$C$451,$C59,'TL13'!$J$238:$J$451),0),
IF('TL14'!$B$3=M$3,SUMIF('TL14'!$C$10:$C$224,$C59,'TL14'!$J$10:$J$224),0),
IF('TL14'!$B$229=M$3,SUMIF('TL14'!$C$238:$C$451,$C59,'TL14'!$J$238:$J$451),0),
IF('TL15'!$B$3=M$3,SUMIF('TL15'!$C$10:$C$224,$C59,'TL15'!$J$10:$J$224),0),
IF('TL15'!$B$229=M$3,SUMIF('TL15'!$C$238:$C$451,$C59,'TL15'!$J$238:$J$451),0),
IF('TL16'!$B$3=M$3,SUMIF('TL16'!$C$10:$C$224,$C59,'TL16'!$J$10:$J$224),0),
IF('TL16'!$B$229=M$3,SUMIF('TL16'!$C$238:$C$451,$C59,'TL16'!$J$238:$J$451),0),
IF('TL17'!$B$3=M$3,SUMIF('TL17'!$C$10:$C$224,$C59,'TL17'!$J$10:$J$224),0),
IF('TL17'!$B$229=M$3,SUMIF('TL17'!$C$238:$C$451,$C59,'TL17'!$J$238:$J$451),0),
IF('TL18'!$B$3=M$3,SUMIF('TL18'!$C$10:$C$224,$C59,'TL18'!$J$10:$J$224),0),
IF('TL18'!$B$229=M$3,SUMIF('TL18'!$C$238:$C$451,$C59,'TL18'!$J$238:$J$451),0),
IF('TL19'!$B$3=M$3,SUMIF('TL19'!$C$10:$C$224,$C59,'TL19'!$J$10:$J$224),0),
IF('TL19'!$B$229=M$3,SUMIF('TL19'!$C$238:$C$451,$C59,'TL19'!$J$238:$J$451),0)
),0)</f>
        <v/>
      </c>
      <c r="N59" s="9">
        <f>IFERROR(SUM(
IF('TL01'!$B$3=N$3,SUMIF('TL01'!$C$10:$C$224,$C59,'TL01'!$J$10:$J$224),0),
IF('TL01'!$B$229=N$3,SUMIF('TL01'!$C$238:$C$451,$C59,'TL01'!$J$238:$J$451),0),
IF('TL02'!$B$3=N$3,SUMIF('TL02'!$C$10:$C$224,$C59,'TL02'!$J$10:$J$224),0),
IF('TL02'!$B$229=N$3,SUMIF('TL02'!$C$238:$C$451,$C59,'TL02'!$J$238:$J$451),0),
IF('TL03'!$B$3=N$3,SUMIF('TL03'!$C$10:$C$224,$C59,'TL03'!$J$10:$J$224),0),
IF('TL03'!$B$229=N$3,SUMIF('TL03'!$C$238:$C$451,$C59,'TL03'!$J$238:$J$451),0),
IF('TL04'!$B$3=N$3,SUMIF('TL04'!$C$10:$C$224,$C59,'TL04'!$J$10:$J$224),0),
IF('TL04'!$B$229=N$3,SUMIF('TL04'!$C$238:$C$451,$C59,'TL04'!$J$238:$J$451),0),
IF('TL05'!$B$3=N$3,SUMIF('TL05'!$C$10:$C$224,$C59,'TL05'!$J$10:$J$224),0),
IF('TL05'!$B$229=N$3,SUMIF('TL05'!$C$238:$C$451,$C59,'TL05'!$J$238:$J$451),0),
IF('TL06'!$B$3=N$3,SUMIF('TL06'!$C$10:$C$224,$C59,'TL06'!$J$10:$J$224),0),
IF('TL06'!$B$229=N$3,SUMIF('TL06'!$C$238:$C$451,$C59,'TL06'!$J$238:$J$451),0),
IF('TL07'!$B$3=N$3,SUMIF('TL07'!$C$10:$C$224,$C59,'TL07'!$J$10:$J$224),0),
IF('TL07'!$B$229=N$3,SUMIF('TL07'!$C$238:$C$451,$C59,'TL07'!$J$238:$J$451),0),
IF('TL08'!$B$3=N$3,SUMIF('TL08'!$C$10:$C$224,$C59,'TL08'!$J$10:$J$224),0),
IF('TL08'!$B$229=N$3,SUMIF('TL08'!$C$238:$C$451,$C59,'TL08'!$J$238:$J$451),0),
IF('TL09'!$B$3=N$3,SUMIF('TL09'!$C$10:$C$224,$C59,'TL09'!$J$10:$J$224),0),
IF('TL09'!$B$229=N$3,SUMIF('TL09'!$C$238:$C$451,$C59,'TL09'!$J$238:$J$451),0),
IF('TL10'!$B$3=N$3,SUMIF('TL10'!$C$10:$C$224,$C59,'TL10'!$J$10:$J$224),0),
IF('TL10'!$B$229=N$3,SUMIF('TL10'!$C$238:$C$451,$C59,'TL10'!$J$238:$J$451),0),
IF('TL11'!$B$3=N$3,SUMIF('TL11'!$C$10:$C$224,$C59,'TL11'!$J$10:$J$224),0),
IF('TL11'!$B$229=N$3,SUMIF('TL11'!$C$238:$C$451,$C59,'TL11'!$J$238:$J$451),0),
IF('TL12'!$B$3=N$3,SUMIF('TL12'!$C$10:$C$224,$C59,'TL12'!$J$10:$J$224),0),
IF('TL12'!$B$229=N$3,SUMIF('TL12'!$C$238:$C$451,$C59,'TL12'!$J$238:$J$451),0),
IF('TL13'!$B$3=N$3,SUMIF('TL13'!$C$10:$C$224,$C59,'TL13'!$J$10:$J$224),0),
IF('TL13'!$B$229=N$3,SUMIF('TL13'!$C$238:$C$451,$C59,'TL13'!$J$238:$J$451),0),
IF('TL14'!$B$3=N$3,SUMIF('TL14'!$C$10:$C$224,$C59,'TL14'!$J$10:$J$224),0),
IF('TL14'!$B$229=N$3,SUMIF('TL14'!$C$238:$C$451,$C59,'TL14'!$J$238:$J$451),0),
IF('TL15'!$B$3=N$3,SUMIF('TL15'!$C$10:$C$224,$C59,'TL15'!$J$10:$J$224),0),
IF('TL15'!$B$229=N$3,SUMIF('TL15'!$C$238:$C$451,$C59,'TL15'!$J$238:$J$451),0),
IF('TL16'!$B$3=N$3,SUMIF('TL16'!$C$10:$C$224,$C59,'TL16'!$J$10:$J$224),0),
IF('TL16'!$B$229=N$3,SUMIF('TL16'!$C$238:$C$451,$C59,'TL16'!$J$238:$J$451),0),
IF('TL17'!$B$3=N$3,SUMIF('TL17'!$C$10:$C$224,$C59,'TL17'!$J$10:$J$224),0),
IF('TL17'!$B$229=N$3,SUMIF('TL17'!$C$238:$C$451,$C59,'TL17'!$J$238:$J$451),0),
IF('TL18'!$B$3=N$3,SUMIF('TL18'!$C$10:$C$224,$C59,'TL18'!$J$10:$J$224),0),
IF('TL18'!$B$229=N$3,SUMIF('TL18'!$C$238:$C$451,$C59,'TL18'!$J$238:$J$451),0),
IF('TL19'!$B$3=N$3,SUMIF('TL19'!$C$10:$C$224,$C59,'TL19'!$J$10:$J$224),0),
IF('TL19'!$B$229=N$3,SUMIF('TL19'!$C$238:$C$451,$C59,'TL19'!$J$238:$J$451),0)
),0)</f>
        <v/>
      </c>
      <c r="O59" s="9">
        <f>IFERROR(SUM(
IF('TL01'!$B$3=O$3,SUMIF('TL01'!$C$10:$C$224,$C59,'TL01'!$J$10:$J$224),0),
IF('TL01'!$B$229=O$3,SUMIF('TL01'!$C$238:$C$451,$C59,'TL01'!$J$238:$J$451),0),
IF('TL02'!$B$3=O$3,SUMIF('TL02'!$C$10:$C$224,$C59,'TL02'!$J$10:$J$224),0),
IF('TL02'!$B$229=O$3,SUMIF('TL02'!$C$238:$C$451,$C59,'TL02'!$J$238:$J$451),0),
IF('TL03'!$B$3=O$3,SUMIF('TL03'!$C$10:$C$224,$C59,'TL03'!$J$10:$J$224),0),
IF('TL03'!$B$229=O$3,SUMIF('TL03'!$C$238:$C$451,$C59,'TL03'!$J$238:$J$451),0),
IF('TL04'!$B$3=O$3,SUMIF('TL04'!$C$10:$C$224,$C59,'TL04'!$J$10:$J$224),0),
IF('TL04'!$B$229=O$3,SUMIF('TL04'!$C$238:$C$451,$C59,'TL04'!$J$238:$J$451),0),
IF('TL05'!$B$3=O$3,SUMIF('TL05'!$C$10:$C$224,$C59,'TL05'!$J$10:$J$224),0),
IF('TL05'!$B$229=O$3,SUMIF('TL05'!$C$238:$C$451,$C59,'TL05'!$J$238:$J$451),0),
IF('TL06'!$B$3=O$3,SUMIF('TL06'!$C$10:$C$224,$C59,'TL06'!$J$10:$J$224),0),
IF('TL06'!$B$229=O$3,SUMIF('TL06'!$C$238:$C$451,$C59,'TL06'!$J$238:$J$451),0),
IF('TL07'!$B$3=O$3,SUMIF('TL07'!$C$10:$C$224,$C59,'TL07'!$J$10:$J$224),0),
IF('TL07'!$B$229=O$3,SUMIF('TL07'!$C$238:$C$451,$C59,'TL07'!$J$238:$J$451),0),
IF('TL08'!$B$3=O$3,SUMIF('TL08'!$C$10:$C$224,$C59,'TL08'!$J$10:$J$224),0),
IF('TL08'!$B$229=O$3,SUMIF('TL08'!$C$238:$C$451,$C59,'TL08'!$J$238:$J$451),0),
IF('TL09'!$B$3=O$3,SUMIF('TL09'!$C$10:$C$224,$C59,'TL09'!$J$10:$J$224),0),
IF('TL09'!$B$229=O$3,SUMIF('TL09'!$C$238:$C$451,$C59,'TL09'!$J$238:$J$451),0),
IF('TL10'!$B$3=O$3,SUMIF('TL10'!$C$10:$C$224,$C59,'TL10'!$J$10:$J$224),0),
IF('TL10'!$B$229=O$3,SUMIF('TL10'!$C$238:$C$451,$C59,'TL10'!$J$238:$J$451),0),
IF('TL11'!$B$3=O$3,SUMIF('TL11'!$C$10:$C$224,$C59,'TL11'!$J$10:$J$224),0),
IF('TL11'!$B$229=O$3,SUMIF('TL11'!$C$238:$C$451,$C59,'TL11'!$J$238:$J$451),0),
IF('TL12'!$B$3=O$3,SUMIF('TL12'!$C$10:$C$224,$C59,'TL12'!$J$10:$J$224),0),
IF('TL12'!$B$229=O$3,SUMIF('TL12'!$C$238:$C$451,$C59,'TL12'!$J$238:$J$451),0),
IF('TL13'!$B$3=O$3,SUMIF('TL13'!$C$10:$C$224,$C59,'TL13'!$J$10:$J$224),0),
IF('TL13'!$B$229=O$3,SUMIF('TL13'!$C$238:$C$451,$C59,'TL13'!$J$238:$J$451),0),
IF('TL14'!$B$3=O$3,SUMIF('TL14'!$C$10:$C$224,$C59,'TL14'!$J$10:$J$224),0),
IF('TL14'!$B$229=O$3,SUMIF('TL14'!$C$238:$C$451,$C59,'TL14'!$J$238:$J$451),0),
IF('TL15'!$B$3=O$3,SUMIF('TL15'!$C$10:$C$224,$C59,'TL15'!$J$10:$J$224),0),
IF('TL15'!$B$229=O$3,SUMIF('TL15'!$C$238:$C$451,$C59,'TL15'!$J$238:$J$451),0),
IF('TL16'!$B$3=O$3,SUMIF('TL16'!$C$10:$C$224,$C59,'TL16'!$J$10:$J$224),0),
IF('TL16'!$B$229=O$3,SUMIF('TL16'!$C$238:$C$451,$C59,'TL16'!$J$238:$J$451),0),
IF('TL17'!$B$3=O$3,SUMIF('TL17'!$C$10:$C$224,$C59,'TL17'!$J$10:$J$224),0),
IF('TL17'!$B$229=O$3,SUMIF('TL17'!$C$238:$C$451,$C59,'TL17'!$J$238:$J$451),0),
IF('TL18'!$B$3=O$3,SUMIF('TL18'!$C$10:$C$224,$C59,'TL18'!$J$10:$J$224),0),
IF('TL18'!$B$229=O$3,SUMIF('TL18'!$C$238:$C$451,$C59,'TL18'!$J$238:$J$451),0),
IF('TL19'!$B$3=O$3,SUMIF('TL19'!$C$10:$C$224,$C59,'TL19'!$J$10:$J$224),0),
IF('TL19'!$B$229=O$3,SUMIF('TL19'!$C$238:$C$451,$C59,'TL19'!$J$238:$J$451),0)
),0)</f>
        <v/>
      </c>
      <c r="P59" s="9">
        <f>IFERROR(SUM(
IF('TL01'!$B$3=P$3,SUMIF('TL01'!$C$10:$C$224,$C59,'TL01'!$J$10:$J$224),0),
IF('TL01'!$B$229=P$3,SUMIF('TL01'!$C$238:$C$451,$C59,'TL01'!$J$238:$J$451),0),
IF('TL02'!$B$3=P$3,SUMIF('TL02'!$C$10:$C$224,$C59,'TL02'!$J$10:$J$224),0),
IF('TL02'!$B$229=P$3,SUMIF('TL02'!$C$238:$C$451,$C59,'TL02'!$J$238:$J$451),0),
IF('TL03'!$B$3=P$3,SUMIF('TL03'!$C$10:$C$224,$C59,'TL03'!$J$10:$J$224),0),
IF('TL03'!$B$229=P$3,SUMIF('TL03'!$C$238:$C$451,$C59,'TL03'!$J$238:$J$451),0),
IF('TL04'!$B$3=P$3,SUMIF('TL04'!$C$10:$C$224,$C59,'TL04'!$J$10:$J$224),0),
IF('TL04'!$B$229=P$3,SUMIF('TL04'!$C$238:$C$451,$C59,'TL04'!$J$238:$J$451),0),
IF('TL05'!$B$3=P$3,SUMIF('TL05'!$C$10:$C$224,$C59,'TL05'!$J$10:$J$224),0),
IF('TL05'!$B$229=P$3,SUMIF('TL05'!$C$238:$C$451,$C59,'TL05'!$J$238:$J$451),0),
IF('TL06'!$B$3=P$3,SUMIF('TL06'!$C$10:$C$224,$C59,'TL06'!$J$10:$J$224),0),
IF('TL06'!$B$229=P$3,SUMIF('TL06'!$C$238:$C$451,$C59,'TL06'!$J$238:$J$451),0),
IF('TL07'!$B$3=P$3,SUMIF('TL07'!$C$10:$C$224,$C59,'TL07'!$J$10:$J$224),0),
IF('TL07'!$B$229=P$3,SUMIF('TL07'!$C$238:$C$451,$C59,'TL07'!$J$238:$J$451),0),
IF('TL08'!$B$3=P$3,SUMIF('TL08'!$C$10:$C$224,$C59,'TL08'!$J$10:$J$224),0),
IF('TL08'!$B$229=P$3,SUMIF('TL08'!$C$238:$C$451,$C59,'TL08'!$J$238:$J$451),0),
IF('TL09'!$B$3=P$3,SUMIF('TL09'!$C$10:$C$224,$C59,'TL09'!$J$10:$J$224),0),
IF('TL09'!$B$229=P$3,SUMIF('TL09'!$C$238:$C$451,$C59,'TL09'!$J$238:$J$451),0),
IF('TL10'!$B$3=P$3,SUMIF('TL10'!$C$10:$C$224,$C59,'TL10'!$J$10:$J$224),0),
IF('TL10'!$B$229=P$3,SUMIF('TL10'!$C$238:$C$451,$C59,'TL10'!$J$238:$J$451),0),
IF('TL11'!$B$3=P$3,SUMIF('TL11'!$C$10:$C$224,$C59,'TL11'!$J$10:$J$224),0),
IF('TL11'!$B$229=P$3,SUMIF('TL11'!$C$238:$C$451,$C59,'TL11'!$J$238:$J$451),0),
IF('TL12'!$B$3=P$3,SUMIF('TL12'!$C$10:$C$224,$C59,'TL12'!$J$10:$J$224),0),
IF('TL12'!$B$229=P$3,SUMIF('TL12'!$C$238:$C$451,$C59,'TL12'!$J$238:$J$451),0),
IF('TL13'!$B$3=P$3,SUMIF('TL13'!$C$10:$C$224,$C59,'TL13'!$J$10:$J$224),0),
IF('TL13'!$B$229=P$3,SUMIF('TL13'!$C$238:$C$451,$C59,'TL13'!$J$238:$J$451),0),
IF('TL14'!$B$3=P$3,SUMIF('TL14'!$C$10:$C$224,$C59,'TL14'!$J$10:$J$224),0),
IF('TL14'!$B$229=P$3,SUMIF('TL14'!$C$238:$C$451,$C59,'TL14'!$J$238:$J$451),0),
IF('TL15'!$B$3=P$3,SUMIF('TL15'!$C$10:$C$224,$C59,'TL15'!$J$10:$J$224),0),
IF('TL15'!$B$229=P$3,SUMIF('TL15'!$C$238:$C$451,$C59,'TL15'!$J$238:$J$451),0),
IF('TL16'!$B$3=P$3,SUMIF('TL16'!$C$10:$C$224,$C59,'TL16'!$J$10:$J$224),0),
IF('TL16'!$B$229=P$3,SUMIF('TL16'!$C$238:$C$451,$C59,'TL16'!$J$238:$J$451),0),
IF('TL17'!$B$3=P$3,SUMIF('TL17'!$C$10:$C$224,$C59,'TL17'!$J$10:$J$224),0),
IF('TL17'!$B$229=P$3,SUMIF('TL17'!$C$238:$C$451,$C59,'TL17'!$J$238:$J$451),0),
IF('TL18'!$B$3=P$3,SUMIF('TL18'!$C$10:$C$224,$C59,'TL18'!$J$10:$J$224),0),
IF('TL18'!$B$229=P$3,SUMIF('TL18'!$C$238:$C$451,$C59,'TL18'!$J$238:$J$451),0),
IF('TL19'!$B$3=P$3,SUMIF('TL19'!$C$10:$C$224,$C59,'TL19'!$J$10:$J$224),0),
IF('TL19'!$B$229=P$3,SUMIF('TL19'!$C$238:$C$451,$C59,'TL19'!$J$238:$J$451),0)
),0)</f>
        <v/>
      </c>
      <c r="Q59" s="9">
        <f>IFERROR(SUM(
IF('TL01'!$B$3=Q$3,SUMIF('TL01'!$C$10:$C$224,$C59,'TL01'!$J$10:$J$224),0),
IF('TL01'!$B$229=Q$3,SUMIF('TL01'!$C$238:$C$451,$C59,'TL01'!$J$238:$J$451),0),
IF('TL02'!$B$3=Q$3,SUMIF('TL02'!$C$10:$C$224,$C59,'TL02'!$J$10:$J$224),0),
IF('TL02'!$B$229=Q$3,SUMIF('TL02'!$C$238:$C$451,$C59,'TL02'!$J$238:$J$451),0),
IF('TL03'!$B$3=Q$3,SUMIF('TL03'!$C$10:$C$224,$C59,'TL03'!$J$10:$J$224),0),
IF('TL03'!$B$229=Q$3,SUMIF('TL03'!$C$238:$C$451,$C59,'TL03'!$J$238:$J$451),0),
IF('TL04'!$B$3=Q$3,SUMIF('TL04'!$C$10:$C$224,$C59,'TL04'!$J$10:$J$224),0),
IF('TL04'!$B$229=Q$3,SUMIF('TL04'!$C$238:$C$451,$C59,'TL04'!$J$238:$J$451),0),
IF('TL05'!$B$3=Q$3,SUMIF('TL05'!$C$10:$C$224,$C59,'TL05'!$J$10:$J$224),0),
IF('TL05'!$B$229=Q$3,SUMIF('TL05'!$C$238:$C$451,$C59,'TL05'!$J$238:$J$451),0),
IF('TL06'!$B$3=Q$3,SUMIF('TL06'!$C$10:$C$224,$C59,'TL06'!$J$10:$J$224),0),
IF('TL06'!$B$229=Q$3,SUMIF('TL06'!$C$238:$C$451,$C59,'TL06'!$J$238:$J$451),0),
IF('TL07'!$B$3=Q$3,SUMIF('TL07'!$C$10:$C$224,$C59,'TL07'!$J$10:$J$224),0),
IF('TL07'!$B$229=Q$3,SUMIF('TL07'!$C$238:$C$451,$C59,'TL07'!$J$238:$J$451),0),
IF('TL08'!$B$3=Q$3,SUMIF('TL08'!$C$10:$C$224,$C59,'TL08'!$J$10:$J$224),0),
IF('TL08'!$B$229=Q$3,SUMIF('TL08'!$C$238:$C$451,$C59,'TL08'!$J$238:$J$451),0),
IF('TL09'!$B$3=Q$3,SUMIF('TL09'!$C$10:$C$224,$C59,'TL09'!$J$10:$J$224),0),
IF('TL09'!$B$229=Q$3,SUMIF('TL09'!$C$238:$C$451,$C59,'TL09'!$J$238:$J$451),0),
IF('TL10'!$B$3=Q$3,SUMIF('TL10'!$C$10:$C$224,$C59,'TL10'!$J$10:$J$224),0),
IF('TL10'!$B$229=Q$3,SUMIF('TL10'!$C$238:$C$451,$C59,'TL10'!$J$238:$J$451),0),
IF('TL11'!$B$3=Q$3,SUMIF('TL11'!$C$10:$C$224,$C59,'TL11'!$J$10:$J$224),0),
IF('TL11'!$B$229=Q$3,SUMIF('TL11'!$C$238:$C$451,$C59,'TL11'!$J$238:$J$451),0),
IF('TL12'!$B$3=Q$3,SUMIF('TL12'!$C$10:$C$224,$C59,'TL12'!$J$10:$J$224),0),
IF('TL12'!$B$229=Q$3,SUMIF('TL12'!$C$238:$C$451,$C59,'TL12'!$J$238:$J$451),0),
IF('TL13'!$B$3=Q$3,SUMIF('TL13'!$C$10:$C$224,$C59,'TL13'!$J$10:$J$224),0),
IF('TL13'!$B$229=Q$3,SUMIF('TL13'!$C$238:$C$451,$C59,'TL13'!$J$238:$J$451),0),
IF('TL14'!$B$3=Q$3,SUMIF('TL14'!$C$10:$C$224,$C59,'TL14'!$J$10:$J$224),0),
IF('TL14'!$B$229=Q$3,SUMIF('TL14'!$C$238:$C$451,$C59,'TL14'!$J$238:$J$451),0),
IF('TL15'!$B$3=Q$3,SUMIF('TL15'!$C$10:$C$224,$C59,'TL15'!$J$10:$J$224),0),
IF('TL15'!$B$229=Q$3,SUMIF('TL15'!$C$238:$C$451,$C59,'TL15'!$J$238:$J$451),0),
IF('TL16'!$B$3=Q$3,SUMIF('TL16'!$C$10:$C$224,$C59,'TL16'!$J$10:$J$224),0),
IF('TL16'!$B$229=Q$3,SUMIF('TL16'!$C$238:$C$451,$C59,'TL16'!$J$238:$J$451),0),
IF('TL17'!$B$3=Q$3,SUMIF('TL17'!$C$10:$C$224,$C59,'TL17'!$J$10:$J$224),0),
IF('TL17'!$B$229=Q$3,SUMIF('TL17'!$C$238:$C$451,$C59,'TL17'!$J$238:$J$451),0),
IF('TL18'!$B$3=Q$3,SUMIF('TL18'!$C$10:$C$224,$C59,'TL18'!$J$10:$J$224),0),
IF('TL18'!$B$229=Q$3,SUMIF('TL18'!$C$238:$C$451,$C59,'TL18'!$J$238:$J$451),0),
IF('TL19'!$B$3=Q$3,SUMIF('TL19'!$C$10:$C$224,$C59,'TL19'!$J$10:$J$224),0),
IF('TL19'!$B$229=Q$3,SUMIF('TL19'!$C$238:$C$451,$C59,'TL19'!$J$238:$J$451),0)
),0)</f>
        <v/>
      </c>
      <c r="R59" s="9">
        <f>IFERROR(
SUM(
SUMIF('TL01'!C:C,C59,'TL01'!J:J),
SUMIF('TL02'!C:C,C59,'TL02'!J:J),
SUMIF('TL03'!C:C,C59,'TL03'!J:J),
SUMIF('TL04'!C:C,C59,'TL04'!J:J),
SUMIF('TL05'!C:C,C59,'TL05'!J:J),
SUMIF('TL06'!C:C,C59,'TL06'!J:J),
SUMIF('TL07'!C:C,C59,'TL07'!J:J),
SUMIF('TL08'!C:C,C59,'TL08'!J:J),
SUMIF('TL09'!C:C,C59,'TL09'!J:J),
SUMIF('TL10'!C:C,C59,'TL10'!J:J),
SUMIF('TL11'!C:C,C59,'TL11'!J:J),
SUMIF('TL12'!C:C,C59,'TL12'!J:J),
SUMIF('TL13'!C:C,C59,'TL13'!J:J),
SUMIF('TL14'!C:C,C59,'TL14'!J:J),
SUMIF('TL15'!C:C,C59,'TL15'!J:J),
SUMIF('TL16'!C:C,C59,'TL16'!J:J),
SUMIF('TL17'!C:C,C59,'TL17'!J:J),
SUMIF('TL18'!C:C,C59,'TL18'!J:J),SUMIF('TL19'!C:C,C59,'TL19'!J:J))
,0)</f>
        <v/>
      </c>
      <c r="S59" s="17">
        <f>IFERROR(__xludf.DUMMYFUNCTION("IFERROR(VLOOKUP(C59,
IMPORTRANGE(""1wULbzX32WdYsx-lj2U3uUNBBe2INVIRDtcK0d-Dvl90"",
""26-27!C:G""),
5,
FALSE),
"""")"),65.58192000000001)</f>
        <v/>
      </c>
      <c r="T59" s="9" t="n">
        <v>70</v>
      </c>
      <c r="U59" s="92">
        <f>MAX(0,R59-T59)</f>
        <v/>
      </c>
      <c r="V59" s="93">
        <f>U59*S59</f>
        <v/>
      </c>
    </row>
    <row r="60" hidden="1" ht="15.75" customHeight="1" s="297">
      <c r="A60" s="115" t="inlineStr">
        <is>
          <t>CORTEVA</t>
        </is>
      </c>
      <c r="B60" s="100" t="inlineStr">
        <is>
          <t>FUNGICIDA</t>
        </is>
      </c>
      <c r="C60" s="116" t="inlineStr">
        <is>
          <t>APROACH PREMIUM</t>
        </is>
      </c>
      <c r="D60" s="116" t="inlineStr">
        <is>
          <t>CIPROCONAZOL + PICOXISTROBINA + OXICLORETO DE
 COBRE</t>
        </is>
      </c>
      <c r="E60" s="116" t="inlineStr">
        <is>
          <t>40 + 60 + 420</t>
        </is>
      </c>
      <c r="F60" s="4" t="inlineStr">
        <is>
          <t>L</t>
        </is>
      </c>
      <c r="G60" s="90">
        <f>HYPERLINK("https://www.google.com/search?q=" &amp; C60 &amp; "+bula+agrofit+pdf", "📄 Ver bula")</f>
        <v/>
      </c>
      <c r="H60" s="9">
        <f>IFERROR(__xludf.DUMMYFUNCTION("IFERROR(VLOOKUP(C60,
IMPORTRANGE(""1wULbzX32WdYsx-lj2U3uUNBBe2INVIRDtcK0d-Dvl90"",
""26-27!C:K""),
8,
FALSE),
"""")"),1.0)</f>
        <v/>
      </c>
      <c r="I60" s="117" t="inlineStr">
        <is>
          <t>1x10</t>
        </is>
      </c>
      <c r="J60" s="9">
        <f>IFERROR(SUM(
IF('TL01'!$B$3=J$3,SUMIF('TL01'!$C$10:$C$224,$C60,'TL01'!$J$10:$J$224),0),
IF('TL01'!$B$229=J$3,SUMIF('TL01'!$C$238:$C$451,$C60,'TL01'!$J$238:$J$451),0),
IF('TL02'!$B$3=J$3,SUMIF('TL02'!$C$10:$C$224,$C60,'TL02'!$J$10:$J$224),0),
IF('TL02'!$B$229=J$3,SUMIF('TL02'!$C$238:$C$451,$C60,'TL02'!$J$238:$J$451),0),
IF('TL03'!$B$3=J$3,SUMIF('TL03'!$C$10:$C$224,$C60,'TL03'!$J$10:$J$224),0),
IF('TL03'!$B$229=J$3,SUMIF('TL03'!$C$238:$C$451,$C60,'TL03'!$J$238:$J$451),0),
IF('TL04'!$B$3=J$3,SUMIF('TL04'!$C$10:$C$224,$C60,'TL04'!$J$10:$J$224),0),
IF('TL04'!$B$229=J$3,SUMIF('TL04'!$C$238:$C$451,$C60,'TL04'!$J$238:$J$451),0),
IF('TL05'!$B$3=J$3,SUMIF('TL05'!$C$10:$C$224,$C60,'TL05'!$J$10:$J$224),0),
IF('TL05'!$B$229=J$3,SUMIF('TL05'!$C$238:$C$451,$C60,'TL05'!$J$238:$J$451),0),
IF('TL06'!$B$3=J$3,SUMIF('TL06'!$C$10:$C$224,$C60,'TL06'!$J$10:$J$224),0),
IF('TL06'!$B$229=J$3,SUMIF('TL06'!$C$238:$C$451,$C60,'TL06'!$J$238:$J$451),0),
IF('TL07'!$B$3=J$3,SUMIF('TL07'!$C$10:$C$224,$C60,'TL07'!$J$10:$J$224),0),
IF('TL07'!$B$229=J$3,SUMIF('TL07'!$C$238:$C$451,$C60,'TL07'!$J$238:$J$451),0),
IF('TL08'!$B$3=J$3,SUMIF('TL08'!$C$10:$C$224,$C60,'TL08'!$J$10:$J$224),0),
IF('TL08'!$B$229=J$3,SUMIF('TL08'!$C$238:$C$451,$C60,'TL08'!$J$238:$J$451),0),
IF('TL09'!$B$3=J$3,SUMIF('TL09'!$C$10:$C$224,$C60,'TL09'!$J$10:$J$224),0),
IF('TL09'!$B$229=J$3,SUMIF('TL09'!$C$238:$C$451,$C60,'TL09'!$J$238:$J$451),0),
IF('TL10'!$B$3=J$3,SUMIF('TL10'!$C$10:$C$224,$C60,'TL10'!$J$10:$J$224),0),
IF('TL10'!$B$229=J$3,SUMIF('TL10'!$C$238:$C$451,$C60,'TL10'!$J$238:$J$451),0),
IF('TL11'!$B$3=J$3,SUMIF('TL11'!$C$10:$C$224,$C60,'TL11'!$J$10:$J$224),0),
IF('TL11'!$B$229=J$3,SUMIF('TL11'!$C$238:$C$451,$C60,'TL11'!$J$238:$J$451),0),
IF('TL12'!$B$3=J$3,SUMIF('TL12'!$C$10:$C$224,$C60,'TL12'!$J$10:$J$224),0),
IF('TL12'!$B$229=J$3,SUMIF('TL12'!$C$238:$C$451,$C60,'TL12'!$J$238:$J$451),0),
IF('TL13'!$B$3=J$3,SUMIF('TL13'!$C$10:$C$224,$C60,'TL13'!$J$10:$J$224),0),
IF('TL13'!$B$229=J$3,SUMIF('TL13'!$C$238:$C$451,$C60,'TL13'!$J$238:$J$451),0),
IF('TL14'!$B$3=J$3,SUMIF('TL14'!$C$10:$C$224,$C60,'TL14'!$J$10:$J$224),0),
IF('TL14'!$B$229=J$3,SUMIF('TL14'!$C$238:$C$451,$C60,'TL14'!$J$238:$J$451),0),
IF('TL15'!$B$3=J$3,SUMIF('TL15'!$C$10:$C$224,$C60,'TL15'!$J$10:$J$224),0),
IF('TL15'!$B$229=J$3,SUMIF('TL15'!$C$238:$C$451,$C60,'TL15'!$J$238:$J$451),0),
IF('TL16'!$B$3=J$3,SUMIF('TL16'!$C$10:$C$224,$C60,'TL16'!$J$10:$J$224),0),
IF('TL16'!$B$229=J$3,SUMIF('TL16'!$C$238:$C$451,$C60,'TL16'!$J$238:$J$451),0),
IF('TL17'!$B$3=J$3,SUMIF('TL17'!$C$10:$C$224,$C60,'TL17'!$J$10:$J$224),0),
IF('TL17'!$B$229=J$3,SUMIF('TL17'!$C$238:$C$451,$C60,'TL17'!$J$238:$J$451),0),
IF('TL18'!$B$3=J$3,SUMIF('TL18'!$C$10:$C$224,$C60,'TL18'!$J$10:$J$224),0),
IF('TL18'!$B$229=J$3,SUMIF('TL18'!$C$238:$C$451,$C60,'TL18'!$J$238:$J$451),0),
IF('TL19'!$B$3=J$3,SUMIF('TL19'!$C$10:$C$224,$C60,'TL19'!$J$10:$J$224),0),
IF('TL19'!$B$229=J$3,SUMIF('TL19'!$C$238:$C$451,$C60,'TL19'!$J$238:$J$451),0)
),0)</f>
        <v/>
      </c>
      <c r="K60" s="9">
        <f>IFERROR(SUM(
IF('TL01'!$B$3=K$3,SUMIF('TL01'!$C$10:$C$224,$C60,'TL01'!$J$10:$J$224),0),
IF('TL01'!$B$229=K$3,SUMIF('TL01'!$C$238:$C$451,$C60,'TL01'!$J$238:$J$451),0),
IF('TL02'!$B$3=K$3,SUMIF('TL02'!$C$10:$C$224,$C60,'TL02'!$J$10:$J$224),0),
IF('TL02'!$B$229=K$3,SUMIF('TL02'!$C$238:$C$451,$C60,'TL02'!$J$238:$J$451),0),
IF('TL03'!$B$3=K$3,SUMIF('TL03'!$C$10:$C$224,$C60,'TL03'!$J$10:$J$224),0),
IF('TL03'!$B$229=K$3,SUMIF('TL03'!$C$238:$C$451,$C60,'TL03'!$J$238:$J$451),0),
IF('TL04'!$B$3=K$3,SUMIF('TL04'!$C$10:$C$224,$C60,'TL04'!$J$10:$J$224),0),
IF('TL04'!$B$229=K$3,SUMIF('TL04'!$C$238:$C$451,$C60,'TL04'!$J$238:$J$451),0),
IF('TL05'!$B$3=K$3,SUMIF('TL05'!$C$10:$C$224,$C60,'TL05'!$J$10:$J$224),0),
IF('TL05'!$B$229=K$3,SUMIF('TL05'!$C$238:$C$451,$C60,'TL05'!$J$238:$J$451),0),
IF('TL06'!$B$3=K$3,SUMIF('TL06'!$C$10:$C$224,$C60,'TL06'!$J$10:$J$224),0),
IF('TL06'!$B$229=K$3,SUMIF('TL06'!$C$238:$C$451,$C60,'TL06'!$J$238:$J$451),0),
IF('TL07'!$B$3=K$3,SUMIF('TL07'!$C$10:$C$224,$C60,'TL07'!$J$10:$J$224),0),
IF('TL07'!$B$229=K$3,SUMIF('TL07'!$C$238:$C$451,$C60,'TL07'!$J$238:$J$451),0),
IF('TL08'!$B$3=K$3,SUMIF('TL08'!$C$10:$C$224,$C60,'TL08'!$J$10:$J$224),0),
IF('TL08'!$B$229=K$3,SUMIF('TL08'!$C$238:$C$451,$C60,'TL08'!$J$238:$J$451),0),
IF('TL09'!$B$3=K$3,SUMIF('TL09'!$C$10:$C$224,$C60,'TL09'!$J$10:$J$224),0),
IF('TL09'!$B$229=K$3,SUMIF('TL09'!$C$238:$C$451,$C60,'TL09'!$J$238:$J$451),0),
IF('TL10'!$B$3=K$3,SUMIF('TL10'!$C$10:$C$224,$C60,'TL10'!$J$10:$J$224),0),
IF('TL10'!$B$229=K$3,SUMIF('TL10'!$C$238:$C$451,$C60,'TL10'!$J$238:$J$451),0),
IF('TL11'!$B$3=K$3,SUMIF('TL11'!$C$10:$C$224,$C60,'TL11'!$J$10:$J$224),0),
IF('TL11'!$B$229=K$3,SUMIF('TL11'!$C$238:$C$451,$C60,'TL11'!$J$238:$J$451),0),
IF('TL12'!$B$3=K$3,SUMIF('TL12'!$C$10:$C$224,$C60,'TL12'!$J$10:$J$224),0),
IF('TL12'!$B$229=K$3,SUMIF('TL12'!$C$238:$C$451,$C60,'TL12'!$J$238:$J$451),0),
IF('TL13'!$B$3=K$3,SUMIF('TL13'!$C$10:$C$224,$C60,'TL13'!$J$10:$J$224),0),
IF('TL13'!$B$229=K$3,SUMIF('TL13'!$C$238:$C$451,$C60,'TL13'!$J$238:$J$451),0),
IF('TL14'!$B$3=K$3,SUMIF('TL14'!$C$10:$C$224,$C60,'TL14'!$J$10:$J$224),0),
IF('TL14'!$B$229=K$3,SUMIF('TL14'!$C$238:$C$451,$C60,'TL14'!$J$238:$J$451),0),
IF('TL15'!$B$3=K$3,SUMIF('TL15'!$C$10:$C$224,$C60,'TL15'!$J$10:$J$224),0),
IF('TL15'!$B$229=K$3,SUMIF('TL15'!$C$238:$C$451,$C60,'TL15'!$J$238:$J$451),0),
IF('TL16'!$B$3=K$3,SUMIF('TL16'!$C$10:$C$224,$C60,'TL16'!$J$10:$J$224),0),
IF('TL16'!$B$229=K$3,SUMIF('TL16'!$C$238:$C$451,$C60,'TL16'!$J$238:$J$451),0),
IF('TL17'!$B$3=K$3,SUMIF('TL17'!$C$10:$C$224,$C60,'TL17'!$J$10:$J$224),0),
IF('TL17'!$B$229=K$3,SUMIF('TL17'!$C$238:$C$451,$C60,'TL17'!$J$238:$J$451),0),
IF('TL18'!$B$3=K$3,SUMIF('TL18'!$C$10:$C$224,$C60,'TL18'!$J$10:$J$224),0),
IF('TL18'!$B$229=K$3,SUMIF('TL18'!$C$238:$C$451,$C60,'TL18'!$J$238:$J$451),0),
IF('TL19'!$B$3=K$3,SUMIF('TL19'!$C$10:$C$224,$C60,'TL19'!$J$10:$J$224),0),
IF('TL19'!$B$229=K$3,SUMIF('TL19'!$C$238:$C$451,$C60,'TL19'!$J$238:$J$451),0)
),0)</f>
        <v/>
      </c>
      <c r="L60" s="9">
        <f>IFERROR(SUM(
IF('TL01'!$B$3=L$3,SUMIF('TL01'!$C$10:$C$224,$C60,'TL01'!$J$10:$J$224),0),
IF('TL01'!$B$229=L$3,SUMIF('TL01'!$C$238:$C$451,$C60,'TL01'!$J$238:$J$451),0),
IF('TL02'!$B$3=L$3,SUMIF('TL02'!$C$10:$C$224,$C60,'TL02'!$J$10:$J$224),0),
IF('TL02'!$B$229=L$3,SUMIF('TL02'!$C$238:$C$451,$C60,'TL02'!$J$238:$J$451),0),
IF('TL03'!$B$3=L$3,SUMIF('TL03'!$C$10:$C$224,$C60,'TL03'!$J$10:$J$224),0),
IF('TL03'!$B$229=L$3,SUMIF('TL03'!$C$238:$C$451,$C60,'TL03'!$J$238:$J$451),0),
IF('TL04'!$B$3=L$3,SUMIF('TL04'!$C$10:$C$224,$C60,'TL04'!$J$10:$J$224),0),
IF('TL04'!$B$229=L$3,SUMIF('TL04'!$C$238:$C$451,$C60,'TL04'!$J$238:$J$451),0),
IF('TL05'!$B$3=L$3,SUMIF('TL05'!$C$10:$C$224,$C60,'TL05'!$J$10:$J$224),0),
IF('TL05'!$B$229=L$3,SUMIF('TL05'!$C$238:$C$451,$C60,'TL05'!$J$238:$J$451),0),
IF('TL06'!$B$3=L$3,SUMIF('TL06'!$C$10:$C$224,$C60,'TL06'!$J$10:$J$224),0),
IF('TL06'!$B$229=L$3,SUMIF('TL06'!$C$238:$C$451,$C60,'TL06'!$J$238:$J$451),0),
IF('TL07'!$B$3=L$3,SUMIF('TL07'!$C$10:$C$224,$C60,'TL07'!$J$10:$J$224),0),
IF('TL07'!$B$229=L$3,SUMIF('TL07'!$C$238:$C$451,$C60,'TL07'!$J$238:$J$451),0),
IF('TL08'!$B$3=L$3,SUMIF('TL08'!$C$10:$C$224,$C60,'TL08'!$J$10:$J$224),0),
IF('TL08'!$B$229=L$3,SUMIF('TL08'!$C$238:$C$451,$C60,'TL08'!$J$238:$J$451),0),
IF('TL09'!$B$3=L$3,SUMIF('TL09'!$C$10:$C$224,$C60,'TL09'!$J$10:$J$224),0),
IF('TL09'!$B$229=L$3,SUMIF('TL09'!$C$238:$C$451,$C60,'TL09'!$J$238:$J$451),0),
IF('TL10'!$B$3=L$3,SUMIF('TL10'!$C$10:$C$224,$C60,'TL10'!$J$10:$J$224),0),
IF('TL10'!$B$229=L$3,SUMIF('TL10'!$C$238:$C$451,$C60,'TL10'!$J$238:$J$451),0),
IF('TL11'!$B$3=L$3,SUMIF('TL11'!$C$10:$C$224,$C60,'TL11'!$J$10:$J$224),0),
IF('TL11'!$B$229=L$3,SUMIF('TL11'!$C$238:$C$451,$C60,'TL11'!$J$238:$J$451),0),
IF('TL12'!$B$3=L$3,SUMIF('TL12'!$C$10:$C$224,$C60,'TL12'!$J$10:$J$224),0),
IF('TL12'!$B$229=L$3,SUMIF('TL12'!$C$238:$C$451,$C60,'TL12'!$J$238:$J$451),0),
IF('TL13'!$B$3=L$3,SUMIF('TL13'!$C$10:$C$224,$C60,'TL13'!$J$10:$J$224),0),
IF('TL13'!$B$229=L$3,SUMIF('TL13'!$C$238:$C$451,$C60,'TL13'!$J$238:$J$451),0),
IF('TL14'!$B$3=L$3,SUMIF('TL14'!$C$10:$C$224,$C60,'TL14'!$J$10:$J$224),0),
IF('TL14'!$B$229=L$3,SUMIF('TL14'!$C$238:$C$451,$C60,'TL14'!$J$238:$J$451),0),
IF('TL15'!$B$3=L$3,SUMIF('TL15'!$C$10:$C$224,$C60,'TL15'!$J$10:$J$224),0),
IF('TL15'!$B$229=L$3,SUMIF('TL15'!$C$238:$C$451,$C60,'TL15'!$J$238:$J$451),0),
IF('TL16'!$B$3=L$3,SUMIF('TL16'!$C$10:$C$224,$C60,'TL16'!$J$10:$J$224),0),
IF('TL16'!$B$229=L$3,SUMIF('TL16'!$C$238:$C$451,$C60,'TL16'!$J$238:$J$451),0),
IF('TL17'!$B$3=L$3,SUMIF('TL17'!$C$10:$C$224,$C60,'TL17'!$J$10:$J$224),0),
IF('TL17'!$B$229=L$3,SUMIF('TL17'!$C$238:$C$451,$C60,'TL17'!$J$238:$J$451),0),
IF('TL18'!$B$3=L$3,SUMIF('TL18'!$C$10:$C$224,$C60,'TL18'!$J$10:$J$224),0),
IF('TL18'!$B$229=L$3,SUMIF('TL18'!$C$238:$C$451,$C60,'TL18'!$J$238:$J$451),0),
IF('TL19'!$B$3=L$3,SUMIF('TL19'!$C$10:$C$224,$C60,'TL19'!$J$10:$J$224),0),
IF('TL19'!$B$229=L$3,SUMIF('TL19'!$C$238:$C$451,$C60,'TL19'!$J$238:$J$451),0)
),0)</f>
        <v/>
      </c>
      <c r="M60" s="9">
        <f>IFERROR(SUM(
IF('TL01'!$B$3=M$3,SUMIF('TL01'!$C$10:$C$224,$C60,'TL01'!$J$10:$J$224),0),
IF('TL01'!$B$229=M$3,SUMIF('TL01'!$C$238:$C$451,$C60,'TL01'!$J$238:$J$451),0),
IF('TL02'!$B$3=M$3,SUMIF('TL02'!$C$10:$C$224,$C60,'TL02'!$J$10:$J$224),0),
IF('TL02'!$B$229=M$3,SUMIF('TL02'!$C$238:$C$451,$C60,'TL02'!$J$238:$J$451),0),
IF('TL03'!$B$3=M$3,SUMIF('TL03'!$C$10:$C$224,$C60,'TL03'!$J$10:$J$224),0),
IF('TL03'!$B$229=M$3,SUMIF('TL03'!$C$238:$C$451,$C60,'TL03'!$J$238:$J$451),0),
IF('TL04'!$B$3=M$3,SUMIF('TL04'!$C$10:$C$224,$C60,'TL04'!$J$10:$J$224),0),
IF('TL04'!$B$229=M$3,SUMIF('TL04'!$C$238:$C$451,$C60,'TL04'!$J$238:$J$451),0),
IF('TL05'!$B$3=M$3,SUMIF('TL05'!$C$10:$C$224,$C60,'TL05'!$J$10:$J$224),0),
IF('TL05'!$B$229=M$3,SUMIF('TL05'!$C$238:$C$451,$C60,'TL05'!$J$238:$J$451),0),
IF('TL06'!$B$3=M$3,SUMIF('TL06'!$C$10:$C$224,$C60,'TL06'!$J$10:$J$224),0),
IF('TL06'!$B$229=M$3,SUMIF('TL06'!$C$238:$C$451,$C60,'TL06'!$J$238:$J$451),0),
IF('TL07'!$B$3=M$3,SUMIF('TL07'!$C$10:$C$224,$C60,'TL07'!$J$10:$J$224),0),
IF('TL07'!$B$229=M$3,SUMIF('TL07'!$C$238:$C$451,$C60,'TL07'!$J$238:$J$451),0),
IF('TL08'!$B$3=M$3,SUMIF('TL08'!$C$10:$C$224,$C60,'TL08'!$J$10:$J$224),0),
IF('TL08'!$B$229=M$3,SUMIF('TL08'!$C$238:$C$451,$C60,'TL08'!$J$238:$J$451),0),
IF('TL09'!$B$3=M$3,SUMIF('TL09'!$C$10:$C$224,$C60,'TL09'!$J$10:$J$224),0),
IF('TL09'!$B$229=M$3,SUMIF('TL09'!$C$238:$C$451,$C60,'TL09'!$J$238:$J$451),0),
IF('TL10'!$B$3=M$3,SUMIF('TL10'!$C$10:$C$224,$C60,'TL10'!$J$10:$J$224),0),
IF('TL10'!$B$229=M$3,SUMIF('TL10'!$C$238:$C$451,$C60,'TL10'!$J$238:$J$451),0),
IF('TL11'!$B$3=M$3,SUMIF('TL11'!$C$10:$C$224,$C60,'TL11'!$J$10:$J$224),0),
IF('TL11'!$B$229=M$3,SUMIF('TL11'!$C$238:$C$451,$C60,'TL11'!$J$238:$J$451),0),
IF('TL12'!$B$3=M$3,SUMIF('TL12'!$C$10:$C$224,$C60,'TL12'!$J$10:$J$224),0),
IF('TL12'!$B$229=M$3,SUMIF('TL12'!$C$238:$C$451,$C60,'TL12'!$J$238:$J$451),0),
IF('TL13'!$B$3=M$3,SUMIF('TL13'!$C$10:$C$224,$C60,'TL13'!$J$10:$J$224),0),
IF('TL13'!$B$229=M$3,SUMIF('TL13'!$C$238:$C$451,$C60,'TL13'!$J$238:$J$451),0),
IF('TL14'!$B$3=M$3,SUMIF('TL14'!$C$10:$C$224,$C60,'TL14'!$J$10:$J$224),0),
IF('TL14'!$B$229=M$3,SUMIF('TL14'!$C$238:$C$451,$C60,'TL14'!$J$238:$J$451),0),
IF('TL15'!$B$3=M$3,SUMIF('TL15'!$C$10:$C$224,$C60,'TL15'!$J$10:$J$224),0),
IF('TL15'!$B$229=M$3,SUMIF('TL15'!$C$238:$C$451,$C60,'TL15'!$J$238:$J$451),0),
IF('TL16'!$B$3=M$3,SUMIF('TL16'!$C$10:$C$224,$C60,'TL16'!$J$10:$J$224),0),
IF('TL16'!$B$229=M$3,SUMIF('TL16'!$C$238:$C$451,$C60,'TL16'!$J$238:$J$451),0),
IF('TL17'!$B$3=M$3,SUMIF('TL17'!$C$10:$C$224,$C60,'TL17'!$J$10:$J$224),0),
IF('TL17'!$B$229=M$3,SUMIF('TL17'!$C$238:$C$451,$C60,'TL17'!$J$238:$J$451),0),
IF('TL18'!$B$3=M$3,SUMIF('TL18'!$C$10:$C$224,$C60,'TL18'!$J$10:$J$224),0),
IF('TL18'!$B$229=M$3,SUMIF('TL18'!$C$238:$C$451,$C60,'TL18'!$J$238:$J$451),0),
IF('TL19'!$B$3=M$3,SUMIF('TL19'!$C$10:$C$224,$C60,'TL19'!$J$10:$J$224),0),
IF('TL19'!$B$229=M$3,SUMIF('TL19'!$C$238:$C$451,$C60,'TL19'!$J$238:$J$451),0)
),0)</f>
        <v/>
      </c>
      <c r="N60" s="9">
        <f>IFERROR(SUM(
IF('TL01'!$B$3=N$3,SUMIF('TL01'!$C$10:$C$224,$C60,'TL01'!$J$10:$J$224),0),
IF('TL01'!$B$229=N$3,SUMIF('TL01'!$C$238:$C$451,$C60,'TL01'!$J$238:$J$451),0),
IF('TL02'!$B$3=N$3,SUMIF('TL02'!$C$10:$C$224,$C60,'TL02'!$J$10:$J$224),0),
IF('TL02'!$B$229=N$3,SUMIF('TL02'!$C$238:$C$451,$C60,'TL02'!$J$238:$J$451),0),
IF('TL03'!$B$3=N$3,SUMIF('TL03'!$C$10:$C$224,$C60,'TL03'!$J$10:$J$224),0),
IF('TL03'!$B$229=N$3,SUMIF('TL03'!$C$238:$C$451,$C60,'TL03'!$J$238:$J$451),0),
IF('TL04'!$B$3=N$3,SUMIF('TL04'!$C$10:$C$224,$C60,'TL04'!$J$10:$J$224),0),
IF('TL04'!$B$229=N$3,SUMIF('TL04'!$C$238:$C$451,$C60,'TL04'!$J$238:$J$451),0),
IF('TL05'!$B$3=N$3,SUMIF('TL05'!$C$10:$C$224,$C60,'TL05'!$J$10:$J$224),0),
IF('TL05'!$B$229=N$3,SUMIF('TL05'!$C$238:$C$451,$C60,'TL05'!$J$238:$J$451),0),
IF('TL06'!$B$3=N$3,SUMIF('TL06'!$C$10:$C$224,$C60,'TL06'!$J$10:$J$224),0),
IF('TL06'!$B$229=N$3,SUMIF('TL06'!$C$238:$C$451,$C60,'TL06'!$J$238:$J$451),0),
IF('TL07'!$B$3=N$3,SUMIF('TL07'!$C$10:$C$224,$C60,'TL07'!$J$10:$J$224),0),
IF('TL07'!$B$229=N$3,SUMIF('TL07'!$C$238:$C$451,$C60,'TL07'!$J$238:$J$451),0),
IF('TL08'!$B$3=N$3,SUMIF('TL08'!$C$10:$C$224,$C60,'TL08'!$J$10:$J$224),0),
IF('TL08'!$B$229=N$3,SUMIF('TL08'!$C$238:$C$451,$C60,'TL08'!$J$238:$J$451),0),
IF('TL09'!$B$3=N$3,SUMIF('TL09'!$C$10:$C$224,$C60,'TL09'!$J$10:$J$224),0),
IF('TL09'!$B$229=N$3,SUMIF('TL09'!$C$238:$C$451,$C60,'TL09'!$J$238:$J$451),0),
IF('TL10'!$B$3=N$3,SUMIF('TL10'!$C$10:$C$224,$C60,'TL10'!$J$10:$J$224),0),
IF('TL10'!$B$229=N$3,SUMIF('TL10'!$C$238:$C$451,$C60,'TL10'!$J$238:$J$451),0),
IF('TL11'!$B$3=N$3,SUMIF('TL11'!$C$10:$C$224,$C60,'TL11'!$J$10:$J$224),0),
IF('TL11'!$B$229=N$3,SUMIF('TL11'!$C$238:$C$451,$C60,'TL11'!$J$238:$J$451),0),
IF('TL12'!$B$3=N$3,SUMIF('TL12'!$C$10:$C$224,$C60,'TL12'!$J$10:$J$224),0),
IF('TL12'!$B$229=N$3,SUMIF('TL12'!$C$238:$C$451,$C60,'TL12'!$J$238:$J$451),0),
IF('TL13'!$B$3=N$3,SUMIF('TL13'!$C$10:$C$224,$C60,'TL13'!$J$10:$J$224),0),
IF('TL13'!$B$229=N$3,SUMIF('TL13'!$C$238:$C$451,$C60,'TL13'!$J$238:$J$451),0),
IF('TL14'!$B$3=N$3,SUMIF('TL14'!$C$10:$C$224,$C60,'TL14'!$J$10:$J$224),0),
IF('TL14'!$B$229=N$3,SUMIF('TL14'!$C$238:$C$451,$C60,'TL14'!$J$238:$J$451),0),
IF('TL15'!$B$3=N$3,SUMIF('TL15'!$C$10:$C$224,$C60,'TL15'!$J$10:$J$224),0),
IF('TL15'!$B$229=N$3,SUMIF('TL15'!$C$238:$C$451,$C60,'TL15'!$J$238:$J$451),0),
IF('TL16'!$B$3=N$3,SUMIF('TL16'!$C$10:$C$224,$C60,'TL16'!$J$10:$J$224),0),
IF('TL16'!$B$229=N$3,SUMIF('TL16'!$C$238:$C$451,$C60,'TL16'!$J$238:$J$451),0),
IF('TL17'!$B$3=N$3,SUMIF('TL17'!$C$10:$C$224,$C60,'TL17'!$J$10:$J$224),0),
IF('TL17'!$B$229=N$3,SUMIF('TL17'!$C$238:$C$451,$C60,'TL17'!$J$238:$J$451),0),
IF('TL18'!$B$3=N$3,SUMIF('TL18'!$C$10:$C$224,$C60,'TL18'!$J$10:$J$224),0),
IF('TL18'!$B$229=N$3,SUMIF('TL18'!$C$238:$C$451,$C60,'TL18'!$J$238:$J$451),0),
IF('TL19'!$B$3=N$3,SUMIF('TL19'!$C$10:$C$224,$C60,'TL19'!$J$10:$J$224),0),
IF('TL19'!$B$229=N$3,SUMIF('TL19'!$C$238:$C$451,$C60,'TL19'!$J$238:$J$451),0)
),0)</f>
        <v/>
      </c>
      <c r="O60" s="9">
        <f>IFERROR(SUM(
IF('TL01'!$B$3=O$3,SUMIF('TL01'!$C$10:$C$224,$C60,'TL01'!$J$10:$J$224),0),
IF('TL01'!$B$229=O$3,SUMIF('TL01'!$C$238:$C$451,$C60,'TL01'!$J$238:$J$451),0),
IF('TL02'!$B$3=O$3,SUMIF('TL02'!$C$10:$C$224,$C60,'TL02'!$J$10:$J$224),0),
IF('TL02'!$B$229=O$3,SUMIF('TL02'!$C$238:$C$451,$C60,'TL02'!$J$238:$J$451),0),
IF('TL03'!$B$3=O$3,SUMIF('TL03'!$C$10:$C$224,$C60,'TL03'!$J$10:$J$224),0),
IF('TL03'!$B$229=O$3,SUMIF('TL03'!$C$238:$C$451,$C60,'TL03'!$J$238:$J$451),0),
IF('TL04'!$B$3=O$3,SUMIF('TL04'!$C$10:$C$224,$C60,'TL04'!$J$10:$J$224),0),
IF('TL04'!$B$229=O$3,SUMIF('TL04'!$C$238:$C$451,$C60,'TL04'!$J$238:$J$451),0),
IF('TL05'!$B$3=O$3,SUMIF('TL05'!$C$10:$C$224,$C60,'TL05'!$J$10:$J$224),0),
IF('TL05'!$B$229=O$3,SUMIF('TL05'!$C$238:$C$451,$C60,'TL05'!$J$238:$J$451),0),
IF('TL06'!$B$3=O$3,SUMIF('TL06'!$C$10:$C$224,$C60,'TL06'!$J$10:$J$224),0),
IF('TL06'!$B$229=O$3,SUMIF('TL06'!$C$238:$C$451,$C60,'TL06'!$J$238:$J$451),0),
IF('TL07'!$B$3=O$3,SUMIF('TL07'!$C$10:$C$224,$C60,'TL07'!$J$10:$J$224),0),
IF('TL07'!$B$229=O$3,SUMIF('TL07'!$C$238:$C$451,$C60,'TL07'!$J$238:$J$451),0),
IF('TL08'!$B$3=O$3,SUMIF('TL08'!$C$10:$C$224,$C60,'TL08'!$J$10:$J$224),0),
IF('TL08'!$B$229=O$3,SUMIF('TL08'!$C$238:$C$451,$C60,'TL08'!$J$238:$J$451),0),
IF('TL09'!$B$3=O$3,SUMIF('TL09'!$C$10:$C$224,$C60,'TL09'!$J$10:$J$224),0),
IF('TL09'!$B$229=O$3,SUMIF('TL09'!$C$238:$C$451,$C60,'TL09'!$J$238:$J$451),0),
IF('TL10'!$B$3=O$3,SUMIF('TL10'!$C$10:$C$224,$C60,'TL10'!$J$10:$J$224),0),
IF('TL10'!$B$229=O$3,SUMIF('TL10'!$C$238:$C$451,$C60,'TL10'!$J$238:$J$451),0),
IF('TL11'!$B$3=O$3,SUMIF('TL11'!$C$10:$C$224,$C60,'TL11'!$J$10:$J$224),0),
IF('TL11'!$B$229=O$3,SUMIF('TL11'!$C$238:$C$451,$C60,'TL11'!$J$238:$J$451),0),
IF('TL12'!$B$3=O$3,SUMIF('TL12'!$C$10:$C$224,$C60,'TL12'!$J$10:$J$224),0),
IF('TL12'!$B$229=O$3,SUMIF('TL12'!$C$238:$C$451,$C60,'TL12'!$J$238:$J$451),0),
IF('TL13'!$B$3=O$3,SUMIF('TL13'!$C$10:$C$224,$C60,'TL13'!$J$10:$J$224),0),
IF('TL13'!$B$229=O$3,SUMIF('TL13'!$C$238:$C$451,$C60,'TL13'!$J$238:$J$451),0),
IF('TL14'!$B$3=O$3,SUMIF('TL14'!$C$10:$C$224,$C60,'TL14'!$J$10:$J$224),0),
IF('TL14'!$B$229=O$3,SUMIF('TL14'!$C$238:$C$451,$C60,'TL14'!$J$238:$J$451),0),
IF('TL15'!$B$3=O$3,SUMIF('TL15'!$C$10:$C$224,$C60,'TL15'!$J$10:$J$224),0),
IF('TL15'!$B$229=O$3,SUMIF('TL15'!$C$238:$C$451,$C60,'TL15'!$J$238:$J$451),0),
IF('TL16'!$B$3=O$3,SUMIF('TL16'!$C$10:$C$224,$C60,'TL16'!$J$10:$J$224),0),
IF('TL16'!$B$229=O$3,SUMIF('TL16'!$C$238:$C$451,$C60,'TL16'!$J$238:$J$451),0),
IF('TL17'!$B$3=O$3,SUMIF('TL17'!$C$10:$C$224,$C60,'TL17'!$J$10:$J$224),0),
IF('TL17'!$B$229=O$3,SUMIF('TL17'!$C$238:$C$451,$C60,'TL17'!$J$238:$J$451),0),
IF('TL18'!$B$3=O$3,SUMIF('TL18'!$C$10:$C$224,$C60,'TL18'!$J$10:$J$224),0),
IF('TL18'!$B$229=O$3,SUMIF('TL18'!$C$238:$C$451,$C60,'TL18'!$J$238:$J$451),0),
IF('TL19'!$B$3=O$3,SUMIF('TL19'!$C$10:$C$224,$C60,'TL19'!$J$10:$J$224),0),
IF('TL19'!$B$229=O$3,SUMIF('TL19'!$C$238:$C$451,$C60,'TL19'!$J$238:$J$451),0)
),0)</f>
        <v/>
      </c>
      <c r="P60" s="9">
        <f>IFERROR(SUM(
IF('TL01'!$B$3=P$3,SUMIF('TL01'!$C$10:$C$224,$C60,'TL01'!$J$10:$J$224),0),
IF('TL01'!$B$229=P$3,SUMIF('TL01'!$C$238:$C$451,$C60,'TL01'!$J$238:$J$451),0),
IF('TL02'!$B$3=P$3,SUMIF('TL02'!$C$10:$C$224,$C60,'TL02'!$J$10:$J$224),0),
IF('TL02'!$B$229=P$3,SUMIF('TL02'!$C$238:$C$451,$C60,'TL02'!$J$238:$J$451),0),
IF('TL03'!$B$3=P$3,SUMIF('TL03'!$C$10:$C$224,$C60,'TL03'!$J$10:$J$224),0),
IF('TL03'!$B$229=P$3,SUMIF('TL03'!$C$238:$C$451,$C60,'TL03'!$J$238:$J$451),0),
IF('TL04'!$B$3=P$3,SUMIF('TL04'!$C$10:$C$224,$C60,'TL04'!$J$10:$J$224),0),
IF('TL04'!$B$229=P$3,SUMIF('TL04'!$C$238:$C$451,$C60,'TL04'!$J$238:$J$451),0),
IF('TL05'!$B$3=P$3,SUMIF('TL05'!$C$10:$C$224,$C60,'TL05'!$J$10:$J$224),0),
IF('TL05'!$B$229=P$3,SUMIF('TL05'!$C$238:$C$451,$C60,'TL05'!$J$238:$J$451),0),
IF('TL06'!$B$3=P$3,SUMIF('TL06'!$C$10:$C$224,$C60,'TL06'!$J$10:$J$224),0),
IF('TL06'!$B$229=P$3,SUMIF('TL06'!$C$238:$C$451,$C60,'TL06'!$J$238:$J$451),0),
IF('TL07'!$B$3=P$3,SUMIF('TL07'!$C$10:$C$224,$C60,'TL07'!$J$10:$J$224),0),
IF('TL07'!$B$229=P$3,SUMIF('TL07'!$C$238:$C$451,$C60,'TL07'!$J$238:$J$451),0),
IF('TL08'!$B$3=P$3,SUMIF('TL08'!$C$10:$C$224,$C60,'TL08'!$J$10:$J$224),0),
IF('TL08'!$B$229=P$3,SUMIF('TL08'!$C$238:$C$451,$C60,'TL08'!$J$238:$J$451),0),
IF('TL09'!$B$3=P$3,SUMIF('TL09'!$C$10:$C$224,$C60,'TL09'!$J$10:$J$224),0),
IF('TL09'!$B$229=P$3,SUMIF('TL09'!$C$238:$C$451,$C60,'TL09'!$J$238:$J$451),0),
IF('TL10'!$B$3=P$3,SUMIF('TL10'!$C$10:$C$224,$C60,'TL10'!$J$10:$J$224),0),
IF('TL10'!$B$229=P$3,SUMIF('TL10'!$C$238:$C$451,$C60,'TL10'!$J$238:$J$451),0),
IF('TL11'!$B$3=P$3,SUMIF('TL11'!$C$10:$C$224,$C60,'TL11'!$J$10:$J$224),0),
IF('TL11'!$B$229=P$3,SUMIF('TL11'!$C$238:$C$451,$C60,'TL11'!$J$238:$J$451),0),
IF('TL12'!$B$3=P$3,SUMIF('TL12'!$C$10:$C$224,$C60,'TL12'!$J$10:$J$224),0),
IF('TL12'!$B$229=P$3,SUMIF('TL12'!$C$238:$C$451,$C60,'TL12'!$J$238:$J$451),0),
IF('TL13'!$B$3=P$3,SUMIF('TL13'!$C$10:$C$224,$C60,'TL13'!$J$10:$J$224),0),
IF('TL13'!$B$229=P$3,SUMIF('TL13'!$C$238:$C$451,$C60,'TL13'!$J$238:$J$451),0),
IF('TL14'!$B$3=P$3,SUMIF('TL14'!$C$10:$C$224,$C60,'TL14'!$J$10:$J$224),0),
IF('TL14'!$B$229=P$3,SUMIF('TL14'!$C$238:$C$451,$C60,'TL14'!$J$238:$J$451),0),
IF('TL15'!$B$3=P$3,SUMIF('TL15'!$C$10:$C$224,$C60,'TL15'!$J$10:$J$224),0),
IF('TL15'!$B$229=P$3,SUMIF('TL15'!$C$238:$C$451,$C60,'TL15'!$J$238:$J$451),0),
IF('TL16'!$B$3=P$3,SUMIF('TL16'!$C$10:$C$224,$C60,'TL16'!$J$10:$J$224),0),
IF('TL16'!$B$229=P$3,SUMIF('TL16'!$C$238:$C$451,$C60,'TL16'!$J$238:$J$451),0),
IF('TL17'!$B$3=P$3,SUMIF('TL17'!$C$10:$C$224,$C60,'TL17'!$J$10:$J$224),0),
IF('TL17'!$B$229=P$3,SUMIF('TL17'!$C$238:$C$451,$C60,'TL17'!$J$238:$J$451),0),
IF('TL18'!$B$3=P$3,SUMIF('TL18'!$C$10:$C$224,$C60,'TL18'!$J$10:$J$224),0),
IF('TL18'!$B$229=P$3,SUMIF('TL18'!$C$238:$C$451,$C60,'TL18'!$J$238:$J$451),0),
IF('TL19'!$B$3=P$3,SUMIF('TL19'!$C$10:$C$224,$C60,'TL19'!$J$10:$J$224),0),
IF('TL19'!$B$229=P$3,SUMIF('TL19'!$C$238:$C$451,$C60,'TL19'!$J$238:$J$451),0)
),0)</f>
        <v/>
      </c>
      <c r="Q60" s="9">
        <f>IFERROR(SUM(
IF('TL01'!$B$3=Q$3,SUMIF('TL01'!$C$10:$C$224,$C60,'TL01'!$J$10:$J$224),0),
IF('TL01'!$B$229=Q$3,SUMIF('TL01'!$C$238:$C$451,$C60,'TL01'!$J$238:$J$451),0),
IF('TL02'!$B$3=Q$3,SUMIF('TL02'!$C$10:$C$224,$C60,'TL02'!$J$10:$J$224),0),
IF('TL02'!$B$229=Q$3,SUMIF('TL02'!$C$238:$C$451,$C60,'TL02'!$J$238:$J$451),0),
IF('TL03'!$B$3=Q$3,SUMIF('TL03'!$C$10:$C$224,$C60,'TL03'!$J$10:$J$224),0),
IF('TL03'!$B$229=Q$3,SUMIF('TL03'!$C$238:$C$451,$C60,'TL03'!$J$238:$J$451),0),
IF('TL04'!$B$3=Q$3,SUMIF('TL04'!$C$10:$C$224,$C60,'TL04'!$J$10:$J$224),0),
IF('TL04'!$B$229=Q$3,SUMIF('TL04'!$C$238:$C$451,$C60,'TL04'!$J$238:$J$451),0),
IF('TL05'!$B$3=Q$3,SUMIF('TL05'!$C$10:$C$224,$C60,'TL05'!$J$10:$J$224),0),
IF('TL05'!$B$229=Q$3,SUMIF('TL05'!$C$238:$C$451,$C60,'TL05'!$J$238:$J$451),0),
IF('TL06'!$B$3=Q$3,SUMIF('TL06'!$C$10:$C$224,$C60,'TL06'!$J$10:$J$224),0),
IF('TL06'!$B$229=Q$3,SUMIF('TL06'!$C$238:$C$451,$C60,'TL06'!$J$238:$J$451),0),
IF('TL07'!$B$3=Q$3,SUMIF('TL07'!$C$10:$C$224,$C60,'TL07'!$J$10:$J$224),0),
IF('TL07'!$B$229=Q$3,SUMIF('TL07'!$C$238:$C$451,$C60,'TL07'!$J$238:$J$451),0),
IF('TL08'!$B$3=Q$3,SUMIF('TL08'!$C$10:$C$224,$C60,'TL08'!$J$10:$J$224),0),
IF('TL08'!$B$229=Q$3,SUMIF('TL08'!$C$238:$C$451,$C60,'TL08'!$J$238:$J$451),0),
IF('TL09'!$B$3=Q$3,SUMIF('TL09'!$C$10:$C$224,$C60,'TL09'!$J$10:$J$224),0),
IF('TL09'!$B$229=Q$3,SUMIF('TL09'!$C$238:$C$451,$C60,'TL09'!$J$238:$J$451),0),
IF('TL10'!$B$3=Q$3,SUMIF('TL10'!$C$10:$C$224,$C60,'TL10'!$J$10:$J$224),0),
IF('TL10'!$B$229=Q$3,SUMIF('TL10'!$C$238:$C$451,$C60,'TL10'!$J$238:$J$451),0),
IF('TL11'!$B$3=Q$3,SUMIF('TL11'!$C$10:$C$224,$C60,'TL11'!$J$10:$J$224),0),
IF('TL11'!$B$229=Q$3,SUMIF('TL11'!$C$238:$C$451,$C60,'TL11'!$J$238:$J$451),0),
IF('TL12'!$B$3=Q$3,SUMIF('TL12'!$C$10:$C$224,$C60,'TL12'!$J$10:$J$224),0),
IF('TL12'!$B$229=Q$3,SUMIF('TL12'!$C$238:$C$451,$C60,'TL12'!$J$238:$J$451),0),
IF('TL13'!$B$3=Q$3,SUMIF('TL13'!$C$10:$C$224,$C60,'TL13'!$J$10:$J$224),0),
IF('TL13'!$B$229=Q$3,SUMIF('TL13'!$C$238:$C$451,$C60,'TL13'!$J$238:$J$451),0),
IF('TL14'!$B$3=Q$3,SUMIF('TL14'!$C$10:$C$224,$C60,'TL14'!$J$10:$J$224),0),
IF('TL14'!$B$229=Q$3,SUMIF('TL14'!$C$238:$C$451,$C60,'TL14'!$J$238:$J$451),0),
IF('TL15'!$B$3=Q$3,SUMIF('TL15'!$C$10:$C$224,$C60,'TL15'!$J$10:$J$224),0),
IF('TL15'!$B$229=Q$3,SUMIF('TL15'!$C$238:$C$451,$C60,'TL15'!$J$238:$J$451),0),
IF('TL16'!$B$3=Q$3,SUMIF('TL16'!$C$10:$C$224,$C60,'TL16'!$J$10:$J$224),0),
IF('TL16'!$B$229=Q$3,SUMIF('TL16'!$C$238:$C$451,$C60,'TL16'!$J$238:$J$451),0),
IF('TL17'!$B$3=Q$3,SUMIF('TL17'!$C$10:$C$224,$C60,'TL17'!$J$10:$J$224),0),
IF('TL17'!$B$229=Q$3,SUMIF('TL17'!$C$238:$C$451,$C60,'TL17'!$J$238:$J$451),0),
IF('TL18'!$B$3=Q$3,SUMIF('TL18'!$C$10:$C$224,$C60,'TL18'!$J$10:$J$224),0),
IF('TL18'!$B$229=Q$3,SUMIF('TL18'!$C$238:$C$451,$C60,'TL18'!$J$238:$J$451),0),
IF('TL19'!$B$3=Q$3,SUMIF('TL19'!$C$10:$C$224,$C60,'TL19'!$J$10:$J$224),0),
IF('TL19'!$B$229=Q$3,SUMIF('TL19'!$C$238:$C$451,$C60,'TL19'!$J$238:$J$451),0)
),0)</f>
        <v/>
      </c>
      <c r="R60" s="9">
        <f>IFERROR(
SUM(
SUMIF('TL01'!C:C,C60,'TL01'!J:J),
SUMIF('TL02'!C:C,C60,'TL02'!J:J),
SUMIF('TL03'!C:C,C60,'TL03'!J:J),
SUMIF('TL04'!C:C,C60,'TL04'!J:J),
SUMIF('TL05'!C:C,C60,'TL05'!J:J),
SUMIF('TL06'!C:C,C60,'TL06'!J:J),
SUMIF('TL07'!C:C,C60,'TL07'!J:J),
SUMIF('TL08'!C:C,C60,'TL08'!J:J),
SUMIF('TL09'!C:C,C60,'TL09'!J:J),
SUMIF('TL10'!C:C,C60,'TL10'!J:J),
SUMIF('TL11'!C:C,C60,'TL11'!J:J),
SUMIF('TL12'!C:C,C60,'TL12'!J:J),
SUMIF('TL13'!C:C,C60,'TL13'!J:J),
SUMIF('TL14'!C:C,C60,'TL14'!J:J),
SUMIF('TL15'!C:C,C60,'TL15'!J:J),
SUMIF('TL16'!C:C,C60,'TL16'!J:J),
SUMIF('TL17'!C:C,C60,'TL17'!J:J),
SUMIF('TL18'!C:C,C60,'TL18'!J:J),SUMIF('TL19'!C:C,C60,'TL19'!J:J))
,0)</f>
        <v/>
      </c>
      <c r="S60" s="17">
        <f>IFERROR(__xludf.DUMMYFUNCTION("IFERROR(VLOOKUP(C60,
IMPORTRANGE(""1wULbzX32WdYsx-lj2U3uUNBBe2INVIRDtcK0d-Dvl90"",
""26-27!C:G""),
5,
FALSE),
"""")"),74.44800000000001)</f>
        <v/>
      </c>
      <c r="T60" s="9" t="n"/>
      <c r="U60" s="92">
        <f>MAX(0,R60-T60)</f>
        <v/>
      </c>
      <c r="V60" s="93">
        <f>U60*S60</f>
        <v/>
      </c>
    </row>
    <row r="61" hidden="1" ht="15.75" customHeight="1" s="297">
      <c r="A61" s="111" t="inlineStr">
        <is>
          <t>CORTEVA</t>
        </is>
      </c>
      <c r="B61" s="112" t="inlineStr">
        <is>
          <t>FUNGICIDA</t>
        </is>
      </c>
      <c r="C61" s="113" t="inlineStr">
        <is>
          <t>BIM 750 BR</t>
        </is>
      </c>
      <c r="D61" s="113" t="inlineStr">
        <is>
          <t>TRICICLAZOL</t>
        </is>
      </c>
      <c r="E61" s="113" t="n">
        <v>750</v>
      </c>
      <c r="F61" s="4" t="inlineStr">
        <is>
          <t>L</t>
        </is>
      </c>
      <c r="G61" s="90">
        <f>HYPERLINK("https://www.google.com/search?q=" &amp; C61 &amp; "+bula+agrofit+pdf", "📄 Ver bula")</f>
        <v/>
      </c>
      <c r="H61" s="9">
        <f>IFERROR(__xludf.DUMMYFUNCTION("IFERROR(VLOOKUP(C61,
IMPORTRANGE(""1wULbzX32WdYsx-lj2U3uUNBBe2INVIRDtcK0d-Dvl90"",
""26-27!C:K""),
8,
FALSE),
"""")"),"")</f>
        <v/>
      </c>
      <c r="I61" s="114" t="inlineStr">
        <is>
          <t>10X1</t>
        </is>
      </c>
      <c r="J61" s="9">
        <f>IFERROR(SUM(
IF('TL01'!$B$3=J$3,SUMIF('TL01'!$C$10:$C$224,$C61,'TL01'!$J$10:$J$224),0),
IF('TL01'!$B$229=J$3,SUMIF('TL01'!$C$238:$C$451,$C61,'TL01'!$J$238:$J$451),0),
IF('TL02'!$B$3=J$3,SUMIF('TL02'!$C$10:$C$224,$C61,'TL02'!$J$10:$J$224),0),
IF('TL02'!$B$229=J$3,SUMIF('TL02'!$C$238:$C$451,$C61,'TL02'!$J$238:$J$451),0),
IF('TL03'!$B$3=J$3,SUMIF('TL03'!$C$10:$C$224,$C61,'TL03'!$J$10:$J$224),0),
IF('TL03'!$B$229=J$3,SUMIF('TL03'!$C$238:$C$451,$C61,'TL03'!$J$238:$J$451),0),
IF('TL04'!$B$3=J$3,SUMIF('TL04'!$C$10:$C$224,$C61,'TL04'!$J$10:$J$224),0),
IF('TL04'!$B$229=J$3,SUMIF('TL04'!$C$238:$C$451,$C61,'TL04'!$J$238:$J$451),0),
IF('TL05'!$B$3=J$3,SUMIF('TL05'!$C$10:$C$224,$C61,'TL05'!$J$10:$J$224),0),
IF('TL05'!$B$229=J$3,SUMIF('TL05'!$C$238:$C$451,$C61,'TL05'!$J$238:$J$451),0),
IF('TL06'!$B$3=J$3,SUMIF('TL06'!$C$10:$C$224,$C61,'TL06'!$J$10:$J$224),0),
IF('TL06'!$B$229=J$3,SUMIF('TL06'!$C$238:$C$451,$C61,'TL06'!$J$238:$J$451),0),
IF('TL07'!$B$3=J$3,SUMIF('TL07'!$C$10:$C$224,$C61,'TL07'!$J$10:$J$224),0),
IF('TL07'!$B$229=J$3,SUMIF('TL07'!$C$238:$C$451,$C61,'TL07'!$J$238:$J$451),0),
IF('TL08'!$B$3=J$3,SUMIF('TL08'!$C$10:$C$224,$C61,'TL08'!$J$10:$J$224),0),
IF('TL08'!$B$229=J$3,SUMIF('TL08'!$C$238:$C$451,$C61,'TL08'!$J$238:$J$451),0),
IF('TL09'!$B$3=J$3,SUMIF('TL09'!$C$10:$C$224,$C61,'TL09'!$J$10:$J$224),0),
IF('TL09'!$B$229=J$3,SUMIF('TL09'!$C$238:$C$451,$C61,'TL09'!$J$238:$J$451),0),
IF('TL10'!$B$3=J$3,SUMIF('TL10'!$C$10:$C$224,$C61,'TL10'!$J$10:$J$224),0),
IF('TL10'!$B$229=J$3,SUMIF('TL10'!$C$238:$C$451,$C61,'TL10'!$J$238:$J$451),0),
IF('TL11'!$B$3=J$3,SUMIF('TL11'!$C$10:$C$224,$C61,'TL11'!$J$10:$J$224),0),
IF('TL11'!$B$229=J$3,SUMIF('TL11'!$C$238:$C$451,$C61,'TL11'!$J$238:$J$451),0),
IF('TL12'!$B$3=J$3,SUMIF('TL12'!$C$10:$C$224,$C61,'TL12'!$J$10:$J$224),0),
IF('TL12'!$B$229=J$3,SUMIF('TL12'!$C$238:$C$451,$C61,'TL12'!$J$238:$J$451),0),
IF('TL13'!$B$3=J$3,SUMIF('TL13'!$C$10:$C$224,$C61,'TL13'!$J$10:$J$224),0),
IF('TL13'!$B$229=J$3,SUMIF('TL13'!$C$238:$C$451,$C61,'TL13'!$J$238:$J$451),0),
IF('TL14'!$B$3=J$3,SUMIF('TL14'!$C$10:$C$224,$C61,'TL14'!$J$10:$J$224),0),
IF('TL14'!$B$229=J$3,SUMIF('TL14'!$C$238:$C$451,$C61,'TL14'!$J$238:$J$451),0),
IF('TL15'!$B$3=J$3,SUMIF('TL15'!$C$10:$C$224,$C61,'TL15'!$J$10:$J$224),0),
IF('TL15'!$B$229=J$3,SUMIF('TL15'!$C$238:$C$451,$C61,'TL15'!$J$238:$J$451),0),
IF('TL16'!$B$3=J$3,SUMIF('TL16'!$C$10:$C$224,$C61,'TL16'!$J$10:$J$224),0),
IF('TL16'!$B$229=J$3,SUMIF('TL16'!$C$238:$C$451,$C61,'TL16'!$J$238:$J$451),0),
IF('TL17'!$B$3=J$3,SUMIF('TL17'!$C$10:$C$224,$C61,'TL17'!$J$10:$J$224),0),
IF('TL17'!$B$229=J$3,SUMIF('TL17'!$C$238:$C$451,$C61,'TL17'!$J$238:$J$451),0),
IF('TL18'!$B$3=J$3,SUMIF('TL18'!$C$10:$C$224,$C61,'TL18'!$J$10:$J$224),0),
IF('TL18'!$B$229=J$3,SUMIF('TL18'!$C$238:$C$451,$C61,'TL18'!$J$238:$J$451),0),
IF('TL19'!$B$3=J$3,SUMIF('TL19'!$C$10:$C$224,$C61,'TL19'!$J$10:$J$224),0),
IF('TL19'!$B$229=J$3,SUMIF('TL19'!$C$238:$C$451,$C61,'TL19'!$J$238:$J$451),0)
),0)</f>
        <v/>
      </c>
      <c r="K61" s="9">
        <f>IFERROR(SUM(
IF('TL01'!$B$3=K$3,SUMIF('TL01'!$C$10:$C$224,$C61,'TL01'!$J$10:$J$224),0),
IF('TL01'!$B$229=K$3,SUMIF('TL01'!$C$238:$C$451,$C61,'TL01'!$J$238:$J$451),0),
IF('TL02'!$B$3=K$3,SUMIF('TL02'!$C$10:$C$224,$C61,'TL02'!$J$10:$J$224),0),
IF('TL02'!$B$229=K$3,SUMIF('TL02'!$C$238:$C$451,$C61,'TL02'!$J$238:$J$451),0),
IF('TL03'!$B$3=K$3,SUMIF('TL03'!$C$10:$C$224,$C61,'TL03'!$J$10:$J$224),0),
IF('TL03'!$B$229=K$3,SUMIF('TL03'!$C$238:$C$451,$C61,'TL03'!$J$238:$J$451),0),
IF('TL04'!$B$3=K$3,SUMIF('TL04'!$C$10:$C$224,$C61,'TL04'!$J$10:$J$224),0),
IF('TL04'!$B$229=K$3,SUMIF('TL04'!$C$238:$C$451,$C61,'TL04'!$J$238:$J$451),0),
IF('TL05'!$B$3=K$3,SUMIF('TL05'!$C$10:$C$224,$C61,'TL05'!$J$10:$J$224),0),
IF('TL05'!$B$229=K$3,SUMIF('TL05'!$C$238:$C$451,$C61,'TL05'!$J$238:$J$451),0),
IF('TL06'!$B$3=K$3,SUMIF('TL06'!$C$10:$C$224,$C61,'TL06'!$J$10:$J$224),0),
IF('TL06'!$B$229=K$3,SUMIF('TL06'!$C$238:$C$451,$C61,'TL06'!$J$238:$J$451),0),
IF('TL07'!$B$3=K$3,SUMIF('TL07'!$C$10:$C$224,$C61,'TL07'!$J$10:$J$224),0),
IF('TL07'!$B$229=K$3,SUMIF('TL07'!$C$238:$C$451,$C61,'TL07'!$J$238:$J$451),0),
IF('TL08'!$B$3=K$3,SUMIF('TL08'!$C$10:$C$224,$C61,'TL08'!$J$10:$J$224),0),
IF('TL08'!$B$229=K$3,SUMIF('TL08'!$C$238:$C$451,$C61,'TL08'!$J$238:$J$451),0),
IF('TL09'!$B$3=K$3,SUMIF('TL09'!$C$10:$C$224,$C61,'TL09'!$J$10:$J$224),0),
IF('TL09'!$B$229=K$3,SUMIF('TL09'!$C$238:$C$451,$C61,'TL09'!$J$238:$J$451),0),
IF('TL10'!$B$3=K$3,SUMIF('TL10'!$C$10:$C$224,$C61,'TL10'!$J$10:$J$224),0),
IF('TL10'!$B$229=K$3,SUMIF('TL10'!$C$238:$C$451,$C61,'TL10'!$J$238:$J$451),0),
IF('TL11'!$B$3=K$3,SUMIF('TL11'!$C$10:$C$224,$C61,'TL11'!$J$10:$J$224),0),
IF('TL11'!$B$229=K$3,SUMIF('TL11'!$C$238:$C$451,$C61,'TL11'!$J$238:$J$451),0),
IF('TL12'!$B$3=K$3,SUMIF('TL12'!$C$10:$C$224,$C61,'TL12'!$J$10:$J$224),0),
IF('TL12'!$B$229=K$3,SUMIF('TL12'!$C$238:$C$451,$C61,'TL12'!$J$238:$J$451),0),
IF('TL13'!$B$3=K$3,SUMIF('TL13'!$C$10:$C$224,$C61,'TL13'!$J$10:$J$224),0),
IF('TL13'!$B$229=K$3,SUMIF('TL13'!$C$238:$C$451,$C61,'TL13'!$J$238:$J$451),0),
IF('TL14'!$B$3=K$3,SUMIF('TL14'!$C$10:$C$224,$C61,'TL14'!$J$10:$J$224),0),
IF('TL14'!$B$229=K$3,SUMIF('TL14'!$C$238:$C$451,$C61,'TL14'!$J$238:$J$451),0),
IF('TL15'!$B$3=K$3,SUMIF('TL15'!$C$10:$C$224,$C61,'TL15'!$J$10:$J$224),0),
IF('TL15'!$B$229=K$3,SUMIF('TL15'!$C$238:$C$451,$C61,'TL15'!$J$238:$J$451),0),
IF('TL16'!$B$3=K$3,SUMIF('TL16'!$C$10:$C$224,$C61,'TL16'!$J$10:$J$224),0),
IF('TL16'!$B$229=K$3,SUMIF('TL16'!$C$238:$C$451,$C61,'TL16'!$J$238:$J$451),0),
IF('TL17'!$B$3=K$3,SUMIF('TL17'!$C$10:$C$224,$C61,'TL17'!$J$10:$J$224),0),
IF('TL17'!$B$229=K$3,SUMIF('TL17'!$C$238:$C$451,$C61,'TL17'!$J$238:$J$451),0),
IF('TL18'!$B$3=K$3,SUMIF('TL18'!$C$10:$C$224,$C61,'TL18'!$J$10:$J$224),0),
IF('TL18'!$B$229=K$3,SUMIF('TL18'!$C$238:$C$451,$C61,'TL18'!$J$238:$J$451),0),
IF('TL19'!$B$3=K$3,SUMIF('TL19'!$C$10:$C$224,$C61,'TL19'!$J$10:$J$224),0),
IF('TL19'!$B$229=K$3,SUMIF('TL19'!$C$238:$C$451,$C61,'TL19'!$J$238:$J$451),0)
),0)</f>
        <v/>
      </c>
      <c r="L61" s="9">
        <f>IFERROR(SUM(
IF('TL01'!$B$3=L$3,SUMIF('TL01'!$C$10:$C$224,$C61,'TL01'!$J$10:$J$224),0),
IF('TL01'!$B$229=L$3,SUMIF('TL01'!$C$238:$C$451,$C61,'TL01'!$J$238:$J$451),0),
IF('TL02'!$B$3=L$3,SUMIF('TL02'!$C$10:$C$224,$C61,'TL02'!$J$10:$J$224),0),
IF('TL02'!$B$229=L$3,SUMIF('TL02'!$C$238:$C$451,$C61,'TL02'!$J$238:$J$451),0),
IF('TL03'!$B$3=L$3,SUMIF('TL03'!$C$10:$C$224,$C61,'TL03'!$J$10:$J$224),0),
IF('TL03'!$B$229=L$3,SUMIF('TL03'!$C$238:$C$451,$C61,'TL03'!$J$238:$J$451),0),
IF('TL04'!$B$3=L$3,SUMIF('TL04'!$C$10:$C$224,$C61,'TL04'!$J$10:$J$224),0),
IF('TL04'!$B$229=L$3,SUMIF('TL04'!$C$238:$C$451,$C61,'TL04'!$J$238:$J$451),0),
IF('TL05'!$B$3=L$3,SUMIF('TL05'!$C$10:$C$224,$C61,'TL05'!$J$10:$J$224),0),
IF('TL05'!$B$229=L$3,SUMIF('TL05'!$C$238:$C$451,$C61,'TL05'!$J$238:$J$451),0),
IF('TL06'!$B$3=L$3,SUMIF('TL06'!$C$10:$C$224,$C61,'TL06'!$J$10:$J$224),0),
IF('TL06'!$B$229=L$3,SUMIF('TL06'!$C$238:$C$451,$C61,'TL06'!$J$238:$J$451),0),
IF('TL07'!$B$3=L$3,SUMIF('TL07'!$C$10:$C$224,$C61,'TL07'!$J$10:$J$224),0),
IF('TL07'!$B$229=L$3,SUMIF('TL07'!$C$238:$C$451,$C61,'TL07'!$J$238:$J$451),0),
IF('TL08'!$B$3=L$3,SUMIF('TL08'!$C$10:$C$224,$C61,'TL08'!$J$10:$J$224),0),
IF('TL08'!$B$229=L$3,SUMIF('TL08'!$C$238:$C$451,$C61,'TL08'!$J$238:$J$451),0),
IF('TL09'!$B$3=L$3,SUMIF('TL09'!$C$10:$C$224,$C61,'TL09'!$J$10:$J$224),0),
IF('TL09'!$B$229=L$3,SUMIF('TL09'!$C$238:$C$451,$C61,'TL09'!$J$238:$J$451),0),
IF('TL10'!$B$3=L$3,SUMIF('TL10'!$C$10:$C$224,$C61,'TL10'!$J$10:$J$224),0),
IF('TL10'!$B$229=L$3,SUMIF('TL10'!$C$238:$C$451,$C61,'TL10'!$J$238:$J$451),0),
IF('TL11'!$B$3=L$3,SUMIF('TL11'!$C$10:$C$224,$C61,'TL11'!$J$10:$J$224),0),
IF('TL11'!$B$229=L$3,SUMIF('TL11'!$C$238:$C$451,$C61,'TL11'!$J$238:$J$451),0),
IF('TL12'!$B$3=L$3,SUMIF('TL12'!$C$10:$C$224,$C61,'TL12'!$J$10:$J$224),0),
IF('TL12'!$B$229=L$3,SUMIF('TL12'!$C$238:$C$451,$C61,'TL12'!$J$238:$J$451),0),
IF('TL13'!$B$3=L$3,SUMIF('TL13'!$C$10:$C$224,$C61,'TL13'!$J$10:$J$224),0),
IF('TL13'!$B$229=L$3,SUMIF('TL13'!$C$238:$C$451,$C61,'TL13'!$J$238:$J$451),0),
IF('TL14'!$B$3=L$3,SUMIF('TL14'!$C$10:$C$224,$C61,'TL14'!$J$10:$J$224),0),
IF('TL14'!$B$229=L$3,SUMIF('TL14'!$C$238:$C$451,$C61,'TL14'!$J$238:$J$451),0),
IF('TL15'!$B$3=L$3,SUMIF('TL15'!$C$10:$C$224,$C61,'TL15'!$J$10:$J$224),0),
IF('TL15'!$B$229=L$3,SUMIF('TL15'!$C$238:$C$451,$C61,'TL15'!$J$238:$J$451),0),
IF('TL16'!$B$3=L$3,SUMIF('TL16'!$C$10:$C$224,$C61,'TL16'!$J$10:$J$224),0),
IF('TL16'!$B$229=L$3,SUMIF('TL16'!$C$238:$C$451,$C61,'TL16'!$J$238:$J$451),0),
IF('TL17'!$B$3=L$3,SUMIF('TL17'!$C$10:$C$224,$C61,'TL17'!$J$10:$J$224),0),
IF('TL17'!$B$229=L$3,SUMIF('TL17'!$C$238:$C$451,$C61,'TL17'!$J$238:$J$451),0),
IF('TL18'!$B$3=L$3,SUMIF('TL18'!$C$10:$C$224,$C61,'TL18'!$J$10:$J$224),0),
IF('TL18'!$B$229=L$3,SUMIF('TL18'!$C$238:$C$451,$C61,'TL18'!$J$238:$J$451),0),
IF('TL19'!$B$3=L$3,SUMIF('TL19'!$C$10:$C$224,$C61,'TL19'!$J$10:$J$224),0),
IF('TL19'!$B$229=L$3,SUMIF('TL19'!$C$238:$C$451,$C61,'TL19'!$J$238:$J$451),0)
),0)</f>
        <v/>
      </c>
      <c r="M61" s="9">
        <f>IFERROR(SUM(
IF('TL01'!$B$3=M$3,SUMIF('TL01'!$C$10:$C$224,$C61,'TL01'!$J$10:$J$224),0),
IF('TL01'!$B$229=M$3,SUMIF('TL01'!$C$238:$C$451,$C61,'TL01'!$J$238:$J$451),0),
IF('TL02'!$B$3=M$3,SUMIF('TL02'!$C$10:$C$224,$C61,'TL02'!$J$10:$J$224),0),
IF('TL02'!$B$229=M$3,SUMIF('TL02'!$C$238:$C$451,$C61,'TL02'!$J$238:$J$451),0),
IF('TL03'!$B$3=M$3,SUMIF('TL03'!$C$10:$C$224,$C61,'TL03'!$J$10:$J$224),0),
IF('TL03'!$B$229=M$3,SUMIF('TL03'!$C$238:$C$451,$C61,'TL03'!$J$238:$J$451),0),
IF('TL04'!$B$3=M$3,SUMIF('TL04'!$C$10:$C$224,$C61,'TL04'!$J$10:$J$224),0),
IF('TL04'!$B$229=M$3,SUMIF('TL04'!$C$238:$C$451,$C61,'TL04'!$J$238:$J$451),0),
IF('TL05'!$B$3=M$3,SUMIF('TL05'!$C$10:$C$224,$C61,'TL05'!$J$10:$J$224),0),
IF('TL05'!$B$229=M$3,SUMIF('TL05'!$C$238:$C$451,$C61,'TL05'!$J$238:$J$451),0),
IF('TL06'!$B$3=M$3,SUMIF('TL06'!$C$10:$C$224,$C61,'TL06'!$J$10:$J$224),0),
IF('TL06'!$B$229=M$3,SUMIF('TL06'!$C$238:$C$451,$C61,'TL06'!$J$238:$J$451),0),
IF('TL07'!$B$3=M$3,SUMIF('TL07'!$C$10:$C$224,$C61,'TL07'!$J$10:$J$224),0),
IF('TL07'!$B$229=M$3,SUMIF('TL07'!$C$238:$C$451,$C61,'TL07'!$J$238:$J$451),0),
IF('TL08'!$B$3=M$3,SUMIF('TL08'!$C$10:$C$224,$C61,'TL08'!$J$10:$J$224),0),
IF('TL08'!$B$229=M$3,SUMIF('TL08'!$C$238:$C$451,$C61,'TL08'!$J$238:$J$451),0),
IF('TL09'!$B$3=M$3,SUMIF('TL09'!$C$10:$C$224,$C61,'TL09'!$J$10:$J$224),0),
IF('TL09'!$B$229=M$3,SUMIF('TL09'!$C$238:$C$451,$C61,'TL09'!$J$238:$J$451),0),
IF('TL10'!$B$3=M$3,SUMIF('TL10'!$C$10:$C$224,$C61,'TL10'!$J$10:$J$224),0),
IF('TL10'!$B$229=M$3,SUMIF('TL10'!$C$238:$C$451,$C61,'TL10'!$J$238:$J$451),0),
IF('TL11'!$B$3=M$3,SUMIF('TL11'!$C$10:$C$224,$C61,'TL11'!$J$10:$J$224),0),
IF('TL11'!$B$229=M$3,SUMIF('TL11'!$C$238:$C$451,$C61,'TL11'!$J$238:$J$451),0),
IF('TL12'!$B$3=M$3,SUMIF('TL12'!$C$10:$C$224,$C61,'TL12'!$J$10:$J$224),0),
IF('TL12'!$B$229=M$3,SUMIF('TL12'!$C$238:$C$451,$C61,'TL12'!$J$238:$J$451),0),
IF('TL13'!$B$3=M$3,SUMIF('TL13'!$C$10:$C$224,$C61,'TL13'!$J$10:$J$224),0),
IF('TL13'!$B$229=M$3,SUMIF('TL13'!$C$238:$C$451,$C61,'TL13'!$J$238:$J$451),0),
IF('TL14'!$B$3=M$3,SUMIF('TL14'!$C$10:$C$224,$C61,'TL14'!$J$10:$J$224),0),
IF('TL14'!$B$229=M$3,SUMIF('TL14'!$C$238:$C$451,$C61,'TL14'!$J$238:$J$451),0),
IF('TL15'!$B$3=M$3,SUMIF('TL15'!$C$10:$C$224,$C61,'TL15'!$J$10:$J$224),0),
IF('TL15'!$B$229=M$3,SUMIF('TL15'!$C$238:$C$451,$C61,'TL15'!$J$238:$J$451),0),
IF('TL16'!$B$3=M$3,SUMIF('TL16'!$C$10:$C$224,$C61,'TL16'!$J$10:$J$224),0),
IF('TL16'!$B$229=M$3,SUMIF('TL16'!$C$238:$C$451,$C61,'TL16'!$J$238:$J$451),0),
IF('TL17'!$B$3=M$3,SUMIF('TL17'!$C$10:$C$224,$C61,'TL17'!$J$10:$J$224),0),
IF('TL17'!$B$229=M$3,SUMIF('TL17'!$C$238:$C$451,$C61,'TL17'!$J$238:$J$451),0),
IF('TL18'!$B$3=M$3,SUMIF('TL18'!$C$10:$C$224,$C61,'TL18'!$J$10:$J$224),0),
IF('TL18'!$B$229=M$3,SUMIF('TL18'!$C$238:$C$451,$C61,'TL18'!$J$238:$J$451),0),
IF('TL19'!$B$3=M$3,SUMIF('TL19'!$C$10:$C$224,$C61,'TL19'!$J$10:$J$224),0),
IF('TL19'!$B$229=M$3,SUMIF('TL19'!$C$238:$C$451,$C61,'TL19'!$J$238:$J$451),0)
),0)</f>
        <v/>
      </c>
      <c r="N61" s="9">
        <f>IFERROR(SUM(
IF('TL01'!$B$3=N$3,SUMIF('TL01'!$C$10:$C$224,$C61,'TL01'!$J$10:$J$224),0),
IF('TL01'!$B$229=N$3,SUMIF('TL01'!$C$238:$C$451,$C61,'TL01'!$J$238:$J$451),0),
IF('TL02'!$B$3=N$3,SUMIF('TL02'!$C$10:$C$224,$C61,'TL02'!$J$10:$J$224),0),
IF('TL02'!$B$229=N$3,SUMIF('TL02'!$C$238:$C$451,$C61,'TL02'!$J$238:$J$451),0),
IF('TL03'!$B$3=N$3,SUMIF('TL03'!$C$10:$C$224,$C61,'TL03'!$J$10:$J$224),0),
IF('TL03'!$B$229=N$3,SUMIF('TL03'!$C$238:$C$451,$C61,'TL03'!$J$238:$J$451),0),
IF('TL04'!$B$3=N$3,SUMIF('TL04'!$C$10:$C$224,$C61,'TL04'!$J$10:$J$224),0),
IF('TL04'!$B$229=N$3,SUMIF('TL04'!$C$238:$C$451,$C61,'TL04'!$J$238:$J$451),0),
IF('TL05'!$B$3=N$3,SUMIF('TL05'!$C$10:$C$224,$C61,'TL05'!$J$10:$J$224),0),
IF('TL05'!$B$229=N$3,SUMIF('TL05'!$C$238:$C$451,$C61,'TL05'!$J$238:$J$451),0),
IF('TL06'!$B$3=N$3,SUMIF('TL06'!$C$10:$C$224,$C61,'TL06'!$J$10:$J$224),0),
IF('TL06'!$B$229=N$3,SUMIF('TL06'!$C$238:$C$451,$C61,'TL06'!$J$238:$J$451),0),
IF('TL07'!$B$3=N$3,SUMIF('TL07'!$C$10:$C$224,$C61,'TL07'!$J$10:$J$224),0),
IF('TL07'!$B$229=N$3,SUMIF('TL07'!$C$238:$C$451,$C61,'TL07'!$J$238:$J$451),0),
IF('TL08'!$B$3=N$3,SUMIF('TL08'!$C$10:$C$224,$C61,'TL08'!$J$10:$J$224),0),
IF('TL08'!$B$229=N$3,SUMIF('TL08'!$C$238:$C$451,$C61,'TL08'!$J$238:$J$451),0),
IF('TL09'!$B$3=N$3,SUMIF('TL09'!$C$10:$C$224,$C61,'TL09'!$J$10:$J$224),0),
IF('TL09'!$B$229=N$3,SUMIF('TL09'!$C$238:$C$451,$C61,'TL09'!$J$238:$J$451),0),
IF('TL10'!$B$3=N$3,SUMIF('TL10'!$C$10:$C$224,$C61,'TL10'!$J$10:$J$224),0),
IF('TL10'!$B$229=N$3,SUMIF('TL10'!$C$238:$C$451,$C61,'TL10'!$J$238:$J$451),0),
IF('TL11'!$B$3=N$3,SUMIF('TL11'!$C$10:$C$224,$C61,'TL11'!$J$10:$J$224),0),
IF('TL11'!$B$229=N$3,SUMIF('TL11'!$C$238:$C$451,$C61,'TL11'!$J$238:$J$451),0),
IF('TL12'!$B$3=N$3,SUMIF('TL12'!$C$10:$C$224,$C61,'TL12'!$J$10:$J$224),0),
IF('TL12'!$B$229=N$3,SUMIF('TL12'!$C$238:$C$451,$C61,'TL12'!$J$238:$J$451),0),
IF('TL13'!$B$3=N$3,SUMIF('TL13'!$C$10:$C$224,$C61,'TL13'!$J$10:$J$224),0),
IF('TL13'!$B$229=N$3,SUMIF('TL13'!$C$238:$C$451,$C61,'TL13'!$J$238:$J$451),0),
IF('TL14'!$B$3=N$3,SUMIF('TL14'!$C$10:$C$224,$C61,'TL14'!$J$10:$J$224),0),
IF('TL14'!$B$229=N$3,SUMIF('TL14'!$C$238:$C$451,$C61,'TL14'!$J$238:$J$451),0),
IF('TL15'!$B$3=N$3,SUMIF('TL15'!$C$10:$C$224,$C61,'TL15'!$J$10:$J$224),0),
IF('TL15'!$B$229=N$3,SUMIF('TL15'!$C$238:$C$451,$C61,'TL15'!$J$238:$J$451),0),
IF('TL16'!$B$3=N$3,SUMIF('TL16'!$C$10:$C$224,$C61,'TL16'!$J$10:$J$224),0),
IF('TL16'!$B$229=N$3,SUMIF('TL16'!$C$238:$C$451,$C61,'TL16'!$J$238:$J$451),0),
IF('TL17'!$B$3=N$3,SUMIF('TL17'!$C$10:$C$224,$C61,'TL17'!$J$10:$J$224),0),
IF('TL17'!$B$229=N$3,SUMIF('TL17'!$C$238:$C$451,$C61,'TL17'!$J$238:$J$451),0),
IF('TL18'!$B$3=N$3,SUMIF('TL18'!$C$10:$C$224,$C61,'TL18'!$J$10:$J$224),0),
IF('TL18'!$B$229=N$3,SUMIF('TL18'!$C$238:$C$451,$C61,'TL18'!$J$238:$J$451),0),
IF('TL19'!$B$3=N$3,SUMIF('TL19'!$C$10:$C$224,$C61,'TL19'!$J$10:$J$224),0),
IF('TL19'!$B$229=N$3,SUMIF('TL19'!$C$238:$C$451,$C61,'TL19'!$J$238:$J$451),0)
),0)</f>
        <v/>
      </c>
      <c r="O61" s="9">
        <f>IFERROR(SUM(
IF('TL01'!$B$3=O$3,SUMIF('TL01'!$C$10:$C$224,$C61,'TL01'!$J$10:$J$224),0),
IF('TL01'!$B$229=O$3,SUMIF('TL01'!$C$238:$C$451,$C61,'TL01'!$J$238:$J$451),0),
IF('TL02'!$B$3=O$3,SUMIF('TL02'!$C$10:$C$224,$C61,'TL02'!$J$10:$J$224),0),
IF('TL02'!$B$229=O$3,SUMIF('TL02'!$C$238:$C$451,$C61,'TL02'!$J$238:$J$451),0),
IF('TL03'!$B$3=O$3,SUMIF('TL03'!$C$10:$C$224,$C61,'TL03'!$J$10:$J$224),0),
IF('TL03'!$B$229=O$3,SUMIF('TL03'!$C$238:$C$451,$C61,'TL03'!$J$238:$J$451),0),
IF('TL04'!$B$3=O$3,SUMIF('TL04'!$C$10:$C$224,$C61,'TL04'!$J$10:$J$224),0),
IF('TL04'!$B$229=O$3,SUMIF('TL04'!$C$238:$C$451,$C61,'TL04'!$J$238:$J$451),0),
IF('TL05'!$B$3=O$3,SUMIF('TL05'!$C$10:$C$224,$C61,'TL05'!$J$10:$J$224),0),
IF('TL05'!$B$229=O$3,SUMIF('TL05'!$C$238:$C$451,$C61,'TL05'!$J$238:$J$451),0),
IF('TL06'!$B$3=O$3,SUMIF('TL06'!$C$10:$C$224,$C61,'TL06'!$J$10:$J$224),0),
IF('TL06'!$B$229=O$3,SUMIF('TL06'!$C$238:$C$451,$C61,'TL06'!$J$238:$J$451),0),
IF('TL07'!$B$3=O$3,SUMIF('TL07'!$C$10:$C$224,$C61,'TL07'!$J$10:$J$224),0),
IF('TL07'!$B$229=O$3,SUMIF('TL07'!$C$238:$C$451,$C61,'TL07'!$J$238:$J$451),0),
IF('TL08'!$B$3=O$3,SUMIF('TL08'!$C$10:$C$224,$C61,'TL08'!$J$10:$J$224),0),
IF('TL08'!$B$229=O$3,SUMIF('TL08'!$C$238:$C$451,$C61,'TL08'!$J$238:$J$451),0),
IF('TL09'!$B$3=O$3,SUMIF('TL09'!$C$10:$C$224,$C61,'TL09'!$J$10:$J$224),0),
IF('TL09'!$B$229=O$3,SUMIF('TL09'!$C$238:$C$451,$C61,'TL09'!$J$238:$J$451),0),
IF('TL10'!$B$3=O$3,SUMIF('TL10'!$C$10:$C$224,$C61,'TL10'!$J$10:$J$224),0),
IF('TL10'!$B$229=O$3,SUMIF('TL10'!$C$238:$C$451,$C61,'TL10'!$J$238:$J$451),0),
IF('TL11'!$B$3=O$3,SUMIF('TL11'!$C$10:$C$224,$C61,'TL11'!$J$10:$J$224),0),
IF('TL11'!$B$229=O$3,SUMIF('TL11'!$C$238:$C$451,$C61,'TL11'!$J$238:$J$451),0),
IF('TL12'!$B$3=O$3,SUMIF('TL12'!$C$10:$C$224,$C61,'TL12'!$J$10:$J$224),0),
IF('TL12'!$B$229=O$3,SUMIF('TL12'!$C$238:$C$451,$C61,'TL12'!$J$238:$J$451),0),
IF('TL13'!$B$3=O$3,SUMIF('TL13'!$C$10:$C$224,$C61,'TL13'!$J$10:$J$224),0),
IF('TL13'!$B$229=O$3,SUMIF('TL13'!$C$238:$C$451,$C61,'TL13'!$J$238:$J$451),0),
IF('TL14'!$B$3=O$3,SUMIF('TL14'!$C$10:$C$224,$C61,'TL14'!$J$10:$J$224),0),
IF('TL14'!$B$229=O$3,SUMIF('TL14'!$C$238:$C$451,$C61,'TL14'!$J$238:$J$451),0),
IF('TL15'!$B$3=O$3,SUMIF('TL15'!$C$10:$C$224,$C61,'TL15'!$J$10:$J$224),0),
IF('TL15'!$B$229=O$3,SUMIF('TL15'!$C$238:$C$451,$C61,'TL15'!$J$238:$J$451),0),
IF('TL16'!$B$3=O$3,SUMIF('TL16'!$C$10:$C$224,$C61,'TL16'!$J$10:$J$224),0),
IF('TL16'!$B$229=O$3,SUMIF('TL16'!$C$238:$C$451,$C61,'TL16'!$J$238:$J$451),0),
IF('TL17'!$B$3=O$3,SUMIF('TL17'!$C$10:$C$224,$C61,'TL17'!$J$10:$J$224),0),
IF('TL17'!$B$229=O$3,SUMIF('TL17'!$C$238:$C$451,$C61,'TL17'!$J$238:$J$451),0),
IF('TL18'!$B$3=O$3,SUMIF('TL18'!$C$10:$C$224,$C61,'TL18'!$J$10:$J$224),0),
IF('TL18'!$B$229=O$3,SUMIF('TL18'!$C$238:$C$451,$C61,'TL18'!$J$238:$J$451),0),
IF('TL19'!$B$3=O$3,SUMIF('TL19'!$C$10:$C$224,$C61,'TL19'!$J$10:$J$224),0),
IF('TL19'!$B$229=O$3,SUMIF('TL19'!$C$238:$C$451,$C61,'TL19'!$J$238:$J$451),0)
),0)</f>
        <v/>
      </c>
      <c r="P61" s="9">
        <f>IFERROR(SUM(
IF('TL01'!$B$3=P$3,SUMIF('TL01'!$C$10:$C$224,$C61,'TL01'!$J$10:$J$224),0),
IF('TL01'!$B$229=P$3,SUMIF('TL01'!$C$238:$C$451,$C61,'TL01'!$J$238:$J$451),0),
IF('TL02'!$B$3=P$3,SUMIF('TL02'!$C$10:$C$224,$C61,'TL02'!$J$10:$J$224),0),
IF('TL02'!$B$229=P$3,SUMIF('TL02'!$C$238:$C$451,$C61,'TL02'!$J$238:$J$451),0),
IF('TL03'!$B$3=P$3,SUMIF('TL03'!$C$10:$C$224,$C61,'TL03'!$J$10:$J$224),0),
IF('TL03'!$B$229=P$3,SUMIF('TL03'!$C$238:$C$451,$C61,'TL03'!$J$238:$J$451),0),
IF('TL04'!$B$3=P$3,SUMIF('TL04'!$C$10:$C$224,$C61,'TL04'!$J$10:$J$224),0),
IF('TL04'!$B$229=P$3,SUMIF('TL04'!$C$238:$C$451,$C61,'TL04'!$J$238:$J$451),0),
IF('TL05'!$B$3=P$3,SUMIF('TL05'!$C$10:$C$224,$C61,'TL05'!$J$10:$J$224),0),
IF('TL05'!$B$229=P$3,SUMIF('TL05'!$C$238:$C$451,$C61,'TL05'!$J$238:$J$451),0),
IF('TL06'!$B$3=P$3,SUMIF('TL06'!$C$10:$C$224,$C61,'TL06'!$J$10:$J$224),0),
IF('TL06'!$B$229=P$3,SUMIF('TL06'!$C$238:$C$451,$C61,'TL06'!$J$238:$J$451),0),
IF('TL07'!$B$3=P$3,SUMIF('TL07'!$C$10:$C$224,$C61,'TL07'!$J$10:$J$224),0),
IF('TL07'!$B$229=P$3,SUMIF('TL07'!$C$238:$C$451,$C61,'TL07'!$J$238:$J$451),0),
IF('TL08'!$B$3=P$3,SUMIF('TL08'!$C$10:$C$224,$C61,'TL08'!$J$10:$J$224),0),
IF('TL08'!$B$229=P$3,SUMIF('TL08'!$C$238:$C$451,$C61,'TL08'!$J$238:$J$451),0),
IF('TL09'!$B$3=P$3,SUMIF('TL09'!$C$10:$C$224,$C61,'TL09'!$J$10:$J$224),0),
IF('TL09'!$B$229=P$3,SUMIF('TL09'!$C$238:$C$451,$C61,'TL09'!$J$238:$J$451),0),
IF('TL10'!$B$3=P$3,SUMIF('TL10'!$C$10:$C$224,$C61,'TL10'!$J$10:$J$224),0),
IF('TL10'!$B$229=P$3,SUMIF('TL10'!$C$238:$C$451,$C61,'TL10'!$J$238:$J$451),0),
IF('TL11'!$B$3=P$3,SUMIF('TL11'!$C$10:$C$224,$C61,'TL11'!$J$10:$J$224),0),
IF('TL11'!$B$229=P$3,SUMIF('TL11'!$C$238:$C$451,$C61,'TL11'!$J$238:$J$451),0),
IF('TL12'!$B$3=P$3,SUMIF('TL12'!$C$10:$C$224,$C61,'TL12'!$J$10:$J$224),0),
IF('TL12'!$B$229=P$3,SUMIF('TL12'!$C$238:$C$451,$C61,'TL12'!$J$238:$J$451),0),
IF('TL13'!$B$3=P$3,SUMIF('TL13'!$C$10:$C$224,$C61,'TL13'!$J$10:$J$224),0),
IF('TL13'!$B$229=P$3,SUMIF('TL13'!$C$238:$C$451,$C61,'TL13'!$J$238:$J$451),0),
IF('TL14'!$B$3=P$3,SUMIF('TL14'!$C$10:$C$224,$C61,'TL14'!$J$10:$J$224),0),
IF('TL14'!$B$229=P$3,SUMIF('TL14'!$C$238:$C$451,$C61,'TL14'!$J$238:$J$451),0),
IF('TL15'!$B$3=P$3,SUMIF('TL15'!$C$10:$C$224,$C61,'TL15'!$J$10:$J$224),0),
IF('TL15'!$B$229=P$3,SUMIF('TL15'!$C$238:$C$451,$C61,'TL15'!$J$238:$J$451),0),
IF('TL16'!$B$3=P$3,SUMIF('TL16'!$C$10:$C$224,$C61,'TL16'!$J$10:$J$224),0),
IF('TL16'!$B$229=P$3,SUMIF('TL16'!$C$238:$C$451,$C61,'TL16'!$J$238:$J$451),0),
IF('TL17'!$B$3=P$3,SUMIF('TL17'!$C$10:$C$224,$C61,'TL17'!$J$10:$J$224),0),
IF('TL17'!$B$229=P$3,SUMIF('TL17'!$C$238:$C$451,$C61,'TL17'!$J$238:$J$451),0),
IF('TL18'!$B$3=P$3,SUMIF('TL18'!$C$10:$C$224,$C61,'TL18'!$J$10:$J$224),0),
IF('TL18'!$B$229=P$3,SUMIF('TL18'!$C$238:$C$451,$C61,'TL18'!$J$238:$J$451),0),
IF('TL19'!$B$3=P$3,SUMIF('TL19'!$C$10:$C$224,$C61,'TL19'!$J$10:$J$224),0),
IF('TL19'!$B$229=P$3,SUMIF('TL19'!$C$238:$C$451,$C61,'TL19'!$J$238:$J$451),0)
),0)</f>
        <v/>
      </c>
      <c r="Q61" s="9">
        <f>IFERROR(SUM(
IF('TL01'!$B$3=Q$3,SUMIF('TL01'!$C$10:$C$224,$C61,'TL01'!$J$10:$J$224),0),
IF('TL01'!$B$229=Q$3,SUMIF('TL01'!$C$238:$C$451,$C61,'TL01'!$J$238:$J$451),0),
IF('TL02'!$B$3=Q$3,SUMIF('TL02'!$C$10:$C$224,$C61,'TL02'!$J$10:$J$224),0),
IF('TL02'!$B$229=Q$3,SUMIF('TL02'!$C$238:$C$451,$C61,'TL02'!$J$238:$J$451),0),
IF('TL03'!$B$3=Q$3,SUMIF('TL03'!$C$10:$C$224,$C61,'TL03'!$J$10:$J$224),0),
IF('TL03'!$B$229=Q$3,SUMIF('TL03'!$C$238:$C$451,$C61,'TL03'!$J$238:$J$451),0),
IF('TL04'!$B$3=Q$3,SUMIF('TL04'!$C$10:$C$224,$C61,'TL04'!$J$10:$J$224),0),
IF('TL04'!$B$229=Q$3,SUMIF('TL04'!$C$238:$C$451,$C61,'TL04'!$J$238:$J$451),0),
IF('TL05'!$B$3=Q$3,SUMIF('TL05'!$C$10:$C$224,$C61,'TL05'!$J$10:$J$224),0),
IF('TL05'!$B$229=Q$3,SUMIF('TL05'!$C$238:$C$451,$C61,'TL05'!$J$238:$J$451),0),
IF('TL06'!$B$3=Q$3,SUMIF('TL06'!$C$10:$C$224,$C61,'TL06'!$J$10:$J$224),0),
IF('TL06'!$B$229=Q$3,SUMIF('TL06'!$C$238:$C$451,$C61,'TL06'!$J$238:$J$451),0),
IF('TL07'!$B$3=Q$3,SUMIF('TL07'!$C$10:$C$224,$C61,'TL07'!$J$10:$J$224),0),
IF('TL07'!$B$229=Q$3,SUMIF('TL07'!$C$238:$C$451,$C61,'TL07'!$J$238:$J$451),0),
IF('TL08'!$B$3=Q$3,SUMIF('TL08'!$C$10:$C$224,$C61,'TL08'!$J$10:$J$224),0),
IF('TL08'!$B$229=Q$3,SUMIF('TL08'!$C$238:$C$451,$C61,'TL08'!$J$238:$J$451),0),
IF('TL09'!$B$3=Q$3,SUMIF('TL09'!$C$10:$C$224,$C61,'TL09'!$J$10:$J$224),0),
IF('TL09'!$B$229=Q$3,SUMIF('TL09'!$C$238:$C$451,$C61,'TL09'!$J$238:$J$451),0),
IF('TL10'!$B$3=Q$3,SUMIF('TL10'!$C$10:$C$224,$C61,'TL10'!$J$10:$J$224),0),
IF('TL10'!$B$229=Q$3,SUMIF('TL10'!$C$238:$C$451,$C61,'TL10'!$J$238:$J$451),0),
IF('TL11'!$B$3=Q$3,SUMIF('TL11'!$C$10:$C$224,$C61,'TL11'!$J$10:$J$224),0),
IF('TL11'!$B$229=Q$3,SUMIF('TL11'!$C$238:$C$451,$C61,'TL11'!$J$238:$J$451),0),
IF('TL12'!$B$3=Q$3,SUMIF('TL12'!$C$10:$C$224,$C61,'TL12'!$J$10:$J$224),0),
IF('TL12'!$B$229=Q$3,SUMIF('TL12'!$C$238:$C$451,$C61,'TL12'!$J$238:$J$451),0),
IF('TL13'!$B$3=Q$3,SUMIF('TL13'!$C$10:$C$224,$C61,'TL13'!$J$10:$J$224),0),
IF('TL13'!$B$229=Q$3,SUMIF('TL13'!$C$238:$C$451,$C61,'TL13'!$J$238:$J$451),0),
IF('TL14'!$B$3=Q$3,SUMIF('TL14'!$C$10:$C$224,$C61,'TL14'!$J$10:$J$224),0),
IF('TL14'!$B$229=Q$3,SUMIF('TL14'!$C$238:$C$451,$C61,'TL14'!$J$238:$J$451),0),
IF('TL15'!$B$3=Q$3,SUMIF('TL15'!$C$10:$C$224,$C61,'TL15'!$J$10:$J$224),0),
IF('TL15'!$B$229=Q$3,SUMIF('TL15'!$C$238:$C$451,$C61,'TL15'!$J$238:$J$451),0),
IF('TL16'!$B$3=Q$3,SUMIF('TL16'!$C$10:$C$224,$C61,'TL16'!$J$10:$J$224),0),
IF('TL16'!$B$229=Q$3,SUMIF('TL16'!$C$238:$C$451,$C61,'TL16'!$J$238:$J$451),0),
IF('TL17'!$B$3=Q$3,SUMIF('TL17'!$C$10:$C$224,$C61,'TL17'!$J$10:$J$224),0),
IF('TL17'!$B$229=Q$3,SUMIF('TL17'!$C$238:$C$451,$C61,'TL17'!$J$238:$J$451),0),
IF('TL18'!$B$3=Q$3,SUMIF('TL18'!$C$10:$C$224,$C61,'TL18'!$J$10:$J$224),0),
IF('TL18'!$B$229=Q$3,SUMIF('TL18'!$C$238:$C$451,$C61,'TL18'!$J$238:$J$451),0),
IF('TL19'!$B$3=Q$3,SUMIF('TL19'!$C$10:$C$224,$C61,'TL19'!$J$10:$J$224),0),
IF('TL19'!$B$229=Q$3,SUMIF('TL19'!$C$238:$C$451,$C61,'TL19'!$J$238:$J$451),0)
),0)</f>
        <v/>
      </c>
      <c r="R61" s="9">
        <f>IFERROR(
SUM(
SUMIF('TL01'!C:C,C61,'TL01'!J:J),
SUMIF('TL02'!C:C,C61,'TL02'!J:J),
SUMIF('TL03'!C:C,C61,'TL03'!J:J),
SUMIF('TL04'!C:C,C61,'TL04'!J:J),
SUMIF('TL05'!C:C,C61,'TL05'!J:J),
SUMIF('TL06'!C:C,C61,'TL06'!J:J),
SUMIF('TL07'!C:C,C61,'TL07'!J:J),
SUMIF('TL08'!C:C,C61,'TL08'!J:J),
SUMIF('TL09'!C:C,C61,'TL09'!J:J),
SUMIF('TL10'!C:C,C61,'TL10'!J:J),
SUMIF('TL11'!C:C,C61,'TL11'!J:J),
SUMIF('TL12'!C:C,C61,'TL12'!J:J),
SUMIF('TL13'!C:C,C61,'TL13'!J:J),
SUMIF('TL14'!C:C,C61,'TL14'!J:J),
SUMIF('TL15'!C:C,C61,'TL15'!J:J),
SUMIF('TL16'!C:C,C61,'TL16'!J:J),
SUMIF('TL17'!C:C,C61,'TL17'!J:J),
SUMIF('TL18'!C:C,C61,'TL18'!J:J),SUMIF('TL19'!C:C,C61,'TL19'!J:J))
,0)</f>
        <v/>
      </c>
      <c r="S61" s="17">
        <f>IFERROR(__xludf.DUMMYFUNCTION("IFERROR(VLOOKUP(C61,
IMPORTRANGE(""1wULbzX32WdYsx-lj2U3uUNBBe2INVIRDtcK0d-Dvl90"",
""26-27!C:G""),
5,
FALSE),
"""")"),67.68)</f>
        <v/>
      </c>
      <c r="T61" s="9" t="n"/>
      <c r="U61" s="92">
        <f>MAX(0,R61-T61)</f>
        <v/>
      </c>
      <c r="V61" s="93">
        <f>U61*S61</f>
        <v/>
      </c>
    </row>
    <row r="62" hidden="1" ht="15.75" customHeight="1" s="297">
      <c r="A62" s="115" t="inlineStr">
        <is>
          <t>CORTEVA</t>
        </is>
      </c>
      <c r="B62" s="100" t="inlineStr">
        <is>
          <t>FUNGICIDA</t>
        </is>
      </c>
      <c r="C62" s="116" t="inlineStr">
        <is>
          <t>BIM MAX</t>
        </is>
      </c>
      <c r="D62" s="116" t="inlineStr">
        <is>
          <t>TRICICLAZOL + TEBUCONAZOL</t>
        </is>
      </c>
      <c r="E62" s="116" t="inlineStr">
        <is>
          <t>200 + 160</t>
        </is>
      </c>
      <c r="F62" s="4" t="inlineStr">
        <is>
          <t>L</t>
        </is>
      </c>
      <c r="G62" s="90">
        <f>HYPERLINK("https://www.google.com/search?q=" &amp; C62 &amp; "+bula+agrofit+pdf", "📄 Ver bula")</f>
        <v/>
      </c>
      <c r="H62" s="9">
        <f>IFERROR(__xludf.DUMMYFUNCTION("IFERROR(VLOOKUP(C62,
IMPORTRANGE(""1wULbzX32WdYsx-lj2U3uUNBBe2INVIRDtcK0d-Dvl90"",
""26-27!C:K""),
8,
FALSE),
"""")"),"")</f>
        <v/>
      </c>
      <c r="I62" s="117" t="inlineStr">
        <is>
          <t>4X5</t>
        </is>
      </c>
      <c r="J62" s="9">
        <f>IFERROR(SUM(
IF('TL01'!$B$3=J$3,SUMIF('TL01'!$C$10:$C$224,$C62,'TL01'!$J$10:$J$224),0),
IF('TL01'!$B$229=J$3,SUMIF('TL01'!$C$238:$C$451,$C62,'TL01'!$J$238:$J$451),0),
IF('TL02'!$B$3=J$3,SUMIF('TL02'!$C$10:$C$224,$C62,'TL02'!$J$10:$J$224),0),
IF('TL02'!$B$229=J$3,SUMIF('TL02'!$C$238:$C$451,$C62,'TL02'!$J$238:$J$451),0),
IF('TL03'!$B$3=J$3,SUMIF('TL03'!$C$10:$C$224,$C62,'TL03'!$J$10:$J$224),0),
IF('TL03'!$B$229=J$3,SUMIF('TL03'!$C$238:$C$451,$C62,'TL03'!$J$238:$J$451),0),
IF('TL04'!$B$3=J$3,SUMIF('TL04'!$C$10:$C$224,$C62,'TL04'!$J$10:$J$224),0),
IF('TL04'!$B$229=J$3,SUMIF('TL04'!$C$238:$C$451,$C62,'TL04'!$J$238:$J$451),0),
IF('TL05'!$B$3=J$3,SUMIF('TL05'!$C$10:$C$224,$C62,'TL05'!$J$10:$J$224),0),
IF('TL05'!$B$229=J$3,SUMIF('TL05'!$C$238:$C$451,$C62,'TL05'!$J$238:$J$451),0),
IF('TL06'!$B$3=J$3,SUMIF('TL06'!$C$10:$C$224,$C62,'TL06'!$J$10:$J$224),0),
IF('TL06'!$B$229=J$3,SUMIF('TL06'!$C$238:$C$451,$C62,'TL06'!$J$238:$J$451),0),
IF('TL07'!$B$3=J$3,SUMIF('TL07'!$C$10:$C$224,$C62,'TL07'!$J$10:$J$224),0),
IF('TL07'!$B$229=J$3,SUMIF('TL07'!$C$238:$C$451,$C62,'TL07'!$J$238:$J$451),0),
IF('TL08'!$B$3=J$3,SUMIF('TL08'!$C$10:$C$224,$C62,'TL08'!$J$10:$J$224),0),
IF('TL08'!$B$229=J$3,SUMIF('TL08'!$C$238:$C$451,$C62,'TL08'!$J$238:$J$451),0),
IF('TL09'!$B$3=J$3,SUMIF('TL09'!$C$10:$C$224,$C62,'TL09'!$J$10:$J$224),0),
IF('TL09'!$B$229=J$3,SUMIF('TL09'!$C$238:$C$451,$C62,'TL09'!$J$238:$J$451),0),
IF('TL10'!$B$3=J$3,SUMIF('TL10'!$C$10:$C$224,$C62,'TL10'!$J$10:$J$224),0),
IF('TL10'!$B$229=J$3,SUMIF('TL10'!$C$238:$C$451,$C62,'TL10'!$J$238:$J$451),0),
IF('TL11'!$B$3=J$3,SUMIF('TL11'!$C$10:$C$224,$C62,'TL11'!$J$10:$J$224),0),
IF('TL11'!$B$229=J$3,SUMIF('TL11'!$C$238:$C$451,$C62,'TL11'!$J$238:$J$451),0),
IF('TL12'!$B$3=J$3,SUMIF('TL12'!$C$10:$C$224,$C62,'TL12'!$J$10:$J$224),0),
IF('TL12'!$B$229=J$3,SUMIF('TL12'!$C$238:$C$451,$C62,'TL12'!$J$238:$J$451),0),
IF('TL13'!$B$3=J$3,SUMIF('TL13'!$C$10:$C$224,$C62,'TL13'!$J$10:$J$224),0),
IF('TL13'!$B$229=J$3,SUMIF('TL13'!$C$238:$C$451,$C62,'TL13'!$J$238:$J$451),0),
IF('TL14'!$B$3=J$3,SUMIF('TL14'!$C$10:$C$224,$C62,'TL14'!$J$10:$J$224),0),
IF('TL14'!$B$229=J$3,SUMIF('TL14'!$C$238:$C$451,$C62,'TL14'!$J$238:$J$451),0),
IF('TL15'!$B$3=J$3,SUMIF('TL15'!$C$10:$C$224,$C62,'TL15'!$J$10:$J$224),0),
IF('TL15'!$B$229=J$3,SUMIF('TL15'!$C$238:$C$451,$C62,'TL15'!$J$238:$J$451),0),
IF('TL16'!$B$3=J$3,SUMIF('TL16'!$C$10:$C$224,$C62,'TL16'!$J$10:$J$224),0),
IF('TL16'!$B$229=J$3,SUMIF('TL16'!$C$238:$C$451,$C62,'TL16'!$J$238:$J$451),0),
IF('TL17'!$B$3=J$3,SUMIF('TL17'!$C$10:$C$224,$C62,'TL17'!$J$10:$J$224),0),
IF('TL17'!$B$229=J$3,SUMIF('TL17'!$C$238:$C$451,$C62,'TL17'!$J$238:$J$451),0),
IF('TL18'!$B$3=J$3,SUMIF('TL18'!$C$10:$C$224,$C62,'TL18'!$J$10:$J$224),0),
IF('TL18'!$B$229=J$3,SUMIF('TL18'!$C$238:$C$451,$C62,'TL18'!$J$238:$J$451),0),
IF('TL19'!$B$3=J$3,SUMIF('TL19'!$C$10:$C$224,$C62,'TL19'!$J$10:$J$224),0),
IF('TL19'!$B$229=J$3,SUMIF('TL19'!$C$238:$C$451,$C62,'TL19'!$J$238:$J$451),0)
),0)</f>
        <v/>
      </c>
      <c r="K62" s="9">
        <f>IFERROR(SUM(
IF('TL01'!$B$3=K$3,SUMIF('TL01'!$C$10:$C$224,$C62,'TL01'!$J$10:$J$224),0),
IF('TL01'!$B$229=K$3,SUMIF('TL01'!$C$238:$C$451,$C62,'TL01'!$J$238:$J$451),0),
IF('TL02'!$B$3=K$3,SUMIF('TL02'!$C$10:$C$224,$C62,'TL02'!$J$10:$J$224),0),
IF('TL02'!$B$229=K$3,SUMIF('TL02'!$C$238:$C$451,$C62,'TL02'!$J$238:$J$451),0),
IF('TL03'!$B$3=K$3,SUMIF('TL03'!$C$10:$C$224,$C62,'TL03'!$J$10:$J$224),0),
IF('TL03'!$B$229=K$3,SUMIF('TL03'!$C$238:$C$451,$C62,'TL03'!$J$238:$J$451),0),
IF('TL04'!$B$3=K$3,SUMIF('TL04'!$C$10:$C$224,$C62,'TL04'!$J$10:$J$224),0),
IF('TL04'!$B$229=K$3,SUMIF('TL04'!$C$238:$C$451,$C62,'TL04'!$J$238:$J$451),0),
IF('TL05'!$B$3=K$3,SUMIF('TL05'!$C$10:$C$224,$C62,'TL05'!$J$10:$J$224),0),
IF('TL05'!$B$229=K$3,SUMIF('TL05'!$C$238:$C$451,$C62,'TL05'!$J$238:$J$451),0),
IF('TL06'!$B$3=K$3,SUMIF('TL06'!$C$10:$C$224,$C62,'TL06'!$J$10:$J$224),0),
IF('TL06'!$B$229=K$3,SUMIF('TL06'!$C$238:$C$451,$C62,'TL06'!$J$238:$J$451),0),
IF('TL07'!$B$3=K$3,SUMIF('TL07'!$C$10:$C$224,$C62,'TL07'!$J$10:$J$224),0),
IF('TL07'!$B$229=K$3,SUMIF('TL07'!$C$238:$C$451,$C62,'TL07'!$J$238:$J$451),0),
IF('TL08'!$B$3=K$3,SUMIF('TL08'!$C$10:$C$224,$C62,'TL08'!$J$10:$J$224),0),
IF('TL08'!$B$229=K$3,SUMIF('TL08'!$C$238:$C$451,$C62,'TL08'!$J$238:$J$451),0),
IF('TL09'!$B$3=K$3,SUMIF('TL09'!$C$10:$C$224,$C62,'TL09'!$J$10:$J$224),0),
IF('TL09'!$B$229=K$3,SUMIF('TL09'!$C$238:$C$451,$C62,'TL09'!$J$238:$J$451),0),
IF('TL10'!$B$3=K$3,SUMIF('TL10'!$C$10:$C$224,$C62,'TL10'!$J$10:$J$224),0),
IF('TL10'!$B$229=K$3,SUMIF('TL10'!$C$238:$C$451,$C62,'TL10'!$J$238:$J$451),0),
IF('TL11'!$B$3=K$3,SUMIF('TL11'!$C$10:$C$224,$C62,'TL11'!$J$10:$J$224),0),
IF('TL11'!$B$229=K$3,SUMIF('TL11'!$C$238:$C$451,$C62,'TL11'!$J$238:$J$451),0),
IF('TL12'!$B$3=K$3,SUMIF('TL12'!$C$10:$C$224,$C62,'TL12'!$J$10:$J$224),0),
IF('TL12'!$B$229=K$3,SUMIF('TL12'!$C$238:$C$451,$C62,'TL12'!$J$238:$J$451),0),
IF('TL13'!$B$3=K$3,SUMIF('TL13'!$C$10:$C$224,$C62,'TL13'!$J$10:$J$224),0),
IF('TL13'!$B$229=K$3,SUMIF('TL13'!$C$238:$C$451,$C62,'TL13'!$J$238:$J$451),0),
IF('TL14'!$B$3=K$3,SUMIF('TL14'!$C$10:$C$224,$C62,'TL14'!$J$10:$J$224),0),
IF('TL14'!$B$229=K$3,SUMIF('TL14'!$C$238:$C$451,$C62,'TL14'!$J$238:$J$451),0),
IF('TL15'!$B$3=K$3,SUMIF('TL15'!$C$10:$C$224,$C62,'TL15'!$J$10:$J$224),0),
IF('TL15'!$B$229=K$3,SUMIF('TL15'!$C$238:$C$451,$C62,'TL15'!$J$238:$J$451),0),
IF('TL16'!$B$3=K$3,SUMIF('TL16'!$C$10:$C$224,$C62,'TL16'!$J$10:$J$224),0),
IF('TL16'!$B$229=K$3,SUMIF('TL16'!$C$238:$C$451,$C62,'TL16'!$J$238:$J$451),0),
IF('TL17'!$B$3=K$3,SUMIF('TL17'!$C$10:$C$224,$C62,'TL17'!$J$10:$J$224),0),
IF('TL17'!$B$229=K$3,SUMIF('TL17'!$C$238:$C$451,$C62,'TL17'!$J$238:$J$451),0),
IF('TL18'!$B$3=K$3,SUMIF('TL18'!$C$10:$C$224,$C62,'TL18'!$J$10:$J$224),0),
IF('TL18'!$B$229=K$3,SUMIF('TL18'!$C$238:$C$451,$C62,'TL18'!$J$238:$J$451),0),
IF('TL19'!$B$3=K$3,SUMIF('TL19'!$C$10:$C$224,$C62,'TL19'!$J$10:$J$224),0),
IF('TL19'!$B$229=K$3,SUMIF('TL19'!$C$238:$C$451,$C62,'TL19'!$J$238:$J$451),0)
),0)</f>
        <v/>
      </c>
      <c r="L62" s="9">
        <f>IFERROR(SUM(
IF('TL01'!$B$3=L$3,SUMIF('TL01'!$C$10:$C$224,$C62,'TL01'!$J$10:$J$224),0),
IF('TL01'!$B$229=L$3,SUMIF('TL01'!$C$238:$C$451,$C62,'TL01'!$J$238:$J$451),0),
IF('TL02'!$B$3=L$3,SUMIF('TL02'!$C$10:$C$224,$C62,'TL02'!$J$10:$J$224),0),
IF('TL02'!$B$229=L$3,SUMIF('TL02'!$C$238:$C$451,$C62,'TL02'!$J$238:$J$451),0),
IF('TL03'!$B$3=L$3,SUMIF('TL03'!$C$10:$C$224,$C62,'TL03'!$J$10:$J$224),0),
IF('TL03'!$B$229=L$3,SUMIF('TL03'!$C$238:$C$451,$C62,'TL03'!$J$238:$J$451),0),
IF('TL04'!$B$3=L$3,SUMIF('TL04'!$C$10:$C$224,$C62,'TL04'!$J$10:$J$224),0),
IF('TL04'!$B$229=L$3,SUMIF('TL04'!$C$238:$C$451,$C62,'TL04'!$J$238:$J$451),0),
IF('TL05'!$B$3=L$3,SUMIF('TL05'!$C$10:$C$224,$C62,'TL05'!$J$10:$J$224),0),
IF('TL05'!$B$229=L$3,SUMIF('TL05'!$C$238:$C$451,$C62,'TL05'!$J$238:$J$451),0),
IF('TL06'!$B$3=L$3,SUMIF('TL06'!$C$10:$C$224,$C62,'TL06'!$J$10:$J$224),0),
IF('TL06'!$B$229=L$3,SUMIF('TL06'!$C$238:$C$451,$C62,'TL06'!$J$238:$J$451),0),
IF('TL07'!$B$3=L$3,SUMIF('TL07'!$C$10:$C$224,$C62,'TL07'!$J$10:$J$224),0),
IF('TL07'!$B$229=L$3,SUMIF('TL07'!$C$238:$C$451,$C62,'TL07'!$J$238:$J$451),0),
IF('TL08'!$B$3=L$3,SUMIF('TL08'!$C$10:$C$224,$C62,'TL08'!$J$10:$J$224),0),
IF('TL08'!$B$229=L$3,SUMIF('TL08'!$C$238:$C$451,$C62,'TL08'!$J$238:$J$451),0),
IF('TL09'!$B$3=L$3,SUMIF('TL09'!$C$10:$C$224,$C62,'TL09'!$J$10:$J$224),0),
IF('TL09'!$B$229=L$3,SUMIF('TL09'!$C$238:$C$451,$C62,'TL09'!$J$238:$J$451),0),
IF('TL10'!$B$3=L$3,SUMIF('TL10'!$C$10:$C$224,$C62,'TL10'!$J$10:$J$224),0),
IF('TL10'!$B$229=L$3,SUMIF('TL10'!$C$238:$C$451,$C62,'TL10'!$J$238:$J$451),0),
IF('TL11'!$B$3=L$3,SUMIF('TL11'!$C$10:$C$224,$C62,'TL11'!$J$10:$J$224),0),
IF('TL11'!$B$229=L$3,SUMIF('TL11'!$C$238:$C$451,$C62,'TL11'!$J$238:$J$451),0),
IF('TL12'!$B$3=L$3,SUMIF('TL12'!$C$10:$C$224,$C62,'TL12'!$J$10:$J$224),0),
IF('TL12'!$B$229=L$3,SUMIF('TL12'!$C$238:$C$451,$C62,'TL12'!$J$238:$J$451),0),
IF('TL13'!$B$3=L$3,SUMIF('TL13'!$C$10:$C$224,$C62,'TL13'!$J$10:$J$224),0),
IF('TL13'!$B$229=L$3,SUMIF('TL13'!$C$238:$C$451,$C62,'TL13'!$J$238:$J$451),0),
IF('TL14'!$B$3=L$3,SUMIF('TL14'!$C$10:$C$224,$C62,'TL14'!$J$10:$J$224),0),
IF('TL14'!$B$229=L$3,SUMIF('TL14'!$C$238:$C$451,$C62,'TL14'!$J$238:$J$451),0),
IF('TL15'!$B$3=L$3,SUMIF('TL15'!$C$10:$C$224,$C62,'TL15'!$J$10:$J$224),0),
IF('TL15'!$B$229=L$3,SUMIF('TL15'!$C$238:$C$451,$C62,'TL15'!$J$238:$J$451),0),
IF('TL16'!$B$3=L$3,SUMIF('TL16'!$C$10:$C$224,$C62,'TL16'!$J$10:$J$224),0),
IF('TL16'!$B$229=L$3,SUMIF('TL16'!$C$238:$C$451,$C62,'TL16'!$J$238:$J$451),0),
IF('TL17'!$B$3=L$3,SUMIF('TL17'!$C$10:$C$224,$C62,'TL17'!$J$10:$J$224),0),
IF('TL17'!$B$229=L$3,SUMIF('TL17'!$C$238:$C$451,$C62,'TL17'!$J$238:$J$451),0),
IF('TL18'!$B$3=L$3,SUMIF('TL18'!$C$10:$C$224,$C62,'TL18'!$J$10:$J$224),0),
IF('TL18'!$B$229=L$3,SUMIF('TL18'!$C$238:$C$451,$C62,'TL18'!$J$238:$J$451),0),
IF('TL19'!$B$3=L$3,SUMIF('TL19'!$C$10:$C$224,$C62,'TL19'!$J$10:$J$224),0),
IF('TL19'!$B$229=L$3,SUMIF('TL19'!$C$238:$C$451,$C62,'TL19'!$J$238:$J$451),0)
),0)</f>
        <v/>
      </c>
      <c r="M62" s="9">
        <f>IFERROR(SUM(
IF('TL01'!$B$3=M$3,SUMIF('TL01'!$C$10:$C$224,$C62,'TL01'!$J$10:$J$224),0),
IF('TL01'!$B$229=M$3,SUMIF('TL01'!$C$238:$C$451,$C62,'TL01'!$J$238:$J$451),0),
IF('TL02'!$B$3=M$3,SUMIF('TL02'!$C$10:$C$224,$C62,'TL02'!$J$10:$J$224),0),
IF('TL02'!$B$229=M$3,SUMIF('TL02'!$C$238:$C$451,$C62,'TL02'!$J$238:$J$451),0),
IF('TL03'!$B$3=M$3,SUMIF('TL03'!$C$10:$C$224,$C62,'TL03'!$J$10:$J$224),0),
IF('TL03'!$B$229=M$3,SUMIF('TL03'!$C$238:$C$451,$C62,'TL03'!$J$238:$J$451),0),
IF('TL04'!$B$3=M$3,SUMIF('TL04'!$C$10:$C$224,$C62,'TL04'!$J$10:$J$224),0),
IF('TL04'!$B$229=M$3,SUMIF('TL04'!$C$238:$C$451,$C62,'TL04'!$J$238:$J$451),0),
IF('TL05'!$B$3=M$3,SUMIF('TL05'!$C$10:$C$224,$C62,'TL05'!$J$10:$J$224),0),
IF('TL05'!$B$229=M$3,SUMIF('TL05'!$C$238:$C$451,$C62,'TL05'!$J$238:$J$451),0),
IF('TL06'!$B$3=M$3,SUMIF('TL06'!$C$10:$C$224,$C62,'TL06'!$J$10:$J$224),0),
IF('TL06'!$B$229=M$3,SUMIF('TL06'!$C$238:$C$451,$C62,'TL06'!$J$238:$J$451),0),
IF('TL07'!$B$3=M$3,SUMIF('TL07'!$C$10:$C$224,$C62,'TL07'!$J$10:$J$224),0),
IF('TL07'!$B$229=M$3,SUMIF('TL07'!$C$238:$C$451,$C62,'TL07'!$J$238:$J$451),0),
IF('TL08'!$B$3=M$3,SUMIF('TL08'!$C$10:$C$224,$C62,'TL08'!$J$10:$J$224),0),
IF('TL08'!$B$229=M$3,SUMIF('TL08'!$C$238:$C$451,$C62,'TL08'!$J$238:$J$451),0),
IF('TL09'!$B$3=M$3,SUMIF('TL09'!$C$10:$C$224,$C62,'TL09'!$J$10:$J$224),0),
IF('TL09'!$B$229=M$3,SUMIF('TL09'!$C$238:$C$451,$C62,'TL09'!$J$238:$J$451),0),
IF('TL10'!$B$3=M$3,SUMIF('TL10'!$C$10:$C$224,$C62,'TL10'!$J$10:$J$224),0),
IF('TL10'!$B$229=M$3,SUMIF('TL10'!$C$238:$C$451,$C62,'TL10'!$J$238:$J$451),0),
IF('TL11'!$B$3=M$3,SUMIF('TL11'!$C$10:$C$224,$C62,'TL11'!$J$10:$J$224),0),
IF('TL11'!$B$229=M$3,SUMIF('TL11'!$C$238:$C$451,$C62,'TL11'!$J$238:$J$451),0),
IF('TL12'!$B$3=M$3,SUMIF('TL12'!$C$10:$C$224,$C62,'TL12'!$J$10:$J$224),0),
IF('TL12'!$B$229=M$3,SUMIF('TL12'!$C$238:$C$451,$C62,'TL12'!$J$238:$J$451),0),
IF('TL13'!$B$3=M$3,SUMIF('TL13'!$C$10:$C$224,$C62,'TL13'!$J$10:$J$224),0),
IF('TL13'!$B$229=M$3,SUMIF('TL13'!$C$238:$C$451,$C62,'TL13'!$J$238:$J$451),0),
IF('TL14'!$B$3=M$3,SUMIF('TL14'!$C$10:$C$224,$C62,'TL14'!$J$10:$J$224),0),
IF('TL14'!$B$229=M$3,SUMIF('TL14'!$C$238:$C$451,$C62,'TL14'!$J$238:$J$451),0),
IF('TL15'!$B$3=M$3,SUMIF('TL15'!$C$10:$C$224,$C62,'TL15'!$J$10:$J$224),0),
IF('TL15'!$B$229=M$3,SUMIF('TL15'!$C$238:$C$451,$C62,'TL15'!$J$238:$J$451),0),
IF('TL16'!$B$3=M$3,SUMIF('TL16'!$C$10:$C$224,$C62,'TL16'!$J$10:$J$224),0),
IF('TL16'!$B$229=M$3,SUMIF('TL16'!$C$238:$C$451,$C62,'TL16'!$J$238:$J$451),0),
IF('TL17'!$B$3=M$3,SUMIF('TL17'!$C$10:$C$224,$C62,'TL17'!$J$10:$J$224),0),
IF('TL17'!$B$229=M$3,SUMIF('TL17'!$C$238:$C$451,$C62,'TL17'!$J$238:$J$451),0),
IF('TL18'!$B$3=M$3,SUMIF('TL18'!$C$10:$C$224,$C62,'TL18'!$J$10:$J$224),0),
IF('TL18'!$B$229=M$3,SUMIF('TL18'!$C$238:$C$451,$C62,'TL18'!$J$238:$J$451),0),
IF('TL19'!$B$3=M$3,SUMIF('TL19'!$C$10:$C$224,$C62,'TL19'!$J$10:$J$224),0),
IF('TL19'!$B$229=M$3,SUMIF('TL19'!$C$238:$C$451,$C62,'TL19'!$J$238:$J$451),0)
),0)</f>
        <v/>
      </c>
      <c r="N62" s="9">
        <f>IFERROR(SUM(
IF('TL01'!$B$3=N$3,SUMIF('TL01'!$C$10:$C$224,$C62,'TL01'!$J$10:$J$224),0),
IF('TL01'!$B$229=N$3,SUMIF('TL01'!$C$238:$C$451,$C62,'TL01'!$J$238:$J$451),0),
IF('TL02'!$B$3=N$3,SUMIF('TL02'!$C$10:$C$224,$C62,'TL02'!$J$10:$J$224),0),
IF('TL02'!$B$229=N$3,SUMIF('TL02'!$C$238:$C$451,$C62,'TL02'!$J$238:$J$451),0),
IF('TL03'!$B$3=N$3,SUMIF('TL03'!$C$10:$C$224,$C62,'TL03'!$J$10:$J$224),0),
IF('TL03'!$B$229=N$3,SUMIF('TL03'!$C$238:$C$451,$C62,'TL03'!$J$238:$J$451),0),
IF('TL04'!$B$3=N$3,SUMIF('TL04'!$C$10:$C$224,$C62,'TL04'!$J$10:$J$224),0),
IF('TL04'!$B$229=N$3,SUMIF('TL04'!$C$238:$C$451,$C62,'TL04'!$J$238:$J$451),0),
IF('TL05'!$B$3=N$3,SUMIF('TL05'!$C$10:$C$224,$C62,'TL05'!$J$10:$J$224),0),
IF('TL05'!$B$229=N$3,SUMIF('TL05'!$C$238:$C$451,$C62,'TL05'!$J$238:$J$451),0),
IF('TL06'!$B$3=N$3,SUMIF('TL06'!$C$10:$C$224,$C62,'TL06'!$J$10:$J$224),0),
IF('TL06'!$B$229=N$3,SUMIF('TL06'!$C$238:$C$451,$C62,'TL06'!$J$238:$J$451),0),
IF('TL07'!$B$3=N$3,SUMIF('TL07'!$C$10:$C$224,$C62,'TL07'!$J$10:$J$224),0),
IF('TL07'!$B$229=N$3,SUMIF('TL07'!$C$238:$C$451,$C62,'TL07'!$J$238:$J$451),0),
IF('TL08'!$B$3=N$3,SUMIF('TL08'!$C$10:$C$224,$C62,'TL08'!$J$10:$J$224),0),
IF('TL08'!$B$229=N$3,SUMIF('TL08'!$C$238:$C$451,$C62,'TL08'!$J$238:$J$451),0),
IF('TL09'!$B$3=N$3,SUMIF('TL09'!$C$10:$C$224,$C62,'TL09'!$J$10:$J$224),0),
IF('TL09'!$B$229=N$3,SUMIF('TL09'!$C$238:$C$451,$C62,'TL09'!$J$238:$J$451),0),
IF('TL10'!$B$3=N$3,SUMIF('TL10'!$C$10:$C$224,$C62,'TL10'!$J$10:$J$224),0),
IF('TL10'!$B$229=N$3,SUMIF('TL10'!$C$238:$C$451,$C62,'TL10'!$J$238:$J$451),0),
IF('TL11'!$B$3=N$3,SUMIF('TL11'!$C$10:$C$224,$C62,'TL11'!$J$10:$J$224),0),
IF('TL11'!$B$229=N$3,SUMIF('TL11'!$C$238:$C$451,$C62,'TL11'!$J$238:$J$451),0),
IF('TL12'!$B$3=N$3,SUMIF('TL12'!$C$10:$C$224,$C62,'TL12'!$J$10:$J$224),0),
IF('TL12'!$B$229=N$3,SUMIF('TL12'!$C$238:$C$451,$C62,'TL12'!$J$238:$J$451),0),
IF('TL13'!$B$3=N$3,SUMIF('TL13'!$C$10:$C$224,$C62,'TL13'!$J$10:$J$224),0),
IF('TL13'!$B$229=N$3,SUMIF('TL13'!$C$238:$C$451,$C62,'TL13'!$J$238:$J$451),0),
IF('TL14'!$B$3=N$3,SUMIF('TL14'!$C$10:$C$224,$C62,'TL14'!$J$10:$J$224),0),
IF('TL14'!$B$229=N$3,SUMIF('TL14'!$C$238:$C$451,$C62,'TL14'!$J$238:$J$451),0),
IF('TL15'!$B$3=N$3,SUMIF('TL15'!$C$10:$C$224,$C62,'TL15'!$J$10:$J$224),0),
IF('TL15'!$B$229=N$3,SUMIF('TL15'!$C$238:$C$451,$C62,'TL15'!$J$238:$J$451),0),
IF('TL16'!$B$3=N$3,SUMIF('TL16'!$C$10:$C$224,$C62,'TL16'!$J$10:$J$224),0),
IF('TL16'!$B$229=N$3,SUMIF('TL16'!$C$238:$C$451,$C62,'TL16'!$J$238:$J$451),0),
IF('TL17'!$B$3=N$3,SUMIF('TL17'!$C$10:$C$224,$C62,'TL17'!$J$10:$J$224),0),
IF('TL17'!$B$229=N$3,SUMIF('TL17'!$C$238:$C$451,$C62,'TL17'!$J$238:$J$451),0),
IF('TL18'!$B$3=N$3,SUMIF('TL18'!$C$10:$C$224,$C62,'TL18'!$J$10:$J$224),0),
IF('TL18'!$B$229=N$3,SUMIF('TL18'!$C$238:$C$451,$C62,'TL18'!$J$238:$J$451),0),
IF('TL19'!$B$3=N$3,SUMIF('TL19'!$C$10:$C$224,$C62,'TL19'!$J$10:$J$224),0),
IF('TL19'!$B$229=N$3,SUMIF('TL19'!$C$238:$C$451,$C62,'TL19'!$J$238:$J$451),0)
),0)</f>
        <v/>
      </c>
      <c r="O62" s="9">
        <f>IFERROR(SUM(
IF('TL01'!$B$3=O$3,SUMIF('TL01'!$C$10:$C$224,$C62,'TL01'!$J$10:$J$224),0),
IF('TL01'!$B$229=O$3,SUMIF('TL01'!$C$238:$C$451,$C62,'TL01'!$J$238:$J$451),0),
IF('TL02'!$B$3=O$3,SUMIF('TL02'!$C$10:$C$224,$C62,'TL02'!$J$10:$J$224),0),
IF('TL02'!$B$229=O$3,SUMIF('TL02'!$C$238:$C$451,$C62,'TL02'!$J$238:$J$451),0),
IF('TL03'!$B$3=O$3,SUMIF('TL03'!$C$10:$C$224,$C62,'TL03'!$J$10:$J$224),0),
IF('TL03'!$B$229=O$3,SUMIF('TL03'!$C$238:$C$451,$C62,'TL03'!$J$238:$J$451),0),
IF('TL04'!$B$3=O$3,SUMIF('TL04'!$C$10:$C$224,$C62,'TL04'!$J$10:$J$224),0),
IF('TL04'!$B$229=O$3,SUMIF('TL04'!$C$238:$C$451,$C62,'TL04'!$J$238:$J$451),0),
IF('TL05'!$B$3=O$3,SUMIF('TL05'!$C$10:$C$224,$C62,'TL05'!$J$10:$J$224),0),
IF('TL05'!$B$229=O$3,SUMIF('TL05'!$C$238:$C$451,$C62,'TL05'!$J$238:$J$451),0),
IF('TL06'!$B$3=O$3,SUMIF('TL06'!$C$10:$C$224,$C62,'TL06'!$J$10:$J$224),0),
IF('TL06'!$B$229=O$3,SUMIF('TL06'!$C$238:$C$451,$C62,'TL06'!$J$238:$J$451),0),
IF('TL07'!$B$3=O$3,SUMIF('TL07'!$C$10:$C$224,$C62,'TL07'!$J$10:$J$224),0),
IF('TL07'!$B$229=O$3,SUMIF('TL07'!$C$238:$C$451,$C62,'TL07'!$J$238:$J$451),0),
IF('TL08'!$B$3=O$3,SUMIF('TL08'!$C$10:$C$224,$C62,'TL08'!$J$10:$J$224),0),
IF('TL08'!$B$229=O$3,SUMIF('TL08'!$C$238:$C$451,$C62,'TL08'!$J$238:$J$451),0),
IF('TL09'!$B$3=O$3,SUMIF('TL09'!$C$10:$C$224,$C62,'TL09'!$J$10:$J$224),0),
IF('TL09'!$B$229=O$3,SUMIF('TL09'!$C$238:$C$451,$C62,'TL09'!$J$238:$J$451),0),
IF('TL10'!$B$3=O$3,SUMIF('TL10'!$C$10:$C$224,$C62,'TL10'!$J$10:$J$224),0),
IF('TL10'!$B$229=O$3,SUMIF('TL10'!$C$238:$C$451,$C62,'TL10'!$J$238:$J$451),0),
IF('TL11'!$B$3=O$3,SUMIF('TL11'!$C$10:$C$224,$C62,'TL11'!$J$10:$J$224),0),
IF('TL11'!$B$229=O$3,SUMIF('TL11'!$C$238:$C$451,$C62,'TL11'!$J$238:$J$451),0),
IF('TL12'!$B$3=O$3,SUMIF('TL12'!$C$10:$C$224,$C62,'TL12'!$J$10:$J$224),0),
IF('TL12'!$B$229=O$3,SUMIF('TL12'!$C$238:$C$451,$C62,'TL12'!$J$238:$J$451),0),
IF('TL13'!$B$3=O$3,SUMIF('TL13'!$C$10:$C$224,$C62,'TL13'!$J$10:$J$224),0),
IF('TL13'!$B$229=O$3,SUMIF('TL13'!$C$238:$C$451,$C62,'TL13'!$J$238:$J$451),0),
IF('TL14'!$B$3=O$3,SUMIF('TL14'!$C$10:$C$224,$C62,'TL14'!$J$10:$J$224),0),
IF('TL14'!$B$229=O$3,SUMIF('TL14'!$C$238:$C$451,$C62,'TL14'!$J$238:$J$451),0),
IF('TL15'!$B$3=O$3,SUMIF('TL15'!$C$10:$C$224,$C62,'TL15'!$J$10:$J$224),0),
IF('TL15'!$B$229=O$3,SUMIF('TL15'!$C$238:$C$451,$C62,'TL15'!$J$238:$J$451),0),
IF('TL16'!$B$3=O$3,SUMIF('TL16'!$C$10:$C$224,$C62,'TL16'!$J$10:$J$224),0),
IF('TL16'!$B$229=O$3,SUMIF('TL16'!$C$238:$C$451,$C62,'TL16'!$J$238:$J$451),0),
IF('TL17'!$B$3=O$3,SUMIF('TL17'!$C$10:$C$224,$C62,'TL17'!$J$10:$J$224),0),
IF('TL17'!$B$229=O$3,SUMIF('TL17'!$C$238:$C$451,$C62,'TL17'!$J$238:$J$451),0),
IF('TL18'!$B$3=O$3,SUMIF('TL18'!$C$10:$C$224,$C62,'TL18'!$J$10:$J$224),0),
IF('TL18'!$B$229=O$3,SUMIF('TL18'!$C$238:$C$451,$C62,'TL18'!$J$238:$J$451),0),
IF('TL19'!$B$3=O$3,SUMIF('TL19'!$C$10:$C$224,$C62,'TL19'!$J$10:$J$224),0),
IF('TL19'!$B$229=O$3,SUMIF('TL19'!$C$238:$C$451,$C62,'TL19'!$J$238:$J$451),0)
),0)</f>
        <v/>
      </c>
      <c r="P62" s="9">
        <f>IFERROR(SUM(
IF('TL01'!$B$3=P$3,SUMIF('TL01'!$C$10:$C$224,$C62,'TL01'!$J$10:$J$224),0),
IF('TL01'!$B$229=P$3,SUMIF('TL01'!$C$238:$C$451,$C62,'TL01'!$J$238:$J$451),0),
IF('TL02'!$B$3=P$3,SUMIF('TL02'!$C$10:$C$224,$C62,'TL02'!$J$10:$J$224),0),
IF('TL02'!$B$229=P$3,SUMIF('TL02'!$C$238:$C$451,$C62,'TL02'!$J$238:$J$451),0),
IF('TL03'!$B$3=P$3,SUMIF('TL03'!$C$10:$C$224,$C62,'TL03'!$J$10:$J$224),0),
IF('TL03'!$B$229=P$3,SUMIF('TL03'!$C$238:$C$451,$C62,'TL03'!$J$238:$J$451),0),
IF('TL04'!$B$3=P$3,SUMIF('TL04'!$C$10:$C$224,$C62,'TL04'!$J$10:$J$224),0),
IF('TL04'!$B$229=P$3,SUMIF('TL04'!$C$238:$C$451,$C62,'TL04'!$J$238:$J$451),0),
IF('TL05'!$B$3=P$3,SUMIF('TL05'!$C$10:$C$224,$C62,'TL05'!$J$10:$J$224),0),
IF('TL05'!$B$229=P$3,SUMIF('TL05'!$C$238:$C$451,$C62,'TL05'!$J$238:$J$451),0),
IF('TL06'!$B$3=P$3,SUMIF('TL06'!$C$10:$C$224,$C62,'TL06'!$J$10:$J$224),0),
IF('TL06'!$B$229=P$3,SUMIF('TL06'!$C$238:$C$451,$C62,'TL06'!$J$238:$J$451),0),
IF('TL07'!$B$3=P$3,SUMIF('TL07'!$C$10:$C$224,$C62,'TL07'!$J$10:$J$224),0),
IF('TL07'!$B$229=P$3,SUMIF('TL07'!$C$238:$C$451,$C62,'TL07'!$J$238:$J$451),0),
IF('TL08'!$B$3=P$3,SUMIF('TL08'!$C$10:$C$224,$C62,'TL08'!$J$10:$J$224),0),
IF('TL08'!$B$229=P$3,SUMIF('TL08'!$C$238:$C$451,$C62,'TL08'!$J$238:$J$451),0),
IF('TL09'!$B$3=P$3,SUMIF('TL09'!$C$10:$C$224,$C62,'TL09'!$J$10:$J$224),0),
IF('TL09'!$B$229=P$3,SUMIF('TL09'!$C$238:$C$451,$C62,'TL09'!$J$238:$J$451),0),
IF('TL10'!$B$3=P$3,SUMIF('TL10'!$C$10:$C$224,$C62,'TL10'!$J$10:$J$224),0),
IF('TL10'!$B$229=P$3,SUMIF('TL10'!$C$238:$C$451,$C62,'TL10'!$J$238:$J$451),0),
IF('TL11'!$B$3=P$3,SUMIF('TL11'!$C$10:$C$224,$C62,'TL11'!$J$10:$J$224),0),
IF('TL11'!$B$229=P$3,SUMIF('TL11'!$C$238:$C$451,$C62,'TL11'!$J$238:$J$451),0),
IF('TL12'!$B$3=P$3,SUMIF('TL12'!$C$10:$C$224,$C62,'TL12'!$J$10:$J$224),0),
IF('TL12'!$B$229=P$3,SUMIF('TL12'!$C$238:$C$451,$C62,'TL12'!$J$238:$J$451),0),
IF('TL13'!$B$3=P$3,SUMIF('TL13'!$C$10:$C$224,$C62,'TL13'!$J$10:$J$224),0),
IF('TL13'!$B$229=P$3,SUMIF('TL13'!$C$238:$C$451,$C62,'TL13'!$J$238:$J$451),0),
IF('TL14'!$B$3=P$3,SUMIF('TL14'!$C$10:$C$224,$C62,'TL14'!$J$10:$J$224),0),
IF('TL14'!$B$229=P$3,SUMIF('TL14'!$C$238:$C$451,$C62,'TL14'!$J$238:$J$451),0),
IF('TL15'!$B$3=P$3,SUMIF('TL15'!$C$10:$C$224,$C62,'TL15'!$J$10:$J$224),0),
IF('TL15'!$B$229=P$3,SUMIF('TL15'!$C$238:$C$451,$C62,'TL15'!$J$238:$J$451),0),
IF('TL16'!$B$3=P$3,SUMIF('TL16'!$C$10:$C$224,$C62,'TL16'!$J$10:$J$224),0),
IF('TL16'!$B$229=P$3,SUMIF('TL16'!$C$238:$C$451,$C62,'TL16'!$J$238:$J$451),0),
IF('TL17'!$B$3=P$3,SUMIF('TL17'!$C$10:$C$224,$C62,'TL17'!$J$10:$J$224),0),
IF('TL17'!$B$229=P$3,SUMIF('TL17'!$C$238:$C$451,$C62,'TL17'!$J$238:$J$451),0),
IF('TL18'!$B$3=P$3,SUMIF('TL18'!$C$10:$C$224,$C62,'TL18'!$J$10:$J$224),0),
IF('TL18'!$B$229=P$3,SUMIF('TL18'!$C$238:$C$451,$C62,'TL18'!$J$238:$J$451),0),
IF('TL19'!$B$3=P$3,SUMIF('TL19'!$C$10:$C$224,$C62,'TL19'!$J$10:$J$224),0),
IF('TL19'!$B$229=P$3,SUMIF('TL19'!$C$238:$C$451,$C62,'TL19'!$J$238:$J$451),0)
),0)</f>
        <v/>
      </c>
      <c r="Q62" s="9">
        <f>IFERROR(SUM(
IF('TL01'!$B$3=Q$3,SUMIF('TL01'!$C$10:$C$224,$C62,'TL01'!$J$10:$J$224),0),
IF('TL01'!$B$229=Q$3,SUMIF('TL01'!$C$238:$C$451,$C62,'TL01'!$J$238:$J$451),0),
IF('TL02'!$B$3=Q$3,SUMIF('TL02'!$C$10:$C$224,$C62,'TL02'!$J$10:$J$224),0),
IF('TL02'!$B$229=Q$3,SUMIF('TL02'!$C$238:$C$451,$C62,'TL02'!$J$238:$J$451),0),
IF('TL03'!$B$3=Q$3,SUMIF('TL03'!$C$10:$C$224,$C62,'TL03'!$J$10:$J$224),0),
IF('TL03'!$B$229=Q$3,SUMIF('TL03'!$C$238:$C$451,$C62,'TL03'!$J$238:$J$451),0),
IF('TL04'!$B$3=Q$3,SUMIF('TL04'!$C$10:$C$224,$C62,'TL04'!$J$10:$J$224),0),
IF('TL04'!$B$229=Q$3,SUMIF('TL04'!$C$238:$C$451,$C62,'TL04'!$J$238:$J$451),0),
IF('TL05'!$B$3=Q$3,SUMIF('TL05'!$C$10:$C$224,$C62,'TL05'!$J$10:$J$224),0),
IF('TL05'!$B$229=Q$3,SUMIF('TL05'!$C$238:$C$451,$C62,'TL05'!$J$238:$J$451),0),
IF('TL06'!$B$3=Q$3,SUMIF('TL06'!$C$10:$C$224,$C62,'TL06'!$J$10:$J$224),0),
IF('TL06'!$B$229=Q$3,SUMIF('TL06'!$C$238:$C$451,$C62,'TL06'!$J$238:$J$451),0),
IF('TL07'!$B$3=Q$3,SUMIF('TL07'!$C$10:$C$224,$C62,'TL07'!$J$10:$J$224),0),
IF('TL07'!$B$229=Q$3,SUMIF('TL07'!$C$238:$C$451,$C62,'TL07'!$J$238:$J$451),0),
IF('TL08'!$B$3=Q$3,SUMIF('TL08'!$C$10:$C$224,$C62,'TL08'!$J$10:$J$224),0),
IF('TL08'!$B$229=Q$3,SUMIF('TL08'!$C$238:$C$451,$C62,'TL08'!$J$238:$J$451),0),
IF('TL09'!$B$3=Q$3,SUMIF('TL09'!$C$10:$C$224,$C62,'TL09'!$J$10:$J$224),0),
IF('TL09'!$B$229=Q$3,SUMIF('TL09'!$C$238:$C$451,$C62,'TL09'!$J$238:$J$451),0),
IF('TL10'!$B$3=Q$3,SUMIF('TL10'!$C$10:$C$224,$C62,'TL10'!$J$10:$J$224),0),
IF('TL10'!$B$229=Q$3,SUMIF('TL10'!$C$238:$C$451,$C62,'TL10'!$J$238:$J$451),0),
IF('TL11'!$B$3=Q$3,SUMIF('TL11'!$C$10:$C$224,$C62,'TL11'!$J$10:$J$224),0),
IF('TL11'!$B$229=Q$3,SUMIF('TL11'!$C$238:$C$451,$C62,'TL11'!$J$238:$J$451),0),
IF('TL12'!$B$3=Q$3,SUMIF('TL12'!$C$10:$C$224,$C62,'TL12'!$J$10:$J$224),0),
IF('TL12'!$B$229=Q$3,SUMIF('TL12'!$C$238:$C$451,$C62,'TL12'!$J$238:$J$451),0),
IF('TL13'!$B$3=Q$3,SUMIF('TL13'!$C$10:$C$224,$C62,'TL13'!$J$10:$J$224),0),
IF('TL13'!$B$229=Q$3,SUMIF('TL13'!$C$238:$C$451,$C62,'TL13'!$J$238:$J$451),0),
IF('TL14'!$B$3=Q$3,SUMIF('TL14'!$C$10:$C$224,$C62,'TL14'!$J$10:$J$224),0),
IF('TL14'!$B$229=Q$3,SUMIF('TL14'!$C$238:$C$451,$C62,'TL14'!$J$238:$J$451),0),
IF('TL15'!$B$3=Q$3,SUMIF('TL15'!$C$10:$C$224,$C62,'TL15'!$J$10:$J$224),0),
IF('TL15'!$B$229=Q$3,SUMIF('TL15'!$C$238:$C$451,$C62,'TL15'!$J$238:$J$451),0),
IF('TL16'!$B$3=Q$3,SUMIF('TL16'!$C$10:$C$224,$C62,'TL16'!$J$10:$J$224),0),
IF('TL16'!$B$229=Q$3,SUMIF('TL16'!$C$238:$C$451,$C62,'TL16'!$J$238:$J$451),0),
IF('TL17'!$B$3=Q$3,SUMIF('TL17'!$C$10:$C$224,$C62,'TL17'!$J$10:$J$224),0),
IF('TL17'!$B$229=Q$3,SUMIF('TL17'!$C$238:$C$451,$C62,'TL17'!$J$238:$J$451),0),
IF('TL18'!$B$3=Q$3,SUMIF('TL18'!$C$10:$C$224,$C62,'TL18'!$J$10:$J$224),0),
IF('TL18'!$B$229=Q$3,SUMIF('TL18'!$C$238:$C$451,$C62,'TL18'!$J$238:$J$451),0),
IF('TL19'!$B$3=Q$3,SUMIF('TL19'!$C$10:$C$224,$C62,'TL19'!$J$10:$J$224),0),
IF('TL19'!$B$229=Q$3,SUMIF('TL19'!$C$238:$C$451,$C62,'TL19'!$J$238:$J$451),0)
),0)</f>
        <v/>
      </c>
      <c r="R62" s="9">
        <f>IFERROR(
SUM(
SUMIF('TL01'!C:C,C62,'TL01'!J:J),
SUMIF('TL02'!C:C,C62,'TL02'!J:J),
SUMIF('TL03'!C:C,C62,'TL03'!J:J),
SUMIF('TL04'!C:C,C62,'TL04'!J:J),
SUMIF('TL05'!C:C,C62,'TL05'!J:J),
SUMIF('TL06'!C:C,C62,'TL06'!J:J),
SUMIF('TL07'!C:C,C62,'TL07'!J:J),
SUMIF('TL08'!C:C,C62,'TL08'!J:J),
SUMIF('TL09'!C:C,C62,'TL09'!J:J),
SUMIF('TL10'!C:C,C62,'TL10'!J:J),
SUMIF('TL11'!C:C,C62,'TL11'!J:J),
SUMIF('TL12'!C:C,C62,'TL12'!J:J),
SUMIF('TL13'!C:C,C62,'TL13'!J:J),
SUMIF('TL14'!C:C,C62,'TL14'!J:J),
SUMIF('TL15'!C:C,C62,'TL15'!J:J),
SUMIF('TL16'!C:C,C62,'TL16'!J:J),
SUMIF('TL17'!C:C,C62,'TL17'!J:J),
SUMIF('TL18'!C:C,C62,'TL18'!J:J),SUMIF('TL19'!C:C,C62,'TL19'!J:J))
,0)</f>
        <v/>
      </c>
      <c r="S62" s="17">
        <f>IFERROR(__xludf.DUMMYFUNCTION("IFERROR(VLOOKUP(C62,
IMPORTRANGE(""1wULbzX32WdYsx-lj2U3uUNBBe2INVIRDtcK0d-Dvl90"",
""26-27!C:G""),
5,
FALSE),
"""")"),67.68)</f>
        <v/>
      </c>
      <c r="T62" s="9" t="n"/>
      <c r="U62" s="92">
        <f>MAX(0,R62-T62)</f>
        <v/>
      </c>
      <c r="V62" s="93">
        <f>U62*S62</f>
        <v/>
      </c>
    </row>
    <row r="63" hidden="1" ht="15.75" customHeight="1" s="297">
      <c r="A63" s="111" t="inlineStr">
        <is>
          <t>CORTEVA</t>
        </is>
      </c>
      <c r="B63" s="112" t="inlineStr">
        <is>
          <t>FUNGICIDA</t>
        </is>
      </c>
      <c r="C63" s="113" t="inlineStr">
        <is>
          <t>ORANIS</t>
        </is>
      </c>
      <c r="D63" s="113" t="inlineStr">
        <is>
          <t>PICOXISTROBINA</t>
        </is>
      </c>
      <c r="E63" s="113" t="n">
        <v>250</v>
      </c>
      <c r="F63" s="4" t="inlineStr">
        <is>
          <t>L</t>
        </is>
      </c>
      <c r="G63" s="90">
        <f>HYPERLINK("https://www.google.com/search?q=" &amp; C63 &amp; "+bula+agrofit+pdf", "📄 Ver bula")</f>
        <v/>
      </c>
      <c r="H63" s="9">
        <f>IFERROR(__xludf.DUMMYFUNCTION("IFERROR(VLOOKUP(C63,
IMPORTRANGE(""1wULbzX32WdYsx-lj2U3uUNBBe2INVIRDtcK0d-Dvl90"",
""26-27!C:K""),
8,
FALSE),
"""")"),0.25)</f>
        <v/>
      </c>
      <c r="I63" s="114" t="inlineStr">
        <is>
          <t>1x10</t>
        </is>
      </c>
      <c r="J63" s="9">
        <f>IFERROR(SUM(
IF('TL01'!$B$3=J$3,SUMIF('TL01'!$C$10:$C$224,$C63,'TL01'!$J$10:$J$224),0),
IF('TL01'!$B$229=J$3,SUMIF('TL01'!$C$238:$C$451,$C63,'TL01'!$J$238:$J$451),0),
IF('TL02'!$B$3=J$3,SUMIF('TL02'!$C$10:$C$224,$C63,'TL02'!$J$10:$J$224),0),
IF('TL02'!$B$229=J$3,SUMIF('TL02'!$C$238:$C$451,$C63,'TL02'!$J$238:$J$451),0),
IF('TL03'!$B$3=J$3,SUMIF('TL03'!$C$10:$C$224,$C63,'TL03'!$J$10:$J$224),0),
IF('TL03'!$B$229=J$3,SUMIF('TL03'!$C$238:$C$451,$C63,'TL03'!$J$238:$J$451),0),
IF('TL04'!$B$3=J$3,SUMIF('TL04'!$C$10:$C$224,$C63,'TL04'!$J$10:$J$224),0),
IF('TL04'!$B$229=J$3,SUMIF('TL04'!$C$238:$C$451,$C63,'TL04'!$J$238:$J$451),0),
IF('TL05'!$B$3=J$3,SUMIF('TL05'!$C$10:$C$224,$C63,'TL05'!$J$10:$J$224),0),
IF('TL05'!$B$229=J$3,SUMIF('TL05'!$C$238:$C$451,$C63,'TL05'!$J$238:$J$451),0),
IF('TL06'!$B$3=J$3,SUMIF('TL06'!$C$10:$C$224,$C63,'TL06'!$J$10:$J$224),0),
IF('TL06'!$B$229=J$3,SUMIF('TL06'!$C$238:$C$451,$C63,'TL06'!$J$238:$J$451),0),
IF('TL07'!$B$3=J$3,SUMIF('TL07'!$C$10:$C$224,$C63,'TL07'!$J$10:$J$224),0),
IF('TL07'!$B$229=J$3,SUMIF('TL07'!$C$238:$C$451,$C63,'TL07'!$J$238:$J$451),0),
IF('TL08'!$B$3=J$3,SUMIF('TL08'!$C$10:$C$224,$C63,'TL08'!$J$10:$J$224),0),
IF('TL08'!$B$229=J$3,SUMIF('TL08'!$C$238:$C$451,$C63,'TL08'!$J$238:$J$451),0),
IF('TL09'!$B$3=J$3,SUMIF('TL09'!$C$10:$C$224,$C63,'TL09'!$J$10:$J$224),0),
IF('TL09'!$B$229=J$3,SUMIF('TL09'!$C$238:$C$451,$C63,'TL09'!$J$238:$J$451),0),
IF('TL10'!$B$3=J$3,SUMIF('TL10'!$C$10:$C$224,$C63,'TL10'!$J$10:$J$224),0),
IF('TL10'!$B$229=J$3,SUMIF('TL10'!$C$238:$C$451,$C63,'TL10'!$J$238:$J$451),0),
IF('TL11'!$B$3=J$3,SUMIF('TL11'!$C$10:$C$224,$C63,'TL11'!$J$10:$J$224),0),
IF('TL11'!$B$229=J$3,SUMIF('TL11'!$C$238:$C$451,$C63,'TL11'!$J$238:$J$451),0),
IF('TL12'!$B$3=J$3,SUMIF('TL12'!$C$10:$C$224,$C63,'TL12'!$J$10:$J$224),0),
IF('TL12'!$B$229=J$3,SUMIF('TL12'!$C$238:$C$451,$C63,'TL12'!$J$238:$J$451),0),
IF('TL13'!$B$3=J$3,SUMIF('TL13'!$C$10:$C$224,$C63,'TL13'!$J$10:$J$224),0),
IF('TL13'!$B$229=J$3,SUMIF('TL13'!$C$238:$C$451,$C63,'TL13'!$J$238:$J$451),0),
IF('TL14'!$B$3=J$3,SUMIF('TL14'!$C$10:$C$224,$C63,'TL14'!$J$10:$J$224),0),
IF('TL14'!$B$229=J$3,SUMIF('TL14'!$C$238:$C$451,$C63,'TL14'!$J$238:$J$451),0),
IF('TL15'!$B$3=J$3,SUMIF('TL15'!$C$10:$C$224,$C63,'TL15'!$J$10:$J$224),0),
IF('TL15'!$B$229=J$3,SUMIF('TL15'!$C$238:$C$451,$C63,'TL15'!$J$238:$J$451),0),
IF('TL16'!$B$3=J$3,SUMIF('TL16'!$C$10:$C$224,$C63,'TL16'!$J$10:$J$224),0),
IF('TL16'!$B$229=J$3,SUMIF('TL16'!$C$238:$C$451,$C63,'TL16'!$J$238:$J$451),0),
IF('TL17'!$B$3=J$3,SUMIF('TL17'!$C$10:$C$224,$C63,'TL17'!$J$10:$J$224),0),
IF('TL17'!$B$229=J$3,SUMIF('TL17'!$C$238:$C$451,$C63,'TL17'!$J$238:$J$451),0),
IF('TL18'!$B$3=J$3,SUMIF('TL18'!$C$10:$C$224,$C63,'TL18'!$J$10:$J$224),0),
IF('TL18'!$B$229=J$3,SUMIF('TL18'!$C$238:$C$451,$C63,'TL18'!$J$238:$J$451),0),
IF('TL19'!$B$3=J$3,SUMIF('TL19'!$C$10:$C$224,$C63,'TL19'!$J$10:$J$224),0),
IF('TL19'!$B$229=J$3,SUMIF('TL19'!$C$238:$C$451,$C63,'TL19'!$J$238:$J$451),0)
),0)</f>
        <v/>
      </c>
      <c r="K63" s="9">
        <f>IFERROR(SUM(
IF('TL01'!$B$3=K$3,SUMIF('TL01'!$C$10:$C$224,$C63,'TL01'!$J$10:$J$224),0),
IF('TL01'!$B$229=K$3,SUMIF('TL01'!$C$238:$C$451,$C63,'TL01'!$J$238:$J$451),0),
IF('TL02'!$B$3=K$3,SUMIF('TL02'!$C$10:$C$224,$C63,'TL02'!$J$10:$J$224),0),
IF('TL02'!$B$229=K$3,SUMIF('TL02'!$C$238:$C$451,$C63,'TL02'!$J$238:$J$451),0),
IF('TL03'!$B$3=K$3,SUMIF('TL03'!$C$10:$C$224,$C63,'TL03'!$J$10:$J$224),0),
IF('TL03'!$B$229=K$3,SUMIF('TL03'!$C$238:$C$451,$C63,'TL03'!$J$238:$J$451),0),
IF('TL04'!$B$3=K$3,SUMIF('TL04'!$C$10:$C$224,$C63,'TL04'!$J$10:$J$224),0),
IF('TL04'!$B$229=K$3,SUMIF('TL04'!$C$238:$C$451,$C63,'TL04'!$J$238:$J$451),0),
IF('TL05'!$B$3=K$3,SUMIF('TL05'!$C$10:$C$224,$C63,'TL05'!$J$10:$J$224),0),
IF('TL05'!$B$229=K$3,SUMIF('TL05'!$C$238:$C$451,$C63,'TL05'!$J$238:$J$451),0),
IF('TL06'!$B$3=K$3,SUMIF('TL06'!$C$10:$C$224,$C63,'TL06'!$J$10:$J$224),0),
IF('TL06'!$B$229=K$3,SUMIF('TL06'!$C$238:$C$451,$C63,'TL06'!$J$238:$J$451),0),
IF('TL07'!$B$3=K$3,SUMIF('TL07'!$C$10:$C$224,$C63,'TL07'!$J$10:$J$224),0),
IF('TL07'!$B$229=K$3,SUMIF('TL07'!$C$238:$C$451,$C63,'TL07'!$J$238:$J$451),0),
IF('TL08'!$B$3=K$3,SUMIF('TL08'!$C$10:$C$224,$C63,'TL08'!$J$10:$J$224),0),
IF('TL08'!$B$229=K$3,SUMIF('TL08'!$C$238:$C$451,$C63,'TL08'!$J$238:$J$451),0),
IF('TL09'!$B$3=K$3,SUMIF('TL09'!$C$10:$C$224,$C63,'TL09'!$J$10:$J$224),0),
IF('TL09'!$B$229=K$3,SUMIF('TL09'!$C$238:$C$451,$C63,'TL09'!$J$238:$J$451),0),
IF('TL10'!$B$3=K$3,SUMIF('TL10'!$C$10:$C$224,$C63,'TL10'!$J$10:$J$224),0),
IF('TL10'!$B$229=K$3,SUMIF('TL10'!$C$238:$C$451,$C63,'TL10'!$J$238:$J$451),0),
IF('TL11'!$B$3=K$3,SUMIF('TL11'!$C$10:$C$224,$C63,'TL11'!$J$10:$J$224),0),
IF('TL11'!$B$229=K$3,SUMIF('TL11'!$C$238:$C$451,$C63,'TL11'!$J$238:$J$451),0),
IF('TL12'!$B$3=K$3,SUMIF('TL12'!$C$10:$C$224,$C63,'TL12'!$J$10:$J$224),0),
IF('TL12'!$B$229=K$3,SUMIF('TL12'!$C$238:$C$451,$C63,'TL12'!$J$238:$J$451),0),
IF('TL13'!$B$3=K$3,SUMIF('TL13'!$C$10:$C$224,$C63,'TL13'!$J$10:$J$224),0),
IF('TL13'!$B$229=K$3,SUMIF('TL13'!$C$238:$C$451,$C63,'TL13'!$J$238:$J$451),0),
IF('TL14'!$B$3=K$3,SUMIF('TL14'!$C$10:$C$224,$C63,'TL14'!$J$10:$J$224),0),
IF('TL14'!$B$229=K$3,SUMIF('TL14'!$C$238:$C$451,$C63,'TL14'!$J$238:$J$451),0),
IF('TL15'!$B$3=K$3,SUMIF('TL15'!$C$10:$C$224,$C63,'TL15'!$J$10:$J$224),0),
IF('TL15'!$B$229=K$3,SUMIF('TL15'!$C$238:$C$451,$C63,'TL15'!$J$238:$J$451),0),
IF('TL16'!$B$3=K$3,SUMIF('TL16'!$C$10:$C$224,$C63,'TL16'!$J$10:$J$224),0),
IF('TL16'!$B$229=K$3,SUMIF('TL16'!$C$238:$C$451,$C63,'TL16'!$J$238:$J$451),0),
IF('TL17'!$B$3=K$3,SUMIF('TL17'!$C$10:$C$224,$C63,'TL17'!$J$10:$J$224),0),
IF('TL17'!$B$229=K$3,SUMIF('TL17'!$C$238:$C$451,$C63,'TL17'!$J$238:$J$451),0),
IF('TL18'!$B$3=K$3,SUMIF('TL18'!$C$10:$C$224,$C63,'TL18'!$J$10:$J$224),0),
IF('TL18'!$B$229=K$3,SUMIF('TL18'!$C$238:$C$451,$C63,'TL18'!$J$238:$J$451),0),
IF('TL19'!$B$3=K$3,SUMIF('TL19'!$C$10:$C$224,$C63,'TL19'!$J$10:$J$224),0),
IF('TL19'!$B$229=K$3,SUMIF('TL19'!$C$238:$C$451,$C63,'TL19'!$J$238:$J$451),0)
),0)</f>
        <v/>
      </c>
      <c r="L63" s="9">
        <f>IFERROR(SUM(
IF('TL01'!$B$3=L$3,SUMIF('TL01'!$C$10:$C$224,$C63,'TL01'!$J$10:$J$224),0),
IF('TL01'!$B$229=L$3,SUMIF('TL01'!$C$238:$C$451,$C63,'TL01'!$J$238:$J$451),0),
IF('TL02'!$B$3=L$3,SUMIF('TL02'!$C$10:$C$224,$C63,'TL02'!$J$10:$J$224),0),
IF('TL02'!$B$229=L$3,SUMIF('TL02'!$C$238:$C$451,$C63,'TL02'!$J$238:$J$451),0),
IF('TL03'!$B$3=L$3,SUMIF('TL03'!$C$10:$C$224,$C63,'TL03'!$J$10:$J$224),0),
IF('TL03'!$B$229=L$3,SUMIF('TL03'!$C$238:$C$451,$C63,'TL03'!$J$238:$J$451),0),
IF('TL04'!$B$3=L$3,SUMIF('TL04'!$C$10:$C$224,$C63,'TL04'!$J$10:$J$224),0),
IF('TL04'!$B$229=L$3,SUMIF('TL04'!$C$238:$C$451,$C63,'TL04'!$J$238:$J$451),0),
IF('TL05'!$B$3=L$3,SUMIF('TL05'!$C$10:$C$224,$C63,'TL05'!$J$10:$J$224),0),
IF('TL05'!$B$229=L$3,SUMIF('TL05'!$C$238:$C$451,$C63,'TL05'!$J$238:$J$451),0),
IF('TL06'!$B$3=L$3,SUMIF('TL06'!$C$10:$C$224,$C63,'TL06'!$J$10:$J$224),0),
IF('TL06'!$B$229=L$3,SUMIF('TL06'!$C$238:$C$451,$C63,'TL06'!$J$238:$J$451),0),
IF('TL07'!$B$3=L$3,SUMIF('TL07'!$C$10:$C$224,$C63,'TL07'!$J$10:$J$224),0),
IF('TL07'!$B$229=L$3,SUMIF('TL07'!$C$238:$C$451,$C63,'TL07'!$J$238:$J$451),0),
IF('TL08'!$B$3=L$3,SUMIF('TL08'!$C$10:$C$224,$C63,'TL08'!$J$10:$J$224),0),
IF('TL08'!$B$229=L$3,SUMIF('TL08'!$C$238:$C$451,$C63,'TL08'!$J$238:$J$451),0),
IF('TL09'!$B$3=L$3,SUMIF('TL09'!$C$10:$C$224,$C63,'TL09'!$J$10:$J$224),0),
IF('TL09'!$B$229=L$3,SUMIF('TL09'!$C$238:$C$451,$C63,'TL09'!$J$238:$J$451),0),
IF('TL10'!$B$3=L$3,SUMIF('TL10'!$C$10:$C$224,$C63,'TL10'!$J$10:$J$224),0),
IF('TL10'!$B$229=L$3,SUMIF('TL10'!$C$238:$C$451,$C63,'TL10'!$J$238:$J$451),0),
IF('TL11'!$B$3=L$3,SUMIF('TL11'!$C$10:$C$224,$C63,'TL11'!$J$10:$J$224),0),
IF('TL11'!$B$229=L$3,SUMIF('TL11'!$C$238:$C$451,$C63,'TL11'!$J$238:$J$451),0),
IF('TL12'!$B$3=L$3,SUMIF('TL12'!$C$10:$C$224,$C63,'TL12'!$J$10:$J$224),0),
IF('TL12'!$B$229=L$3,SUMIF('TL12'!$C$238:$C$451,$C63,'TL12'!$J$238:$J$451),0),
IF('TL13'!$B$3=L$3,SUMIF('TL13'!$C$10:$C$224,$C63,'TL13'!$J$10:$J$224),0),
IF('TL13'!$B$229=L$3,SUMIF('TL13'!$C$238:$C$451,$C63,'TL13'!$J$238:$J$451),0),
IF('TL14'!$B$3=L$3,SUMIF('TL14'!$C$10:$C$224,$C63,'TL14'!$J$10:$J$224),0),
IF('TL14'!$B$229=L$3,SUMIF('TL14'!$C$238:$C$451,$C63,'TL14'!$J$238:$J$451),0),
IF('TL15'!$B$3=L$3,SUMIF('TL15'!$C$10:$C$224,$C63,'TL15'!$J$10:$J$224),0),
IF('TL15'!$B$229=L$3,SUMIF('TL15'!$C$238:$C$451,$C63,'TL15'!$J$238:$J$451),0),
IF('TL16'!$B$3=L$3,SUMIF('TL16'!$C$10:$C$224,$C63,'TL16'!$J$10:$J$224),0),
IF('TL16'!$B$229=L$3,SUMIF('TL16'!$C$238:$C$451,$C63,'TL16'!$J$238:$J$451),0),
IF('TL17'!$B$3=L$3,SUMIF('TL17'!$C$10:$C$224,$C63,'TL17'!$J$10:$J$224),0),
IF('TL17'!$B$229=L$3,SUMIF('TL17'!$C$238:$C$451,$C63,'TL17'!$J$238:$J$451),0),
IF('TL18'!$B$3=L$3,SUMIF('TL18'!$C$10:$C$224,$C63,'TL18'!$J$10:$J$224),0),
IF('TL18'!$B$229=L$3,SUMIF('TL18'!$C$238:$C$451,$C63,'TL18'!$J$238:$J$451),0),
IF('TL19'!$B$3=L$3,SUMIF('TL19'!$C$10:$C$224,$C63,'TL19'!$J$10:$J$224),0),
IF('TL19'!$B$229=L$3,SUMIF('TL19'!$C$238:$C$451,$C63,'TL19'!$J$238:$J$451),0)
),0)</f>
        <v/>
      </c>
      <c r="M63" s="9">
        <f>IFERROR(SUM(
IF('TL01'!$B$3=M$3,SUMIF('TL01'!$C$10:$C$224,$C63,'TL01'!$J$10:$J$224),0),
IF('TL01'!$B$229=M$3,SUMIF('TL01'!$C$238:$C$451,$C63,'TL01'!$J$238:$J$451),0),
IF('TL02'!$B$3=M$3,SUMIF('TL02'!$C$10:$C$224,$C63,'TL02'!$J$10:$J$224),0),
IF('TL02'!$B$229=M$3,SUMIF('TL02'!$C$238:$C$451,$C63,'TL02'!$J$238:$J$451),0),
IF('TL03'!$B$3=M$3,SUMIF('TL03'!$C$10:$C$224,$C63,'TL03'!$J$10:$J$224),0),
IF('TL03'!$B$229=M$3,SUMIF('TL03'!$C$238:$C$451,$C63,'TL03'!$J$238:$J$451),0),
IF('TL04'!$B$3=M$3,SUMIF('TL04'!$C$10:$C$224,$C63,'TL04'!$J$10:$J$224),0),
IF('TL04'!$B$229=M$3,SUMIF('TL04'!$C$238:$C$451,$C63,'TL04'!$J$238:$J$451),0),
IF('TL05'!$B$3=M$3,SUMIF('TL05'!$C$10:$C$224,$C63,'TL05'!$J$10:$J$224),0),
IF('TL05'!$B$229=M$3,SUMIF('TL05'!$C$238:$C$451,$C63,'TL05'!$J$238:$J$451),0),
IF('TL06'!$B$3=M$3,SUMIF('TL06'!$C$10:$C$224,$C63,'TL06'!$J$10:$J$224),0),
IF('TL06'!$B$229=M$3,SUMIF('TL06'!$C$238:$C$451,$C63,'TL06'!$J$238:$J$451),0),
IF('TL07'!$B$3=M$3,SUMIF('TL07'!$C$10:$C$224,$C63,'TL07'!$J$10:$J$224),0),
IF('TL07'!$B$229=M$3,SUMIF('TL07'!$C$238:$C$451,$C63,'TL07'!$J$238:$J$451),0),
IF('TL08'!$B$3=M$3,SUMIF('TL08'!$C$10:$C$224,$C63,'TL08'!$J$10:$J$224),0),
IF('TL08'!$B$229=M$3,SUMIF('TL08'!$C$238:$C$451,$C63,'TL08'!$J$238:$J$451),0),
IF('TL09'!$B$3=M$3,SUMIF('TL09'!$C$10:$C$224,$C63,'TL09'!$J$10:$J$224),0),
IF('TL09'!$B$229=M$3,SUMIF('TL09'!$C$238:$C$451,$C63,'TL09'!$J$238:$J$451),0),
IF('TL10'!$B$3=M$3,SUMIF('TL10'!$C$10:$C$224,$C63,'TL10'!$J$10:$J$224),0),
IF('TL10'!$B$229=M$3,SUMIF('TL10'!$C$238:$C$451,$C63,'TL10'!$J$238:$J$451),0),
IF('TL11'!$B$3=M$3,SUMIF('TL11'!$C$10:$C$224,$C63,'TL11'!$J$10:$J$224),0),
IF('TL11'!$B$229=M$3,SUMIF('TL11'!$C$238:$C$451,$C63,'TL11'!$J$238:$J$451),0),
IF('TL12'!$B$3=M$3,SUMIF('TL12'!$C$10:$C$224,$C63,'TL12'!$J$10:$J$224),0),
IF('TL12'!$B$229=M$3,SUMIF('TL12'!$C$238:$C$451,$C63,'TL12'!$J$238:$J$451),0),
IF('TL13'!$B$3=M$3,SUMIF('TL13'!$C$10:$C$224,$C63,'TL13'!$J$10:$J$224),0),
IF('TL13'!$B$229=M$3,SUMIF('TL13'!$C$238:$C$451,$C63,'TL13'!$J$238:$J$451),0),
IF('TL14'!$B$3=M$3,SUMIF('TL14'!$C$10:$C$224,$C63,'TL14'!$J$10:$J$224),0),
IF('TL14'!$B$229=M$3,SUMIF('TL14'!$C$238:$C$451,$C63,'TL14'!$J$238:$J$451),0),
IF('TL15'!$B$3=M$3,SUMIF('TL15'!$C$10:$C$224,$C63,'TL15'!$J$10:$J$224),0),
IF('TL15'!$B$229=M$3,SUMIF('TL15'!$C$238:$C$451,$C63,'TL15'!$J$238:$J$451),0),
IF('TL16'!$B$3=M$3,SUMIF('TL16'!$C$10:$C$224,$C63,'TL16'!$J$10:$J$224),0),
IF('TL16'!$B$229=M$3,SUMIF('TL16'!$C$238:$C$451,$C63,'TL16'!$J$238:$J$451),0),
IF('TL17'!$B$3=M$3,SUMIF('TL17'!$C$10:$C$224,$C63,'TL17'!$J$10:$J$224),0),
IF('TL17'!$B$229=M$3,SUMIF('TL17'!$C$238:$C$451,$C63,'TL17'!$J$238:$J$451),0),
IF('TL18'!$B$3=M$3,SUMIF('TL18'!$C$10:$C$224,$C63,'TL18'!$J$10:$J$224),0),
IF('TL18'!$B$229=M$3,SUMIF('TL18'!$C$238:$C$451,$C63,'TL18'!$J$238:$J$451),0),
IF('TL19'!$B$3=M$3,SUMIF('TL19'!$C$10:$C$224,$C63,'TL19'!$J$10:$J$224),0),
IF('TL19'!$B$229=M$3,SUMIF('TL19'!$C$238:$C$451,$C63,'TL19'!$J$238:$J$451),0)
),0)</f>
        <v/>
      </c>
      <c r="N63" s="9">
        <f>IFERROR(SUM(
IF('TL01'!$B$3=N$3,SUMIF('TL01'!$C$10:$C$224,$C63,'TL01'!$J$10:$J$224),0),
IF('TL01'!$B$229=N$3,SUMIF('TL01'!$C$238:$C$451,$C63,'TL01'!$J$238:$J$451),0),
IF('TL02'!$B$3=N$3,SUMIF('TL02'!$C$10:$C$224,$C63,'TL02'!$J$10:$J$224),0),
IF('TL02'!$B$229=N$3,SUMIF('TL02'!$C$238:$C$451,$C63,'TL02'!$J$238:$J$451),0),
IF('TL03'!$B$3=N$3,SUMIF('TL03'!$C$10:$C$224,$C63,'TL03'!$J$10:$J$224),0),
IF('TL03'!$B$229=N$3,SUMIF('TL03'!$C$238:$C$451,$C63,'TL03'!$J$238:$J$451),0),
IF('TL04'!$B$3=N$3,SUMIF('TL04'!$C$10:$C$224,$C63,'TL04'!$J$10:$J$224),0),
IF('TL04'!$B$229=N$3,SUMIF('TL04'!$C$238:$C$451,$C63,'TL04'!$J$238:$J$451),0),
IF('TL05'!$B$3=N$3,SUMIF('TL05'!$C$10:$C$224,$C63,'TL05'!$J$10:$J$224),0),
IF('TL05'!$B$229=N$3,SUMIF('TL05'!$C$238:$C$451,$C63,'TL05'!$J$238:$J$451),0),
IF('TL06'!$B$3=N$3,SUMIF('TL06'!$C$10:$C$224,$C63,'TL06'!$J$10:$J$224),0),
IF('TL06'!$B$229=N$3,SUMIF('TL06'!$C$238:$C$451,$C63,'TL06'!$J$238:$J$451),0),
IF('TL07'!$B$3=N$3,SUMIF('TL07'!$C$10:$C$224,$C63,'TL07'!$J$10:$J$224),0),
IF('TL07'!$B$229=N$3,SUMIF('TL07'!$C$238:$C$451,$C63,'TL07'!$J$238:$J$451),0),
IF('TL08'!$B$3=N$3,SUMIF('TL08'!$C$10:$C$224,$C63,'TL08'!$J$10:$J$224),0),
IF('TL08'!$B$229=N$3,SUMIF('TL08'!$C$238:$C$451,$C63,'TL08'!$J$238:$J$451),0),
IF('TL09'!$B$3=N$3,SUMIF('TL09'!$C$10:$C$224,$C63,'TL09'!$J$10:$J$224),0),
IF('TL09'!$B$229=N$3,SUMIF('TL09'!$C$238:$C$451,$C63,'TL09'!$J$238:$J$451),0),
IF('TL10'!$B$3=N$3,SUMIF('TL10'!$C$10:$C$224,$C63,'TL10'!$J$10:$J$224),0),
IF('TL10'!$B$229=N$3,SUMIF('TL10'!$C$238:$C$451,$C63,'TL10'!$J$238:$J$451),0),
IF('TL11'!$B$3=N$3,SUMIF('TL11'!$C$10:$C$224,$C63,'TL11'!$J$10:$J$224),0),
IF('TL11'!$B$229=N$3,SUMIF('TL11'!$C$238:$C$451,$C63,'TL11'!$J$238:$J$451),0),
IF('TL12'!$B$3=N$3,SUMIF('TL12'!$C$10:$C$224,$C63,'TL12'!$J$10:$J$224),0),
IF('TL12'!$B$229=N$3,SUMIF('TL12'!$C$238:$C$451,$C63,'TL12'!$J$238:$J$451),0),
IF('TL13'!$B$3=N$3,SUMIF('TL13'!$C$10:$C$224,$C63,'TL13'!$J$10:$J$224),0),
IF('TL13'!$B$229=N$3,SUMIF('TL13'!$C$238:$C$451,$C63,'TL13'!$J$238:$J$451),0),
IF('TL14'!$B$3=N$3,SUMIF('TL14'!$C$10:$C$224,$C63,'TL14'!$J$10:$J$224),0),
IF('TL14'!$B$229=N$3,SUMIF('TL14'!$C$238:$C$451,$C63,'TL14'!$J$238:$J$451),0),
IF('TL15'!$B$3=N$3,SUMIF('TL15'!$C$10:$C$224,$C63,'TL15'!$J$10:$J$224),0),
IF('TL15'!$B$229=N$3,SUMIF('TL15'!$C$238:$C$451,$C63,'TL15'!$J$238:$J$451),0),
IF('TL16'!$B$3=N$3,SUMIF('TL16'!$C$10:$C$224,$C63,'TL16'!$J$10:$J$224),0),
IF('TL16'!$B$229=N$3,SUMIF('TL16'!$C$238:$C$451,$C63,'TL16'!$J$238:$J$451),0),
IF('TL17'!$B$3=N$3,SUMIF('TL17'!$C$10:$C$224,$C63,'TL17'!$J$10:$J$224),0),
IF('TL17'!$B$229=N$3,SUMIF('TL17'!$C$238:$C$451,$C63,'TL17'!$J$238:$J$451),0),
IF('TL18'!$B$3=N$3,SUMIF('TL18'!$C$10:$C$224,$C63,'TL18'!$J$10:$J$224),0),
IF('TL18'!$B$229=N$3,SUMIF('TL18'!$C$238:$C$451,$C63,'TL18'!$J$238:$J$451),0),
IF('TL19'!$B$3=N$3,SUMIF('TL19'!$C$10:$C$224,$C63,'TL19'!$J$10:$J$224),0),
IF('TL19'!$B$229=N$3,SUMIF('TL19'!$C$238:$C$451,$C63,'TL19'!$J$238:$J$451),0)
),0)</f>
        <v/>
      </c>
      <c r="O63" s="9">
        <f>IFERROR(SUM(
IF('TL01'!$B$3=O$3,SUMIF('TL01'!$C$10:$C$224,$C63,'TL01'!$J$10:$J$224),0),
IF('TL01'!$B$229=O$3,SUMIF('TL01'!$C$238:$C$451,$C63,'TL01'!$J$238:$J$451),0),
IF('TL02'!$B$3=O$3,SUMIF('TL02'!$C$10:$C$224,$C63,'TL02'!$J$10:$J$224),0),
IF('TL02'!$B$229=O$3,SUMIF('TL02'!$C$238:$C$451,$C63,'TL02'!$J$238:$J$451),0),
IF('TL03'!$B$3=O$3,SUMIF('TL03'!$C$10:$C$224,$C63,'TL03'!$J$10:$J$224),0),
IF('TL03'!$B$229=O$3,SUMIF('TL03'!$C$238:$C$451,$C63,'TL03'!$J$238:$J$451),0),
IF('TL04'!$B$3=O$3,SUMIF('TL04'!$C$10:$C$224,$C63,'TL04'!$J$10:$J$224),0),
IF('TL04'!$B$229=O$3,SUMIF('TL04'!$C$238:$C$451,$C63,'TL04'!$J$238:$J$451),0),
IF('TL05'!$B$3=O$3,SUMIF('TL05'!$C$10:$C$224,$C63,'TL05'!$J$10:$J$224),0),
IF('TL05'!$B$229=O$3,SUMIF('TL05'!$C$238:$C$451,$C63,'TL05'!$J$238:$J$451),0),
IF('TL06'!$B$3=O$3,SUMIF('TL06'!$C$10:$C$224,$C63,'TL06'!$J$10:$J$224),0),
IF('TL06'!$B$229=O$3,SUMIF('TL06'!$C$238:$C$451,$C63,'TL06'!$J$238:$J$451),0),
IF('TL07'!$B$3=O$3,SUMIF('TL07'!$C$10:$C$224,$C63,'TL07'!$J$10:$J$224),0),
IF('TL07'!$B$229=O$3,SUMIF('TL07'!$C$238:$C$451,$C63,'TL07'!$J$238:$J$451),0),
IF('TL08'!$B$3=O$3,SUMIF('TL08'!$C$10:$C$224,$C63,'TL08'!$J$10:$J$224),0),
IF('TL08'!$B$229=O$3,SUMIF('TL08'!$C$238:$C$451,$C63,'TL08'!$J$238:$J$451),0),
IF('TL09'!$B$3=O$3,SUMIF('TL09'!$C$10:$C$224,$C63,'TL09'!$J$10:$J$224),0),
IF('TL09'!$B$229=O$3,SUMIF('TL09'!$C$238:$C$451,$C63,'TL09'!$J$238:$J$451),0),
IF('TL10'!$B$3=O$3,SUMIF('TL10'!$C$10:$C$224,$C63,'TL10'!$J$10:$J$224),0),
IF('TL10'!$B$229=O$3,SUMIF('TL10'!$C$238:$C$451,$C63,'TL10'!$J$238:$J$451),0),
IF('TL11'!$B$3=O$3,SUMIF('TL11'!$C$10:$C$224,$C63,'TL11'!$J$10:$J$224),0),
IF('TL11'!$B$229=O$3,SUMIF('TL11'!$C$238:$C$451,$C63,'TL11'!$J$238:$J$451),0),
IF('TL12'!$B$3=O$3,SUMIF('TL12'!$C$10:$C$224,$C63,'TL12'!$J$10:$J$224),0),
IF('TL12'!$B$229=O$3,SUMIF('TL12'!$C$238:$C$451,$C63,'TL12'!$J$238:$J$451),0),
IF('TL13'!$B$3=O$3,SUMIF('TL13'!$C$10:$C$224,$C63,'TL13'!$J$10:$J$224),0),
IF('TL13'!$B$229=O$3,SUMIF('TL13'!$C$238:$C$451,$C63,'TL13'!$J$238:$J$451),0),
IF('TL14'!$B$3=O$3,SUMIF('TL14'!$C$10:$C$224,$C63,'TL14'!$J$10:$J$224),0),
IF('TL14'!$B$229=O$3,SUMIF('TL14'!$C$238:$C$451,$C63,'TL14'!$J$238:$J$451),0),
IF('TL15'!$B$3=O$3,SUMIF('TL15'!$C$10:$C$224,$C63,'TL15'!$J$10:$J$224),0),
IF('TL15'!$B$229=O$3,SUMIF('TL15'!$C$238:$C$451,$C63,'TL15'!$J$238:$J$451),0),
IF('TL16'!$B$3=O$3,SUMIF('TL16'!$C$10:$C$224,$C63,'TL16'!$J$10:$J$224),0),
IF('TL16'!$B$229=O$3,SUMIF('TL16'!$C$238:$C$451,$C63,'TL16'!$J$238:$J$451),0),
IF('TL17'!$B$3=O$3,SUMIF('TL17'!$C$10:$C$224,$C63,'TL17'!$J$10:$J$224),0),
IF('TL17'!$B$229=O$3,SUMIF('TL17'!$C$238:$C$451,$C63,'TL17'!$J$238:$J$451),0),
IF('TL18'!$B$3=O$3,SUMIF('TL18'!$C$10:$C$224,$C63,'TL18'!$J$10:$J$224),0),
IF('TL18'!$B$229=O$3,SUMIF('TL18'!$C$238:$C$451,$C63,'TL18'!$J$238:$J$451),0),
IF('TL19'!$B$3=O$3,SUMIF('TL19'!$C$10:$C$224,$C63,'TL19'!$J$10:$J$224),0),
IF('TL19'!$B$229=O$3,SUMIF('TL19'!$C$238:$C$451,$C63,'TL19'!$J$238:$J$451),0)
),0)</f>
        <v/>
      </c>
      <c r="P63" s="9">
        <f>IFERROR(SUM(
IF('TL01'!$B$3=P$3,SUMIF('TL01'!$C$10:$C$224,$C63,'TL01'!$J$10:$J$224),0),
IF('TL01'!$B$229=P$3,SUMIF('TL01'!$C$238:$C$451,$C63,'TL01'!$J$238:$J$451),0),
IF('TL02'!$B$3=P$3,SUMIF('TL02'!$C$10:$C$224,$C63,'TL02'!$J$10:$J$224),0),
IF('TL02'!$B$229=P$3,SUMIF('TL02'!$C$238:$C$451,$C63,'TL02'!$J$238:$J$451),0),
IF('TL03'!$B$3=P$3,SUMIF('TL03'!$C$10:$C$224,$C63,'TL03'!$J$10:$J$224),0),
IF('TL03'!$B$229=P$3,SUMIF('TL03'!$C$238:$C$451,$C63,'TL03'!$J$238:$J$451),0),
IF('TL04'!$B$3=P$3,SUMIF('TL04'!$C$10:$C$224,$C63,'TL04'!$J$10:$J$224),0),
IF('TL04'!$B$229=P$3,SUMIF('TL04'!$C$238:$C$451,$C63,'TL04'!$J$238:$J$451),0),
IF('TL05'!$B$3=P$3,SUMIF('TL05'!$C$10:$C$224,$C63,'TL05'!$J$10:$J$224),0),
IF('TL05'!$B$229=P$3,SUMIF('TL05'!$C$238:$C$451,$C63,'TL05'!$J$238:$J$451),0),
IF('TL06'!$B$3=P$3,SUMIF('TL06'!$C$10:$C$224,$C63,'TL06'!$J$10:$J$224),0),
IF('TL06'!$B$229=P$3,SUMIF('TL06'!$C$238:$C$451,$C63,'TL06'!$J$238:$J$451),0),
IF('TL07'!$B$3=P$3,SUMIF('TL07'!$C$10:$C$224,$C63,'TL07'!$J$10:$J$224),0),
IF('TL07'!$B$229=P$3,SUMIF('TL07'!$C$238:$C$451,$C63,'TL07'!$J$238:$J$451),0),
IF('TL08'!$B$3=P$3,SUMIF('TL08'!$C$10:$C$224,$C63,'TL08'!$J$10:$J$224),0),
IF('TL08'!$B$229=P$3,SUMIF('TL08'!$C$238:$C$451,$C63,'TL08'!$J$238:$J$451),0),
IF('TL09'!$B$3=P$3,SUMIF('TL09'!$C$10:$C$224,$C63,'TL09'!$J$10:$J$224),0),
IF('TL09'!$B$229=P$3,SUMIF('TL09'!$C$238:$C$451,$C63,'TL09'!$J$238:$J$451),0),
IF('TL10'!$B$3=P$3,SUMIF('TL10'!$C$10:$C$224,$C63,'TL10'!$J$10:$J$224),0),
IF('TL10'!$B$229=P$3,SUMIF('TL10'!$C$238:$C$451,$C63,'TL10'!$J$238:$J$451),0),
IF('TL11'!$B$3=P$3,SUMIF('TL11'!$C$10:$C$224,$C63,'TL11'!$J$10:$J$224),0),
IF('TL11'!$B$229=P$3,SUMIF('TL11'!$C$238:$C$451,$C63,'TL11'!$J$238:$J$451),0),
IF('TL12'!$B$3=P$3,SUMIF('TL12'!$C$10:$C$224,$C63,'TL12'!$J$10:$J$224),0),
IF('TL12'!$B$229=P$3,SUMIF('TL12'!$C$238:$C$451,$C63,'TL12'!$J$238:$J$451),0),
IF('TL13'!$B$3=P$3,SUMIF('TL13'!$C$10:$C$224,$C63,'TL13'!$J$10:$J$224),0),
IF('TL13'!$B$229=P$3,SUMIF('TL13'!$C$238:$C$451,$C63,'TL13'!$J$238:$J$451),0),
IF('TL14'!$B$3=P$3,SUMIF('TL14'!$C$10:$C$224,$C63,'TL14'!$J$10:$J$224),0),
IF('TL14'!$B$229=P$3,SUMIF('TL14'!$C$238:$C$451,$C63,'TL14'!$J$238:$J$451),0),
IF('TL15'!$B$3=P$3,SUMIF('TL15'!$C$10:$C$224,$C63,'TL15'!$J$10:$J$224),0),
IF('TL15'!$B$229=P$3,SUMIF('TL15'!$C$238:$C$451,$C63,'TL15'!$J$238:$J$451),0),
IF('TL16'!$B$3=P$3,SUMIF('TL16'!$C$10:$C$224,$C63,'TL16'!$J$10:$J$224),0),
IF('TL16'!$B$229=P$3,SUMIF('TL16'!$C$238:$C$451,$C63,'TL16'!$J$238:$J$451),0),
IF('TL17'!$B$3=P$3,SUMIF('TL17'!$C$10:$C$224,$C63,'TL17'!$J$10:$J$224),0),
IF('TL17'!$B$229=P$3,SUMIF('TL17'!$C$238:$C$451,$C63,'TL17'!$J$238:$J$451),0),
IF('TL18'!$B$3=P$3,SUMIF('TL18'!$C$10:$C$224,$C63,'TL18'!$J$10:$J$224),0),
IF('TL18'!$B$229=P$3,SUMIF('TL18'!$C$238:$C$451,$C63,'TL18'!$J$238:$J$451),0),
IF('TL19'!$B$3=P$3,SUMIF('TL19'!$C$10:$C$224,$C63,'TL19'!$J$10:$J$224),0),
IF('TL19'!$B$229=P$3,SUMIF('TL19'!$C$238:$C$451,$C63,'TL19'!$J$238:$J$451),0)
),0)</f>
        <v/>
      </c>
      <c r="Q63" s="9">
        <f>IFERROR(SUM(
IF('TL01'!$B$3=Q$3,SUMIF('TL01'!$C$10:$C$224,$C63,'TL01'!$J$10:$J$224),0),
IF('TL01'!$B$229=Q$3,SUMIF('TL01'!$C$238:$C$451,$C63,'TL01'!$J$238:$J$451),0),
IF('TL02'!$B$3=Q$3,SUMIF('TL02'!$C$10:$C$224,$C63,'TL02'!$J$10:$J$224),0),
IF('TL02'!$B$229=Q$3,SUMIF('TL02'!$C$238:$C$451,$C63,'TL02'!$J$238:$J$451),0),
IF('TL03'!$B$3=Q$3,SUMIF('TL03'!$C$10:$C$224,$C63,'TL03'!$J$10:$J$224),0),
IF('TL03'!$B$229=Q$3,SUMIF('TL03'!$C$238:$C$451,$C63,'TL03'!$J$238:$J$451),0),
IF('TL04'!$B$3=Q$3,SUMIF('TL04'!$C$10:$C$224,$C63,'TL04'!$J$10:$J$224),0),
IF('TL04'!$B$229=Q$3,SUMIF('TL04'!$C$238:$C$451,$C63,'TL04'!$J$238:$J$451),0),
IF('TL05'!$B$3=Q$3,SUMIF('TL05'!$C$10:$C$224,$C63,'TL05'!$J$10:$J$224),0),
IF('TL05'!$B$229=Q$3,SUMIF('TL05'!$C$238:$C$451,$C63,'TL05'!$J$238:$J$451),0),
IF('TL06'!$B$3=Q$3,SUMIF('TL06'!$C$10:$C$224,$C63,'TL06'!$J$10:$J$224),0),
IF('TL06'!$B$229=Q$3,SUMIF('TL06'!$C$238:$C$451,$C63,'TL06'!$J$238:$J$451),0),
IF('TL07'!$B$3=Q$3,SUMIF('TL07'!$C$10:$C$224,$C63,'TL07'!$J$10:$J$224),0),
IF('TL07'!$B$229=Q$3,SUMIF('TL07'!$C$238:$C$451,$C63,'TL07'!$J$238:$J$451),0),
IF('TL08'!$B$3=Q$3,SUMIF('TL08'!$C$10:$C$224,$C63,'TL08'!$J$10:$J$224),0),
IF('TL08'!$B$229=Q$3,SUMIF('TL08'!$C$238:$C$451,$C63,'TL08'!$J$238:$J$451),0),
IF('TL09'!$B$3=Q$3,SUMIF('TL09'!$C$10:$C$224,$C63,'TL09'!$J$10:$J$224),0),
IF('TL09'!$B$229=Q$3,SUMIF('TL09'!$C$238:$C$451,$C63,'TL09'!$J$238:$J$451),0),
IF('TL10'!$B$3=Q$3,SUMIF('TL10'!$C$10:$C$224,$C63,'TL10'!$J$10:$J$224),0),
IF('TL10'!$B$229=Q$3,SUMIF('TL10'!$C$238:$C$451,$C63,'TL10'!$J$238:$J$451),0),
IF('TL11'!$B$3=Q$3,SUMIF('TL11'!$C$10:$C$224,$C63,'TL11'!$J$10:$J$224),0),
IF('TL11'!$B$229=Q$3,SUMIF('TL11'!$C$238:$C$451,$C63,'TL11'!$J$238:$J$451),0),
IF('TL12'!$B$3=Q$3,SUMIF('TL12'!$C$10:$C$224,$C63,'TL12'!$J$10:$J$224),0),
IF('TL12'!$B$229=Q$3,SUMIF('TL12'!$C$238:$C$451,$C63,'TL12'!$J$238:$J$451),0),
IF('TL13'!$B$3=Q$3,SUMIF('TL13'!$C$10:$C$224,$C63,'TL13'!$J$10:$J$224),0),
IF('TL13'!$B$229=Q$3,SUMIF('TL13'!$C$238:$C$451,$C63,'TL13'!$J$238:$J$451),0),
IF('TL14'!$B$3=Q$3,SUMIF('TL14'!$C$10:$C$224,$C63,'TL14'!$J$10:$J$224),0),
IF('TL14'!$B$229=Q$3,SUMIF('TL14'!$C$238:$C$451,$C63,'TL14'!$J$238:$J$451),0),
IF('TL15'!$B$3=Q$3,SUMIF('TL15'!$C$10:$C$224,$C63,'TL15'!$J$10:$J$224),0),
IF('TL15'!$B$229=Q$3,SUMIF('TL15'!$C$238:$C$451,$C63,'TL15'!$J$238:$J$451),0),
IF('TL16'!$B$3=Q$3,SUMIF('TL16'!$C$10:$C$224,$C63,'TL16'!$J$10:$J$224),0),
IF('TL16'!$B$229=Q$3,SUMIF('TL16'!$C$238:$C$451,$C63,'TL16'!$J$238:$J$451),0),
IF('TL17'!$B$3=Q$3,SUMIF('TL17'!$C$10:$C$224,$C63,'TL17'!$J$10:$J$224),0),
IF('TL17'!$B$229=Q$3,SUMIF('TL17'!$C$238:$C$451,$C63,'TL17'!$J$238:$J$451),0),
IF('TL18'!$B$3=Q$3,SUMIF('TL18'!$C$10:$C$224,$C63,'TL18'!$J$10:$J$224),0),
IF('TL18'!$B$229=Q$3,SUMIF('TL18'!$C$238:$C$451,$C63,'TL18'!$J$238:$J$451),0),
IF('TL19'!$B$3=Q$3,SUMIF('TL19'!$C$10:$C$224,$C63,'TL19'!$J$10:$J$224),0),
IF('TL19'!$B$229=Q$3,SUMIF('TL19'!$C$238:$C$451,$C63,'TL19'!$J$238:$J$451),0)
),0)</f>
        <v/>
      </c>
      <c r="R63" s="9">
        <f>IFERROR(
SUM(
SUMIF('TL01'!C:C,C63,'TL01'!J:J),
SUMIF('TL02'!C:C,C63,'TL02'!J:J),
SUMIF('TL03'!C:C,C63,'TL03'!J:J),
SUMIF('TL04'!C:C,C63,'TL04'!J:J),
SUMIF('TL05'!C:C,C63,'TL05'!J:J),
SUMIF('TL06'!C:C,C63,'TL06'!J:J),
SUMIF('TL07'!C:C,C63,'TL07'!J:J),
SUMIF('TL08'!C:C,C63,'TL08'!J:J),
SUMIF('TL09'!C:C,C63,'TL09'!J:J),
SUMIF('TL10'!C:C,C63,'TL10'!J:J),
SUMIF('TL11'!C:C,C63,'TL11'!J:J),
SUMIF('TL12'!C:C,C63,'TL12'!J:J),
SUMIF('TL13'!C:C,C63,'TL13'!J:J),
SUMIF('TL14'!C:C,C63,'TL14'!J:J),
SUMIF('TL15'!C:C,C63,'TL15'!J:J),
SUMIF('TL16'!C:C,C63,'TL16'!J:J),
SUMIF('TL17'!C:C,C63,'TL17'!J:J),
SUMIF('TL18'!C:C,C63,'TL18'!J:J),SUMIF('TL19'!C:C,C63,'TL19'!J:J))
,0)</f>
        <v/>
      </c>
      <c r="S63" s="17">
        <f>IFERROR(__xludf.DUMMYFUNCTION("IFERROR(VLOOKUP(C63,
IMPORTRANGE(""1wULbzX32WdYsx-lj2U3uUNBBe2INVIRDtcK0d-Dvl90"",
""26-27!C:G""),
5,
FALSE),
"""")"),149.09904000000003)</f>
        <v/>
      </c>
      <c r="T63" s="9" t="n"/>
      <c r="U63" s="92">
        <f>MAX(0,R63-T63)</f>
        <v/>
      </c>
      <c r="V63" s="93">
        <f>U63*S63</f>
        <v/>
      </c>
    </row>
    <row r="64" hidden="1" ht="15.75" customHeight="1" s="297">
      <c r="A64" s="115" t="inlineStr">
        <is>
          <t>CORTEVA</t>
        </is>
      </c>
      <c r="B64" s="100" t="inlineStr">
        <is>
          <t>FUNGICIDA</t>
        </is>
      </c>
      <c r="C64" s="116" t="inlineStr">
        <is>
          <t>VESSARYA</t>
        </is>
      </c>
      <c r="D64" s="116" t="inlineStr">
        <is>
          <t>PICOXISTROBINA + BENZOVINDIFLUPYR</t>
        </is>
      </c>
      <c r="E64" s="116" t="inlineStr">
        <is>
          <t>100 + 50</t>
        </is>
      </c>
      <c r="F64" s="4" t="inlineStr">
        <is>
          <t>L</t>
        </is>
      </c>
      <c r="G64" s="90">
        <f>HYPERLINK("https://www.google.com/search?q=" &amp; C64 &amp; "+bula+agrofit+pdf", "📄 Ver bula")</f>
        <v/>
      </c>
      <c r="H64" s="9">
        <f>IFERROR(__xludf.DUMMYFUNCTION("IFERROR(VLOOKUP(C64,
IMPORTRANGE(""1wULbzX32WdYsx-lj2U3uUNBBe2INVIRDtcK0d-Dvl90"",
""26-27!C:K""),
8,
FALSE),
"""")"),0.7)</f>
        <v/>
      </c>
      <c r="I64" s="117" t="inlineStr">
        <is>
          <t>1x10</t>
        </is>
      </c>
      <c r="J64" s="9">
        <f>IFERROR(SUM(
IF('TL01'!$B$3=J$3,SUMIF('TL01'!$C$10:$C$224,$C64,'TL01'!$J$10:$J$224),0),
IF('TL01'!$B$229=J$3,SUMIF('TL01'!$C$238:$C$451,$C64,'TL01'!$J$238:$J$451),0),
IF('TL02'!$B$3=J$3,SUMIF('TL02'!$C$10:$C$224,$C64,'TL02'!$J$10:$J$224),0),
IF('TL02'!$B$229=J$3,SUMIF('TL02'!$C$238:$C$451,$C64,'TL02'!$J$238:$J$451),0),
IF('TL03'!$B$3=J$3,SUMIF('TL03'!$C$10:$C$224,$C64,'TL03'!$J$10:$J$224),0),
IF('TL03'!$B$229=J$3,SUMIF('TL03'!$C$238:$C$451,$C64,'TL03'!$J$238:$J$451),0),
IF('TL04'!$B$3=J$3,SUMIF('TL04'!$C$10:$C$224,$C64,'TL04'!$J$10:$J$224),0),
IF('TL04'!$B$229=J$3,SUMIF('TL04'!$C$238:$C$451,$C64,'TL04'!$J$238:$J$451),0),
IF('TL05'!$B$3=J$3,SUMIF('TL05'!$C$10:$C$224,$C64,'TL05'!$J$10:$J$224),0),
IF('TL05'!$B$229=J$3,SUMIF('TL05'!$C$238:$C$451,$C64,'TL05'!$J$238:$J$451),0),
IF('TL06'!$B$3=J$3,SUMIF('TL06'!$C$10:$C$224,$C64,'TL06'!$J$10:$J$224),0),
IF('TL06'!$B$229=J$3,SUMIF('TL06'!$C$238:$C$451,$C64,'TL06'!$J$238:$J$451),0),
IF('TL07'!$B$3=J$3,SUMIF('TL07'!$C$10:$C$224,$C64,'TL07'!$J$10:$J$224),0),
IF('TL07'!$B$229=J$3,SUMIF('TL07'!$C$238:$C$451,$C64,'TL07'!$J$238:$J$451),0),
IF('TL08'!$B$3=J$3,SUMIF('TL08'!$C$10:$C$224,$C64,'TL08'!$J$10:$J$224),0),
IF('TL08'!$B$229=J$3,SUMIF('TL08'!$C$238:$C$451,$C64,'TL08'!$J$238:$J$451),0),
IF('TL09'!$B$3=J$3,SUMIF('TL09'!$C$10:$C$224,$C64,'TL09'!$J$10:$J$224),0),
IF('TL09'!$B$229=J$3,SUMIF('TL09'!$C$238:$C$451,$C64,'TL09'!$J$238:$J$451),0),
IF('TL10'!$B$3=J$3,SUMIF('TL10'!$C$10:$C$224,$C64,'TL10'!$J$10:$J$224),0),
IF('TL10'!$B$229=J$3,SUMIF('TL10'!$C$238:$C$451,$C64,'TL10'!$J$238:$J$451),0),
IF('TL11'!$B$3=J$3,SUMIF('TL11'!$C$10:$C$224,$C64,'TL11'!$J$10:$J$224),0),
IF('TL11'!$B$229=J$3,SUMIF('TL11'!$C$238:$C$451,$C64,'TL11'!$J$238:$J$451),0),
IF('TL12'!$B$3=J$3,SUMIF('TL12'!$C$10:$C$224,$C64,'TL12'!$J$10:$J$224),0),
IF('TL12'!$B$229=J$3,SUMIF('TL12'!$C$238:$C$451,$C64,'TL12'!$J$238:$J$451),0),
IF('TL13'!$B$3=J$3,SUMIF('TL13'!$C$10:$C$224,$C64,'TL13'!$J$10:$J$224),0),
IF('TL13'!$B$229=J$3,SUMIF('TL13'!$C$238:$C$451,$C64,'TL13'!$J$238:$J$451),0),
IF('TL14'!$B$3=J$3,SUMIF('TL14'!$C$10:$C$224,$C64,'TL14'!$J$10:$J$224),0),
IF('TL14'!$B$229=J$3,SUMIF('TL14'!$C$238:$C$451,$C64,'TL14'!$J$238:$J$451),0),
IF('TL15'!$B$3=J$3,SUMIF('TL15'!$C$10:$C$224,$C64,'TL15'!$J$10:$J$224),0),
IF('TL15'!$B$229=J$3,SUMIF('TL15'!$C$238:$C$451,$C64,'TL15'!$J$238:$J$451),0),
IF('TL16'!$B$3=J$3,SUMIF('TL16'!$C$10:$C$224,$C64,'TL16'!$J$10:$J$224),0),
IF('TL16'!$B$229=J$3,SUMIF('TL16'!$C$238:$C$451,$C64,'TL16'!$J$238:$J$451),0),
IF('TL17'!$B$3=J$3,SUMIF('TL17'!$C$10:$C$224,$C64,'TL17'!$J$10:$J$224),0),
IF('TL17'!$B$229=J$3,SUMIF('TL17'!$C$238:$C$451,$C64,'TL17'!$J$238:$J$451),0),
IF('TL18'!$B$3=J$3,SUMIF('TL18'!$C$10:$C$224,$C64,'TL18'!$J$10:$J$224),0),
IF('TL18'!$B$229=J$3,SUMIF('TL18'!$C$238:$C$451,$C64,'TL18'!$J$238:$J$451),0),
IF('TL19'!$B$3=J$3,SUMIF('TL19'!$C$10:$C$224,$C64,'TL19'!$J$10:$J$224),0),
IF('TL19'!$B$229=J$3,SUMIF('TL19'!$C$238:$C$451,$C64,'TL19'!$J$238:$J$451),0)
),0)</f>
        <v/>
      </c>
      <c r="K64" s="9">
        <f>IFERROR(SUM(
IF('TL01'!$B$3=K$3,SUMIF('TL01'!$C$10:$C$224,$C64,'TL01'!$J$10:$J$224),0),
IF('TL01'!$B$229=K$3,SUMIF('TL01'!$C$238:$C$451,$C64,'TL01'!$J$238:$J$451),0),
IF('TL02'!$B$3=K$3,SUMIF('TL02'!$C$10:$C$224,$C64,'TL02'!$J$10:$J$224),0),
IF('TL02'!$B$229=K$3,SUMIF('TL02'!$C$238:$C$451,$C64,'TL02'!$J$238:$J$451),0),
IF('TL03'!$B$3=K$3,SUMIF('TL03'!$C$10:$C$224,$C64,'TL03'!$J$10:$J$224),0),
IF('TL03'!$B$229=K$3,SUMIF('TL03'!$C$238:$C$451,$C64,'TL03'!$J$238:$J$451),0),
IF('TL04'!$B$3=K$3,SUMIF('TL04'!$C$10:$C$224,$C64,'TL04'!$J$10:$J$224),0),
IF('TL04'!$B$229=K$3,SUMIF('TL04'!$C$238:$C$451,$C64,'TL04'!$J$238:$J$451),0),
IF('TL05'!$B$3=K$3,SUMIF('TL05'!$C$10:$C$224,$C64,'TL05'!$J$10:$J$224),0),
IF('TL05'!$B$229=K$3,SUMIF('TL05'!$C$238:$C$451,$C64,'TL05'!$J$238:$J$451),0),
IF('TL06'!$B$3=K$3,SUMIF('TL06'!$C$10:$C$224,$C64,'TL06'!$J$10:$J$224),0),
IF('TL06'!$B$229=K$3,SUMIF('TL06'!$C$238:$C$451,$C64,'TL06'!$J$238:$J$451),0),
IF('TL07'!$B$3=K$3,SUMIF('TL07'!$C$10:$C$224,$C64,'TL07'!$J$10:$J$224),0),
IF('TL07'!$B$229=K$3,SUMIF('TL07'!$C$238:$C$451,$C64,'TL07'!$J$238:$J$451),0),
IF('TL08'!$B$3=K$3,SUMIF('TL08'!$C$10:$C$224,$C64,'TL08'!$J$10:$J$224),0),
IF('TL08'!$B$229=K$3,SUMIF('TL08'!$C$238:$C$451,$C64,'TL08'!$J$238:$J$451),0),
IF('TL09'!$B$3=K$3,SUMIF('TL09'!$C$10:$C$224,$C64,'TL09'!$J$10:$J$224),0),
IF('TL09'!$B$229=K$3,SUMIF('TL09'!$C$238:$C$451,$C64,'TL09'!$J$238:$J$451),0),
IF('TL10'!$B$3=K$3,SUMIF('TL10'!$C$10:$C$224,$C64,'TL10'!$J$10:$J$224),0),
IF('TL10'!$B$229=K$3,SUMIF('TL10'!$C$238:$C$451,$C64,'TL10'!$J$238:$J$451),0),
IF('TL11'!$B$3=K$3,SUMIF('TL11'!$C$10:$C$224,$C64,'TL11'!$J$10:$J$224),0),
IF('TL11'!$B$229=K$3,SUMIF('TL11'!$C$238:$C$451,$C64,'TL11'!$J$238:$J$451),0),
IF('TL12'!$B$3=K$3,SUMIF('TL12'!$C$10:$C$224,$C64,'TL12'!$J$10:$J$224),0),
IF('TL12'!$B$229=K$3,SUMIF('TL12'!$C$238:$C$451,$C64,'TL12'!$J$238:$J$451),0),
IF('TL13'!$B$3=K$3,SUMIF('TL13'!$C$10:$C$224,$C64,'TL13'!$J$10:$J$224),0),
IF('TL13'!$B$229=K$3,SUMIF('TL13'!$C$238:$C$451,$C64,'TL13'!$J$238:$J$451),0),
IF('TL14'!$B$3=K$3,SUMIF('TL14'!$C$10:$C$224,$C64,'TL14'!$J$10:$J$224),0),
IF('TL14'!$B$229=K$3,SUMIF('TL14'!$C$238:$C$451,$C64,'TL14'!$J$238:$J$451),0),
IF('TL15'!$B$3=K$3,SUMIF('TL15'!$C$10:$C$224,$C64,'TL15'!$J$10:$J$224),0),
IF('TL15'!$B$229=K$3,SUMIF('TL15'!$C$238:$C$451,$C64,'TL15'!$J$238:$J$451),0),
IF('TL16'!$B$3=K$3,SUMIF('TL16'!$C$10:$C$224,$C64,'TL16'!$J$10:$J$224),0),
IF('TL16'!$B$229=K$3,SUMIF('TL16'!$C$238:$C$451,$C64,'TL16'!$J$238:$J$451),0),
IF('TL17'!$B$3=K$3,SUMIF('TL17'!$C$10:$C$224,$C64,'TL17'!$J$10:$J$224),0),
IF('TL17'!$B$229=K$3,SUMIF('TL17'!$C$238:$C$451,$C64,'TL17'!$J$238:$J$451),0),
IF('TL18'!$B$3=K$3,SUMIF('TL18'!$C$10:$C$224,$C64,'TL18'!$J$10:$J$224),0),
IF('TL18'!$B$229=K$3,SUMIF('TL18'!$C$238:$C$451,$C64,'TL18'!$J$238:$J$451),0),
IF('TL19'!$B$3=K$3,SUMIF('TL19'!$C$10:$C$224,$C64,'TL19'!$J$10:$J$224),0),
IF('TL19'!$B$229=K$3,SUMIF('TL19'!$C$238:$C$451,$C64,'TL19'!$J$238:$J$451),0)
),0)</f>
        <v/>
      </c>
      <c r="L64" s="9">
        <f>IFERROR(SUM(
IF('TL01'!$B$3=L$3,SUMIF('TL01'!$C$10:$C$224,$C64,'TL01'!$J$10:$J$224),0),
IF('TL01'!$B$229=L$3,SUMIF('TL01'!$C$238:$C$451,$C64,'TL01'!$J$238:$J$451),0),
IF('TL02'!$B$3=L$3,SUMIF('TL02'!$C$10:$C$224,$C64,'TL02'!$J$10:$J$224),0),
IF('TL02'!$B$229=L$3,SUMIF('TL02'!$C$238:$C$451,$C64,'TL02'!$J$238:$J$451),0),
IF('TL03'!$B$3=L$3,SUMIF('TL03'!$C$10:$C$224,$C64,'TL03'!$J$10:$J$224),0),
IF('TL03'!$B$229=L$3,SUMIF('TL03'!$C$238:$C$451,$C64,'TL03'!$J$238:$J$451),0),
IF('TL04'!$B$3=L$3,SUMIF('TL04'!$C$10:$C$224,$C64,'TL04'!$J$10:$J$224),0),
IF('TL04'!$B$229=L$3,SUMIF('TL04'!$C$238:$C$451,$C64,'TL04'!$J$238:$J$451),0),
IF('TL05'!$B$3=L$3,SUMIF('TL05'!$C$10:$C$224,$C64,'TL05'!$J$10:$J$224),0),
IF('TL05'!$B$229=L$3,SUMIF('TL05'!$C$238:$C$451,$C64,'TL05'!$J$238:$J$451),0),
IF('TL06'!$B$3=L$3,SUMIF('TL06'!$C$10:$C$224,$C64,'TL06'!$J$10:$J$224),0),
IF('TL06'!$B$229=L$3,SUMIF('TL06'!$C$238:$C$451,$C64,'TL06'!$J$238:$J$451),0),
IF('TL07'!$B$3=L$3,SUMIF('TL07'!$C$10:$C$224,$C64,'TL07'!$J$10:$J$224),0),
IF('TL07'!$B$229=L$3,SUMIF('TL07'!$C$238:$C$451,$C64,'TL07'!$J$238:$J$451),0),
IF('TL08'!$B$3=L$3,SUMIF('TL08'!$C$10:$C$224,$C64,'TL08'!$J$10:$J$224),0),
IF('TL08'!$B$229=L$3,SUMIF('TL08'!$C$238:$C$451,$C64,'TL08'!$J$238:$J$451),0),
IF('TL09'!$B$3=L$3,SUMIF('TL09'!$C$10:$C$224,$C64,'TL09'!$J$10:$J$224),0),
IF('TL09'!$B$229=L$3,SUMIF('TL09'!$C$238:$C$451,$C64,'TL09'!$J$238:$J$451),0),
IF('TL10'!$B$3=L$3,SUMIF('TL10'!$C$10:$C$224,$C64,'TL10'!$J$10:$J$224),0),
IF('TL10'!$B$229=L$3,SUMIF('TL10'!$C$238:$C$451,$C64,'TL10'!$J$238:$J$451),0),
IF('TL11'!$B$3=L$3,SUMIF('TL11'!$C$10:$C$224,$C64,'TL11'!$J$10:$J$224),0),
IF('TL11'!$B$229=L$3,SUMIF('TL11'!$C$238:$C$451,$C64,'TL11'!$J$238:$J$451),0),
IF('TL12'!$B$3=L$3,SUMIF('TL12'!$C$10:$C$224,$C64,'TL12'!$J$10:$J$224),0),
IF('TL12'!$B$229=L$3,SUMIF('TL12'!$C$238:$C$451,$C64,'TL12'!$J$238:$J$451),0),
IF('TL13'!$B$3=L$3,SUMIF('TL13'!$C$10:$C$224,$C64,'TL13'!$J$10:$J$224),0),
IF('TL13'!$B$229=L$3,SUMIF('TL13'!$C$238:$C$451,$C64,'TL13'!$J$238:$J$451),0),
IF('TL14'!$B$3=L$3,SUMIF('TL14'!$C$10:$C$224,$C64,'TL14'!$J$10:$J$224),0),
IF('TL14'!$B$229=L$3,SUMIF('TL14'!$C$238:$C$451,$C64,'TL14'!$J$238:$J$451),0),
IF('TL15'!$B$3=L$3,SUMIF('TL15'!$C$10:$C$224,$C64,'TL15'!$J$10:$J$224),0),
IF('TL15'!$B$229=L$3,SUMIF('TL15'!$C$238:$C$451,$C64,'TL15'!$J$238:$J$451),0),
IF('TL16'!$B$3=L$3,SUMIF('TL16'!$C$10:$C$224,$C64,'TL16'!$J$10:$J$224),0),
IF('TL16'!$B$229=L$3,SUMIF('TL16'!$C$238:$C$451,$C64,'TL16'!$J$238:$J$451),0),
IF('TL17'!$B$3=L$3,SUMIF('TL17'!$C$10:$C$224,$C64,'TL17'!$J$10:$J$224),0),
IF('TL17'!$B$229=L$3,SUMIF('TL17'!$C$238:$C$451,$C64,'TL17'!$J$238:$J$451),0),
IF('TL18'!$B$3=L$3,SUMIF('TL18'!$C$10:$C$224,$C64,'TL18'!$J$10:$J$224),0),
IF('TL18'!$B$229=L$3,SUMIF('TL18'!$C$238:$C$451,$C64,'TL18'!$J$238:$J$451),0),
IF('TL19'!$B$3=L$3,SUMIF('TL19'!$C$10:$C$224,$C64,'TL19'!$J$10:$J$224),0),
IF('TL19'!$B$229=L$3,SUMIF('TL19'!$C$238:$C$451,$C64,'TL19'!$J$238:$J$451),0)
),0)</f>
        <v/>
      </c>
      <c r="M64" s="9">
        <f>IFERROR(SUM(
IF('TL01'!$B$3=M$3,SUMIF('TL01'!$C$10:$C$224,$C64,'TL01'!$J$10:$J$224),0),
IF('TL01'!$B$229=M$3,SUMIF('TL01'!$C$238:$C$451,$C64,'TL01'!$J$238:$J$451),0),
IF('TL02'!$B$3=M$3,SUMIF('TL02'!$C$10:$C$224,$C64,'TL02'!$J$10:$J$224),0),
IF('TL02'!$B$229=M$3,SUMIF('TL02'!$C$238:$C$451,$C64,'TL02'!$J$238:$J$451),0),
IF('TL03'!$B$3=M$3,SUMIF('TL03'!$C$10:$C$224,$C64,'TL03'!$J$10:$J$224),0),
IF('TL03'!$B$229=M$3,SUMIF('TL03'!$C$238:$C$451,$C64,'TL03'!$J$238:$J$451),0),
IF('TL04'!$B$3=M$3,SUMIF('TL04'!$C$10:$C$224,$C64,'TL04'!$J$10:$J$224),0),
IF('TL04'!$B$229=M$3,SUMIF('TL04'!$C$238:$C$451,$C64,'TL04'!$J$238:$J$451),0),
IF('TL05'!$B$3=M$3,SUMIF('TL05'!$C$10:$C$224,$C64,'TL05'!$J$10:$J$224),0),
IF('TL05'!$B$229=M$3,SUMIF('TL05'!$C$238:$C$451,$C64,'TL05'!$J$238:$J$451),0),
IF('TL06'!$B$3=M$3,SUMIF('TL06'!$C$10:$C$224,$C64,'TL06'!$J$10:$J$224),0),
IF('TL06'!$B$229=M$3,SUMIF('TL06'!$C$238:$C$451,$C64,'TL06'!$J$238:$J$451),0),
IF('TL07'!$B$3=M$3,SUMIF('TL07'!$C$10:$C$224,$C64,'TL07'!$J$10:$J$224),0),
IF('TL07'!$B$229=M$3,SUMIF('TL07'!$C$238:$C$451,$C64,'TL07'!$J$238:$J$451),0),
IF('TL08'!$B$3=M$3,SUMIF('TL08'!$C$10:$C$224,$C64,'TL08'!$J$10:$J$224),0),
IF('TL08'!$B$229=M$3,SUMIF('TL08'!$C$238:$C$451,$C64,'TL08'!$J$238:$J$451),0),
IF('TL09'!$B$3=M$3,SUMIF('TL09'!$C$10:$C$224,$C64,'TL09'!$J$10:$J$224),0),
IF('TL09'!$B$229=M$3,SUMIF('TL09'!$C$238:$C$451,$C64,'TL09'!$J$238:$J$451),0),
IF('TL10'!$B$3=M$3,SUMIF('TL10'!$C$10:$C$224,$C64,'TL10'!$J$10:$J$224),0),
IF('TL10'!$B$229=M$3,SUMIF('TL10'!$C$238:$C$451,$C64,'TL10'!$J$238:$J$451),0),
IF('TL11'!$B$3=M$3,SUMIF('TL11'!$C$10:$C$224,$C64,'TL11'!$J$10:$J$224),0),
IF('TL11'!$B$229=M$3,SUMIF('TL11'!$C$238:$C$451,$C64,'TL11'!$J$238:$J$451),0),
IF('TL12'!$B$3=M$3,SUMIF('TL12'!$C$10:$C$224,$C64,'TL12'!$J$10:$J$224),0),
IF('TL12'!$B$229=M$3,SUMIF('TL12'!$C$238:$C$451,$C64,'TL12'!$J$238:$J$451),0),
IF('TL13'!$B$3=M$3,SUMIF('TL13'!$C$10:$C$224,$C64,'TL13'!$J$10:$J$224),0),
IF('TL13'!$B$229=M$3,SUMIF('TL13'!$C$238:$C$451,$C64,'TL13'!$J$238:$J$451),0),
IF('TL14'!$B$3=M$3,SUMIF('TL14'!$C$10:$C$224,$C64,'TL14'!$J$10:$J$224),0),
IF('TL14'!$B$229=M$3,SUMIF('TL14'!$C$238:$C$451,$C64,'TL14'!$J$238:$J$451),0),
IF('TL15'!$B$3=M$3,SUMIF('TL15'!$C$10:$C$224,$C64,'TL15'!$J$10:$J$224),0),
IF('TL15'!$B$229=M$3,SUMIF('TL15'!$C$238:$C$451,$C64,'TL15'!$J$238:$J$451),0),
IF('TL16'!$B$3=M$3,SUMIF('TL16'!$C$10:$C$224,$C64,'TL16'!$J$10:$J$224),0),
IF('TL16'!$B$229=M$3,SUMIF('TL16'!$C$238:$C$451,$C64,'TL16'!$J$238:$J$451),0),
IF('TL17'!$B$3=M$3,SUMIF('TL17'!$C$10:$C$224,$C64,'TL17'!$J$10:$J$224),0),
IF('TL17'!$B$229=M$3,SUMIF('TL17'!$C$238:$C$451,$C64,'TL17'!$J$238:$J$451),0),
IF('TL18'!$B$3=M$3,SUMIF('TL18'!$C$10:$C$224,$C64,'TL18'!$J$10:$J$224),0),
IF('TL18'!$B$229=M$3,SUMIF('TL18'!$C$238:$C$451,$C64,'TL18'!$J$238:$J$451),0),
IF('TL19'!$B$3=M$3,SUMIF('TL19'!$C$10:$C$224,$C64,'TL19'!$J$10:$J$224),0),
IF('TL19'!$B$229=M$3,SUMIF('TL19'!$C$238:$C$451,$C64,'TL19'!$J$238:$J$451),0)
),0)</f>
        <v/>
      </c>
      <c r="N64" s="9">
        <f>IFERROR(SUM(
IF('TL01'!$B$3=N$3,SUMIF('TL01'!$C$10:$C$224,$C64,'TL01'!$J$10:$J$224),0),
IF('TL01'!$B$229=N$3,SUMIF('TL01'!$C$238:$C$451,$C64,'TL01'!$J$238:$J$451),0),
IF('TL02'!$B$3=N$3,SUMIF('TL02'!$C$10:$C$224,$C64,'TL02'!$J$10:$J$224),0),
IF('TL02'!$B$229=N$3,SUMIF('TL02'!$C$238:$C$451,$C64,'TL02'!$J$238:$J$451),0),
IF('TL03'!$B$3=N$3,SUMIF('TL03'!$C$10:$C$224,$C64,'TL03'!$J$10:$J$224),0),
IF('TL03'!$B$229=N$3,SUMIF('TL03'!$C$238:$C$451,$C64,'TL03'!$J$238:$J$451),0),
IF('TL04'!$B$3=N$3,SUMIF('TL04'!$C$10:$C$224,$C64,'TL04'!$J$10:$J$224),0),
IF('TL04'!$B$229=N$3,SUMIF('TL04'!$C$238:$C$451,$C64,'TL04'!$J$238:$J$451),0),
IF('TL05'!$B$3=N$3,SUMIF('TL05'!$C$10:$C$224,$C64,'TL05'!$J$10:$J$224),0),
IF('TL05'!$B$229=N$3,SUMIF('TL05'!$C$238:$C$451,$C64,'TL05'!$J$238:$J$451),0),
IF('TL06'!$B$3=N$3,SUMIF('TL06'!$C$10:$C$224,$C64,'TL06'!$J$10:$J$224),0),
IF('TL06'!$B$229=N$3,SUMIF('TL06'!$C$238:$C$451,$C64,'TL06'!$J$238:$J$451),0),
IF('TL07'!$B$3=N$3,SUMIF('TL07'!$C$10:$C$224,$C64,'TL07'!$J$10:$J$224),0),
IF('TL07'!$B$229=N$3,SUMIF('TL07'!$C$238:$C$451,$C64,'TL07'!$J$238:$J$451),0),
IF('TL08'!$B$3=N$3,SUMIF('TL08'!$C$10:$C$224,$C64,'TL08'!$J$10:$J$224),0),
IF('TL08'!$B$229=N$3,SUMIF('TL08'!$C$238:$C$451,$C64,'TL08'!$J$238:$J$451),0),
IF('TL09'!$B$3=N$3,SUMIF('TL09'!$C$10:$C$224,$C64,'TL09'!$J$10:$J$224),0),
IF('TL09'!$B$229=N$3,SUMIF('TL09'!$C$238:$C$451,$C64,'TL09'!$J$238:$J$451),0),
IF('TL10'!$B$3=N$3,SUMIF('TL10'!$C$10:$C$224,$C64,'TL10'!$J$10:$J$224),0),
IF('TL10'!$B$229=N$3,SUMIF('TL10'!$C$238:$C$451,$C64,'TL10'!$J$238:$J$451),0),
IF('TL11'!$B$3=N$3,SUMIF('TL11'!$C$10:$C$224,$C64,'TL11'!$J$10:$J$224),0),
IF('TL11'!$B$229=N$3,SUMIF('TL11'!$C$238:$C$451,$C64,'TL11'!$J$238:$J$451),0),
IF('TL12'!$B$3=N$3,SUMIF('TL12'!$C$10:$C$224,$C64,'TL12'!$J$10:$J$224),0),
IF('TL12'!$B$229=N$3,SUMIF('TL12'!$C$238:$C$451,$C64,'TL12'!$J$238:$J$451),0),
IF('TL13'!$B$3=N$3,SUMIF('TL13'!$C$10:$C$224,$C64,'TL13'!$J$10:$J$224),0),
IF('TL13'!$B$229=N$3,SUMIF('TL13'!$C$238:$C$451,$C64,'TL13'!$J$238:$J$451),0),
IF('TL14'!$B$3=N$3,SUMIF('TL14'!$C$10:$C$224,$C64,'TL14'!$J$10:$J$224),0),
IF('TL14'!$B$229=N$3,SUMIF('TL14'!$C$238:$C$451,$C64,'TL14'!$J$238:$J$451),0),
IF('TL15'!$B$3=N$3,SUMIF('TL15'!$C$10:$C$224,$C64,'TL15'!$J$10:$J$224),0),
IF('TL15'!$B$229=N$3,SUMIF('TL15'!$C$238:$C$451,$C64,'TL15'!$J$238:$J$451),0),
IF('TL16'!$B$3=N$3,SUMIF('TL16'!$C$10:$C$224,$C64,'TL16'!$J$10:$J$224),0),
IF('TL16'!$B$229=N$3,SUMIF('TL16'!$C$238:$C$451,$C64,'TL16'!$J$238:$J$451),0),
IF('TL17'!$B$3=N$3,SUMIF('TL17'!$C$10:$C$224,$C64,'TL17'!$J$10:$J$224),0),
IF('TL17'!$B$229=N$3,SUMIF('TL17'!$C$238:$C$451,$C64,'TL17'!$J$238:$J$451),0),
IF('TL18'!$B$3=N$3,SUMIF('TL18'!$C$10:$C$224,$C64,'TL18'!$J$10:$J$224),0),
IF('TL18'!$B$229=N$3,SUMIF('TL18'!$C$238:$C$451,$C64,'TL18'!$J$238:$J$451),0),
IF('TL19'!$B$3=N$3,SUMIF('TL19'!$C$10:$C$224,$C64,'TL19'!$J$10:$J$224),0),
IF('TL19'!$B$229=N$3,SUMIF('TL19'!$C$238:$C$451,$C64,'TL19'!$J$238:$J$451),0)
),0)</f>
        <v/>
      </c>
      <c r="O64" s="9">
        <f>IFERROR(SUM(
IF('TL01'!$B$3=O$3,SUMIF('TL01'!$C$10:$C$224,$C64,'TL01'!$J$10:$J$224),0),
IF('TL01'!$B$229=O$3,SUMIF('TL01'!$C$238:$C$451,$C64,'TL01'!$J$238:$J$451),0),
IF('TL02'!$B$3=O$3,SUMIF('TL02'!$C$10:$C$224,$C64,'TL02'!$J$10:$J$224),0),
IF('TL02'!$B$229=O$3,SUMIF('TL02'!$C$238:$C$451,$C64,'TL02'!$J$238:$J$451),0),
IF('TL03'!$B$3=O$3,SUMIF('TL03'!$C$10:$C$224,$C64,'TL03'!$J$10:$J$224),0),
IF('TL03'!$B$229=O$3,SUMIF('TL03'!$C$238:$C$451,$C64,'TL03'!$J$238:$J$451),0),
IF('TL04'!$B$3=O$3,SUMIF('TL04'!$C$10:$C$224,$C64,'TL04'!$J$10:$J$224),0),
IF('TL04'!$B$229=O$3,SUMIF('TL04'!$C$238:$C$451,$C64,'TL04'!$J$238:$J$451),0),
IF('TL05'!$B$3=O$3,SUMIF('TL05'!$C$10:$C$224,$C64,'TL05'!$J$10:$J$224),0),
IF('TL05'!$B$229=O$3,SUMIF('TL05'!$C$238:$C$451,$C64,'TL05'!$J$238:$J$451),0),
IF('TL06'!$B$3=O$3,SUMIF('TL06'!$C$10:$C$224,$C64,'TL06'!$J$10:$J$224),0),
IF('TL06'!$B$229=O$3,SUMIF('TL06'!$C$238:$C$451,$C64,'TL06'!$J$238:$J$451),0),
IF('TL07'!$B$3=O$3,SUMIF('TL07'!$C$10:$C$224,$C64,'TL07'!$J$10:$J$224),0),
IF('TL07'!$B$229=O$3,SUMIF('TL07'!$C$238:$C$451,$C64,'TL07'!$J$238:$J$451),0),
IF('TL08'!$B$3=O$3,SUMIF('TL08'!$C$10:$C$224,$C64,'TL08'!$J$10:$J$224),0),
IF('TL08'!$B$229=O$3,SUMIF('TL08'!$C$238:$C$451,$C64,'TL08'!$J$238:$J$451),0),
IF('TL09'!$B$3=O$3,SUMIF('TL09'!$C$10:$C$224,$C64,'TL09'!$J$10:$J$224),0),
IF('TL09'!$B$229=O$3,SUMIF('TL09'!$C$238:$C$451,$C64,'TL09'!$J$238:$J$451),0),
IF('TL10'!$B$3=O$3,SUMIF('TL10'!$C$10:$C$224,$C64,'TL10'!$J$10:$J$224),0),
IF('TL10'!$B$229=O$3,SUMIF('TL10'!$C$238:$C$451,$C64,'TL10'!$J$238:$J$451),0),
IF('TL11'!$B$3=O$3,SUMIF('TL11'!$C$10:$C$224,$C64,'TL11'!$J$10:$J$224),0),
IF('TL11'!$B$229=O$3,SUMIF('TL11'!$C$238:$C$451,$C64,'TL11'!$J$238:$J$451),0),
IF('TL12'!$B$3=O$3,SUMIF('TL12'!$C$10:$C$224,$C64,'TL12'!$J$10:$J$224),0),
IF('TL12'!$B$229=O$3,SUMIF('TL12'!$C$238:$C$451,$C64,'TL12'!$J$238:$J$451),0),
IF('TL13'!$B$3=O$3,SUMIF('TL13'!$C$10:$C$224,$C64,'TL13'!$J$10:$J$224),0),
IF('TL13'!$B$229=O$3,SUMIF('TL13'!$C$238:$C$451,$C64,'TL13'!$J$238:$J$451),0),
IF('TL14'!$B$3=O$3,SUMIF('TL14'!$C$10:$C$224,$C64,'TL14'!$J$10:$J$224),0),
IF('TL14'!$B$229=O$3,SUMIF('TL14'!$C$238:$C$451,$C64,'TL14'!$J$238:$J$451),0),
IF('TL15'!$B$3=O$3,SUMIF('TL15'!$C$10:$C$224,$C64,'TL15'!$J$10:$J$224),0),
IF('TL15'!$B$229=O$3,SUMIF('TL15'!$C$238:$C$451,$C64,'TL15'!$J$238:$J$451),0),
IF('TL16'!$B$3=O$3,SUMIF('TL16'!$C$10:$C$224,$C64,'TL16'!$J$10:$J$224),0),
IF('TL16'!$B$229=O$3,SUMIF('TL16'!$C$238:$C$451,$C64,'TL16'!$J$238:$J$451),0),
IF('TL17'!$B$3=O$3,SUMIF('TL17'!$C$10:$C$224,$C64,'TL17'!$J$10:$J$224),0),
IF('TL17'!$B$229=O$3,SUMIF('TL17'!$C$238:$C$451,$C64,'TL17'!$J$238:$J$451),0),
IF('TL18'!$B$3=O$3,SUMIF('TL18'!$C$10:$C$224,$C64,'TL18'!$J$10:$J$224),0),
IF('TL18'!$B$229=O$3,SUMIF('TL18'!$C$238:$C$451,$C64,'TL18'!$J$238:$J$451),0),
IF('TL19'!$B$3=O$3,SUMIF('TL19'!$C$10:$C$224,$C64,'TL19'!$J$10:$J$224),0),
IF('TL19'!$B$229=O$3,SUMIF('TL19'!$C$238:$C$451,$C64,'TL19'!$J$238:$J$451),0)
),0)</f>
        <v/>
      </c>
      <c r="P64" s="9">
        <f>IFERROR(SUM(
IF('TL01'!$B$3=P$3,SUMIF('TL01'!$C$10:$C$224,$C64,'TL01'!$J$10:$J$224),0),
IF('TL01'!$B$229=P$3,SUMIF('TL01'!$C$238:$C$451,$C64,'TL01'!$J$238:$J$451),0),
IF('TL02'!$B$3=P$3,SUMIF('TL02'!$C$10:$C$224,$C64,'TL02'!$J$10:$J$224),0),
IF('TL02'!$B$229=P$3,SUMIF('TL02'!$C$238:$C$451,$C64,'TL02'!$J$238:$J$451),0),
IF('TL03'!$B$3=P$3,SUMIF('TL03'!$C$10:$C$224,$C64,'TL03'!$J$10:$J$224),0),
IF('TL03'!$B$229=P$3,SUMIF('TL03'!$C$238:$C$451,$C64,'TL03'!$J$238:$J$451),0),
IF('TL04'!$B$3=P$3,SUMIF('TL04'!$C$10:$C$224,$C64,'TL04'!$J$10:$J$224),0),
IF('TL04'!$B$229=P$3,SUMIF('TL04'!$C$238:$C$451,$C64,'TL04'!$J$238:$J$451),0),
IF('TL05'!$B$3=P$3,SUMIF('TL05'!$C$10:$C$224,$C64,'TL05'!$J$10:$J$224),0),
IF('TL05'!$B$229=P$3,SUMIF('TL05'!$C$238:$C$451,$C64,'TL05'!$J$238:$J$451),0),
IF('TL06'!$B$3=P$3,SUMIF('TL06'!$C$10:$C$224,$C64,'TL06'!$J$10:$J$224),0),
IF('TL06'!$B$229=P$3,SUMIF('TL06'!$C$238:$C$451,$C64,'TL06'!$J$238:$J$451),0),
IF('TL07'!$B$3=P$3,SUMIF('TL07'!$C$10:$C$224,$C64,'TL07'!$J$10:$J$224),0),
IF('TL07'!$B$229=P$3,SUMIF('TL07'!$C$238:$C$451,$C64,'TL07'!$J$238:$J$451),0),
IF('TL08'!$B$3=P$3,SUMIF('TL08'!$C$10:$C$224,$C64,'TL08'!$J$10:$J$224),0),
IF('TL08'!$B$229=P$3,SUMIF('TL08'!$C$238:$C$451,$C64,'TL08'!$J$238:$J$451),0),
IF('TL09'!$B$3=P$3,SUMIF('TL09'!$C$10:$C$224,$C64,'TL09'!$J$10:$J$224),0),
IF('TL09'!$B$229=P$3,SUMIF('TL09'!$C$238:$C$451,$C64,'TL09'!$J$238:$J$451),0),
IF('TL10'!$B$3=P$3,SUMIF('TL10'!$C$10:$C$224,$C64,'TL10'!$J$10:$J$224),0),
IF('TL10'!$B$229=P$3,SUMIF('TL10'!$C$238:$C$451,$C64,'TL10'!$J$238:$J$451),0),
IF('TL11'!$B$3=P$3,SUMIF('TL11'!$C$10:$C$224,$C64,'TL11'!$J$10:$J$224),0),
IF('TL11'!$B$229=P$3,SUMIF('TL11'!$C$238:$C$451,$C64,'TL11'!$J$238:$J$451),0),
IF('TL12'!$B$3=P$3,SUMIF('TL12'!$C$10:$C$224,$C64,'TL12'!$J$10:$J$224),0),
IF('TL12'!$B$229=P$3,SUMIF('TL12'!$C$238:$C$451,$C64,'TL12'!$J$238:$J$451),0),
IF('TL13'!$B$3=P$3,SUMIF('TL13'!$C$10:$C$224,$C64,'TL13'!$J$10:$J$224),0),
IF('TL13'!$B$229=P$3,SUMIF('TL13'!$C$238:$C$451,$C64,'TL13'!$J$238:$J$451),0),
IF('TL14'!$B$3=P$3,SUMIF('TL14'!$C$10:$C$224,$C64,'TL14'!$J$10:$J$224),0),
IF('TL14'!$B$229=P$3,SUMIF('TL14'!$C$238:$C$451,$C64,'TL14'!$J$238:$J$451),0),
IF('TL15'!$B$3=P$3,SUMIF('TL15'!$C$10:$C$224,$C64,'TL15'!$J$10:$J$224),0),
IF('TL15'!$B$229=P$3,SUMIF('TL15'!$C$238:$C$451,$C64,'TL15'!$J$238:$J$451),0),
IF('TL16'!$B$3=P$3,SUMIF('TL16'!$C$10:$C$224,$C64,'TL16'!$J$10:$J$224),0),
IF('TL16'!$B$229=P$3,SUMIF('TL16'!$C$238:$C$451,$C64,'TL16'!$J$238:$J$451),0),
IF('TL17'!$B$3=P$3,SUMIF('TL17'!$C$10:$C$224,$C64,'TL17'!$J$10:$J$224),0),
IF('TL17'!$B$229=P$3,SUMIF('TL17'!$C$238:$C$451,$C64,'TL17'!$J$238:$J$451),0),
IF('TL18'!$B$3=P$3,SUMIF('TL18'!$C$10:$C$224,$C64,'TL18'!$J$10:$J$224),0),
IF('TL18'!$B$229=P$3,SUMIF('TL18'!$C$238:$C$451,$C64,'TL18'!$J$238:$J$451),0),
IF('TL19'!$B$3=P$3,SUMIF('TL19'!$C$10:$C$224,$C64,'TL19'!$J$10:$J$224),0),
IF('TL19'!$B$229=P$3,SUMIF('TL19'!$C$238:$C$451,$C64,'TL19'!$J$238:$J$451),0)
),0)</f>
        <v/>
      </c>
      <c r="Q64" s="9">
        <f>IFERROR(SUM(
IF('TL01'!$B$3=Q$3,SUMIF('TL01'!$C$10:$C$224,$C64,'TL01'!$J$10:$J$224),0),
IF('TL01'!$B$229=Q$3,SUMIF('TL01'!$C$238:$C$451,$C64,'TL01'!$J$238:$J$451),0),
IF('TL02'!$B$3=Q$3,SUMIF('TL02'!$C$10:$C$224,$C64,'TL02'!$J$10:$J$224),0),
IF('TL02'!$B$229=Q$3,SUMIF('TL02'!$C$238:$C$451,$C64,'TL02'!$J$238:$J$451),0),
IF('TL03'!$B$3=Q$3,SUMIF('TL03'!$C$10:$C$224,$C64,'TL03'!$J$10:$J$224),0),
IF('TL03'!$B$229=Q$3,SUMIF('TL03'!$C$238:$C$451,$C64,'TL03'!$J$238:$J$451),0),
IF('TL04'!$B$3=Q$3,SUMIF('TL04'!$C$10:$C$224,$C64,'TL04'!$J$10:$J$224),0),
IF('TL04'!$B$229=Q$3,SUMIF('TL04'!$C$238:$C$451,$C64,'TL04'!$J$238:$J$451),0),
IF('TL05'!$B$3=Q$3,SUMIF('TL05'!$C$10:$C$224,$C64,'TL05'!$J$10:$J$224),0),
IF('TL05'!$B$229=Q$3,SUMIF('TL05'!$C$238:$C$451,$C64,'TL05'!$J$238:$J$451),0),
IF('TL06'!$B$3=Q$3,SUMIF('TL06'!$C$10:$C$224,$C64,'TL06'!$J$10:$J$224),0),
IF('TL06'!$B$229=Q$3,SUMIF('TL06'!$C$238:$C$451,$C64,'TL06'!$J$238:$J$451),0),
IF('TL07'!$B$3=Q$3,SUMIF('TL07'!$C$10:$C$224,$C64,'TL07'!$J$10:$J$224),0),
IF('TL07'!$B$229=Q$3,SUMIF('TL07'!$C$238:$C$451,$C64,'TL07'!$J$238:$J$451),0),
IF('TL08'!$B$3=Q$3,SUMIF('TL08'!$C$10:$C$224,$C64,'TL08'!$J$10:$J$224),0),
IF('TL08'!$B$229=Q$3,SUMIF('TL08'!$C$238:$C$451,$C64,'TL08'!$J$238:$J$451),0),
IF('TL09'!$B$3=Q$3,SUMIF('TL09'!$C$10:$C$224,$C64,'TL09'!$J$10:$J$224),0),
IF('TL09'!$B$229=Q$3,SUMIF('TL09'!$C$238:$C$451,$C64,'TL09'!$J$238:$J$451),0),
IF('TL10'!$B$3=Q$3,SUMIF('TL10'!$C$10:$C$224,$C64,'TL10'!$J$10:$J$224),0),
IF('TL10'!$B$229=Q$3,SUMIF('TL10'!$C$238:$C$451,$C64,'TL10'!$J$238:$J$451),0),
IF('TL11'!$B$3=Q$3,SUMIF('TL11'!$C$10:$C$224,$C64,'TL11'!$J$10:$J$224),0),
IF('TL11'!$B$229=Q$3,SUMIF('TL11'!$C$238:$C$451,$C64,'TL11'!$J$238:$J$451),0),
IF('TL12'!$B$3=Q$3,SUMIF('TL12'!$C$10:$C$224,$C64,'TL12'!$J$10:$J$224),0),
IF('TL12'!$B$229=Q$3,SUMIF('TL12'!$C$238:$C$451,$C64,'TL12'!$J$238:$J$451),0),
IF('TL13'!$B$3=Q$3,SUMIF('TL13'!$C$10:$C$224,$C64,'TL13'!$J$10:$J$224),0),
IF('TL13'!$B$229=Q$3,SUMIF('TL13'!$C$238:$C$451,$C64,'TL13'!$J$238:$J$451),0),
IF('TL14'!$B$3=Q$3,SUMIF('TL14'!$C$10:$C$224,$C64,'TL14'!$J$10:$J$224),0),
IF('TL14'!$B$229=Q$3,SUMIF('TL14'!$C$238:$C$451,$C64,'TL14'!$J$238:$J$451),0),
IF('TL15'!$B$3=Q$3,SUMIF('TL15'!$C$10:$C$224,$C64,'TL15'!$J$10:$J$224),0),
IF('TL15'!$B$229=Q$3,SUMIF('TL15'!$C$238:$C$451,$C64,'TL15'!$J$238:$J$451),0),
IF('TL16'!$B$3=Q$3,SUMIF('TL16'!$C$10:$C$224,$C64,'TL16'!$J$10:$J$224),0),
IF('TL16'!$B$229=Q$3,SUMIF('TL16'!$C$238:$C$451,$C64,'TL16'!$J$238:$J$451),0),
IF('TL17'!$B$3=Q$3,SUMIF('TL17'!$C$10:$C$224,$C64,'TL17'!$J$10:$J$224),0),
IF('TL17'!$B$229=Q$3,SUMIF('TL17'!$C$238:$C$451,$C64,'TL17'!$J$238:$J$451),0),
IF('TL18'!$B$3=Q$3,SUMIF('TL18'!$C$10:$C$224,$C64,'TL18'!$J$10:$J$224),0),
IF('TL18'!$B$229=Q$3,SUMIF('TL18'!$C$238:$C$451,$C64,'TL18'!$J$238:$J$451),0),
IF('TL19'!$B$3=Q$3,SUMIF('TL19'!$C$10:$C$224,$C64,'TL19'!$J$10:$J$224),0),
IF('TL19'!$B$229=Q$3,SUMIF('TL19'!$C$238:$C$451,$C64,'TL19'!$J$238:$J$451),0)
),0)</f>
        <v/>
      </c>
      <c r="R64" s="9">
        <f>IFERROR(
SUM(
SUMIF('TL01'!C:C,C64,'TL01'!J:J),
SUMIF('TL02'!C:C,C64,'TL02'!J:J),
SUMIF('TL03'!C:C,C64,'TL03'!J:J),
SUMIF('TL04'!C:C,C64,'TL04'!J:J),
SUMIF('TL05'!C:C,C64,'TL05'!J:J),
SUMIF('TL06'!C:C,C64,'TL06'!J:J),
SUMIF('TL07'!C:C,C64,'TL07'!J:J),
SUMIF('TL08'!C:C,C64,'TL08'!J:J),
SUMIF('TL09'!C:C,C64,'TL09'!J:J),
SUMIF('TL10'!C:C,C64,'TL10'!J:J),
SUMIF('TL11'!C:C,C64,'TL11'!J:J),
SUMIF('TL12'!C:C,C64,'TL12'!J:J),
SUMIF('TL13'!C:C,C64,'TL13'!J:J),
SUMIF('TL14'!C:C,C64,'TL14'!J:J),
SUMIF('TL15'!C:C,C64,'TL15'!J:J),
SUMIF('TL16'!C:C,C64,'TL16'!J:J),
SUMIF('TL17'!C:C,C64,'TL17'!J:J),
SUMIF('TL18'!C:C,C64,'TL18'!J:J),SUMIF('TL19'!C:C,C64,'TL19'!J:J))
,0)</f>
        <v/>
      </c>
      <c r="S64" s="17">
        <f>IFERROR(__xludf.DUMMYFUNCTION("IFERROR(VLOOKUP(C64,
IMPORTRANGE(""1wULbzX32WdYsx-lj2U3uUNBBe2INVIRDtcK0d-Dvl90"",
""26-27!C:G""),
5,
FALSE),
"""")"),118.03392000000001)</f>
        <v/>
      </c>
      <c r="T64" s="9" t="n"/>
      <c r="U64" s="92">
        <f>MAX(0,R64-T64)</f>
        <v/>
      </c>
      <c r="V64" s="93">
        <f>U64*S64</f>
        <v/>
      </c>
    </row>
    <row r="65" hidden="1" ht="15.75" customHeight="1" s="297">
      <c r="A65" s="111" t="inlineStr">
        <is>
          <t>CROPCHEM</t>
        </is>
      </c>
      <c r="B65" s="112" t="inlineStr">
        <is>
          <t>FUNGICIDA</t>
        </is>
      </c>
      <c r="C65" s="113" t="inlineStr">
        <is>
          <t>CHARRUA 430 SC</t>
        </is>
      </c>
      <c r="D65" s="113" t="inlineStr">
        <is>
          <t>TEBUCONAZOL</t>
        </is>
      </c>
      <c r="E65" s="113" t="n">
        <v>430</v>
      </c>
      <c r="F65" s="4" t="inlineStr">
        <is>
          <t>L</t>
        </is>
      </c>
      <c r="G65" s="90">
        <f>HYPERLINK("https://www.google.com/search?q=" &amp; C65 &amp; "+bula+agrofit+pdf", "📄 Ver bula")</f>
        <v/>
      </c>
      <c r="H65" s="9">
        <f>IFERROR(__xludf.DUMMYFUNCTION("IFERROR(VLOOKUP(C65,
IMPORTRANGE(""1wULbzX32WdYsx-lj2U3uUNBBe2INVIRDtcK0d-Dvl90"",
""26-27!C:K""),
8,
FALSE),
"""")"),0.4)</f>
        <v/>
      </c>
      <c r="I65" s="114" t="inlineStr">
        <is>
          <t>1x20</t>
        </is>
      </c>
      <c r="J65" s="9">
        <f>IFERROR(SUM(
IF('TL01'!$B$3=J$3,SUMIF('TL01'!$C$10:$C$224,$C65,'TL01'!$J$10:$J$224),0),
IF('TL01'!$B$229=J$3,SUMIF('TL01'!$C$238:$C$451,$C65,'TL01'!$J$238:$J$451),0),
IF('TL02'!$B$3=J$3,SUMIF('TL02'!$C$10:$C$224,$C65,'TL02'!$J$10:$J$224),0),
IF('TL02'!$B$229=J$3,SUMIF('TL02'!$C$238:$C$451,$C65,'TL02'!$J$238:$J$451),0),
IF('TL03'!$B$3=J$3,SUMIF('TL03'!$C$10:$C$224,$C65,'TL03'!$J$10:$J$224),0),
IF('TL03'!$B$229=J$3,SUMIF('TL03'!$C$238:$C$451,$C65,'TL03'!$J$238:$J$451),0),
IF('TL04'!$B$3=J$3,SUMIF('TL04'!$C$10:$C$224,$C65,'TL04'!$J$10:$J$224),0),
IF('TL04'!$B$229=J$3,SUMIF('TL04'!$C$238:$C$451,$C65,'TL04'!$J$238:$J$451),0),
IF('TL05'!$B$3=J$3,SUMIF('TL05'!$C$10:$C$224,$C65,'TL05'!$J$10:$J$224),0),
IF('TL05'!$B$229=J$3,SUMIF('TL05'!$C$238:$C$451,$C65,'TL05'!$J$238:$J$451),0),
IF('TL06'!$B$3=J$3,SUMIF('TL06'!$C$10:$C$224,$C65,'TL06'!$J$10:$J$224),0),
IF('TL06'!$B$229=J$3,SUMIF('TL06'!$C$238:$C$451,$C65,'TL06'!$J$238:$J$451),0),
IF('TL07'!$B$3=J$3,SUMIF('TL07'!$C$10:$C$224,$C65,'TL07'!$J$10:$J$224),0),
IF('TL07'!$B$229=J$3,SUMIF('TL07'!$C$238:$C$451,$C65,'TL07'!$J$238:$J$451),0),
IF('TL08'!$B$3=J$3,SUMIF('TL08'!$C$10:$C$224,$C65,'TL08'!$J$10:$J$224),0),
IF('TL08'!$B$229=J$3,SUMIF('TL08'!$C$238:$C$451,$C65,'TL08'!$J$238:$J$451),0),
IF('TL09'!$B$3=J$3,SUMIF('TL09'!$C$10:$C$224,$C65,'TL09'!$J$10:$J$224),0),
IF('TL09'!$B$229=J$3,SUMIF('TL09'!$C$238:$C$451,$C65,'TL09'!$J$238:$J$451),0),
IF('TL10'!$B$3=J$3,SUMIF('TL10'!$C$10:$C$224,$C65,'TL10'!$J$10:$J$224),0),
IF('TL10'!$B$229=J$3,SUMIF('TL10'!$C$238:$C$451,$C65,'TL10'!$J$238:$J$451),0),
IF('TL11'!$B$3=J$3,SUMIF('TL11'!$C$10:$C$224,$C65,'TL11'!$J$10:$J$224),0),
IF('TL11'!$B$229=J$3,SUMIF('TL11'!$C$238:$C$451,$C65,'TL11'!$J$238:$J$451),0),
IF('TL12'!$B$3=J$3,SUMIF('TL12'!$C$10:$C$224,$C65,'TL12'!$J$10:$J$224),0),
IF('TL12'!$B$229=J$3,SUMIF('TL12'!$C$238:$C$451,$C65,'TL12'!$J$238:$J$451),0),
IF('TL13'!$B$3=J$3,SUMIF('TL13'!$C$10:$C$224,$C65,'TL13'!$J$10:$J$224),0),
IF('TL13'!$B$229=J$3,SUMIF('TL13'!$C$238:$C$451,$C65,'TL13'!$J$238:$J$451),0),
IF('TL14'!$B$3=J$3,SUMIF('TL14'!$C$10:$C$224,$C65,'TL14'!$J$10:$J$224),0),
IF('TL14'!$B$229=J$3,SUMIF('TL14'!$C$238:$C$451,$C65,'TL14'!$J$238:$J$451),0),
IF('TL15'!$B$3=J$3,SUMIF('TL15'!$C$10:$C$224,$C65,'TL15'!$J$10:$J$224),0),
IF('TL15'!$B$229=J$3,SUMIF('TL15'!$C$238:$C$451,$C65,'TL15'!$J$238:$J$451),0),
IF('TL16'!$B$3=J$3,SUMIF('TL16'!$C$10:$C$224,$C65,'TL16'!$J$10:$J$224),0),
IF('TL16'!$B$229=J$3,SUMIF('TL16'!$C$238:$C$451,$C65,'TL16'!$J$238:$J$451),0),
IF('TL17'!$B$3=J$3,SUMIF('TL17'!$C$10:$C$224,$C65,'TL17'!$J$10:$J$224),0),
IF('TL17'!$B$229=J$3,SUMIF('TL17'!$C$238:$C$451,$C65,'TL17'!$J$238:$J$451),0),
IF('TL18'!$B$3=J$3,SUMIF('TL18'!$C$10:$C$224,$C65,'TL18'!$J$10:$J$224),0),
IF('TL18'!$B$229=J$3,SUMIF('TL18'!$C$238:$C$451,$C65,'TL18'!$J$238:$J$451),0),
IF('TL19'!$B$3=J$3,SUMIF('TL19'!$C$10:$C$224,$C65,'TL19'!$J$10:$J$224),0),
IF('TL19'!$B$229=J$3,SUMIF('TL19'!$C$238:$C$451,$C65,'TL19'!$J$238:$J$451),0)
),0)</f>
        <v/>
      </c>
      <c r="K65" s="9">
        <f>IFERROR(SUM(
IF('TL01'!$B$3=K$3,SUMIF('TL01'!$C$10:$C$224,$C65,'TL01'!$J$10:$J$224),0),
IF('TL01'!$B$229=K$3,SUMIF('TL01'!$C$238:$C$451,$C65,'TL01'!$J$238:$J$451),0),
IF('TL02'!$B$3=K$3,SUMIF('TL02'!$C$10:$C$224,$C65,'TL02'!$J$10:$J$224),0),
IF('TL02'!$B$229=K$3,SUMIF('TL02'!$C$238:$C$451,$C65,'TL02'!$J$238:$J$451),0),
IF('TL03'!$B$3=K$3,SUMIF('TL03'!$C$10:$C$224,$C65,'TL03'!$J$10:$J$224),0),
IF('TL03'!$B$229=K$3,SUMIF('TL03'!$C$238:$C$451,$C65,'TL03'!$J$238:$J$451),0),
IF('TL04'!$B$3=K$3,SUMIF('TL04'!$C$10:$C$224,$C65,'TL04'!$J$10:$J$224),0),
IF('TL04'!$B$229=K$3,SUMIF('TL04'!$C$238:$C$451,$C65,'TL04'!$J$238:$J$451),0),
IF('TL05'!$B$3=K$3,SUMIF('TL05'!$C$10:$C$224,$C65,'TL05'!$J$10:$J$224),0),
IF('TL05'!$B$229=K$3,SUMIF('TL05'!$C$238:$C$451,$C65,'TL05'!$J$238:$J$451),0),
IF('TL06'!$B$3=K$3,SUMIF('TL06'!$C$10:$C$224,$C65,'TL06'!$J$10:$J$224),0),
IF('TL06'!$B$229=K$3,SUMIF('TL06'!$C$238:$C$451,$C65,'TL06'!$J$238:$J$451),0),
IF('TL07'!$B$3=K$3,SUMIF('TL07'!$C$10:$C$224,$C65,'TL07'!$J$10:$J$224),0),
IF('TL07'!$B$229=K$3,SUMIF('TL07'!$C$238:$C$451,$C65,'TL07'!$J$238:$J$451),0),
IF('TL08'!$B$3=K$3,SUMIF('TL08'!$C$10:$C$224,$C65,'TL08'!$J$10:$J$224),0),
IF('TL08'!$B$229=K$3,SUMIF('TL08'!$C$238:$C$451,$C65,'TL08'!$J$238:$J$451),0),
IF('TL09'!$B$3=K$3,SUMIF('TL09'!$C$10:$C$224,$C65,'TL09'!$J$10:$J$224),0),
IF('TL09'!$B$229=K$3,SUMIF('TL09'!$C$238:$C$451,$C65,'TL09'!$J$238:$J$451),0),
IF('TL10'!$B$3=K$3,SUMIF('TL10'!$C$10:$C$224,$C65,'TL10'!$J$10:$J$224),0),
IF('TL10'!$B$229=K$3,SUMIF('TL10'!$C$238:$C$451,$C65,'TL10'!$J$238:$J$451),0),
IF('TL11'!$B$3=K$3,SUMIF('TL11'!$C$10:$C$224,$C65,'TL11'!$J$10:$J$224),0),
IF('TL11'!$B$229=K$3,SUMIF('TL11'!$C$238:$C$451,$C65,'TL11'!$J$238:$J$451),0),
IF('TL12'!$B$3=K$3,SUMIF('TL12'!$C$10:$C$224,$C65,'TL12'!$J$10:$J$224),0),
IF('TL12'!$B$229=K$3,SUMIF('TL12'!$C$238:$C$451,$C65,'TL12'!$J$238:$J$451),0),
IF('TL13'!$B$3=K$3,SUMIF('TL13'!$C$10:$C$224,$C65,'TL13'!$J$10:$J$224),0),
IF('TL13'!$B$229=K$3,SUMIF('TL13'!$C$238:$C$451,$C65,'TL13'!$J$238:$J$451),0),
IF('TL14'!$B$3=K$3,SUMIF('TL14'!$C$10:$C$224,$C65,'TL14'!$J$10:$J$224),0),
IF('TL14'!$B$229=K$3,SUMIF('TL14'!$C$238:$C$451,$C65,'TL14'!$J$238:$J$451),0),
IF('TL15'!$B$3=K$3,SUMIF('TL15'!$C$10:$C$224,$C65,'TL15'!$J$10:$J$224),0),
IF('TL15'!$B$229=K$3,SUMIF('TL15'!$C$238:$C$451,$C65,'TL15'!$J$238:$J$451),0),
IF('TL16'!$B$3=K$3,SUMIF('TL16'!$C$10:$C$224,$C65,'TL16'!$J$10:$J$224),0),
IF('TL16'!$B$229=K$3,SUMIF('TL16'!$C$238:$C$451,$C65,'TL16'!$J$238:$J$451),0),
IF('TL17'!$B$3=K$3,SUMIF('TL17'!$C$10:$C$224,$C65,'TL17'!$J$10:$J$224),0),
IF('TL17'!$B$229=K$3,SUMIF('TL17'!$C$238:$C$451,$C65,'TL17'!$J$238:$J$451),0),
IF('TL18'!$B$3=K$3,SUMIF('TL18'!$C$10:$C$224,$C65,'TL18'!$J$10:$J$224),0),
IF('TL18'!$B$229=K$3,SUMIF('TL18'!$C$238:$C$451,$C65,'TL18'!$J$238:$J$451),0),
IF('TL19'!$B$3=K$3,SUMIF('TL19'!$C$10:$C$224,$C65,'TL19'!$J$10:$J$224),0),
IF('TL19'!$B$229=K$3,SUMIF('TL19'!$C$238:$C$451,$C65,'TL19'!$J$238:$J$451),0)
),0)</f>
        <v/>
      </c>
      <c r="L65" s="9">
        <f>IFERROR(SUM(
IF('TL01'!$B$3=L$3,SUMIF('TL01'!$C$10:$C$224,$C65,'TL01'!$J$10:$J$224),0),
IF('TL01'!$B$229=L$3,SUMIF('TL01'!$C$238:$C$451,$C65,'TL01'!$J$238:$J$451),0),
IF('TL02'!$B$3=L$3,SUMIF('TL02'!$C$10:$C$224,$C65,'TL02'!$J$10:$J$224),0),
IF('TL02'!$B$229=L$3,SUMIF('TL02'!$C$238:$C$451,$C65,'TL02'!$J$238:$J$451),0),
IF('TL03'!$B$3=L$3,SUMIF('TL03'!$C$10:$C$224,$C65,'TL03'!$J$10:$J$224),0),
IF('TL03'!$B$229=L$3,SUMIF('TL03'!$C$238:$C$451,$C65,'TL03'!$J$238:$J$451),0),
IF('TL04'!$B$3=L$3,SUMIF('TL04'!$C$10:$C$224,$C65,'TL04'!$J$10:$J$224),0),
IF('TL04'!$B$229=L$3,SUMIF('TL04'!$C$238:$C$451,$C65,'TL04'!$J$238:$J$451),0),
IF('TL05'!$B$3=L$3,SUMIF('TL05'!$C$10:$C$224,$C65,'TL05'!$J$10:$J$224),0),
IF('TL05'!$B$229=L$3,SUMIF('TL05'!$C$238:$C$451,$C65,'TL05'!$J$238:$J$451),0),
IF('TL06'!$B$3=L$3,SUMIF('TL06'!$C$10:$C$224,$C65,'TL06'!$J$10:$J$224),0),
IF('TL06'!$B$229=L$3,SUMIF('TL06'!$C$238:$C$451,$C65,'TL06'!$J$238:$J$451),0),
IF('TL07'!$B$3=L$3,SUMIF('TL07'!$C$10:$C$224,$C65,'TL07'!$J$10:$J$224),0),
IF('TL07'!$B$229=L$3,SUMIF('TL07'!$C$238:$C$451,$C65,'TL07'!$J$238:$J$451),0),
IF('TL08'!$B$3=L$3,SUMIF('TL08'!$C$10:$C$224,$C65,'TL08'!$J$10:$J$224),0),
IF('TL08'!$B$229=L$3,SUMIF('TL08'!$C$238:$C$451,$C65,'TL08'!$J$238:$J$451),0),
IF('TL09'!$B$3=L$3,SUMIF('TL09'!$C$10:$C$224,$C65,'TL09'!$J$10:$J$224),0),
IF('TL09'!$B$229=L$3,SUMIF('TL09'!$C$238:$C$451,$C65,'TL09'!$J$238:$J$451),0),
IF('TL10'!$B$3=L$3,SUMIF('TL10'!$C$10:$C$224,$C65,'TL10'!$J$10:$J$224),0),
IF('TL10'!$B$229=L$3,SUMIF('TL10'!$C$238:$C$451,$C65,'TL10'!$J$238:$J$451),0),
IF('TL11'!$B$3=L$3,SUMIF('TL11'!$C$10:$C$224,$C65,'TL11'!$J$10:$J$224),0),
IF('TL11'!$B$229=L$3,SUMIF('TL11'!$C$238:$C$451,$C65,'TL11'!$J$238:$J$451),0),
IF('TL12'!$B$3=L$3,SUMIF('TL12'!$C$10:$C$224,$C65,'TL12'!$J$10:$J$224),0),
IF('TL12'!$B$229=L$3,SUMIF('TL12'!$C$238:$C$451,$C65,'TL12'!$J$238:$J$451),0),
IF('TL13'!$B$3=L$3,SUMIF('TL13'!$C$10:$C$224,$C65,'TL13'!$J$10:$J$224),0),
IF('TL13'!$B$229=L$3,SUMIF('TL13'!$C$238:$C$451,$C65,'TL13'!$J$238:$J$451),0),
IF('TL14'!$B$3=L$3,SUMIF('TL14'!$C$10:$C$224,$C65,'TL14'!$J$10:$J$224),0),
IF('TL14'!$B$229=L$3,SUMIF('TL14'!$C$238:$C$451,$C65,'TL14'!$J$238:$J$451),0),
IF('TL15'!$B$3=L$3,SUMIF('TL15'!$C$10:$C$224,$C65,'TL15'!$J$10:$J$224),0),
IF('TL15'!$B$229=L$3,SUMIF('TL15'!$C$238:$C$451,$C65,'TL15'!$J$238:$J$451),0),
IF('TL16'!$B$3=L$3,SUMIF('TL16'!$C$10:$C$224,$C65,'TL16'!$J$10:$J$224),0),
IF('TL16'!$B$229=L$3,SUMIF('TL16'!$C$238:$C$451,$C65,'TL16'!$J$238:$J$451),0),
IF('TL17'!$B$3=L$3,SUMIF('TL17'!$C$10:$C$224,$C65,'TL17'!$J$10:$J$224),0),
IF('TL17'!$B$229=L$3,SUMIF('TL17'!$C$238:$C$451,$C65,'TL17'!$J$238:$J$451),0),
IF('TL18'!$B$3=L$3,SUMIF('TL18'!$C$10:$C$224,$C65,'TL18'!$J$10:$J$224),0),
IF('TL18'!$B$229=L$3,SUMIF('TL18'!$C$238:$C$451,$C65,'TL18'!$J$238:$J$451),0),
IF('TL19'!$B$3=L$3,SUMIF('TL19'!$C$10:$C$224,$C65,'TL19'!$J$10:$J$224),0),
IF('TL19'!$B$229=L$3,SUMIF('TL19'!$C$238:$C$451,$C65,'TL19'!$J$238:$J$451),0)
),0)</f>
        <v/>
      </c>
      <c r="M65" s="9">
        <f>IFERROR(SUM(
IF('TL01'!$B$3=M$3,SUMIF('TL01'!$C$10:$C$224,$C65,'TL01'!$J$10:$J$224),0),
IF('TL01'!$B$229=M$3,SUMIF('TL01'!$C$238:$C$451,$C65,'TL01'!$J$238:$J$451),0),
IF('TL02'!$B$3=M$3,SUMIF('TL02'!$C$10:$C$224,$C65,'TL02'!$J$10:$J$224),0),
IF('TL02'!$B$229=M$3,SUMIF('TL02'!$C$238:$C$451,$C65,'TL02'!$J$238:$J$451),0),
IF('TL03'!$B$3=M$3,SUMIF('TL03'!$C$10:$C$224,$C65,'TL03'!$J$10:$J$224),0),
IF('TL03'!$B$229=M$3,SUMIF('TL03'!$C$238:$C$451,$C65,'TL03'!$J$238:$J$451),0),
IF('TL04'!$B$3=M$3,SUMIF('TL04'!$C$10:$C$224,$C65,'TL04'!$J$10:$J$224),0),
IF('TL04'!$B$229=M$3,SUMIF('TL04'!$C$238:$C$451,$C65,'TL04'!$J$238:$J$451),0),
IF('TL05'!$B$3=M$3,SUMIF('TL05'!$C$10:$C$224,$C65,'TL05'!$J$10:$J$224),0),
IF('TL05'!$B$229=M$3,SUMIF('TL05'!$C$238:$C$451,$C65,'TL05'!$J$238:$J$451),0),
IF('TL06'!$B$3=M$3,SUMIF('TL06'!$C$10:$C$224,$C65,'TL06'!$J$10:$J$224),0),
IF('TL06'!$B$229=M$3,SUMIF('TL06'!$C$238:$C$451,$C65,'TL06'!$J$238:$J$451),0),
IF('TL07'!$B$3=M$3,SUMIF('TL07'!$C$10:$C$224,$C65,'TL07'!$J$10:$J$224),0),
IF('TL07'!$B$229=M$3,SUMIF('TL07'!$C$238:$C$451,$C65,'TL07'!$J$238:$J$451),0),
IF('TL08'!$B$3=M$3,SUMIF('TL08'!$C$10:$C$224,$C65,'TL08'!$J$10:$J$224),0),
IF('TL08'!$B$229=M$3,SUMIF('TL08'!$C$238:$C$451,$C65,'TL08'!$J$238:$J$451),0),
IF('TL09'!$B$3=M$3,SUMIF('TL09'!$C$10:$C$224,$C65,'TL09'!$J$10:$J$224),0),
IF('TL09'!$B$229=M$3,SUMIF('TL09'!$C$238:$C$451,$C65,'TL09'!$J$238:$J$451),0),
IF('TL10'!$B$3=M$3,SUMIF('TL10'!$C$10:$C$224,$C65,'TL10'!$J$10:$J$224),0),
IF('TL10'!$B$229=M$3,SUMIF('TL10'!$C$238:$C$451,$C65,'TL10'!$J$238:$J$451),0),
IF('TL11'!$B$3=M$3,SUMIF('TL11'!$C$10:$C$224,$C65,'TL11'!$J$10:$J$224),0),
IF('TL11'!$B$229=M$3,SUMIF('TL11'!$C$238:$C$451,$C65,'TL11'!$J$238:$J$451),0),
IF('TL12'!$B$3=M$3,SUMIF('TL12'!$C$10:$C$224,$C65,'TL12'!$J$10:$J$224),0),
IF('TL12'!$B$229=M$3,SUMIF('TL12'!$C$238:$C$451,$C65,'TL12'!$J$238:$J$451),0),
IF('TL13'!$B$3=M$3,SUMIF('TL13'!$C$10:$C$224,$C65,'TL13'!$J$10:$J$224),0),
IF('TL13'!$B$229=M$3,SUMIF('TL13'!$C$238:$C$451,$C65,'TL13'!$J$238:$J$451),0),
IF('TL14'!$B$3=M$3,SUMIF('TL14'!$C$10:$C$224,$C65,'TL14'!$J$10:$J$224),0),
IF('TL14'!$B$229=M$3,SUMIF('TL14'!$C$238:$C$451,$C65,'TL14'!$J$238:$J$451),0),
IF('TL15'!$B$3=M$3,SUMIF('TL15'!$C$10:$C$224,$C65,'TL15'!$J$10:$J$224),0),
IF('TL15'!$B$229=M$3,SUMIF('TL15'!$C$238:$C$451,$C65,'TL15'!$J$238:$J$451),0),
IF('TL16'!$B$3=M$3,SUMIF('TL16'!$C$10:$C$224,$C65,'TL16'!$J$10:$J$224),0),
IF('TL16'!$B$229=M$3,SUMIF('TL16'!$C$238:$C$451,$C65,'TL16'!$J$238:$J$451),0),
IF('TL17'!$B$3=M$3,SUMIF('TL17'!$C$10:$C$224,$C65,'TL17'!$J$10:$J$224),0),
IF('TL17'!$B$229=M$3,SUMIF('TL17'!$C$238:$C$451,$C65,'TL17'!$J$238:$J$451),0),
IF('TL18'!$B$3=M$3,SUMIF('TL18'!$C$10:$C$224,$C65,'TL18'!$J$10:$J$224),0),
IF('TL18'!$B$229=M$3,SUMIF('TL18'!$C$238:$C$451,$C65,'TL18'!$J$238:$J$451),0),
IF('TL19'!$B$3=M$3,SUMIF('TL19'!$C$10:$C$224,$C65,'TL19'!$J$10:$J$224),0),
IF('TL19'!$B$229=M$3,SUMIF('TL19'!$C$238:$C$451,$C65,'TL19'!$J$238:$J$451),0)
),0)</f>
        <v/>
      </c>
      <c r="N65" s="9">
        <f>IFERROR(SUM(
IF('TL01'!$B$3=N$3,SUMIF('TL01'!$C$10:$C$224,$C65,'TL01'!$J$10:$J$224),0),
IF('TL01'!$B$229=N$3,SUMIF('TL01'!$C$238:$C$451,$C65,'TL01'!$J$238:$J$451),0),
IF('TL02'!$B$3=N$3,SUMIF('TL02'!$C$10:$C$224,$C65,'TL02'!$J$10:$J$224),0),
IF('TL02'!$B$229=N$3,SUMIF('TL02'!$C$238:$C$451,$C65,'TL02'!$J$238:$J$451),0),
IF('TL03'!$B$3=N$3,SUMIF('TL03'!$C$10:$C$224,$C65,'TL03'!$J$10:$J$224),0),
IF('TL03'!$B$229=N$3,SUMIF('TL03'!$C$238:$C$451,$C65,'TL03'!$J$238:$J$451),0),
IF('TL04'!$B$3=N$3,SUMIF('TL04'!$C$10:$C$224,$C65,'TL04'!$J$10:$J$224),0),
IF('TL04'!$B$229=N$3,SUMIF('TL04'!$C$238:$C$451,$C65,'TL04'!$J$238:$J$451),0),
IF('TL05'!$B$3=N$3,SUMIF('TL05'!$C$10:$C$224,$C65,'TL05'!$J$10:$J$224),0),
IF('TL05'!$B$229=N$3,SUMIF('TL05'!$C$238:$C$451,$C65,'TL05'!$J$238:$J$451),0),
IF('TL06'!$B$3=N$3,SUMIF('TL06'!$C$10:$C$224,$C65,'TL06'!$J$10:$J$224),0),
IF('TL06'!$B$229=N$3,SUMIF('TL06'!$C$238:$C$451,$C65,'TL06'!$J$238:$J$451),0),
IF('TL07'!$B$3=N$3,SUMIF('TL07'!$C$10:$C$224,$C65,'TL07'!$J$10:$J$224),0),
IF('TL07'!$B$229=N$3,SUMIF('TL07'!$C$238:$C$451,$C65,'TL07'!$J$238:$J$451),0),
IF('TL08'!$B$3=N$3,SUMIF('TL08'!$C$10:$C$224,$C65,'TL08'!$J$10:$J$224),0),
IF('TL08'!$B$229=N$3,SUMIF('TL08'!$C$238:$C$451,$C65,'TL08'!$J$238:$J$451),0),
IF('TL09'!$B$3=N$3,SUMIF('TL09'!$C$10:$C$224,$C65,'TL09'!$J$10:$J$224),0),
IF('TL09'!$B$229=N$3,SUMIF('TL09'!$C$238:$C$451,$C65,'TL09'!$J$238:$J$451),0),
IF('TL10'!$B$3=N$3,SUMIF('TL10'!$C$10:$C$224,$C65,'TL10'!$J$10:$J$224),0),
IF('TL10'!$B$229=N$3,SUMIF('TL10'!$C$238:$C$451,$C65,'TL10'!$J$238:$J$451),0),
IF('TL11'!$B$3=N$3,SUMIF('TL11'!$C$10:$C$224,$C65,'TL11'!$J$10:$J$224),0),
IF('TL11'!$B$229=N$3,SUMIF('TL11'!$C$238:$C$451,$C65,'TL11'!$J$238:$J$451),0),
IF('TL12'!$B$3=N$3,SUMIF('TL12'!$C$10:$C$224,$C65,'TL12'!$J$10:$J$224),0),
IF('TL12'!$B$229=N$3,SUMIF('TL12'!$C$238:$C$451,$C65,'TL12'!$J$238:$J$451),0),
IF('TL13'!$B$3=N$3,SUMIF('TL13'!$C$10:$C$224,$C65,'TL13'!$J$10:$J$224),0),
IF('TL13'!$B$229=N$3,SUMIF('TL13'!$C$238:$C$451,$C65,'TL13'!$J$238:$J$451),0),
IF('TL14'!$B$3=N$3,SUMIF('TL14'!$C$10:$C$224,$C65,'TL14'!$J$10:$J$224),0),
IF('TL14'!$B$229=N$3,SUMIF('TL14'!$C$238:$C$451,$C65,'TL14'!$J$238:$J$451),0),
IF('TL15'!$B$3=N$3,SUMIF('TL15'!$C$10:$C$224,$C65,'TL15'!$J$10:$J$224),0),
IF('TL15'!$B$229=N$3,SUMIF('TL15'!$C$238:$C$451,$C65,'TL15'!$J$238:$J$451),0),
IF('TL16'!$B$3=N$3,SUMIF('TL16'!$C$10:$C$224,$C65,'TL16'!$J$10:$J$224),0),
IF('TL16'!$B$229=N$3,SUMIF('TL16'!$C$238:$C$451,$C65,'TL16'!$J$238:$J$451),0),
IF('TL17'!$B$3=N$3,SUMIF('TL17'!$C$10:$C$224,$C65,'TL17'!$J$10:$J$224),0),
IF('TL17'!$B$229=N$3,SUMIF('TL17'!$C$238:$C$451,$C65,'TL17'!$J$238:$J$451),0),
IF('TL18'!$B$3=N$3,SUMIF('TL18'!$C$10:$C$224,$C65,'TL18'!$J$10:$J$224),0),
IF('TL18'!$B$229=N$3,SUMIF('TL18'!$C$238:$C$451,$C65,'TL18'!$J$238:$J$451),0),
IF('TL19'!$B$3=N$3,SUMIF('TL19'!$C$10:$C$224,$C65,'TL19'!$J$10:$J$224),0),
IF('TL19'!$B$229=N$3,SUMIF('TL19'!$C$238:$C$451,$C65,'TL19'!$J$238:$J$451),0)
),0)</f>
        <v/>
      </c>
      <c r="O65" s="9">
        <f>IFERROR(SUM(
IF('TL01'!$B$3=O$3,SUMIF('TL01'!$C$10:$C$224,$C65,'TL01'!$J$10:$J$224),0),
IF('TL01'!$B$229=O$3,SUMIF('TL01'!$C$238:$C$451,$C65,'TL01'!$J$238:$J$451),0),
IF('TL02'!$B$3=O$3,SUMIF('TL02'!$C$10:$C$224,$C65,'TL02'!$J$10:$J$224),0),
IF('TL02'!$B$229=O$3,SUMIF('TL02'!$C$238:$C$451,$C65,'TL02'!$J$238:$J$451),0),
IF('TL03'!$B$3=O$3,SUMIF('TL03'!$C$10:$C$224,$C65,'TL03'!$J$10:$J$224),0),
IF('TL03'!$B$229=O$3,SUMIF('TL03'!$C$238:$C$451,$C65,'TL03'!$J$238:$J$451),0),
IF('TL04'!$B$3=O$3,SUMIF('TL04'!$C$10:$C$224,$C65,'TL04'!$J$10:$J$224),0),
IF('TL04'!$B$229=O$3,SUMIF('TL04'!$C$238:$C$451,$C65,'TL04'!$J$238:$J$451),0),
IF('TL05'!$B$3=O$3,SUMIF('TL05'!$C$10:$C$224,$C65,'TL05'!$J$10:$J$224),0),
IF('TL05'!$B$229=O$3,SUMIF('TL05'!$C$238:$C$451,$C65,'TL05'!$J$238:$J$451),0),
IF('TL06'!$B$3=O$3,SUMIF('TL06'!$C$10:$C$224,$C65,'TL06'!$J$10:$J$224),0),
IF('TL06'!$B$229=O$3,SUMIF('TL06'!$C$238:$C$451,$C65,'TL06'!$J$238:$J$451),0),
IF('TL07'!$B$3=O$3,SUMIF('TL07'!$C$10:$C$224,$C65,'TL07'!$J$10:$J$224),0),
IF('TL07'!$B$229=O$3,SUMIF('TL07'!$C$238:$C$451,$C65,'TL07'!$J$238:$J$451),0),
IF('TL08'!$B$3=O$3,SUMIF('TL08'!$C$10:$C$224,$C65,'TL08'!$J$10:$J$224),0),
IF('TL08'!$B$229=O$3,SUMIF('TL08'!$C$238:$C$451,$C65,'TL08'!$J$238:$J$451),0),
IF('TL09'!$B$3=O$3,SUMIF('TL09'!$C$10:$C$224,$C65,'TL09'!$J$10:$J$224),0),
IF('TL09'!$B$229=O$3,SUMIF('TL09'!$C$238:$C$451,$C65,'TL09'!$J$238:$J$451),0),
IF('TL10'!$B$3=O$3,SUMIF('TL10'!$C$10:$C$224,$C65,'TL10'!$J$10:$J$224),0),
IF('TL10'!$B$229=O$3,SUMIF('TL10'!$C$238:$C$451,$C65,'TL10'!$J$238:$J$451),0),
IF('TL11'!$B$3=O$3,SUMIF('TL11'!$C$10:$C$224,$C65,'TL11'!$J$10:$J$224),0),
IF('TL11'!$B$229=O$3,SUMIF('TL11'!$C$238:$C$451,$C65,'TL11'!$J$238:$J$451),0),
IF('TL12'!$B$3=O$3,SUMIF('TL12'!$C$10:$C$224,$C65,'TL12'!$J$10:$J$224),0),
IF('TL12'!$B$229=O$3,SUMIF('TL12'!$C$238:$C$451,$C65,'TL12'!$J$238:$J$451),0),
IF('TL13'!$B$3=O$3,SUMIF('TL13'!$C$10:$C$224,$C65,'TL13'!$J$10:$J$224),0),
IF('TL13'!$B$229=O$3,SUMIF('TL13'!$C$238:$C$451,$C65,'TL13'!$J$238:$J$451),0),
IF('TL14'!$B$3=O$3,SUMIF('TL14'!$C$10:$C$224,$C65,'TL14'!$J$10:$J$224),0),
IF('TL14'!$B$229=O$3,SUMIF('TL14'!$C$238:$C$451,$C65,'TL14'!$J$238:$J$451),0),
IF('TL15'!$B$3=O$3,SUMIF('TL15'!$C$10:$C$224,$C65,'TL15'!$J$10:$J$224),0),
IF('TL15'!$B$229=O$3,SUMIF('TL15'!$C$238:$C$451,$C65,'TL15'!$J$238:$J$451),0),
IF('TL16'!$B$3=O$3,SUMIF('TL16'!$C$10:$C$224,$C65,'TL16'!$J$10:$J$224),0),
IF('TL16'!$B$229=O$3,SUMIF('TL16'!$C$238:$C$451,$C65,'TL16'!$J$238:$J$451),0),
IF('TL17'!$B$3=O$3,SUMIF('TL17'!$C$10:$C$224,$C65,'TL17'!$J$10:$J$224),0),
IF('TL17'!$B$229=O$3,SUMIF('TL17'!$C$238:$C$451,$C65,'TL17'!$J$238:$J$451),0),
IF('TL18'!$B$3=O$3,SUMIF('TL18'!$C$10:$C$224,$C65,'TL18'!$J$10:$J$224),0),
IF('TL18'!$B$229=O$3,SUMIF('TL18'!$C$238:$C$451,$C65,'TL18'!$J$238:$J$451),0),
IF('TL19'!$B$3=O$3,SUMIF('TL19'!$C$10:$C$224,$C65,'TL19'!$J$10:$J$224),0),
IF('TL19'!$B$229=O$3,SUMIF('TL19'!$C$238:$C$451,$C65,'TL19'!$J$238:$J$451),0)
),0)</f>
        <v/>
      </c>
      <c r="P65" s="9">
        <f>IFERROR(SUM(
IF('TL01'!$B$3=P$3,SUMIF('TL01'!$C$10:$C$224,$C65,'TL01'!$J$10:$J$224),0),
IF('TL01'!$B$229=P$3,SUMIF('TL01'!$C$238:$C$451,$C65,'TL01'!$J$238:$J$451),0),
IF('TL02'!$B$3=P$3,SUMIF('TL02'!$C$10:$C$224,$C65,'TL02'!$J$10:$J$224),0),
IF('TL02'!$B$229=P$3,SUMIF('TL02'!$C$238:$C$451,$C65,'TL02'!$J$238:$J$451),0),
IF('TL03'!$B$3=P$3,SUMIF('TL03'!$C$10:$C$224,$C65,'TL03'!$J$10:$J$224),0),
IF('TL03'!$B$229=P$3,SUMIF('TL03'!$C$238:$C$451,$C65,'TL03'!$J$238:$J$451),0),
IF('TL04'!$B$3=P$3,SUMIF('TL04'!$C$10:$C$224,$C65,'TL04'!$J$10:$J$224),0),
IF('TL04'!$B$229=P$3,SUMIF('TL04'!$C$238:$C$451,$C65,'TL04'!$J$238:$J$451),0),
IF('TL05'!$B$3=P$3,SUMIF('TL05'!$C$10:$C$224,$C65,'TL05'!$J$10:$J$224),0),
IF('TL05'!$B$229=P$3,SUMIF('TL05'!$C$238:$C$451,$C65,'TL05'!$J$238:$J$451),0),
IF('TL06'!$B$3=P$3,SUMIF('TL06'!$C$10:$C$224,$C65,'TL06'!$J$10:$J$224),0),
IF('TL06'!$B$229=P$3,SUMIF('TL06'!$C$238:$C$451,$C65,'TL06'!$J$238:$J$451),0),
IF('TL07'!$B$3=P$3,SUMIF('TL07'!$C$10:$C$224,$C65,'TL07'!$J$10:$J$224),0),
IF('TL07'!$B$229=P$3,SUMIF('TL07'!$C$238:$C$451,$C65,'TL07'!$J$238:$J$451),0),
IF('TL08'!$B$3=P$3,SUMIF('TL08'!$C$10:$C$224,$C65,'TL08'!$J$10:$J$224),0),
IF('TL08'!$B$229=P$3,SUMIF('TL08'!$C$238:$C$451,$C65,'TL08'!$J$238:$J$451),0),
IF('TL09'!$B$3=P$3,SUMIF('TL09'!$C$10:$C$224,$C65,'TL09'!$J$10:$J$224),0),
IF('TL09'!$B$229=P$3,SUMIF('TL09'!$C$238:$C$451,$C65,'TL09'!$J$238:$J$451),0),
IF('TL10'!$B$3=P$3,SUMIF('TL10'!$C$10:$C$224,$C65,'TL10'!$J$10:$J$224),0),
IF('TL10'!$B$229=P$3,SUMIF('TL10'!$C$238:$C$451,$C65,'TL10'!$J$238:$J$451),0),
IF('TL11'!$B$3=P$3,SUMIF('TL11'!$C$10:$C$224,$C65,'TL11'!$J$10:$J$224),0),
IF('TL11'!$B$229=P$3,SUMIF('TL11'!$C$238:$C$451,$C65,'TL11'!$J$238:$J$451),0),
IF('TL12'!$B$3=P$3,SUMIF('TL12'!$C$10:$C$224,$C65,'TL12'!$J$10:$J$224),0),
IF('TL12'!$B$229=P$3,SUMIF('TL12'!$C$238:$C$451,$C65,'TL12'!$J$238:$J$451),0),
IF('TL13'!$B$3=P$3,SUMIF('TL13'!$C$10:$C$224,$C65,'TL13'!$J$10:$J$224),0),
IF('TL13'!$B$229=P$3,SUMIF('TL13'!$C$238:$C$451,$C65,'TL13'!$J$238:$J$451),0),
IF('TL14'!$B$3=P$3,SUMIF('TL14'!$C$10:$C$224,$C65,'TL14'!$J$10:$J$224),0),
IF('TL14'!$B$229=P$3,SUMIF('TL14'!$C$238:$C$451,$C65,'TL14'!$J$238:$J$451),0),
IF('TL15'!$B$3=P$3,SUMIF('TL15'!$C$10:$C$224,$C65,'TL15'!$J$10:$J$224),0),
IF('TL15'!$B$229=P$3,SUMIF('TL15'!$C$238:$C$451,$C65,'TL15'!$J$238:$J$451),0),
IF('TL16'!$B$3=P$3,SUMIF('TL16'!$C$10:$C$224,$C65,'TL16'!$J$10:$J$224),0),
IF('TL16'!$B$229=P$3,SUMIF('TL16'!$C$238:$C$451,$C65,'TL16'!$J$238:$J$451),0),
IF('TL17'!$B$3=P$3,SUMIF('TL17'!$C$10:$C$224,$C65,'TL17'!$J$10:$J$224),0),
IF('TL17'!$B$229=P$3,SUMIF('TL17'!$C$238:$C$451,$C65,'TL17'!$J$238:$J$451),0),
IF('TL18'!$B$3=P$3,SUMIF('TL18'!$C$10:$C$224,$C65,'TL18'!$J$10:$J$224),0),
IF('TL18'!$B$229=P$3,SUMIF('TL18'!$C$238:$C$451,$C65,'TL18'!$J$238:$J$451),0),
IF('TL19'!$B$3=P$3,SUMIF('TL19'!$C$10:$C$224,$C65,'TL19'!$J$10:$J$224),0),
IF('TL19'!$B$229=P$3,SUMIF('TL19'!$C$238:$C$451,$C65,'TL19'!$J$238:$J$451),0)
),0)</f>
        <v/>
      </c>
      <c r="Q65" s="9">
        <f>IFERROR(SUM(
IF('TL01'!$B$3=Q$3,SUMIF('TL01'!$C$10:$C$224,$C65,'TL01'!$J$10:$J$224),0),
IF('TL01'!$B$229=Q$3,SUMIF('TL01'!$C$238:$C$451,$C65,'TL01'!$J$238:$J$451),0),
IF('TL02'!$B$3=Q$3,SUMIF('TL02'!$C$10:$C$224,$C65,'TL02'!$J$10:$J$224),0),
IF('TL02'!$B$229=Q$3,SUMIF('TL02'!$C$238:$C$451,$C65,'TL02'!$J$238:$J$451),0),
IF('TL03'!$B$3=Q$3,SUMIF('TL03'!$C$10:$C$224,$C65,'TL03'!$J$10:$J$224),0),
IF('TL03'!$B$229=Q$3,SUMIF('TL03'!$C$238:$C$451,$C65,'TL03'!$J$238:$J$451),0),
IF('TL04'!$B$3=Q$3,SUMIF('TL04'!$C$10:$C$224,$C65,'TL04'!$J$10:$J$224),0),
IF('TL04'!$B$229=Q$3,SUMIF('TL04'!$C$238:$C$451,$C65,'TL04'!$J$238:$J$451),0),
IF('TL05'!$B$3=Q$3,SUMIF('TL05'!$C$10:$C$224,$C65,'TL05'!$J$10:$J$224),0),
IF('TL05'!$B$229=Q$3,SUMIF('TL05'!$C$238:$C$451,$C65,'TL05'!$J$238:$J$451),0),
IF('TL06'!$B$3=Q$3,SUMIF('TL06'!$C$10:$C$224,$C65,'TL06'!$J$10:$J$224),0),
IF('TL06'!$B$229=Q$3,SUMIF('TL06'!$C$238:$C$451,$C65,'TL06'!$J$238:$J$451),0),
IF('TL07'!$B$3=Q$3,SUMIF('TL07'!$C$10:$C$224,$C65,'TL07'!$J$10:$J$224),0),
IF('TL07'!$B$229=Q$3,SUMIF('TL07'!$C$238:$C$451,$C65,'TL07'!$J$238:$J$451),0),
IF('TL08'!$B$3=Q$3,SUMIF('TL08'!$C$10:$C$224,$C65,'TL08'!$J$10:$J$224),0),
IF('TL08'!$B$229=Q$3,SUMIF('TL08'!$C$238:$C$451,$C65,'TL08'!$J$238:$J$451),0),
IF('TL09'!$B$3=Q$3,SUMIF('TL09'!$C$10:$C$224,$C65,'TL09'!$J$10:$J$224),0),
IF('TL09'!$B$229=Q$3,SUMIF('TL09'!$C$238:$C$451,$C65,'TL09'!$J$238:$J$451),0),
IF('TL10'!$B$3=Q$3,SUMIF('TL10'!$C$10:$C$224,$C65,'TL10'!$J$10:$J$224),0),
IF('TL10'!$B$229=Q$3,SUMIF('TL10'!$C$238:$C$451,$C65,'TL10'!$J$238:$J$451),0),
IF('TL11'!$B$3=Q$3,SUMIF('TL11'!$C$10:$C$224,$C65,'TL11'!$J$10:$J$224),0),
IF('TL11'!$B$229=Q$3,SUMIF('TL11'!$C$238:$C$451,$C65,'TL11'!$J$238:$J$451),0),
IF('TL12'!$B$3=Q$3,SUMIF('TL12'!$C$10:$C$224,$C65,'TL12'!$J$10:$J$224),0),
IF('TL12'!$B$229=Q$3,SUMIF('TL12'!$C$238:$C$451,$C65,'TL12'!$J$238:$J$451),0),
IF('TL13'!$B$3=Q$3,SUMIF('TL13'!$C$10:$C$224,$C65,'TL13'!$J$10:$J$224),0),
IF('TL13'!$B$229=Q$3,SUMIF('TL13'!$C$238:$C$451,$C65,'TL13'!$J$238:$J$451),0),
IF('TL14'!$B$3=Q$3,SUMIF('TL14'!$C$10:$C$224,$C65,'TL14'!$J$10:$J$224),0),
IF('TL14'!$B$229=Q$3,SUMIF('TL14'!$C$238:$C$451,$C65,'TL14'!$J$238:$J$451),0),
IF('TL15'!$B$3=Q$3,SUMIF('TL15'!$C$10:$C$224,$C65,'TL15'!$J$10:$J$224),0),
IF('TL15'!$B$229=Q$3,SUMIF('TL15'!$C$238:$C$451,$C65,'TL15'!$J$238:$J$451),0),
IF('TL16'!$B$3=Q$3,SUMIF('TL16'!$C$10:$C$224,$C65,'TL16'!$J$10:$J$224),0),
IF('TL16'!$B$229=Q$3,SUMIF('TL16'!$C$238:$C$451,$C65,'TL16'!$J$238:$J$451),0),
IF('TL17'!$B$3=Q$3,SUMIF('TL17'!$C$10:$C$224,$C65,'TL17'!$J$10:$J$224),0),
IF('TL17'!$B$229=Q$3,SUMIF('TL17'!$C$238:$C$451,$C65,'TL17'!$J$238:$J$451),0),
IF('TL18'!$B$3=Q$3,SUMIF('TL18'!$C$10:$C$224,$C65,'TL18'!$J$10:$J$224),0),
IF('TL18'!$B$229=Q$3,SUMIF('TL18'!$C$238:$C$451,$C65,'TL18'!$J$238:$J$451),0),
IF('TL19'!$B$3=Q$3,SUMIF('TL19'!$C$10:$C$224,$C65,'TL19'!$J$10:$J$224),0),
IF('TL19'!$B$229=Q$3,SUMIF('TL19'!$C$238:$C$451,$C65,'TL19'!$J$238:$J$451),0)
),0)</f>
        <v/>
      </c>
      <c r="R65" s="9">
        <f>IFERROR(
SUM(
SUMIF('TL01'!C:C,C65,'TL01'!J:J),
SUMIF('TL02'!C:C,C65,'TL02'!J:J),
SUMIF('TL03'!C:C,C65,'TL03'!J:J),
SUMIF('TL04'!C:C,C65,'TL04'!J:J),
SUMIF('TL05'!C:C,C65,'TL05'!J:J),
SUMIF('TL06'!C:C,C65,'TL06'!J:J),
SUMIF('TL07'!C:C,C65,'TL07'!J:J),
SUMIF('TL08'!C:C,C65,'TL08'!J:J),
SUMIF('TL09'!C:C,C65,'TL09'!J:J),
SUMIF('TL10'!C:C,C65,'TL10'!J:J),
SUMIF('TL11'!C:C,C65,'TL11'!J:J),
SUMIF('TL12'!C:C,C65,'TL12'!J:J),
SUMIF('TL13'!C:C,C65,'TL13'!J:J),
SUMIF('TL14'!C:C,C65,'TL14'!J:J),
SUMIF('TL15'!C:C,C65,'TL15'!J:J),
SUMIF('TL16'!C:C,C65,'TL16'!J:J),
SUMIF('TL17'!C:C,C65,'TL17'!J:J),
SUMIF('TL18'!C:C,C65,'TL18'!J:J),SUMIF('TL19'!C:C,C65,'TL19'!J:J))
,0)</f>
        <v/>
      </c>
      <c r="S65" s="17">
        <f>IFERROR(__xludf.DUMMYFUNCTION("IFERROR(VLOOKUP(C65,
IMPORTRANGE(""1wULbzX32WdYsx-lj2U3uUNBBe2INVIRDtcK0d-Dvl90"",
""26-27!C:G""),
5,
FALSE),
"""")"),30.456)</f>
        <v/>
      </c>
      <c r="T65" s="9" t="n">
        <v>45</v>
      </c>
      <c r="U65" s="92">
        <f>MAX(0,R65-T65)</f>
        <v/>
      </c>
      <c r="V65" s="93">
        <f>U65*S65</f>
        <v/>
      </c>
    </row>
    <row r="66" hidden="1" ht="15.75" customHeight="1" s="297">
      <c r="A66" s="115" t="inlineStr">
        <is>
          <t>CROPCHEM</t>
        </is>
      </c>
      <c r="B66" s="100" t="inlineStr">
        <is>
          <t>FUNGICIDA</t>
        </is>
      </c>
      <c r="C66" s="116" t="inlineStr">
        <is>
          <t>SEVARE 250 EC</t>
        </is>
      </c>
      <c r="D66" s="116" t="inlineStr">
        <is>
          <t>DIFENOCONAZOL</t>
        </is>
      </c>
      <c r="E66" s="116" t="n">
        <v>250</v>
      </c>
      <c r="F66" s="4" t="inlineStr">
        <is>
          <t>L</t>
        </is>
      </c>
      <c r="G66" s="90">
        <f>HYPERLINK("https://www.google.com/search?q=" &amp; C66 &amp; "+bula+agrofit+pdf", "📄 Ver bula")</f>
        <v/>
      </c>
      <c r="H66" s="9">
        <f>IFERROR(__xludf.DUMMYFUNCTION("IFERROR(VLOOKUP(C66,
IMPORTRANGE(""1wULbzX32WdYsx-lj2U3uUNBBe2INVIRDtcK0d-Dvl90"",
""26-27!C:K""),
8,
FALSE),
"""")"),0.2)</f>
        <v/>
      </c>
      <c r="I66" s="117" t="inlineStr">
        <is>
          <t>4X5</t>
        </is>
      </c>
      <c r="J66" s="9">
        <f>IFERROR(SUM(
IF('TL01'!$B$3=J$3,SUMIF('TL01'!$C$10:$C$224,$C66,'TL01'!$J$10:$J$224),0),
IF('TL01'!$B$229=J$3,SUMIF('TL01'!$C$238:$C$451,$C66,'TL01'!$J$238:$J$451),0),
IF('TL02'!$B$3=J$3,SUMIF('TL02'!$C$10:$C$224,$C66,'TL02'!$J$10:$J$224),0),
IF('TL02'!$B$229=J$3,SUMIF('TL02'!$C$238:$C$451,$C66,'TL02'!$J$238:$J$451),0),
IF('TL03'!$B$3=J$3,SUMIF('TL03'!$C$10:$C$224,$C66,'TL03'!$J$10:$J$224),0),
IF('TL03'!$B$229=J$3,SUMIF('TL03'!$C$238:$C$451,$C66,'TL03'!$J$238:$J$451),0),
IF('TL04'!$B$3=J$3,SUMIF('TL04'!$C$10:$C$224,$C66,'TL04'!$J$10:$J$224),0),
IF('TL04'!$B$229=J$3,SUMIF('TL04'!$C$238:$C$451,$C66,'TL04'!$J$238:$J$451),0),
IF('TL05'!$B$3=J$3,SUMIF('TL05'!$C$10:$C$224,$C66,'TL05'!$J$10:$J$224),0),
IF('TL05'!$B$229=J$3,SUMIF('TL05'!$C$238:$C$451,$C66,'TL05'!$J$238:$J$451),0),
IF('TL06'!$B$3=J$3,SUMIF('TL06'!$C$10:$C$224,$C66,'TL06'!$J$10:$J$224),0),
IF('TL06'!$B$229=J$3,SUMIF('TL06'!$C$238:$C$451,$C66,'TL06'!$J$238:$J$451),0),
IF('TL07'!$B$3=J$3,SUMIF('TL07'!$C$10:$C$224,$C66,'TL07'!$J$10:$J$224),0),
IF('TL07'!$B$229=J$3,SUMIF('TL07'!$C$238:$C$451,$C66,'TL07'!$J$238:$J$451),0),
IF('TL08'!$B$3=J$3,SUMIF('TL08'!$C$10:$C$224,$C66,'TL08'!$J$10:$J$224),0),
IF('TL08'!$B$229=J$3,SUMIF('TL08'!$C$238:$C$451,$C66,'TL08'!$J$238:$J$451),0),
IF('TL09'!$B$3=J$3,SUMIF('TL09'!$C$10:$C$224,$C66,'TL09'!$J$10:$J$224),0),
IF('TL09'!$B$229=J$3,SUMIF('TL09'!$C$238:$C$451,$C66,'TL09'!$J$238:$J$451),0),
IF('TL10'!$B$3=J$3,SUMIF('TL10'!$C$10:$C$224,$C66,'TL10'!$J$10:$J$224),0),
IF('TL10'!$B$229=J$3,SUMIF('TL10'!$C$238:$C$451,$C66,'TL10'!$J$238:$J$451),0),
IF('TL11'!$B$3=J$3,SUMIF('TL11'!$C$10:$C$224,$C66,'TL11'!$J$10:$J$224),0),
IF('TL11'!$B$229=J$3,SUMIF('TL11'!$C$238:$C$451,$C66,'TL11'!$J$238:$J$451),0),
IF('TL12'!$B$3=J$3,SUMIF('TL12'!$C$10:$C$224,$C66,'TL12'!$J$10:$J$224),0),
IF('TL12'!$B$229=J$3,SUMIF('TL12'!$C$238:$C$451,$C66,'TL12'!$J$238:$J$451),0),
IF('TL13'!$B$3=J$3,SUMIF('TL13'!$C$10:$C$224,$C66,'TL13'!$J$10:$J$224),0),
IF('TL13'!$B$229=J$3,SUMIF('TL13'!$C$238:$C$451,$C66,'TL13'!$J$238:$J$451),0),
IF('TL14'!$B$3=J$3,SUMIF('TL14'!$C$10:$C$224,$C66,'TL14'!$J$10:$J$224),0),
IF('TL14'!$B$229=J$3,SUMIF('TL14'!$C$238:$C$451,$C66,'TL14'!$J$238:$J$451),0),
IF('TL15'!$B$3=J$3,SUMIF('TL15'!$C$10:$C$224,$C66,'TL15'!$J$10:$J$224),0),
IF('TL15'!$B$229=J$3,SUMIF('TL15'!$C$238:$C$451,$C66,'TL15'!$J$238:$J$451),0),
IF('TL16'!$B$3=J$3,SUMIF('TL16'!$C$10:$C$224,$C66,'TL16'!$J$10:$J$224),0),
IF('TL16'!$B$229=J$3,SUMIF('TL16'!$C$238:$C$451,$C66,'TL16'!$J$238:$J$451),0),
IF('TL17'!$B$3=J$3,SUMIF('TL17'!$C$10:$C$224,$C66,'TL17'!$J$10:$J$224),0),
IF('TL17'!$B$229=J$3,SUMIF('TL17'!$C$238:$C$451,$C66,'TL17'!$J$238:$J$451),0),
IF('TL18'!$B$3=J$3,SUMIF('TL18'!$C$10:$C$224,$C66,'TL18'!$J$10:$J$224),0),
IF('TL18'!$B$229=J$3,SUMIF('TL18'!$C$238:$C$451,$C66,'TL18'!$J$238:$J$451),0),
IF('TL19'!$B$3=J$3,SUMIF('TL19'!$C$10:$C$224,$C66,'TL19'!$J$10:$J$224),0),
IF('TL19'!$B$229=J$3,SUMIF('TL19'!$C$238:$C$451,$C66,'TL19'!$J$238:$J$451),0)
),0)</f>
        <v/>
      </c>
      <c r="K66" s="9">
        <f>IFERROR(SUM(
IF('TL01'!$B$3=K$3,SUMIF('TL01'!$C$10:$C$224,$C66,'TL01'!$J$10:$J$224),0),
IF('TL01'!$B$229=K$3,SUMIF('TL01'!$C$238:$C$451,$C66,'TL01'!$J$238:$J$451),0),
IF('TL02'!$B$3=K$3,SUMIF('TL02'!$C$10:$C$224,$C66,'TL02'!$J$10:$J$224),0),
IF('TL02'!$B$229=K$3,SUMIF('TL02'!$C$238:$C$451,$C66,'TL02'!$J$238:$J$451),0),
IF('TL03'!$B$3=K$3,SUMIF('TL03'!$C$10:$C$224,$C66,'TL03'!$J$10:$J$224),0),
IF('TL03'!$B$229=K$3,SUMIF('TL03'!$C$238:$C$451,$C66,'TL03'!$J$238:$J$451),0),
IF('TL04'!$B$3=K$3,SUMIF('TL04'!$C$10:$C$224,$C66,'TL04'!$J$10:$J$224),0),
IF('TL04'!$B$229=K$3,SUMIF('TL04'!$C$238:$C$451,$C66,'TL04'!$J$238:$J$451),0),
IF('TL05'!$B$3=K$3,SUMIF('TL05'!$C$10:$C$224,$C66,'TL05'!$J$10:$J$224),0),
IF('TL05'!$B$229=K$3,SUMIF('TL05'!$C$238:$C$451,$C66,'TL05'!$J$238:$J$451),0),
IF('TL06'!$B$3=K$3,SUMIF('TL06'!$C$10:$C$224,$C66,'TL06'!$J$10:$J$224),0),
IF('TL06'!$B$229=K$3,SUMIF('TL06'!$C$238:$C$451,$C66,'TL06'!$J$238:$J$451),0),
IF('TL07'!$B$3=K$3,SUMIF('TL07'!$C$10:$C$224,$C66,'TL07'!$J$10:$J$224),0),
IF('TL07'!$B$229=K$3,SUMIF('TL07'!$C$238:$C$451,$C66,'TL07'!$J$238:$J$451),0),
IF('TL08'!$B$3=K$3,SUMIF('TL08'!$C$10:$C$224,$C66,'TL08'!$J$10:$J$224),0),
IF('TL08'!$B$229=K$3,SUMIF('TL08'!$C$238:$C$451,$C66,'TL08'!$J$238:$J$451),0),
IF('TL09'!$B$3=K$3,SUMIF('TL09'!$C$10:$C$224,$C66,'TL09'!$J$10:$J$224),0),
IF('TL09'!$B$229=K$3,SUMIF('TL09'!$C$238:$C$451,$C66,'TL09'!$J$238:$J$451),0),
IF('TL10'!$B$3=K$3,SUMIF('TL10'!$C$10:$C$224,$C66,'TL10'!$J$10:$J$224),0),
IF('TL10'!$B$229=K$3,SUMIF('TL10'!$C$238:$C$451,$C66,'TL10'!$J$238:$J$451),0),
IF('TL11'!$B$3=K$3,SUMIF('TL11'!$C$10:$C$224,$C66,'TL11'!$J$10:$J$224),0),
IF('TL11'!$B$229=K$3,SUMIF('TL11'!$C$238:$C$451,$C66,'TL11'!$J$238:$J$451),0),
IF('TL12'!$B$3=K$3,SUMIF('TL12'!$C$10:$C$224,$C66,'TL12'!$J$10:$J$224),0),
IF('TL12'!$B$229=K$3,SUMIF('TL12'!$C$238:$C$451,$C66,'TL12'!$J$238:$J$451),0),
IF('TL13'!$B$3=K$3,SUMIF('TL13'!$C$10:$C$224,$C66,'TL13'!$J$10:$J$224),0),
IF('TL13'!$B$229=K$3,SUMIF('TL13'!$C$238:$C$451,$C66,'TL13'!$J$238:$J$451),0),
IF('TL14'!$B$3=K$3,SUMIF('TL14'!$C$10:$C$224,$C66,'TL14'!$J$10:$J$224),0),
IF('TL14'!$B$229=K$3,SUMIF('TL14'!$C$238:$C$451,$C66,'TL14'!$J$238:$J$451),0),
IF('TL15'!$B$3=K$3,SUMIF('TL15'!$C$10:$C$224,$C66,'TL15'!$J$10:$J$224),0),
IF('TL15'!$B$229=K$3,SUMIF('TL15'!$C$238:$C$451,$C66,'TL15'!$J$238:$J$451),0),
IF('TL16'!$B$3=K$3,SUMIF('TL16'!$C$10:$C$224,$C66,'TL16'!$J$10:$J$224),0),
IF('TL16'!$B$229=K$3,SUMIF('TL16'!$C$238:$C$451,$C66,'TL16'!$J$238:$J$451),0),
IF('TL17'!$B$3=K$3,SUMIF('TL17'!$C$10:$C$224,$C66,'TL17'!$J$10:$J$224),0),
IF('TL17'!$B$229=K$3,SUMIF('TL17'!$C$238:$C$451,$C66,'TL17'!$J$238:$J$451),0),
IF('TL18'!$B$3=K$3,SUMIF('TL18'!$C$10:$C$224,$C66,'TL18'!$J$10:$J$224),0),
IF('TL18'!$B$229=K$3,SUMIF('TL18'!$C$238:$C$451,$C66,'TL18'!$J$238:$J$451),0),
IF('TL19'!$B$3=K$3,SUMIF('TL19'!$C$10:$C$224,$C66,'TL19'!$J$10:$J$224),0),
IF('TL19'!$B$229=K$3,SUMIF('TL19'!$C$238:$C$451,$C66,'TL19'!$J$238:$J$451),0)
),0)</f>
        <v/>
      </c>
      <c r="L66" s="9">
        <f>IFERROR(SUM(
IF('TL01'!$B$3=L$3,SUMIF('TL01'!$C$10:$C$224,$C66,'TL01'!$J$10:$J$224),0),
IF('TL01'!$B$229=L$3,SUMIF('TL01'!$C$238:$C$451,$C66,'TL01'!$J$238:$J$451),0),
IF('TL02'!$B$3=L$3,SUMIF('TL02'!$C$10:$C$224,$C66,'TL02'!$J$10:$J$224),0),
IF('TL02'!$B$229=L$3,SUMIF('TL02'!$C$238:$C$451,$C66,'TL02'!$J$238:$J$451),0),
IF('TL03'!$B$3=L$3,SUMIF('TL03'!$C$10:$C$224,$C66,'TL03'!$J$10:$J$224),0),
IF('TL03'!$B$229=L$3,SUMIF('TL03'!$C$238:$C$451,$C66,'TL03'!$J$238:$J$451),0),
IF('TL04'!$B$3=L$3,SUMIF('TL04'!$C$10:$C$224,$C66,'TL04'!$J$10:$J$224),0),
IF('TL04'!$B$229=L$3,SUMIF('TL04'!$C$238:$C$451,$C66,'TL04'!$J$238:$J$451),0),
IF('TL05'!$B$3=L$3,SUMIF('TL05'!$C$10:$C$224,$C66,'TL05'!$J$10:$J$224),0),
IF('TL05'!$B$229=L$3,SUMIF('TL05'!$C$238:$C$451,$C66,'TL05'!$J$238:$J$451),0),
IF('TL06'!$B$3=L$3,SUMIF('TL06'!$C$10:$C$224,$C66,'TL06'!$J$10:$J$224),0),
IF('TL06'!$B$229=L$3,SUMIF('TL06'!$C$238:$C$451,$C66,'TL06'!$J$238:$J$451),0),
IF('TL07'!$B$3=L$3,SUMIF('TL07'!$C$10:$C$224,$C66,'TL07'!$J$10:$J$224),0),
IF('TL07'!$B$229=L$3,SUMIF('TL07'!$C$238:$C$451,$C66,'TL07'!$J$238:$J$451),0),
IF('TL08'!$B$3=L$3,SUMIF('TL08'!$C$10:$C$224,$C66,'TL08'!$J$10:$J$224),0),
IF('TL08'!$B$229=L$3,SUMIF('TL08'!$C$238:$C$451,$C66,'TL08'!$J$238:$J$451),0),
IF('TL09'!$B$3=L$3,SUMIF('TL09'!$C$10:$C$224,$C66,'TL09'!$J$10:$J$224),0),
IF('TL09'!$B$229=L$3,SUMIF('TL09'!$C$238:$C$451,$C66,'TL09'!$J$238:$J$451),0),
IF('TL10'!$B$3=L$3,SUMIF('TL10'!$C$10:$C$224,$C66,'TL10'!$J$10:$J$224),0),
IF('TL10'!$B$229=L$3,SUMIF('TL10'!$C$238:$C$451,$C66,'TL10'!$J$238:$J$451),0),
IF('TL11'!$B$3=L$3,SUMIF('TL11'!$C$10:$C$224,$C66,'TL11'!$J$10:$J$224),0),
IF('TL11'!$B$229=L$3,SUMIF('TL11'!$C$238:$C$451,$C66,'TL11'!$J$238:$J$451),0),
IF('TL12'!$B$3=L$3,SUMIF('TL12'!$C$10:$C$224,$C66,'TL12'!$J$10:$J$224),0),
IF('TL12'!$B$229=L$3,SUMIF('TL12'!$C$238:$C$451,$C66,'TL12'!$J$238:$J$451),0),
IF('TL13'!$B$3=L$3,SUMIF('TL13'!$C$10:$C$224,$C66,'TL13'!$J$10:$J$224),0),
IF('TL13'!$B$229=L$3,SUMIF('TL13'!$C$238:$C$451,$C66,'TL13'!$J$238:$J$451),0),
IF('TL14'!$B$3=L$3,SUMIF('TL14'!$C$10:$C$224,$C66,'TL14'!$J$10:$J$224),0),
IF('TL14'!$B$229=L$3,SUMIF('TL14'!$C$238:$C$451,$C66,'TL14'!$J$238:$J$451),0),
IF('TL15'!$B$3=L$3,SUMIF('TL15'!$C$10:$C$224,$C66,'TL15'!$J$10:$J$224),0),
IF('TL15'!$B$229=L$3,SUMIF('TL15'!$C$238:$C$451,$C66,'TL15'!$J$238:$J$451),0),
IF('TL16'!$B$3=L$3,SUMIF('TL16'!$C$10:$C$224,$C66,'TL16'!$J$10:$J$224),0),
IF('TL16'!$B$229=L$3,SUMIF('TL16'!$C$238:$C$451,$C66,'TL16'!$J$238:$J$451),0),
IF('TL17'!$B$3=L$3,SUMIF('TL17'!$C$10:$C$224,$C66,'TL17'!$J$10:$J$224),0),
IF('TL17'!$B$229=L$3,SUMIF('TL17'!$C$238:$C$451,$C66,'TL17'!$J$238:$J$451),0),
IF('TL18'!$B$3=L$3,SUMIF('TL18'!$C$10:$C$224,$C66,'TL18'!$J$10:$J$224),0),
IF('TL18'!$B$229=L$3,SUMIF('TL18'!$C$238:$C$451,$C66,'TL18'!$J$238:$J$451),0),
IF('TL19'!$B$3=L$3,SUMIF('TL19'!$C$10:$C$224,$C66,'TL19'!$J$10:$J$224),0),
IF('TL19'!$B$229=L$3,SUMIF('TL19'!$C$238:$C$451,$C66,'TL19'!$J$238:$J$451),0)
),0)</f>
        <v/>
      </c>
      <c r="M66" s="9">
        <f>IFERROR(SUM(
IF('TL01'!$B$3=M$3,SUMIF('TL01'!$C$10:$C$224,$C66,'TL01'!$J$10:$J$224),0),
IF('TL01'!$B$229=M$3,SUMIF('TL01'!$C$238:$C$451,$C66,'TL01'!$J$238:$J$451),0),
IF('TL02'!$B$3=M$3,SUMIF('TL02'!$C$10:$C$224,$C66,'TL02'!$J$10:$J$224),0),
IF('TL02'!$B$229=M$3,SUMIF('TL02'!$C$238:$C$451,$C66,'TL02'!$J$238:$J$451),0),
IF('TL03'!$B$3=M$3,SUMIF('TL03'!$C$10:$C$224,$C66,'TL03'!$J$10:$J$224),0),
IF('TL03'!$B$229=M$3,SUMIF('TL03'!$C$238:$C$451,$C66,'TL03'!$J$238:$J$451),0),
IF('TL04'!$B$3=M$3,SUMIF('TL04'!$C$10:$C$224,$C66,'TL04'!$J$10:$J$224),0),
IF('TL04'!$B$229=M$3,SUMIF('TL04'!$C$238:$C$451,$C66,'TL04'!$J$238:$J$451),0),
IF('TL05'!$B$3=M$3,SUMIF('TL05'!$C$10:$C$224,$C66,'TL05'!$J$10:$J$224),0),
IF('TL05'!$B$229=M$3,SUMIF('TL05'!$C$238:$C$451,$C66,'TL05'!$J$238:$J$451),0),
IF('TL06'!$B$3=M$3,SUMIF('TL06'!$C$10:$C$224,$C66,'TL06'!$J$10:$J$224),0),
IF('TL06'!$B$229=M$3,SUMIF('TL06'!$C$238:$C$451,$C66,'TL06'!$J$238:$J$451),0),
IF('TL07'!$B$3=M$3,SUMIF('TL07'!$C$10:$C$224,$C66,'TL07'!$J$10:$J$224),0),
IF('TL07'!$B$229=M$3,SUMIF('TL07'!$C$238:$C$451,$C66,'TL07'!$J$238:$J$451),0),
IF('TL08'!$B$3=M$3,SUMIF('TL08'!$C$10:$C$224,$C66,'TL08'!$J$10:$J$224),0),
IF('TL08'!$B$229=M$3,SUMIF('TL08'!$C$238:$C$451,$C66,'TL08'!$J$238:$J$451),0),
IF('TL09'!$B$3=M$3,SUMIF('TL09'!$C$10:$C$224,$C66,'TL09'!$J$10:$J$224),0),
IF('TL09'!$B$229=M$3,SUMIF('TL09'!$C$238:$C$451,$C66,'TL09'!$J$238:$J$451),0),
IF('TL10'!$B$3=M$3,SUMIF('TL10'!$C$10:$C$224,$C66,'TL10'!$J$10:$J$224),0),
IF('TL10'!$B$229=M$3,SUMIF('TL10'!$C$238:$C$451,$C66,'TL10'!$J$238:$J$451),0),
IF('TL11'!$B$3=M$3,SUMIF('TL11'!$C$10:$C$224,$C66,'TL11'!$J$10:$J$224),0),
IF('TL11'!$B$229=M$3,SUMIF('TL11'!$C$238:$C$451,$C66,'TL11'!$J$238:$J$451),0),
IF('TL12'!$B$3=M$3,SUMIF('TL12'!$C$10:$C$224,$C66,'TL12'!$J$10:$J$224),0),
IF('TL12'!$B$229=M$3,SUMIF('TL12'!$C$238:$C$451,$C66,'TL12'!$J$238:$J$451),0),
IF('TL13'!$B$3=M$3,SUMIF('TL13'!$C$10:$C$224,$C66,'TL13'!$J$10:$J$224),0),
IF('TL13'!$B$229=M$3,SUMIF('TL13'!$C$238:$C$451,$C66,'TL13'!$J$238:$J$451),0),
IF('TL14'!$B$3=M$3,SUMIF('TL14'!$C$10:$C$224,$C66,'TL14'!$J$10:$J$224),0),
IF('TL14'!$B$229=M$3,SUMIF('TL14'!$C$238:$C$451,$C66,'TL14'!$J$238:$J$451),0),
IF('TL15'!$B$3=M$3,SUMIF('TL15'!$C$10:$C$224,$C66,'TL15'!$J$10:$J$224),0),
IF('TL15'!$B$229=M$3,SUMIF('TL15'!$C$238:$C$451,$C66,'TL15'!$J$238:$J$451),0),
IF('TL16'!$B$3=M$3,SUMIF('TL16'!$C$10:$C$224,$C66,'TL16'!$J$10:$J$224),0),
IF('TL16'!$B$229=M$3,SUMIF('TL16'!$C$238:$C$451,$C66,'TL16'!$J$238:$J$451),0),
IF('TL17'!$B$3=M$3,SUMIF('TL17'!$C$10:$C$224,$C66,'TL17'!$J$10:$J$224),0),
IF('TL17'!$B$229=M$3,SUMIF('TL17'!$C$238:$C$451,$C66,'TL17'!$J$238:$J$451),0),
IF('TL18'!$B$3=M$3,SUMIF('TL18'!$C$10:$C$224,$C66,'TL18'!$J$10:$J$224),0),
IF('TL18'!$B$229=M$3,SUMIF('TL18'!$C$238:$C$451,$C66,'TL18'!$J$238:$J$451),0),
IF('TL19'!$B$3=M$3,SUMIF('TL19'!$C$10:$C$224,$C66,'TL19'!$J$10:$J$224),0),
IF('TL19'!$B$229=M$3,SUMIF('TL19'!$C$238:$C$451,$C66,'TL19'!$J$238:$J$451),0)
),0)</f>
        <v/>
      </c>
      <c r="N66" s="9">
        <f>IFERROR(SUM(
IF('TL01'!$B$3=N$3,SUMIF('TL01'!$C$10:$C$224,$C66,'TL01'!$J$10:$J$224),0),
IF('TL01'!$B$229=N$3,SUMIF('TL01'!$C$238:$C$451,$C66,'TL01'!$J$238:$J$451),0),
IF('TL02'!$B$3=N$3,SUMIF('TL02'!$C$10:$C$224,$C66,'TL02'!$J$10:$J$224),0),
IF('TL02'!$B$229=N$3,SUMIF('TL02'!$C$238:$C$451,$C66,'TL02'!$J$238:$J$451),0),
IF('TL03'!$B$3=N$3,SUMIF('TL03'!$C$10:$C$224,$C66,'TL03'!$J$10:$J$224),0),
IF('TL03'!$B$229=N$3,SUMIF('TL03'!$C$238:$C$451,$C66,'TL03'!$J$238:$J$451),0),
IF('TL04'!$B$3=N$3,SUMIF('TL04'!$C$10:$C$224,$C66,'TL04'!$J$10:$J$224),0),
IF('TL04'!$B$229=N$3,SUMIF('TL04'!$C$238:$C$451,$C66,'TL04'!$J$238:$J$451),0),
IF('TL05'!$B$3=N$3,SUMIF('TL05'!$C$10:$C$224,$C66,'TL05'!$J$10:$J$224),0),
IF('TL05'!$B$229=N$3,SUMIF('TL05'!$C$238:$C$451,$C66,'TL05'!$J$238:$J$451),0),
IF('TL06'!$B$3=N$3,SUMIF('TL06'!$C$10:$C$224,$C66,'TL06'!$J$10:$J$224),0),
IF('TL06'!$B$229=N$3,SUMIF('TL06'!$C$238:$C$451,$C66,'TL06'!$J$238:$J$451),0),
IF('TL07'!$B$3=N$3,SUMIF('TL07'!$C$10:$C$224,$C66,'TL07'!$J$10:$J$224),0),
IF('TL07'!$B$229=N$3,SUMIF('TL07'!$C$238:$C$451,$C66,'TL07'!$J$238:$J$451),0),
IF('TL08'!$B$3=N$3,SUMIF('TL08'!$C$10:$C$224,$C66,'TL08'!$J$10:$J$224),0),
IF('TL08'!$B$229=N$3,SUMIF('TL08'!$C$238:$C$451,$C66,'TL08'!$J$238:$J$451),0),
IF('TL09'!$B$3=N$3,SUMIF('TL09'!$C$10:$C$224,$C66,'TL09'!$J$10:$J$224),0),
IF('TL09'!$B$229=N$3,SUMIF('TL09'!$C$238:$C$451,$C66,'TL09'!$J$238:$J$451),0),
IF('TL10'!$B$3=N$3,SUMIF('TL10'!$C$10:$C$224,$C66,'TL10'!$J$10:$J$224),0),
IF('TL10'!$B$229=N$3,SUMIF('TL10'!$C$238:$C$451,$C66,'TL10'!$J$238:$J$451),0),
IF('TL11'!$B$3=N$3,SUMIF('TL11'!$C$10:$C$224,$C66,'TL11'!$J$10:$J$224),0),
IF('TL11'!$B$229=N$3,SUMIF('TL11'!$C$238:$C$451,$C66,'TL11'!$J$238:$J$451),0),
IF('TL12'!$B$3=N$3,SUMIF('TL12'!$C$10:$C$224,$C66,'TL12'!$J$10:$J$224),0),
IF('TL12'!$B$229=N$3,SUMIF('TL12'!$C$238:$C$451,$C66,'TL12'!$J$238:$J$451),0),
IF('TL13'!$B$3=N$3,SUMIF('TL13'!$C$10:$C$224,$C66,'TL13'!$J$10:$J$224),0),
IF('TL13'!$B$229=N$3,SUMIF('TL13'!$C$238:$C$451,$C66,'TL13'!$J$238:$J$451),0),
IF('TL14'!$B$3=N$3,SUMIF('TL14'!$C$10:$C$224,$C66,'TL14'!$J$10:$J$224),0),
IF('TL14'!$B$229=N$3,SUMIF('TL14'!$C$238:$C$451,$C66,'TL14'!$J$238:$J$451),0),
IF('TL15'!$B$3=N$3,SUMIF('TL15'!$C$10:$C$224,$C66,'TL15'!$J$10:$J$224),0),
IF('TL15'!$B$229=N$3,SUMIF('TL15'!$C$238:$C$451,$C66,'TL15'!$J$238:$J$451),0),
IF('TL16'!$B$3=N$3,SUMIF('TL16'!$C$10:$C$224,$C66,'TL16'!$J$10:$J$224),0),
IF('TL16'!$B$229=N$3,SUMIF('TL16'!$C$238:$C$451,$C66,'TL16'!$J$238:$J$451),0),
IF('TL17'!$B$3=N$3,SUMIF('TL17'!$C$10:$C$224,$C66,'TL17'!$J$10:$J$224),0),
IF('TL17'!$B$229=N$3,SUMIF('TL17'!$C$238:$C$451,$C66,'TL17'!$J$238:$J$451),0),
IF('TL18'!$B$3=N$3,SUMIF('TL18'!$C$10:$C$224,$C66,'TL18'!$J$10:$J$224),0),
IF('TL18'!$B$229=N$3,SUMIF('TL18'!$C$238:$C$451,$C66,'TL18'!$J$238:$J$451),0),
IF('TL19'!$B$3=N$3,SUMIF('TL19'!$C$10:$C$224,$C66,'TL19'!$J$10:$J$224),0),
IF('TL19'!$B$229=N$3,SUMIF('TL19'!$C$238:$C$451,$C66,'TL19'!$J$238:$J$451),0)
),0)</f>
        <v/>
      </c>
      <c r="O66" s="9">
        <f>IFERROR(SUM(
IF('TL01'!$B$3=O$3,SUMIF('TL01'!$C$10:$C$224,$C66,'TL01'!$J$10:$J$224),0),
IF('TL01'!$B$229=O$3,SUMIF('TL01'!$C$238:$C$451,$C66,'TL01'!$J$238:$J$451),0),
IF('TL02'!$B$3=O$3,SUMIF('TL02'!$C$10:$C$224,$C66,'TL02'!$J$10:$J$224),0),
IF('TL02'!$B$229=O$3,SUMIF('TL02'!$C$238:$C$451,$C66,'TL02'!$J$238:$J$451),0),
IF('TL03'!$B$3=O$3,SUMIF('TL03'!$C$10:$C$224,$C66,'TL03'!$J$10:$J$224),0),
IF('TL03'!$B$229=O$3,SUMIF('TL03'!$C$238:$C$451,$C66,'TL03'!$J$238:$J$451),0),
IF('TL04'!$B$3=O$3,SUMIF('TL04'!$C$10:$C$224,$C66,'TL04'!$J$10:$J$224),0),
IF('TL04'!$B$229=O$3,SUMIF('TL04'!$C$238:$C$451,$C66,'TL04'!$J$238:$J$451),0),
IF('TL05'!$B$3=O$3,SUMIF('TL05'!$C$10:$C$224,$C66,'TL05'!$J$10:$J$224),0),
IF('TL05'!$B$229=O$3,SUMIF('TL05'!$C$238:$C$451,$C66,'TL05'!$J$238:$J$451),0),
IF('TL06'!$B$3=O$3,SUMIF('TL06'!$C$10:$C$224,$C66,'TL06'!$J$10:$J$224),0),
IF('TL06'!$B$229=O$3,SUMIF('TL06'!$C$238:$C$451,$C66,'TL06'!$J$238:$J$451),0),
IF('TL07'!$B$3=O$3,SUMIF('TL07'!$C$10:$C$224,$C66,'TL07'!$J$10:$J$224),0),
IF('TL07'!$B$229=O$3,SUMIF('TL07'!$C$238:$C$451,$C66,'TL07'!$J$238:$J$451),0),
IF('TL08'!$B$3=O$3,SUMIF('TL08'!$C$10:$C$224,$C66,'TL08'!$J$10:$J$224),0),
IF('TL08'!$B$229=O$3,SUMIF('TL08'!$C$238:$C$451,$C66,'TL08'!$J$238:$J$451),0),
IF('TL09'!$B$3=O$3,SUMIF('TL09'!$C$10:$C$224,$C66,'TL09'!$J$10:$J$224),0),
IF('TL09'!$B$229=O$3,SUMIF('TL09'!$C$238:$C$451,$C66,'TL09'!$J$238:$J$451),0),
IF('TL10'!$B$3=O$3,SUMIF('TL10'!$C$10:$C$224,$C66,'TL10'!$J$10:$J$224),0),
IF('TL10'!$B$229=O$3,SUMIF('TL10'!$C$238:$C$451,$C66,'TL10'!$J$238:$J$451),0),
IF('TL11'!$B$3=O$3,SUMIF('TL11'!$C$10:$C$224,$C66,'TL11'!$J$10:$J$224),0),
IF('TL11'!$B$229=O$3,SUMIF('TL11'!$C$238:$C$451,$C66,'TL11'!$J$238:$J$451),0),
IF('TL12'!$B$3=O$3,SUMIF('TL12'!$C$10:$C$224,$C66,'TL12'!$J$10:$J$224),0),
IF('TL12'!$B$229=O$3,SUMIF('TL12'!$C$238:$C$451,$C66,'TL12'!$J$238:$J$451),0),
IF('TL13'!$B$3=O$3,SUMIF('TL13'!$C$10:$C$224,$C66,'TL13'!$J$10:$J$224),0),
IF('TL13'!$B$229=O$3,SUMIF('TL13'!$C$238:$C$451,$C66,'TL13'!$J$238:$J$451),0),
IF('TL14'!$B$3=O$3,SUMIF('TL14'!$C$10:$C$224,$C66,'TL14'!$J$10:$J$224),0),
IF('TL14'!$B$229=O$3,SUMIF('TL14'!$C$238:$C$451,$C66,'TL14'!$J$238:$J$451),0),
IF('TL15'!$B$3=O$3,SUMIF('TL15'!$C$10:$C$224,$C66,'TL15'!$J$10:$J$224),0),
IF('TL15'!$B$229=O$3,SUMIF('TL15'!$C$238:$C$451,$C66,'TL15'!$J$238:$J$451),0),
IF('TL16'!$B$3=O$3,SUMIF('TL16'!$C$10:$C$224,$C66,'TL16'!$J$10:$J$224),0),
IF('TL16'!$B$229=O$3,SUMIF('TL16'!$C$238:$C$451,$C66,'TL16'!$J$238:$J$451),0),
IF('TL17'!$B$3=O$3,SUMIF('TL17'!$C$10:$C$224,$C66,'TL17'!$J$10:$J$224),0),
IF('TL17'!$B$229=O$3,SUMIF('TL17'!$C$238:$C$451,$C66,'TL17'!$J$238:$J$451),0),
IF('TL18'!$B$3=O$3,SUMIF('TL18'!$C$10:$C$224,$C66,'TL18'!$J$10:$J$224),0),
IF('TL18'!$B$229=O$3,SUMIF('TL18'!$C$238:$C$451,$C66,'TL18'!$J$238:$J$451),0),
IF('TL19'!$B$3=O$3,SUMIF('TL19'!$C$10:$C$224,$C66,'TL19'!$J$10:$J$224),0),
IF('TL19'!$B$229=O$3,SUMIF('TL19'!$C$238:$C$451,$C66,'TL19'!$J$238:$J$451),0)
),0)</f>
        <v/>
      </c>
      <c r="P66" s="9">
        <f>IFERROR(SUM(
IF('TL01'!$B$3=P$3,SUMIF('TL01'!$C$10:$C$224,$C66,'TL01'!$J$10:$J$224),0),
IF('TL01'!$B$229=P$3,SUMIF('TL01'!$C$238:$C$451,$C66,'TL01'!$J$238:$J$451),0),
IF('TL02'!$B$3=P$3,SUMIF('TL02'!$C$10:$C$224,$C66,'TL02'!$J$10:$J$224),0),
IF('TL02'!$B$229=P$3,SUMIF('TL02'!$C$238:$C$451,$C66,'TL02'!$J$238:$J$451),0),
IF('TL03'!$B$3=P$3,SUMIF('TL03'!$C$10:$C$224,$C66,'TL03'!$J$10:$J$224),0),
IF('TL03'!$B$229=P$3,SUMIF('TL03'!$C$238:$C$451,$C66,'TL03'!$J$238:$J$451),0),
IF('TL04'!$B$3=P$3,SUMIF('TL04'!$C$10:$C$224,$C66,'TL04'!$J$10:$J$224),0),
IF('TL04'!$B$229=P$3,SUMIF('TL04'!$C$238:$C$451,$C66,'TL04'!$J$238:$J$451),0),
IF('TL05'!$B$3=P$3,SUMIF('TL05'!$C$10:$C$224,$C66,'TL05'!$J$10:$J$224),0),
IF('TL05'!$B$229=P$3,SUMIF('TL05'!$C$238:$C$451,$C66,'TL05'!$J$238:$J$451),0),
IF('TL06'!$B$3=P$3,SUMIF('TL06'!$C$10:$C$224,$C66,'TL06'!$J$10:$J$224),0),
IF('TL06'!$B$229=P$3,SUMIF('TL06'!$C$238:$C$451,$C66,'TL06'!$J$238:$J$451),0),
IF('TL07'!$B$3=P$3,SUMIF('TL07'!$C$10:$C$224,$C66,'TL07'!$J$10:$J$224),0),
IF('TL07'!$B$229=P$3,SUMIF('TL07'!$C$238:$C$451,$C66,'TL07'!$J$238:$J$451),0),
IF('TL08'!$B$3=P$3,SUMIF('TL08'!$C$10:$C$224,$C66,'TL08'!$J$10:$J$224),0),
IF('TL08'!$B$229=P$3,SUMIF('TL08'!$C$238:$C$451,$C66,'TL08'!$J$238:$J$451),0),
IF('TL09'!$B$3=P$3,SUMIF('TL09'!$C$10:$C$224,$C66,'TL09'!$J$10:$J$224),0),
IF('TL09'!$B$229=P$3,SUMIF('TL09'!$C$238:$C$451,$C66,'TL09'!$J$238:$J$451),0),
IF('TL10'!$B$3=P$3,SUMIF('TL10'!$C$10:$C$224,$C66,'TL10'!$J$10:$J$224),0),
IF('TL10'!$B$229=P$3,SUMIF('TL10'!$C$238:$C$451,$C66,'TL10'!$J$238:$J$451),0),
IF('TL11'!$B$3=P$3,SUMIF('TL11'!$C$10:$C$224,$C66,'TL11'!$J$10:$J$224),0),
IF('TL11'!$B$229=P$3,SUMIF('TL11'!$C$238:$C$451,$C66,'TL11'!$J$238:$J$451),0),
IF('TL12'!$B$3=P$3,SUMIF('TL12'!$C$10:$C$224,$C66,'TL12'!$J$10:$J$224),0),
IF('TL12'!$B$229=P$3,SUMIF('TL12'!$C$238:$C$451,$C66,'TL12'!$J$238:$J$451),0),
IF('TL13'!$B$3=P$3,SUMIF('TL13'!$C$10:$C$224,$C66,'TL13'!$J$10:$J$224),0),
IF('TL13'!$B$229=P$3,SUMIF('TL13'!$C$238:$C$451,$C66,'TL13'!$J$238:$J$451),0),
IF('TL14'!$B$3=P$3,SUMIF('TL14'!$C$10:$C$224,$C66,'TL14'!$J$10:$J$224),0),
IF('TL14'!$B$229=P$3,SUMIF('TL14'!$C$238:$C$451,$C66,'TL14'!$J$238:$J$451),0),
IF('TL15'!$B$3=P$3,SUMIF('TL15'!$C$10:$C$224,$C66,'TL15'!$J$10:$J$224),0),
IF('TL15'!$B$229=P$3,SUMIF('TL15'!$C$238:$C$451,$C66,'TL15'!$J$238:$J$451),0),
IF('TL16'!$B$3=P$3,SUMIF('TL16'!$C$10:$C$224,$C66,'TL16'!$J$10:$J$224),0),
IF('TL16'!$B$229=P$3,SUMIF('TL16'!$C$238:$C$451,$C66,'TL16'!$J$238:$J$451),0),
IF('TL17'!$B$3=P$3,SUMIF('TL17'!$C$10:$C$224,$C66,'TL17'!$J$10:$J$224),0),
IF('TL17'!$B$229=P$3,SUMIF('TL17'!$C$238:$C$451,$C66,'TL17'!$J$238:$J$451),0),
IF('TL18'!$B$3=P$3,SUMIF('TL18'!$C$10:$C$224,$C66,'TL18'!$J$10:$J$224),0),
IF('TL18'!$B$229=P$3,SUMIF('TL18'!$C$238:$C$451,$C66,'TL18'!$J$238:$J$451),0),
IF('TL19'!$B$3=P$3,SUMIF('TL19'!$C$10:$C$224,$C66,'TL19'!$J$10:$J$224),0),
IF('TL19'!$B$229=P$3,SUMIF('TL19'!$C$238:$C$451,$C66,'TL19'!$J$238:$J$451),0)
),0)</f>
        <v/>
      </c>
      <c r="Q66" s="9">
        <f>IFERROR(SUM(
IF('TL01'!$B$3=Q$3,SUMIF('TL01'!$C$10:$C$224,$C66,'TL01'!$J$10:$J$224),0),
IF('TL01'!$B$229=Q$3,SUMIF('TL01'!$C$238:$C$451,$C66,'TL01'!$J$238:$J$451),0),
IF('TL02'!$B$3=Q$3,SUMIF('TL02'!$C$10:$C$224,$C66,'TL02'!$J$10:$J$224),0),
IF('TL02'!$B$229=Q$3,SUMIF('TL02'!$C$238:$C$451,$C66,'TL02'!$J$238:$J$451),0),
IF('TL03'!$B$3=Q$3,SUMIF('TL03'!$C$10:$C$224,$C66,'TL03'!$J$10:$J$224),0),
IF('TL03'!$B$229=Q$3,SUMIF('TL03'!$C$238:$C$451,$C66,'TL03'!$J$238:$J$451),0),
IF('TL04'!$B$3=Q$3,SUMIF('TL04'!$C$10:$C$224,$C66,'TL04'!$J$10:$J$224),0),
IF('TL04'!$B$229=Q$3,SUMIF('TL04'!$C$238:$C$451,$C66,'TL04'!$J$238:$J$451),0),
IF('TL05'!$B$3=Q$3,SUMIF('TL05'!$C$10:$C$224,$C66,'TL05'!$J$10:$J$224),0),
IF('TL05'!$B$229=Q$3,SUMIF('TL05'!$C$238:$C$451,$C66,'TL05'!$J$238:$J$451),0),
IF('TL06'!$B$3=Q$3,SUMIF('TL06'!$C$10:$C$224,$C66,'TL06'!$J$10:$J$224),0),
IF('TL06'!$B$229=Q$3,SUMIF('TL06'!$C$238:$C$451,$C66,'TL06'!$J$238:$J$451),0),
IF('TL07'!$B$3=Q$3,SUMIF('TL07'!$C$10:$C$224,$C66,'TL07'!$J$10:$J$224),0),
IF('TL07'!$B$229=Q$3,SUMIF('TL07'!$C$238:$C$451,$C66,'TL07'!$J$238:$J$451),0),
IF('TL08'!$B$3=Q$3,SUMIF('TL08'!$C$10:$C$224,$C66,'TL08'!$J$10:$J$224),0),
IF('TL08'!$B$229=Q$3,SUMIF('TL08'!$C$238:$C$451,$C66,'TL08'!$J$238:$J$451),0),
IF('TL09'!$B$3=Q$3,SUMIF('TL09'!$C$10:$C$224,$C66,'TL09'!$J$10:$J$224),0),
IF('TL09'!$B$229=Q$3,SUMIF('TL09'!$C$238:$C$451,$C66,'TL09'!$J$238:$J$451),0),
IF('TL10'!$B$3=Q$3,SUMIF('TL10'!$C$10:$C$224,$C66,'TL10'!$J$10:$J$224),0),
IF('TL10'!$B$229=Q$3,SUMIF('TL10'!$C$238:$C$451,$C66,'TL10'!$J$238:$J$451),0),
IF('TL11'!$B$3=Q$3,SUMIF('TL11'!$C$10:$C$224,$C66,'TL11'!$J$10:$J$224),0),
IF('TL11'!$B$229=Q$3,SUMIF('TL11'!$C$238:$C$451,$C66,'TL11'!$J$238:$J$451),0),
IF('TL12'!$B$3=Q$3,SUMIF('TL12'!$C$10:$C$224,$C66,'TL12'!$J$10:$J$224),0),
IF('TL12'!$B$229=Q$3,SUMIF('TL12'!$C$238:$C$451,$C66,'TL12'!$J$238:$J$451),0),
IF('TL13'!$B$3=Q$3,SUMIF('TL13'!$C$10:$C$224,$C66,'TL13'!$J$10:$J$224),0),
IF('TL13'!$B$229=Q$3,SUMIF('TL13'!$C$238:$C$451,$C66,'TL13'!$J$238:$J$451),0),
IF('TL14'!$B$3=Q$3,SUMIF('TL14'!$C$10:$C$224,$C66,'TL14'!$J$10:$J$224),0),
IF('TL14'!$B$229=Q$3,SUMIF('TL14'!$C$238:$C$451,$C66,'TL14'!$J$238:$J$451),0),
IF('TL15'!$B$3=Q$3,SUMIF('TL15'!$C$10:$C$224,$C66,'TL15'!$J$10:$J$224),0),
IF('TL15'!$B$229=Q$3,SUMIF('TL15'!$C$238:$C$451,$C66,'TL15'!$J$238:$J$451),0),
IF('TL16'!$B$3=Q$3,SUMIF('TL16'!$C$10:$C$224,$C66,'TL16'!$J$10:$J$224),0),
IF('TL16'!$B$229=Q$3,SUMIF('TL16'!$C$238:$C$451,$C66,'TL16'!$J$238:$J$451),0),
IF('TL17'!$B$3=Q$3,SUMIF('TL17'!$C$10:$C$224,$C66,'TL17'!$J$10:$J$224),0),
IF('TL17'!$B$229=Q$3,SUMIF('TL17'!$C$238:$C$451,$C66,'TL17'!$J$238:$J$451),0),
IF('TL18'!$B$3=Q$3,SUMIF('TL18'!$C$10:$C$224,$C66,'TL18'!$J$10:$J$224),0),
IF('TL18'!$B$229=Q$3,SUMIF('TL18'!$C$238:$C$451,$C66,'TL18'!$J$238:$J$451),0),
IF('TL19'!$B$3=Q$3,SUMIF('TL19'!$C$10:$C$224,$C66,'TL19'!$J$10:$J$224),0),
IF('TL19'!$B$229=Q$3,SUMIF('TL19'!$C$238:$C$451,$C66,'TL19'!$J$238:$J$451),0)
),0)</f>
        <v/>
      </c>
      <c r="R66" s="9">
        <f>IFERROR(
SUM(
SUMIF('TL01'!C:C,C66,'TL01'!J:J),
SUMIF('TL02'!C:C,C66,'TL02'!J:J),
SUMIF('TL03'!C:C,C66,'TL03'!J:J),
SUMIF('TL04'!C:C,C66,'TL04'!J:J),
SUMIF('TL05'!C:C,C66,'TL05'!J:J),
SUMIF('TL06'!C:C,C66,'TL06'!J:J),
SUMIF('TL07'!C:C,C66,'TL07'!J:J),
SUMIF('TL08'!C:C,C66,'TL08'!J:J),
SUMIF('TL09'!C:C,C66,'TL09'!J:J),
SUMIF('TL10'!C:C,C66,'TL10'!J:J),
SUMIF('TL11'!C:C,C66,'TL11'!J:J),
SUMIF('TL12'!C:C,C66,'TL12'!J:J),
SUMIF('TL13'!C:C,C66,'TL13'!J:J),
SUMIF('TL14'!C:C,C66,'TL14'!J:J),
SUMIF('TL15'!C:C,C66,'TL15'!J:J),
SUMIF('TL16'!C:C,C66,'TL16'!J:J),
SUMIF('TL17'!C:C,C66,'TL17'!J:J),
SUMIF('TL18'!C:C,C66,'TL18'!J:J),SUMIF('TL19'!C:C,C66,'TL19'!J:J))
,0)</f>
        <v/>
      </c>
      <c r="S66" s="17">
        <f>IFERROR(__xludf.DUMMYFUNCTION("IFERROR(VLOOKUP(C66,
IMPORTRANGE(""1wULbzX32WdYsx-lj2U3uUNBBe2INVIRDtcK0d-Dvl90"",
""26-27!C:G""),
5,
FALSE),
"""")"),36.547200000000004)</f>
        <v/>
      </c>
      <c r="T66" s="9" t="n"/>
      <c r="U66" s="92">
        <f>MAX(0,R66-T66)</f>
        <v/>
      </c>
      <c r="V66" s="93">
        <f>U66*S66</f>
        <v/>
      </c>
    </row>
    <row r="67" hidden="1" ht="15.75" customHeight="1" s="297">
      <c r="A67" s="111" t="inlineStr">
        <is>
          <t>CROPCHEM</t>
        </is>
      </c>
      <c r="B67" s="112" t="inlineStr">
        <is>
          <t>FUNGICIDA</t>
        </is>
      </c>
      <c r="C67" s="113" t="inlineStr">
        <is>
          <t>VENCER DUO</t>
        </is>
      </c>
      <c r="D67" s="113" t="inlineStr">
        <is>
          <t>PICOXISTROBINA + PROTIOCONAZOL</t>
        </is>
      </c>
      <c r="E67" s="113" t="inlineStr">
        <is>
          <t>400 + 340</t>
        </is>
      </c>
      <c r="F67" s="4" t="inlineStr">
        <is>
          <t>L</t>
        </is>
      </c>
      <c r="G67" s="90">
        <f>HYPERLINK("https://www.google.com/search?q=" &amp; C67 &amp; "+bula+agrofit+pdf", "📄 Ver bula")</f>
        <v/>
      </c>
      <c r="H67" s="9">
        <f>IFERROR(__xludf.DUMMYFUNCTION("IFERROR(VLOOKUP(C67,
IMPORTRANGE(""1wULbzX32WdYsx-lj2U3uUNBBe2INVIRDtcK0d-Dvl90"",
""26-27!C:K""),
8,
FALSE),
"""")"),0.3)</f>
        <v/>
      </c>
      <c r="I67" s="114" t="inlineStr">
        <is>
          <t>4X5</t>
        </is>
      </c>
      <c r="J67" s="9">
        <f>IFERROR(SUM(
IF('TL01'!$B$3=J$3,SUMIF('TL01'!$C$10:$C$224,$C67,'TL01'!$J$10:$J$224),0),
IF('TL01'!$B$229=J$3,SUMIF('TL01'!$C$238:$C$451,$C67,'TL01'!$J$238:$J$451),0),
IF('TL02'!$B$3=J$3,SUMIF('TL02'!$C$10:$C$224,$C67,'TL02'!$J$10:$J$224),0),
IF('TL02'!$B$229=J$3,SUMIF('TL02'!$C$238:$C$451,$C67,'TL02'!$J$238:$J$451),0),
IF('TL03'!$B$3=J$3,SUMIF('TL03'!$C$10:$C$224,$C67,'TL03'!$J$10:$J$224),0),
IF('TL03'!$B$229=J$3,SUMIF('TL03'!$C$238:$C$451,$C67,'TL03'!$J$238:$J$451),0),
IF('TL04'!$B$3=J$3,SUMIF('TL04'!$C$10:$C$224,$C67,'TL04'!$J$10:$J$224),0),
IF('TL04'!$B$229=J$3,SUMIF('TL04'!$C$238:$C$451,$C67,'TL04'!$J$238:$J$451),0),
IF('TL05'!$B$3=J$3,SUMIF('TL05'!$C$10:$C$224,$C67,'TL05'!$J$10:$J$224),0),
IF('TL05'!$B$229=J$3,SUMIF('TL05'!$C$238:$C$451,$C67,'TL05'!$J$238:$J$451),0),
IF('TL06'!$B$3=J$3,SUMIF('TL06'!$C$10:$C$224,$C67,'TL06'!$J$10:$J$224),0),
IF('TL06'!$B$229=J$3,SUMIF('TL06'!$C$238:$C$451,$C67,'TL06'!$J$238:$J$451),0),
IF('TL07'!$B$3=J$3,SUMIF('TL07'!$C$10:$C$224,$C67,'TL07'!$J$10:$J$224),0),
IF('TL07'!$B$229=J$3,SUMIF('TL07'!$C$238:$C$451,$C67,'TL07'!$J$238:$J$451),0),
IF('TL08'!$B$3=J$3,SUMIF('TL08'!$C$10:$C$224,$C67,'TL08'!$J$10:$J$224),0),
IF('TL08'!$B$229=J$3,SUMIF('TL08'!$C$238:$C$451,$C67,'TL08'!$J$238:$J$451),0),
IF('TL09'!$B$3=J$3,SUMIF('TL09'!$C$10:$C$224,$C67,'TL09'!$J$10:$J$224),0),
IF('TL09'!$B$229=J$3,SUMIF('TL09'!$C$238:$C$451,$C67,'TL09'!$J$238:$J$451),0),
IF('TL10'!$B$3=J$3,SUMIF('TL10'!$C$10:$C$224,$C67,'TL10'!$J$10:$J$224),0),
IF('TL10'!$B$229=J$3,SUMIF('TL10'!$C$238:$C$451,$C67,'TL10'!$J$238:$J$451),0),
IF('TL11'!$B$3=J$3,SUMIF('TL11'!$C$10:$C$224,$C67,'TL11'!$J$10:$J$224),0),
IF('TL11'!$B$229=J$3,SUMIF('TL11'!$C$238:$C$451,$C67,'TL11'!$J$238:$J$451),0),
IF('TL12'!$B$3=J$3,SUMIF('TL12'!$C$10:$C$224,$C67,'TL12'!$J$10:$J$224),0),
IF('TL12'!$B$229=J$3,SUMIF('TL12'!$C$238:$C$451,$C67,'TL12'!$J$238:$J$451),0),
IF('TL13'!$B$3=J$3,SUMIF('TL13'!$C$10:$C$224,$C67,'TL13'!$J$10:$J$224),0),
IF('TL13'!$B$229=J$3,SUMIF('TL13'!$C$238:$C$451,$C67,'TL13'!$J$238:$J$451),0),
IF('TL14'!$B$3=J$3,SUMIF('TL14'!$C$10:$C$224,$C67,'TL14'!$J$10:$J$224),0),
IF('TL14'!$B$229=J$3,SUMIF('TL14'!$C$238:$C$451,$C67,'TL14'!$J$238:$J$451),0),
IF('TL15'!$B$3=J$3,SUMIF('TL15'!$C$10:$C$224,$C67,'TL15'!$J$10:$J$224),0),
IF('TL15'!$B$229=J$3,SUMIF('TL15'!$C$238:$C$451,$C67,'TL15'!$J$238:$J$451),0),
IF('TL16'!$B$3=J$3,SUMIF('TL16'!$C$10:$C$224,$C67,'TL16'!$J$10:$J$224),0),
IF('TL16'!$B$229=J$3,SUMIF('TL16'!$C$238:$C$451,$C67,'TL16'!$J$238:$J$451),0),
IF('TL17'!$B$3=J$3,SUMIF('TL17'!$C$10:$C$224,$C67,'TL17'!$J$10:$J$224),0),
IF('TL17'!$B$229=J$3,SUMIF('TL17'!$C$238:$C$451,$C67,'TL17'!$J$238:$J$451),0),
IF('TL18'!$B$3=J$3,SUMIF('TL18'!$C$10:$C$224,$C67,'TL18'!$J$10:$J$224),0),
IF('TL18'!$B$229=J$3,SUMIF('TL18'!$C$238:$C$451,$C67,'TL18'!$J$238:$J$451),0),
IF('TL19'!$B$3=J$3,SUMIF('TL19'!$C$10:$C$224,$C67,'TL19'!$J$10:$J$224),0),
IF('TL19'!$B$229=J$3,SUMIF('TL19'!$C$238:$C$451,$C67,'TL19'!$J$238:$J$451),0)
),0)</f>
        <v/>
      </c>
      <c r="K67" s="9">
        <f>IFERROR(SUM(
IF('TL01'!$B$3=K$3,SUMIF('TL01'!$C$10:$C$224,$C67,'TL01'!$J$10:$J$224),0),
IF('TL01'!$B$229=K$3,SUMIF('TL01'!$C$238:$C$451,$C67,'TL01'!$J$238:$J$451),0),
IF('TL02'!$B$3=K$3,SUMIF('TL02'!$C$10:$C$224,$C67,'TL02'!$J$10:$J$224),0),
IF('TL02'!$B$229=K$3,SUMIF('TL02'!$C$238:$C$451,$C67,'TL02'!$J$238:$J$451),0),
IF('TL03'!$B$3=K$3,SUMIF('TL03'!$C$10:$C$224,$C67,'TL03'!$J$10:$J$224),0),
IF('TL03'!$B$229=K$3,SUMIF('TL03'!$C$238:$C$451,$C67,'TL03'!$J$238:$J$451),0),
IF('TL04'!$B$3=K$3,SUMIF('TL04'!$C$10:$C$224,$C67,'TL04'!$J$10:$J$224),0),
IF('TL04'!$B$229=K$3,SUMIF('TL04'!$C$238:$C$451,$C67,'TL04'!$J$238:$J$451),0),
IF('TL05'!$B$3=K$3,SUMIF('TL05'!$C$10:$C$224,$C67,'TL05'!$J$10:$J$224),0),
IF('TL05'!$B$229=K$3,SUMIF('TL05'!$C$238:$C$451,$C67,'TL05'!$J$238:$J$451),0),
IF('TL06'!$B$3=K$3,SUMIF('TL06'!$C$10:$C$224,$C67,'TL06'!$J$10:$J$224),0),
IF('TL06'!$B$229=K$3,SUMIF('TL06'!$C$238:$C$451,$C67,'TL06'!$J$238:$J$451),0),
IF('TL07'!$B$3=K$3,SUMIF('TL07'!$C$10:$C$224,$C67,'TL07'!$J$10:$J$224),0),
IF('TL07'!$B$229=K$3,SUMIF('TL07'!$C$238:$C$451,$C67,'TL07'!$J$238:$J$451),0),
IF('TL08'!$B$3=K$3,SUMIF('TL08'!$C$10:$C$224,$C67,'TL08'!$J$10:$J$224),0),
IF('TL08'!$B$229=K$3,SUMIF('TL08'!$C$238:$C$451,$C67,'TL08'!$J$238:$J$451),0),
IF('TL09'!$B$3=K$3,SUMIF('TL09'!$C$10:$C$224,$C67,'TL09'!$J$10:$J$224),0),
IF('TL09'!$B$229=K$3,SUMIF('TL09'!$C$238:$C$451,$C67,'TL09'!$J$238:$J$451),0),
IF('TL10'!$B$3=K$3,SUMIF('TL10'!$C$10:$C$224,$C67,'TL10'!$J$10:$J$224),0),
IF('TL10'!$B$229=K$3,SUMIF('TL10'!$C$238:$C$451,$C67,'TL10'!$J$238:$J$451),0),
IF('TL11'!$B$3=K$3,SUMIF('TL11'!$C$10:$C$224,$C67,'TL11'!$J$10:$J$224),0),
IF('TL11'!$B$229=K$3,SUMIF('TL11'!$C$238:$C$451,$C67,'TL11'!$J$238:$J$451),0),
IF('TL12'!$B$3=K$3,SUMIF('TL12'!$C$10:$C$224,$C67,'TL12'!$J$10:$J$224),0),
IF('TL12'!$B$229=K$3,SUMIF('TL12'!$C$238:$C$451,$C67,'TL12'!$J$238:$J$451),0),
IF('TL13'!$B$3=K$3,SUMIF('TL13'!$C$10:$C$224,$C67,'TL13'!$J$10:$J$224),0),
IF('TL13'!$B$229=K$3,SUMIF('TL13'!$C$238:$C$451,$C67,'TL13'!$J$238:$J$451),0),
IF('TL14'!$B$3=K$3,SUMIF('TL14'!$C$10:$C$224,$C67,'TL14'!$J$10:$J$224),0),
IF('TL14'!$B$229=K$3,SUMIF('TL14'!$C$238:$C$451,$C67,'TL14'!$J$238:$J$451),0),
IF('TL15'!$B$3=K$3,SUMIF('TL15'!$C$10:$C$224,$C67,'TL15'!$J$10:$J$224),0),
IF('TL15'!$B$229=K$3,SUMIF('TL15'!$C$238:$C$451,$C67,'TL15'!$J$238:$J$451),0),
IF('TL16'!$B$3=K$3,SUMIF('TL16'!$C$10:$C$224,$C67,'TL16'!$J$10:$J$224),0),
IF('TL16'!$B$229=K$3,SUMIF('TL16'!$C$238:$C$451,$C67,'TL16'!$J$238:$J$451),0),
IF('TL17'!$B$3=K$3,SUMIF('TL17'!$C$10:$C$224,$C67,'TL17'!$J$10:$J$224),0),
IF('TL17'!$B$229=K$3,SUMIF('TL17'!$C$238:$C$451,$C67,'TL17'!$J$238:$J$451),0),
IF('TL18'!$B$3=K$3,SUMIF('TL18'!$C$10:$C$224,$C67,'TL18'!$J$10:$J$224),0),
IF('TL18'!$B$229=K$3,SUMIF('TL18'!$C$238:$C$451,$C67,'TL18'!$J$238:$J$451),0),
IF('TL19'!$B$3=K$3,SUMIF('TL19'!$C$10:$C$224,$C67,'TL19'!$J$10:$J$224),0),
IF('TL19'!$B$229=K$3,SUMIF('TL19'!$C$238:$C$451,$C67,'TL19'!$J$238:$J$451),0)
),0)</f>
        <v/>
      </c>
      <c r="L67" s="9">
        <f>IFERROR(SUM(
IF('TL01'!$B$3=L$3,SUMIF('TL01'!$C$10:$C$224,$C67,'TL01'!$J$10:$J$224),0),
IF('TL01'!$B$229=L$3,SUMIF('TL01'!$C$238:$C$451,$C67,'TL01'!$J$238:$J$451),0),
IF('TL02'!$B$3=L$3,SUMIF('TL02'!$C$10:$C$224,$C67,'TL02'!$J$10:$J$224),0),
IF('TL02'!$B$229=L$3,SUMIF('TL02'!$C$238:$C$451,$C67,'TL02'!$J$238:$J$451),0),
IF('TL03'!$B$3=L$3,SUMIF('TL03'!$C$10:$C$224,$C67,'TL03'!$J$10:$J$224),0),
IF('TL03'!$B$229=L$3,SUMIF('TL03'!$C$238:$C$451,$C67,'TL03'!$J$238:$J$451),0),
IF('TL04'!$B$3=L$3,SUMIF('TL04'!$C$10:$C$224,$C67,'TL04'!$J$10:$J$224),0),
IF('TL04'!$B$229=L$3,SUMIF('TL04'!$C$238:$C$451,$C67,'TL04'!$J$238:$J$451),0),
IF('TL05'!$B$3=L$3,SUMIF('TL05'!$C$10:$C$224,$C67,'TL05'!$J$10:$J$224),0),
IF('TL05'!$B$229=L$3,SUMIF('TL05'!$C$238:$C$451,$C67,'TL05'!$J$238:$J$451),0),
IF('TL06'!$B$3=L$3,SUMIF('TL06'!$C$10:$C$224,$C67,'TL06'!$J$10:$J$224),0),
IF('TL06'!$B$229=L$3,SUMIF('TL06'!$C$238:$C$451,$C67,'TL06'!$J$238:$J$451),0),
IF('TL07'!$B$3=L$3,SUMIF('TL07'!$C$10:$C$224,$C67,'TL07'!$J$10:$J$224),0),
IF('TL07'!$B$229=L$3,SUMIF('TL07'!$C$238:$C$451,$C67,'TL07'!$J$238:$J$451),0),
IF('TL08'!$B$3=L$3,SUMIF('TL08'!$C$10:$C$224,$C67,'TL08'!$J$10:$J$224),0),
IF('TL08'!$B$229=L$3,SUMIF('TL08'!$C$238:$C$451,$C67,'TL08'!$J$238:$J$451),0),
IF('TL09'!$B$3=L$3,SUMIF('TL09'!$C$10:$C$224,$C67,'TL09'!$J$10:$J$224),0),
IF('TL09'!$B$229=L$3,SUMIF('TL09'!$C$238:$C$451,$C67,'TL09'!$J$238:$J$451),0),
IF('TL10'!$B$3=L$3,SUMIF('TL10'!$C$10:$C$224,$C67,'TL10'!$J$10:$J$224),0),
IF('TL10'!$B$229=L$3,SUMIF('TL10'!$C$238:$C$451,$C67,'TL10'!$J$238:$J$451),0),
IF('TL11'!$B$3=L$3,SUMIF('TL11'!$C$10:$C$224,$C67,'TL11'!$J$10:$J$224),0),
IF('TL11'!$B$229=L$3,SUMIF('TL11'!$C$238:$C$451,$C67,'TL11'!$J$238:$J$451),0),
IF('TL12'!$B$3=L$3,SUMIF('TL12'!$C$10:$C$224,$C67,'TL12'!$J$10:$J$224),0),
IF('TL12'!$B$229=L$3,SUMIF('TL12'!$C$238:$C$451,$C67,'TL12'!$J$238:$J$451),0),
IF('TL13'!$B$3=L$3,SUMIF('TL13'!$C$10:$C$224,$C67,'TL13'!$J$10:$J$224),0),
IF('TL13'!$B$229=L$3,SUMIF('TL13'!$C$238:$C$451,$C67,'TL13'!$J$238:$J$451),0),
IF('TL14'!$B$3=L$3,SUMIF('TL14'!$C$10:$C$224,$C67,'TL14'!$J$10:$J$224),0),
IF('TL14'!$B$229=L$3,SUMIF('TL14'!$C$238:$C$451,$C67,'TL14'!$J$238:$J$451),0),
IF('TL15'!$B$3=L$3,SUMIF('TL15'!$C$10:$C$224,$C67,'TL15'!$J$10:$J$224),0),
IF('TL15'!$B$229=L$3,SUMIF('TL15'!$C$238:$C$451,$C67,'TL15'!$J$238:$J$451),0),
IF('TL16'!$B$3=L$3,SUMIF('TL16'!$C$10:$C$224,$C67,'TL16'!$J$10:$J$224),0),
IF('TL16'!$B$229=L$3,SUMIF('TL16'!$C$238:$C$451,$C67,'TL16'!$J$238:$J$451),0),
IF('TL17'!$B$3=L$3,SUMIF('TL17'!$C$10:$C$224,$C67,'TL17'!$J$10:$J$224),0),
IF('TL17'!$B$229=L$3,SUMIF('TL17'!$C$238:$C$451,$C67,'TL17'!$J$238:$J$451),0),
IF('TL18'!$B$3=L$3,SUMIF('TL18'!$C$10:$C$224,$C67,'TL18'!$J$10:$J$224),0),
IF('TL18'!$B$229=L$3,SUMIF('TL18'!$C$238:$C$451,$C67,'TL18'!$J$238:$J$451),0),
IF('TL19'!$B$3=L$3,SUMIF('TL19'!$C$10:$C$224,$C67,'TL19'!$J$10:$J$224),0),
IF('TL19'!$B$229=L$3,SUMIF('TL19'!$C$238:$C$451,$C67,'TL19'!$J$238:$J$451),0)
),0)</f>
        <v/>
      </c>
      <c r="M67" s="9">
        <f>IFERROR(SUM(
IF('TL01'!$B$3=M$3,SUMIF('TL01'!$C$10:$C$224,$C67,'TL01'!$J$10:$J$224),0),
IF('TL01'!$B$229=M$3,SUMIF('TL01'!$C$238:$C$451,$C67,'TL01'!$J$238:$J$451),0),
IF('TL02'!$B$3=M$3,SUMIF('TL02'!$C$10:$C$224,$C67,'TL02'!$J$10:$J$224),0),
IF('TL02'!$B$229=M$3,SUMIF('TL02'!$C$238:$C$451,$C67,'TL02'!$J$238:$J$451),0),
IF('TL03'!$B$3=M$3,SUMIF('TL03'!$C$10:$C$224,$C67,'TL03'!$J$10:$J$224),0),
IF('TL03'!$B$229=M$3,SUMIF('TL03'!$C$238:$C$451,$C67,'TL03'!$J$238:$J$451),0),
IF('TL04'!$B$3=M$3,SUMIF('TL04'!$C$10:$C$224,$C67,'TL04'!$J$10:$J$224),0),
IF('TL04'!$B$229=M$3,SUMIF('TL04'!$C$238:$C$451,$C67,'TL04'!$J$238:$J$451),0),
IF('TL05'!$B$3=M$3,SUMIF('TL05'!$C$10:$C$224,$C67,'TL05'!$J$10:$J$224),0),
IF('TL05'!$B$229=M$3,SUMIF('TL05'!$C$238:$C$451,$C67,'TL05'!$J$238:$J$451),0),
IF('TL06'!$B$3=M$3,SUMIF('TL06'!$C$10:$C$224,$C67,'TL06'!$J$10:$J$224),0),
IF('TL06'!$B$229=M$3,SUMIF('TL06'!$C$238:$C$451,$C67,'TL06'!$J$238:$J$451),0),
IF('TL07'!$B$3=M$3,SUMIF('TL07'!$C$10:$C$224,$C67,'TL07'!$J$10:$J$224),0),
IF('TL07'!$B$229=M$3,SUMIF('TL07'!$C$238:$C$451,$C67,'TL07'!$J$238:$J$451),0),
IF('TL08'!$B$3=M$3,SUMIF('TL08'!$C$10:$C$224,$C67,'TL08'!$J$10:$J$224),0),
IF('TL08'!$B$229=M$3,SUMIF('TL08'!$C$238:$C$451,$C67,'TL08'!$J$238:$J$451),0),
IF('TL09'!$B$3=M$3,SUMIF('TL09'!$C$10:$C$224,$C67,'TL09'!$J$10:$J$224),0),
IF('TL09'!$B$229=M$3,SUMIF('TL09'!$C$238:$C$451,$C67,'TL09'!$J$238:$J$451),0),
IF('TL10'!$B$3=M$3,SUMIF('TL10'!$C$10:$C$224,$C67,'TL10'!$J$10:$J$224),0),
IF('TL10'!$B$229=M$3,SUMIF('TL10'!$C$238:$C$451,$C67,'TL10'!$J$238:$J$451),0),
IF('TL11'!$B$3=M$3,SUMIF('TL11'!$C$10:$C$224,$C67,'TL11'!$J$10:$J$224),0),
IF('TL11'!$B$229=M$3,SUMIF('TL11'!$C$238:$C$451,$C67,'TL11'!$J$238:$J$451),0),
IF('TL12'!$B$3=M$3,SUMIF('TL12'!$C$10:$C$224,$C67,'TL12'!$J$10:$J$224),0),
IF('TL12'!$B$229=M$3,SUMIF('TL12'!$C$238:$C$451,$C67,'TL12'!$J$238:$J$451),0),
IF('TL13'!$B$3=M$3,SUMIF('TL13'!$C$10:$C$224,$C67,'TL13'!$J$10:$J$224),0),
IF('TL13'!$B$229=M$3,SUMIF('TL13'!$C$238:$C$451,$C67,'TL13'!$J$238:$J$451),0),
IF('TL14'!$B$3=M$3,SUMIF('TL14'!$C$10:$C$224,$C67,'TL14'!$J$10:$J$224),0),
IF('TL14'!$B$229=M$3,SUMIF('TL14'!$C$238:$C$451,$C67,'TL14'!$J$238:$J$451),0),
IF('TL15'!$B$3=M$3,SUMIF('TL15'!$C$10:$C$224,$C67,'TL15'!$J$10:$J$224),0),
IF('TL15'!$B$229=M$3,SUMIF('TL15'!$C$238:$C$451,$C67,'TL15'!$J$238:$J$451),0),
IF('TL16'!$B$3=M$3,SUMIF('TL16'!$C$10:$C$224,$C67,'TL16'!$J$10:$J$224),0),
IF('TL16'!$B$229=M$3,SUMIF('TL16'!$C$238:$C$451,$C67,'TL16'!$J$238:$J$451),0),
IF('TL17'!$B$3=M$3,SUMIF('TL17'!$C$10:$C$224,$C67,'TL17'!$J$10:$J$224),0),
IF('TL17'!$B$229=M$3,SUMIF('TL17'!$C$238:$C$451,$C67,'TL17'!$J$238:$J$451),0),
IF('TL18'!$B$3=M$3,SUMIF('TL18'!$C$10:$C$224,$C67,'TL18'!$J$10:$J$224),0),
IF('TL18'!$B$229=M$3,SUMIF('TL18'!$C$238:$C$451,$C67,'TL18'!$J$238:$J$451),0),
IF('TL19'!$B$3=M$3,SUMIF('TL19'!$C$10:$C$224,$C67,'TL19'!$J$10:$J$224),0),
IF('TL19'!$B$229=M$3,SUMIF('TL19'!$C$238:$C$451,$C67,'TL19'!$J$238:$J$451),0)
),0)</f>
        <v/>
      </c>
      <c r="N67" s="9">
        <f>IFERROR(SUM(
IF('TL01'!$B$3=N$3,SUMIF('TL01'!$C$10:$C$224,$C67,'TL01'!$J$10:$J$224),0),
IF('TL01'!$B$229=N$3,SUMIF('TL01'!$C$238:$C$451,$C67,'TL01'!$J$238:$J$451),0),
IF('TL02'!$B$3=N$3,SUMIF('TL02'!$C$10:$C$224,$C67,'TL02'!$J$10:$J$224),0),
IF('TL02'!$B$229=N$3,SUMIF('TL02'!$C$238:$C$451,$C67,'TL02'!$J$238:$J$451),0),
IF('TL03'!$B$3=N$3,SUMIF('TL03'!$C$10:$C$224,$C67,'TL03'!$J$10:$J$224),0),
IF('TL03'!$B$229=N$3,SUMIF('TL03'!$C$238:$C$451,$C67,'TL03'!$J$238:$J$451),0),
IF('TL04'!$B$3=N$3,SUMIF('TL04'!$C$10:$C$224,$C67,'TL04'!$J$10:$J$224),0),
IF('TL04'!$B$229=N$3,SUMIF('TL04'!$C$238:$C$451,$C67,'TL04'!$J$238:$J$451),0),
IF('TL05'!$B$3=N$3,SUMIF('TL05'!$C$10:$C$224,$C67,'TL05'!$J$10:$J$224),0),
IF('TL05'!$B$229=N$3,SUMIF('TL05'!$C$238:$C$451,$C67,'TL05'!$J$238:$J$451),0),
IF('TL06'!$B$3=N$3,SUMIF('TL06'!$C$10:$C$224,$C67,'TL06'!$J$10:$J$224),0),
IF('TL06'!$B$229=N$3,SUMIF('TL06'!$C$238:$C$451,$C67,'TL06'!$J$238:$J$451),0),
IF('TL07'!$B$3=N$3,SUMIF('TL07'!$C$10:$C$224,$C67,'TL07'!$J$10:$J$224),0),
IF('TL07'!$B$229=N$3,SUMIF('TL07'!$C$238:$C$451,$C67,'TL07'!$J$238:$J$451),0),
IF('TL08'!$B$3=N$3,SUMIF('TL08'!$C$10:$C$224,$C67,'TL08'!$J$10:$J$224),0),
IF('TL08'!$B$229=N$3,SUMIF('TL08'!$C$238:$C$451,$C67,'TL08'!$J$238:$J$451),0),
IF('TL09'!$B$3=N$3,SUMIF('TL09'!$C$10:$C$224,$C67,'TL09'!$J$10:$J$224),0),
IF('TL09'!$B$229=N$3,SUMIF('TL09'!$C$238:$C$451,$C67,'TL09'!$J$238:$J$451),0),
IF('TL10'!$B$3=N$3,SUMIF('TL10'!$C$10:$C$224,$C67,'TL10'!$J$10:$J$224),0),
IF('TL10'!$B$229=N$3,SUMIF('TL10'!$C$238:$C$451,$C67,'TL10'!$J$238:$J$451),0),
IF('TL11'!$B$3=N$3,SUMIF('TL11'!$C$10:$C$224,$C67,'TL11'!$J$10:$J$224),0),
IF('TL11'!$B$229=N$3,SUMIF('TL11'!$C$238:$C$451,$C67,'TL11'!$J$238:$J$451),0),
IF('TL12'!$B$3=N$3,SUMIF('TL12'!$C$10:$C$224,$C67,'TL12'!$J$10:$J$224),0),
IF('TL12'!$B$229=N$3,SUMIF('TL12'!$C$238:$C$451,$C67,'TL12'!$J$238:$J$451),0),
IF('TL13'!$B$3=N$3,SUMIF('TL13'!$C$10:$C$224,$C67,'TL13'!$J$10:$J$224),0),
IF('TL13'!$B$229=N$3,SUMIF('TL13'!$C$238:$C$451,$C67,'TL13'!$J$238:$J$451),0),
IF('TL14'!$B$3=N$3,SUMIF('TL14'!$C$10:$C$224,$C67,'TL14'!$J$10:$J$224),0),
IF('TL14'!$B$229=N$3,SUMIF('TL14'!$C$238:$C$451,$C67,'TL14'!$J$238:$J$451),0),
IF('TL15'!$B$3=N$3,SUMIF('TL15'!$C$10:$C$224,$C67,'TL15'!$J$10:$J$224),0),
IF('TL15'!$B$229=N$3,SUMIF('TL15'!$C$238:$C$451,$C67,'TL15'!$J$238:$J$451),0),
IF('TL16'!$B$3=N$3,SUMIF('TL16'!$C$10:$C$224,$C67,'TL16'!$J$10:$J$224),0),
IF('TL16'!$B$229=N$3,SUMIF('TL16'!$C$238:$C$451,$C67,'TL16'!$J$238:$J$451),0),
IF('TL17'!$B$3=N$3,SUMIF('TL17'!$C$10:$C$224,$C67,'TL17'!$J$10:$J$224),0),
IF('TL17'!$B$229=N$3,SUMIF('TL17'!$C$238:$C$451,$C67,'TL17'!$J$238:$J$451),0),
IF('TL18'!$B$3=N$3,SUMIF('TL18'!$C$10:$C$224,$C67,'TL18'!$J$10:$J$224),0),
IF('TL18'!$B$229=N$3,SUMIF('TL18'!$C$238:$C$451,$C67,'TL18'!$J$238:$J$451),0),
IF('TL19'!$B$3=N$3,SUMIF('TL19'!$C$10:$C$224,$C67,'TL19'!$J$10:$J$224),0),
IF('TL19'!$B$229=N$3,SUMIF('TL19'!$C$238:$C$451,$C67,'TL19'!$J$238:$J$451),0)
),0)</f>
        <v/>
      </c>
      <c r="O67" s="9">
        <f>IFERROR(SUM(
IF('TL01'!$B$3=O$3,SUMIF('TL01'!$C$10:$C$224,$C67,'TL01'!$J$10:$J$224),0),
IF('TL01'!$B$229=O$3,SUMIF('TL01'!$C$238:$C$451,$C67,'TL01'!$J$238:$J$451),0),
IF('TL02'!$B$3=O$3,SUMIF('TL02'!$C$10:$C$224,$C67,'TL02'!$J$10:$J$224),0),
IF('TL02'!$B$229=O$3,SUMIF('TL02'!$C$238:$C$451,$C67,'TL02'!$J$238:$J$451),0),
IF('TL03'!$B$3=O$3,SUMIF('TL03'!$C$10:$C$224,$C67,'TL03'!$J$10:$J$224),0),
IF('TL03'!$B$229=O$3,SUMIF('TL03'!$C$238:$C$451,$C67,'TL03'!$J$238:$J$451),0),
IF('TL04'!$B$3=O$3,SUMIF('TL04'!$C$10:$C$224,$C67,'TL04'!$J$10:$J$224),0),
IF('TL04'!$B$229=O$3,SUMIF('TL04'!$C$238:$C$451,$C67,'TL04'!$J$238:$J$451),0),
IF('TL05'!$B$3=O$3,SUMIF('TL05'!$C$10:$C$224,$C67,'TL05'!$J$10:$J$224),0),
IF('TL05'!$B$229=O$3,SUMIF('TL05'!$C$238:$C$451,$C67,'TL05'!$J$238:$J$451),0),
IF('TL06'!$B$3=O$3,SUMIF('TL06'!$C$10:$C$224,$C67,'TL06'!$J$10:$J$224),0),
IF('TL06'!$B$229=O$3,SUMIF('TL06'!$C$238:$C$451,$C67,'TL06'!$J$238:$J$451),0),
IF('TL07'!$B$3=O$3,SUMIF('TL07'!$C$10:$C$224,$C67,'TL07'!$J$10:$J$224),0),
IF('TL07'!$B$229=O$3,SUMIF('TL07'!$C$238:$C$451,$C67,'TL07'!$J$238:$J$451),0),
IF('TL08'!$B$3=O$3,SUMIF('TL08'!$C$10:$C$224,$C67,'TL08'!$J$10:$J$224),0),
IF('TL08'!$B$229=O$3,SUMIF('TL08'!$C$238:$C$451,$C67,'TL08'!$J$238:$J$451),0),
IF('TL09'!$B$3=O$3,SUMIF('TL09'!$C$10:$C$224,$C67,'TL09'!$J$10:$J$224),0),
IF('TL09'!$B$229=O$3,SUMIF('TL09'!$C$238:$C$451,$C67,'TL09'!$J$238:$J$451),0),
IF('TL10'!$B$3=O$3,SUMIF('TL10'!$C$10:$C$224,$C67,'TL10'!$J$10:$J$224),0),
IF('TL10'!$B$229=O$3,SUMIF('TL10'!$C$238:$C$451,$C67,'TL10'!$J$238:$J$451),0),
IF('TL11'!$B$3=O$3,SUMIF('TL11'!$C$10:$C$224,$C67,'TL11'!$J$10:$J$224),0),
IF('TL11'!$B$229=O$3,SUMIF('TL11'!$C$238:$C$451,$C67,'TL11'!$J$238:$J$451),0),
IF('TL12'!$B$3=O$3,SUMIF('TL12'!$C$10:$C$224,$C67,'TL12'!$J$10:$J$224),0),
IF('TL12'!$B$229=O$3,SUMIF('TL12'!$C$238:$C$451,$C67,'TL12'!$J$238:$J$451),0),
IF('TL13'!$B$3=O$3,SUMIF('TL13'!$C$10:$C$224,$C67,'TL13'!$J$10:$J$224),0),
IF('TL13'!$B$229=O$3,SUMIF('TL13'!$C$238:$C$451,$C67,'TL13'!$J$238:$J$451),0),
IF('TL14'!$B$3=O$3,SUMIF('TL14'!$C$10:$C$224,$C67,'TL14'!$J$10:$J$224),0),
IF('TL14'!$B$229=O$3,SUMIF('TL14'!$C$238:$C$451,$C67,'TL14'!$J$238:$J$451),0),
IF('TL15'!$B$3=O$3,SUMIF('TL15'!$C$10:$C$224,$C67,'TL15'!$J$10:$J$224),0),
IF('TL15'!$B$229=O$3,SUMIF('TL15'!$C$238:$C$451,$C67,'TL15'!$J$238:$J$451),0),
IF('TL16'!$B$3=O$3,SUMIF('TL16'!$C$10:$C$224,$C67,'TL16'!$J$10:$J$224),0),
IF('TL16'!$B$229=O$3,SUMIF('TL16'!$C$238:$C$451,$C67,'TL16'!$J$238:$J$451),0),
IF('TL17'!$B$3=O$3,SUMIF('TL17'!$C$10:$C$224,$C67,'TL17'!$J$10:$J$224),0),
IF('TL17'!$B$229=O$3,SUMIF('TL17'!$C$238:$C$451,$C67,'TL17'!$J$238:$J$451),0),
IF('TL18'!$B$3=O$3,SUMIF('TL18'!$C$10:$C$224,$C67,'TL18'!$J$10:$J$224),0),
IF('TL18'!$B$229=O$3,SUMIF('TL18'!$C$238:$C$451,$C67,'TL18'!$J$238:$J$451),0),
IF('TL19'!$B$3=O$3,SUMIF('TL19'!$C$10:$C$224,$C67,'TL19'!$J$10:$J$224),0),
IF('TL19'!$B$229=O$3,SUMIF('TL19'!$C$238:$C$451,$C67,'TL19'!$J$238:$J$451),0)
),0)</f>
        <v/>
      </c>
      <c r="P67" s="9">
        <f>IFERROR(SUM(
IF('TL01'!$B$3=P$3,SUMIF('TL01'!$C$10:$C$224,$C67,'TL01'!$J$10:$J$224),0),
IF('TL01'!$B$229=P$3,SUMIF('TL01'!$C$238:$C$451,$C67,'TL01'!$J$238:$J$451),0),
IF('TL02'!$B$3=P$3,SUMIF('TL02'!$C$10:$C$224,$C67,'TL02'!$J$10:$J$224),0),
IF('TL02'!$B$229=P$3,SUMIF('TL02'!$C$238:$C$451,$C67,'TL02'!$J$238:$J$451),0),
IF('TL03'!$B$3=P$3,SUMIF('TL03'!$C$10:$C$224,$C67,'TL03'!$J$10:$J$224),0),
IF('TL03'!$B$229=P$3,SUMIF('TL03'!$C$238:$C$451,$C67,'TL03'!$J$238:$J$451),0),
IF('TL04'!$B$3=P$3,SUMIF('TL04'!$C$10:$C$224,$C67,'TL04'!$J$10:$J$224),0),
IF('TL04'!$B$229=P$3,SUMIF('TL04'!$C$238:$C$451,$C67,'TL04'!$J$238:$J$451),0),
IF('TL05'!$B$3=P$3,SUMIF('TL05'!$C$10:$C$224,$C67,'TL05'!$J$10:$J$224),0),
IF('TL05'!$B$229=P$3,SUMIF('TL05'!$C$238:$C$451,$C67,'TL05'!$J$238:$J$451),0),
IF('TL06'!$B$3=P$3,SUMIF('TL06'!$C$10:$C$224,$C67,'TL06'!$J$10:$J$224),0),
IF('TL06'!$B$229=P$3,SUMIF('TL06'!$C$238:$C$451,$C67,'TL06'!$J$238:$J$451),0),
IF('TL07'!$B$3=P$3,SUMIF('TL07'!$C$10:$C$224,$C67,'TL07'!$J$10:$J$224),0),
IF('TL07'!$B$229=P$3,SUMIF('TL07'!$C$238:$C$451,$C67,'TL07'!$J$238:$J$451),0),
IF('TL08'!$B$3=P$3,SUMIF('TL08'!$C$10:$C$224,$C67,'TL08'!$J$10:$J$224),0),
IF('TL08'!$B$229=P$3,SUMIF('TL08'!$C$238:$C$451,$C67,'TL08'!$J$238:$J$451),0),
IF('TL09'!$B$3=P$3,SUMIF('TL09'!$C$10:$C$224,$C67,'TL09'!$J$10:$J$224),0),
IF('TL09'!$B$229=P$3,SUMIF('TL09'!$C$238:$C$451,$C67,'TL09'!$J$238:$J$451),0),
IF('TL10'!$B$3=P$3,SUMIF('TL10'!$C$10:$C$224,$C67,'TL10'!$J$10:$J$224),0),
IF('TL10'!$B$229=P$3,SUMIF('TL10'!$C$238:$C$451,$C67,'TL10'!$J$238:$J$451),0),
IF('TL11'!$B$3=P$3,SUMIF('TL11'!$C$10:$C$224,$C67,'TL11'!$J$10:$J$224),0),
IF('TL11'!$B$229=P$3,SUMIF('TL11'!$C$238:$C$451,$C67,'TL11'!$J$238:$J$451),0),
IF('TL12'!$B$3=P$3,SUMIF('TL12'!$C$10:$C$224,$C67,'TL12'!$J$10:$J$224),0),
IF('TL12'!$B$229=P$3,SUMIF('TL12'!$C$238:$C$451,$C67,'TL12'!$J$238:$J$451),0),
IF('TL13'!$B$3=P$3,SUMIF('TL13'!$C$10:$C$224,$C67,'TL13'!$J$10:$J$224),0),
IF('TL13'!$B$229=P$3,SUMIF('TL13'!$C$238:$C$451,$C67,'TL13'!$J$238:$J$451),0),
IF('TL14'!$B$3=P$3,SUMIF('TL14'!$C$10:$C$224,$C67,'TL14'!$J$10:$J$224),0),
IF('TL14'!$B$229=P$3,SUMIF('TL14'!$C$238:$C$451,$C67,'TL14'!$J$238:$J$451),0),
IF('TL15'!$B$3=P$3,SUMIF('TL15'!$C$10:$C$224,$C67,'TL15'!$J$10:$J$224),0),
IF('TL15'!$B$229=P$3,SUMIF('TL15'!$C$238:$C$451,$C67,'TL15'!$J$238:$J$451),0),
IF('TL16'!$B$3=P$3,SUMIF('TL16'!$C$10:$C$224,$C67,'TL16'!$J$10:$J$224),0),
IF('TL16'!$B$229=P$3,SUMIF('TL16'!$C$238:$C$451,$C67,'TL16'!$J$238:$J$451),0),
IF('TL17'!$B$3=P$3,SUMIF('TL17'!$C$10:$C$224,$C67,'TL17'!$J$10:$J$224),0),
IF('TL17'!$B$229=P$3,SUMIF('TL17'!$C$238:$C$451,$C67,'TL17'!$J$238:$J$451),0),
IF('TL18'!$B$3=P$3,SUMIF('TL18'!$C$10:$C$224,$C67,'TL18'!$J$10:$J$224),0),
IF('TL18'!$B$229=P$3,SUMIF('TL18'!$C$238:$C$451,$C67,'TL18'!$J$238:$J$451),0),
IF('TL19'!$B$3=P$3,SUMIF('TL19'!$C$10:$C$224,$C67,'TL19'!$J$10:$J$224),0),
IF('TL19'!$B$229=P$3,SUMIF('TL19'!$C$238:$C$451,$C67,'TL19'!$J$238:$J$451),0)
),0)</f>
        <v/>
      </c>
      <c r="Q67" s="9">
        <f>IFERROR(SUM(
IF('TL01'!$B$3=Q$3,SUMIF('TL01'!$C$10:$C$224,$C67,'TL01'!$J$10:$J$224),0),
IF('TL01'!$B$229=Q$3,SUMIF('TL01'!$C$238:$C$451,$C67,'TL01'!$J$238:$J$451),0),
IF('TL02'!$B$3=Q$3,SUMIF('TL02'!$C$10:$C$224,$C67,'TL02'!$J$10:$J$224),0),
IF('TL02'!$B$229=Q$3,SUMIF('TL02'!$C$238:$C$451,$C67,'TL02'!$J$238:$J$451),0),
IF('TL03'!$B$3=Q$3,SUMIF('TL03'!$C$10:$C$224,$C67,'TL03'!$J$10:$J$224),0),
IF('TL03'!$B$229=Q$3,SUMIF('TL03'!$C$238:$C$451,$C67,'TL03'!$J$238:$J$451),0),
IF('TL04'!$B$3=Q$3,SUMIF('TL04'!$C$10:$C$224,$C67,'TL04'!$J$10:$J$224),0),
IF('TL04'!$B$229=Q$3,SUMIF('TL04'!$C$238:$C$451,$C67,'TL04'!$J$238:$J$451),0),
IF('TL05'!$B$3=Q$3,SUMIF('TL05'!$C$10:$C$224,$C67,'TL05'!$J$10:$J$224),0),
IF('TL05'!$B$229=Q$3,SUMIF('TL05'!$C$238:$C$451,$C67,'TL05'!$J$238:$J$451),0),
IF('TL06'!$B$3=Q$3,SUMIF('TL06'!$C$10:$C$224,$C67,'TL06'!$J$10:$J$224),0),
IF('TL06'!$B$229=Q$3,SUMIF('TL06'!$C$238:$C$451,$C67,'TL06'!$J$238:$J$451),0),
IF('TL07'!$B$3=Q$3,SUMIF('TL07'!$C$10:$C$224,$C67,'TL07'!$J$10:$J$224),0),
IF('TL07'!$B$229=Q$3,SUMIF('TL07'!$C$238:$C$451,$C67,'TL07'!$J$238:$J$451),0),
IF('TL08'!$B$3=Q$3,SUMIF('TL08'!$C$10:$C$224,$C67,'TL08'!$J$10:$J$224),0),
IF('TL08'!$B$229=Q$3,SUMIF('TL08'!$C$238:$C$451,$C67,'TL08'!$J$238:$J$451),0),
IF('TL09'!$B$3=Q$3,SUMIF('TL09'!$C$10:$C$224,$C67,'TL09'!$J$10:$J$224),0),
IF('TL09'!$B$229=Q$3,SUMIF('TL09'!$C$238:$C$451,$C67,'TL09'!$J$238:$J$451),0),
IF('TL10'!$B$3=Q$3,SUMIF('TL10'!$C$10:$C$224,$C67,'TL10'!$J$10:$J$224),0),
IF('TL10'!$B$229=Q$3,SUMIF('TL10'!$C$238:$C$451,$C67,'TL10'!$J$238:$J$451),0),
IF('TL11'!$B$3=Q$3,SUMIF('TL11'!$C$10:$C$224,$C67,'TL11'!$J$10:$J$224),0),
IF('TL11'!$B$229=Q$3,SUMIF('TL11'!$C$238:$C$451,$C67,'TL11'!$J$238:$J$451),0),
IF('TL12'!$B$3=Q$3,SUMIF('TL12'!$C$10:$C$224,$C67,'TL12'!$J$10:$J$224),0),
IF('TL12'!$B$229=Q$3,SUMIF('TL12'!$C$238:$C$451,$C67,'TL12'!$J$238:$J$451),0),
IF('TL13'!$B$3=Q$3,SUMIF('TL13'!$C$10:$C$224,$C67,'TL13'!$J$10:$J$224),0),
IF('TL13'!$B$229=Q$3,SUMIF('TL13'!$C$238:$C$451,$C67,'TL13'!$J$238:$J$451),0),
IF('TL14'!$B$3=Q$3,SUMIF('TL14'!$C$10:$C$224,$C67,'TL14'!$J$10:$J$224),0),
IF('TL14'!$B$229=Q$3,SUMIF('TL14'!$C$238:$C$451,$C67,'TL14'!$J$238:$J$451),0),
IF('TL15'!$B$3=Q$3,SUMIF('TL15'!$C$10:$C$224,$C67,'TL15'!$J$10:$J$224),0),
IF('TL15'!$B$229=Q$3,SUMIF('TL15'!$C$238:$C$451,$C67,'TL15'!$J$238:$J$451),0),
IF('TL16'!$B$3=Q$3,SUMIF('TL16'!$C$10:$C$224,$C67,'TL16'!$J$10:$J$224),0),
IF('TL16'!$B$229=Q$3,SUMIF('TL16'!$C$238:$C$451,$C67,'TL16'!$J$238:$J$451),0),
IF('TL17'!$B$3=Q$3,SUMIF('TL17'!$C$10:$C$224,$C67,'TL17'!$J$10:$J$224),0),
IF('TL17'!$B$229=Q$3,SUMIF('TL17'!$C$238:$C$451,$C67,'TL17'!$J$238:$J$451),0),
IF('TL18'!$B$3=Q$3,SUMIF('TL18'!$C$10:$C$224,$C67,'TL18'!$J$10:$J$224),0),
IF('TL18'!$B$229=Q$3,SUMIF('TL18'!$C$238:$C$451,$C67,'TL18'!$J$238:$J$451),0),
IF('TL19'!$B$3=Q$3,SUMIF('TL19'!$C$10:$C$224,$C67,'TL19'!$J$10:$J$224),0),
IF('TL19'!$B$229=Q$3,SUMIF('TL19'!$C$238:$C$451,$C67,'TL19'!$J$238:$J$451),0)
),0)</f>
        <v/>
      </c>
      <c r="R67" s="9">
        <f>IFERROR(
SUM(
SUMIF('TL01'!C:C,C67,'TL01'!J:J),
SUMIF('TL02'!C:C,C67,'TL02'!J:J),
SUMIF('TL03'!C:C,C67,'TL03'!J:J),
SUMIF('TL04'!C:C,C67,'TL04'!J:J),
SUMIF('TL05'!C:C,C67,'TL05'!J:J),
SUMIF('TL06'!C:C,C67,'TL06'!J:J),
SUMIF('TL07'!C:C,C67,'TL07'!J:J),
SUMIF('TL08'!C:C,C67,'TL08'!J:J),
SUMIF('TL09'!C:C,C67,'TL09'!J:J),
SUMIF('TL10'!C:C,C67,'TL10'!J:J),
SUMIF('TL11'!C:C,C67,'TL11'!J:J),
SUMIF('TL12'!C:C,C67,'TL12'!J:J),
SUMIF('TL13'!C:C,C67,'TL13'!J:J),
SUMIF('TL14'!C:C,C67,'TL14'!J:J),
SUMIF('TL15'!C:C,C67,'TL15'!J:J),
SUMIF('TL16'!C:C,C67,'TL16'!J:J),
SUMIF('TL17'!C:C,C67,'TL17'!J:J),
SUMIF('TL18'!C:C,C67,'TL18'!J:J),SUMIF('TL19'!C:C,C67,'TL19'!J:J))
,0)</f>
        <v/>
      </c>
      <c r="S67" s="17">
        <f>IFERROR(__xludf.DUMMYFUNCTION("IFERROR(VLOOKUP(C67,
IMPORTRANGE(""1wULbzX32WdYsx-lj2U3uUNBBe2INVIRDtcK0d-Dvl90"",
""26-27!C:G""),
5,
FALSE),
"""")"),266.52384000000006)</f>
        <v/>
      </c>
      <c r="T67" s="9" t="n"/>
      <c r="U67" s="92">
        <f>MAX(0,R67-T67)</f>
        <v/>
      </c>
      <c r="V67" s="93">
        <f>U67*S67</f>
        <v/>
      </c>
    </row>
    <row r="68" hidden="1" ht="15.75" customHeight="1" s="297">
      <c r="A68" s="115" t="inlineStr">
        <is>
          <t>FMC</t>
        </is>
      </c>
      <c r="B68" s="100" t="inlineStr">
        <is>
          <t>FUNGICIDA</t>
        </is>
      </c>
      <c r="C68" s="116" t="inlineStr">
        <is>
          <t>ONSUVA</t>
        </is>
      </c>
      <c r="D68" s="116" t="inlineStr">
        <is>
          <t>FLUINDAPYR + DIFENOCONAZOL</t>
        </is>
      </c>
      <c r="E68" s="116" t="inlineStr">
        <is>
          <t>240 + 300</t>
        </is>
      </c>
      <c r="F68" s="4" t="inlineStr">
        <is>
          <t>L</t>
        </is>
      </c>
      <c r="G68" s="90">
        <f>HYPERLINK("https://www.google.com/search?q=" &amp; C68 &amp; "+bula+agrofit+pdf", "📄 Ver bula")</f>
        <v/>
      </c>
      <c r="H68" s="9">
        <f>IFERROR(__xludf.DUMMYFUNCTION("IFERROR(VLOOKUP(C68,
IMPORTRANGE(""1wULbzX32WdYsx-lj2U3uUNBBe2INVIRDtcK0d-Dvl90"",
""26-27!C:K""),
8,
FALSE),
"""")"),0.4)</f>
        <v/>
      </c>
      <c r="I68" s="117" t="inlineStr">
        <is>
          <t>4X5 ou 10</t>
        </is>
      </c>
      <c r="J68" s="9">
        <f>IFERROR(SUM(
IF('TL01'!$B$3=J$3,SUMIF('TL01'!$C$10:$C$224,$C68,'TL01'!$J$10:$J$224),0),
IF('TL01'!$B$229=J$3,SUMIF('TL01'!$C$238:$C$451,$C68,'TL01'!$J$238:$J$451),0),
IF('TL02'!$B$3=J$3,SUMIF('TL02'!$C$10:$C$224,$C68,'TL02'!$J$10:$J$224),0),
IF('TL02'!$B$229=J$3,SUMIF('TL02'!$C$238:$C$451,$C68,'TL02'!$J$238:$J$451),0),
IF('TL03'!$B$3=J$3,SUMIF('TL03'!$C$10:$C$224,$C68,'TL03'!$J$10:$J$224),0),
IF('TL03'!$B$229=J$3,SUMIF('TL03'!$C$238:$C$451,$C68,'TL03'!$J$238:$J$451),0),
IF('TL04'!$B$3=J$3,SUMIF('TL04'!$C$10:$C$224,$C68,'TL04'!$J$10:$J$224),0),
IF('TL04'!$B$229=J$3,SUMIF('TL04'!$C$238:$C$451,$C68,'TL04'!$J$238:$J$451),0),
IF('TL05'!$B$3=J$3,SUMIF('TL05'!$C$10:$C$224,$C68,'TL05'!$J$10:$J$224),0),
IF('TL05'!$B$229=J$3,SUMIF('TL05'!$C$238:$C$451,$C68,'TL05'!$J$238:$J$451),0),
IF('TL06'!$B$3=J$3,SUMIF('TL06'!$C$10:$C$224,$C68,'TL06'!$J$10:$J$224),0),
IF('TL06'!$B$229=J$3,SUMIF('TL06'!$C$238:$C$451,$C68,'TL06'!$J$238:$J$451),0),
IF('TL07'!$B$3=J$3,SUMIF('TL07'!$C$10:$C$224,$C68,'TL07'!$J$10:$J$224),0),
IF('TL07'!$B$229=J$3,SUMIF('TL07'!$C$238:$C$451,$C68,'TL07'!$J$238:$J$451),0),
IF('TL08'!$B$3=J$3,SUMIF('TL08'!$C$10:$C$224,$C68,'TL08'!$J$10:$J$224),0),
IF('TL08'!$B$229=J$3,SUMIF('TL08'!$C$238:$C$451,$C68,'TL08'!$J$238:$J$451),0),
IF('TL09'!$B$3=J$3,SUMIF('TL09'!$C$10:$C$224,$C68,'TL09'!$J$10:$J$224),0),
IF('TL09'!$B$229=J$3,SUMIF('TL09'!$C$238:$C$451,$C68,'TL09'!$J$238:$J$451),0),
IF('TL10'!$B$3=J$3,SUMIF('TL10'!$C$10:$C$224,$C68,'TL10'!$J$10:$J$224),0),
IF('TL10'!$B$229=J$3,SUMIF('TL10'!$C$238:$C$451,$C68,'TL10'!$J$238:$J$451),0),
IF('TL11'!$B$3=J$3,SUMIF('TL11'!$C$10:$C$224,$C68,'TL11'!$J$10:$J$224),0),
IF('TL11'!$B$229=J$3,SUMIF('TL11'!$C$238:$C$451,$C68,'TL11'!$J$238:$J$451),0),
IF('TL12'!$B$3=J$3,SUMIF('TL12'!$C$10:$C$224,$C68,'TL12'!$J$10:$J$224),0),
IF('TL12'!$B$229=J$3,SUMIF('TL12'!$C$238:$C$451,$C68,'TL12'!$J$238:$J$451),0),
IF('TL13'!$B$3=J$3,SUMIF('TL13'!$C$10:$C$224,$C68,'TL13'!$J$10:$J$224),0),
IF('TL13'!$B$229=J$3,SUMIF('TL13'!$C$238:$C$451,$C68,'TL13'!$J$238:$J$451),0),
IF('TL14'!$B$3=J$3,SUMIF('TL14'!$C$10:$C$224,$C68,'TL14'!$J$10:$J$224),0),
IF('TL14'!$B$229=J$3,SUMIF('TL14'!$C$238:$C$451,$C68,'TL14'!$J$238:$J$451),0),
IF('TL15'!$B$3=J$3,SUMIF('TL15'!$C$10:$C$224,$C68,'TL15'!$J$10:$J$224),0),
IF('TL15'!$B$229=J$3,SUMIF('TL15'!$C$238:$C$451,$C68,'TL15'!$J$238:$J$451),0),
IF('TL16'!$B$3=J$3,SUMIF('TL16'!$C$10:$C$224,$C68,'TL16'!$J$10:$J$224),0),
IF('TL16'!$B$229=J$3,SUMIF('TL16'!$C$238:$C$451,$C68,'TL16'!$J$238:$J$451),0),
IF('TL17'!$B$3=J$3,SUMIF('TL17'!$C$10:$C$224,$C68,'TL17'!$J$10:$J$224),0),
IF('TL17'!$B$229=J$3,SUMIF('TL17'!$C$238:$C$451,$C68,'TL17'!$J$238:$J$451),0),
IF('TL18'!$B$3=J$3,SUMIF('TL18'!$C$10:$C$224,$C68,'TL18'!$J$10:$J$224),0),
IF('TL18'!$B$229=J$3,SUMIF('TL18'!$C$238:$C$451,$C68,'TL18'!$J$238:$J$451),0),
IF('TL19'!$B$3=J$3,SUMIF('TL19'!$C$10:$C$224,$C68,'TL19'!$J$10:$J$224),0),
IF('TL19'!$B$229=J$3,SUMIF('TL19'!$C$238:$C$451,$C68,'TL19'!$J$238:$J$451),0)
),0)</f>
        <v/>
      </c>
      <c r="K68" s="9">
        <f>IFERROR(SUM(
IF('TL01'!$B$3=K$3,SUMIF('TL01'!$C$10:$C$224,$C68,'TL01'!$J$10:$J$224),0),
IF('TL01'!$B$229=K$3,SUMIF('TL01'!$C$238:$C$451,$C68,'TL01'!$J$238:$J$451),0),
IF('TL02'!$B$3=K$3,SUMIF('TL02'!$C$10:$C$224,$C68,'TL02'!$J$10:$J$224),0),
IF('TL02'!$B$229=K$3,SUMIF('TL02'!$C$238:$C$451,$C68,'TL02'!$J$238:$J$451),0),
IF('TL03'!$B$3=K$3,SUMIF('TL03'!$C$10:$C$224,$C68,'TL03'!$J$10:$J$224),0),
IF('TL03'!$B$229=K$3,SUMIF('TL03'!$C$238:$C$451,$C68,'TL03'!$J$238:$J$451),0),
IF('TL04'!$B$3=K$3,SUMIF('TL04'!$C$10:$C$224,$C68,'TL04'!$J$10:$J$224),0),
IF('TL04'!$B$229=K$3,SUMIF('TL04'!$C$238:$C$451,$C68,'TL04'!$J$238:$J$451),0),
IF('TL05'!$B$3=K$3,SUMIF('TL05'!$C$10:$C$224,$C68,'TL05'!$J$10:$J$224),0),
IF('TL05'!$B$229=K$3,SUMIF('TL05'!$C$238:$C$451,$C68,'TL05'!$J$238:$J$451),0),
IF('TL06'!$B$3=K$3,SUMIF('TL06'!$C$10:$C$224,$C68,'TL06'!$J$10:$J$224),0),
IF('TL06'!$B$229=K$3,SUMIF('TL06'!$C$238:$C$451,$C68,'TL06'!$J$238:$J$451),0),
IF('TL07'!$B$3=K$3,SUMIF('TL07'!$C$10:$C$224,$C68,'TL07'!$J$10:$J$224),0),
IF('TL07'!$B$229=K$3,SUMIF('TL07'!$C$238:$C$451,$C68,'TL07'!$J$238:$J$451),0),
IF('TL08'!$B$3=K$3,SUMIF('TL08'!$C$10:$C$224,$C68,'TL08'!$J$10:$J$224),0),
IF('TL08'!$B$229=K$3,SUMIF('TL08'!$C$238:$C$451,$C68,'TL08'!$J$238:$J$451),0),
IF('TL09'!$B$3=K$3,SUMIF('TL09'!$C$10:$C$224,$C68,'TL09'!$J$10:$J$224),0),
IF('TL09'!$B$229=K$3,SUMIF('TL09'!$C$238:$C$451,$C68,'TL09'!$J$238:$J$451),0),
IF('TL10'!$B$3=K$3,SUMIF('TL10'!$C$10:$C$224,$C68,'TL10'!$J$10:$J$224),0),
IF('TL10'!$B$229=K$3,SUMIF('TL10'!$C$238:$C$451,$C68,'TL10'!$J$238:$J$451),0),
IF('TL11'!$B$3=K$3,SUMIF('TL11'!$C$10:$C$224,$C68,'TL11'!$J$10:$J$224),0),
IF('TL11'!$B$229=K$3,SUMIF('TL11'!$C$238:$C$451,$C68,'TL11'!$J$238:$J$451),0),
IF('TL12'!$B$3=K$3,SUMIF('TL12'!$C$10:$C$224,$C68,'TL12'!$J$10:$J$224),0),
IF('TL12'!$B$229=K$3,SUMIF('TL12'!$C$238:$C$451,$C68,'TL12'!$J$238:$J$451),0),
IF('TL13'!$B$3=K$3,SUMIF('TL13'!$C$10:$C$224,$C68,'TL13'!$J$10:$J$224),0),
IF('TL13'!$B$229=K$3,SUMIF('TL13'!$C$238:$C$451,$C68,'TL13'!$J$238:$J$451),0),
IF('TL14'!$B$3=K$3,SUMIF('TL14'!$C$10:$C$224,$C68,'TL14'!$J$10:$J$224),0),
IF('TL14'!$B$229=K$3,SUMIF('TL14'!$C$238:$C$451,$C68,'TL14'!$J$238:$J$451),0),
IF('TL15'!$B$3=K$3,SUMIF('TL15'!$C$10:$C$224,$C68,'TL15'!$J$10:$J$224),0),
IF('TL15'!$B$229=K$3,SUMIF('TL15'!$C$238:$C$451,$C68,'TL15'!$J$238:$J$451),0),
IF('TL16'!$B$3=K$3,SUMIF('TL16'!$C$10:$C$224,$C68,'TL16'!$J$10:$J$224),0),
IF('TL16'!$B$229=K$3,SUMIF('TL16'!$C$238:$C$451,$C68,'TL16'!$J$238:$J$451),0),
IF('TL17'!$B$3=K$3,SUMIF('TL17'!$C$10:$C$224,$C68,'TL17'!$J$10:$J$224),0),
IF('TL17'!$B$229=K$3,SUMIF('TL17'!$C$238:$C$451,$C68,'TL17'!$J$238:$J$451),0),
IF('TL18'!$B$3=K$3,SUMIF('TL18'!$C$10:$C$224,$C68,'TL18'!$J$10:$J$224),0),
IF('TL18'!$B$229=K$3,SUMIF('TL18'!$C$238:$C$451,$C68,'TL18'!$J$238:$J$451),0),
IF('TL19'!$B$3=K$3,SUMIF('TL19'!$C$10:$C$224,$C68,'TL19'!$J$10:$J$224),0),
IF('TL19'!$B$229=K$3,SUMIF('TL19'!$C$238:$C$451,$C68,'TL19'!$J$238:$J$451),0)
),0)</f>
        <v/>
      </c>
      <c r="L68" s="9">
        <f>IFERROR(SUM(
IF('TL01'!$B$3=L$3,SUMIF('TL01'!$C$10:$C$224,$C68,'TL01'!$J$10:$J$224),0),
IF('TL01'!$B$229=L$3,SUMIF('TL01'!$C$238:$C$451,$C68,'TL01'!$J$238:$J$451),0),
IF('TL02'!$B$3=L$3,SUMIF('TL02'!$C$10:$C$224,$C68,'TL02'!$J$10:$J$224),0),
IF('TL02'!$B$229=L$3,SUMIF('TL02'!$C$238:$C$451,$C68,'TL02'!$J$238:$J$451),0),
IF('TL03'!$B$3=L$3,SUMIF('TL03'!$C$10:$C$224,$C68,'TL03'!$J$10:$J$224),0),
IF('TL03'!$B$229=L$3,SUMIF('TL03'!$C$238:$C$451,$C68,'TL03'!$J$238:$J$451),0),
IF('TL04'!$B$3=L$3,SUMIF('TL04'!$C$10:$C$224,$C68,'TL04'!$J$10:$J$224),0),
IF('TL04'!$B$229=L$3,SUMIF('TL04'!$C$238:$C$451,$C68,'TL04'!$J$238:$J$451),0),
IF('TL05'!$B$3=L$3,SUMIF('TL05'!$C$10:$C$224,$C68,'TL05'!$J$10:$J$224),0),
IF('TL05'!$B$229=L$3,SUMIF('TL05'!$C$238:$C$451,$C68,'TL05'!$J$238:$J$451),0),
IF('TL06'!$B$3=L$3,SUMIF('TL06'!$C$10:$C$224,$C68,'TL06'!$J$10:$J$224),0),
IF('TL06'!$B$229=L$3,SUMIF('TL06'!$C$238:$C$451,$C68,'TL06'!$J$238:$J$451),0),
IF('TL07'!$B$3=L$3,SUMIF('TL07'!$C$10:$C$224,$C68,'TL07'!$J$10:$J$224),0),
IF('TL07'!$B$229=L$3,SUMIF('TL07'!$C$238:$C$451,$C68,'TL07'!$J$238:$J$451),0),
IF('TL08'!$B$3=L$3,SUMIF('TL08'!$C$10:$C$224,$C68,'TL08'!$J$10:$J$224),0),
IF('TL08'!$B$229=L$3,SUMIF('TL08'!$C$238:$C$451,$C68,'TL08'!$J$238:$J$451),0),
IF('TL09'!$B$3=L$3,SUMIF('TL09'!$C$10:$C$224,$C68,'TL09'!$J$10:$J$224),0),
IF('TL09'!$B$229=L$3,SUMIF('TL09'!$C$238:$C$451,$C68,'TL09'!$J$238:$J$451),0),
IF('TL10'!$B$3=L$3,SUMIF('TL10'!$C$10:$C$224,$C68,'TL10'!$J$10:$J$224),0),
IF('TL10'!$B$229=L$3,SUMIF('TL10'!$C$238:$C$451,$C68,'TL10'!$J$238:$J$451),0),
IF('TL11'!$B$3=L$3,SUMIF('TL11'!$C$10:$C$224,$C68,'TL11'!$J$10:$J$224),0),
IF('TL11'!$B$229=L$3,SUMIF('TL11'!$C$238:$C$451,$C68,'TL11'!$J$238:$J$451),0),
IF('TL12'!$B$3=L$3,SUMIF('TL12'!$C$10:$C$224,$C68,'TL12'!$J$10:$J$224),0),
IF('TL12'!$B$229=L$3,SUMIF('TL12'!$C$238:$C$451,$C68,'TL12'!$J$238:$J$451),0),
IF('TL13'!$B$3=L$3,SUMIF('TL13'!$C$10:$C$224,$C68,'TL13'!$J$10:$J$224),0),
IF('TL13'!$B$229=L$3,SUMIF('TL13'!$C$238:$C$451,$C68,'TL13'!$J$238:$J$451),0),
IF('TL14'!$B$3=L$3,SUMIF('TL14'!$C$10:$C$224,$C68,'TL14'!$J$10:$J$224),0),
IF('TL14'!$B$229=L$3,SUMIF('TL14'!$C$238:$C$451,$C68,'TL14'!$J$238:$J$451),0),
IF('TL15'!$B$3=L$3,SUMIF('TL15'!$C$10:$C$224,$C68,'TL15'!$J$10:$J$224),0),
IF('TL15'!$B$229=L$3,SUMIF('TL15'!$C$238:$C$451,$C68,'TL15'!$J$238:$J$451),0),
IF('TL16'!$B$3=L$3,SUMIF('TL16'!$C$10:$C$224,$C68,'TL16'!$J$10:$J$224),0),
IF('TL16'!$B$229=L$3,SUMIF('TL16'!$C$238:$C$451,$C68,'TL16'!$J$238:$J$451),0),
IF('TL17'!$B$3=L$3,SUMIF('TL17'!$C$10:$C$224,$C68,'TL17'!$J$10:$J$224),0),
IF('TL17'!$B$229=L$3,SUMIF('TL17'!$C$238:$C$451,$C68,'TL17'!$J$238:$J$451),0),
IF('TL18'!$B$3=L$3,SUMIF('TL18'!$C$10:$C$224,$C68,'TL18'!$J$10:$J$224),0),
IF('TL18'!$B$229=L$3,SUMIF('TL18'!$C$238:$C$451,$C68,'TL18'!$J$238:$J$451),0),
IF('TL19'!$B$3=L$3,SUMIF('TL19'!$C$10:$C$224,$C68,'TL19'!$J$10:$J$224),0),
IF('TL19'!$B$229=L$3,SUMIF('TL19'!$C$238:$C$451,$C68,'TL19'!$J$238:$J$451),0)
),0)</f>
        <v/>
      </c>
      <c r="M68" s="9">
        <f>IFERROR(SUM(
IF('TL01'!$B$3=M$3,SUMIF('TL01'!$C$10:$C$224,$C68,'TL01'!$J$10:$J$224),0),
IF('TL01'!$B$229=M$3,SUMIF('TL01'!$C$238:$C$451,$C68,'TL01'!$J$238:$J$451),0),
IF('TL02'!$B$3=M$3,SUMIF('TL02'!$C$10:$C$224,$C68,'TL02'!$J$10:$J$224),0),
IF('TL02'!$B$229=M$3,SUMIF('TL02'!$C$238:$C$451,$C68,'TL02'!$J$238:$J$451),0),
IF('TL03'!$B$3=M$3,SUMIF('TL03'!$C$10:$C$224,$C68,'TL03'!$J$10:$J$224),0),
IF('TL03'!$B$229=M$3,SUMIF('TL03'!$C$238:$C$451,$C68,'TL03'!$J$238:$J$451),0),
IF('TL04'!$B$3=M$3,SUMIF('TL04'!$C$10:$C$224,$C68,'TL04'!$J$10:$J$224),0),
IF('TL04'!$B$229=M$3,SUMIF('TL04'!$C$238:$C$451,$C68,'TL04'!$J$238:$J$451),0),
IF('TL05'!$B$3=M$3,SUMIF('TL05'!$C$10:$C$224,$C68,'TL05'!$J$10:$J$224),0),
IF('TL05'!$B$229=M$3,SUMIF('TL05'!$C$238:$C$451,$C68,'TL05'!$J$238:$J$451),0),
IF('TL06'!$B$3=M$3,SUMIF('TL06'!$C$10:$C$224,$C68,'TL06'!$J$10:$J$224),0),
IF('TL06'!$B$229=M$3,SUMIF('TL06'!$C$238:$C$451,$C68,'TL06'!$J$238:$J$451),0),
IF('TL07'!$B$3=M$3,SUMIF('TL07'!$C$10:$C$224,$C68,'TL07'!$J$10:$J$224),0),
IF('TL07'!$B$229=M$3,SUMIF('TL07'!$C$238:$C$451,$C68,'TL07'!$J$238:$J$451),0),
IF('TL08'!$B$3=M$3,SUMIF('TL08'!$C$10:$C$224,$C68,'TL08'!$J$10:$J$224),0),
IF('TL08'!$B$229=M$3,SUMIF('TL08'!$C$238:$C$451,$C68,'TL08'!$J$238:$J$451),0),
IF('TL09'!$B$3=M$3,SUMIF('TL09'!$C$10:$C$224,$C68,'TL09'!$J$10:$J$224),0),
IF('TL09'!$B$229=M$3,SUMIF('TL09'!$C$238:$C$451,$C68,'TL09'!$J$238:$J$451),0),
IF('TL10'!$B$3=M$3,SUMIF('TL10'!$C$10:$C$224,$C68,'TL10'!$J$10:$J$224),0),
IF('TL10'!$B$229=M$3,SUMIF('TL10'!$C$238:$C$451,$C68,'TL10'!$J$238:$J$451),0),
IF('TL11'!$B$3=M$3,SUMIF('TL11'!$C$10:$C$224,$C68,'TL11'!$J$10:$J$224),0),
IF('TL11'!$B$229=M$3,SUMIF('TL11'!$C$238:$C$451,$C68,'TL11'!$J$238:$J$451),0),
IF('TL12'!$B$3=M$3,SUMIF('TL12'!$C$10:$C$224,$C68,'TL12'!$J$10:$J$224),0),
IF('TL12'!$B$229=M$3,SUMIF('TL12'!$C$238:$C$451,$C68,'TL12'!$J$238:$J$451),0),
IF('TL13'!$B$3=M$3,SUMIF('TL13'!$C$10:$C$224,$C68,'TL13'!$J$10:$J$224),0),
IF('TL13'!$B$229=M$3,SUMIF('TL13'!$C$238:$C$451,$C68,'TL13'!$J$238:$J$451),0),
IF('TL14'!$B$3=M$3,SUMIF('TL14'!$C$10:$C$224,$C68,'TL14'!$J$10:$J$224),0),
IF('TL14'!$B$229=M$3,SUMIF('TL14'!$C$238:$C$451,$C68,'TL14'!$J$238:$J$451),0),
IF('TL15'!$B$3=M$3,SUMIF('TL15'!$C$10:$C$224,$C68,'TL15'!$J$10:$J$224),0),
IF('TL15'!$B$229=M$3,SUMIF('TL15'!$C$238:$C$451,$C68,'TL15'!$J$238:$J$451),0),
IF('TL16'!$B$3=M$3,SUMIF('TL16'!$C$10:$C$224,$C68,'TL16'!$J$10:$J$224),0),
IF('TL16'!$B$229=M$3,SUMIF('TL16'!$C$238:$C$451,$C68,'TL16'!$J$238:$J$451),0),
IF('TL17'!$B$3=M$3,SUMIF('TL17'!$C$10:$C$224,$C68,'TL17'!$J$10:$J$224),0),
IF('TL17'!$B$229=M$3,SUMIF('TL17'!$C$238:$C$451,$C68,'TL17'!$J$238:$J$451),0),
IF('TL18'!$B$3=M$3,SUMIF('TL18'!$C$10:$C$224,$C68,'TL18'!$J$10:$J$224),0),
IF('TL18'!$B$229=M$3,SUMIF('TL18'!$C$238:$C$451,$C68,'TL18'!$J$238:$J$451),0),
IF('TL19'!$B$3=M$3,SUMIF('TL19'!$C$10:$C$224,$C68,'TL19'!$J$10:$J$224),0),
IF('TL19'!$B$229=M$3,SUMIF('TL19'!$C$238:$C$451,$C68,'TL19'!$J$238:$J$451),0)
),0)</f>
        <v/>
      </c>
      <c r="N68" s="9">
        <f>IFERROR(SUM(
IF('TL01'!$B$3=N$3,SUMIF('TL01'!$C$10:$C$224,$C68,'TL01'!$J$10:$J$224),0),
IF('TL01'!$B$229=N$3,SUMIF('TL01'!$C$238:$C$451,$C68,'TL01'!$J$238:$J$451),0),
IF('TL02'!$B$3=N$3,SUMIF('TL02'!$C$10:$C$224,$C68,'TL02'!$J$10:$J$224),0),
IF('TL02'!$B$229=N$3,SUMIF('TL02'!$C$238:$C$451,$C68,'TL02'!$J$238:$J$451),0),
IF('TL03'!$B$3=N$3,SUMIF('TL03'!$C$10:$C$224,$C68,'TL03'!$J$10:$J$224),0),
IF('TL03'!$B$229=N$3,SUMIF('TL03'!$C$238:$C$451,$C68,'TL03'!$J$238:$J$451),0),
IF('TL04'!$B$3=N$3,SUMIF('TL04'!$C$10:$C$224,$C68,'TL04'!$J$10:$J$224),0),
IF('TL04'!$B$229=N$3,SUMIF('TL04'!$C$238:$C$451,$C68,'TL04'!$J$238:$J$451),0),
IF('TL05'!$B$3=N$3,SUMIF('TL05'!$C$10:$C$224,$C68,'TL05'!$J$10:$J$224),0),
IF('TL05'!$B$229=N$3,SUMIF('TL05'!$C$238:$C$451,$C68,'TL05'!$J$238:$J$451),0),
IF('TL06'!$B$3=N$3,SUMIF('TL06'!$C$10:$C$224,$C68,'TL06'!$J$10:$J$224),0),
IF('TL06'!$B$229=N$3,SUMIF('TL06'!$C$238:$C$451,$C68,'TL06'!$J$238:$J$451),0),
IF('TL07'!$B$3=N$3,SUMIF('TL07'!$C$10:$C$224,$C68,'TL07'!$J$10:$J$224),0),
IF('TL07'!$B$229=N$3,SUMIF('TL07'!$C$238:$C$451,$C68,'TL07'!$J$238:$J$451),0),
IF('TL08'!$B$3=N$3,SUMIF('TL08'!$C$10:$C$224,$C68,'TL08'!$J$10:$J$224),0),
IF('TL08'!$B$229=N$3,SUMIF('TL08'!$C$238:$C$451,$C68,'TL08'!$J$238:$J$451),0),
IF('TL09'!$B$3=N$3,SUMIF('TL09'!$C$10:$C$224,$C68,'TL09'!$J$10:$J$224),0),
IF('TL09'!$B$229=N$3,SUMIF('TL09'!$C$238:$C$451,$C68,'TL09'!$J$238:$J$451),0),
IF('TL10'!$B$3=N$3,SUMIF('TL10'!$C$10:$C$224,$C68,'TL10'!$J$10:$J$224),0),
IF('TL10'!$B$229=N$3,SUMIF('TL10'!$C$238:$C$451,$C68,'TL10'!$J$238:$J$451),0),
IF('TL11'!$B$3=N$3,SUMIF('TL11'!$C$10:$C$224,$C68,'TL11'!$J$10:$J$224),0),
IF('TL11'!$B$229=N$3,SUMIF('TL11'!$C$238:$C$451,$C68,'TL11'!$J$238:$J$451),0),
IF('TL12'!$B$3=N$3,SUMIF('TL12'!$C$10:$C$224,$C68,'TL12'!$J$10:$J$224),0),
IF('TL12'!$B$229=N$3,SUMIF('TL12'!$C$238:$C$451,$C68,'TL12'!$J$238:$J$451),0),
IF('TL13'!$B$3=N$3,SUMIF('TL13'!$C$10:$C$224,$C68,'TL13'!$J$10:$J$224),0),
IF('TL13'!$B$229=N$3,SUMIF('TL13'!$C$238:$C$451,$C68,'TL13'!$J$238:$J$451),0),
IF('TL14'!$B$3=N$3,SUMIF('TL14'!$C$10:$C$224,$C68,'TL14'!$J$10:$J$224),0),
IF('TL14'!$B$229=N$3,SUMIF('TL14'!$C$238:$C$451,$C68,'TL14'!$J$238:$J$451),0),
IF('TL15'!$B$3=N$3,SUMIF('TL15'!$C$10:$C$224,$C68,'TL15'!$J$10:$J$224),0),
IF('TL15'!$B$229=N$3,SUMIF('TL15'!$C$238:$C$451,$C68,'TL15'!$J$238:$J$451),0),
IF('TL16'!$B$3=N$3,SUMIF('TL16'!$C$10:$C$224,$C68,'TL16'!$J$10:$J$224),0),
IF('TL16'!$B$229=N$3,SUMIF('TL16'!$C$238:$C$451,$C68,'TL16'!$J$238:$J$451),0),
IF('TL17'!$B$3=N$3,SUMIF('TL17'!$C$10:$C$224,$C68,'TL17'!$J$10:$J$224),0),
IF('TL17'!$B$229=N$3,SUMIF('TL17'!$C$238:$C$451,$C68,'TL17'!$J$238:$J$451),0),
IF('TL18'!$B$3=N$3,SUMIF('TL18'!$C$10:$C$224,$C68,'TL18'!$J$10:$J$224),0),
IF('TL18'!$B$229=N$3,SUMIF('TL18'!$C$238:$C$451,$C68,'TL18'!$J$238:$J$451),0),
IF('TL19'!$B$3=N$3,SUMIF('TL19'!$C$10:$C$224,$C68,'TL19'!$J$10:$J$224),0),
IF('TL19'!$B$229=N$3,SUMIF('TL19'!$C$238:$C$451,$C68,'TL19'!$J$238:$J$451),0)
),0)</f>
        <v/>
      </c>
      <c r="O68" s="9">
        <f>IFERROR(SUM(
IF('TL01'!$B$3=O$3,SUMIF('TL01'!$C$10:$C$224,$C68,'TL01'!$J$10:$J$224),0),
IF('TL01'!$B$229=O$3,SUMIF('TL01'!$C$238:$C$451,$C68,'TL01'!$J$238:$J$451),0),
IF('TL02'!$B$3=O$3,SUMIF('TL02'!$C$10:$C$224,$C68,'TL02'!$J$10:$J$224),0),
IF('TL02'!$B$229=O$3,SUMIF('TL02'!$C$238:$C$451,$C68,'TL02'!$J$238:$J$451),0),
IF('TL03'!$B$3=O$3,SUMIF('TL03'!$C$10:$C$224,$C68,'TL03'!$J$10:$J$224),0),
IF('TL03'!$B$229=O$3,SUMIF('TL03'!$C$238:$C$451,$C68,'TL03'!$J$238:$J$451),0),
IF('TL04'!$B$3=O$3,SUMIF('TL04'!$C$10:$C$224,$C68,'TL04'!$J$10:$J$224),0),
IF('TL04'!$B$229=O$3,SUMIF('TL04'!$C$238:$C$451,$C68,'TL04'!$J$238:$J$451),0),
IF('TL05'!$B$3=O$3,SUMIF('TL05'!$C$10:$C$224,$C68,'TL05'!$J$10:$J$224),0),
IF('TL05'!$B$229=O$3,SUMIF('TL05'!$C$238:$C$451,$C68,'TL05'!$J$238:$J$451),0),
IF('TL06'!$B$3=O$3,SUMIF('TL06'!$C$10:$C$224,$C68,'TL06'!$J$10:$J$224),0),
IF('TL06'!$B$229=O$3,SUMIF('TL06'!$C$238:$C$451,$C68,'TL06'!$J$238:$J$451),0),
IF('TL07'!$B$3=O$3,SUMIF('TL07'!$C$10:$C$224,$C68,'TL07'!$J$10:$J$224),0),
IF('TL07'!$B$229=O$3,SUMIF('TL07'!$C$238:$C$451,$C68,'TL07'!$J$238:$J$451),0),
IF('TL08'!$B$3=O$3,SUMIF('TL08'!$C$10:$C$224,$C68,'TL08'!$J$10:$J$224),0),
IF('TL08'!$B$229=O$3,SUMIF('TL08'!$C$238:$C$451,$C68,'TL08'!$J$238:$J$451),0),
IF('TL09'!$B$3=O$3,SUMIF('TL09'!$C$10:$C$224,$C68,'TL09'!$J$10:$J$224),0),
IF('TL09'!$B$229=O$3,SUMIF('TL09'!$C$238:$C$451,$C68,'TL09'!$J$238:$J$451),0),
IF('TL10'!$B$3=O$3,SUMIF('TL10'!$C$10:$C$224,$C68,'TL10'!$J$10:$J$224),0),
IF('TL10'!$B$229=O$3,SUMIF('TL10'!$C$238:$C$451,$C68,'TL10'!$J$238:$J$451),0),
IF('TL11'!$B$3=O$3,SUMIF('TL11'!$C$10:$C$224,$C68,'TL11'!$J$10:$J$224),0),
IF('TL11'!$B$229=O$3,SUMIF('TL11'!$C$238:$C$451,$C68,'TL11'!$J$238:$J$451),0),
IF('TL12'!$B$3=O$3,SUMIF('TL12'!$C$10:$C$224,$C68,'TL12'!$J$10:$J$224),0),
IF('TL12'!$B$229=O$3,SUMIF('TL12'!$C$238:$C$451,$C68,'TL12'!$J$238:$J$451),0),
IF('TL13'!$B$3=O$3,SUMIF('TL13'!$C$10:$C$224,$C68,'TL13'!$J$10:$J$224),0),
IF('TL13'!$B$229=O$3,SUMIF('TL13'!$C$238:$C$451,$C68,'TL13'!$J$238:$J$451),0),
IF('TL14'!$B$3=O$3,SUMIF('TL14'!$C$10:$C$224,$C68,'TL14'!$J$10:$J$224),0),
IF('TL14'!$B$229=O$3,SUMIF('TL14'!$C$238:$C$451,$C68,'TL14'!$J$238:$J$451),0),
IF('TL15'!$B$3=O$3,SUMIF('TL15'!$C$10:$C$224,$C68,'TL15'!$J$10:$J$224),0),
IF('TL15'!$B$229=O$3,SUMIF('TL15'!$C$238:$C$451,$C68,'TL15'!$J$238:$J$451),0),
IF('TL16'!$B$3=O$3,SUMIF('TL16'!$C$10:$C$224,$C68,'TL16'!$J$10:$J$224),0),
IF('TL16'!$B$229=O$3,SUMIF('TL16'!$C$238:$C$451,$C68,'TL16'!$J$238:$J$451),0),
IF('TL17'!$B$3=O$3,SUMIF('TL17'!$C$10:$C$224,$C68,'TL17'!$J$10:$J$224),0),
IF('TL17'!$B$229=O$3,SUMIF('TL17'!$C$238:$C$451,$C68,'TL17'!$J$238:$J$451),0),
IF('TL18'!$B$3=O$3,SUMIF('TL18'!$C$10:$C$224,$C68,'TL18'!$J$10:$J$224),0),
IF('TL18'!$B$229=O$3,SUMIF('TL18'!$C$238:$C$451,$C68,'TL18'!$J$238:$J$451),0),
IF('TL19'!$B$3=O$3,SUMIF('TL19'!$C$10:$C$224,$C68,'TL19'!$J$10:$J$224),0),
IF('TL19'!$B$229=O$3,SUMIF('TL19'!$C$238:$C$451,$C68,'TL19'!$J$238:$J$451),0)
),0)</f>
        <v/>
      </c>
      <c r="P68" s="9">
        <f>IFERROR(SUM(
IF('TL01'!$B$3=P$3,SUMIF('TL01'!$C$10:$C$224,$C68,'TL01'!$J$10:$J$224),0),
IF('TL01'!$B$229=P$3,SUMIF('TL01'!$C$238:$C$451,$C68,'TL01'!$J$238:$J$451),0),
IF('TL02'!$B$3=P$3,SUMIF('TL02'!$C$10:$C$224,$C68,'TL02'!$J$10:$J$224),0),
IF('TL02'!$B$229=P$3,SUMIF('TL02'!$C$238:$C$451,$C68,'TL02'!$J$238:$J$451),0),
IF('TL03'!$B$3=P$3,SUMIF('TL03'!$C$10:$C$224,$C68,'TL03'!$J$10:$J$224),0),
IF('TL03'!$B$229=P$3,SUMIF('TL03'!$C$238:$C$451,$C68,'TL03'!$J$238:$J$451),0),
IF('TL04'!$B$3=P$3,SUMIF('TL04'!$C$10:$C$224,$C68,'TL04'!$J$10:$J$224),0),
IF('TL04'!$B$229=P$3,SUMIF('TL04'!$C$238:$C$451,$C68,'TL04'!$J$238:$J$451),0),
IF('TL05'!$B$3=P$3,SUMIF('TL05'!$C$10:$C$224,$C68,'TL05'!$J$10:$J$224),0),
IF('TL05'!$B$229=P$3,SUMIF('TL05'!$C$238:$C$451,$C68,'TL05'!$J$238:$J$451),0),
IF('TL06'!$B$3=P$3,SUMIF('TL06'!$C$10:$C$224,$C68,'TL06'!$J$10:$J$224),0),
IF('TL06'!$B$229=P$3,SUMIF('TL06'!$C$238:$C$451,$C68,'TL06'!$J$238:$J$451),0),
IF('TL07'!$B$3=P$3,SUMIF('TL07'!$C$10:$C$224,$C68,'TL07'!$J$10:$J$224),0),
IF('TL07'!$B$229=P$3,SUMIF('TL07'!$C$238:$C$451,$C68,'TL07'!$J$238:$J$451),0),
IF('TL08'!$B$3=P$3,SUMIF('TL08'!$C$10:$C$224,$C68,'TL08'!$J$10:$J$224),0),
IF('TL08'!$B$229=P$3,SUMIF('TL08'!$C$238:$C$451,$C68,'TL08'!$J$238:$J$451),0),
IF('TL09'!$B$3=P$3,SUMIF('TL09'!$C$10:$C$224,$C68,'TL09'!$J$10:$J$224),0),
IF('TL09'!$B$229=P$3,SUMIF('TL09'!$C$238:$C$451,$C68,'TL09'!$J$238:$J$451),0),
IF('TL10'!$B$3=P$3,SUMIF('TL10'!$C$10:$C$224,$C68,'TL10'!$J$10:$J$224),0),
IF('TL10'!$B$229=P$3,SUMIF('TL10'!$C$238:$C$451,$C68,'TL10'!$J$238:$J$451),0),
IF('TL11'!$B$3=P$3,SUMIF('TL11'!$C$10:$C$224,$C68,'TL11'!$J$10:$J$224),0),
IF('TL11'!$B$229=P$3,SUMIF('TL11'!$C$238:$C$451,$C68,'TL11'!$J$238:$J$451),0),
IF('TL12'!$B$3=P$3,SUMIF('TL12'!$C$10:$C$224,$C68,'TL12'!$J$10:$J$224),0),
IF('TL12'!$B$229=P$3,SUMIF('TL12'!$C$238:$C$451,$C68,'TL12'!$J$238:$J$451),0),
IF('TL13'!$B$3=P$3,SUMIF('TL13'!$C$10:$C$224,$C68,'TL13'!$J$10:$J$224),0),
IF('TL13'!$B$229=P$3,SUMIF('TL13'!$C$238:$C$451,$C68,'TL13'!$J$238:$J$451),0),
IF('TL14'!$B$3=P$3,SUMIF('TL14'!$C$10:$C$224,$C68,'TL14'!$J$10:$J$224),0),
IF('TL14'!$B$229=P$3,SUMIF('TL14'!$C$238:$C$451,$C68,'TL14'!$J$238:$J$451),0),
IF('TL15'!$B$3=P$3,SUMIF('TL15'!$C$10:$C$224,$C68,'TL15'!$J$10:$J$224),0),
IF('TL15'!$B$229=P$3,SUMIF('TL15'!$C$238:$C$451,$C68,'TL15'!$J$238:$J$451),0),
IF('TL16'!$B$3=P$3,SUMIF('TL16'!$C$10:$C$224,$C68,'TL16'!$J$10:$J$224),0),
IF('TL16'!$B$229=P$3,SUMIF('TL16'!$C$238:$C$451,$C68,'TL16'!$J$238:$J$451),0),
IF('TL17'!$B$3=P$3,SUMIF('TL17'!$C$10:$C$224,$C68,'TL17'!$J$10:$J$224),0),
IF('TL17'!$B$229=P$3,SUMIF('TL17'!$C$238:$C$451,$C68,'TL17'!$J$238:$J$451),0),
IF('TL18'!$B$3=P$3,SUMIF('TL18'!$C$10:$C$224,$C68,'TL18'!$J$10:$J$224),0),
IF('TL18'!$B$229=P$3,SUMIF('TL18'!$C$238:$C$451,$C68,'TL18'!$J$238:$J$451),0),
IF('TL19'!$B$3=P$3,SUMIF('TL19'!$C$10:$C$224,$C68,'TL19'!$J$10:$J$224),0),
IF('TL19'!$B$229=P$3,SUMIF('TL19'!$C$238:$C$451,$C68,'TL19'!$J$238:$J$451),0)
),0)</f>
        <v/>
      </c>
      <c r="Q68" s="9">
        <f>IFERROR(SUM(
IF('TL01'!$B$3=Q$3,SUMIF('TL01'!$C$10:$C$224,$C68,'TL01'!$J$10:$J$224),0),
IF('TL01'!$B$229=Q$3,SUMIF('TL01'!$C$238:$C$451,$C68,'TL01'!$J$238:$J$451),0),
IF('TL02'!$B$3=Q$3,SUMIF('TL02'!$C$10:$C$224,$C68,'TL02'!$J$10:$J$224),0),
IF('TL02'!$B$229=Q$3,SUMIF('TL02'!$C$238:$C$451,$C68,'TL02'!$J$238:$J$451),0),
IF('TL03'!$B$3=Q$3,SUMIF('TL03'!$C$10:$C$224,$C68,'TL03'!$J$10:$J$224),0),
IF('TL03'!$B$229=Q$3,SUMIF('TL03'!$C$238:$C$451,$C68,'TL03'!$J$238:$J$451),0),
IF('TL04'!$B$3=Q$3,SUMIF('TL04'!$C$10:$C$224,$C68,'TL04'!$J$10:$J$224),0),
IF('TL04'!$B$229=Q$3,SUMIF('TL04'!$C$238:$C$451,$C68,'TL04'!$J$238:$J$451),0),
IF('TL05'!$B$3=Q$3,SUMIF('TL05'!$C$10:$C$224,$C68,'TL05'!$J$10:$J$224),0),
IF('TL05'!$B$229=Q$3,SUMIF('TL05'!$C$238:$C$451,$C68,'TL05'!$J$238:$J$451),0),
IF('TL06'!$B$3=Q$3,SUMIF('TL06'!$C$10:$C$224,$C68,'TL06'!$J$10:$J$224),0),
IF('TL06'!$B$229=Q$3,SUMIF('TL06'!$C$238:$C$451,$C68,'TL06'!$J$238:$J$451),0),
IF('TL07'!$B$3=Q$3,SUMIF('TL07'!$C$10:$C$224,$C68,'TL07'!$J$10:$J$224),0),
IF('TL07'!$B$229=Q$3,SUMIF('TL07'!$C$238:$C$451,$C68,'TL07'!$J$238:$J$451),0),
IF('TL08'!$B$3=Q$3,SUMIF('TL08'!$C$10:$C$224,$C68,'TL08'!$J$10:$J$224),0),
IF('TL08'!$B$229=Q$3,SUMIF('TL08'!$C$238:$C$451,$C68,'TL08'!$J$238:$J$451),0),
IF('TL09'!$B$3=Q$3,SUMIF('TL09'!$C$10:$C$224,$C68,'TL09'!$J$10:$J$224),0),
IF('TL09'!$B$229=Q$3,SUMIF('TL09'!$C$238:$C$451,$C68,'TL09'!$J$238:$J$451),0),
IF('TL10'!$B$3=Q$3,SUMIF('TL10'!$C$10:$C$224,$C68,'TL10'!$J$10:$J$224),0),
IF('TL10'!$B$229=Q$3,SUMIF('TL10'!$C$238:$C$451,$C68,'TL10'!$J$238:$J$451),0),
IF('TL11'!$B$3=Q$3,SUMIF('TL11'!$C$10:$C$224,$C68,'TL11'!$J$10:$J$224),0),
IF('TL11'!$B$229=Q$3,SUMIF('TL11'!$C$238:$C$451,$C68,'TL11'!$J$238:$J$451),0),
IF('TL12'!$B$3=Q$3,SUMIF('TL12'!$C$10:$C$224,$C68,'TL12'!$J$10:$J$224),0),
IF('TL12'!$B$229=Q$3,SUMIF('TL12'!$C$238:$C$451,$C68,'TL12'!$J$238:$J$451),0),
IF('TL13'!$B$3=Q$3,SUMIF('TL13'!$C$10:$C$224,$C68,'TL13'!$J$10:$J$224),0),
IF('TL13'!$B$229=Q$3,SUMIF('TL13'!$C$238:$C$451,$C68,'TL13'!$J$238:$J$451),0),
IF('TL14'!$B$3=Q$3,SUMIF('TL14'!$C$10:$C$224,$C68,'TL14'!$J$10:$J$224),0),
IF('TL14'!$B$229=Q$3,SUMIF('TL14'!$C$238:$C$451,$C68,'TL14'!$J$238:$J$451),0),
IF('TL15'!$B$3=Q$3,SUMIF('TL15'!$C$10:$C$224,$C68,'TL15'!$J$10:$J$224),0),
IF('TL15'!$B$229=Q$3,SUMIF('TL15'!$C$238:$C$451,$C68,'TL15'!$J$238:$J$451),0),
IF('TL16'!$B$3=Q$3,SUMIF('TL16'!$C$10:$C$224,$C68,'TL16'!$J$10:$J$224),0),
IF('TL16'!$B$229=Q$3,SUMIF('TL16'!$C$238:$C$451,$C68,'TL16'!$J$238:$J$451),0),
IF('TL17'!$B$3=Q$3,SUMIF('TL17'!$C$10:$C$224,$C68,'TL17'!$J$10:$J$224),0),
IF('TL17'!$B$229=Q$3,SUMIF('TL17'!$C$238:$C$451,$C68,'TL17'!$J$238:$J$451),0),
IF('TL18'!$B$3=Q$3,SUMIF('TL18'!$C$10:$C$224,$C68,'TL18'!$J$10:$J$224),0),
IF('TL18'!$B$229=Q$3,SUMIF('TL18'!$C$238:$C$451,$C68,'TL18'!$J$238:$J$451),0),
IF('TL19'!$B$3=Q$3,SUMIF('TL19'!$C$10:$C$224,$C68,'TL19'!$J$10:$J$224),0),
IF('TL19'!$B$229=Q$3,SUMIF('TL19'!$C$238:$C$451,$C68,'TL19'!$J$238:$J$451),0)
),0)</f>
        <v/>
      </c>
      <c r="R68" s="9">
        <f>IFERROR(
SUM(
SUMIF('TL01'!C:C,C68,'TL01'!J:J),
SUMIF('TL02'!C:C,C68,'TL02'!J:J),
SUMIF('TL03'!C:C,C68,'TL03'!J:J),
SUMIF('TL04'!C:C,C68,'TL04'!J:J),
SUMIF('TL05'!C:C,C68,'TL05'!J:J),
SUMIF('TL06'!C:C,C68,'TL06'!J:J),
SUMIF('TL07'!C:C,C68,'TL07'!J:J),
SUMIF('TL08'!C:C,C68,'TL08'!J:J),
SUMIF('TL09'!C:C,C68,'TL09'!J:J),
SUMIF('TL10'!C:C,C68,'TL10'!J:J),
SUMIF('TL11'!C:C,C68,'TL11'!J:J),
SUMIF('TL12'!C:C,C68,'TL12'!J:J),
SUMIF('TL13'!C:C,C68,'TL13'!J:J),
SUMIF('TL14'!C:C,C68,'TL14'!J:J),
SUMIF('TL15'!C:C,C68,'TL15'!J:J),
SUMIF('TL16'!C:C,C68,'TL16'!J:J),
SUMIF('TL17'!C:C,C68,'TL17'!J:J),
SUMIF('TL18'!C:C,C68,'TL18'!J:J),SUMIF('TL19'!C:C,C68,'TL19'!J:J))
,0)</f>
        <v/>
      </c>
      <c r="S68" s="17">
        <f>IFERROR(__xludf.DUMMYFUNCTION("IFERROR(VLOOKUP(C68,
IMPORTRANGE(""1wULbzX32WdYsx-lj2U3uUNBBe2INVIRDtcK0d-Dvl90"",
""26-27!C:G""),
5,
FALSE),
"""")"),229.57056000000003)</f>
        <v/>
      </c>
      <c r="T68" s="9" t="n"/>
      <c r="U68" s="92">
        <f>MAX(0,R68-T68)</f>
        <v/>
      </c>
      <c r="V68" s="93">
        <f>U68*S68</f>
        <v/>
      </c>
    </row>
    <row r="69" hidden="1" ht="15.75" customHeight="1" s="297">
      <c r="A69" s="111" t="inlineStr">
        <is>
          <t>NORTOX</t>
        </is>
      </c>
      <c r="B69" s="112" t="inlineStr">
        <is>
          <t>FUNGICIDA</t>
        </is>
      </c>
      <c r="C69" s="113" t="inlineStr">
        <is>
          <t>BOSCALID NORTOX 500 WG</t>
        </is>
      </c>
      <c r="D69" s="113" t="inlineStr">
        <is>
          <t>BOSCALIDA</t>
        </is>
      </c>
      <c r="E69" s="113" t="n">
        <v>500</v>
      </c>
      <c r="F69" s="4" t="inlineStr">
        <is>
          <t>L</t>
        </is>
      </c>
      <c r="G69" s="90">
        <f>HYPERLINK("https://www.google.com/search?q=" &amp; C69 &amp; "+bula+agrofit+pdf", "📄 Ver bula")</f>
        <v/>
      </c>
      <c r="H69" s="9">
        <f>IFERROR(__xludf.DUMMYFUNCTION("IFERROR(VLOOKUP(C69,
IMPORTRANGE(""1wULbzX32WdYsx-lj2U3uUNBBe2INVIRDtcK0d-Dvl90"",
""26-27!C:K""),
8,
FALSE),
"""")"),1.0)</f>
        <v/>
      </c>
      <c r="I69" s="114" t="inlineStr">
        <is>
          <t>16X1</t>
        </is>
      </c>
      <c r="J69" s="9">
        <f>IFERROR(SUM(
IF('TL01'!$B$3=J$3,SUMIF('TL01'!$C$10:$C$224,$C69,'TL01'!$J$10:$J$224),0),
IF('TL01'!$B$229=J$3,SUMIF('TL01'!$C$238:$C$451,$C69,'TL01'!$J$238:$J$451),0),
IF('TL02'!$B$3=J$3,SUMIF('TL02'!$C$10:$C$224,$C69,'TL02'!$J$10:$J$224),0),
IF('TL02'!$B$229=J$3,SUMIF('TL02'!$C$238:$C$451,$C69,'TL02'!$J$238:$J$451),0),
IF('TL03'!$B$3=J$3,SUMIF('TL03'!$C$10:$C$224,$C69,'TL03'!$J$10:$J$224),0),
IF('TL03'!$B$229=J$3,SUMIF('TL03'!$C$238:$C$451,$C69,'TL03'!$J$238:$J$451),0),
IF('TL04'!$B$3=J$3,SUMIF('TL04'!$C$10:$C$224,$C69,'TL04'!$J$10:$J$224),0),
IF('TL04'!$B$229=J$3,SUMIF('TL04'!$C$238:$C$451,$C69,'TL04'!$J$238:$J$451),0),
IF('TL05'!$B$3=J$3,SUMIF('TL05'!$C$10:$C$224,$C69,'TL05'!$J$10:$J$224),0),
IF('TL05'!$B$229=J$3,SUMIF('TL05'!$C$238:$C$451,$C69,'TL05'!$J$238:$J$451),0),
IF('TL06'!$B$3=J$3,SUMIF('TL06'!$C$10:$C$224,$C69,'TL06'!$J$10:$J$224),0),
IF('TL06'!$B$229=J$3,SUMIF('TL06'!$C$238:$C$451,$C69,'TL06'!$J$238:$J$451),0),
IF('TL07'!$B$3=J$3,SUMIF('TL07'!$C$10:$C$224,$C69,'TL07'!$J$10:$J$224),0),
IF('TL07'!$B$229=J$3,SUMIF('TL07'!$C$238:$C$451,$C69,'TL07'!$J$238:$J$451),0),
IF('TL08'!$B$3=J$3,SUMIF('TL08'!$C$10:$C$224,$C69,'TL08'!$J$10:$J$224),0),
IF('TL08'!$B$229=J$3,SUMIF('TL08'!$C$238:$C$451,$C69,'TL08'!$J$238:$J$451),0),
IF('TL09'!$B$3=J$3,SUMIF('TL09'!$C$10:$C$224,$C69,'TL09'!$J$10:$J$224),0),
IF('TL09'!$B$229=J$3,SUMIF('TL09'!$C$238:$C$451,$C69,'TL09'!$J$238:$J$451),0),
IF('TL10'!$B$3=J$3,SUMIF('TL10'!$C$10:$C$224,$C69,'TL10'!$J$10:$J$224),0),
IF('TL10'!$B$229=J$3,SUMIF('TL10'!$C$238:$C$451,$C69,'TL10'!$J$238:$J$451),0),
IF('TL11'!$B$3=J$3,SUMIF('TL11'!$C$10:$C$224,$C69,'TL11'!$J$10:$J$224),0),
IF('TL11'!$B$229=J$3,SUMIF('TL11'!$C$238:$C$451,$C69,'TL11'!$J$238:$J$451),0),
IF('TL12'!$B$3=J$3,SUMIF('TL12'!$C$10:$C$224,$C69,'TL12'!$J$10:$J$224),0),
IF('TL12'!$B$229=J$3,SUMIF('TL12'!$C$238:$C$451,$C69,'TL12'!$J$238:$J$451),0),
IF('TL13'!$B$3=J$3,SUMIF('TL13'!$C$10:$C$224,$C69,'TL13'!$J$10:$J$224),0),
IF('TL13'!$B$229=J$3,SUMIF('TL13'!$C$238:$C$451,$C69,'TL13'!$J$238:$J$451),0),
IF('TL14'!$B$3=J$3,SUMIF('TL14'!$C$10:$C$224,$C69,'TL14'!$J$10:$J$224),0),
IF('TL14'!$B$229=J$3,SUMIF('TL14'!$C$238:$C$451,$C69,'TL14'!$J$238:$J$451),0),
IF('TL15'!$B$3=J$3,SUMIF('TL15'!$C$10:$C$224,$C69,'TL15'!$J$10:$J$224),0),
IF('TL15'!$B$229=J$3,SUMIF('TL15'!$C$238:$C$451,$C69,'TL15'!$J$238:$J$451),0),
IF('TL16'!$B$3=J$3,SUMIF('TL16'!$C$10:$C$224,$C69,'TL16'!$J$10:$J$224),0),
IF('TL16'!$B$229=J$3,SUMIF('TL16'!$C$238:$C$451,$C69,'TL16'!$J$238:$J$451),0),
IF('TL17'!$B$3=J$3,SUMIF('TL17'!$C$10:$C$224,$C69,'TL17'!$J$10:$J$224),0),
IF('TL17'!$B$229=J$3,SUMIF('TL17'!$C$238:$C$451,$C69,'TL17'!$J$238:$J$451),0),
IF('TL18'!$B$3=J$3,SUMIF('TL18'!$C$10:$C$224,$C69,'TL18'!$J$10:$J$224),0),
IF('TL18'!$B$229=J$3,SUMIF('TL18'!$C$238:$C$451,$C69,'TL18'!$J$238:$J$451),0),
IF('TL19'!$B$3=J$3,SUMIF('TL19'!$C$10:$C$224,$C69,'TL19'!$J$10:$J$224),0),
IF('TL19'!$B$229=J$3,SUMIF('TL19'!$C$238:$C$451,$C69,'TL19'!$J$238:$J$451),0)
),0)</f>
        <v/>
      </c>
      <c r="K69" s="9">
        <f>IFERROR(SUM(
IF('TL01'!$B$3=K$3,SUMIF('TL01'!$C$10:$C$224,$C69,'TL01'!$J$10:$J$224),0),
IF('TL01'!$B$229=K$3,SUMIF('TL01'!$C$238:$C$451,$C69,'TL01'!$J$238:$J$451),0),
IF('TL02'!$B$3=K$3,SUMIF('TL02'!$C$10:$C$224,$C69,'TL02'!$J$10:$J$224),0),
IF('TL02'!$B$229=K$3,SUMIF('TL02'!$C$238:$C$451,$C69,'TL02'!$J$238:$J$451),0),
IF('TL03'!$B$3=K$3,SUMIF('TL03'!$C$10:$C$224,$C69,'TL03'!$J$10:$J$224),0),
IF('TL03'!$B$229=K$3,SUMIF('TL03'!$C$238:$C$451,$C69,'TL03'!$J$238:$J$451),0),
IF('TL04'!$B$3=K$3,SUMIF('TL04'!$C$10:$C$224,$C69,'TL04'!$J$10:$J$224),0),
IF('TL04'!$B$229=K$3,SUMIF('TL04'!$C$238:$C$451,$C69,'TL04'!$J$238:$J$451),0),
IF('TL05'!$B$3=K$3,SUMIF('TL05'!$C$10:$C$224,$C69,'TL05'!$J$10:$J$224),0),
IF('TL05'!$B$229=K$3,SUMIF('TL05'!$C$238:$C$451,$C69,'TL05'!$J$238:$J$451),0),
IF('TL06'!$B$3=K$3,SUMIF('TL06'!$C$10:$C$224,$C69,'TL06'!$J$10:$J$224),0),
IF('TL06'!$B$229=K$3,SUMIF('TL06'!$C$238:$C$451,$C69,'TL06'!$J$238:$J$451),0),
IF('TL07'!$B$3=K$3,SUMIF('TL07'!$C$10:$C$224,$C69,'TL07'!$J$10:$J$224),0),
IF('TL07'!$B$229=K$3,SUMIF('TL07'!$C$238:$C$451,$C69,'TL07'!$J$238:$J$451),0),
IF('TL08'!$B$3=K$3,SUMIF('TL08'!$C$10:$C$224,$C69,'TL08'!$J$10:$J$224),0),
IF('TL08'!$B$229=K$3,SUMIF('TL08'!$C$238:$C$451,$C69,'TL08'!$J$238:$J$451),0),
IF('TL09'!$B$3=K$3,SUMIF('TL09'!$C$10:$C$224,$C69,'TL09'!$J$10:$J$224),0),
IF('TL09'!$B$229=K$3,SUMIF('TL09'!$C$238:$C$451,$C69,'TL09'!$J$238:$J$451),0),
IF('TL10'!$B$3=K$3,SUMIF('TL10'!$C$10:$C$224,$C69,'TL10'!$J$10:$J$224),0),
IF('TL10'!$B$229=K$3,SUMIF('TL10'!$C$238:$C$451,$C69,'TL10'!$J$238:$J$451),0),
IF('TL11'!$B$3=K$3,SUMIF('TL11'!$C$10:$C$224,$C69,'TL11'!$J$10:$J$224),0),
IF('TL11'!$B$229=K$3,SUMIF('TL11'!$C$238:$C$451,$C69,'TL11'!$J$238:$J$451),0),
IF('TL12'!$B$3=K$3,SUMIF('TL12'!$C$10:$C$224,$C69,'TL12'!$J$10:$J$224),0),
IF('TL12'!$B$229=K$3,SUMIF('TL12'!$C$238:$C$451,$C69,'TL12'!$J$238:$J$451),0),
IF('TL13'!$B$3=K$3,SUMIF('TL13'!$C$10:$C$224,$C69,'TL13'!$J$10:$J$224),0),
IF('TL13'!$B$229=K$3,SUMIF('TL13'!$C$238:$C$451,$C69,'TL13'!$J$238:$J$451),0),
IF('TL14'!$B$3=K$3,SUMIF('TL14'!$C$10:$C$224,$C69,'TL14'!$J$10:$J$224),0),
IF('TL14'!$B$229=K$3,SUMIF('TL14'!$C$238:$C$451,$C69,'TL14'!$J$238:$J$451),0),
IF('TL15'!$B$3=K$3,SUMIF('TL15'!$C$10:$C$224,$C69,'TL15'!$J$10:$J$224),0),
IF('TL15'!$B$229=K$3,SUMIF('TL15'!$C$238:$C$451,$C69,'TL15'!$J$238:$J$451),0),
IF('TL16'!$B$3=K$3,SUMIF('TL16'!$C$10:$C$224,$C69,'TL16'!$J$10:$J$224),0),
IF('TL16'!$B$229=K$3,SUMIF('TL16'!$C$238:$C$451,$C69,'TL16'!$J$238:$J$451),0),
IF('TL17'!$B$3=K$3,SUMIF('TL17'!$C$10:$C$224,$C69,'TL17'!$J$10:$J$224),0),
IF('TL17'!$B$229=K$3,SUMIF('TL17'!$C$238:$C$451,$C69,'TL17'!$J$238:$J$451),0),
IF('TL18'!$B$3=K$3,SUMIF('TL18'!$C$10:$C$224,$C69,'TL18'!$J$10:$J$224),0),
IF('TL18'!$B$229=K$3,SUMIF('TL18'!$C$238:$C$451,$C69,'TL18'!$J$238:$J$451),0),
IF('TL19'!$B$3=K$3,SUMIF('TL19'!$C$10:$C$224,$C69,'TL19'!$J$10:$J$224),0),
IF('TL19'!$B$229=K$3,SUMIF('TL19'!$C$238:$C$451,$C69,'TL19'!$J$238:$J$451),0)
),0)</f>
        <v/>
      </c>
      <c r="L69" s="9">
        <f>IFERROR(SUM(
IF('TL01'!$B$3=L$3,SUMIF('TL01'!$C$10:$C$224,$C69,'TL01'!$J$10:$J$224),0),
IF('TL01'!$B$229=L$3,SUMIF('TL01'!$C$238:$C$451,$C69,'TL01'!$J$238:$J$451),0),
IF('TL02'!$B$3=L$3,SUMIF('TL02'!$C$10:$C$224,$C69,'TL02'!$J$10:$J$224),0),
IF('TL02'!$B$229=L$3,SUMIF('TL02'!$C$238:$C$451,$C69,'TL02'!$J$238:$J$451),0),
IF('TL03'!$B$3=L$3,SUMIF('TL03'!$C$10:$C$224,$C69,'TL03'!$J$10:$J$224),0),
IF('TL03'!$B$229=L$3,SUMIF('TL03'!$C$238:$C$451,$C69,'TL03'!$J$238:$J$451),0),
IF('TL04'!$B$3=L$3,SUMIF('TL04'!$C$10:$C$224,$C69,'TL04'!$J$10:$J$224),0),
IF('TL04'!$B$229=L$3,SUMIF('TL04'!$C$238:$C$451,$C69,'TL04'!$J$238:$J$451),0),
IF('TL05'!$B$3=L$3,SUMIF('TL05'!$C$10:$C$224,$C69,'TL05'!$J$10:$J$224),0),
IF('TL05'!$B$229=L$3,SUMIF('TL05'!$C$238:$C$451,$C69,'TL05'!$J$238:$J$451),0),
IF('TL06'!$B$3=L$3,SUMIF('TL06'!$C$10:$C$224,$C69,'TL06'!$J$10:$J$224),0),
IF('TL06'!$B$229=L$3,SUMIF('TL06'!$C$238:$C$451,$C69,'TL06'!$J$238:$J$451),0),
IF('TL07'!$B$3=L$3,SUMIF('TL07'!$C$10:$C$224,$C69,'TL07'!$J$10:$J$224),0),
IF('TL07'!$B$229=L$3,SUMIF('TL07'!$C$238:$C$451,$C69,'TL07'!$J$238:$J$451),0),
IF('TL08'!$B$3=L$3,SUMIF('TL08'!$C$10:$C$224,$C69,'TL08'!$J$10:$J$224),0),
IF('TL08'!$B$229=L$3,SUMIF('TL08'!$C$238:$C$451,$C69,'TL08'!$J$238:$J$451),0),
IF('TL09'!$B$3=L$3,SUMIF('TL09'!$C$10:$C$224,$C69,'TL09'!$J$10:$J$224),0),
IF('TL09'!$B$229=L$3,SUMIF('TL09'!$C$238:$C$451,$C69,'TL09'!$J$238:$J$451),0),
IF('TL10'!$B$3=L$3,SUMIF('TL10'!$C$10:$C$224,$C69,'TL10'!$J$10:$J$224),0),
IF('TL10'!$B$229=L$3,SUMIF('TL10'!$C$238:$C$451,$C69,'TL10'!$J$238:$J$451),0),
IF('TL11'!$B$3=L$3,SUMIF('TL11'!$C$10:$C$224,$C69,'TL11'!$J$10:$J$224),0),
IF('TL11'!$B$229=L$3,SUMIF('TL11'!$C$238:$C$451,$C69,'TL11'!$J$238:$J$451),0),
IF('TL12'!$B$3=L$3,SUMIF('TL12'!$C$10:$C$224,$C69,'TL12'!$J$10:$J$224),0),
IF('TL12'!$B$229=L$3,SUMIF('TL12'!$C$238:$C$451,$C69,'TL12'!$J$238:$J$451),0),
IF('TL13'!$B$3=L$3,SUMIF('TL13'!$C$10:$C$224,$C69,'TL13'!$J$10:$J$224),0),
IF('TL13'!$B$229=L$3,SUMIF('TL13'!$C$238:$C$451,$C69,'TL13'!$J$238:$J$451),0),
IF('TL14'!$B$3=L$3,SUMIF('TL14'!$C$10:$C$224,$C69,'TL14'!$J$10:$J$224),0),
IF('TL14'!$B$229=L$3,SUMIF('TL14'!$C$238:$C$451,$C69,'TL14'!$J$238:$J$451),0),
IF('TL15'!$B$3=L$3,SUMIF('TL15'!$C$10:$C$224,$C69,'TL15'!$J$10:$J$224),0),
IF('TL15'!$B$229=L$3,SUMIF('TL15'!$C$238:$C$451,$C69,'TL15'!$J$238:$J$451),0),
IF('TL16'!$B$3=L$3,SUMIF('TL16'!$C$10:$C$224,$C69,'TL16'!$J$10:$J$224),0),
IF('TL16'!$B$229=L$3,SUMIF('TL16'!$C$238:$C$451,$C69,'TL16'!$J$238:$J$451),0),
IF('TL17'!$B$3=L$3,SUMIF('TL17'!$C$10:$C$224,$C69,'TL17'!$J$10:$J$224),0),
IF('TL17'!$B$229=L$3,SUMIF('TL17'!$C$238:$C$451,$C69,'TL17'!$J$238:$J$451),0),
IF('TL18'!$B$3=L$3,SUMIF('TL18'!$C$10:$C$224,$C69,'TL18'!$J$10:$J$224),0),
IF('TL18'!$B$229=L$3,SUMIF('TL18'!$C$238:$C$451,$C69,'TL18'!$J$238:$J$451),0),
IF('TL19'!$B$3=L$3,SUMIF('TL19'!$C$10:$C$224,$C69,'TL19'!$J$10:$J$224),0),
IF('TL19'!$B$229=L$3,SUMIF('TL19'!$C$238:$C$451,$C69,'TL19'!$J$238:$J$451),0)
),0)</f>
        <v/>
      </c>
      <c r="M69" s="9">
        <f>IFERROR(SUM(
IF('TL01'!$B$3=M$3,SUMIF('TL01'!$C$10:$C$224,$C69,'TL01'!$J$10:$J$224),0),
IF('TL01'!$B$229=M$3,SUMIF('TL01'!$C$238:$C$451,$C69,'TL01'!$J$238:$J$451),0),
IF('TL02'!$B$3=M$3,SUMIF('TL02'!$C$10:$C$224,$C69,'TL02'!$J$10:$J$224),0),
IF('TL02'!$B$229=M$3,SUMIF('TL02'!$C$238:$C$451,$C69,'TL02'!$J$238:$J$451),0),
IF('TL03'!$B$3=M$3,SUMIF('TL03'!$C$10:$C$224,$C69,'TL03'!$J$10:$J$224),0),
IF('TL03'!$B$229=M$3,SUMIF('TL03'!$C$238:$C$451,$C69,'TL03'!$J$238:$J$451),0),
IF('TL04'!$B$3=M$3,SUMIF('TL04'!$C$10:$C$224,$C69,'TL04'!$J$10:$J$224),0),
IF('TL04'!$B$229=M$3,SUMIF('TL04'!$C$238:$C$451,$C69,'TL04'!$J$238:$J$451),0),
IF('TL05'!$B$3=M$3,SUMIF('TL05'!$C$10:$C$224,$C69,'TL05'!$J$10:$J$224),0),
IF('TL05'!$B$229=M$3,SUMIF('TL05'!$C$238:$C$451,$C69,'TL05'!$J$238:$J$451),0),
IF('TL06'!$B$3=M$3,SUMIF('TL06'!$C$10:$C$224,$C69,'TL06'!$J$10:$J$224),0),
IF('TL06'!$B$229=M$3,SUMIF('TL06'!$C$238:$C$451,$C69,'TL06'!$J$238:$J$451),0),
IF('TL07'!$B$3=M$3,SUMIF('TL07'!$C$10:$C$224,$C69,'TL07'!$J$10:$J$224),0),
IF('TL07'!$B$229=M$3,SUMIF('TL07'!$C$238:$C$451,$C69,'TL07'!$J$238:$J$451),0),
IF('TL08'!$B$3=M$3,SUMIF('TL08'!$C$10:$C$224,$C69,'TL08'!$J$10:$J$224),0),
IF('TL08'!$B$229=M$3,SUMIF('TL08'!$C$238:$C$451,$C69,'TL08'!$J$238:$J$451),0),
IF('TL09'!$B$3=M$3,SUMIF('TL09'!$C$10:$C$224,$C69,'TL09'!$J$10:$J$224),0),
IF('TL09'!$B$229=M$3,SUMIF('TL09'!$C$238:$C$451,$C69,'TL09'!$J$238:$J$451),0),
IF('TL10'!$B$3=M$3,SUMIF('TL10'!$C$10:$C$224,$C69,'TL10'!$J$10:$J$224),0),
IF('TL10'!$B$229=M$3,SUMIF('TL10'!$C$238:$C$451,$C69,'TL10'!$J$238:$J$451),0),
IF('TL11'!$B$3=M$3,SUMIF('TL11'!$C$10:$C$224,$C69,'TL11'!$J$10:$J$224),0),
IF('TL11'!$B$229=M$3,SUMIF('TL11'!$C$238:$C$451,$C69,'TL11'!$J$238:$J$451),0),
IF('TL12'!$B$3=M$3,SUMIF('TL12'!$C$10:$C$224,$C69,'TL12'!$J$10:$J$224),0),
IF('TL12'!$B$229=M$3,SUMIF('TL12'!$C$238:$C$451,$C69,'TL12'!$J$238:$J$451),0),
IF('TL13'!$B$3=M$3,SUMIF('TL13'!$C$10:$C$224,$C69,'TL13'!$J$10:$J$224),0),
IF('TL13'!$B$229=M$3,SUMIF('TL13'!$C$238:$C$451,$C69,'TL13'!$J$238:$J$451),0),
IF('TL14'!$B$3=M$3,SUMIF('TL14'!$C$10:$C$224,$C69,'TL14'!$J$10:$J$224),0),
IF('TL14'!$B$229=M$3,SUMIF('TL14'!$C$238:$C$451,$C69,'TL14'!$J$238:$J$451),0),
IF('TL15'!$B$3=M$3,SUMIF('TL15'!$C$10:$C$224,$C69,'TL15'!$J$10:$J$224),0),
IF('TL15'!$B$229=M$3,SUMIF('TL15'!$C$238:$C$451,$C69,'TL15'!$J$238:$J$451),0),
IF('TL16'!$B$3=M$3,SUMIF('TL16'!$C$10:$C$224,$C69,'TL16'!$J$10:$J$224),0),
IF('TL16'!$B$229=M$3,SUMIF('TL16'!$C$238:$C$451,$C69,'TL16'!$J$238:$J$451),0),
IF('TL17'!$B$3=M$3,SUMIF('TL17'!$C$10:$C$224,$C69,'TL17'!$J$10:$J$224),0),
IF('TL17'!$B$229=M$3,SUMIF('TL17'!$C$238:$C$451,$C69,'TL17'!$J$238:$J$451),0),
IF('TL18'!$B$3=M$3,SUMIF('TL18'!$C$10:$C$224,$C69,'TL18'!$J$10:$J$224),0),
IF('TL18'!$B$229=M$3,SUMIF('TL18'!$C$238:$C$451,$C69,'TL18'!$J$238:$J$451),0),
IF('TL19'!$B$3=M$3,SUMIF('TL19'!$C$10:$C$224,$C69,'TL19'!$J$10:$J$224),0),
IF('TL19'!$B$229=M$3,SUMIF('TL19'!$C$238:$C$451,$C69,'TL19'!$J$238:$J$451),0)
),0)</f>
        <v/>
      </c>
      <c r="N69" s="9">
        <f>IFERROR(SUM(
IF('TL01'!$B$3=N$3,SUMIF('TL01'!$C$10:$C$224,$C69,'TL01'!$J$10:$J$224),0),
IF('TL01'!$B$229=N$3,SUMIF('TL01'!$C$238:$C$451,$C69,'TL01'!$J$238:$J$451),0),
IF('TL02'!$B$3=N$3,SUMIF('TL02'!$C$10:$C$224,$C69,'TL02'!$J$10:$J$224),0),
IF('TL02'!$B$229=N$3,SUMIF('TL02'!$C$238:$C$451,$C69,'TL02'!$J$238:$J$451),0),
IF('TL03'!$B$3=N$3,SUMIF('TL03'!$C$10:$C$224,$C69,'TL03'!$J$10:$J$224),0),
IF('TL03'!$B$229=N$3,SUMIF('TL03'!$C$238:$C$451,$C69,'TL03'!$J$238:$J$451),0),
IF('TL04'!$B$3=N$3,SUMIF('TL04'!$C$10:$C$224,$C69,'TL04'!$J$10:$J$224),0),
IF('TL04'!$B$229=N$3,SUMIF('TL04'!$C$238:$C$451,$C69,'TL04'!$J$238:$J$451),0),
IF('TL05'!$B$3=N$3,SUMIF('TL05'!$C$10:$C$224,$C69,'TL05'!$J$10:$J$224),0),
IF('TL05'!$B$229=N$3,SUMIF('TL05'!$C$238:$C$451,$C69,'TL05'!$J$238:$J$451),0),
IF('TL06'!$B$3=N$3,SUMIF('TL06'!$C$10:$C$224,$C69,'TL06'!$J$10:$J$224),0),
IF('TL06'!$B$229=N$3,SUMIF('TL06'!$C$238:$C$451,$C69,'TL06'!$J$238:$J$451),0),
IF('TL07'!$B$3=N$3,SUMIF('TL07'!$C$10:$C$224,$C69,'TL07'!$J$10:$J$224),0),
IF('TL07'!$B$229=N$3,SUMIF('TL07'!$C$238:$C$451,$C69,'TL07'!$J$238:$J$451),0),
IF('TL08'!$B$3=N$3,SUMIF('TL08'!$C$10:$C$224,$C69,'TL08'!$J$10:$J$224),0),
IF('TL08'!$B$229=N$3,SUMIF('TL08'!$C$238:$C$451,$C69,'TL08'!$J$238:$J$451),0),
IF('TL09'!$B$3=N$3,SUMIF('TL09'!$C$10:$C$224,$C69,'TL09'!$J$10:$J$224),0),
IF('TL09'!$B$229=N$3,SUMIF('TL09'!$C$238:$C$451,$C69,'TL09'!$J$238:$J$451),0),
IF('TL10'!$B$3=N$3,SUMIF('TL10'!$C$10:$C$224,$C69,'TL10'!$J$10:$J$224),0),
IF('TL10'!$B$229=N$3,SUMIF('TL10'!$C$238:$C$451,$C69,'TL10'!$J$238:$J$451),0),
IF('TL11'!$B$3=N$3,SUMIF('TL11'!$C$10:$C$224,$C69,'TL11'!$J$10:$J$224),0),
IF('TL11'!$B$229=N$3,SUMIF('TL11'!$C$238:$C$451,$C69,'TL11'!$J$238:$J$451),0),
IF('TL12'!$B$3=N$3,SUMIF('TL12'!$C$10:$C$224,$C69,'TL12'!$J$10:$J$224),0),
IF('TL12'!$B$229=N$3,SUMIF('TL12'!$C$238:$C$451,$C69,'TL12'!$J$238:$J$451),0),
IF('TL13'!$B$3=N$3,SUMIF('TL13'!$C$10:$C$224,$C69,'TL13'!$J$10:$J$224),0),
IF('TL13'!$B$229=N$3,SUMIF('TL13'!$C$238:$C$451,$C69,'TL13'!$J$238:$J$451),0),
IF('TL14'!$B$3=N$3,SUMIF('TL14'!$C$10:$C$224,$C69,'TL14'!$J$10:$J$224),0),
IF('TL14'!$B$229=N$3,SUMIF('TL14'!$C$238:$C$451,$C69,'TL14'!$J$238:$J$451),0),
IF('TL15'!$B$3=N$3,SUMIF('TL15'!$C$10:$C$224,$C69,'TL15'!$J$10:$J$224),0),
IF('TL15'!$B$229=N$3,SUMIF('TL15'!$C$238:$C$451,$C69,'TL15'!$J$238:$J$451),0),
IF('TL16'!$B$3=N$3,SUMIF('TL16'!$C$10:$C$224,$C69,'TL16'!$J$10:$J$224),0),
IF('TL16'!$B$229=N$3,SUMIF('TL16'!$C$238:$C$451,$C69,'TL16'!$J$238:$J$451),0),
IF('TL17'!$B$3=N$3,SUMIF('TL17'!$C$10:$C$224,$C69,'TL17'!$J$10:$J$224),0),
IF('TL17'!$B$229=N$3,SUMIF('TL17'!$C$238:$C$451,$C69,'TL17'!$J$238:$J$451),0),
IF('TL18'!$B$3=N$3,SUMIF('TL18'!$C$10:$C$224,$C69,'TL18'!$J$10:$J$224),0),
IF('TL18'!$B$229=N$3,SUMIF('TL18'!$C$238:$C$451,$C69,'TL18'!$J$238:$J$451),0),
IF('TL19'!$B$3=N$3,SUMIF('TL19'!$C$10:$C$224,$C69,'TL19'!$J$10:$J$224),0),
IF('TL19'!$B$229=N$3,SUMIF('TL19'!$C$238:$C$451,$C69,'TL19'!$J$238:$J$451),0)
),0)</f>
        <v/>
      </c>
      <c r="O69" s="9">
        <f>IFERROR(SUM(
IF('TL01'!$B$3=O$3,SUMIF('TL01'!$C$10:$C$224,$C69,'TL01'!$J$10:$J$224),0),
IF('TL01'!$B$229=O$3,SUMIF('TL01'!$C$238:$C$451,$C69,'TL01'!$J$238:$J$451),0),
IF('TL02'!$B$3=O$3,SUMIF('TL02'!$C$10:$C$224,$C69,'TL02'!$J$10:$J$224),0),
IF('TL02'!$B$229=O$3,SUMIF('TL02'!$C$238:$C$451,$C69,'TL02'!$J$238:$J$451),0),
IF('TL03'!$B$3=O$3,SUMIF('TL03'!$C$10:$C$224,$C69,'TL03'!$J$10:$J$224),0),
IF('TL03'!$B$229=O$3,SUMIF('TL03'!$C$238:$C$451,$C69,'TL03'!$J$238:$J$451),0),
IF('TL04'!$B$3=O$3,SUMIF('TL04'!$C$10:$C$224,$C69,'TL04'!$J$10:$J$224),0),
IF('TL04'!$B$229=O$3,SUMIF('TL04'!$C$238:$C$451,$C69,'TL04'!$J$238:$J$451),0),
IF('TL05'!$B$3=O$3,SUMIF('TL05'!$C$10:$C$224,$C69,'TL05'!$J$10:$J$224),0),
IF('TL05'!$B$229=O$3,SUMIF('TL05'!$C$238:$C$451,$C69,'TL05'!$J$238:$J$451),0),
IF('TL06'!$B$3=O$3,SUMIF('TL06'!$C$10:$C$224,$C69,'TL06'!$J$10:$J$224),0),
IF('TL06'!$B$229=O$3,SUMIF('TL06'!$C$238:$C$451,$C69,'TL06'!$J$238:$J$451),0),
IF('TL07'!$B$3=O$3,SUMIF('TL07'!$C$10:$C$224,$C69,'TL07'!$J$10:$J$224),0),
IF('TL07'!$B$229=O$3,SUMIF('TL07'!$C$238:$C$451,$C69,'TL07'!$J$238:$J$451),0),
IF('TL08'!$B$3=O$3,SUMIF('TL08'!$C$10:$C$224,$C69,'TL08'!$J$10:$J$224),0),
IF('TL08'!$B$229=O$3,SUMIF('TL08'!$C$238:$C$451,$C69,'TL08'!$J$238:$J$451),0),
IF('TL09'!$B$3=O$3,SUMIF('TL09'!$C$10:$C$224,$C69,'TL09'!$J$10:$J$224),0),
IF('TL09'!$B$229=O$3,SUMIF('TL09'!$C$238:$C$451,$C69,'TL09'!$J$238:$J$451),0),
IF('TL10'!$B$3=O$3,SUMIF('TL10'!$C$10:$C$224,$C69,'TL10'!$J$10:$J$224),0),
IF('TL10'!$B$229=O$3,SUMIF('TL10'!$C$238:$C$451,$C69,'TL10'!$J$238:$J$451),0),
IF('TL11'!$B$3=O$3,SUMIF('TL11'!$C$10:$C$224,$C69,'TL11'!$J$10:$J$224),0),
IF('TL11'!$B$229=O$3,SUMIF('TL11'!$C$238:$C$451,$C69,'TL11'!$J$238:$J$451),0),
IF('TL12'!$B$3=O$3,SUMIF('TL12'!$C$10:$C$224,$C69,'TL12'!$J$10:$J$224),0),
IF('TL12'!$B$229=O$3,SUMIF('TL12'!$C$238:$C$451,$C69,'TL12'!$J$238:$J$451),0),
IF('TL13'!$B$3=O$3,SUMIF('TL13'!$C$10:$C$224,$C69,'TL13'!$J$10:$J$224),0),
IF('TL13'!$B$229=O$3,SUMIF('TL13'!$C$238:$C$451,$C69,'TL13'!$J$238:$J$451),0),
IF('TL14'!$B$3=O$3,SUMIF('TL14'!$C$10:$C$224,$C69,'TL14'!$J$10:$J$224),0),
IF('TL14'!$B$229=O$3,SUMIF('TL14'!$C$238:$C$451,$C69,'TL14'!$J$238:$J$451),0),
IF('TL15'!$B$3=O$3,SUMIF('TL15'!$C$10:$C$224,$C69,'TL15'!$J$10:$J$224),0),
IF('TL15'!$B$229=O$3,SUMIF('TL15'!$C$238:$C$451,$C69,'TL15'!$J$238:$J$451),0),
IF('TL16'!$B$3=O$3,SUMIF('TL16'!$C$10:$C$224,$C69,'TL16'!$J$10:$J$224),0),
IF('TL16'!$B$229=O$3,SUMIF('TL16'!$C$238:$C$451,$C69,'TL16'!$J$238:$J$451),0),
IF('TL17'!$B$3=O$3,SUMIF('TL17'!$C$10:$C$224,$C69,'TL17'!$J$10:$J$224),0),
IF('TL17'!$B$229=O$3,SUMIF('TL17'!$C$238:$C$451,$C69,'TL17'!$J$238:$J$451),0),
IF('TL18'!$B$3=O$3,SUMIF('TL18'!$C$10:$C$224,$C69,'TL18'!$J$10:$J$224),0),
IF('TL18'!$B$229=O$3,SUMIF('TL18'!$C$238:$C$451,$C69,'TL18'!$J$238:$J$451),0),
IF('TL19'!$B$3=O$3,SUMIF('TL19'!$C$10:$C$224,$C69,'TL19'!$J$10:$J$224),0),
IF('TL19'!$B$229=O$3,SUMIF('TL19'!$C$238:$C$451,$C69,'TL19'!$J$238:$J$451),0)
),0)</f>
        <v/>
      </c>
      <c r="P69" s="9">
        <f>IFERROR(SUM(
IF('TL01'!$B$3=P$3,SUMIF('TL01'!$C$10:$C$224,$C69,'TL01'!$J$10:$J$224),0),
IF('TL01'!$B$229=P$3,SUMIF('TL01'!$C$238:$C$451,$C69,'TL01'!$J$238:$J$451),0),
IF('TL02'!$B$3=P$3,SUMIF('TL02'!$C$10:$C$224,$C69,'TL02'!$J$10:$J$224),0),
IF('TL02'!$B$229=P$3,SUMIF('TL02'!$C$238:$C$451,$C69,'TL02'!$J$238:$J$451),0),
IF('TL03'!$B$3=P$3,SUMIF('TL03'!$C$10:$C$224,$C69,'TL03'!$J$10:$J$224),0),
IF('TL03'!$B$229=P$3,SUMIF('TL03'!$C$238:$C$451,$C69,'TL03'!$J$238:$J$451),0),
IF('TL04'!$B$3=P$3,SUMIF('TL04'!$C$10:$C$224,$C69,'TL04'!$J$10:$J$224),0),
IF('TL04'!$B$229=P$3,SUMIF('TL04'!$C$238:$C$451,$C69,'TL04'!$J$238:$J$451),0),
IF('TL05'!$B$3=P$3,SUMIF('TL05'!$C$10:$C$224,$C69,'TL05'!$J$10:$J$224),0),
IF('TL05'!$B$229=P$3,SUMIF('TL05'!$C$238:$C$451,$C69,'TL05'!$J$238:$J$451),0),
IF('TL06'!$B$3=P$3,SUMIF('TL06'!$C$10:$C$224,$C69,'TL06'!$J$10:$J$224),0),
IF('TL06'!$B$229=P$3,SUMIF('TL06'!$C$238:$C$451,$C69,'TL06'!$J$238:$J$451),0),
IF('TL07'!$B$3=P$3,SUMIF('TL07'!$C$10:$C$224,$C69,'TL07'!$J$10:$J$224),0),
IF('TL07'!$B$229=P$3,SUMIF('TL07'!$C$238:$C$451,$C69,'TL07'!$J$238:$J$451),0),
IF('TL08'!$B$3=P$3,SUMIF('TL08'!$C$10:$C$224,$C69,'TL08'!$J$10:$J$224),0),
IF('TL08'!$B$229=P$3,SUMIF('TL08'!$C$238:$C$451,$C69,'TL08'!$J$238:$J$451),0),
IF('TL09'!$B$3=P$3,SUMIF('TL09'!$C$10:$C$224,$C69,'TL09'!$J$10:$J$224),0),
IF('TL09'!$B$229=P$3,SUMIF('TL09'!$C$238:$C$451,$C69,'TL09'!$J$238:$J$451),0),
IF('TL10'!$B$3=P$3,SUMIF('TL10'!$C$10:$C$224,$C69,'TL10'!$J$10:$J$224),0),
IF('TL10'!$B$229=P$3,SUMIF('TL10'!$C$238:$C$451,$C69,'TL10'!$J$238:$J$451),0),
IF('TL11'!$B$3=P$3,SUMIF('TL11'!$C$10:$C$224,$C69,'TL11'!$J$10:$J$224),0),
IF('TL11'!$B$229=P$3,SUMIF('TL11'!$C$238:$C$451,$C69,'TL11'!$J$238:$J$451),0),
IF('TL12'!$B$3=P$3,SUMIF('TL12'!$C$10:$C$224,$C69,'TL12'!$J$10:$J$224),0),
IF('TL12'!$B$229=P$3,SUMIF('TL12'!$C$238:$C$451,$C69,'TL12'!$J$238:$J$451),0),
IF('TL13'!$B$3=P$3,SUMIF('TL13'!$C$10:$C$224,$C69,'TL13'!$J$10:$J$224),0),
IF('TL13'!$B$229=P$3,SUMIF('TL13'!$C$238:$C$451,$C69,'TL13'!$J$238:$J$451),0),
IF('TL14'!$B$3=P$3,SUMIF('TL14'!$C$10:$C$224,$C69,'TL14'!$J$10:$J$224),0),
IF('TL14'!$B$229=P$3,SUMIF('TL14'!$C$238:$C$451,$C69,'TL14'!$J$238:$J$451),0),
IF('TL15'!$B$3=P$3,SUMIF('TL15'!$C$10:$C$224,$C69,'TL15'!$J$10:$J$224),0),
IF('TL15'!$B$229=P$3,SUMIF('TL15'!$C$238:$C$451,$C69,'TL15'!$J$238:$J$451),0),
IF('TL16'!$B$3=P$3,SUMIF('TL16'!$C$10:$C$224,$C69,'TL16'!$J$10:$J$224),0),
IF('TL16'!$B$229=P$3,SUMIF('TL16'!$C$238:$C$451,$C69,'TL16'!$J$238:$J$451),0),
IF('TL17'!$B$3=P$3,SUMIF('TL17'!$C$10:$C$224,$C69,'TL17'!$J$10:$J$224),0),
IF('TL17'!$B$229=P$3,SUMIF('TL17'!$C$238:$C$451,$C69,'TL17'!$J$238:$J$451),0),
IF('TL18'!$B$3=P$3,SUMIF('TL18'!$C$10:$C$224,$C69,'TL18'!$J$10:$J$224),0),
IF('TL18'!$B$229=P$3,SUMIF('TL18'!$C$238:$C$451,$C69,'TL18'!$J$238:$J$451),0),
IF('TL19'!$B$3=P$3,SUMIF('TL19'!$C$10:$C$224,$C69,'TL19'!$J$10:$J$224),0),
IF('TL19'!$B$229=P$3,SUMIF('TL19'!$C$238:$C$451,$C69,'TL19'!$J$238:$J$451),0)
),0)</f>
        <v/>
      </c>
      <c r="Q69" s="9">
        <f>IFERROR(SUM(
IF('TL01'!$B$3=Q$3,SUMIF('TL01'!$C$10:$C$224,$C69,'TL01'!$J$10:$J$224),0),
IF('TL01'!$B$229=Q$3,SUMIF('TL01'!$C$238:$C$451,$C69,'TL01'!$J$238:$J$451),0),
IF('TL02'!$B$3=Q$3,SUMIF('TL02'!$C$10:$C$224,$C69,'TL02'!$J$10:$J$224),0),
IF('TL02'!$B$229=Q$3,SUMIF('TL02'!$C$238:$C$451,$C69,'TL02'!$J$238:$J$451),0),
IF('TL03'!$B$3=Q$3,SUMIF('TL03'!$C$10:$C$224,$C69,'TL03'!$J$10:$J$224),0),
IF('TL03'!$B$229=Q$3,SUMIF('TL03'!$C$238:$C$451,$C69,'TL03'!$J$238:$J$451),0),
IF('TL04'!$B$3=Q$3,SUMIF('TL04'!$C$10:$C$224,$C69,'TL04'!$J$10:$J$224),0),
IF('TL04'!$B$229=Q$3,SUMIF('TL04'!$C$238:$C$451,$C69,'TL04'!$J$238:$J$451),0),
IF('TL05'!$B$3=Q$3,SUMIF('TL05'!$C$10:$C$224,$C69,'TL05'!$J$10:$J$224),0),
IF('TL05'!$B$229=Q$3,SUMIF('TL05'!$C$238:$C$451,$C69,'TL05'!$J$238:$J$451),0),
IF('TL06'!$B$3=Q$3,SUMIF('TL06'!$C$10:$C$224,$C69,'TL06'!$J$10:$J$224),0),
IF('TL06'!$B$229=Q$3,SUMIF('TL06'!$C$238:$C$451,$C69,'TL06'!$J$238:$J$451),0),
IF('TL07'!$B$3=Q$3,SUMIF('TL07'!$C$10:$C$224,$C69,'TL07'!$J$10:$J$224),0),
IF('TL07'!$B$229=Q$3,SUMIF('TL07'!$C$238:$C$451,$C69,'TL07'!$J$238:$J$451),0),
IF('TL08'!$B$3=Q$3,SUMIF('TL08'!$C$10:$C$224,$C69,'TL08'!$J$10:$J$224),0),
IF('TL08'!$B$229=Q$3,SUMIF('TL08'!$C$238:$C$451,$C69,'TL08'!$J$238:$J$451),0),
IF('TL09'!$B$3=Q$3,SUMIF('TL09'!$C$10:$C$224,$C69,'TL09'!$J$10:$J$224),0),
IF('TL09'!$B$229=Q$3,SUMIF('TL09'!$C$238:$C$451,$C69,'TL09'!$J$238:$J$451),0),
IF('TL10'!$B$3=Q$3,SUMIF('TL10'!$C$10:$C$224,$C69,'TL10'!$J$10:$J$224),0),
IF('TL10'!$B$229=Q$3,SUMIF('TL10'!$C$238:$C$451,$C69,'TL10'!$J$238:$J$451),0),
IF('TL11'!$B$3=Q$3,SUMIF('TL11'!$C$10:$C$224,$C69,'TL11'!$J$10:$J$224),0),
IF('TL11'!$B$229=Q$3,SUMIF('TL11'!$C$238:$C$451,$C69,'TL11'!$J$238:$J$451),0),
IF('TL12'!$B$3=Q$3,SUMIF('TL12'!$C$10:$C$224,$C69,'TL12'!$J$10:$J$224),0),
IF('TL12'!$B$229=Q$3,SUMIF('TL12'!$C$238:$C$451,$C69,'TL12'!$J$238:$J$451),0),
IF('TL13'!$B$3=Q$3,SUMIF('TL13'!$C$10:$C$224,$C69,'TL13'!$J$10:$J$224),0),
IF('TL13'!$B$229=Q$3,SUMIF('TL13'!$C$238:$C$451,$C69,'TL13'!$J$238:$J$451),0),
IF('TL14'!$B$3=Q$3,SUMIF('TL14'!$C$10:$C$224,$C69,'TL14'!$J$10:$J$224),0),
IF('TL14'!$B$229=Q$3,SUMIF('TL14'!$C$238:$C$451,$C69,'TL14'!$J$238:$J$451),0),
IF('TL15'!$B$3=Q$3,SUMIF('TL15'!$C$10:$C$224,$C69,'TL15'!$J$10:$J$224),0),
IF('TL15'!$B$229=Q$3,SUMIF('TL15'!$C$238:$C$451,$C69,'TL15'!$J$238:$J$451),0),
IF('TL16'!$B$3=Q$3,SUMIF('TL16'!$C$10:$C$224,$C69,'TL16'!$J$10:$J$224),0),
IF('TL16'!$B$229=Q$3,SUMIF('TL16'!$C$238:$C$451,$C69,'TL16'!$J$238:$J$451),0),
IF('TL17'!$B$3=Q$3,SUMIF('TL17'!$C$10:$C$224,$C69,'TL17'!$J$10:$J$224),0),
IF('TL17'!$B$229=Q$3,SUMIF('TL17'!$C$238:$C$451,$C69,'TL17'!$J$238:$J$451),0),
IF('TL18'!$B$3=Q$3,SUMIF('TL18'!$C$10:$C$224,$C69,'TL18'!$J$10:$J$224),0),
IF('TL18'!$B$229=Q$3,SUMIF('TL18'!$C$238:$C$451,$C69,'TL18'!$J$238:$J$451),0),
IF('TL19'!$B$3=Q$3,SUMIF('TL19'!$C$10:$C$224,$C69,'TL19'!$J$10:$J$224),0),
IF('TL19'!$B$229=Q$3,SUMIF('TL19'!$C$238:$C$451,$C69,'TL19'!$J$238:$J$451),0)
),0)</f>
        <v/>
      </c>
      <c r="R69" s="9">
        <f>IFERROR(
SUM(
SUMIF('TL01'!C:C,C69,'TL01'!J:J),
SUMIF('TL02'!C:C,C69,'TL02'!J:J),
SUMIF('TL03'!C:C,C69,'TL03'!J:J),
SUMIF('TL04'!C:C,C69,'TL04'!J:J),
SUMIF('TL05'!C:C,C69,'TL05'!J:J),
SUMIF('TL06'!C:C,C69,'TL06'!J:J),
SUMIF('TL07'!C:C,C69,'TL07'!J:J),
SUMIF('TL08'!C:C,C69,'TL08'!J:J),
SUMIF('TL09'!C:C,C69,'TL09'!J:J),
SUMIF('TL10'!C:C,C69,'TL10'!J:J),
SUMIF('TL11'!C:C,C69,'TL11'!J:J),
SUMIF('TL12'!C:C,C69,'TL12'!J:J),
SUMIF('TL13'!C:C,C69,'TL13'!J:J),
SUMIF('TL14'!C:C,C69,'TL14'!J:J),
SUMIF('TL15'!C:C,C69,'TL15'!J:J),
SUMIF('TL16'!C:C,C69,'TL16'!J:J),
SUMIF('TL17'!C:C,C69,'TL17'!J:J),
SUMIF('TL18'!C:C,C69,'TL18'!J:J),SUMIF('TL19'!C:C,C69,'TL19'!J:J))
,0)</f>
        <v/>
      </c>
      <c r="S69" s="17">
        <f>IFERROR(__xludf.DUMMYFUNCTION("IFERROR(VLOOKUP(C69,
IMPORTRANGE(""1wULbzX32WdYsx-lj2U3uUNBBe2INVIRDtcK0d-Dvl90"",
""26-27!C:G""),
5,
FALSE),
"""")"),244.39248000000003)</f>
        <v/>
      </c>
      <c r="T69" s="9" t="n"/>
      <c r="U69" s="92">
        <f>MAX(0,R69-T69)</f>
        <v/>
      </c>
      <c r="V69" s="93">
        <f>U69*S69</f>
        <v/>
      </c>
    </row>
    <row r="70" hidden="1" ht="15.75" customHeight="1" s="297">
      <c r="A70" s="115" t="inlineStr">
        <is>
          <t>NORTOX</t>
        </is>
      </c>
      <c r="B70" s="100" t="inlineStr">
        <is>
          <t>FUNGICIDA</t>
        </is>
      </c>
      <c r="C70" s="116" t="inlineStr">
        <is>
          <t>DIFENOCONAZOL NORTOX 250 SC</t>
        </is>
      </c>
      <c r="D70" s="116" t="inlineStr">
        <is>
          <t>DIFENOCONAZOL</t>
        </is>
      </c>
      <c r="E70" s="116" t="n">
        <v>250</v>
      </c>
      <c r="F70" s="4" t="inlineStr">
        <is>
          <t>KG</t>
        </is>
      </c>
      <c r="G70" s="90">
        <f>HYPERLINK("https://www.google.com/search?q=" &amp; C70 &amp; "+bula+agrofit+pdf", "📄 Ver bula")</f>
        <v/>
      </c>
      <c r="H70" s="9">
        <f>IFERROR(__xludf.DUMMYFUNCTION("IFERROR(VLOOKUP(C70,
IMPORTRANGE(""1wULbzX32WdYsx-lj2U3uUNBBe2INVIRDtcK0d-Dvl90"",
""26-27!C:K""),
8,
FALSE),
"""")"),0.3)</f>
        <v/>
      </c>
      <c r="I70" s="117" t="inlineStr">
        <is>
          <t>4X5</t>
        </is>
      </c>
      <c r="J70" s="9">
        <f>IFERROR(SUM(
IF('TL01'!$B$3=J$3,SUMIF('TL01'!$C$10:$C$224,$C70,'TL01'!$J$10:$J$224),0),
IF('TL01'!$B$229=J$3,SUMIF('TL01'!$C$238:$C$451,$C70,'TL01'!$J$238:$J$451),0),
IF('TL02'!$B$3=J$3,SUMIF('TL02'!$C$10:$C$224,$C70,'TL02'!$J$10:$J$224),0),
IF('TL02'!$B$229=J$3,SUMIF('TL02'!$C$238:$C$451,$C70,'TL02'!$J$238:$J$451),0),
IF('TL03'!$B$3=J$3,SUMIF('TL03'!$C$10:$C$224,$C70,'TL03'!$J$10:$J$224),0),
IF('TL03'!$B$229=J$3,SUMIF('TL03'!$C$238:$C$451,$C70,'TL03'!$J$238:$J$451),0),
IF('TL04'!$B$3=J$3,SUMIF('TL04'!$C$10:$C$224,$C70,'TL04'!$J$10:$J$224),0),
IF('TL04'!$B$229=J$3,SUMIF('TL04'!$C$238:$C$451,$C70,'TL04'!$J$238:$J$451),0),
IF('TL05'!$B$3=J$3,SUMIF('TL05'!$C$10:$C$224,$C70,'TL05'!$J$10:$J$224),0),
IF('TL05'!$B$229=J$3,SUMIF('TL05'!$C$238:$C$451,$C70,'TL05'!$J$238:$J$451),0),
IF('TL06'!$B$3=J$3,SUMIF('TL06'!$C$10:$C$224,$C70,'TL06'!$J$10:$J$224),0),
IF('TL06'!$B$229=J$3,SUMIF('TL06'!$C$238:$C$451,$C70,'TL06'!$J$238:$J$451),0),
IF('TL07'!$B$3=J$3,SUMIF('TL07'!$C$10:$C$224,$C70,'TL07'!$J$10:$J$224),0),
IF('TL07'!$B$229=J$3,SUMIF('TL07'!$C$238:$C$451,$C70,'TL07'!$J$238:$J$451),0),
IF('TL08'!$B$3=J$3,SUMIF('TL08'!$C$10:$C$224,$C70,'TL08'!$J$10:$J$224),0),
IF('TL08'!$B$229=J$3,SUMIF('TL08'!$C$238:$C$451,$C70,'TL08'!$J$238:$J$451),0),
IF('TL09'!$B$3=J$3,SUMIF('TL09'!$C$10:$C$224,$C70,'TL09'!$J$10:$J$224),0),
IF('TL09'!$B$229=J$3,SUMIF('TL09'!$C$238:$C$451,$C70,'TL09'!$J$238:$J$451),0),
IF('TL10'!$B$3=J$3,SUMIF('TL10'!$C$10:$C$224,$C70,'TL10'!$J$10:$J$224),0),
IF('TL10'!$B$229=J$3,SUMIF('TL10'!$C$238:$C$451,$C70,'TL10'!$J$238:$J$451),0),
IF('TL11'!$B$3=J$3,SUMIF('TL11'!$C$10:$C$224,$C70,'TL11'!$J$10:$J$224),0),
IF('TL11'!$B$229=J$3,SUMIF('TL11'!$C$238:$C$451,$C70,'TL11'!$J$238:$J$451),0),
IF('TL12'!$B$3=J$3,SUMIF('TL12'!$C$10:$C$224,$C70,'TL12'!$J$10:$J$224),0),
IF('TL12'!$B$229=J$3,SUMIF('TL12'!$C$238:$C$451,$C70,'TL12'!$J$238:$J$451),0),
IF('TL13'!$B$3=J$3,SUMIF('TL13'!$C$10:$C$224,$C70,'TL13'!$J$10:$J$224),0),
IF('TL13'!$B$229=J$3,SUMIF('TL13'!$C$238:$C$451,$C70,'TL13'!$J$238:$J$451),0),
IF('TL14'!$B$3=J$3,SUMIF('TL14'!$C$10:$C$224,$C70,'TL14'!$J$10:$J$224),0),
IF('TL14'!$B$229=J$3,SUMIF('TL14'!$C$238:$C$451,$C70,'TL14'!$J$238:$J$451),0),
IF('TL15'!$B$3=J$3,SUMIF('TL15'!$C$10:$C$224,$C70,'TL15'!$J$10:$J$224),0),
IF('TL15'!$B$229=J$3,SUMIF('TL15'!$C$238:$C$451,$C70,'TL15'!$J$238:$J$451),0),
IF('TL16'!$B$3=J$3,SUMIF('TL16'!$C$10:$C$224,$C70,'TL16'!$J$10:$J$224),0),
IF('TL16'!$B$229=J$3,SUMIF('TL16'!$C$238:$C$451,$C70,'TL16'!$J$238:$J$451),0),
IF('TL17'!$B$3=J$3,SUMIF('TL17'!$C$10:$C$224,$C70,'TL17'!$J$10:$J$224),0),
IF('TL17'!$B$229=J$3,SUMIF('TL17'!$C$238:$C$451,$C70,'TL17'!$J$238:$J$451),0),
IF('TL18'!$B$3=J$3,SUMIF('TL18'!$C$10:$C$224,$C70,'TL18'!$J$10:$J$224),0),
IF('TL18'!$B$229=J$3,SUMIF('TL18'!$C$238:$C$451,$C70,'TL18'!$J$238:$J$451),0),
IF('TL19'!$B$3=J$3,SUMIF('TL19'!$C$10:$C$224,$C70,'TL19'!$J$10:$J$224),0),
IF('TL19'!$B$229=J$3,SUMIF('TL19'!$C$238:$C$451,$C70,'TL19'!$J$238:$J$451),0)
),0)</f>
        <v/>
      </c>
      <c r="K70" s="9">
        <f>IFERROR(SUM(
IF('TL01'!$B$3=K$3,SUMIF('TL01'!$C$10:$C$224,$C70,'TL01'!$J$10:$J$224),0),
IF('TL01'!$B$229=K$3,SUMIF('TL01'!$C$238:$C$451,$C70,'TL01'!$J$238:$J$451),0),
IF('TL02'!$B$3=K$3,SUMIF('TL02'!$C$10:$C$224,$C70,'TL02'!$J$10:$J$224),0),
IF('TL02'!$B$229=K$3,SUMIF('TL02'!$C$238:$C$451,$C70,'TL02'!$J$238:$J$451),0),
IF('TL03'!$B$3=K$3,SUMIF('TL03'!$C$10:$C$224,$C70,'TL03'!$J$10:$J$224),0),
IF('TL03'!$B$229=K$3,SUMIF('TL03'!$C$238:$C$451,$C70,'TL03'!$J$238:$J$451),0),
IF('TL04'!$B$3=K$3,SUMIF('TL04'!$C$10:$C$224,$C70,'TL04'!$J$10:$J$224),0),
IF('TL04'!$B$229=K$3,SUMIF('TL04'!$C$238:$C$451,$C70,'TL04'!$J$238:$J$451),0),
IF('TL05'!$B$3=K$3,SUMIF('TL05'!$C$10:$C$224,$C70,'TL05'!$J$10:$J$224),0),
IF('TL05'!$B$229=K$3,SUMIF('TL05'!$C$238:$C$451,$C70,'TL05'!$J$238:$J$451),0),
IF('TL06'!$B$3=K$3,SUMIF('TL06'!$C$10:$C$224,$C70,'TL06'!$J$10:$J$224),0),
IF('TL06'!$B$229=K$3,SUMIF('TL06'!$C$238:$C$451,$C70,'TL06'!$J$238:$J$451),0),
IF('TL07'!$B$3=K$3,SUMIF('TL07'!$C$10:$C$224,$C70,'TL07'!$J$10:$J$224),0),
IF('TL07'!$B$229=K$3,SUMIF('TL07'!$C$238:$C$451,$C70,'TL07'!$J$238:$J$451),0),
IF('TL08'!$B$3=K$3,SUMIF('TL08'!$C$10:$C$224,$C70,'TL08'!$J$10:$J$224),0),
IF('TL08'!$B$229=K$3,SUMIF('TL08'!$C$238:$C$451,$C70,'TL08'!$J$238:$J$451),0),
IF('TL09'!$B$3=K$3,SUMIF('TL09'!$C$10:$C$224,$C70,'TL09'!$J$10:$J$224),0),
IF('TL09'!$B$229=K$3,SUMIF('TL09'!$C$238:$C$451,$C70,'TL09'!$J$238:$J$451),0),
IF('TL10'!$B$3=K$3,SUMIF('TL10'!$C$10:$C$224,$C70,'TL10'!$J$10:$J$224),0),
IF('TL10'!$B$229=K$3,SUMIF('TL10'!$C$238:$C$451,$C70,'TL10'!$J$238:$J$451),0),
IF('TL11'!$B$3=K$3,SUMIF('TL11'!$C$10:$C$224,$C70,'TL11'!$J$10:$J$224),0),
IF('TL11'!$B$229=K$3,SUMIF('TL11'!$C$238:$C$451,$C70,'TL11'!$J$238:$J$451),0),
IF('TL12'!$B$3=K$3,SUMIF('TL12'!$C$10:$C$224,$C70,'TL12'!$J$10:$J$224),0),
IF('TL12'!$B$229=K$3,SUMIF('TL12'!$C$238:$C$451,$C70,'TL12'!$J$238:$J$451),0),
IF('TL13'!$B$3=K$3,SUMIF('TL13'!$C$10:$C$224,$C70,'TL13'!$J$10:$J$224),0),
IF('TL13'!$B$229=K$3,SUMIF('TL13'!$C$238:$C$451,$C70,'TL13'!$J$238:$J$451),0),
IF('TL14'!$B$3=K$3,SUMIF('TL14'!$C$10:$C$224,$C70,'TL14'!$J$10:$J$224),0),
IF('TL14'!$B$229=K$3,SUMIF('TL14'!$C$238:$C$451,$C70,'TL14'!$J$238:$J$451),0),
IF('TL15'!$B$3=K$3,SUMIF('TL15'!$C$10:$C$224,$C70,'TL15'!$J$10:$J$224),0),
IF('TL15'!$B$229=K$3,SUMIF('TL15'!$C$238:$C$451,$C70,'TL15'!$J$238:$J$451),0),
IF('TL16'!$B$3=K$3,SUMIF('TL16'!$C$10:$C$224,$C70,'TL16'!$J$10:$J$224),0),
IF('TL16'!$B$229=K$3,SUMIF('TL16'!$C$238:$C$451,$C70,'TL16'!$J$238:$J$451),0),
IF('TL17'!$B$3=K$3,SUMIF('TL17'!$C$10:$C$224,$C70,'TL17'!$J$10:$J$224),0),
IF('TL17'!$B$229=K$3,SUMIF('TL17'!$C$238:$C$451,$C70,'TL17'!$J$238:$J$451),0),
IF('TL18'!$B$3=K$3,SUMIF('TL18'!$C$10:$C$224,$C70,'TL18'!$J$10:$J$224),0),
IF('TL18'!$B$229=K$3,SUMIF('TL18'!$C$238:$C$451,$C70,'TL18'!$J$238:$J$451),0),
IF('TL19'!$B$3=K$3,SUMIF('TL19'!$C$10:$C$224,$C70,'TL19'!$J$10:$J$224),0),
IF('TL19'!$B$229=K$3,SUMIF('TL19'!$C$238:$C$451,$C70,'TL19'!$J$238:$J$451),0)
),0)</f>
        <v/>
      </c>
      <c r="L70" s="9">
        <f>IFERROR(SUM(
IF('TL01'!$B$3=L$3,SUMIF('TL01'!$C$10:$C$224,$C70,'TL01'!$J$10:$J$224),0),
IF('TL01'!$B$229=L$3,SUMIF('TL01'!$C$238:$C$451,$C70,'TL01'!$J$238:$J$451),0),
IF('TL02'!$B$3=L$3,SUMIF('TL02'!$C$10:$C$224,$C70,'TL02'!$J$10:$J$224),0),
IF('TL02'!$B$229=L$3,SUMIF('TL02'!$C$238:$C$451,$C70,'TL02'!$J$238:$J$451),0),
IF('TL03'!$B$3=L$3,SUMIF('TL03'!$C$10:$C$224,$C70,'TL03'!$J$10:$J$224),0),
IF('TL03'!$B$229=L$3,SUMIF('TL03'!$C$238:$C$451,$C70,'TL03'!$J$238:$J$451),0),
IF('TL04'!$B$3=L$3,SUMIF('TL04'!$C$10:$C$224,$C70,'TL04'!$J$10:$J$224),0),
IF('TL04'!$B$229=L$3,SUMIF('TL04'!$C$238:$C$451,$C70,'TL04'!$J$238:$J$451),0),
IF('TL05'!$B$3=L$3,SUMIF('TL05'!$C$10:$C$224,$C70,'TL05'!$J$10:$J$224),0),
IF('TL05'!$B$229=L$3,SUMIF('TL05'!$C$238:$C$451,$C70,'TL05'!$J$238:$J$451),0),
IF('TL06'!$B$3=L$3,SUMIF('TL06'!$C$10:$C$224,$C70,'TL06'!$J$10:$J$224),0),
IF('TL06'!$B$229=L$3,SUMIF('TL06'!$C$238:$C$451,$C70,'TL06'!$J$238:$J$451),0),
IF('TL07'!$B$3=L$3,SUMIF('TL07'!$C$10:$C$224,$C70,'TL07'!$J$10:$J$224),0),
IF('TL07'!$B$229=L$3,SUMIF('TL07'!$C$238:$C$451,$C70,'TL07'!$J$238:$J$451),0),
IF('TL08'!$B$3=L$3,SUMIF('TL08'!$C$10:$C$224,$C70,'TL08'!$J$10:$J$224),0),
IF('TL08'!$B$229=L$3,SUMIF('TL08'!$C$238:$C$451,$C70,'TL08'!$J$238:$J$451),0),
IF('TL09'!$B$3=L$3,SUMIF('TL09'!$C$10:$C$224,$C70,'TL09'!$J$10:$J$224),0),
IF('TL09'!$B$229=L$3,SUMIF('TL09'!$C$238:$C$451,$C70,'TL09'!$J$238:$J$451),0),
IF('TL10'!$B$3=L$3,SUMIF('TL10'!$C$10:$C$224,$C70,'TL10'!$J$10:$J$224),0),
IF('TL10'!$B$229=L$3,SUMIF('TL10'!$C$238:$C$451,$C70,'TL10'!$J$238:$J$451),0),
IF('TL11'!$B$3=L$3,SUMIF('TL11'!$C$10:$C$224,$C70,'TL11'!$J$10:$J$224),0),
IF('TL11'!$B$229=L$3,SUMIF('TL11'!$C$238:$C$451,$C70,'TL11'!$J$238:$J$451),0),
IF('TL12'!$B$3=L$3,SUMIF('TL12'!$C$10:$C$224,$C70,'TL12'!$J$10:$J$224),0),
IF('TL12'!$B$229=L$3,SUMIF('TL12'!$C$238:$C$451,$C70,'TL12'!$J$238:$J$451),0),
IF('TL13'!$B$3=L$3,SUMIF('TL13'!$C$10:$C$224,$C70,'TL13'!$J$10:$J$224),0),
IF('TL13'!$B$229=L$3,SUMIF('TL13'!$C$238:$C$451,$C70,'TL13'!$J$238:$J$451),0),
IF('TL14'!$B$3=L$3,SUMIF('TL14'!$C$10:$C$224,$C70,'TL14'!$J$10:$J$224),0),
IF('TL14'!$B$229=L$3,SUMIF('TL14'!$C$238:$C$451,$C70,'TL14'!$J$238:$J$451),0),
IF('TL15'!$B$3=L$3,SUMIF('TL15'!$C$10:$C$224,$C70,'TL15'!$J$10:$J$224),0),
IF('TL15'!$B$229=L$3,SUMIF('TL15'!$C$238:$C$451,$C70,'TL15'!$J$238:$J$451),0),
IF('TL16'!$B$3=L$3,SUMIF('TL16'!$C$10:$C$224,$C70,'TL16'!$J$10:$J$224),0),
IF('TL16'!$B$229=L$3,SUMIF('TL16'!$C$238:$C$451,$C70,'TL16'!$J$238:$J$451),0),
IF('TL17'!$B$3=L$3,SUMIF('TL17'!$C$10:$C$224,$C70,'TL17'!$J$10:$J$224),0),
IF('TL17'!$B$229=L$3,SUMIF('TL17'!$C$238:$C$451,$C70,'TL17'!$J$238:$J$451),0),
IF('TL18'!$B$3=L$3,SUMIF('TL18'!$C$10:$C$224,$C70,'TL18'!$J$10:$J$224),0),
IF('TL18'!$B$229=L$3,SUMIF('TL18'!$C$238:$C$451,$C70,'TL18'!$J$238:$J$451),0),
IF('TL19'!$B$3=L$3,SUMIF('TL19'!$C$10:$C$224,$C70,'TL19'!$J$10:$J$224),0),
IF('TL19'!$B$229=L$3,SUMIF('TL19'!$C$238:$C$451,$C70,'TL19'!$J$238:$J$451),0)
),0)</f>
        <v/>
      </c>
      <c r="M70" s="9">
        <f>IFERROR(SUM(
IF('TL01'!$B$3=M$3,SUMIF('TL01'!$C$10:$C$224,$C70,'TL01'!$J$10:$J$224),0),
IF('TL01'!$B$229=M$3,SUMIF('TL01'!$C$238:$C$451,$C70,'TL01'!$J$238:$J$451),0),
IF('TL02'!$B$3=M$3,SUMIF('TL02'!$C$10:$C$224,$C70,'TL02'!$J$10:$J$224),0),
IF('TL02'!$B$229=M$3,SUMIF('TL02'!$C$238:$C$451,$C70,'TL02'!$J$238:$J$451),0),
IF('TL03'!$B$3=M$3,SUMIF('TL03'!$C$10:$C$224,$C70,'TL03'!$J$10:$J$224),0),
IF('TL03'!$B$229=M$3,SUMIF('TL03'!$C$238:$C$451,$C70,'TL03'!$J$238:$J$451),0),
IF('TL04'!$B$3=M$3,SUMIF('TL04'!$C$10:$C$224,$C70,'TL04'!$J$10:$J$224),0),
IF('TL04'!$B$229=M$3,SUMIF('TL04'!$C$238:$C$451,$C70,'TL04'!$J$238:$J$451),0),
IF('TL05'!$B$3=M$3,SUMIF('TL05'!$C$10:$C$224,$C70,'TL05'!$J$10:$J$224),0),
IF('TL05'!$B$229=M$3,SUMIF('TL05'!$C$238:$C$451,$C70,'TL05'!$J$238:$J$451),0),
IF('TL06'!$B$3=M$3,SUMIF('TL06'!$C$10:$C$224,$C70,'TL06'!$J$10:$J$224),0),
IF('TL06'!$B$229=M$3,SUMIF('TL06'!$C$238:$C$451,$C70,'TL06'!$J$238:$J$451),0),
IF('TL07'!$B$3=M$3,SUMIF('TL07'!$C$10:$C$224,$C70,'TL07'!$J$10:$J$224),0),
IF('TL07'!$B$229=M$3,SUMIF('TL07'!$C$238:$C$451,$C70,'TL07'!$J$238:$J$451),0),
IF('TL08'!$B$3=M$3,SUMIF('TL08'!$C$10:$C$224,$C70,'TL08'!$J$10:$J$224),0),
IF('TL08'!$B$229=M$3,SUMIF('TL08'!$C$238:$C$451,$C70,'TL08'!$J$238:$J$451),0),
IF('TL09'!$B$3=M$3,SUMIF('TL09'!$C$10:$C$224,$C70,'TL09'!$J$10:$J$224),0),
IF('TL09'!$B$229=M$3,SUMIF('TL09'!$C$238:$C$451,$C70,'TL09'!$J$238:$J$451),0),
IF('TL10'!$B$3=M$3,SUMIF('TL10'!$C$10:$C$224,$C70,'TL10'!$J$10:$J$224),0),
IF('TL10'!$B$229=M$3,SUMIF('TL10'!$C$238:$C$451,$C70,'TL10'!$J$238:$J$451),0),
IF('TL11'!$B$3=M$3,SUMIF('TL11'!$C$10:$C$224,$C70,'TL11'!$J$10:$J$224),0),
IF('TL11'!$B$229=M$3,SUMIF('TL11'!$C$238:$C$451,$C70,'TL11'!$J$238:$J$451),0),
IF('TL12'!$B$3=M$3,SUMIF('TL12'!$C$10:$C$224,$C70,'TL12'!$J$10:$J$224),0),
IF('TL12'!$B$229=M$3,SUMIF('TL12'!$C$238:$C$451,$C70,'TL12'!$J$238:$J$451),0),
IF('TL13'!$B$3=M$3,SUMIF('TL13'!$C$10:$C$224,$C70,'TL13'!$J$10:$J$224),0),
IF('TL13'!$B$229=M$3,SUMIF('TL13'!$C$238:$C$451,$C70,'TL13'!$J$238:$J$451),0),
IF('TL14'!$B$3=M$3,SUMIF('TL14'!$C$10:$C$224,$C70,'TL14'!$J$10:$J$224),0),
IF('TL14'!$B$229=M$3,SUMIF('TL14'!$C$238:$C$451,$C70,'TL14'!$J$238:$J$451),0),
IF('TL15'!$B$3=M$3,SUMIF('TL15'!$C$10:$C$224,$C70,'TL15'!$J$10:$J$224),0),
IF('TL15'!$B$229=M$3,SUMIF('TL15'!$C$238:$C$451,$C70,'TL15'!$J$238:$J$451),0),
IF('TL16'!$B$3=M$3,SUMIF('TL16'!$C$10:$C$224,$C70,'TL16'!$J$10:$J$224),0),
IF('TL16'!$B$229=M$3,SUMIF('TL16'!$C$238:$C$451,$C70,'TL16'!$J$238:$J$451),0),
IF('TL17'!$B$3=M$3,SUMIF('TL17'!$C$10:$C$224,$C70,'TL17'!$J$10:$J$224),0),
IF('TL17'!$B$229=M$3,SUMIF('TL17'!$C$238:$C$451,$C70,'TL17'!$J$238:$J$451),0),
IF('TL18'!$B$3=M$3,SUMIF('TL18'!$C$10:$C$224,$C70,'TL18'!$J$10:$J$224),0),
IF('TL18'!$B$229=M$3,SUMIF('TL18'!$C$238:$C$451,$C70,'TL18'!$J$238:$J$451),0),
IF('TL19'!$B$3=M$3,SUMIF('TL19'!$C$10:$C$224,$C70,'TL19'!$J$10:$J$224),0),
IF('TL19'!$B$229=M$3,SUMIF('TL19'!$C$238:$C$451,$C70,'TL19'!$J$238:$J$451),0)
),0)</f>
        <v/>
      </c>
      <c r="N70" s="9">
        <f>IFERROR(SUM(
IF('TL01'!$B$3=N$3,SUMIF('TL01'!$C$10:$C$224,$C70,'TL01'!$J$10:$J$224),0),
IF('TL01'!$B$229=N$3,SUMIF('TL01'!$C$238:$C$451,$C70,'TL01'!$J$238:$J$451),0),
IF('TL02'!$B$3=N$3,SUMIF('TL02'!$C$10:$C$224,$C70,'TL02'!$J$10:$J$224),0),
IF('TL02'!$B$229=N$3,SUMIF('TL02'!$C$238:$C$451,$C70,'TL02'!$J$238:$J$451),0),
IF('TL03'!$B$3=N$3,SUMIF('TL03'!$C$10:$C$224,$C70,'TL03'!$J$10:$J$224),0),
IF('TL03'!$B$229=N$3,SUMIF('TL03'!$C$238:$C$451,$C70,'TL03'!$J$238:$J$451),0),
IF('TL04'!$B$3=N$3,SUMIF('TL04'!$C$10:$C$224,$C70,'TL04'!$J$10:$J$224),0),
IF('TL04'!$B$229=N$3,SUMIF('TL04'!$C$238:$C$451,$C70,'TL04'!$J$238:$J$451),0),
IF('TL05'!$B$3=N$3,SUMIF('TL05'!$C$10:$C$224,$C70,'TL05'!$J$10:$J$224),0),
IF('TL05'!$B$229=N$3,SUMIF('TL05'!$C$238:$C$451,$C70,'TL05'!$J$238:$J$451),0),
IF('TL06'!$B$3=N$3,SUMIF('TL06'!$C$10:$C$224,$C70,'TL06'!$J$10:$J$224),0),
IF('TL06'!$B$229=N$3,SUMIF('TL06'!$C$238:$C$451,$C70,'TL06'!$J$238:$J$451),0),
IF('TL07'!$B$3=N$3,SUMIF('TL07'!$C$10:$C$224,$C70,'TL07'!$J$10:$J$224),0),
IF('TL07'!$B$229=N$3,SUMIF('TL07'!$C$238:$C$451,$C70,'TL07'!$J$238:$J$451),0),
IF('TL08'!$B$3=N$3,SUMIF('TL08'!$C$10:$C$224,$C70,'TL08'!$J$10:$J$224),0),
IF('TL08'!$B$229=N$3,SUMIF('TL08'!$C$238:$C$451,$C70,'TL08'!$J$238:$J$451),0),
IF('TL09'!$B$3=N$3,SUMIF('TL09'!$C$10:$C$224,$C70,'TL09'!$J$10:$J$224),0),
IF('TL09'!$B$229=N$3,SUMIF('TL09'!$C$238:$C$451,$C70,'TL09'!$J$238:$J$451),0),
IF('TL10'!$B$3=N$3,SUMIF('TL10'!$C$10:$C$224,$C70,'TL10'!$J$10:$J$224),0),
IF('TL10'!$B$229=N$3,SUMIF('TL10'!$C$238:$C$451,$C70,'TL10'!$J$238:$J$451),0),
IF('TL11'!$B$3=N$3,SUMIF('TL11'!$C$10:$C$224,$C70,'TL11'!$J$10:$J$224),0),
IF('TL11'!$B$229=N$3,SUMIF('TL11'!$C$238:$C$451,$C70,'TL11'!$J$238:$J$451),0),
IF('TL12'!$B$3=N$3,SUMIF('TL12'!$C$10:$C$224,$C70,'TL12'!$J$10:$J$224),0),
IF('TL12'!$B$229=N$3,SUMIF('TL12'!$C$238:$C$451,$C70,'TL12'!$J$238:$J$451),0),
IF('TL13'!$B$3=N$3,SUMIF('TL13'!$C$10:$C$224,$C70,'TL13'!$J$10:$J$224),0),
IF('TL13'!$B$229=N$3,SUMIF('TL13'!$C$238:$C$451,$C70,'TL13'!$J$238:$J$451),0),
IF('TL14'!$B$3=N$3,SUMIF('TL14'!$C$10:$C$224,$C70,'TL14'!$J$10:$J$224),0),
IF('TL14'!$B$229=N$3,SUMIF('TL14'!$C$238:$C$451,$C70,'TL14'!$J$238:$J$451),0),
IF('TL15'!$B$3=N$3,SUMIF('TL15'!$C$10:$C$224,$C70,'TL15'!$J$10:$J$224),0),
IF('TL15'!$B$229=N$3,SUMIF('TL15'!$C$238:$C$451,$C70,'TL15'!$J$238:$J$451),0),
IF('TL16'!$B$3=N$3,SUMIF('TL16'!$C$10:$C$224,$C70,'TL16'!$J$10:$J$224),0),
IF('TL16'!$B$229=N$3,SUMIF('TL16'!$C$238:$C$451,$C70,'TL16'!$J$238:$J$451),0),
IF('TL17'!$B$3=N$3,SUMIF('TL17'!$C$10:$C$224,$C70,'TL17'!$J$10:$J$224),0),
IF('TL17'!$B$229=N$3,SUMIF('TL17'!$C$238:$C$451,$C70,'TL17'!$J$238:$J$451),0),
IF('TL18'!$B$3=N$3,SUMIF('TL18'!$C$10:$C$224,$C70,'TL18'!$J$10:$J$224),0),
IF('TL18'!$B$229=N$3,SUMIF('TL18'!$C$238:$C$451,$C70,'TL18'!$J$238:$J$451),0),
IF('TL19'!$B$3=N$3,SUMIF('TL19'!$C$10:$C$224,$C70,'TL19'!$J$10:$J$224),0),
IF('TL19'!$B$229=N$3,SUMIF('TL19'!$C$238:$C$451,$C70,'TL19'!$J$238:$J$451),0)
),0)</f>
        <v/>
      </c>
      <c r="O70" s="9">
        <f>IFERROR(SUM(
IF('TL01'!$B$3=O$3,SUMIF('TL01'!$C$10:$C$224,$C70,'TL01'!$J$10:$J$224),0),
IF('TL01'!$B$229=O$3,SUMIF('TL01'!$C$238:$C$451,$C70,'TL01'!$J$238:$J$451),0),
IF('TL02'!$B$3=O$3,SUMIF('TL02'!$C$10:$C$224,$C70,'TL02'!$J$10:$J$224),0),
IF('TL02'!$B$229=O$3,SUMIF('TL02'!$C$238:$C$451,$C70,'TL02'!$J$238:$J$451),0),
IF('TL03'!$B$3=O$3,SUMIF('TL03'!$C$10:$C$224,$C70,'TL03'!$J$10:$J$224),0),
IF('TL03'!$B$229=O$3,SUMIF('TL03'!$C$238:$C$451,$C70,'TL03'!$J$238:$J$451),0),
IF('TL04'!$B$3=O$3,SUMIF('TL04'!$C$10:$C$224,$C70,'TL04'!$J$10:$J$224),0),
IF('TL04'!$B$229=O$3,SUMIF('TL04'!$C$238:$C$451,$C70,'TL04'!$J$238:$J$451),0),
IF('TL05'!$B$3=O$3,SUMIF('TL05'!$C$10:$C$224,$C70,'TL05'!$J$10:$J$224),0),
IF('TL05'!$B$229=O$3,SUMIF('TL05'!$C$238:$C$451,$C70,'TL05'!$J$238:$J$451),0),
IF('TL06'!$B$3=O$3,SUMIF('TL06'!$C$10:$C$224,$C70,'TL06'!$J$10:$J$224),0),
IF('TL06'!$B$229=O$3,SUMIF('TL06'!$C$238:$C$451,$C70,'TL06'!$J$238:$J$451),0),
IF('TL07'!$B$3=O$3,SUMIF('TL07'!$C$10:$C$224,$C70,'TL07'!$J$10:$J$224),0),
IF('TL07'!$B$229=O$3,SUMIF('TL07'!$C$238:$C$451,$C70,'TL07'!$J$238:$J$451),0),
IF('TL08'!$B$3=O$3,SUMIF('TL08'!$C$10:$C$224,$C70,'TL08'!$J$10:$J$224),0),
IF('TL08'!$B$229=O$3,SUMIF('TL08'!$C$238:$C$451,$C70,'TL08'!$J$238:$J$451),0),
IF('TL09'!$B$3=O$3,SUMIF('TL09'!$C$10:$C$224,$C70,'TL09'!$J$10:$J$224),0),
IF('TL09'!$B$229=O$3,SUMIF('TL09'!$C$238:$C$451,$C70,'TL09'!$J$238:$J$451),0),
IF('TL10'!$B$3=O$3,SUMIF('TL10'!$C$10:$C$224,$C70,'TL10'!$J$10:$J$224),0),
IF('TL10'!$B$229=O$3,SUMIF('TL10'!$C$238:$C$451,$C70,'TL10'!$J$238:$J$451),0),
IF('TL11'!$B$3=O$3,SUMIF('TL11'!$C$10:$C$224,$C70,'TL11'!$J$10:$J$224),0),
IF('TL11'!$B$229=O$3,SUMIF('TL11'!$C$238:$C$451,$C70,'TL11'!$J$238:$J$451),0),
IF('TL12'!$B$3=O$3,SUMIF('TL12'!$C$10:$C$224,$C70,'TL12'!$J$10:$J$224),0),
IF('TL12'!$B$229=O$3,SUMIF('TL12'!$C$238:$C$451,$C70,'TL12'!$J$238:$J$451),0),
IF('TL13'!$B$3=O$3,SUMIF('TL13'!$C$10:$C$224,$C70,'TL13'!$J$10:$J$224),0),
IF('TL13'!$B$229=O$3,SUMIF('TL13'!$C$238:$C$451,$C70,'TL13'!$J$238:$J$451),0),
IF('TL14'!$B$3=O$3,SUMIF('TL14'!$C$10:$C$224,$C70,'TL14'!$J$10:$J$224),0),
IF('TL14'!$B$229=O$3,SUMIF('TL14'!$C$238:$C$451,$C70,'TL14'!$J$238:$J$451),0),
IF('TL15'!$B$3=O$3,SUMIF('TL15'!$C$10:$C$224,$C70,'TL15'!$J$10:$J$224),0),
IF('TL15'!$B$229=O$3,SUMIF('TL15'!$C$238:$C$451,$C70,'TL15'!$J$238:$J$451),0),
IF('TL16'!$B$3=O$3,SUMIF('TL16'!$C$10:$C$224,$C70,'TL16'!$J$10:$J$224),0),
IF('TL16'!$B$229=O$3,SUMIF('TL16'!$C$238:$C$451,$C70,'TL16'!$J$238:$J$451),0),
IF('TL17'!$B$3=O$3,SUMIF('TL17'!$C$10:$C$224,$C70,'TL17'!$J$10:$J$224),0),
IF('TL17'!$B$229=O$3,SUMIF('TL17'!$C$238:$C$451,$C70,'TL17'!$J$238:$J$451),0),
IF('TL18'!$B$3=O$3,SUMIF('TL18'!$C$10:$C$224,$C70,'TL18'!$J$10:$J$224),0),
IF('TL18'!$B$229=O$3,SUMIF('TL18'!$C$238:$C$451,$C70,'TL18'!$J$238:$J$451),0),
IF('TL19'!$B$3=O$3,SUMIF('TL19'!$C$10:$C$224,$C70,'TL19'!$J$10:$J$224),0),
IF('TL19'!$B$229=O$3,SUMIF('TL19'!$C$238:$C$451,$C70,'TL19'!$J$238:$J$451),0)
),0)</f>
        <v/>
      </c>
      <c r="P70" s="9">
        <f>IFERROR(SUM(
IF('TL01'!$B$3=P$3,SUMIF('TL01'!$C$10:$C$224,$C70,'TL01'!$J$10:$J$224),0),
IF('TL01'!$B$229=P$3,SUMIF('TL01'!$C$238:$C$451,$C70,'TL01'!$J$238:$J$451),0),
IF('TL02'!$B$3=P$3,SUMIF('TL02'!$C$10:$C$224,$C70,'TL02'!$J$10:$J$224),0),
IF('TL02'!$B$229=P$3,SUMIF('TL02'!$C$238:$C$451,$C70,'TL02'!$J$238:$J$451),0),
IF('TL03'!$B$3=P$3,SUMIF('TL03'!$C$10:$C$224,$C70,'TL03'!$J$10:$J$224),0),
IF('TL03'!$B$229=P$3,SUMIF('TL03'!$C$238:$C$451,$C70,'TL03'!$J$238:$J$451),0),
IF('TL04'!$B$3=P$3,SUMIF('TL04'!$C$10:$C$224,$C70,'TL04'!$J$10:$J$224),0),
IF('TL04'!$B$229=P$3,SUMIF('TL04'!$C$238:$C$451,$C70,'TL04'!$J$238:$J$451),0),
IF('TL05'!$B$3=P$3,SUMIF('TL05'!$C$10:$C$224,$C70,'TL05'!$J$10:$J$224),0),
IF('TL05'!$B$229=P$3,SUMIF('TL05'!$C$238:$C$451,$C70,'TL05'!$J$238:$J$451),0),
IF('TL06'!$B$3=P$3,SUMIF('TL06'!$C$10:$C$224,$C70,'TL06'!$J$10:$J$224),0),
IF('TL06'!$B$229=P$3,SUMIF('TL06'!$C$238:$C$451,$C70,'TL06'!$J$238:$J$451),0),
IF('TL07'!$B$3=P$3,SUMIF('TL07'!$C$10:$C$224,$C70,'TL07'!$J$10:$J$224),0),
IF('TL07'!$B$229=P$3,SUMIF('TL07'!$C$238:$C$451,$C70,'TL07'!$J$238:$J$451),0),
IF('TL08'!$B$3=P$3,SUMIF('TL08'!$C$10:$C$224,$C70,'TL08'!$J$10:$J$224),0),
IF('TL08'!$B$229=P$3,SUMIF('TL08'!$C$238:$C$451,$C70,'TL08'!$J$238:$J$451),0),
IF('TL09'!$B$3=P$3,SUMIF('TL09'!$C$10:$C$224,$C70,'TL09'!$J$10:$J$224),0),
IF('TL09'!$B$229=P$3,SUMIF('TL09'!$C$238:$C$451,$C70,'TL09'!$J$238:$J$451),0),
IF('TL10'!$B$3=P$3,SUMIF('TL10'!$C$10:$C$224,$C70,'TL10'!$J$10:$J$224),0),
IF('TL10'!$B$229=P$3,SUMIF('TL10'!$C$238:$C$451,$C70,'TL10'!$J$238:$J$451),0),
IF('TL11'!$B$3=P$3,SUMIF('TL11'!$C$10:$C$224,$C70,'TL11'!$J$10:$J$224),0),
IF('TL11'!$B$229=P$3,SUMIF('TL11'!$C$238:$C$451,$C70,'TL11'!$J$238:$J$451),0),
IF('TL12'!$B$3=P$3,SUMIF('TL12'!$C$10:$C$224,$C70,'TL12'!$J$10:$J$224),0),
IF('TL12'!$B$229=P$3,SUMIF('TL12'!$C$238:$C$451,$C70,'TL12'!$J$238:$J$451),0),
IF('TL13'!$B$3=P$3,SUMIF('TL13'!$C$10:$C$224,$C70,'TL13'!$J$10:$J$224),0),
IF('TL13'!$B$229=P$3,SUMIF('TL13'!$C$238:$C$451,$C70,'TL13'!$J$238:$J$451),0),
IF('TL14'!$B$3=P$3,SUMIF('TL14'!$C$10:$C$224,$C70,'TL14'!$J$10:$J$224),0),
IF('TL14'!$B$229=P$3,SUMIF('TL14'!$C$238:$C$451,$C70,'TL14'!$J$238:$J$451),0),
IF('TL15'!$B$3=P$3,SUMIF('TL15'!$C$10:$C$224,$C70,'TL15'!$J$10:$J$224),0),
IF('TL15'!$B$229=P$3,SUMIF('TL15'!$C$238:$C$451,$C70,'TL15'!$J$238:$J$451),0),
IF('TL16'!$B$3=P$3,SUMIF('TL16'!$C$10:$C$224,$C70,'TL16'!$J$10:$J$224),0),
IF('TL16'!$B$229=P$3,SUMIF('TL16'!$C$238:$C$451,$C70,'TL16'!$J$238:$J$451),0),
IF('TL17'!$B$3=P$3,SUMIF('TL17'!$C$10:$C$224,$C70,'TL17'!$J$10:$J$224),0),
IF('TL17'!$B$229=P$3,SUMIF('TL17'!$C$238:$C$451,$C70,'TL17'!$J$238:$J$451),0),
IF('TL18'!$B$3=P$3,SUMIF('TL18'!$C$10:$C$224,$C70,'TL18'!$J$10:$J$224),0),
IF('TL18'!$B$229=P$3,SUMIF('TL18'!$C$238:$C$451,$C70,'TL18'!$J$238:$J$451),0),
IF('TL19'!$B$3=P$3,SUMIF('TL19'!$C$10:$C$224,$C70,'TL19'!$J$10:$J$224),0),
IF('TL19'!$B$229=P$3,SUMIF('TL19'!$C$238:$C$451,$C70,'TL19'!$J$238:$J$451),0)
),0)</f>
        <v/>
      </c>
      <c r="Q70" s="9">
        <f>IFERROR(SUM(
IF('TL01'!$B$3=Q$3,SUMIF('TL01'!$C$10:$C$224,$C70,'TL01'!$J$10:$J$224),0),
IF('TL01'!$B$229=Q$3,SUMIF('TL01'!$C$238:$C$451,$C70,'TL01'!$J$238:$J$451),0),
IF('TL02'!$B$3=Q$3,SUMIF('TL02'!$C$10:$C$224,$C70,'TL02'!$J$10:$J$224),0),
IF('TL02'!$B$229=Q$3,SUMIF('TL02'!$C$238:$C$451,$C70,'TL02'!$J$238:$J$451),0),
IF('TL03'!$B$3=Q$3,SUMIF('TL03'!$C$10:$C$224,$C70,'TL03'!$J$10:$J$224),0),
IF('TL03'!$B$229=Q$3,SUMIF('TL03'!$C$238:$C$451,$C70,'TL03'!$J$238:$J$451),0),
IF('TL04'!$B$3=Q$3,SUMIF('TL04'!$C$10:$C$224,$C70,'TL04'!$J$10:$J$224),0),
IF('TL04'!$B$229=Q$3,SUMIF('TL04'!$C$238:$C$451,$C70,'TL04'!$J$238:$J$451),0),
IF('TL05'!$B$3=Q$3,SUMIF('TL05'!$C$10:$C$224,$C70,'TL05'!$J$10:$J$224),0),
IF('TL05'!$B$229=Q$3,SUMIF('TL05'!$C$238:$C$451,$C70,'TL05'!$J$238:$J$451),0),
IF('TL06'!$B$3=Q$3,SUMIF('TL06'!$C$10:$C$224,$C70,'TL06'!$J$10:$J$224),0),
IF('TL06'!$B$229=Q$3,SUMIF('TL06'!$C$238:$C$451,$C70,'TL06'!$J$238:$J$451),0),
IF('TL07'!$B$3=Q$3,SUMIF('TL07'!$C$10:$C$224,$C70,'TL07'!$J$10:$J$224),0),
IF('TL07'!$B$229=Q$3,SUMIF('TL07'!$C$238:$C$451,$C70,'TL07'!$J$238:$J$451),0),
IF('TL08'!$B$3=Q$3,SUMIF('TL08'!$C$10:$C$224,$C70,'TL08'!$J$10:$J$224),0),
IF('TL08'!$B$229=Q$3,SUMIF('TL08'!$C$238:$C$451,$C70,'TL08'!$J$238:$J$451),0),
IF('TL09'!$B$3=Q$3,SUMIF('TL09'!$C$10:$C$224,$C70,'TL09'!$J$10:$J$224),0),
IF('TL09'!$B$229=Q$3,SUMIF('TL09'!$C$238:$C$451,$C70,'TL09'!$J$238:$J$451),0),
IF('TL10'!$B$3=Q$3,SUMIF('TL10'!$C$10:$C$224,$C70,'TL10'!$J$10:$J$224),0),
IF('TL10'!$B$229=Q$3,SUMIF('TL10'!$C$238:$C$451,$C70,'TL10'!$J$238:$J$451),0),
IF('TL11'!$B$3=Q$3,SUMIF('TL11'!$C$10:$C$224,$C70,'TL11'!$J$10:$J$224),0),
IF('TL11'!$B$229=Q$3,SUMIF('TL11'!$C$238:$C$451,$C70,'TL11'!$J$238:$J$451),0),
IF('TL12'!$B$3=Q$3,SUMIF('TL12'!$C$10:$C$224,$C70,'TL12'!$J$10:$J$224),0),
IF('TL12'!$B$229=Q$3,SUMIF('TL12'!$C$238:$C$451,$C70,'TL12'!$J$238:$J$451),0),
IF('TL13'!$B$3=Q$3,SUMIF('TL13'!$C$10:$C$224,$C70,'TL13'!$J$10:$J$224),0),
IF('TL13'!$B$229=Q$3,SUMIF('TL13'!$C$238:$C$451,$C70,'TL13'!$J$238:$J$451),0),
IF('TL14'!$B$3=Q$3,SUMIF('TL14'!$C$10:$C$224,$C70,'TL14'!$J$10:$J$224),0),
IF('TL14'!$B$229=Q$3,SUMIF('TL14'!$C$238:$C$451,$C70,'TL14'!$J$238:$J$451),0),
IF('TL15'!$B$3=Q$3,SUMIF('TL15'!$C$10:$C$224,$C70,'TL15'!$J$10:$J$224),0),
IF('TL15'!$B$229=Q$3,SUMIF('TL15'!$C$238:$C$451,$C70,'TL15'!$J$238:$J$451),0),
IF('TL16'!$B$3=Q$3,SUMIF('TL16'!$C$10:$C$224,$C70,'TL16'!$J$10:$J$224),0),
IF('TL16'!$B$229=Q$3,SUMIF('TL16'!$C$238:$C$451,$C70,'TL16'!$J$238:$J$451),0),
IF('TL17'!$B$3=Q$3,SUMIF('TL17'!$C$10:$C$224,$C70,'TL17'!$J$10:$J$224),0),
IF('TL17'!$B$229=Q$3,SUMIF('TL17'!$C$238:$C$451,$C70,'TL17'!$J$238:$J$451),0),
IF('TL18'!$B$3=Q$3,SUMIF('TL18'!$C$10:$C$224,$C70,'TL18'!$J$10:$J$224),0),
IF('TL18'!$B$229=Q$3,SUMIF('TL18'!$C$238:$C$451,$C70,'TL18'!$J$238:$J$451),0),
IF('TL19'!$B$3=Q$3,SUMIF('TL19'!$C$10:$C$224,$C70,'TL19'!$J$10:$J$224),0),
IF('TL19'!$B$229=Q$3,SUMIF('TL19'!$C$238:$C$451,$C70,'TL19'!$J$238:$J$451),0)
),0)</f>
        <v/>
      </c>
      <c r="R70" s="9">
        <f>IFERROR(
SUM(
SUMIF('TL01'!C:C,C70,'TL01'!J:J),
SUMIF('TL02'!C:C,C70,'TL02'!J:J),
SUMIF('TL03'!C:C,C70,'TL03'!J:J),
SUMIF('TL04'!C:C,C70,'TL04'!J:J),
SUMIF('TL05'!C:C,C70,'TL05'!J:J),
SUMIF('TL06'!C:C,C70,'TL06'!J:J),
SUMIF('TL07'!C:C,C70,'TL07'!J:J),
SUMIF('TL08'!C:C,C70,'TL08'!J:J),
SUMIF('TL09'!C:C,C70,'TL09'!J:J),
SUMIF('TL10'!C:C,C70,'TL10'!J:J),
SUMIF('TL11'!C:C,C70,'TL11'!J:J),
SUMIF('TL12'!C:C,C70,'TL12'!J:J),
SUMIF('TL13'!C:C,C70,'TL13'!J:J),
SUMIF('TL14'!C:C,C70,'TL14'!J:J),
SUMIF('TL15'!C:C,C70,'TL15'!J:J),
SUMIF('TL16'!C:C,C70,'TL16'!J:J),
SUMIF('TL17'!C:C,C70,'TL17'!J:J),
SUMIF('TL18'!C:C,C70,'TL18'!J:J),SUMIF('TL19'!C:C,C70,'TL19'!J:J))
,0)</f>
        <v/>
      </c>
      <c r="S70" s="17">
        <f>IFERROR(__xludf.DUMMYFUNCTION("IFERROR(VLOOKUP(C70,
IMPORTRANGE(""1wULbzX32WdYsx-lj2U3uUNBBe2INVIRDtcK0d-Dvl90"",
""26-27!C:G""),
5,
FALSE),
"""")"),36.68256000000001)</f>
        <v/>
      </c>
      <c r="T70" s="9" t="n"/>
      <c r="U70" s="92">
        <f>MAX(0,R70-T70)</f>
        <v/>
      </c>
      <c r="V70" s="93">
        <f>U70*S70</f>
        <v/>
      </c>
    </row>
    <row r="71" hidden="1" ht="15.75" customHeight="1" s="297">
      <c r="A71" s="111" t="inlineStr">
        <is>
          <t>NORTOX</t>
        </is>
      </c>
      <c r="B71" s="112" t="inlineStr">
        <is>
          <t>FUNGICIDA</t>
        </is>
      </c>
      <c r="C71" s="113" t="inlineStr">
        <is>
          <t>FLUAZINAM NORTOX 500 SC</t>
        </is>
      </c>
      <c r="D71" s="113" t="inlineStr">
        <is>
          <t>FLUAZINAM</t>
        </is>
      </c>
      <c r="E71" s="113" t="n">
        <v>500</v>
      </c>
      <c r="F71" s="4" t="inlineStr">
        <is>
          <t>L</t>
        </is>
      </c>
      <c r="G71" s="90">
        <f>HYPERLINK("https://www.google.com/search?q=" &amp; C71 &amp; "+bula+agrofit+pdf", "📄 Ver bula")</f>
        <v/>
      </c>
      <c r="H71" s="9">
        <f>IFERROR(__xludf.DUMMYFUNCTION("IFERROR(VLOOKUP(C71,
IMPORTRANGE(""1wULbzX32WdYsx-lj2U3uUNBBe2INVIRDtcK0d-Dvl90"",
""26-27!C:K""),
8,
FALSE),
"""")"),1.0)</f>
        <v/>
      </c>
      <c r="I71" s="114" t="inlineStr">
        <is>
          <t>4X5</t>
        </is>
      </c>
      <c r="J71" s="9">
        <f>IFERROR(SUM(
IF('TL01'!$B$3=J$3,SUMIF('TL01'!$C$10:$C$224,$C71,'TL01'!$J$10:$J$224),0),
IF('TL01'!$B$229=J$3,SUMIF('TL01'!$C$238:$C$451,$C71,'TL01'!$J$238:$J$451),0),
IF('TL02'!$B$3=J$3,SUMIF('TL02'!$C$10:$C$224,$C71,'TL02'!$J$10:$J$224),0),
IF('TL02'!$B$229=J$3,SUMIF('TL02'!$C$238:$C$451,$C71,'TL02'!$J$238:$J$451),0),
IF('TL03'!$B$3=J$3,SUMIF('TL03'!$C$10:$C$224,$C71,'TL03'!$J$10:$J$224),0),
IF('TL03'!$B$229=J$3,SUMIF('TL03'!$C$238:$C$451,$C71,'TL03'!$J$238:$J$451),0),
IF('TL04'!$B$3=J$3,SUMIF('TL04'!$C$10:$C$224,$C71,'TL04'!$J$10:$J$224),0),
IF('TL04'!$B$229=J$3,SUMIF('TL04'!$C$238:$C$451,$C71,'TL04'!$J$238:$J$451),0),
IF('TL05'!$B$3=J$3,SUMIF('TL05'!$C$10:$C$224,$C71,'TL05'!$J$10:$J$224),0),
IF('TL05'!$B$229=J$3,SUMIF('TL05'!$C$238:$C$451,$C71,'TL05'!$J$238:$J$451),0),
IF('TL06'!$B$3=J$3,SUMIF('TL06'!$C$10:$C$224,$C71,'TL06'!$J$10:$J$224),0),
IF('TL06'!$B$229=J$3,SUMIF('TL06'!$C$238:$C$451,$C71,'TL06'!$J$238:$J$451),0),
IF('TL07'!$B$3=J$3,SUMIF('TL07'!$C$10:$C$224,$C71,'TL07'!$J$10:$J$224),0),
IF('TL07'!$B$229=J$3,SUMIF('TL07'!$C$238:$C$451,$C71,'TL07'!$J$238:$J$451),0),
IF('TL08'!$B$3=J$3,SUMIF('TL08'!$C$10:$C$224,$C71,'TL08'!$J$10:$J$224),0),
IF('TL08'!$B$229=J$3,SUMIF('TL08'!$C$238:$C$451,$C71,'TL08'!$J$238:$J$451),0),
IF('TL09'!$B$3=J$3,SUMIF('TL09'!$C$10:$C$224,$C71,'TL09'!$J$10:$J$224),0),
IF('TL09'!$B$229=J$3,SUMIF('TL09'!$C$238:$C$451,$C71,'TL09'!$J$238:$J$451),0),
IF('TL10'!$B$3=J$3,SUMIF('TL10'!$C$10:$C$224,$C71,'TL10'!$J$10:$J$224),0),
IF('TL10'!$B$229=J$3,SUMIF('TL10'!$C$238:$C$451,$C71,'TL10'!$J$238:$J$451),0),
IF('TL11'!$B$3=J$3,SUMIF('TL11'!$C$10:$C$224,$C71,'TL11'!$J$10:$J$224),0),
IF('TL11'!$B$229=J$3,SUMIF('TL11'!$C$238:$C$451,$C71,'TL11'!$J$238:$J$451),0),
IF('TL12'!$B$3=J$3,SUMIF('TL12'!$C$10:$C$224,$C71,'TL12'!$J$10:$J$224),0),
IF('TL12'!$B$229=J$3,SUMIF('TL12'!$C$238:$C$451,$C71,'TL12'!$J$238:$J$451),0),
IF('TL13'!$B$3=J$3,SUMIF('TL13'!$C$10:$C$224,$C71,'TL13'!$J$10:$J$224),0),
IF('TL13'!$B$229=J$3,SUMIF('TL13'!$C$238:$C$451,$C71,'TL13'!$J$238:$J$451),0),
IF('TL14'!$B$3=J$3,SUMIF('TL14'!$C$10:$C$224,$C71,'TL14'!$J$10:$J$224),0),
IF('TL14'!$B$229=J$3,SUMIF('TL14'!$C$238:$C$451,$C71,'TL14'!$J$238:$J$451),0),
IF('TL15'!$B$3=J$3,SUMIF('TL15'!$C$10:$C$224,$C71,'TL15'!$J$10:$J$224),0),
IF('TL15'!$B$229=J$3,SUMIF('TL15'!$C$238:$C$451,$C71,'TL15'!$J$238:$J$451),0),
IF('TL16'!$B$3=J$3,SUMIF('TL16'!$C$10:$C$224,$C71,'TL16'!$J$10:$J$224),0),
IF('TL16'!$B$229=J$3,SUMIF('TL16'!$C$238:$C$451,$C71,'TL16'!$J$238:$J$451),0),
IF('TL17'!$B$3=J$3,SUMIF('TL17'!$C$10:$C$224,$C71,'TL17'!$J$10:$J$224),0),
IF('TL17'!$B$229=J$3,SUMIF('TL17'!$C$238:$C$451,$C71,'TL17'!$J$238:$J$451),0),
IF('TL18'!$B$3=J$3,SUMIF('TL18'!$C$10:$C$224,$C71,'TL18'!$J$10:$J$224),0),
IF('TL18'!$B$229=J$3,SUMIF('TL18'!$C$238:$C$451,$C71,'TL18'!$J$238:$J$451),0),
IF('TL19'!$B$3=J$3,SUMIF('TL19'!$C$10:$C$224,$C71,'TL19'!$J$10:$J$224),0),
IF('TL19'!$B$229=J$3,SUMIF('TL19'!$C$238:$C$451,$C71,'TL19'!$J$238:$J$451),0)
),0)</f>
        <v/>
      </c>
      <c r="K71" s="9">
        <f>IFERROR(SUM(
IF('TL01'!$B$3=K$3,SUMIF('TL01'!$C$10:$C$224,$C71,'TL01'!$J$10:$J$224),0),
IF('TL01'!$B$229=K$3,SUMIF('TL01'!$C$238:$C$451,$C71,'TL01'!$J$238:$J$451),0),
IF('TL02'!$B$3=K$3,SUMIF('TL02'!$C$10:$C$224,$C71,'TL02'!$J$10:$J$224),0),
IF('TL02'!$B$229=K$3,SUMIF('TL02'!$C$238:$C$451,$C71,'TL02'!$J$238:$J$451),0),
IF('TL03'!$B$3=K$3,SUMIF('TL03'!$C$10:$C$224,$C71,'TL03'!$J$10:$J$224),0),
IF('TL03'!$B$229=K$3,SUMIF('TL03'!$C$238:$C$451,$C71,'TL03'!$J$238:$J$451),0),
IF('TL04'!$B$3=K$3,SUMIF('TL04'!$C$10:$C$224,$C71,'TL04'!$J$10:$J$224),0),
IF('TL04'!$B$229=K$3,SUMIF('TL04'!$C$238:$C$451,$C71,'TL04'!$J$238:$J$451),0),
IF('TL05'!$B$3=K$3,SUMIF('TL05'!$C$10:$C$224,$C71,'TL05'!$J$10:$J$224),0),
IF('TL05'!$B$229=K$3,SUMIF('TL05'!$C$238:$C$451,$C71,'TL05'!$J$238:$J$451),0),
IF('TL06'!$B$3=K$3,SUMIF('TL06'!$C$10:$C$224,$C71,'TL06'!$J$10:$J$224),0),
IF('TL06'!$B$229=K$3,SUMIF('TL06'!$C$238:$C$451,$C71,'TL06'!$J$238:$J$451),0),
IF('TL07'!$B$3=K$3,SUMIF('TL07'!$C$10:$C$224,$C71,'TL07'!$J$10:$J$224),0),
IF('TL07'!$B$229=K$3,SUMIF('TL07'!$C$238:$C$451,$C71,'TL07'!$J$238:$J$451),0),
IF('TL08'!$B$3=K$3,SUMIF('TL08'!$C$10:$C$224,$C71,'TL08'!$J$10:$J$224),0),
IF('TL08'!$B$229=K$3,SUMIF('TL08'!$C$238:$C$451,$C71,'TL08'!$J$238:$J$451),0),
IF('TL09'!$B$3=K$3,SUMIF('TL09'!$C$10:$C$224,$C71,'TL09'!$J$10:$J$224),0),
IF('TL09'!$B$229=K$3,SUMIF('TL09'!$C$238:$C$451,$C71,'TL09'!$J$238:$J$451),0),
IF('TL10'!$B$3=K$3,SUMIF('TL10'!$C$10:$C$224,$C71,'TL10'!$J$10:$J$224),0),
IF('TL10'!$B$229=K$3,SUMIF('TL10'!$C$238:$C$451,$C71,'TL10'!$J$238:$J$451),0),
IF('TL11'!$B$3=K$3,SUMIF('TL11'!$C$10:$C$224,$C71,'TL11'!$J$10:$J$224),0),
IF('TL11'!$B$229=K$3,SUMIF('TL11'!$C$238:$C$451,$C71,'TL11'!$J$238:$J$451),0),
IF('TL12'!$B$3=K$3,SUMIF('TL12'!$C$10:$C$224,$C71,'TL12'!$J$10:$J$224),0),
IF('TL12'!$B$229=K$3,SUMIF('TL12'!$C$238:$C$451,$C71,'TL12'!$J$238:$J$451),0),
IF('TL13'!$B$3=K$3,SUMIF('TL13'!$C$10:$C$224,$C71,'TL13'!$J$10:$J$224),0),
IF('TL13'!$B$229=K$3,SUMIF('TL13'!$C$238:$C$451,$C71,'TL13'!$J$238:$J$451),0),
IF('TL14'!$B$3=K$3,SUMIF('TL14'!$C$10:$C$224,$C71,'TL14'!$J$10:$J$224),0),
IF('TL14'!$B$229=K$3,SUMIF('TL14'!$C$238:$C$451,$C71,'TL14'!$J$238:$J$451),0),
IF('TL15'!$B$3=K$3,SUMIF('TL15'!$C$10:$C$224,$C71,'TL15'!$J$10:$J$224),0),
IF('TL15'!$B$229=K$3,SUMIF('TL15'!$C$238:$C$451,$C71,'TL15'!$J$238:$J$451),0),
IF('TL16'!$B$3=K$3,SUMIF('TL16'!$C$10:$C$224,$C71,'TL16'!$J$10:$J$224),0),
IF('TL16'!$B$229=K$3,SUMIF('TL16'!$C$238:$C$451,$C71,'TL16'!$J$238:$J$451),0),
IF('TL17'!$B$3=K$3,SUMIF('TL17'!$C$10:$C$224,$C71,'TL17'!$J$10:$J$224),0),
IF('TL17'!$B$229=K$3,SUMIF('TL17'!$C$238:$C$451,$C71,'TL17'!$J$238:$J$451),0),
IF('TL18'!$B$3=K$3,SUMIF('TL18'!$C$10:$C$224,$C71,'TL18'!$J$10:$J$224),0),
IF('TL18'!$B$229=K$3,SUMIF('TL18'!$C$238:$C$451,$C71,'TL18'!$J$238:$J$451),0),
IF('TL19'!$B$3=K$3,SUMIF('TL19'!$C$10:$C$224,$C71,'TL19'!$J$10:$J$224),0),
IF('TL19'!$B$229=K$3,SUMIF('TL19'!$C$238:$C$451,$C71,'TL19'!$J$238:$J$451),0)
),0)</f>
        <v/>
      </c>
      <c r="L71" s="9">
        <f>IFERROR(SUM(
IF('TL01'!$B$3=L$3,SUMIF('TL01'!$C$10:$C$224,$C71,'TL01'!$J$10:$J$224),0),
IF('TL01'!$B$229=L$3,SUMIF('TL01'!$C$238:$C$451,$C71,'TL01'!$J$238:$J$451),0),
IF('TL02'!$B$3=L$3,SUMIF('TL02'!$C$10:$C$224,$C71,'TL02'!$J$10:$J$224),0),
IF('TL02'!$B$229=L$3,SUMIF('TL02'!$C$238:$C$451,$C71,'TL02'!$J$238:$J$451),0),
IF('TL03'!$B$3=L$3,SUMIF('TL03'!$C$10:$C$224,$C71,'TL03'!$J$10:$J$224),0),
IF('TL03'!$B$229=L$3,SUMIF('TL03'!$C$238:$C$451,$C71,'TL03'!$J$238:$J$451),0),
IF('TL04'!$B$3=L$3,SUMIF('TL04'!$C$10:$C$224,$C71,'TL04'!$J$10:$J$224),0),
IF('TL04'!$B$229=L$3,SUMIF('TL04'!$C$238:$C$451,$C71,'TL04'!$J$238:$J$451),0),
IF('TL05'!$B$3=L$3,SUMIF('TL05'!$C$10:$C$224,$C71,'TL05'!$J$10:$J$224),0),
IF('TL05'!$B$229=L$3,SUMIF('TL05'!$C$238:$C$451,$C71,'TL05'!$J$238:$J$451),0),
IF('TL06'!$B$3=L$3,SUMIF('TL06'!$C$10:$C$224,$C71,'TL06'!$J$10:$J$224),0),
IF('TL06'!$B$229=L$3,SUMIF('TL06'!$C$238:$C$451,$C71,'TL06'!$J$238:$J$451),0),
IF('TL07'!$B$3=L$3,SUMIF('TL07'!$C$10:$C$224,$C71,'TL07'!$J$10:$J$224),0),
IF('TL07'!$B$229=L$3,SUMIF('TL07'!$C$238:$C$451,$C71,'TL07'!$J$238:$J$451),0),
IF('TL08'!$B$3=L$3,SUMIF('TL08'!$C$10:$C$224,$C71,'TL08'!$J$10:$J$224),0),
IF('TL08'!$B$229=L$3,SUMIF('TL08'!$C$238:$C$451,$C71,'TL08'!$J$238:$J$451),0),
IF('TL09'!$B$3=L$3,SUMIF('TL09'!$C$10:$C$224,$C71,'TL09'!$J$10:$J$224),0),
IF('TL09'!$B$229=L$3,SUMIF('TL09'!$C$238:$C$451,$C71,'TL09'!$J$238:$J$451),0),
IF('TL10'!$B$3=L$3,SUMIF('TL10'!$C$10:$C$224,$C71,'TL10'!$J$10:$J$224),0),
IF('TL10'!$B$229=L$3,SUMIF('TL10'!$C$238:$C$451,$C71,'TL10'!$J$238:$J$451),0),
IF('TL11'!$B$3=L$3,SUMIF('TL11'!$C$10:$C$224,$C71,'TL11'!$J$10:$J$224),0),
IF('TL11'!$B$229=L$3,SUMIF('TL11'!$C$238:$C$451,$C71,'TL11'!$J$238:$J$451),0),
IF('TL12'!$B$3=L$3,SUMIF('TL12'!$C$10:$C$224,$C71,'TL12'!$J$10:$J$224),0),
IF('TL12'!$B$229=L$3,SUMIF('TL12'!$C$238:$C$451,$C71,'TL12'!$J$238:$J$451),0),
IF('TL13'!$B$3=L$3,SUMIF('TL13'!$C$10:$C$224,$C71,'TL13'!$J$10:$J$224),0),
IF('TL13'!$B$229=L$3,SUMIF('TL13'!$C$238:$C$451,$C71,'TL13'!$J$238:$J$451),0),
IF('TL14'!$B$3=L$3,SUMIF('TL14'!$C$10:$C$224,$C71,'TL14'!$J$10:$J$224),0),
IF('TL14'!$B$229=L$3,SUMIF('TL14'!$C$238:$C$451,$C71,'TL14'!$J$238:$J$451),0),
IF('TL15'!$B$3=L$3,SUMIF('TL15'!$C$10:$C$224,$C71,'TL15'!$J$10:$J$224),0),
IF('TL15'!$B$229=L$3,SUMIF('TL15'!$C$238:$C$451,$C71,'TL15'!$J$238:$J$451),0),
IF('TL16'!$B$3=L$3,SUMIF('TL16'!$C$10:$C$224,$C71,'TL16'!$J$10:$J$224),0),
IF('TL16'!$B$229=L$3,SUMIF('TL16'!$C$238:$C$451,$C71,'TL16'!$J$238:$J$451),0),
IF('TL17'!$B$3=L$3,SUMIF('TL17'!$C$10:$C$224,$C71,'TL17'!$J$10:$J$224),0),
IF('TL17'!$B$229=L$3,SUMIF('TL17'!$C$238:$C$451,$C71,'TL17'!$J$238:$J$451),0),
IF('TL18'!$B$3=L$3,SUMIF('TL18'!$C$10:$C$224,$C71,'TL18'!$J$10:$J$224),0),
IF('TL18'!$B$229=L$3,SUMIF('TL18'!$C$238:$C$451,$C71,'TL18'!$J$238:$J$451),0),
IF('TL19'!$B$3=L$3,SUMIF('TL19'!$C$10:$C$224,$C71,'TL19'!$J$10:$J$224),0),
IF('TL19'!$B$229=L$3,SUMIF('TL19'!$C$238:$C$451,$C71,'TL19'!$J$238:$J$451),0)
),0)</f>
        <v/>
      </c>
      <c r="M71" s="9">
        <f>IFERROR(SUM(
IF('TL01'!$B$3=M$3,SUMIF('TL01'!$C$10:$C$224,$C71,'TL01'!$J$10:$J$224),0),
IF('TL01'!$B$229=M$3,SUMIF('TL01'!$C$238:$C$451,$C71,'TL01'!$J$238:$J$451),0),
IF('TL02'!$B$3=M$3,SUMIF('TL02'!$C$10:$C$224,$C71,'TL02'!$J$10:$J$224),0),
IF('TL02'!$B$229=M$3,SUMIF('TL02'!$C$238:$C$451,$C71,'TL02'!$J$238:$J$451),0),
IF('TL03'!$B$3=M$3,SUMIF('TL03'!$C$10:$C$224,$C71,'TL03'!$J$10:$J$224),0),
IF('TL03'!$B$229=M$3,SUMIF('TL03'!$C$238:$C$451,$C71,'TL03'!$J$238:$J$451),0),
IF('TL04'!$B$3=M$3,SUMIF('TL04'!$C$10:$C$224,$C71,'TL04'!$J$10:$J$224),0),
IF('TL04'!$B$229=M$3,SUMIF('TL04'!$C$238:$C$451,$C71,'TL04'!$J$238:$J$451),0),
IF('TL05'!$B$3=M$3,SUMIF('TL05'!$C$10:$C$224,$C71,'TL05'!$J$10:$J$224),0),
IF('TL05'!$B$229=M$3,SUMIF('TL05'!$C$238:$C$451,$C71,'TL05'!$J$238:$J$451),0),
IF('TL06'!$B$3=M$3,SUMIF('TL06'!$C$10:$C$224,$C71,'TL06'!$J$10:$J$224),0),
IF('TL06'!$B$229=M$3,SUMIF('TL06'!$C$238:$C$451,$C71,'TL06'!$J$238:$J$451),0),
IF('TL07'!$B$3=M$3,SUMIF('TL07'!$C$10:$C$224,$C71,'TL07'!$J$10:$J$224),0),
IF('TL07'!$B$229=M$3,SUMIF('TL07'!$C$238:$C$451,$C71,'TL07'!$J$238:$J$451),0),
IF('TL08'!$B$3=M$3,SUMIF('TL08'!$C$10:$C$224,$C71,'TL08'!$J$10:$J$224),0),
IF('TL08'!$B$229=M$3,SUMIF('TL08'!$C$238:$C$451,$C71,'TL08'!$J$238:$J$451),0),
IF('TL09'!$B$3=M$3,SUMIF('TL09'!$C$10:$C$224,$C71,'TL09'!$J$10:$J$224),0),
IF('TL09'!$B$229=M$3,SUMIF('TL09'!$C$238:$C$451,$C71,'TL09'!$J$238:$J$451),0),
IF('TL10'!$B$3=M$3,SUMIF('TL10'!$C$10:$C$224,$C71,'TL10'!$J$10:$J$224),0),
IF('TL10'!$B$229=M$3,SUMIF('TL10'!$C$238:$C$451,$C71,'TL10'!$J$238:$J$451),0),
IF('TL11'!$B$3=M$3,SUMIF('TL11'!$C$10:$C$224,$C71,'TL11'!$J$10:$J$224),0),
IF('TL11'!$B$229=M$3,SUMIF('TL11'!$C$238:$C$451,$C71,'TL11'!$J$238:$J$451),0),
IF('TL12'!$B$3=M$3,SUMIF('TL12'!$C$10:$C$224,$C71,'TL12'!$J$10:$J$224),0),
IF('TL12'!$B$229=M$3,SUMIF('TL12'!$C$238:$C$451,$C71,'TL12'!$J$238:$J$451),0),
IF('TL13'!$B$3=M$3,SUMIF('TL13'!$C$10:$C$224,$C71,'TL13'!$J$10:$J$224),0),
IF('TL13'!$B$229=M$3,SUMIF('TL13'!$C$238:$C$451,$C71,'TL13'!$J$238:$J$451),0),
IF('TL14'!$B$3=M$3,SUMIF('TL14'!$C$10:$C$224,$C71,'TL14'!$J$10:$J$224),0),
IF('TL14'!$B$229=M$3,SUMIF('TL14'!$C$238:$C$451,$C71,'TL14'!$J$238:$J$451),0),
IF('TL15'!$B$3=M$3,SUMIF('TL15'!$C$10:$C$224,$C71,'TL15'!$J$10:$J$224),0),
IF('TL15'!$B$229=M$3,SUMIF('TL15'!$C$238:$C$451,$C71,'TL15'!$J$238:$J$451),0),
IF('TL16'!$B$3=M$3,SUMIF('TL16'!$C$10:$C$224,$C71,'TL16'!$J$10:$J$224),0),
IF('TL16'!$B$229=M$3,SUMIF('TL16'!$C$238:$C$451,$C71,'TL16'!$J$238:$J$451),0),
IF('TL17'!$B$3=M$3,SUMIF('TL17'!$C$10:$C$224,$C71,'TL17'!$J$10:$J$224),0),
IF('TL17'!$B$229=M$3,SUMIF('TL17'!$C$238:$C$451,$C71,'TL17'!$J$238:$J$451),0),
IF('TL18'!$B$3=M$3,SUMIF('TL18'!$C$10:$C$224,$C71,'TL18'!$J$10:$J$224),0),
IF('TL18'!$B$229=M$3,SUMIF('TL18'!$C$238:$C$451,$C71,'TL18'!$J$238:$J$451),0),
IF('TL19'!$B$3=M$3,SUMIF('TL19'!$C$10:$C$224,$C71,'TL19'!$J$10:$J$224),0),
IF('TL19'!$B$229=M$3,SUMIF('TL19'!$C$238:$C$451,$C71,'TL19'!$J$238:$J$451),0)
),0)</f>
        <v/>
      </c>
      <c r="N71" s="9">
        <f>IFERROR(SUM(
IF('TL01'!$B$3=N$3,SUMIF('TL01'!$C$10:$C$224,$C71,'TL01'!$J$10:$J$224),0),
IF('TL01'!$B$229=N$3,SUMIF('TL01'!$C$238:$C$451,$C71,'TL01'!$J$238:$J$451),0),
IF('TL02'!$B$3=N$3,SUMIF('TL02'!$C$10:$C$224,$C71,'TL02'!$J$10:$J$224),0),
IF('TL02'!$B$229=N$3,SUMIF('TL02'!$C$238:$C$451,$C71,'TL02'!$J$238:$J$451),0),
IF('TL03'!$B$3=N$3,SUMIF('TL03'!$C$10:$C$224,$C71,'TL03'!$J$10:$J$224),0),
IF('TL03'!$B$229=N$3,SUMIF('TL03'!$C$238:$C$451,$C71,'TL03'!$J$238:$J$451),0),
IF('TL04'!$B$3=N$3,SUMIF('TL04'!$C$10:$C$224,$C71,'TL04'!$J$10:$J$224),0),
IF('TL04'!$B$229=N$3,SUMIF('TL04'!$C$238:$C$451,$C71,'TL04'!$J$238:$J$451),0),
IF('TL05'!$B$3=N$3,SUMIF('TL05'!$C$10:$C$224,$C71,'TL05'!$J$10:$J$224),0),
IF('TL05'!$B$229=N$3,SUMIF('TL05'!$C$238:$C$451,$C71,'TL05'!$J$238:$J$451),0),
IF('TL06'!$B$3=N$3,SUMIF('TL06'!$C$10:$C$224,$C71,'TL06'!$J$10:$J$224),0),
IF('TL06'!$B$229=N$3,SUMIF('TL06'!$C$238:$C$451,$C71,'TL06'!$J$238:$J$451),0),
IF('TL07'!$B$3=N$3,SUMIF('TL07'!$C$10:$C$224,$C71,'TL07'!$J$10:$J$224),0),
IF('TL07'!$B$229=N$3,SUMIF('TL07'!$C$238:$C$451,$C71,'TL07'!$J$238:$J$451),0),
IF('TL08'!$B$3=N$3,SUMIF('TL08'!$C$10:$C$224,$C71,'TL08'!$J$10:$J$224),0),
IF('TL08'!$B$229=N$3,SUMIF('TL08'!$C$238:$C$451,$C71,'TL08'!$J$238:$J$451),0),
IF('TL09'!$B$3=N$3,SUMIF('TL09'!$C$10:$C$224,$C71,'TL09'!$J$10:$J$224),0),
IF('TL09'!$B$229=N$3,SUMIF('TL09'!$C$238:$C$451,$C71,'TL09'!$J$238:$J$451),0),
IF('TL10'!$B$3=N$3,SUMIF('TL10'!$C$10:$C$224,$C71,'TL10'!$J$10:$J$224),0),
IF('TL10'!$B$229=N$3,SUMIF('TL10'!$C$238:$C$451,$C71,'TL10'!$J$238:$J$451),0),
IF('TL11'!$B$3=N$3,SUMIF('TL11'!$C$10:$C$224,$C71,'TL11'!$J$10:$J$224),0),
IF('TL11'!$B$229=N$3,SUMIF('TL11'!$C$238:$C$451,$C71,'TL11'!$J$238:$J$451),0),
IF('TL12'!$B$3=N$3,SUMIF('TL12'!$C$10:$C$224,$C71,'TL12'!$J$10:$J$224),0),
IF('TL12'!$B$229=N$3,SUMIF('TL12'!$C$238:$C$451,$C71,'TL12'!$J$238:$J$451),0),
IF('TL13'!$B$3=N$3,SUMIF('TL13'!$C$10:$C$224,$C71,'TL13'!$J$10:$J$224),0),
IF('TL13'!$B$229=N$3,SUMIF('TL13'!$C$238:$C$451,$C71,'TL13'!$J$238:$J$451),0),
IF('TL14'!$B$3=N$3,SUMIF('TL14'!$C$10:$C$224,$C71,'TL14'!$J$10:$J$224),0),
IF('TL14'!$B$229=N$3,SUMIF('TL14'!$C$238:$C$451,$C71,'TL14'!$J$238:$J$451),0),
IF('TL15'!$B$3=N$3,SUMIF('TL15'!$C$10:$C$224,$C71,'TL15'!$J$10:$J$224),0),
IF('TL15'!$B$229=N$3,SUMIF('TL15'!$C$238:$C$451,$C71,'TL15'!$J$238:$J$451),0),
IF('TL16'!$B$3=N$3,SUMIF('TL16'!$C$10:$C$224,$C71,'TL16'!$J$10:$J$224),0),
IF('TL16'!$B$229=N$3,SUMIF('TL16'!$C$238:$C$451,$C71,'TL16'!$J$238:$J$451),0),
IF('TL17'!$B$3=N$3,SUMIF('TL17'!$C$10:$C$224,$C71,'TL17'!$J$10:$J$224),0),
IF('TL17'!$B$229=N$3,SUMIF('TL17'!$C$238:$C$451,$C71,'TL17'!$J$238:$J$451),0),
IF('TL18'!$B$3=N$3,SUMIF('TL18'!$C$10:$C$224,$C71,'TL18'!$J$10:$J$224),0),
IF('TL18'!$B$229=N$3,SUMIF('TL18'!$C$238:$C$451,$C71,'TL18'!$J$238:$J$451),0),
IF('TL19'!$B$3=N$3,SUMIF('TL19'!$C$10:$C$224,$C71,'TL19'!$J$10:$J$224),0),
IF('TL19'!$B$229=N$3,SUMIF('TL19'!$C$238:$C$451,$C71,'TL19'!$J$238:$J$451),0)
),0)</f>
        <v/>
      </c>
      <c r="O71" s="9">
        <f>IFERROR(SUM(
IF('TL01'!$B$3=O$3,SUMIF('TL01'!$C$10:$C$224,$C71,'TL01'!$J$10:$J$224),0),
IF('TL01'!$B$229=O$3,SUMIF('TL01'!$C$238:$C$451,$C71,'TL01'!$J$238:$J$451),0),
IF('TL02'!$B$3=O$3,SUMIF('TL02'!$C$10:$C$224,$C71,'TL02'!$J$10:$J$224),0),
IF('TL02'!$B$229=O$3,SUMIF('TL02'!$C$238:$C$451,$C71,'TL02'!$J$238:$J$451),0),
IF('TL03'!$B$3=O$3,SUMIF('TL03'!$C$10:$C$224,$C71,'TL03'!$J$10:$J$224),0),
IF('TL03'!$B$229=O$3,SUMIF('TL03'!$C$238:$C$451,$C71,'TL03'!$J$238:$J$451),0),
IF('TL04'!$B$3=O$3,SUMIF('TL04'!$C$10:$C$224,$C71,'TL04'!$J$10:$J$224),0),
IF('TL04'!$B$229=O$3,SUMIF('TL04'!$C$238:$C$451,$C71,'TL04'!$J$238:$J$451),0),
IF('TL05'!$B$3=O$3,SUMIF('TL05'!$C$10:$C$224,$C71,'TL05'!$J$10:$J$224),0),
IF('TL05'!$B$229=O$3,SUMIF('TL05'!$C$238:$C$451,$C71,'TL05'!$J$238:$J$451),0),
IF('TL06'!$B$3=O$3,SUMIF('TL06'!$C$10:$C$224,$C71,'TL06'!$J$10:$J$224),0),
IF('TL06'!$B$229=O$3,SUMIF('TL06'!$C$238:$C$451,$C71,'TL06'!$J$238:$J$451),0),
IF('TL07'!$B$3=O$3,SUMIF('TL07'!$C$10:$C$224,$C71,'TL07'!$J$10:$J$224),0),
IF('TL07'!$B$229=O$3,SUMIF('TL07'!$C$238:$C$451,$C71,'TL07'!$J$238:$J$451),0),
IF('TL08'!$B$3=O$3,SUMIF('TL08'!$C$10:$C$224,$C71,'TL08'!$J$10:$J$224),0),
IF('TL08'!$B$229=O$3,SUMIF('TL08'!$C$238:$C$451,$C71,'TL08'!$J$238:$J$451),0),
IF('TL09'!$B$3=O$3,SUMIF('TL09'!$C$10:$C$224,$C71,'TL09'!$J$10:$J$224),0),
IF('TL09'!$B$229=O$3,SUMIF('TL09'!$C$238:$C$451,$C71,'TL09'!$J$238:$J$451),0),
IF('TL10'!$B$3=O$3,SUMIF('TL10'!$C$10:$C$224,$C71,'TL10'!$J$10:$J$224),0),
IF('TL10'!$B$229=O$3,SUMIF('TL10'!$C$238:$C$451,$C71,'TL10'!$J$238:$J$451),0),
IF('TL11'!$B$3=O$3,SUMIF('TL11'!$C$10:$C$224,$C71,'TL11'!$J$10:$J$224),0),
IF('TL11'!$B$229=O$3,SUMIF('TL11'!$C$238:$C$451,$C71,'TL11'!$J$238:$J$451),0),
IF('TL12'!$B$3=O$3,SUMIF('TL12'!$C$10:$C$224,$C71,'TL12'!$J$10:$J$224),0),
IF('TL12'!$B$229=O$3,SUMIF('TL12'!$C$238:$C$451,$C71,'TL12'!$J$238:$J$451),0),
IF('TL13'!$B$3=O$3,SUMIF('TL13'!$C$10:$C$224,$C71,'TL13'!$J$10:$J$224),0),
IF('TL13'!$B$229=O$3,SUMIF('TL13'!$C$238:$C$451,$C71,'TL13'!$J$238:$J$451),0),
IF('TL14'!$B$3=O$3,SUMIF('TL14'!$C$10:$C$224,$C71,'TL14'!$J$10:$J$224),0),
IF('TL14'!$B$229=O$3,SUMIF('TL14'!$C$238:$C$451,$C71,'TL14'!$J$238:$J$451),0),
IF('TL15'!$B$3=O$3,SUMIF('TL15'!$C$10:$C$224,$C71,'TL15'!$J$10:$J$224),0),
IF('TL15'!$B$229=O$3,SUMIF('TL15'!$C$238:$C$451,$C71,'TL15'!$J$238:$J$451),0),
IF('TL16'!$B$3=O$3,SUMIF('TL16'!$C$10:$C$224,$C71,'TL16'!$J$10:$J$224),0),
IF('TL16'!$B$229=O$3,SUMIF('TL16'!$C$238:$C$451,$C71,'TL16'!$J$238:$J$451),0),
IF('TL17'!$B$3=O$3,SUMIF('TL17'!$C$10:$C$224,$C71,'TL17'!$J$10:$J$224),0),
IF('TL17'!$B$229=O$3,SUMIF('TL17'!$C$238:$C$451,$C71,'TL17'!$J$238:$J$451),0),
IF('TL18'!$B$3=O$3,SUMIF('TL18'!$C$10:$C$224,$C71,'TL18'!$J$10:$J$224),0),
IF('TL18'!$B$229=O$3,SUMIF('TL18'!$C$238:$C$451,$C71,'TL18'!$J$238:$J$451),0),
IF('TL19'!$B$3=O$3,SUMIF('TL19'!$C$10:$C$224,$C71,'TL19'!$J$10:$J$224),0),
IF('TL19'!$B$229=O$3,SUMIF('TL19'!$C$238:$C$451,$C71,'TL19'!$J$238:$J$451),0)
),0)</f>
        <v/>
      </c>
      <c r="P71" s="9">
        <f>IFERROR(SUM(
IF('TL01'!$B$3=P$3,SUMIF('TL01'!$C$10:$C$224,$C71,'TL01'!$J$10:$J$224),0),
IF('TL01'!$B$229=P$3,SUMIF('TL01'!$C$238:$C$451,$C71,'TL01'!$J$238:$J$451),0),
IF('TL02'!$B$3=P$3,SUMIF('TL02'!$C$10:$C$224,$C71,'TL02'!$J$10:$J$224),0),
IF('TL02'!$B$229=P$3,SUMIF('TL02'!$C$238:$C$451,$C71,'TL02'!$J$238:$J$451),0),
IF('TL03'!$B$3=P$3,SUMIF('TL03'!$C$10:$C$224,$C71,'TL03'!$J$10:$J$224),0),
IF('TL03'!$B$229=P$3,SUMIF('TL03'!$C$238:$C$451,$C71,'TL03'!$J$238:$J$451),0),
IF('TL04'!$B$3=P$3,SUMIF('TL04'!$C$10:$C$224,$C71,'TL04'!$J$10:$J$224),0),
IF('TL04'!$B$229=P$3,SUMIF('TL04'!$C$238:$C$451,$C71,'TL04'!$J$238:$J$451),0),
IF('TL05'!$B$3=P$3,SUMIF('TL05'!$C$10:$C$224,$C71,'TL05'!$J$10:$J$224),0),
IF('TL05'!$B$229=P$3,SUMIF('TL05'!$C$238:$C$451,$C71,'TL05'!$J$238:$J$451),0),
IF('TL06'!$B$3=P$3,SUMIF('TL06'!$C$10:$C$224,$C71,'TL06'!$J$10:$J$224),0),
IF('TL06'!$B$229=P$3,SUMIF('TL06'!$C$238:$C$451,$C71,'TL06'!$J$238:$J$451),0),
IF('TL07'!$B$3=P$3,SUMIF('TL07'!$C$10:$C$224,$C71,'TL07'!$J$10:$J$224),0),
IF('TL07'!$B$229=P$3,SUMIF('TL07'!$C$238:$C$451,$C71,'TL07'!$J$238:$J$451),0),
IF('TL08'!$B$3=P$3,SUMIF('TL08'!$C$10:$C$224,$C71,'TL08'!$J$10:$J$224),0),
IF('TL08'!$B$229=P$3,SUMIF('TL08'!$C$238:$C$451,$C71,'TL08'!$J$238:$J$451),0),
IF('TL09'!$B$3=P$3,SUMIF('TL09'!$C$10:$C$224,$C71,'TL09'!$J$10:$J$224),0),
IF('TL09'!$B$229=P$3,SUMIF('TL09'!$C$238:$C$451,$C71,'TL09'!$J$238:$J$451),0),
IF('TL10'!$B$3=P$3,SUMIF('TL10'!$C$10:$C$224,$C71,'TL10'!$J$10:$J$224),0),
IF('TL10'!$B$229=P$3,SUMIF('TL10'!$C$238:$C$451,$C71,'TL10'!$J$238:$J$451),0),
IF('TL11'!$B$3=P$3,SUMIF('TL11'!$C$10:$C$224,$C71,'TL11'!$J$10:$J$224),0),
IF('TL11'!$B$229=P$3,SUMIF('TL11'!$C$238:$C$451,$C71,'TL11'!$J$238:$J$451),0),
IF('TL12'!$B$3=P$3,SUMIF('TL12'!$C$10:$C$224,$C71,'TL12'!$J$10:$J$224),0),
IF('TL12'!$B$229=P$3,SUMIF('TL12'!$C$238:$C$451,$C71,'TL12'!$J$238:$J$451),0),
IF('TL13'!$B$3=P$3,SUMIF('TL13'!$C$10:$C$224,$C71,'TL13'!$J$10:$J$224),0),
IF('TL13'!$B$229=P$3,SUMIF('TL13'!$C$238:$C$451,$C71,'TL13'!$J$238:$J$451),0),
IF('TL14'!$B$3=P$3,SUMIF('TL14'!$C$10:$C$224,$C71,'TL14'!$J$10:$J$224),0),
IF('TL14'!$B$229=P$3,SUMIF('TL14'!$C$238:$C$451,$C71,'TL14'!$J$238:$J$451),0),
IF('TL15'!$B$3=P$3,SUMIF('TL15'!$C$10:$C$224,$C71,'TL15'!$J$10:$J$224),0),
IF('TL15'!$B$229=P$3,SUMIF('TL15'!$C$238:$C$451,$C71,'TL15'!$J$238:$J$451),0),
IF('TL16'!$B$3=P$3,SUMIF('TL16'!$C$10:$C$224,$C71,'TL16'!$J$10:$J$224),0),
IF('TL16'!$B$229=P$3,SUMIF('TL16'!$C$238:$C$451,$C71,'TL16'!$J$238:$J$451),0),
IF('TL17'!$B$3=P$3,SUMIF('TL17'!$C$10:$C$224,$C71,'TL17'!$J$10:$J$224),0),
IF('TL17'!$B$229=P$3,SUMIF('TL17'!$C$238:$C$451,$C71,'TL17'!$J$238:$J$451),0),
IF('TL18'!$B$3=P$3,SUMIF('TL18'!$C$10:$C$224,$C71,'TL18'!$J$10:$J$224),0),
IF('TL18'!$B$229=P$3,SUMIF('TL18'!$C$238:$C$451,$C71,'TL18'!$J$238:$J$451),0),
IF('TL19'!$B$3=P$3,SUMIF('TL19'!$C$10:$C$224,$C71,'TL19'!$J$10:$J$224),0),
IF('TL19'!$B$229=P$3,SUMIF('TL19'!$C$238:$C$451,$C71,'TL19'!$J$238:$J$451),0)
),0)</f>
        <v/>
      </c>
      <c r="Q71" s="9">
        <f>IFERROR(SUM(
IF('TL01'!$B$3=Q$3,SUMIF('TL01'!$C$10:$C$224,$C71,'TL01'!$J$10:$J$224),0),
IF('TL01'!$B$229=Q$3,SUMIF('TL01'!$C$238:$C$451,$C71,'TL01'!$J$238:$J$451),0),
IF('TL02'!$B$3=Q$3,SUMIF('TL02'!$C$10:$C$224,$C71,'TL02'!$J$10:$J$224),0),
IF('TL02'!$B$229=Q$3,SUMIF('TL02'!$C$238:$C$451,$C71,'TL02'!$J$238:$J$451),0),
IF('TL03'!$B$3=Q$3,SUMIF('TL03'!$C$10:$C$224,$C71,'TL03'!$J$10:$J$224),0),
IF('TL03'!$B$229=Q$3,SUMIF('TL03'!$C$238:$C$451,$C71,'TL03'!$J$238:$J$451),0),
IF('TL04'!$B$3=Q$3,SUMIF('TL04'!$C$10:$C$224,$C71,'TL04'!$J$10:$J$224),0),
IF('TL04'!$B$229=Q$3,SUMIF('TL04'!$C$238:$C$451,$C71,'TL04'!$J$238:$J$451),0),
IF('TL05'!$B$3=Q$3,SUMIF('TL05'!$C$10:$C$224,$C71,'TL05'!$J$10:$J$224),0),
IF('TL05'!$B$229=Q$3,SUMIF('TL05'!$C$238:$C$451,$C71,'TL05'!$J$238:$J$451),0),
IF('TL06'!$B$3=Q$3,SUMIF('TL06'!$C$10:$C$224,$C71,'TL06'!$J$10:$J$224),0),
IF('TL06'!$B$229=Q$3,SUMIF('TL06'!$C$238:$C$451,$C71,'TL06'!$J$238:$J$451),0),
IF('TL07'!$B$3=Q$3,SUMIF('TL07'!$C$10:$C$224,$C71,'TL07'!$J$10:$J$224),0),
IF('TL07'!$B$229=Q$3,SUMIF('TL07'!$C$238:$C$451,$C71,'TL07'!$J$238:$J$451),0),
IF('TL08'!$B$3=Q$3,SUMIF('TL08'!$C$10:$C$224,$C71,'TL08'!$J$10:$J$224),0),
IF('TL08'!$B$229=Q$3,SUMIF('TL08'!$C$238:$C$451,$C71,'TL08'!$J$238:$J$451),0),
IF('TL09'!$B$3=Q$3,SUMIF('TL09'!$C$10:$C$224,$C71,'TL09'!$J$10:$J$224),0),
IF('TL09'!$B$229=Q$3,SUMIF('TL09'!$C$238:$C$451,$C71,'TL09'!$J$238:$J$451),0),
IF('TL10'!$B$3=Q$3,SUMIF('TL10'!$C$10:$C$224,$C71,'TL10'!$J$10:$J$224),0),
IF('TL10'!$B$229=Q$3,SUMIF('TL10'!$C$238:$C$451,$C71,'TL10'!$J$238:$J$451),0),
IF('TL11'!$B$3=Q$3,SUMIF('TL11'!$C$10:$C$224,$C71,'TL11'!$J$10:$J$224),0),
IF('TL11'!$B$229=Q$3,SUMIF('TL11'!$C$238:$C$451,$C71,'TL11'!$J$238:$J$451),0),
IF('TL12'!$B$3=Q$3,SUMIF('TL12'!$C$10:$C$224,$C71,'TL12'!$J$10:$J$224),0),
IF('TL12'!$B$229=Q$3,SUMIF('TL12'!$C$238:$C$451,$C71,'TL12'!$J$238:$J$451),0),
IF('TL13'!$B$3=Q$3,SUMIF('TL13'!$C$10:$C$224,$C71,'TL13'!$J$10:$J$224),0),
IF('TL13'!$B$229=Q$3,SUMIF('TL13'!$C$238:$C$451,$C71,'TL13'!$J$238:$J$451),0),
IF('TL14'!$B$3=Q$3,SUMIF('TL14'!$C$10:$C$224,$C71,'TL14'!$J$10:$J$224),0),
IF('TL14'!$B$229=Q$3,SUMIF('TL14'!$C$238:$C$451,$C71,'TL14'!$J$238:$J$451),0),
IF('TL15'!$B$3=Q$3,SUMIF('TL15'!$C$10:$C$224,$C71,'TL15'!$J$10:$J$224),0),
IF('TL15'!$B$229=Q$3,SUMIF('TL15'!$C$238:$C$451,$C71,'TL15'!$J$238:$J$451),0),
IF('TL16'!$B$3=Q$3,SUMIF('TL16'!$C$10:$C$224,$C71,'TL16'!$J$10:$J$224),0),
IF('TL16'!$B$229=Q$3,SUMIF('TL16'!$C$238:$C$451,$C71,'TL16'!$J$238:$J$451),0),
IF('TL17'!$B$3=Q$3,SUMIF('TL17'!$C$10:$C$224,$C71,'TL17'!$J$10:$J$224),0),
IF('TL17'!$B$229=Q$3,SUMIF('TL17'!$C$238:$C$451,$C71,'TL17'!$J$238:$J$451),0),
IF('TL18'!$B$3=Q$3,SUMIF('TL18'!$C$10:$C$224,$C71,'TL18'!$J$10:$J$224),0),
IF('TL18'!$B$229=Q$3,SUMIF('TL18'!$C$238:$C$451,$C71,'TL18'!$J$238:$J$451),0),
IF('TL19'!$B$3=Q$3,SUMIF('TL19'!$C$10:$C$224,$C71,'TL19'!$J$10:$J$224),0),
IF('TL19'!$B$229=Q$3,SUMIF('TL19'!$C$238:$C$451,$C71,'TL19'!$J$238:$J$451),0)
),0)</f>
        <v/>
      </c>
      <c r="R71" s="9">
        <f>IFERROR(
SUM(
SUMIF('TL01'!C:C,C71,'TL01'!J:J),
SUMIF('TL02'!C:C,C71,'TL02'!J:J),
SUMIF('TL03'!C:C,C71,'TL03'!J:J),
SUMIF('TL04'!C:C,C71,'TL04'!J:J),
SUMIF('TL05'!C:C,C71,'TL05'!J:J),
SUMIF('TL06'!C:C,C71,'TL06'!J:J),
SUMIF('TL07'!C:C,C71,'TL07'!J:J),
SUMIF('TL08'!C:C,C71,'TL08'!J:J),
SUMIF('TL09'!C:C,C71,'TL09'!J:J),
SUMIF('TL10'!C:C,C71,'TL10'!J:J),
SUMIF('TL11'!C:C,C71,'TL11'!J:J),
SUMIF('TL12'!C:C,C71,'TL12'!J:J),
SUMIF('TL13'!C:C,C71,'TL13'!J:J),
SUMIF('TL14'!C:C,C71,'TL14'!J:J),
SUMIF('TL15'!C:C,C71,'TL15'!J:J),
SUMIF('TL16'!C:C,C71,'TL16'!J:J),
SUMIF('TL17'!C:C,C71,'TL17'!J:J),
SUMIF('TL18'!C:C,C71,'TL18'!J:J),SUMIF('TL19'!C:C,C71,'TL19'!J:J))
,0)</f>
        <v/>
      </c>
      <c r="S71" s="17">
        <f>IFERROR(__xludf.DUMMYFUNCTION("IFERROR(VLOOKUP(C71,
IMPORTRANGE(""1wULbzX32WdYsx-lj2U3uUNBBe2INVIRDtcK0d-Dvl90"",
""26-27!C:G""),
5,
FALSE),
"""")"),67.68)</f>
        <v/>
      </c>
      <c r="T71" s="9" t="n">
        <v>900</v>
      </c>
      <c r="U71" s="92">
        <f>MAX(0,R71-T71)</f>
        <v/>
      </c>
      <c r="V71" s="93">
        <f>U71*S71</f>
        <v/>
      </c>
    </row>
    <row r="72" hidden="1" ht="15.75" customHeight="1" s="297">
      <c r="A72" s="115" t="inlineStr">
        <is>
          <t>NORTOX</t>
        </is>
      </c>
      <c r="B72" s="100" t="inlineStr">
        <is>
          <t>FUNGICIDA</t>
        </is>
      </c>
      <c r="C72" s="116" t="inlineStr">
        <is>
          <t>FLUTRIAFOL NORTOX</t>
        </is>
      </c>
      <c r="D72" s="116" t="inlineStr">
        <is>
          <t>FLUTRIAFOL</t>
        </is>
      </c>
      <c r="E72" s="116" t="n">
        <v>500</v>
      </c>
      <c r="F72" s="4" t="inlineStr">
        <is>
          <t>L</t>
        </is>
      </c>
      <c r="G72" s="90">
        <f>HYPERLINK("https://www.google.com/search?q=" &amp; C72 &amp; "+bula+agrofit+pdf", "📄 Ver bula")</f>
        <v/>
      </c>
      <c r="H72" s="9">
        <f>IFERROR(__xludf.DUMMYFUNCTION("IFERROR(VLOOKUP(C72,
IMPORTRANGE(""1wULbzX32WdYsx-lj2U3uUNBBe2INVIRDtcK0d-Dvl90"",
""26-27!C:K""),
8,
FALSE),
"""")"),0.25)</f>
        <v/>
      </c>
      <c r="I72" s="117" t="inlineStr">
        <is>
          <t>4X5</t>
        </is>
      </c>
      <c r="J72" s="9">
        <f>IFERROR(SUM(
IF('TL01'!$B$3=J$3,SUMIF('TL01'!$C$10:$C$224,$C72,'TL01'!$J$10:$J$224),0),
IF('TL01'!$B$229=J$3,SUMIF('TL01'!$C$238:$C$451,$C72,'TL01'!$J$238:$J$451),0),
IF('TL02'!$B$3=J$3,SUMIF('TL02'!$C$10:$C$224,$C72,'TL02'!$J$10:$J$224),0),
IF('TL02'!$B$229=J$3,SUMIF('TL02'!$C$238:$C$451,$C72,'TL02'!$J$238:$J$451),0),
IF('TL03'!$B$3=J$3,SUMIF('TL03'!$C$10:$C$224,$C72,'TL03'!$J$10:$J$224),0),
IF('TL03'!$B$229=J$3,SUMIF('TL03'!$C$238:$C$451,$C72,'TL03'!$J$238:$J$451),0),
IF('TL04'!$B$3=J$3,SUMIF('TL04'!$C$10:$C$224,$C72,'TL04'!$J$10:$J$224),0),
IF('TL04'!$B$229=J$3,SUMIF('TL04'!$C$238:$C$451,$C72,'TL04'!$J$238:$J$451),0),
IF('TL05'!$B$3=J$3,SUMIF('TL05'!$C$10:$C$224,$C72,'TL05'!$J$10:$J$224),0),
IF('TL05'!$B$229=J$3,SUMIF('TL05'!$C$238:$C$451,$C72,'TL05'!$J$238:$J$451),0),
IF('TL06'!$B$3=J$3,SUMIF('TL06'!$C$10:$C$224,$C72,'TL06'!$J$10:$J$224),0),
IF('TL06'!$B$229=J$3,SUMIF('TL06'!$C$238:$C$451,$C72,'TL06'!$J$238:$J$451),0),
IF('TL07'!$B$3=J$3,SUMIF('TL07'!$C$10:$C$224,$C72,'TL07'!$J$10:$J$224),0),
IF('TL07'!$B$229=J$3,SUMIF('TL07'!$C$238:$C$451,$C72,'TL07'!$J$238:$J$451),0),
IF('TL08'!$B$3=J$3,SUMIF('TL08'!$C$10:$C$224,$C72,'TL08'!$J$10:$J$224),0),
IF('TL08'!$B$229=J$3,SUMIF('TL08'!$C$238:$C$451,$C72,'TL08'!$J$238:$J$451),0),
IF('TL09'!$B$3=J$3,SUMIF('TL09'!$C$10:$C$224,$C72,'TL09'!$J$10:$J$224),0),
IF('TL09'!$B$229=J$3,SUMIF('TL09'!$C$238:$C$451,$C72,'TL09'!$J$238:$J$451),0),
IF('TL10'!$B$3=J$3,SUMIF('TL10'!$C$10:$C$224,$C72,'TL10'!$J$10:$J$224),0),
IF('TL10'!$B$229=J$3,SUMIF('TL10'!$C$238:$C$451,$C72,'TL10'!$J$238:$J$451),0),
IF('TL11'!$B$3=J$3,SUMIF('TL11'!$C$10:$C$224,$C72,'TL11'!$J$10:$J$224),0),
IF('TL11'!$B$229=J$3,SUMIF('TL11'!$C$238:$C$451,$C72,'TL11'!$J$238:$J$451),0),
IF('TL12'!$B$3=J$3,SUMIF('TL12'!$C$10:$C$224,$C72,'TL12'!$J$10:$J$224),0),
IF('TL12'!$B$229=J$3,SUMIF('TL12'!$C$238:$C$451,$C72,'TL12'!$J$238:$J$451),0),
IF('TL13'!$B$3=J$3,SUMIF('TL13'!$C$10:$C$224,$C72,'TL13'!$J$10:$J$224),0),
IF('TL13'!$B$229=J$3,SUMIF('TL13'!$C$238:$C$451,$C72,'TL13'!$J$238:$J$451),0),
IF('TL14'!$B$3=J$3,SUMIF('TL14'!$C$10:$C$224,$C72,'TL14'!$J$10:$J$224),0),
IF('TL14'!$B$229=J$3,SUMIF('TL14'!$C$238:$C$451,$C72,'TL14'!$J$238:$J$451),0),
IF('TL15'!$B$3=J$3,SUMIF('TL15'!$C$10:$C$224,$C72,'TL15'!$J$10:$J$224),0),
IF('TL15'!$B$229=J$3,SUMIF('TL15'!$C$238:$C$451,$C72,'TL15'!$J$238:$J$451),0),
IF('TL16'!$B$3=J$3,SUMIF('TL16'!$C$10:$C$224,$C72,'TL16'!$J$10:$J$224),0),
IF('TL16'!$B$229=J$3,SUMIF('TL16'!$C$238:$C$451,$C72,'TL16'!$J$238:$J$451),0),
IF('TL17'!$B$3=J$3,SUMIF('TL17'!$C$10:$C$224,$C72,'TL17'!$J$10:$J$224),0),
IF('TL17'!$B$229=J$3,SUMIF('TL17'!$C$238:$C$451,$C72,'TL17'!$J$238:$J$451),0),
IF('TL18'!$B$3=J$3,SUMIF('TL18'!$C$10:$C$224,$C72,'TL18'!$J$10:$J$224),0),
IF('TL18'!$B$229=J$3,SUMIF('TL18'!$C$238:$C$451,$C72,'TL18'!$J$238:$J$451),0),
IF('TL19'!$B$3=J$3,SUMIF('TL19'!$C$10:$C$224,$C72,'TL19'!$J$10:$J$224),0),
IF('TL19'!$B$229=J$3,SUMIF('TL19'!$C$238:$C$451,$C72,'TL19'!$J$238:$J$451),0)
),0)</f>
        <v/>
      </c>
      <c r="K72" s="9">
        <f>IFERROR(SUM(
IF('TL01'!$B$3=K$3,SUMIF('TL01'!$C$10:$C$224,$C72,'TL01'!$J$10:$J$224),0),
IF('TL01'!$B$229=K$3,SUMIF('TL01'!$C$238:$C$451,$C72,'TL01'!$J$238:$J$451),0),
IF('TL02'!$B$3=K$3,SUMIF('TL02'!$C$10:$C$224,$C72,'TL02'!$J$10:$J$224),0),
IF('TL02'!$B$229=K$3,SUMIF('TL02'!$C$238:$C$451,$C72,'TL02'!$J$238:$J$451),0),
IF('TL03'!$B$3=K$3,SUMIF('TL03'!$C$10:$C$224,$C72,'TL03'!$J$10:$J$224),0),
IF('TL03'!$B$229=K$3,SUMIF('TL03'!$C$238:$C$451,$C72,'TL03'!$J$238:$J$451),0),
IF('TL04'!$B$3=K$3,SUMIF('TL04'!$C$10:$C$224,$C72,'TL04'!$J$10:$J$224),0),
IF('TL04'!$B$229=K$3,SUMIF('TL04'!$C$238:$C$451,$C72,'TL04'!$J$238:$J$451),0),
IF('TL05'!$B$3=K$3,SUMIF('TL05'!$C$10:$C$224,$C72,'TL05'!$J$10:$J$224),0),
IF('TL05'!$B$229=K$3,SUMIF('TL05'!$C$238:$C$451,$C72,'TL05'!$J$238:$J$451),0),
IF('TL06'!$B$3=K$3,SUMIF('TL06'!$C$10:$C$224,$C72,'TL06'!$J$10:$J$224),0),
IF('TL06'!$B$229=K$3,SUMIF('TL06'!$C$238:$C$451,$C72,'TL06'!$J$238:$J$451),0),
IF('TL07'!$B$3=K$3,SUMIF('TL07'!$C$10:$C$224,$C72,'TL07'!$J$10:$J$224),0),
IF('TL07'!$B$229=K$3,SUMIF('TL07'!$C$238:$C$451,$C72,'TL07'!$J$238:$J$451),0),
IF('TL08'!$B$3=K$3,SUMIF('TL08'!$C$10:$C$224,$C72,'TL08'!$J$10:$J$224),0),
IF('TL08'!$B$229=K$3,SUMIF('TL08'!$C$238:$C$451,$C72,'TL08'!$J$238:$J$451),0),
IF('TL09'!$B$3=K$3,SUMIF('TL09'!$C$10:$C$224,$C72,'TL09'!$J$10:$J$224),0),
IF('TL09'!$B$229=K$3,SUMIF('TL09'!$C$238:$C$451,$C72,'TL09'!$J$238:$J$451),0),
IF('TL10'!$B$3=K$3,SUMIF('TL10'!$C$10:$C$224,$C72,'TL10'!$J$10:$J$224),0),
IF('TL10'!$B$229=K$3,SUMIF('TL10'!$C$238:$C$451,$C72,'TL10'!$J$238:$J$451),0),
IF('TL11'!$B$3=K$3,SUMIF('TL11'!$C$10:$C$224,$C72,'TL11'!$J$10:$J$224),0),
IF('TL11'!$B$229=K$3,SUMIF('TL11'!$C$238:$C$451,$C72,'TL11'!$J$238:$J$451),0),
IF('TL12'!$B$3=K$3,SUMIF('TL12'!$C$10:$C$224,$C72,'TL12'!$J$10:$J$224),0),
IF('TL12'!$B$229=K$3,SUMIF('TL12'!$C$238:$C$451,$C72,'TL12'!$J$238:$J$451),0),
IF('TL13'!$B$3=K$3,SUMIF('TL13'!$C$10:$C$224,$C72,'TL13'!$J$10:$J$224),0),
IF('TL13'!$B$229=K$3,SUMIF('TL13'!$C$238:$C$451,$C72,'TL13'!$J$238:$J$451),0),
IF('TL14'!$B$3=K$3,SUMIF('TL14'!$C$10:$C$224,$C72,'TL14'!$J$10:$J$224),0),
IF('TL14'!$B$229=K$3,SUMIF('TL14'!$C$238:$C$451,$C72,'TL14'!$J$238:$J$451),0),
IF('TL15'!$B$3=K$3,SUMIF('TL15'!$C$10:$C$224,$C72,'TL15'!$J$10:$J$224),0),
IF('TL15'!$B$229=K$3,SUMIF('TL15'!$C$238:$C$451,$C72,'TL15'!$J$238:$J$451),0),
IF('TL16'!$B$3=K$3,SUMIF('TL16'!$C$10:$C$224,$C72,'TL16'!$J$10:$J$224),0),
IF('TL16'!$B$229=K$3,SUMIF('TL16'!$C$238:$C$451,$C72,'TL16'!$J$238:$J$451),0),
IF('TL17'!$B$3=K$3,SUMIF('TL17'!$C$10:$C$224,$C72,'TL17'!$J$10:$J$224),0),
IF('TL17'!$B$229=K$3,SUMIF('TL17'!$C$238:$C$451,$C72,'TL17'!$J$238:$J$451),0),
IF('TL18'!$B$3=K$3,SUMIF('TL18'!$C$10:$C$224,$C72,'TL18'!$J$10:$J$224),0),
IF('TL18'!$B$229=K$3,SUMIF('TL18'!$C$238:$C$451,$C72,'TL18'!$J$238:$J$451),0),
IF('TL19'!$B$3=K$3,SUMIF('TL19'!$C$10:$C$224,$C72,'TL19'!$J$10:$J$224),0),
IF('TL19'!$B$229=K$3,SUMIF('TL19'!$C$238:$C$451,$C72,'TL19'!$J$238:$J$451),0)
),0)</f>
        <v/>
      </c>
      <c r="L72" s="9">
        <f>IFERROR(SUM(
IF('TL01'!$B$3=L$3,SUMIF('TL01'!$C$10:$C$224,$C72,'TL01'!$J$10:$J$224),0),
IF('TL01'!$B$229=L$3,SUMIF('TL01'!$C$238:$C$451,$C72,'TL01'!$J$238:$J$451),0),
IF('TL02'!$B$3=L$3,SUMIF('TL02'!$C$10:$C$224,$C72,'TL02'!$J$10:$J$224),0),
IF('TL02'!$B$229=L$3,SUMIF('TL02'!$C$238:$C$451,$C72,'TL02'!$J$238:$J$451),0),
IF('TL03'!$B$3=L$3,SUMIF('TL03'!$C$10:$C$224,$C72,'TL03'!$J$10:$J$224),0),
IF('TL03'!$B$229=L$3,SUMIF('TL03'!$C$238:$C$451,$C72,'TL03'!$J$238:$J$451),0),
IF('TL04'!$B$3=L$3,SUMIF('TL04'!$C$10:$C$224,$C72,'TL04'!$J$10:$J$224),0),
IF('TL04'!$B$229=L$3,SUMIF('TL04'!$C$238:$C$451,$C72,'TL04'!$J$238:$J$451),0),
IF('TL05'!$B$3=L$3,SUMIF('TL05'!$C$10:$C$224,$C72,'TL05'!$J$10:$J$224),0),
IF('TL05'!$B$229=L$3,SUMIF('TL05'!$C$238:$C$451,$C72,'TL05'!$J$238:$J$451),0),
IF('TL06'!$B$3=L$3,SUMIF('TL06'!$C$10:$C$224,$C72,'TL06'!$J$10:$J$224),0),
IF('TL06'!$B$229=L$3,SUMIF('TL06'!$C$238:$C$451,$C72,'TL06'!$J$238:$J$451),0),
IF('TL07'!$B$3=L$3,SUMIF('TL07'!$C$10:$C$224,$C72,'TL07'!$J$10:$J$224),0),
IF('TL07'!$B$229=L$3,SUMIF('TL07'!$C$238:$C$451,$C72,'TL07'!$J$238:$J$451),0),
IF('TL08'!$B$3=L$3,SUMIF('TL08'!$C$10:$C$224,$C72,'TL08'!$J$10:$J$224),0),
IF('TL08'!$B$229=L$3,SUMIF('TL08'!$C$238:$C$451,$C72,'TL08'!$J$238:$J$451),0),
IF('TL09'!$B$3=L$3,SUMIF('TL09'!$C$10:$C$224,$C72,'TL09'!$J$10:$J$224),0),
IF('TL09'!$B$229=L$3,SUMIF('TL09'!$C$238:$C$451,$C72,'TL09'!$J$238:$J$451),0),
IF('TL10'!$B$3=L$3,SUMIF('TL10'!$C$10:$C$224,$C72,'TL10'!$J$10:$J$224),0),
IF('TL10'!$B$229=L$3,SUMIF('TL10'!$C$238:$C$451,$C72,'TL10'!$J$238:$J$451),0),
IF('TL11'!$B$3=L$3,SUMIF('TL11'!$C$10:$C$224,$C72,'TL11'!$J$10:$J$224),0),
IF('TL11'!$B$229=L$3,SUMIF('TL11'!$C$238:$C$451,$C72,'TL11'!$J$238:$J$451),0),
IF('TL12'!$B$3=L$3,SUMIF('TL12'!$C$10:$C$224,$C72,'TL12'!$J$10:$J$224),0),
IF('TL12'!$B$229=L$3,SUMIF('TL12'!$C$238:$C$451,$C72,'TL12'!$J$238:$J$451),0),
IF('TL13'!$B$3=L$3,SUMIF('TL13'!$C$10:$C$224,$C72,'TL13'!$J$10:$J$224),0),
IF('TL13'!$B$229=L$3,SUMIF('TL13'!$C$238:$C$451,$C72,'TL13'!$J$238:$J$451),0),
IF('TL14'!$B$3=L$3,SUMIF('TL14'!$C$10:$C$224,$C72,'TL14'!$J$10:$J$224),0),
IF('TL14'!$B$229=L$3,SUMIF('TL14'!$C$238:$C$451,$C72,'TL14'!$J$238:$J$451),0),
IF('TL15'!$B$3=L$3,SUMIF('TL15'!$C$10:$C$224,$C72,'TL15'!$J$10:$J$224),0),
IF('TL15'!$B$229=L$3,SUMIF('TL15'!$C$238:$C$451,$C72,'TL15'!$J$238:$J$451),0),
IF('TL16'!$B$3=L$3,SUMIF('TL16'!$C$10:$C$224,$C72,'TL16'!$J$10:$J$224),0),
IF('TL16'!$B$229=L$3,SUMIF('TL16'!$C$238:$C$451,$C72,'TL16'!$J$238:$J$451),0),
IF('TL17'!$B$3=L$3,SUMIF('TL17'!$C$10:$C$224,$C72,'TL17'!$J$10:$J$224),0),
IF('TL17'!$B$229=L$3,SUMIF('TL17'!$C$238:$C$451,$C72,'TL17'!$J$238:$J$451),0),
IF('TL18'!$B$3=L$3,SUMIF('TL18'!$C$10:$C$224,$C72,'TL18'!$J$10:$J$224),0),
IF('TL18'!$B$229=L$3,SUMIF('TL18'!$C$238:$C$451,$C72,'TL18'!$J$238:$J$451),0),
IF('TL19'!$B$3=L$3,SUMIF('TL19'!$C$10:$C$224,$C72,'TL19'!$J$10:$J$224),0),
IF('TL19'!$B$229=L$3,SUMIF('TL19'!$C$238:$C$451,$C72,'TL19'!$J$238:$J$451),0)
),0)</f>
        <v/>
      </c>
      <c r="M72" s="9">
        <f>IFERROR(SUM(
IF('TL01'!$B$3=M$3,SUMIF('TL01'!$C$10:$C$224,$C72,'TL01'!$J$10:$J$224),0),
IF('TL01'!$B$229=M$3,SUMIF('TL01'!$C$238:$C$451,$C72,'TL01'!$J$238:$J$451),0),
IF('TL02'!$B$3=M$3,SUMIF('TL02'!$C$10:$C$224,$C72,'TL02'!$J$10:$J$224),0),
IF('TL02'!$B$229=M$3,SUMIF('TL02'!$C$238:$C$451,$C72,'TL02'!$J$238:$J$451),0),
IF('TL03'!$B$3=M$3,SUMIF('TL03'!$C$10:$C$224,$C72,'TL03'!$J$10:$J$224),0),
IF('TL03'!$B$229=M$3,SUMIF('TL03'!$C$238:$C$451,$C72,'TL03'!$J$238:$J$451),0),
IF('TL04'!$B$3=M$3,SUMIF('TL04'!$C$10:$C$224,$C72,'TL04'!$J$10:$J$224),0),
IF('TL04'!$B$229=M$3,SUMIF('TL04'!$C$238:$C$451,$C72,'TL04'!$J$238:$J$451),0),
IF('TL05'!$B$3=M$3,SUMIF('TL05'!$C$10:$C$224,$C72,'TL05'!$J$10:$J$224),0),
IF('TL05'!$B$229=M$3,SUMIF('TL05'!$C$238:$C$451,$C72,'TL05'!$J$238:$J$451),0),
IF('TL06'!$B$3=M$3,SUMIF('TL06'!$C$10:$C$224,$C72,'TL06'!$J$10:$J$224),0),
IF('TL06'!$B$229=M$3,SUMIF('TL06'!$C$238:$C$451,$C72,'TL06'!$J$238:$J$451),0),
IF('TL07'!$B$3=M$3,SUMIF('TL07'!$C$10:$C$224,$C72,'TL07'!$J$10:$J$224),0),
IF('TL07'!$B$229=M$3,SUMIF('TL07'!$C$238:$C$451,$C72,'TL07'!$J$238:$J$451),0),
IF('TL08'!$B$3=M$3,SUMIF('TL08'!$C$10:$C$224,$C72,'TL08'!$J$10:$J$224),0),
IF('TL08'!$B$229=M$3,SUMIF('TL08'!$C$238:$C$451,$C72,'TL08'!$J$238:$J$451),0),
IF('TL09'!$B$3=M$3,SUMIF('TL09'!$C$10:$C$224,$C72,'TL09'!$J$10:$J$224),0),
IF('TL09'!$B$229=M$3,SUMIF('TL09'!$C$238:$C$451,$C72,'TL09'!$J$238:$J$451),0),
IF('TL10'!$B$3=M$3,SUMIF('TL10'!$C$10:$C$224,$C72,'TL10'!$J$10:$J$224),0),
IF('TL10'!$B$229=M$3,SUMIF('TL10'!$C$238:$C$451,$C72,'TL10'!$J$238:$J$451),0),
IF('TL11'!$B$3=M$3,SUMIF('TL11'!$C$10:$C$224,$C72,'TL11'!$J$10:$J$224),0),
IF('TL11'!$B$229=M$3,SUMIF('TL11'!$C$238:$C$451,$C72,'TL11'!$J$238:$J$451),0),
IF('TL12'!$B$3=M$3,SUMIF('TL12'!$C$10:$C$224,$C72,'TL12'!$J$10:$J$224),0),
IF('TL12'!$B$229=M$3,SUMIF('TL12'!$C$238:$C$451,$C72,'TL12'!$J$238:$J$451),0),
IF('TL13'!$B$3=M$3,SUMIF('TL13'!$C$10:$C$224,$C72,'TL13'!$J$10:$J$224),0),
IF('TL13'!$B$229=M$3,SUMIF('TL13'!$C$238:$C$451,$C72,'TL13'!$J$238:$J$451),0),
IF('TL14'!$B$3=M$3,SUMIF('TL14'!$C$10:$C$224,$C72,'TL14'!$J$10:$J$224),0),
IF('TL14'!$B$229=M$3,SUMIF('TL14'!$C$238:$C$451,$C72,'TL14'!$J$238:$J$451),0),
IF('TL15'!$B$3=M$3,SUMIF('TL15'!$C$10:$C$224,$C72,'TL15'!$J$10:$J$224),0),
IF('TL15'!$B$229=M$3,SUMIF('TL15'!$C$238:$C$451,$C72,'TL15'!$J$238:$J$451),0),
IF('TL16'!$B$3=M$3,SUMIF('TL16'!$C$10:$C$224,$C72,'TL16'!$J$10:$J$224),0),
IF('TL16'!$B$229=M$3,SUMIF('TL16'!$C$238:$C$451,$C72,'TL16'!$J$238:$J$451),0),
IF('TL17'!$B$3=M$3,SUMIF('TL17'!$C$10:$C$224,$C72,'TL17'!$J$10:$J$224),0),
IF('TL17'!$B$229=M$3,SUMIF('TL17'!$C$238:$C$451,$C72,'TL17'!$J$238:$J$451),0),
IF('TL18'!$B$3=M$3,SUMIF('TL18'!$C$10:$C$224,$C72,'TL18'!$J$10:$J$224),0),
IF('TL18'!$B$229=M$3,SUMIF('TL18'!$C$238:$C$451,$C72,'TL18'!$J$238:$J$451),0),
IF('TL19'!$B$3=M$3,SUMIF('TL19'!$C$10:$C$224,$C72,'TL19'!$J$10:$J$224),0),
IF('TL19'!$B$229=M$3,SUMIF('TL19'!$C$238:$C$451,$C72,'TL19'!$J$238:$J$451),0)
),0)</f>
        <v/>
      </c>
      <c r="N72" s="9">
        <f>IFERROR(SUM(
IF('TL01'!$B$3=N$3,SUMIF('TL01'!$C$10:$C$224,$C72,'TL01'!$J$10:$J$224),0),
IF('TL01'!$B$229=N$3,SUMIF('TL01'!$C$238:$C$451,$C72,'TL01'!$J$238:$J$451),0),
IF('TL02'!$B$3=N$3,SUMIF('TL02'!$C$10:$C$224,$C72,'TL02'!$J$10:$J$224),0),
IF('TL02'!$B$229=N$3,SUMIF('TL02'!$C$238:$C$451,$C72,'TL02'!$J$238:$J$451),0),
IF('TL03'!$B$3=N$3,SUMIF('TL03'!$C$10:$C$224,$C72,'TL03'!$J$10:$J$224),0),
IF('TL03'!$B$229=N$3,SUMIF('TL03'!$C$238:$C$451,$C72,'TL03'!$J$238:$J$451),0),
IF('TL04'!$B$3=N$3,SUMIF('TL04'!$C$10:$C$224,$C72,'TL04'!$J$10:$J$224),0),
IF('TL04'!$B$229=N$3,SUMIF('TL04'!$C$238:$C$451,$C72,'TL04'!$J$238:$J$451),0),
IF('TL05'!$B$3=N$3,SUMIF('TL05'!$C$10:$C$224,$C72,'TL05'!$J$10:$J$224),0),
IF('TL05'!$B$229=N$3,SUMIF('TL05'!$C$238:$C$451,$C72,'TL05'!$J$238:$J$451),0),
IF('TL06'!$B$3=N$3,SUMIF('TL06'!$C$10:$C$224,$C72,'TL06'!$J$10:$J$224),0),
IF('TL06'!$B$229=N$3,SUMIF('TL06'!$C$238:$C$451,$C72,'TL06'!$J$238:$J$451),0),
IF('TL07'!$B$3=N$3,SUMIF('TL07'!$C$10:$C$224,$C72,'TL07'!$J$10:$J$224),0),
IF('TL07'!$B$229=N$3,SUMIF('TL07'!$C$238:$C$451,$C72,'TL07'!$J$238:$J$451),0),
IF('TL08'!$B$3=N$3,SUMIF('TL08'!$C$10:$C$224,$C72,'TL08'!$J$10:$J$224),0),
IF('TL08'!$B$229=N$3,SUMIF('TL08'!$C$238:$C$451,$C72,'TL08'!$J$238:$J$451),0),
IF('TL09'!$B$3=N$3,SUMIF('TL09'!$C$10:$C$224,$C72,'TL09'!$J$10:$J$224),0),
IF('TL09'!$B$229=N$3,SUMIF('TL09'!$C$238:$C$451,$C72,'TL09'!$J$238:$J$451),0),
IF('TL10'!$B$3=N$3,SUMIF('TL10'!$C$10:$C$224,$C72,'TL10'!$J$10:$J$224),0),
IF('TL10'!$B$229=N$3,SUMIF('TL10'!$C$238:$C$451,$C72,'TL10'!$J$238:$J$451),0),
IF('TL11'!$B$3=N$3,SUMIF('TL11'!$C$10:$C$224,$C72,'TL11'!$J$10:$J$224),0),
IF('TL11'!$B$229=N$3,SUMIF('TL11'!$C$238:$C$451,$C72,'TL11'!$J$238:$J$451),0),
IF('TL12'!$B$3=N$3,SUMIF('TL12'!$C$10:$C$224,$C72,'TL12'!$J$10:$J$224),0),
IF('TL12'!$B$229=N$3,SUMIF('TL12'!$C$238:$C$451,$C72,'TL12'!$J$238:$J$451),0),
IF('TL13'!$B$3=N$3,SUMIF('TL13'!$C$10:$C$224,$C72,'TL13'!$J$10:$J$224),0),
IF('TL13'!$B$229=N$3,SUMIF('TL13'!$C$238:$C$451,$C72,'TL13'!$J$238:$J$451),0),
IF('TL14'!$B$3=N$3,SUMIF('TL14'!$C$10:$C$224,$C72,'TL14'!$J$10:$J$224),0),
IF('TL14'!$B$229=N$3,SUMIF('TL14'!$C$238:$C$451,$C72,'TL14'!$J$238:$J$451),0),
IF('TL15'!$B$3=N$3,SUMIF('TL15'!$C$10:$C$224,$C72,'TL15'!$J$10:$J$224),0),
IF('TL15'!$B$229=N$3,SUMIF('TL15'!$C$238:$C$451,$C72,'TL15'!$J$238:$J$451),0),
IF('TL16'!$B$3=N$3,SUMIF('TL16'!$C$10:$C$224,$C72,'TL16'!$J$10:$J$224),0),
IF('TL16'!$B$229=N$3,SUMIF('TL16'!$C$238:$C$451,$C72,'TL16'!$J$238:$J$451),0),
IF('TL17'!$B$3=N$3,SUMIF('TL17'!$C$10:$C$224,$C72,'TL17'!$J$10:$J$224),0),
IF('TL17'!$B$229=N$3,SUMIF('TL17'!$C$238:$C$451,$C72,'TL17'!$J$238:$J$451),0),
IF('TL18'!$B$3=N$3,SUMIF('TL18'!$C$10:$C$224,$C72,'TL18'!$J$10:$J$224),0),
IF('TL18'!$B$229=N$3,SUMIF('TL18'!$C$238:$C$451,$C72,'TL18'!$J$238:$J$451),0),
IF('TL19'!$B$3=N$3,SUMIF('TL19'!$C$10:$C$224,$C72,'TL19'!$J$10:$J$224),0),
IF('TL19'!$B$229=N$3,SUMIF('TL19'!$C$238:$C$451,$C72,'TL19'!$J$238:$J$451),0)
),0)</f>
        <v/>
      </c>
      <c r="O72" s="9">
        <f>IFERROR(SUM(
IF('TL01'!$B$3=O$3,SUMIF('TL01'!$C$10:$C$224,$C72,'TL01'!$J$10:$J$224),0),
IF('TL01'!$B$229=O$3,SUMIF('TL01'!$C$238:$C$451,$C72,'TL01'!$J$238:$J$451),0),
IF('TL02'!$B$3=O$3,SUMIF('TL02'!$C$10:$C$224,$C72,'TL02'!$J$10:$J$224),0),
IF('TL02'!$B$229=O$3,SUMIF('TL02'!$C$238:$C$451,$C72,'TL02'!$J$238:$J$451),0),
IF('TL03'!$B$3=O$3,SUMIF('TL03'!$C$10:$C$224,$C72,'TL03'!$J$10:$J$224),0),
IF('TL03'!$B$229=O$3,SUMIF('TL03'!$C$238:$C$451,$C72,'TL03'!$J$238:$J$451),0),
IF('TL04'!$B$3=O$3,SUMIF('TL04'!$C$10:$C$224,$C72,'TL04'!$J$10:$J$224),0),
IF('TL04'!$B$229=O$3,SUMIF('TL04'!$C$238:$C$451,$C72,'TL04'!$J$238:$J$451),0),
IF('TL05'!$B$3=O$3,SUMIF('TL05'!$C$10:$C$224,$C72,'TL05'!$J$10:$J$224),0),
IF('TL05'!$B$229=O$3,SUMIF('TL05'!$C$238:$C$451,$C72,'TL05'!$J$238:$J$451),0),
IF('TL06'!$B$3=O$3,SUMIF('TL06'!$C$10:$C$224,$C72,'TL06'!$J$10:$J$224),0),
IF('TL06'!$B$229=O$3,SUMIF('TL06'!$C$238:$C$451,$C72,'TL06'!$J$238:$J$451),0),
IF('TL07'!$B$3=O$3,SUMIF('TL07'!$C$10:$C$224,$C72,'TL07'!$J$10:$J$224),0),
IF('TL07'!$B$229=O$3,SUMIF('TL07'!$C$238:$C$451,$C72,'TL07'!$J$238:$J$451),0),
IF('TL08'!$B$3=O$3,SUMIF('TL08'!$C$10:$C$224,$C72,'TL08'!$J$10:$J$224),0),
IF('TL08'!$B$229=O$3,SUMIF('TL08'!$C$238:$C$451,$C72,'TL08'!$J$238:$J$451),0),
IF('TL09'!$B$3=O$3,SUMIF('TL09'!$C$10:$C$224,$C72,'TL09'!$J$10:$J$224),0),
IF('TL09'!$B$229=O$3,SUMIF('TL09'!$C$238:$C$451,$C72,'TL09'!$J$238:$J$451),0),
IF('TL10'!$B$3=O$3,SUMIF('TL10'!$C$10:$C$224,$C72,'TL10'!$J$10:$J$224),0),
IF('TL10'!$B$229=O$3,SUMIF('TL10'!$C$238:$C$451,$C72,'TL10'!$J$238:$J$451),0),
IF('TL11'!$B$3=O$3,SUMIF('TL11'!$C$10:$C$224,$C72,'TL11'!$J$10:$J$224),0),
IF('TL11'!$B$229=O$3,SUMIF('TL11'!$C$238:$C$451,$C72,'TL11'!$J$238:$J$451),0),
IF('TL12'!$B$3=O$3,SUMIF('TL12'!$C$10:$C$224,$C72,'TL12'!$J$10:$J$224),0),
IF('TL12'!$B$229=O$3,SUMIF('TL12'!$C$238:$C$451,$C72,'TL12'!$J$238:$J$451),0),
IF('TL13'!$B$3=O$3,SUMIF('TL13'!$C$10:$C$224,$C72,'TL13'!$J$10:$J$224),0),
IF('TL13'!$B$229=O$3,SUMIF('TL13'!$C$238:$C$451,$C72,'TL13'!$J$238:$J$451),0),
IF('TL14'!$B$3=O$3,SUMIF('TL14'!$C$10:$C$224,$C72,'TL14'!$J$10:$J$224),0),
IF('TL14'!$B$229=O$3,SUMIF('TL14'!$C$238:$C$451,$C72,'TL14'!$J$238:$J$451),0),
IF('TL15'!$B$3=O$3,SUMIF('TL15'!$C$10:$C$224,$C72,'TL15'!$J$10:$J$224),0),
IF('TL15'!$B$229=O$3,SUMIF('TL15'!$C$238:$C$451,$C72,'TL15'!$J$238:$J$451),0),
IF('TL16'!$B$3=O$3,SUMIF('TL16'!$C$10:$C$224,$C72,'TL16'!$J$10:$J$224),0),
IF('TL16'!$B$229=O$3,SUMIF('TL16'!$C$238:$C$451,$C72,'TL16'!$J$238:$J$451),0),
IF('TL17'!$B$3=O$3,SUMIF('TL17'!$C$10:$C$224,$C72,'TL17'!$J$10:$J$224),0),
IF('TL17'!$B$229=O$3,SUMIF('TL17'!$C$238:$C$451,$C72,'TL17'!$J$238:$J$451),0),
IF('TL18'!$B$3=O$3,SUMIF('TL18'!$C$10:$C$224,$C72,'TL18'!$J$10:$J$224),0),
IF('TL18'!$B$229=O$3,SUMIF('TL18'!$C$238:$C$451,$C72,'TL18'!$J$238:$J$451),0),
IF('TL19'!$B$3=O$3,SUMIF('TL19'!$C$10:$C$224,$C72,'TL19'!$J$10:$J$224),0),
IF('TL19'!$B$229=O$3,SUMIF('TL19'!$C$238:$C$451,$C72,'TL19'!$J$238:$J$451),0)
),0)</f>
        <v/>
      </c>
      <c r="P72" s="9">
        <f>IFERROR(SUM(
IF('TL01'!$B$3=P$3,SUMIF('TL01'!$C$10:$C$224,$C72,'TL01'!$J$10:$J$224),0),
IF('TL01'!$B$229=P$3,SUMIF('TL01'!$C$238:$C$451,$C72,'TL01'!$J$238:$J$451),0),
IF('TL02'!$B$3=P$3,SUMIF('TL02'!$C$10:$C$224,$C72,'TL02'!$J$10:$J$224),0),
IF('TL02'!$B$229=P$3,SUMIF('TL02'!$C$238:$C$451,$C72,'TL02'!$J$238:$J$451),0),
IF('TL03'!$B$3=P$3,SUMIF('TL03'!$C$10:$C$224,$C72,'TL03'!$J$10:$J$224),0),
IF('TL03'!$B$229=P$3,SUMIF('TL03'!$C$238:$C$451,$C72,'TL03'!$J$238:$J$451),0),
IF('TL04'!$B$3=P$3,SUMIF('TL04'!$C$10:$C$224,$C72,'TL04'!$J$10:$J$224),0),
IF('TL04'!$B$229=P$3,SUMIF('TL04'!$C$238:$C$451,$C72,'TL04'!$J$238:$J$451),0),
IF('TL05'!$B$3=P$3,SUMIF('TL05'!$C$10:$C$224,$C72,'TL05'!$J$10:$J$224),0),
IF('TL05'!$B$229=P$3,SUMIF('TL05'!$C$238:$C$451,$C72,'TL05'!$J$238:$J$451),0),
IF('TL06'!$B$3=P$3,SUMIF('TL06'!$C$10:$C$224,$C72,'TL06'!$J$10:$J$224),0),
IF('TL06'!$B$229=P$3,SUMIF('TL06'!$C$238:$C$451,$C72,'TL06'!$J$238:$J$451),0),
IF('TL07'!$B$3=P$3,SUMIF('TL07'!$C$10:$C$224,$C72,'TL07'!$J$10:$J$224),0),
IF('TL07'!$B$229=P$3,SUMIF('TL07'!$C$238:$C$451,$C72,'TL07'!$J$238:$J$451),0),
IF('TL08'!$B$3=P$3,SUMIF('TL08'!$C$10:$C$224,$C72,'TL08'!$J$10:$J$224),0),
IF('TL08'!$B$229=P$3,SUMIF('TL08'!$C$238:$C$451,$C72,'TL08'!$J$238:$J$451),0),
IF('TL09'!$B$3=P$3,SUMIF('TL09'!$C$10:$C$224,$C72,'TL09'!$J$10:$J$224),0),
IF('TL09'!$B$229=P$3,SUMIF('TL09'!$C$238:$C$451,$C72,'TL09'!$J$238:$J$451),0),
IF('TL10'!$B$3=P$3,SUMIF('TL10'!$C$10:$C$224,$C72,'TL10'!$J$10:$J$224),0),
IF('TL10'!$B$229=P$3,SUMIF('TL10'!$C$238:$C$451,$C72,'TL10'!$J$238:$J$451),0),
IF('TL11'!$B$3=P$3,SUMIF('TL11'!$C$10:$C$224,$C72,'TL11'!$J$10:$J$224),0),
IF('TL11'!$B$229=P$3,SUMIF('TL11'!$C$238:$C$451,$C72,'TL11'!$J$238:$J$451),0),
IF('TL12'!$B$3=P$3,SUMIF('TL12'!$C$10:$C$224,$C72,'TL12'!$J$10:$J$224),0),
IF('TL12'!$B$229=P$3,SUMIF('TL12'!$C$238:$C$451,$C72,'TL12'!$J$238:$J$451),0),
IF('TL13'!$B$3=P$3,SUMIF('TL13'!$C$10:$C$224,$C72,'TL13'!$J$10:$J$224),0),
IF('TL13'!$B$229=P$3,SUMIF('TL13'!$C$238:$C$451,$C72,'TL13'!$J$238:$J$451),0),
IF('TL14'!$B$3=P$3,SUMIF('TL14'!$C$10:$C$224,$C72,'TL14'!$J$10:$J$224),0),
IF('TL14'!$B$229=P$3,SUMIF('TL14'!$C$238:$C$451,$C72,'TL14'!$J$238:$J$451),0),
IF('TL15'!$B$3=P$3,SUMIF('TL15'!$C$10:$C$224,$C72,'TL15'!$J$10:$J$224),0),
IF('TL15'!$B$229=P$3,SUMIF('TL15'!$C$238:$C$451,$C72,'TL15'!$J$238:$J$451),0),
IF('TL16'!$B$3=P$3,SUMIF('TL16'!$C$10:$C$224,$C72,'TL16'!$J$10:$J$224),0),
IF('TL16'!$B$229=P$3,SUMIF('TL16'!$C$238:$C$451,$C72,'TL16'!$J$238:$J$451),0),
IF('TL17'!$B$3=P$3,SUMIF('TL17'!$C$10:$C$224,$C72,'TL17'!$J$10:$J$224),0),
IF('TL17'!$B$229=P$3,SUMIF('TL17'!$C$238:$C$451,$C72,'TL17'!$J$238:$J$451),0),
IF('TL18'!$B$3=P$3,SUMIF('TL18'!$C$10:$C$224,$C72,'TL18'!$J$10:$J$224),0),
IF('TL18'!$B$229=P$3,SUMIF('TL18'!$C$238:$C$451,$C72,'TL18'!$J$238:$J$451),0),
IF('TL19'!$B$3=P$3,SUMIF('TL19'!$C$10:$C$224,$C72,'TL19'!$J$10:$J$224),0),
IF('TL19'!$B$229=P$3,SUMIF('TL19'!$C$238:$C$451,$C72,'TL19'!$J$238:$J$451),0)
),0)</f>
        <v/>
      </c>
      <c r="Q72" s="9">
        <f>IFERROR(SUM(
IF('TL01'!$B$3=Q$3,SUMIF('TL01'!$C$10:$C$224,$C72,'TL01'!$J$10:$J$224),0),
IF('TL01'!$B$229=Q$3,SUMIF('TL01'!$C$238:$C$451,$C72,'TL01'!$J$238:$J$451),0),
IF('TL02'!$B$3=Q$3,SUMIF('TL02'!$C$10:$C$224,$C72,'TL02'!$J$10:$J$224),0),
IF('TL02'!$B$229=Q$3,SUMIF('TL02'!$C$238:$C$451,$C72,'TL02'!$J$238:$J$451),0),
IF('TL03'!$B$3=Q$3,SUMIF('TL03'!$C$10:$C$224,$C72,'TL03'!$J$10:$J$224),0),
IF('TL03'!$B$229=Q$3,SUMIF('TL03'!$C$238:$C$451,$C72,'TL03'!$J$238:$J$451),0),
IF('TL04'!$B$3=Q$3,SUMIF('TL04'!$C$10:$C$224,$C72,'TL04'!$J$10:$J$224),0),
IF('TL04'!$B$229=Q$3,SUMIF('TL04'!$C$238:$C$451,$C72,'TL04'!$J$238:$J$451),0),
IF('TL05'!$B$3=Q$3,SUMIF('TL05'!$C$10:$C$224,$C72,'TL05'!$J$10:$J$224),0),
IF('TL05'!$B$229=Q$3,SUMIF('TL05'!$C$238:$C$451,$C72,'TL05'!$J$238:$J$451),0),
IF('TL06'!$B$3=Q$3,SUMIF('TL06'!$C$10:$C$224,$C72,'TL06'!$J$10:$J$224),0),
IF('TL06'!$B$229=Q$3,SUMIF('TL06'!$C$238:$C$451,$C72,'TL06'!$J$238:$J$451),0),
IF('TL07'!$B$3=Q$3,SUMIF('TL07'!$C$10:$C$224,$C72,'TL07'!$J$10:$J$224),0),
IF('TL07'!$B$229=Q$3,SUMIF('TL07'!$C$238:$C$451,$C72,'TL07'!$J$238:$J$451),0),
IF('TL08'!$B$3=Q$3,SUMIF('TL08'!$C$10:$C$224,$C72,'TL08'!$J$10:$J$224),0),
IF('TL08'!$B$229=Q$3,SUMIF('TL08'!$C$238:$C$451,$C72,'TL08'!$J$238:$J$451),0),
IF('TL09'!$B$3=Q$3,SUMIF('TL09'!$C$10:$C$224,$C72,'TL09'!$J$10:$J$224),0),
IF('TL09'!$B$229=Q$3,SUMIF('TL09'!$C$238:$C$451,$C72,'TL09'!$J$238:$J$451),0),
IF('TL10'!$B$3=Q$3,SUMIF('TL10'!$C$10:$C$224,$C72,'TL10'!$J$10:$J$224),0),
IF('TL10'!$B$229=Q$3,SUMIF('TL10'!$C$238:$C$451,$C72,'TL10'!$J$238:$J$451),0),
IF('TL11'!$B$3=Q$3,SUMIF('TL11'!$C$10:$C$224,$C72,'TL11'!$J$10:$J$224),0),
IF('TL11'!$B$229=Q$3,SUMIF('TL11'!$C$238:$C$451,$C72,'TL11'!$J$238:$J$451),0),
IF('TL12'!$B$3=Q$3,SUMIF('TL12'!$C$10:$C$224,$C72,'TL12'!$J$10:$J$224),0),
IF('TL12'!$B$229=Q$3,SUMIF('TL12'!$C$238:$C$451,$C72,'TL12'!$J$238:$J$451),0),
IF('TL13'!$B$3=Q$3,SUMIF('TL13'!$C$10:$C$224,$C72,'TL13'!$J$10:$J$224),0),
IF('TL13'!$B$229=Q$3,SUMIF('TL13'!$C$238:$C$451,$C72,'TL13'!$J$238:$J$451),0),
IF('TL14'!$B$3=Q$3,SUMIF('TL14'!$C$10:$C$224,$C72,'TL14'!$J$10:$J$224),0),
IF('TL14'!$B$229=Q$3,SUMIF('TL14'!$C$238:$C$451,$C72,'TL14'!$J$238:$J$451),0),
IF('TL15'!$B$3=Q$3,SUMIF('TL15'!$C$10:$C$224,$C72,'TL15'!$J$10:$J$224),0),
IF('TL15'!$B$229=Q$3,SUMIF('TL15'!$C$238:$C$451,$C72,'TL15'!$J$238:$J$451),0),
IF('TL16'!$B$3=Q$3,SUMIF('TL16'!$C$10:$C$224,$C72,'TL16'!$J$10:$J$224),0),
IF('TL16'!$B$229=Q$3,SUMIF('TL16'!$C$238:$C$451,$C72,'TL16'!$J$238:$J$451),0),
IF('TL17'!$B$3=Q$3,SUMIF('TL17'!$C$10:$C$224,$C72,'TL17'!$J$10:$J$224),0),
IF('TL17'!$B$229=Q$3,SUMIF('TL17'!$C$238:$C$451,$C72,'TL17'!$J$238:$J$451),0),
IF('TL18'!$B$3=Q$3,SUMIF('TL18'!$C$10:$C$224,$C72,'TL18'!$J$10:$J$224),0),
IF('TL18'!$B$229=Q$3,SUMIF('TL18'!$C$238:$C$451,$C72,'TL18'!$J$238:$J$451),0),
IF('TL19'!$B$3=Q$3,SUMIF('TL19'!$C$10:$C$224,$C72,'TL19'!$J$10:$J$224),0),
IF('TL19'!$B$229=Q$3,SUMIF('TL19'!$C$238:$C$451,$C72,'TL19'!$J$238:$J$451),0)
),0)</f>
        <v/>
      </c>
      <c r="R72" s="9">
        <f>IFERROR(
SUM(
SUMIF('TL01'!C:C,C72,'TL01'!J:J),
SUMIF('TL02'!C:C,C72,'TL02'!J:J),
SUMIF('TL03'!C:C,C72,'TL03'!J:J),
SUMIF('TL04'!C:C,C72,'TL04'!J:J),
SUMIF('TL05'!C:C,C72,'TL05'!J:J),
SUMIF('TL06'!C:C,C72,'TL06'!J:J),
SUMIF('TL07'!C:C,C72,'TL07'!J:J),
SUMIF('TL08'!C:C,C72,'TL08'!J:J),
SUMIF('TL09'!C:C,C72,'TL09'!J:J),
SUMIF('TL10'!C:C,C72,'TL10'!J:J),
SUMIF('TL11'!C:C,C72,'TL11'!J:J),
SUMIF('TL12'!C:C,C72,'TL12'!J:J),
SUMIF('TL13'!C:C,C72,'TL13'!J:J),
SUMIF('TL14'!C:C,C72,'TL14'!J:J),
SUMIF('TL15'!C:C,C72,'TL15'!J:J),
SUMIF('TL16'!C:C,C72,'TL16'!J:J),
SUMIF('TL17'!C:C,C72,'TL17'!J:J),
SUMIF('TL18'!C:C,C72,'TL18'!J:J),SUMIF('TL19'!C:C,C72,'TL19'!J:J))
,0)</f>
        <v/>
      </c>
      <c r="S72" s="17">
        <f>IFERROR(__xludf.DUMMYFUNCTION("IFERROR(VLOOKUP(C72,
IMPORTRANGE(""1wULbzX32WdYsx-lj2U3uUNBBe2INVIRDtcK0d-Dvl90"",
""26-27!C:G""),
5,
FALSE),
"""")"),67.68)</f>
        <v/>
      </c>
      <c r="T72" s="9" t="n"/>
      <c r="U72" s="92">
        <f>MAX(0,R72-T72)</f>
        <v/>
      </c>
      <c r="V72" s="93">
        <f>U72*S72</f>
        <v/>
      </c>
    </row>
    <row r="73" hidden="1" ht="15.75" customHeight="1" s="297">
      <c r="A73" s="111" t="inlineStr">
        <is>
          <t>NORTOX</t>
        </is>
      </c>
      <c r="B73" s="112" t="inlineStr">
        <is>
          <t>FUNGICIDA</t>
        </is>
      </c>
      <c r="C73" s="113" t="inlineStr">
        <is>
          <t>PROPICONAZOLE NORTOX 500 EC</t>
        </is>
      </c>
      <c r="D73" s="113" t="inlineStr">
        <is>
          <t>PROPICONAZOL</t>
        </is>
      </c>
      <c r="E73" s="113" t="n">
        <v>500</v>
      </c>
      <c r="F73" s="4" t="inlineStr">
        <is>
          <t>L</t>
        </is>
      </c>
      <c r="G73" s="90">
        <f>HYPERLINK("https://www.google.com/search?q=" &amp; C73 &amp; "+bula+agrofit+pdf", "📄 Ver bula")</f>
        <v/>
      </c>
      <c r="H73" s="9">
        <f>IFERROR(__xludf.DUMMYFUNCTION("IFERROR(VLOOKUP(C73,
IMPORTRANGE(""1wULbzX32WdYsx-lj2U3uUNBBe2INVIRDtcK0d-Dvl90"",
""26-27!C:K""),
8,
FALSE),
"""")"),0.3)</f>
        <v/>
      </c>
      <c r="I73" s="114" t="inlineStr">
        <is>
          <t>4X5</t>
        </is>
      </c>
      <c r="J73" s="9">
        <f>IFERROR(SUM(
IF('TL01'!$B$3=J$3,SUMIF('TL01'!$C$10:$C$224,$C73,'TL01'!$J$10:$J$224),0),
IF('TL01'!$B$229=J$3,SUMIF('TL01'!$C$238:$C$451,$C73,'TL01'!$J$238:$J$451),0),
IF('TL02'!$B$3=J$3,SUMIF('TL02'!$C$10:$C$224,$C73,'TL02'!$J$10:$J$224),0),
IF('TL02'!$B$229=J$3,SUMIF('TL02'!$C$238:$C$451,$C73,'TL02'!$J$238:$J$451),0),
IF('TL03'!$B$3=J$3,SUMIF('TL03'!$C$10:$C$224,$C73,'TL03'!$J$10:$J$224),0),
IF('TL03'!$B$229=J$3,SUMIF('TL03'!$C$238:$C$451,$C73,'TL03'!$J$238:$J$451),0),
IF('TL04'!$B$3=J$3,SUMIF('TL04'!$C$10:$C$224,$C73,'TL04'!$J$10:$J$224),0),
IF('TL04'!$B$229=J$3,SUMIF('TL04'!$C$238:$C$451,$C73,'TL04'!$J$238:$J$451),0),
IF('TL05'!$B$3=J$3,SUMIF('TL05'!$C$10:$C$224,$C73,'TL05'!$J$10:$J$224),0),
IF('TL05'!$B$229=J$3,SUMIF('TL05'!$C$238:$C$451,$C73,'TL05'!$J$238:$J$451),0),
IF('TL06'!$B$3=J$3,SUMIF('TL06'!$C$10:$C$224,$C73,'TL06'!$J$10:$J$224),0),
IF('TL06'!$B$229=J$3,SUMIF('TL06'!$C$238:$C$451,$C73,'TL06'!$J$238:$J$451),0),
IF('TL07'!$B$3=J$3,SUMIF('TL07'!$C$10:$C$224,$C73,'TL07'!$J$10:$J$224),0),
IF('TL07'!$B$229=J$3,SUMIF('TL07'!$C$238:$C$451,$C73,'TL07'!$J$238:$J$451),0),
IF('TL08'!$B$3=J$3,SUMIF('TL08'!$C$10:$C$224,$C73,'TL08'!$J$10:$J$224),0),
IF('TL08'!$B$229=J$3,SUMIF('TL08'!$C$238:$C$451,$C73,'TL08'!$J$238:$J$451),0),
IF('TL09'!$B$3=J$3,SUMIF('TL09'!$C$10:$C$224,$C73,'TL09'!$J$10:$J$224),0),
IF('TL09'!$B$229=J$3,SUMIF('TL09'!$C$238:$C$451,$C73,'TL09'!$J$238:$J$451),0),
IF('TL10'!$B$3=J$3,SUMIF('TL10'!$C$10:$C$224,$C73,'TL10'!$J$10:$J$224),0),
IF('TL10'!$B$229=J$3,SUMIF('TL10'!$C$238:$C$451,$C73,'TL10'!$J$238:$J$451),0),
IF('TL11'!$B$3=J$3,SUMIF('TL11'!$C$10:$C$224,$C73,'TL11'!$J$10:$J$224),0),
IF('TL11'!$B$229=J$3,SUMIF('TL11'!$C$238:$C$451,$C73,'TL11'!$J$238:$J$451),0),
IF('TL12'!$B$3=J$3,SUMIF('TL12'!$C$10:$C$224,$C73,'TL12'!$J$10:$J$224),0),
IF('TL12'!$B$229=J$3,SUMIF('TL12'!$C$238:$C$451,$C73,'TL12'!$J$238:$J$451),0),
IF('TL13'!$B$3=J$3,SUMIF('TL13'!$C$10:$C$224,$C73,'TL13'!$J$10:$J$224),0),
IF('TL13'!$B$229=J$3,SUMIF('TL13'!$C$238:$C$451,$C73,'TL13'!$J$238:$J$451),0),
IF('TL14'!$B$3=J$3,SUMIF('TL14'!$C$10:$C$224,$C73,'TL14'!$J$10:$J$224),0),
IF('TL14'!$B$229=J$3,SUMIF('TL14'!$C$238:$C$451,$C73,'TL14'!$J$238:$J$451),0),
IF('TL15'!$B$3=J$3,SUMIF('TL15'!$C$10:$C$224,$C73,'TL15'!$J$10:$J$224),0),
IF('TL15'!$B$229=J$3,SUMIF('TL15'!$C$238:$C$451,$C73,'TL15'!$J$238:$J$451),0),
IF('TL16'!$B$3=J$3,SUMIF('TL16'!$C$10:$C$224,$C73,'TL16'!$J$10:$J$224),0),
IF('TL16'!$B$229=J$3,SUMIF('TL16'!$C$238:$C$451,$C73,'TL16'!$J$238:$J$451),0),
IF('TL17'!$B$3=J$3,SUMIF('TL17'!$C$10:$C$224,$C73,'TL17'!$J$10:$J$224),0),
IF('TL17'!$B$229=J$3,SUMIF('TL17'!$C$238:$C$451,$C73,'TL17'!$J$238:$J$451),0),
IF('TL18'!$B$3=J$3,SUMIF('TL18'!$C$10:$C$224,$C73,'TL18'!$J$10:$J$224),0),
IF('TL18'!$B$229=J$3,SUMIF('TL18'!$C$238:$C$451,$C73,'TL18'!$J$238:$J$451),0),
IF('TL19'!$B$3=J$3,SUMIF('TL19'!$C$10:$C$224,$C73,'TL19'!$J$10:$J$224),0),
IF('TL19'!$B$229=J$3,SUMIF('TL19'!$C$238:$C$451,$C73,'TL19'!$J$238:$J$451),0)
),0)</f>
        <v/>
      </c>
      <c r="K73" s="9">
        <f>IFERROR(SUM(
IF('TL01'!$B$3=K$3,SUMIF('TL01'!$C$10:$C$224,$C73,'TL01'!$J$10:$J$224),0),
IF('TL01'!$B$229=K$3,SUMIF('TL01'!$C$238:$C$451,$C73,'TL01'!$J$238:$J$451),0),
IF('TL02'!$B$3=K$3,SUMIF('TL02'!$C$10:$C$224,$C73,'TL02'!$J$10:$J$224),0),
IF('TL02'!$B$229=K$3,SUMIF('TL02'!$C$238:$C$451,$C73,'TL02'!$J$238:$J$451),0),
IF('TL03'!$B$3=K$3,SUMIF('TL03'!$C$10:$C$224,$C73,'TL03'!$J$10:$J$224),0),
IF('TL03'!$B$229=K$3,SUMIF('TL03'!$C$238:$C$451,$C73,'TL03'!$J$238:$J$451),0),
IF('TL04'!$B$3=K$3,SUMIF('TL04'!$C$10:$C$224,$C73,'TL04'!$J$10:$J$224),0),
IF('TL04'!$B$229=K$3,SUMIF('TL04'!$C$238:$C$451,$C73,'TL04'!$J$238:$J$451),0),
IF('TL05'!$B$3=K$3,SUMIF('TL05'!$C$10:$C$224,$C73,'TL05'!$J$10:$J$224),0),
IF('TL05'!$B$229=K$3,SUMIF('TL05'!$C$238:$C$451,$C73,'TL05'!$J$238:$J$451),0),
IF('TL06'!$B$3=K$3,SUMIF('TL06'!$C$10:$C$224,$C73,'TL06'!$J$10:$J$224),0),
IF('TL06'!$B$229=K$3,SUMIF('TL06'!$C$238:$C$451,$C73,'TL06'!$J$238:$J$451),0),
IF('TL07'!$B$3=K$3,SUMIF('TL07'!$C$10:$C$224,$C73,'TL07'!$J$10:$J$224),0),
IF('TL07'!$B$229=K$3,SUMIF('TL07'!$C$238:$C$451,$C73,'TL07'!$J$238:$J$451),0),
IF('TL08'!$B$3=K$3,SUMIF('TL08'!$C$10:$C$224,$C73,'TL08'!$J$10:$J$224),0),
IF('TL08'!$B$229=K$3,SUMIF('TL08'!$C$238:$C$451,$C73,'TL08'!$J$238:$J$451),0),
IF('TL09'!$B$3=K$3,SUMIF('TL09'!$C$10:$C$224,$C73,'TL09'!$J$10:$J$224),0),
IF('TL09'!$B$229=K$3,SUMIF('TL09'!$C$238:$C$451,$C73,'TL09'!$J$238:$J$451),0),
IF('TL10'!$B$3=K$3,SUMIF('TL10'!$C$10:$C$224,$C73,'TL10'!$J$10:$J$224),0),
IF('TL10'!$B$229=K$3,SUMIF('TL10'!$C$238:$C$451,$C73,'TL10'!$J$238:$J$451),0),
IF('TL11'!$B$3=K$3,SUMIF('TL11'!$C$10:$C$224,$C73,'TL11'!$J$10:$J$224),0),
IF('TL11'!$B$229=K$3,SUMIF('TL11'!$C$238:$C$451,$C73,'TL11'!$J$238:$J$451),0),
IF('TL12'!$B$3=K$3,SUMIF('TL12'!$C$10:$C$224,$C73,'TL12'!$J$10:$J$224),0),
IF('TL12'!$B$229=K$3,SUMIF('TL12'!$C$238:$C$451,$C73,'TL12'!$J$238:$J$451),0),
IF('TL13'!$B$3=K$3,SUMIF('TL13'!$C$10:$C$224,$C73,'TL13'!$J$10:$J$224),0),
IF('TL13'!$B$229=K$3,SUMIF('TL13'!$C$238:$C$451,$C73,'TL13'!$J$238:$J$451),0),
IF('TL14'!$B$3=K$3,SUMIF('TL14'!$C$10:$C$224,$C73,'TL14'!$J$10:$J$224),0),
IF('TL14'!$B$229=K$3,SUMIF('TL14'!$C$238:$C$451,$C73,'TL14'!$J$238:$J$451),0),
IF('TL15'!$B$3=K$3,SUMIF('TL15'!$C$10:$C$224,$C73,'TL15'!$J$10:$J$224),0),
IF('TL15'!$B$229=K$3,SUMIF('TL15'!$C$238:$C$451,$C73,'TL15'!$J$238:$J$451),0),
IF('TL16'!$B$3=K$3,SUMIF('TL16'!$C$10:$C$224,$C73,'TL16'!$J$10:$J$224),0),
IF('TL16'!$B$229=K$3,SUMIF('TL16'!$C$238:$C$451,$C73,'TL16'!$J$238:$J$451),0),
IF('TL17'!$B$3=K$3,SUMIF('TL17'!$C$10:$C$224,$C73,'TL17'!$J$10:$J$224),0),
IF('TL17'!$B$229=K$3,SUMIF('TL17'!$C$238:$C$451,$C73,'TL17'!$J$238:$J$451),0),
IF('TL18'!$B$3=K$3,SUMIF('TL18'!$C$10:$C$224,$C73,'TL18'!$J$10:$J$224),0),
IF('TL18'!$B$229=K$3,SUMIF('TL18'!$C$238:$C$451,$C73,'TL18'!$J$238:$J$451),0),
IF('TL19'!$B$3=K$3,SUMIF('TL19'!$C$10:$C$224,$C73,'TL19'!$J$10:$J$224),0),
IF('TL19'!$B$229=K$3,SUMIF('TL19'!$C$238:$C$451,$C73,'TL19'!$J$238:$J$451),0)
),0)</f>
        <v/>
      </c>
      <c r="L73" s="9">
        <f>IFERROR(SUM(
IF('TL01'!$B$3=L$3,SUMIF('TL01'!$C$10:$C$224,$C73,'TL01'!$J$10:$J$224),0),
IF('TL01'!$B$229=L$3,SUMIF('TL01'!$C$238:$C$451,$C73,'TL01'!$J$238:$J$451),0),
IF('TL02'!$B$3=L$3,SUMIF('TL02'!$C$10:$C$224,$C73,'TL02'!$J$10:$J$224),0),
IF('TL02'!$B$229=L$3,SUMIF('TL02'!$C$238:$C$451,$C73,'TL02'!$J$238:$J$451),0),
IF('TL03'!$B$3=L$3,SUMIF('TL03'!$C$10:$C$224,$C73,'TL03'!$J$10:$J$224),0),
IF('TL03'!$B$229=L$3,SUMIF('TL03'!$C$238:$C$451,$C73,'TL03'!$J$238:$J$451),0),
IF('TL04'!$B$3=L$3,SUMIF('TL04'!$C$10:$C$224,$C73,'TL04'!$J$10:$J$224),0),
IF('TL04'!$B$229=L$3,SUMIF('TL04'!$C$238:$C$451,$C73,'TL04'!$J$238:$J$451),0),
IF('TL05'!$B$3=L$3,SUMIF('TL05'!$C$10:$C$224,$C73,'TL05'!$J$10:$J$224),0),
IF('TL05'!$B$229=L$3,SUMIF('TL05'!$C$238:$C$451,$C73,'TL05'!$J$238:$J$451),0),
IF('TL06'!$B$3=L$3,SUMIF('TL06'!$C$10:$C$224,$C73,'TL06'!$J$10:$J$224),0),
IF('TL06'!$B$229=L$3,SUMIF('TL06'!$C$238:$C$451,$C73,'TL06'!$J$238:$J$451),0),
IF('TL07'!$B$3=L$3,SUMIF('TL07'!$C$10:$C$224,$C73,'TL07'!$J$10:$J$224),0),
IF('TL07'!$B$229=L$3,SUMIF('TL07'!$C$238:$C$451,$C73,'TL07'!$J$238:$J$451),0),
IF('TL08'!$B$3=L$3,SUMIF('TL08'!$C$10:$C$224,$C73,'TL08'!$J$10:$J$224),0),
IF('TL08'!$B$229=L$3,SUMIF('TL08'!$C$238:$C$451,$C73,'TL08'!$J$238:$J$451),0),
IF('TL09'!$B$3=L$3,SUMIF('TL09'!$C$10:$C$224,$C73,'TL09'!$J$10:$J$224),0),
IF('TL09'!$B$229=L$3,SUMIF('TL09'!$C$238:$C$451,$C73,'TL09'!$J$238:$J$451),0),
IF('TL10'!$B$3=L$3,SUMIF('TL10'!$C$10:$C$224,$C73,'TL10'!$J$10:$J$224),0),
IF('TL10'!$B$229=L$3,SUMIF('TL10'!$C$238:$C$451,$C73,'TL10'!$J$238:$J$451),0),
IF('TL11'!$B$3=L$3,SUMIF('TL11'!$C$10:$C$224,$C73,'TL11'!$J$10:$J$224),0),
IF('TL11'!$B$229=L$3,SUMIF('TL11'!$C$238:$C$451,$C73,'TL11'!$J$238:$J$451),0),
IF('TL12'!$B$3=L$3,SUMIF('TL12'!$C$10:$C$224,$C73,'TL12'!$J$10:$J$224),0),
IF('TL12'!$B$229=L$3,SUMIF('TL12'!$C$238:$C$451,$C73,'TL12'!$J$238:$J$451),0),
IF('TL13'!$B$3=L$3,SUMIF('TL13'!$C$10:$C$224,$C73,'TL13'!$J$10:$J$224),0),
IF('TL13'!$B$229=L$3,SUMIF('TL13'!$C$238:$C$451,$C73,'TL13'!$J$238:$J$451),0),
IF('TL14'!$B$3=L$3,SUMIF('TL14'!$C$10:$C$224,$C73,'TL14'!$J$10:$J$224),0),
IF('TL14'!$B$229=L$3,SUMIF('TL14'!$C$238:$C$451,$C73,'TL14'!$J$238:$J$451),0),
IF('TL15'!$B$3=L$3,SUMIF('TL15'!$C$10:$C$224,$C73,'TL15'!$J$10:$J$224),0),
IF('TL15'!$B$229=L$3,SUMIF('TL15'!$C$238:$C$451,$C73,'TL15'!$J$238:$J$451),0),
IF('TL16'!$B$3=L$3,SUMIF('TL16'!$C$10:$C$224,$C73,'TL16'!$J$10:$J$224),0),
IF('TL16'!$B$229=L$3,SUMIF('TL16'!$C$238:$C$451,$C73,'TL16'!$J$238:$J$451),0),
IF('TL17'!$B$3=L$3,SUMIF('TL17'!$C$10:$C$224,$C73,'TL17'!$J$10:$J$224),0),
IF('TL17'!$B$229=L$3,SUMIF('TL17'!$C$238:$C$451,$C73,'TL17'!$J$238:$J$451),0),
IF('TL18'!$B$3=L$3,SUMIF('TL18'!$C$10:$C$224,$C73,'TL18'!$J$10:$J$224),0),
IF('TL18'!$B$229=L$3,SUMIF('TL18'!$C$238:$C$451,$C73,'TL18'!$J$238:$J$451),0),
IF('TL19'!$B$3=L$3,SUMIF('TL19'!$C$10:$C$224,$C73,'TL19'!$J$10:$J$224),0),
IF('TL19'!$B$229=L$3,SUMIF('TL19'!$C$238:$C$451,$C73,'TL19'!$J$238:$J$451),0)
),0)</f>
        <v/>
      </c>
      <c r="M73" s="9">
        <f>IFERROR(SUM(
IF('TL01'!$B$3=M$3,SUMIF('TL01'!$C$10:$C$224,$C73,'TL01'!$J$10:$J$224),0),
IF('TL01'!$B$229=M$3,SUMIF('TL01'!$C$238:$C$451,$C73,'TL01'!$J$238:$J$451),0),
IF('TL02'!$B$3=M$3,SUMIF('TL02'!$C$10:$C$224,$C73,'TL02'!$J$10:$J$224),0),
IF('TL02'!$B$229=M$3,SUMIF('TL02'!$C$238:$C$451,$C73,'TL02'!$J$238:$J$451),0),
IF('TL03'!$B$3=M$3,SUMIF('TL03'!$C$10:$C$224,$C73,'TL03'!$J$10:$J$224),0),
IF('TL03'!$B$229=M$3,SUMIF('TL03'!$C$238:$C$451,$C73,'TL03'!$J$238:$J$451),0),
IF('TL04'!$B$3=M$3,SUMIF('TL04'!$C$10:$C$224,$C73,'TL04'!$J$10:$J$224),0),
IF('TL04'!$B$229=M$3,SUMIF('TL04'!$C$238:$C$451,$C73,'TL04'!$J$238:$J$451),0),
IF('TL05'!$B$3=M$3,SUMIF('TL05'!$C$10:$C$224,$C73,'TL05'!$J$10:$J$224),0),
IF('TL05'!$B$229=M$3,SUMIF('TL05'!$C$238:$C$451,$C73,'TL05'!$J$238:$J$451),0),
IF('TL06'!$B$3=M$3,SUMIF('TL06'!$C$10:$C$224,$C73,'TL06'!$J$10:$J$224),0),
IF('TL06'!$B$229=M$3,SUMIF('TL06'!$C$238:$C$451,$C73,'TL06'!$J$238:$J$451),0),
IF('TL07'!$B$3=M$3,SUMIF('TL07'!$C$10:$C$224,$C73,'TL07'!$J$10:$J$224),0),
IF('TL07'!$B$229=M$3,SUMIF('TL07'!$C$238:$C$451,$C73,'TL07'!$J$238:$J$451),0),
IF('TL08'!$B$3=M$3,SUMIF('TL08'!$C$10:$C$224,$C73,'TL08'!$J$10:$J$224),0),
IF('TL08'!$B$229=M$3,SUMIF('TL08'!$C$238:$C$451,$C73,'TL08'!$J$238:$J$451),0),
IF('TL09'!$B$3=M$3,SUMIF('TL09'!$C$10:$C$224,$C73,'TL09'!$J$10:$J$224),0),
IF('TL09'!$B$229=M$3,SUMIF('TL09'!$C$238:$C$451,$C73,'TL09'!$J$238:$J$451),0),
IF('TL10'!$B$3=M$3,SUMIF('TL10'!$C$10:$C$224,$C73,'TL10'!$J$10:$J$224),0),
IF('TL10'!$B$229=M$3,SUMIF('TL10'!$C$238:$C$451,$C73,'TL10'!$J$238:$J$451),0),
IF('TL11'!$B$3=M$3,SUMIF('TL11'!$C$10:$C$224,$C73,'TL11'!$J$10:$J$224),0),
IF('TL11'!$B$229=M$3,SUMIF('TL11'!$C$238:$C$451,$C73,'TL11'!$J$238:$J$451),0),
IF('TL12'!$B$3=M$3,SUMIF('TL12'!$C$10:$C$224,$C73,'TL12'!$J$10:$J$224),0),
IF('TL12'!$B$229=M$3,SUMIF('TL12'!$C$238:$C$451,$C73,'TL12'!$J$238:$J$451),0),
IF('TL13'!$B$3=M$3,SUMIF('TL13'!$C$10:$C$224,$C73,'TL13'!$J$10:$J$224),0),
IF('TL13'!$B$229=M$3,SUMIF('TL13'!$C$238:$C$451,$C73,'TL13'!$J$238:$J$451),0),
IF('TL14'!$B$3=M$3,SUMIF('TL14'!$C$10:$C$224,$C73,'TL14'!$J$10:$J$224),0),
IF('TL14'!$B$229=M$3,SUMIF('TL14'!$C$238:$C$451,$C73,'TL14'!$J$238:$J$451),0),
IF('TL15'!$B$3=M$3,SUMIF('TL15'!$C$10:$C$224,$C73,'TL15'!$J$10:$J$224),0),
IF('TL15'!$B$229=M$3,SUMIF('TL15'!$C$238:$C$451,$C73,'TL15'!$J$238:$J$451),0),
IF('TL16'!$B$3=M$3,SUMIF('TL16'!$C$10:$C$224,$C73,'TL16'!$J$10:$J$224),0),
IF('TL16'!$B$229=M$3,SUMIF('TL16'!$C$238:$C$451,$C73,'TL16'!$J$238:$J$451),0),
IF('TL17'!$B$3=M$3,SUMIF('TL17'!$C$10:$C$224,$C73,'TL17'!$J$10:$J$224),0),
IF('TL17'!$B$229=M$3,SUMIF('TL17'!$C$238:$C$451,$C73,'TL17'!$J$238:$J$451),0),
IF('TL18'!$B$3=M$3,SUMIF('TL18'!$C$10:$C$224,$C73,'TL18'!$J$10:$J$224),0),
IF('TL18'!$B$229=M$3,SUMIF('TL18'!$C$238:$C$451,$C73,'TL18'!$J$238:$J$451),0),
IF('TL19'!$B$3=M$3,SUMIF('TL19'!$C$10:$C$224,$C73,'TL19'!$J$10:$J$224),0),
IF('TL19'!$B$229=M$3,SUMIF('TL19'!$C$238:$C$451,$C73,'TL19'!$J$238:$J$451),0)
),0)</f>
        <v/>
      </c>
      <c r="N73" s="9">
        <f>IFERROR(SUM(
IF('TL01'!$B$3=N$3,SUMIF('TL01'!$C$10:$C$224,$C73,'TL01'!$J$10:$J$224),0),
IF('TL01'!$B$229=N$3,SUMIF('TL01'!$C$238:$C$451,$C73,'TL01'!$J$238:$J$451),0),
IF('TL02'!$B$3=N$3,SUMIF('TL02'!$C$10:$C$224,$C73,'TL02'!$J$10:$J$224),0),
IF('TL02'!$B$229=N$3,SUMIF('TL02'!$C$238:$C$451,$C73,'TL02'!$J$238:$J$451),0),
IF('TL03'!$B$3=N$3,SUMIF('TL03'!$C$10:$C$224,$C73,'TL03'!$J$10:$J$224),0),
IF('TL03'!$B$229=N$3,SUMIF('TL03'!$C$238:$C$451,$C73,'TL03'!$J$238:$J$451),0),
IF('TL04'!$B$3=N$3,SUMIF('TL04'!$C$10:$C$224,$C73,'TL04'!$J$10:$J$224),0),
IF('TL04'!$B$229=N$3,SUMIF('TL04'!$C$238:$C$451,$C73,'TL04'!$J$238:$J$451),0),
IF('TL05'!$B$3=N$3,SUMIF('TL05'!$C$10:$C$224,$C73,'TL05'!$J$10:$J$224),0),
IF('TL05'!$B$229=N$3,SUMIF('TL05'!$C$238:$C$451,$C73,'TL05'!$J$238:$J$451),0),
IF('TL06'!$B$3=N$3,SUMIF('TL06'!$C$10:$C$224,$C73,'TL06'!$J$10:$J$224),0),
IF('TL06'!$B$229=N$3,SUMIF('TL06'!$C$238:$C$451,$C73,'TL06'!$J$238:$J$451),0),
IF('TL07'!$B$3=N$3,SUMIF('TL07'!$C$10:$C$224,$C73,'TL07'!$J$10:$J$224),0),
IF('TL07'!$B$229=N$3,SUMIF('TL07'!$C$238:$C$451,$C73,'TL07'!$J$238:$J$451),0),
IF('TL08'!$B$3=N$3,SUMIF('TL08'!$C$10:$C$224,$C73,'TL08'!$J$10:$J$224),0),
IF('TL08'!$B$229=N$3,SUMIF('TL08'!$C$238:$C$451,$C73,'TL08'!$J$238:$J$451),0),
IF('TL09'!$B$3=N$3,SUMIF('TL09'!$C$10:$C$224,$C73,'TL09'!$J$10:$J$224),0),
IF('TL09'!$B$229=N$3,SUMIF('TL09'!$C$238:$C$451,$C73,'TL09'!$J$238:$J$451),0),
IF('TL10'!$B$3=N$3,SUMIF('TL10'!$C$10:$C$224,$C73,'TL10'!$J$10:$J$224),0),
IF('TL10'!$B$229=N$3,SUMIF('TL10'!$C$238:$C$451,$C73,'TL10'!$J$238:$J$451),0),
IF('TL11'!$B$3=N$3,SUMIF('TL11'!$C$10:$C$224,$C73,'TL11'!$J$10:$J$224),0),
IF('TL11'!$B$229=N$3,SUMIF('TL11'!$C$238:$C$451,$C73,'TL11'!$J$238:$J$451),0),
IF('TL12'!$B$3=N$3,SUMIF('TL12'!$C$10:$C$224,$C73,'TL12'!$J$10:$J$224),0),
IF('TL12'!$B$229=N$3,SUMIF('TL12'!$C$238:$C$451,$C73,'TL12'!$J$238:$J$451),0),
IF('TL13'!$B$3=N$3,SUMIF('TL13'!$C$10:$C$224,$C73,'TL13'!$J$10:$J$224),0),
IF('TL13'!$B$229=N$3,SUMIF('TL13'!$C$238:$C$451,$C73,'TL13'!$J$238:$J$451),0),
IF('TL14'!$B$3=N$3,SUMIF('TL14'!$C$10:$C$224,$C73,'TL14'!$J$10:$J$224),0),
IF('TL14'!$B$229=N$3,SUMIF('TL14'!$C$238:$C$451,$C73,'TL14'!$J$238:$J$451),0),
IF('TL15'!$B$3=N$3,SUMIF('TL15'!$C$10:$C$224,$C73,'TL15'!$J$10:$J$224),0),
IF('TL15'!$B$229=N$3,SUMIF('TL15'!$C$238:$C$451,$C73,'TL15'!$J$238:$J$451),0),
IF('TL16'!$B$3=N$3,SUMIF('TL16'!$C$10:$C$224,$C73,'TL16'!$J$10:$J$224),0),
IF('TL16'!$B$229=N$3,SUMIF('TL16'!$C$238:$C$451,$C73,'TL16'!$J$238:$J$451),0),
IF('TL17'!$B$3=N$3,SUMIF('TL17'!$C$10:$C$224,$C73,'TL17'!$J$10:$J$224),0),
IF('TL17'!$B$229=N$3,SUMIF('TL17'!$C$238:$C$451,$C73,'TL17'!$J$238:$J$451),0),
IF('TL18'!$B$3=N$3,SUMIF('TL18'!$C$10:$C$224,$C73,'TL18'!$J$10:$J$224),0),
IF('TL18'!$B$229=N$3,SUMIF('TL18'!$C$238:$C$451,$C73,'TL18'!$J$238:$J$451),0),
IF('TL19'!$B$3=N$3,SUMIF('TL19'!$C$10:$C$224,$C73,'TL19'!$J$10:$J$224),0),
IF('TL19'!$B$229=N$3,SUMIF('TL19'!$C$238:$C$451,$C73,'TL19'!$J$238:$J$451),0)
),0)</f>
        <v/>
      </c>
      <c r="O73" s="9">
        <f>IFERROR(SUM(
IF('TL01'!$B$3=O$3,SUMIF('TL01'!$C$10:$C$224,$C73,'TL01'!$J$10:$J$224),0),
IF('TL01'!$B$229=O$3,SUMIF('TL01'!$C$238:$C$451,$C73,'TL01'!$J$238:$J$451),0),
IF('TL02'!$B$3=O$3,SUMIF('TL02'!$C$10:$C$224,$C73,'TL02'!$J$10:$J$224),0),
IF('TL02'!$B$229=O$3,SUMIF('TL02'!$C$238:$C$451,$C73,'TL02'!$J$238:$J$451),0),
IF('TL03'!$B$3=O$3,SUMIF('TL03'!$C$10:$C$224,$C73,'TL03'!$J$10:$J$224),0),
IF('TL03'!$B$229=O$3,SUMIF('TL03'!$C$238:$C$451,$C73,'TL03'!$J$238:$J$451),0),
IF('TL04'!$B$3=O$3,SUMIF('TL04'!$C$10:$C$224,$C73,'TL04'!$J$10:$J$224),0),
IF('TL04'!$B$229=O$3,SUMIF('TL04'!$C$238:$C$451,$C73,'TL04'!$J$238:$J$451),0),
IF('TL05'!$B$3=O$3,SUMIF('TL05'!$C$10:$C$224,$C73,'TL05'!$J$10:$J$224),0),
IF('TL05'!$B$229=O$3,SUMIF('TL05'!$C$238:$C$451,$C73,'TL05'!$J$238:$J$451),0),
IF('TL06'!$B$3=O$3,SUMIF('TL06'!$C$10:$C$224,$C73,'TL06'!$J$10:$J$224),0),
IF('TL06'!$B$229=O$3,SUMIF('TL06'!$C$238:$C$451,$C73,'TL06'!$J$238:$J$451),0),
IF('TL07'!$B$3=O$3,SUMIF('TL07'!$C$10:$C$224,$C73,'TL07'!$J$10:$J$224),0),
IF('TL07'!$B$229=O$3,SUMIF('TL07'!$C$238:$C$451,$C73,'TL07'!$J$238:$J$451),0),
IF('TL08'!$B$3=O$3,SUMIF('TL08'!$C$10:$C$224,$C73,'TL08'!$J$10:$J$224),0),
IF('TL08'!$B$229=O$3,SUMIF('TL08'!$C$238:$C$451,$C73,'TL08'!$J$238:$J$451),0),
IF('TL09'!$B$3=O$3,SUMIF('TL09'!$C$10:$C$224,$C73,'TL09'!$J$10:$J$224),0),
IF('TL09'!$B$229=O$3,SUMIF('TL09'!$C$238:$C$451,$C73,'TL09'!$J$238:$J$451),0),
IF('TL10'!$B$3=O$3,SUMIF('TL10'!$C$10:$C$224,$C73,'TL10'!$J$10:$J$224),0),
IF('TL10'!$B$229=O$3,SUMIF('TL10'!$C$238:$C$451,$C73,'TL10'!$J$238:$J$451),0),
IF('TL11'!$B$3=O$3,SUMIF('TL11'!$C$10:$C$224,$C73,'TL11'!$J$10:$J$224),0),
IF('TL11'!$B$229=O$3,SUMIF('TL11'!$C$238:$C$451,$C73,'TL11'!$J$238:$J$451),0),
IF('TL12'!$B$3=O$3,SUMIF('TL12'!$C$10:$C$224,$C73,'TL12'!$J$10:$J$224),0),
IF('TL12'!$B$229=O$3,SUMIF('TL12'!$C$238:$C$451,$C73,'TL12'!$J$238:$J$451),0),
IF('TL13'!$B$3=O$3,SUMIF('TL13'!$C$10:$C$224,$C73,'TL13'!$J$10:$J$224),0),
IF('TL13'!$B$229=O$3,SUMIF('TL13'!$C$238:$C$451,$C73,'TL13'!$J$238:$J$451),0),
IF('TL14'!$B$3=O$3,SUMIF('TL14'!$C$10:$C$224,$C73,'TL14'!$J$10:$J$224),0),
IF('TL14'!$B$229=O$3,SUMIF('TL14'!$C$238:$C$451,$C73,'TL14'!$J$238:$J$451),0),
IF('TL15'!$B$3=O$3,SUMIF('TL15'!$C$10:$C$224,$C73,'TL15'!$J$10:$J$224),0),
IF('TL15'!$B$229=O$3,SUMIF('TL15'!$C$238:$C$451,$C73,'TL15'!$J$238:$J$451),0),
IF('TL16'!$B$3=O$3,SUMIF('TL16'!$C$10:$C$224,$C73,'TL16'!$J$10:$J$224),0),
IF('TL16'!$B$229=O$3,SUMIF('TL16'!$C$238:$C$451,$C73,'TL16'!$J$238:$J$451),0),
IF('TL17'!$B$3=O$3,SUMIF('TL17'!$C$10:$C$224,$C73,'TL17'!$J$10:$J$224),0),
IF('TL17'!$B$229=O$3,SUMIF('TL17'!$C$238:$C$451,$C73,'TL17'!$J$238:$J$451),0),
IF('TL18'!$B$3=O$3,SUMIF('TL18'!$C$10:$C$224,$C73,'TL18'!$J$10:$J$224),0),
IF('TL18'!$B$229=O$3,SUMIF('TL18'!$C$238:$C$451,$C73,'TL18'!$J$238:$J$451),0),
IF('TL19'!$B$3=O$3,SUMIF('TL19'!$C$10:$C$224,$C73,'TL19'!$J$10:$J$224),0),
IF('TL19'!$B$229=O$3,SUMIF('TL19'!$C$238:$C$451,$C73,'TL19'!$J$238:$J$451),0)
),0)</f>
        <v/>
      </c>
      <c r="P73" s="9">
        <f>IFERROR(SUM(
IF('TL01'!$B$3=P$3,SUMIF('TL01'!$C$10:$C$224,$C73,'TL01'!$J$10:$J$224),0),
IF('TL01'!$B$229=P$3,SUMIF('TL01'!$C$238:$C$451,$C73,'TL01'!$J$238:$J$451),0),
IF('TL02'!$B$3=P$3,SUMIF('TL02'!$C$10:$C$224,$C73,'TL02'!$J$10:$J$224),0),
IF('TL02'!$B$229=P$3,SUMIF('TL02'!$C$238:$C$451,$C73,'TL02'!$J$238:$J$451),0),
IF('TL03'!$B$3=P$3,SUMIF('TL03'!$C$10:$C$224,$C73,'TL03'!$J$10:$J$224),0),
IF('TL03'!$B$229=P$3,SUMIF('TL03'!$C$238:$C$451,$C73,'TL03'!$J$238:$J$451),0),
IF('TL04'!$B$3=P$3,SUMIF('TL04'!$C$10:$C$224,$C73,'TL04'!$J$10:$J$224),0),
IF('TL04'!$B$229=P$3,SUMIF('TL04'!$C$238:$C$451,$C73,'TL04'!$J$238:$J$451),0),
IF('TL05'!$B$3=P$3,SUMIF('TL05'!$C$10:$C$224,$C73,'TL05'!$J$10:$J$224),0),
IF('TL05'!$B$229=P$3,SUMIF('TL05'!$C$238:$C$451,$C73,'TL05'!$J$238:$J$451),0),
IF('TL06'!$B$3=P$3,SUMIF('TL06'!$C$10:$C$224,$C73,'TL06'!$J$10:$J$224),0),
IF('TL06'!$B$229=P$3,SUMIF('TL06'!$C$238:$C$451,$C73,'TL06'!$J$238:$J$451),0),
IF('TL07'!$B$3=P$3,SUMIF('TL07'!$C$10:$C$224,$C73,'TL07'!$J$10:$J$224),0),
IF('TL07'!$B$229=P$3,SUMIF('TL07'!$C$238:$C$451,$C73,'TL07'!$J$238:$J$451),0),
IF('TL08'!$B$3=P$3,SUMIF('TL08'!$C$10:$C$224,$C73,'TL08'!$J$10:$J$224),0),
IF('TL08'!$B$229=P$3,SUMIF('TL08'!$C$238:$C$451,$C73,'TL08'!$J$238:$J$451),0),
IF('TL09'!$B$3=P$3,SUMIF('TL09'!$C$10:$C$224,$C73,'TL09'!$J$10:$J$224),0),
IF('TL09'!$B$229=P$3,SUMIF('TL09'!$C$238:$C$451,$C73,'TL09'!$J$238:$J$451),0),
IF('TL10'!$B$3=P$3,SUMIF('TL10'!$C$10:$C$224,$C73,'TL10'!$J$10:$J$224),0),
IF('TL10'!$B$229=P$3,SUMIF('TL10'!$C$238:$C$451,$C73,'TL10'!$J$238:$J$451),0),
IF('TL11'!$B$3=P$3,SUMIF('TL11'!$C$10:$C$224,$C73,'TL11'!$J$10:$J$224),0),
IF('TL11'!$B$229=P$3,SUMIF('TL11'!$C$238:$C$451,$C73,'TL11'!$J$238:$J$451),0),
IF('TL12'!$B$3=P$3,SUMIF('TL12'!$C$10:$C$224,$C73,'TL12'!$J$10:$J$224),0),
IF('TL12'!$B$229=P$3,SUMIF('TL12'!$C$238:$C$451,$C73,'TL12'!$J$238:$J$451),0),
IF('TL13'!$B$3=P$3,SUMIF('TL13'!$C$10:$C$224,$C73,'TL13'!$J$10:$J$224),0),
IF('TL13'!$B$229=P$3,SUMIF('TL13'!$C$238:$C$451,$C73,'TL13'!$J$238:$J$451),0),
IF('TL14'!$B$3=P$3,SUMIF('TL14'!$C$10:$C$224,$C73,'TL14'!$J$10:$J$224),0),
IF('TL14'!$B$229=P$3,SUMIF('TL14'!$C$238:$C$451,$C73,'TL14'!$J$238:$J$451),0),
IF('TL15'!$B$3=P$3,SUMIF('TL15'!$C$10:$C$224,$C73,'TL15'!$J$10:$J$224),0),
IF('TL15'!$B$229=P$3,SUMIF('TL15'!$C$238:$C$451,$C73,'TL15'!$J$238:$J$451),0),
IF('TL16'!$B$3=P$3,SUMIF('TL16'!$C$10:$C$224,$C73,'TL16'!$J$10:$J$224),0),
IF('TL16'!$B$229=P$3,SUMIF('TL16'!$C$238:$C$451,$C73,'TL16'!$J$238:$J$451),0),
IF('TL17'!$B$3=P$3,SUMIF('TL17'!$C$10:$C$224,$C73,'TL17'!$J$10:$J$224),0),
IF('TL17'!$B$229=P$3,SUMIF('TL17'!$C$238:$C$451,$C73,'TL17'!$J$238:$J$451),0),
IF('TL18'!$B$3=P$3,SUMIF('TL18'!$C$10:$C$224,$C73,'TL18'!$J$10:$J$224),0),
IF('TL18'!$B$229=P$3,SUMIF('TL18'!$C$238:$C$451,$C73,'TL18'!$J$238:$J$451),0),
IF('TL19'!$B$3=P$3,SUMIF('TL19'!$C$10:$C$224,$C73,'TL19'!$J$10:$J$224),0),
IF('TL19'!$B$229=P$3,SUMIF('TL19'!$C$238:$C$451,$C73,'TL19'!$J$238:$J$451),0)
),0)</f>
        <v/>
      </c>
      <c r="Q73" s="9">
        <f>IFERROR(SUM(
IF('TL01'!$B$3=Q$3,SUMIF('TL01'!$C$10:$C$224,$C73,'TL01'!$J$10:$J$224),0),
IF('TL01'!$B$229=Q$3,SUMIF('TL01'!$C$238:$C$451,$C73,'TL01'!$J$238:$J$451),0),
IF('TL02'!$B$3=Q$3,SUMIF('TL02'!$C$10:$C$224,$C73,'TL02'!$J$10:$J$224),0),
IF('TL02'!$B$229=Q$3,SUMIF('TL02'!$C$238:$C$451,$C73,'TL02'!$J$238:$J$451),0),
IF('TL03'!$B$3=Q$3,SUMIF('TL03'!$C$10:$C$224,$C73,'TL03'!$J$10:$J$224),0),
IF('TL03'!$B$229=Q$3,SUMIF('TL03'!$C$238:$C$451,$C73,'TL03'!$J$238:$J$451),0),
IF('TL04'!$B$3=Q$3,SUMIF('TL04'!$C$10:$C$224,$C73,'TL04'!$J$10:$J$224),0),
IF('TL04'!$B$229=Q$3,SUMIF('TL04'!$C$238:$C$451,$C73,'TL04'!$J$238:$J$451),0),
IF('TL05'!$B$3=Q$3,SUMIF('TL05'!$C$10:$C$224,$C73,'TL05'!$J$10:$J$224),0),
IF('TL05'!$B$229=Q$3,SUMIF('TL05'!$C$238:$C$451,$C73,'TL05'!$J$238:$J$451),0),
IF('TL06'!$B$3=Q$3,SUMIF('TL06'!$C$10:$C$224,$C73,'TL06'!$J$10:$J$224),0),
IF('TL06'!$B$229=Q$3,SUMIF('TL06'!$C$238:$C$451,$C73,'TL06'!$J$238:$J$451),0),
IF('TL07'!$B$3=Q$3,SUMIF('TL07'!$C$10:$C$224,$C73,'TL07'!$J$10:$J$224),0),
IF('TL07'!$B$229=Q$3,SUMIF('TL07'!$C$238:$C$451,$C73,'TL07'!$J$238:$J$451),0),
IF('TL08'!$B$3=Q$3,SUMIF('TL08'!$C$10:$C$224,$C73,'TL08'!$J$10:$J$224),0),
IF('TL08'!$B$229=Q$3,SUMIF('TL08'!$C$238:$C$451,$C73,'TL08'!$J$238:$J$451),0),
IF('TL09'!$B$3=Q$3,SUMIF('TL09'!$C$10:$C$224,$C73,'TL09'!$J$10:$J$224),0),
IF('TL09'!$B$229=Q$3,SUMIF('TL09'!$C$238:$C$451,$C73,'TL09'!$J$238:$J$451),0),
IF('TL10'!$B$3=Q$3,SUMIF('TL10'!$C$10:$C$224,$C73,'TL10'!$J$10:$J$224),0),
IF('TL10'!$B$229=Q$3,SUMIF('TL10'!$C$238:$C$451,$C73,'TL10'!$J$238:$J$451),0),
IF('TL11'!$B$3=Q$3,SUMIF('TL11'!$C$10:$C$224,$C73,'TL11'!$J$10:$J$224),0),
IF('TL11'!$B$229=Q$3,SUMIF('TL11'!$C$238:$C$451,$C73,'TL11'!$J$238:$J$451),0),
IF('TL12'!$B$3=Q$3,SUMIF('TL12'!$C$10:$C$224,$C73,'TL12'!$J$10:$J$224),0),
IF('TL12'!$B$229=Q$3,SUMIF('TL12'!$C$238:$C$451,$C73,'TL12'!$J$238:$J$451),0),
IF('TL13'!$B$3=Q$3,SUMIF('TL13'!$C$10:$C$224,$C73,'TL13'!$J$10:$J$224),0),
IF('TL13'!$B$229=Q$3,SUMIF('TL13'!$C$238:$C$451,$C73,'TL13'!$J$238:$J$451),0),
IF('TL14'!$B$3=Q$3,SUMIF('TL14'!$C$10:$C$224,$C73,'TL14'!$J$10:$J$224),0),
IF('TL14'!$B$229=Q$3,SUMIF('TL14'!$C$238:$C$451,$C73,'TL14'!$J$238:$J$451),0),
IF('TL15'!$B$3=Q$3,SUMIF('TL15'!$C$10:$C$224,$C73,'TL15'!$J$10:$J$224),0),
IF('TL15'!$B$229=Q$3,SUMIF('TL15'!$C$238:$C$451,$C73,'TL15'!$J$238:$J$451),0),
IF('TL16'!$B$3=Q$3,SUMIF('TL16'!$C$10:$C$224,$C73,'TL16'!$J$10:$J$224),0),
IF('TL16'!$B$229=Q$3,SUMIF('TL16'!$C$238:$C$451,$C73,'TL16'!$J$238:$J$451),0),
IF('TL17'!$B$3=Q$3,SUMIF('TL17'!$C$10:$C$224,$C73,'TL17'!$J$10:$J$224),0),
IF('TL17'!$B$229=Q$3,SUMIF('TL17'!$C$238:$C$451,$C73,'TL17'!$J$238:$J$451),0),
IF('TL18'!$B$3=Q$3,SUMIF('TL18'!$C$10:$C$224,$C73,'TL18'!$J$10:$J$224),0),
IF('TL18'!$B$229=Q$3,SUMIF('TL18'!$C$238:$C$451,$C73,'TL18'!$J$238:$J$451),0),
IF('TL19'!$B$3=Q$3,SUMIF('TL19'!$C$10:$C$224,$C73,'TL19'!$J$10:$J$224),0),
IF('TL19'!$B$229=Q$3,SUMIF('TL19'!$C$238:$C$451,$C73,'TL19'!$J$238:$J$451),0)
),0)</f>
        <v/>
      </c>
      <c r="R73" s="9">
        <f>IFERROR(
SUM(
SUMIF('TL01'!C:C,C73,'TL01'!J:J),
SUMIF('TL02'!C:C,C73,'TL02'!J:J),
SUMIF('TL03'!C:C,C73,'TL03'!J:J),
SUMIF('TL04'!C:C,C73,'TL04'!J:J),
SUMIF('TL05'!C:C,C73,'TL05'!J:J),
SUMIF('TL06'!C:C,C73,'TL06'!J:J),
SUMIF('TL07'!C:C,C73,'TL07'!J:J),
SUMIF('TL08'!C:C,C73,'TL08'!J:J),
SUMIF('TL09'!C:C,C73,'TL09'!J:J),
SUMIF('TL10'!C:C,C73,'TL10'!J:J),
SUMIF('TL11'!C:C,C73,'TL11'!J:J),
SUMIF('TL12'!C:C,C73,'TL12'!J:J),
SUMIF('TL13'!C:C,C73,'TL13'!J:J),
SUMIF('TL14'!C:C,C73,'TL14'!J:J),
SUMIF('TL15'!C:C,C73,'TL15'!J:J),
SUMIF('TL16'!C:C,C73,'TL16'!J:J),
SUMIF('TL17'!C:C,C73,'TL17'!J:J),
SUMIF('TL18'!C:C,C73,'TL18'!J:J),SUMIF('TL19'!C:C,C73,'TL19'!J:J))
,0)</f>
        <v/>
      </c>
      <c r="S73" s="17">
        <f>IFERROR(__xludf.DUMMYFUNCTION("IFERROR(VLOOKUP(C73,
IMPORTRANGE(""1wULbzX32WdYsx-lj2U3uUNBBe2INVIRDtcK0d-Dvl90"",
""26-27!C:G""),
5,
FALSE),
"""")"),72.34992)</f>
        <v/>
      </c>
      <c r="T73" s="9" t="n"/>
      <c r="U73" s="92">
        <f>MAX(0,R73-T73)</f>
        <v/>
      </c>
      <c r="V73" s="93">
        <f>U73*S73</f>
        <v/>
      </c>
    </row>
    <row r="74" hidden="1" ht="15.75" customHeight="1" s="297">
      <c r="A74" s="115" t="inlineStr">
        <is>
          <t>NORTOX</t>
        </is>
      </c>
      <c r="B74" s="100" t="inlineStr">
        <is>
          <t>FUNGICIDA</t>
        </is>
      </c>
      <c r="C74" s="116" t="inlineStr">
        <is>
          <t>PROTECTION NORTOX</t>
        </is>
      </c>
      <c r="D74" s="116" t="inlineStr">
        <is>
          <t>FLUAZINAM + TIOFANATO-METÍLICO</t>
        </is>
      </c>
      <c r="E74" s="116" t="inlineStr">
        <is>
          <t>200 + 400</t>
        </is>
      </c>
      <c r="F74" s="4" t="inlineStr">
        <is>
          <t>L</t>
        </is>
      </c>
      <c r="G74" s="90">
        <f>HYPERLINK("https://www.google.com/search?q=" &amp; C74 &amp; "+bula+agrofit+pdf", "📄 Ver bula")</f>
        <v/>
      </c>
      <c r="H74" s="9">
        <f>IFERROR(__xludf.DUMMYFUNCTION("IFERROR(VLOOKUP(C74,
IMPORTRANGE(""1wULbzX32WdYsx-lj2U3uUNBBe2INVIRDtcK0d-Dvl90"",
""26-27!C:K""),
8,
FALSE),
"""")"),1.5)</f>
        <v/>
      </c>
      <c r="I74" s="117" t="inlineStr">
        <is>
          <t>1x20</t>
        </is>
      </c>
      <c r="J74" s="9">
        <f>IFERROR(SUM(
IF('TL01'!$B$3=J$3,SUMIF('TL01'!$C$10:$C$224,$C74,'TL01'!$J$10:$J$224),0),
IF('TL01'!$B$229=J$3,SUMIF('TL01'!$C$238:$C$451,$C74,'TL01'!$J$238:$J$451),0),
IF('TL02'!$B$3=J$3,SUMIF('TL02'!$C$10:$C$224,$C74,'TL02'!$J$10:$J$224),0),
IF('TL02'!$B$229=J$3,SUMIF('TL02'!$C$238:$C$451,$C74,'TL02'!$J$238:$J$451),0),
IF('TL03'!$B$3=J$3,SUMIF('TL03'!$C$10:$C$224,$C74,'TL03'!$J$10:$J$224),0),
IF('TL03'!$B$229=J$3,SUMIF('TL03'!$C$238:$C$451,$C74,'TL03'!$J$238:$J$451),0),
IF('TL04'!$B$3=J$3,SUMIF('TL04'!$C$10:$C$224,$C74,'TL04'!$J$10:$J$224),0),
IF('TL04'!$B$229=J$3,SUMIF('TL04'!$C$238:$C$451,$C74,'TL04'!$J$238:$J$451),0),
IF('TL05'!$B$3=J$3,SUMIF('TL05'!$C$10:$C$224,$C74,'TL05'!$J$10:$J$224),0),
IF('TL05'!$B$229=J$3,SUMIF('TL05'!$C$238:$C$451,$C74,'TL05'!$J$238:$J$451),0),
IF('TL06'!$B$3=J$3,SUMIF('TL06'!$C$10:$C$224,$C74,'TL06'!$J$10:$J$224),0),
IF('TL06'!$B$229=J$3,SUMIF('TL06'!$C$238:$C$451,$C74,'TL06'!$J$238:$J$451),0),
IF('TL07'!$B$3=J$3,SUMIF('TL07'!$C$10:$C$224,$C74,'TL07'!$J$10:$J$224),0),
IF('TL07'!$B$229=J$3,SUMIF('TL07'!$C$238:$C$451,$C74,'TL07'!$J$238:$J$451),0),
IF('TL08'!$B$3=J$3,SUMIF('TL08'!$C$10:$C$224,$C74,'TL08'!$J$10:$J$224),0),
IF('TL08'!$B$229=J$3,SUMIF('TL08'!$C$238:$C$451,$C74,'TL08'!$J$238:$J$451),0),
IF('TL09'!$B$3=J$3,SUMIF('TL09'!$C$10:$C$224,$C74,'TL09'!$J$10:$J$224),0),
IF('TL09'!$B$229=J$3,SUMIF('TL09'!$C$238:$C$451,$C74,'TL09'!$J$238:$J$451),0),
IF('TL10'!$B$3=J$3,SUMIF('TL10'!$C$10:$C$224,$C74,'TL10'!$J$10:$J$224),0),
IF('TL10'!$B$229=J$3,SUMIF('TL10'!$C$238:$C$451,$C74,'TL10'!$J$238:$J$451),0),
IF('TL11'!$B$3=J$3,SUMIF('TL11'!$C$10:$C$224,$C74,'TL11'!$J$10:$J$224),0),
IF('TL11'!$B$229=J$3,SUMIF('TL11'!$C$238:$C$451,$C74,'TL11'!$J$238:$J$451),0),
IF('TL12'!$B$3=J$3,SUMIF('TL12'!$C$10:$C$224,$C74,'TL12'!$J$10:$J$224),0),
IF('TL12'!$B$229=J$3,SUMIF('TL12'!$C$238:$C$451,$C74,'TL12'!$J$238:$J$451),0),
IF('TL13'!$B$3=J$3,SUMIF('TL13'!$C$10:$C$224,$C74,'TL13'!$J$10:$J$224),0),
IF('TL13'!$B$229=J$3,SUMIF('TL13'!$C$238:$C$451,$C74,'TL13'!$J$238:$J$451),0),
IF('TL14'!$B$3=J$3,SUMIF('TL14'!$C$10:$C$224,$C74,'TL14'!$J$10:$J$224),0),
IF('TL14'!$B$229=J$3,SUMIF('TL14'!$C$238:$C$451,$C74,'TL14'!$J$238:$J$451),0),
IF('TL15'!$B$3=J$3,SUMIF('TL15'!$C$10:$C$224,$C74,'TL15'!$J$10:$J$224),0),
IF('TL15'!$B$229=J$3,SUMIF('TL15'!$C$238:$C$451,$C74,'TL15'!$J$238:$J$451),0),
IF('TL16'!$B$3=J$3,SUMIF('TL16'!$C$10:$C$224,$C74,'TL16'!$J$10:$J$224),0),
IF('TL16'!$B$229=J$3,SUMIF('TL16'!$C$238:$C$451,$C74,'TL16'!$J$238:$J$451),0),
IF('TL17'!$B$3=J$3,SUMIF('TL17'!$C$10:$C$224,$C74,'TL17'!$J$10:$J$224),0),
IF('TL17'!$B$229=J$3,SUMIF('TL17'!$C$238:$C$451,$C74,'TL17'!$J$238:$J$451),0),
IF('TL18'!$B$3=J$3,SUMIF('TL18'!$C$10:$C$224,$C74,'TL18'!$J$10:$J$224),0),
IF('TL18'!$B$229=J$3,SUMIF('TL18'!$C$238:$C$451,$C74,'TL18'!$J$238:$J$451),0),
IF('TL19'!$B$3=J$3,SUMIF('TL19'!$C$10:$C$224,$C74,'TL19'!$J$10:$J$224),0),
IF('TL19'!$B$229=J$3,SUMIF('TL19'!$C$238:$C$451,$C74,'TL19'!$J$238:$J$451),0)
),0)</f>
        <v/>
      </c>
      <c r="K74" s="9">
        <f>IFERROR(SUM(
IF('TL01'!$B$3=K$3,SUMIF('TL01'!$C$10:$C$224,$C74,'TL01'!$J$10:$J$224),0),
IF('TL01'!$B$229=K$3,SUMIF('TL01'!$C$238:$C$451,$C74,'TL01'!$J$238:$J$451),0),
IF('TL02'!$B$3=K$3,SUMIF('TL02'!$C$10:$C$224,$C74,'TL02'!$J$10:$J$224),0),
IF('TL02'!$B$229=K$3,SUMIF('TL02'!$C$238:$C$451,$C74,'TL02'!$J$238:$J$451),0),
IF('TL03'!$B$3=K$3,SUMIF('TL03'!$C$10:$C$224,$C74,'TL03'!$J$10:$J$224),0),
IF('TL03'!$B$229=K$3,SUMIF('TL03'!$C$238:$C$451,$C74,'TL03'!$J$238:$J$451),0),
IF('TL04'!$B$3=K$3,SUMIF('TL04'!$C$10:$C$224,$C74,'TL04'!$J$10:$J$224),0),
IF('TL04'!$B$229=K$3,SUMIF('TL04'!$C$238:$C$451,$C74,'TL04'!$J$238:$J$451),0),
IF('TL05'!$B$3=K$3,SUMIF('TL05'!$C$10:$C$224,$C74,'TL05'!$J$10:$J$224),0),
IF('TL05'!$B$229=K$3,SUMIF('TL05'!$C$238:$C$451,$C74,'TL05'!$J$238:$J$451),0),
IF('TL06'!$B$3=K$3,SUMIF('TL06'!$C$10:$C$224,$C74,'TL06'!$J$10:$J$224),0),
IF('TL06'!$B$229=K$3,SUMIF('TL06'!$C$238:$C$451,$C74,'TL06'!$J$238:$J$451),0),
IF('TL07'!$B$3=K$3,SUMIF('TL07'!$C$10:$C$224,$C74,'TL07'!$J$10:$J$224),0),
IF('TL07'!$B$229=K$3,SUMIF('TL07'!$C$238:$C$451,$C74,'TL07'!$J$238:$J$451),0),
IF('TL08'!$B$3=K$3,SUMIF('TL08'!$C$10:$C$224,$C74,'TL08'!$J$10:$J$224),0),
IF('TL08'!$B$229=K$3,SUMIF('TL08'!$C$238:$C$451,$C74,'TL08'!$J$238:$J$451),0),
IF('TL09'!$B$3=K$3,SUMIF('TL09'!$C$10:$C$224,$C74,'TL09'!$J$10:$J$224),0),
IF('TL09'!$B$229=K$3,SUMIF('TL09'!$C$238:$C$451,$C74,'TL09'!$J$238:$J$451),0),
IF('TL10'!$B$3=K$3,SUMIF('TL10'!$C$10:$C$224,$C74,'TL10'!$J$10:$J$224),0),
IF('TL10'!$B$229=K$3,SUMIF('TL10'!$C$238:$C$451,$C74,'TL10'!$J$238:$J$451),0),
IF('TL11'!$B$3=K$3,SUMIF('TL11'!$C$10:$C$224,$C74,'TL11'!$J$10:$J$224),0),
IF('TL11'!$B$229=K$3,SUMIF('TL11'!$C$238:$C$451,$C74,'TL11'!$J$238:$J$451),0),
IF('TL12'!$B$3=K$3,SUMIF('TL12'!$C$10:$C$224,$C74,'TL12'!$J$10:$J$224),0),
IF('TL12'!$B$229=K$3,SUMIF('TL12'!$C$238:$C$451,$C74,'TL12'!$J$238:$J$451),0),
IF('TL13'!$B$3=K$3,SUMIF('TL13'!$C$10:$C$224,$C74,'TL13'!$J$10:$J$224),0),
IF('TL13'!$B$229=K$3,SUMIF('TL13'!$C$238:$C$451,$C74,'TL13'!$J$238:$J$451),0),
IF('TL14'!$B$3=K$3,SUMIF('TL14'!$C$10:$C$224,$C74,'TL14'!$J$10:$J$224),0),
IF('TL14'!$B$229=K$3,SUMIF('TL14'!$C$238:$C$451,$C74,'TL14'!$J$238:$J$451),0),
IF('TL15'!$B$3=K$3,SUMIF('TL15'!$C$10:$C$224,$C74,'TL15'!$J$10:$J$224),0),
IF('TL15'!$B$229=K$3,SUMIF('TL15'!$C$238:$C$451,$C74,'TL15'!$J$238:$J$451),0),
IF('TL16'!$B$3=K$3,SUMIF('TL16'!$C$10:$C$224,$C74,'TL16'!$J$10:$J$224),0),
IF('TL16'!$B$229=K$3,SUMIF('TL16'!$C$238:$C$451,$C74,'TL16'!$J$238:$J$451),0),
IF('TL17'!$B$3=K$3,SUMIF('TL17'!$C$10:$C$224,$C74,'TL17'!$J$10:$J$224),0),
IF('TL17'!$B$229=K$3,SUMIF('TL17'!$C$238:$C$451,$C74,'TL17'!$J$238:$J$451),0),
IF('TL18'!$B$3=K$3,SUMIF('TL18'!$C$10:$C$224,$C74,'TL18'!$J$10:$J$224),0),
IF('TL18'!$B$229=K$3,SUMIF('TL18'!$C$238:$C$451,$C74,'TL18'!$J$238:$J$451),0),
IF('TL19'!$B$3=K$3,SUMIF('TL19'!$C$10:$C$224,$C74,'TL19'!$J$10:$J$224),0),
IF('TL19'!$B$229=K$3,SUMIF('TL19'!$C$238:$C$451,$C74,'TL19'!$J$238:$J$451),0)
),0)</f>
        <v/>
      </c>
      <c r="L74" s="9">
        <f>IFERROR(SUM(
IF('TL01'!$B$3=L$3,SUMIF('TL01'!$C$10:$C$224,$C74,'TL01'!$J$10:$J$224),0),
IF('TL01'!$B$229=L$3,SUMIF('TL01'!$C$238:$C$451,$C74,'TL01'!$J$238:$J$451),0),
IF('TL02'!$B$3=L$3,SUMIF('TL02'!$C$10:$C$224,$C74,'TL02'!$J$10:$J$224),0),
IF('TL02'!$B$229=L$3,SUMIF('TL02'!$C$238:$C$451,$C74,'TL02'!$J$238:$J$451),0),
IF('TL03'!$B$3=L$3,SUMIF('TL03'!$C$10:$C$224,$C74,'TL03'!$J$10:$J$224),0),
IF('TL03'!$B$229=L$3,SUMIF('TL03'!$C$238:$C$451,$C74,'TL03'!$J$238:$J$451),0),
IF('TL04'!$B$3=L$3,SUMIF('TL04'!$C$10:$C$224,$C74,'TL04'!$J$10:$J$224),0),
IF('TL04'!$B$229=L$3,SUMIF('TL04'!$C$238:$C$451,$C74,'TL04'!$J$238:$J$451),0),
IF('TL05'!$B$3=L$3,SUMIF('TL05'!$C$10:$C$224,$C74,'TL05'!$J$10:$J$224),0),
IF('TL05'!$B$229=L$3,SUMIF('TL05'!$C$238:$C$451,$C74,'TL05'!$J$238:$J$451),0),
IF('TL06'!$B$3=L$3,SUMIF('TL06'!$C$10:$C$224,$C74,'TL06'!$J$10:$J$224),0),
IF('TL06'!$B$229=L$3,SUMIF('TL06'!$C$238:$C$451,$C74,'TL06'!$J$238:$J$451),0),
IF('TL07'!$B$3=L$3,SUMIF('TL07'!$C$10:$C$224,$C74,'TL07'!$J$10:$J$224),0),
IF('TL07'!$B$229=L$3,SUMIF('TL07'!$C$238:$C$451,$C74,'TL07'!$J$238:$J$451),0),
IF('TL08'!$B$3=L$3,SUMIF('TL08'!$C$10:$C$224,$C74,'TL08'!$J$10:$J$224),0),
IF('TL08'!$B$229=L$3,SUMIF('TL08'!$C$238:$C$451,$C74,'TL08'!$J$238:$J$451),0),
IF('TL09'!$B$3=L$3,SUMIF('TL09'!$C$10:$C$224,$C74,'TL09'!$J$10:$J$224),0),
IF('TL09'!$B$229=L$3,SUMIF('TL09'!$C$238:$C$451,$C74,'TL09'!$J$238:$J$451),0),
IF('TL10'!$B$3=L$3,SUMIF('TL10'!$C$10:$C$224,$C74,'TL10'!$J$10:$J$224),0),
IF('TL10'!$B$229=L$3,SUMIF('TL10'!$C$238:$C$451,$C74,'TL10'!$J$238:$J$451),0),
IF('TL11'!$B$3=L$3,SUMIF('TL11'!$C$10:$C$224,$C74,'TL11'!$J$10:$J$224),0),
IF('TL11'!$B$229=L$3,SUMIF('TL11'!$C$238:$C$451,$C74,'TL11'!$J$238:$J$451),0),
IF('TL12'!$B$3=L$3,SUMIF('TL12'!$C$10:$C$224,$C74,'TL12'!$J$10:$J$224),0),
IF('TL12'!$B$229=L$3,SUMIF('TL12'!$C$238:$C$451,$C74,'TL12'!$J$238:$J$451),0),
IF('TL13'!$B$3=L$3,SUMIF('TL13'!$C$10:$C$224,$C74,'TL13'!$J$10:$J$224),0),
IF('TL13'!$B$229=L$3,SUMIF('TL13'!$C$238:$C$451,$C74,'TL13'!$J$238:$J$451),0),
IF('TL14'!$B$3=L$3,SUMIF('TL14'!$C$10:$C$224,$C74,'TL14'!$J$10:$J$224),0),
IF('TL14'!$B$229=L$3,SUMIF('TL14'!$C$238:$C$451,$C74,'TL14'!$J$238:$J$451),0),
IF('TL15'!$B$3=L$3,SUMIF('TL15'!$C$10:$C$224,$C74,'TL15'!$J$10:$J$224),0),
IF('TL15'!$B$229=L$3,SUMIF('TL15'!$C$238:$C$451,$C74,'TL15'!$J$238:$J$451),0),
IF('TL16'!$B$3=L$3,SUMIF('TL16'!$C$10:$C$224,$C74,'TL16'!$J$10:$J$224),0),
IF('TL16'!$B$229=L$3,SUMIF('TL16'!$C$238:$C$451,$C74,'TL16'!$J$238:$J$451),0),
IF('TL17'!$B$3=L$3,SUMIF('TL17'!$C$10:$C$224,$C74,'TL17'!$J$10:$J$224),0),
IF('TL17'!$B$229=L$3,SUMIF('TL17'!$C$238:$C$451,$C74,'TL17'!$J$238:$J$451),0),
IF('TL18'!$B$3=L$3,SUMIF('TL18'!$C$10:$C$224,$C74,'TL18'!$J$10:$J$224),0),
IF('TL18'!$B$229=L$3,SUMIF('TL18'!$C$238:$C$451,$C74,'TL18'!$J$238:$J$451),0),
IF('TL19'!$B$3=L$3,SUMIF('TL19'!$C$10:$C$224,$C74,'TL19'!$J$10:$J$224),0),
IF('TL19'!$B$229=L$3,SUMIF('TL19'!$C$238:$C$451,$C74,'TL19'!$J$238:$J$451),0)
),0)</f>
        <v/>
      </c>
      <c r="M74" s="9">
        <f>IFERROR(SUM(
IF('TL01'!$B$3=M$3,SUMIF('TL01'!$C$10:$C$224,$C74,'TL01'!$J$10:$J$224),0),
IF('TL01'!$B$229=M$3,SUMIF('TL01'!$C$238:$C$451,$C74,'TL01'!$J$238:$J$451),0),
IF('TL02'!$B$3=M$3,SUMIF('TL02'!$C$10:$C$224,$C74,'TL02'!$J$10:$J$224),0),
IF('TL02'!$B$229=M$3,SUMIF('TL02'!$C$238:$C$451,$C74,'TL02'!$J$238:$J$451),0),
IF('TL03'!$B$3=M$3,SUMIF('TL03'!$C$10:$C$224,$C74,'TL03'!$J$10:$J$224),0),
IF('TL03'!$B$229=M$3,SUMIF('TL03'!$C$238:$C$451,$C74,'TL03'!$J$238:$J$451),0),
IF('TL04'!$B$3=M$3,SUMIF('TL04'!$C$10:$C$224,$C74,'TL04'!$J$10:$J$224),0),
IF('TL04'!$B$229=M$3,SUMIF('TL04'!$C$238:$C$451,$C74,'TL04'!$J$238:$J$451),0),
IF('TL05'!$B$3=M$3,SUMIF('TL05'!$C$10:$C$224,$C74,'TL05'!$J$10:$J$224),0),
IF('TL05'!$B$229=M$3,SUMIF('TL05'!$C$238:$C$451,$C74,'TL05'!$J$238:$J$451),0),
IF('TL06'!$B$3=M$3,SUMIF('TL06'!$C$10:$C$224,$C74,'TL06'!$J$10:$J$224),0),
IF('TL06'!$B$229=M$3,SUMIF('TL06'!$C$238:$C$451,$C74,'TL06'!$J$238:$J$451),0),
IF('TL07'!$B$3=M$3,SUMIF('TL07'!$C$10:$C$224,$C74,'TL07'!$J$10:$J$224),0),
IF('TL07'!$B$229=M$3,SUMIF('TL07'!$C$238:$C$451,$C74,'TL07'!$J$238:$J$451),0),
IF('TL08'!$B$3=M$3,SUMIF('TL08'!$C$10:$C$224,$C74,'TL08'!$J$10:$J$224),0),
IF('TL08'!$B$229=M$3,SUMIF('TL08'!$C$238:$C$451,$C74,'TL08'!$J$238:$J$451),0),
IF('TL09'!$B$3=M$3,SUMIF('TL09'!$C$10:$C$224,$C74,'TL09'!$J$10:$J$224),0),
IF('TL09'!$B$229=M$3,SUMIF('TL09'!$C$238:$C$451,$C74,'TL09'!$J$238:$J$451),0),
IF('TL10'!$B$3=M$3,SUMIF('TL10'!$C$10:$C$224,$C74,'TL10'!$J$10:$J$224),0),
IF('TL10'!$B$229=M$3,SUMIF('TL10'!$C$238:$C$451,$C74,'TL10'!$J$238:$J$451),0),
IF('TL11'!$B$3=M$3,SUMIF('TL11'!$C$10:$C$224,$C74,'TL11'!$J$10:$J$224),0),
IF('TL11'!$B$229=M$3,SUMIF('TL11'!$C$238:$C$451,$C74,'TL11'!$J$238:$J$451),0),
IF('TL12'!$B$3=M$3,SUMIF('TL12'!$C$10:$C$224,$C74,'TL12'!$J$10:$J$224),0),
IF('TL12'!$B$229=M$3,SUMIF('TL12'!$C$238:$C$451,$C74,'TL12'!$J$238:$J$451),0),
IF('TL13'!$B$3=M$3,SUMIF('TL13'!$C$10:$C$224,$C74,'TL13'!$J$10:$J$224),0),
IF('TL13'!$B$229=M$3,SUMIF('TL13'!$C$238:$C$451,$C74,'TL13'!$J$238:$J$451),0),
IF('TL14'!$B$3=M$3,SUMIF('TL14'!$C$10:$C$224,$C74,'TL14'!$J$10:$J$224),0),
IF('TL14'!$B$229=M$3,SUMIF('TL14'!$C$238:$C$451,$C74,'TL14'!$J$238:$J$451),0),
IF('TL15'!$B$3=M$3,SUMIF('TL15'!$C$10:$C$224,$C74,'TL15'!$J$10:$J$224),0),
IF('TL15'!$B$229=M$3,SUMIF('TL15'!$C$238:$C$451,$C74,'TL15'!$J$238:$J$451),0),
IF('TL16'!$B$3=M$3,SUMIF('TL16'!$C$10:$C$224,$C74,'TL16'!$J$10:$J$224),0),
IF('TL16'!$B$229=M$3,SUMIF('TL16'!$C$238:$C$451,$C74,'TL16'!$J$238:$J$451),0),
IF('TL17'!$B$3=M$3,SUMIF('TL17'!$C$10:$C$224,$C74,'TL17'!$J$10:$J$224),0),
IF('TL17'!$B$229=M$3,SUMIF('TL17'!$C$238:$C$451,$C74,'TL17'!$J$238:$J$451),0),
IF('TL18'!$B$3=M$3,SUMIF('TL18'!$C$10:$C$224,$C74,'TL18'!$J$10:$J$224),0),
IF('TL18'!$B$229=M$3,SUMIF('TL18'!$C$238:$C$451,$C74,'TL18'!$J$238:$J$451),0),
IF('TL19'!$B$3=M$3,SUMIF('TL19'!$C$10:$C$224,$C74,'TL19'!$J$10:$J$224),0),
IF('TL19'!$B$229=M$3,SUMIF('TL19'!$C$238:$C$451,$C74,'TL19'!$J$238:$J$451),0)
),0)</f>
        <v/>
      </c>
      <c r="N74" s="9">
        <f>IFERROR(SUM(
IF('TL01'!$B$3=N$3,SUMIF('TL01'!$C$10:$C$224,$C74,'TL01'!$J$10:$J$224),0),
IF('TL01'!$B$229=N$3,SUMIF('TL01'!$C$238:$C$451,$C74,'TL01'!$J$238:$J$451),0),
IF('TL02'!$B$3=N$3,SUMIF('TL02'!$C$10:$C$224,$C74,'TL02'!$J$10:$J$224),0),
IF('TL02'!$B$229=N$3,SUMIF('TL02'!$C$238:$C$451,$C74,'TL02'!$J$238:$J$451),0),
IF('TL03'!$B$3=N$3,SUMIF('TL03'!$C$10:$C$224,$C74,'TL03'!$J$10:$J$224),0),
IF('TL03'!$B$229=N$3,SUMIF('TL03'!$C$238:$C$451,$C74,'TL03'!$J$238:$J$451),0),
IF('TL04'!$B$3=N$3,SUMIF('TL04'!$C$10:$C$224,$C74,'TL04'!$J$10:$J$224),0),
IF('TL04'!$B$229=N$3,SUMIF('TL04'!$C$238:$C$451,$C74,'TL04'!$J$238:$J$451),0),
IF('TL05'!$B$3=N$3,SUMIF('TL05'!$C$10:$C$224,$C74,'TL05'!$J$10:$J$224),0),
IF('TL05'!$B$229=N$3,SUMIF('TL05'!$C$238:$C$451,$C74,'TL05'!$J$238:$J$451),0),
IF('TL06'!$B$3=N$3,SUMIF('TL06'!$C$10:$C$224,$C74,'TL06'!$J$10:$J$224),0),
IF('TL06'!$B$229=N$3,SUMIF('TL06'!$C$238:$C$451,$C74,'TL06'!$J$238:$J$451),0),
IF('TL07'!$B$3=N$3,SUMIF('TL07'!$C$10:$C$224,$C74,'TL07'!$J$10:$J$224),0),
IF('TL07'!$B$229=N$3,SUMIF('TL07'!$C$238:$C$451,$C74,'TL07'!$J$238:$J$451),0),
IF('TL08'!$B$3=N$3,SUMIF('TL08'!$C$10:$C$224,$C74,'TL08'!$J$10:$J$224),0),
IF('TL08'!$B$229=N$3,SUMIF('TL08'!$C$238:$C$451,$C74,'TL08'!$J$238:$J$451),0),
IF('TL09'!$B$3=N$3,SUMIF('TL09'!$C$10:$C$224,$C74,'TL09'!$J$10:$J$224),0),
IF('TL09'!$B$229=N$3,SUMIF('TL09'!$C$238:$C$451,$C74,'TL09'!$J$238:$J$451),0),
IF('TL10'!$B$3=N$3,SUMIF('TL10'!$C$10:$C$224,$C74,'TL10'!$J$10:$J$224),0),
IF('TL10'!$B$229=N$3,SUMIF('TL10'!$C$238:$C$451,$C74,'TL10'!$J$238:$J$451),0),
IF('TL11'!$B$3=N$3,SUMIF('TL11'!$C$10:$C$224,$C74,'TL11'!$J$10:$J$224),0),
IF('TL11'!$B$229=N$3,SUMIF('TL11'!$C$238:$C$451,$C74,'TL11'!$J$238:$J$451),0),
IF('TL12'!$B$3=N$3,SUMIF('TL12'!$C$10:$C$224,$C74,'TL12'!$J$10:$J$224),0),
IF('TL12'!$B$229=N$3,SUMIF('TL12'!$C$238:$C$451,$C74,'TL12'!$J$238:$J$451),0),
IF('TL13'!$B$3=N$3,SUMIF('TL13'!$C$10:$C$224,$C74,'TL13'!$J$10:$J$224),0),
IF('TL13'!$B$229=N$3,SUMIF('TL13'!$C$238:$C$451,$C74,'TL13'!$J$238:$J$451),0),
IF('TL14'!$B$3=N$3,SUMIF('TL14'!$C$10:$C$224,$C74,'TL14'!$J$10:$J$224),0),
IF('TL14'!$B$229=N$3,SUMIF('TL14'!$C$238:$C$451,$C74,'TL14'!$J$238:$J$451),0),
IF('TL15'!$B$3=N$3,SUMIF('TL15'!$C$10:$C$224,$C74,'TL15'!$J$10:$J$224),0),
IF('TL15'!$B$229=N$3,SUMIF('TL15'!$C$238:$C$451,$C74,'TL15'!$J$238:$J$451),0),
IF('TL16'!$B$3=N$3,SUMIF('TL16'!$C$10:$C$224,$C74,'TL16'!$J$10:$J$224),0),
IF('TL16'!$B$229=N$3,SUMIF('TL16'!$C$238:$C$451,$C74,'TL16'!$J$238:$J$451),0),
IF('TL17'!$B$3=N$3,SUMIF('TL17'!$C$10:$C$224,$C74,'TL17'!$J$10:$J$224),0),
IF('TL17'!$B$229=N$3,SUMIF('TL17'!$C$238:$C$451,$C74,'TL17'!$J$238:$J$451),0),
IF('TL18'!$B$3=N$3,SUMIF('TL18'!$C$10:$C$224,$C74,'TL18'!$J$10:$J$224),0),
IF('TL18'!$B$229=N$3,SUMIF('TL18'!$C$238:$C$451,$C74,'TL18'!$J$238:$J$451),0),
IF('TL19'!$B$3=N$3,SUMIF('TL19'!$C$10:$C$224,$C74,'TL19'!$J$10:$J$224),0),
IF('TL19'!$B$229=N$3,SUMIF('TL19'!$C$238:$C$451,$C74,'TL19'!$J$238:$J$451),0)
),0)</f>
        <v/>
      </c>
      <c r="O74" s="9">
        <f>IFERROR(SUM(
IF('TL01'!$B$3=O$3,SUMIF('TL01'!$C$10:$C$224,$C74,'TL01'!$J$10:$J$224),0),
IF('TL01'!$B$229=O$3,SUMIF('TL01'!$C$238:$C$451,$C74,'TL01'!$J$238:$J$451),0),
IF('TL02'!$B$3=O$3,SUMIF('TL02'!$C$10:$C$224,$C74,'TL02'!$J$10:$J$224),0),
IF('TL02'!$B$229=O$3,SUMIF('TL02'!$C$238:$C$451,$C74,'TL02'!$J$238:$J$451),0),
IF('TL03'!$B$3=O$3,SUMIF('TL03'!$C$10:$C$224,$C74,'TL03'!$J$10:$J$224),0),
IF('TL03'!$B$229=O$3,SUMIF('TL03'!$C$238:$C$451,$C74,'TL03'!$J$238:$J$451),0),
IF('TL04'!$B$3=O$3,SUMIF('TL04'!$C$10:$C$224,$C74,'TL04'!$J$10:$J$224),0),
IF('TL04'!$B$229=O$3,SUMIF('TL04'!$C$238:$C$451,$C74,'TL04'!$J$238:$J$451),0),
IF('TL05'!$B$3=O$3,SUMIF('TL05'!$C$10:$C$224,$C74,'TL05'!$J$10:$J$224),0),
IF('TL05'!$B$229=O$3,SUMIF('TL05'!$C$238:$C$451,$C74,'TL05'!$J$238:$J$451),0),
IF('TL06'!$B$3=O$3,SUMIF('TL06'!$C$10:$C$224,$C74,'TL06'!$J$10:$J$224),0),
IF('TL06'!$B$229=O$3,SUMIF('TL06'!$C$238:$C$451,$C74,'TL06'!$J$238:$J$451),0),
IF('TL07'!$B$3=O$3,SUMIF('TL07'!$C$10:$C$224,$C74,'TL07'!$J$10:$J$224),0),
IF('TL07'!$B$229=O$3,SUMIF('TL07'!$C$238:$C$451,$C74,'TL07'!$J$238:$J$451),0),
IF('TL08'!$B$3=O$3,SUMIF('TL08'!$C$10:$C$224,$C74,'TL08'!$J$10:$J$224),0),
IF('TL08'!$B$229=O$3,SUMIF('TL08'!$C$238:$C$451,$C74,'TL08'!$J$238:$J$451),0),
IF('TL09'!$B$3=O$3,SUMIF('TL09'!$C$10:$C$224,$C74,'TL09'!$J$10:$J$224),0),
IF('TL09'!$B$229=O$3,SUMIF('TL09'!$C$238:$C$451,$C74,'TL09'!$J$238:$J$451),0),
IF('TL10'!$B$3=O$3,SUMIF('TL10'!$C$10:$C$224,$C74,'TL10'!$J$10:$J$224),0),
IF('TL10'!$B$229=O$3,SUMIF('TL10'!$C$238:$C$451,$C74,'TL10'!$J$238:$J$451),0),
IF('TL11'!$B$3=O$3,SUMIF('TL11'!$C$10:$C$224,$C74,'TL11'!$J$10:$J$224),0),
IF('TL11'!$B$229=O$3,SUMIF('TL11'!$C$238:$C$451,$C74,'TL11'!$J$238:$J$451),0),
IF('TL12'!$B$3=O$3,SUMIF('TL12'!$C$10:$C$224,$C74,'TL12'!$J$10:$J$224),0),
IF('TL12'!$B$229=O$3,SUMIF('TL12'!$C$238:$C$451,$C74,'TL12'!$J$238:$J$451),0),
IF('TL13'!$B$3=O$3,SUMIF('TL13'!$C$10:$C$224,$C74,'TL13'!$J$10:$J$224),0),
IF('TL13'!$B$229=O$3,SUMIF('TL13'!$C$238:$C$451,$C74,'TL13'!$J$238:$J$451),0),
IF('TL14'!$B$3=O$3,SUMIF('TL14'!$C$10:$C$224,$C74,'TL14'!$J$10:$J$224),0),
IF('TL14'!$B$229=O$3,SUMIF('TL14'!$C$238:$C$451,$C74,'TL14'!$J$238:$J$451),0),
IF('TL15'!$B$3=O$3,SUMIF('TL15'!$C$10:$C$224,$C74,'TL15'!$J$10:$J$224),0),
IF('TL15'!$B$229=O$3,SUMIF('TL15'!$C$238:$C$451,$C74,'TL15'!$J$238:$J$451),0),
IF('TL16'!$B$3=O$3,SUMIF('TL16'!$C$10:$C$224,$C74,'TL16'!$J$10:$J$224),0),
IF('TL16'!$B$229=O$3,SUMIF('TL16'!$C$238:$C$451,$C74,'TL16'!$J$238:$J$451),0),
IF('TL17'!$B$3=O$3,SUMIF('TL17'!$C$10:$C$224,$C74,'TL17'!$J$10:$J$224),0),
IF('TL17'!$B$229=O$3,SUMIF('TL17'!$C$238:$C$451,$C74,'TL17'!$J$238:$J$451),0),
IF('TL18'!$B$3=O$3,SUMIF('TL18'!$C$10:$C$224,$C74,'TL18'!$J$10:$J$224),0),
IF('TL18'!$B$229=O$3,SUMIF('TL18'!$C$238:$C$451,$C74,'TL18'!$J$238:$J$451),0),
IF('TL19'!$B$3=O$3,SUMIF('TL19'!$C$10:$C$224,$C74,'TL19'!$J$10:$J$224),0),
IF('TL19'!$B$229=O$3,SUMIF('TL19'!$C$238:$C$451,$C74,'TL19'!$J$238:$J$451),0)
),0)</f>
        <v/>
      </c>
      <c r="P74" s="9">
        <f>IFERROR(SUM(
IF('TL01'!$B$3=P$3,SUMIF('TL01'!$C$10:$C$224,$C74,'TL01'!$J$10:$J$224),0),
IF('TL01'!$B$229=P$3,SUMIF('TL01'!$C$238:$C$451,$C74,'TL01'!$J$238:$J$451),0),
IF('TL02'!$B$3=P$3,SUMIF('TL02'!$C$10:$C$224,$C74,'TL02'!$J$10:$J$224),0),
IF('TL02'!$B$229=P$3,SUMIF('TL02'!$C$238:$C$451,$C74,'TL02'!$J$238:$J$451),0),
IF('TL03'!$B$3=P$3,SUMIF('TL03'!$C$10:$C$224,$C74,'TL03'!$J$10:$J$224),0),
IF('TL03'!$B$229=P$3,SUMIF('TL03'!$C$238:$C$451,$C74,'TL03'!$J$238:$J$451),0),
IF('TL04'!$B$3=P$3,SUMIF('TL04'!$C$10:$C$224,$C74,'TL04'!$J$10:$J$224),0),
IF('TL04'!$B$229=P$3,SUMIF('TL04'!$C$238:$C$451,$C74,'TL04'!$J$238:$J$451),0),
IF('TL05'!$B$3=P$3,SUMIF('TL05'!$C$10:$C$224,$C74,'TL05'!$J$10:$J$224),0),
IF('TL05'!$B$229=P$3,SUMIF('TL05'!$C$238:$C$451,$C74,'TL05'!$J$238:$J$451),0),
IF('TL06'!$B$3=P$3,SUMIF('TL06'!$C$10:$C$224,$C74,'TL06'!$J$10:$J$224),0),
IF('TL06'!$B$229=P$3,SUMIF('TL06'!$C$238:$C$451,$C74,'TL06'!$J$238:$J$451),0),
IF('TL07'!$B$3=P$3,SUMIF('TL07'!$C$10:$C$224,$C74,'TL07'!$J$10:$J$224),0),
IF('TL07'!$B$229=P$3,SUMIF('TL07'!$C$238:$C$451,$C74,'TL07'!$J$238:$J$451),0),
IF('TL08'!$B$3=P$3,SUMIF('TL08'!$C$10:$C$224,$C74,'TL08'!$J$10:$J$224),0),
IF('TL08'!$B$229=P$3,SUMIF('TL08'!$C$238:$C$451,$C74,'TL08'!$J$238:$J$451),0),
IF('TL09'!$B$3=P$3,SUMIF('TL09'!$C$10:$C$224,$C74,'TL09'!$J$10:$J$224),0),
IF('TL09'!$B$229=P$3,SUMIF('TL09'!$C$238:$C$451,$C74,'TL09'!$J$238:$J$451),0),
IF('TL10'!$B$3=P$3,SUMIF('TL10'!$C$10:$C$224,$C74,'TL10'!$J$10:$J$224),0),
IF('TL10'!$B$229=P$3,SUMIF('TL10'!$C$238:$C$451,$C74,'TL10'!$J$238:$J$451),0),
IF('TL11'!$B$3=P$3,SUMIF('TL11'!$C$10:$C$224,$C74,'TL11'!$J$10:$J$224),0),
IF('TL11'!$B$229=P$3,SUMIF('TL11'!$C$238:$C$451,$C74,'TL11'!$J$238:$J$451),0),
IF('TL12'!$B$3=P$3,SUMIF('TL12'!$C$10:$C$224,$C74,'TL12'!$J$10:$J$224),0),
IF('TL12'!$B$229=P$3,SUMIF('TL12'!$C$238:$C$451,$C74,'TL12'!$J$238:$J$451),0),
IF('TL13'!$B$3=P$3,SUMIF('TL13'!$C$10:$C$224,$C74,'TL13'!$J$10:$J$224),0),
IF('TL13'!$B$229=P$3,SUMIF('TL13'!$C$238:$C$451,$C74,'TL13'!$J$238:$J$451),0),
IF('TL14'!$B$3=P$3,SUMIF('TL14'!$C$10:$C$224,$C74,'TL14'!$J$10:$J$224),0),
IF('TL14'!$B$229=P$3,SUMIF('TL14'!$C$238:$C$451,$C74,'TL14'!$J$238:$J$451),0),
IF('TL15'!$B$3=P$3,SUMIF('TL15'!$C$10:$C$224,$C74,'TL15'!$J$10:$J$224),0),
IF('TL15'!$B$229=P$3,SUMIF('TL15'!$C$238:$C$451,$C74,'TL15'!$J$238:$J$451),0),
IF('TL16'!$B$3=P$3,SUMIF('TL16'!$C$10:$C$224,$C74,'TL16'!$J$10:$J$224),0),
IF('TL16'!$B$229=P$3,SUMIF('TL16'!$C$238:$C$451,$C74,'TL16'!$J$238:$J$451),0),
IF('TL17'!$B$3=P$3,SUMIF('TL17'!$C$10:$C$224,$C74,'TL17'!$J$10:$J$224),0),
IF('TL17'!$B$229=P$3,SUMIF('TL17'!$C$238:$C$451,$C74,'TL17'!$J$238:$J$451),0),
IF('TL18'!$B$3=P$3,SUMIF('TL18'!$C$10:$C$224,$C74,'TL18'!$J$10:$J$224),0),
IF('TL18'!$B$229=P$3,SUMIF('TL18'!$C$238:$C$451,$C74,'TL18'!$J$238:$J$451),0),
IF('TL19'!$B$3=P$3,SUMIF('TL19'!$C$10:$C$224,$C74,'TL19'!$J$10:$J$224),0),
IF('TL19'!$B$229=P$3,SUMIF('TL19'!$C$238:$C$451,$C74,'TL19'!$J$238:$J$451),0)
),0)</f>
        <v/>
      </c>
      <c r="Q74" s="9">
        <f>IFERROR(SUM(
IF('TL01'!$B$3=Q$3,SUMIF('TL01'!$C$10:$C$224,$C74,'TL01'!$J$10:$J$224),0),
IF('TL01'!$B$229=Q$3,SUMIF('TL01'!$C$238:$C$451,$C74,'TL01'!$J$238:$J$451),0),
IF('TL02'!$B$3=Q$3,SUMIF('TL02'!$C$10:$C$224,$C74,'TL02'!$J$10:$J$224),0),
IF('TL02'!$B$229=Q$3,SUMIF('TL02'!$C$238:$C$451,$C74,'TL02'!$J$238:$J$451),0),
IF('TL03'!$B$3=Q$3,SUMIF('TL03'!$C$10:$C$224,$C74,'TL03'!$J$10:$J$224),0),
IF('TL03'!$B$229=Q$3,SUMIF('TL03'!$C$238:$C$451,$C74,'TL03'!$J$238:$J$451),0),
IF('TL04'!$B$3=Q$3,SUMIF('TL04'!$C$10:$C$224,$C74,'TL04'!$J$10:$J$224),0),
IF('TL04'!$B$229=Q$3,SUMIF('TL04'!$C$238:$C$451,$C74,'TL04'!$J$238:$J$451),0),
IF('TL05'!$B$3=Q$3,SUMIF('TL05'!$C$10:$C$224,$C74,'TL05'!$J$10:$J$224),0),
IF('TL05'!$B$229=Q$3,SUMIF('TL05'!$C$238:$C$451,$C74,'TL05'!$J$238:$J$451),0),
IF('TL06'!$B$3=Q$3,SUMIF('TL06'!$C$10:$C$224,$C74,'TL06'!$J$10:$J$224),0),
IF('TL06'!$B$229=Q$3,SUMIF('TL06'!$C$238:$C$451,$C74,'TL06'!$J$238:$J$451),0),
IF('TL07'!$B$3=Q$3,SUMIF('TL07'!$C$10:$C$224,$C74,'TL07'!$J$10:$J$224),0),
IF('TL07'!$B$229=Q$3,SUMIF('TL07'!$C$238:$C$451,$C74,'TL07'!$J$238:$J$451),0),
IF('TL08'!$B$3=Q$3,SUMIF('TL08'!$C$10:$C$224,$C74,'TL08'!$J$10:$J$224),0),
IF('TL08'!$B$229=Q$3,SUMIF('TL08'!$C$238:$C$451,$C74,'TL08'!$J$238:$J$451),0),
IF('TL09'!$B$3=Q$3,SUMIF('TL09'!$C$10:$C$224,$C74,'TL09'!$J$10:$J$224),0),
IF('TL09'!$B$229=Q$3,SUMIF('TL09'!$C$238:$C$451,$C74,'TL09'!$J$238:$J$451),0),
IF('TL10'!$B$3=Q$3,SUMIF('TL10'!$C$10:$C$224,$C74,'TL10'!$J$10:$J$224),0),
IF('TL10'!$B$229=Q$3,SUMIF('TL10'!$C$238:$C$451,$C74,'TL10'!$J$238:$J$451),0),
IF('TL11'!$B$3=Q$3,SUMIF('TL11'!$C$10:$C$224,$C74,'TL11'!$J$10:$J$224),0),
IF('TL11'!$B$229=Q$3,SUMIF('TL11'!$C$238:$C$451,$C74,'TL11'!$J$238:$J$451),0),
IF('TL12'!$B$3=Q$3,SUMIF('TL12'!$C$10:$C$224,$C74,'TL12'!$J$10:$J$224),0),
IF('TL12'!$B$229=Q$3,SUMIF('TL12'!$C$238:$C$451,$C74,'TL12'!$J$238:$J$451),0),
IF('TL13'!$B$3=Q$3,SUMIF('TL13'!$C$10:$C$224,$C74,'TL13'!$J$10:$J$224),0),
IF('TL13'!$B$229=Q$3,SUMIF('TL13'!$C$238:$C$451,$C74,'TL13'!$J$238:$J$451),0),
IF('TL14'!$B$3=Q$3,SUMIF('TL14'!$C$10:$C$224,$C74,'TL14'!$J$10:$J$224),0),
IF('TL14'!$B$229=Q$3,SUMIF('TL14'!$C$238:$C$451,$C74,'TL14'!$J$238:$J$451),0),
IF('TL15'!$B$3=Q$3,SUMIF('TL15'!$C$10:$C$224,$C74,'TL15'!$J$10:$J$224),0),
IF('TL15'!$B$229=Q$3,SUMIF('TL15'!$C$238:$C$451,$C74,'TL15'!$J$238:$J$451),0),
IF('TL16'!$B$3=Q$3,SUMIF('TL16'!$C$10:$C$224,$C74,'TL16'!$J$10:$J$224),0),
IF('TL16'!$B$229=Q$3,SUMIF('TL16'!$C$238:$C$451,$C74,'TL16'!$J$238:$J$451),0),
IF('TL17'!$B$3=Q$3,SUMIF('TL17'!$C$10:$C$224,$C74,'TL17'!$J$10:$J$224),0),
IF('TL17'!$B$229=Q$3,SUMIF('TL17'!$C$238:$C$451,$C74,'TL17'!$J$238:$J$451),0),
IF('TL18'!$B$3=Q$3,SUMIF('TL18'!$C$10:$C$224,$C74,'TL18'!$J$10:$J$224),0),
IF('TL18'!$B$229=Q$3,SUMIF('TL18'!$C$238:$C$451,$C74,'TL18'!$J$238:$J$451),0),
IF('TL19'!$B$3=Q$3,SUMIF('TL19'!$C$10:$C$224,$C74,'TL19'!$J$10:$J$224),0),
IF('TL19'!$B$229=Q$3,SUMIF('TL19'!$C$238:$C$451,$C74,'TL19'!$J$238:$J$451),0)
),0)</f>
        <v/>
      </c>
      <c r="R74" s="9">
        <f>IFERROR(
SUM(
SUMIF('TL01'!C:C,C74,'TL01'!J:J),
SUMIF('TL02'!C:C,C74,'TL02'!J:J),
SUMIF('TL03'!C:C,C74,'TL03'!J:J),
SUMIF('TL04'!C:C,C74,'TL04'!J:J),
SUMIF('TL05'!C:C,C74,'TL05'!J:J),
SUMIF('TL06'!C:C,C74,'TL06'!J:J),
SUMIF('TL07'!C:C,C74,'TL07'!J:J),
SUMIF('TL08'!C:C,C74,'TL08'!J:J),
SUMIF('TL09'!C:C,C74,'TL09'!J:J),
SUMIF('TL10'!C:C,C74,'TL10'!J:J),
SUMIF('TL11'!C:C,C74,'TL11'!J:J),
SUMIF('TL12'!C:C,C74,'TL12'!J:J),
SUMIF('TL13'!C:C,C74,'TL13'!J:J),
SUMIF('TL14'!C:C,C74,'TL14'!J:J),
SUMIF('TL15'!C:C,C74,'TL15'!J:J),
SUMIF('TL16'!C:C,C74,'TL16'!J:J),
SUMIF('TL17'!C:C,C74,'TL17'!J:J),
SUMIF('TL18'!C:C,C74,'TL18'!J:J),SUMIF('TL19'!C:C,C74,'TL19'!J:J))
,0)</f>
        <v/>
      </c>
      <c r="S74" s="17">
        <f>IFERROR(__xludf.DUMMYFUNCTION("IFERROR(VLOOKUP(C74,
IMPORTRANGE(""1wULbzX32WdYsx-lj2U3uUNBBe2INVIRDtcK0d-Dvl90"",
""26-27!C:G""),
5,
FALSE),
"""")"),50.28624000000001)</f>
        <v/>
      </c>
      <c r="T74" s="9" t="n"/>
      <c r="U74" s="92">
        <f>MAX(0,R74-T74)</f>
        <v/>
      </c>
      <c r="V74" s="93">
        <f>U74*S74</f>
        <v/>
      </c>
    </row>
    <row r="75" hidden="1" ht="15.75" customHeight="1" s="297">
      <c r="A75" s="111" t="inlineStr">
        <is>
          <t>NORTOX</t>
        </is>
      </c>
      <c r="B75" s="112" t="inlineStr">
        <is>
          <t>FUNGICIDA</t>
        </is>
      </c>
      <c r="C75" s="113" t="inlineStr">
        <is>
          <t>TEBUCO 430 SC NORTOX</t>
        </is>
      </c>
      <c r="D75" s="113" t="inlineStr">
        <is>
          <t>TEBUCONAZOL</t>
        </is>
      </c>
      <c r="E75" s="113" t="n">
        <v>430</v>
      </c>
      <c r="F75" s="4" t="inlineStr">
        <is>
          <t>L</t>
        </is>
      </c>
      <c r="G75" s="90">
        <f>HYPERLINK("https://www.google.com/search?q=" &amp; C75 &amp; "+bula+agrofit+pdf", "📄 Ver bula")</f>
        <v/>
      </c>
      <c r="H75" s="9">
        <f>IFERROR(__xludf.DUMMYFUNCTION("IFERROR(VLOOKUP(C75,
IMPORTRANGE(""1wULbzX32WdYsx-lj2U3uUNBBe2INVIRDtcK0d-Dvl90"",
""26-27!C:K""),
8,
FALSE),
"""")"),0.4)</f>
        <v/>
      </c>
      <c r="I75" s="114" t="inlineStr">
        <is>
          <t>4X5</t>
        </is>
      </c>
      <c r="J75" s="9">
        <f>IFERROR(SUM(
IF('TL01'!$B$3=J$3,SUMIF('TL01'!$C$10:$C$224,$C75,'TL01'!$J$10:$J$224),0),
IF('TL01'!$B$229=J$3,SUMIF('TL01'!$C$238:$C$451,$C75,'TL01'!$J$238:$J$451),0),
IF('TL02'!$B$3=J$3,SUMIF('TL02'!$C$10:$C$224,$C75,'TL02'!$J$10:$J$224),0),
IF('TL02'!$B$229=J$3,SUMIF('TL02'!$C$238:$C$451,$C75,'TL02'!$J$238:$J$451),0),
IF('TL03'!$B$3=J$3,SUMIF('TL03'!$C$10:$C$224,$C75,'TL03'!$J$10:$J$224),0),
IF('TL03'!$B$229=J$3,SUMIF('TL03'!$C$238:$C$451,$C75,'TL03'!$J$238:$J$451),0),
IF('TL04'!$B$3=J$3,SUMIF('TL04'!$C$10:$C$224,$C75,'TL04'!$J$10:$J$224),0),
IF('TL04'!$B$229=J$3,SUMIF('TL04'!$C$238:$C$451,$C75,'TL04'!$J$238:$J$451),0),
IF('TL05'!$B$3=J$3,SUMIF('TL05'!$C$10:$C$224,$C75,'TL05'!$J$10:$J$224),0),
IF('TL05'!$B$229=J$3,SUMIF('TL05'!$C$238:$C$451,$C75,'TL05'!$J$238:$J$451),0),
IF('TL06'!$B$3=J$3,SUMIF('TL06'!$C$10:$C$224,$C75,'TL06'!$J$10:$J$224),0),
IF('TL06'!$B$229=J$3,SUMIF('TL06'!$C$238:$C$451,$C75,'TL06'!$J$238:$J$451),0),
IF('TL07'!$B$3=J$3,SUMIF('TL07'!$C$10:$C$224,$C75,'TL07'!$J$10:$J$224),0),
IF('TL07'!$B$229=J$3,SUMIF('TL07'!$C$238:$C$451,$C75,'TL07'!$J$238:$J$451),0),
IF('TL08'!$B$3=J$3,SUMIF('TL08'!$C$10:$C$224,$C75,'TL08'!$J$10:$J$224),0),
IF('TL08'!$B$229=J$3,SUMIF('TL08'!$C$238:$C$451,$C75,'TL08'!$J$238:$J$451),0),
IF('TL09'!$B$3=J$3,SUMIF('TL09'!$C$10:$C$224,$C75,'TL09'!$J$10:$J$224),0),
IF('TL09'!$B$229=J$3,SUMIF('TL09'!$C$238:$C$451,$C75,'TL09'!$J$238:$J$451),0),
IF('TL10'!$B$3=J$3,SUMIF('TL10'!$C$10:$C$224,$C75,'TL10'!$J$10:$J$224),0),
IF('TL10'!$B$229=J$3,SUMIF('TL10'!$C$238:$C$451,$C75,'TL10'!$J$238:$J$451),0),
IF('TL11'!$B$3=J$3,SUMIF('TL11'!$C$10:$C$224,$C75,'TL11'!$J$10:$J$224),0),
IF('TL11'!$B$229=J$3,SUMIF('TL11'!$C$238:$C$451,$C75,'TL11'!$J$238:$J$451),0),
IF('TL12'!$B$3=J$3,SUMIF('TL12'!$C$10:$C$224,$C75,'TL12'!$J$10:$J$224),0),
IF('TL12'!$B$229=J$3,SUMIF('TL12'!$C$238:$C$451,$C75,'TL12'!$J$238:$J$451),0),
IF('TL13'!$B$3=J$3,SUMIF('TL13'!$C$10:$C$224,$C75,'TL13'!$J$10:$J$224),0),
IF('TL13'!$B$229=J$3,SUMIF('TL13'!$C$238:$C$451,$C75,'TL13'!$J$238:$J$451),0),
IF('TL14'!$B$3=J$3,SUMIF('TL14'!$C$10:$C$224,$C75,'TL14'!$J$10:$J$224),0),
IF('TL14'!$B$229=J$3,SUMIF('TL14'!$C$238:$C$451,$C75,'TL14'!$J$238:$J$451),0),
IF('TL15'!$B$3=J$3,SUMIF('TL15'!$C$10:$C$224,$C75,'TL15'!$J$10:$J$224),0),
IF('TL15'!$B$229=J$3,SUMIF('TL15'!$C$238:$C$451,$C75,'TL15'!$J$238:$J$451),0),
IF('TL16'!$B$3=J$3,SUMIF('TL16'!$C$10:$C$224,$C75,'TL16'!$J$10:$J$224),0),
IF('TL16'!$B$229=J$3,SUMIF('TL16'!$C$238:$C$451,$C75,'TL16'!$J$238:$J$451),0),
IF('TL17'!$B$3=J$3,SUMIF('TL17'!$C$10:$C$224,$C75,'TL17'!$J$10:$J$224),0),
IF('TL17'!$B$229=J$3,SUMIF('TL17'!$C$238:$C$451,$C75,'TL17'!$J$238:$J$451),0),
IF('TL18'!$B$3=J$3,SUMIF('TL18'!$C$10:$C$224,$C75,'TL18'!$J$10:$J$224),0),
IF('TL18'!$B$229=J$3,SUMIF('TL18'!$C$238:$C$451,$C75,'TL18'!$J$238:$J$451),0),
IF('TL19'!$B$3=J$3,SUMIF('TL19'!$C$10:$C$224,$C75,'TL19'!$J$10:$J$224),0),
IF('TL19'!$B$229=J$3,SUMIF('TL19'!$C$238:$C$451,$C75,'TL19'!$J$238:$J$451),0)
),0)</f>
        <v/>
      </c>
      <c r="K75" s="9">
        <f>IFERROR(SUM(
IF('TL01'!$B$3=K$3,SUMIF('TL01'!$C$10:$C$224,$C75,'TL01'!$J$10:$J$224),0),
IF('TL01'!$B$229=K$3,SUMIF('TL01'!$C$238:$C$451,$C75,'TL01'!$J$238:$J$451),0),
IF('TL02'!$B$3=K$3,SUMIF('TL02'!$C$10:$C$224,$C75,'TL02'!$J$10:$J$224),0),
IF('TL02'!$B$229=K$3,SUMIF('TL02'!$C$238:$C$451,$C75,'TL02'!$J$238:$J$451),0),
IF('TL03'!$B$3=K$3,SUMIF('TL03'!$C$10:$C$224,$C75,'TL03'!$J$10:$J$224),0),
IF('TL03'!$B$229=K$3,SUMIF('TL03'!$C$238:$C$451,$C75,'TL03'!$J$238:$J$451),0),
IF('TL04'!$B$3=K$3,SUMIF('TL04'!$C$10:$C$224,$C75,'TL04'!$J$10:$J$224),0),
IF('TL04'!$B$229=K$3,SUMIF('TL04'!$C$238:$C$451,$C75,'TL04'!$J$238:$J$451),0),
IF('TL05'!$B$3=K$3,SUMIF('TL05'!$C$10:$C$224,$C75,'TL05'!$J$10:$J$224),0),
IF('TL05'!$B$229=K$3,SUMIF('TL05'!$C$238:$C$451,$C75,'TL05'!$J$238:$J$451),0),
IF('TL06'!$B$3=K$3,SUMIF('TL06'!$C$10:$C$224,$C75,'TL06'!$J$10:$J$224),0),
IF('TL06'!$B$229=K$3,SUMIF('TL06'!$C$238:$C$451,$C75,'TL06'!$J$238:$J$451),0),
IF('TL07'!$B$3=K$3,SUMIF('TL07'!$C$10:$C$224,$C75,'TL07'!$J$10:$J$224),0),
IF('TL07'!$B$229=K$3,SUMIF('TL07'!$C$238:$C$451,$C75,'TL07'!$J$238:$J$451),0),
IF('TL08'!$B$3=K$3,SUMIF('TL08'!$C$10:$C$224,$C75,'TL08'!$J$10:$J$224),0),
IF('TL08'!$B$229=K$3,SUMIF('TL08'!$C$238:$C$451,$C75,'TL08'!$J$238:$J$451),0),
IF('TL09'!$B$3=K$3,SUMIF('TL09'!$C$10:$C$224,$C75,'TL09'!$J$10:$J$224),0),
IF('TL09'!$B$229=K$3,SUMIF('TL09'!$C$238:$C$451,$C75,'TL09'!$J$238:$J$451),0),
IF('TL10'!$B$3=K$3,SUMIF('TL10'!$C$10:$C$224,$C75,'TL10'!$J$10:$J$224),0),
IF('TL10'!$B$229=K$3,SUMIF('TL10'!$C$238:$C$451,$C75,'TL10'!$J$238:$J$451),0),
IF('TL11'!$B$3=K$3,SUMIF('TL11'!$C$10:$C$224,$C75,'TL11'!$J$10:$J$224),0),
IF('TL11'!$B$229=K$3,SUMIF('TL11'!$C$238:$C$451,$C75,'TL11'!$J$238:$J$451),0),
IF('TL12'!$B$3=K$3,SUMIF('TL12'!$C$10:$C$224,$C75,'TL12'!$J$10:$J$224),0),
IF('TL12'!$B$229=K$3,SUMIF('TL12'!$C$238:$C$451,$C75,'TL12'!$J$238:$J$451),0),
IF('TL13'!$B$3=K$3,SUMIF('TL13'!$C$10:$C$224,$C75,'TL13'!$J$10:$J$224),0),
IF('TL13'!$B$229=K$3,SUMIF('TL13'!$C$238:$C$451,$C75,'TL13'!$J$238:$J$451),0),
IF('TL14'!$B$3=K$3,SUMIF('TL14'!$C$10:$C$224,$C75,'TL14'!$J$10:$J$224),0),
IF('TL14'!$B$229=K$3,SUMIF('TL14'!$C$238:$C$451,$C75,'TL14'!$J$238:$J$451),0),
IF('TL15'!$B$3=K$3,SUMIF('TL15'!$C$10:$C$224,$C75,'TL15'!$J$10:$J$224),0),
IF('TL15'!$B$229=K$3,SUMIF('TL15'!$C$238:$C$451,$C75,'TL15'!$J$238:$J$451),0),
IF('TL16'!$B$3=K$3,SUMIF('TL16'!$C$10:$C$224,$C75,'TL16'!$J$10:$J$224),0),
IF('TL16'!$B$229=K$3,SUMIF('TL16'!$C$238:$C$451,$C75,'TL16'!$J$238:$J$451),0),
IF('TL17'!$B$3=K$3,SUMIF('TL17'!$C$10:$C$224,$C75,'TL17'!$J$10:$J$224),0),
IF('TL17'!$B$229=K$3,SUMIF('TL17'!$C$238:$C$451,$C75,'TL17'!$J$238:$J$451),0),
IF('TL18'!$B$3=K$3,SUMIF('TL18'!$C$10:$C$224,$C75,'TL18'!$J$10:$J$224),0),
IF('TL18'!$B$229=K$3,SUMIF('TL18'!$C$238:$C$451,$C75,'TL18'!$J$238:$J$451),0),
IF('TL19'!$B$3=K$3,SUMIF('TL19'!$C$10:$C$224,$C75,'TL19'!$J$10:$J$224),0),
IF('TL19'!$B$229=K$3,SUMIF('TL19'!$C$238:$C$451,$C75,'TL19'!$J$238:$J$451),0)
),0)</f>
        <v/>
      </c>
      <c r="L75" s="9">
        <f>IFERROR(SUM(
IF('TL01'!$B$3=L$3,SUMIF('TL01'!$C$10:$C$224,$C75,'TL01'!$J$10:$J$224),0),
IF('TL01'!$B$229=L$3,SUMIF('TL01'!$C$238:$C$451,$C75,'TL01'!$J$238:$J$451),0),
IF('TL02'!$B$3=L$3,SUMIF('TL02'!$C$10:$C$224,$C75,'TL02'!$J$10:$J$224),0),
IF('TL02'!$B$229=L$3,SUMIF('TL02'!$C$238:$C$451,$C75,'TL02'!$J$238:$J$451),0),
IF('TL03'!$B$3=L$3,SUMIF('TL03'!$C$10:$C$224,$C75,'TL03'!$J$10:$J$224),0),
IF('TL03'!$B$229=L$3,SUMIF('TL03'!$C$238:$C$451,$C75,'TL03'!$J$238:$J$451),0),
IF('TL04'!$B$3=L$3,SUMIF('TL04'!$C$10:$C$224,$C75,'TL04'!$J$10:$J$224),0),
IF('TL04'!$B$229=L$3,SUMIF('TL04'!$C$238:$C$451,$C75,'TL04'!$J$238:$J$451),0),
IF('TL05'!$B$3=L$3,SUMIF('TL05'!$C$10:$C$224,$C75,'TL05'!$J$10:$J$224),0),
IF('TL05'!$B$229=L$3,SUMIF('TL05'!$C$238:$C$451,$C75,'TL05'!$J$238:$J$451),0),
IF('TL06'!$B$3=L$3,SUMIF('TL06'!$C$10:$C$224,$C75,'TL06'!$J$10:$J$224),0),
IF('TL06'!$B$229=L$3,SUMIF('TL06'!$C$238:$C$451,$C75,'TL06'!$J$238:$J$451),0),
IF('TL07'!$B$3=L$3,SUMIF('TL07'!$C$10:$C$224,$C75,'TL07'!$J$10:$J$224),0),
IF('TL07'!$B$229=L$3,SUMIF('TL07'!$C$238:$C$451,$C75,'TL07'!$J$238:$J$451),0),
IF('TL08'!$B$3=L$3,SUMIF('TL08'!$C$10:$C$224,$C75,'TL08'!$J$10:$J$224),0),
IF('TL08'!$B$229=L$3,SUMIF('TL08'!$C$238:$C$451,$C75,'TL08'!$J$238:$J$451),0),
IF('TL09'!$B$3=L$3,SUMIF('TL09'!$C$10:$C$224,$C75,'TL09'!$J$10:$J$224),0),
IF('TL09'!$B$229=L$3,SUMIF('TL09'!$C$238:$C$451,$C75,'TL09'!$J$238:$J$451),0),
IF('TL10'!$B$3=L$3,SUMIF('TL10'!$C$10:$C$224,$C75,'TL10'!$J$10:$J$224),0),
IF('TL10'!$B$229=L$3,SUMIF('TL10'!$C$238:$C$451,$C75,'TL10'!$J$238:$J$451),0),
IF('TL11'!$B$3=L$3,SUMIF('TL11'!$C$10:$C$224,$C75,'TL11'!$J$10:$J$224),0),
IF('TL11'!$B$229=L$3,SUMIF('TL11'!$C$238:$C$451,$C75,'TL11'!$J$238:$J$451),0),
IF('TL12'!$B$3=L$3,SUMIF('TL12'!$C$10:$C$224,$C75,'TL12'!$J$10:$J$224),0),
IF('TL12'!$B$229=L$3,SUMIF('TL12'!$C$238:$C$451,$C75,'TL12'!$J$238:$J$451),0),
IF('TL13'!$B$3=L$3,SUMIF('TL13'!$C$10:$C$224,$C75,'TL13'!$J$10:$J$224),0),
IF('TL13'!$B$229=L$3,SUMIF('TL13'!$C$238:$C$451,$C75,'TL13'!$J$238:$J$451),0),
IF('TL14'!$B$3=L$3,SUMIF('TL14'!$C$10:$C$224,$C75,'TL14'!$J$10:$J$224),0),
IF('TL14'!$B$229=L$3,SUMIF('TL14'!$C$238:$C$451,$C75,'TL14'!$J$238:$J$451),0),
IF('TL15'!$B$3=L$3,SUMIF('TL15'!$C$10:$C$224,$C75,'TL15'!$J$10:$J$224),0),
IF('TL15'!$B$229=L$3,SUMIF('TL15'!$C$238:$C$451,$C75,'TL15'!$J$238:$J$451),0),
IF('TL16'!$B$3=L$3,SUMIF('TL16'!$C$10:$C$224,$C75,'TL16'!$J$10:$J$224),0),
IF('TL16'!$B$229=L$3,SUMIF('TL16'!$C$238:$C$451,$C75,'TL16'!$J$238:$J$451),0),
IF('TL17'!$B$3=L$3,SUMIF('TL17'!$C$10:$C$224,$C75,'TL17'!$J$10:$J$224),0),
IF('TL17'!$B$229=L$3,SUMIF('TL17'!$C$238:$C$451,$C75,'TL17'!$J$238:$J$451),0),
IF('TL18'!$B$3=L$3,SUMIF('TL18'!$C$10:$C$224,$C75,'TL18'!$J$10:$J$224),0),
IF('TL18'!$B$229=L$3,SUMIF('TL18'!$C$238:$C$451,$C75,'TL18'!$J$238:$J$451),0),
IF('TL19'!$B$3=L$3,SUMIF('TL19'!$C$10:$C$224,$C75,'TL19'!$J$10:$J$224),0),
IF('TL19'!$B$229=L$3,SUMIF('TL19'!$C$238:$C$451,$C75,'TL19'!$J$238:$J$451),0)
),0)</f>
        <v/>
      </c>
      <c r="M75" s="9">
        <f>IFERROR(SUM(
IF('TL01'!$B$3=M$3,SUMIF('TL01'!$C$10:$C$224,$C75,'TL01'!$J$10:$J$224),0),
IF('TL01'!$B$229=M$3,SUMIF('TL01'!$C$238:$C$451,$C75,'TL01'!$J$238:$J$451),0),
IF('TL02'!$B$3=M$3,SUMIF('TL02'!$C$10:$C$224,$C75,'TL02'!$J$10:$J$224),0),
IF('TL02'!$B$229=M$3,SUMIF('TL02'!$C$238:$C$451,$C75,'TL02'!$J$238:$J$451),0),
IF('TL03'!$B$3=M$3,SUMIF('TL03'!$C$10:$C$224,$C75,'TL03'!$J$10:$J$224),0),
IF('TL03'!$B$229=M$3,SUMIF('TL03'!$C$238:$C$451,$C75,'TL03'!$J$238:$J$451),0),
IF('TL04'!$B$3=M$3,SUMIF('TL04'!$C$10:$C$224,$C75,'TL04'!$J$10:$J$224),0),
IF('TL04'!$B$229=M$3,SUMIF('TL04'!$C$238:$C$451,$C75,'TL04'!$J$238:$J$451),0),
IF('TL05'!$B$3=M$3,SUMIF('TL05'!$C$10:$C$224,$C75,'TL05'!$J$10:$J$224),0),
IF('TL05'!$B$229=M$3,SUMIF('TL05'!$C$238:$C$451,$C75,'TL05'!$J$238:$J$451),0),
IF('TL06'!$B$3=M$3,SUMIF('TL06'!$C$10:$C$224,$C75,'TL06'!$J$10:$J$224),0),
IF('TL06'!$B$229=M$3,SUMIF('TL06'!$C$238:$C$451,$C75,'TL06'!$J$238:$J$451),0),
IF('TL07'!$B$3=M$3,SUMIF('TL07'!$C$10:$C$224,$C75,'TL07'!$J$10:$J$224),0),
IF('TL07'!$B$229=M$3,SUMIF('TL07'!$C$238:$C$451,$C75,'TL07'!$J$238:$J$451),0),
IF('TL08'!$B$3=M$3,SUMIF('TL08'!$C$10:$C$224,$C75,'TL08'!$J$10:$J$224),0),
IF('TL08'!$B$229=M$3,SUMIF('TL08'!$C$238:$C$451,$C75,'TL08'!$J$238:$J$451),0),
IF('TL09'!$B$3=M$3,SUMIF('TL09'!$C$10:$C$224,$C75,'TL09'!$J$10:$J$224),0),
IF('TL09'!$B$229=M$3,SUMIF('TL09'!$C$238:$C$451,$C75,'TL09'!$J$238:$J$451),0),
IF('TL10'!$B$3=M$3,SUMIF('TL10'!$C$10:$C$224,$C75,'TL10'!$J$10:$J$224),0),
IF('TL10'!$B$229=M$3,SUMIF('TL10'!$C$238:$C$451,$C75,'TL10'!$J$238:$J$451),0),
IF('TL11'!$B$3=M$3,SUMIF('TL11'!$C$10:$C$224,$C75,'TL11'!$J$10:$J$224),0),
IF('TL11'!$B$229=M$3,SUMIF('TL11'!$C$238:$C$451,$C75,'TL11'!$J$238:$J$451),0),
IF('TL12'!$B$3=M$3,SUMIF('TL12'!$C$10:$C$224,$C75,'TL12'!$J$10:$J$224),0),
IF('TL12'!$B$229=M$3,SUMIF('TL12'!$C$238:$C$451,$C75,'TL12'!$J$238:$J$451),0),
IF('TL13'!$B$3=M$3,SUMIF('TL13'!$C$10:$C$224,$C75,'TL13'!$J$10:$J$224),0),
IF('TL13'!$B$229=M$3,SUMIF('TL13'!$C$238:$C$451,$C75,'TL13'!$J$238:$J$451),0),
IF('TL14'!$B$3=M$3,SUMIF('TL14'!$C$10:$C$224,$C75,'TL14'!$J$10:$J$224),0),
IF('TL14'!$B$229=M$3,SUMIF('TL14'!$C$238:$C$451,$C75,'TL14'!$J$238:$J$451),0),
IF('TL15'!$B$3=M$3,SUMIF('TL15'!$C$10:$C$224,$C75,'TL15'!$J$10:$J$224),0),
IF('TL15'!$B$229=M$3,SUMIF('TL15'!$C$238:$C$451,$C75,'TL15'!$J$238:$J$451),0),
IF('TL16'!$B$3=M$3,SUMIF('TL16'!$C$10:$C$224,$C75,'TL16'!$J$10:$J$224),0),
IF('TL16'!$B$229=M$3,SUMIF('TL16'!$C$238:$C$451,$C75,'TL16'!$J$238:$J$451),0),
IF('TL17'!$B$3=M$3,SUMIF('TL17'!$C$10:$C$224,$C75,'TL17'!$J$10:$J$224),0),
IF('TL17'!$B$229=M$3,SUMIF('TL17'!$C$238:$C$451,$C75,'TL17'!$J$238:$J$451),0),
IF('TL18'!$B$3=M$3,SUMIF('TL18'!$C$10:$C$224,$C75,'TL18'!$J$10:$J$224),0),
IF('TL18'!$B$229=M$3,SUMIF('TL18'!$C$238:$C$451,$C75,'TL18'!$J$238:$J$451),0),
IF('TL19'!$B$3=M$3,SUMIF('TL19'!$C$10:$C$224,$C75,'TL19'!$J$10:$J$224),0),
IF('TL19'!$B$229=M$3,SUMIF('TL19'!$C$238:$C$451,$C75,'TL19'!$J$238:$J$451),0)
),0)</f>
        <v/>
      </c>
      <c r="N75" s="9">
        <f>IFERROR(SUM(
IF('TL01'!$B$3=N$3,SUMIF('TL01'!$C$10:$C$224,$C75,'TL01'!$J$10:$J$224),0),
IF('TL01'!$B$229=N$3,SUMIF('TL01'!$C$238:$C$451,$C75,'TL01'!$J$238:$J$451),0),
IF('TL02'!$B$3=N$3,SUMIF('TL02'!$C$10:$C$224,$C75,'TL02'!$J$10:$J$224),0),
IF('TL02'!$B$229=N$3,SUMIF('TL02'!$C$238:$C$451,$C75,'TL02'!$J$238:$J$451),0),
IF('TL03'!$B$3=N$3,SUMIF('TL03'!$C$10:$C$224,$C75,'TL03'!$J$10:$J$224),0),
IF('TL03'!$B$229=N$3,SUMIF('TL03'!$C$238:$C$451,$C75,'TL03'!$J$238:$J$451),0),
IF('TL04'!$B$3=N$3,SUMIF('TL04'!$C$10:$C$224,$C75,'TL04'!$J$10:$J$224),0),
IF('TL04'!$B$229=N$3,SUMIF('TL04'!$C$238:$C$451,$C75,'TL04'!$J$238:$J$451),0),
IF('TL05'!$B$3=N$3,SUMIF('TL05'!$C$10:$C$224,$C75,'TL05'!$J$10:$J$224),0),
IF('TL05'!$B$229=N$3,SUMIF('TL05'!$C$238:$C$451,$C75,'TL05'!$J$238:$J$451),0),
IF('TL06'!$B$3=N$3,SUMIF('TL06'!$C$10:$C$224,$C75,'TL06'!$J$10:$J$224),0),
IF('TL06'!$B$229=N$3,SUMIF('TL06'!$C$238:$C$451,$C75,'TL06'!$J$238:$J$451),0),
IF('TL07'!$B$3=N$3,SUMIF('TL07'!$C$10:$C$224,$C75,'TL07'!$J$10:$J$224),0),
IF('TL07'!$B$229=N$3,SUMIF('TL07'!$C$238:$C$451,$C75,'TL07'!$J$238:$J$451),0),
IF('TL08'!$B$3=N$3,SUMIF('TL08'!$C$10:$C$224,$C75,'TL08'!$J$10:$J$224),0),
IF('TL08'!$B$229=N$3,SUMIF('TL08'!$C$238:$C$451,$C75,'TL08'!$J$238:$J$451),0),
IF('TL09'!$B$3=N$3,SUMIF('TL09'!$C$10:$C$224,$C75,'TL09'!$J$10:$J$224),0),
IF('TL09'!$B$229=N$3,SUMIF('TL09'!$C$238:$C$451,$C75,'TL09'!$J$238:$J$451),0),
IF('TL10'!$B$3=N$3,SUMIF('TL10'!$C$10:$C$224,$C75,'TL10'!$J$10:$J$224),0),
IF('TL10'!$B$229=N$3,SUMIF('TL10'!$C$238:$C$451,$C75,'TL10'!$J$238:$J$451),0),
IF('TL11'!$B$3=N$3,SUMIF('TL11'!$C$10:$C$224,$C75,'TL11'!$J$10:$J$224),0),
IF('TL11'!$B$229=N$3,SUMIF('TL11'!$C$238:$C$451,$C75,'TL11'!$J$238:$J$451),0),
IF('TL12'!$B$3=N$3,SUMIF('TL12'!$C$10:$C$224,$C75,'TL12'!$J$10:$J$224),0),
IF('TL12'!$B$229=N$3,SUMIF('TL12'!$C$238:$C$451,$C75,'TL12'!$J$238:$J$451),0),
IF('TL13'!$B$3=N$3,SUMIF('TL13'!$C$10:$C$224,$C75,'TL13'!$J$10:$J$224),0),
IF('TL13'!$B$229=N$3,SUMIF('TL13'!$C$238:$C$451,$C75,'TL13'!$J$238:$J$451),0),
IF('TL14'!$B$3=N$3,SUMIF('TL14'!$C$10:$C$224,$C75,'TL14'!$J$10:$J$224),0),
IF('TL14'!$B$229=N$3,SUMIF('TL14'!$C$238:$C$451,$C75,'TL14'!$J$238:$J$451),0),
IF('TL15'!$B$3=N$3,SUMIF('TL15'!$C$10:$C$224,$C75,'TL15'!$J$10:$J$224),0),
IF('TL15'!$B$229=N$3,SUMIF('TL15'!$C$238:$C$451,$C75,'TL15'!$J$238:$J$451),0),
IF('TL16'!$B$3=N$3,SUMIF('TL16'!$C$10:$C$224,$C75,'TL16'!$J$10:$J$224),0),
IF('TL16'!$B$229=N$3,SUMIF('TL16'!$C$238:$C$451,$C75,'TL16'!$J$238:$J$451),0),
IF('TL17'!$B$3=N$3,SUMIF('TL17'!$C$10:$C$224,$C75,'TL17'!$J$10:$J$224),0),
IF('TL17'!$B$229=N$3,SUMIF('TL17'!$C$238:$C$451,$C75,'TL17'!$J$238:$J$451),0),
IF('TL18'!$B$3=N$3,SUMIF('TL18'!$C$10:$C$224,$C75,'TL18'!$J$10:$J$224),0),
IF('TL18'!$B$229=N$3,SUMIF('TL18'!$C$238:$C$451,$C75,'TL18'!$J$238:$J$451),0),
IF('TL19'!$B$3=N$3,SUMIF('TL19'!$C$10:$C$224,$C75,'TL19'!$J$10:$J$224),0),
IF('TL19'!$B$229=N$3,SUMIF('TL19'!$C$238:$C$451,$C75,'TL19'!$J$238:$J$451),0)
),0)</f>
        <v/>
      </c>
      <c r="O75" s="9">
        <f>IFERROR(SUM(
IF('TL01'!$B$3=O$3,SUMIF('TL01'!$C$10:$C$224,$C75,'TL01'!$J$10:$J$224),0),
IF('TL01'!$B$229=O$3,SUMIF('TL01'!$C$238:$C$451,$C75,'TL01'!$J$238:$J$451),0),
IF('TL02'!$B$3=O$3,SUMIF('TL02'!$C$10:$C$224,$C75,'TL02'!$J$10:$J$224),0),
IF('TL02'!$B$229=O$3,SUMIF('TL02'!$C$238:$C$451,$C75,'TL02'!$J$238:$J$451),0),
IF('TL03'!$B$3=O$3,SUMIF('TL03'!$C$10:$C$224,$C75,'TL03'!$J$10:$J$224),0),
IF('TL03'!$B$229=O$3,SUMIF('TL03'!$C$238:$C$451,$C75,'TL03'!$J$238:$J$451),0),
IF('TL04'!$B$3=O$3,SUMIF('TL04'!$C$10:$C$224,$C75,'TL04'!$J$10:$J$224),0),
IF('TL04'!$B$229=O$3,SUMIF('TL04'!$C$238:$C$451,$C75,'TL04'!$J$238:$J$451),0),
IF('TL05'!$B$3=O$3,SUMIF('TL05'!$C$10:$C$224,$C75,'TL05'!$J$10:$J$224),0),
IF('TL05'!$B$229=O$3,SUMIF('TL05'!$C$238:$C$451,$C75,'TL05'!$J$238:$J$451),0),
IF('TL06'!$B$3=O$3,SUMIF('TL06'!$C$10:$C$224,$C75,'TL06'!$J$10:$J$224),0),
IF('TL06'!$B$229=O$3,SUMIF('TL06'!$C$238:$C$451,$C75,'TL06'!$J$238:$J$451),0),
IF('TL07'!$B$3=O$3,SUMIF('TL07'!$C$10:$C$224,$C75,'TL07'!$J$10:$J$224),0),
IF('TL07'!$B$229=O$3,SUMIF('TL07'!$C$238:$C$451,$C75,'TL07'!$J$238:$J$451),0),
IF('TL08'!$B$3=O$3,SUMIF('TL08'!$C$10:$C$224,$C75,'TL08'!$J$10:$J$224),0),
IF('TL08'!$B$229=O$3,SUMIF('TL08'!$C$238:$C$451,$C75,'TL08'!$J$238:$J$451),0),
IF('TL09'!$B$3=O$3,SUMIF('TL09'!$C$10:$C$224,$C75,'TL09'!$J$10:$J$224),0),
IF('TL09'!$B$229=O$3,SUMIF('TL09'!$C$238:$C$451,$C75,'TL09'!$J$238:$J$451),0),
IF('TL10'!$B$3=O$3,SUMIF('TL10'!$C$10:$C$224,$C75,'TL10'!$J$10:$J$224),0),
IF('TL10'!$B$229=O$3,SUMIF('TL10'!$C$238:$C$451,$C75,'TL10'!$J$238:$J$451),0),
IF('TL11'!$B$3=O$3,SUMIF('TL11'!$C$10:$C$224,$C75,'TL11'!$J$10:$J$224),0),
IF('TL11'!$B$229=O$3,SUMIF('TL11'!$C$238:$C$451,$C75,'TL11'!$J$238:$J$451),0),
IF('TL12'!$B$3=O$3,SUMIF('TL12'!$C$10:$C$224,$C75,'TL12'!$J$10:$J$224),0),
IF('TL12'!$B$229=O$3,SUMIF('TL12'!$C$238:$C$451,$C75,'TL12'!$J$238:$J$451),0),
IF('TL13'!$B$3=O$3,SUMIF('TL13'!$C$10:$C$224,$C75,'TL13'!$J$10:$J$224),0),
IF('TL13'!$B$229=O$3,SUMIF('TL13'!$C$238:$C$451,$C75,'TL13'!$J$238:$J$451),0),
IF('TL14'!$B$3=O$3,SUMIF('TL14'!$C$10:$C$224,$C75,'TL14'!$J$10:$J$224),0),
IF('TL14'!$B$229=O$3,SUMIF('TL14'!$C$238:$C$451,$C75,'TL14'!$J$238:$J$451),0),
IF('TL15'!$B$3=O$3,SUMIF('TL15'!$C$10:$C$224,$C75,'TL15'!$J$10:$J$224),0),
IF('TL15'!$B$229=O$3,SUMIF('TL15'!$C$238:$C$451,$C75,'TL15'!$J$238:$J$451),0),
IF('TL16'!$B$3=O$3,SUMIF('TL16'!$C$10:$C$224,$C75,'TL16'!$J$10:$J$224),0),
IF('TL16'!$B$229=O$3,SUMIF('TL16'!$C$238:$C$451,$C75,'TL16'!$J$238:$J$451),0),
IF('TL17'!$B$3=O$3,SUMIF('TL17'!$C$10:$C$224,$C75,'TL17'!$J$10:$J$224),0),
IF('TL17'!$B$229=O$3,SUMIF('TL17'!$C$238:$C$451,$C75,'TL17'!$J$238:$J$451),0),
IF('TL18'!$B$3=O$3,SUMIF('TL18'!$C$10:$C$224,$C75,'TL18'!$J$10:$J$224),0),
IF('TL18'!$B$229=O$3,SUMIF('TL18'!$C$238:$C$451,$C75,'TL18'!$J$238:$J$451),0),
IF('TL19'!$B$3=O$3,SUMIF('TL19'!$C$10:$C$224,$C75,'TL19'!$J$10:$J$224),0),
IF('TL19'!$B$229=O$3,SUMIF('TL19'!$C$238:$C$451,$C75,'TL19'!$J$238:$J$451),0)
),0)</f>
        <v/>
      </c>
      <c r="P75" s="9">
        <f>IFERROR(SUM(
IF('TL01'!$B$3=P$3,SUMIF('TL01'!$C$10:$C$224,$C75,'TL01'!$J$10:$J$224),0),
IF('TL01'!$B$229=P$3,SUMIF('TL01'!$C$238:$C$451,$C75,'TL01'!$J$238:$J$451),0),
IF('TL02'!$B$3=P$3,SUMIF('TL02'!$C$10:$C$224,$C75,'TL02'!$J$10:$J$224),0),
IF('TL02'!$B$229=P$3,SUMIF('TL02'!$C$238:$C$451,$C75,'TL02'!$J$238:$J$451),0),
IF('TL03'!$B$3=P$3,SUMIF('TL03'!$C$10:$C$224,$C75,'TL03'!$J$10:$J$224),0),
IF('TL03'!$B$229=P$3,SUMIF('TL03'!$C$238:$C$451,$C75,'TL03'!$J$238:$J$451),0),
IF('TL04'!$B$3=P$3,SUMIF('TL04'!$C$10:$C$224,$C75,'TL04'!$J$10:$J$224),0),
IF('TL04'!$B$229=P$3,SUMIF('TL04'!$C$238:$C$451,$C75,'TL04'!$J$238:$J$451),0),
IF('TL05'!$B$3=P$3,SUMIF('TL05'!$C$10:$C$224,$C75,'TL05'!$J$10:$J$224),0),
IF('TL05'!$B$229=P$3,SUMIF('TL05'!$C$238:$C$451,$C75,'TL05'!$J$238:$J$451),0),
IF('TL06'!$B$3=P$3,SUMIF('TL06'!$C$10:$C$224,$C75,'TL06'!$J$10:$J$224),0),
IF('TL06'!$B$229=P$3,SUMIF('TL06'!$C$238:$C$451,$C75,'TL06'!$J$238:$J$451),0),
IF('TL07'!$B$3=P$3,SUMIF('TL07'!$C$10:$C$224,$C75,'TL07'!$J$10:$J$224),0),
IF('TL07'!$B$229=P$3,SUMIF('TL07'!$C$238:$C$451,$C75,'TL07'!$J$238:$J$451),0),
IF('TL08'!$B$3=P$3,SUMIF('TL08'!$C$10:$C$224,$C75,'TL08'!$J$10:$J$224),0),
IF('TL08'!$B$229=P$3,SUMIF('TL08'!$C$238:$C$451,$C75,'TL08'!$J$238:$J$451),0),
IF('TL09'!$B$3=P$3,SUMIF('TL09'!$C$10:$C$224,$C75,'TL09'!$J$10:$J$224),0),
IF('TL09'!$B$229=P$3,SUMIF('TL09'!$C$238:$C$451,$C75,'TL09'!$J$238:$J$451),0),
IF('TL10'!$B$3=P$3,SUMIF('TL10'!$C$10:$C$224,$C75,'TL10'!$J$10:$J$224),0),
IF('TL10'!$B$229=P$3,SUMIF('TL10'!$C$238:$C$451,$C75,'TL10'!$J$238:$J$451),0),
IF('TL11'!$B$3=P$3,SUMIF('TL11'!$C$10:$C$224,$C75,'TL11'!$J$10:$J$224),0),
IF('TL11'!$B$229=P$3,SUMIF('TL11'!$C$238:$C$451,$C75,'TL11'!$J$238:$J$451),0),
IF('TL12'!$B$3=P$3,SUMIF('TL12'!$C$10:$C$224,$C75,'TL12'!$J$10:$J$224),0),
IF('TL12'!$B$229=P$3,SUMIF('TL12'!$C$238:$C$451,$C75,'TL12'!$J$238:$J$451),0),
IF('TL13'!$B$3=P$3,SUMIF('TL13'!$C$10:$C$224,$C75,'TL13'!$J$10:$J$224),0),
IF('TL13'!$B$229=P$3,SUMIF('TL13'!$C$238:$C$451,$C75,'TL13'!$J$238:$J$451),0),
IF('TL14'!$B$3=P$3,SUMIF('TL14'!$C$10:$C$224,$C75,'TL14'!$J$10:$J$224),0),
IF('TL14'!$B$229=P$3,SUMIF('TL14'!$C$238:$C$451,$C75,'TL14'!$J$238:$J$451),0),
IF('TL15'!$B$3=P$3,SUMIF('TL15'!$C$10:$C$224,$C75,'TL15'!$J$10:$J$224),0),
IF('TL15'!$B$229=P$3,SUMIF('TL15'!$C$238:$C$451,$C75,'TL15'!$J$238:$J$451),0),
IF('TL16'!$B$3=P$3,SUMIF('TL16'!$C$10:$C$224,$C75,'TL16'!$J$10:$J$224),0),
IF('TL16'!$B$229=P$3,SUMIF('TL16'!$C$238:$C$451,$C75,'TL16'!$J$238:$J$451),0),
IF('TL17'!$B$3=P$3,SUMIF('TL17'!$C$10:$C$224,$C75,'TL17'!$J$10:$J$224),0),
IF('TL17'!$B$229=P$3,SUMIF('TL17'!$C$238:$C$451,$C75,'TL17'!$J$238:$J$451),0),
IF('TL18'!$B$3=P$3,SUMIF('TL18'!$C$10:$C$224,$C75,'TL18'!$J$10:$J$224),0),
IF('TL18'!$B$229=P$3,SUMIF('TL18'!$C$238:$C$451,$C75,'TL18'!$J$238:$J$451),0),
IF('TL19'!$B$3=P$3,SUMIF('TL19'!$C$10:$C$224,$C75,'TL19'!$J$10:$J$224),0),
IF('TL19'!$B$229=P$3,SUMIF('TL19'!$C$238:$C$451,$C75,'TL19'!$J$238:$J$451),0)
),0)</f>
        <v/>
      </c>
      <c r="Q75" s="9">
        <f>IFERROR(SUM(
IF('TL01'!$B$3=Q$3,SUMIF('TL01'!$C$10:$C$224,$C75,'TL01'!$J$10:$J$224),0),
IF('TL01'!$B$229=Q$3,SUMIF('TL01'!$C$238:$C$451,$C75,'TL01'!$J$238:$J$451),0),
IF('TL02'!$B$3=Q$3,SUMIF('TL02'!$C$10:$C$224,$C75,'TL02'!$J$10:$J$224),0),
IF('TL02'!$B$229=Q$3,SUMIF('TL02'!$C$238:$C$451,$C75,'TL02'!$J$238:$J$451),0),
IF('TL03'!$B$3=Q$3,SUMIF('TL03'!$C$10:$C$224,$C75,'TL03'!$J$10:$J$224),0),
IF('TL03'!$B$229=Q$3,SUMIF('TL03'!$C$238:$C$451,$C75,'TL03'!$J$238:$J$451),0),
IF('TL04'!$B$3=Q$3,SUMIF('TL04'!$C$10:$C$224,$C75,'TL04'!$J$10:$J$224),0),
IF('TL04'!$B$229=Q$3,SUMIF('TL04'!$C$238:$C$451,$C75,'TL04'!$J$238:$J$451),0),
IF('TL05'!$B$3=Q$3,SUMIF('TL05'!$C$10:$C$224,$C75,'TL05'!$J$10:$J$224),0),
IF('TL05'!$B$229=Q$3,SUMIF('TL05'!$C$238:$C$451,$C75,'TL05'!$J$238:$J$451),0),
IF('TL06'!$B$3=Q$3,SUMIF('TL06'!$C$10:$C$224,$C75,'TL06'!$J$10:$J$224),0),
IF('TL06'!$B$229=Q$3,SUMIF('TL06'!$C$238:$C$451,$C75,'TL06'!$J$238:$J$451),0),
IF('TL07'!$B$3=Q$3,SUMIF('TL07'!$C$10:$C$224,$C75,'TL07'!$J$10:$J$224),0),
IF('TL07'!$B$229=Q$3,SUMIF('TL07'!$C$238:$C$451,$C75,'TL07'!$J$238:$J$451),0),
IF('TL08'!$B$3=Q$3,SUMIF('TL08'!$C$10:$C$224,$C75,'TL08'!$J$10:$J$224),0),
IF('TL08'!$B$229=Q$3,SUMIF('TL08'!$C$238:$C$451,$C75,'TL08'!$J$238:$J$451),0),
IF('TL09'!$B$3=Q$3,SUMIF('TL09'!$C$10:$C$224,$C75,'TL09'!$J$10:$J$224),0),
IF('TL09'!$B$229=Q$3,SUMIF('TL09'!$C$238:$C$451,$C75,'TL09'!$J$238:$J$451),0),
IF('TL10'!$B$3=Q$3,SUMIF('TL10'!$C$10:$C$224,$C75,'TL10'!$J$10:$J$224),0),
IF('TL10'!$B$229=Q$3,SUMIF('TL10'!$C$238:$C$451,$C75,'TL10'!$J$238:$J$451),0),
IF('TL11'!$B$3=Q$3,SUMIF('TL11'!$C$10:$C$224,$C75,'TL11'!$J$10:$J$224),0),
IF('TL11'!$B$229=Q$3,SUMIF('TL11'!$C$238:$C$451,$C75,'TL11'!$J$238:$J$451),0),
IF('TL12'!$B$3=Q$3,SUMIF('TL12'!$C$10:$C$224,$C75,'TL12'!$J$10:$J$224),0),
IF('TL12'!$B$229=Q$3,SUMIF('TL12'!$C$238:$C$451,$C75,'TL12'!$J$238:$J$451),0),
IF('TL13'!$B$3=Q$3,SUMIF('TL13'!$C$10:$C$224,$C75,'TL13'!$J$10:$J$224),0),
IF('TL13'!$B$229=Q$3,SUMIF('TL13'!$C$238:$C$451,$C75,'TL13'!$J$238:$J$451),0),
IF('TL14'!$B$3=Q$3,SUMIF('TL14'!$C$10:$C$224,$C75,'TL14'!$J$10:$J$224),0),
IF('TL14'!$B$229=Q$3,SUMIF('TL14'!$C$238:$C$451,$C75,'TL14'!$J$238:$J$451),0),
IF('TL15'!$B$3=Q$3,SUMIF('TL15'!$C$10:$C$224,$C75,'TL15'!$J$10:$J$224),0),
IF('TL15'!$B$229=Q$3,SUMIF('TL15'!$C$238:$C$451,$C75,'TL15'!$J$238:$J$451),0),
IF('TL16'!$B$3=Q$3,SUMIF('TL16'!$C$10:$C$224,$C75,'TL16'!$J$10:$J$224),0),
IF('TL16'!$B$229=Q$3,SUMIF('TL16'!$C$238:$C$451,$C75,'TL16'!$J$238:$J$451),0),
IF('TL17'!$B$3=Q$3,SUMIF('TL17'!$C$10:$C$224,$C75,'TL17'!$J$10:$J$224),0),
IF('TL17'!$B$229=Q$3,SUMIF('TL17'!$C$238:$C$451,$C75,'TL17'!$J$238:$J$451),0),
IF('TL18'!$B$3=Q$3,SUMIF('TL18'!$C$10:$C$224,$C75,'TL18'!$J$10:$J$224),0),
IF('TL18'!$B$229=Q$3,SUMIF('TL18'!$C$238:$C$451,$C75,'TL18'!$J$238:$J$451),0),
IF('TL19'!$B$3=Q$3,SUMIF('TL19'!$C$10:$C$224,$C75,'TL19'!$J$10:$J$224),0),
IF('TL19'!$B$229=Q$3,SUMIF('TL19'!$C$238:$C$451,$C75,'TL19'!$J$238:$J$451),0)
),0)</f>
        <v/>
      </c>
      <c r="R75" s="9">
        <f>IFERROR(
SUM(
SUMIF('TL01'!C:C,C75,'TL01'!J:J),
SUMIF('TL02'!C:C,C75,'TL02'!J:J),
SUMIF('TL03'!C:C,C75,'TL03'!J:J),
SUMIF('TL04'!C:C,C75,'TL04'!J:J),
SUMIF('TL05'!C:C,C75,'TL05'!J:J),
SUMIF('TL06'!C:C,C75,'TL06'!J:J),
SUMIF('TL07'!C:C,C75,'TL07'!J:J),
SUMIF('TL08'!C:C,C75,'TL08'!J:J),
SUMIF('TL09'!C:C,C75,'TL09'!J:J),
SUMIF('TL10'!C:C,C75,'TL10'!J:J),
SUMIF('TL11'!C:C,C75,'TL11'!J:J),
SUMIF('TL12'!C:C,C75,'TL12'!J:J),
SUMIF('TL13'!C:C,C75,'TL13'!J:J),
SUMIF('TL14'!C:C,C75,'TL14'!J:J),
SUMIF('TL15'!C:C,C75,'TL15'!J:J),
SUMIF('TL16'!C:C,C75,'TL16'!J:J),
SUMIF('TL17'!C:C,C75,'TL17'!J:J),
SUMIF('TL18'!C:C,C75,'TL18'!J:J),SUMIF('TL19'!C:C,C75,'TL19'!J:J))
,0)</f>
        <v/>
      </c>
      <c r="S75" s="17">
        <f>IFERROR(__xludf.DUMMYFUNCTION("IFERROR(VLOOKUP(C75,
IMPORTRANGE(""1wULbzX32WdYsx-lj2U3uUNBBe2INVIRDtcK0d-Dvl90"",
""26-27!C:G""),
5,
FALSE),
"""")"),31.944960000000002)</f>
        <v/>
      </c>
      <c r="T75" s="9" t="n"/>
      <c r="U75" s="92">
        <f>MAX(0,R75-T75)</f>
        <v/>
      </c>
      <c r="V75" s="93">
        <f>U75*S75</f>
        <v/>
      </c>
    </row>
    <row r="76" hidden="1" ht="15.75" customHeight="1" s="297">
      <c r="A76" s="115" t="inlineStr">
        <is>
          <t>NORTOX</t>
        </is>
      </c>
      <c r="B76" s="100" t="inlineStr">
        <is>
          <t>FUNGICIDA</t>
        </is>
      </c>
      <c r="C76" s="116" t="inlineStr">
        <is>
          <t>TEBUCO A NORTOX</t>
        </is>
      </c>
      <c r="D76" s="116" t="inlineStr">
        <is>
          <t>AZOXISTROBINA + TEBUCONAZOL</t>
        </is>
      </c>
      <c r="E76" s="116" t="inlineStr">
        <is>
          <t>125 + 240</t>
        </is>
      </c>
      <c r="F76" s="4" t="inlineStr">
        <is>
          <t>L</t>
        </is>
      </c>
      <c r="G76" s="90">
        <f>HYPERLINK("https://www.google.com/search?q=" &amp; C76 &amp; "+bula+agrofit+pdf", "📄 Ver bula")</f>
        <v/>
      </c>
      <c r="H76" s="9">
        <f>IFERROR(__xludf.DUMMYFUNCTION("IFERROR(VLOOKUP(C76,
IMPORTRANGE(""1wULbzX32WdYsx-lj2U3uUNBBe2INVIRDtcK0d-Dvl90"",
""26-27!C:K""),
8,
FALSE),
"""")"),0.5)</f>
        <v/>
      </c>
      <c r="I76" s="117" t="inlineStr">
        <is>
          <t>1x20</t>
        </is>
      </c>
      <c r="J76" s="9">
        <f>IFERROR(SUM(
IF('TL01'!$B$3=J$3,SUMIF('TL01'!$C$10:$C$224,$C76,'TL01'!$J$10:$J$224),0),
IF('TL01'!$B$229=J$3,SUMIF('TL01'!$C$238:$C$451,$C76,'TL01'!$J$238:$J$451),0),
IF('TL02'!$B$3=J$3,SUMIF('TL02'!$C$10:$C$224,$C76,'TL02'!$J$10:$J$224),0),
IF('TL02'!$B$229=J$3,SUMIF('TL02'!$C$238:$C$451,$C76,'TL02'!$J$238:$J$451),0),
IF('TL03'!$B$3=J$3,SUMIF('TL03'!$C$10:$C$224,$C76,'TL03'!$J$10:$J$224),0),
IF('TL03'!$B$229=J$3,SUMIF('TL03'!$C$238:$C$451,$C76,'TL03'!$J$238:$J$451),0),
IF('TL04'!$B$3=J$3,SUMIF('TL04'!$C$10:$C$224,$C76,'TL04'!$J$10:$J$224),0),
IF('TL04'!$B$229=J$3,SUMIF('TL04'!$C$238:$C$451,$C76,'TL04'!$J$238:$J$451),0),
IF('TL05'!$B$3=J$3,SUMIF('TL05'!$C$10:$C$224,$C76,'TL05'!$J$10:$J$224),0),
IF('TL05'!$B$229=J$3,SUMIF('TL05'!$C$238:$C$451,$C76,'TL05'!$J$238:$J$451),0),
IF('TL06'!$B$3=J$3,SUMIF('TL06'!$C$10:$C$224,$C76,'TL06'!$J$10:$J$224),0),
IF('TL06'!$B$229=J$3,SUMIF('TL06'!$C$238:$C$451,$C76,'TL06'!$J$238:$J$451),0),
IF('TL07'!$B$3=J$3,SUMIF('TL07'!$C$10:$C$224,$C76,'TL07'!$J$10:$J$224),0),
IF('TL07'!$B$229=J$3,SUMIF('TL07'!$C$238:$C$451,$C76,'TL07'!$J$238:$J$451),0),
IF('TL08'!$B$3=J$3,SUMIF('TL08'!$C$10:$C$224,$C76,'TL08'!$J$10:$J$224),0),
IF('TL08'!$B$229=J$3,SUMIF('TL08'!$C$238:$C$451,$C76,'TL08'!$J$238:$J$451),0),
IF('TL09'!$B$3=J$3,SUMIF('TL09'!$C$10:$C$224,$C76,'TL09'!$J$10:$J$224),0),
IF('TL09'!$B$229=J$3,SUMIF('TL09'!$C$238:$C$451,$C76,'TL09'!$J$238:$J$451),0),
IF('TL10'!$B$3=J$3,SUMIF('TL10'!$C$10:$C$224,$C76,'TL10'!$J$10:$J$224),0),
IF('TL10'!$B$229=J$3,SUMIF('TL10'!$C$238:$C$451,$C76,'TL10'!$J$238:$J$451),0),
IF('TL11'!$B$3=J$3,SUMIF('TL11'!$C$10:$C$224,$C76,'TL11'!$J$10:$J$224),0),
IF('TL11'!$B$229=J$3,SUMIF('TL11'!$C$238:$C$451,$C76,'TL11'!$J$238:$J$451),0),
IF('TL12'!$B$3=J$3,SUMIF('TL12'!$C$10:$C$224,$C76,'TL12'!$J$10:$J$224),0),
IF('TL12'!$B$229=J$3,SUMIF('TL12'!$C$238:$C$451,$C76,'TL12'!$J$238:$J$451),0),
IF('TL13'!$B$3=J$3,SUMIF('TL13'!$C$10:$C$224,$C76,'TL13'!$J$10:$J$224),0),
IF('TL13'!$B$229=J$3,SUMIF('TL13'!$C$238:$C$451,$C76,'TL13'!$J$238:$J$451),0),
IF('TL14'!$B$3=J$3,SUMIF('TL14'!$C$10:$C$224,$C76,'TL14'!$J$10:$J$224),0),
IF('TL14'!$B$229=J$3,SUMIF('TL14'!$C$238:$C$451,$C76,'TL14'!$J$238:$J$451),0),
IF('TL15'!$B$3=J$3,SUMIF('TL15'!$C$10:$C$224,$C76,'TL15'!$J$10:$J$224),0),
IF('TL15'!$B$229=J$3,SUMIF('TL15'!$C$238:$C$451,$C76,'TL15'!$J$238:$J$451),0),
IF('TL16'!$B$3=J$3,SUMIF('TL16'!$C$10:$C$224,$C76,'TL16'!$J$10:$J$224),0),
IF('TL16'!$B$229=J$3,SUMIF('TL16'!$C$238:$C$451,$C76,'TL16'!$J$238:$J$451),0),
IF('TL17'!$B$3=J$3,SUMIF('TL17'!$C$10:$C$224,$C76,'TL17'!$J$10:$J$224),0),
IF('TL17'!$B$229=J$3,SUMIF('TL17'!$C$238:$C$451,$C76,'TL17'!$J$238:$J$451),0),
IF('TL18'!$B$3=J$3,SUMIF('TL18'!$C$10:$C$224,$C76,'TL18'!$J$10:$J$224),0),
IF('TL18'!$B$229=J$3,SUMIF('TL18'!$C$238:$C$451,$C76,'TL18'!$J$238:$J$451),0),
IF('TL19'!$B$3=J$3,SUMIF('TL19'!$C$10:$C$224,$C76,'TL19'!$J$10:$J$224),0),
IF('TL19'!$B$229=J$3,SUMIF('TL19'!$C$238:$C$451,$C76,'TL19'!$J$238:$J$451),0)
),0)</f>
        <v/>
      </c>
      <c r="K76" s="9">
        <f>IFERROR(SUM(
IF('TL01'!$B$3=K$3,SUMIF('TL01'!$C$10:$C$224,$C76,'TL01'!$J$10:$J$224),0),
IF('TL01'!$B$229=K$3,SUMIF('TL01'!$C$238:$C$451,$C76,'TL01'!$J$238:$J$451),0),
IF('TL02'!$B$3=K$3,SUMIF('TL02'!$C$10:$C$224,$C76,'TL02'!$J$10:$J$224),0),
IF('TL02'!$B$229=K$3,SUMIF('TL02'!$C$238:$C$451,$C76,'TL02'!$J$238:$J$451),0),
IF('TL03'!$B$3=K$3,SUMIF('TL03'!$C$10:$C$224,$C76,'TL03'!$J$10:$J$224),0),
IF('TL03'!$B$229=K$3,SUMIF('TL03'!$C$238:$C$451,$C76,'TL03'!$J$238:$J$451),0),
IF('TL04'!$B$3=K$3,SUMIF('TL04'!$C$10:$C$224,$C76,'TL04'!$J$10:$J$224),0),
IF('TL04'!$B$229=K$3,SUMIF('TL04'!$C$238:$C$451,$C76,'TL04'!$J$238:$J$451),0),
IF('TL05'!$B$3=K$3,SUMIF('TL05'!$C$10:$C$224,$C76,'TL05'!$J$10:$J$224),0),
IF('TL05'!$B$229=K$3,SUMIF('TL05'!$C$238:$C$451,$C76,'TL05'!$J$238:$J$451),0),
IF('TL06'!$B$3=K$3,SUMIF('TL06'!$C$10:$C$224,$C76,'TL06'!$J$10:$J$224),0),
IF('TL06'!$B$229=K$3,SUMIF('TL06'!$C$238:$C$451,$C76,'TL06'!$J$238:$J$451),0),
IF('TL07'!$B$3=K$3,SUMIF('TL07'!$C$10:$C$224,$C76,'TL07'!$J$10:$J$224),0),
IF('TL07'!$B$229=K$3,SUMIF('TL07'!$C$238:$C$451,$C76,'TL07'!$J$238:$J$451),0),
IF('TL08'!$B$3=K$3,SUMIF('TL08'!$C$10:$C$224,$C76,'TL08'!$J$10:$J$224),0),
IF('TL08'!$B$229=K$3,SUMIF('TL08'!$C$238:$C$451,$C76,'TL08'!$J$238:$J$451),0),
IF('TL09'!$B$3=K$3,SUMIF('TL09'!$C$10:$C$224,$C76,'TL09'!$J$10:$J$224),0),
IF('TL09'!$B$229=K$3,SUMIF('TL09'!$C$238:$C$451,$C76,'TL09'!$J$238:$J$451),0),
IF('TL10'!$B$3=K$3,SUMIF('TL10'!$C$10:$C$224,$C76,'TL10'!$J$10:$J$224),0),
IF('TL10'!$B$229=K$3,SUMIF('TL10'!$C$238:$C$451,$C76,'TL10'!$J$238:$J$451),0),
IF('TL11'!$B$3=K$3,SUMIF('TL11'!$C$10:$C$224,$C76,'TL11'!$J$10:$J$224),0),
IF('TL11'!$B$229=K$3,SUMIF('TL11'!$C$238:$C$451,$C76,'TL11'!$J$238:$J$451),0),
IF('TL12'!$B$3=K$3,SUMIF('TL12'!$C$10:$C$224,$C76,'TL12'!$J$10:$J$224),0),
IF('TL12'!$B$229=K$3,SUMIF('TL12'!$C$238:$C$451,$C76,'TL12'!$J$238:$J$451),0),
IF('TL13'!$B$3=K$3,SUMIF('TL13'!$C$10:$C$224,$C76,'TL13'!$J$10:$J$224),0),
IF('TL13'!$B$229=K$3,SUMIF('TL13'!$C$238:$C$451,$C76,'TL13'!$J$238:$J$451),0),
IF('TL14'!$B$3=K$3,SUMIF('TL14'!$C$10:$C$224,$C76,'TL14'!$J$10:$J$224),0),
IF('TL14'!$B$229=K$3,SUMIF('TL14'!$C$238:$C$451,$C76,'TL14'!$J$238:$J$451),0),
IF('TL15'!$B$3=K$3,SUMIF('TL15'!$C$10:$C$224,$C76,'TL15'!$J$10:$J$224),0),
IF('TL15'!$B$229=K$3,SUMIF('TL15'!$C$238:$C$451,$C76,'TL15'!$J$238:$J$451),0),
IF('TL16'!$B$3=K$3,SUMIF('TL16'!$C$10:$C$224,$C76,'TL16'!$J$10:$J$224),0),
IF('TL16'!$B$229=K$3,SUMIF('TL16'!$C$238:$C$451,$C76,'TL16'!$J$238:$J$451),0),
IF('TL17'!$B$3=K$3,SUMIF('TL17'!$C$10:$C$224,$C76,'TL17'!$J$10:$J$224),0),
IF('TL17'!$B$229=K$3,SUMIF('TL17'!$C$238:$C$451,$C76,'TL17'!$J$238:$J$451),0),
IF('TL18'!$B$3=K$3,SUMIF('TL18'!$C$10:$C$224,$C76,'TL18'!$J$10:$J$224),0),
IF('TL18'!$B$229=K$3,SUMIF('TL18'!$C$238:$C$451,$C76,'TL18'!$J$238:$J$451),0),
IF('TL19'!$B$3=K$3,SUMIF('TL19'!$C$10:$C$224,$C76,'TL19'!$J$10:$J$224),0),
IF('TL19'!$B$229=K$3,SUMIF('TL19'!$C$238:$C$451,$C76,'TL19'!$J$238:$J$451),0)
),0)</f>
        <v/>
      </c>
      <c r="L76" s="9">
        <f>IFERROR(SUM(
IF('TL01'!$B$3=L$3,SUMIF('TL01'!$C$10:$C$224,$C76,'TL01'!$J$10:$J$224),0),
IF('TL01'!$B$229=L$3,SUMIF('TL01'!$C$238:$C$451,$C76,'TL01'!$J$238:$J$451),0),
IF('TL02'!$B$3=L$3,SUMIF('TL02'!$C$10:$C$224,$C76,'TL02'!$J$10:$J$224),0),
IF('TL02'!$B$229=L$3,SUMIF('TL02'!$C$238:$C$451,$C76,'TL02'!$J$238:$J$451),0),
IF('TL03'!$B$3=L$3,SUMIF('TL03'!$C$10:$C$224,$C76,'TL03'!$J$10:$J$224),0),
IF('TL03'!$B$229=L$3,SUMIF('TL03'!$C$238:$C$451,$C76,'TL03'!$J$238:$J$451),0),
IF('TL04'!$B$3=L$3,SUMIF('TL04'!$C$10:$C$224,$C76,'TL04'!$J$10:$J$224),0),
IF('TL04'!$B$229=L$3,SUMIF('TL04'!$C$238:$C$451,$C76,'TL04'!$J$238:$J$451),0),
IF('TL05'!$B$3=L$3,SUMIF('TL05'!$C$10:$C$224,$C76,'TL05'!$J$10:$J$224),0),
IF('TL05'!$B$229=L$3,SUMIF('TL05'!$C$238:$C$451,$C76,'TL05'!$J$238:$J$451),0),
IF('TL06'!$B$3=L$3,SUMIF('TL06'!$C$10:$C$224,$C76,'TL06'!$J$10:$J$224),0),
IF('TL06'!$B$229=L$3,SUMIF('TL06'!$C$238:$C$451,$C76,'TL06'!$J$238:$J$451),0),
IF('TL07'!$B$3=L$3,SUMIF('TL07'!$C$10:$C$224,$C76,'TL07'!$J$10:$J$224),0),
IF('TL07'!$B$229=L$3,SUMIF('TL07'!$C$238:$C$451,$C76,'TL07'!$J$238:$J$451),0),
IF('TL08'!$B$3=L$3,SUMIF('TL08'!$C$10:$C$224,$C76,'TL08'!$J$10:$J$224),0),
IF('TL08'!$B$229=L$3,SUMIF('TL08'!$C$238:$C$451,$C76,'TL08'!$J$238:$J$451),0),
IF('TL09'!$B$3=L$3,SUMIF('TL09'!$C$10:$C$224,$C76,'TL09'!$J$10:$J$224),0),
IF('TL09'!$B$229=L$3,SUMIF('TL09'!$C$238:$C$451,$C76,'TL09'!$J$238:$J$451),0),
IF('TL10'!$B$3=L$3,SUMIF('TL10'!$C$10:$C$224,$C76,'TL10'!$J$10:$J$224),0),
IF('TL10'!$B$229=L$3,SUMIF('TL10'!$C$238:$C$451,$C76,'TL10'!$J$238:$J$451),0),
IF('TL11'!$B$3=L$3,SUMIF('TL11'!$C$10:$C$224,$C76,'TL11'!$J$10:$J$224),0),
IF('TL11'!$B$229=L$3,SUMIF('TL11'!$C$238:$C$451,$C76,'TL11'!$J$238:$J$451),0),
IF('TL12'!$B$3=L$3,SUMIF('TL12'!$C$10:$C$224,$C76,'TL12'!$J$10:$J$224),0),
IF('TL12'!$B$229=L$3,SUMIF('TL12'!$C$238:$C$451,$C76,'TL12'!$J$238:$J$451),0),
IF('TL13'!$B$3=L$3,SUMIF('TL13'!$C$10:$C$224,$C76,'TL13'!$J$10:$J$224),0),
IF('TL13'!$B$229=L$3,SUMIF('TL13'!$C$238:$C$451,$C76,'TL13'!$J$238:$J$451),0),
IF('TL14'!$B$3=L$3,SUMIF('TL14'!$C$10:$C$224,$C76,'TL14'!$J$10:$J$224),0),
IF('TL14'!$B$229=L$3,SUMIF('TL14'!$C$238:$C$451,$C76,'TL14'!$J$238:$J$451),0),
IF('TL15'!$B$3=L$3,SUMIF('TL15'!$C$10:$C$224,$C76,'TL15'!$J$10:$J$224),0),
IF('TL15'!$B$229=L$3,SUMIF('TL15'!$C$238:$C$451,$C76,'TL15'!$J$238:$J$451),0),
IF('TL16'!$B$3=L$3,SUMIF('TL16'!$C$10:$C$224,$C76,'TL16'!$J$10:$J$224),0),
IF('TL16'!$B$229=L$3,SUMIF('TL16'!$C$238:$C$451,$C76,'TL16'!$J$238:$J$451),0),
IF('TL17'!$B$3=L$3,SUMIF('TL17'!$C$10:$C$224,$C76,'TL17'!$J$10:$J$224),0),
IF('TL17'!$B$229=L$3,SUMIF('TL17'!$C$238:$C$451,$C76,'TL17'!$J$238:$J$451),0),
IF('TL18'!$B$3=L$3,SUMIF('TL18'!$C$10:$C$224,$C76,'TL18'!$J$10:$J$224),0),
IF('TL18'!$B$229=L$3,SUMIF('TL18'!$C$238:$C$451,$C76,'TL18'!$J$238:$J$451),0),
IF('TL19'!$B$3=L$3,SUMIF('TL19'!$C$10:$C$224,$C76,'TL19'!$J$10:$J$224),0),
IF('TL19'!$B$229=L$3,SUMIF('TL19'!$C$238:$C$451,$C76,'TL19'!$J$238:$J$451),0)
),0)</f>
        <v/>
      </c>
      <c r="M76" s="9">
        <f>IFERROR(SUM(
IF('TL01'!$B$3=M$3,SUMIF('TL01'!$C$10:$C$224,$C76,'TL01'!$J$10:$J$224),0),
IF('TL01'!$B$229=M$3,SUMIF('TL01'!$C$238:$C$451,$C76,'TL01'!$J$238:$J$451),0),
IF('TL02'!$B$3=M$3,SUMIF('TL02'!$C$10:$C$224,$C76,'TL02'!$J$10:$J$224),0),
IF('TL02'!$B$229=M$3,SUMIF('TL02'!$C$238:$C$451,$C76,'TL02'!$J$238:$J$451),0),
IF('TL03'!$B$3=M$3,SUMIF('TL03'!$C$10:$C$224,$C76,'TL03'!$J$10:$J$224),0),
IF('TL03'!$B$229=M$3,SUMIF('TL03'!$C$238:$C$451,$C76,'TL03'!$J$238:$J$451),0),
IF('TL04'!$B$3=M$3,SUMIF('TL04'!$C$10:$C$224,$C76,'TL04'!$J$10:$J$224),0),
IF('TL04'!$B$229=M$3,SUMIF('TL04'!$C$238:$C$451,$C76,'TL04'!$J$238:$J$451),0),
IF('TL05'!$B$3=M$3,SUMIF('TL05'!$C$10:$C$224,$C76,'TL05'!$J$10:$J$224),0),
IF('TL05'!$B$229=M$3,SUMIF('TL05'!$C$238:$C$451,$C76,'TL05'!$J$238:$J$451),0),
IF('TL06'!$B$3=M$3,SUMIF('TL06'!$C$10:$C$224,$C76,'TL06'!$J$10:$J$224),0),
IF('TL06'!$B$229=M$3,SUMIF('TL06'!$C$238:$C$451,$C76,'TL06'!$J$238:$J$451),0),
IF('TL07'!$B$3=M$3,SUMIF('TL07'!$C$10:$C$224,$C76,'TL07'!$J$10:$J$224),0),
IF('TL07'!$B$229=M$3,SUMIF('TL07'!$C$238:$C$451,$C76,'TL07'!$J$238:$J$451),0),
IF('TL08'!$B$3=M$3,SUMIF('TL08'!$C$10:$C$224,$C76,'TL08'!$J$10:$J$224),0),
IF('TL08'!$B$229=M$3,SUMIF('TL08'!$C$238:$C$451,$C76,'TL08'!$J$238:$J$451),0),
IF('TL09'!$B$3=M$3,SUMIF('TL09'!$C$10:$C$224,$C76,'TL09'!$J$10:$J$224),0),
IF('TL09'!$B$229=M$3,SUMIF('TL09'!$C$238:$C$451,$C76,'TL09'!$J$238:$J$451),0),
IF('TL10'!$B$3=M$3,SUMIF('TL10'!$C$10:$C$224,$C76,'TL10'!$J$10:$J$224),0),
IF('TL10'!$B$229=M$3,SUMIF('TL10'!$C$238:$C$451,$C76,'TL10'!$J$238:$J$451),0),
IF('TL11'!$B$3=M$3,SUMIF('TL11'!$C$10:$C$224,$C76,'TL11'!$J$10:$J$224),0),
IF('TL11'!$B$229=M$3,SUMIF('TL11'!$C$238:$C$451,$C76,'TL11'!$J$238:$J$451),0),
IF('TL12'!$B$3=M$3,SUMIF('TL12'!$C$10:$C$224,$C76,'TL12'!$J$10:$J$224),0),
IF('TL12'!$B$229=M$3,SUMIF('TL12'!$C$238:$C$451,$C76,'TL12'!$J$238:$J$451),0),
IF('TL13'!$B$3=M$3,SUMIF('TL13'!$C$10:$C$224,$C76,'TL13'!$J$10:$J$224),0),
IF('TL13'!$B$229=M$3,SUMIF('TL13'!$C$238:$C$451,$C76,'TL13'!$J$238:$J$451),0),
IF('TL14'!$B$3=M$3,SUMIF('TL14'!$C$10:$C$224,$C76,'TL14'!$J$10:$J$224),0),
IF('TL14'!$B$229=M$3,SUMIF('TL14'!$C$238:$C$451,$C76,'TL14'!$J$238:$J$451),0),
IF('TL15'!$B$3=M$3,SUMIF('TL15'!$C$10:$C$224,$C76,'TL15'!$J$10:$J$224),0),
IF('TL15'!$B$229=M$3,SUMIF('TL15'!$C$238:$C$451,$C76,'TL15'!$J$238:$J$451),0),
IF('TL16'!$B$3=M$3,SUMIF('TL16'!$C$10:$C$224,$C76,'TL16'!$J$10:$J$224),0),
IF('TL16'!$B$229=M$3,SUMIF('TL16'!$C$238:$C$451,$C76,'TL16'!$J$238:$J$451),0),
IF('TL17'!$B$3=M$3,SUMIF('TL17'!$C$10:$C$224,$C76,'TL17'!$J$10:$J$224),0),
IF('TL17'!$B$229=M$3,SUMIF('TL17'!$C$238:$C$451,$C76,'TL17'!$J$238:$J$451),0),
IF('TL18'!$B$3=M$3,SUMIF('TL18'!$C$10:$C$224,$C76,'TL18'!$J$10:$J$224),0),
IF('TL18'!$B$229=M$3,SUMIF('TL18'!$C$238:$C$451,$C76,'TL18'!$J$238:$J$451),0),
IF('TL19'!$B$3=M$3,SUMIF('TL19'!$C$10:$C$224,$C76,'TL19'!$J$10:$J$224),0),
IF('TL19'!$B$229=M$3,SUMIF('TL19'!$C$238:$C$451,$C76,'TL19'!$J$238:$J$451),0)
),0)</f>
        <v/>
      </c>
      <c r="N76" s="9">
        <f>IFERROR(SUM(
IF('TL01'!$B$3=N$3,SUMIF('TL01'!$C$10:$C$224,$C76,'TL01'!$J$10:$J$224),0),
IF('TL01'!$B$229=N$3,SUMIF('TL01'!$C$238:$C$451,$C76,'TL01'!$J$238:$J$451),0),
IF('TL02'!$B$3=N$3,SUMIF('TL02'!$C$10:$C$224,$C76,'TL02'!$J$10:$J$224),0),
IF('TL02'!$B$229=N$3,SUMIF('TL02'!$C$238:$C$451,$C76,'TL02'!$J$238:$J$451),0),
IF('TL03'!$B$3=N$3,SUMIF('TL03'!$C$10:$C$224,$C76,'TL03'!$J$10:$J$224),0),
IF('TL03'!$B$229=N$3,SUMIF('TL03'!$C$238:$C$451,$C76,'TL03'!$J$238:$J$451),0),
IF('TL04'!$B$3=N$3,SUMIF('TL04'!$C$10:$C$224,$C76,'TL04'!$J$10:$J$224),0),
IF('TL04'!$B$229=N$3,SUMIF('TL04'!$C$238:$C$451,$C76,'TL04'!$J$238:$J$451),0),
IF('TL05'!$B$3=N$3,SUMIF('TL05'!$C$10:$C$224,$C76,'TL05'!$J$10:$J$224),0),
IF('TL05'!$B$229=N$3,SUMIF('TL05'!$C$238:$C$451,$C76,'TL05'!$J$238:$J$451),0),
IF('TL06'!$B$3=N$3,SUMIF('TL06'!$C$10:$C$224,$C76,'TL06'!$J$10:$J$224),0),
IF('TL06'!$B$229=N$3,SUMIF('TL06'!$C$238:$C$451,$C76,'TL06'!$J$238:$J$451),0),
IF('TL07'!$B$3=N$3,SUMIF('TL07'!$C$10:$C$224,$C76,'TL07'!$J$10:$J$224),0),
IF('TL07'!$B$229=N$3,SUMIF('TL07'!$C$238:$C$451,$C76,'TL07'!$J$238:$J$451),0),
IF('TL08'!$B$3=N$3,SUMIF('TL08'!$C$10:$C$224,$C76,'TL08'!$J$10:$J$224),0),
IF('TL08'!$B$229=N$3,SUMIF('TL08'!$C$238:$C$451,$C76,'TL08'!$J$238:$J$451),0),
IF('TL09'!$B$3=N$3,SUMIF('TL09'!$C$10:$C$224,$C76,'TL09'!$J$10:$J$224),0),
IF('TL09'!$B$229=N$3,SUMIF('TL09'!$C$238:$C$451,$C76,'TL09'!$J$238:$J$451),0),
IF('TL10'!$B$3=N$3,SUMIF('TL10'!$C$10:$C$224,$C76,'TL10'!$J$10:$J$224),0),
IF('TL10'!$B$229=N$3,SUMIF('TL10'!$C$238:$C$451,$C76,'TL10'!$J$238:$J$451),0),
IF('TL11'!$B$3=N$3,SUMIF('TL11'!$C$10:$C$224,$C76,'TL11'!$J$10:$J$224),0),
IF('TL11'!$B$229=N$3,SUMIF('TL11'!$C$238:$C$451,$C76,'TL11'!$J$238:$J$451),0),
IF('TL12'!$B$3=N$3,SUMIF('TL12'!$C$10:$C$224,$C76,'TL12'!$J$10:$J$224),0),
IF('TL12'!$B$229=N$3,SUMIF('TL12'!$C$238:$C$451,$C76,'TL12'!$J$238:$J$451),0),
IF('TL13'!$B$3=N$3,SUMIF('TL13'!$C$10:$C$224,$C76,'TL13'!$J$10:$J$224),0),
IF('TL13'!$B$229=N$3,SUMIF('TL13'!$C$238:$C$451,$C76,'TL13'!$J$238:$J$451),0),
IF('TL14'!$B$3=N$3,SUMIF('TL14'!$C$10:$C$224,$C76,'TL14'!$J$10:$J$224),0),
IF('TL14'!$B$229=N$3,SUMIF('TL14'!$C$238:$C$451,$C76,'TL14'!$J$238:$J$451),0),
IF('TL15'!$B$3=N$3,SUMIF('TL15'!$C$10:$C$224,$C76,'TL15'!$J$10:$J$224),0),
IF('TL15'!$B$229=N$3,SUMIF('TL15'!$C$238:$C$451,$C76,'TL15'!$J$238:$J$451),0),
IF('TL16'!$B$3=N$3,SUMIF('TL16'!$C$10:$C$224,$C76,'TL16'!$J$10:$J$224),0),
IF('TL16'!$B$229=N$3,SUMIF('TL16'!$C$238:$C$451,$C76,'TL16'!$J$238:$J$451),0),
IF('TL17'!$B$3=N$3,SUMIF('TL17'!$C$10:$C$224,$C76,'TL17'!$J$10:$J$224),0),
IF('TL17'!$B$229=N$3,SUMIF('TL17'!$C$238:$C$451,$C76,'TL17'!$J$238:$J$451),0),
IF('TL18'!$B$3=N$3,SUMIF('TL18'!$C$10:$C$224,$C76,'TL18'!$J$10:$J$224),0),
IF('TL18'!$B$229=N$3,SUMIF('TL18'!$C$238:$C$451,$C76,'TL18'!$J$238:$J$451),0),
IF('TL19'!$B$3=N$3,SUMIF('TL19'!$C$10:$C$224,$C76,'TL19'!$J$10:$J$224),0),
IF('TL19'!$B$229=N$3,SUMIF('TL19'!$C$238:$C$451,$C76,'TL19'!$J$238:$J$451),0)
),0)</f>
        <v/>
      </c>
      <c r="O76" s="9">
        <f>IFERROR(SUM(
IF('TL01'!$B$3=O$3,SUMIF('TL01'!$C$10:$C$224,$C76,'TL01'!$J$10:$J$224),0),
IF('TL01'!$B$229=O$3,SUMIF('TL01'!$C$238:$C$451,$C76,'TL01'!$J$238:$J$451),0),
IF('TL02'!$B$3=O$3,SUMIF('TL02'!$C$10:$C$224,$C76,'TL02'!$J$10:$J$224),0),
IF('TL02'!$B$229=O$3,SUMIF('TL02'!$C$238:$C$451,$C76,'TL02'!$J$238:$J$451),0),
IF('TL03'!$B$3=O$3,SUMIF('TL03'!$C$10:$C$224,$C76,'TL03'!$J$10:$J$224),0),
IF('TL03'!$B$229=O$3,SUMIF('TL03'!$C$238:$C$451,$C76,'TL03'!$J$238:$J$451),0),
IF('TL04'!$B$3=O$3,SUMIF('TL04'!$C$10:$C$224,$C76,'TL04'!$J$10:$J$224),0),
IF('TL04'!$B$229=O$3,SUMIF('TL04'!$C$238:$C$451,$C76,'TL04'!$J$238:$J$451),0),
IF('TL05'!$B$3=O$3,SUMIF('TL05'!$C$10:$C$224,$C76,'TL05'!$J$10:$J$224),0),
IF('TL05'!$B$229=O$3,SUMIF('TL05'!$C$238:$C$451,$C76,'TL05'!$J$238:$J$451),0),
IF('TL06'!$B$3=O$3,SUMIF('TL06'!$C$10:$C$224,$C76,'TL06'!$J$10:$J$224),0),
IF('TL06'!$B$229=O$3,SUMIF('TL06'!$C$238:$C$451,$C76,'TL06'!$J$238:$J$451),0),
IF('TL07'!$B$3=O$3,SUMIF('TL07'!$C$10:$C$224,$C76,'TL07'!$J$10:$J$224),0),
IF('TL07'!$B$229=O$3,SUMIF('TL07'!$C$238:$C$451,$C76,'TL07'!$J$238:$J$451),0),
IF('TL08'!$B$3=O$3,SUMIF('TL08'!$C$10:$C$224,$C76,'TL08'!$J$10:$J$224),0),
IF('TL08'!$B$229=O$3,SUMIF('TL08'!$C$238:$C$451,$C76,'TL08'!$J$238:$J$451),0),
IF('TL09'!$B$3=O$3,SUMIF('TL09'!$C$10:$C$224,$C76,'TL09'!$J$10:$J$224),0),
IF('TL09'!$B$229=O$3,SUMIF('TL09'!$C$238:$C$451,$C76,'TL09'!$J$238:$J$451),0),
IF('TL10'!$B$3=O$3,SUMIF('TL10'!$C$10:$C$224,$C76,'TL10'!$J$10:$J$224),0),
IF('TL10'!$B$229=O$3,SUMIF('TL10'!$C$238:$C$451,$C76,'TL10'!$J$238:$J$451),0),
IF('TL11'!$B$3=O$3,SUMIF('TL11'!$C$10:$C$224,$C76,'TL11'!$J$10:$J$224),0),
IF('TL11'!$B$229=O$3,SUMIF('TL11'!$C$238:$C$451,$C76,'TL11'!$J$238:$J$451),0),
IF('TL12'!$B$3=O$3,SUMIF('TL12'!$C$10:$C$224,$C76,'TL12'!$J$10:$J$224),0),
IF('TL12'!$B$229=O$3,SUMIF('TL12'!$C$238:$C$451,$C76,'TL12'!$J$238:$J$451),0),
IF('TL13'!$B$3=O$3,SUMIF('TL13'!$C$10:$C$224,$C76,'TL13'!$J$10:$J$224),0),
IF('TL13'!$B$229=O$3,SUMIF('TL13'!$C$238:$C$451,$C76,'TL13'!$J$238:$J$451),0),
IF('TL14'!$B$3=O$3,SUMIF('TL14'!$C$10:$C$224,$C76,'TL14'!$J$10:$J$224),0),
IF('TL14'!$B$229=O$3,SUMIF('TL14'!$C$238:$C$451,$C76,'TL14'!$J$238:$J$451),0),
IF('TL15'!$B$3=O$3,SUMIF('TL15'!$C$10:$C$224,$C76,'TL15'!$J$10:$J$224),0),
IF('TL15'!$B$229=O$3,SUMIF('TL15'!$C$238:$C$451,$C76,'TL15'!$J$238:$J$451),0),
IF('TL16'!$B$3=O$3,SUMIF('TL16'!$C$10:$C$224,$C76,'TL16'!$J$10:$J$224),0),
IF('TL16'!$B$229=O$3,SUMIF('TL16'!$C$238:$C$451,$C76,'TL16'!$J$238:$J$451),0),
IF('TL17'!$B$3=O$3,SUMIF('TL17'!$C$10:$C$224,$C76,'TL17'!$J$10:$J$224),0),
IF('TL17'!$B$229=O$3,SUMIF('TL17'!$C$238:$C$451,$C76,'TL17'!$J$238:$J$451),0),
IF('TL18'!$B$3=O$3,SUMIF('TL18'!$C$10:$C$224,$C76,'TL18'!$J$10:$J$224),0),
IF('TL18'!$B$229=O$3,SUMIF('TL18'!$C$238:$C$451,$C76,'TL18'!$J$238:$J$451),0),
IF('TL19'!$B$3=O$3,SUMIF('TL19'!$C$10:$C$224,$C76,'TL19'!$J$10:$J$224),0),
IF('TL19'!$B$229=O$3,SUMIF('TL19'!$C$238:$C$451,$C76,'TL19'!$J$238:$J$451),0)
),0)</f>
        <v/>
      </c>
      <c r="P76" s="9">
        <f>IFERROR(SUM(
IF('TL01'!$B$3=P$3,SUMIF('TL01'!$C$10:$C$224,$C76,'TL01'!$J$10:$J$224),0),
IF('TL01'!$B$229=P$3,SUMIF('TL01'!$C$238:$C$451,$C76,'TL01'!$J$238:$J$451),0),
IF('TL02'!$B$3=P$3,SUMIF('TL02'!$C$10:$C$224,$C76,'TL02'!$J$10:$J$224),0),
IF('TL02'!$B$229=P$3,SUMIF('TL02'!$C$238:$C$451,$C76,'TL02'!$J$238:$J$451),0),
IF('TL03'!$B$3=P$3,SUMIF('TL03'!$C$10:$C$224,$C76,'TL03'!$J$10:$J$224),0),
IF('TL03'!$B$229=P$3,SUMIF('TL03'!$C$238:$C$451,$C76,'TL03'!$J$238:$J$451),0),
IF('TL04'!$B$3=P$3,SUMIF('TL04'!$C$10:$C$224,$C76,'TL04'!$J$10:$J$224),0),
IF('TL04'!$B$229=P$3,SUMIF('TL04'!$C$238:$C$451,$C76,'TL04'!$J$238:$J$451),0),
IF('TL05'!$B$3=P$3,SUMIF('TL05'!$C$10:$C$224,$C76,'TL05'!$J$10:$J$224),0),
IF('TL05'!$B$229=P$3,SUMIF('TL05'!$C$238:$C$451,$C76,'TL05'!$J$238:$J$451),0),
IF('TL06'!$B$3=P$3,SUMIF('TL06'!$C$10:$C$224,$C76,'TL06'!$J$10:$J$224),0),
IF('TL06'!$B$229=P$3,SUMIF('TL06'!$C$238:$C$451,$C76,'TL06'!$J$238:$J$451),0),
IF('TL07'!$B$3=P$3,SUMIF('TL07'!$C$10:$C$224,$C76,'TL07'!$J$10:$J$224),0),
IF('TL07'!$B$229=P$3,SUMIF('TL07'!$C$238:$C$451,$C76,'TL07'!$J$238:$J$451),0),
IF('TL08'!$B$3=P$3,SUMIF('TL08'!$C$10:$C$224,$C76,'TL08'!$J$10:$J$224),0),
IF('TL08'!$B$229=P$3,SUMIF('TL08'!$C$238:$C$451,$C76,'TL08'!$J$238:$J$451),0),
IF('TL09'!$B$3=P$3,SUMIF('TL09'!$C$10:$C$224,$C76,'TL09'!$J$10:$J$224),0),
IF('TL09'!$B$229=P$3,SUMIF('TL09'!$C$238:$C$451,$C76,'TL09'!$J$238:$J$451),0),
IF('TL10'!$B$3=P$3,SUMIF('TL10'!$C$10:$C$224,$C76,'TL10'!$J$10:$J$224),0),
IF('TL10'!$B$229=P$3,SUMIF('TL10'!$C$238:$C$451,$C76,'TL10'!$J$238:$J$451),0),
IF('TL11'!$B$3=P$3,SUMIF('TL11'!$C$10:$C$224,$C76,'TL11'!$J$10:$J$224),0),
IF('TL11'!$B$229=P$3,SUMIF('TL11'!$C$238:$C$451,$C76,'TL11'!$J$238:$J$451),0),
IF('TL12'!$B$3=P$3,SUMIF('TL12'!$C$10:$C$224,$C76,'TL12'!$J$10:$J$224),0),
IF('TL12'!$B$229=P$3,SUMIF('TL12'!$C$238:$C$451,$C76,'TL12'!$J$238:$J$451),0),
IF('TL13'!$B$3=P$3,SUMIF('TL13'!$C$10:$C$224,$C76,'TL13'!$J$10:$J$224),0),
IF('TL13'!$B$229=P$3,SUMIF('TL13'!$C$238:$C$451,$C76,'TL13'!$J$238:$J$451),0),
IF('TL14'!$B$3=P$3,SUMIF('TL14'!$C$10:$C$224,$C76,'TL14'!$J$10:$J$224),0),
IF('TL14'!$B$229=P$3,SUMIF('TL14'!$C$238:$C$451,$C76,'TL14'!$J$238:$J$451),0),
IF('TL15'!$B$3=P$3,SUMIF('TL15'!$C$10:$C$224,$C76,'TL15'!$J$10:$J$224),0),
IF('TL15'!$B$229=P$3,SUMIF('TL15'!$C$238:$C$451,$C76,'TL15'!$J$238:$J$451),0),
IF('TL16'!$B$3=P$3,SUMIF('TL16'!$C$10:$C$224,$C76,'TL16'!$J$10:$J$224),0),
IF('TL16'!$B$229=P$3,SUMIF('TL16'!$C$238:$C$451,$C76,'TL16'!$J$238:$J$451),0),
IF('TL17'!$B$3=P$3,SUMIF('TL17'!$C$10:$C$224,$C76,'TL17'!$J$10:$J$224),0),
IF('TL17'!$B$229=P$3,SUMIF('TL17'!$C$238:$C$451,$C76,'TL17'!$J$238:$J$451),0),
IF('TL18'!$B$3=P$3,SUMIF('TL18'!$C$10:$C$224,$C76,'TL18'!$J$10:$J$224),0),
IF('TL18'!$B$229=P$3,SUMIF('TL18'!$C$238:$C$451,$C76,'TL18'!$J$238:$J$451),0),
IF('TL19'!$B$3=P$3,SUMIF('TL19'!$C$10:$C$224,$C76,'TL19'!$J$10:$J$224),0),
IF('TL19'!$B$229=P$3,SUMIF('TL19'!$C$238:$C$451,$C76,'TL19'!$J$238:$J$451),0)
),0)</f>
        <v/>
      </c>
      <c r="Q76" s="9">
        <f>IFERROR(SUM(
IF('TL01'!$B$3=Q$3,SUMIF('TL01'!$C$10:$C$224,$C76,'TL01'!$J$10:$J$224),0),
IF('TL01'!$B$229=Q$3,SUMIF('TL01'!$C$238:$C$451,$C76,'TL01'!$J$238:$J$451),0),
IF('TL02'!$B$3=Q$3,SUMIF('TL02'!$C$10:$C$224,$C76,'TL02'!$J$10:$J$224),0),
IF('TL02'!$B$229=Q$3,SUMIF('TL02'!$C$238:$C$451,$C76,'TL02'!$J$238:$J$451),0),
IF('TL03'!$B$3=Q$3,SUMIF('TL03'!$C$10:$C$224,$C76,'TL03'!$J$10:$J$224),0),
IF('TL03'!$B$229=Q$3,SUMIF('TL03'!$C$238:$C$451,$C76,'TL03'!$J$238:$J$451),0),
IF('TL04'!$B$3=Q$3,SUMIF('TL04'!$C$10:$C$224,$C76,'TL04'!$J$10:$J$224),0),
IF('TL04'!$B$229=Q$3,SUMIF('TL04'!$C$238:$C$451,$C76,'TL04'!$J$238:$J$451),0),
IF('TL05'!$B$3=Q$3,SUMIF('TL05'!$C$10:$C$224,$C76,'TL05'!$J$10:$J$224),0),
IF('TL05'!$B$229=Q$3,SUMIF('TL05'!$C$238:$C$451,$C76,'TL05'!$J$238:$J$451),0),
IF('TL06'!$B$3=Q$3,SUMIF('TL06'!$C$10:$C$224,$C76,'TL06'!$J$10:$J$224),0),
IF('TL06'!$B$229=Q$3,SUMIF('TL06'!$C$238:$C$451,$C76,'TL06'!$J$238:$J$451),0),
IF('TL07'!$B$3=Q$3,SUMIF('TL07'!$C$10:$C$224,$C76,'TL07'!$J$10:$J$224),0),
IF('TL07'!$B$229=Q$3,SUMIF('TL07'!$C$238:$C$451,$C76,'TL07'!$J$238:$J$451),0),
IF('TL08'!$B$3=Q$3,SUMIF('TL08'!$C$10:$C$224,$C76,'TL08'!$J$10:$J$224),0),
IF('TL08'!$B$229=Q$3,SUMIF('TL08'!$C$238:$C$451,$C76,'TL08'!$J$238:$J$451),0),
IF('TL09'!$B$3=Q$3,SUMIF('TL09'!$C$10:$C$224,$C76,'TL09'!$J$10:$J$224),0),
IF('TL09'!$B$229=Q$3,SUMIF('TL09'!$C$238:$C$451,$C76,'TL09'!$J$238:$J$451),0),
IF('TL10'!$B$3=Q$3,SUMIF('TL10'!$C$10:$C$224,$C76,'TL10'!$J$10:$J$224),0),
IF('TL10'!$B$229=Q$3,SUMIF('TL10'!$C$238:$C$451,$C76,'TL10'!$J$238:$J$451),0),
IF('TL11'!$B$3=Q$3,SUMIF('TL11'!$C$10:$C$224,$C76,'TL11'!$J$10:$J$224),0),
IF('TL11'!$B$229=Q$3,SUMIF('TL11'!$C$238:$C$451,$C76,'TL11'!$J$238:$J$451),0),
IF('TL12'!$B$3=Q$3,SUMIF('TL12'!$C$10:$C$224,$C76,'TL12'!$J$10:$J$224),0),
IF('TL12'!$B$229=Q$3,SUMIF('TL12'!$C$238:$C$451,$C76,'TL12'!$J$238:$J$451),0),
IF('TL13'!$B$3=Q$3,SUMIF('TL13'!$C$10:$C$224,$C76,'TL13'!$J$10:$J$224),0),
IF('TL13'!$B$229=Q$3,SUMIF('TL13'!$C$238:$C$451,$C76,'TL13'!$J$238:$J$451),0),
IF('TL14'!$B$3=Q$3,SUMIF('TL14'!$C$10:$C$224,$C76,'TL14'!$J$10:$J$224),0),
IF('TL14'!$B$229=Q$3,SUMIF('TL14'!$C$238:$C$451,$C76,'TL14'!$J$238:$J$451),0),
IF('TL15'!$B$3=Q$3,SUMIF('TL15'!$C$10:$C$224,$C76,'TL15'!$J$10:$J$224),0),
IF('TL15'!$B$229=Q$3,SUMIF('TL15'!$C$238:$C$451,$C76,'TL15'!$J$238:$J$451),0),
IF('TL16'!$B$3=Q$3,SUMIF('TL16'!$C$10:$C$224,$C76,'TL16'!$J$10:$J$224),0),
IF('TL16'!$B$229=Q$3,SUMIF('TL16'!$C$238:$C$451,$C76,'TL16'!$J$238:$J$451),0),
IF('TL17'!$B$3=Q$3,SUMIF('TL17'!$C$10:$C$224,$C76,'TL17'!$J$10:$J$224),0),
IF('TL17'!$B$229=Q$3,SUMIF('TL17'!$C$238:$C$451,$C76,'TL17'!$J$238:$J$451),0),
IF('TL18'!$B$3=Q$3,SUMIF('TL18'!$C$10:$C$224,$C76,'TL18'!$J$10:$J$224),0),
IF('TL18'!$B$229=Q$3,SUMIF('TL18'!$C$238:$C$451,$C76,'TL18'!$J$238:$J$451),0),
IF('TL19'!$B$3=Q$3,SUMIF('TL19'!$C$10:$C$224,$C76,'TL19'!$J$10:$J$224),0),
IF('TL19'!$B$229=Q$3,SUMIF('TL19'!$C$238:$C$451,$C76,'TL19'!$J$238:$J$451),0)
),0)</f>
        <v/>
      </c>
      <c r="R76" s="9">
        <f>IFERROR(
SUM(
SUMIF('TL01'!C:C,C76,'TL01'!J:J),
SUMIF('TL02'!C:C,C76,'TL02'!J:J),
SUMIF('TL03'!C:C,C76,'TL03'!J:J),
SUMIF('TL04'!C:C,C76,'TL04'!J:J),
SUMIF('TL05'!C:C,C76,'TL05'!J:J),
SUMIF('TL06'!C:C,C76,'TL06'!J:J),
SUMIF('TL07'!C:C,C76,'TL07'!J:J),
SUMIF('TL08'!C:C,C76,'TL08'!J:J),
SUMIF('TL09'!C:C,C76,'TL09'!J:J),
SUMIF('TL10'!C:C,C76,'TL10'!J:J),
SUMIF('TL11'!C:C,C76,'TL11'!J:J),
SUMIF('TL12'!C:C,C76,'TL12'!J:J),
SUMIF('TL13'!C:C,C76,'TL13'!J:J),
SUMIF('TL14'!C:C,C76,'TL14'!J:J),
SUMIF('TL15'!C:C,C76,'TL15'!J:J),
SUMIF('TL16'!C:C,C76,'TL16'!J:J),
SUMIF('TL17'!C:C,C76,'TL17'!J:J),
SUMIF('TL18'!C:C,C76,'TL18'!J:J),SUMIF('TL19'!C:C,C76,'TL19'!J:J))
,0)</f>
        <v/>
      </c>
      <c r="S76" s="17">
        <f>IFERROR(__xludf.DUMMYFUNCTION("IFERROR(VLOOKUP(C76,
IMPORTRANGE(""1wULbzX32WdYsx-lj2U3uUNBBe2INVIRDtcK0d-Dvl90"",
""26-27!C:G""),
5,
FALSE),
"""")"),36.68256000000001)</f>
        <v/>
      </c>
      <c r="T76" s="9" t="n">
        <v>310</v>
      </c>
      <c r="U76" s="92">
        <f>MAX(0,R76-T76)</f>
        <v/>
      </c>
      <c r="V76" s="93">
        <f>U76*S76</f>
        <v/>
      </c>
    </row>
    <row r="77" hidden="1" ht="15.75" customHeight="1" s="297">
      <c r="A77" s="111" t="inlineStr">
        <is>
          <t>NORTOX</t>
        </is>
      </c>
      <c r="B77" s="112" t="inlineStr">
        <is>
          <t>FUNGICIDA</t>
        </is>
      </c>
      <c r="C77" s="113" t="inlineStr">
        <is>
          <t>TIOFANATO NORTOX</t>
        </is>
      </c>
      <c r="D77" s="113" t="inlineStr">
        <is>
          <t>TIOFANATO-METÍLICO</t>
        </is>
      </c>
      <c r="E77" s="113" t="n">
        <v>500</v>
      </c>
      <c r="F77" s="4" t="inlineStr">
        <is>
          <t>L</t>
        </is>
      </c>
      <c r="G77" s="90">
        <f>HYPERLINK("https://www.google.com/search?q=" &amp; C77 &amp; "+bula+agrofit+pdf", "📄 Ver bula")</f>
        <v/>
      </c>
      <c r="H77" s="9">
        <f>IFERROR(__xludf.DUMMYFUNCTION("IFERROR(VLOOKUP(C77,
IMPORTRANGE(""1wULbzX32WdYsx-lj2U3uUNBBe2INVIRDtcK0d-Dvl90"",
""26-27!C:K""),
8,
FALSE),
"""")"),"")</f>
        <v/>
      </c>
      <c r="I77" s="114" t="inlineStr">
        <is>
          <t>1x20</t>
        </is>
      </c>
      <c r="J77" s="9">
        <f>IFERROR(SUM(
IF('TL01'!$B$3=J$3,SUMIF('TL01'!$C$10:$C$224,$C77,'TL01'!$J$10:$J$224),0),
IF('TL01'!$B$229=J$3,SUMIF('TL01'!$C$238:$C$451,$C77,'TL01'!$J$238:$J$451),0),
IF('TL02'!$B$3=J$3,SUMIF('TL02'!$C$10:$C$224,$C77,'TL02'!$J$10:$J$224),0),
IF('TL02'!$B$229=J$3,SUMIF('TL02'!$C$238:$C$451,$C77,'TL02'!$J$238:$J$451),0),
IF('TL03'!$B$3=J$3,SUMIF('TL03'!$C$10:$C$224,$C77,'TL03'!$J$10:$J$224),0),
IF('TL03'!$B$229=J$3,SUMIF('TL03'!$C$238:$C$451,$C77,'TL03'!$J$238:$J$451),0),
IF('TL04'!$B$3=J$3,SUMIF('TL04'!$C$10:$C$224,$C77,'TL04'!$J$10:$J$224),0),
IF('TL04'!$B$229=J$3,SUMIF('TL04'!$C$238:$C$451,$C77,'TL04'!$J$238:$J$451),0),
IF('TL05'!$B$3=J$3,SUMIF('TL05'!$C$10:$C$224,$C77,'TL05'!$J$10:$J$224),0),
IF('TL05'!$B$229=J$3,SUMIF('TL05'!$C$238:$C$451,$C77,'TL05'!$J$238:$J$451),0),
IF('TL06'!$B$3=J$3,SUMIF('TL06'!$C$10:$C$224,$C77,'TL06'!$J$10:$J$224),0),
IF('TL06'!$B$229=J$3,SUMIF('TL06'!$C$238:$C$451,$C77,'TL06'!$J$238:$J$451),0),
IF('TL07'!$B$3=J$3,SUMIF('TL07'!$C$10:$C$224,$C77,'TL07'!$J$10:$J$224),0),
IF('TL07'!$B$229=J$3,SUMIF('TL07'!$C$238:$C$451,$C77,'TL07'!$J$238:$J$451),0),
IF('TL08'!$B$3=J$3,SUMIF('TL08'!$C$10:$C$224,$C77,'TL08'!$J$10:$J$224),0),
IF('TL08'!$B$229=J$3,SUMIF('TL08'!$C$238:$C$451,$C77,'TL08'!$J$238:$J$451),0),
IF('TL09'!$B$3=J$3,SUMIF('TL09'!$C$10:$C$224,$C77,'TL09'!$J$10:$J$224),0),
IF('TL09'!$B$229=J$3,SUMIF('TL09'!$C$238:$C$451,$C77,'TL09'!$J$238:$J$451),0),
IF('TL10'!$B$3=J$3,SUMIF('TL10'!$C$10:$C$224,$C77,'TL10'!$J$10:$J$224),0),
IF('TL10'!$B$229=J$3,SUMIF('TL10'!$C$238:$C$451,$C77,'TL10'!$J$238:$J$451),0),
IF('TL11'!$B$3=J$3,SUMIF('TL11'!$C$10:$C$224,$C77,'TL11'!$J$10:$J$224),0),
IF('TL11'!$B$229=J$3,SUMIF('TL11'!$C$238:$C$451,$C77,'TL11'!$J$238:$J$451),0),
IF('TL12'!$B$3=J$3,SUMIF('TL12'!$C$10:$C$224,$C77,'TL12'!$J$10:$J$224),0),
IF('TL12'!$B$229=J$3,SUMIF('TL12'!$C$238:$C$451,$C77,'TL12'!$J$238:$J$451),0),
IF('TL13'!$B$3=J$3,SUMIF('TL13'!$C$10:$C$224,$C77,'TL13'!$J$10:$J$224),0),
IF('TL13'!$B$229=J$3,SUMIF('TL13'!$C$238:$C$451,$C77,'TL13'!$J$238:$J$451),0),
IF('TL14'!$B$3=J$3,SUMIF('TL14'!$C$10:$C$224,$C77,'TL14'!$J$10:$J$224),0),
IF('TL14'!$B$229=J$3,SUMIF('TL14'!$C$238:$C$451,$C77,'TL14'!$J$238:$J$451),0),
IF('TL15'!$B$3=J$3,SUMIF('TL15'!$C$10:$C$224,$C77,'TL15'!$J$10:$J$224),0),
IF('TL15'!$B$229=J$3,SUMIF('TL15'!$C$238:$C$451,$C77,'TL15'!$J$238:$J$451),0),
IF('TL16'!$B$3=J$3,SUMIF('TL16'!$C$10:$C$224,$C77,'TL16'!$J$10:$J$224),0),
IF('TL16'!$B$229=J$3,SUMIF('TL16'!$C$238:$C$451,$C77,'TL16'!$J$238:$J$451),0),
IF('TL17'!$B$3=J$3,SUMIF('TL17'!$C$10:$C$224,$C77,'TL17'!$J$10:$J$224),0),
IF('TL17'!$B$229=J$3,SUMIF('TL17'!$C$238:$C$451,$C77,'TL17'!$J$238:$J$451),0),
IF('TL18'!$B$3=J$3,SUMIF('TL18'!$C$10:$C$224,$C77,'TL18'!$J$10:$J$224),0),
IF('TL18'!$B$229=J$3,SUMIF('TL18'!$C$238:$C$451,$C77,'TL18'!$J$238:$J$451),0),
IF('TL19'!$B$3=J$3,SUMIF('TL19'!$C$10:$C$224,$C77,'TL19'!$J$10:$J$224),0),
IF('TL19'!$B$229=J$3,SUMIF('TL19'!$C$238:$C$451,$C77,'TL19'!$J$238:$J$451),0)
),0)</f>
        <v/>
      </c>
      <c r="K77" s="9">
        <f>IFERROR(SUM(
IF('TL01'!$B$3=K$3,SUMIF('TL01'!$C$10:$C$224,$C77,'TL01'!$J$10:$J$224),0),
IF('TL01'!$B$229=K$3,SUMIF('TL01'!$C$238:$C$451,$C77,'TL01'!$J$238:$J$451),0),
IF('TL02'!$B$3=K$3,SUMIF('TL02'!$C$10:$C$224,$C77,'TL02'!$J$10:$J$224),0),
IF('TL02'!$B$229=K$3,SUMIF('TL02'!$C$238:$C$451,$C77,'TL02'!$J$238:$J$451),0),
IF('TL03'!$B$3=K$3,SUMIF('TL03'!$C$10:$C$224,$C77,'TL03'!$J$10:$J$224),0),
IF('TL03'!$B$229=K$3,SUMIF('TL03'!$C$238:$C$451,$C77,'TL03'!$J$238:$J$451),0),
IF('TL04'!$B$3=K$3,SUMIF('TL04'!$C$10:$C$224,$C77,'TL04'!$J$10:$J$224),0),
IF('TL04'!$B$229=K$3,SUMIF('TL04'!$C$238:$C$451,$C77,'TL04'!$J$238:$J$451),0),
IF('TL05'!$B$3=K$3,SUMIF('TL05'!$C$10:$C$224,$C77,'TL05'!$J$10:$J$224),0),
IF('TL05'!$B$229=K$3,SUMIF('TL05'!$C$238:$C$451,$C77,'TL05'!$J$238:$J$451),0),
IF('TL06'!$B$3=K$3,SUMIF('TL06'!$C$10:$C$224,$C77,'TL06'!$J$10:$J$224),0),
IF('TL06'!$B$229=K$3,SUMIF('TL06'!$C$238:$C$451,$C77,'TL06'!$J$238:$J$451),0),
IF('TL07'!$B$3=K$3,SUMIF('TL07'!$C$10:$C$224,$C77,'TL07'!$J$10:$J$224),0),
IF('TL07'!$B$229=K$3,SUMIF('TL07'!$C$238:$C$451,$C77,'TL07'!$J$238:$J$451),0),
IF('TL08'!$B$3=K$3,SUMIF('TL08'!$C$10:$C$224,$C77,'TL08'!$J$10:$J$224),0),
IF('TL08'!$B$229=K$3,SUMIF('TL08'!$C$238:$C$451,$C77,'TL08'!$J$238:$J$451),0),
IF('TL09'!$B$3=K$3,SUMIF('TL09'!$C$10:$C$224,$C77,'TL09'!$J$10:$J$224),0),
IF('TL09'!$B$229=K$3,SUMIF('TL09'!$C$238:$C$451,$C77,'TL09'!$J$238:$J$451),0),
IF('TL10'!$B$3=K$3,SUMIF('TL10'!$C$10:$C$224,$C77,'TL10'!$J$10:$J$224),0),
IF('TL10'!$B$229=K$3,SUMIF('TL10'!$C$238:$C$451,$C77,'TL10'!$J$238:$J$451),0),
IF('TL11'!$B$3=K$3,SUMIF('TL11'!$C$10:$C$224,$C77,'TL11'!$J$10:$J$224),0),
IF('TL11'!$B$229=K$3,SUMIF('TL11'!$C$238:$C$451,$C77,'TL11'!$J$238:$J$451),0),
IF('TL12'!$B$3=K$3,SUMIF('TL12'!$C$10:$C$224,$C77,'TL12'!$J$10:$J$224),0),
IF('TL12'!$B$229=K$3,SUMIF('TL12'!$C$238:$C$451,$C77,'TL12'!$J$238:$J$451),0),
IF('TL13'!$B$3=K$3,SUMIF('TL13'!$C$10:$C$224,$C77,'TL13'!$J$10:$J$224),0),
IF('TL13'!$B$229=K$3,SUMIF('TL13'!$C$238:$C$451,$C77,'TL13'!$J$238:$J$451),0),
IF('TL14'!$B$3=K$3,SUMIF('TL14'!$C$10:$C$224,$C77,'TL14'!$J$10:$J$224),0),
IF('TL14'!$B$229=K$3,SUMIF('TL14'!$C$238:$C$451,$C77,'TL14'!$J$238:$J$451),0),
IF('TL15'!$B$3=K$3,SUMIF('TL15'!$C$10:$C$224,$C77,'TL15'!$J$10:$J$224),0),
IF('TL15'!$B$229=K$3,SUMIF('TL15'!$C$238:$C$451,$C77,'TL15'!$J$238:$J$451),0),
IF('TL16'!$B$3=K$3,SUMIF('TL16'!$C$10:$C$224,$C77,'TL16'!$J$10:$J$224),0),
IF('TL16'!$B$229=K$3,SUMIF('TL16'!$C$238:$C$451,$C77,'TL16'!$J$238:$J$451),0),
IF('TL17'!$B$3=K$3,SUMIF('TL17'!$C$10:$C$224,$C77,'TL17'!$J$10:$J$224),0),
IF('TL17'!$B$229=K$3,SUMIF('TL17'!$C$238:$C$451,$C77,'TL17'!$J$238:$J$451),0),
IF('TL18'!$B$3=K$3,SUMIF('TL18'!$C$10:$C$224,$C77,'TL18'!$J$10:$J$224),0),
IF('TL18'!$B$229=K$3,SUMIF('TL18'!$C$238:$C$451,$C77,'TL18'!$J$238:$J$451),0),
IF('TL19'!$B$3=K$3,SUMIF('TL19'!$C$10:$C$224,$C77,'TL19'!$J$10:$J$224),0),
IF('TL19'!$B$229=K$3,SUMIF('TL19'!$C$238:$C$451,$C77,'TL19'!$J$238:$J$451),0)
),0)</f>
        <v/>
      </c>
      <c r="L77" s="9">
        <f>IFERROR(SUM(
IF('TL01'!$B$3=L$3,SUMIF('TL01'!$C$10:$C$224,$C77,'TL01'!$J$10:$J$224),0),
IF('TL01'!$B$229=L$3,SUMIF('TL01'!$C$238:$C$451,$C77,'TL01'!$J$238:$J$451),0),
IF('TL02'!$B$3=L$3,SUMIF('TL02'!$C$10:$C$224,$C77,'TL02'!$J$10:$J$224),0),
IF('TL02'!$B$229=L$3,SUMIF('TL02'!$C$238:$C$451,$C77,'TL02'!$J$238:$J$451),0),
IF('TL03'!$B$3=L$3,SUMIF('TL03'!$C$10:$C$224,$C77,'TL03'!$J$10:$J$224),0),
IF('TL03'!$B$229=L$3,SUMIF('TL03'!$C$238:$C$451,$C77,'TL03'!$J$238:$J$451),0),
IF('TL04'!$B$3=L$3,SUMIF('TL04'!$C$10:$C$224,$C77,'TL04'!$J$10:$J$224),0),
IF('TL04'!$B$229=L$3,SUMIF('TL04'!$C$238:$C$451,$C77,'TL04'!$J$238:$J$451),0),
IF('TL05'!$B$3=L$3,SUMIF('TL05'!$C$10:$C$224,$C77,'TL05'!$J$10:$J$224),0),
IF('TL05'!$B$229=L$3,SUMIF('TL05'!$C$238:$C$451,$C77,'TL05'!$J$238:$J$451),0),
IF('TL06'!$B$3=L$3,SUMIF('TL06'!$C$10:$C$224,$C77,'TL06'!$J$10:$J$224),0),
IF('TL06'!$B$229=L$3,SUMIF('TL06'!$C$238:$C$451,$C77,'TL06'!$J$238:$J$451),0),
IF('TL07'!$B$3=L$3,SUMIF('TL07'!$C$10:$C$224,$C77,'TL07'!$J$10:$J$224),0),
IF('TL07'!$B$229=L$3,SUMIF('TL07'!$C$238:$C$451,$C77,'TL07'!$J$238:$J$451),0),
IF('TL08'!$B$3=L$3,SUMIF('TL08'!$C$10:$C$224,$C77,'TL08'!$J$10:$J$224),0),
IF('TL08'!$B$229=L$3,SUMIF('TL08'!$C$238:$C$451,$C77,'TL08'!$J$238:$J$451),0),
IF('TL09'!$B$3=L$3,SUMIF('TL09'!$C$10:$C$224,$C77,'TL09'!$J$10:$J$224),0),
IF('TL09'!$B$229=L$3,SUMIF('TL09'!$C$238:$C$451,$C77,'TL09'!$J$238:$J$451),0),
IF('TL10'!$B$3=L$3,SUMIF('TL10'!$C$10:$C$224,$C77,'TL10'!$J$10:$J$224),0),
IF('TL10'!$B$229=L$3,SUMIF('TL10'!$C$238:$C$451,$C77,'TL10'!$J$238:$J$451),0),
IF('TL11'!$B$3=L$3,SUMIF('TL11'!$C$10:$C$224,$C77,'TL11'!$J$10:$J$224),0),
IF('TL11'!$B$229=L$3,SUMIF('TL11'!$C$238:$C$451,$C77,'TL11'!$J$238:$J$451),0),
IF('TL12'!$B$3=L$3,SUMIF('TL12'!$C$10:$C$224,$C77,'TL12'!$J$10:$J$224),0),
IF('TL12'!$B$229=L$3,SUMIF('TL12'!$C$238:$C$451,$C77,'TL12'!$J$238:$J$451),0),
IF('TL13'!$B$3=L$3,SUMIF('TL13'!$C$10:$C$224,$C77,'TL13'!$J$10:$J$224),0),
IF('TL13'!$B$229=L$3,SUMIF('TL13'!$C$238:$C$451,$C77,'TL13'!$J$238:$J$451),0),
IF('TL14'!$B$3=L$3,SUMIF('TL14'!$C$10:$C$224,$C77,'TL14'!$J$10:$J$224),0),
IF('TL14'!$B$229=L$3,SUMIF('TL14'!$C$238:$C$451,$C77,'TL14'!$J$238:$J$451),0),
IF('TL15'!$B$3=L$3,SUMIF('TL15'!$C$10:$C$224,$C77,'TL15'!$J$10:$J$224),0),
IF('TL15'!$B$229=L$3,SUMIF('TL15'!$C$238:$C$451,$C77,'TL15'!$J$238:$J$451),0),
IF('TL16'!$B$3=L$3,SUMIF('TL16'!$C$10:$C$224,$C77,'TL16'!$J$10:$J$224),0),
IF('TL16'!$B$229=L$3,SUMIF('TL16'!$C$238:$C$451,$C77,'TL16'!$J$238:$J$451),0),
IF('TL17'!$B$3=L$3,SUMIF('TL17'!$C$10:$C$224,$C77,'TL17'!$J$10:$J$224),0),
IF('TL17'!$B$229=L$3,SUMIF('TL17'!$C$238:$C$451,$C77,'TL17'!$J$238:$J$451),0),
IF('TL18'!$B$3=L$3,SUMIF('TL18'!$C$10:$C$224,$C77,'TL18'!$J$10:$J$224),0),
IF('TL18'!$B$229=L$3,SUMIF('TL18'!$C$238:$C$451,$C77,'TL18'!$J$238:$J$451),0),
IF('TL19'!$B$3=L$3,SUMIF('TL19'!$C$10:$C$224,$C77,'TL19'!$J$10:$J$224),0),
IF('TL19'!$B$229=L$3,SUMIF('TL19'!$C$238:$C$451,$C77,'TL19'!$J$238:$J$451),0)
),0)</f>
        <v/>
      </c>
      <c r="M77" s="9">
        <f>IFERROR(SUM(
IF('TL01'!$B$3=M$3,SUMIF('TL01'!$C$10:$C$224,$C77,'TL01'!$J$10:$J$224),0),
IF('TL01'!$B$229=M$3,SUMIF('TL01'!$C$238:$C$451,$C77,'TL01'!$J$238:$J$451),0),
IF('TL02'!$B$3=M$3,SUMIF('TL02'!$C$10:$C$224,$C77,'TL02'!$J$10:$J$224),0),
IF('TL02'!$B$229=M$3,SUMIF('TL02'!$C$238:$C$451,$C77,'TL02'!$J$238:$J$451),0),
IF('TL03'!$B$3=M$3,SUMIF('TL03'!$C$10:$C$224,$C77,'TL03'!$J$10:$J$224),0),
IF('TL03'!$B$229=M$3,SUMIF('TL03'!$C$238:$C$451,$C77,'TL03'!$J$238:$J$451),0),
IF('TL04'!$B$3=M$3,SUMIF('TL04'!$C$10:$C$224,$C77,'TL04'!$J$10:$J$224),0),
IF('TL04'!$B$229=M$3,SUMIF('TL04'!$C$238:$C$451,$C77,'TL04'!$J$238:$J$451),0),
IF('TL05'!$B$3=M$3,SUMIF('TL05'!$C$10:$C$224,$C77,'TL05'!$J$10:$J$224),0),
IF('TL05'!$B$229=M$3,SUMIF('TL05'!$C$238:$C$451,$C77,'TL05'!$J$238:$J$451),0),
IF('TL06'!$B$3=M$3,SUMIF('TL06'!$C$10:$C$224,$C77,'TL06'!$J$10:$J$224),0),
IF('TL06'!$B$229=M$3,SUMIF('TL06'!$C$238:$C$451,$C77,'TL06'!$J$238:$J$451),0),
IF('TL07'!$B$3=M$3,SUMIF('TL07'!$C$10:$C$224,$C77,'TL07'!$J$10:$J$224),0),
IF('TL07'!$B$229=M$3,SUMIF('TL07'!$C$238:$C$451,$C77,'TL07'!$J$238:$J$451),0),
IF('TL08'!$B$3=M$3,SUMIF('TL08'!$C$10:$C$224,$C77,'TL08'!$J$10:$J$224),0),
IF('TL08'!$B$229=M$3,SUMIF('TL08'!$C$238:$C$451,$C77,'TL08'!$J$238:$J$451),0),
IF('TL09'!$B$3=M$3,SUMIF('TL09'!$C$10:$C$224,$C77,'TL09'!$J$10:$J$224),0),
IF('TL09'!$B$229=M$3,SUMIF('TL09'!$C$238:$C$451,$C77,'TL09'!$J$238:$J$451),0),
IF('TL10'!$B$3=M$3,SUMIF('TL10'!$C$10:$C$224,$C77,'TL10'!$J$10:$J$224),0),
IF('TL10'!$B$229=M$3,SUMIF('TL10'!$C$238:$C$451,$C77,'TL10'!$J$238:$J$451),0),
IF('TL11'!$B$3=M$3,SUMIF('TL11'!$C$10:$C$224,$C77,'TL11'!$J$10:$J$224),0),
IF('TL11'!$B$229=M$3,SUMIF('TL11'!$C$238:$C$451,$C77,'TL11'!$J$238:$J$451),0),
IF('TL12'!$B$3=M$3,SUMIF('TL12'!$C$10:$C$224,$C77,'TL12'!$J$10:$J$224),0),
IF('TL12'!$B$229=M$3,SUMIF('TL12'!$C$238:$C$451,$C77,'TL12'!$J$238:$J$451),0),
IF('TL13'!$B$3=M$3,SUMIF('TL13'!$C$10:$C$224,$C77,'TL13'!$J$10:$J$224),0),
IF('TL13'!$B$229=M$3,SUMIF('TL13'!$C$238:$C$451,$C77,'TL13'!$J$238:$J$451),0),
IF('TL14'!$B$3=M$3,SUMIF('TL14'!$C$10:$C$224,$C77,'TL14'!$J$10:$J$224),0),
IF('TL14'!$B$229=M$3,SUMIF('TL14'!$C$238:$C$451,$C77,'TL14'!$J$238:$J$451),0),
IF('TL15'!$B$3=M$3,SUMIF('TL15'!$C$10:$C$224,$C77,'TL15'!$J$10:$J$224),0),
IF('TL15'!$B$229=M$3,SUMIF('TL15'!$C$238:$C$451,$C77,'TL15'!$J$238:$J$451),0),
IF('TL16'!$B$3=M$3,SUMIF('TL16'!$C$10:$C$224,$C77,'TL16'!$J$10:$J$224),0),
IF('TL16'!$B$229=M$3,SUMIF('TL16'!$C$238:$C$451,$C77,'TL16'!$J$238:$J$451),0),
IF('TL17'!$B$3=M$3,SUMIF('TL17'!$C$10:$C$224,$C77,'TL17'!$J$10:$J$224),0),
IF('TL17'!$B$229=M$3,SUMIF('TL17'!$C$238:$C$451,$C77,'TL17'!$J$238:$J$451),0),
IF('TL18'!$B$3=M$3,SUMIF('TL18'!$C$10:$C$224,$C77,'TL18'!$J$10:$J$224),0),
IF('TL18'!$B$229=M$3,SUMIF('TL18'!$C$238:$C$451,$C77,'TL18'!$J$238:$J$451),0),
IF('TL19'!$B$3=M$3,SUMIF('TL19'!$C$10:$C$224,$C77,'TL19'!$J$10:$J$224),0),
IF('TL19'!$B$229=M$3,SUMIF('TL19'!$C$238:$C$451,$C77,'TL19'!$J$238:$J$451),0)
),0)</f>
        <v/>
      </c>
      <c r="N77" s="9">
        <f>IFERROR(SUM(
IF('TL01'!$B$3=N$3,SUMIF('TL01'!$C$10:$C$224,$C77,'TL01'!$J$10:$J$224),0),
IF('TL01'!$B$229=N$3,SUMIF('TL01'!$C$238:$C$451,$C77,'TL01'!$J$238:$J$451),0),
IF('TL02'!$B$3=N$3,SUMIF('TL02'!$C$10:$C$224,$C77,'TL02'!$J$10:$J$224),0),
IF('TL02'!$B$229=N$3,SUMIF('TL02'!$C$238:$C$451,$C77,'TL02'!$J$238:$J$451),0),
IF('TL03'!$B$3=N$3,SUMIF('TL03'!$C$10:$C$224,$C77,'TL03'!$J$10:$J$224),0),
IF('TL03'!$B$229=N$3,SUMIF('TL03'!$C$238:$C$451,$C77,'TL03'!$J$238:$J$451),0),
IF('TL04'!$B$3=N$3,SUMIF('TL04'!$C$10:$C$224,$C77,'TL04'!$J$10:$J$224),0),
IF('TL04'!$B$229=N$3,SUMIF('TL04'!$C$238:$C$451,$C77,'TL04'!$J$238:$J$451),0),
IF('TL05'!$B$3=N$3,SUMIF('TL05'!$C$10:$C$224,$C77,'TL05'!$J$10:$J$224),0),
IF('TL05'!$B$229=N$3,SUMIF('TL05'!$C$238:$C$451,$C77,'TL05'!$J$238:$J$451),0),
IF('TL06'!$B$3=N$3,SUMIF('TL06'!$C$10:$C$224,$C77,'TL06'!$J$10:$J$224),0),
IF('TL06'!$B$229=N$3,SUMIF('TL06'!$C$238:$C$451,$C77,'TL06'!$J$238:$J$451),0),
IF('TL07'!$B$3=N$3,SUMIF('TL07'!$C$10:$C$224,$C77,'TL07'!$J$10:$J$224),0),
IF('TL07'!$B$229=N$3,SUMIF('TL07'!$C$238:$C$451,$C77,'TL07'!$J$238:$J$451),0),
IF('TL08'!$B$3=N$3,SUMIF('TL08'!$C$10:$C$224,$C77,'TL08'!$J$10:$J$224),0),
IF('TL08'!$B$229=N$3,SUMIF('TL08'!$C$238:$C$451,$C77,'TL08'!$J$238:$J$451),0),
IF('TL09'!$B$3=N$3,SUMIF('TL09'!$C$10:$C$224,$C77,'TL09'!$J$10:$J$224),0),
IF('TL09'!$B$229=N$3,SUMIF('TL09'!$C$238:$C$451,$C77,'TL09'!$J$238:$J$451),0),
IF('TL10'!$B$3=N$3,SUMIF('TL10'!$C$10:$C$224,$C77,'TL10'!$J$10:$J$224),0),
IF('TL10'!$B$229=N$3,SUMIF('TL10'!$C$238:$C$451,$C77,'TL10'!$J$238:$J$451),0),
IF('TL11'!$B$3=N$3,SUMIF('TL11'!$C$10:$C$224,$C77,'TL11'!$J$10:$J$224),0),
IF('TL11'!$B$229=N$3,SUMIF('TL11'!$C$238:$C$451,$C77,'TL11'!$J$238:$J$451),0),
IF('TL12'!$B$3=N$3,SUMIF('TL12'!$C$10:$C$224,$C77,'TL12'!$J$10:$J$224),0),
IF('TL12'!$B$229=N$3,SUMIF('TL12'!$C$238:$C$451,$C77,'TL12'!$J$238:$J$451),0),
IF('TL13'!$B$3=N$3,SUMIF('TL13'!$C$10:$C$224,$C77,'TL13'!$J$10:$J$224),0),
IF('TL13'!$B$229=N$3,SUMIF('TL13'!$C$238:$C$451,$C77,'TL13'!$J$238:$J$451),0),
IF('TL14'!$B$3=N$3,SUMIF('TL14'!$C$10:$C$224,$C77,'TL14'!$J$10:$J$224),0),
IF('TL14'!$B$229=N$3,SUMIF('TL14'!$C$238:$C$451,$C77,'TL14'!$J$238:$J$451),0),
IF('TL15'!$B$3=N$3,SUMIF('TL15'!$C$10:$C$224,$C77,'TL15'!$J$10:$J$224),0),
IF('TL15'!$B$229=N$3,SUMIF('TL15'!$C$238:$C$451,$C77,'TL15'!$J$238:$J$451),0),
IF('TL16'!$B$3=N$3,SUMIF('TL16'!$C$10:$C$224,$C77,'TL16'!$J$10:$J$224),0),
IF('TL16'!$B$229=N$3,SUMIF('TL16'!$C$238:$C$451,$C77,'TL16'!$J$238:$J$451),0),
IF('TL17'!$B$3=N$3,SUMIF('TL17'!$C$10:$C$224,$C77,'TL17'!$J$10:$J$224),0),
IF('TL17'!$B$229=N$3,SUMIF('TL17'!$C$238:$C$451,$C77,'TL17'!$J$238:$J$451),0),
IF('TL18'!$B$3=N$3,SUMIF('TL18'!$C$10:$C$224,$C77,'TL18'!$J$10:$J$224),0),
IF('TL18'!$B$229=N$3,SUMIF('TL18'!$C$238:$C$451,$C77,'TL18'!$J$238:$J$451),0),
IF('TL19'!$B$3=N$3,SUMIF('TL19'!$C$10:$C$224,$C77,'TL19'!$J$10:$J$224),0),
IF('TL19'!$B$229=N$3,SUMIF('TL19'!$C$238:$C$451,$C77,'TL19'!$J$238:$J$451),0)
),0)</f>
        <v/>
      </c>
      <c r="O77" s="9">
        <f>IFERROR(SUM(
IF('TL01'!$B$3=O$3,SUMIF('TL01'!$C$10:$C$224,$C77,'TL01'!$J$10:$J$224),0),
IF('TL01'!$B$229=O$3,SUMIF('TL01'!$C$238:$C$451,$C77,'TL01'!$J$238:$J$451),0),
IF('TL02'!$B$3=O$3,SUMIF('TL02'!$C$10:$C$224,$C77,'TL02'!$J$10:$J$224),0),
IF('TL02'!$B$229=O$3,SUMIF('TL02'!$C$238:$C$451,$C77,'TL02'!$J$238:$J$451),0),
IF('TL03'!$B$3=O$3,SUMIF('TL03'!$C$10:$C$224,$C77,'TL03'!$J$10:$J$224),0),
IF('TL03'!$B$229=O$3,SUMIF('TL03'!$C$238:$C$451,$C77,'TL03'!$J$238:$J$451),0),
IF('TL04'!$B$3=O$3,SUMIF('TL04'!$C$10:$C$224,$C77,'TL04'!$J$10:$J$224),0),
IF('TL04'!$B$229=O$3,SUMIF('TL04'!$C$238:$C$451,$C77,'TL04'!$J$238:$J$451),0),
IF('TL05'!$B$3=O$3,SUMIF('TL05'!$C$10:$C$224,$C77,'TL05'!$J$10:$J$224),0),
IF('TL05'!$B$229=O$3,SUMIF('TL05'!$C$238:$C$451,$C77,'TL05'!$J$238:$J$451),0),
IF('TL06'!$B$3=O$3,SUMIF('TL06'!$C$10:$C$224,$C77,'TL06'!$J$10:$J$224),0),
IF('TL06'!$B$229=O$3,SUMIF('TL06'!$C$238:$C$451,$C77,'TL06'!$J$238:$J$451),0),
IF('TL07'!$B$3=O$3,SUMIF('TL07'!$C$10:$C$224,$C77,'TL07'!$J$10:$J$224),0),
IF('TL07'!$B$229=O$3,SUMIF('TL07'!$C$238:$C$451,$C77,'TL07'!$J$238:$J$451),0),
IF('TL08'!$B$3=O$3,SUMIF('TL08'!$C$10:$C$224,$C77,'TL08'!$J$10:$J$224),0),
IF('TL08'!$B$229=O$3,SUMIF('TL08'!$C$238:$C$451,$C77,'TL08'!$J$238:$J$451),0),
IF('TL09'!$B$3=O$3,SUMIF('TL09'!$C$10:$C$224,$C77,'TL09'!$J$10:$J$224),0),
IF('TL09'!$B$229=O$3,SUMIF('TL09'!$C$238:$C$451,$C77,'TL09'!$J$238:$J$451),0),
IF('TL10'!$B$3=O$3,SUMIF('TL10'!$C$10:$C$224,$C77,'TL10'!$J$10:$J$224),0),
IF('TL10'!$B$229=O$3,SUMIF('TL10'!$C$238:$C$451,$C77,'TL10'!$J$238:$J$451),0),
IF('TL11'!$B$3=O$3,SUMIF('TL11'!$C$10:$C$224,$C77,'TL11'!$J$10:$J$224),0),
IF('TL11'!$B$229=O$3,SUMIF('TL11'!$C$238:$C$451,$C77,'TL11'!$J$238:$J$451),0),
IF('TL12'!$B$3=O$3,SUMIF('TL12'!$C$10:$C$224,$C77,'TL12'!$J$10:$J$224),0),
IF('TL12'!$B$229=O$3,SUMIF('TL12'!$C$238:$C$451,$C77,'TL12'!$J$238:$J$451),0),
IF('TL13'!$B$3=O$3,SUMIF('TL13'!$C$10:$C$224,$C77,'TL13'!$J$10:$J$224),0),
IF('TL13'!$B$229=O$3,SUMIF('TL13'!$C$238:$C$451,$C77,'TL13'!$J$238:$J$451),0),
IF('TL14'!$B$3=O$3,SUMIF('TL14'!$C$10:$C$224,$C77,'TL14'!$J$10:$J$224),0),
IF('TL14'!$B$229=O$3,SUMIF('TL14'!$C$238:$C$451,$C77,'TL14'!$J$238:$J$451),0),
IF('TL15'!$B$3=O$3,SUMIF('TL15'!$C$10:$C$224,$C77,'TL15'!$J$10:$J$224),0),
IF('TL15'!$B$229=O$3,SUMIF('TL15'!$C$238:$C$451,$C77,'TL15'!$J$238:$J$451),0),
IF('TL16'!$B$3=O$3,SUMIF('TL16'!$C$10:$C$224,$C77,'TL16'!$J$10:$J$224),0),
IF('TL16'!$B$229=O$3,SUMIF('TL16'!$C$238:$C$451,$C77,'TL16'!$J$238:$J$451),0),
IF('TL17'!$B$3=O$3,SUMIF('TL17'!$C$10:$C$224,$C77,'TL17'!$J$10:$J$224),0),
IF('TL17'!$B$229=O$3,SUMIF('TL17'!$C$238:$C$451,$C77,'TL17'!$J$238:$J$451),0),
IF('TL18'!$B$3=O$3,SUMIF('TL18'!$C$10:$C$224,$C77,'TL18'!$J$10:$J$224),0),
IF('TL18'!$B$229=O$3,SUMIF('TL18'!$C$238:$C$451,$C77,'TL18'!$J$238:$J$451),0),
IF('TL19'!$B$3=O$3,SUMIF('TL19'!$C$10:$C$224,$C77,'TL19'!$J$10:$J$224),0),
IF('TL19'!$B$229=O$3,SUMIF('TL19'!$C$238:$C$451,$C77,'TL19'!$J$238:$J$451),0)
),0)</f>
        <v/>
      </c>
      <c r="P77" s="9">
        <f>IFERROR(SUM(
IF('TL01'!$B$3=P$3,SUMIF('TL01'!$C$10:$C$224,$C77,'TL01'!$J$10:$J$224),0),
IF('TL01'!$B$229=P$3,SUMIF('TL01'!$C$238:$C$451,$C77,'TL01'!$J$238:$J$451),0),
IF('TL02'!$B$3=P$3,SUMIF('TL02'!$C$10:$C$224,$C77,'TL02'!$J$10:$J$224),0),
IF('TL02'!$B$229=P$3,SUMIF('TL02'!$C$238:$C$451,$C77,'TL02'!$J$238:$J$451),0),
IF('TL03'!$B$3=P$3,SUMIF('TL03'!$C$10:$C$224,$C77,'TL03'!$J$10:$J$224),0),
IF('TL03'!$B$229=P$3,SUMIF('TL03'!$C$238:$C$451,$C77,'TL03'!$J$238:$J$451),0),
IF('TL04'!$B$3=P$3,SUMIF('TL04'!$C$10:$C$224,$C77,'TL04'!$J$10:$J$224),0),
IF('TL04'!$B$229=P$3,SUMIF('TL04'!$C$238:$C$451,$C77,'TL04'!$J$238:$J$451),0),
IF('TL05'!$B$3=P$3,SUMIF('TL05'!$C$10:$C$224,$C77,'TL05'!$J$10:$J$224),0),
IF('TL05'!$B$229=P$3,SUMIF('TL05'!$C$238:$C$451,$C77,'TL05'!$J$238:$J$451),0),
IF('TL06'!$B$3=P$3,SUMIF('TL06'!$C$10:$C$224,$C77,'TL06'!$J$10:$J$224),0),
IF('TL06'!$B$229=P$3,SUMIF('TL06'!$C$238:$C$451,$C77,'TL06'!$J$238:$J$451),0),
IF('TL07'!$B$3=P$3,SUMIF('TL07'!$C$10:$C$224,$C77,'TL07'!$J$10:$J$224),0),
IF('TL07'!$B$229=P$3,SUMIF('TL07'!$C$238:$C$451,$C77,'TL07'!$J$238:$J$451),0),
IF('TL08'!$B$3=P$3,SUMIF('TL08'!$C$10:$C$224,$C77,'TL08'!$J$10:$J$224),0),
IF('TL08'!$B$229=P$3,SUMIF('TL08'!$C$238:$C$451,$C77,'TL08'!$J$238:$J$451),0),
IF('TL09'!$B$3=P$3,SUMIF('TL09'!$C$10:$C$224,$C77,'TL09'!$J$10:$J$224),0),
IF('TL09'!$B$229=P$3,SUMIF('TL09'!$C$238:$C$451,$C77,'TL09'!$J$238:$J$451),0),
IF('TL10'!$B$3=P$3,SUMIF('TL10'!$C$10:$C$224,$C77,'TL10'!$J$10:$J$224),0),
IF('TL10'!$B$229=P$3,SUMIF('TL10'!$C$238:$C$451,$C77,'TL10'!$J$238:$J$451),0),
IF('TL11'!$B$3=P$3,SUMIF('TL11'!$C$10:$C$224,$C77,'TL11'!$J$10:$J$224),0),
IF('TL11'!$B$229=P$3,SUMIF('TL11'!$C$238:$C$451,$C77,'TL11'!$J$238:$J$451),0),
IF('TL12'!$B$3=P$3,SUMIF('TL12'!$C$10:$C$224,$C77,'TL12'!$J$10:$J$224),0),
IF('TL12'!$B$229=P$3,SUMIF('TL12'!$C$238:$C$451,$C77,'TL12'!$J$238:$J$451),0),
IF('TL13'!$B$3=P$3,SUMIF('TL13'!$C$10:$C$224,$C77,'TL13'!$J$10:$J$224),0),
IF('TL13'!$B$229=P$3,SUMIF('TL13'!$C$238:$C$451,$C77,'TL13'!$J$238:$J$451),0),
IF('TL14'!$B$3=P$3,SUMIF('TL14'!$C$10:$C$224,$C77,'TL14'!$J$10:$J$224),0),
IF('TL14'!$B$229=P$3,SUMIF('TL14'!$C$238:$C$451,$C77,'TL14'!$J$238:$J$451),0),
IF('TL15'!$B$3=P$3,SUMIF('TL15'!$C$10:$C$224,$C77,'TL15'!$J$10:$J$224),0),
IF('TL15'!$B$229=P$3,SUMIF('TL15'!$C$238:$C$451,$C77,'TL15'!$J$238:$J$451),0),
IF('TL16'!$B$3=P$3,SUMIF('TL16'!$C$10:$C$224,$C77,'TL16'!$J$10:$J$224),0),
IF('TL16'!$B$229=P$3,SUMIF('TL16'!$C$238:$C$451,$C77,'TL16'!$J$238:$J$451),0),
IF('TL17'!$B$3=P$3,SUMIF('TL17'!$C$10:$C$224,$C77,'TL17'!$J$10:$J$224),0),
IF('TL17'!$B$229=P$3,SUMIF('TL17'!$C$238:$C$451,$C77,'TL17'!$J$238:$J$451),0),
IF('TL18'!$B$3=P$3,SUMIF('TL18'!$C$10:$C$224,$C77,'TL18'!$J$10:$J$224),0),
IF('TL18'!$B$229=P$3,SUMIF('TL18'!$C$238:$C$451,$C77,'TL18'!$J$238:$J$451),0),
IF('TL19'!$B$3=P$3,SUMIF('TL19'!$C$10:$C$224,$C77,'TL19'!$J$10:$J$224),0),
IF('TL19'!$B$229=P$3,SUMIF('TL19'!$C$238:$C$451,$C77,'TL19'!$J$238:$J$451),0)
),0)</f>
        <v/>
      </c>
      <c r="Q77" s="9">
        <f>IFERROR(SUM(
IF('TL01'!$B$3=Q$3,SUMIF('TL01'!$C$10:$C$224,$C77,'TL01'!$J$10:$J$224),0),
IF('TL01'!$B$229=Q$3,SUMIF('TL01'!$C$238:$C$451,$C77,'TL01'!$J$238:$J$451),0),
IF('TL02'!$B$3=Q$3,SUMIF('TL02'!$C$10:$C$224,$C77,'TL02'!$J$10:$J$224),0),
IF('TL02'!$B$229=Q$3,SUMIF('TL02'!$C$238:$C$451,$C77,'TL02'!$J$238:$J$451),0),
IF('TL03'!$B$3=Q$3,SUMIF('TL03'!$C$10:$C$224,$C77,'TL03'!$J$10:$J$224),0),
IF('TL03'!$B$229=Q$3,SUMIF('TL03'!$C$238:$C$451,$C77,'TL03'!$J$238:$J$451),0),
IF('TL04'!$B$3=Q$3,SUMIF('TL04'!$C$10:$C$224,$C77,'TL04'!$J$10:$J$224),0),
IF('TL04'!$B$229=Q$3,SUMIF('TL04'!$C$238:$C$451,$C77,'TL04'!$J$238:$J$451),0),
IF('TL05'!$B$3=Q$3,SUMIF('TL05'!$C$10:$C$224,$C77,'TL05'!$J$10:$J$224),0),
IF('TL05'!$B$229=Q$3,SUMIF('TL05'!$C$238:$C$451,$C77,'TL05'!$J$238:$J$451),0),
IF('TL06'!$B$3=Q$3,SUMIF('TL06'!$C$10:$C$224,$C77,'TL06'!$J$10:$J$224),0),
IF('TL06'!$B$229=Q$3,SUMIF('TL06'!$C$238:$C$451,$C77,'TL06'!$J$238:$J$451),0),
IF('TL07'!$B$3=Q$3,SUMIF('TL07'!$C$10:$C$224,$C77,'TL07'!$J$10:$J$224),0),
IF('TL07'!$B$229=Q$3,SUMIF('TL07'!$C$238:$C$451,$C77,'TL07'!$J$238:$J$451),0),
IF('TL08'!$B$3=Q$3,SUMIF('TL08'!$C$10:$C$224,$C77,'TL08'!$J$10:$J$224),0),
IF('TL08'!$B$229=Q$3,SUMIF('TL08'!$C$238:$C$451,$C77,'TL08'!$J$238:$J$451),0),
IF('TL09'!$B$3=Q$3,SUMIF('TL09'!$C$10:$C$224,$C77,'TL09'!$J$10:$J$224),0),
IF('TL09'!$B$229=Q$3,SUMIF('TL09'!$C$238:$C$451,$C77,'TL09'!$J$238:$J$451),0),
IF('TL10'!$B$3=Q$3,SUMIF('TL10'!$C$10:$C$224,$C77,'TL10'!$J$10:$J$224),0),
IF('TL10'!$B$229=Q$3,SUMIF('TL10'!$C$238:$C$451,$C77,'TL10'!$J$238:$J$451),0),
IF('TL11'!$B$3=Q$3,SUMIF('TL11'!$C$10:$C$224,$C77,'TL11'!$J$10:$J$224),0),
IF('TL11'!$B$229=Q$3,SUMIF('TL11'!$C$238:$C$451,$C77,'TL11'!$J$238:$J$451),0),
IF('TL12'!$B$3=Q$3,SUMIF('TL12'!$C$10:$C$224,$C77,'TL12'!$J$10:$J$224),0),
IF('TL12'!$B$229=Q$3,SUMIF('TL12'!$C$238:$C$451,$C77,'TL12'!$J$238:$J$451),0),
IF('TL13'!$B$3=Q$3,SUMIF('TL13'!$C$10:$C$224,$C77,'TL13'!$J$10:$J$224),0),
IF('TL13'!$B$229=Q$3,SUMIF('TL13'!$C$238:$C$451,$C77,'TL13'!$J$238:$J$451),0),
IF('TL14'!$B$3=Q$3,SUMIF('TL14'!$C$10:$C$224,$C77,'TL14'!$J$10:$J$224),0),
IF('TL14'!$B$229=Q$3,SUMIF('TL14'!$C$238:$C$451,$C77,'TL14'!$J$238:$J$451),0),
IF('TL15'!$B$3=Q$3,SUMIF('TL15'!$C$10:$C$224,$C77,'TL15'!$J$10:$J$224),0),
IF('TL15'!$B$229=Q$3,SUMIF('TL15'!$C$238:$C$451,$C77,'TL15'!$J$238:$J$451),0),
IF('TL16'!$B$3=Q$3,SUMIF('TL16'!$C$10:$C$224,$C77,'TL16'!$J$10:$J$224),0),
IF('TL16'!$B$229=Q$3,SUMIF('TL16'!$C$238:$C$451,$C77,'TL16'!$J$238:$J$451),0),
IF('TL17'!$B$3=Q$3,SUMIF('TL17'!$C$10:$C$224,$C77,'TL17'!$J$10:$J$224),0),
IF('TL17'!$B$229=Q$3,SUMIF('TL17'!$C$238:$C$451,$C77,'TL17'!$J$238:$J$451),0),
IF('TL18'!$B$3=Q$3,SUMIF('TL18'!$C$10:$C$224,$C77,'TL18'!$J$10:$J$224),0),
IF('TL18'!$B$229=Q$3,SUMIF('TL18'!$C$238:$C$451,$C77,'TL18'!$J$238:$J$451),0),
IF('TL19'!$B$3=Q$3,SUMIF('TL19'!$C$10:$C$224,$C77,'TL19'!$J$10:$J$224),0),
IF('TL19'!$B$229=Q$3,SUMIF('TL19'!$C$238:$C$451,$C77,'TL19'!$J$238:$J$451),0)
),0)</f>
        <v/>
      </c>
      <c r="R77" s="9">
        <f>IFERROR(
SUM(
SUMIF('TL01'!C:C,C77,'TL01'!J:J),
SUMIF('TL02'!C:C,C77,'TL02'!J:J),
SUMIF('TL03'!C:C,C77,'TL03'!J:J),
SUMIF('TL04'!C:C,C77,'TL04'!J:J),
SUMIF('TL05'!C:C,C77,'TL05'!J:J),
SUMIF('TL06'!C:C,C77,'TL06'!J:J),
SUMIF('TL07'!C:C,C77,'TL07'!J:J),
SUMIF('TL08'!C:C,C77,'TL08'!J:J),
SUMIF('TL09'!C:C,C77,'TL09'!J:J),
SUMIF('TL10'!C:C,C77,'TL10'!J:J),
SUMIF('TL11'!C:C,C77,'TL11'!J:J),
SUMIF('TL12'!C:C,C77,'TL12'!J:J),
SUMIF('TL13'!C:C,C77,'TL13'!J:J),
SUMIF('TL14'!C:C,C77,'TL14'!J:J),
SUMIF('TL15'!C:C,C77,'TL15'!J:J),
SUMIF('TL16'!C:C,C77,'TL16'!J:J),
SUMIF('TL17'!C:C,C77,'TL17'!J:J),
SUMIF('TL18'!C:C,C77,'TL18'!J:J),SUMIF('TL19'!C:C,C77,'TL19'!J:J))
,0)</f>
        <v/>
      </c>
      <c r="S77" s="17">
        <f>IFERROR(__xludf.DUMMYFUNCTION("IFERROR(VLOOKUP(C77,
IMPORTRANGE(""1wULbzX32WdYsx-lj2U3uUNBBe2INVIRDtcK0d-Dvl90"",
""26-27!C:G""),
5,
FALSE),
"""")"),21.116160000000004)</f>
        <v/>
      </c>
      <c r="T77" s="9" t="n"/>
      <c r="U77" s="92">
        <f>MAX(0,R77-T77)</f>
        <v/>
      </c>
      <c r="V77" s="93">
        <f>U77*S77</f>
        <v/>
      </c>
    </row>
    <row r="78" hidden="1" ht="15.75" customHeight="1" s="297">
      <c r="A78" s="115" t="inlineStr">
        <is>
          <t>SIPCAM</t>
        </is>
      </c>
      <c r="B78" s="100" t="inlineStr">
        <is>
          <t>FUNGICIDA</t>
        </is>
      </c>
      <c r="C78" s="116" t="inlineStr">
        <is>
          <t>ACADEMIC</t>
        </is>
      </c>
      <c r="D78" s="116" t="inlineStr">
        <is>
          <t>CIMOXANIL + MANCOZEBE</t>
        </is>
      </c>
      <c r="E78" s="116" t="inlineStr">
        <is>
          <t>60 + 700</t>
        </is>
      </c>
      <c r="F78" s="4" t="inlineStr">
        <is>
          <t>L</t>
        </is>
      </c>
      <c r="G78" s="90">
        <f>HYPERLINK("https://www.google.com/search?q=" &amp; C78 &amp; "+bula+agrofit+pdf", "📄 Ver bula")</f>
        <v/>
      </c>
      <c r="H78" s="9">
        <f>IFERROR(__xludf.DUMMYFUNCTION("IFERROR(VLOOKUP(C78,
IMPORTRANGE(""1wULbzX32WdYsx-lj2U3uUNBBe2INVIRDtcK0d-Dvl90"",
""26-27!C:K""),
8,
FALSE),
"""")"),1.5)</f>
        <v/>
      </c>
      <c r="I78" s="117" t="inlineStr">
        <is>
          <t>1X25</t>
        </is>
      </c>
      <c r="J78" s="9">
        <f>IFERROR(SUM(
IF('TL01'!$B$3=J$3,SUMIF('TL01'!$C$10:$C$224,$C78,'TL01'!$J$10:$J$224),0),
IF('TL01'!$B$229=J$3,SUMIF('TL01'!$C$238:$C$451,$C78,'TL01'!$J$238:$J$451),0),
IF('TL02'!$B$3=J$3,SUMIF('TL02'!$C$10:$C$224,$C78,'TL02'!$J$10:$J$224),0),
IF('TL02'!$B$229=J$3,SUMIF('TL02'!$C$238:$C$451,$C78,'TL02'!$J$238:$J$451),0),
IF('TL03'!$B$3=J$3,SUMIF('TL03'!$C$10:$C$224,$C78,'TL03'!$J$10:$J$224),0),
IF('TL03'!$B$229=J$3,SUMIF('TL03'!$C$238:$C$451,$C78,'TL03'!$J$238:$J$451),0),
IF('TL04'!$B$3=J$3,SUMIF('TL04'!$C$10:$C$224,$C78,'TL04'!$J$10:$J$224),0),
IF('TL04'!$B$229=J$3,SUMIF('TL04'!$C$238:$C$451,$C78,'TL04'!$J$238:$J$451),0),
IF('TL05'!$B$3=J$3,SUMIF('TL05'!$C$10:$C$224,$C78,'TL05'!$J$10:$J$224),0),
IF('TL05'!$B$229=J$3,SUMIF('TL05'!$C$238:$C$451,$C78,'TL05'!$J$238:$J$451),0),
IF('TL06'!$B$3=J$3,SUMIF('TL06'!$C$10:$C$224,$C78,'TL06'!$J$10:$J$224),0),
IF('TL06'!$B$229=J$3,SUMIF('TL06'!$C$238:$C$451,$C78,'TL06'!$J$238:$J$451),0),
IF('TL07'!$B$3=J$3,SUMIF('TL07'!$C$10:$C$224,$C78,'TL07'!$J$10:$J$224),0),
IF('TL07'!$B$229=J$3,SUMIF('TL07'!$C$238:$C$451,$C78,'TL07'!$J$238:$J$451),0),
IF('TL08'!$B$3=J$3,SUMIF('TL08'!$C$10:$C$224,$C78,'TL08'!$J$10:$J$224),0),
IF('TL08'!$B$229=J$3,SUMIF('TL08'!$C$238:$C$451,$C78,'TL08'!$J$238:$J$451),0),
IF('TL09'!$B$3=J$3,SUMIF('TL09'!$C$10:$C$224,$C78,'TL09'!$J$10:$J$224),0),
IF('TL09'!$B$229=J$3,SUMIF('TL09'!$C$238:$C$451,$C78,'TL09'!$J$238:$J$451),0),
IF('TL10'!$B$3=J$3,SUMIF('TL10'!$C$10:$C$224,$C78,'TL10'!$J$10:$J$224),0),
IF('TL10'!$B$229=J$3,SUMIF('TL10'!$C$238:$C$451,$C78,'TL10'!$J$238:$J$451),0),
IF('TL11'!$B$3=J$3,SUMIF('TL11'!$C$10:$C$224,$C78,'TL11'!$J$10:$J$224),0),
IF('TL11'!$B$229=J$3,SUMIF('TL11'!$C$238:$C$451,$C78,'TL11'!$J$238:$J$451),0),
IF('TL12'!$B$3=J$3,SUMIF('TL12'!$C$10:$C$224,$C78,'TL12'!$J$10:$J$224),0),
IF('TL12'!$B$229=J$3,SUMIF('TL12'!$C$238:$C$451,$C78,'TL12'!$J$238:$J$451),0),
IF('TL13'!$B$3=J$3,SUMIF('TL13'!$C$10:$C$224,$C78,'TL13'!$J$10:$J$224),0),
IF('TL13'!$B$229=J$3,SUMIF('TL13'!$C$238:$C$451,$C78,'TL13'!$J$238:$J$451),0),
IF('TL14'!$B$3=J$3,SUMIF('TL14'!$C$10:$C$224,$C78,'TL14'!$J$10:$J$224),0),
IF('TL14'!$B$229=J$3,SUMIF('TL14'!$C$238:$C$451,$C78,'TL14'!$J$238:$J$451),0),
IF('TL15'!$B$3=J$3,SUMIF('TL15'!$C$10:$C$224,$C78,'TL15'!$J$10:$J$224),0),
IF('TL15'!$B$229=J$3,SUMIF('TL15'!$C$238:$C$451,$C78,'TL15'!$J$238:$J$451),0),
IF('TL16'!$B$3=J$3,SUMIF('TL16'!$C$10:$C$224,$C78,'TL16'!$J$10:$J$224),0),
IF('TL16'!$B$229=J$3,SUMIF('TL16'!$C$238:$C$451,$C78,'TL16'!$J$238:$J$451),0),
IF('TL17'!$B$3=J$3,SUMIF('TL17'!$C$10:$C$224,$C78,'TL17'!$J$10:$J$224),0),
IF('TL17'!$B$229=J$3,SUMIF('TL17'!$C$238:$C$451,$C78,'TL17'!$J$238:$J$451),0),
IF('TL18'!$B$3=J$3,SUMIF('TL18'!$C$10:$C$224,$C78,'TL18'!$J$10:$J$224),0),
IF('TL18'!$B$229=J$3,SUMIF('TL18'!$C$238:$C$451,$C78,'TL18'!$J$238:$J$451),0),
IF('TL19'!$B$3=J$3,SUMIF('TL19'!$C$10:$C$224,$C78,'TL19'!$J$10:$J$224),0),
IF('TL19'!$B$229=J$3,SUMIF('TL19'!$C$238:$C$451,$C78,'TL19'!$J$238:$J$451),0)
),0)</f>
        <v/>
      </c>
      <c r="K78" s="9">
        <f>IFERROR(SUM(
IF('TL01'!$B$3=K$3,SUMIF('TL01'!$C$10:$C$224,$C78,'TL01'!$J$10:$J$224),0),
IF('TL01'!$B$229=K$3,SUMIF('TL01'!$C$238:$C$451,$C78,'TL01'!$J$238:$J$451),0),
IF('TL02'!$B$3=K$3,SUMIF('TL02'!$C$10:$C$224,$C78,'TL02'!$J$10:$J$224),0),
IF('TL02'!$B$229=K$3,SUMIF('TL02'!$C$238:$C$451,$C78,'TL02'!$J$238:$J$451),0),
IF('TL03'!$B$3=K$3,SUMIF('TL03'!$C$10:$C$224,$C78,'TL03'!$J$10:$J$224),0),
IF('TL03'!$B$229=K$3,SUMIF('TL03'!$C$238:$C$451,$C78,'TL03'!$J$238:$J$451),0),
IF('TL04'!$B$3=K$3,SUMIF('TL04'!$C$10:$C$224,$C78,'TL04'!$J$10:$J$224),0),
IF('TL04'!$B$229=K$3,SUMIF('TL04'!$C$238:$C$451,$C78,'TL04'!$J$238:$J$451),0),
IF('TL05'!$B$3=K$3,SUMIF('TL05'!$C$10:$C$224,$C78,'TL05'!$J$10:$J$224),0),
IF('TL05'!$B$229=K$3,SUMIF('TL05'!$C$238:$C$451,$C78,'TL05'!$J$238:$J$451),0),
IF('TL06'!$B$3=K$3,SUMIF('TL06'!$C$10:$C$224,$C78,'TL06'!$J$10:$J$224),0),
IF('TL06'!$B$229=K$3,SUMIF('TL06'!$C$238:$C$451,$C78,'TL06'!$J$238:$J$451),0),
IF('TL07'!$B$3=K$3,SUMIF('TL07'!$C$10:$C$224,$C78,'TL07'!$J$10:$J$224),0),
IF('TL07'!$B$229=K$3,SUMIF('TL07'!$C$238:$C$451,$C78,'TL07'!$J$238:$J$451),0),
IF('TL08'!$B$3=K$3,SUMIF('TL08'!$C$10:$C$224,$C78,'TL08'!$J$10:$J$224),0),
IF('TL08'!$B$229=K$3,SUMIF('TL08'!$C$238:$C$451,$C78,'TL08'!$J$238:$J$451),0),
IF('TL09'!$B$3=K$3,SUMIF('TL09'!$C$10:$C$224,$C78,'TL09'!$J$10:$J$224),0),
IF('TL09'!$B$229=K$3,SUMIF('TL09'!$C$238:$C$451,$C78,'TL09'!$J$238:$J$451),0),
IF('TL10'!$B$3=K$3,SUMIF('TL10'!$C$10:$C$224,$C78,'TL10'!$J$10:$J$224),0),
IF('TL10'!$B$229=K$3,SUMIF('TL10'!$C$238:$C$451,$C78,'TL10'!$J$238:$J$451),0),
IF('TL11'!$B$3=K$3,SUMIF('TL11'!$C$10:$C$224,$C78,'TL11'!$J$10:$J$224),0),
IF('TL11'!$B$229=K$3,SUMIF('TL11'!$C$238:$C$451,$C78,'TL11'!$J$238:$J$451),0),
IF('TL12'!$B$3=K$3,SUMIF('TL12'!$C$10:$C$224,$C78,'TL12'!$J$10:$J$224),0),
IF('TL12'!$B$229=K$3,SUMIF('TL12'!$C$238:$C$451,$C78,'TL12'!$J$238:$J$451),0),
IF('TL13'!$B$3=K$3,SUMIF('TL13'!$C$10:$C$224,$C78,'TL13'!$J$10:$J$224),0),
IF('TL13'!$B$229=K$3,SUMIF('TL13'!$C$238:$C$451,$C78,'TL13'!$J$238:$J$451),0),
IF('TL14'!$B$3=K$3,SUMIF('TL14'!$C$10:$C$224,$C78,'TL14'!$J$10:$J$224),0),
IF('TL14'!$B$229=K$3,SUMIF('TL14'!$C$238:$C$451,$C78,'TL14'!$J$238:$J$451),0),
IF('TL15'!$B$3=K$3,SUMIF('TL15'!$C$10:$C$224,$C78,'TL15'!$J$10:$J$224),0),
IF('TL15'!$B$229=K$3,SUMIF('TL15'!$C$238:$C$451,$C78,'TL15'!$J$238:$J$451),0),
IF('TL16'!$B$3=K$3,SUMIF('TL16'!$C$10:$C$224,$C78,'TL16'!$J$10:$J$224),0),
IF('TL16'!$B$229=K$3,SUMIF('TL16'!$C$238:$C$451,$C78,'TL16'!$J$238:$J$451),0),
IF('TL17'!$B$3=K$3,SUMIF('TL17'!$C$10:$C$224,$C78,'TL17'!$J$10:$J$224),0),
IF('TL17'!$B$229=K$3,SUMIF('TL17'!$C$238:$C$451,$C78,'TL17'!$J$238:$J$451),0),
IF('TL18'!$B$3=K$3,SUMIF('TL18'!$C$10:$C$224,$C78,'TL18'!$J$10:$J$224),0),
IF('TL18'!$B$229=K$3,SUMIF('TL18'!$C$238:$C$451,$C78,'TL18'!$J$238:$J$451),0),
IF('TL19'!$B$3=K$3,SUMIF('TL19'!$C$10:$C$224,$C78,'TL19'!$J$10:$J$224),0),
IF('TL19'!$B$229=K$3,SUMIF('TL19'!$C$238:$C$451,$C78,'TL19'!$J$238:$J$451),0)
),0)</f>
        <v/>
      </c>
      <c r="L78" s="9">
        <f>IFERROR(SUM(
IF('TL01'!$B$3=L$3,SUMIF('TL01'!$C$10:$C$224,$C78,'TL01'!$J$10:$J$224),0),
IF('TL01'!$B$229=L$3,SUMIF('TL01'!$C$238:$C$451,$C78,'TL01'!$J$238:$J$451),0),
IF('TL02'!$B$3=L$3,SUMIF('TL02'!$C$10:$C$224,$C78,'TL02'!$J$10:$J$224),0),
IF('TL02'!$B$229=L$3,SUMIF('TL02'!$C$238:$C$451,$C78,'TL02'!$J$238:$J$451),0),
IF('TL03'!$B$3=L$3,SUMIF('TL03'!$C$10:$C$224,$C78,'TL03'!$J$10:$J$224),0),
IF('TL03'!$B$229=L$3,SUMIF('TL03'!$C$238:$C$451,$C78,'TL03'!$J$238:$J$451),0),
IF('TL04'!$B$3=L$3,SUMIF('TL04'!$C$10:$C$224,$C78,'TL04'!$J$10:$J$224),0),
IF('TL04'!$B$229=L$3,SUMIF('TL04'!$C$238:$C$451,$C78,'TL04'!$J$238:$J$451),0),
IF('TL05'!$B$3=L$3,SUMIF('TL05'!$C$10:$C$224,$C78,'TL05'!$J$10:$J$224),0),
IF('TL05'!$B$229=L$3,SUMIF('TL05'!$C$238:$C$451,$C78,'TL05'!$J$238:$J$451),0),
IF('TL06'!$B$3=L$3,SUMIF('TL06'!$C$10:$C$224,$C78,'TL06'!$J$10:$J$224),0),
IF('TL06'!$B$229=L$3,SUMIF('TL06'!$C$238:$C$451,$C78,'TL06'!$J$238:$J$451),0),
IF('TL07'!$B$3=L$3,SUMIF('TL07'!$C$10:$C$224,$C78,'TL07'!$J$10:$J$224),0),
IF('TL07'!$B$229=L$3,SUMIF('TL07'!$C$238:$C$451,$C78,'TL07'!$J$238:$J$451),0),
IF('TL08'!$B$3=L$3,SUMIF('TL08'!$C$10:$C$224,$C78,'TL08'!$J$10:$J$224),0),
IF('TL08'!$B$229=L$3,SUMIF('TL08'!$C$238:$C$451,$C78,'TL08'!$J$238:$J$451),0),
IF('TL09'!$B$3=L$3,SUMIF('TL09'!$C$10:$C$224,$C78,'TL09'!$J$10:$J$224),0),
IF('TL09'!$B$229=L$3,SUMIF('TL09'!$C$238:$C$451,$C78,'TL09'!$J$238:$J$451),0),
IF('TL10'!$B$3=L$3,SUMIF('TL10'!$C$10:$C$224,$C78,'TL10'!$J$10:$J$224),0),
IF('TL10'!$B$229=L$3,SUMIF('TL10'!$C$238:$C$451,$C78,'TL10'!$J$238:$J$451),0),
IF('TL11'!$B$3=L$3,SUMIF('TL11'!$C$10:$C$224,$C78,'TL11'!$J$10:$J$224),0),
IF('TL11'!$B$229=L$3,SUMIF('TL11'!$C$238:$C$451,$C78,'TL11'!$J$238:$J$451),0),
IF('TL12'!$B$3=L$3,SUMIF('TL12'!$C$10:$C$224,$C78,'TL12'!$J$10:$J$224),0),
IF('TL12'!$B$229=L$3,SUMIF('TL12'!$C$238:$C$451,$C78,'TL12'!$J$238:$J$451),0),
IF('TL13'!$B$3=L$3,SUMIF('TL13'!$C$10:$C$224,$C78,'TL13'!$J$10:$J$224),0),
IF('TL13'!$B$229=L$3,SUMIF('TL13'!$C$238:$C$451,$C78,'TL13'!$J$238:$J$451),0),
IF('TL14'!$B$3=L$3,SUMIF('TL14'!$C$10:$C$224,$C78,'TL14'!$J$10:$J$224),0),
IF('TL14'!$B$229=L$3,SUMIF('TL14'!$C$238:$C$451,$C78,'TL14'!$J$238:$J$451),0),
IF('TL15'!$B$3=L$3,SUMIF('TL15'!$C$10:$C$224,$C78,'TL15'!$J$10:$J$224),0),
IF('TL15'!$B$229=L$3,SUMIF('TL15'!$C$238:$C$451,$C78,'TL15'!$J$238:$J$451),0),
IF('TL16'!$B$3=L$3,SUMIF('TL16'!$C$10:$C$224,$C78,'TL16'!$J$10:$J$224),0),
IF('TL16'!$B$229=L$3,SUMIF('TL16'!$C$238:$C$451,$C78,'TL16'!$J$238:$J$451),0),
IF('TL17'!$B$3=L$3,SUMIF('TL17'!$C$10:$C$224,$C78,'TL17'!$J$10:$J$224),0),
IF('TL17'!$B$229=L$3,SUMIF('TL17'!$C$238:$C$451,$C78,'TL17'!$J$238:$J$451),0),
IF('TL18'!$B$3=L$3,SUMIF('TL18'!$C$10:$C$224,$C78,'TL18'!$J$10:$J$224),0),
IF('TL18'!$B$229=L$3,SUMIF('TL18'!$C$238:$C$451,$C78,'TL18'!$J$238:$J$451),0),
IF('TL19'!$B$3=L$3,SUMIF('TL19'!$C$10:$C$224,$C78,'TL19'!$J$10:$J$224),0),
IF('TL19'!$B$229=L$3,SUMIF('TL19'!$C$238:$C$451,$C78,'TL19'!$J$238:$J$451),0)
),0)</f>
        <v/>
      </c>
      <c r="M78" s="9">
        <f>IFERROR(SUM(
IF('TL01'!$B$3=M$3,SUMIF('TL01'!$C$10:$C$224,$C78,'TL01'!$J$10:$J$224),0),
IF('TL01'!$B$229=M$3,SUMIF('TL01'!$C$238:$C$451,$C78,'TL01'!$J$238:$J$451),0),
IF('TL02'!$B$3=M$3,SUMIF('TL02'!$C$10:$C$224,$C78,'TL02'!$J$10:$J$224),0),
IF('TL02'!$B$229=M$3,SUMIF('TL02'!$C$238:$C$451,$C78,'TL02'!$J$238:$J$451),0),
IF('TL03'!$B$3=M$3,SUMIF('TL03'!$C$10:$C$224,$C78,'TL03'!$J$10:$J$224),0),
IF('TL03'!$B$229=M$3,SUMIF('TL03'!$C$238:$C$451,$C78,'TL03'!$J$238:$J$451),0),
IF('TL04'!$B$3=M$3,SUMIF('TL04'!$C$10:$C$224,$C78,'TL04'!$J$10:$J$224),0),
IF('TL04'!$B$229=M$3,SUMIF('TL04'!$C$238:$C$451,$C78,'TL04'!$J$238:$J$451),0),
IF('TL05'!$B$3=M$3,SUMIF('TL05'!$C$10:$C$224,$C78,'TL05'!$J$10:$J$224),0),
IF('TL05'!$B$229=M$3,SUMIF('TL05'!$C$238:$C$451,$C78,'TL05'!$J$238:$J$451),0),
IF('TL06'!$B$3=M$3,SUMIF('TL06'!$C$10:$C$224,$C78,'TL06'!$J$10:$J$224),0),
IF('TL06'!$B$229=M$3,SUMIF('TL06'!$C$238:$C$451,$C78,'TL06'!$J$238:$J$451),0),
IF('TL07'!$B$3=M$3,SUMIF('TL07'!$C$10:$C$224,$C78,'TL07'!$J$10:$J$224),0),
IF('TL07'!$B$229=M$3,SUMIF('TL07'!$C$238:$C$451,$C78,'TL07'!$J$238:$J$451),0),
IF('TL08'!$B$3=M$3,SUMIF('TL08'!$C$10:$C$224,$C78,'TL08'!$J$10:$J$224),0),
IF('TL08'!$B$229=M$3,SUMIF('TL08'!$C$238:$C$451,$C78,'TL08'!$J$238:$J$451),0),
IF('TL09'!$B$3=M$3,SUMIF('TL09'!$C$10:$C$224,$C78,'TL09'!$J$10:$J$224),0),
IF('TL09'!$B$229=M$3,SUMIF('TL09'!$C$238:$C$451,$C78,'TL09'!$J$238:$J$451),0),
IF('TL10'!$B$3=M$3,SUMIF('TL10'!$C$10:$C$224,$C78,'TL10'!$J$10:$J$224),0),
IF('TL10'!$B$229=M$3,SUMIF('TL10'!$C$238:$C$451,$C78,'TL10'!$J$238:$J$451),0),
IF('TL11'!$B$3=M$3,SUMIF('TL11'!$C$10:$C$224,$C78,'TL11'!$J$10:$J$224),0),
IF('TL11'!$B$229=M$3,SUMIF('TL11'!$C$238:$C$451,$C78,'TL11'!$J$238:$J$451),0),
IF('TL12'!$B$3=M$3,SUMIF('TL12'!$C$10:$C$224,$C78,'TL12'!$J$10:$J$224),0),
IF('TL12'!$B$229=M$3,SUMIF('TL12'!$C$238:$C$451,$C78,'TL12'!$J$238:$J$451),0),
IF('TL13'!$B$3=M$3,SUMIF('TL13'!$C$10:$C$224,$C78,'TL13'!$J$10:$J$224),0),
IF('TL13'!$B$229=M$3,SUMIF('TL13'!$C$238:$C$451,$C78,'TL13'!$J$238:$J$451),0),
IF('TL14'!$B$3=M$3,SUMIF('TL14'!$C$10:$C$224,$C78,'TL14'!$J$10:$J$224),0),
IF('TL14'!$B$229=M$3,SUMIF('TL14'!$C$238:$C$451,$C78,'TL14'!$J$238:$J$451),0),
IF('TL15'!$B$3=M$3,SUMIF('TL15'!$C$10:$C$224,$C78,'TL15'!$J$10:$J$224),0),
IF('TL15'!$B$229=M$3,SUMIF('TL15'!$C$238:$C$451,$C78,'TL15'!$J$238:$J$451),0),
IF('TL16'!$B$3=M$3,SUMIF('TL16'!$C$10:$C$224,$C78,'TL16'!$J$10:$J$224),0),
IF('TL16'!$B$229=M$3,SUMIF('TL16'!$C$238:$C$451,$C78,'TL16'!$J$238:$J$451),0),
IF('TL17'!$B$3=M$3,SUMIF('TL17'!$C$10:$C$224,$C78,'TL17'!$J$10:$J$224),0),
IF('TL17'!$B$229=M$3,SUMIF('TL17'!$C$238:$C$451,$C78,'TL17'!$J$238:$J$451),0),
IF('TL18'!$B$3=M$3,SUMIF('TL18'!$C$10:$C$224,$C78,'TL18'!$J$10:$J$224),0),
IF('TL18'!$B$229=M$3,SUMIF('TL18'!$C$238:$C$451,$C78,'TL18'!$J$238:$J$451),0),
IF('TL19'!$B$3=M$3,SUMIF('TL19'!$C$10:$C$224,$C78,'TL19'!$J$10:$J$224),0),
IF('TL19'!$B$229=M$3,SUMIF('TL19'!$C$238:$C$451,$C78,'TL19'!$J$238:$J$451),0)
),0)</f>
        <v/>
      </c>
      <c r="N78" s="9">
        <f>IFERROR(SUM(
IF('TL01'!$B$3=N$3,SUMIF('TL01'!$C$10:$C$224,$C78,'TL01'!$J$10:$J$224),0),
IF('TL01'!$B$229=N$3,SUMIF('TL01'!$C$238:$C$451,$C78,'TL01'!$J$238:$J$451),0),
IF('TL02'!$B$3=N$3,SUMIF('TL02'!$C$10:$C$224,$C78,'TL02'!$J$10:$J$224),0),
IF('TL02'!$B$229=N$3,SUMIF('TL02'!$C$238:$C$451,$C78,'TL02'!$J$238:$J$451),0),
IF('TL03'!$B$3=N$3,SUMIF('TL03'!$C$10:$C$224,$C78,'TL03'!$J$10:$J$224),0),
IF('TL03'!$B$229=N$3,SUMIF('TL03'!$C$238:$C$451,$C78,'TL03'!$J$238:$J$451),0),
IF('TL04'!$B$3=N$3,SUMIF('TL04'!$C$10:$C$224,$C78,'TL04'!$J$10:$J$224),0),
IF('TL04'!$B$229=N$3,SUMIF('TL04'!$C$238:$C$451,$C78,'TL04'!$J$238:$J$451),0),
IF('TL05'!$B$3=N$3,SUMIF('TL05'!$C$10:$C$224,$C78,'TL05'!$J$10:$J$224),0),
IF('TL05'!$B$229=N$3,SUMIF('TL05'!$C$238:$C$451,$C78,'TL05'!$J$238:$J$451),0),
IF('TL06'!$B$3=N$3,SUMIF('TL06'!$C$10:$C$224,$C78,'TL06'!$J$10:$J$224),0),
IF('TL06'!$B$229=N$3,SUMIF('TL06'!$C$238:$C$451,$C78,'TL06'!$J$238:$J$451),0),
IF('TL07'!$B$3=N$3,SUMIF('TL07'!$C$10:$C$224,$C78,'TL07'!$J$10:$J$224),0),
IF('TL07'!$B$229=N$3,SUMIF('TL07'!$C$238:$C$451,$C78,'TL07'!$J$238:$J$451),0),
IF('TL08'!$B$3=N$3,SUMIF('TL08'!$C$10:$C$224,$C78,'TL08'!$J$10:$J$224),0),
IF('TL08'!$B$229=N$3,SUMIF('TL08'!$C$238:$C$451,$C78,'TL08'!$J$238:$J$451),0),
IF('TL09'!$B$3=N$3,SUMIF('TL09'!$C$10:$C$224,$C78,'TL09'!$J$10:$J$224),0),
IF('TL09'!$B$229=N$3,SUMIF('TL09'!$C$238:$C$451,$C78,'TL09'!$J$238:$J$451),0),
IF('TL10'!$B$3=N$3,SUMIF('TL10'!$C$10:$C$224,$C78,'TL10'!$J$10:$J$224),0),
IF('TL10'!$B$229=N$3,SUMIF('TL10'!$C$238:$C$451,$C78,'TL10'!$J$238:$J$451),0),
IF('TL11'!$B$3=N$3,SUMIF('TL11'!$C$10:$C$224,$C78,'TL11'!$J$10:$J$224),0),
IF('TL11'!$B$229=N$3,SUMIF('TL11'!$C$238:$C$451,$C78,'TL11'!$J$238:$J$451),0),
IF('TL12'!$B$3=N$3,SUMIF('TL12'!$C$10:$C$224,$C78,'TL12'!$J$10:$J$224),0),
IF('TL12'!$B$229=N$3,SUMIF('TL12'!$C$238:$C$451,$C78,'TL12'!$J$238:$J$451),0),
IF('TL13'!$B$3=N$3,SUMIF('TL13'!$C$10:$C$224,$C78,'TL13'!$J$10:$J$224),0),
IF('TL13'!$B$229=N$3,SUMIF('TL13'!$C$238:$C$451,$C78,'TL13'!$J$238:$J$451),0),
IF('TL14'!$B$3=N$3,SUMIF('TL14'!$C$10:$C$224,$C78,'TL14'!$J$10:$J$224),0),
IF('TL14'!$B$229=N$3,SUMIF('TL14'!$C$238:$C$451,$C78,'TL14'!$J$238:$J$451),0),
IF('TL15'!$B$3=N$3,SUMIF('TL15'!$C$10:$C$224,$C78,'TL15'!$J$10:$J$224),0),
IF('TL15'!$B$229=N$3,SUMIF('TL15'!$C$238:$C$451,$C78,'TL15'!$J$238:$J$451),0),
IF('TL16'!$B$3=N$3,SUMIF('TL16'!$C$10:$C$224,$C78,'TL16'!$J$10:$J$224),0),
IF('TL16'!$B$229=N$3,SUMIF('TL16'!$C$238:$C$451,$C78,'TL16'!$J$238:$J$451),0),
IF('TL17'!$B$3=N$3,SUMIF('TL17'!$C$10:$C$224,$C78,'TL17'!$J$10:$J$224),0),
IF('TL17'!$B$229=N$3,SUMIF('TL17'!$C$238:$C$451,$C78,'TL17'!$J$238:$J$451),0),
IF('TL18'!$B$3=N$3,SUMIF('TL18'!$C$10:$C$224,$C78,'TL18'!$J$10:$J$224),0),
IF('TL18'!$B$229=N$3,SUMIF('TL18'!$C$238:$C$451,$C78,'TL18'!$J$238:$J$451),0),
IF('TL19'!$B$3=N$3,SUMIF('TL19'!$C$10:$C$224,$C78,'TL19'!$J$10:$J$224),0),
IF('TL19'!$B$229=N$3,SUMIF('TL19'!$C$238:$C$451,$C78,'TL19'!$J$238:$J$451),0)
),0)</f>
        <v/>
      </c>
      <c r="O78" s="9">
        <f>IFERROR(SUM(
IF('TL01'!$B$3=O$3,SUMIF('TL01'!$C$10:$C$224,$C78,'TL01'!$J$10:$J$224),0),
IF('TL01'!$B$229=O$3,SUMIF('TL01'!$C$238:$C$451,$C78,'TL01'!$J$238:$J$451),0),
IF('TL02'!$B$3=O$3,SUMIF('TL02'!$C$10:$C$224,$C78,'TL02'!$J$10:$J$224),0),
IF('TL02'!$B$229=O$3,SUMIF('TL02'!$C$238:$C$451,$C78,'TL02'!$J$238:$J$451),0),
IF('TL03'!$B$3=O$3,SUMIF('TL03'!$C$10:$C$224,$C78,'TL03'!$J$10:$J$224),0),
IF('TL03'!$B$229=O$3,SUMIF('TL03'!$C$238:$C$451,$C78,'TL03'!$J$238:$J$451),0),
IF('TL04'!$B$3=O$3,SUMIF('TL04'!$C$10:$C$224,$C78,'TL04'!$J$10:$J$224),0),
IF('TL04'!$B$229=O$3,SUMIF('TL04'!$C$238:$C$451,$C78,'TL04'!$J$238:$J$451),0),
IF('TL05'!$B$3=O$3,SUMIF('TL05'!$C$10:$C$224,$C78,'TL05'!$J$10:$J$224),0),
IF('TL05'!$B$229=O$3,SUMIF('TL05'!$C$238:$C$451,$C78,'TL05'!$J$238:$J$451),0),
IF('TL06'!$B$3=O$3,SUMIF('TL06'!$C$10:$C$224,$C78,'TL06'!$J$10:$J$224),0),
IF('TL06'!$B$229=O$3,SUMIF('TL06'!$C$238:$C$451,$C78,'TL06'!$J$238:$J$451),0),
IF('TL07'!$B$3=O$3,SUMIF('TL07'!$C$10:$C$224,$C78,'TL07'!$J$10:$J$224),0),
IF('TL07'!$B$229=O$3,SUMIF('TL07'!$C$238:$C$451,$C78,'TL07'!$J$238:$J$451),0),
IF('TL08'!$B$3=O$3,SUMIF('TL08'!$C$10:$C$224,$C78,'TL08'!$J$10:$J$224),0),
IF('TL08'!$B$229=O$3,SUMIF('TL08'!$C$238:$C$451,$C78,'TL08'!$J$238:$J$451),0),
IF('TL09'!$B$3=O$3,SUMIF('TL09'!$C$10:$C$224,$C78,'TL09'!$J$10:$J$224),0),
IF('TL09'!$B$229=O$3,SUMIF('TL09'!$C$238:$C$451,$C78,'TL09'!$J$238:$J$451),0),
IF('TL10'!$B$3=O$3,SUMIF('TL10'!$C$10:$C$224,$C78,'TL10'!$J$10:$J$224),0),
IF('TL10'!$B$229=O$3,SUMIF('TL10'!$C$238:$C$451,$C78,'TL10'!$J$238:$J$451),0),
IF('TL11'!$B$3=O$3,SUMIF('TL11'!$C$10:$C$224,$C78,'TL11'!$J$10:$J$224),0),
IF('TL11'!$B$229=O$3,SUMIF('TL11'!$C$238:$C$451,$C78,'TL11'!$J$238:$J$451),0),
IF('TL12'!$B$3=O$3,SUMIF('TL12'!$C$10:$C$224,$C78,'TL12'!$J$10:$J$224),0),
IF('TL12'!$B$229=O$3,SUMIF('TL12'!$C$238:$C$451,$C78,'TL12'!$J$238:$J$451),0),
IF('TL13'!$B$3=O$3,SUMIF('TL13'!$C$10:$C$224,$C78,'TL13'!$J$10:$J$224),0),
IF('TL13'!$B$229=O$3,SUMIF('TL13'!$C$238:$C$451,$C78,'TL13'!$J$238:$J$451),0),
IF('TL14'!$B$3=O$3,SUMIF('TL14'!$C$10:$C$224,$C78,'TL14'!$J$10:$J$224),0),
IF('TL14'!$B$229=O$3,SUMIF('TL14'!$C$238:$C$451,$C78,'TL14'!$J$238:$J$451),0),
IF('TL15'!$B$3=O$3,SUMIF('TL15'!$C$10:$C$224,$C78,'TL15'!$J$10:$J$224),0),
IF('TL15'!$B$229=O$3,SUMIF('TL15'!$C$238:$C$451,$C78,'TL15'!$J$238:$J$451),0),
IF('TL16'!$B$3=O$3,SUMIF('TL16'!$C$10:$C$224,$C78,'TL16'!$J$10:$J$224),0),
IF('TL16'!$B$229=O$3,SUMIF('TL16'!$C$238:$C$451,$C78,'TL16'!$J$238:$J$451),0),
IF('TL17'!$B$3=O$3,SUMIF('TL17'!$C$10:$C$224,$C78,'TL17'!$J$10:$J$224),0),
IF('TL17'!$B$229=O$3,SUMIF('TL17'!$C$238:$C$451,$C78,'TL17'!$J$238:$J$451),0),
IF('TL18'!$B$3=O$3,SUMIF('TL18'!$C$10:$C$224,$C78,'TL18'!$J$10:$J$224),0),
IF('TL18'!$B$229=O$3,SUMIF('TL18'!$C$238:$C$451,$C78,'TL18'!$J$238:$J$451),0),
IF('TL19'!$B$3=O$3,SUMIF('TL19'!$C$10:$C$224,$C78,'TL19'!$J$10:$J$224),0),
IF('TL19'!$B$229=O$3,SUMIF('TL19'!$C$238:$C$451,$C78,'TL19'!$J$238:$J$451),0)
),0)</f>
        <v/>
      </c>
      <c r="P78" s="9">
        <f>IFERROR(SUM(
IF('TL01'!$B$3=P$3,SUMIF('TL01'!$C$10:$C$224,$C78,'TL01'!$J$10:$J$224),0),
IF('TL01'!$B$229=P$3,SUMIF('TL01'!$C$238:$C$451,$C78,'TL01'!$J$238:$J$451),0),
IF('TL02'!$B$3=P$3,SUMIF('TL02'!$C$10:$C$224,$C78,'TL02'!$J$10:$J$224),0),
IF('TL02'!$B$229=P$3,SUMIF('TL02'!$C$238:$C$451,$C78,'TL02'!$J$238:$J$451),0),
IF('TL03'!$B$3=P$3,SUMIF('TL03'!$C$10:$C$224,$C78,'TL03'!$J$10:$J$224),0),
IF('TL03'!$B$229=P$3,SUMIF('TL03'!$C$238:$C$451,$C78,'TL03'!$J$238:$J$451),0),
IF('TL04'!$B$3=P$3,SUMIF('TL04'!$C$10:$C$224,$C78,'TL04'!$J$10:$J$224),0),
IF('TL04'!$B$229=P$3,SUMIF('TL04'!$C$238:$C$451,$C78,'TL04'!$J$238:$J$451),0),
IF('TL05'!$B$3=P$3,SUMIF('TL05'!$C$10:$C$224,$C78,'TL05'!$J$10:$J$224),0),
IF('TL05'!$B$229=P$3,SUMIF('TL05'!$C$238:$C$451,$C78,'TL05'!$J$238:$J$451),0),
IF('TL06'!$B$3=P$3,SUMIF('TL06'!$C$10:$C$224,$C78,'TL06'!$J$10:$J$224),0),
IF('TL06'!$B$229=P$3,SUMIF('TL06'!$C$238:$C$451,$C78,'TL06'!$J$238:$J$451),0),
IF('TL07'!$B$3=P$3,SUMIF('TL07'!$C$10:$C$224,$C78,'TL07'!$J$10:$J$224),0),
IF('TL07'!$B$229=P$3,SUMIF('TL07'!$C$238:$C$451,$C78,'TL07'!$J$238:$J$451),0),
IF('TL08'!$B$3=P$3,SUMIF('TL08'!$C$10:$C$224,$C78,'TL08'!$J$10:$J$224),0),
IF('TL08'!$B$229=P$3,SUMIF('TL08'!$C$238:$C$451,$C78,'TL08'!$J$238:$J$451),0),
IF('TL09'!$B$3=P$3,SUMIF('TL09'!$C$10:$C$224,$C78,'TL09'!$J$10:$J$224),0),
IF('TL09'!$B$229=P$3,SUMIF('TL09'!$C$238:$C$451,$C78,'TL09'!$J$238:$J$451),0),
IF('TL10'!$B$3=P$3,SUMIF('TL10'!$C$10:$C$224,$C78,'TL10'!$J$10:$J$224),0),
IF('TL10'!$B$229=P$3,SUMIF('TL10'!$C$238:$C$451,$C78,'TL10'!$J$238:$J$451),0),
IF('TL11'!$B$3=P$3,SUMIF('TL11'!$C$10:$C$224,$C78,'TL11'!$J$10:$J$224),0),
IF('TL11'!$B$229=P$3,SUMIF('TL11'!$C$238:$C$451,$C78,'TL11'!$J$238:$J$451),0),
IF('TL12'!$B$3=P$3,SUMIF('TL12'!$C$10:$C$224,$C78,'TL12'!$J$10:$J$224),0),
IF('TL12'!$B$229=P$3,SUMIF('TL12'!$C$238:$C$451,$C78,'TL12'!$J$238:$J$451),0),
IF('TL13'!$B$3=P$3,SUMIF('TL13'!$C$10:$C$224,$C78,'TL13'!$J$10:$J$224),0),
IF('TL13'!$B$229=P$3,SUMIF('TL13'!$C$238:$C$451,$C78,'TL13'!$J$238:$J$451),0),
IF('TL14'!$B$3=P$3,SUMIF('TL14'!$C$10:$C$224,$C78,'TL14'!$J$10:$J$224),0),
IF('TL14'!$B$229=P$3,SUMIF('TL14'!$C$238:$C$451,$C78,'TL14'!$J$238:$J$451),0),
IF('TL15'!$B$3=P$3,SUMIF('TL15'!$C$10:$C$224,$C78,'TL15'!$J$10:$J$224),0),
IF('TL15'!$B$229=P$3,SUMIF('TL15'!$C$238:$C$451,$C78,'TL15'!$J$238:$J$451),0),
IF('TL16'!$B$3=P$3,SUMIF('TL16'!$C$10:$C$224,$C78,'TL16'!$J$10:$J$224),0),
IF('TL16'!$B$229=P$3,SUMIF('TL16'!$C$238:$C$451,$C78,'TL16'!$J$238:$J$451),0),
IF('TL17'!$B$3=P$3,SUMIF('TL17'!$C$10:$C$224,$C78,'TL17'!$J$10:$J$224),0),
IF('TL17'!$B$229=P$3,SUMIF('TL17'!$C$238:$C$451,$C78,'TL17'!$J$238:$J$451),0),
IF('TL18'!$B$3=P$3,SUMIF('TL18'!$C$10:$C$224,$C78,'TL18'!$J$10:$J$224),0),
IF('TL18'!$B$229=P$3,SUMIF('TL18'!$C$238:$C$451,$C78,'TL18'!$J$238:$J$451),0),
IF('TL19'!$B$3=P$3,SUMIF('TL19'!$C$10:$C$224,$C78,'TL19'!$J$10:$J$224),0),
IF('TL19'!$B$229=P$3,SUMIF('TL19'!$C$238:$C$451,$C78,'TL19'!$J$238:$J$451),0)
),0)</f>
        <v/>
      </c>
      <c r="Q78" s="9">
        <f>IFERROR(SUM(
IF('TL01'!$B$3=Q$3,SUMIF('TL01'!$C$10:$C$224,$C78,'TL01'!$J$10:$J$224),0),
IF('TL01'!$B$229=Q$3,SUMIF('TL01'!$C$238:$C$451,$C78,'TL01'!$J$238:$J$451),0),
IF('TL02'!$B$3=Q$3,SUMIF('TL02'!$C$10:$C$224,$C78,'TL02'!$J$10:$J$224),0),
IF('TL02'!$B$229=Q$3,SUMIF('TL02'!$C$238:$C$451,$C78,'TL02'!$J$238:$J$451),0),
IF('TL03'!$B$3=Q$3,SUMIF('TL03'!$C$10:$C$224,$C78,'TL03'!$J$10:$J$224),0),
IF('TL03'!$B$229=Q$3,SUMIF('TL03'!$C$238:$C$451,$C78,'TL03'!$J$238:$J$451),0),
IF('TL04'!$B$3=Q$3,SUMIF('TL04'!$C$10:$C$224,$C78,'TL04'!$J$10:$J$224),0),
IF('TL04'!$B$229=Q$3,SUMIF('TL04'!$C$238:$C$451,$C78,'TL04'!$J$238:$J$451),0),
IF('TL05'!$B$3=Q$3,SUMIF('TL05'!$C$10:$C$224,$C78,'TL05'!$J$10:$J$224),0),
IF('TL05'!$B$229=Q$3,SUMIF('TL05'!$C$238:$C$451,$C78,'TL05'!$J$238:$J$451),0),
IF('TL06'!$B$3=Q$3,SUMIF('TL06'!$C$10:$C$224,$C78,'TL06'!$J$10:$J$224),0),
IF('TL06'!$B$229=Q$3,SUMIF('TL06'!$C$238:$C$451,$C78,'TL06'!$J$238:$J$451),0),
IF('TL07'!$B$3=Q$3,SUMIF('TL07'!$C$10:$C$224,$C78,'TL07'!$J$10:$J$224),0),
IF('TL07'!$B$229=Q$3,SUMIF('TL07'!$C$238:$C$451,$C78,'TL07'!$J$238:$J$451),0),
IF('TL08'!$B$3=Q$3,SUMIF('TL08'!$C$10:$C$224,$C78,'TL08'!$J$10:$J$224),0),
IF('TL08'!$B$229=Q$3,SUMIF('TL08'!$C$238:$C$451,$C78,'TL08'!$J$238:$J$451),0),
IF('TL09'!$B$3=Q$3,SUMIF('TL09'!$C$10:$C$224,$C78,'TL09'!$J$10:$J$224),0),
IF('TL09'!$B$229=Q$3,SUMIF('TL09'!$C$238:$C$451,$C78,'TL09'!$J$238:$J$451),0),
IF('TL10'!$B$3=Q$3,SUMIF('TL10'!$C$10:$C$224,$C78,'TL10'!$J$10:$J$224),0),
IF('TL10'!$B$229=Q$3,SUMIF('TL10'!$C$238:$C$451,$C78,'TL10'!$J$238:$J$451),0),
IF('TL11'!$B$3=Q$3,SUMIF('TL11'!$C$10:$C$224,$C78,'TL11'!$J$10:$J$224),0),
IF('TL11'!$B$229=Q$3,SUMIF('TL11'!$C$238:$C$451,$C78,'TL11'!$J$238:$J$451),0),
IF('TL12'!$B$3=Q$3,SUMIF('TL12'!$C$10:$C$224,$C78,'TL12'!$J$10:$J$224),0),
IF('TL12'!$B$229=Q$3,SUMIF('TL12'!$C$238:$C$451,$C78,'TL12'!$J$238:$J$451),0),
IF('TL13'!$B$3=Q$3,SUMIF('TL13'!$C$10:$C$224,$C78,'TL13'!$J$10:$J$224),0),
IF('TL13'!$B$229=Q$3,SUMIF('TL13'!$C$238:$C$451,$C78,'TL13'!$J$238:$J$451),0),
IF('TL14'!$B$3=Q$3,SUMIF('TL14'!$C$10:$C$224,$C78,'TL14'!$J$10:$J$224),0),
IF('TL14'!$B$229=Q$3,SUMIF('TL14'!$C$238:$C$451,$C78,'TL14'!$J$238:$J$451),0),
IF('TL15'!$B$3=Q$3,SUMIF('TL15'!$C$10:$C$224,$C78,'TL15'!$J$10:$J$224),0),
IF('TL15'!$B$229=Q$3,SUMIF('TL15'!$C$238:$C$451,$C78,'TL15'!$J$238:$J$451),0),
IF('TL16'!$B$3=Q$3,SUMIF('TL16'!$C$10:$C$224,$C78,'TL16'!$J$10:$J$224),0),
IF('TL16'!$B$229=Q$3,SUMIF('TL16'!$C$238:$C$451,$C78,'TL16'!$J$238:$J$451),0),
IF('TL17'!$B$3=Q$3,SUMIF('TL17'!$C$10:$C$224,$C78,'TL17'!$J$10:$J$224),0),
IF('TL17'!$B$229=Q$3,SUMIF('TL17'!$C$238:$C$451,$C78,'TL17'!$J$238:$J$451),0),
IF('TL18'!$B$3=Q$3,SUMIF('TL18'!$C$10:$C$224,$C78,'TL18'!$J$10:$J$224),0),
IF('TL18'!$B$229=Q$3,SUMIF('TL18'!$C$238:$C$451,$C78,'TL18'!$J$238:$J$451),0),
IF('TL19'!$B$3=Q$3,SUMIF('TL19'!$C$10:$C$224,$C78,'TL19'!$J$10:$J$224),0),
IF('TL19'!$B$229=Q$3,SUMIF('TL19'!$C$238:$C$451,$C78,'TL19'!$J$238:$J$451),0)
),0)</f>
        <v/>
      </c>
      <c r="R78" s="9">
        <f>IFERROR(
SUM(
SUMIF('TL01'!C:C,C78,'TL01'!J:J),
SUMIF('TL02'!C:C,C78,'TL02'!J:J),
SUMIF('TL03'!C:C,C78,'TL03'!J:J),
SUMIF('TL04'!C:C,C78,'TL04'!J:J),
SUMIF('TL05'!C:C,C78,'TL05'!J:J),
SUMIF('TL06'!C:C,C78,'TL06'!J:J),
SUMIF('TL07'!C:C,C78,'TL07'!J:J),
SUMIF('TL08'!C:C,C78,'TL08'!J:J),
SUMIF('TL09'!C:C,C78,'TL09'!J:J),
SUMIF('TL10'!C:C,C78,'TL10'!J:J),
SUMIF('TL11'!C:C,C78,'TL11'!J:J),
SUMIF('TL12'!C:C,C78,'TL12'!J:J),
SUMIF('TL13'!C:C,C78,'TL13'!J:J),
SUMIF('TL14'!C:C,C78,'TL14'!J:J),
SUMIF('TL15'!C:C,C78,'TL15'!J:J),
SUMIF('TL16'!C:C,C78,'TL16'!J:J),
SUMIF('TL17'!C:C,C78,'TL17'!J:J),
SUMIF('TL18'!C:C,C78,'TL18'!J:J),SUMIF('TL19'!C:C,C78,'TL19'!J:J))
,0)</f>
        <v/>
      </c>
      <c r="S78" s="17">
        <f>IFERROR(__xludf.DUMMYFUNCTION("IFERROR(VLOOKUP(C78,
IMPORTRANGE(""1wULbzX32WdYsx-lj2U3uUNBBe2INVIRDtcK0d-Dvl90"",
""26-27!C:G""),
5,
FALSE),
"""")"),36.8856)</f>
        <v/>
      </c>
      <c r="T78" s="9" t="n"/>
      <c r="U78" s="92">
        <f>MAX(0,R78-T78)</f>
        <v/>
      </c>
      <c r="V78" s="93">
        <f>U78*S78</f>
        <v/>
      </c>
    </row>
    <row r="79" hidden="1" ht="15.75" customHeight="1" s="297">
      <c r="A79" s="111" t="inlineStr">
        <is>
          <t>SIPCAM</t>
        </is>
      </c>
      <c r="B79" s="112" t="inlineStr">
        <is>
          <t>FUNGICIDA</t>
        </is>
      </c>
      <c r="C79" s="113" t="inlineStr">
        <is>
          <t>BRISA WG</t>
        </is>
      </c>
      <c r="D79" s="113" t="inlineStr">
        <is>
          <t>TIOFANATO-METÍLICO + CLOROTALONIL</t>
        </is>
      </c>
      <c r="E79" s="113" t="inlineStr">
        <is>
          <t>240 + 600</t>
        </is>
      </c>
      <c r="F79" s="4" t="inlineStr">
        <is>
          <t>L</t>
        </is>
      </c>
      <c r="G79" s="90">
        <f>HYPERLINK("https://www.google.com/search?q=" &amp; C79 &amp; "+bula+agrofit+pdf", "📄 Ver bula")</f>
        <v/>
      </c>
      <c r="H79" s="9">
        <f>IFERROR(__xludf.DUMMYFUNCTION("IFERROR(VLOOKUP(C79,
IMPORTRANGE(""1wULbzX32WdYsx-lj2U3uUNBBe2INVIRDtcK0d-Dvl90"",
""26-27!C:K""),
8,
FALSE),
"""")"),2.0)</f>
        <v/>
      </c>
      <c r="I79" s="114" t="inlineStr">
        <is>
          <t>10X2</t>
        </is>
      </c>
      <c r="J79" s="9">
        <f>IFERROR(SUM(
IF('TL01'!$B$3=J$3,SUMIF('TL01'!$C$10:$C$224,$C79,'TL01'!$J$10:$J$224),0),
IF('TL01'!$B$229=J$3,SUMIF('TL01'!$C$238:$C$451,$C79,'TL01'!$J$238:$J$451),0),
IF('TL02'!$B$3=J$3,SUMIF('TL02'!$C$10:$C$224,$C79,'TL02'!$J$10:$J$224),0),
IF('TL02'!$B$229=J$3,SUMIF('TL02'!$C$238:$C$451,$C79,'TL02'!$J$238:$J$451),0),
IF('TL03'!$B$3=J$3,SUMIF('TL03'!$C$10:$C$224,$C79,'TL03'!$J$10:$J$224),0),
IF('TL03'!$B$229=J$3,SUMIF('TL03'!$C$238:$C$451,$C79,'TL03'!$J$238:$J$451),0),
IF('TL04'!$B$3=J$3,SUMIF('TL04'!$C$10:$C$224,$C79,'TL04'!$J$10:$J$224),0),
IF('TL04'!$B$229=J$3,SUMIF('TL04'!$C$238:$C$451,$C79,'TL04'!$J$238:$J$451),0),
IF('TL05'!$B$3=J$3,SUMIF('TL05'!$C$10:$C$224,$C79,'TL05'!$J$10:$J$224),0),
IF('TL05'!$B$229=J$3,SUMIF('TL05'!$C$238:$C$451,$C79,'TL05'!$J$238:$J$451),0),
IF('TL06'!$B$3=J$3,SUMIF('TL06'!$C$10:$C$224,$C79,'TL06'!$J$10:$J$224),0),
IF('TL06'!$B$229=J$3,SUMIF('TL06'!$C$238:$C$451,$C79,'TL06'!$J$238:$J$451),0),
IF('TL07'!$B$3=J$3,SUMIF('TL07'!$C$10:$C$224,$C79,'TL07'!$J$10:$J$224),0),
IF('TL07'!$B$229=J$3,SUMIF('TL07'!$C$238:$C$451,$C79,'TL07'!$J$238:$J$451),0),
IF('TL08'!$B$3=J$3,SUMIF('TL08'!$C$10:$C$224,$C79,'TL08'!$J$10:$J$224),0),
IF('TL08'!$B$229=J$3,SUMIF('TL08'!$C$238:$C$451,$C79,'TL08'!$J$238:$J$451),0),
IF('TL09'!$B$3=J$3,SUMIF('TL09'!$C$10:$C$224,$C79,'TL09'!$J$10:$J$224),0),
IF('TL09'!$B$229=J$3,SUMIF('TL09'!$C$238:$C$451,$C79,'TL09'!$J$238:$J$451),0),
IF('TL10'!$B$3=J$3,SUMIF('TL10'!$C$10:$C$224,$C79,'TL10'!$J$10:$J$224),0),
IF('TL10'!$B$229=J$3,SUMIF('TL10'!$C$238:$C$451,$C79,'TL10'!$J$238:$J$451),0),
IF('TL11'!$B$3=J$3,SUMIF('TL11'!$C$10:$C$224,$C79,'TL11'!$J$10:$J$224),0),
IF('TL11'!$B$229=J$3,SUMIF('TL11'!$C$238:$C$451,$C79,'TL11'!$J$238:$J$451),0),
IF('TL12'!$B$3=J$3,SUMIF('TL12'!$C$10:$C$224,$C79,'TL12'!$J$10:$J$224),0),
IF('TL12'!$B$229=J$3,SUMIF('TL12'!$C$238:$C$451,$C79,'TL12'!$J$238:$J$451),0),
IF('TL13'!$B$3=J$3,SUMIF('TL13'!$C$10:$C$224,$C79,'TL13'!$J$10:$J$224),0),
IF('TL13'!$B$229=J$3,SUMIF('TL13'!$C$238:$C$451,$C79,'TL13'!$J$238:$J$451),0),
IF('TL14'!$B$3=J$3,SUMIF('TL14'!$C$10:$C$224,$C79,'TL14'!$J$10:$J$224),0),
IF('TL14'!$B$229=J$3,SUMIF('TL14'!$C$238:$C$451,$C79,'TL14'!$J$238:$J$451),0),
IF('TL15'!$B$3=J$3,SUMIF('TL15'!$C$10:$C$224,$C79,'TL15'!$J$10:$J$224),0),
IF('TL15'!$B$229=J$3,SUMIF('TL15'!$C$238:$C$451,$C79,'TL15'!$J$238:$J$451),0),
IF('TL16'!$B$3=J$3,SUMIF('TL16'!$C$10:$C$224,$C79,'TL16'!$J$10:$J$224),0),
IF('TL16'!$B$229=J$3,SUMIF('TL16'!$C$238:$C$451,$C79,'TL16'!$J$238:$J$451),0),
IF('TL17'!$B$3=J$3,SUMIF('TL17'!$C$10:$C$224,$C79,'TL17'!$J$10:$J$224),0),
IF('TL17'!$B$229=J$3,SUMIF('TL17'!$C$238:$C$451,$C79,'TL17'!$J$238:$J$451),0),
IF('TL18'!$B$3=J$3,SUMIF('TL18'!$C$10:$C$224,$C79,'TL18'!$J$10:$J$224),0),
IF('TL18'!$B$229=J$3,SUMIF('TL18'!$C$238:$C$451,$C79,'TL18'!$J$238:$J$451),0),
IF('TL19'!$B$3=J$3,SUMIF('TL19'!$C$10:$C$224,$C79,'TL19'!$J$10:$J$224),0),
IF('TL19'!$B$229=J$3,SUMIF('TL19'!$C$238:$C$451,$C79,'TL19'!$J$238:$J$451),0)
),0)</f>
        <v/>
      </c>
      <c r="K79" s="9">
        <f>IFERROR(SUM(
IF('TL01'!$B$3=K$3,SUMIF('TL01'!$C$10:$C$224,$C79,'TL01'!$J$10:$J$224),0),
IF('TL01'!$B$229=K$3,SUMIF('TL01'!$C$238:$C$451,$C79,'TL01'!$J$238:$J$451),0),
IF('TL02'!$B$3=K$3,SUMIF('TL02'!$C$10:$C$224,$C79,'TL02'!$J$10:$J$224),0),
IF('TL02'!$B$229=K$3,SUMIF('TL02'!$C$238:$C$451,$C79,'TL02'!$J$238:$J$451),0),
IF('TL03'!$B$3=K$3,SUMIF('TL03'!$C$10:$C$224,$C79,'TL03'!$J$10:$J$224),0),
IF('TL03'!$B$229=K$3,SUMIF('TL03'!$C$238:$C$451,$C79,'TL03'!$J$238:$J$451),0),
IF('TL04'!$B$3=K$3,SUMIF('TL04'!$C$10:$C$224,$C79,'TL04'!$J$10:$J$224),0),
IF('TL04'!$B$229=K$3,SUMIF('TL04'!$C$238:$C$451,$C79,'TL04'!$J$238:$J$451),0),
IF('TL05'!$B$3=K$3,SUMIF('TL05'!$C$10:$C$224,$C79,'TL05'!$J$10:$J$224),0),
IF('TL05'!$B$229=K$3,SUMIF('TL05'!$C$238:$C$451,$C79,'TL05'!$J$238:$J$451),0),
IF('TL06'!$B$3=K$3,SUMIF('TL06'!$C$10:$C$224,$C79,'TL06'!$J$10:$J$224),0),
IF('TL06'!$B$229=K$3,SUMIF('TL06'!$C$238:$C$451,$C79,'TL06'!$J$238:$J$451),0),
IF('TL07'!$B$3=K$3,SUMIF('TL07'!$C$10:$C$224,$C79,'TL07'!$J$10:$J$224),0),
IF('TL07'!$B$229=K$3,SUMIF('TL07'!$C$238:$C$451,$C79,'TL07'!$J$238:$J$451),0),
IF('TL08'!$B$3=K$3,SUMIF('TL08'!$C$10:$C$224,$C79,'TL08'!$J$10:$J$224),0),
IF('TL08'!$B$229=K$3,SUMIF('TL08'!$C$238:$C$451,$C79,'TL08'!$J$238:$J$451),0),
IF('TL09'!$B$3=K$3,SUMIF('TL09'!$C$10:$C$224,$C79,'TL09'!$J$10:$J$224),0),
IF('TL09'!$B$229=K$3,SUMIF('TL09'!$C$238:$C$451,$C79,'TL09'!$J$238:$J$451),0),
IF('TL10'!$B$3=K$3,SUMIF('TL10'!$C$10:$C$224,$C79,'TL10'!$J$10:$J$224),0),
IF('TL10'!$B$229=K$3,SUMIF('TL10'!$C$238:$C$451,$C79,'TL10'!$J$238:$J$451),0),
IF('TL11'!$B$3=K$3,SUMIF('TL11'!$C$10:$C$224,$C79,'TL11'!$J$10:$J$224),0),
IF('TL11'!$B$229=K$3,SUMIF('TL11'!$C$238:$C$451,$C79,'TL11'!$J$238:$J$451),0),
IF('TL12'!$B$3=K$3,SUMIF('TL12'!$C$10:$C$224,$C79,'TL12'!$J$10:$J$224),0),
IF('TL12'!$B$229=K$3,SUMIF('TL12'!$C$238:$C$451,$C79,'TL12'!$J$238:$J$451),0),
IF('TL13'!$B$3=K$3,SUMIF('TL13'!$C$10:$C$224,$C79,'TL13'!$J$10:$J$224),0),
IF('TL13'!$B$229=K$3,SUMIF('TL13'!$C$238:$C$451,$C79,'TL13'!$J$238:$J$451),0),
IF('TL14'!$B$3=K$3,SUMIF('TL14'!$C$10:$C$224,$C79,'TL14'!$J$10:$J$224),0),
IF('TL14'!$B$229=K$3,SUMIF('TL14'!$C$238:$C$451,$C79,'TL14'!$J$238:$J$451),0),
IF('TL15'!$B$3=K$3,SUMIF('TL15'!$C$10:$C$224,$C79,'TL15'!$J$10:$J$224),0),
IF('TL15'!$B$229=K$3,SUMIF('TL15'!$C$238:$C$451,$C79,'TL15'!$J$238:$J$451),0),
IF('TL16'!$B$3=K$3,SUMIF('TL16'!$C$10:$C$224,$C79,'TL16'!$J$10:$J$224),0),
IF('TL16'!$B$229=K$3,SUMIF('TL16'!$C$238:$C$451,$C79,'TL16'!$J$238:$J$451),0),
IF('TL17'!$B$3=K$3,SUMIF('TL17'!$C$10:$C$224,$C79,'TL17'!$J$10:$J$224),0),
IF('TL17'!$B$229=K$3,SUMIF('TL17'!$C$238:$C$451,$C79,'TL17'!$J$238:$J$451),0),
IF('TL18'!$B$3=K$3,SUMIF('TL18'!$C$10:$C$224,$C79,'TL18'!$J$10:$J$224),0),
IF('TL18'!$B$229=K$3,SUMIF('TL18'!$C$238:$C$451,$C79,'TL18'!$J$238:$J$451),0),
IF('TL19'!$B$3=K$3,SUMIF('TL19'!$C$10:$C$224,$C79,'TL19'!$J$10:$J$224),0),
IF('TL19'!$B$229=K$3,SUMIF('TL19'!$C$238:$C$451,$C79,'TL19'!$J$238:$J$451),0)
),0)</f>
        <v/>
      </c>
      <c r="L79" s="9">
        <f>IFERROR(SUM(
IF('TL01'!$B$3=L$3,SUMIF('TL01'!$C$10:$C$224,$C79,'TL01'!$J$10:$J$224),0),
IF('TL01'!$B$229=L$3,SUMIF('TL01'!$C$238:$C$451,$C79,'TL01'!$J$238:$J$451),0),
IF('TL02'!$B$3=L$3,SUMIF('TL02'!$C$10:$C$224,$C79,'TL02'!$J$10:$J$224),0),
IF('TL02'!$B$229=L$3,SUMIF('TL02'!$C$238:$C$451,$C79,'TL02'!$J$238:$J$451),0),
IF('TL03'!$B$3=L$3,SUMIF('TL03'!$C$10:$C$224,$C79,'TL03'!$J$10:$J$224),0),
IF('TL03'!$B$229=L$3,SUMIF('TL03'!$C$238:$C$451,$C79,'TL03'!$J$238:$J$451),0),
IF('TL04'!$B$3=L$3,SUMIF('TL04'!$C$10:$C$224,$C79,'TL04'!$J$10:$J$224),0),
IF('TL04'!$B$229=L$3,SUMIF('TL04'!$C$238:$C$451,$C79,'TL04'!$J$238:$J$451),0),
IF('TL05'!$B$3=L$3,SUMIF('TL05'!$C$10:$C$224,$C79,'TL05'!$J$10:$J$224),0),
IF('TL05'!$B$229=L$3,SUMIF('TL05'!$C$238:$C$451,$C79,'TL05'!$J$238:$J$451),0),
IF('TL06'!$B$3=L$3,SUMIF('TL06'!$C$10:$C$224,$C79,'TL06'!$J$10:$J$224),0),
IF('TL06'!$B$229=L$3,SUMIF('TL06'!$C$238:$C$451,$C79,'TL06'!$J$238:$J$451),0),
IF('TL07'!$B$3=L$3,SUMIF('TL07'!$C$10:$C$224,$C79,'TL07'!$J$10:$J$224),0),
IF('TL07'!$B$229=L$3,SUMIF('TL07'!$C$238:$C$451,$C79,'TL07'!$J$238:$J$451),0),
IF('TL08'!$B$3=L$3,SUMIF('TL08'!$C$10:$C$224,$C79,'TL08'!$J$10:$J$224),0),
IF('TL08'!$B$229=L$3,SUMIF('TL08'!$C$238:$C$451,$C79,'TL08'!$J$238:$J$451),0),
IF('TL09'!$B$3=L$3,SUMIF('TL09'!$C$10:$C$224,$C79,'TL09'!$J$10:$J$224),0),
IF('TL09'!$B$229=L$3,SUMIF('TL09'!$C$238:$C$451,$C79,'TL09'!$J$238:$J$451),0),
IF('TL10'!$B$3=L$3,SUMIF('TL10'!$C$10:$C$224,$C79,'TL10'!$J$10:$J$224),0),
IF('TL10'!$B$229=L$3,SUMIF('TL10'!$C$238:$C$451,$C79,'TL10'!$J$238:$J$451),0),
IF('TL11'!$B$3=L$3,SUMIF('TL11'!$C$10:$C$224,$C79,'TL11'!$J$10:$J$224),0),
IF('TL11'!$B$229=L$3,SUMIF('TL11'!$C$238:$C$451,$C79,'TL11'!$J$238:$J$451),0),
IF('TL12'!$B$3=L$3,SUMIF('TL12'!$C$10:$C$224,$C79,'TL12'!$J$10:$J$224),0),
IF('TL12'!$B$229=L$3,SUMIF('TL12'!$C$238:$C$451,$C79,'TL12'!$J$238:$J$451),0),
IF('TL13'!$B$3=L$3,SUMIF('TL13'!$C$10:$C$224,$C79,'TL13'!$J$10:$J$224),0),
IF('TL13'!$B$229=L$3,SUMIF('TL13'!$C$238:$C$451,$C79,'TL13'!$J$238:$J$451),0),
IF('TL14'!$B$3=L$3,SUMIF('TL14'!$C$10:$C$224,$C79,'TL14'!$J$10:$J$224),0),
IF('TL14'!$B$229=L$3,SUMIF('TL14'!$C$238:$C$451,$C79,'TL14'!$J$238:$J$451),0),
IF('TL15'!$B$3=L$3,SUMIF('TL15'!$C$10:$C$224,$C79,'TL15'!$J$10:$J$224),0),
IF('TL15'!$B$229=L$3,SUMIF('TL15'!$C$238:$C$451,$C79,'TL15'!$J$238:$J$451),0),
IF('TL16'!$B$3=L$3,SUMIF('TL16'!$C$10:$C$224,$C79,'TL16'!$J$10:$J$224),0),
IF('TL16'!$B$229=L$3,SUMIF('TL16'!$C$238:$C$451,$C79,'TL16'!$J$238:$J$451),0),
IF('TL17'!$B$3=L$3,SUMIF('TL17'!$C$10:$C$224,$C79,'TL17'!$J$10:$J$224),0),
IF('TL17'!$B$229=L$3,SUMIF('TL17'!$C$238:$C$451,$C79,'TL17'!$J$238:$J$451),0),
IF('TL18'!$B$3=L$3,SUMIF('TL18'!$C$10:$C$224,$C79,'TL18'!$J$10:$J$224),0),
IF('TL18'!$B$229=L$3,SUMIF('TL18'!$C$238:$C$451,$C79,'TL18'!$J$238:$J$451),0),
IF('TL19'!$B$3=L$3,SUMIF('TL19'!$C$10:$C$224,$C79,'TL19'!$J$10:$J$224),0),
IF('TL19'!$B$229=L$3,SUMIF('TL19'!$C$238:$C$451,$C79,'TL19'!$J$238:$J$451),0)
),0)</f>
        <v/>
      </c>
      <c r="M79" s="9">
        <f>IFERROR(SUM(
IF('TL01'!$B$3=M$3,SUMIF('TL01'!$C$10:$C$224,$C79,'TL01'!$J$10:$J$224),0),
IF('TL01'!$B$229=M$3,SUMIF('TL01'!$C$238:$C$451,$C79,'TL01'!$J$238:$J$451),0),
IF('TL02'!$B$3=M$3,SUMIF('TL02'!$C$10:$C$224,$C79,'TL02'!$J$10:$J$224),0),
IF('TL02'!$B$229=M$3,SUMIF('TL02'!$C$238:$C$451,$C79,'TL02'!$J$238:$J$451),0),
IF('TL03'!$B$3=M$3,SUMIF('TL03'!$C$10:$C$224,$C79,'TL03'!$J$10:$J$224),0),
IF('TL03'!$B$229=M$3,SUMIF('TL03'!$C$238:$C$451,$C79,'TL03'!$J$238:$J$451),0),
IF('TL04'!$B$3=M$3,SUMIF('TL04'!$C$10:$C$224,$C79,'TL04'!$J$10:$J$224),0),
IF('TL04'!$B$229=M$3,SUMIF('TL04'!$C$238:$C$451,$C79,'TL04'!$J$238:$J$451),0),
IF('TL05'!$B$3=M$3,SUMIF('TL05'!$C$10:$C$224,$C79,'TL05'!$J$10:$J$224),0),
IF('TL05'!$B$229=M$3,SUMIF('TL05'!$C$238:$C$451,$C79,'TL05'!$J$238:$J$451),0),
IF('TL06'!$B$3=M$3,SUMIF('TL06'!$C$10:$C$224,$C79,'TL06'!$J$10:$J$224),0),
IF('TL06'!$B$229=M$3,SUMIF('TL06'!$C$238:$C$451,$C79,'TL06'!$J$238:$J$451),0),
IF('TL07'!$B$3=M$3,SUMIF('TL07'!$C$10:$C$224,$C79,'TL07'!$J$10:$J$224),0),
IF('TL07'!$B$229=M$3,SUMIF('TL07'!$C$238:$C$451,$C79,'TL07'!$J$238:$J$451),0),
IF('TL08'!$B$3=M$3,SUMIF('TL08'!$C$10:$C$224,$C79,'TL08'!$J$10:$J$224),0),
IF('TL08'!$B$229=M$3,SUMIF('TL08'!$C$238:$C$451,$C79,'TL08'!$J$238:$J$451),0),
IF('TL09'!$B$3=M$3,SUMIF('TL09'!$C$10:$C$224,$C79,'TL09'!$J$10:$J$224),0),
IF('TL09'!$B$229=M$3,SUMIF('TL09'!$C$238:$C$451,$C79,'TL09'!$J$238:$J$451),0),
IF('TL10'!$B$3=M$3,SUMIF('TL10'!$C$10:$C$224,$C79,'TL10'!$J$10:$J$224),0),
IF('TL10'!$B$229=M$3,SUMIF('TL10'!$C$238:$C$451,$C79,'TL10'!$J$238:$J$451),0),
IF('TL11'!$B$3=M$3,SUMIF('TL11'!$C$10:$C$224,$C79,'TL11'!$J$10:$J$224),0),
IF('TL11'!$B$229=M$3,SUMIF('TL11'!$C$238:$C$451,$C79,'TL11'!$J$238:$J$451),0),
IF('TL12'!$B$3=M$3,SUMIF('TL12'!$C$10:$C$224,$C79,'TL12'!$J$10:$J$224),0),
IF('TL12'!$B$229=M$3,SUMIF('TL12'!$C$238:$C$451,$C79,'TL12'!$J$238:$J$451),0),
IF('TL13'!$B$3=M$3,SUMIF('TL13'!$C$10:$C$224,$C79,'TL13'!$J$10:$J$224),0),
IF('TL13'!$B$229=M$3,SUMIF('TL13'!$C$238:$C$451,$C79,'TL13'!$J$238:$J$451),0),
IF('TL14'!$B$3=M$3,SUMIF('TL14'!$C$10:$C$224,$C79,'TL14'!$J$10:$J$224),0),
IF('TL14'!$B$229=M$3,SUMIF('TL14'!$C$238:$C$451,$C79,'TL14'!$J$238:$J$451),0),
IF('TL15'!$B$3=M$3,SUMIF('TL15'!$C$10:$C$224,$C79,'TL15'!$J$10:$J$224),0),
IF('TL15'!$B$229=M$3,SUMIF('TL15'!$C$238:$C$451,$C79,'TL15'!$J$238:$J$451),0),
IF('TL16'!$B$3=M$3,SUMIF('TL16'!$C$10:$C$224,$C79,'TL16'!$J$10:$J$224),0),
IF('TL16'!$B$229=M$3,SUMIF('TL16'!$C$238:$C$451,$C79,'TL16'!$J$238:$J$451),0),
IF('TL17'!$B$3=M$3,SUMIF('TL17'!$C$10:$C$224,$C79,'TL17'!$J$10:$J$224),0),
IF('TL17'!$B$229=M$3,SUMIF('TL17'!$C$238:$C$451,$C79,'TL17'!$J$238:$J$451),0),
IF('TL18'!$B$3=M$3,SUMIF('TL18'!$C$10:$C$224,$C79,'TL18'!$J$10:$J$224),0),
IF('TL18'!$B$229=M$3,SUMIF('TL18'!$C$238:$C$451,$C79,'TL18'!$J$238:$J$451),0),
IF('TL19'!$B$3=M$3,SUMIF('TL19'!$C$10:$C$224,$C79,'TL19'!$J$10:$J$224),0),
IF('TL19'!$B$229=M$3,SUMIF('TL19'!$C$238:$C$451,$C79,'TL19'!$J$238:$J$451),0)
),0)</f>
        <v/>
      </c>
      <c r="N79" s="9">
        <f>IFERROR(SUM(
IF('TL01'!$B$3=N$3,SUMIF('TL01'!$C$10:$C$224,$C79,'TL01'!$J$10:$J$224),0),
IF('TL01'!$B$229=N$3,SUMIF('TL01'!$C$238:$C$451,$C79,'TL01'!$J$238:$J$451),0),
IF('TL02'!$B$3=N$3,SUMIF('TL02'!$C$10:$C$224,$C79,'TL02'!$J$10:$J$224),0),
IF('TL02'!$B$229=N$3,SUMIF('TL02'!$C$238:$C$451,$C79,'TL02'!$J$238:$J$451),0),
IF('TL03'!$B$3=N$3,SUMIF('TL03'!$C$10:$C$224,$C79,'TL03'!$J$10:$J$224),0),
IF('TL03'!$B$229=N$3,SUMIF('TL03'!$C$238:$C$451,$C79,'TL03'!$J$238:$J$451),0),
IF('TL04'!$B$3=N$3,SUMIF('TL04'!$C$10:$C$224,$C79,'TL04'!$J$10:$J$224),0),
IF('TL04'!$B$229=N$3,SUMIF('TL04'!$C$238:$C$451,$C79,'TL04'!$J$238:$J$451),0),
IF('TL05'!$B$3=N$3,SUMIF('TL05'!$C$10:$C$224,$C79,'TL05'!$J$10:$J$224),0),
IF('TL05'!$B$229=N$3,SUMIF('TL05'!$C$238:$C$451,$C79,'TL05'!$J$238:$J$451),0),
IF('TL06'!$B$3=N$3,SUMIF('TL06'!$C$10:$C$224,$C79,'TL06'!$J$10:$J$224),0),
IF('TL06'!$B$229=N$3,SUMIF('TL06'!$C$238:$C$451,$C79,'TL06'!$J$238:$J$451),0),
IF('TL07'!$B$3=N$3,SUMIF('TL07'!$C$10:$C$224,$C79,'TL07'!$J$10:$J$224),0),
IF('TL07'!$B$229=N$3,SUMIF('TL07'!$C$238:$C$451,$C79,'TL07'!$J$238:$J$451),0),
IF('TL08'!$B$3=N$3,SUMIF('TL08'!$C$10:$C$224,$C79,'TL08'!$J$10:$J$224),0),
IF('TL08'!$B$229=N$3,SUMIF('TL08'!$C$238:$C$451,$C79,'TL08'!$J$238:$J$451),0),
IF('TL09'!$B$3=N$3,SUMIF('TL09'!$C$10:$C$224,$C79,'TL09'!$J$10:$J$224),0),
IF('TL09'!$B$229=N$3,SUMIF('TL09'!$C$238:$C$451,$C79,'TL09'!$J$238:$J$451),0),
IF('TL10'!$B$3=N$3,SUMIF('TL10'!$C$10:$C$224,$C79,'TL10'!$J$10:$J$224),0),
IF('TL10'!$B$229=N$3,SUMIF('TL10'!$C$238:$C$451,$C79,'TL10'!$J$238:$J$451),0),
IF('TL11'!$B$3=N$3,SUMIF('TL11'!$C$10:$C$224,$C79,'TL11'!$J$10:$J$224),0),
IF('TL11'!$B$229=N$3,SUMIF('TL11'!$C$238:$C$451,$C79,'TL11'!$J$238:$J$451),0),
IF('TL12'!$B$3=N$3,SUMIF('TL12'!$C$10:$C$224,$C79,'TL12'!$J$10:$J$224),0),
IF('TL12'!$B$229=N$3,SUMIF('TL12'!$C$238:$C$451,$C79,'TL12'!$J$238:$J$451),0),
IF('TL13'!$B$3=N$3,SUMIF('TL13'!$C$10:$C$224,$C79,'TL13'!$J$10:$J$224),0),
IF('TL13'!$B$229=N$3,SUMIF('TL13'!$C$238:$C$451,$C79,'TL13'!$J$238:$J$451),0),
IF('TL14'!$B$3=N$3,SUMIF('TL14'!$C$10:$C$224,$C79,'TL14'!$J$10:$J$224),0),
IF('TL14'!$B$229=N$3,SUMIF('TL14'!$C$238:$C$451,$C79,'TL14'!$J$238:$J$451),0),
IF('TL15'!$B$3=N$3,SUMIF('TL15'!$C$10:$C$224,$C79,'TL15'!$J$10:$J$224),0),
IF('TL15'!$B$229=N$3,SUMIF('TL15'!$C$238:$C$451,$C79,'TL15'!$J$238:$J$451),0),
IF('TL16'!$B$3=N$3,SUMIF('TL16'!$C$10:$C$224,$C79,'TL16'!$J$10:$J$224),0),
IF('TL16'!$B$229=N$3,SUMIF('TL16'!$C$238:$C$451,$C79,'TL16'!$J$238:$J$451),0),
IF('TL17'!$B$3=N$3,SUMIF('TL17'!$C$10:$C$224,$C79,'TL17'!$J$10:$J$224),0),
IF('TL17'!$B$229=N$3,SUMIF('TL17'!$C$238:$C$451,$C79,'TL17'!$J$238:$J$451),0),
IF('TL18'!$B$3=N$3,SUMIF('TL18'!$C$10:$C$224,$C79,'TL18'!$J$10:$J$224),0),
IF('TL18'!$B$229=N$3,SUMIF('TL18'!$C$238:$C$451,$C79,'TL18'!$J$238:$J$451),0),
IF('TL19'!$B$3=N$3,SUMIF('TL19'!$C$10:$C$224,$C79,'TL19'!$J$10:$J$224),0),
IF('TL19'!$B$229=N$3,SUMIF('TL19'!$C$238:$C$451,$C79,'TL19'!$J$238:$J$451),0)
),0)</f>
        <v/>
      </c>
      <c r="O79" s="9">
        <f>IFERROR(SUM(
IF('TL01'!$B$3=O$3,SUMIF('TL01'!$C$10:$C$224,$C79,'TL01'!$J$10:$J$224),0),
IF('TL01'!$B$229=O$3,SUMIF('TL01'!$C$238:$C$451,$C79,'TL01'!$J$238:$J$451),0),
IF('TL02'!$B$3=O$3,SUMIF('TL02'!$C$10:$C$224,$C79,'TL02'!$J$10:$J$224),0),
IF('TL02'!$B$229=O$3,SUMIF('TL02'!$C$238:$C$451,$C79,'TL02'!$J$238:$J$451),0),
IF('TL03'!$B$3=O$3,SUMIF('TL03'!$C$10:$C$224,$C79,'TL03'!$J$10:$J$224),0),
IF('TL03'!$B$229=O$3,SUMIF('TL03'!$C$238:$C$451,$C79,'TL03'!$J$238:$J$451),0),
IF('TL04'!$B$3=O$3,SUMIF('TL04'!$C$10:$C$224,$C79,'TL04'!$J$10:$J$224),0),
IF('TL04'!$B$229=O$3,SUMIF('TL04'!$C$238:$C$451,$C79,'TL04'!$J$238:$J$451),0),
IF('TL05'!$B$3=O$3,SUMIF('TL05'!$C$10:$C$224,$C79,'TL05'!$J$10:$J$224),0),
IF('TL05'!$B$229=O$3,SUMIF('TL05'!$C$238:$C$451,$C79,'TL05'!$J$238:$J$451),0),
IF('TL06'!$B$3=O$3,SUMIF('TL06'!$C$10:$C$224,$C79,'TL06'!$J$10:$J$224),0),
IF('TL06'!$B$229=O$3,SUMIF('TL06'!$C$238:$C$451,$C79,'TL06'!$J$238:$J$451),0),
IF('TL07'!$B$3=O$3,SUMIF('TL07'!$C$10:$C$224,$C79,'TL07'!$J$10:$J$224),0),
IF('TL07'!$B$229=O$3,SUMIF('TL07'!$C$238:$C$451,$C79,'TL07'!$J$238:$J$451),0),
IF('TL08'!$B$3=O$3,SUMIF('TL08'!$C$10:$C$224,$C79,'TL08'!$J$10:$J$224),0),
IF('TL08'!$B$229=O$3,SUMIF('TL08'!$C$238:$C$451,$C79,'TL08'!$J$238:$J$451),0),
IF('TL09'!$B$3=O$3,SUMIF('TL09'!$C$10:$C$224,$C79,'TL09'!$J$10:$J$224),0),
IF('TL09'!$B$229=O$3,SUMIF('TL09'!$C$238:$C$451,$C79,'TL09'!$J$238:$J$451),0),
IF('TL10'!$B$3=O$3,SUMIF('TL10'!$C$10:$C$224,$C79,'TL10'!$J$10:$J$224),0),
IF('TL10'!$B$229=O$3,SUMIF('TL10'!$C$238:$C$451,$C79,'TL10'!$J$238:$J$451),0),
IF('TL11'!$B$3=O$3,SUMIF('TL11'!$C$10:$C$224,$C79,'TL11'!$J$10:$J$224),0),
IF('TL11'!$B$229=O$3,SUMIF('TL11'!$C$238:$C$451,$C79,'TL11'!$J$238:$J$451),0),
IF('TL12'!$B$3=O$3,SUMIF('TL12'!$C$10:$C$224,$C79,'TL12'!$J$10:$J$224),0),
IF('TL12'!$B$229=O$3,SUMIF('TL12'!$C$238:$C$451,$C79,'TL12'!$J$238:$J$451),0),
IF('TL13'!$B$3=O$3,SUMIF('TL13'!$C$10:$C$224,$C79,'TL13'!$J$10:$J$224),0),
IF('TL13'!$B$229=O$3,SUMIF('TL13'!$C$238:$C$451,$C79,'TL13'!$J$238:$J$451),0),
IF('TL14'!$B$3=O$3,SUMIF('TL14'!$C$10:$C$224,$C79,'TL14'!$J$10:$J$224),0),
IF('TL14'!$B$229=O$3,SUMIF('TL14'!$C$238:$C$451,$C79,'TL14'!$J$238:$J$451),0),
IF('TL15'!$B$3=O$3,SUMIF('TL15'!$C$10:$C$224,$C79,'TL15'!$J$10:$J$224),0),
IF('TL15'!$B$229=O$3,SUMIF('TL15'!$C$238:$C$451,$C79,'TL15'!$J$238:$J$451),0),
IF('TL16'!$B$3=O$3,SUMIF('TL16'!$C$10:$C$224,$C79,'TL16'!$J$10:$J$224),0),
IF('TL16'!$B$229=O$3,SUMIF('TL16'!$C$238:$C$451,$C79,'TL16'!$J$238:$J$451),0),
IF('TL17'!$B$3=O$3,SUMIF('TL17'!$C$10:$C$224,$C79,'TL17'!$J$10:$J$224),0),
IF('TL17'!$B$229=O$3,SUMIF('TL17'!$C$238:$C$451,$C79,'TL17'!$J$238:$J$451),0),
IF('TL18'!$B$3=O$3,SUMIF('TL18'!$C$10:$C$224,$C79,'TL18'!$J$10:$J$224),0),
IF('TL18'!$B$229=O$3,SUMIF('TL18'!$C$238:$C$451,$C79,'TL18'!$J$238:$J$451),0),
IF('TL19'!$B$3=O$3,SUMIF('TL19'!$C$10:$C$224,$C79,'TL19'!$J$10:$J$224),0),
IF('TL19'!$B$229=O$3,SUMIF('TL19'!$C$238:$C$451,$C79,'TL19'!$J$238:$J$451),0)
),0)</f>
        <v/>
      </c>
      <c r="P79" s="9">
        <f>IFERROR(SUM(
IF('TL01'!$B$3=P$3,SUMIF('TL01'!$C$10:$C$224,$C79,'TL01'!$J$10:$J$224),0),
IF('TL01'!$B$229=P$3,SUMIF('TL01'!$C$238:$C$451,$C79,'TL01'!$J$238:$J$451),0),
IF('TL02'!$B$3=P$3,SUMIF('TL02'!$C$10:$C$224,$C79,'TL02'!$J$10:$J$224),0),
IF('TL02'!$B$229=P$3,SUMIF('TL02'!$C$238:$C$451,$C79,'TL02'!$J$238:$J$451),0),
IF('TL03'!$B$3=P$3,SUMIF('TL03'!$C$10:$C$224,$C79,'TL03'!$J$10:$J$224),0),
IF('TL03'!$B$229=P$3,SUMIF('TL03'!$C$238:$C$451,$C79,'TL03'!$J$238:$J$451),0),
IF('TL04'!$B$3=P$3,SUMIF('TL04'!$C$10:$C$224,$C79,'TL04'!$J$10:$J$224),0),
IF('TL04'!$B$229=P$3,SUMIF('TL04'!$C$238:$C$451,$C79,'TL04'!$J$238:$J$451),0),
IF('TL05'!$B$3=P$3,SUMIF('TL05'!$C$10:$C$224,$C79,'TL05'!$J$10:$J$224),0),
IF('TL05'!$B$229=P$3,SUMIF('TL05'!$C$238:$C$451,$C79,'TL05'!$J$238:$J$451),0),
IF('TL06'!$B$3=P$3,SUMIF('TL06'!$C$10:$C$224,$C79,'TL06'!$J$10:$J$224),0),
IF('TL06'!$B$229=P$3,SUMIF('TL06'!$C$238:$C$451,$C79,'TL06'!$J$238:$J$451),0),
IF('TL07'!$B$3=P$3,SUMIF('TL07'!$C$10:$C$224,$C79,'TL07'!$J$10:$J$224),0),
IF('TL07'!$B$229=P$3,SUMIF('TL07'!$C$238:$C$451,$C79,'TL07'!$J$238:$J$451),0),
IF('TL08'!$B$3=P$3,SUMIF('TL08'!$C$10:$C$224,$C79,'TL08'!$J$10:$J$224),0),
IF('TL08'!$B$229=P$3,SUMIF('TL08'!$C$238:$C$451,$C79,'TL08'!$J$238:$J$451),0),
IF('TL09'!$B$3=P$3,SUMIF('TL09'!$C$10:$C$224,$C79,'TL09'!$J$10:$J$224),0),
IF('TL09'!$B$229=P$3,SUMIF('TL09'!$C$238:$C$451,$C79,'TL09'!$J$238:$J$451),0),
IF('TL10'!$B$3=P$3,SUMIF('TL10'!$C$10:$C$224,$C79,'TL10'!$J$10:$J$224),0),
IF('TL10'!$B$229=P$3,SUMIF('TL10'!$C$238:$C$451,$C79,'TL10'!$J$238:$J$451),0),
IF('TL11'!$B$3=P$3,SUMIF('TL11'!$C$10:$C$224,$C79,'TL11'!$J$10:$J$224),0),
IF('TL11'!$B$229=P$3,SUMIF('TL11'!$C$238:$C$451,$C79,'TL11'!$J$238:$J$451),0),
IF('TL12'!$B$3=P$3,SUMIF('TL12'!$C$10:$C$224,$C79,'TL12'!$J$10:$J$224),0),
IF('TL12'!$B$229=P$3,SUMIF('TL12'!$C$238:$C$451,$C79,'TL12'!$J$238:$J$451),0),
IF('TL13'!$B$3=P$3,SUMIF('TL13'!$C$10:$C$224,$C79,'TL13'!$J$10:$J$224),0),
IF('TL13'!$B$229=P$3,SUMIF('TL13'!$C$238:$C$451,$C79,'TL13'!$J$238:$J$451),0),
IF('TL14'!$B$3=P$3,SUMIF('TL14'!$C$10:$C$224,$C79,'TL14'!$J$10:$J$224),0),
IF('TL14'!$B$229=P$3,SUMIF('TL14'!$C$238:$C$451,$C79,'TL14'!$J$238:$J$451),0),
IF('TL15'!$B$3=P$3,SUMIF('TL15'!$C$10:$C$224,$C79,'TL15'!$J$10:$J$224),0),
IF('TL15'!$B$229=P$3,SUMIF('TL15'!$C$238:$C$451,$C79,'TL15'!$J$238:$J$451),0),
IF('TL16'!$B$3=P$3,SUMIF('TL16'!$C$10:$C$224,$C79,'TL16'!$J$10:$J$224),0),
IF('TL16'!$B$229=P$3,SUMIF('TL16'!$C$238:$C$451,$C79,'TL16'!$J$238:$J$451),0),
IF('TL17'!$B$3=P$3,SUMIF('TL17'!$C$10:$C$224,$C79,'TL17'!$J$10:$J$224),0),
IF('TL17'!$B$229=P$3,SUMIF('TL17'!$C$238:$C$451,$C79,'TL17'!$J$238:$J$451),0),
IF('TL18'!$B$3=P$3,SUMIF('TL18'!$C$10:$C$224,$C79,'TL18'!$J$10:$J$224),0),
IF('TL18'!$B$229=P$3,SUMIF('TL18'!$C$238:$C$451,$C79,'TL18'!$J$238:$J$451),0),
IF('TL19'!$B$3=P$3,SUMIF('TL19'!$C$10:$C$224,$C79,'TL19'!$J$10:$J$224),0),
IF('TL19'!$B$229=P$3,SUMIF('TL19'!$C$238:$C$451,$C79,'TL19'!$J$238:$J$451),0)
),0)</f>
        <v/>
      </c>
      <c r="Q79" s="9">
        <f>IFERROR(SUM(
IF('TL01'!$B$3=Q$3,SUMIF('TL01'!$C$10:$C$224,$C79,'TL01'!$J$10:$J$224),0),
IF('TL01'!$B$229=Q$3,SUMIF('TL01'!$C$238:$C$451,$C79,'TL01'!$J$238:$J$451),0),
IF('TL02'!$B$3=Q$3,SUMIF('TL02'!$C$10:$C$224,$C79,'TL02'!$J$10:$J$224),0),
IF('TL02'!$B$229=Q$3,SUMIF('TL02'!$C$238:$C$451,$C79,'TL02'!$J$238:$J$451),0),
IF('TL03'!$B$3=Q$3,SUMIF('TL03'!$C$10:$C$224,$C79,'TL03'!$J$10:$J$224),0),
IF('TL03'!$B$229=Q$3,SUMIF('TL03'!$C$238:$C$451,$C79,'TL03'!$J$238:$J$451),0),
IF('TL04'!$B$3=Q$3,SUMIF('TL04'!$C$10:$C$224,$C79,'TL04'!$J$10:$J$224),0),
IF('TL04'!$B$229=Q$3,SUMIF('TL04'!$C$238:$C$451,$C79,'TL04'!$J$238:$J$451),0),
IF('TL05'!$B$3=Q$3,SUMIF('TL05'!$C$10:$C$224,$C79,'TL05'!$J$10:$J$224),0),
IF('TL05'!$B$229=Q$3,SUMIF('TL05'!$C$238:$C$451,$C79,'TL05'!$J$238:$J$451),0),
IF('TL06'!$B$3=Q$3,SUMIF('TL06'!$C$10:$C$224,$C79,'TL06'!$J$10:$J$224),0),
IF('TL06'!$B$229=Q$3,SUMIF('TL06'!$C$238:$C$451,$C79,'TL06'!$J$238:$J$451),0),
IF('TL07'!$B$3=Q$3,SUMIF('TL07'!$C$10:$C$224,$C79,'TL07'!$J$10:$J$224),0),
IF('TL07'!$B$229=Q$3,SUMIF('TL07'!$C$238:$C$451,$C79,'TL07'!$J$238:$J$451),0),
IF('TL08'!$B$3=Q$3,SUMIF('TL08'!$C$10:$C$224,$C79,'TL08'!$J$10:$J$224),0),
IF('TL08'!$B$229=Q$3,SUMIF('TL08'!$C$238:$C$451,$C79,'TL08'!$J$238:$J$451),0),
IF('TL09'!$B$3=Q$3,SUMIF('TL09'!$C$10:$C$224,$C79,'TL09'!$J$10:$J$224),0),
IF('TL09'!$B$229=Q$3,SUMIF('TL09'!$C$238:$C$451,$C79,'TL09'!$J$238:$J$451),0),
IF('TL10'!$B$3=Q$3,SUMIF('TL10'!$C$10:$C$224,$C79,'TL10'!$J$10:$J$224),0),
IF('TL10'!$B$229=Q$3,SUMIF('TL10'!$C$238:$C$451,$C79,'TL10'!$J$238:$J$451),0),
IF('TL11'!$B$3=Q$3,SUMIF('TL11'!$C$10:$C$224,$C79,'TL11'!$J$10:$J$224),0),
IF('TL11'!$B$229=Q$3,SUMIF('TL11'!$C$238:$C$451,$C79,'TL11'!$J$238:$J$451),0),
IF('TL12'!$B$3=Q$3,SUMIF('TL12'!$C$10:$C$224,$C79,'TL12'!$J$10:$J$224),0),
IF('TL12'!$B$229=Q$3,SUMIF('TL12'!$C$238:$C$451,$C79,'TL12'!$J$238:$J$451),0),
IF('TL13'!$B$3=Q$3,SUMIF('TL13'!$C$10:$C$224,$C79,'TL13'!$J$10:$J$224),0),
IF('TL13'!$B$229=Q$3,SUMIF('TL13'!$C$238:$C$451,$C79,'TL13'!$J$238:$J$451),0),
IF('TL14'!$B$3=Q$3,SUMIF('TL14'!$C$10:$C$224,$C79,'TL14'!$J$10:$J$224),0),
IF('TL14'!$B$229=Q$3,SUMIF('TL14'!$C$238:$C$451,$C79,'TL14'!$J$238:$J$451),0),
IF('TL15'!$B$3=Q$3,SUMIF('TL15'!$C$10:$C$224,$C79,'TL15'!$J$10:$J$224),0),
IF('TL15'!$B$229=Q$3,SUMIF('TL15'!$C$238:$C$451,$C79,'TL15'!$J$238:$J$451),0),
IF('TL16'!$B$3=Q$3,SUMIF('TL16'!$C$10:$C$224,$C79,'TL16'!$J$10:$J$224),0),
IF('TL16'!$B$229=Q$3,SUMIF('TL16'!$C$238:$C$451,$C79,'TL16'!$J$238:$J$451),0),
IF('TL17'!$B$3=Q$3,SUMIF('TL17'!$C$10:$C$224,$C79,'TL17'!$J$10:$J$224),0),
IF('TL17'!$B$229=Q$3,SUMIF('TL17'!$C$238:$C$451,$C79,'TL17'!$J$238:$J$451),0),
IF('TL18'!$B$3=Q$3,SUMIF('TL18'!$C$10:$C$224,$C79,'TL18'!$J$10:$J$224),0),
IF('TL18'!$B$229=Q$3,SUMIF('TL18'!$C$238:$C$451,$C79,'TL18'!$J$238:$J$451),0),
IF('TL19'!$B$3=Q$3,SUMIF('TL19'!$C$10:$C$224,$C79,'TL19'!$J$10:$J$224),0),
IF('TL19'!$B$229=Q$3,SUMIF('TL19'!$C$238:$C$451,$C79,'TL19'!$J$238:$J$451),0)
),0)</f>
        <v/>
      </c>
      <c r="R79" s="9">
        <f>IFERROR(
SUM(
SUMIF('TL01'!C:C,C79,'TL01'!J:J),
SUMIF('TL02'!C:C,C79,'TL02'!J:J),
SUMIF('TL03'!C:C,C79,'TL03'!J:J),
SUMIF('TL04'!C:C,C79,'TL04'!J:J),
SUMIF('TL05'!C:C,C79,'TL05'!J:J),
SUMIF('TL06'!C:C,C79,'TL06'!J:J),
SUMIF('TL07'!C:C,C79,'TL07'!J:J),
SUMIF('TL08'!C:C,C79,'TL08'!J:J),
SUMIF('TL09'!C:C,C79,'TL09'!J:J),
SUMIF('TL10'!C:C,C79,'TL10'!J:J),
SUMIF('TL11'!C:C,C79,'TL11'!J:J),
SUMIF('TL12'!C:C,C79,'TL12'!J:J),
SUMIF('TL13'!C:C,C79,'TL13'!J:J),
SUMIF('TL14'!C:C,C79,'TL14'!J:J),
SUMIF('TL15'!C:C,C79,'TL15'!J:J),
SUMIF('TL16'!C:C,C79,'TL16'!J:J),
SUMIF('TL17'!C:C,C79,'TL17'!J:J),
SUMIF('TL18'!C:C,C79,'TL18'!J:J),SUMIF('TL19'!C:C,C79,'TL19'!J:J))
,0)</f>
        <v/>
      </c>
      <c r="S79" s="17">
        <f>IFERROR(__xludf.DUMMYFUNCTION("IFERROR(VLOOKUP(C79,
IMPORTRANGE(""1wULbzX32WdYsx-lj2U3uUNBBe2INVIRDtcK0d-Dvl90"",
""26-27!C:G""),
5,
FALSE),
"""")"),46.63152000000001)</f>
        <v/>
      </c>
      <c r="T79" s="9" t="n"/>
      <c r="U79" s="92">
        <f>MAX(0,R79-T79)</f>
        <v/>
      </c>
      <c r="V79" s="93">
        <f>U79*S79</f>
        <v/>
      </c>
    </row>
    <row r="80" hidden="1" ht="15.75" customHeight="1" s="297">
      <c r="A80" s="115" t="inlineStr">
        <is>
          <t>SIPCAM</t>
        </is>
      </c>
      <c r="B80" s="100" t="inlineStr">
        <is>
          <t>FUNGICIDA</t>
        </is>
      </c>
      <c r="C80" s="116" t="inlineStr">
        <is>
          <t>CUPROZEB</t>
        </is>
      </c>
      <c r="D80" s="116" t="inlineStr">
        <is>
          <t>OXICLORETO DE COBRE + MANCOZEBE</t>
        </is>
      </c>
      <c r="E80" s="116" t="inlineStr">
        <is>
          <t>300 + 440</t>
        </is>
      </c>
      <c r="F80" s="4" t="inlineStr">
        <is>
          <t>KG</t>
        </is>
      </c>
      <c r="G80" s="90">
        <f>HYPERLINK("https://www.google.com/search?q=" &amp; C80 &amp; "+bula+agrofit+pdf", "📄 Ver bula")</f>
        <v/>
      </c>
      <c r="H80" s="9">
        <f>IFERROR(__xludf.DUMMYFUNCTION("IFERROR(VLOOKUP(C80,
IMPORTRANGE(""1wULbzX32WdYsx-lj2U3uUNBBe2INVIRDtcK0d-Dvl90"",
""26-27!C:K""),
8,
FALSE),
"""")"),"")</f>
        <v/>
      </c>
      <c r="I80" s="117" t="inlineStr">
        <is>
          <t>1x10</t>
        </is>
      </c>
      <c r="J80" s="9">
        <f>IFERROR(SUM(
IF('TL01'!$B$3=J$3,SUMIF('TL01'!$C$10:$C$224,$C80,'TL01'!$J$10:$J$224),0),
IF('TL01'!$B$229=J$3,SUMIF('TL01'!$C$238:$C$451,$C80,'TL01'!$J$238:$J$451),0),
IF('TL02'!$B$3=J$3,SUMIF('TL02'!$C$10:$C$224,$C80,'TL02'!$J$10:$J$224),0),
IF('TL02'!$B$229=J$3,SUMIF('TL02'!$C$238:$C$451,$C80,'TL02'!$J$238:$J$451),0),
IF('TL03'!$B$3=J$3,SUMIF('TL03'!$C$10:$C$224,$C80,'TL03'!$J$10:$J$224),0),
IF('TL03'!$B$229=J$3,SUMIF('TL03'!$C$238:$C$451,$C80,'TL03'!$J$238:$J$451),0),
IF('TL04'!$B$3=J$3,SUMIF('TL04'!$C$10:$C$224,$C80,'TL04'!$J$10:$J$224),0),
IF('TL04'!$B$229=J$3,SUMIF('TL04'!$C$238:$C$451,$C80,'TL04'!$J$238:$J$451),0),
IF('TL05'!$B$3=J$3,SUMIF('TL05'!$C$10:$C$224,$C80,'TL05'!$J$10:$J$224),0),
IF('TL05'!$B$229=J$3,SUMIF('TL05'!$C$238:$C$451,$C80,'TL05'!$J$238:$J$451),0),
IF('TL06'!$B$3=J$3,SUMIF('TL06'!$C$10:$C$224,$C80,'TL06'!$J$10:$J$224),0),
IF('TL06'!$B$229=J$3,SUMIF('TL06'!$C$238:$C$451,$C80,'TL06'!$J$238:$J$451),0),
IF('TL07'!$B$3=J$3,SUMIF('TL07'!$C$10:$C$224,$C80,'TL07'!$J$10:$J$224),0),
IF('TL07'!$B$229=J$3,SUMIF('TL07'!$C$238:$C$451,$C80,'TL07'!$J$238:$J$451),0),
IF('TL08'!$B$3=J$3,SUMIF('TL08'!$C$10:$C$224,$C80,'TL08'!$J$10:$J$224),0),
IF('TL08'!$B$229=J$3,SUMIF('TL08'!$C$238:$C$451,$C80,'TL08'!$J$238:$J$451),0),
IF('TL09'!$B$3=J$3,SUMIF('TL09'!$C$10:$C$224,$C80,'TL09'!$J$10:$J$224),0),
IF('TL09'!$B$229=J$3,SUMIF('TL09'!$C$238:$C$451,$C80,'TL09'!$J$238:$J$451),0),
IF('TL10'!$B$3=J$3,SUMIF('TL10'!$C$10:$C$224,$C80,'TL10'!$J$10:$J$224),0),
IF('TL10'!$B$229=J$3,SUMIF('TL10'!$C$238:$C$451,$C80,'TL10'!$J$238:$J$451),0),
IF('TL11'!$B$3=J$3,SUMIF('TL11'!$C$10:$C$224,$C80,'TL11'!$J$10:$J$224),0),
IF('TL11'!$B$229=J$3,SUMIF('TL11'!$C$238:$C$451,$C80,'TL11'!$J$238:$J$451),0),
IF('TL12'!$B$3=J$3,SUMIF('TL12'!$C$10:$C$224,$C80,'TL12'!$J$10:$J$224),0),
IF('TL12'!$B$229=J$3,SUMIF('TL12'!$C$238:$C$451,$C80,'TL12'!$J$238:$J$451),0),
IF('TL13'!$B$3=J$3,SUMIF('TL13'!$C$10:$C$224,$C80,'TL13'!$J$10:$J$224),0),
IF('TL13'!$B$229=J$3,SUMIF('TL13'!$C$238:$C$451,$C80,'TL13'!$J$238:$J$451),0),
IF('TL14'!$B$3=J$3,SUMIF('TL14'!$C$10:$C$224,$C80,'TL14'!$J$10:$J$224),0),
IF('TL14'!$B$229=J$3,SUMIF('TL14'!$C$238:$C$451,$C80,'TL14'!$J$238:$J$451),0),
IF('TL15'!$B$3=J$3,SUMIF('TL15'!$C$10:$C$224,$C80,'TL15'!$J$10:$J$224),0),
IF('TL15'!$B$229=J$3,SUMIF('TL15'!$C$238:$C$451,$C80,'TL15'!$J$238:$J$451),0),
IF('TL16'!$B$3=J$3,SUMIF('TL16'!$C$10:$C$224,$C80,'TL16'!$J$10:$J$224),0),
IF('TL16'!$B$229=J$3,SUMIF('TL16'!$C$238:$C$451,$C80,'TL16'!$J$238:$J$451),0),
IF('TL17'!$B$3=J$3,SUMIF('TL17'!$C$10:$C$224,$C80,'TL17'!$J$10:$J$224),0),
IF('TL17'!$B$229=J$3,SUMIF('TL17'!$C$238:$C$451,$C80,'TL17'!$J$238:$J$451),0),
IF('TL18'!$B$3=J$3,SUMIF('TL18'!$C$10:$C$224,$C80,'TL18'!$J$10:$J$224),0),
IF('TL18'!$B$229=J$3,SUMIF('TL18'!$C$238:$C$451,$C80,'TL18'!$J$238:$J$451),0),
IF('TL19'!$B$3=J$3,SUMIF('TL19'!$C$10:$C$224,$C80,'TL19'!$J$10:$J$224),0),
IF('TL19'!$B$229=J$3,SUMIF('TL19'!$C$238:$C$451,$C80,'TL19'!$J$238:$J$451),0)
),0)</f>
        <v/>
      </c>
      <c r="K80" s="9">
        <f>IFERROR(SUM(
IF('TL01'!$B$3=K$3,SUMIF('TL01'!$C$10:$C$224,$C80,'TL01'!$J$10:$J$224),0),
IF('TL01'!$B$229=K$3,SUMIF('TL01'!$C$238:$C$451,$C80,'TL01'!$J$238:$J$451),0),
IF('TL02'!$B$3=K$3,SUMIF('TL02'!$C$10:$C$224,$C80,'TL02'!$J$10:$J$224),0),
IF('TL02'!$B$229=K$3,SUMIF('TL02'!$C$238:$C$451,$C80,'TL02'!$J$238:$J$451),0),
IF('TL03'!$B$3=K$3,SUMIF('TL03'!$C$10:$C$224,$C80,'TL03'!$J$10:$J$224),0),
IF('TL03'!$B$229=K$3,SUMIF('TL03'!$C$238:$C$451,$C80,'TL03'!$J$238:$J$451),0),
IF('TL04'!$B$3=K$3,SUMIF('TL04'!$C$10:$C$224,$C80,'TL04'!$J$10:$J$224),0),
IF('TL04'!$B$229=K$3,SUMIF('TL04'!$C$238:$C$451,$C80,'TL04'!$J$238:$J$451),0),
IF('TL05'!$B$3=K$3,SUMIF('TL05'!$C$10:$C$224,$C80,'TL05'!$J$10:$J$224),0),
IF('TL05'!$B$229=K$3,SUMIF('TL05'!$C$238:$C$451,$C80,'TL05'!$J$238:$J$451),0),
IF('TL06'!$B$3=K$3,SUMIF('TL06'!$C$10:$C$224,$C80,'TL06'!$J$10:$J$224),0),
IF('TL06'!$B$229=K$3,SUMIF('TL06'!$C$238:$C$451,$C80,'TL06'!$J$238:$J$451),0),
IF('TL07'!$B$3=K$3,SUMIF('TL07'!$C$10:$C$224,$C80,'TL07'!$J$10:$J$224),0),
IF('TL07'!$B$229=K$3,SUMIF('TL07'!$C$238:$C$451,$C80,'TL07'!$J$238:$J$451),0),
IF('TL08'!$B$3=K$3,SUMIF('TL08'!$C$10:$C$224,$C80,'TL08'!$J$10:$J$224),0),
IF('TL08'!$B$229=K$3,SUMIF('TL08'!$C$238:$C$451,$C80,'TL08'!$J$238:$J$451),0),
IF('TL09'!$B$3=K$3,SUMIF('TL09'!$C$10:$C$224,$C80,'TL09'!$J$10:$J$224),0),
IF('TL09'!$B$229=K$3,SUMIF('TL09'!$C$238:$C$451,$C80,'TL09'!$J$238:$J$451),0),
IF('TL10'!$B$3=K$3,SUMIF('TL10'!$C$10:$C$224,$C80,'TL10'!$J$10:$J$224),0),
IF('TL10'!$B$229=K$3,SUMIF('TL10'!$C$238:$C$451,$C80,'TL10'!$J$238:$J$451),0),
IF('TL11'!$B$3=K$3,SUMIF('TL11'!$C$10:$C$224,$C80,'TL11'!$J$10:$J$224),0),
IF('TL11'!$B$229=K$3,SUMIF('TL11'!$C$238:$C$451,$C80,'TL11'!$J$238:$J$451),0),
IF('TL12'!$B$3=K$3,SUMIF('TL12'!$C$10:$C$224,$C80,'TL12'!$J$10:$J$224),0),
IF('TL12'!$B$229=K$3,SUMIF('TL12'!$C$238:$C$451,$C80,'TL12'!$J$238:$J$451),0),
IF('TL13'!$B$3=K$3,SUMIF('TL13'!$C$10:$C$224,$C80,'TL13'!$J$10:$J$224),0),
IF('TL13'!$B$229=K$3,SUMIF('TL13'!$C$238:$C$451,$C80,'TL13'!$J$238:$J$451),0),
IF('TL14'!$B$3=K$3,SUMIF('TL14'!$C$10:$C$224,$C80,'TL14'!$J$10:$J$224),0),
IF('TL14'!$B$229=K$3,SUMIF('TL14'!$C$238:$C$451,$C80,'TL14'!$J$238:$J$451),0),
IF('TL15'!$B$3=K$3,SUMIF('TL15'!$C$10:$C$224,$C80,'TL15'!$J$10:$J$224),0),
IF('TL15'!$B$229=K$3,SUMIF('TL15'!$C$238:$C$451,$C80,'TL15'!$J$238:$J$451),0),
IF('TL16'!$B$3=K$3,SUMIF('TL16'!$C$10:$C$224,$C80,'TL16'!$J$10:$J$224),0),
IF('TL16'!$B$229=K$3,SUMIF('TL16'!$C$238:$C$451,$C80,'TL16'!$J$238:$J$451),0),
IF('TL17'!$B$3=K$3,SUMIF('TL17'!$C$10:$C$224,$C80,'TL17'!$J$10:$J$224),0),
IF('TL17'!$B$229=K$3,SUMIF('TL17'!$C$238:$C$451,$C80,'TL17'!$J$238:$J$451),0),
IF('TL18'!$B$3=K$3,SUMIF('TL18'!$C$10:$C$224,$C80,'TL18'!$J$10:$J$224),0),
IF('TL18'!$B$229=K$3,SUMIF('TL18'!$C$238:$C$451,$C80,'TL18'!$J$238:$J$451),0),
IF('TL19'!$B$3=K$3,SUMIF('TL19'!$C$10:$C$224,$C80,'TL19'!$J$10:$J$224),0),
IF('TL19'!$B$229=K$3,SUMIF('TL19'!$C$238:$C$451,$C80,'TL19'!$J$238:$J$451),0)
),0)</f>
        <v/>
      </c>
      <c r="L80" s="9">
        <f>IFERROR(SUM(
IF('TL01'!$B$3=L$3,SUMIF('TL01'!$C$10:$C$224,$C80,'TL01'!$J$10:$J$224),0),
IF('TL01'!$B$229=L$3,SUMIF('TL01'!$C$238:$C$451,$C80,'TL01'!$J$238:$J$451),0),
IF('TL02'!$B$3=L$3,SUMIF('TL02'!$C$10:$C$224,$C80,'TL02'!$J$10:$J$224),0),
IF('TL02'!$B$229=L$3,SUMIF('TL02'!$C$238:$C$451,$C80,'TL02'!$J$238:$J$451),0),
IF('TL03'!$B$3=L$3,SUMIF('TL03'!$C$10:$C$224,$C80,'TL03'!$J$10:$J$224),0),
IF('TL03'!$B$229=L$3,SUMIF('TL03'!$C$238:$C$451,$C80,'TL03'!$J$238:$J$451),0),
IF('TL04'!$B$3=L$3,SUMIF('TL04'!$C$10:$C$224,$C80,'TL04'!$J$10:$J$224),0),
IF('TL04'!$B$229=L$3,SUMIF('TL04'!$C$238:$C$451,$C80,'TL04'!$J$238:$J$451),0),
IF('TL05'!$B$3=L$3,SUMIF('TL05'!$C$10:$C$224,$C80,'TL05'!$J$10:$J$224),0),
IF('TL05'!$B$229=L$3,SUMIF('TL05'!$C$238:$C$451,$C80,'TL05'!$J$238:$J$451),0),
IF('TL06'!$B$3=L$3,SUMIF('TL06'!$C$10:$C$224,$C80,'TL06'!$J$10:$J$224),0),
IF('TL06'!$B$229=L$3,SUMIF('TL06'!$C$238:$C$451,$C80,'TL06'!$J$238:$J$451),0),
IF('TL07'!$B$3=L$3,SUMIF('TL07'!$C$10:$C$224,$C80,'TL07'!$J$10:$J$224),0),
IF('TL07'!$B$229=L$3,SUMIF('TL07'!$C$238:$C$451,$C80,'TL07'!$J$238:$J$451),0),
IF('TL08'!$B$3=L$3,SUMIF('TL08'!$C$10:$C$224,$C80,'TL08'!$J$10:$J$224),0),
IF('TL08'!$B$229=L$3,SUMIF('TL08'!$C$238:$C$451,$C80,'TL08'!$J$238:$J$451),0),
IF('TL09'!$B$3=L$3,SUMIF('TL09'!$C$10:$C$224,$C80,'TL09'!$J$10:$J$224),0),
IF('TL09'!$B$229=L$3,SUMIF('TL09'!$C$238:$C$451,$C80,'TL09'!$J$238:$J$451),0),
IF('TL10'!$B$3=L$3,SUMIF('TL10'!$C$10:$C$224,$C80,'TL10'!$J$10:$J$224),0),
IF('TL10'!$B$229=L$3,SUMIF('TL10'!$C$238:$C$451,$C80,'TL10'!$J$238:$J$451),0),
IF('TL11'!$B$3=L$3,SUMIF('TL11'!$C$10:$C$224,$C80,'TL11'!$J$10:$J$224),0),
IF('TL11'!$B$229=L$3,SUMIF('TL11'!$C$238:$C$451,$C80,'TL11'!$J$238:$J$451),0),
IF('TL12'!$B$3=L$3,SUMIF('TL12'!$C$10:$C$224,$C80,'TL12'!$J$10:$J$224),0),
IF('TL12'!$B$229=L$3,SUMIF('TL12'!$C$238:$C$451,$C80,'TL12'!$J$238:$J$451),0),
IF('TL13'!$B$3=L$3,SUMIF('TL13'!$C$10:$C$224,$C80,'TL13'!$J$10:$J$224),0),
IF('TL13'!$B$229=L$3,SUMIF('TL13'!$C$238:$C$451,$C80,'TL13'!$J$238:$J$451),0),
IF('TL14'!$B$3=L$3,SUMIF('TL14'!$C$10:$C$224,$C80,'TL14'!$J$10:$J$224),0),
IF('TL14'!$B$229=L$3,SUMIF('TL14'!$C$238:$C$451,$C80,'TL14'!$J$238:$J$451),0),
IF('TL15'!$B$3=L$3,SUMIF('TL15'!$C$10:$C$224,$C80,'TL15'!$J$10:$J$224),0),
IF('TL15'!$B$229=L$3,SUMIF('TL15'!$C$238:$C$451,$C80,'TL15'!$J$238:$J$451),0),
IF('TL16'!$B$3=L$3,SUMIF('TL16'!$C$10:$C$224,$C80,'TL16'!$J$10:$J$224),0),
IF('TL16'!$B$229=L$3,SUMIF('TL16'!$C$238:$C$451,$C80,'TL16'!$J$238:$J$451),0),
IF('TL17'!$B$3=L$3,SUMIF('TL17'!$C$10:$C$224,$C80,'TL17'!$J$10:$J$224),0),
IF('TL17'!$B$229=L$3,SUMIF('TL17'!$C$238:$C$451,$C80,'TL17'!$J$238:$J$451),0),
IF('TL18'!$B$3=L$3,SUMIF('TL18'!$C$10:$C$224,$C80,'TL18'!$J$10:$J$224),0),
IF('TL18'!$B$229=L$3,SUMIF('TL18'!$C$238:$C$451,$C80,'TL18'!$J$238:$J$451),0),
IF('TL19'!$B$3=L$3,SUMIF('TL19'!$C$10:$C$224,$C80,'TL19'!$J$10:$J$224),0),
IF('TL19'!$B$229=L$3,SUMIF('TL19'!$C$238:$C$451,$C80,'TL19'!$J$238:$J$451),0)
),0)</f>
        <v/>
      </c>
      <c r="M80" s="9">
        <f>IFERROR(SUM(
IF('TL01'!$B$3=M$3,SUMIF('TL01'!$C$10:$C$224,$C80,'TL01'!$J$10:$J$224),0),
IF('TL01'!$B$229=M$3,SUMIF('TL01'!$C$238:$C$451,$C80,'TL01'!$J$238:$J$451),0),
IF('TL02'!$B$3=M$3,SUMIF('TL02'!$C$10:$C$224,$C80,'TL02'!$J$10:$J$224),0),
IF('TL02'!$B$229=M$3,SUMIF('TL02'!$C$238:$C$451,$C80,'TL02'!$J$238:$J$451),0),
IF('TL03'!$B$3=M$3,SUMIF('TL03'!$C$10:$C$224,$C80,'TL03'!$J$10:$J$224),0),
IF('TL03'!$B$229=M$3,SUMIF('TL03'!$C$238:$C$451,$C80,'TL03'!$J$238:$J$451),0),
IF('TL04'!$B$3=M$3,SUMIF('TL04'!$C$10:$C$224,$C80,'TL04'!$J$10:$J$224),0),
IF('TL04'!$B$229=M$3,SUMIF('TL04'!$C$238:$C$451,$C80,'TL04'!$J$238:$J$451),0),
IF('TL05'!$B$3=M$3,SUMIF('TL05'!$C$10:$C$224,$C80,'TL05'!$J$10:$J$224),0),
IF('TL05'!$B$229=M$3,SUMIF('TL05'!$C$238:$C$451,$C80,'TL05'!$J$238:$J$451),0),
IF('TL06'!$B$3=M$3,SUMIF('TL06'!$C$10:$C$224,$C80,'TL06'!$J$10:$J$224),0),
IF('TL06'!$B$229=M$3,SUMIF('TL06'!$C$238:$C$451,$C80,'TL06'!$J$238:$J$451),0),
IF('TL07'!$B$3=M$3,SUMIF('TL07'!$C$10:$C$224,$C80,'TL07'!$J$10:$J$224),0),
IF('TL07'!$B$229=M$3,SUMIF('TL07'!$C$238:$C$451,$C80,'TL07'!$J$238:$J$451),0),
IF('TL08'!$B$3=M$3,SUMIF('TL08'!$C$10:$C$224,$C80,'TL08'!$J$10:$J$224),0),
IF('TL08'!$B$229=M$3,SUMIF('TL08'!$C$238:$C$451,$C80,'TL08'!$J$238:$J$451),0),
IF('TL09'!$B$3=M$3,SUMIF('TL09'!$C$10:$C$224,$C80,'TL09'!$J$10:$J$224),0),
IF('TL09'!$B$229=M$3,SUMIF('TL09'!$C$238:$C$451,$C80,'TL09'!$J$238:$J$451),0),
IF('TL10'!$B$3=M$3,SUMIF('TL10'!$C$10:$C$224,$C80,'TL10'!$J$10:$J$224),0),
IF('TL10'!$B$229=M$3,SUMIF('TL10'!$C$238:$C$451,$C80,'TL10'!$J$238:$J$451),0),
IF('TL11'!$B$3=M$3,SUMIF('TL11'!$C$10:$C$224,$C80,'TL11'!$J$10:$J$224),0),
IF('TL11'!$B$229=M$3,SUMIF('TL11'!$C$238:$C$451,$C80,'TL11'!$J$238:$J$451),0),
IF('TL12'!$B$3=M$3,SUMIF('TL12'!$C$10:$C$224,$C80,'TL12'!$J$10:$J$224),0),
IF('TL12'!$B$229=M$3,SUMIF('TL12'!$C$238:$C$451,$C80,'TL12'!$J$238:$J$451),0),
IF('TL13'!$B$3=M$3,SUMIF('TL13'!$C$10:$C$224,$C80,'TL13'!$J$10:$J$224),0),
IF('TL13'!$B$229=M$3,SUMIF('TL13'!$C$238:$C$451,$C80,'TL13'!$J$238:$J$451),0),
IF('TL14'!$B$3=M$3,SUMIF('TL14'!$C$10:$C$224,$C80,'TL14'!$J$10:$J$224),0),
IF('TL14'!$B$229=M$3,SUMIF('TL14'!$C$238:$C$451,$C80,'TL14'!$J$238:$J$451),0),
IF('TL15'!$B$3=M$3,SUMIF('TL15'!$C$10:$C$224,$C80,'TL15'!$J$10:$J$224),0),
IF('TL15'!$B$229=M$3,SUMIF('TL15'!$C$238:$C$451,$C80,'TL15'!$J$238:$J$451),0),
IF('TL16'!$B$3=M$3,SUMIF('TL16'!$C$10:$C$224,$C80,'TL16'!$J$10:$J$224),0),
IF('TL16'!$B$229=M$3,SUMIF('TL16'!$C$238:$C$451,$C80,'TL16'!$J$238:$J$451),0),
IF('TL17'!$B$3=M$3,SUMIF('TL17'!$C$10:$C$224,$C80,'TL17'!$J$10:$J$224),0),
IF('TL17'!$B$229=M$3,SUMIF('TL17'!$C$238:$C$451,$C80,'TL17'!$J$238:$J$451),0),
IF('TL18'!$B$3=M$3,SUMIF('TL18'!$C$10:$C$224,$C80,'TL18'!$J$10:$J$224),0),
IF('TL18'!$B$229=M$3,SUMIF('TL18'!$C$238:$C$451,$C80,'TL18'!$J$238:$J$451),0),
IF('TL19'!$B$3=M$3,SUMIF('TL19'!$C$10:$C$224,$C80,'TL19'!$J$10:$J$224),0),
IF('TL19'!$B$229=M$3,SUMIF('TL19'!$C$238:$C$451,$C80,'TL19'!$J$238:$J$451),0)
),0)</f>
        <v/>
      </c>
      <c r="N80" s="9">
        <f>IFERROR(SUM(
IF('TL01'!$B$3=N$3,SUMIF('TL01'!$C$10:$C$224,$C80,'TL01'!$J$10:$J$224),0),
IF('TL01'!$B$229=N$3,SUMIF('TL01'!$C$238:$C$451,$C80,'TL01'!$J$238:$J$451),0),
IF('TL02'!$B$3=N$3,SUMIF('TL02'!$C$10:$C$224,$C80,'TL02'!$J$10:$J$224),0),
IF('TL02'!$B$229=N$3,SUMIF('TL02'!$C$238:$C$451,$C80,'TL02'!$J$238:$J$451),0),
IF('TL03'!$B$3=N$3,SUMIF('TL03'!$C$10:$C$224,$C80,'TL03'!$J$10:$J$224),0),
IF('TL03'!$B$229=N$3,SUMIF('TL03'!$C$238:$C$451,$C80,'TL03'!$J$238:$J$451),0),
IF('TL04'!$B$3=N$3,SUMIF('TL04'!$C$10:$C$224,$C80,'TL04'!$J$10:$J$224),0),
IF('TL04'!$B$229=N$3,SUMIF('TL04'!$C$238:$C$451,$C80,'TL04'!$J$238:$J$451),0),
IF('TL05'!$B$3=N$3,SUMIF('TL05'!$C$10:$C$224,$C80,'TL05'!$J$10:$J$224),0),
IF('TL05'!$B$229=N$3,SUMIF('TL05'!$C$238:$C$451,$C80,'TL05'!$J$238:$J$451),0),
IF('TL06'!$B$3=N$3,SUMIF('TL06'!$C$10:$C$224,$C80,'TL06'!$J$10:$J$224),0),
IF('TL06'!$B$229=N$3,SUMIF('TL06'!$C$238:$C$451,$C80,'TL06'!$J$238:$J$451),0),
IF('TL07'!$B$3=N$3,SUMIF('TL07'!$C$10:$C$224,$C80,'TL07'!$J$10:$J$224),0),
IF('TL07'!$B$229=N$3,SUMIF('TL07'!$C$238:$C$451,$C80,'TL07'!$J$238:$J$451),0),
IF('TL08'!$B$3=N$3,SUMIF('TL08'!$C$10:$C$224,$C80,'TL08'!$J$10:$J$224),0),
IF('TL08'!$B$229=N$3,SUMIF('TL08'!$C$238:$C$451,$C80,'TL08'!$J$238:$J$451),0),
IF('TL09'!$B$3=N$3,SUMIF('TL09'!$C$10:$C$224,$C80,'TL09'!$J$10:$J$224),0),
IF('TL09'!$B$229=N$3,SUMIF('TL09'!$C$238:$C$451,$C80,'TL09'!$J$238:$J$451),0),
IF('TL10'!$B$3=N$3,SUMIF('TL10'!$C$10:$C$224,$C80,'TL10'!$J$10:$J$224),0),
IF('TL10'!$B$229=N$3,SUMIF('TL10'!$C$238:$C$451,$C80,'TL10'!$J$238:$J$451),0),
IF('TL11'!$B$3=N$3,SUMIF('TL11'!$C$10:$C$224,$C80,'TL11'!$J$10:$J$224),0),
IF('TL11'!$B$229=N$3,SUMIF('TL11'!$C$238:$C$451,$C80,'TL11'!$J$238:$J$451),0),
IF('TL12'!$B$3=N$3,SUMIF('TL12'!$C$10:$C$224,$C80,'TL12'!$J$10:$J$224),0),
IF('TL12'!$B$229=N$3,SUMIF('TL12'!$C$238:$C$451,$C80,'TL12'!$J$238:$J$451),0),
IF('TL13'!$B$3=N$3,SUMIF('TL13'!$C$10:$C$224,$C80,'TL13'!$J$10:$J$224),0),
IF('TL13'!$B$229=N$3,SUMIF('TL13'!$C$238:$C$451,$C80,'TL13'!$J$238:$J$451),0),
IF('TL14'!$B$3=N$3,SUMIF('TL14'!$C$10:$C$224,$C80,'TL14'!$J$10:$J$224),0),
IF('TL14'!$B$229=N$3,SUMIF('TL14'!$C$238:$C$451,$C80,'TL14'!$J$238:$J$451),0),
IF('TL15'!$B$3=N$3,SUMIF('TL15'!$C$10:$C$224,$C80,'TL15'!$J$10:$J$224),0),
IF('TL15'!$B$229=N$3,SUMIF('TL15'!$C$238:$C$451,$C80,'TL15'!$J$238:$J$451),0),
IF('TL16'!$B$3=N$3,SUMIF('TL16'!$C$10:$C$224,$C80,'TL16'!$J$10:$J$224),0),
IF('TL16'!$B$229=N$3,SUMIF('TL16'!$C$238:$C$451,$C80,'TL16'!$J$238:$J$451),0),
IF('TL17'!$B$3=N$3,SUMIF('TL17'!$C$10:$C$224,$C80,'TL17'!$J$10:$J$224),0),
IF('TL17'!$B$229=N$3,SUMIF('TL17'!$C$238:$C$451,$C80,'TL17'!$J$238:$J$451),0),
IF('TL18'!$B$3=N$3,SUMIF('TL18'!$C$10:$C$224,$C80,'TL18'!$J$10:$J$224),0),
IF('TL18'!$B$229=N$3,SUMIF('TL18'!$C$238:$C$451,$C80,'TL18'!$J$238:$J$451),0),
IF('TL19'!$B$3=N$3,SUMIF('TL19'!$C$10:$C$224,$C80,'TL19'!$J$10:$J$224),0),
IF('TL19'!$B$229=N$3,SUMIF('TL19'!$C$238:$C$451,$C80,'TL19'!$J$238:$J$451),0)
),0)</f>
        <v/>
      </c>
      <c r="O80" s="9">
        <f>IFERROR(SUM(
IF('TL01'!$B$3=O$3,SUMIF('TL01'!$C$10:$C$224,$C80,'TL01'!$J$10:$J$224),0),
IF('TL01'!$B$229=O$3,SUMIF('TL01'!$C$238:$C$451,$C80,'TL01'!$J$238:$J$451),0),
IF('TL02'!$B$3=O$3,SUMIF('TL02'!$C$10:$C$224,$C80,'TL02'!$J$10:$J$224),0),
IF('TL02'!$B$229=O$3,SUMIF('TL02'!$C$238:$C$451,$C80,'TL02'!$J$238:$J$451),0),
IF('TL03'!$B$3=O$3,SUMIF('TL03'!$C$10:$C$224,$C80,'TL03'!$J$10:$J$224),0),
IF('TL03'!$B$229=O$3,SUMIF('TL03'!$C$238:$C$451,$C80,'TL03'!$J$238:$J$451),0),
IF('TL04'!$B$3=O$3,SUMIF('TL04'!$C$10:$C$224,$C80,'TL04'!$J$10:$J$224),0),
IF('TL04'!$B$229=O$3,SUMIF('TL04'!$C$238:$C$451,$C80,'TL04'!$J$238:$J$451),0),
IF('TL05'!$B$3=O$3,SUMIF('TL05'!$C$10:$C$224,$C80,'TL05'!$J$10:$J$224),0),
IF('TL05'!$B$229=O$3,SUMIF('TL05'!$C$238:$C$451,$C80,'TL05'!$J$238:$J$451),0),
IF('TL06'!$B$3=O$3,SUMIF('TL06'!$C$10:$C$224,$C80,'TL06'!$J$10:$J$224),0),
IF('TL06'!$B$229=O$3,SUMIF('TL06'!$C$238:$C$451,$C80,'TL06'!$J$238:$J$451),0),
IF('TL07'!$B$3=O$3,SUMIF('TL07'!$C$10:$C$224,$C80,'TL07'!$J$10:$J$224),0),
IF('TL07'!$B$229=O$3,SUMIF('TL07'!$C$238:$C$451,$C80,'TL07'!$J$238:$J$451),0),
IF('TL08'!$B$3=O$3,SUMIF('TL08'!$C$10:$C$224,$C80,'TL08'!$J$10:$J$224),0),
IF('TL08'!$B$229=O$3,SUMIF('TL08'!$C$238:$C$451,$C80,'TL08'!$J$238:$J$451),0),
IF('TL09'!$B$3=O$3,SUMIF('TL09'!$C$10:$C$224,$C80,'TL09'!$J$10:$J$224),0),
IF('TL09'!$B$229=O$3,SUMIF('TL09'!$C$238:$C$451,$C80,'TL09'!$J$238:$J$451),0),
IF('TL10'!$B$3=O$3,SUMIF('TL10'!$C$10:$C$224,$C80,'TL10'!$J$10:$J$224),0),
IF('TL10'!$B$229=O$3,SUMIF('TL10'!$C$238:$C$451,$C80,'TL10'!$J$238:$J$451),0),
IF('TL11'!$B$3=O$3,SUMIF('TL11'!$C$10:$C$224,$C80,'TL11'!$J$10:$J$224),0),
IF('TL11'!$B$229=O$3,SUMIF('TL11'!$C$238:$C$451,$C80,'TL11'!$J$238:$J$451),0),
IF('TL12'!$B$3=O$3,SUMIF('TL12'!$C$10:$C$224,$C80,'TL12'!$J$10:$J$224),0),
IF('TL12'!$B$229=O$3,SUMIF('TL12'!$C$238:$C$451,$C80,'TL12'!$J$238:$J$451),0),
IF('TL13'!$B$3=O$3,SUMIF('TL13'!$C$10:$C$224,$C80,'TL13'!$J$10:$J$224),0),
IF('TL13'!$B$229=O$3,SUMIF('TL13'!$C$238:$C$451,$C80,'TL13'!$J$238:$J$451),0),
IF('TL14'!$B$3=O$3,SUMIF('TL14'!$C$10:$C$224,$C80,'TL14'!$J$10:$J$224),0),
IF('TL14'!$B$229=O$3,SUMIF('TL14'!$C$238:$C$451,$C80,'TL14'!$J$238:$J$451),0),
IF('TL15'!$B$3=O$3,SUMIF('TL15'!$C$10:$C$224,$C80,'TL15'!$J$10:$J$224),0),
IF('TL15'!$B$229=O$3,SUMIF('TL15'!$C$238:$C$451,$C80,'TL15'!$J$238:$J$451),0),
IF('TL16'!$B$3=O$3,SUMIF('TL16'!$C$10:$C$224,$C80,'TL16'!$J$10:$J$224),0),
IF('TL16'!$B$229=O$3,SUMIF('TL16'!$C$238:$C$451,$C80,'TL16'!$J$238:$J$451),0),
IF('TL17'!$B$3=O$3,SUMIF('TL17'!$C$10:$C$224,$C80,'TL17'!$J$10:$J$224),0),
IF('TL17'!$B$229=O$3,SUMIF('TL17'!$C$238:$C$451,$C80,'TL17'!$J$238:$J$451),0),
IF('TL18'!$B$3=O$3,SUMIF('TL18'!$C$10:$C$224,$C80,'TL18'!$J$10:$J$224),0),
IF('TL18'!$B$229=O$3,SUMIF('TL18'!$C$238:$C$451,$C80,'TL18'!$J$238:$J$451),0),
IF('TL19'!$B$3=O$3,SUMIF('TL19'!$C$10:$C$224,$C80,'TL19'!$J$10:$J$224),0),
IF('TL19'!$B$229=O$3,SUMIF('TL19'!$C$238:$C$451,$C80,'TL19'!$J$238:$J$451),0)
),0)</f>
        <v/>
      </c>
      <c r="P80" s="9">
        <f>IFERROR(SUM(
IF('TL01'!$B$3=P$3,SUMIF('TL01'!$C$10:$C$224,$C80,'TL01'!$J$10:$J$224),0),
IF('TL01'!$B$229=P$3,SUMIF('TL01'!$C$238:$C$451,$C80,'TL01'!$J$238:$J$451),0),
IF('TL02'!$B$3=P$3,SUMIF('TL02'!$C$10:$C$224,$C80,'TL02'!$J$10:$J$224),0),
IF('TL02'!$B$229=P$3,SUMIF('TL02'!$C$238:$C$451,$C80,'TL02'!$J$238:$J$451),0),
IF('TL03'!$B$3=P$3,SUMIF('TL03'!$C$10:$C$224,$C80,'TL03'!$J$10:$J$224),0),
IF('TL03'!$B$229=P$3,SUMIF('TL03'!$C$238:$C$451,$C80,'TL03'!$J$238:$J$451),0),
IF('TL04'!$B$3=P$3,SUMIF('TL04'!$C$10:$C$224,$C80,'TL04'!$J$10:$J$224),0),
IF('TL04'!$B$229=P$3,SUMIF('TL04'!$C$238:$C$451,$C80,'TL04'!$J$238:$J$451),0),
IF('TL05'!$B$3=P$3,SUMIF('TL05'!$C$10:$C$224,$C80,'TL05'!$J$10:$J$224),0),
IF('TL05'!$B$229=P$3,SUMIF('TL05'!$C$238:$C$451,$C80,'TL05'!$J$238:$J$451),0),
IF('TL06'!$B$3=P$3,SUMIF('TL06'!$C$10:$C$224,$C80,'TL06'!$J$10:$J$224),0),
IF('TL06'!$B$229=P$3,SUMIF('TL06'!$C$238:$C$451,$C80,'TL06'!$J$238:$J$451),0),
IF('TL07'!$B$3=P$3,SUMIF('TL07'!$C$10:$C$224,$C80,'TL07'!$J$10:$J$224),0),
IF('TL07'!$B$229=P$3,SUMIF('TL07'!$C$238:$C$451,$C80,'TL07'!$J$238:$J$451),0),
IF('TL08'!$B$3=P$3,SUMIF('TL08'!$C$10:$C$224,$C80,'TL08'!$J$10:$J$224),0),
IF('TL08'!$B$229=P$3,SUMIF('TL08'!$C$238:$C$451,$C80,'TL08'!$J$238:$J$451),0),
IF('TL09'!$B$3=P$3,SUMIF('TL09'!$C$10:$C$224,$C80,'TL09'!$J$10:$J$224),0),
IF('TL09'!$B$229=P$3,SUMIF('TL09'!$C$238:$C$451,$C80,'TL09'!$J$238:$J$451),0),
IF('TL10'!$B$3=P$3,SUMIF('TL10'!$C$10:$C$224,$C80,'TL10'!$J$10:$J$224),0),
IF('TL10'!$B$229=P$3,SUMIF('TL10'!$C$238:$C$451,$C80,'TL10'!$J$238:$J$451),0),
IF('TL11'!$B$3=P$3,SUMIF('TL11'!$C$10:$C$224,$C80,'TL11'!$J$10:$J$224),0),
IF('TL11'!$B$229=P$3,SUMIF('TL11'!$C$238:$C$451,$C80,'TL11'!$J$238:$J$451),0),
IF('TL12'!$B$3=P$3,SUMIF('TL12'!$C$10:$C$224,$C80,'TL12'!$J$10:$J$224),0),
IF('TL12'!$B$229=P$3,SUMIF('TL12'!$C$238:$C$451,$C80,'TL12'!$J$238:$J$451),0),
IF('TL13'!$B$3=P$3,SUMIF('TL13'!$C$10:$C$224,$C80,'TL13'!$J$10:$J$224),0),
IF('TL13'!$B$229=P$3,SUMIF('TL13'!$C$238:$C$451,$C80,'TL13'!$J$238:$J$451),0),
IF('TL14'!$B$3=P$3,SUMIF('TL14'!$C$10:$C$224,$C80,'TL14'!$J$10:$J$224),0),
IF('TL14'!$B$229=P$3,SUMIF('TL14'!$C$238:$C$451,$C80,'TL14'!$J$238:$J$451),0),
IF('TL15'!$B$3=P$3,SUMIF('TL15'!$C$10:$C$224,$C80,'TL15'!$J$10:$J$224),0),
IF('TL15'!$B$229=P$3,SUMIF('TL15'!$C$238:$C$451,$C80,'TL15'!$J$238:$J$451),0),
IF('TL16'!$B$3=P$3,SUMIF('TL16'!$C$10:$C$224,$C80,'TL16'!$J$10:$J$224),0),
IF('TL16'!$B$229=P$3,SUMIF('TL16'!$C$238:$C$451,$C80,'TL16'!$J$238:$J$451),0),
IF('TL17'!$B$3=P$3,SUMIF('TL17'!$C$10:$C$224,$C80,'TL17'!$J$10:$J$224),0),
IF('TL17'!$B$229=P$3,SUMIF('TL17'!$C$238:$C$451,$C80,'TL17'!$J$238:$J$451),0),
IF('TL18'!$B$3=P$3,SUMIF('TL18'!$C$10:$C$224,$C80,'TL18'!$J$10:$J$224),0),
IF('TL18'!$B$229=P$3,SUMIF('TL18'!$C$238:$C$451,$C80,'TL18'!$J$238:$J$451),0),
IF('TL19'!$B$3=P$3,SUMIF('TL19'!$C$10:$C$224,$C80,'TL19'!$J$10:$J$224),0),
IF('TL19'!$B$229=P$3,SUMIF('TL19'!$C$238:$C$451,$C80,'TL19'!$J$238:$J$451),0)
),0)</f>
        <v/>
      </c>
      <c r="Q80" s="9">
        <f>IFERROR(SUM(
IF('TL01'!$B$3=Q$3,SUMIF('TL01'!$C$10:$C$224,$C80,'TL01'!$J$10:$J$224),0),
IF('TL01'!$B$229=Q$3,SUMIF('TL01'!$C$238:$C$451,$C80,'TL01'!$J$238:$J$451),0),
IF('TL02'!$B$3=Q$3,SUMIF('TL02'!$C$10:$C$224,$C80,'TL02'!$J$10:$J$224),0),
IF('TL02'!$B$229=Q$3,SUMIF('TL02'!$C$238:$C$451,$C80,'TL02'!$J$238:$J$451),0),
IF('TL03'!$B$3=Q$3,SUMIF('TL03'!$C$10:$C$224,$C80,'TL03'!$J$10:$J$224),0),
IF('TL03'!$B$229=Q$3,SUMIF('TL03'!$C$238:$C$451,$C80,'TL03'!$J$238:$J$451),0),
IF('TL04'!$B$3=Q$3,SUMIF('TL04'!$C$10:$C$224,$C80,'TL04'!$J$10:$J$224),0),
IF('TL04'!$B$229=Q$3,SUMIF('TL04'!$C$238:$C$451,$C80,'TL04'!$J$238:$J$451),0),
IF('TL05'!$B$3=Q$3,SUMIF('TL05'!$C$10:$C$224,$C80,'TL05'!$J$10:$J$224),0),
IF('TL05'!$B$229=Q$3,SUMIF('TL05'!$C$238:$C$451,$C80,'TL05'!$J$238:$J$451),0),
IF('TL06'!$B$3=Q$3,SUMIF('TL06'!$C$10:$C$224,$C80,'TL06'!$J$10:$J$224),0),
IF('TL06'!$B$229=Q$3,SUMIF('TL06'!$C$238:$C$451,$C80,'TL06'!$J$238:$J$451),0),
IF('TL07'!$B$3=Q$3,SUMIF('TL07'!$C$10:$C$224,$C80,'TL07'!$J$10:$J$224),0),
IF('TL07'!$B$229=Q$3,SUMIF('TL07'!$C$238:$C$451,$C80,'TL07'!$J$238:$J$451),0),
IF('TL08'!$B$3=Q$3,SUMIF('TL08'!$C$10:$C$224,$C80,'TL08'!$J$10:$J$224),0),
IF('TL08'!$B$229=Q$3,SUMIF('TL08'!$C$238:$C$451,$C80,'TL08'!$J$238:$J$451),0),
IF('TL09'!$B$3=Q$3,SUMIF('TL09'!$C$10:$C$224,$C80,'TL09'!$J$10:$J$224),0),
IF('TL09'!$B$229=Q$3,SUMIF('TL09'!$C$238:$C$451,$C80,'TL09'!$J$238:$J$451),0),
IF('TL10'!$B$3=Q$3,SUMIF('TL10'!$C$10:$C$224,$C80,'TL10'!$J$10:$J$224),0),
IF('TL10'!$B$229=Q$3,SUMIF('TL10'!$C$238:$C$451,$C80,'TL10'!$J$238:$J$451),0),
IF('TL11'!$B$3=Q$3,SUMIF('TL11'!$C$10:$C$224,$C80,'TL11'!$J$10:$J$224),0),
IF('TL11'!$B$229=Q$3,SUMIF('TL11'!$C$238:$C$451,$C80,'TL11'!$J$238:$J$451),0),
IF('TL12'!$B$3=Q$3,SUMIF('TL12'!$C$10:$C$224,$C80,'TL12'!$J$10:$J$224),0),
IF('TL12'!$B$229=Q$3,SUMIF('TL12'!$C$238:$C$451,$C80,'TL12'!$J$238:$J$451),0),
IF('TL13'!$B$3=Q$3,SUMIF('TL13'!$C$10:$C$224,$C80,'TL13'!$J$10:$J$224),0),
IF('TL13'!$B$229=Q$3,SUMIF('TL13'!$C$238:$C$451,$C80,'TL13'!$J$238:$J$451),0),
IF('TL14'!$B$3=Q$3,SUMIF('TL14'!$C$10:$C$224,$C80,'TL14'!$J$10:$J$224),0),
IF('TL14'!$B$229=Q$3,SUMIF('TL14'!$C$238:$C$451,$C80,'TL14'!$J$238:$J$451),0),
IF('TL15'!$B$3=Q$3,SUMIF('TL15'!$C$10:$C$224,$C80,'TL15'!$J$10:$J$224),0),
IF('TL15'!$B$229=Q$3,SUMIF('TL15'!$C$238:$C$451,$C80,'TL15'!$J$238:$J$451),0),
IF('TL16'!$B$3=Q$3,SUMIF('TL16'!$C$10:$C$224,$C80,'TL16'!$J$10:$J$224),0),
IF('TL16'!$B$229=Q$3,SUMIF('TL16'!$C$238:$C$451,$C80,'TL16'!$J$238:$J$451),0),
IF('TL17'!$B$3=Q$3,SUMIF('TL17'!$C$10:$C$224,$C80,'TL17'!$J$10:$J$224),0),
IF('TL17'!$B$229=Q$3,SUMIF('TL17'!$C$238:$C$451,$C80,'TL17'!$J$238:$J$451),0),
IF('TL18'!$B$3=Q$3,SUMIF('TL18'!$C$10:$C$224,$C80,'TL18'!$J$10:$J$224),0),
IF('TL18'!$B$229=Q$3,SUMIF('TL18'!$C$238:$C$451,$C80,'TL18'!$J$238:$J$451),0),
IF('TL19'!$B$3=Q$3,SUMIF('TL19'!$C$10:$C$224,$C80,'TL19'!$J$10:$J$224),0),
IF('TL19'!$B$229=Q$3,SUMIF('TL19'!$C$238:$C$451,$C80,'TL19'!$J$238:$J$451),0)
),0)</f>
        <v/>
      </c>
      <c r="R80" s="9">
        <f>IFERROR(
SUM(
SUMIF('TL01'!C:C,C80,'TL01'!J:J),
SUMIF('TL02'!C:C,C80,'TL02'!J:J),
SUMIF('TL03'!C:C,C80,'TL03'!J:J),
SUMIF('TL04'!C:C,C80,'TL04'!J:J),
SUMIF('TL05'!C:C,C80,'TL05'!J:J),
SUMIF('TL06'!C:C,C80,'TL06'!J:J),
SUMIF('TL07'!C:C,C80,'TL07'!J:J),
SUMIF('TL08'!C:C,C80,'TL08'!J:J),
SUMIF('TL09'!C:C,C80,'TL09'!J:J),
SUMIF('TL10'!C:C,C80,'TL10'!J:J),
SUMIF('TL11'!C:C,C80,'TL11'!J:J),
SUMIF('TL12'!C:C,C80,'TL12'!J:J),
SUMIF('TL13'!C:C,C80,'TL13'!J:J),
SUMIF('TL14'!C:C,C80,'TL14'!J:J),
SUMIF('TL15'!C:C,C80,'TL15'!J:J),
SUMIF('TL16'!C:C,C80,'TL16'!J:J),
SUMIF('TL17'!C:C,C80,'TL17'!J:J),
SUMIF('TL18'!C:C,C80,'TL18'!J:J),SUMIF('TL19'!C:C,C80,'TL19'!J:J))
,0)</f>
        <v/>
      </c>
      <c r="S80" s="17">
        <f>IFERROR(__xludf.DUMMYFUNCTION("IFERROR(VLOOKUP(C80,
IMPORTRANGE(""1wULbzX32WdYsx-lj2U3uUNBBe2INVIRDtcK0d-Dvl90"",
""26-27!C:G""),
5,
FALSE),
"""")"),53.33184000000001)</f>
        <v/>
      </c>
      <c r="T80" s="9" t="n"/>
      <c r="U80" s="92">
        <f>MAX(0,R80-T80)</f>
        <v/>
      </c>
      <c r="V80" s="93">
        <f>U80*S80</f>
        <v/>
      </c>
    </row>
    <row r="81" hidden="1" ht="15.75" customHeight="1" s="297">
      <c r="A81" s="111" t="inlineStr">
        <is>
          <t>SIPCAM</t>
        </is>
      </c>
      <c r="B81" s="112" t="inlineStr">
        <is>
          <t>FUNGICIDA</t>
        </is>
      </c>
      <c r="C81" s="113" t="inlineStr">
        <is>
          <t>SUPPORT WG</t>
        </is>
      </c>
      <c r="D81" s="113" t="inlineStr">
        <is>
          <t>TIOFANATO-METÍLICO</t>
        </is>
      </c>
      <c r="E81" s="113" t="n">
        <v>850</v>
      </c>
      <c r="F81" s="4" t="inlineStr">
        <is>
          <t>L</t>
        </is>
      </c>
      <c r="G81" s="90">
        <f>HYPERLINK("https://www.google.com/search?q=" &amp; C81 &amp; "+bula+agrofit+pdf", "📄 Ver bula")</f>
        <v/>
      </c>
      <c r="H81" s="9">
        <f>IFERROR(__xludf.DUMMYFUNCTION("IFERROR(VLOOKUP(C81,
IMPORTRANGE(""1wULbzX32WdYsx-lj2U3uUNBBe2INVIRDtcK0d-Dvl90"",
""26-27!C:K""),
8,
FALSE),
"""")"),"")</f>
        <v/>
      </c>
      <c r="I81" s="114" t="inlineStr">
        <is>
          <t>10X2</t>
        </is>
      </c>
      <c r="J81" s="9">
        <f>IFERROR(SUM(
IF('TL01'!$B$3=J$3,SUMIF('TL01'!$C$10:$C$224,$C81,'TL01'!$J$10:$J$224),0),
IF('TL01'!$B$229=J$3,SUMIF('TL01'!$C$238:$C$451,$C81,'TL01'!$J$238:$J$451),0),
IF('TL02'!$B$3=J$3,SUMIF('TL02'!$C$10:$C$224,$C81,'TL02'!$J$10:$J$224),0),
IF('TL02'!$B$229=J$3,SUMIF('TL02'!$C$238:$C$451,$C81,'TL02'!$J$238:$J$451),0),
IF('TL03'!$B$3=J$3,SUMIF('TL03'!$C$10:$C$224,$C81,'TL03'!$J$10:$J$224),0),
IF('TL03'!$B$229=J$3,SUMIF('TL03'!$C$238:$C$451,$C81,'TL03'!$J$238:$J$451),0),
IF('TL04'!$B$3=J$3,SUMIF('TL04'!$C$10:$C$224,$C81,'TL04'!$J$10:$J$224),0),
IF('TL04'!$B$229=J$3,SUMIF('TL04'!$C$238:$C$451,$C81,'TL04'!$J$238:$J$451),0),
IF('TL05'!$B$3=J$3,SUMIF('TL05'!$C$10:$C$224,$C81,'TL05'!$J$10:$J$224),0),
IF('TL05'!$B$229=J$3,SUMIF('TL05'!$C$238:$C$451,$C81,'TL05'!$J$238:$J$451),0),
IF('TL06'!$B$3=J$3,SUMIF('TL06'!$C$10:$C$224,$C81,'TL06'!$J$10:$J$224),0),
IF('TL06'!$B$229=J$3,SUMIF('TL06'!$C$238:$C$451,$C81,'TL06'!$J$238:$J$451),0),
IF('TL07'!$B$3=J$3,SUMIF('TL07'!$C$10:$C$224,$C81,'TL07'!$J$10:$J$224),0),
IF('TL07'!$B$229=J$3,SUMIF('TL07'!$C$238:$C$451,$C81,'TL07'!$J$238:$J$451),0),
IF('TL08'!$B$3=J$3,SUMIF('TL08'!$C$10:$C$224,$C81,'TL08'!$J$10:$J$224),0),
IF('TL08'!$B$229=J$3,SUMIF('TL08'!$C$238:$C$451,$C81,'TL08'!$J$238:$J$451),0),
IF('TL09'!$B$3=J$3,SUMIF('TL09'!$C$10:$C$224,$C81,'TL09'!$J$10:$J$224),0),
IF('TL09'!$B$229=J$3,SUMIF('TL09'!$C$238:$C$451,$C81,'TL09'!$J$238:$J$451),0),
IF('TL10'!$B$3=J$3,SUMIF('TL10'!$C$10:$C$224,$C81,'TL10'!$J$10:$J$224),0),
IF('TL10'!$B$229=J$3,SUMIF('TL10'!$C$238:$C$451,$C81,'TL10'!$J$238:$J$451),0),
IF('TL11'!$B$3=J$3,SUMIF('TL11'!$C$10:$C$224,$C81,'TL11'!$J$10:$J$224),0),
IF('TL11'!$B$229=J$3,SUMIF('TL11'!$C$238:$C$451,$C81,'TL11'!$J$238:$J$451),0),
IF('TL12'!$B$3=J$3,SUMIF('TL12'!$C$10:$C$224,$C81,'TL12'!$J$10:$J$224),0),
IF('TL12'!$B$229=J$3,SUMIF('TL12'!$C$238:$C$451,$C81,'TL12'!$J$238:$J$451),0),
IF('TL13'!$B$3=J$3,SUMIF('TL13'!$C$10:$C$224,$C81,'TL13'!$J$10:$J$224),0),
IF('TL13'!$B$229=J$3,SUMIF('TL13'!$C$238:$C$451,$C81,'TL13'!$J$238:$J$451),0),
IF('TL14'!$B$3=J$3,SUMIF('TL14'!$C$10:$C$224,$C81,'TL14'!$J$10:$J$224),0),
IF('TL14'!$B$229=J$3,SUMIF('TL14'!$C$238:$C$451,$C81,'TL14'!$J$238:$J$451),0),
IF('TL15'!$B$3=J$3,SUMIF('TL15'!$C$10:$C$224,$C81,'TL15'!$J$10:$J$224),0),
IF('TL15'!$B$229=J$3,SUMIF('TL15'!$C$238:$C$451,$C81,'TL15'!$J$238:$J$451),0),
IF('TL16'!$B$3=J$3,SUMIF('TL16'!$C$10:$C$224,$C81,'TL16'!$J$10:$J$224),0),
IF('TL16'!$B$229=J$3,SUMIF('TL16'!$C$238:$C$451,$C81,'TL16'!$J$238:$J$451),0),
IF('TL17'!$B$3=J$3,SUMIF('TL17'!$C$10:$C$224,$C81,'TL17'!$J$10:$J$224),0),
IF('TL17'!$B$229=J$3,SUMIF('TL17'!$C$238:$C$451,$C81,'TL17'!$J$238:$J$451),0),
IF('TL18'!$B$3=J$3,SUMIF('TL18'!$C$10:$C$224,$C81,'TL18'!$J$10:$J$224),0),
IF('TL18'!$B$229=J$3,SUMIF('TL18'!$C$238:$C$451,$C81,'TL18'!$J$238:$J$451),0),
IF('TL19'!$B$3=J$3,SUMIF('TL19'!$C$10:$C$224,$C81,'TL19'!$J$10:$J$224),0),
IF('TL19'!$B$229=J$3,SUMIF('TL19'!$C$238:$C$451,$C81,'TL19'!$J$238:$J$451),0)
),0)</f>
        <v/>
      </c>
      <c r="K81" s="9">
        <f>IFERROR(SUM(
IF('TL01'!$B$3=K$3,SUMIF('TL01'!$C$10:$C$224,$C81,'TL01'!$J$10:$J$224),0),
IF('TL01'!$B$229=K$3,SUMIF('TL01'!$C$238:$C$451,$C81,'TL01'!$J$238:$J$451),0),
IF('TL02'!$B$3=K$3,SUMIF('TL02'!$C$10:$C$224,$C81,'TL02'!$J$10:$J$224),0),
IF('TL02'!$B$229=K$3,SUMIF('TL02'!$C$238:$C$451,$C81,'TL02'!$J$238:$J$451),0),
IF('TL03'!$B$3=K$3,SUMIF('TL03'!$C$10:$C$224,$C81,'TL03'!$J$10:$J$224),0),
IF('TL03'!$B$229=K$3,SUMIF('TL03'!$C$238:$C$451,$C81,'TL03'!$J$238:$J$451),0),
IF('TL04'!$B$3=K$3,SUMIF('TL04'!$C$10:$C$224,$C81,'TL04'!$J$10:$J$224),0),
IF('TL04'!$B$229=K$3,SUMIF('TL04'!$C$238:$C$451,$C81,'TL04'!$J$238:$J$451),0),
IF('TL05'!$B$3=K$3,SUMIF('TL05'!$C$10:$C$224,$C81,'TL05'!$J$10:$J$224),0),
IF('TL05'!$B$229=K$3,SUMIF('TL05'!$C$238:$C$451,$C81,'TL05'!$J$238:$J$451),0),
IF('TL06'!$B$3=K$3,SUMIF('TL06'!$C$10:$C$224,$C81,'TL06'!$J$10:$J$224),0),
IF('TL06'!$B$229=K$3,SUMIF('TL06'!$C$238:$C$451,$C81,'TL06'!$J$238:$J$451),0),
IF('TL07'!$B$3=K$3,SUMIF('TL07'!$C$10:$C$224,$C81,'TL07'!$J$10:$J$224),0),
IF('TL07'!$B$229=K$3,SUMIF('TL07'!$C$238:$C$451,$C81,'TL07'!$J$238:$J$451),0),
IF('TL08'!$B$3=K$3,SUMIF('TL08'!$C$10:$C$224,$C81,'TL08'!$J$10:$J$224),0),
IF('TL08'!$B$229=K$3,SUMIF('TL08'!$C$238:$C$451,$C81,'TL08'!$J$238:$J$451),0),
IF('TL09'!$B$3=K$3,SUMIF('TL09'!$C$10:$C$224,$C81,'TL09'!$J$10:$J$224),0),
IF('TL09'!$B$229=K$3,SUMIF('TL09'!$C$238:$C$451,$C81,'TL09'!$J$238:$J$451),0),
IF('TL10'!$B$3=K$3,SUMIF('TL10'!$C$10:$C$224,$C81,'TL10'!$J$10:$J$224),0),
IF('TL10'!$B$229=K$3,SUMIF('TL10'!$C$238:$C$451,$C81,'TL10'!$J$238:$J$451),0),
IF('TL11'!$B$3=K$3,SUMIF('TL11'!$C$10:$C$224,$C81,'TL11'!$J$10:$J$224),0),
IF('TL11'!$B$229=K$3,SUMIF('TL11'!$C$238:$C$451,$C81,'TL11'!$J$238:$J$451),0),
IF('TL12'!$B$3=K$3,SUMIF('TL12'!$C$10:$C$224,$C81,'TL12'!$J$10:$J$224),0),
IF('TL12'!$B$229=K$3,SUMIF('TL12'!$C$238:$C$451,$C81,'TL12'!$J$238:$J$451),0),
IF('TL13'!$B$3=K$3,SUMIF('TL13'!$C$10:$C$224,$C81,'TL13'!$J$10:$J$224),0),
IF('TL13'!$B$229=K$3,SUMIF('TL13'!$C$238:$C$451,$C81,'TL13'!$J$238:$J$451),0),
IF('TL14'!$B$3=K$3,SUMIF('TL14'!$C$10:$C$224,$C81,'TL14'!$J$10:$J$224),0),
IF('TL14'!$B$229=K$3,SUMIF('TL14'!$C$238:$C$451,$C81,'TL14'!$J$238:$J$451),0),
IF('TL15'!$B$3=K$3,SUMIF('TL15'!$C$10:$C$224,$C81,'TL15'!$J$10:$J$224),0),
IF('TL15'!$B$229=K$3,SUMIF('TL15'!$C$238:$C$451,$C81,'TL15'!$J$238:$J$451),0),
IF('TL16'!$B$3=K$3,SUMIF('TL16'!$C$10:$C$224,$C81,'TL16'!$J$10:$J$224),0),
IF('TL16'!$B$229=K$3,SUMIF('TL16'!$C$238:$C$451,$C81,'TL16'!$J$238:$J$451),0),
IF('TL17'!$B$3=K$3,SUMIF('TL17'!$C$10:$C$224,$C81,'TL17'!$J$10:$J$224),0),
IF('TL17'!$B$229=K$3,SUMIF('TL17'!$C$238:$C$451,$C81,'TL17'!$J$238:$J$451),0),
IF('TL18'!$B$3=K$3,SUMIF('TL18'!$C$10:$C$224,$C81,'TL18'!$J$10:$J$224),0),
IF('TL18'!$B$229=K$3,SUMIF('TL18'!$C$238:$C$451,$C81,'TL18'!$J$238:$J$451),0),
IF('TL19'!$B$3=K$3,SUMIF('TL19'!$C$10:$C$224,$C81,'TL19'!$J$10:$J$224),0),
IF('TL19'!$B$229=K$3,SUMIF('TL19'!$C$238:$C$451,$C81,'TL19'!$J$238:$J$451),0)
),0)</f>
        <v/>
      </c>
      <c r="L81" s="9">
        <f>IFERROR(SUM(
IF('TL01'!$B$3=L$3,SUMIF('TL01'!$C$10:$C$224,$C81,'TL01'!$J$10:$J$224),0),
IF('TL01'!$B$229=L$3,SUMIF('TL01'!$C$238:$C$451,$C81,'TL01'!$J$238:$J$451),0),
IF('TL02'!$B$3=L$3,SUMIF('TL02'!$C$10:$C$224,$C81,'TL02'!$J$10:$J$224),0),
IF('TL02'!$B$229=L$3,SUMIF('TL02'!$C$238:$C$451,$C81,'TL02'!$J$238:$J$451),0),
IF('TL03'!$B$3=L$3,SUMIF('TL03'!$C$10:$C$224,$C81,'TL03'!$J$10:$J$224),0),
IF('TL03'!$B$229=L$3,SUMIF('TL03'!$C$238:$C$451,$C81,'TL03'!$J$238:$J$451),0),
IF('TL04'!$B$3=L$3,SUMIF('TL04'!$C$10:$C$224,$C81,'TL04'!$J$10:$J$224),0),
IF('TL04'!$B$229=L$3,SUMIF('TL04'!$C$238:$C$451,$C81,'TL04'!$J$238:$J$451),0),
IF('TL05'!$B$3=L$3,SUMIF('TL05'!$C$10:$C$224,$C81,'TL05'!$J$10:$J$224),0),
IF('TL05'!$B$229=L$3,SUMIF('TL05'!$C$238:$C$451,$C81,'TL05'!$J$238:$J$451),0),
IF('TL06'!$B$3=L$3,SUMIF('TL06'!$C$10:$C$224,$C81,'TL06'!$J$10:$J$224),0),
IF('TL06'!$B$229=L$3,SUMIF('TL06'!$C$238:$C$451,$C81,'TL06'!$J$238:$J$451),0),
IF('TL07'!$B$3=L$3,SUMIF('TL07'!$C$10:$C$224,$C81,'TL07'!$J$10:$J$224),0),
IF('TL07'!$B$229=L$3,SUMIF('TL07'!$C$238:$C$451,$C81,'TL07'!$J$238:$J$451),0),
IF('TL08'!$B$3=L$3,SUMIF('TL08'!$C$10:$C$224,$C81,'TL08'!$J$10:$J$224),0),
IF('TL08'!$B$229=L$3,SUMIF('TL08'!$C$238:$C$451,$C81,'TL08'!$J$238:$J$451),0),
IF('TL09'!$B$3=L$3,SUMIF('TL09'!$C$10:$C$224,$C81,'TL09'!$J$10:$J$224),0),
IF('TL09'!$B$229=L$3,SUMIF('TL09'!$C$238:$C$451,$C81,'TL09'!$J$238:$J$451),0),
IF('TL10'!$B$3=L$3,SUMIF('TL10'!$C$10:$C$224,$C81,'TL10'!$J$10:$J$224),0),
IF('TL10'!$B$229=L$3,SUMIF('TL10'!$C$238:$C$451,$C81,'TL10'!$J$238:$J$451),0),
IF('TL11'!$B$3=L$3,SUMIF('TL11'!$C$10:$C$224,$C81,'TL11'!$J$10:$J$224),0),
IF('TL11'!$B$229=L$3,SUMIF('TL11'!$C$238:$C$451,$C81,'TL11'!$J$238:$J$451),0),
IF('TL12'!$B$3=L$3,SUMIF('TL12'!$C$10:$C$224,$C81,'TL12'!$J$10:$J$224),0),
IF('TL12'!$B$229=L$3,SUMIF('TL12'!$C$238:$C$451,$C81,'TL12'!$J$238:$J$451),0),
IF('TL13'!$B$3=L$3,SUMIF('TL13'!$C$10:$C$224,$C81,'TL13'!$J$10:$J$224),0),
IF('TL13'!$B$229=L$3,SUMIF('TL13'!$C$238:$C$451,$C81,'TL13'!$J$238:$J$451),0),
IF('TL14'!$B$3=L$3,SUMIF('TL14'!$C$10:$C$224,$C81,'TL14'!$J$10:$J$224),0),
IF('TL14'!$B$229=L$3,SUMIF('TL14'!$C$238:$C$451,$C81,'TL14'!$J$238:$J$451),0),
IF('TL15'!$B$3=L$3,SUMIF('TL15'!$C$10:$C$224,$C81,'TL15'!$J$10:$J$224),0),
IF('TL15'!$B$229=L$3,SUMIF('TL15'!$C$238:$C$451,$C81,'TL15'!$J$238:$J$451),0),
IF('TL16'!$B$3=L$3,SUMIF('TL16'!$C$10:$C$224,$C81,'TL16'!$J$10:$J$224),0),
IF('TL16'!$B$229=L$3,SUMIF('TL16'!$C$238:$C$451,$C81,'TL16'!$J$238:$J$451),0),
IF('TL17'!$B$3=L$3,SUMIF('TL17'!$C$10:$C$224,$C81,'TL17'!$J$10:$J$224),0),
IF('TL17'!$B$229=L$3,SUMIF('TL17'!$C$238:$C$451,$C81,'TL17'!$J$238:$J$451),0),
IF('TL18'!$B$3=L$3,SUMIF('TL18'!$C$10:$C$224,$C81,'TL18'!$J$10:$J$224),0),
IF('TL18'!$B$229=L$3,SUMIF('TL18'!$C$238:$C$451,$C81,'TL18'!$J$238:$J$451),0),
IF('TL19'!$B$3=L$3,SUMIF('TL19'!$C$10:$C$224,$C81,'TL19'!$J$10:$J$224),0),
IF('TL19'!$B$229=L$3,SUMIF('TL19'!$C$238:$C$451,$C81,'TL19'!$J$238:$J$451),0)
),0)</f>
        <v/>
      </c>
      <c r="M81" s="9">
        <f>IFERROR(SUM(
IF('TL01'!$B$3=M$3,SUMIF('TL01'!$C$10:$C$224,$C81,'TL01'!$J$10:$J$224),0),
IF('TL01'!$B$229=M$3,SUMIF('TL01'!$C$238:$C$451,$C81,'TL01'!$J$238:$J$451),0),
IF('TL02'!$B$3=M$3,SUMIF('TL02'!$C$10:$C$224,$C81,'TL02'!$J$10:$J$224),0),
IF('TL02'!$B$229=M$3,SUMIF('TL02'!$C$238:$C$451,$C81,'TL02'!$J$238:$J$451),0),
IF('TL03'!$B$3=M$3,SUMIF('TL03'!$C$10:$C$224,$C81,'TL03'!$J$10:$J$224),0),
IF('TL03'!$B$229=M$3,SUMIF('TL03'!$C$238:$C$451,$C81,'TL03'!$J$238:$J$451),0),
IF('TL04'!$B$3=M$3,SUMIF('TL04'!$C$10:$C$224,$C81,'TL04'!$J$10:$J$224),0),
IF('TL04'!$B$229=M$3,SUMIF('TL04'!$C$238:$C$451,$C81,'TL04'!$J$238:$J$451),0),
IF('TL05'!$B$3=M$3,SUMIF('TL05'!$C$10:$C$224,$C81,'TL05'!$J$10:$J$224),0),
IF('TL05'!$B$229=M$3,SUMIF('TL05'!$C$238:$C$451,$C81,'TL05'!$J$238:$J$451),0),
IF('TL06'!$B$3=M$3,SUMIF('TL06'!$C$10:$C$224,$C81,'TL06'!$J$10:$J$224),0),
IF('TL06'!$B$229=M$3,SUMIF('TL06'!$C$238:$C$451,$C81,'TL06'!$J$238:$J$451),0),
IF('TL07'!$B$3=M$3,SUMIF('TL07'!$C$10:$C$224,$C81,'TL07'!$J$10:$J$224),0),
IF('TL07'!$B$229=M$3,SUMIF('TL07'!$C$238:$C$451,$C81,'TL07'!$J$238:$J$451),0),
IF('TL08'!$B$3=M$3,SUMIF('TL08'!$C$10:$C$224,$C81,'TL08'!$J$10:$J$224),0),
IF('TL08'!$B$229=M$3,SUMIF('TL08'!$C$238:$C$451,$C81,'TL08'!$J$238:$J$451),0),
IF('TL09'!$B$3=M$3,SUMIF('TL09'!$C$10:$C$224,$C81,'TL09'!$J$10:$J$224),0),
IF('TL09'!$B$229=M$3,SUMIF('TL09'!$C$238:$C$451,$C81,'TL09'!$J$238:$J$451),0),
IF('TL10'!$B$3=M$3,SUMIF('TL10'!$C$10:$C$224,$C81,'TL10'!$J$10:$J$224),0),
IF('TL10'!$B$229=M$3,SUMIF('TL10'!$C$238:$C$451,$C81,'TL10'!$J$238:$J$451),0),
IF('TL11'!$B$3=M$3,SUMIF('TL11'!$C$10:$C$224,$C81,'TL11'!$J$10:$J$224),0),
IF('TL11'!$B$229=M$3,SUMIF('TL11'!$C$238:$C$451,$C81,'TL11'!$J$238:$J$451),0),
IF('TL12'!$B$3=M$3,SUMIF('TL12'!$C$10:$C$224,$C81,'TL12'!$J$10:$J$224),0),
IF('TL12'!$B$229=M$3,SUMIF('TL12'!$C$238:$C$451,$C81,'TL12'!$J$238:$J$451),0),
IF('TL13'!$B$3=M$3,SUMIF('TL13'!$C$10:$C$224,$C81,'TL13'!$J$10:$J$224),0),
IF('TL13'!$B$229=M$3,SUMIF('TL13'!$C$238:$C$451,$C81,'TL13'!$J$238:$J$451),0),
IF('TL14'!$B$3=M$3,SUMIF('TL14'!$C$10:$C$224,$C81,'TL14'!$J$10:$J$224),0),
IF('TL14'!$B$229=M$3,SUMIF('TL14'!$C$238:$C$451,$C81,'TL14'!$J$238:$J$451),0),
IF('TL15'!$B$3=M$3,SUMIF('TL15'!$C$10:$C$224,$C81,'TL15'!$J$10:$J$224),0),
IF('TL15'!$B$229=M$3,SUMIF('TL15'!$C$238:$C$451,$C81,'TL15'!$J$238:$J$451),0),
IF('TL16'!$B$3=M$3,SUMIF('TL16'!$C$10:$C$224,$C81,'TL16'!$J$10:$J$224),0),
IF('TL16'!$B$229=M$3,SUMIF('TL16'!$C$238:$C$451,$C81,'TL16'!$J$238:$J$451),0),
IF('TL17'!$B$3=M$3,SUMIF('TL17'!$C$10:$C$224,$C81,'TL17'!$J$10:$J$224),0),
IF('TL17'!$B$229=M$3,SUMIF('TL17'!$C$238:$C$451,$C81,'TL17'!$J$238:$J$451),0),
IF('TL18'!$B$3=M$3,SUMIF('TL18'!$C$10:$C$224,$C81,'TL18'!$J$10:$J$224),0),
IF('TL18'!$B$229=M$3,SUMIF('TL18'!$C$238:$C$451,$C81,'TL18'!$J$238:$J$451),0),
IF('TL19'!$B$3=M$3,SUMIF('TL19'!$C$10:$C$224,$C81,'TL19'!$J$10:$J$224),0),
IF('TL19'!$B$229=M$3,SUMIF('TL19'!$C$238:$C$451,$C81,'TL19'!$J$238:$J$451),0)
),0)</f>
        <v/>
      </c>
      <c r="N81" s="9">
        <f>IFERROR(SUM(
IF('TL01'!$B$3=N$3,SUMIF('TL01'!$C$10:$C$224,$C81,'TL01'!$J$10:$J$224),0),
IF('TL01'!$B$229=N$3,SUMIF('TL01'!$C$238:$C$451,$C81,'TL01'!$J$238:$J$451),0),
IF('TL02'!$B$3=N$3,SUMIF('TL02'!$C$10:$C$224,$C81,'TL02'!$J$10:$J$224),0),
IF('TL02'!$B$229=N$3,SUMIF('TL02'!$C$238:$C$451,$C81,'TL02'!$J$238:$J$451),0),
IF('TL03'!$B$3=N$3,SUMIF('TL03'!$C$10:$C$224,$C81,'TL03'!$J$10:$J$224),0),
IF('TL03'!$B$229=N$3,SUMIF('TL03'!$C$238:$C$451,$C81,'TL03'!$J$238:$J$451),0),
IF('TL04'!$B$3=N$3,SUMIF('TL04'!$C$10:$C$224,$C81,'TL04'!$J$10:$J$224),0),
IF('TL04'!$B$229=N$3,SUMIF('TL04'!$C$238:$C$451,$C81,'TL04'!$J$238:$J$451),0),
IF('TL05'!$B$3=N$3,SUMIF('TL05'!$C$10:$C$224,$C81,'TL05'!$J$10:$J$224),0),
IF('TL05'!$B$229=N$3,SUMIF('TL05'!$C$238:$C$451,$C81,'TL05'!$J$238:$J$451),0),
IF('TL06'!$B$3=N$3,SUMIF('TL06'!$C$10:$C$224,$C81,'TL06'!$J$10:$J$224),0),
IF('TL06'!$B$229=N$3,SUMIF('TL06'!$C$238:$C$451,$C81,'TL06'!$J$238:$J$451),0),
IF('TL07'!$B$3=N$3,SUMIF('TL07'!$C$10:$C$224,$C81,'TL07'!$J$10:$J$224),0),
IF('TL07'!$B$229=N$3,SUMIF('TL07'!$C$238:$C$451,$C81,'TL07'!$J$238:$J$451),0),
IF('TL08'!$B$3=N$3,SUMIF('TL08'!$C$10:$C$224,$C81,'TL08'!$J$10:$J$224),0),
IF('TL08'!$B$229=N$3,SUMIF('TL08'!$C$238:$C$451,$C81,'TL08'!$J$238:$J$451),0),
IF('TL09'!$B$3=N$3,SUMIF('TL09'!$C$10:$C$224,$C81,'TL09'!$J$10:$J$224),0),
IF('TL09'!$B$229=N$3,SUMIF('TL09'!$C$238:$C$451,$C81,'TL09'!$J$238:$J$451),0),
IF('TL10'!$B$3=N$3,SUMIF('TL10'!$C$10:$C$224,$C81,'TL10'!$J$10:$J$224),0),
IF('TL10'!$B$229=N$3,SUMIF('TL10'!$C$238:$C$451,$C81,'TL10'!$J$238:$J$451),0),
IF('TL11'!$B$3=N$3,SUMIF('TL11'!$C$10:$C$224,$C81,'TL11'!$J$10:$J$224),0),
IF('TL11'!$B$229=N$3,SUMIF('TL11'!$C$238:$C$451,$C81,'TL11'!$J$238:$J$451),0),
IF('TL12'!$B$3=N$3,SUMIF('TL12'!$C$10:$C$224,$C81,'TL12'!$J$10:$J$224),0),
IF('TL12'!$B$229=N$3,SUMIF('TL12'!$C$238:$C$451,$C81,'TL12'!$J$238:$J$451),0),
IF('TL13'!$B$3=N$3,SUMIF('TL13'!$C$10:$C$224,$C81,'TL13'!$J$10:$J$224),0),
IF('TL13'!$B$229=N$3,SUMIF('TL13'!$C$238:$C$451,$C81,'TL13'!$J$238:$J$451),0),
IF('TL14'!$B$3=N$3,SUMIF('TL14'!$C$10:$C$224,$C81,'TL14'!$J$10:$J$224),0),
IF('TL14'!$B$229=N$3,SUMIF('TL14'!$C$238:$C$451,$C81,'TL14'!$J$238:$J$451),0),
IF('TL15'!$B$3=N$3,SUMIF('TL15'!$C$10:$C$224,$C81,'TL15'!$J$10:$J$224),0),
IF('TL15'!$B$229=N$3,SUMIF('TL15'!$C$238:$C$451,$C81,'TL15'!$J$238:$J$451),0),
IF('TL16'!$B$3=N$3,SUMIF('TL16'!$C$10:$C$224,$C81,'TL16'!$J$10:$J$224),0),
IF('TL16'!$B$229=N$3,SUMIF('TL16'!$C$238:$C$451,$C81,'TL16'!$J$238:$J$451),0),
IF('TL17'!$B$3=N$3,SUMIF('TL17'!$C$10:$C$224,$C81,'TL17'!$J$10:$J$224),0),
IF('TL17'!$B$229=N$3,SUMIF('TL17'!$C$238:$C$451,$C81,'TL17'!$J$238:$J$451),0),
IF('TL18'!$B$3=N$3,SUMIF('TL18'!$C$10:$C$224,$C81,'TL18'!$J$10:$J$224),0),
IF('TL18'!$B$229=N$3,SUMIF('TL18'!$C$238:$C$451,$C81,'TL18'!$J$238:$J$451),0),
IF('TL19'!$B$3=N$3,SUMIF('TL19'!$C$10:$C$224,$C81,'TL19'!$J$10:$J$224),0),
IF('TL19'!$B$229=N$3,SUMIF('TL19'!$C$238:$C$451,$C81,'TL19'!$J$238:$J$451),0)
),0)</f>
        <v/>
      </c>
      <c r="O81" s="9">
        <f>IFERROR(SUM(
IF('TL01'!$B$3=O$3,SUMIF('TL01'!$C$10:$C$224,$C81,'TL01'!$J$10:$J$224),0),
IF('TL01'!$B$229=O$3,SUMIF('TL01'!$C$238:$C$451,$C81,'TL01'!$J$238:$J$451),0),
IF('TL02'!$B$3=O$3,SUMIF('TL02'!$C$10:$C$224,$C81,'TL02'!$J$10:$J$224),0),
IF('TL02'!$B$229=O$3,SUMIF('TL02'!$C$238:$C$451,$C81,'TL02'!$J$238:$J$451),0),
IF('TL03'!$B$3=O$3,SUMIF('TL03'!$C$10:$C$224,$C81,'TL03'!$J$10:$J$224),0),
IF('TL03'!$B$229=O$3,SUMIF('TL03'!$C$238:$C$451,$C81,'TL03'!$J$238:$J$451),0),
IF('TL04'!$B$3=O$3,SUMIF('TL04'!$C$10:$C$224,$C81,'TL04'!$J$10:$J$224),0),
IF('TL04'!$B$229=O$3,SUMIF('TL04'!$C$238:$C$451,$C81,'TL04'!$J$238:$J$451),0),
IF('TL05'!$B$3=O$3,SUMIF('TL05'!$C$10:$C$224,$C81,'TL05'!$J$10:$J$224),0),
IF('TL05'!$B$229=O$3,SUMIF('TL05'!$C$238:$C$451,$C81,'TL05'!$J$238:$J$451),0),
IF('TL06'!$B$3=O$3,SUMIF('TL06'!$C$10:$C$224,$C81,'TL06'!$J$10:$J$224),0),
IF('TL06'!$B$229=O$3,SUMIF('TL06'!$C$238:$C$451,$C81,'TL06'!$J$238:$J$451),0),
IF('TL07'!$B$3=O$3,SUMIF('TL07'!$C$10:$C$224,$C81,'TL07'!$J$10:$J$224),0),
IF('TL07'!$B$229=O$3,SUMIF('TL07'!$C$238:$C$451,$C81,'TL07'!$J$238:$J$451),0),
IF('TL08'!$B$3=O$3,SUMIF('TL08'!$C$10:$C$224,$C81,'TL08'!$J$10:$J$224),0),
IF('TL08'!$B$229=O$3,SUMIF('TL08'!$C$238:$C$451,$C81,'TL08'!$J$238:$J$451),0),
IF('TL09'!$B$3=O$3,SUMIF('TL09'!$C$10:$C$224,$C81,'TL09'!$J$10:$J$224),0),
IF('TL09'!$B$229=O$3,SUMIF('TL09'!$C$238:$C$451,$C81,'TL09'!$J$238:$J$451),0),
IF('TL10'!$B$3=O$3,SUMIF('TL10'!$C$10:$C$224,$C81,'TL10'!$J$10:$J$224),0),
IF('TL10'!$B$229=O$3,SUMIF('TL10'!$C$238:$C$451,$C81,'TL10'!$J$238:$J$451),0),
IF('TL11'!$B$3=O$3,SUMIF('TL11'!$C$10:$C$224,$C81,'TL11'!$J$10:$J$224),0),
IF('TL11'!$B$229=O$3,SUMIF('TL11'!$C$238:$C$451,$C81,'TL11'!$J$238:$J$451),0),
IF('TL12'!$B$3=O$3,SUMIF('TL12'!$C$10:$C$224,$C81,'TL12'!$J$10:$J$224),0),
IF('TL12'!$B$229=O$3,SUMIF('TL12'!$C$238:$C$451,$C81,'TL12'!$J$238:$J$451),0),
IF('TL13'!$B$3=O$3,SUMIF('TL13'!$C$10:$C$224,$C81,'TL13'!$J$10:$J$224),0),
IF('TL13'!$B$229=O$3,SUMIF('TL13'!$C$238:$C$451,$C81,'TL13'!$J$238:$J$451),0),
IF('TL14'!$B$3=O$3,SUMIF('TL14'!$C$10:$C$224,$C81,'TL14'!$J$10:$J$224),0),
IF('TL14'!$B$229=O$3,SUMIF('TL14'!$C$238:$C$451,$C81,'TL14'!$J$238:$J$451),0),
IF('TL15'!$B$3=O$3,SUMIF('TL15'!$C$10:$C$224,$C81,'TL15'!$J$10:$J$224),0),
IF('TL15'!$B$229=O$3,SUMIF('TL15'!$C$238:$C$451,$C81,'TL15'!$J$238:$J$451),0),
IF('TL16'!$B$3=O$3,SUMIF('TL16'!$C$10:$C$224,$C81,'TL16'!$J$10:$J$224),0),
IF('TL16'!$B$229=O$3,SUMIF('TL16'!$C$238:$C$451,$C81,'TL16'!$J$238:$J$451),0),
IF('TL17'!$B$3=O$3,SUMIF('TL17'!$C$10:$C$224,$C81,'TL17'!$J$10:$J$224),0),
IF('TL17'!$B$229=O$3,SUMIF('TL17'!$C$238:$C$451,$C81,'TL17'!$J$238:$J$451),0),
IF('TL18'!$B$3=O$3,SUMIF('TL18'!$C$10:$C$224,$C81,'TL18'!$J$10:$J$224),0),
IF('TL18'!$B$229=O$3,SUMIF('TL18'!$C$238:$C$451,$C81,'TL18'!$J$238:$J$451),0),
IF('TL19'!$B$3=O$3,SUMIF('TL19'!$C$10:$C$224,$C81,'TL19'!$J$10:$J$224),0),
IF('TL19'!$B$229=O$3,SUMIF('TL19'!$C$238:$C$451,$C81,'TL19'!$J$238:$J$451),0)
),0)</f>
        <v/>
      </c>
      <c r="P81" s="9">
        <f>IFERROR(SUM(
IF('TL01'!$B$3=P$3,SUMIF('TL01'!$C$10:$C$224,$C81,'TL01'!$J$10:$J$224),0),
IF('TL01'!$B$229=P$3,SUMIF('TL01'!$C$238:$C$451,$C81,'TL01'!$J$238:$J$451),0),
IF('TL02'!$B$3=P$3,SUMIF('TL02'!$C$10:$C$224,$C81,'TL02'!$J$10:$J$224),0),
IF('TL02'!$B$229=P$3,SUMIF('TL02'!$C$238:$C$451,$C81,'TL02'!$J$238:$J$451),0),
IF('TL03'!$B$3=P$3,SUMIF('TL03'!$C$10:$C$224,$C81,'TL03'!$J$10:$J$224),0),
IF('TL03'!$B$229=P$3,SUMIF('TL03'!$C$238:$C$451,$C81,'TL03'!$J$238:$J$451),0),
IF('TL04'!$B$3=P$3,SUMIF('TL04'!$C$10:$C$224,$C81,'TL04'!$J$10:$J$224),0),
IF('TL04'!$B$229=P$3,SUMIF('TL04'!$C$238:$C$451,$C81,'TL04'!$J$238:$J$451),0),
IF('TL05'!$B$3=P$3,SUMIF('TL05'!$C$10:$C$224,$C81,'TL05'!$J$10:$J$224),0),
IF('TL05'!$B$229=P$3,SUMIF('TL05'!$C$238:$C$451,$C81,'TL05'!$J$238:$J$451),0),
IF('TL06'!$B$3=P$3,SUMIF('TL06'!$C$10:$C$224,$C81,'TL06'!$J$10:$J$224),0),
IF('TL06'!$B$229=P$3,SUMIF('TL06'!$C$238:$C$451,$C81,'TL06'!$J$238:$J$451),0),
IF('TL07'!$B$3=P$3,SUMIF('TL07'!$C$10:$C$224,$C81,'TL07'!$J$10:$J$224),0),
IF('TL07'!$B$229=P$3,SUMIF('TL07'!$C$238:$C$451,$C81,'TL07'!$J$238:$J$451),0),
IF('TL08'!$B$3=P$3,SUMIF('TL08'!$C$10:$C$224,$C81,'TL08'!$J$10:$J$224),0),
IF('TL08'!$B$229=P$3,SUMIF('TL08'!$C$238:$C$451,$C81,'TL08'!$J$238:$J$451),0),
IF('TL09'!$B$3=P$3,SUMIF('TL09'!$C$10:$C$224,$C81,'TL09'!$J$10:$J$224),0),
IF('TL09'!$B$229=P$3,SUMIF('TL09'!$C$238:$C$451,$C81,'TL09'!$J$238:$J$451),0),
IF('TL10'!$B$3=P$3,SUMIF('TL10'!$C$10:$C$224,$C81,'TL10'!$J$10:$J$224),0),
IF('TL10'!$B$229=P$3,SUMIF('TL10'!$C$238:$C$451,$C81,'TL10'!$J$238:$J$451),0),
IF('TL11'!$B$3=P$3,SUMIF('TL11'!$C$10:$C$224,$C81,'TL11'!$J$10:$J$224),0),
IF('TL11'!$B$229=P$3,SUMIF('TL11'!$C$238:$C$451,$C81,'TL11'!$J$238:$J$451),0),
IF('TL12'!$B$3=P$3,SUMIF('TL12'!$C$10:$C$224,$C81,'TL12'!$J$10:$J$224),0),
IF('TL12'!$B$229=P$3,SUMIF('TL12'!$C$238:$C$451,$C81,'TL12'!$J$238:$J$451),0),
IF('TL13'!$B$3=P$3,SUMIF('TL13'!$C$10:$C$224,$C81,'TL13'!$J$10:$J$224),0),
IF('TL13'!$B$229=P$3,SUMIF('TL13'!$C$238:$C$451,$C81,'TL13'!$J$238:$J$451),0),
IF('TL14'!$B$3=P$3,SUMIF('TL14'!$C$10:$C$224,$C81,'TL14'!$J$10:$J$224),0),
IF('TL14'!$B$229=P$3,SUMIF('TL14'!$C$238:$C$451,$C81,'TL14'!$J$238:$J$451),0),
IF('TL15'!$B$3=P$3,SUMIF('TL15'!$C$10:$C$224,$C81,'TL15'!$J$10:$J$224),0),
IF('TL15'!$B$229=P$3,SUMIF('TL15'!$C$238:$C$451,$C81,'TL15'!$J$238:$J$451),0),
IF('TL16'!$B$3=P$3,SUMIF('TL16'!$C$10:$C$224,$C81,'TL16'!$J$10:$J$224),0),
IF('TL16'!$B$229=P$3,SUMIF('TL16'!$C$238:$C$451,$C81,'TL16'!$J$238:$J$451),0),
IF('TL17'!$B$3=P$3,SUMIF('TL17'!$C$10:$C$224,$C81,'TL17'!$J$10:$J$224),0),
IF('TL17'!$B$229=P$3,SUMIF('TL17'!$C$238:$C$451,$C81,'TL17'!$J$238:$J$451),0),
IF('TL18'!$B$3=P$3,SUMIF('TL18'!$C$10:$C$224,$C81,'TL18'!$J$10:$J$224),0),
IF('TL18'!$B$229=P$3,SUMIF('TL18'!$C$238:$C$451,$C81,'TL18'!$J$238:$J$451),0),
IF('TL19'!$B$3=P$3,SUMIF('TL19'!$C$10:$C$224,$C81,'TL19'!$J$10:$J$224),0),
IF('TL19'!$B$229=P$3,SUMIF('TL19'!$C$238:$C$451,$C81,'TL19'!$J$238:$J$451),0)
),0)</f>
        <v/>
      </c>
      <c r="Q81" s="9">
        <f>IFERROR(SUM(
IF('TL01'!$B$3=Q$3,SUMIF('TL01'!$C$10:$C$224,$C81,'TL01'!$J$10:$J$224),0),
IF('TL01'!$B$229=Q$3,SUMIF('TL01'!$C$238:$C$451,$C81,'TL01'!$J$238:$J$451),0),
IF('TL02'!$B$3=Q$3,SUMIF('TL02'!$C$10:$C$224,$C81,'TL02'!$J$10:$J$224),0),
IF('TL02'!$B$229=Q$3,SUMIF('TL02'!$C$238:$C$451,$C81,'TL02'!$J$238:$J$451),0),
IF('TL03'!$B$3=Q$3,SUMIF('TL03'!$C$10:$C$224,$C81,'TL03'!$J$10:$J$224),0),
IF('TL03'!$B$229=Q$3,SUMIF('TL03'!$C$238:$C$451,$C81,'TL03'!$J$238:$J$451),0),
IF('TL04'!$B$3=Q$3,SUMIF('TL04'!$C$10:$C$224,$C81,'TL04'!$J$10:$J$224),0),
IF('TL04'!$B$229=Q$3,SUMIF('TL04'!$C$238:$C$451,$C81,'TL04'!$J$238:$J$451),0),
IF('TL05'!$B$3=Q$3,SUMIF('TL05'!$C$10:$C$224,$C81,'TL05'!$J$10:$J$224),0),
IF('TL05'!$B$229=Q$3,SUMIF('TL05'!$C$238:$C$451,$C81,'TL05'!$J$238:$J$451),0),
IF('TL06'!$B$3=Q$3,SUMIF('TL06'!$C$10:$C$224,$C81,'TL06'!$J$10:$J$224),0),
IF('TL06'!$B$229=Q$3,SUMIF('TL06'!$C$238:$C$451,$C81,'TL06'!$J$238:$J$451),0),
IF('TL07'!$B$3=Q$3,SUMIF('TL07'!$C$10:$C$224,$C81,'TL07'!$J$10:$J$224),0),
IF('TL07'!$B$229=Q$3,SUMIF('TL07'!$C$238:$C$451,$C81,'TL07'!$J$238:$J$451),0),
IF('TL08'!$B$3=Q$3,SUMIF('TL08'!$C$10:$C$224,$C81,'TL08'!$J$10:$J$224),0),
IF('TL08'!$B$229=Q$3,SUMIF('TL08'!$C$238:$C$451,$C81,'TL08'!$J$238:$J$451),0),
IF('TL09'!$B$3=Q$3,SUMIF('TL09'!$C$10:$C$224,$C81,'TL09'!$J$10:$J$224),0),
IF('TL09'!$B$229=Q$3,SUMIF('TL09'!$C$238:$C$451,$C81,'TL09'!$J$238:$J$451),0),
IF('TL10'!$B$3=Q$3,SUMIF('TL10'!$C$10:$C$224,$C81,'TL10'!$J$10:$J$224),0),
IF('TL10'!$B$229=Q$3,SUMIF('TL10'!$C$238:$C$451,$C81,'TL10'!$J$238:$J$451),0),
IF('TL11'!$B$3=Q$3,SUMIF('TL11'!$C$10:$C$224,$C81,'TL11'!$J$10:$J$224),0),
IF('TL11'!$B$229=Q$3,SUMIF('TL11'!$C$238:$C$451,$C81,'TL11'!$J$238:$J$451),0),
IF('TL12'!$B$3=Q$3,SUMIF('TL12'!$C$10:$C$224,$C81,'TL12'!$J$10:$J$224),0),
IF('TL12'!$B$229=Q$3,SUMIF('TL12'!$C$238:$C$451,$C81,'TL12'!$J$238:$J$451),0),
IF('TL13'!$B$3=Q$3,SUMIF('TL13'!$C$10:$C$224,$C81,'TL13'!$J$10:$J$224),0),
IF('TL13'!$B$229=Q$3,SUMIF('TL13'!$C$238:$C$451,$C81,'TL13'!$J$238:$J$451),0),
IF('TL14'!$B$3=Q$3,SUMIF('TL14'!$C$10:$C$224,$C81,'TL14'!$J$10:$J$224),0),
IF('TL14'!$B$229=Q$3,SUMIF('TL14'!$C$238:$C$451,$C81,'TL14'!$J$238:$J$451),0),
IF('TL15'!$B$3=Q$3,SUMIF('TL15'!$C$10:$C$224,$C81,'TL15'!$J$10:$J$224),0),
IF('TL15'!$B$229=Q$3,SUMIF('TL15'!$C$238:$C$451,$C81,'TL15'!$J$238:$J$451),0),
IF('TL16'!$B$3=Q$3,SUMIF('TL16'!$C$10:$C$224,$C81,'TL16'!$J$10:$J$224),0),
IF('TL16'!$B$229=Q$3,SUMIF('TL16'!$C$238:$C$451,$C81,'TL16'!$J$238:$J$451),0),
IF('TL17'!$B$3=Q$3,SUMIF('TL17'!$C$10:$C$224,$C81,'TL17'!$J$10:$J$224),0),
IF('TL17'!$B$229=Q$3,SUMIF('TL17'!$C$238:$C$451,$C81,'TL17'!$J$238:$J$451),0),
IF('TL18'!$B$3=Q$3,SUMIF('TL18'!$C$10:$C$224,$C81,'TL18'!$J$10:$J$224),0),
IF('TL18'!$B$229=Q$3,SUMIF('TL18'!$C$238:$C$451,$C81,'TL18'!$J$238:$J$451),0),
IF('TL19'!$B$3=Q$3,SUMIF('TL19'!$C$10:$C$224,$C81,'TL19'!$J$10:$J$224),0),
IF('TL19'!$B$229=Q$3,SUMIF('TL19'!$C$238:$C$451,$C81,'TL19'!$J$238:$J$451),0)
),0)</f>
        <v/>
      </c>
      <c r="R81" s="9">
        <f>IFERROR(
SUM(
SUMIF('TL01'!C:C,C81,'TL01'!J:J),
SUMIF('TL02'!C:C,C81,'TL02'!J:J),
SUMIF('TL03'!C:C,C81,'TL03'!J:J),
SUMIF('TL04'!C:C,C81,'TL04'!J:J),
SUMIF('TL05'!C:C,C81,'TL05'!J:J),
SUMIF('TL06'!C:C,C81,'TL06'!J:J),
SUMIF('TL07'!C:C,C81,'TL07'!J:J),
SUMIF('TL08'!C:C,C81,'TL08'!J:J),
SUMIF('TL09'!C:C,C81,'TL09'!J:J),
SUMIF('TL10'!C:C,C81,'TL10'!J:J),
SUMIF('TL11'!C:C,C81,'TL11'!J:J),
SUMIF('TL12'!C:C,C81,'TL12'!J:J),
SUMIF('TL13'!C:C,C81,'TL13'!J:J),
SUMIF('TL14'!C:C,C81,'TL14'!J:J),
SUMIF('TL15'!C:C,C81,'TL15'!J:J),
SUMIF('TL16'!C:C,C81,'TL16'!J:J),
SUMIF('TL17'!C:C,C81,'TL17'!J:J),
SUMIF('TL18'!C:C,C81,'TL18'!J:J),SUMIF('TL19'!C:C,C81,'TL19'!J:J))
,0)</f>
        <v/>
      </c>
      <c r="S81" s="17">
        <f>IFERROR(__xludf.DUMMYFUNCTION("IFERROR(VLOOKUP(C81,
IMPORTRANGE(""1wULbzX32WdYsx-lj2U3uUNBBe2INVIRDtcK0d-Dvl90"",
""26-27!C:G""),
5,
FALSE),
"""")"),38.916000000000004)</f>
        <v/>
      </c>
      <c r="T81" s="9" t="n"/>
      <c r="U81" s="92">
        <f>MAX(0,R81-T81)</f>
        <v/>
      </c>
      <c r="V81" s="93">
        <f>U81*S81</f>
        <v/>
      </c>
    </row>
    <row r="82" hidden="1" ht="15.75" customHeight="1" s="297">
      <c r="A82" s="115" t="inlineStr">
        <is>
          <t>SIPCAM</t>
        </is>
      </c>
      <c r="B82" s="100" t="inlineStr">
        <is>
          <t>FUNGICIDA</t>
        </is>
      </c>
      <c r="C82" s="116" t="inlineStr">
        <is>
          <t>VITENE</t>
        </is>
      </c>
      <c r="D82" s="116" t="inlineStr">
        <is>
          <t>AZOXISTROBINA + DIFENOCONAZOL</t>
        </is>
      </c>
      <c r="E82" s="116" t="inlineStr">
        <is>
          <t>300 + 200</t>
        </is>
      </c>
      <c r="F82" s="4" t="inlineStr">
        <is>
          <t>L</t>
        </is>
      </c>
      <c r="G82" s="90">
        <f>HYPERLINK("https://www.google.com/search?q=" &amp; C82 &amp; "+bula+agrofit+pdf", "📄 Ver bula")</f>
        <v/>
      </c>
      <c r="H82" s="9">
        <f>IFERROR(__xludf.DUMMYFUNCTION("IFERROR(VLOOKUP(C82,
IMPORTRANGE(""1wULbzX32WdYsx-lj2U3uUNBBe2INVIRDtcK0d-Dvl90"",
""26-27!C:K""),
8,
FALSE),
"""")"),0.2)</f>
        <v/>
      </c>
      <c r="I82" s="117" t="inlineStr">
        <is>
          <t>4X5</t>
        </is>
      </c>
      <c r="J82" s="9">
        <f>IFERROR(SUM(
IF('TL01'!$B$3=J$3,SUMIF('TL01'!$C$10:$C$224,$C82,'TL01'!$J$10:$J$224),0),
IF('TL01'!$B$229=J$3,SUMIF('TL01'!$C$238:$C$451,$C82,'TL01'!$J$238:$J$451),0),
IF('TL02'!$B$3=J$3,SUMIF('TL02'!$C$10:$C$224,$C82,'TL02'!$J$10:$J$224),0),
IF('TL02'!$B$229=J$3,SUMIF('TL02'!$C$238:$C$451,$C82,'TL02'!$J$238:$J$451),0),
IF('TL03'!$B$3=J$3,SUMIF('TL03'!$C$10:$C$224,$C82,'TL03'!$J$10:$J$224),0),
IF('TL03'!$B$229=J$3,SUMIF('TL03'!$C$238:$C$451,$C82,'TL03'!$J$238:$J$451),0),
IF('TL04'!$B$3=J$3,SUMIF('TL04'!$C$10:$C$224,$C82,'TL04'!$J$10:$J$224),0),
IF('TL04'!$B$229=J$3,SUMIF('TL04'!$C$238:$C$451,$C82,'TL04'!$J$238:$J$451),0),
IF('TL05'!$B$3=J$3,SUMIF('TL05'!$C$10:$C$224,$C82,'TL05'!$J$10:$J$224),0),
IF('TL05'!$B$229=J$3,SUMIF('TL05'!$C$238:$C$451,$C82,'TL05'!$J$238:$J$451),0),
IF('TL06'!$B$3=J$3,SUMIF('TL06'!$C$10:$C$224,$C82,'TL06'!$J$10:$J$224),0),
IF('TL06'!$B$229=J$3,SUMIF('TL06'!$C$238:$C$451,$C82,'TL06'!$J$238:$J$451),0),
IF('TL07'!$B$3=J$3,SUMIF('TL07'!$C$10:$C$224,$C82,'TL07'!$J$10:$J$224),0),
IF('TL07'!$B$229=J$3,SUMIF('TL07'!$C$238:$C$451,$C82,'TL07'!$J$238:$J$451),0),
IF('TL08'!$B$3=J$3,SUMIF('TL08'!$C$10:$C$224,$C82,'TL08'!$J$10:$J$224),0),
IF('TL08'!$B$229=J$3,SUMIF('TL08'!$C$238:$C$451,$C82,'TL08'!$J$238:$J$451),0),
IF('TL09'!$B$3=J$3,SUMIF('TL09'!$C$10:$C$224,$C82,'TL09'!$J$10:$J$224),0),
IF('TL09'!$B$229=J$3,SUMIF('TL09'!$C$238:$C$451,$C82,'TL09'!$J$238:$J$451),0),
IF('TL10'!$B$3=J$3,SUMIF('TL10'!$C$10:$C$224,$C82,'TL10'!$J$10:$J$224),0),
IF('TL10'!$B$229=J$3,SUMIF('TL10'!$C$238:$C$451,$C82,'TL10'!$J$238:$J$451),0),
IF('TL11'!$B$3=J$3,SUMIF('TL11'!$C$10:$C$224,$C82,'TL11'!$J$10:$J$224),0),
IF('TL11'!$B$229=J$3,SUMIF('TL11'!$C$238:$C$451,$C82,'TL11'!$J$238:$J$451),0),
IF('TL12'!$B$3=J$3,SUMIF('TL12'!$C$10:$C$224,$C82,'TL12'!$J$10:$J$224),0),
IF('TL12'!$B$229=J$3,SUMIF('TL12'!$C$238:$C$451,$C82,'TL12'!$J$238:$J$451),0),
IF('TL13'!$B$3=J$3,SUMIF('TL13'!$C$10:$C$224,$C82,'TL13'!$J$10:$J$224),0),
IF('TL13'!$B$229=J$3,SUMIF('TL13'!$C$238:$C$451,$C82,'TL13'!$J$238:$J$451),0),
IF('TL14'!$B$3=J$3,SUMIF('TL14'!$C$10:$C$224,$C82,'TL14'!$J$10:$J$224),0),
IF('TL14'!$B$229=J$3,SUMIF('TL14'!$C$238:$C$451,$C82,'TL14'!$J$238:$J$451),0),
IF('TL15'!$B$3=J$3,SUMIF('TL15'!$C$10:$C$224,$C82,'TL15'!$J$10:$J$224),0),
IF('TL15'!$B$229=J$3,SUMIF('TL15'!$C$238:$C$451,$C82,'TL15'!$J$238:$J$451),0),
IF('TL16'!$B$3=J$3,SUMIF('TL16'!$C$10:$C$224,$C82,'TL16'!$J$10:$J$224),0),
IF('TL16'!$B$229=J$3,SUMIF('TL16'!$C$238:$C$451,$C82,'TL16'!$J$238:$J$451),0),
IF('TL17'!$B$3=J$3,SUMIF('TL17'!$C$10:$C$224,$C82,'TL17'!$J$10:$J$224),0),
IF('TL17'!$B$229=J$3,SUMIF('TL17'!$C$238:$C$451,$C82,'TL17'!$J$238:$J$451),0),
IF('TL18'!$B$3=J$3,SUMIF('TL18'!$C$10:$C$224,$C82,'TL18'!$J$10:$J$224),0),
IF('TL18'!$B$229=J$3,SUMIF('TL18'!$C$238:$C$451,$C82,'TL18'!$J$238:$J$451),0),
IF('TL19'!$B$3=J$3,SUMIF('TL19'!$C$10:$C$224,$C82,'TL19'!$J$10:$J$224),0),
IF('TL19'!$B$229=J$3,SUMIF('TL19'!$C$238:$C$451,$C82,'TL19'!$J$238:$J$451),0)
),0)</f>
        <v/>
      </c>
      <c r="K82" s="9">
        <f>IFERROR(SUM(
IF('TL01'!$B$3=K$3,SUMIF('TL01'!$C$10:$C$224,$C82,'TL01'!$J$10:$J$224),0),
IF('TL01'!$B$229=K$3,SUMIF('TL01'!$C$238:$C$451,$C82,'TL01'!$J$238:$J$451),0),
IF('TL02'!$B$3=K$3,SUMIF('TL02'!$C$10:$C$224,$C82,'TL02'!$J$10:$J$224),0),
IF('TL02'!$B$229=K$3,SUMIF('TL02'!$C$238:$C$451,$C82,'TL02'!$J$238:$J$451),0),
IF('TL03'!$B$3=K$3,SUMIF('TL03'!$C$10:$C$224,$C82,'TL03'!$J$10:$J$224),0),
IF('TL03'!$B$229=K$3,SUMIF('TL03'!$C$238:$C$451,$C82,'TL03'!$J$238:$J$451),0),
IF('TL04'!$B$3=K$3,SUMIF('TL04'!$C$10:$C$224,$C82,'TL04'!$J$10:$J$224),0),
IF('TL04'!$B$229=K$3,SUMIF('TL04'!$C$238:$C$451,$C82,'TL04'!$J$238:$J$451),0),
IF('TL05'!$B$3=K$3,SUMIF('TL05'!$C$10:$C$224,$C82,'TL05'!$J$10:$J$224),0),
IF('TL05'!$B$229=K$3,SUMIF('TL05'!$C$238:$C$451,$C82,'TL05'!$J$238:$J$451),0),
IF('TL06'!$B$3=K$3,SUMIF('TL06'!$C$10:$C$224,$C82,'TL06'!$J$10:$J$224),0),
IF('TL06'!$B$229=K$3,SUMIF('TL06'!$C$238:$C$451,$C82,'TL06'!$J$238:$J$451),0),
IF('TL07'!$B$3=K$3,SUMIF('TL07'!$C$10:$C$224,$C82,'TL07'!$J$10:$J$224),0),
IF('TL07'!$B$229=K$3,SUMIF('TL07'!$C$238:$C$451,$C82,'TL07'!$J$238:$J$451),0),
IF('TL08'!$B$3=K$3,SUMIF('TL08'!$C$10:$C$224,$C82,'TL08'!$J$10:$J$224),0),
IF('TL08'!$B$229=K$3,SUMIF('TL08'!$C$238:$C$451,$C82,'TL08'!$J$238:$J$451),0),
IF('TL09'!$B$3=K$3,SUMIF('TL09'!$C$10:$C$224,$C82,'TL09'!$J$10:$J$224),0),
IF('TL09'!$B$229=K$3,SUMIF('TL09'!$C$238:$C$451,$C82,'TL09'!$J$238:$J$451),0),
IF('TL10'!$B$3=K$3,SUMIF('TL10'!$C$10:$C$224,$C82,'TL10'!$J$10:$J$224),0),
IF('TL10'!$B$229=K$3,SUMIF('TL10'!$C$238:$C$451,$C82,'TL10'!$J$238:$J$451),0),
IF('TL11'!$B$3=K$3,SUMIF('TL11'!$C$10:$C$224,$C82,'TL11'!$J$10:$J$224),0),
IF('TL11'!$B$229=K$3,SUMIF('TL11'!$C$238:$C$451,$C82,'TL11'!$J$238:$J$451),0),
IF('TL12'!$B$3=K$3,SUMIF('TL12'!$C$10:$C$224,$C82,'TL12'!$J$10:$J$224),0),
IF('TL12'!$B$229=K$3,SUMIF('TL12'!$C$238:$C$451,$C82,'TL12'!$J$238:$J$451),0),
IF('TL13'!$B$3=K$3,SUMIF('TL13'!$C$10:$C$224,$C82,'TL13'!$J$10:$J$224),0),
IF('TL13'!$B$229=K$3,SUMIF('TL13'!$C$238:$C$451,$C82,'TL13'!$J$238:$J$451),0),
IF('TL14'!$B$3=K$3,SUMIF('TL14'!$C$10:$C$224,$C82,'TL14'!$J$10:$J$224),0),
IF('TL14'!$B$229=K$3,SUMIF('TL14'!$C$238:$C$451,$C82,'TL14'!$J$238:$J$451),0),
IF('TL15'!$B$3=K$3,SUMIF('TL15'!$C$10:$C$224,$C82,'TL15'!$J$10:$J$224),0),
IF('TL15'!$B$229=K$3,SUMIF('TL15'!$C$238:$C$451,$C82,'TL15'!$J$238:$J$451),0),
IF('TL16'!$B$3=K$3,SUMIF('TL16'!$C$10:$C$224,$C82,'TL16'!$J$10:$J$224),0),
IF('TL16'!$B$229=K$3,SUMIF('TL16'!$C$238:$C$451,$C82,'TL16'!$J$238:$J$451),0),
IF('TL17'!$B$3=K$3,SUMIF('TL17'!$C$10:$C$224,$C82,'TL17'!$J$10:$J$224),0),
IF('TL17'!$B$229=K$3,SUMIF('TL17'!$C$238:$C$451,$C82,'TL17'!$J$238:$J$451),0),
IF('TL18'!$B$3=K$3,SUMIF('TL18'!$C$10:$C$224,$C82,'TL18'!$J$10:$J$224),0),
IF('TL18'!$B$229=K$3,SUMIF('TL18'!$C$238:$C$451,$C82,'TL18'!$J$238:$J$451),0),
IF('TL19'!$B$3=K$3,SUMIF('TL19'!$C$10:$C$224,$C82,'TL19'!$J$10:$J$224),0),
IF('TL19'!$B$229=K$3,SUMIF('TL19'!$C$238:$C$451,$C82,'TL19'!$J$238:$J$451),0)
),0)</f>
        <v/>
      </c>
      <c r="L82" s="9">
        <f>IFERROR(SUM(
IF('TL01'!$B$3=L$3,SUMIF('TL01'!$C$10:$C$224,$C82,'TL01'!$J$10:$J$224),0),
IF('TL01'!$B$229=L$3,SUMIF('TL01'!$C$238:$C$451,$C82,'TL01'!$J$238:$J$451),0),
IF('TL02'!$B$3=L$3,SUMIF('TL02'!$C$10:$C$224,$C82,'TL02'!$J$10:$J$224),0),
IF('TL02'!$B$229=L$3,SUMIF('TL02'!$C$238:$C$451,$C82,'TL02'!$J$238:$J$451),0),
IF('TL03'!$B$3=L$3,SUMIF('TL03'!$C$10:$C$224,$C82,'TL03'!$J$10:$J$224),0),
IF('TL03'!$B$229=L$3,SUMIF('TL03'!$C$238:$C$451,$C82,'TL03'!$J$238:$J$451),0),
IF('TL04'!$B$3=L$3,SUMIF('TL04'!$C$10:$C$224,$C82,'TL04'!$J$10:$J$224),0),
IF('TL04'!$B$229=L$3,SUMIF('TL04'!$C$238:$C$451,$C82,'TL04'!$J$238:$J$451),0),
IF('TL05'!$B$3=L$3,SUMIF('TL05'!$C$10:$C$224,$C82,'TL05'!$J$10:$J$224),0),
IF('TL05'!$B$229=L$3,SUMIF('TL05'!$C$238:$C$451,$C82,'TL05'!$J$238:$J$451),0),
IF('TL06'!$B$3=L$3,SUMIF('TL06'!$C$10:$C$224,$C82,'TL06'!$J$10:$J$224),0),
IF('TL06'!$B$229=L$3,SUMIF('TL06'!$C$238:$C$451,$C82,'TL06'!$J$238:$J$451),0),
IF('TL07'!$B$3=L$3,SUMIF('TL07'!$C$10:$C$224,$C82,'TL07'!$J$10:$J$224),0),
IF('TL07'!$B$229=L$3,SUMIF('TL07'!$C$238:$C$451,$C82,'TL07'!$J$238:$J$451),0),
IF('TL08'!$B$3=L$3,SUMIF('TL08'!$C$10:$C$224,$C82,'TL08'!$J$10:$J$224),0),
IF('TL08'!$B$229=L$3,SUMIF('TL08'!$C$238:$C$451,$C82,'TL08'!$J$238:$J$451),0),
IF('TL09'!$B$3=L$3,SUMIF('TL09'!$C$10:$C$224,$C82,'TL09'!$J$10:$J$224),0),
IF('TL09'!$B$229=L$3,SUMIF('TL09'!$C$238:$C$451,$C82,'TL09'!$J$238:$J$451),0),
IF('TL10'!$B$3=L$3,SUMIF('TL10'!$C$10:$C$224,$C82,'TL10'!$J$10:$J$224),0),
IF('TL10'!$B$229=L$3,SUMIF('TL10'!$C$238:$C$451,$C82,'TL10'!$J$238:$J$451),0),
IF('TL11'!$B$3=L$3,SUMIF('TL11'!$C$10:$C$224,$C82,'TL11'!$J$10:$J$224),0),
IF('TL11'!$B$229=L$3,SUMIF('TL11'!$C$238:$C$451,$C82,'TL11'!$J$238:$J$451),0),
IF('TL12'!$B$3=L$3,SUMIF('TL12'!$C$10:$C$224,$C82,'TL12'!$J$10:$J$224),0),
IF('TL12'!$B$229=L$3,SUMIF('TL12'!$C$238:$C$451,$C82,'TL12'!$J$238:$J$451),0),
IF('TL13'!$B$3=L$3,SUMIF('TL13'!$C$10:$C$224,$C82,'TL13'!$J$10:$J$224),0),
IF('TL13'!$B$229=L$3,SUMIF('TL13'!$C$238:$C$451,$C82,'TL13'!$J$238:$J$451),0),
IF('TL14'!$B$3=L$3,SUMIF('TL14'!$C$10:$C$224,$C82,'TL14'!$J$10:$J$224),0),
IF('TL14'!$B$229=L$3,SUMIF('TL14'!$C$238:$C$451,$C82,'TL14'!$J$238:$J$451),0),
IF('TL15'!$B$3=L$3,SUMIF('TL15'!$C$10:$C$224,$C82,'TL15'!$J$10:$J$224),0),
IF('TL15'!$B$229=L$3,SUMIF('TL15'!$C$238:$C$451,$C82,'TL15'!$J$238:$J$451),0),
IF('TL16'!$B$3=L$3,SUMIF('TL16'!$C$10:$C$224,$C82,'TL16'!$J$10:$J$224),0),
IF('TL16'!$B$229=L$3,SUMIF('TL16'!$C$238:$C$451,$C82,'TL16'!$J$238:$J$451),0),
IF('TL17'!$B$3=L$3,SUMIF('TL17'!$C$10:$C$224,$C82,'TL17'!$J$10:$J$224),0),
IF('TL17'!$B$229=L$3,SUMIF('TL17'!$C$238:$C$451,$C82,'TL17'!$J$238:$J$451),0),
IF('TL18'!$B$3=L$3,SUMIF('TL18'!$C$10:$C$224,$C82,'TL18'!$J$10:$J$224),0),
IF('TL18'!$B$229=L$3,SUMIF('TL18'!$C$238:$C$451,$C82,'TL18'!$J$238:$J$451),0),
IF('TL19'!$B$3=L$3,SUMIF('TL19'!$C$10:$C$224,$C82,'TL19'!$J$10:$J$224),0),
IF('TL19'!$B$229=L$3,SUMIF('TL19'!$C$238:$C$451,$C82,'TL19'!$J$238:$J$451),0)
),0)</f>
        <v/>
      </c>
      <c r="M82" s="9">
        <f>IFERROR(SUM(
IF('TL01'!$B$3=M$3,SUMIF('TL01'!$C$10:$C$224,$C82,'TL01'!$J$10:$J$224),0),
IF('TL01'!$B$229=M$3,SUMIF('TL01'!$C$238:$C$451,$C82,'TL01'!$J$238:$J$451),0),
IF('TL02'!$B$3=M$3,SUMIF('TL02'!$C$10:$C$224,$C82,'TL02'!$J$10:$J$224),0),
IF('TL02'!$B$229=M$3,SUMIF('TL02'!$C$238:$C$451,$C82,'TL02'!$J$238:$J$451),0),
IF('TL03'!$B$3=M$3,SUMIF('TL03'!$C$10:$C$224,$C82,'TL03'!$J$10:$J$224),0),
IF('TL03'!$B$229=M$3,SUMIF('TL03'!$C$238:$C$451,$C82,'TL03'!$J$238:$J$451),0),
IF('TL04'!$B$3=M$3,SUMIF('TL04'!$C$10:$C$224,$C82,'TL04'!$J$10:$J$224),0),
IF('TL04'!$B$229=M$3,SUMIF('TL04'!$C$238:$C$451,$C82,'TL04'!$J$238:$J$451),0),
IF('TL05'!$B$3=M$3,SUMIF('TL05'!$C$10:$C$224,$C82,'TL05'!$J$10:$J$224),0),
IF('TL05'!$B$229=M$3,SUMIF('TL05'!$C$238:$C$451,$C82,'TL05'!$J$238:$J$451),0),
IF('TL06'!$B$3=M$3,SUMIF('TL06'!$C$10:$C$224,$C82,'TL06'!$J$10:$J$224),0),
IF('TL06'!$B$229=M$3,SUMIF('TL06'!$C$238:$C$451,$C82,'TL06'!$J$238:$J$451),0),
IF('TL07'!$B$3=M$3,SUMIF('TL07'!$C$10:$C$224,$C82,'TL07'!$J$10:$J$224),0),
IF('TL07'!$B$229=M$3,SUMIF('TL07'!$C$238:$C$451,$C82,'TL07'!$J$238:$J$451),0),
IF('TL08'!$B$3=M$3,SUMIF('TL08'!$C$10:$C$224,$C82,'TL08'!$J$10:$J$224),0),
IF('TL08'!$B$229=M$3,SUMIF('TL08'!$C$238:$C$451,$C82,'TL08'!$J$238:$J$451),0),
IF('TL09'!$B$3=M$3,SUMIF('TL09'!$C$10:$C$224,$C82,'TL09'!$J$10:$J$224),0),
IF('TL09'!$B$229=M$3,SUMIF('TL09'!$C$238:$C$451,$C82,'TL09'!$J$238:$J$451),0),
IF('TL10'!$B$3=M$3,SUMIF('TL10'!$C$10:$C$224,$C82,'TL10'!$J$10:$J$224),0),
IF('TL10'!$B$229=M$3,SUMIF('TL10'!$C$238:$C$451,$C82,'TL10'!$J$238:$J$451),0),
IF('TL11'!$B$3=M$3,SUMIF('TL11'!$C$10:$C$224,$C82,'TL11'!$J$10:$J$224),0),
IF('TL11'!$B$229=M$3,SUMIF('TL11'!$C$238:$C$451,$C82,'TL11'!$J$238:$J$451),0),
IF('TL12'!$B$3=M$3,SUMIF('TL12'!$C$10:$C$224,$C82,'TL12'!$J$10:$J$224),0),
IF('TL12'!$B$229=M$3,SUMIF('TL12'!$C$238:$C$451,$C82,'TL12'!$J$238:$J$451),0),
IF('TL13'!$B$3=M$3,SUMIF('TL13'!$C$10:$C$224,$C82,'TL13'!$J$10:$J$224),0),
IF('TL13'!$B$229=M$3,SUMIF('TL13'!$C$238:$C$451,$C82,'TL13'!$J$238:$J$451),0),
IF('TL14'!$B$3=M$3,SUMIF('TL14'!$C$10:$C$224,$C82,'TL14'!$J$10:$J$224),0),
IF('TL14'!$B$229=M$3,SUMIF('TL14'!$C$238:$C$451,$C82,'TL14'!$J$238:$J$451),0),
IF('TL15'!$B$3=M$3,SUMIF('TL15'!$C$10:$C$224,$C82,'TL15'!$J$10:$J$224),0),
IF('TL15'!$B$229=M$3,SUMIF('TL15'!$C$238:$C$451,$C82,'TL15'!$J$238:$J$451),0),
IF('TL16'!$B$3=M$3,SUMIF('TL16'!$C$10:$C$224,$C82,'TL16'!$J$10:$J$224),0),
IF('TL16'!$B$229=M$3,SUMIF('TL16'!$C$238:$C$451,$C82,'TL16'!$J$238:$J$451),0),
IF('TL17'!$B$3=M$3,SUMIF('TL17'!$C$10:$C$224,$C82,'TL17'!$J$10:$J$224),0),
IF('TL17'!$B$229=M$3,SUMIF('TL17'!$C$238:$C$451,$C82,'TL17'!$J$238:$J$451),0),
IF('TL18'!$B$3=M$3,SUMIF('TL18'!$C$10:$C$224,$C82,'TL18'!$J$10:$J$224),0),
IF('TL18'!$B$229=M$3,SUMIF('TL18'!$C$238:$C$451,$C82,'TL18'!$J$238:$J$451),0),
IF('TL19'!$B$3=M$3,SUMIF('TL19'!$C$10:$C$224,$C82,'TL19'!$J$10:$J$224),0),
IF('TL19'!$B$229=M$3,SUMIF('TL19'!$C$238:$C$451,$C82,'TL19'!$J$238:$J$451),0)
),0)</f>
        <v/>
      </c>
      <c r="N82" s="9">
        <f>IFERROR(SUM(
IF('TL01'!$B$3=N$3,SUMIF('TL01'!$C$10:$C$224,$C82,'TL01'!$J$10:$J$224),0),
IF('TL01'!$B$229=N$3,SUMIF('TL01'!$C$238:$C$451,$C82,'TL01'!$J$238:$J$451),0),
IF('TL02'!$B$3=N$3,SUMIF('TL02'!$C$10:$C$224,$C82,'TL02'!$J$10:$J$224),0),
IF('TL02'!$B$229=N$3,SUMIF('TL02'!$C$238:$C$451,$C82,'TL02'!$J$238:$J$451),0),
IF('TL03'!$B$3=N$3,SUMIF('TL03'!$C$10:$C$224,$C82,'TL03'!$J$10:$J$224),0),
IF('TL03'!$B$229=N$3,SUMIF('TL03'!$C$238:$C$451,$C82,'TL03'!$J$238:$J$451),0),
IF('TL04'!$B$3=N$3,SUMIF('TL04'!$C$10:$C$224,$C82,'TL04'!$J$10:$J$224),0),
IF('TL04'!$B$229=N$3,SUMIF('TL04'!$C$238:$C$451,$C82,'TL04'!$J$238:$J$451),0),
IF('TL05'!$B$3=N$3,SUMIF('TL05'!$C$10:$C$224,$C82,'TL05'!$J$10:$J$224),0),
IF('TL05'!$B$229=N$3,SUMIF('TL05'!$C$238:$C$451,$C82,'TL05'!$J$238:$J$451),0),
IF('TL06'!$B$3=N$3,SUMIF('TL06'!$C$10:$C$224,$C82,'TL06'!$J$10:$J$224),0),
IF('TL06'!$B$229=N$3,SUMIF('TL06'!$C$238:$C$451,$C82,'TL06'!$J$238:$J$451),0),
IF('TL07'!$B$3=N$3,SUMIF('TL07'!$C$10:$C$224,$C82,'TL07'!$J$10:$J$224),0),
IF('TL07'!$B$229=N$3,SUMIF('TL07'!$C$238:$C$451,$C82,'TL07'!$J$238:$J$451),0),
IF('TL08'!$B$3=N$3,SUMIF('TL08'!$C$10:$C$224,$C82,'TL08'!$J$10:$J$224),0),
IF('TL08'!$B$229=N$3,SUMIF('TL08'!$C$238:$C$451,$C82,'TL08'!$J$238:$J$451),0),
IF('TL09'!$B$3=N$3,SUMIF('TL09'!$C$10:$C$224,$C82,'TL09'!$J$10:$J$224),0),
IF('TL09'!$B$229=N$3,SUMIF('TL09'!$C$238:$C$451,$C82,'TL09'!$J$238:$J$451),0),
IF('TL10'!$B$3=N$3,SUMIF('TL10'!$C$10:$C$224,$C82,'TL10'!$J$10:$J$224),0),
IF('TL10'!$B$229=N$3,SUMIF('TL10'!$C$238:$C$451,$C82,'TL10'!$J$238:$J$451),0),
IF('TL11'!$B$3=N$3,SUMIF('TL11'!$C$10:$C$224,$C82,'TL11'!$J$10:$J$224),0),
IF('TL11'!$B$229=N$3,SUMIF('TL11'!$C$238:$C$451,$C82,'TL11'!$J$238:$J$451),0),
IF('TL12'!$B$3=N$3,SUMIF('TL12'!$C$10:$C$224,$C82,'TL12'!$J$10:$J$224),0),
IF('TL12'!$B$229=N$3,SUMIF('TL12'!$C$238:$C$451,$C82,'TL12'!$J$238:$J$451),0),
IF('TL13'!$B$3=N$3,SUMIF('TL13'!$C$10:$C$224,$C82,'TL13'!$J$10:$J$224),0),
IF('TL13'!$B$229=N$3,SUMIF('TL13'!$C$238:$C$451,$C82,'TL13'!$J$238:$J$451),0),
IF('TL14'!$B$3=N$3,SUMIF('TL14'!$C$10:$C$224,$C82,'TL14'!$J$10:$J$224),0),
IF('TL14'!$B$229=N$3,SUMIF('TL14'!$C$238:$C$451,$C82,'TL14'!$J$238:$J$451),0),
IF('TL15'!$B$3=N$3,SUMIF('TL15'!$C$10:$C$224,$C82,'TL15'!$J$10:$J$224),0),
IF('TL15'!$B$229=N$3,SUMIF('TL15'!$C$238:$C$451,$C82,'TL15'!$J$238:$J$451),0),
IF('TL16'!$B$3=N$3,SUMIF('TL16'!$C$10:$C$224,$C82,'TL16'!$J$10:$J$224),0),
IF('TL16'!$B$229=N$3,SUMIF('TL16'!$C$238:$C$451,$C82,'TL16'!$J$238:$J$451),0),
IF('TL17'!$B$3=N$3,SUMIF('TL17'!$C$10:$C$224,$C82,'TL17'!$J$10:$J$224),0),
IF('TL17'!$B$229=N$3,SUMIF('TL17'!$C$238:$C$451,$C82,'TL17'!$J$238:$J$451),0),
IF('TL18'!$B$3=N$3,SUMIF('TL18'!$C$10:$C$224,$C82,'TL18'!$J$10:$J$224),0),
IF('TL18'!$B$229=N$3,SUMIF('TL18'!$C$238:$C$451,$C82,'TL18'!$J$238:$J$451),0),
IF('TL19'!$B$3=N$3,SUMIF('TL19'!$C$10:$C$224,$C82,'TL19'!$J$10:$J$224),0),
IF('TL19'!$B$229=N$3,SUMIF('TL19'!$C$238:$C$451,$C82,'TL19'!$J$238:$J$451),0)
),0)</f>
        <v/>
      </c>
      <c r="O82" s="9">
        <f>IFERROR(SUM(
IF('TL01'!$B$3=O$3,SUMIF('TL01'!$C$10:$C$224,$C82,'TL01'!$J$10:$J$224),0),
IF('TL01'!$B$229=O$3,SUMIF('TL01'!$C$238:$C$451,$C82,'TL01'!$J$238:$J$451),0),
IF('TL02'!$B$3=O$3,SUMIF('TL02'!$C$10:$C$224,$C82,'TL02'!$J$10:$J$224),0),
IF('TL02'!$B$229=O$3,SUMIF('TL02'!$C$238:$C$451,$C82,'TL02'!$J$238:$J$451),0),
IF('TL03'!$B$3=O$3,SUMIF('TL03'!$C$10:$C$224,$C82,'TL03'!$J$10:$J$224),0),
IF('TL03'!$B$229=O$3,SUMIF('TL03'!$C$238:$C$451,$C82,'TL03'!$J$238:$J$451),0),
IF('TL04'!$B$3=O$3,SUMIF('TL04'!$C$10:$C$224,$C82,'TL04'!$J$10:$J$224),0),
IF('TL04'!$B$229=O$3,SUMIF('TL04'!$C$238:$C$451,$C82,'TL04'!$J$238:$J$451),0),
IF('TL05'!$B$3=O$3,SUMIF('TL05'!$C$10:$C$224,$C82,'TL05'!$J$10:$J$224),0),
IF('TL05'!$B$229=O$3,SUMIF('TL05'!$C$238:$C$451,$C82,'TL05'!$J$238:$J$451),0),
IF('TL06'!$B$3=O$3,SUMIF('TL06'!$C$10:$C$224,$C82,'TL06'!$J$10:$J$224),0),
IF('TL06'!$B$229=O$3,SUMIF('TL06'!$C$238:$C$451,$C82,'TL06'!$J$238:$J$451),0),
IF('TL07'!$B$3=O$3,SUMIF('TL07'!$C$10:$C$224,$C82,'TL07'!$J$10:$J$224),0),
IF('TL07'!$B$229=O$3,SUMIF('TL07'!$C$238:$C$451,$C82,'TL07'!$J$238:$J$451),0),
IF('TL08'!$B$3=O$3,SUMIF('TL08'!$C$10:$C$224,$C82,'TL08'!$J$10:$J$224),0),
IF('TL08'!$B$229=O$3,SUMIF('TL08'!$C$238:$C$451,$C82,'TL08'!$J$238:$J$451),0),
IF('TL09'!$B$3=O$3,SUMIF('TL09'!$C$10:$C$224,$C82,'TL09'!$J$10:$J$224),0),
IF('TL09'!$B$229=O$3,SUMIF('TL09'!$C$238:$C$451,$C82,'TL09'!$J$238:$J$451),0),
IF('TL10'!$B$3=O$3,SUMIF('TL10'!$C$10:$C$224,$C82,'TL10'!$J$10:$J$224),0),
IF('TL10'!$B$229=O$3,SUMIF('TL10'!$C$238:$C$451,$C82,'TL10'!$J$238:$J$451),0),
IF('TL11'!$B$3=O$3,SUMIF('TL11'!$C$10:$C$224,$C82,'TL11'!$J$10:$J$224),0),
IF('TL11'!$B$229=O$3,SUMIF('TL11'!$C$238:$C$451,$C82,'TL11'!$J$238:$J$451),0),
IF('TL12'!$B$3=O$3,SUMIF('TL12'!$C$10:$C$224,$C82,'TL12'!$J$10:$J$224),0),
IF('TL12'!$B$229=O$3,SUMIF('TL12'!$C$238:$C$451,$C82,'TL12'!$J$238:$J$451),0),
IF('TL13'!$B$3=O$3,SUMIF('TL13'!$C$10:$C$224,$C82,'TL13'!$J$10:$J$224),0),
IF('TL13'!$B$229=O$3,SUMIF('TL13'!$C$238:$C$451,$C82,'TL13'!$J$238:$J$451),0),
IF('TL14'!$B$3=O$3,SUMIF('TL14'!$C$10:$C$224,$C82,'TL14'!$J$10:$J$224),0),
IF('TL14'!$B$229=O$3,SUMIF('TL14'!$C$238:$C$451,$C82,'TL14'!$J$238:$J$451),0),
IF('TL15'!$B$3=O$3,SUMIF('TL15'!$C$10:$C$224,$C82,'TL15'!$J$10:$J$224),0),
IF('TL15'!$B$229=O$3,SUMIF('TL15'!$C$238:$C$451,$C82,'TL15'!$J$238:$J$451),0),
IF('TL16'!$B$3=O$3,SUMIF('TL16'!$C$10:$C$224,$C82,'TL16'!$J$10:$J$224),0),
IF('TL16'!$B$229=O$3,SUMIF('TL16'!$C$238:$C$451,$C82,'TL16'!$J$238:$J$451),0),
IF('TL17'!$B$3=O$3,SUMIF('TL17'!$C$10:$C$224,$C82,'TL17'!$J$10:$J$224),0),
IF('TL17'!$B$229=O$3,SUMIF('TL17'!$C$238:$C$451,$C82,'TL17'!$J$238:$J$451),0),
IF('TL18'!$B$3=O$3,SUMIF('TL18'!$C$10:$C$224,$C82,'TL18'!$J$10:$J$224),0),
IF('TL18'!$B$229=O$3,SUMIF('TL18'!$C$238:$C$451,$C82,'TL18'!$J$238:$J$451),0),
IF('TL19'!$B$3=O$3,SUMIF('TL19'!$C$10:$C$224,$C82,'TL19'!$J$10:$J$224),0),
IF('TL19'!$B$229=O$3,SUMIF('TL19'!$C$238:$C$451,$C82,'TL19'!$J$238:$J$451),0)
),0)</f>
        <v/>
      </c>
      <c r="P82" s="9">
        <f>IFERROR(SUM(
IF('TL01'!$B$3=P$3,SUMIF('TL01'!$C$10:$C$224,$C82,'TL01'!$J$10:$J$224),0),
IF('TL01'!$B$229=P$3,SUMIF('TL01'!$C$238:$C$451,$C82,'TL01'!$J$238:$J$451),0),
IF('TL02'!$B$3=P$3,SUMIF('TL02'!$C$10:$C$224,$C82,'TL02'!$J$10:$J$224),0),
IF('TL02'!$B$229=P$3,SUMIF('TL02'!$C$238:$C$451,$C82,'TL02'!$J$238:$J$451),0),
IF('TL03'!$B$3=P$3,SUMIF('TL03'!$C$10:$C$224,$C82,'TL03'!$J$10:$J$224),0),
IF('TL03'!$B$229=P$3,SUMIF('TL03'!$C$238:$C$451,$C82,'TL03'!$J$238:$J$451),0),
IF('TL04'!$B$3=P$3,SUMIF('TL04'!$C$10:$C$224,$C82,'TL04'!$J$10:$J$224),0),
IF('TL04'!$B$229=P$3,SUMIF('TL04'!$C$238:$C$451,$C82,'TL04'!$J$238:$J$451),0),
IF('TL05'!$B$3=P$3,SUMIF('TL05'!$C$10:$C$224,$C82,'TL05'!$J$10:$J$224),0),
IF('TL05'!$B$229=P$3,SUMIF('TL05'!$C$238:$C$451,$C82,'TL05'!$J$238:$J$451),0),
IF('TL06'!$B$3=P$3,SUMIF('TL06'!$C$10:$C$224,$C82,'TL06'!$J$10:$J$224),0),
IF('TL06'!$B$229=P$3,SUMIF('TL06'!$C$238:$C$451,$C82,'TL06'!$J$238:$J$451),0),
IF('TL07'!$B$3=P$3,SUMIF('TL07'!$C$10:$C$224,$C82,'TL07'!$J$10:$J$224),0),
IF('TL07'!$B$229=P$3,SUMIF('TL07'!$C$238:$C$451,$C82,'TL07'!$J$238:$J$451),0),
IF('TL08'!$B$3=P$3,SUMIF('TL08'!$C$10:$C$224,$C82,'TL08'!$J$10:$J$224),0),
IF('TL08'!$B$229=P$3,SUMIF('TL08'!$C$238:$C$451,$C82,'TL08'!$J$238:$J$451),0),
IF('TL09'!$B$3=P$3,SUMIF('TL09'!$C$10:$C$224,$C82,'TL09'!$J$10:$J$224),0),
IF('TL09'!$B$229=P$3,SUMIF('TL09'!$C$238:$C$451,$C82,'TL09'!$J$238:$J$451),0),
IF('TL10'!$B$3=P$3,SUMIF('TL10'!$C$10:$C$224,$C82,'TL10'!$J$10:$J$224),0),
IF('TL10'!$B$229=P$3,SUMIF('TL10'!$C$238:$C$451,$C82,'TL10'!$J$238:$J$451),0),
IF('TL11'!$B$3=P$3,SUMIF('TL11'!$C$10:$C$224,$C82,'TL11'!$J$10:$J$224),0),
IF('TL11'!$B$229=P$3,SUMIF('TL11'!$C$238:$C$451,$C82,'TL11'!$J$238:$J$451),0),
IF('TL12'!$B$3=P$3,SUMIF('TL12'!$C$10:$C$224,$C82,'TL12'!$J$10:$J$224),0),
IF('TL12'!$B$229=P$3,SUMIF('TL12'!$C$238:$C$451,$C82,'TL12'!$J$238:$J$451),0),
IF('TL13'!$B$3=P$3,SUMIF('TL13'!$C$10:$C$224,$C82,'TL13'!$J$10:$J$224),0),
IF('TL13'!$B$229=P$3,SUMIF('TL13'!$C$238:$C$451,$C82,'TL13'!$J$238:$J$451),0),
IF('TL14'!$B$3=P$3,SUMIF('TL14'!$C$10:$C$224,$C82,'TL14'!$J$10:$J$224),0),
IF('TL14'!$B$229=P$3,SUMIF('TL14'!$C$238:$C$451,$C82,'TL14'!$J$238:$J$451),0),
IF('TL15'!$B$3=P$3,SUMIF('TL15'!$C$10:$C$224,$C82,'TL15'!$J$10:$J$224),0),
IF('TL15'!$B$229=P$3,SUMIF('TL15'!$C$238:$C$451,$C82,'TL15'!$J$238:$J$451),0),
IF('TL16'!$B$3=P$3,SUMIF('TL16'!$C$10:$C$224,$C82,'TL16'!$J$10:$J$224),0),
IF('TL16'!$B$229=P$3,SUMIF('TL16'!$C$238:$C$451,$C82,'TL16'!$J$238:$J$451),0),
IF('TL17'!$B$3=P$3,SUMIF('TL17'!$C$10:$C$224,$C82,'TL17'!$J$10:$J$224),0),
IF('TL17'!$B$229=P$3,SUMIF('TL17'!$C$238:$C$451,$C82,'TL17'!$J$238:$J$451),0),
IF('TL18'!$B$3=P$3,SUMIF('TL18'!$C$10:$C$224,$C82,'TL18'!$J$10:$J$224),0),
IF('TL18'!$B$229=P$3,SUMIF('TL18'!$C$238:$C$451,$C82,'TL18'!$J$238:$J$451),0),
IF('TL19'!$B$3=P$3,SUMIF('TL19'!$C$10:$C$224,$C82,'TL19'!$J$10:$J$224),0),
IF('TL19'!$B$229=P$3,SUMIF('TL19'!$C$238:$C$451,$C82,'TL19'!$J$238:$J$451),0)
),0)</f>
        <v/>
      </c>
      <c r="Q82" s="9">
        <f>IFERROR(SUM(
IF('TL01'!$B$3=Q$3,SUMIF('TL01'!$C$10:$C$224,$C82,'TL01'!$J$10:$J$224),0),
IF('TL01'!$B$229=Q$3,SUMIF('TL01'!$C$238:$C$451,$C82,'TL01'!$J$238:$J$451),0),
IF('TL02'!$B$3=Q$3,SUMIF('TL02'!$C$10:$C$224,$C82,'TL02'!$J$10:$J$224),0),
IF('TL02'!$B$229=Q$3,SUMIF('TL02'!$C$238:$C$451,$C82,'TL02'!$J$238:$J$451),0),
IF('TL03'!$B$3=Q$3,SUMIF('TL03'!$C$10:$C$224,$C82,'TL03'!$J$10:$J$224),0),
IF('TL03'!$B$229=Q$3,SUMIF('TL03'!$C$238:$C$451,$C82,'TL03'!$J$238:$J$451),0),
IF('TL04'!$B$3=Q$3,SUMIF('TL04'!$C$10:$C$224,$C82,'TL04'!$J$10:$J$224),0),
IF('TL04'!$B$229=Q$3,SUMIF('TL04'!$C$238:$C$451,$C82,'TL04'!$J$238:$J$451),0),
IF('TL05'!$B$3=Q$3,SUMIF('TL05'!$C$10:$C$224,$C82,'TL05'!$J$10:$J$224),0),
IF('TL05'!$B$229=Q$3,SUMIF('TL05'!$C$238:$C$451,$C82,'TL05'!$J$238:$J$451),0),
IF('TL06'!$B$3=Q$3,SUMIF('TL06'!$C$10:$C$224,$C82,'TL06'!$J$10:$J$224),0),
IF('TL06'!$B$229=Q$3,SUMIF('TL06'!$C$238:$C$451,$C82,'TL06'!$J$238:$J$451),0),
IF('TL07'!$B$3=Q$3,SUMIF('TL07'!$C$10:$C$224,$C82,'TL07'!$J$10:$J$224),0),
IF('TL07'!$B$229=Q$3,SUMIF('TL07'!$C$238:$C$451,$C82,'TL07'!$J$238:$J$451),0),
IF('TL08'!$B$3=Q$3,SUMIF('TL08'!$C$10:$C$224,$C82,'TL08'!$J$10:$J$224),0),
IF('TL08'!$B$229=Q$3,SUMIF('TL08'!$C$238:$C$451,$C82,'TL08'!$J$238:$J$451),0),
IF('TL09'!$B$3=Q$3,SUMIF('TL09'!$C$10:$C$224,$C82,'TL09'!$J$10:$J$224),0),
IF('TL09'!$B$229=Q$3,SUMIF('TL09'!$C$238:$C$451,$C82,'TL09'!$J$238:$J$451),0),
IF('TL10'!$B$3=Q$3,SUMIF('TL10'!$C$10:$C$224,$C82,'TL10'!$J$10:$J$224),0),
IF('TL10'!$B$229=Q$3,SUMIF('TL10'!$C$238:$C$451,$C82,'TL10'!$J$238:$J$451),0),
IF('TL11'!$B$3=Q$3,SUMIF('TL11'!$C$10:$C$224,$C82,'TL11'!$J$10:$J$224),0),
IF('TL11'!$B$229=Q$3,SUMIF('TL11'!$C$238:$C$451,$C82,'TL11'!$J$238:$J$451),0),
IF('TL12'!$B$3=Q$3,SUMIF('TL12'!$C$10:$C$224,$C82,'TL12'!$J$10:$J$224),0),
IF('TL12'!$B$229=Q$3,SUMIF('TL12'!$C$238:$C$451,$C82,'TL12'!$J$238:$J$451),0),
IF('TL13'!$B$3=Q$3,SUMIF('TL13'!$C$10:$C$224,$C82,'TL13'!$J$10:$J$224),0),
IF('TL13'!$B$229=Q$3,SUMIF('TL13'!$C$238:$C$451,$C82,'TL13'!$J$238:$J$451),0),
IF('TL14'!$B$3=Q$3,SUMIF('TL14'!$C$10:$C$224,$C82,'TL14'!$J$10:$J$224),0),
IF('TL14'!$B$229=Q$3,SUMIF('TL14'!$C$238:$C$451,$C82,'TL14'!$J$238:$J$451),0),
IF('TL15'!$B$3=Q$3,SUMIF('TL15'!$C$10:$C$224,$C82,'TL15'!$J$10:$J$224),0),
IF('TL15'!$B$229=Q$3,SUMIF('TL15'!$C$238:$C$451,$C82,'TL15'!$J$238:$J$451),0),
IF('TL16'!$B$3=Q$3,SUMIF('TL16'!$C$10:$C$224,$C82,'TL16'!$J$10:$J$224),0),
IF('TL16'!$B$229=Q$3,SUMIF('TL16'!$C$238:$C$451,$C82,'TL16'!$J$238:$J$451),0),
IF('TL17'!$B$3=Q$3,SUMIF('TL17'!$C$10:$C$224,$C82,'TL17'!$J$10:$J$224),0),
IF('TL17'!$B$229=Q$3,SUMIF('TL17'!$C$238:$C$451,$C82,'TL17'!$J$238:$J$451),0),
IF('TL18'!$B$3=Q$3,SUMIF('TL18'!$C$10:$C$224,$C82,'TL18'!$J$10:$J$224),0),
IF('TL18'!$B$229=Q$3,SUMIF('TL18'!$C$238:$C$451,$C82,'TL18'!$J$238:$J$451),0),
IF('TL19'!$B$3=Q$3,SUMIF('TL19'!$C$10:$C$224,$C82,'TL19'!$J$10:$J$224),0),
IF('TL19'!$B$229=Q$3,SUMIF('TL19'!$C$238:$C$451,$C82,'TL19'!$J$238:$J$451),0)
),0)</f>
        <v/>
      </c>
      <c r="R82" s="9">
        <f>IFERROR(
SUM(
SUMIF('TL01'!C:C,C82,'TL01'!J:J),
SUMIF('TL02'!C:C,C82,'TL02'!J:J),
SUMIF('TL03'!C:C,C82,'TL03'!J:J),
SUMIF('TL04'!C:C,C82,'TL04'!J:J),
SUMIF('TL05'!C:C,C82,'TL05'!J:J),
SUMIF('TL06'!C:C,C82,'TL06'!J:J),
SUMIF('TL07'!C:C,C82,'TL07'!J:J),
SUMIF('TL08'!C:C,C82,'TL08'!J:J),
SUMIF('TL09'!C:C,C82,'TL09'!J:J),
SUMIF('TL10'!C:C,C82,'TL10'!J:J),
SUMIF('TL11'!C:C,C82,'TL11'!J:J),
SUMIF('TL12'!C:C,C82,'TL12'!J:J),
SUMIF('TL13'!C:C,C82,'TL13'!J:J),
SUMIF('TL14'!C:C,C82,'TL14'!J:J),
SUMIF('TL15'!C:C,C82,'TL15'!J:J),
SUMIF('TL16'!C:C,C82,'TL16'!J:J),
SUMIF('TL17'!C:C,C82,'TL17'!J:J),
SUMIF('TL18'!C:C,C82,'TL18'!J:J),SUMIF('TL19'!C:C,C82,'TL19'!J:J))
,0)</f>
        <v/>
      </c>
      <c r="S82" s="17">
        <f>IFERROR(__xludf.DUMMYFUNCTION("IFERROR(VLOOKUP(C82,
IMPORTRANGE(""1wULbzX32WdYsx-lj2U3uUNBBe2INVIRDtcK0d-Dvl90"",
""26-27!C:G""),
5,
FALSE),
"""")"),113.49936000000001)</f>
        <v/>
      </c>
      <c r="T82" s="9" t="n"/>
      <c r="U82" s="92">
        <f>MAX(0,R82-T82)</f>
        <v/>
      </c>
      <c r="V82" s="93">
        <f>U82*S82</f>
        <v/>
      </c>
    </row>
    <row r="83" hidden="1" ht="15.75" customHeight="1" s="297">
      <c r="A83" s="111" t="inlineStr">
        <is>
          <t>SUMITOMO</t>
        </is>
      </c>
      <c r="B83" s="112" t="inlineStr">
        <is>
          <t>FUNGICIDA</t>
        </is>
      </c>
      <c r="C83" s="113" t="inlineStr">
        <is>
          <t>CARTAP BR 500</t>
        </is>
      </c>
      <c r="D83" s="113" t="inlineStr">
        <is>
          <t>CLORIDRATO DE CARTAPE</t>
        </is>
      </c>
      <c r="E83" s="113" t="n">
        <v>500</v>
      </c>
      <c r="F83" s="4" t="inlineStr">
        <is>
          <t>L</t>
        </is>
      </c>
      <c r="G83" s="90">
        <f>HYPERLINK("https://www.google.com/search?q=" &amp; C83 &amp; "+bula+agrofit+pdf", "📄 Ver bula")</f>
        <v/>
      </c>
      <c r="H83" s="9">
        <f>IFERROR(__xludf.DUMMYFUNCTION("IFERROR(VLOOKUP(C83,
IMPORTRANGE(""1wULbzX32WdYsx-lj2U3uUNBBe2INVIRDtcK0d-Dvl90"",
""26-27!C:K""),
8,
FALSE),
"""")"),"")</f>
        <v/>
      </c>
      <c r="I83" s="114" t="inlineStr">
        <is>
          <t>1x12</t>
        </is>
      </c>
      <c r="J83" s="9">
        <f>IFERROR(SUM(
IF('TL01'!$B$3=J$3,SUMIF('TL01'!$C$10:$C$224,$C83,'TL01'!$J$10:$J$224),0),
IF('TL01'!$B$229=J$3,SUMIF('TL01'!$C$238:$C$451,$C83,'TL01'!$J$238:$J$451),0),
IF('TL02'!$B$3=J$3,SUMIF('TL02'!$C$10:$C$224,$C83,'TL02'!$J$10:$J$224),0),
IF('TL02'!$B$229=J$3,SUMIF('TL02'!$C$238:$C$451,$C83,'TL02'!$J$238:$J$451),0),
IF('TL03'!$B$3=J$3,SUMIF('TL03'!$C$10:$C$224,$C83,'TL03'!$J$10:$J$224),0),
IF('TL03'!$B$229=J$3,SUMIF('TL03'!$C$238:$C$451,$C83,'TL03'!$J$238:$J$451),0),
IF('TL04'!$B$3=J$3,SUMIF('TL04'!$C$10:$C$224,$C83,'TL04'!$J$10:$J$224),0),
IF('TL04'!$B$229=J$3,SUMIF('TL04'!$C$238:$C$451,$C83,'TL04'!$J$238:$J$451),0),
IF('TL05'!$B$3=J$3,SUMIF('TL05'!$C$10:$C$224,$C83,'TL05'!$J$10:$J$224),0),
IF('TL05'!$B$229=J$3,SUMIF('TL05'!$C$238:$C$451,$C83,'TL05'!$J$238:$J$451),0),
IF('TL06'!$B$3=J$3,SUMIF('TL06'!$C$10:$C$224,$C83,'TL06'!$J$10:$J$224),0),
IF('TL06'!$B$229=J$3,SUMIF('TL06'!$C$238:$C$451,$C83,'TL06'!$J$238:$J$451),0),
IF('TL07'!$B$3=J$3,SUMIF('TL07'!$C$10:$C$224,$C83,'TL07'!$J$10:$J$224),0),
IF('TL07'!$B$229=J$3,SUMIF('TL07'!$C$238:$C$451,$C83,'TL07'!$J$238:$J$451),0),
IF('TL08'!$B$3=J$3,SUMIF('TL08'!$C$10:$C$224,$C83,'TL08'!$J$10:$J$224),0),
IF('TL08'!$B$229=J$3,SUMIF('TL08'!$C$238:$C$451,$C83,'TL08'!$J$238:$J$451),0),
IF('TL09'!$B$3=J$3,SUMIF('TL09'!$C$10:$C$224,$C83,'TL09'!$J$10:$J$224),0),
IF('TL09'!$B$229=J$3,SUMIF('TL09'!$C$238:$C$451,$C83,'TL09'!$J$238:$J$451),0),
IF('TL10'!$B$3=J$3,SUMIF('TL10'!$C$10:$C$224,$C83,'TL10'!$J$10:$J$224),0),
IF('TL10'!$B$229=J$3,SUMIF('TL10'!$C$238:$C$451,$C83,'TL10'!$J$238:$J$451),0),
IF('TL11'!$B$3=J$3,SUMIF('TL11'!$C$10:$C$224,$C83,'TL11'!$J$10:$J$224),0),
IF('TL11'!$B$229=J$3,SUMIF('TL11'!$C$238:$C$451,$C83,'TL11'!$J$238:$J$451),0),
IF('TL12'!$B$3=J$3,SUMIF('TL12'!$C$10:$C$224,$C83,'TL12'!$J$10:$J$224),0),
IF('TL12'!$B$229=J$3,SUMIF('TL12'!$C$238:$C$451,$C83,'TL12'!$J$238:$J$451),0),
IF('TL13'!$B$3=J$3,SUMIF('TL13'!$C$10:$C$224,$C83,'TL13'!$J$10:$J$224),0),
IF('TL13'!$B$229=J$3,SUMIF('TL13'!$C$238:$C$451,$C83,'TL13'!$J$238:$J$451),0),
IF('TL14'!$B$3=J$3,SUMIF('TL14'!$C$10:$C$224,$C83,'TL14'!$J$10:$J$224),0),
IF('TL14'!$B$229=J$3,SUMIF('TL14'!$C$238:$C$451,$C83,'TL14'!$J$238:$J$451),0),
IF('TL15'!$B$3=J$3,SUMIF('TL15'!$C$10:$C$224,$C83,'TL15'!$J$10:$J$224),0),
IF('TL15'!$B$229=J$3,SUMIF('TL15'!$C$238:$C$451,$C83,'TL15'!$J$238:$J$451),0),
IF('TL16'!$B$3=J$3,SUMIF('TL16'!$C$10:$C$224,$C83,'TL16'!$J$10:$J$224),0),
IF('TL16'!$B$229=J$3,SUMIF('TL16'!$C$238:$C$451,$C83,'TL16'!$J$238:$J$451),0),
IF('TL17'!$B$3=J$3,SUMIF('TL17'!$C$10:$C$224,$C83,'TL17'!$J$10:$J$224),0),
IF('TL17'!$B$229=J$3,SUMIF('TL17'!$C$238:$C$451,$C83,'TL17'!$J$238:$J$451),0),
IF('TL18'!$B$3=J$3,SUMIF('TL18'!$C$10:$C$224,$C83,'TL18'!$J$10:$J$224),0),
IF('TL18'!$B$229=J$3,SUMIF('TL18'!$C$238:$C$451,$C83,'TL18'!$J$238:$J$451),0),
IF('TL19'!$B$3=J$3,SUMIF('TL19'!$C$10:$C$224,$C83,'TL19'!$J$10:$J$224),0),
IF('TL19'!$B$229=J$3,SUMIF('TL19'!$C$238:$C$451,$C83,'TL19'!$J$238:$J$451),0)
),0)</f>
        <v/>
      </c>
      <c r="K83" s="9">
        <f>IFERROR(SUM(
IF('TL01'!$B$3=K$3,SUMIF('TL01'!$C$10:$C$224,$C83,'TL01'!$J$10:$J$224),0),
IF('TL01'!$B$229=K$3,SUMIF('TL01'!$C$238:$C$451,$C83,'TL01'!$J$238:$J$451),0),
IF('TL02'!$B$3=K$3,SUMIF('TL02'!$C$10:$C$224,$C83,'TL02'!$J$10:$J$224),0),
IF('TL02'!$B$229=K$3,SUMIF('TL02'!$C$238:$C$451,$C83,'TL02'!$J$238:$J$451),0),
IF('TL03'!$B$3=K$3,SUMIF('TL03'!$C$10:$C$224,$C83,'TL03'!$J$10:$J$224),0),
IF('TL03'!$B$229=K$3,SUMIF('TL03'!$C$238:$C$451,$C83,'TL03'!$J$238:$J$451),0),
IF('TL04'!$B$3=K$3,SUMIF('TL04'!$C$10:$C$224,$C83,'TL04'!$J$10:$J$224),0),
IF('TL04'!$B$229=K$3,SUMIF('TL04'!$C$238:$C$451,$C83,'TL04'!$J$238:$J$451),0),
IF('TL05'!$B$3=K$3,SUMIF('TL05'!$C$10:$C$224,$C83,'TL05'!$J$10:$J$224),0),
IF('TL05'!$B$229=K$3,SUMIF('TL05'!$C$238:$C$451,$C83,'TL05'!$J$238:$J$451),0),
IF('TL06'!$B$3=K$3,SUMIF('TL06'!$C$10:$C$224,$C83,'TL06'!$J$10:$J$224),0),
IF('TL06'!$B$229=K$3,SUMIF('TL06'!$C$238:$C$451,$C83,'TL06'!$J$238:$J$451),0),
IF('TL07'!$B$3=K$3,SUMIF('TL07'!$C$10:$C$224,$C83,'TL07'!$J$10:$J$224),0),
IF('TL07'!$B$229=K$3,SUMIF('TL07'!$C$238:$C$451,$C83,'TL07'!$J$238:$J$451),0),
IF('TL08'!$B$3=K$3,SUMIF('TL08'!$C$10:$C$224,$C83,'TL08'!$J$10:$J$224),0),
IF('TL08'!$B$229=K$3,SUMIF('TL08'!$C$238:$C$451,$C83,'TL08'!$J$238:$J$451),0),
IF('TL09'!$B$3=K$3,SUMIF('TL09'!$C$10:$C$224,$C83,'TL09'!$J$10:$J$224),0),
IF('TL09'!$B$229=K$3,SUMIF('TL09'!$C$238:$C$451,$C83,'TL09'!$J$238:$J$451),0),
IF('TL10'!$B$3=K$3,SUMIF('TL10'!$C$10:$C$224,$C83,'TL10'!$J$10:$J$224),0),
IF('TL10'!$B$229=K$3,SUMIF('TL10'!$C$238:$C$451,$C83,'TL10'!$J$238:$J$451),0),
IF('TL11'!$B$3=K$3,SUMIF('TL11'!$C$10:$C$224,$C83,'TL11'!$J$10:$J$224),0),
IF('TL11'!$B$229=K$3,SUMIF('TL11'!$C$238:$C$451,$C83,'TL11'!$J$238:$J$451),0),
IF('TL12'!$B$3=K$3,SUMIF('TL12'!$C$10:$C$224,$C83,'TL12'!$J$10:$J$224),0),
IF('TL12'!$B$229=K$3,SUMIF('TL12'!$C$238:$C$451,$C83,'TL12'!$J$238:$J$451),0),
IF('TL13'!$B$3=K$3,SUMIF('TL13'!$C$10:$C$224,$C83,'TL13'!$J$10:$J$224),0),
IF('TL13'!$B$229=K$3,SUMIF('TL13'!$C$238:$C$451,$C83,'TL13'!$J$238:$J$451),0),
IF('TL14'!$B$3=K$3,SUMIF('TL14'!$C$10:$C$224,$C83,'TL14'!$J$10:$J$224),0),
IF('TL14'!$B$229=K$3,SUMIF('TL14'!$C$238:$C$451,$C83,'TL14'!$J$238:$J$451),0),
IF('TL15'!$B$3=K$3,SUMIF('TL15'!$C$10:$C$224,$C83,'TL15'!$J$10:$J$224),0),
IF('TL15'!$B$229=K$3,SUMIF('TL15'!$C$238:$C$451,$C83,'TL15'!$J$238:$J$451),0),
IF('TL16'!$B$3=K$3,SUMIF('TL16'!$C$10:$C$224,$C83,'TL16'!$J$10:$J$224),0),
IF('TL16'!$B$229=K$3,SUMIF('TL16'!$C$238:$C$451,$C83,'TL16'!$J$238:$J$451),0),
IF('TL17'!$B$3=K$3,SUMIF('TL17'!$C$10:$C$224,$C83,'TL17'!$J$10:$J$224),0),
IF('TL17'!$B$229=K$3,SUMIF('TL17'!$C$238:$C$451,$C83,'TL17'!$J$238:$J$451),0),
IF('TL18'!$B$3=K$3,SUMIF('TL18'!$C$10:$C$224,$C83,'TL18'!$J$10:$J$224),0),
IF('TL18'!$B$229=K$3,SUMIF('TL18'!$C$238:$C$451,$C83,'TL18'!$J$238:$J$451),0),
IF('TL19'!$B$3=K$3,SUMIF('TL19'!$C$10:$C$224,$C83,'TL19'!$J$10:$J$224),0),
IF('TL19'!$B$229=K$3,SUMIF('TL19'!$C$238:$C$451,$C83,'TL19'!$J$238:$J$451),0)
),0)</f>
        <v/>
      </c>
      <c r="L83" s="9">
        <f>IFERROR(SUM(
IF('TL01'!$B$3=L$3,SUMIF('TL01'!$C$10:$C$224,$C83,'TL01'!$J$10:$J$224),0),
IF('TL01'!$B$229=L$3,SUMIF('TL01'!$C$238:$C$451,$C83,'TL01'!$J$238:$J$451),0),
IF('TL02'!$B$3=L$3,SUMIF('TL02'!$C$10:$C$224,$C83,'TL02'!$J$10:$J$224),0),
IF('TL02'!$B$229=L$3,SUMIF('TL02'!$C$238:$C$451,$C83,'TL02'!$J$238:$J$451),0),
IF('TL03'!$B$3=L$3,SUMIF('TL03'!$C$10:$C$224,$C83,'TL03'!$J$10:$J$224),0),
IF('TL03'!$B$229=L$3,SUMIF('TL03'!$C$238:$C$451,$C83,'TL03'!$J$238:$J$451),0),
IF('TL04'!$B$3=L$3,SUMIF('TL04'!$C$10:$C$224,$C83,'TL04'!$J$10:$J$224),0),
IF('TL04'!$B$229=L$3,SUMIF('TL04'!$C$238:$C$451,$C83,'TL04'!$J$238:$J$451),0),
IF('TL05'!$B$3=L$3,SUMIF('TL05'!$C$10:$C$224,$C83,'TL05'!$J$10:$J$224),0),
IF('TL05'!$B$229=L$3,SUMIF('TL05'!$C$238:$C$451,$C83,'TL05'!$J$238:$J$451),0),
IF('TL06'!$B$3=L$3,SUMIF('TL06'!$C$10:$C$224,$C83,'TL06'!$J$10:$J$224),0),
IF('TL06'!$B$229=L$3,SUMIF('TL06'!$C$238:$C$451,$C83,'TL06'!$J$238:$J$451),0),
IF('TL07'!$B$3=L$3,SUMIF('TL07'!$C$10:$C$224,$C83,'TL07'!$J$10:$J$224),0),
IF('TL07'!$B$229=L$3,SUMIF('TL07'!$C$238:$C$451,$C83,'TL07'!$J$238:$J$451),0),
IF('TL08'!$B$3=L$3,SUMIF('TL08'!$C$10:$C$224,$C83,'TL08'!$J$10:$J$224),0),
IF('TL08'!$B$229=L$3,SUMIF('TL08'!$C$238:$C$451,$C83,'TL08'!$J$238:$J$451),0),
IF('TL09'!$B$3=L$3,SUMIF('TL09'!$C$10:$C$224,$C83,'TL09'!$J$10:$J$224),0),
IF('TL09'!$B$229=L$3,SUMIF('TL09'!$C$238:$C$451,$C83,'TL09'!$J$238:$J$451),0),
IF('TL10'!$B$3=L$3,SUMIF('TL10'!$C$10:$C$224,$C83,'TL10'!$J$10:$J$224),0),
IF('TL10'!$B$229=L$3,SUMIF('TL10'!$C$238:$C$451,$C83,'TL10'!$J$238:$J$451),0),
IF('TL11'!$B$3=L$3,SUMIF('TL11'!$C$10:$C$224,$C83,'TL11'!$J$10:$J$224),0),
IF('TL11'!$B$229=L$3,SUMIF('TL11'!$C$238:$C$451,$C83,'TL11'!$J$238:$J$451),0),
IF('TL12'!$B$3=L$3,SUMIF('TL12'!$C$10:$C$224,$C83,'TL12'!$J$10:$J$224),0),
IF('TL12'!$B$229=L$3,SUMIF('TL12'!$C$238:$C$451,$C83,'TL12'!$J$238:$J$451),0),
IF('TL13'!$B$3=L$3,SUMIF('TL13'!$C$10:$C$224,$C83,'TL13'!$J$10:$J$224),0),
IF('TL13'!$B$229=L$3,SUMIF('TL13'!$C$238:$C$451,$C83,'TL13'!$J$238:$J$451),0),
IF('TL14'!$B$3=L$3,SUMIF('TL14'!$C$10:$C$224,$C83,'TL14'!$J$10:$J$224),0),
IF('TL14'!$B$229=L$3,SUMIF('TL14'!$C$238:$C$451,$C83,'TL14'!$J$238:$J$451),0),
IF('TL15'!$B$3=L$3,SUMIF('TL15'!$C$10:$C$224,$C83,'TL15'!$J$10:$J$224),0),
IF('TL15'!$B$229=L$3,SUMIF('TL15'!$C$238:$C$451,$C83,'TL15'!$J$238:$J$451),0),
IF('TL16'!$B$3=L$3,SUMIF('TL16'!$C$10:$C$224,$C83,'TL16'!$J$10:$J$224),0),
IF('TL16'!$B$229=L$3,SUMIF('TL16'!$C$238:$C$451,$C83,'TL16'!$J$238:$J$451),0),
IF('TL17'!$B$3=L$3,SUMIF('TL17'!$C$10:$C$224,$C83,'TL17'!$J$10:$J$224),0),
IF('TL17'!$B$229=L$3,SUMIF('TL17'!$C$238:$C$451,$C83,'TL17'!$J$238:$J$451),0),
IF('TL18'!$B$3=L$3,SUMIF('TL18'!$C$10:$C$224,$C83,'TL18'!$J$10:$J$224),0),
IF('TL18'!$B$229=L$3,SUMIF('TL18'!$C$238:$C$451,$C83,'TL18'!$J$238:$J$451),0),
IF('TL19'!$B$3=L$3,SUMIF('TL19'!$C$10:$C$224,$C83,'TL19'!$J$10:$J$224),0),
IF('TL19'!$B$229=L$3,SUMIF('TL19'!$C$238:$C$451,$C83,'TL19'!$J$238:$J$451),0)
),0)</f>
        <v/>
      </c>
      <c r="M83" s="9">
        <f>IFERROR(SUM(
IF('TL01'!$B$3=M$3,SUMIF('TL01'!$C$10:$C$224,$C83,'TL01'!$J$10:$J$224),0),
IF('TL01'!$B$229=M$3,SUMIF('TL01'!$C$238:$C$451,$C83,'TL01'!$J$238:$J$451),0),
IF('TL02'!$B$3=M$3,SUMIF('TL02'!$C$10:$C$224,$C83,'TL02'!$J$10:$J$224),0),
IF('TL02'!$B$229=M$3,SUMIF('TL02'!$C$238:$C$451,$C83,'TL02'!$J$238:$J$451),0),
IF('TL03'!$B$3=M$3,SUMIF('TL03'!$C$10:$C$224,$C83,'TL03'!$J$10:$J$224),0),
IF('TL03'!$B$229=M$3,SUMIF('TL03'!$C$238:$C$451,$C83,'TL03'!$J$238:$J$451),0),
IF('TL04'!$B$3=M$3,SUMIF('TL04'!$C$10:$C$224,$C83,'TL04'!$J$10:$J$224),0),
IF('TL04'!$B$229=M$3,SUMIF('TL04'!$C$238:$C$451,$C83,'TL04'!$J$238:$J$451),0),
IF('TL05'!$B$3=M$3,SUMIF('TL05'!$C$10:$C$224,$C83,'TL05'!$J$10:$J$224),0),
IF('TL05'!$B$229=M$3,SUMIF('TL05'!$C$238:$C$451,$C83,'TL05'!$J$238:$J$451),0),
IF('TL06'!$B$3=M$3,SUMIF('TL06'!$C$10:$C$224,$C83,'TL06'!$J$10:$J$224),0),
IF('TL06'!$B$229=M$3,SUMIF('TL06'!$C$238:$C$451,$C83,'TL06'!$J$238:$J$451),0),
IF('TL07'!$B$3=M$3,SUMIF('TL07'!$C$10:$C$224,$C83,'TL07'!$J$10:$J$224),0),
IF('TL07'!$B$229=M$3,SUMIF('TL07'!$C$238:$C$451,$C83,'TL07'!$J$238:$J$451),0),
IF('TL08'!$B$3=M$3,SUMIF('TL08'!$C$10:$C$224,$C83,'TL08'!$J$10:$J$224),0),
IF('TL08'!$B$229=M$3,SUMIF('TL08'!$C$238:$C$451,$C83,'TL08'!$J$238:$J$451),0),
IF('TL09'!$B$3=M$3,SUMIF('TL09'!$C$10:$C$224,$C83,'TL09'!$J$10:$J$224),0),
IF('TL09'!$B$229=M$3,SUMIF('TL09'!$C$238:$C$451,$C83,'TL09'!$J$238:$J$451),0),
IF('TL10'!$B$3=M$3,SUMIF('TL10'!$C$10:$C$224,$C83,'TL10'!$J$10:$J$224),0),
IF('TL10'!$B$229=M$3,SUMIF('TL10'!$C$238:$C$451,$C83,'TL10'!$J$238:$J$451),0),
IF('TL11'!$B$3=M$3,SUMIF('TL11'!$C$10:$C$224,$C83,'TL11'!$J$10:$J$224),0),
IF('TL11'!$B$229=M$3,SUMIF('TL11'!$C$238:$C$451,$C83,'TL11'!$J$238:$J$451),0),
IF('TL12'!$B$3=M$3,SUMIF('TL12'!$C$10:$C$224,$C83,'TL12'!$J$10:$J$224),0),
IF('TL12'!$B$229=M$3,SUMIF('TL12'!$C$238:$C$451,$C83,'TL12'!$J$238:$J$451),0),
IF('TL13'!$B$3=M$3,SUMIF('TL13'!$C$10:$C$224,$C83,'TL13'!$J$10:$J$224),0),
IF('TL13'!$B$229=M$3,SUMIF('TL13'!$C$238:$C$451,$C83,'TL13'!$J$238:$J$451),0),
IF('TL14'!$B$3=M$3,SUMIF('TL14'!$C$10:$C$224,$C83,'TL14'!$J$10:$J$224),0),
IF('TL14'!$B$229=M$3,SUMIF('TL14'!$C$238:$C$451,$C83,'TL14'!$J$238:$J$451),0),
IF('TL15'!$B$3=M$3,SUMIF('TL15'!$C$10:$C$224,$C83,'TL15'!$J$10:$J$224),0),
IF('TL15'!$B$229=M$3,SUMIF('TL15'!$C$238:$C$451,$C83,'TL15'!$J$238:$J$451),0),
IF('TL16'!$B$3=M$3,SUMIF('TL16'!$C$10:$C$224,$C83,'TL16'!$J$10:$J$224),0),
IF('TL16'!$B$229=M$3,SUMIF('TL16'!$C$238:$C$451,$C83,'TL16'!$J$238:$J$451),0),
IF('TL17'!$B$3=M$3,SUMIF('TL17'!$C$10:$C$224,$C83,'TL17'!$J$10:$J$224),0),
IF('TL17'!$B$229=M$3,SUMIF('TL17'!$C$238:$C$451,$C83,'TL17'!$J$238:$J$451),0),
IF('TL18'!$B$3=M$3,SUMIF('TL18'!$C$10:$C$224,$C83,'TL18'!$J$10:$J$224),0),
IF('TL18'!$B$229=M$3,SUMIF('TL18'!$C$238:$C$451,$C83,'TL18'!$J$238:$J$451),0),
IF('TL19'!$B$3=M$3,SUMIF('TL19'!$C$10:$C$224,$C83,'TL19'!$J$10:$J$224),0),
IF('TL19'!$B$229=M$3,SUMIF('TL19'!$C$238:$C$451,$C83,'TL19'!$J$238:$J$451),0)
),0)</f>
        <v/>
      </c>
      <c r="N83" s="9">
        <f>IFERROR(SUM(
IF('TL01'!$B$3=N$3,SUMIF('TL01'!$C$10:$C$224,$C83,'TL01'!$J$10:$J$224),0),
IF('TL01'!$B$229=N$3,SUMIF('TL01'!$C$238:$C$451,$C83,'TL01'!$J$238:$J$451),0),
IF('TL02'!$B$3=N$3,SUMIF('TL02'!$C$10:$C$224,$C83,'TL02'!$J$10:$J$224),0),
IF('TL02'!$B$229=N$3,SUMIF('TL02'!$C$238:$C$451,$C83,'TL02'!$J$238:$J$451),0),
IF('TL03'!$B$3=N$3,SUMIF('TL03'!$C$10:$C$224,$C83,'TL03'!$J$10:$J$224),0),
IF('TL03'!$B$229=N$3,SUMIF('TL03'!$C$238:$C$451,$C83,'TL03'!$J$238:$J$451),0),
IF('TL04'!$B$3=N$3,SUMIF('TL04'!$C$10:$C$224,$C83,'TL04'!$J$10:$J$224),0),
IF('TL04'!$B$229=N$3,SUMIF('TL04'!$C$238:$C$451,$C83,'TL04'!$J$238:$J$451),0),
IF('TL05'!$B$3=N$3,SUMIF('TL05'!$C$10:$C$224,$C83,'TL05'!$J$10:$J$224),0),
IF('TL05'!$B$229=N$3,SUMIF('TL05'!$C$238:$C$451,$C83,'TL05'!$J$238:$J$451),0),
IF('TL06'!$B$3=N$3,SUMIF('TL06'!$C$10:$C$224,$C83,'TL06'!$J$10:$J$224),0),
IF('TL06'!$B$229=N$3,SUMIF('TL06'!$C$238:$C$451,$C83,'TL06'!$J$238:$J$451),0),
IF('TL07'!$B$3=N$3,SUMIF('TL07'!$C$10:$C$224,$C83,'TL07'!$J$10:$J$224),0),
IF('TL07'!$B$229=N$3,SUMIF('TL07'!$C$238:$C$451,$C83,'TL07'!$J$238:$J$451),0),
IF('TL08'!$B$3=N$3,SUMIF('TL08'!$C$10:$C$224,$C83,'TL08'!$J$10:$J$224),0),
IF('TL08'!$B$229=N$3,SUMIF('TL08'!$C$238:$C$451,$C83,'TL08'!$J$238:$J$451),0),
IF('TL09'!$B$3=N$3,SUMIF('TL09'!$C$10:$C$224,$C83,'TL09'!$J$10:$J$224),0),
IF('TL09'!$B$229=N$3,SUMIF('TL09'!$C$238:$C$451,$C83,'TL09'!$J$238:$J$451),0),
IF('TL10'!$B$3=N$3,SUMIF('TL10'!$C$10:$C$224,$C83,'TL10'!$J$10:$J$224),0),
IF('TL10'!$B$229=N$3,SUMIF('TL10'!$C$238:$C$451,$C83,'TL10'!$J$238:$J$451),0),
IF('TL11'!$B$3=N$3,SUMIF('TL11'!$C$10:$C$224,$C83,'TL11'!$J$10:$J$224),0),
IF('TL11'!$B$229=N$3,SUMIF('TL11'!$C$238:$C$451,$C83,'TL11'!$J$238:$J$451),0),
IF('TL12'!$B$3=N$3,SUMIF('TL12'!$C$10:$C$224,$C83,'TL12'!$J$10:$J$224),0),
IF('TL12'!$B$229=N$3,SUMIF('TL12'!$C$238:$C$451,$C83,'TL12'!$J$238:$J$451),0),
IF('TL13'!$B$3=N$3,SUMIF('TL13'!$C$10:$C$224,$C83,'TL13'!$J$10:$J$224),0),
IF('TL13'!$B$229=N$3,SUMIF('TL13'!$C$238:$C$451,$C83,'TL13'!$J$238:$J$451),0),
IF('TL14'!$B$3=N$3,SUMIF('TL14'!$C$10:$C$224,$C83,'TL14'!$J$10:$J$224),0),
IF('TL14'!$B$229=N$3,SUMIF('TL14'!$C$238:$C$451,$C83,'TL14'!$J$238:$J$451),0),
IF('TL15'!$B$3=N$3,SUMIF('TL15'!$C$10:$C$224,$C83,'TL15'!$J$10:$J$224),0),
IF('TL15'!$B$229=N$3,SUMIF('TL15'!$C$238:$C$451,$C83,'TL15'!$J$238:$J$451),0),
IF('TL16'!$B$3=N$3,SUMIF('TL16'!$C$10:$C$224,$C83,'TL16'!$J$10:$J$224),0),
IF('TL16'!$B$229=N$3,SUMIF('TL16'!$C$238:$C$451,$C83,'TL16'!$J$238:$J$451),0),
IF('TL17'!$B$3=N$3,SUMIF('TL17'!$C$10:$C$224,$C83,'TL17'!$J$10:$J$224),0),
IF('TL17'!$B$229=N$3,SUMIF('TL17'!$C$238:$C$451,$C83,'TL17'!$J$238:$J$451),0),
IF('TL18'!$B$3=N$3,SUMIF('TL18'!$C$10:$C$224,$C83,'TL18'!$J$10:$J$224),0),
IF('TL18'!$B$229=N$3,SUMIF('TL18'!$C$238:$C$451,$C83,'TL18'!$J$238:$J$451),0),
IF('TL19'!$B$3=N$3,SUMIF('TL19'!$C$10:$C$224,$C83,'TL19'!$J$10:$J$224),0),
IF('TL19'!$B$229=N$3,SUMIF('TL19'!$C$238:$C$451,$C83,'TL19'!$J$238:$J$451),0)
),0)</f>
        <v/>
      </c>
      <c r="O83" s="9">
        <f>IFERROR(SUM(
IF('TL01'!$B$3=O$3,SUMIF('TL01'!$C$10:$C$224,$C83,'TL01'!$J$10:$J$224),0),
IF('TL01'!$B$229=O$3,SUMIF('TL01'!$C$238:$C$451,$C83,'TL01'!$J$238:$J$451),0),
IF('TL02'!$B$3=O$3,SUMIF('TL02'!$C$10:$C$224,$C83,'TL02'!$J$10:$J$224),0),
IF('TL02'!$B$229=O$3,SUMIF('TL02'!$C$238:$C$451,$C83,'TL02'!$J$238:$J$451),0),
IF('TL03'!$B$3=O$3,SUMIF('TL03'!$C$10:$C$224,$C83,'TL03'!$J$10:$J$224),0),
IF('TL03'!$B$229=O$3,SUMIF('TL03'!$C$238:$C$451,$C83,'TL03'!$J$238:$J$451),0),
IF('TL04'!$B$3=O$3,SUMIF('TL04'!$C$10:$C$224,$C83,'TL04'!$J$10:$J$224),0),
IF('TL04'!$B$229=O$3,SUMIF('TL04'!$C$238:$C$451,$C83,'TL04'!$J$238:$J$451),0),
IF('TL05'!$B$3=O$3,SUMIF('TL05'!$C$10:$C$224,$C83,'TL05'!$J$10:$J$224),0),
IF('TL05'!$B$229=O$3,SUMIF('TL05'!$C$238:$C$451,$C83,'TL05'!$J$238:$J$451),0),
IF('TL06'!$B$3=O$3,SUMIF('TL06'!$C$10:$C$224,$C83,'TL06'!$J$10:$J$224),0),
IF('TL06'!$B$229=O$3,SUMIF('TL06'!$C$238:$C$451,$C83,'TL06'!$J$238:$J$451),0),
IF('TL07'!$B$3=O$3,SUMIF('TL07'!$C$10:$C$224,$C83,'TL07'!$J$10:$J$224),0),
IF('TL07'!$B$229=O$3,SUMIF('TL07'!$C$238:$C$451,$C83,'TL07'!$J$238:$J$451),0),
IF('TL08'!$B$3=O$3,SUMIF('TL08'!$C$10:$C$224,$C83,'TL08'!$J$10:$J$224),0),
IF('TL08'!$B$229=O$3,SUMIF('TL08'!$C$238:$C$451,$C83,'TL08'!$J$238:$J$451),0),
IF('TL09'!$B$3=O$3,SUMIF('TL09'!$C$10:$C$224,$C83,'TL09'!$J$10:$J$224),0),
IF('TL09'!$B$229=O$3,SUMIF('TL09'!$C$238:$C$451,$C83,'TL09'!$J$238:$J$451),0),
IF('TL10'!$B$3=O$3,SUMIF('TL10'!$C$10:$C$224,$C83,'TL10'!$J$10:$J$224),0),
IF('TL10'!$B$229=O$3,SUMIF('TL10'!$C$238:$C$451,$C83,'TL10'!$J$238:$J$451),0),
IF('TL11'!$B$3=O$3,SUMIF('TL11'!$C$10:$C$224,$C83,'TL11'!$J$10:$J$224),0),
IF('TL11'!$B$229=O$3,SUMIF('TL11'!$C$238:$C$451,$C83,'TL11'!$J$238:$J$451),0),
IF('TL12'!$B$3=O$3,SUMIF('TL12'!$C$10:$C$224,$C83,'TL12'!$J$10:$J$224),0),
IF('TL12'!$B$229=O$3,SUMIF('TL12'!$C$238:$C$451,$C83,'TL12'!$J$238:$J$451),0),
IF('TL13'!$B$3=O$3,SUMIF('TL13'!$C$10:$C$224,$C83,'TL13'!$J$10:$J$224),0),
IF('TL13'!$B$229=O$3,SUMIF('TL13'!$C$238:$C$451,$C83,'TL13'!$J$238:$J$451),0),
IF('TL14'!$B$3=O$3,SUMIF('TL14'!$C$10:$C$224,$C83,'TL14'!$J$10:$J$224),0),
IF('TL14'!$B$229=O$3,SUMIF('TL14'!$C$238:$C$451,$C83,'TL14'!$J$238:$J$451),0),
IF('TL15'!$B$3=O$3,SUMIF('TL15'!$C$10:$C$224,$C83,'TL15'!$J$10:$J$224),0),
IF('TL15'!$B$229=O$3,SUMIF('TL15'!$C$238:$C$451,$C83,'TL15'!$J$238:$J$451),0),
IF('TL16'!$B$3=O$3,SUMIF('TL16'!$C$10:$C$224,$C83,'TL16'!$J$10:$J$224),0),
IF('TL16'!$B$229=O$3,SUMIF('TL16'!$C$238:$C$451,$C83,'TL16'!$J$238:$J$451),0),
IF('TL17'!$B$3=O$3,SUMIF('TL17'!$C$10:$C$224,$C83,'TL17'!$J$10:$J$224),0),
IF('TL17'!$B$229=O$3,SUMIF('TL17'!$C$238:$C$451,$C83,'TL17'!$J$238:$J$451),0),
IF('TL18'!$B$3=O$3,SUMIF('TL18'!$C$10:$C$224,$C83,'TL18'!$J$10:$J$224),0),
IF('TL18'!$B$229=O$3,SUMIF('TL18'!$C$238:$C$451,$C83,'TL18'!$J$238:$J$451),0),
IF('TL19'!$B$3=O$3,SUMIF('TL19'!$C$10:$C$224,$C83,'TL19'!$J$10:$J$224),0),
IF('TL19'!$B$229=O$3,SUMIF('TL19'!$C$238:$C$451,$C83,'TL19'!$J$238:$J$451),0)
),0)</f>
        <v/>
      </c>
      <c r="P83" s="9">
        <f>IFERROR(SUM(
IF('TL01'!$B$3=P$3,SUMIF('TL01'!$C$10:$C$224,$C83,'TL01'!$J$10:$J$224),0),
IF('TL01'!$B$229=P$3,SUMIF('TL01'!$C$238:$C$451,$C83,'TL01'!$J$238:$J$451),0),
IF('TL02'!$B$3=P$3,SUMIF('TL02'!$C$10:$C$224,$C83,'TL02'!$J$10:$J$224),0),
IF('TL02'!$B$229=P$3,SUMIF('TL02'!$C$238:$C$451,$C83,'TL02'!$J$238:$J$451),0),
IF('TL03'!$B$3=P$3,SUMIF('TL03'!$C$10:$C$224,$C83,'TL03'!$J$10:$J$224),0),
IF('TL03'!$B$229=P$3,SUMIF('TL03'!$C$238:$C$451,$C83,'TL03'!$J$238:$J$451),0),
IF('TL04'!$B$3=P$3,SUMIF('TL04'!$C$10:$C$224,$C83,'TL04'!$J$10:$J$224),0),
IF('TL04'!$B$229=P$3,SUMIF('TL04'!$C$238:$C$451,$C83,'TL04'!$J$238:$J$451),0),
IF('TL05'!$B$3=P$3,SUMIF('TL05'!$C$10:$C$224,$C83,'TL05'!$J$10:$J$224),0),
IF('TL05'!$B$229=P$3,SUMIF('TL05'!$C$238:$C$451,$C83,'TL05'!$J$238:$J$451),0),
IF('TL06'!$B$3=P$3,SUMIF('TL06'!$C$10:$C$224,$C83,'TL06'!$J$10:$J$224),0),
IF('TL06'!$B$229=P$3,SUMIF('TL06'!$C$238:$C$451,$C83,'TL06'!$J$238:$J$451),0),
IF('TL07'!$B$3=P$3,SUMIF('TL07'!$C$10:$C$224,$C83,'TL07'!$J$10:$J$224),0),
IF('TL07'!$B$229=P$3,SUMIF('TL07'!$C$238:$C$451,$C83,'TL07'!$J$238:$J$451),0),
IF('TL08'!$B$3=P$3,SUMIF('TL08'!$C$10:$C$224,$C83,'TL08'!$J$10:$J$224),0),
IF('TL08'!$B$229=P$3,SUMIF('TL08'!$C$238:$C$451,$C83,'TL08'!$J$238:$J$451),0),
IF('TL09'!$B$3=P$3,SUMIF('TL09'!$C$10:$C$224,$C83,'TL09'!$J$10:$J$224),0),
IF('TL09'!$B$229=P$3,SUMIF('TL09'!$C$238:$C$451,$C83,'TL09'!$J$238:$J$451),0),
IF('TL10'!$B$3=P$3,SUMIF('TL10'!$C$10:$C$224,$C83,'TL10'!$J$10:$J$224),0),
IF('TL10'!$B$229=P$3,SUMIF('TL10'!$C$238:$C$451,$C83,'TL10'!$J$238:$J$451),0),
IF('TL11'!$B$3=P$3,SUMIF('TL11'!$C$10:$C$224,$C83,'TL11'!$J$10:$J$224),0),
IF('TL11'!$B$229=P$3,SUMIF('TL11'!$C$238:$C$451,$C83,'TL11'!$J$238:$J$451),0),
IF('TL12'!$B$3=P$3,SUMIF('TL12'!$C$10:$C$224,$C83,'TL12'!$J$10:$J$224),0),
IF('TL12'!$B$229=P$3,SUMIF('TL12'!$C$238:$C$451,$C83,'TL12'!$J$238:$J$451),0),
IF('TL13'!$B$3=P$3,SUMIF('TL13'!$C$10:$C$224,$C83,'TL13'!$J$10:$J$224),0),
IF('TL13'!$B$229=P$3,SUMIF('TL13'!$C$238:$C$451,$C83,'TL13'!$J$238:$J$451),0),
IF('TL14'!$B$3=P$3,SUMIF('TL14'!$C$10:$C$224,$C83,'TL14'!$J$10:$J$224),0),
IF('TL14'!$B$229=P$3,SUMIF('TL14'!$C$238:$C$451,$C83,'TL14'!$J$238:$J$451),0),
IF('TL15'!$B$3=P$3,SUMIF('TL15'!$C$10:$C$224,$C83,'TL15'!$J$10:$J$224),0),
IF('TL15'!$B$229=P$3,SUMIF('TL15'!$C$238:$C$451,$C83,'TL15'!$J$238:$J$451),0),
IF('TL16'!$B$3=P$3,SUMIF('TL16'!$C$10:$C$224,$C83,'TL16'!$J$10:$J$224),0),
IF('TL16'!$B$229=P$3,SUMIF('TL16'!$C$238:$C$451,$C83,'TL16'!$J$238:$J$451),0),
IF('TL17'!$B$3=P$3,SUMIF('TL17'!$C$10:$C$224,$C83,'TL17'!$J$10:$J$224),0),
IF('TL17'!$B$229=P$3,SUMIF('TL17'!$C$238:$C$451,$C83,'TL17'!$J$238:$J$451),0),
IF('TL18'!$B$3=P$3,SUMIF('TL18'!$C$10:$C$224,$C83,'TL18'!$J$10:$J$224),0),
IF('TL18'!$B$229=P$3,SUMIF('TL18'!$C$238:$C$451,$C83,'TL18'!$J$238:$J$451),0),
IF('TL19'!$B$3=P$3,SUMIF('TL19'!$C$10:$C$224,$C83,'TL19'!$J$10:$J$224),0),
IF('TL19'!$B$229=P$3,SUMIF('TL19'!$C$238:$C$451,$C83,'TL19'!$J$238:$J$451),0)
),0)</f>
        <v/>
      </c>
      <c r="Q83" s="9">
        <f>IFERROR(SUM(
IF('TL01'!$B$3=Q$3,SUMIF('TL01'!$C$10:$C$224,$C83,'TL01'!$J$10:$J$224),0),
IF('TL01'!$B$229=Q$3,SUMIF('TL01'!$C$238:$C$451,$C83,'TL01'!$J$238:$J$451),0),
IF('TL02'!$B$3=Q$3,SUMIF('TL02'!$C$10:$C$224,$C83,'TL02'!$J$10:$J$224),0),
IF('TL02'!$B$229=Q$3,SUMIF('TL02'!$C$238:$C$451,$C83,'TL02'!$J$238:$J$451),0),
IF('TL03'!$B$3=Q$3,SUMIF('TL03'!$C$10:$C$224,$C83,'TL03'!$J$10:$J$224),0),
IF('TL03'!$B$229=Q$3,SUMIF('TL03'!$C$238:$C$451,$C83,'TL03'!$J$238:$J$451),0),
IF('TL04'!$B$3=Q$3,SUMIF('TL04'!$C$10:$C$224,$C83,'TL04'!$J$10:$J$224),0),
IF('TL04'!$B$229=Q$3,SUMIF('TL04'!$C$238:$C$451,$C83,'TL04'!$J$238:$J$451),0),
IF('TL05'!$B$3=Q$3,SUMIF('TL05'!$C$10:$C$224,$C83,'TL05'!$J$10:$J$224),0),
IF('TL05'!$B$229=Q$3,SUMIF('TL05'!$C$238:$C$451,$C83,'TL05'!$J$238:$J$451),0),
IF('TL06'!$B$3=Q$3,SUMIF('TL06'!$C$10:$C$224,$C83,'TL06'!$J$10:$J$224),0),
IF('TL06'!$B$229=Q$3,SUMIF('TL06'!$C$238:$C$451,$C83,'TL06'!$J$238:$J$451),0),
IF('TL07'!$B$3=Q$3,SUMIF('TL07'!$C$10:$C$224,$C83,'TL07'!$J$10:$J$224),0),
IF('TL07'!$B$229=Q$3,SUMIF('TL07'!$C$238:$C$451,$C83,'TL07'!$J$238:$J$451),0),
IF('TL08'!$B$3=Q$3,SUMIF('TL08'!$C$10:$C$224,$C83,'TL08'!$J$10:$J$224),0),
IF('TL08'!$B$229=Q$3,SUMIF('TL08'!$C$238:$C$451,$C83,'TL08'!$J$238:$J$451),0),
IF('TL09'!$B$3=Q$3,SUMIF('TL09'!$C$10:$C$224,$C83,'TL09'!$J$10:$J$224),0),
IF('TL09'!$B$229=Q$3,SUMIF('TL09'!$C$238:$C$451,$C83,'TL09'!$J$238:$J$451),0),
IF('TL10'!$B$3=Q$3,SUMIF('TL10'!$C$10:$C$224,$C83,'TL10'!$J$10:$J$224),0),
IF('TL10'!$B$229=Q$3,SUMIF('TL10'!$C$238:$C$451,$C83,'TL10'!$J$238:$J$451),0),
IF('TL11'!$B$3=Q$3,SUMIF('TL11'!$C$10:$C$224,$C83,'TL11'!$J$10:$J$224),0),
IF('TL11'!$B$229=Q$3,SUMIF('TL11'!$C$238:$C$451,$C83,'TL11'!$J$238:$J$451),0),
IF('TL12'!$B$3=Q$3,SUMIF('TL12'!$C$10:$C$224,$C83,'TL12'!$J$10:$J$224),0),
IF('TL12'!$B$229=Q$3,SUMIF('TL12'!$C$238:$C$451,$C83,'TL12'!$J$238:$J$451),0),
IF('TL13'!$B$3=Q$3,SUMIF('TL13'!$C$10:$C$224,$C83,'TL13'!$J$10:$J$224),0),
IF('TL13'!$B$229=Q$3,SUMIF('TL13'!$C$238:$C$451,$C83,'TL13'!$J$238:$J$451),0),
IF('TL14'!$B$3=Q$3,SUMIF('TL14'!$C$10:$C$224,$C83,'TL14'!$J$10:$J$224),0),
IF('TL14'!$B$229=Q$3,SUMIF('TL14'!$C$238:$C$451,$C83,'TL14'!$J$238:$J$451),0),
IF('TL15'!$B$3=Q$3,SUMIF('TL15'!$C$10:$C$224,$C83,'TL15'!$J$10:$J$224),0),
IF('TL15'!$B$229=Q$3,SUMIF('TL15'!$C$238:$C$451,$C83,'TL15'!$J$238:$J$451),0),
IF('TL16'!$B$3=Q$3,SUMIF('TL16'!$C$10:$C$224,$C83,'TL16'!$J$10:$J$224),0),
IF('TL16'!$B$229=Q$3,SUMIF('TL16'!$C$238:$C$451,$C83,'TL16'!$J$238:$J$451),0),
IF('TL17'!$B$3=Q$3,SUMIF('TL17'!$C$10:$C$224,$C83,'TL17'!$J$10:$J$224),0),
IF('TL17'!$B$229=Q$3,SUMIF('TL17'!$C$238:$C$451,$C83,'TL17'!$J$238:$J$451),0),
IF('TL18'!$B$3=Q$3,SUMIF('TL18'!$C$10:$C$224,$C83,'TL18'!$J$10:$J$224),0),
IF('TL18'!$B$229=Q$3,SUMIF('TL18'!$C$238:$C$451,$C83,'TL18'!$J$238:$J$451),0),
IF('TL19'!$B$3=Q$3,SUMIF('TL19'!$C$10:$C$224,$C83,'TL19'!$J$10:$J$224),0),
IF('TL19'!$B$229=Q$3,SUMIF('TL19'!$C$238:$C$451,$C83,'TL19'!$J$238:$J$451),0)
),0)</f>
        <v/>
      </c>
      <c r="R83" s="9">
        <f>IFERROR(
SUM(
SUMIF('TL01'!C:C,C83,'TL01'!J:J),
SUMIF('TL02'!C:C,C83,'TL02'!J:J),
SUMIF('TL03'!C:C,C83,'TL03'!J:J),
SUMIF('TL04'!C:C,C83,'TL04'!J:J),
SUMIF('TL05'!C:C,C83,'TL05'!J:J),
SUMIF('TL06'!C:C,C83,'TL06'!J:J),
SUMIF('TL07'!C:C,C83,'TL07'!J:J),
SUMIF('TL08'!C:C,C83,'TL08'!J:J),
SUMIF('TL09'!C:C,C83,'TL09'!J:J),
SUMIF('TL10'!C:C,C83,'TL10'!J:J),
SUMIF('TL11'!C:C,C83,'TL11'!J:J),
SUMIF('TL12'!C:C,C83,'TL12'!J:J),
SUMIF('TL13'!C:C,C83,'TL13'!J:J),
SUMIF('TL14'!C:C,C83,'TL14'!J:J),
SUMIF('TL15'!C:C,C83,'TL15'!J:J),
SUMIF('TL16'!C:C,C83,'TL16'!J:J),
SUMIF('TL17'!C:C,C83,'TL17'!J:J),
SUMIF('TL18'!C:C,C83,'TL18'!J:J),SUMIF('TL19'!C:C,C83,'TL19'!J:J))
,0)</f>
        <v/>
      </c>
      <c r="S83" s="17">
        <f>IFERROR(__xludf.DUMMYFUNCTION("IFERROR(VLOOKUP(C83,
IMPORTRANGE(""1wULbzX32WdYsx-lj2U3uUNBBe2INVIRDtcK0d-Dvl90"",
""26-27!C:G""),
5,
FALSE),
"""")"),67.68)</f>
        <v/>
      </c>
      <c r="T83" s="9" t="n"/>
      <c r="U83" s="92">
        <f>MAX(0,R83-T83)</f>
        <v/>
      </c>
      <c r="V83" s="93">
        <f>U83*S83</f>
        <v/>
      </c>
    </row>
    <row r="84" hidden="1" ht="15.75" customHeight="1" s="297">
      <c r="A84" s="115" t="inlineStr">
        <is>
          <t>SUMITOMO</t>
        </is>
      </c>
      <c r="B84" s="100" t="inlineStr">
        <is>
          <t>FUNGICIDA</t>
        </is>
      </c>
      <c r="C84" s="116" t="inlineStr">
        <is>
          <t>CURADO</t>
        </is>
      </c>
      <c r="D84" s="116" t="inlineStr">
        <is>
          <t>FLUAZINAM</t>
        </is>
      </c>
      <c r="E84" s="116" t="n">
        <v>500</v>
      </c>
      <c r="F84" s="4" t="inlineStr">
        <is>
          <t>KG</t>
        </is>
      </c>
      <c r="G84" s="90">
        <f>HYPERLINK("https://www.google.com/search?q=" &amp; C84 &amp; "+bula+agrofit+pdf", "📄 Ver bula")</f>
        <v/>
      </c>
      <c r="H84" s="9">
        <f>IFERROR(__xludf.DUMMYFUNCTION("IFERROR(VLOOKUP(C84,
IMPORTRANGE(""1wULbzX32WdYsx-lj2U3uUNBBe2INVIRDtcK0d-Dvl90"",
""26-27!C:K""),
8,
FALSE),
"""")"),1.0)</f>
        <v/>
      </c>
      <c r="I84" s="117" t="inlineStr">
        <is>
          <t>4X5</t>
        </is>
      </c>
      <c r="J84" s="9">
        <f>IFERROR(SUM(
IF('TL01'!$B$3=J$3,SUMIF('TL01'!$C$10:$C$224,$C84,'TL01'!$J$10:$J$224),0),
IF('TL01'!$B$229=J$3,SUMIF('TL01'!$C$238:$C$451,$C84,'TL01'!$J$238:$J$451),0),
IF('TL02'!$B$3=J$3,SUMIF('TL02'!$C$10:$C$224,$C84,'TL02'!$J$10:$J$224),0),
IF('TL02'!$B$229=J$3,SUMIF('TL02'!$C$238:$C$451,$C84,'TL02'!$J$238:$J$451),0),
IF('TL03'!$B$3=J$3,SUMIF('TL03'!$C$10:$C$224,$C84,'TL03'!$J$10:$J$224),0),
IF('TL03'!$B$229=J$3,SUMIF('TL03'!$C$238:$C$451,$C84,'TL03'!$J$238:$J$451),0),
IF('TL04'!$B$3=J$3,SUMIF('TL04'!$C$10:$C$224,$C84,'TL04'!$J$10:$J$224),0),
IF('TL04'!$B$229=J$3,SUMIF('TL04'!$C$238:$C$451,$C84,'TL04'!$J$238:$J$451),0),
IF('TL05'!$B$3=J$3,SUMIF('TL05'!$C$10:$C$224,$C84,'TL05'!$J$10:$J$224),0),
IF('TL05'!$B$229=J$3,SUMIF('TL05'!$C$238:$C$451,$C84,'TL05'!$J$238:$J$451),0),
IF('TL06'!$B$3=J$3,SUMIF('TL06'!$C$10:$C$224,$C84,'TL06'!$J$10:$J$224),0),
IF('TL06'!$B$229=J$3,SUMIF('TL06'!$C$238:$C$451,$C84,'TL06'!$J$238:$J$451),0),
IF('TL07'!$B$3=J$3,SUMIF('TL07'!$C$10:$C$224,$C84,'TL07'!$J$10:$J$224),0),
IF('TL07'!$B$229=J$3,SUMIF('TL07'!$C$238:$C$451,$C84,'TL07'!$J$238:$J$451),0),
IF('TL08'!$B$3=J$3,SUMIF('TL08'!$C$10:$C$224,$C84,'TL08'!$J$10:$J$224),0),
IF('TL08'!$B$229=J$3,SUMIF('TL08'!$C$238:$C$451,$C84,'TL08'!$J$238:$J$451),0),
IF('TL09'!$B$3=J$3,SUMIF('TL09'!$C$10:$C$224,$C84,'TL09'!$J$10:$J$224),0),
IF('TL09'!$B$229=J$3,SUMIF('TL09'!$C$238:$C$451,$C84,'TL09'!$J$238:$J$451),0),
IF('TL10'!$B$3=J$3,SUMIF('TL10'!$C$10:$C$224,$C84,'TL10'!$J$10:$J$224),0),
IF('TL10'!$B$229=J$3,SUMIF('TL10'!$C$238:$C$451,$C84,'TL10'!$J$238:$J$451),0),
IF('TL11'!$B$3=J$3,SUMIF('TL11'!$C$10:$C$224,$C84,'TL11'!$J$10:$J$224),0),
IF('TL11'!$B$229=J$3,SUMIF('TL11'!$C$238:$C$451,$C84,'TL11'!$J$238:$J$451),0),
IF('TL12'!$B$3=J$3,SUMIF('TL12'!$C$10:$C$224,$C84,'TL12'!$J$10:$J$224),0),
IF('TL12'!$B$229=J$3,SUMIF('TL12'!$C$238:$C$451,$C84,'TL12'!$J$238:$J$451),0),
IF('TL13'!$B$3=J$3,SUMIF('TL13'!$C$10:$C$224,$C84,'TL13'!$J$10:$J$224),0),
IF('TL13'!$B$229=J$3,SUMIF('TL13'!$C$238:$C$451,$C84,'TL13'!$J$238:$J$451),0),
IF('TL14'!$B$3=J$3,SUMIF('TL14'!$C$10:$C$224,$C84,'TL14'!$J$10:$J$224),0),
IF('TL14'!$B$229=J$3,SUMIF('TL14'!$C$238:$C$451,$C84,'TL14'!$J$238:$J$451),0),
IF('TL15'!$B$3=J$3,SUMIF('TL15'!$C$10:$C$224,$C84,'TL15'!$J$10:$J$224),0),
IF('TL15'!$B$229=J$3,SUMIF('TL15'!$C$238:$C$451,$C84,'TL15'!$J$238:$J$451),0),
IF('TL16'!$B$3=J$3,SUMIF('TL16'!$C$10:$C$224,$C84,'TL16'!$J$10:$J$224),0),
IF('TL16'!$B$229=J$3,SUMIF('TL16'!$C$238:$C$451,$C84,'TL16'!$J$238:$J$451),0),
IF('TL17'!$B$3=J$3,SUMIF('TL17'!$C$10:$C$224,$C84,'TL17'!$J$10:$J$224),0),
IF('TL17'!$B$229=J$3,SUMIF('TL17'!$C$238:$C$451,$C84,'TL17'!$J$238:$J$451),0),
IF('TL18'!$B$3=J$3,SUMIF('TL18'!$C$10:$C$224,$C84,'TL18'!$J$10:$J$224),0),
IF('TL18'!$B$229=J$3,SUMIF('TL18'!$C$238:$C$451,$C84,'TL18'!$J$238:$J$451),0),
IF('TL19'!$B$3=J$3,SUMIF('TL19'!$C$10:$C$224,$C84,'TL19'!$J$10:$J$224),0),
IF('TL19'!$B$229=J$3,SUMIF('TL19'!$C$238:$C$451,$C84,'TL19'!$J$238:$J$451),0)
),0)</f>
        <v/>
      </c>
      <c r="K84" s="9">
        <f>IFERROR(SUM(
IF('TL01'!$B$3=K$3,SUMIF('TL01'!$C$10:$C$224,$C84,'TL01'!$J$10:$J$224),0),
IF('TL01'!$B$229=K$3,SUMIF('TL01'!$C$238:$C$451,$C84,'TL01'!$J$238:$J$451),0),
IF('TL02'!$B$3=K$3,SUMIF('TL02'!$C$10:$C$224,$C84,'TL02'!$J$10:$J$224),0),
IF('TL02'!$B$229=K$3,SUMIF('TL02'!$C$238:$C$451,$C84,'TL02'!$J$238:$J$451),0),
IF('TL03'!$B$3=K$3,SUMIF('TL03'!$C$10:$C$224,$C84,'TL03'!$J$10:$J$224),0),
IF('TL03'!$B$229=K$3,SUMIF('TL03'!$C$238:$C$451,$C84,'TL03'!$J$238:$J$451),0),
IF('TL04'!$B$3=K$3,SUMIF('TL04'!$C$10:$C$224,$C84,'TL04'!$J$10:$J$224),0),
IF('TL04'!$B$229=K$3,SUMIF('TL04'!$C$238:$C$451,$C84,'TL04'!$J$238:$J$451),0),
IF('TL05'!$B$3=K$3,SUMIF('TL05'!$C$10:$C$224,$C84,'TL05'!$J$10:$J$224),0),
IF('TL05'!$B$229=K$3,SUMIF('TL05'!$C$238:$C$451,$C84,'TL05'!$J$238:$J$451),0),
IF('TL06'!$B$3=K$3,SUMIF('TL06'!$C$10:$C$224,$C84,'TL06'!$J$10:$J$224),0),
IF('TL06'!$B$229=K$3,SUMIF('TL06'!$C$238:$C$451,$C84,'TL06'!$J$238:$J$451),0),
IF('TL07'!$B$3=K$3,SUMIF('TL07'!$C$10:$C$224,$C84,'TL07'!$J$10:$J$224),0),
IF('TL07'!$B$229=K$3,SUMIF('TL07'!$C$238:$C$451,$C84,'TL07'!$J$238:$J$451),0),
IF('TL08'!$B$3=K$3,SUMIF('TL08'!$C$10:$C$224,$C84,'TL08'!$J$10:$J$224),0),
IF('TL08'!$B$229=K$3,SUMIF('TL08'!$C$238:$C$451,$C84,'TL08'!$J$238:$J$451),0),
IF('TL09'!$B$3=K$3,SUMIF('TL09'!$C$10:$C$224,$C84,'TL09'!$J$10:$J$224),0),
IF('TL09'!$B$229=K$3,SUMIF('TL09'!$C$238:$C$451,$C84,'TL09'!$J$238:$J$451),0),
IF('TL10'!$B$3=K$3,SUMIF('TL10'!$C$10:$C$224,$C84,'TL10'!$J$10:$J$224),0),
IF('TL10'!$B$229=K$3,SUMIF('TL10'!$C$238:$C$451,$C84,'TL10'!$J$238:$J$451),0),
IF('TL11'!$B$3=K$3,SUMIF('TL11'!$C$10:$C$224,$C84,'TL11'!$J$10:$J$224),0),
IF('TL11'!$B$229=K$3,SUMIF('TL11'!$C$238:$C$451,$C84,'TL11'!$J$238:$J$451),0),
IF('TL12'!$B$3=K$3,SUMIF('TL12'!$C$10:$C$224,$C84,'TL12'!$J$10:$J$224),0),
IF('TL12'!$B$229=K$3,SUMIF('TL12'!$C$238:$C$451,$C84,'TL12'!$J$238:$J$451),0),
IF('TL13'!$B$3=K$3,SUMIF('TL13'!$C$10:$C$224,$C84,'TL13'!$J$10:$J$224),0),
IF('TL13'!$B$229=K$3,SUMIF('TL13'!$C$238:$C$451,$C84,'TL13'!$J$238:$J$451),0),
IF('TL14'!$B$3=K$3,SUMIF('TL14'!$C$10:$C$224,$C84,'TL14'!$J$10:$J$224),0),
IF('TL14'!$B$229=K$3,SUMIF('TL14'!$C$238:$C$451,$C84,'TL14'!$J$238:$J$451),0),
IF('TL15'!$B$3=K$3,SUMIF('TL15'!$C$10:$C$224,$C84,'TL15'!$J$10:$J$224),0),
IF('TL15'!$B$229=K$3,SUMIF('TL15'!$C$238:$C$451,$C84,'TL15'!$J$238:$J$451),0),
IF('TL16'!$B$3=K$3,SUMIF('TL16'!$C$10:$C$224,$C84,'TL16'!$J$10:$J$224),0),
IF('TL16'!$B$229=K$3,SUMIF('TL16'!$C$238:$C$451,$C84,'TL16'!$J$238:$J$451),0),
IF('TL17'!$B$3=K$3,SUMIF('TL17'!$C$10:$C$224,$C84,'TL17'!$J$10:$J$224),0),
IF('TL17'!$B$229=K$3,SUMIF('TL17'!$C$238:$C$451,$C84,'TL17'!$J$238:$J$451),0),
IF('TL18'!$B$3=K$3,SUMIF('TL18'!$C$10:$C$224,$C84,'TL18'!$J$10:$J$224),0),
IF('TL18'!$B$229=K$3,SUMIF('TL18'!$C$238:$C$451,$C84,'TL18'!$J$238:$J$451),0),
IF('TL19'!$B$3=K$3,SUMIF('TL19'!$C$10:$C$224,$C84,'TL19'!$J$10:$J$224),0),
IF('TL19'!$B$229=K$3,SUMIF('TL19'!$C$238:$C$451,$C84,'TL19'!$J$238:$J$451),0)
),0)</f>
        <v/>
      </c>
      <c r="L84" s="9">
        <f>IFERROR(SUM(
IF('TL01'!$B$3=L$3,SUMIF('TL01'!$C$10:$C$224,$C84,'TL01'!$J$10:$J$224),0),
IF('TL01'!$B$229=L$3,SUMIF('TL01'!$C$238:$C$451,$C84,'TL01'!$J$238:$J$451),0),
IF('TL02'!$B$3=L$3,SUMIF('TL02'!$C$10:$C$224,$C84,'TL02'!$J$10:$J$224),0),
IF('TL02'!$B$229=L$3,SUMIF('TL02'!$C$238:$C$451,$C84,'TL02'!$J$238:$J$451),0),
IF('TL03'!$B$3=L$3,SUMIF('TL03'!$C$10:$C$224,$C84,'TL03'!$J$10:$J$224),0),
IF('TL03'!$B$229=L$3,SUMIF('TL03'!$C$238:$C$451,$C84,'TL03'!$J$238:$J$451),0),
IF('TL04'!$B$3=L$3,SUMIF('TL04'!$C$10:$C$224,$C84,'TL04'!$J$10:$J$224),0),
IF('TL04'!$B$229=L$3,SUMIF('TL04'!$C$238:$C$451,$C84,'TL04'!$J$238:$J$451),0),
IF('TL05'!$B$3=L$3,SUMIF('TL05'!$C$10:$C$224,$C84,'TL05'!$J$10:$J$224),0),
IF('TL05'!$B$229=L$3,SUMIF('TL05'!$C$238:$C$451,$C84,'TL05'!$J$238:$J$451),0),
IF('TL06'!$B$3=L$3,SUMIF('TL06'!$C$10:$C$224,$C84,'TL06'!$J$10:$J$224),0),
IF('TL06'!$B$229=L$3,SUMIF('TL06'!$C$238:$C$451,$C84,'TL06'!$J$238:$J$451),0),
IF('TL07'!$B$3=L$3,SUMIF('TL07'!$C$10:$C$224,$C84,'TL07'!$J$10:$J$224),0),
IF('TL07'!$B$229=L$3,SUMIF('TL07'!$C$238:$C$451,$C84,'TL07'!$J$238:$J$451),0),
IF('TL08'!$B$3=L$3,SUMIF('TL08'!$C$10:$C$224,$C84,'TL08'!$J$10:$J$224),0),
IF('TL08'!$B$229=L$3,SUMIF('TL08'!$C$238:$C$451,$C84,'TL08'!$J$238:$J$451),0),
IF('TL09'!$B$3=L$3,SUMIF('TL09'!$C$10:$C$224,$C84,'TL09'!$J$10:$J$224),0),
IF('TL09'!$B$229=L$3,SUMIF('TL09'!$C$238:$C$451,$C84,'TL09'!$J$238:$J$451),0),
IF('TL10'!$B$3=L$3,SUMIF('TL10'!$C$10:$C$224,$C84,'TL10'!$J$10:$J$224),0),
IF('TL10'!$B$229=L$3,SUMIF('TL10'!$C$238:$C$451,$C84,'TL10'!$J$238:$J$451),0),
IF('TL11'!$B$3=L$3,SUMIF('TL11'!$C$10:$C$224,$C84,'TL11'!$J$10:$J$224),0),
IF('TL11'!$B$229=L$3,SUMIF('TL11'!$C$238:$C$451,$C84,'TL11'!$J$238:$J$451),0),
IF('TL12'!$B$3=L$3,SUMIF('TL12'!$C$10:$C$224,$C84,'TL12'!$J$10:$J$224),0),
IF('TL12'!$B$229=L$3,SUMIF('TL12'!$C$238:$C$451,$C84,'TL12'!$J$238:$J$451),0),
IF('TL13'!$B$3=L$3,SUMIF('TL13'!$C$10:$C$224,$C84,'TL13'!$J$10:$J$224),0),
IF('TL13'!$B$229=L$3,SUMIF('TL13'!$C$238:$C$451,$C84,'TL13'!$J$238:$J$451),0),
IF('TL14'!$B$3=L$3,SUMIF('TL14'!$C$10:$C$224,$C84,'TL14'!$J$10:$J$224),0),
IF('TL14'!$B$229=L$3,SUMIF('TL14'!$C$238:$C$451,$C84,'TL14'!$J$238:$J$451),0),
IF('TL15'!$B$3=L$3,SUMIF('TL15'!$C$10:$C$224,$C84,'TL15'!$J$10:$J$224),0),
IF('TL15'!$B$229=L$3,SUMIF('TL15'!$C$238:$C$451,$C84,'TL15'!$J$238:$J$451),0),
IF('TL16'!$B$3=L$3,SUMIF('TL16'!$C$10:$C$224,$C84,'TL16'!$J$10:$J$224),0),
IF('TL16'!$B$229=L$3,SUMIF('TL16'!$C$238:$C$451,$C84,'TL16'!$J$238:$J$451),0),
IF('TL17'!$B$3=L$3,SUMIF('TL17'!$C$10:$C$224,$C84,'TL17'!$J$10:$J$224),0),
IF('TL17'!$B$229=L$3,SUMIF('TL17'!$C$238:$C$451,$C84,'TL17'!$J$238:$J$451),0),
IF('TL18'!$B$3=L$3,SUMIF('TL18'!$C$10:$C$224,$C84,'TL18'!$J$10:$J$224),0),
IF('TL18'!$B$229=L$3,SUMIF('TL18'!$C$238:$C$451,$C84,'TL18'!$J$238:$J$451),0),
IF('TL19'!$B$3=L$3,SUMIF('TL19'!$C$10:$C$224,$C84,'TL19'!$J$10:$J$224),0),
IF('TL19'!$B$229=L$3,SUMIF('TL19'!$C$238:$C$451,$C84,'TL19'!$J$238:$J$451),0)
),0)</f>
        <v/>
      </c>
      <c r="M84" s="9">
        <f>IFERROR(SUM(
IF('TL01'!$B$3=M$3,SUMIF('TL01'!$C$10:$C$224,$C84,'TL01'!$J$10:$J$224),0),
IF('TL01'!$B$229=M$3,SUMIF('TL01'!$C$238:$C$451,$C84,'TL01'!$J$238:$J$451),0),
IF('TL02'!$B$3=M$3,SUMIF('TL02'!$C$10:$C$224,$C84,'TL02'!$J$10:$J$224),0),
IF('TL02'!$B$229=M$3,SUMIF('TL02'!$C$238:$C$451,$C84,'TL02'!$J$238:$J$451),0),
IF('TL03'!$B$3=M$3,SUMIF('TL03'!$C$10:$C$224,$C84,'TL03'!$J$10:$J$224),0),
IF('TL03'!$B$229=M$3,SUMIF('TL03'!$C$238:$C$451,$C84,'TL03'!$J$238:$J$451),0),
IF('TL04'!$B$3=M$3,SUMIF('TL04'!$C$10:$C$224,$C84,'TL04'!$J$10:$J$224),0),
IF('TL04'!$B$229=M$3,SUMIF('TL04'!$C$238:$C$451,$C84,'TL04'!$J$238:$J$451),0),
IF('TL05'!$B$3=M$3,SUMIF('TL05'!$C$10:$C$224,$C84,'TL05'!$J$10:$J$224),0),
IF('TL05'!$B$229=M$3,SUMIF('TL05'!$C$238:$C$451,$C84,'TL05'!$J$238:$J$451),0),
IF('TL06'!$B$3=M$3,SUMIF('TL06'!$C$10:$C$224,$C84,'TL06'!$J$10:$J$224),0),
IF('TL06'!$B$229=M$3,SUMIF('TL06'!$C$238:$C$451,$C84,'TL06'!$J$238:$J$451),0),
IF('TL07'!$B$3=M$3,SUMIF('TL07'!$C$10:$C$224,$C84,'TL07'!$J$10:$J$224),0),
IF('TL07'!$B$229=M$3,SUMIF('TL07'!$C$238:$C$451,$C84,'TL07'!$J$238:$J$451),0),
IF('TL08'!$B$3=M$3,SUMIF('TL08'!$C$10:$C$224,$C84,'TL08'!$J$10:$J$224),0),
IF('TL08'!$B$229=M$3,SUMIF('TL08'!$C$238:$C$451,$C84,'TL08'!$J$238:$J$451),0),
IF('TL09'!$B$3=M$3,SUMIF('TL09'!$C$10:$C$224,$C84,'TL09'!$J$10:$J$224),0),
IF('TL09'!$B$229=M$3,SUMIF('TL09'!$C$238:$C$451,$C84,'TL09'!$J$238:$J$451),0),
IF('TL10'!$B$3=M$3,SUMIF('TL10'!$C$10:$C$224,$C84,'TL10'!$J$10:$J$224),0),
IF('TL10'!$B$229=M$3,SUMIF('TL10'!$C$238:$C$451,$C84,'TL10'!$J$238:$J$451),0),
IF('TL11'!$B$3=M$3,SUMIF('TL11'!$C$10:$C$224,$C84,'TL11'!$J$10:$J$224),0),
IF('TL11'!$B$229=M$3,SUMIF('TL11'!$C$238:$C$451,$C84,'TL11'!$J$238:$J$451),0),
IF('TL12'!$B$3=M$3,SUMIF('TL12'!$C$10:$C$224,$C84,'TL12'!$J$10:$J$224),0),
IF('TL12'!$B$229=M$3,SUMIF('TL12'!$C$238:$C$451,$C84,'TL12'!$J$238:$J$451),0),
IF('TL13'!$B$3=M$3,SUMIF('TL13'!$C$10:$C$224,$C84,'TL13'!$J$10:$J$224),0),
IF('TL13'!$B$229=M$3,SUMIF('TL13'!$C$238:$C$451,$C84,'TL13'!$J$238:$J$451),0),
IF('TL14'!$B$3=M$3,SUMIF('TL14'!$C$10:$C$224,$C84,'TL14'!$J$10:$J$224),0),
IF('TL14'!$B$229=M$3,SUMIF('TL14'!$C$238:$C$451,$C84,'TL14'!$J$238:$J$451),0),
IF('TL15'!$B$3=M$3,SUMIF('TL15'!$C$10:$C$224,$C84,'TL15'!$J$10:$J$224),0),
IF('TL15'!$B$229=M$3,SUMIF('TL15'!$C$238:$C$451,$C84,'TL15'!$J$238:$J$451),0),
IF('TL16'!$B$3=M$3,SUMIF('TL16'!$C$10:$C$224,$C84,'TL16'!$J$10:$J$224),0),
IF('TL16'!$B$229=M$3,SUMIF('TL16'!$C$238:$C$451,$C84,'TL16'!$J$238:$J$451),0),
IF('TL17'!$B$3=M$3,SUMIF('TL17'!$C$10:$C$224,$C84,'TL17'!$J$10:$J$224),0),
IF('TL17'!$B$229=M$3,SUMIF('TL17'!$C$238:$C$451,$C84,'TL17'!$J$238:$J$451),0),
IF('TL18'!$B$3=M$3,SUMIF('TL18'!$C$10:$C$224,$C84,'TL18'!$J$10:$J$224),0),
IF('TL18'!$B$229=M$3,SUMIF('TL18'!$C$238:$C$451,$C84,'TL18'!$J$238:$J$451),0),
IF('TL19'!$B$3=M$3,SUMIF('TL19'!$C$10:$C$224,$C84,'TL19'!$J$10:$J$224),0),
IF('TL19'!$B$229=M$3,SUMIF('TL19'!$C$238:$C$451,$C84,'TL19'!$J$238:$J$451),0)
),0)</f>
        <v/>
      </c>
      <c r="N84" s="9">
        <f>IFERROR(SUM(
IF('TL01'!$B$3=N$3,SUMIF('TL01'!$C$10:$C$224,$C84,'TL01'!$J$10:$J$224),0),
IF('TL01'!$B$229=N$3,SUMIF('TL01'!$C$238:$C$451,$C84,'TL01'!$J$238:$J$451),0),
IF('TL02'!$B$3=N$3,SUMIF('TL02'!$C$10:$C$224,$C84,'TL02'!$J$10:$J$224),0),
IF('TL02'!$B$229=N$3,SUMIF('TL02'!$C$238:$C$451,$C84,'TL02'!$J$238:$J$451),0),
IF('TL03'!$B$3=N$3,SUMIF('TL03'!$C$10:$C$224,$C84,'TL03'!$J$10:$J$224),0),
IF('TL03'!$B$229=N$3,SUMIF('TL03'!$C$238:$C$451,$C84,'TL03'!$J$238:$J$451),0),
IF('TL04'!$B$3=N$3,SUMIF('TL04'!$C$10:$C$224,$C84,'TL04'!$J$10:$J$224),0),
IF('TL04'!$B$229=N$3,SUMIF('TL04'!$C$238:$C$451,$C84,'TL04'!$J$238:$J$451),0),
IF('TL05'!$B$3=N$3,SUMIF('TL05'!$C$10:$C$224,$C84,'TL05'!$J$10:$J$224),0),
IF('TL05'!$B$229=N$3,SUMIF('TL05'!$C$238:$C$451,$C84,'TL05'!$J$238:$J$451),0),
IF('TL06'!$B$3=N$3,SUMIF('TL06'!$C$10:$C$224,$C84,'TL06'!$J$10:$J$224),0),
IF('TL06'!$B$229=N$3,SUMIF('TL06'!$C$238:$C$451,$C84,'TL06'!$J$238:$J$451),0),
IF('TL07'!$B$3=N$3,SUMIF('TL07'!$C$10:$C$224,$C84,'TL07'!$J$10:$J$224),0),
IF('TL07'!$B$229=N$3,SUMIF('TL07'!$C$238:$C$451,$C84,'TL07'!$J$238:$J$451),0),
IF('TL08'!$B$3=N$3,SUMIF('TL08'!$C$10:$C$224,$C84,'TL08'!$J$10:$J$224),0),
IF('TL08'!$B$229=N$3,SUMIF('TL08'!$C$238:$C$451,$C84,'TL08'!$J$238:$J$451),0),
IF('TL09'!$B$3=N$3,SUMIF('TL09'!$C$10:$C$224,$C84,'TL09'!$J$10:$J$224),0),
IF('TL09'!$B$229=N$3,SUMIF('TL09'!$C$238:$C$451,$C84,'TL09'!$J$238:$J$451),0),
IF('TL10'!$B$3=N$3,SUMIF('TL10'!$C$10:$C$224,$C84,'TL10'!$J$10:$J$224),0),
IF('TL10'!$B$229=N$3,SUMIF('TL10'!$C$238:$C$451,$C84,'TL10'!$J$238:$J$451),0),
IF('TL11'!$B$3=N$3,SUMIF('TL11'!$C$10:$C$224,$C84,'TL11'!$J$10:$J$224),0),
IF('TL11'!$B$229=N$3,SUMIF('TL11'!$C$238:$C$451,$C84,'TL11'!$J$238:$J$451),0),
IF('TL12'!$B$3=N$3,SUMIF('TL12'!$C$10:$C$224,$C84,'TL12'!$J$10:$J$224),0),
IF('TL12'!$B$229=N$3,SUMIF('TL12'!$C$238:$C$451,$C84,'TL12'!$J$238:$J$451),0),
IF('TL13'!$B$3=N$3,SUMIF('TL13'!$C$10:$C$224,$C84,'TL13'!$J$10:$J$224),0),
IF('TL13'!$B$229=N$3,SUMIF('TL13'!$C$238:$C$451,$C84,'TL13'!$J$238:$J$451),0),
IF('TL14'!$B$3=N$3,SUMIF('TL14'!$C$10:$C$224,$C84,'TL14'!$J$10:$J$224),0),
IF('TL14'!$B$229=N$3,SUMIF('TL14'!$C$238:$C$451,$C84,'TL14'!$J$238:$J$451),0),
IF('TL15'!$B$3=N$3,SUMIF('TL15'!$C$10:$C$224,$C84,'TL15'!$J$10:$J$224),0),
IF('TL15'!$B$229=N$3,SUMIF('TL15'!$C$238:$C$451,$C84,'TL15'!$J$238:$J$451),0),
IF('TL16'!$B$3=N$3,SUMIF('TL16'!$C$10:$C$224,$C84,'TL16'!$J$10:$J$224),0),
IF('TL16'!$B$229=N$3,SUMIF('TL16'!$C$238:$C$451,$C84,'TL16'!$J$238:$J$451),0),
IF('TL17'!$B$3=N$3,SUMIF('TL17'!$C$10:$C$224,$C84,'TL17'!$J$10:$J$224),0),
IF('TL17'!$B$229=N$3,SUMIF('TL17'!$C$238:$C$451,$C84,'TL17'!$J$238:$J$451),0),
IF('TL18'!$B$3=N$3,SUMIF('TL18'!$C$10:$C$224,$C84,'TL18'!$J$10:$J$224),0),
IF('TL18'!$B$229=N$3,SUMIF('TL18'!$C$238:$C$451,$C84,'TL18'!$J$238:$J$451),0),
IF('TL19'!$B$3=N$3,SUMIF('TL19'!$C$10:$C$224,$C84,'TL19'!$J$10:$J$224),0),
IF('TL19'!$B$229=N$3,SUMIF('TL19'!$C$238:$C$451,$C84,'TL19'!$J$238:$J$451),0)
),0)</f>
        <v/>
      </c>
      <c r="O84" s="9">
        <f>IFERROR(SUM(
IF('TL01'!$B$3=O$3,SUMIF('TL01'!$C$10:$C$224,$C84,'TL01'!$J$10:$J$224),0),
IF('TL01'!$B$229=O$3,SUMIF('TL01'!$C$238:$C$451,$C84,'TL01'!$J$238:$J$451),0),
IF('TL02'!$B$3=O$3,SUMIF('TL02'!$C$10:$C$224,$C84,'TL02'!$J$10:$J$224),0),
IF('TL02'!$B$229=O$3,SUMIF('TL02'!$C$238:$C$451,$C84,'TL02'!$J$238:$J$451),0),
IF('TL03'!$B$3=O$3,SUMIF('TL03'!$C$10:$C$224,$C84,'TL03'!$J$10:$J$224),0),
IF('TL03'!$B$229=O$3,SUMIF('TL03'!$C$238:$C$451,$C84,'TL03'!$J$238:$J$451),0),
IF('TL04'!$B$3=O$3,SUMIF('TL04'!$C$10:$C$224,$C84,'TL04'!$J$10:$J$224),0),
IF('TL04'!$B$229=O$3,SUMIF('TL04'!$C$238:$C$451,$C84,'TL04'!$J$238:$J$451),0),
IF('TL05'!$B$3=O$3,SUMIF('TL05'!$C$10:$C$224,$C84,'TL05'!$J$10:$J$224),0),
IF('TL05'!$B$229=O$3,SUMIF('TL05'!$C$238:$C$451,$C84,'TL05'!$J$238:$J$451),0),
IF('TL06'!$B$3=O$3,SUMIF('TL06'!$C$10:$C$224,$C84,'TL06'!$J$10:$J$224),0),
IF('TL06'!$B$229=O$3,SUMIF('TL06'!$C$238:$C$451,$C84,'TL06'!$J$238:$J$451),0),
IF('TL07'!$B$3=O$3,SUMIF('TL07'!$C$10:$C$224,$C84,'TL07'!$J$10:$J$224),0),
IF('TL07'!$B$229=O$3,SUMIF('TL07'!$C$238:$C$451,$C84,'TL07'!$J$238:$J$451),0),
IF('TL08'!$B$3=O$3,SUMIF('TL08'!$C$10:$C$224,$C84,'TL08'!$J$10:$J$224),0),
IF('TL08'!$B$229=O$3,SUMIF('TL08'!$C$238:$C$451,$C84,'TL08'!$J$238:$J$451),0),
IF('TL09'!$B$3=O$3,SUMIF('TL09'!$C$10:$C$224,$C84,'TL09'!$J$10:$J$224),0),
IF('TL09'!$B$229=O$3,SUMIF('TL09'!$C$238:$C$451,$C84,'TL09'!$J$238:$J$451),0),
IF('TL10'!$B$3=O$3,SUMIF('TL10'!$C$10:$C$224,$C84,'TL10'!$J$10:$J$224),0),
IF('TL10'!$B$229=O$3,SUMIF('TL10'!$C$238:$C$451,$C84,'TL10'!$J$238:$J$451),0),
IF('TL11'!$B$3=O$3,SUMIF('TL11'!$C$10:$C$224,$C84,'TL11'!$J$10:$J$224),0),
IF('TL11'!$B$229=O$3,SUMIF('TL11'!$C$238:$C$451,$C84,'TL11'!$J$238:$J$451),0),
IF('TL12'!$B$3=O$3,SUMIF('TL12'!$C$10:$C$224,$C84,'TL12'!$J$10:$J$224),0),
IF('TL12'!$B$229=O$3,SUMIF('TL12'!$C$238:$C$451,$C84,'TL12'!$J$238:$J$451),0),
IF('TL13'!$B$3=O$3,SUMIF('TL13'!$C$10:$C$224,$C84,'TL13'!$J$10:$J$224),0),
IF('TL13'!$B$229=O$3,SUMIF('TL13'!$C$238:$C$451,$C84,'TL13'!$J$238:$J$451),0),
IF('TL14'!$B$3=O$3,SUMIF('TL14'!$C$10:$C$224,$C84,'TL14'!$J$10:$J$224),0),
IF('TL14'!$B$229=O$3,SUMIF('TL14'!$C$238:$C$451,$C84,'TL14'!$J$238:$J$451),0),
IF('TL15'!$B$3=O$3,SUMIF('TL15'!$C$10:$C$224,$C84,'TL15'!$J$10:$J$224),0),
IF('TL15'!$B$229=O$3,SUMIF('TL15'!$C$238:$C$451,$C84,'TL15'!$J$238:$J$451),0),
IF('TL16'!$B$3=O$3,SUMIF('TL16'!$C$10:$C$224,$C84,'TL16'!$J$10:$J$224),0),
IF('TL16'!$B$229=O$3,SUMIF('TL16'!$C$238:$C$451,$C84,'TL16'!$J$238:$J$451),0),
IF('TL17'!$B$3=O$3,SUMIF('TL17'!$C$10:$C$224,$C84,'TL17'!$J$10:$J$224),0),
IF('TL17'!$B$229=O$3,SUMIF('TL17'!$C$238:$C$451,$C84,'TL17'!$J$238:$J$451),0),
IF('TL18'!$B$3=O$3,SUMIF('TL18'!$C$10:$C$224,$C84,'TL18'!$J$10:$J$224),0),
IF('TL18'!$B$229=O$3,SUMIF('TL18'!$C$238:$C$451,$C84,'TL18'!$J$238:$J$451),0),
IF('TL19'!$B$3=O$3,SUMIF('TL19'!$C$10:$C$224,$C84,'TL19'!$J$10:$J$224),0),
IF('TL19'!$B$229=O$3,SUMIF('TL19'!$C$238:$C$451,$C84,'TL19'!$J$238:$J$451),0)
),0)</f>
        <v/>
      </c>
      <c r="P84" s="9">
        <f>IFERROR(SUM(
IF('TL01'!$B$3=P$3,SUMIF('TL01'!$C$10:$C$224,$C84,'TL01'!$J$10:$J$224),0),
IF('TL01'!$B$229=P$3,SUMIF('TL01'!$C$238:$C$451,$C84,'TL01'!$J$238:$J$451),0),
IF('TL02'!$B$3=P$3,SUMIF('TL02'!$C$10:$C$224,$C84,'TL02'!$J$10:$J$224),0),
IF('TL02'!$B$229=P$3,SUMIF('TL02'!$C$238:$C$451,$C84,'TL02'!$J$238:$J$451),0),
IF('TL03'!$B$3=P$3,SUMIF('TL03'!$C$10:$C$224,$C84,'TL03'!$J$10:$J$224),0),
IF('TL03'!$B$229=P$3,SUMIF('TL03'!$C$238:$C$451,$C84,'TL03'!$J$238:$J$451),0),
IF('TL04'!$B$3=P$3,SUMIF('TL04'!$C$10:$C$224,$C84,'TL04'!$J$10:$J$224),0),
IF('TL04'!$B$229=P$3,SUMIF('TL04'!$C$238:$C$451,$C84,'TL04'!$J$238:$J$451),0),
IF('TL05'!$B$3=P$3,SUMIF('TL05'!$C$10:$C$224,$C84,'TL05'!$J$10:$J$224),0),
IF('TL05'!$B$229=P$3,SUMIF('TL05'!$C$238:$C$451,$C84,'TL05'!$J$238:$J$451),0),
IF('TL06'!$B$3=P$3,SUMIF('TL06'!$C$10:$C$224,$C84,'TL06'!$J$10:$J$224),0),
IF('TL06'!$B$229=P$3,SUMIF('TL06'!$C$238:$C$451,$C84,'TL06'!$J$238:$J$451),0),
IF('TL07'!$B$3=P$3,SUMIF('TL07'!$C$10:$C$224,$C84,'TL07'!$J$10:$J$224),0),
IF('TL07'!$B$229=P$3,SUMIF('TL07'!$C$238:$C$451,$C84,'TL07'!$J$238:$J$451),0),
IF('TL08'!$B$3=P$3,SUMIF('TL08'!$C$10:$C$224,$C84,'TL08'!$J$10:$J$224),0),
IF('TL08'!$B$229=P$3,SUMIF('TL08'!$C$238:$C$451,$C84,'TL08'!$J$238:$J$451),0),
IF('TL09'!$B$3=P$3,SUMIF('TL09'!$C$10:$C$224,$C84,'TL09'!$J$10:$J$224),0),
IF('TL09'!$B$229=P$3,SUMIF('TL09'!$C$238:$C$451,$C84,'TL09'!$J$238:$J$451),0),
IF('TL10'!$B$3=P$3,SUMIF('TL10'!$C$10:$C$224,$C84,'TL10'!$J$10:$J$224),0),
IF('TL10'!$B$229=P$3,SUMIF('TL10'!$C$238:$C$451,$C84,'TL10'!$J$238:$J$451),0),
IF('TL11'!$B$3=P$3,SUMIF('TL11'!$C$10:$C$224,$C84,'TL11'!$J$10:$J$224),0),
IF('TL11'!$B$229=P$3,SUMIF('TL11'!$C$238:$C$451,$C84,'TL11'!$J$238:$J$451),0),
IF('TL12'!$B$3=P$3,SUMIF('TL12'!$C$10:$C$224,$C84,'TL12'!$J$10:$J$224),0),
IF('TL12'!$B$229=P$3,SUMIF('TL12'!$C$238:$C$451,$C84,'TL12'!$J$238:$J$451),0),
IF('TL13'!$B$3=P$3,SUMIF('TL13'!$C$10:$C$224,$C84,'TL13'!$J$10:$J$224),0),
IF('TL13'!$B$229=P$3,SUMIF('TL13'!$C$238:$C$451,$C84,'TL13'!$J$238:$J$451),0),
IF('TL14'!$B$3=P$3,SUMIF('TL14'!$C$10:$C$224,$C84,'TL14'!$J$10:$J$224),0),
IF('TL14'!$B$229=P$3,SUMIF('TL14'!$C$238:$C$451,$C84,'TL14'!$J$238:$J$451),0),
IF('TL15'!$B$3=P$3,SUMIF('TL15'!$C$10:$C$224,$C84,'TL15'!$J$10:$J$224),0),
IF('TL15'!$B$229=P$3,SUMIF('TL15'!$C$238:$C$451,$C84,'TL15'!$J$238:$J$451),0),
IF('TL16'!$B$3=P$3,SUMIF('TL16'!$C$10:$C$224,$C84,'TL16'!$J$10:$J$224),0),
IF('TL16'!$B$229=P$3,SUMIF('TL16'!$C$238:$C$451,$C84,'TL16'!$J$238:$J$451),0),
IF('TL17'!$B$3=P$3,SUMIF('TL17'!$C$10:$C$224,$C84,'TL17'!$J$10:$J$224),0),
IF('TL17'!$B$229=P$3,SUMIF('TL17'!$C$238:$C$451,$C84,'TL17'!$J$238:$J$451),0),
IF('TL18'!$B$3=P$3,SUMIF('TL18'!$C$10:$C$224,$C84,'TL18'!$J$10:$J$224),0),
IF('TL18'!$B$229=P$3,SUMIF('TL18'!$C$238:$C$451,$C84,'TL18'!$J$238:$J$451),0),
IF('TL19'!$B$3=P$3,SUMIF('TL19'!$C$10:$C$224,$C84,'TL19'!$J$10:$J$224),0),
IF('TL19'!$B$229=P$3,SUMIF('TL19'!$C$238:$C$451,$C84,'TL19'!$J$238:$J$451),0)
),0)</f>
        <v/>
      </c>
      <c r="Q84" s="9">
        <f>IFERROR(SUM(
IF('TL01'!$B$3=Q$3,SUMIF('TL01'!$C$10:$C$224,$C84,'TL01'!$J$10:$J$224),0),
IF('TL01'!$B$229=Q$3,SUMIF('TL01'!$C$238:$C$451,$C84,'TL01'!$J$238:$J$451),0),
IF('TL02'!$B$3=Q$3,SUMIF('TL02'!$C$10:$C$224,$C84,'TL02'!$J$10:$J$224),0),
IF('TL02'!$B$229=Q$3,SUMIF('TL02'!$C$238:$C$451,$C84,'TL02'!$J$238:$J$451),0),
IF('TL03'!$B$3=Q$3,SUMIF('TL03'!$C$10:$C$224,$C84,'TL03'!$J$10:$J$224),0),
IF('TL03'!$B$229=Q$3,SUMIF('TL03'!$C$238:$C$451,$C84,'TL03'!$J$238:$J$451),0),
IF('TL04'!$B$3=Q$3,SUMIF('TL04'!$C$10:$C$224,$C84,'TL04'!$J$10:$J$224),0),
IF('TL04'!$B$229=Q$3,SUMIF('TL04'!$C$238:$C$451,$C84,'TL04'!$J$238:$J$451),0),
IF('TL05'!$B$3=Q$3,SUMIF('TL05'!$C$10:$C$224,$C84,'TL05'!$J$10:$J$224),0),
IF('TL05'!$B$229=Q$3,SUMIF('TL05'!$C$238:$C$451,$C84,'TL05'!$J$238:$J$451),0),
IF('TL06'!$B$3=Q$3,SUMIF('TL06'!$C$10:$C$224,$C84,'TL06'!$J$10:$J$224),0),
IF('TL06'!$B$229=Q$3,SUMIF('TL06'!$C$238:$C$451,$C84,'TL06'!$J$238:$J$451),0),
IF('TL07'!$B$3=Q$3,SUMIF('TL07'!$C$10:$C$224,$C84,'TL07'!$J$10:$J$224),0),
IF('TL07'!$B$229=Q$3,SUMIF('TL07'!$C$238:$C$451,$C84,'TL07'!$J$238:$J$451),0),
IF('TL08'!$B$3=Q$3,SUMIF('TL08'!$C$10:$C$224,$C84,'TL08'!$J$10:$J$224),0),
IF('TL08'!$B$229=Q$3,SUMIF('TL08'!$C$238:$C$451,$C84,'TL08'!$J$238:$J$451),0),
IF('TL09'!$B$3=Q$3,SUMIF('TL09'!$C$10:$C$224,$C84,'TL09'!$J$10:$J$224),0),
IF('TL09'!$B$229=Q$3,SUMIF('TL09'!$C$238:$C$451,$C84,'TL09'!$J$238:$J$451),0),
IF('TL10'!$B$3=Q$3,SUMIF('TL10'!$C$10:$C$224,$C84,'TL10'!$J$10:$J$224),0),
IF('TL10'!$B$229=Q$3,SUMIF('TL10'!$C$238:$C$451,$C84,'TL10'!$J$238:$J$451),0),
IF('TL11'!$B$3=Q$3,SUMIF('TL11'!$C$10:$C$224,$C84,'TL11'!$J$10:$J$224),0),
IF('TL11'!$B$229=Q$3,SUMIF('TL11'!$C$238:$C$451,$C84,'TL11'!$J$238:$J$451),0),
IF('TL12'!$B$3=Q$3,SUMIF('TL12'!$C$10:$C$224,$C84,'TL12'!$J$10:$J$224),0),
IF('TL12'!$B$229=Q$3,SUMIF('TL12'!$C$238:$C$451,$C84,'TL12'!$J$238:$J$451),0),
IF('TL13'!$B$3=Q$3,SUMIF('TL13'!$C$10:$C$224,$C84,'TL13'!$J$10:$J$224),0),
IF('TL13'!$B$229=Q$3,SUMIF('TL13'!$C$238:$C$451,$C84,'TL13'!$J$238:$J$451),0),
IF('TL14'!$B$3=Q$3,SUMIF('TL14'!$C$10:$C$224,$C84,'TL14'!$J$10:$J$224),0),
IF('TL14'!$B$229=Q$3,SUMIF('TL14'!$C$238:$C$451,$C84,'TL14'!$J$238:$J$451),0),
IF('TL15'!$B$3=Q$3,SUMIF('TL15'!$C$10:$C$224,$C84,'TL15'!$J$10:$J$224),0),
IF('TL15'!$B$229=Q$3,SUMIF('TL15'!$C$238:$C$451,$C84,'TL15'!$J$238:$J$451),0),
IF('TL16'!$B$3=Q$3,SUMIF('TL16'!$C$10:$C$224,$C84,'TL16'!$J$10:$J$224),0),
IF('TL16'!$B$229=Q$3,SUMIF('TL16'!$C$238:$C$451,$C84,'TL16'!$J$238:$J$451),0),
IF('TL17'!$B$3=Q$3,SUMIF('TL17'!$C$10:$C$224,$C84,'TL17'!$J$10:$J$224),0),
IF('TL17'!$B$229=Q$3,SUMIF('TL17'!$C$238:$C$451,$C84,'TL17'!$J$238:$J$451),0),
IF('TL18'!$B$3=Q$3,SUMIF('TL18'!$C$10:$C$224,$C84,'TL18'!$J$10:$J$224),0),
IF('TL18'!$B$229=Q$3,SUMIF('TL18'!$C$238:$C$451,$C84,'TL18'!$J$238:$J$451),0),
IF('TL19'!$B$3=Q$3,SUMIF('TL19'!$C$10:$C$224,$C84,'TL19'!$J$10:$J$224),0),
IF('TL19'!$B$229=Q$3,SUMIF('TL19'!$C$238:$C$451,$C84,'TL19'!$J$238:$J$451),0)
),0)</f>
        <v/>
      </c>
      <c r="R84" s="9">
        <f>IFERROR(
SUM(
SUMIF('TL01'!C:C,C84,'TL01'!J:J),
SUMIF('TL02'!C:C,C84,'TL02'!J:J),
SUMIF('TL03'!C:C,C84,'TL03'!J:J),
SUMIF('TL04'!C:C,C84,'TL04'!J:J),
SUMIF('TL05'!C:C,C84,'TL05'!J:J),
SUMIF('TL06'!C:C,C84,'TL06'!J:J),
SUMIF('TL07'!C:C,C84,'TL07'!J:J),
SUMIF('TL08'!C:C,C84,'TL08'!J:J),
SUMIF('TL09'!C:C,C84,'TL09'!J:J),
SUMIF('TL10'!C:C,C84,'TL10'!J:J),
SUMIF('TL11'!C:C,C84,'TL11'!J:J),
SUMIF('TL12'!C:C,C84,'TL12'!J:J),
SUMIF('TL13'!C:C,C84,'TL13'!J:J),
SUMIF('TL14'!C:C,C84,'TL14'!J:J),
SUMIF('TL15'!C:C,C84,'TL15'!J:J),
SUMIF('TL16'!C:C,C84,'TL16'!J:J),
SUMIF('TL17'!C:C,C84,'TL17'!J:J),
SUMIF('TL18'!C:C,C84,'TL18'!J:J),SUMIF('TL19'!C:C,C84,'TL19'!J:J))
,0)</f>
        <v/>
      </c>
      <c r="S84" s="17">
        <f>IFERROR(__xludf.DUMMYFUNCTION("IFERROR(VLOOKUP(C84,
IMPORTRANGE(""1wULbzX32WdYsx-lj2U3uUNBBe2INVIRDtcK0d-Dvl90"",
""26-27!C:G""),
5,
FALSE),
"""")"),69.98112)</f>
        <v/>
      </c>
      <c r="T84" s="9" t="n"/>
      <c r="U84" s="92">
        <f>MAX(0,R84-T84)</f>
        <v/>
      </c>
      <c r="V84" s="93">
        <f>U84*S84</f>
        <v/>
      </c>
    </row>
    <row r="85" hidden="1" ht="15.75" customHeight="1" s="297">
      <c r="A85" s="111" t="inlineStr">
        <is>
          <t>SUMITOMO</t>
        </is>
      </c>
      <c r="B85" s="112" t="inlineStr">
        <is>
          <t>FUNGICIDA</t>
        </is>
      </c>
      <c r="C85" s="113" t="inlineStr">
        <is>
          <t>EXCALIA MAX</t>
        </is>
      </c>
      <c r="D85" s="113" t="inlineStr">
        <is>
          <t>IMPIRFLUXAM + TEBUCONAZOL</t>
        </is>
      </c>
      <c r="E85" s="113" t="inlineStr">
        <is>
          <t>60 + 200</t>
        </is>
      </c>
      <c r="F85" s="4" t="inlineStr">
        <is>
          <t>KG</t>
        </is>
      </c>
      <c r="G85" s="90">
        <f>HYPERLINK("https://www.google.com/search?q=" &amp; C85 &amp; "+bula+agrofit+pdf", "📄 Ver bula")</f>
        <v/>
      </c>
      <c r="H85" s="9">
        <f>IFERROR(__xludf.DUMMYFUNCTION("IFERROR(VLOOKUP(C85,
IMPORTRANGE(""1wULbzX32WdYsx-lj2U3uUNBBe2INVIRDtcK0d-Dvl90"",
""26-27!C:K""),
8,
FALSE),
"""")"),0.5)</f>
        <v/>
      </c>
      <c r="I85" s="114" t="inlineStr">
        <is>
          <t>1x20</t>
        </is>
      </c>
      <c r="J85" s="9">
        <f>IFERROR(SUM(
IF('TL01'!$B$3=J$3,SUMIF('TL01'!$C$10:$C$224,$C85,'TL01'!$J$10:$J$224),0),
IF('TL01'!$B$229=J$3,SUMIF('TL01'!$C$238:$C$451,$C85,'TL01'!$J$238:$J$451),0),
IF('TL02'!$B$3=J$3,SUMIF('TL02'!$C$10:$C$224,$C85,'TL02'!$J$10:$J$224),0),
IF('TL02'!$B$229=J$3,SUMIF('TL02'!$C$238:$C$451,$C85,'TL02'!$J$238:$J$451),0),
IF('TL03'!$B$3=J$3,SUMIF('TL03'!$C$10:$C$224,$C85,'TL03'!$J$10:$J$224),0),
IF('TL03'!$B$229=J$3,SUMIF('TL03'!$C$238:$C$451,$C85,'TL03'!$J$238:$J$451),0),
IF('TL04'!$B$3=J$3,SUMIF('TL04'!$C$10:$C$224,$C85,'TL04'!$J$10:$J$224),0),
IF('TL04'!$B$229=J$3,SUMIF('TL04'!$C$238:$C$451,$C85,'TL04'!$J$238:$J$451),0),
IF('TL05'!$B$3=J$3,SUMIF('TL05'!$C$10:$C$224,$C85,'TL05'!$J$10:$J$224),0),
IF('TL05'!$B$229=J$3,SUMIF('TL05'!$C$238:$C$451,$C85,'TL05'!$J$238:$J$451),0),
IF('TL06'!$B$3=J$3,SUMIF('TL06'!$C$10:$C$224,$C85,'TL06'!$J$10:$J$224),0),
IF('TL06'!$B$229=J$3,SUMIF('TL06'!$C$238:$C$451,$C85,'TL06'!$J$238:$J$451),0),
IF('TL07'!$B$3=J$3,SUMIF('TL07'!$C$10:$C$224,$C85,'TL07'!$J$10:$J$224),0),
IF('TL07'!$B$229=J$3,SUMIF('TL07'!$C$238:$C$451,$C85,'TL07'!$J$238:$J$451),0),
IF('TL08'!$B$3=J$3,SUMIF('TL08'!$C$10:$C$224,$C85,'TL08'!$J$10:$J$224),0),
IF('TL08'!$B$229=J$3,SUMIF('TL08'!$C$238:$C$451,$C85,'TL08'!$J$238:$J$451),0),
IF('TL09'!$B$3=J$3,SUMIF('TL09'!$C$10:$C$224,$C85,'TL09'!$J$10:$J$224),0),
IF('TL09'!$B$229=J$3,SUMIF('TL09'!$C$238:$C$451,$C85,'TL09'!$J$238:$J$451),0),
IF('TL10'!$B$3=J$3,SUMIF('TL10'!$C$10:$C$224,$C85,'TL10'!$J$10:$J$224),0),
IF('TL10'!$B$229=J$3,SUMIF('TL10'!$C$238:$C$451,$C85,'TL10'!$J$238:$J$451),0),
IF('TL11'!$B$3=J$3,SUMIF('TL11'!$C$10:$C$224,$C85,'TL11'!$J$10:$J$224),0),
IF('TL11'!$B$229=J$3,SUMIF('TL11'!$C$238:$C$451,$C85,'TL11'!$J$238:$J$451),0),
IF('TL12'!$B$3=J$3,SUMIF('TL12'!$C$10:$C$224,$C85,'TL12'!$J$10:$J$224),0),
IF('TL12'!$B$229=J$3,SUMIF('TL12'!$C$238:$C$451,$C85,'TL12'!$J$238:$J$451),0),
IF('TL13'!$B$3=J$3,SUMIF('TL13'!$C$10:$C$224,$C85,'TL13'!$J$10:$J$224),0),
IF('TL13'!$B$229=J$3,SUMIF('TL13'!$C$238:$C$451,$C85,'TL13'!$J$238:$J$451),0),
IF('TL14'!$B$3=J$3,SUMIF('TL14'!$C$10:$C$224,$C85,'TL14'!$J$10:$J$224),0),
IF('TL14'!$B$229=J$3,SUMIF('TL14'!$C$238:$C$451,$C85,'TL14'!$J$238:$J$451),0),
IF('TL15'!$B$3=J$3,SUMIF('TL15'!$C$10:$C$224,$C85,'TL15'!$J$10:$J$224),0),
IF('TL15'!$B$229=J$3,SUMIF('TL15'!$C$238:$C$451,$C85,'TL15'!$J$238:$J$451),0),
IF('TL16'!$B$3=J$3,SUMIF('TL16'!$C$10:$C$224,$C85,'TL16'!$J$10:$J$224),0),
IF('TL16'!$B$229=J$3,SUMIF('TL16'!$C$238:$C$451,$C85,'TL16'!$J$238:$J$451),0),
IF('TL17'!$B$3=J$3,SUMIF('TL17'!$C$10:$C$224,$C85,'TL17'!$J$10:$J$224),0),
IF('TL17'!$B$229=J$3,SUMIF('TL17'!$C$238:$C$451,$C85,'TL17'!$J$238:$J$451),0),
IF('TL18'!$B$3=J$3,SUMIF('TL18'!$C$10:$C$224,$C85,'TL18'!$J$10:$J$224),0),
IF('TL18'!$B$229=J$3,SUMIF('TL18'!$C$238:$C$451,$C85,'TL18'!$J$238:$J$451),0),
IF('TL19'!$B$3=J$3,SUMIF('TL19'!$C$10:$C$224,$C85,'TL19'!$J$10:$J$224),0),
IF('TL19'!$B$229=J$3,SUMIF('TL19'!$C$238:$C$451,$C85,'TL19'!$J$238:$J$451),0)
),0)</f>
        <v/>
      </c>
      <c r="K85" s="9">
        <f>IFERROR(SUM(
IF('TL01'!$B$3=K$3,SUMIF('TL01'!$C$10:$C$224,$C85,'TL01'!$J$10:$J$224),0),
IF('TL01'!$B$229=K$3,SUMIF('TL01'!$C$238:$C$451,$C85,'TL01'!$J$238:$J$451),0),
IF('TL02'!$B$3=K$3,SUMIF('TL02'!$C$10:$C$224,$C85,'TL02'!$J$10:$J$224),0),
IF('TL02'!$B$229=K$3,SUMIF('TL02'!$C$238:$C$451,$C85,'TL02'!$J$238:$J$451),0),
IF('TL03'!$B$3=K$3,SUMIF('TL03'!$C$10:$C$224,$C85,'TL03'!$J$10:$J$224),0),
IF('TL03'!$B$229=K$3,SUMIF('TL03'!$C$238:$C$451,$C85,'TL03'!$J$238:$J$451),0),
IF('TL04'!$B$3=K$3,SUMIF('TL04'!$C$10:$C$224,$C85,'TL04'!$J$10:$J$224),0),
IF('TL04'!$B$229=K$3,SUMIF('TL04'!$C$238:$C$451,$C85,'TL04'!$J$238:$J$451),0),
IF('TL05'!$B$3=K$3,SUMIF('TL05'!$C$10:$C$224,$C85,'TL05'!$J$10:$J$224),0),
IF('TL05'!$B$229=K$3,SUMIF('TL05'!$C$238:$C$451,$C85,'TL05'!$J$238:$J$451),0),
IF('TL06'!$B$3=K$3,SUMIF('TL06'!$C$10:$C$224,$C85,'TL06'!$J$10:$J$224),0),
IF('TL06'!$B$229=K$3,SUMIF('TL06'!$C$238:$C$451,$C85,'TL06'!$J$238:$J$451),0),
IF('TL07'!$B$3=K$3,SUMIF('TL07'!$C$10:$C$224,$C85,'TL07'!$J$10:$J$224),0),
IF('TL07'!$B$229=K$3,SUMIF('TL07'!$C$238:$C$451,$C85,'TL07'!$J$238:$J$451),0),
IF('TL08'!$B$3=K$3,SUMIF('TL08'!$C$10:$C$224,$C85,'TL08'!$J$10:$J$224),0),
IF('TL08'!$B$229=K$3,SUMIF('TL08'!$C$238:$C$451,$C85,'TL08'!$J$238:$J$451),0),
IF('TL09'!$B$3=K$3,SUMIF('TL09'!$C$10:$C$224,$C85,'TL09'!$J$10:$J$224),0),
IF('TL09'!$B$229=K$3,SUMIF('TL09'!$C$238:$C$451,$C85,'TL09'!$J$238:$J$451),0),
IF('TL10'!$B$3=K$3,SUMIF('TL10'!$C$10:$C$224,$C85,'TL10'!$J$10:$J$224),0),
IF('TL10'!$B$229=K$3,SUMIF('TL10'!$C$238:$C$451,$C85,'TL10'!$J$238:$J$451),0),
IF('TL11'!$B$3=K$3,SUMIF('TL11'!$C$10:$C$224,$C85,'TL11'!$J$10:$J$224),0),
IF('TL11'!$B$229=K$3,SUMIF('TL11'!$C$238:$C$451,$C85,'TL11'!$J$238:$J$451),0),
IF('TL12'!$B$3=K$3,SUMIF('TL12'!$C$10:$C$224,$C85,'TL12'!$J$10:$J$224),0),
IF('TL12'!$B$229=K$3,SUMIF('TL12'!$C$238:$C$451,$C85,'TL12'!$J$238:$J$451),0),
IF('TL13'!$B$3=K$3,SUMIF('TL13'!$C$10:$C$224,$C85,'TL13'!$J$10:$J$224),0),
IF('TL13'!$B$229=K$3,SUMIF('TL13'!$C$238:$C$451,$C85,'TL13'!$J$238:$J$451),0),
IF('TL14'!$B$3=K$3,SUMIF('TL14'!$C$10:$C$224,$C85,'TL14'!$J$10:$J$224),0),
IF('TL14'!$B$229=K$3,SUMIF('TL14'!$C$238:$C$451,$C85,'TL14'!$J$238:$J$451),0),
IF('TL15'!$B$3=K$3,SUMIF('TL15'!$C$10:$C$224,$C85,'TL15'!$J$10:$J$224),0),
IF('TL15'!$B$229=K$3,SUMIF('TL15'!$C$238:$C$451,$C85,'TL15'!$J$238:$J$451),0),
IF('TL16'!$B$3=K$3,SUMIF('TL16'!$C$10:$C$224,$C85,'TL16'!$J$10:$J$224),0),
IF('TL16'!$B$229=K$3,SUMIF('TL16'!$C$238:$C$451,$C85,'TL16'!$J$238:$J$451),0),
IF('TL17'!$B$3=K$3,SUMIF('TL17'!$C$10:$C$224,$C85,'TL17'!$J$10:$J$224),0),
IF('TL17'!$B$229=K$3,SUMIF('TL17'!$C$238:$C$451,$C85,'TL17'!$J$238:$J$451),0),
IF('TL18'!$B$3=K$3,SUMIF('TL18'!$C$10:$C$224,$C85,'TL18'!$J$10:$J$224),0),
IF('TL18'!$B$229=K$3,SUMIF('TL18'!$C$238:$C$451,$C85,'TL18'!$J$238:$J$451),0),
IF('TL19'!$B$3=K$3,SUMIF('TL19'!$C$10:$C$224,$C85,'TL19'!$J$10:$J$224),0),
IF('TL19'!$B$229=K$3,SUMIF('TL19'!$C$238:$C$451,$C85,'TL19'!$J$238:$J$451),0)
),0)</f>
        <v/>
      </c>
      <c r="L85" s="9">
        <f>IFERROR(SUM(
IF('TL01'!$B$3=L$3,SUMIF('TL01'!$C$10:$C$224,$C85,'TL01'!$J$10:$J$224),0),
IF('TL01'!$B$229=L$3,SUMIF('TL01'!$C$238:$C$451,$C85,'TL01'!$J$238:$J$451),0),
IF('TL02'!$B$3=L$3,SUMIF('TL02'!$C$10:$C$224,$C85,'TL02'!$J$10:$J$224),0),
IF('TL02'!$B$229=L$3,SUMIF('TL02'!$C$238:$C$451,$C85,'TL02'!$J$238:$J$451),0),
IF('TL03'!$B$3=L$3,SUMIF('TL03'!$C$10:$C$224,$C85,'TL03'!$J$10:$J$224),0),
IF('TL03'!$B$229=L$3,SUMIF('TL03'!$C$238:$C$451,$C85,'TL03'!$J$238:$J$451),0),
IF('TL04'!$B$3=L$3,SUMIF('TL04'!$C$10:$C$224,$C85,'TL04'!$J$10:$J$224),0),
IF('TL04'!$B$229=L$3,SUMIF('TL04'!$C$238:$C$451,$C85,'TL04'!$J$238:$J$451),0),
IF('TL05'!$B$3=L$3,SUMIF('TL05'!$C$10:$C$224,$C85,'TL05'!$J$10:$J$224),0),
IF('TL05'!$B$229=L$3,SUMIF('TL05'!$C$238:$C$451,$C85,'TL05'!$J$238:$J$451),0),
IF('TL06'!$B$3=L$3,SUMIF('TL06'!$C$10:$C$224,$C85,'TL06'!$J$10:$J$224),0),
IF('TL06'!$B$229=L$3,SUMIF('TL06'!$C$238:$C$451,$C85,'TL06'!$J$238:$J$451),0),
IF('TL07'!$B$3=L$3,SUMIF('TL07'!$C$10:$C$224,$C85,'TL07'!$J$10:$J$224),0),
IF('TL07'!$B$229=L$3,SUMIF('TL07'!$C$238:$C$451,$C85,'TL07'!$J$238:$J$451),0),
IF('TL08'!$B$3=L$3,SUMIF('TL08'!$C$10:$C$224,$C85,'TL08'!$J$10:$J$224),0),
IF('TL08'!$B$229=L$3,SUMIF('TL08'!$C$238:$C$451,$C85,'TL08'!$J$238:$J$451),0),
IF('TL09'!$B$3=L$3,SUMIF('TL09'!$C$10:$C$224,$C85,'TL09'!$J$10:$J$224),0),
IF('TL09'!$B$229=L$3,SUMIF('TL09'!$C$238:$C$451,$C85,'TL09'!$J$238:$J$451),0),
IF('TL10'!$B$3=L$3,SUMIF('TL10'!$C$10:$C$224,$C85,'TL10'!$J$10:$J$224),0),
IF('TL10'!$B$229=L$3,SUMIF('TL10'!$C$238:$C$451,$C85,'TL10'!$J$238:$J$451),0),
IF('TL11'!$B$3=L$3,SUMIF('TL11'!$C$10:$C$224,$C85,'TL11'!$J$10:$J$224),0),
IF('TL11'!$B$229=L$3,SUMIF('TL11'!$C$238:$C$451,$C85,'TL11'!$J$238:$J$451),0),
IF('TL12'!$B$3=L$3,SUMIF('TL12'!$C$10:$C$224,$C85,'TL12'!$J$10:$J$224),0),
IF('TL12'!$B$229=L$3,SUMIF('TL12'!$C$238:$C$451,$C85,'TL12'!$J$238:$J$451),0),
IF('TL13'!$B$3=L$3,SUMIF('TL13'!$C$10:$C$224,$C85,'TL13'!$J$10:$J$224),0),
IF('TL13'!$B$229=L$3,SUMIF('TL13'!$C$238:$C$451,$C85,'TL13'!$J$238:$J$451),0),
IF('TL14'!$B$3=L$3,SUMIF('TL14'!$C$10:$C$224,$C85,'TL14'!$J$10:$J$224),0),
IF('TL14'!$B$229=L$3,SUMIF('TL14'!$C$238:$C$451,$C85,'TL14'!$J$238:$J$451),0),
IF('TL15'!$B$3=L$3,SUMIF('TL15'!$C$10:$C$224,$C85,'TL15'!$J$10:$J$224),0),
IF('TL15'!$B$229=L$3,SUMIF('TL15'!$C$238:$C$451,$C85,'TL15'!$J$238:$J$451),0),
IF('TL16'!$B$3=L$3,SUMIF('TL16'!$C$10:$C$224,$C85,'TL16'!$J$10:$J$224),0),
IF('TL16'!$B$229=L$3,SUMIF('TL16'!$C$238:$C$451,$C85,'TL16'!$J$238:$J$451),0),
IF('TL17'!$B$3=L$3,SUMIF('TL17'!$C$10:$C$224,$C85,'TL17'!$J$10:$J$224),0),
IF('TL17'!$B$229=L$3,SUMIF('TL17'!$C$238:$C$451,$C85,'TL17'!$J$238:$J$451),0),
IF('TL18'!$B$3=L$3,SUMIF('TL18'!$C$10:$C$224,$C85,'TL18'!$J$10:$J$224),0),
IF('TL18'!$B$229=L$3,SUMIF('TL18'!$C$238:$C$451,$C85,'TL18'!$J$238:$J$451),0),
IF('TL19'!$B$3=L$3,SUMIF('TL19'!$C$10:$C$224,$C85,'TL19'!$J$10:$J$224),0),
IF('TL19'!$B$229=L$3,SUMIF('TL19'!$C$238:$C$451,$C85,'TL19'!$J$238:$J$451),0)
),0)</f>
        <v/>
      </c>
      <c r="M85" s="9">
        <f>IFERROR(SUM(
IF('TL01'!$B$3=M$3,SUMIF('TL01'!$C$10:$C$224,$C85,'TL01'!$J$10:$J$224),0),
IF('TL01'!$B$229=M$3,SUMIF('TL01'!$C$238:$C$451,$C85,'TL01'!$J$238:$J$451),0),
IF('TL02'!$B$3=M$3,SUMIF('TL02'!$C$10:$C$224,$C85,'TL02'!$J$10:$J$224),0),
IF('TL02'!$B$229=M$3,SUMIF('TL02'!$C$238:$C$451,$C85,'TL02'!$J$238:$J$451),0),
IF('TL03'!$B$3=M$3,SUMIF('TL03'!$C$10:$C$224,$C85,'TL03'!$J$10:$J$224),0),
IF('TL03'!$B$229=M$3,SUMIF('TL03'!$C$238:$C$451,$C85,'TL03'!$J$238:$J$451),0),
IF('TL04'!$B$3=M$3,SUMIF('TL04'!$C$10:$C$224,$C85,'TL04'!$J$10:$J$224),0),
IF('TL04'!$B$229=M$3,SUMIF('TL04'!$C$238:$C$451,$C85,'TL04'!$J$238:$J$451),0),
IF('TL05'!$B$3=M$3,SUMIF('TL05'!$C$10:$C$224,$C85,'TL05'!$J$10:$J$224),0),
IF('TL05'!$B$229=M$3,SUMIF('TL05'!$C$238:$C$451,$C85,'TL05'!$J$238:$J$451),0),
IF('TL06'!$B$3=M$3,SUMIF('TL06'!$C$10:$C$224,$C85,'TL06'!$J$10:$J$224),0),
IF('TL06'!$B$229=M$3,SUMIF('TL06'!$C$238:$C$451,$C85,'TL06'!$J$238:$J$451),0),
IF('TL07'!$B$3=M$3,SUMIF('TL07'!$C$10:$C$224,$C85,'TL07'!$J$10:$J$224),0),
IF('TL07'!$B$229=M$3,SUMIF('TL07'!$C$238:$C$451,$C85,'TL07'!$J$238:$J$451),0),
IF('TL08'!$B$3=M$3,SUMIF('TL08'!$C$10:$C$224,$C85,'TL08'!$J$10:$J$224),0),
IF('TL08'!$B$229=M$3,SUMIF('TL08'!$C$238:$C$451,$C85,'TL08'!$J$238:$J$451),0),
IF('TL09'!$B$3=M$3,SUMIF('TL09'!$C$10:$C$224,$C85,'TL09'!$J$10:$J$224),0),
IF('TL09'!$B$229=M$3,SUMIF('TL09'!$C$238:$C$451,$C85,'TL09'!$J$238:$J$451),0),
IF('TL10'!$B$3=M$3,SUMIF('TL10'!$C$10:$C$224,$C85,'TL10'!$J$10:$J$224),0),
IF('TL10'!$B$229=M$3,SUMIF('TL10'!$C$238:$C$451,$C85,'TL10'!$J$238:$J$451),0),
IF('TL11'!$B$3=M$3,SUMIF('TL11'!$C$10:$C$224,$C85,'TL11'!$J$10:$J$224),0),
IF('TL11'!$B$229=M$3,SUMIF('TL11'!$C$238:$C$451,$C85,'TL11'!$J$238:$J$451),0),
IF('TL12'!$B$3=M$3,SUMIF('TL12'!$C$10:$C$224,$C85,'TL12'!$J$10:$J$224),0),
IF('TL12'!$B$229=M$3,SUMIF('TL12'!$C$238:$C$451,$C85,'TL12'!$J$238:$J$451),0),
IF('TL13'!$B$3=M$3,SUMIF('TL13'!$C$10:$C$224,$C85,'TL13'!$J$10:$J$224),0),
IF('TL13'!$B$229=M$3,SUMIF('TL13'!$C$238:$C$451,$C85,'TL13'!$J$238:$J$451),0),
IF('TL14'!$B$3=M$3,SUMIF('TL14'!$C$10:$C$224,$C85,'TL14'!$J$10:$J$224),0),
IF('TL14'!$B$229=M$3,SUMIF('TL14'!$C$238:$C$451,$C85,'TL14'!$J$238:$J$451),0),
IF('TL15'!$B$3=M$3,SUMIF('TL15'!$C$10:$C$224,$C85,'TL15'!$J$10:$J$224),0),
IF('TL15'!$B$229=M$3,SUMIF('TL15'!$C$238:$C$451,$C85,'TL15'!$J$238:$J$451),0),
IF('TL16'!$B$3=M$3,SUMIF('TL16'!$C$10:$C$224,$C85,'TL16'!$J$10:$J$224),0),
IF('TL16'!$B$229=M$3,SUMIF('TL16'!$C$238:$C$451,$C85,'TL16'!$J$238:$J$451),0),
IF('TL17'!$B$3=M$3,SUMIF('TL17'!$C$10:$C$224,$C85,'TL17'!$J$10:$J$224),0),
IF('TL17'!$B$229=M$3,SUMIF('TL17'!$C$238:$C$451,$C85,'TL17'!$J$238:$J$451),0),
IF('TL18'!$B$3=M$3,SUMIF('TL18'!$C$10:$C$224,$C85,'TL18'!$J$10:$J$224),0),
IF('TL18'!$B$229=M$3,SUMIF('TL18'!$C$238:$C$451,$C85,'TL18'!$J$238:$J$451),0),
IF('TL19'!$B$3=M$3,SUMIF('TL19'!$C$10:$C$224,$C85,'TL19'!$J$10:$J$224),0),
IF('TL19'!$B$229=M$3,SUMIF('TL19'!$C$238:$C$451,$C85,'TL19'!$J$238:$J$451),0)
),0)</f>
        <v/>
      </c>
      <c r="N85" s="9">
        <f>IFERROR(SUM(
IF('TL01'!$B$3=N$3,SUMIF('TL01'!$C$10:$C$224,$C85,'TL01'!$J$10:$J$224),0),
IF('TL01'!$B$229=N$3,SUMIF('TL01'!$C$238:$C$451,$C85,'TL01'!$J$238:$J$451),0),
IF('TL02'!$B$3=N$3,SUMIF('TL02'!$C$10:$C$224,$C85,'TL02'!$J$10:$J$224),0),
IF('TL02'!$B$229=N$3,SUMIF('TL02'!$C$238:$C$451,$C85,'TL02'!$J$238:$J$451),0),
IF('TL03'!$B$3=N$3,SUMIF('TL03'!$C$10:$C$224,$C85,'TL03'!$J$10:$J$224),0),
IF('TL03'!$B$229=N$3,SUMIF('TL03'!$C$238:$C$451,$C85,'TL03'!$J$238:$J$451),0),
IF('TL04'!$B$3=N$3,SUMIF('TL04'!$C$10:$C$224,$C85,'TL04'!$J$10:$J$224),0),
IF('TL04'!$B$229=N$3,SUMIF('TL04'!$C$238:$C$451,$C85,'TL04'!$J$238:$J$451),0),
IF('TL05'!$B$3=N$3,SUMIF('TL05'!$C$10:$C$224,$C85,'TL05'!$J$10:$J$224),0),
IF('TL05'!$B$229=N$3,SUMIF('TL05'!$C$238:$C$451,$C85,'TL05'!$J$238:$J$451),0),
IF('TL06'!$B$3=N$3,SUMIF('TL06'!$C$10:$C$224,$C85,'TL06'!$J$10:$J$224),0),
IF('TL06'!$B$229=N$3,SUMIF('TL06'!$C$238:$C$451,$C85,'TL06'!$J$238:$J$451),0),
IF('TL07'!$B$3=N$3,SUMIF('TL07'!$C$10:$C$224,$C85,'TL07'!$J$10:$J$224),0),
IF('TL07'!$B$229=N$3,SUMIF('TL07'!$C$238:$C$451,$C85,'TL07'!$J$238:$J$451),0),
IF('TL08'!$B$3=N$3,SUMIF('TL08'!$C$10:$C$224,$C85,'TL08'!$J$10:$J$224),0),
IF('TL08'!$B$229=N$3,SUMIF('TL08'!$C$238:$C$451,$C85,'TL08'!$J$238:$J$451),0),
IF('TL09'!$B$3=N$3,SUMIF('TL09'!$C$10:$C$224,$C85,'TL09'!$J$10:$J$224),0),
IF('TL09'!$B$229=N$3,SUMIF('TL09'!$C$238:$C$451,$C85,'TL09'!$J$238:$J$451),0),
IF('TL10'!$B$3=N$3,SUMIF('TL10'!$C$10:$C$224,$C85,'TL10'!$J$10:$J$224),0),
IF('TL10'!$B$229=N$3,SUMIF('TL10'!$C$238:$C$451,$C85,'TL10'!$J$238:$J$451),0),
IF('TL11'!$B$3=N$3,SUMIF('TL11'!$C$10:$C$224,$C85,'TL11'!$J$10:$J$224),0),
IF('TL11'!$B$229=N$3,SUMIF('TL11'!$C$238:$C$451,$C85,'TL11'!$J$238:$J$451),0),
IF('TL12'!$B$3=N$3,SUMIF('TL12'!$C$10:$C$224,$C85,'TL12'!$J$10:$J$224),0),
IF('TL12'!$B$229=N$3,SUMIF('TL12'!$C$238:$C$451,$C85,'TL12'!$J$238:$J$451),0),
IF('TL13'!$B$3=N$3,SUMIF('TL13'!$C$10:$C$224,$C85,'TL13'!$J$10:$J$224),0),
IF('TL13'!$B$229=N$3,SUMIF('TL13'!$C$238:$C$451,$C85,'TL13'!$J$238:$J$451),0),
IF('TL14'!$B$3=N$3,SUMIF('TL14'!$C$10:$C$224,$C85,'TL14'!$J$10:$J$224),0),
IF('TL14'!$B$229=N$3,SUMIF('TL14'!$C$238:$C$451,$C85,'TL14'!$J$238:$J$451),0),
IF('TL15'!$B$3=N$3,SUMIF('TL15'!$C$10:$C$224,$C85,'TL15'!$J$10:$J$224),0),
IF('TL15'!$B$229=N$3,SUMIF('TL15'!$C$238:$C$451,$C85,'TL15'!$J$238:$J$451),0),
IF('TL16'!$B$3=N$3,SUMIF('TL16'!$C$10:$C$224,$C85,'TL16'!$J$10:$J$224),0),
IF('TL16'!$B$229=N$3,SUMIF('TL16'!$C$238:$C$451,$C85,'TL16'!$J$238:$J$451),0),
IF('TL17'!$B$3=N$3,SUMIF('TL17'!$C$10:$C$224,$C85,'TL17'!$J$10:$J$224),0),
IF('TL17'!$B$229=N$3,SUMIF('TL17'!$C$238:$C$451,$C85,'TL17'!$J$238:$J$451),0),
IF('TL18'!$B$3=N$3,SUMIF('TL18'!$C$10:$C$224,$C85,'TL18'!$J$10:$J$224),0),
IF('TL18'!$B$229=N$3,SUMIF('TL18'!$C$238:$C$451,$C85,'TL18'!$J$238:$J$451),0),
IF('TL19'!$B$3=N$3,SUMIF('TL19'!$C$10:$C$224,$C85,'TL19'!$J$10:$J$224),0),
IF('TL19'!$B$229=N$3,SUMIF('TL19'!$C$238:$C$451,$C85,'TL19'!$J$238:$J$451),0)
),0)</f>
        <v/>
      </c>
      <c r="O85" s="9">
        <f>IFERROR(SUM(
IF('TL01'!$B$3=O$3,SUMIF('TL01'!$C$10:$C$224,$C85,'TL01'!$J$10:$J$224),0),
IF('TL01'!$B$229=O$3,SUMIF('TL01'!$C$238:$C$451,$C85,'TL01'!$J$238:$J$451),0),
IF('TL02'!$B$3=O$3,SUMIF('TL02'!$C$10:$C$224,$C85,'TL02'!$J$10:$J$224),0),
IF('TL02'!$B$229=O$3,SUMIF('TL02'!$C$238:$C$451,$C85,'TL02'!$J$238:$J$451),0),
IF('TL03'!$B$3=O$3,SUMIF('TL03'!$C$10:$C$224,$C85,'TL03'!$J$10:$J$224),0),
IF('TL03'!$B$229=O$3,SUMIF('TL03'!$C$238:$C$451,$C85,'TL03'!$J$238:$J$451),0),
IF('TL04'!$B$3=O$3,SUMIF('TL04'!$C$10:$C$224,$C85,'TL04'!$J$10:$J$224),0),
IF('TL04'!$B$229=O$3,SUMIF('TL04'!$C$238:$C$451,$C85,'TL04'!$J$238:$J$451),0),
IF('TL05'!$B$3=O$3,SUMIF('TL05'!$C$10:$C$224,$C85,'TL05'!$J$10:$J$224),0),
IF('TL05'!$B$229=O$3,SUMIF('TL05'!$C$238:$C$451,$C85,'TL05'!$J$238:$J$451),0),
IF('TL06'!$B$3=O$3,SUMIF('TL06'!$C$10:$C$224,$C85,'TL06'!$J$10:$J$224),0),
IF('TL06'!$B$229=O$3,SUMIF('TL06'!$C$238:$C$451,$C85,'TL06'!$J$238:$J$451),0),
IF('TL07'!$B$3=O$3,SUMIF('TL07'!$C$10:$C$224,$C85,'TL07'!$J$10:$J$224),0),
IF('TL07'!$B$229=O$3,SUMIF('TL07'!$C$238:$C$451,$C85,'TL07'!$J$238:$J$451),0),
IF('TL08'!$B$3=O$3,SUMIF('TL08'!$C$10:$C$224,$C85,'TL08'!$J$10:$J$224),0),
IF('TL08'!$B$229=O$3,SUMIF('TL08'!$C$238:$C$451,$C85,'TL08'!$J$238:$J$451),0),
IF('TL09'!$B$3=O$3,SUMIF('TL09'!$C$10:$C$224,$C85,'TL09'!$J$10:$J$224),0),
IF('TL09'!$B$229=O$3,SUMIF('TL09'!$C$238:$C$451,$C85,'TL09'!$J$238:$J$451),0),
IF('TL10'!$B$3=O$3,SUMIF('TL10'!$C$10:$C$224,$C85,'TL10'!$J$10:$J$224),0),
IF('TL10'!$B$229=O$3,SUMIF('TL10'!$C$238:$C$451,$C85,'TL10'!$J$238:$J$451),0),
IF('TL11'!$B$3=O$3,SUMIF('TL11'!$C$10:$C$224,$C85,'TL11'!$J$10:$J$224),0),
IF('TL11'!$B$229=O$3,SUMIF('TL11'!$C$238:$C$451,$C85,'TL11'!$J$238:$J$451),0),
IF('TL12'!$B$3=O$3,SUMIF('TL12'!$C$10:$C$224,$C85,'TL12'!$J$10:$J$224),0),
IF('TL12'!$B$229=O$3,SUMIF('TL12'!$C$238:$C$451,$C85,'TL12'!$J$238:$J$451),0),
IF('TL13'!$B$3=O$3,SUMIF('TL13'!$C$10:$C$224,$C85,'TL13'!$J$10:$J$224),0),
IF('TL13'!$B$229=O$3,SUMIF('TL13'!$C$238:$C$451,$C85,'TL13'!$J$238:$J$451),0),
IF('TL14'!$B$3=O$3,SUMIF('TL14'!$C$10:$C$224,$C85,'TL14'!$J$10:$J$224),0),
IF('TL14'!$B$229=O$3,SUMIF('TL14'!$C$238:$C$451,$C85,'TL14'!$J$238:$J$451),0),
IF('TL15'!$B$3=O$3,SUMIF('TL15'!$C$10:$C$224,$C85,'TL15'!$J$10:$J$224),0),
IF('TL15'!$B$229=O$3,SUMIF('TL15'!$C$238:$C$451,$C85,'TL15'!$J$238:$J$451),0),
IF('TL16'!$B$3=O$3,SUMIF('TL16'!$C$10:$C$224,$C85,'TL16'!$J$10:$J$224),0),
IF('TL16'!$B$229=O$3,SUMIF('TL16'!$C$238:$C$451,$C85,'TL16'!$J$238:$J$451),0),
IF('TL17'!$B$3=O$3,SUMIF('TL17'!$C$10:$C$224,$C85,'TL17'!$J$10:$J$224),0),
IF('TL17'!$B$229=O$3,SUMIF('TL17'!$C$238:$C$451,$C85,'TL17'!$J$238:$J$451),0),
IF('TL18'!$B$3=O$3,SUMIF('TL18'!$C$10:$C$224,$C85,'TL18'!$J$10:$J$224),0),
IF('TL18'!$B$229=O$3,SUMIF('TL18'!$C$238:$C$451,$C85,'TL18'!$J$238:$J$451),0),
IF('TL19'!$B$3=O$3,SUMIF('TL19'!$C$10:$C$224,$C85,'TL19'!$J$10:$J$224),0),
IF('TL19'!$B$229=O$3,SUMIF('TL19'!$C$238:$C$451,$C85,'TL19'!$J$238:$J$451),0)
),0)</f>
        <v/>
      </c>
      <c r="P85" s="9">
        <f>IFERROR(SUM(
IF('TL01'!$B$3=P$3,SUMIF('TL01'!$C$10:$C$224,$C85,'TL01'!$J$10:$J$224),0),
IF('TL01'!$B$229=P$3,SUMIF('TL01'!$C$238:$C$451,$C85,'TL01'!$J$238:$J$451),0),
IF('TL02'!$B$3=P$3,SUMIF('TL02'!$C$10:$C$224,$C85,'TL02'!$J$10:$J$224),0),
IF('TL02'!$B$229=P$3,SUMIF('TL02'!$C$238:$C$451,$C85,'TL02'!$J$238:$J$451),0),
IF('TL03'!$B$3=P$3,SUMIF('TL03'!$C$10:$C$224,$C85,'TL03'!$J$10:$J$224),0),
IF('TL03'!$B$229=P$3,SUMIF('TL03'!$C$238:$C$451,$C85,'TL03'!$J$238:$J$451),0),
IF('TL04'!$B$3=P$3,SUMIF('TL04'!$C$10:$C$224,$C85,'TL04'!$J$10:$J$224),0),
IF('TL04'!$B$229=P$3,SUMIF('TL04'!$C$238:$C$451,$C85,'TL04'!$J$238:$J$451),0),
IF('TL05'!$B$3=P$3,SUMIF('TL05'!$C$10:$C$224,$C85,'TL05'!$J$10:$J$224),0),
IF('TL05'!$B$229=P$3,SUMIF('TL05'!$C$238:$C$451,$C85,'TL05'!$J$238:$J$451),0),
IF('TL06'!$B$3=P$3,SUMIF('TL06'!$C$10:$C$224,$C85,'TL06'!$J$10:$J$224),0),
IF('TL06'!$B$229=P$3,SUMIF('TL06'!$C$238:$C$451,$C85,'TL06'!$J$238:$J$451),0),
IF('TL07'!$B$3=P$3,SUMIF('TL07'!$C$10:$C$224,$C85,'TL07'!$J$10:$J$224),0),
IF('TL07'!$B$229=P$3,SUMIF('TL07'!$C$238:$C$451,$C85,'TL07'!$J$238:$J$451),0),
IF('TL08'!$B$3=P$3,SUMIF('TL08'!$C$10:$C$224,$C85,'TL08'!$J$10:$J$224),0),
IF('TL08'!$B$229=P$3,SUMIF('TL08'!$C$238:$C$451,$C85,'TL08'!$J$238:$J$451),0),
IF('TL09'!$B$3=P$3,SUMIF('TL09'!$C$10:$C$224,$C85,'TL09'!$J$10:$J$224),0),
IF('TL09'!$B$229=P$3,SUMIF('TL09'!$C$238:$C$451,$C85,'TL09'!$J$238:$J$451),0),
IF('TL10'!$B$3=P$3,SUMIF('TL10'!$C$10:$C$224,$C85,'TL10'!$J$10:$J$224),0),
IF('TL10'!$B$229=P$3,SUMIF('TL10'!$C$238:$C$451,$C85,'TL10'!$J$238:$J$451),0),
IF('TL11'!$B$3=P$3,SUMIF('TL11'!$C$10:$C$224,$C85,'TL11'!$J$10:$J$224),0),
IF('TL11'!$B$229=P$3,SUMIF('TL11'!$C$238:$C$451,$C85,'TL11'!$J$238:$J$451),0),
IF('TL12'!$B$3=P$3,SUMIF('TL12'!$C$10:$C$224,$C85,'TL12'!$J$10:$J$224),0),
IF('TL12'!$B$229=P$3,SUMIF('TL12'!$C$238:$C$451,$C85,'TL12'!$J$238:$J$451),0),
IF('TL13'!$B$3=P$3,SUMIF('TL13'!$C$10:$C$224,$C85,'TL13'!$J$10:$J$224),0),
IF('TL13'!$B$229=P$3,SUMIF('TL13'!$C$238:$C$451,$C85,'TL13'!$J$238:$J$451),0),
IF('TL14'!$B$3=P$3,SUMIF('TL14'!$C$10:$C$224,$C85,'TL14'!$J$10:$J$224),0),
IF('TL14'!$B$229=P$3,SUMIF('TL14'!$C$238:$C$451,$C85,'TL14'!$J$238:$J$451),0),
IF('TL15'!$B$3=P$3,SUMIF('TL15'!$C$10:$C$224,$C85,'TL15'!$J$10:$J$224),0),
IF('TL15'!$B$229=P$3,SUMIF('TL15'!$C$238:$C$451,$C85,'TL15'!$J$238:$J$451),0),
IF('TL16'!$B$3=P$3,SUMIF('TL16'!$C$10:$C$224,$C85,'TL16'!$J$10:$J$224),0),
IF('TL16'!$B$229=P$3,SUMIF('TL16'!$C$238:$C$451,$C85,'TL16'!$J$238:$J$451),0),
IF('TL17'!$B$3=P$3,SUMIF('TL17'!$C$10:$C$224,$C85,'TL17'!$J$10:$J$224),0),
IF('TL17'!$B$229=P$3,SUMIF('TL17'!$C$238:$C$451,$C85,'TL17'!$J$238:$J$451),0),
IF('TL18'!$B$3=P$3,SUMIF('TL18'!$C$10:$C$224,$C85,'TL18'!$J$10:$J$224),0),
IF('TL18'!$B$229=P$3,SUMIF('TL18'!$C$238:$C$451,$C85,'TL18'!$J$238:$J$451),0),
IF('TL19'!$B$3=P$3,SUMIF('TL19'!$C$10:$C$224,$C85,'TL19'!$J$10:$J$224),0),
IF('TL19'!$B$229=P$3,SUMIF('TL19'!$C$238:$C$451,$C85,'TL19'!$J$238:$J$451),0)
),0)</f>
        <v/>
      </c>
      <c r="Q85" s="9">
        <f>IFERROR(SUM(
IF('TL01'!$B$3=Q$3,SUMIF('TL01'!$C$10:$C$224,$C85,'TL01'!$J$10:$J$224),0),
IF('TL01'!$B$229=Q$3,SUMIF('TL01'!$C$238:$C$451,$C85,'TL01'!$J$238:$J$451),0),
IF('TL02'!$B$3=Q$3,SUMIF('TL02'!$C$10:$C$224,$C85,'TL02'!$J$10:$J$224),0),
IF('TL02'!$B$229=Q$3,SUMIF('TL02'!$C$238:$C$451,$C85,'TL02'!$J$238:$J$451),0),
IF('TL03'!$B$3=Q$3,SUMIF('TL03'!$C$10:$C$224,$C85,'TL03'!$J$10:$J$224),0),
IF('TL03'!$B$229=Q$3,SUMIF('TL03'!$C$238:$C$451,$C85,'TL03'!$J$238:$J$451),0),
IF('TL04'!$B$3=Q$3,SUMIF('TL04'!$C$10:$C$224,$C85,'TL04'!$J$10:$J$224),0),
IF('TL04'!$B$229=Q$3,SUMIF('TL04'!$C$238:$C$451,$C85,'TL04'!$J$238:$J$451),0),
IF('TL05'!$B$3=Q$3,SUMIF('TL05'!$C$10:$C$224,$C85,'TL05'!$J$10:$J$224),0),
IF('TL05'!$B$229=Q$3,SUMIF('TL05'!$C$238:$C$451,$C85,'TL05'!$J$238:$J$451),0),
IF('TL06'!$B$3=Q$3,SUMIF('TL06'!$C$10:$C$224,$C85,'TL06'!$J$10:$J$224),0),
IF('TL06'!$B$229=Q$3,SUMIF('TL06'!$C$238:$C$451,$C85,'TL06'!$J$238:$J$451),0),
IF('TL07'!$B$3=Q$3,SUMIF('TL07'!$C$10:$C$224,$C85,'TL07'!$J$10:$J$224),0),
IF('TL07'!$B$229=Q$3,SUMIF('TL07'!$C$238:$C$451,$C85,'TL07'!$J$238:$J$451),0),
IF('TL08'!$B$3=Q$3,SUMIF('TL08'!$C$10:$C$224,$C85,'TL08'!$J$10:$J$224),0),
IF('TL08'!$B$229=Q$3,SUMIF('TL08'!$C$238:$C$451,$C85,'TL08'!$J$238:$J$451),0),
IF('TL09'!$B$3=Q$3,SUMIF('TL09'!$C$10:$C$224,$C85,'TL09'!$J$10:$J$224),0),
IF('TL09'!$B$229=Q$3,SUMIF('TL09'!$C$238:$C$451,$C85,'TL09'!$J$238:$J$451),0),
IF('TL10'!$B$3=Q$3,SUMIF('TL10'!$C$10:$C$224,$C85,'TL10'!$J$10:$J$224),0),
IF('TL10'!$B$229=Q$3,SUMIF('TL10'!$C$238:$C$451,$C85,'TL10'!$J$238:$J$451),0),
IF('TL11'!$B$3=Q$3,SUMIF('TL11'!$C$10:$C$224,$C85,'TL11'!$J$10:$J$224),0),
IF('TL11'!$B$229=Q$3,SUMIF('TL11'!$C$238:$C$451,$C85,'TL11'!$J$238:$J$451),0),
IF('TL12'!$B$3=Q$3,SUMIF('TL12'!$C$10:$C$224,$C85,'TL12'!$J$10:$J$224),0),
IF('TL12'!$B$229=Q$3,SUMIF('TL12'!$C$238:$C$451,$C85,'TL12'!$J$238:$J$451),0),
IF('TL13'!$B$3=Q$3,SUMIF('TL13'!$C$10:$C$224,$C85,'TL13'!$J$10:$J$224),0),
IF('TL13'!$B$229=Q$3,SUMIF('TL13'!$C$238:$C$451,$C85,'TL13'!$J$238:$J$451),0),
IF('TL14'!$B$3=Q$3,SUMIF('TL14'!$C$10:$C$224,$C85,'TL14'!$J$10:$J$224),0),
IF('TL14'!$B$229=Q$3,SUMIF('TL14'!$C$238:$C$451,$C85,'TL14'!$J$238:$J$451),0),
IF('TL15'!$B$3=Q$3,SUMIF('TL15'!$C$10:$C$224,$C85,'TL15'!$J$10:$J$224),0),
IF('TL15'!$B$229=Q$3,SUMIF('TL15'!$C$238:$C$451,$C85,'TL15'!$J$238:$J$451),0),
IF('TL16'!$B$3=Q$3,SUMIF('TL16'!$C$10:$C$224,$C85,'TL16'!$J$10:$J$224),0),
IF('TL16'!$B$229=Q$3,SUMIF('TL16'!$C$238:$C$451,$C85,'TL16'!$J$238:$J$451),0),
IF('TL17'!$B$3=Q$3,SUMIF('TL17'!$C$10:$C$224,$C85,'TL17'!$J$10:$J$224),0),
IF('TL17'!$B$229=Q$3,SUMIF('TL17'!$C$238:$C$451,$C85,'TL17'!$J$238:$J$451),0),
IF('TL18'!$B$3=Q$3,SUMIF('TL18'!$C$10:$C$224,$C85,'TL18'!$J$10:$J$224),0),
IF('TL18'!$B$229=Q$3,SUMIF('TL18'!$C$238:$C$451,$C85,'TL18'!$J$238:$J$451),0),
IF('TL19'!$B$3=Q$3,SUMIF('TL19'!$C$10:$C$224,$C85,'TL19'!$J$10:$J$224),0),
IF('TL19'!$B$229=Q$3,SUMIF('TL19'!$C$238:$C$451,$C85,'TL19'!$J$238:$J$451),0)
),0)</f>
        <v/>
      </c>
      <c r="R85" s="9">
        <f>IFERROR(
SUM(
SUMIF('TL01'!C:C,C85,'TL01'!J:J),
SUMIF('TL02'!C:C,C85,'TL02'!J:J),
SUMIF('TL03'!C:C,C85,'TL03'!J:J),
SUMIF('TL04'!C:C,C85,'TL04'!J:J),
SUMIF('TL05'!C:C,C85,'TL05'!J:J),
SUMIF('TL06'!C:C,C85,'TL06'!J:J),
SUMIF('TL07'!C:C,C85,'TL07'!J:J),
SUMIF('TL08'!C:C,C85,'TL08'!J:J),
SUMIF('TL09'!C:C,C85,'TL09'!J:J),
SUMIF('TL10'!C:C,C85,'TL10'!J:J),
SUMIF('TL11'!C:C,C85,'TL11'!J:J),
SUMIF('TL12'!C:C,C85,'TL12'!J:J),
SUMIF('TL13'!C:C,C85,'TL13'!J:J),
SUMIF('TL14'!C:C,C85,'TL14'!J:J),
SUMIF('TL15'!C:C,C85,'TL15'!J:J),
SUMIF('TL16'!C:C,C85,'TL16'!J:J),
SUMIF('TL17'!C:C,C85,'TL17'!J:J),
SUMIF('TL18'!C:C,C85,'TL18'!J:J),SUMIF('TL19'!C:C,C85,'TL19'!J:J))
,0)</f>
        <v/>
      </c>
      <c r="S85" s="17">
        <f>IFERROR(__xludf.DUMMYFUNCTION("IFERROR(VLOOKUP(C85,
IMPORTRANGE(""1wULbzX32WdYsx-lj2U3uUNBBe2INVIRDtcK0d-Dvl90"",
""26-27!C:G""),
5,
FALSE),
"""")"),155.73168000000004)</f>
        <v/>
      </c>
      <c r="T85" s="9" t="n">
        <v>10</v>
      </c>
      <c r="U85" s="92">
        <f>MAX(0,R85-T85)</f>
        <v/>
      </c>
      <c r="V85" s="93">
        <f>U85*S85</f>
        <v/>
      </c>
    </row>
    <row r="86" hidden="1" ht="15.75" customHeight="1" s="297">
      <c r="A86" s="115" t="inlineStr">
        <is>
          <t>SUMITOMO</t>
        </is>
      </c>
      <c r="B86" s="100" t="inlineStr">
        <is>
          <t>FUNGICIDA</t>
        </is>
      </c>
      <c r="C86" s="116" t="inlineStr">
        <is>
          <t>PLADIUS</t>
        </is>
      </c>
      <c r="D86" s="116" t="inlineStr">
        <is>
          <t>IMPIRFLUXAM + DIFENOCONAZOL + PICOXISTROBINA</t>
        </is>
      </c>
      <c r="E86" s="116" t="inlineStr">
        <is>
          <t>60 + 120 + 120</t>
        </is>
      </c>
      <c r="F86" s="4" t="inlineStr">
        <is>
          <t>KG</t>
        </is>
      </c>
      <c r="G86" s="90">
        <f>HYPERLINK("https://www.google.com/search?q=" &amp; C86 &amp; "+bula+agrofit+pdf", "📄 Ver bula")</f>
        <v/>
      </c>
      <c r="H86" s="9">
        <f>IFERROR(__xludf.DUMMYFUNCTION("IFERROR(VLOOKUP(C86,
IMPORTRANGE(""1wULbzX32WdYsx-lj2U3uUNBBe2INVIRDtcK0d-Dvl90"",
""26-27!C:K""),
8,
FALSE),
"""")"),0.75)</f>
        <v/>
      </c>
      <c r="I86" s="117" t="inlineStr">
        <is>
          <t>1x20</t>
        </is>
      </c>
      <c r="J86" s="9">
        <f>IFERROR(SUM(
IF('TL01'!$B$3=J$3,SUMIF('TL01'!$C$10:$C$224,$C86,'TL01'!$J$10:$J$224),0),
IF('TL01'!$B$229=J$3,SUMIF('TL01'!$C$238:$C$451,$C86,'TL01'!$J$238:$J$451),0),
IF('TL02'!$B$3=J$3,SUMIF('TL02'!$C$10:$C$224,$C86,'TL02'!$J$10:$J$224),0),
IF('TL02'!$B$229=J$3,SUMIF('TL02'!$C$238:$C$451,$C86,'TL02'!$J$238:$J$451),0),
IF('TL03'!$B$3=J$3,SUMIF('TL03'!$C$10:$C$224,$C86,'TL03'!$J$10:$J$224),0),
IF('TL03'!$B$229=J$3,SUMIF('TL03'!$C$238:$C$451,$C86,'TL03'!$J$238:$J$451),0),
IF('TL04'!$B$3=J$3,SUMIF('TL04'!$C$10:$C$224,$C86,'TL04'!$J$10:$J$224),0),
IF('TL04'!$B$229=J$3,SUMIF('TL04'!$C$238:$C$451,$C86,'TL04'!$J$238:$J$451),0),
IF('TL05'!$B$3=J$3,SUMIF('TL05'!$C$10:$C$224,$C86,'TL05'!$J$10:$J$224),0),
IF('TL05'!$B$229=J$3,SUMIF('TL05'!$C$238:$C$451,$C86,'TL05'!$J$238:$J$451),0),
IF('TL06'!$B$3=J$3,SUMIF('TL06'!$C$10:$C$224,$C86,'TL06'!$J$10:$J$224),0),
IF('TL06'!$B$229=J$3,SUMIF('TL06'!$C$238:$C$451,$C86,'TL06'!$J$238:$J$451),0),
IF('TL07'!$B$3=J$3,SUMIF('TL07'!$C$10:$C$224,$C86,'TL07'!$J$10:$J$224),0),
IF('TL07'!$B$229=J$3,SUMIF('TL07'!$C$238:$C$451,$C86,'TL07'!$J$238:$J$451),0),
IF('TL08'!$B$3=J$3,SUMIF('TL08'!$C$10:$C$224,$C86,'TL08'!$J$10:$J$224),0),
IF('TL08'!$B$229=J$3,SUMIF('TL08'!$C$238:$C$451,$C86,'TL08'!$J$238:$J$451),0),
IF('TL09'!$B$3=J$3,SUMIF('TL09'!$C$10:$C$224,$C86,'TL09'!$J$10:$J$224),0),
IF('TL09'!$B$229=J$3,SUMIF('TL09'!$C$238:$C$451,$C86,'TL09'!$J$238:$J$451),0),
IF('TL10'!$B$3=J$3,SUMIF('TL10'!$C$10:$C$224,$C86,'TL10'!$J$10:$J$224),0),
IF('TL10'!$B$229=J$3,SUMIF('TL10'!$C$238:$C$451,$C86,'TL10'!$J$238:$J$451),0),
IF('TL11'!$B$3=J$3,SUMIF('TL11'!$C$10:$C$224,$C86,'TL11'!$J$10:$J$224),0),
IF('TL11'!$B$229=J$3,SUMIF('TL11'!$C$238:$C$451,$C86,'TL11'!$J$238:$J$451),0),
IF('TL12'!$B$3=J$3,SUMIF('TL12'!$C$10:$C$224,$C86,'TL12'!$J$10:$J$224),0),
IF('TL12'!$B$229=J$3,SUMIF('TL12'!$C$238:$C$451,$C86,'TL12'!$J$238:$J$451),0),
IF('TL13'!$B$3=J$3,SUMIF('TL13'!$C$10:$C$224,$C86,'TL13'!$J$10:$J$224),0),
IF('TL13'!$B$229=J$3,SUMIF('TL13'!$C$238:$C$451,$C86,'TL13'!$J$238:$J$451),0),
IF('TL14'!$B$3=J$3,SUMIF('TL14'!$C$10:$C$224,$C86,'TL14'!$J$10:$J$224),0),
IF('TL14'!$B$229=J$3,SUMIF('TL14'!$C$238:$C$451,$C86,'TL14'!$J$238:$J$451),0),
IF('TL15'!$B$3=J$3,SUMIF('TL15'!$C$10:$C$224,$C86,'TL15'!$J$10:$J$224),0),
IF('TL15'!$B$229=J$3,SUMIF('TL15'!$C$238:$C$451,$C86,'TL15'!$J$238:$J$451),0),
IF('TL16'!$B$3=J$3,SUMIF('TL16'!$C$10:$C$224,$C86,'TL16'!$J$10:$J$224),0),
IF('TL16'!$B$229=J$3,SUMIF('TL16'!$C$238:$C$451,$C86,'TL16'!$J$238:$J$451),0),
IF('TL17'!$B$3=J$3,SUMIF('TL17'!$C$10:$C$224,$C86,'TL17'!$J$10:$J$224),0),
IF('TL17'!$B$229=J$3,SUMIF('TL17'!$C$238:$C$451,$C86,'TL17'!$J$238:$J$451),0),
IF('TL18'!$B$3=J$3,SUMIF('TL18'!$C$10:$C$224,$C86,'TL18'!$J$10:$J$224),0),
IF('TL18'!$B$229=J$3,SUMIF('TL18'!$C$238:$C$451,$C86,'TL18'!$J$238:$J$451),0),
IF('TL19'!$B$3=J$3,SUMIF('TL19'!$C$10:$C$224,$C86,'TL19'!$J$10:$J$224),0),
IF('TL19'!$B$229=J$3,SUMIF('TL19'!$C$238:$C$451,$C86,'TL19'!$J$238:$J$451),0)
),0)</f>
        <v/>
      </c>
      <c r="K86" s="9">
        <f>IFERROR(SUM(
IF('TL01'!$B$3=K$3,SUMIF('TL01'!$C$10:$C$224,$C86,'TL01'!$J$10:$J$224),0),
IF('TL01'!$B$229=K$3,SUMIF('TL01'!$C$238:$C$451,$C86,'TL01'!$J$238:$J$451),0),
IF('TL02'!$B$3=K$3,SUMIF('TL02'!$C$10:$C$224,$C86,'TL02'!$J$10:$J$224),0),
IF('TL02'!$B$229=K$3,SUMIF('TL02'!$C$238:$C$451,$C86,'TL02'!$J$238:$J$451),0),
IF('TL03'!$B$3=K$3,SUMIF('TL03'!$C$10:$C$224,$C86,'TL03'!$J$10:$J$224),0),
IF('TL03'!$B$229=K$3,SUMIF('TL03'!$C$238:$C$451,$C86,'TL03'!$J$238:$J$451),0),
IF('TL04'!$B$3=K$3,SUMIF('TL04'!$C$10:$C$224,$C86,'TL04'!$J$10:$J$224),0),
IF('TL04'!$B$229=K$3,SUMIF('TL04'!$C$238:$C$451,$C86,'TL04'!$J$238:$J$451),0),
IF('TL05'!$B$3=K$3,SUMIF('TL05'!$C$10:$C$224,$C86,'TL05'!$J$10:$J$224),0),
IF('TL05'!$B$229=K$3,SUMIF('TL05'!$C$238:$C$451,$C86,'TL05'!$J$238:$J$451),0),
IF('TL06'!$B$3=K$3,SUMIF('TL06'!$C$10:$C$224,$C86,'TL06'!$J$10:$J$224),0),
IF('TL06'!$B$229=K$3,SUMIF('TL06'!$C$238:$C$451,$C86,'TL06'!$J$238:$J$451),0),
IF('TL07'!$B$3=K$3,SUMIF('TL07'!$C$10:$C$224,$C86,'TL07'!$J$10:$J$224),0),
IF('TL07'!$B$229=K$3,SUMIF('TL07'!$C$238:$C$451,$C86,'TL07'!$J$238:$J$451),0),
IF('TL08'!$B$3=K$3,SUMIF('TL08'!$C$10:$C$224,$C86,'TL08'!$J$10:$J$224),0),
IF('TL08'!$B$229=K$3,SUMIF('TL08'!$C$238:$C$451,$C86,'TL08'!$J$238:$J$451),0),
IF('TL09'!$B$3=K$3,SUMIF('TL09'!$C$10:$C$224,$C86,'TL09'!$J$10:$J$224),0),
IF('TL09'!$B$229=K$3,SUMIF('TL09'!$C$238:$C$451,$C86,'TL09'!$J$238:$J$451),0),
IF('TL10'!$B$3=K$3,SUMIF('TL10'!$C$10:$C$224,$C86,'TL10'!$J$10:$J$224),0),
IF('TL10'!$B$229=K$3,SUMIF('TL10'!$C$238:$C$451,$C86,'TL10'!$J$238:$J$451),0),
IF('TL11'!$B$3=K$3,SUMIF('TL11'!$C$10:$C$224,$C86,'TL11'!$J$10:$J$224),0),
IF('TL11'!$B$229=K$3,SUMIF('TL11'!$C$238:$C$451,$C86,'TL11'!$J$238:$J$451),0),
IF('TL12'!$B$3=K$3,SUMIF('TL12'!$C$10:$C$224,$C86,'TL12'!$J$10:$J$224),0),
IF('TL12'!$B$229=K$3,SUMIF('TL12'!$C$238:$C$451,$C86,'TL12'!$J$238:$J$451),0),
IF('TL13'!$B$3=K$3,SUMIF('TL13'!$C$10:$C$224,$C86,'TL13'!$J$10:$J$224),0),
IF('TL13'!$B$229=K$3,SUMIF('TL13'!$C$238:$C$451,$C86,'TL13'!$J$238:$J$451),0),
IF('TL14'!$B$3=K$3,SUMIF('TL14'!$C$10:$C$224,$C86,'TL14'!$J$10:$J$224),0),
IF('TL14'!$B$229=K$3,SUMIF('TL14'!$C$238:$C$451,$C86,'TL14'!$J$238:$J$451),0),
IF('TL15'!$B$3=K$3,SUMIF('TL15'!$C$10:$C$224,$C86,'TL15'!$J$10:$J$224),0),
IF('TL15'!$B$229=K$3,SUMIF('TL15'!$C$238:$C$451,$C86,'TL15'!$J$238:$J$451),0),
IF('TL16'!$B$3=K$3,SUMIF('TL16'!$C$10:$C$224,$C86,'TL16'!$J$10:$J$224),0),
IF('TL16'!$B$229=K$3,SUMIF('TL16'!$C$238:$C$451,$C86,'TL16'!$J$238:$J$451),0),
IF('TL17'!$B$3=K$3,SUMIF('TL17'!$C$10:$C$224,$C86,'TL17'!$J$10:$J$224),0),
IF('TL17'!$B$229=K$3,SUMIF('TL17'!$C$238:$C$451,$C86,'TL17'!$J$238:$J$451),0),
IF('TL18'!$B$3=K$3,SUMIF('TL18'!$C$10:$C$224,$C86,'TL18'!$J$10:$J$224),0),
IF('TL18'!$B$229=K$3,SUMIF('TL18'!$C$238:$C$451,$C86,'TL18'!$J$238:$J$451),0),
IF('TL19'!$B$3=K$3,SUMIF('TL19'!$C$10:$C$224,$C86,'TL19'!$J$10:$J$224),0),
IF('TL19'!$B$229=K$3,SUMIF('TL19'!$C$238:$C$451,$C86,'TL19'!$J$238:$J$451),0)
),0)</f>
        <v/>
      </c>
      <c r="L86" s="9">
        <f>IFERROR(SUM(
IF('TL01'!$B$3=L$3,SUMIF('TL01'!$C$10:$C$224,$C86,'TL01'!$J$10:$J$224),0),
IF('TL01'!$B$229=L$3,SUMIF('TL01'!$C$238:$C$451,$C86,'TL01'!$J$238:$J$451),0),
IF('TL02'!$B$3=L$3,SUMIF('TL02'!$C$10:$C$224,$C86,'TL02'!$J$10:$J$224),0),
IF('TL02'!$B$229=L$3,SUMIF('TL02'!$C$238:$C$451,$C86,'TL02'!$J$238:$J$451),0),
IF('TL03'!$B$3=L$3,SUMIF('TL03'!$C$10:$C$224,$C86,'TL03'!$J$10:$J$224),0),
IF('TL03'!$B$229=L$3,SUMIF('TL03'!$C$238:$C$451,$C86,'TL03'!$J$238:$J$451),0),
IF('TL04'!$B$3=L$3,SUMIF('TL04'!$C$10:$C$224,$C86,'TL04'!$J$10:$J$224),0),
IF('TL04'!$B$229=L$3,SUMIF('TL04'!$C$238:$C$451,$C86,'TL04'!$J$238:$J$451),0),
IF('TL05'!$B$3=L$3,SUMIF('TL05'!$C$10:$C$224,$C86,'TL05'!$J$10:$J$224),0),
IF('TL05'!$B$229=L$3,SUMIF('TL05'!$C$238:$C$451,$C86,'TL05'!$J$238:$J$451),0),
IF('TL06'!$B$3=L$3,SUMIF('TL06'!$C$10:$C$224,$C86,'TL06'!$J$10:$J$224),0),
IF('TL06'!$B$229=L$3,SUMIF('TL06'!$C$238:$C$451,$C86,'TL06'!$J$238:$J$451),0),
IF('TL07'!$B$3=L$3,SUMIF('TL07'!$C$10:$C$224,$C86,'TL07'!$J$10:$J$224),0),
IF('TL07'!$B$229=L$3,SUMIF('TL07'!$C$238:$C$451,$C86,'TL07'!$J$238:$J$451),0),
IF('TL08'!$B$3=L$3,SUMIF('TL08'!$C$10:$C$224,$C86,'TL08'!$J$10:$J$224),0),
IF('TL08'!$B$229=L$3,SUMIF('TL08'!$C$238:$C$451,$C86,'TL08'!$J$238:$J$451),0),
IF('TL09'!$B$3=L$3,SUMIF('TL09'!$C$10:$C$224,$C86,'TL09'!$J$10:$J$224),0),
IF('TL09'!$B$229=L$3,SUMIF('TL09'!$C$238:$C$451,$C86,'TL09'!$J$238:$J$451),0),
IF('TL10'!$B$3=L$3,SUMIF('TL10'!$C$10:$C$224,$C86,'TL10'!$J$10:$J$224),0),
IF('TL10'!$B$229=L$3,SUMIF('TL10'!$C$238:$C$451,$C86,'TL10'!$J$238:$J$451),0),
IF('TL11'!$B$3=L$3,SUMIF('TL11'!$C$10:$C$224,$C86,'TL11'!$J$10:$J$224),0),
IF('TL11'!$B$229=L$3,SUMIF('TL11'!$C$238:$C$451,$C86,'TL11'!$J$238:$J$451),0),
IF('TL12'!$B$3=L$3,SUMIF('TL12'!$C$10:$C$224,$C86,'TL12'!$J$10:$J$224),0),
IF('TL12'!$B$229=L$3,SUMIF('TL12'!$C$238:$C$451,$C86,'TL12'!$J$238:$J$451),0),
IF('TL13'!$B$3=L$3,SUMIF('TL13'!$C$10:$C$224,$C86,'TL13'!$J$10:$J$224),0),
IF('TL13'!$B$229=L$3,SUMIF('TL13'!$C$238:$C$451,$C86,'TL13'!$J$238:$J$451),0),
IF('TL14'!$B$3=L$3,SUMIF('TL14'!$C$10:$C$224,$C86,'TL14'!$J$10:$J$224),0),
IF('TL14'!$B$229=L$3,SUMIF('TL14'!$C$238:$C$451,$C86,'TL14'!$J$238:$J$451),0),
IF('TL15'!$B$3=L$3,SUMIF('TL15'!$C$10:$C$224,$C86,'TL15'!$J$10:$J$224),0),
IF('TL15'!$B$229=L$3,SUMIF('TL15'!$C$238:$C$451,$C86,'TL15'!$J$238:$J$451),0),
IF('TL16'!$B$3=L$3,SUMIF('TL16'!$C$10:$C$224,$C86,'TL16'!$J$10:$J$224),0),
IF('TL16'!$B$229=L$3,SUMIF('TL16'!$C$238:$C$451,$C86,'TL16'!$J$238:$J$451),0),
IF('TL17'!$B$3=L$3,SUMIF('TL17'!$C$10:$C$224,$C86,'TL17'!$J$10:$J$224),0),
IF('TL17'!$B$229=L$3,SUMIF('TL17'!$C$238:$C$451,$C86,'TL17'!$J$238:$J$451),0),
IF('TL18'!$B$3=L$3,SUMIF('TL18'!$C$10:$C$224,$C86,'TL18'!$J$10:$J$224),0),
IF('TL18'!$B$229=L$3,SUMIF('TL18'!$C$238:$C$451,$C86,'TL18'!$J$238:$J$451),0),
IF('TL19'!$B$3=L$3,SUMIF('TL19'!$C$10:$C$224,$C86,'TL19'!$J$10:$J$224),0),
IF('TL19'!$B$229=L$3,SUMIF('TL19'!$C$238:$C$451,$C86,'TL19'!$J$238:$J$451),0)
),0)</f>
        <v/>
      </c>
      <c r="M86" s="9">
        <f>IFERROR(SUM(
IF('TL01'!$B$3=M$3,SUMIF('TL01'!$C$10:$C$224,$C86,'TL01'!$J$10:$J$224),0),
IF('TL01'!$B$229=M$3,SUMIF('TL01'!$C$238:$C$451,$C86,'TL01'!$J$238:$J$451),0),
IF('TL02'!$B$3=M$3,SUMIF('TL02'!$C$10:$C$224,$C86,'TL02'!$J$10:$J$224),0),
IF('TL02'!$B$229=M$3,SUMIF('TL02'!$C$238:$C$451,$C86,'TL02'!$J$238:$J$451),0),
IF('TL03'!$B$3=M$3,SUMIF('TL03'!$C$10:$C$224,$C86,'TL03'!$J$10:$J$224),0),
IF('TL03'!$B$229=M$3,SUMIF('TL03'!$C$238:$C$451,$C86,'TL03'!$J$238:$J$451),0),
IF('TL04'!$B$3=M$3,SUMIF('TL04'!$C$10:$C$224,$C86,'TL04'!$J$10:$J$224),0),
IF('TL04'!$B$229=M$3,SUMIF('TL04'!$C$238:$C$451,$C86,'TL04'!$J$238:$J$451),0),
IF('TL05'!$B$3=M$3,SUMIF('TL05'!$C$10:$C$224,$C86,'TL05'!$J$10:$J$224),0),
IF('TL05'!$B$229=M$3,SUMIF('TL05'!$C$238:$C$451,$C86,'TL05'!$J$238:$J$451),0),
IF('TL06'!$B$3=M$3,SUMIF('TL06'!$C$10:$C$224,$C86,'TL06'!$J$10:$J$224),0),
IF('TL06'!$B$229=M$3,SUMIF('TL06'!$C$238:$C$451,$C86,'TL06'!$J$238:$J$451),0),
IF('TL07'!$B$3=M$3,SUMIF('TL07'!$C$10:$C$224,$C86,'TL07'!$J$10:$J$224),0),
IF('TL07'!$B$229=M$3,SUMIF('TL07'!$C$238:$C$451,$C86,'TL07'!$J$238:$J$451),0),
IF('TL08'!$B$3=M$3,SUMIF('TL08'!$C$10:$C$224,$C86,'TL08'!$J$10:$J$224),0),
IF('TL08'!$B$229=M$3,SUMIF('TL08'!$C$238:$C$451,$C86,'TL08'!$J$238:$J$451),0),
IF('TL09'!$B$3=M$3,SUMIF('TL09'!$C$10:$C$224,$C86,'TL09'!$J$10:$J$224),0),
IF('TL09'!$B$229=M$3,SUMIF('TL09'!$C$238:$C$451,$C86,'TL09'!$J$238:$J$451),0),
IF('TL10'!$B$3=M$3,SUMIF('TL10'!$C$10:$C$224,$C86,'TL10'!$J$10:$J$224),0),
IF('TL10'!$B$229=M$3,SUMIF('TL10'!$C$238:$C$451,$C86,'TL10'!$J$238:$J$451),0),
IF('TL11'!$B$3=M$3,SUMIF('TL11'!$C$10:$C$224,$C86,'TL11'!$J$10:$J$224),0),
IF('TL11'!$B$229=M$3,SUMIF('TL11'!$C$238:$C$451,$C86,'TL11'!$J$238:$J$451),0),
IF('TL12'!$B$3=M$3,SUMIF('TL12'!$C$10:$C$224,$C86,'TL12'!$J$10:$J$224),0),
IF('TL12'!$B$229=M$3,SUMIF('TL12'!$C$238:$C$451,$C86,'TL12'!$J$238:$J$451),0),
IF('TL13'!$B$3=M$3,SUMIF('TL13'!$C$10:$C$224,$C86,'TL13'!$J$10:$J$224),0),
IF('TL13'!$B$229=M$3,SUMIF('TL13'!$C$238:$C$451,$C86,'TL13'!$J$238:$J$451),0),
IF('TL14'!$B$3=M$3,SUMIF('TL14'!$C$10:$C$224,$C86,'TL14'!$J$10:$J$224),0),
IF('TL14'!$B$229=M$3,SUMIF('TL14'!$C$238:$C$451,$C86,'TL14'!$J$238:$J$451),0),
IF('TL15'!$B$3=M$3,SUMIF('TL15'!$C$10:$C$224,$C86,'TL15'!$J$10:$J$224),0),
IF('TL15'!$B$229=M$3,SUMIF('TL15'!$C$238:$C$451,$C86,'TL15'!$J$238:$J$451),0),
IF('TL16'!$B$3=M$3,SUMIF('TL16'!$C$10:$C$224,$C86,'TL16'!$J$10:$J$224),0),
IF('TL16'!$B$229=M$3,SUMIF('TL16'!$C$238:$C$451,$C86,'TL16'!$J$238:$J$451),0),
IF('TL17'!$B$3=M$3,SUMIF('TL17'!$C$10:$C$224,$C86,'TL17'!$J$10:$J$224),0),
IF('TL17'!$B$229=M$3,SUMIF('TL17'!$C$238:$C$451,$C86,'TL17'!$J$238:$J$451),0),
IF('TL18'!$B$3=M$3,SUMIF('TL18'!$C$10:$C$224,$C86,'TL18'!$J$10:$J$224),0),
IF('TL18'!$B$229=M$3,SUMIF('TL18'!$C$238:$C$451,$C86,'TL18'!$J$238:$J$451),0),
IF('TL19'!$B$3=M$3,SUMIF('TL19'!$C$10:$C$224,$C86,'TL19'!$J$10:$J$224),0),
IF('TL19'!$B$229=M$3,SUMIF('TL19'!$C$238:$C$451,$C86,'TL19'!$J$238:$J$451),0)
),0)</f>
        <v/>
      </c>
      <c r="N86" s="9">
        <f>IFERROR(SUM(
IF('TL01'!$B$3=N$3,SUMIF('TL01'!$C$10:$C$224,$C86,'TL01'!$J$10:$J$224),0),
IF('TL01'!$B$229=N$3,SUMIF('TL01'!$C$238:$C$451,$C86,'TL01'!$J$238:$J$451),0),
IF('TL02'!$B$3=N$3,SUMIF('TL02'!$C$10:$C$224,$C86,'TL02'!$J$10:$J$224),0),
IF('TL02'!$B$229=N$3,SUMIF('TL02'!$C$238:$C$451,$C86,'TL02'!$J$238:$J$451),0),
IF('TL03'!$B$3=N$3,SUMIF('TL03'!$C$10:$C$224,$C86,'TL03'!$J$10:$J$224),0),
IF('TL03'!$B$229=N$3,SUMIF('TL03'!$C$238:$C$451,$C86,'TL03'!$J$238:$J$451),0),
IF('TL04'!$B$3=N$3,SUMIF('TL04'!$C$10:$C$224,$C86,'TL04'!$J$10:$J$224),0),
IF('TL04'!$B$229=N$3,SUMIF('TL04'!$C$238:$C$451,$C86,'TL04'!$J$238:$J$451),0),
IF('TL05'!$B$3=N$3,SUMIF('TL05'!$C$10:$C$224,$C86,'TL05'!$J$10:$J$224),0),
IF('TL05'!$B$229=N$3,SUMIF('TL05'!$C$238:$C$451,$C86,'TL05'!$J$238:$J$451),0),
IF('TL06'!$B$3=N$3,SUMIF('TL06'!$C$10:$C$224,$C86,'TL06'!$J$10:$J$224),0),
IF('TL06'!$B$229=N$3,SUMIF('TL06'!$C$238:$C$451,$C86,'TL06'!$J$238:$J$451),0),
IF('TL07'!$B$3=N$3,SUMIF('TL07'!$C$10:$C$224,$C86,'TL07'!$J$10:$J$224),0),
IF('TL07'!$B$229=N$3,SUMIF('TL07'!$C$238:$C$451,$C86,'TL07'!$J$238:$J$451),0),
IF('TL08'!$B$3=N$3,SUMIF('TL08'!$C$10:$C$224,$C86,'TL08'!$J$10:$J$224),0),
IF('TL08'!$B$229=N$3,SUMIF('TL08'!$C$238:$C$451,$C86,'TL08'!$J$238:$J$451),0),
IF('TL09'!$B$3=N$3,SUMIF('TL09'!$C$10:$C$224,$C86,'TL09'!$J$10:$J$224),0),
IF('TL09'!$B$229=N$3,SUMIF('TL09'!$C$238:$C$451,$C86,'TL09'!$J$238:$J$451),0),
IF('TL10'!$B$3=N$3,SUMIF('TL10'!$C$10:$C$224,$C86,'TL10'!$J$10:$J$224),0),
IF('TL10'!$B$229=N$3,SUMIF('TL10'!$C$238:$C$451,$C86,'TL10'!$J$238:$J$451),0),
IF('TL11'!$B$3=N$3,SUMIF('TL11'!$C$10:$C$224,$C86,'TL11'!$J$10:$J$224),0),
IF('TL11'!$B$229=N$3,SUMIF('TL11'!$C$238:$C$451,$C86,'TL11'!$J$238:$J$451),0),
IF('TL12'!$B$3=N$3,SUMIF('TL12'!$C$10:$C$224,$C86,'TL12'!$J$10:$J$224),0),
IF('TL12'!$B$229=N$3,SUMIF('TL12'!$C$238:$C$451,$C86,'TL12'!$J$238:$J$451),0),
IF('TL13'!$B$3=N$3,SUMIF('TL13'!$C$10:$C$224,$C86,'TL13'!$J$10:$J$224),0),
IF('TL13'!$B$229=N$3,SUMIF('TL13'!$C$238:$C$451,$C86,'TL13'!$J$238:$J$451),0),
IF('TL14'!$B$3=N$3,SUMIF('TL14'!$C$10:$C$224,$C86,'TL14'!$J$10:$J$224),0),
IF('TL14'!$B$229=N$3,SUMIF('TL14'!$C$238:$C$451,$C86,'TL14'!$J$238:$J$451),0),
IF('TL15'!$B$3=N$3,SUMIF('TL15'!$C$10:$C$224,$C86,'TL15'!$J$10:$J$224),0),
IF('TL15'!$B$229=N$3,SUMIF('TL15'!$C$238:$C$451,$C86,'TL15'!$J$238:$J$451),0),
IF('TL16'!$B$3=N$3,SUMIF('TL16'!$C$10:$C$224,$C86,'TL16'!$J$10:$J$224),0),
IF('TL16'!$B$229=N$3,SUMIF('TL16'!$C$238:$C$451,$C86,'TL16'!$J$238:$J$451),0),
IF('TL17'!$B$3=N$3,SUMIF('TL17'!$C$10:$C$224,$C86,'TL17'!$J$10:$J$224),0),
IF('TL17'!$B$229=N$3,SUMIF('TL17'!$C$238:$C$451,$C86,'TL17'!$J$238:$J$451),0),
IF('TL18'!$B$3=N$3,SUMIF('TL18'!$C$10:$C$224,$C86,'TL18'!$J$10:$J$224),0),
IF('TL18'!$B$229=N$3,SUMIF('TL18'!$C$238:$C$451,$C86,'TL18'!$J$238:$J$451),0),
IF('TL19'!$B$3=N$3,SUMIF('TL19'!$C$10:$C$224,$C86,'TL19'!$J$10:$J$224),0),
IF('TL19'!$B$229=N$3,SUMIF('TL19'!$C$238:$C$451,$C86,'TL19'!$J$238:$J$451),0)
),0)</f>
        <v/>
      </c>
      <c r="O86" s="9">
        <f>IFERROR(SUM(
IF('TL01'!$B$3=O$3,SUMIF('TL01'!$C$10:$C$224,$C86,'TL01'!$J$10:$J$224),0),
IF('TL01'!$B$229=O$3,SUMIF('TL01'!$C$238:$C$451,$C86,'TL01'!$J$238:$J$451),0),
IF('TL02'!$B$3=O$3,SUMIF('TL02'!$C$10:$C$224,$C86,'TL02'!$J$10:$J$224),0),
IF('TL02'!$B$229=O$3,SUMIF('TL02'!$C$238:$C$451,$C86,'TL02'!$J$238:$J$451),0),
IF('TL03'!$B$3=O$3,SUMIF('TL03'!$C$10:$C$224,$C86,'TL03'!$J$10:$J$224),0),
IF('TL03'!$B$229=O$3,SUMIF('TL03'!$C$238:$C$451,$C86,'TL03'!$J$238:$J$451),0),
IF('TL04'!$B$3=O$3,SUMIF('TL04'!$C$10:$C$224,$C86,'TL04'!$J$10:$J$224),0),
IF('TL04'!$B$229=O$3,SUMIF('TL04'!$C$238:$C$451,$C86,'TL04'!$J$238:$J$451),0),
IF('TL05'!$B$3=O$3,SUMIF('TL05'!$C$10:$C$224,$C86,'TL05'!$J$10:$J$224),0),
IF('TL05'!$B$229=O$3,SUMIF('TL05'!$C$238:$C$451,$C86,'TL05'!$J$238:$J$451),0),
IF('TL06'!$B$3=O$3,SUMIF('TL06'!$C$10:$C$224,$C86,'TL06'!$J$10:$J$224),0),
IF('TL06'!$B$229=O$3,SUMIF('TL06'!$C$238:$C$451,$C86,'TL06'!$J$238:$J$451),0),
IF('TL07'!$B$3=O$3,SUMIF('TL07'!$C$10:$C$224,$C86,'TL07'!$J$10:$J$224),0),
IF('TL07'!$B$229=O$3,SUMIF('TL07'!$C$238:$C$451,$C86,'TL07'!$J$238:$J$451),0),
IF('TL08'!$B$3=O$3,SUMIF('TL08'!$C$10:$C$224,$C86,'TL08'!$J$10:$J$224),0),
IF('TL08'!$B$229=O$3,SUMIF('TL08'!$C$238:$C$451,$C86,'TL08'!$J$238:$J$451),0),
IF('TL09'!$B$3=O$3,SUMIF('TL09'!$C$10:$C$224,$C86,'TL09'!$J$10:$J$224),0),
IF('TL09'!$B$229=O$3,SUMIF('TL09'!$C$238:$C$451,$C86,'TL09'!$J$238:$J$451),0),
IF('TL10'!$B$3=O$3,SUMIF('TL10'!$C$10:$C$224,$C86,'TL10'!$J$10:$J$224),0),
IF('TL10'!$B$229=O$3,SUMIF('TL10'!$C$238:$C$451,$C86,'TL10'!$J$238:$J$451),0),
IF('TL11'!$B$3=O$3,SUMIF('TL11'!$C$10:$C$224,$C86,'TL11'!$J$10:$J$224),0),
IF('TL11'!$B$229=O$3,SUMIF('TL11'!$C$238:$C$451,$C86,'TL11'!$J$238:$J$451),0),
IF('TL12'!$B$3=O$3,SUMIF('TL12'!$C$10:$C$224,$C86,'TL12'!$J$10:$J$224),0),
IF('TL12'!$B$229=O$3,SUMIF('TL12'!$C$238:$C$451,$C86,'TL12'!$J$238:$J$451),0),
IF('TL13'!$B$3=O$3,SUMIF('TL13'!$C$10:$C$224,$C86,'TL13'!$J$10:$J$224),0),
IF('TL13'!$B$229=O$3,SUMIF('TL13'!$C$238:$C$451,$C86,'TL13'!$J$238:$J$451),0),
IF('TL14'!$B$3=O$3,SUMIF('TL14'!$C$10:$C$224,$C86,'TL14'!$J$10:$J$224),0),
IF('TL14'!$B$229=O$3,SUMIF('TL14'!$C$238:$C$451,$C86,'TL14'!$J$238:$J$451),0),
IF('TL15'!$B$3=O$3,SUMIF('TL15'!$C$10:$C$224,$C86,'TL15'!$J$10:$J$224),0),
IF('TL15'!$B$229=O$3,SUMIF('TL15'!$C$238:$C$451,$C86,'TL15'!$J$238:$J$451),0),
IF('TL16'!$B$3=O$3,SUMIF('TL16'!$C$10:$C$224,$C86,'TL16'!$J$10:$J$224),0),
IF('TL16'!$B$229=O$3,SUMIF('TL16'!$C$238:$C$451,$C86,'TL16'!$J$238:$J$451),0),
IF('TL17'!$B$3=O$3,SUMIF('TL17'!$C$10:$C$224,$C86,'TL17'!$J$10:$J$224),0),
IF('TL17'!$B$229=O$3,SUMIF('TL17'!$C$238:$C$451,$C86,'TL17'!$J$238:$J$451),0),
IF('TL18'!$B$3=O$3,SUMIF('TL18'!$C$10:$C$224,$C86,'TL18'!$J$10:$J$224),0),
IF('TL18'!$B$229=O$3,SUMIF('TL18'!$C$238:$C$451,$C86,'TL18'!$J$238:$J$451),0),
IF('TL19'!$B$3=O$3,SUMIF('TL19'!$C$10:$C$224,$C86,'TL19'!$J$10:$J$224),0),
IF('TL19'!$B$229=O$3,SUMIF('TL19'!$C$238:$C$451,$C86,'TL19'!$J$238:$J$451),0)
),0)</f>
        <v/>
      </c>
      <c r="P86" s="9">
        <f>IFERROR(SUM(
IF('TL01'!$B$3=P$3,SUMIF('TL01'!$C$10:$C$224,$C86,'TL01'!$J$10:$J$224),0),
IF('TL01'!$B$229=P$3,SUMIF('TL01'!$C$238:$C$451,$C86,'TL01'!$J$238:$J$451),0),
IF('TL02'!$B$3=P$3,SUMIF('TL02'!$C$10:$C$224,$C86,'TL02'!$J$10:$J$224),0),
IF('TL02'!$B$229=P$3,SUMIF('TL02'!$C$238:$C$451,$C86,'TL02'!$J$238:$J$451),0),
IF('TL03'!$B$3=P$3,SUMIF('TL03'!$C$10:$C$224,$C86,'TL03'!$J$10:$J$224),0),
IF('TL03'!$B$229=P$3,SUMIF('TL03'!$C$238:$C$451,$C86,'TL03'!$J$238:$J$451),0),
IF('TL04'!$B$3=P$3,SUMIF('TL04'!$C$10:$C$224,$C86,'TL04'!$J$10:$J$224),0),
IF('TL04'!$B$229=P$3,SUMIF('TL04'!$C$238:$C$451,$C86,'TL04'!$J$238:$J$451),0),
IF('TL05'!$B$3=P$3,SUMIF('TL05'!$C$10:$C$224,$C86,'TL05'!$J$10:$J$224),0),
IF('TL05'!$B$229=P$3,SUMIF('TL05'!$C$238:$C$451,$C86,'TL05'!$J$238:$J$451),0),
IF('TL06'!$B$3=P$3,SUMIF('TL06'!$C$10:$C$224,$C86,'TL06'!$J$10:$J$224),0),
IF('TL06'!$B$229=P$3,SUMIF('TL06'!$C$238:$C$451,$C86,'TL06'!$J$238:$J$451),0),
IF('TL07'!$B$3=P$3,SUMIF('TL07'!$C$10:$C$224,$C86,'TL07'!$J$10:$J$224),0),
IF('TL07'!$B$229=P$3,SUMIF('TL07'!$C$238:$C$451,$C86,'TL07'!$J$238:$J$451),0),
IF('TL08'!$B$3=P$3,SUMIF('TL08'!$C$10:$C$224,$C86,'TL08'!$J$10:$J$224),0),
IF('TL08'!$B$229=P$3,SUMIF('TL08'!$C$238:$C$451,$C86,'TL08'!$J$238:$J$451),0),
IF('TL09'!$B$3=P$3,SUMIF('TL09'!$C$10:$C$224,$C86,'TL09'!$J$10:$J$224),0),
IF('TL09'!$B$229=P$3,SUMIF('TL09'!$C$238:$C$451,$C86,'TL09'!$J$238:$J$451),0),
IF('TL10'!$B$3=P$3,SUMIF('TL10'!$C$10:$C$224,$C86,'TL10'!$J$10:$J$224),0),
IF('TL10'!$B$229=P$3,SUMIF('TL10'!$C$238:$C$451,$C86,'TL10'!$J$238:$J$451),0),
IF('TL11'!$B$3=P$3,SUMIF('TL11'!$C$10:$C$224,$C86,'TL11'!$J$10:$J$224),0),
IF('TL11'!$B$229=P$3,SUMIF('TL11'!$C$238:$C$451,$C86,'TL11'!$J$238:$J$451),0),
IF('TL12'!$B$3=P$3,SUMIF('TL12'!$C$10:$C$224,$C86,'TL12'!$J$10:$J$224),0),
IF('TL12'!$B$229=P$3,SUMIF('TL12'!$C$238:$C$451,$C86,'TL12'!$J$238:$J$451),0),
IF('TL13'!$B$3=P$3,SUMIF('TL13'!$C$10:$C$224,$C86,'TL13'!$J$10:$J$224),0),
IF('TL13'!$B$229=P$3,SUMIF('TL13'!$C$238:$C$451,$C86,'TL13'!$J$238:$J$451),0),
IF('TL14'!$B$3=P$3,SUMIF('TL14'!$C$10:$C$224,$C86,'TL14'!$J$10:$J$224),0),
IF('TL14'!$B$229=P$3,SUMIF('TL14'!$C$238:$C$451,$C86,'TL14'!$J$238:$J$451),0),
IF('TL15'!$B$3=P$3,SUMIF('TL15'!$C$10:$C$224,$C86,'TL15'!$J$10:$J$224),0),
IF('TL15'!$B$229=P$3,SUMIF('TL15'!$C$238:$C$451,$C86,'TL15'!$J$238:$J$451),0),
IF('TL16'!$B$3=P$3,SUMIF('TL16'!$C$10:$C$224,$C86,'TL16'!$J$10:$J$224),0),
IF('TL16'!$B$229=P$3,SUMIF('TL16'!$C$238:$C$451,$C86,'TL16'!$J$238:$J$451),0),
IF('TL17'!$B$3=P$3,SUMIF('TL17'!$C$10:$C$224,$C86,'TL17'!$J$10:$J$224),0),
IF('TL17'!$B$229=P$3,SUMIF('TL17'!$C$238:$C$451,$C86,'TL17'!$J$238:$J$451),0),
IF('TL18'!$B$3=P$3,SUMIF('TL18'!$C$10:$C$224,$C86,'TL18'!$J$10:$J$224),0),
IF('TL18'!$B$229=P$3,SUMIF('TL18'!$C$238:$C$451,$C86,'TL18'!$J$238:$J$451),0),
IF('TL19'!$B$3=P$3,SUMIF('TL19'!$C$10:$C$224,$C86,'TL19'!$J$10:$J$224),0),
IF('TL19'!$B$229=P$3,SUMIF('TL19'!$C$238:$C$451,$C86,'TL19'!$J$238:$J$451),0)
),0)</f>
        <v/>
      </c>
      <c r="Q86" s="9">
        <f>IFERROR(SUM(
IF('TL01'!$B$3=Q$3,SUMIF('TL01'!$C$10:$C$224,$C86,'TL01'!$J$10:$J$224),0),
IF('TL01'!$B$229=Q$3,SUMIF('TL01'!$C$238:$C$451,$C86,'TL01'!$J$238:$J$451),0),
IF('TL02'!$B$3=Q$3,SUMIF('TL02'!$C$10:$C$224,$C86,'TL02'!$J$10:$J$224),0),
IF('TL02'!$B$229=Q$3,SUMIF('TL02'!$C$238:$C$451,$C86,'TL02'!$J$238:$J$451),0),
IF('TL03'!$B$3=Q$3,SUMIF('TL03'!$C$10:$C$224,$C86,'TL03'!$J$10:$J$224),0),
IF('TL03'!$B$229=Q$3,SUMIF('TL03'!$C$238:$C$451,$C86,'TL03'!$J$238:$J$451),0),
IF('TL04'!$B$3=Q$3,SUMIF('TL04'!$C$10:$C$224,$C86,'TL04'!$J$10:$J$224),0),
IF('TL04'!$B$229=Q$3,SUMIF('TL04'!$C$238:$C$451,$C86,'TL04'!$J$238:$J$451),0),
IF('TL05'!$B$3=Q$3,SUMIF('TL05'!$C$10:$C$224,$C86,'TL05'!$J$10:$J$224),0),
IF('TL05'!$B$229=Q$3,SUMIF('TL05'!$C$238:$C$451,$C86,'TL05'!$J$238:$J$451),0),
IF('TL06'!$B$3=Q$3,SUMIF('TL06'!$C$10:$C$224,$C86,'TL06'!$J$10:$J$224),0),
IF('TL06'!$B$229=Q$3,SUMIF('TL06'!$C$238:$C$451,$C86,'TL06'!$J$238:$J$451),0),
IF('TL07'!$B$3=Q$3,SUMIF('TL07'!$C$10:$C$224,$C86,'TL07'!$J$10:$J$224),0),
IF('TL07'!$B$229=Q$3,SUMIF('TL07'!$C$238:$C$451,$C86,'TL07'!$J$238:$J$451),0),
IF('TL08'!$B$3=Q$3,SUMIF('TL08'!$C$10:$C$224,$C86,'TL08'!$J$10:$J$224),0),
IF('TL08'!$B$229=Q$3,SUMIF('TL08'!$C$238:$C$451,$C86,'TL08'!$J$238:$J$451),0),
IF('TL09'!$B$3=Q$3,SUMIF('TL09'!$C$10:$C$224,$C86,'TL09'!$J$10:$J$224),0),
IF('TL09'!$B$229=Q$3,SUMIF('TL09'!$C$238:$C$451,$C86,'TL09'!$J$238:$J$451),0),
IF('TL10'!$B$3=Q$3,SUMIF('TL10'!$C$10:$C$224,$C86,'TL10'!$J$10:$J$224),0),
IF('TL10'!$B$229=Q$3,SUMIF('TL10'!$C$238:$C$451,$C86,'TL10'!$J$238:$J$451),0),
IF('TL11'!$B$3=Q$3,SUMIF('TL11'!$C$10:$C$224,$C86,'TL11'!$J$10:$J$224),0),
IF('TL11'!$B$229=Q$3,SUMIF('TL11'!$C$238:$C$451,$C86,'TL11'!$J$238:$J$451),0),
IF('TL12'!$B$3=Q$3,SUMIF('TL12'!$C$10:$C$224,$C86,'TL12'!$J$10:$J$224),0),
IF('TL12'!$B$229=Q$3,SUMIF('TL12'!$C$238:$C$451,$C86,'TL12'!$J$238:$J$451),0),
IF('TL13'!$B$3=Q$3,SUMIF('TL13'!$C$10:$C$224,$C86,'TL13'!$J$10:$J$224),0),
IF('TL13'!$B$229=Q$3,SUMIF('TL13'!$C$238:$C$451,$C86,'TL13'!$J$238:$J$451),0),
IF('TL14'!$B$3=Q$3,SUMIF('TL14'!$C$10:$C$224,$C86,'TL14'!$J$10:$J$224),0),
IF('TL14'!$B$229=Q$3,SUMIF('TL14'!$C$238:$C$451,$C86,'TL14'!$J$238:$J$451),0),
IF('TL15'!$B$3=Q$3,SUMIF('TL15'!$C$10:$C$224,$C86,'TL15'!$J$10:$J$224),0),
IF('TL15'!$B$229=Q$3,SUMIF('TL15'!$C$238:$C$451,$C86,'TL15'!$J$238:$J$451),0),
IF('TL16'!$B$3=Q$3,SUMIF('TL16'!$C$10:$C$224,$C86,'TL16'!$J$10:$J$224),0),
IF('TL16'!$B$229=Q$3,SUMIF('TL16'!$C$238:$C$451,$C86,'TL16'!$J$238:$J$451),0),
IF('TL17'!$B$3=Q$3,SUMIF('TL17'!$C$10:$C$224,$C86,'TL17'!$J$10:$J$224),0),
IF('TL17'!$B$229=Q$3,SUMIF('TL17'!$C$238:$C$451,$C86,'TL17'!$J$238:$J$451),0),
IF('TL18'!$B$3=Q$3,SUMIF('TL18'!$C$10:$C$224,$C86,'TL18'!$J$10:$J$224),0),
IF('TL18'!$B$229=Q$3,SUMIF('TL18'!$C$238:$C$451,$C86,'TL18'!$J$238:$J$451),0),
IF('TL19'!$B$3=Q$3,SUMIF('TL19'!$C$10:$C$224,$C86,'TL19'!$J$10:$J$224),0),
IF('TL19'!$B$229=Q$3,SUMIF('TL19'!$C$238:$C$451,$C86,'TL19'!$J$238:$J$451),0)
),0)</f>
        <v/>
      </c>
      <c r="R86" s="9">
        <f>IFERROR(
SUM(
SUMIF('TL01'!C:C,C86,'TL01'!J:J),
SUMIF('TL02'!C:C,C86,'TL02'!J:J),
SUMIF('TL03'!C:C,C86,'TL03'!J:J),
SUMIF('TL04'!C:C,C86,'TL04'!J:J),
SUMIF('TL05'!C:C,C86,'TL05'!J:J),
SUMIF('TL06'!C:C,C86,'TL06'!J:J),
SUMIF('TL07'!C:C,C86,'TL07'!J:J),
SUMIF('TL08'!C:C,C86,'TL08'!J:J),
SUMIF('TL09'!C:C,C86,'TL09'!J:J),
SUMIF('TL10'!C:C,C86,'TL10'!J:J),
SUMIF('TL11'!C:C,C86,'TL11'!J:J),
SUMIF('TL12'!C:C,C86,'TL12'!J:J),
SUMIF('TL13'!C:C,C86,'TL13'!J:J),
SUMIF('TL14'!C:C,C86,'TL14'!J:J),
SUMIF('TL15'!C:C,C86,'TL15'!J:J),
SUMIF('TL16'!C:C,C86,'TL16'!J:J),
SUMIF('TL17'!C:C,C86,'TL17'!J:J),
SUMIF('TL18'!C:C,C86,'TL18'!J:J),SUMIF('TL19'!C:C,C86,'TL19'!J:J))
,0)</f>
        <v/>
      </c>
      <c r="S86" s="17">
        <f>IFERROR(__xludf.DUMMYFUNCTION("IFERROR(VLOOKUP(C86,
IMPORTRANGE(""1wULbzX32WdYsx-lj2U3uUNBBe2INVIRDtcK0d-Dvl90"",
""26-27!C:G""),
5,
FALSE),
"""")"),172.99008000000003)</f>
        <v/>
      </c>
      <c r="T86" s="9" t="n"/>
      <c r="U86" s="92">
        <f>MAX(0,R86-T86)</f>
        <v/>
      </c>
      <c r="V86" s="93">
        <f>U86*S86</f>
        <v/>
      </c>
    </row>
    <row r="87" hidden="1" ht="15.75" customHeight="1" s="297">
      <c r="A87" s="111" t="inlineStr">
        <is>
          <t>SUMITOMO</t>
        </is>
      </c>
      <c r="B87" s="112" t="inlineStr">
        <is>
          <t>FUNGICIDA</t>
        </is>
      </c>
      <c r="C87" s="113" t="inlineStr">
        <is>
          <t>SIALEX 500</t>
        </is>
      </c>
      <c r="D87" s="113" t="inlineStr">
        <is>
          <t>PROCIMIDONA</t>
        </is>
      </c>
      <c r="E87" s="113" t="n">
        <v>500</v>
      </c>
      <c r="F87" s="4" t="inlineStr">
        <is>
          <t>L</t>
        </is>
      </c>
      <c r="G87" s="90">
        <f>HYPERLINK("https://www.google.com/search?q=" &amp; C87 &amp; "+bula+agrofit+pdf", "📄 Ver bula")</f>
        <v/>
      </c>
      <c r="H87" s="9">
        <f>IFERROR(__xludf.DUMMYFUNCTION("IFERROR(VLOOKUP(C87,
IMPORTRANGE(""1wULbzX32WdYsx-lj2U3uUNBBe2INVIRDtcK0d-Dvl90"",
""26-27!C:K""),
8,
FALSE),
"""")"),1.0)</f>
        <v/>
      </c>
      <c r="I87" s="114" t="inlineStr">
        <is>
          <t>1x12</t>
        </is>
      </c>
      <c r="J87" s="9">
        <f>IFERROR(SUM(
IF('TL01'!$B$3=J$3,SUMIF('TL01'!$C$10:$C$224,$C87,'TL01'!$J$10:$J$224),0),
IF('TL01'!$B$229=J$3,SUMIF('TL01'!$C$238:$C$451,$C87,'TL01'!$J$238:$J$451),0),
IF('TL02'!$B$3=J$3,SUMIF('TL02'!$C$10:$C$224,$C87,'TL02'!$J$10:$J$224),0),
IF('TL02'!$B$229=J$3,SUMIF('TL02'!$C$238:$C$451,$C87,'TL02'!$J$238:$J$451),0),
IF('TL03'!$B$3=J$3,SUMIF('TL03'!$C$10:$C$224,$C87,'TL03'!$J$10:$J$224),0),
IF('TL03'!$B$229=J$3,SUMIF('TL03'!$C$238:$C$451,$C87,'TL03'!$J$238:$J$451),0),
IF('TL04'!$B$3=J$3,SUMIF('TL04'!$C$10:$C$224,$C87,'TL04'!$J$10:$J$224),0),
IF('TL04'!$B$229=J$3,SUMIF('TL04'!$C$238:$C$451,$C87,'TL04'!$J$238:$J$451),0),
IF('TL05'!$B$3=J$3,SUMIF('TL05'!$C$10:$C$224,$C87,'TL05'!$J$10:$J$224),0),
IF('TL05'!$B$229=J$3,SUMIF('TL05'!$C$238:$C$451,$C87,'TL05'!$J$238:$J$451),0),
IF('TL06'!$B$3=J$3,SUMIF('TL06'!$C$10:$C$224,$C87,'TL06'!$J$10:$J$224),0),
IF('TL06'!$B$229=J$3,SUMIF('TL06'!$C$238:$C$451,$C87,'TL06'!$J$238:$J$451),0),
IF('TL07'!$B$3=J$3,SUMIF('TL07'!$C$10:$C$224,$C87,'TL07'!$J$10:$J$224),0),
IF('TL07'!$B$229=J$3,SUMIF('TL07'!$C$238:$C$451,$C87,'TL07'!$J$238:$J$451),0),
IF('TL08'!$B$3=J$3,SUMIF('TL08'!$C$10:$C$224,$C87,'TL08'!$J$10:$J$224),0),
IF('TL08'!$B$229=J$3,SUMIF('TL08'!$C$238:$C$451,$C87,'TL08'!$J$238:$J$451),0),
IF('TL09'!$B$3=J$3,SUMIF('TL09'!$C$10:$C$224,$C87,'TL09'!$J$10:$J$224),0),
IF('TL09'!$B$229=J$3,SUMIF('TL09'!$C$238:$C$451,$C87,'TL09'!$J$238:$J$451),0),
IF('TL10'!$B$3=J$3,SUMIF('TL10'!$C$10:$C$224,$C87,'TL10'!$J$10:$J$224),0),
IF('TL10'!$B$229=J$3,SUMIF('TL10'!$C$238:$C$451,$C87,'TL10'!$J$238:$J$451),0),
IF('TL11'!$B$3=J$3,SUMIF('TL11'!$C$10:$C$224,$C87,'TL11'!$J$10:$J$224),0),
IF('TL11'!$B$229=J$3,SUMIF('TL11'!$C$238:$C$451,$C87,'TL11'!$J$238:$J$451),0),
IF('TL12'!$B$3=J$3,SUMIF('TL12'!$C$10:$C$224,$C87,'TL12'!$J$10:$J$224),0),
IF('TL12'!$B$229=J$3,SUMIF('TL12'!$C$238:$C$451,$C87,'TL12'!$J$238:$J$451),0),
IF('TL13'!$B$3=J$3,SUMIF('TL13'!$C$10:$C$224,$C87,'TL13'!$J$10:$J$224),0),
IF('TL13'!$B$229=J$3,SUMIF('TL13'!$C$238:$C$451,$C87,'TL13'!$J$238:$J$451),0),
IF('TL14'!$B$3=J$3,SUMIF('TL14'!$C$10:$C$224,$C87,'TL14'!$J$10:$J$224),0),
IF('TL14'!$B$229=J$3,SUMIF('TL14'!$C$238:$C$451,$C87,'TL14'!$J$238:$J$451),0),
IF('TL15'!$B$3=J$3,SUMIF('TL15'!$C$10:$C$224,$C87,'TL15'!$J$10:$J$224),0),
IF('TL15'!$B$229=J$3,SUMIF('TL15'!$C$238:$C$451,$C87,'TL15'!$J$238:$J$451),0),
IF('TL16'!$B$3=J$3,SUMIF('TL16'!$C$10:$C$224,$C87,'TL16'!$J$10:$J$224),0),
IF('TL16'!$B$229=J$3,SUMIF('TL16'!$C$238:$C$451,$C87,'TL16'!$J$238:$J$451),0),
IF('TL17'!$B$3=J$3,SUMIF('TL17'!$C$10:$C$224,$C87,'TL17'!$J$10:$J$224),0),
IF('TL17'!$B$229=J$3,SUMIF('TL17'!$C$238:$C$451,$C87,'TL17'!$J$238:$J$451),0),
IF('TL18'!$B$3=J$3,SUMIF('TL18'!$C$10:$C$224,$C87,'TL18'!$J$10:$J$224),0),
IF('TL18'!$B$229=J$3,SUMIF('TL18'!$C$238:$C$451,$C87,'TL18'!$J$238:$J$451),0),
IF('TL19'!$B$3=J$3,SUMIF('TL19'!$C$10:$C$224,$C87,'TL19'!$J$10:$J$224),0),
IF('TL19'!$B$229=J$3,SUMIF('TL19'!$C$238:$C$451,$C87,'TL19'!$J$238:$J$451),0)
),0)</f>
        <v/>
      </c>
      <c r="K87" s="9">
        <f>IFERROR(SUM(
IF('TL01'!$B$3=K$3,SUMIF('TL01'!$C$10:$C$224,$C87,'TL01'!$J$10:$J$224),0),
IF('TL01'!$B$229=K$3,SUMIF('TL01'!$C$238:$C$451,$C87,'TL01'!$J$238:$J$451),0),
IF('TL02'!$B$3=K$3,SUMIF('TL02'!$C$10:$C$224,$C87,'TL02'!$J$10:$J$224),0),
IF('TL02'!$B$229=K$3,SUMIF('TL02'!$C$238:$C$451,$C87,'TL02'!$J$238:$J$451),0),
IF('TL03'!$B$3=K$3,SUMIF('TL03'!$C$10:$C$224,$C87,'TL03'!$J$10:$J$224),0),
IF('TL03'!$B$229=K$3,SUMIF('TL03'!$C$238:$C$451,$C87,'TL03'!$J$238:$J$451),0),
IF('TL04'!$B$3=K$3,SUMIF('TL04'!$C$10:$C$224,$C87,'TL04'!$J$10:$J$224),0),
IF('TL04'!$B$229=K$3,SUMIF('TL04'!$C$238:$C$451,$C87,'TL04'!$J$238:$J$451),0),
IF('TL05'!$B$3=K$3,SUMIF('TL05'!$C$10:$C$224,$C87,'TL05'!$J$10:$J$224),0),
IF('TL05'!$B$229=K$3,SUMIF('TL05'!$C$238:$C$451,$C87,'TL05'!$J$238:$J$451),0),
IF('TL06'!$B$3=K$3,SUMIF('TL06'!$C$10:$C$224,$C87,'TL06'!$J$10:$J$224),0),
IF('TL06'!$B$229=K$3,SUMIF('TL06'!$C$238:$C$451,$C87,'TL06'!$J$238:$J$451),0),
IF('TL07'!$B$3=K$3,SUMIF('TL07'!$C$10:$C$224,$C87,'TL07'!$J$10:$J$224),0),
IF('TL07'!$B$229=K$3,SUMIF('TL07'!$C$238:$C$451,$C87,'TL07'!$J$238:$J$451),0),
IF('TL08'!$B$3=K$3,SUMIF('TL08'!$C$10:$C$224,$C87,'TL08'!$J$10:$J$224),0),
IF('TL08'!$B$229=K$3,SUMIF('TL08'!$C$238:$C$451,$C87,'TL08'!$J$238:$J$451),0),
IF('TL09'!$B$3=K$3,SUMIF('TL09'!$C$10:$C$224,$C87,'TL09'!$J$10:$J$224),0),
IF('TL09'!$B$229=K$3,SUMIF('TL09'!$C$238:$C$451,$C87,'TL09'!$J$238:$J$451),0),
IF('TL10'!$B$3=K$3,SUMIF('TL10'!$C$10:$C$224,$C87,'TL10'!$J$10:$J$224),0),
IF('TL10'!$B$229=K$3,SUMIF('TL10'!$C$238:$C$451,$C87,'TL10'!$J$238:$J$451),0),
IF('TL11'!$B$3=K$3,SUMIF('TL11'!$C$10:$C$224,$C87,'TL11'!$J$10:$J$224),0),
IF('TL11'!$B$229=K$3,SUMIF('TL11'!$C$238:$C$451,$C87,'TL11'!$J$238:$J$451),0),
IF('TL12'!$B$3=K$3,SUMIF('TL12'!$C$10:$C$224,$C87,'TL12'!$J$10:$J$224),0),
IF('TL12'!$B$229=K$3,SUMIF('TL12'!$C$238:$C$451,$C87,'TL12'!$J$238:$J$451),0),
IF('TL13'!$B$3=K$3,SUMIF('TL13'!$C$10:$C$224,$C87,'TL13'!$J$10:$J$224),0),
IF('TL13'!$B$229=K$3,SUMIF('TL13'!$C$238:$C$451,$C87,'TL13'!$J$238:$J$451),0),
IF('TL14'!$B$3=K$3,SUMIF('TL14'!$C$10:$C$224,$C87,'TL14'!$J$10:$J$224),0),
IF('TL14'!$B$229=K$3,SUMIF('TL14'!$C$238:$C$451,$C87,'TL14'!$J$238:$J$451),0),
IF('TL15'!$B$3=K$3,SUMIF('TL15'!$C$10:$C$224,$C87,'TL15'!$J$10:$J$224),0),
IF('TL15'!$B$229=K$3,SUMIF('TL15'!$C$238:$C$451,$C87,'TL15'!$J$238:$J$451),0),
IF('TL16'!$B$3=K$3,SUMIF('TL16'!$C$10:$C$224,$C87,'TL16'!$J$10:$J$224),0),
IF('TL16'!$B$229=K$3,SUMIF('TL16'!$C$238:$C$451,$C87,'TL16'!$J$238:$J$451),0),
IF('TL17'!$B$3=K$3,SUMIF('TL17'!$C$10:$C$224,$C87,'TL17'!$J$10:$J$224),0),
IF('TL17'!$B$229=K$3,SUMIF('TL17'!$C$238:$C$451,$C87,'TL17'!$J$238:$J$451),0),
IF('TL18'!$B$3=K$3,SUMIF('TL18'!$C$10:$C$224,$C87,'TL18'!$J$10:$J$224),0),
IF('TL18'!$B$229=K$3,SUMIF('TL18'!$C$238:$C$451,$C87,'TL18'!$J$238:$J$451),0),
IF('TL19'!$B$3=K$3,SUMIF('TL19'!$C$10:$C$224,$C87,'TL19'!$J$10:$J$224),0),
IF('TL19'!$B$229=K$3,SUMIF('TL19'!$C$238:$C$451,$C87,'TL19'!$J$238:$J$451),0)
),0)</f>
        <v/>
      </c>
      <c r="L87" s="9">
        <f>IFERROR(SUM(
IF('TL01'!$B$3=L$3,SUMIF('TL01'!$C$10:$C$224,$C87,'TL01'!$J$10:$J$224),0),
IF('TL01'!$B$229=L$3,SUMIF('TL01'!$C$238:$C$451,$C87,'TL01'!$J$238:$J$451),0),
IF('TL02'!$B$3=L$3,SUMIF('TL02'!$C$10:$C$224,$C87,'TL02'!$J$10:$J$224),0),
IF('TL02'!$B$229=L$3,SUMIF('TL02'!$C$238:$C$451,$C87,'TL02'!$J$238:$J$451),0),
IF('TL03'!$B$3=L$3,SUMIF('TL03'!$C$10:$C$224,$C87,'TL03'!$J$10:$J$224),0),
IF('TL03'!$B$229=L$3,SUMIF('TL03'!$C$238:$C$451,$C87,'TL03'!$J$238:$J$451),0),
IF('TL04'!$B$3=L$3,SUMIF('TL04'!$C$10:$C$224,$C87,'TL04'!$J$10:$J$224),0),
IF('TL04'!$B$229=L$3,SUMIF('TL04'!$C$238:$C$451,$C87,'TL04'!$J$238:$J$451),0),
IF('TL05'!$B$3=L$3,SUMIF('TL05'!$C$10:$C$224,$C87,'TL05'!$J$10:$J$224),0),
IF('TL05'!$B$229=L$3,SUMIF('TL05'!$C$238:$C$451,$C87,'TL05'!$J$238:$J$451),0),
IF('TL06'!$B$3=L$3,SUMIF('TL06'!$C$10:$C$224,$C87,'TL06'!$J$10:$J$224),0),
IF('TL06'!$B$229=L$3,SUMIF('TL06'!$C$238:$C$451,$C87,'TL06'!$J$238:$J$451),0),
IF('TL07'!$B$3=L$3,SUMIF('TL07'!$C$10:$C$224,$C87,'TL07'!$J$10:$J$224),0),
IF('TL07'!$B$229=L$3,SUMIF('TL07'!$C$238:$C$451,$C87,'TL07'!$J$238:$J$451),0),
IF('TL08'!$B$3=L$3,SUMIF('TL08'!$C$10:$C$224,$C87,'TL08'!$J$10:$J$224),0),
IF('TL08'!$B$229=L$3,SUMIF('TL08'!$C$238:$C$451,$C87,'TL08'!$J$238:$J$451),0),
IF('TL09'!$B$3=L$3,SUMIF('TL09'!$C$10:$C$224,$C87,'TL09'!$J$10:$J$224),0),
IF('TL09'!$B$229=L$3,SUMIF('TL09'!$C$238:$C$451,$C87,'TL09'!$J$238:$J$451),0),
IF('TL10'!$B$3=L$3,SUMIF('TL10'!$C$10:$C$224,$C87,'TL10'!$J$10:$J$224),0),
IF('TL10'!$B$229=L$3,SUMIF('TL10'!$C$238:$C$451,$C87,'TL10'!$J$238:$J$451),0),
IF('TL11'!$B$3=L$3,SUMIF('TL11'!$C$10:$C$224,$C87,'TL11'!$J$10:$J$224),0),
IF('TL11'!$B$229=L$3,SUMIF('TL11'!$C$238:$C$451,$C87,'TL11'!$J$238:$J$451),0),
IF('TL12'!$B$3=L$3,SUMIF('TL12'!$C$10:$C$224,$C87,'TL12'!$J$10:$J$224),0),
IF('TL12'!$B$229=L$3,SUMIF('TL12'!$C$238:$C$451,$C87,'TL12'!$J$238:$J$451),0),
IF('TL13'!$B$3=L$3,SUMIF('TL13'!$C$10:$C$224,$C87,'TL13'!$J$10:$J$224),0),
IF('TL13'!$B$229=L$3,SUMIF('TL13'!$C$238:$C$451,$C87,'TL13'!$J$238:$J$451),0),
IF('TL14'!$B$3=L$3,SUMIF('TL14'!$C$10:$C$224,$C87,'TL14'!$J$10:$J$224),0),
IF('TL14'!$B$229=L$3,SUMIF('TL14'!$C$238:$C$451,$C87,'TL14'!$J$238:$J$451),0),
IF('TL15'!$B$3=L$3,SUMIF('TL15'!$C$10:$C$224,$C87,'TL15'!$J$10:$J$224),0),
IF('TL15'!$B$229=L$3,SUMIF('TL15'!$C$238:$C$451,$C87,'TL15'!$J$238:$J$451),0),
IF('TL16'!$B$3=L$3,SUMIF('TL16'!$C$10:$C$224,$C87,'TL16'!$J$10:$J$224),0),
IF('TL16'!$B$229=L$3,SUMIF('TL16'!$C$238:$C$451,$C87,'TL16'!$J$238:$J$451),0),
IF('TL17'!$B$3=L$3,SUMIF('TL17'!$C$10:$C$224,$C87,'TL17'!$J$10:$J$224),0),
IF('TL17'!$B$229=L$3,SUMIF('TL17'!$C$238:$C$451,$C87,'TL17'!$J$238:$J$451),0),
IF('TL18'!$B$3=L$3,SUMIF('TL18'!$C$10:$C$224,$C87,'TL18'!$J$10:$J$224),0),
IF('TL18'!$B$229=L$3,SUMIF('TL18'!$C$238:$C$451,$C87,'TL18'!$J$238:$J$451),0),
IF('TL19'!$B$3=L$3,SUMIF('TL19'!$C$10:$C$224,$C87,'TL19'!$J$10:$J$224),0),
IF('TL19'!$B$229=L$3,SUMIF('TL19'!$C$238:$C$451,$C87,'TL19'!$J$238:$J$451),0)
),0)</f>
        <v/>
      </c>
      <c r="M87" s="9">
        <f>IFERROR(SUM(
IF('TL01'!$B$3=M$3,SUMIF('TL01'!$C$10:$C$224,$C87,'TL01'!$J$10:$J$224),0),
IF('TL01'!$B$229=M$3,SUMIF('TL01'!$C$238:$C$451,$C87,'TL01'!$J$238:$J$451),0),
IF('TL02'!$B$3=M$3,SUMIF('TL02'!$C$10:$C$224,$C87,'TL02'!$J$10:$J$224),0),
IF('TL02'!$B$229=M$3,SUMIF('TL02'!$C$238:$C$451,$C87,'TL02'!$J$238:$J$451),0),
IF('TL03'!$B$3=M$3,SUMIF('TL03'!$C$10:$C$224,$C87,'TL03'!$J$10:$J$224),0),
IF('TL03'!$B$229=M$3,SUMIF('TL03'!$C$238:$C$451,$C87,'TL03'!$J$238:$J$451),0),
IF('TL04'!$B$3=M$3,SUMIF('TL04'!$C$10:$C$224,$C87,'TL04'!$J$10:$J$224),0),
IF('TL04'!$B$229=M$3,SUMIF('TL04'!$C$238:$C$451,$C87,'TL04'!$J$238:$J$451),0),
IF('TL05'!$B$3=M$3,SUMIF('TL05'!$C$10:$C$224,$C87,'TL05'!$J$10:$J$224),0),
IF('TL05'!$B$229=M$3,SUMIF('TL05'!$C$238:$C$451,$C87,'TL05'!$J$238:$J$451),0),
IF('TL06'!$B$3=M$3,SUMIF('TL06'!$C$10:$C$224,$C87,'TL06'!$J$10:$J$224),0),
IF('TL06'!$B$229=M$3,SUMIF('TL06'!$C$238:$C$451,$C87,'TL06'!$J$238:$J$451),0),
IF('TL07'!$B$3=M$3,SUMIF('TL07'!$C$10:$C$224,$C87,'TL07'!$J$10:$J$224),0),
IF('TL07'!$B$229=M$3,SUMIF('TL07'!$C$238:$C$451,$C87,'TL07'!$J$238:$J$451),0),
IF('TL08'!$B$3=M$3,SUMIF('TL08'!$C$10:$C$224,$C87,'TL08'!$J$10:$J$224),0),
IF('TL08'!$B$229=M$3,SUMIF('TL08'!$C$238:$C$451,$C87,'TL08'!$J$238:$J$451),0),
IF('TL09'!$B$3=M$3,SUMIF('TL09'!$C$10:$C$224,$C87,'TL09'!$J$10:$J$224),0),
IF('TL09'!$B$229=M$3,SUMIF('TL09'!$C$238:$C$451,$C87,'TL09'!$J$238:$J$451),0),
IF('TL10'!$B$3=M$3,SUMIF('TL10'!$C$10:$C$224,$C87,'TL10'!$J$10:$J$224),0),
IF('TL10'!$B$229=M$3,SUMIF('TL10'!$C$238:$C$451,$C87,'TL10'!$J$238:$J$451),0),
IF('TL11'!$B$3=M$3,SUMIF('TL11'!$C$10:$C$224,$C87,'TL11'!$J$10:$J$224),0),
IF('TL11'!$B$229=M$3,SUMIF('TL11'!$C$238:$C$451,$C87,'TL11'!$J$238:$J$451),0),
IF('TL12'!$B$3=M$3,SUMIF('TL12'!$C$10:$C$224,$C87,'TL12'!$J$10:$J$224),0),
IF('TL12'!$B$229=M$3,SUMIF('TL12'!$C$238:$C$451,$C87,'TL12'!$J$238:$J$451),0),
IF('TL13'!$B$3=M$3,SUMIF('TL13'!$C$10:$C$224,$C87,'TL13'!$J$10:$J$224),0),
IF('TL13'!$B$229=M$3,SUMIF('TL13'!$C$238:$C$451,$C87,'TL13'!$J$238:$J$451),0),
IF('TL14'!$B$3=M$3,SUMIF('TL14'!$C$10:$C$224,$C87,'TL14'!$J$10:$J$224),0),
IF('TL14'!$B$229=M$3,SUMIF('TL14'!$C$238:$C$451,$C87,'TL14'!$J$238:$J$451),0),
IF('TL15'!$B$3=M$3,SUMIF('TL15'!$C$10:$C$224,$C87,'TL15'!$J$10:$J$224),0),
IF('TL15'!$B$229=M$3,SUMIF('TL15'!$C$238:$C$451,$C87,'TL15'!$J$238:$J$451),0),
IF('TL16'!$B$3=M$3,SUMIF('TL16'!$C$10:$C$224,$C87,'TL16'!$J$10:$J$224),0),
IF('TL16'!$B$229=M$3,SUMIF('TL16'!$C$238:$C$451,$C87,'TL16'!$J$238:$J$451),0),
IF('TL17'!$B$3=M$3,SUMIF('TL17'!$C$10:$C$224,$C87,'TL17'!$J$10:$J$224),0),
IF('TL17'!$B$229=M$3,SUMIF('TL17'!$C$238:$C$451,$C87,'TL17'!$J$238:$J$451),0),
IF('TL18'!$B$3=M$3,SUMIF('TL18'!$C$10:$C$224,$C87,'TL18'!$J$10:$J$224),0),
IF('TL18'!$B$229=M$3,SUMIF('TL18'!$C$238:$C$451,$C87,'TL18'!$J$238:$J$451),0),
IF('TL19'!$B$3=M$3,SUMIF('TL19'!$C$10:$C$224,$C87,'TL19'!$J$10:$J$224),0),
IF('TL19'!$B$229=M$3,SUMIF('TL19'!$C$238:$C$451,$C87,'TL19'!$J$238:$J$451),0)
),0)</f>
        <v/>
      </c>
      <c r="N87" s="9">
        <f>IFERROR(SUM(
IF('TL01'!$B$3=N$3,SUMIF('TL01'!$C$10:$C$224,$C87,'TL01'!$J$10:$J$224),0),
IF('TL01'!$B$229=N$3,SUMIF('TL01'!$C$238:$C$451,$C87,'TL01'!$J$238:$J$451),0),
IF('TL02'!$B$3=N$3,SUMIF('TL02'!$C$10:$C$224,$C87,'TL02'!$J$10:$J$224),0),
IF('TL02'!$B$229=N$3,SUMIF('TL02'!$C$238:$C$451,$C87,'TL02'!$J$238:$J$451),0),
IF('TL03'!$B$3=N$3,SUMIF('TL03'!$C$10:$C$224,$C87,'TL03'!$J$10:$J$224),0),
IF('TL03'!$B$229=N$3,SUMIF('TL03'!$C$238:$C$451,$C87,'TL03'!$J$238:$J$451),0),
IF('TL04'!$B$3=N$3,SUMIF('TL04'!$C$10:$C$224,$C87,'TL04'!$J$10:$J$224),0),
IF('TL04'!$B$229=N$3,SUMIF('TL04'!$C$238:$C$451,$C87,'TL04'!$J$238:$J$451),0),
IF('TL05'!$B$3=N$3,SUMIF('TL05'!$C$10:$C$224,$C87,'TL05'!$J$10:$J$224),0),
IF('TL05'!$B$229=N$3,SUMIF('TL05'!$C$238:$C$451,$C87,'TL05'!$J$238:$J$451),0),
IF('TL06'!$B$3=N$3,SUMIF('TL06'!$C$10:$C$224,$C87,'TL06'!$J$10:$J$224),0),
IF('TL06'!$B$229=N$3,SUMIF('TL06'!$C$238:$C$451,$C87,'TL06'!$J$238:$J$451),0),
IF('TL07'!$B$3=N$3,SUMIF('TL07'!$C$10:$C$224,$C87,'TL07'!$J$10:$J$224),0),
IF('TL07'!$B$229=N$3,SUMIF('TL07'!$C$238:$C$451,$C87,'TL07'!$J$238:$J$451),0),
IF('TL08'!$B$3=N$3,SUMIF('TL08'!$C$10:$C$224,$C87,'TL08'!$J$10:$J$224),0),
IF('TL08'!$B$229=N$3,SUMIF('TL08'!$C$238:$C$451,$C87,'TL08'!$J$238:$J$451),0),
IF('TL09'!$B$3=N$3,SUMIF('TL09'!$C$10:$C$224,$C87,'TL09'!$J$10:$J$224),0),
IF('TL09'!$B$229=N$3,SUMIF('TL09'!$C$238:$C$451,$C87,'TL09'!$J$238:$J$451),0),
IF('TL10'!$B$3=N$3,SUMIF('TL10'!$C$10:$C$224,$C87,'TL10'!$J$10:$J$224),0),
IF('TL10'!$B$229=N$3,SUMIF('TL10'!$C$238:$C$451,$C87,'TL10'!$J$238:$J$451),0),
IF('TL11'!$B$3=N$3,SUMIF('TL11'!$C$10:$C$224,$C87,'TL11'!$J$10:$J$224),0),
IF('TL11'!$B$229=N$3,SUMIF('TL11'!$C$238:$C$451,$C87,'TL11'!$J$238:$J$451),0),
IF('TL12'!$B$3=N$3,SUMIF('TL12'!$C$10:$C$224,$C87,'TL12'!$J$10:$J$224),0),
IF('TL12'!$B$229=N$3,SUMIF('TL12'!$C$238:$C$451,$C87,'TL12'!$J$238:$J$451),0),
IF('TL13'!$B$3=N$3,SUMIF('TL13'!$C$10:$C$224,$C87,'TL13'!$J$10:$J$224),0),
IF('TL13'!$B$229=N$3,SUMIF('TL13'!$C$238:$C$451,$C87,'TL13'!$J$238:$J$451),0),
IF('TL14'!$B$3=N$3,SUMIF('TL14'!$C$10:$C$224,$C87,'TL14'!$J$10:$J$224),0),
IF('TL14'!$B$229=N$3,SUMIF('TL14'!$C$238:$C$451,$C87,'TL14'!$J$238:$J$451),0),
IF('TL15'!$B$3=N$3,SUMIF('TL15'!$C$10:$C$224,$C87,'TL15'!$J$10:$J$224),0),
IF('TL15'!$B$229=N$3,SUMIF('TL15'!$C$238:$C$451,$C87,'TL15'!$J$238:$J$451),0),
IF('TL16'!$B$3=N$3,SUMIF('TL16'!$C$10:$C$224,$C87,'TL16'!$J$10:$J$224),0),
IF('TL16'!$B$229=N$3,SUMIF('TL16'!$C$238:$C$451,$C87,'TL16'!$J$238:$J$451),0),
IF('TL17'!$B$3=N$3,SUMIF('TL17'!$C$10:$C$224,$C87,'TL17'!$J$10:$J$224),0),
IF('TL17'!$B$229=N$3,SUMIF('TL17'!$C$238:$C$451,$C87,'TL17'!$J$238:$J$451),0),
IF('TL18'!$B$3=N$3,SUMIF('TL18'!$C$10:$C$224,$C87,'TL18'!$J$10:$J$224),0),
IF('TL18'!$B$229=N$3,SUMIF('TL18'!$C$238:$C$451,$C87,'TL18'!$J$238:$J$451),0),
IF('TL19'!$B$3=N$3,SUMIF('TL19'!$C$10:$C$224,$C87,'TL19'!$J$10:$J$224),0),
IF('TL19'!$B$229=N$3,SUMIF('TL19'!$C$238:$C$451,$C87,'TL19'!$J$238:$J$451),0)
),0)</f>
        <v/>
      </c>
      <c r="O87" s="9">
        <f>IFERROR(SUM(
IF('TL01'!$B$3=O$3,SUMIF('TL01'!$C$10:$C$224,$C87,'TL01'!$J$10:$J$224),0),
IF('TL01'!$B$229=O$3,SUMIF('TL01'!$C$238:$C$451,$C87,'TL01'!$J$238:$J$451),0),
IF('TL02'!$B$3=O$3,SUMIF('TL02'!$C$10:$C$224,$C87,'TL02'!$J$10:$J$224),0),
IF('TL02'!$B$229=O$3,SUMIF('TL02'!$C$238:$C$451,$C87,'TL02'!$J$238:$J$451),0),
IF('TL03'!$B$3=O$3,SUMIF('TL03'!$C$10:$C$224,$C87,'TL03'!$J$10:$J$224),0),
IF('TL03'!$B$229=O$3,SUMIF('TL03'!$C$238:$C$451,$C87,'TL03'!$J$238:$J$451),0),
IF('TL04'!$B$3=O$3,SUMIF('TL04'!$C$10:$C$224,$C87,'TL04'!$J$10:$J$224),0),
IF('TL04'!$B$229=O$3,SUMIF('TL04'!$C$238:$C$451,$C87,'TL04'!$J$238:$J$451),0),
IF('TL05'!$B$3=O$3,SUMIF('TL05'!$C$10:$C$224,$C87,'TL05'!$J$10:$J$224),0),
IF('TL05'!$B$229=O$3,SUMIF('TL05'!$C$238:$C$451,$C87,'TL05'!$J$238:$J$451),0),
IF('TL06'!$B$3=O$3,SUMIF('TL06'!$C$10:$C$224,$C87,'TL06'!$J$10:$J$224),0),
IF('TL06'!$B$229=O$3,SUMIF('TL06'!$C$238:$C$451,$C87,'TL06'!$J$238:$J$451),0),
IF('TL07'!$B$3=O$3,SUMIF('TL07'!$C$10:$C$224,$C87,'TL07'!$J$10:$J$224),0),
IF('TL07'!$B$229=O$3,SUMIF('TL07'!$C$238:$C$451,$C87,'TL07'!$J$238:$J$451),0),
IF('TL08'!$B$3=O$3,SUMIF('TL08'!$C$10:$C$224,$C87,'TL08'!$J$10:$J$224),0),
IF('TL08'!$B$229=O$3,SUMIF('TL08'!$C$238:$C$451,$C87,'TL08'!$J$238:$J$451),0),
IF('TL09'!$B$3=O$3,SUMIF('TL09'!$C$10:$C$224,$C87,'TL09'!$J$10:$J$224),0),
IF('TL09'!$B$229=O$3,SUMIF('TL09'!$C$238:$C$451,$C87,'TL09'!$J$238:$J$451),0),
IF('TL10'!$B$3=O$3,SUMIF('TL10'!$C$10:$C$224,$C87,'TL10'!$J$10:$J$224),0),
IF('TL10'!$B$229=O$3,SUMIF('TL10'!$C$238:$C$451,$C87,'TL10'!$J$238:$J$451),0),
IF('TL11'!$B$3=O$3,SUMIF('TL11'!$C$10:$C$224,$C87,'TL11'!$J$10:$J$224),0),
IF('TL11'!$B$229=O$3,SUMIF('TL11'!$C$238:$C$451,$C87,'TL11'!$J$238:$J$451),0),
IF('TL12'!$B$3=O$3,SUMIF('TL12'!$C$10:$C$224,$C87,'TL12'!$J$10:$J$224),0),
IF('TL12'!$B$229=O$3,SUMIF('TL12'!$C$238:$C$451,$C87,'TL12'!$J$238:$J$451),0),
IF('TL13'!$B$3=O$3,SUMIF('TL13'!$C$10:$C$224,$C87,'TL13'!$J$10:$J$224),0),
IF('TL13'!$B$229=O$3,SUMIF('TL13'!$C$238:$C$451,$C87,'TL13'!$J$238:$J$451),0),
IF('TL14'!$B$3=O$3,SUMIF('TL14'!$C$10:$C$224,$C87,'TL14'!$J$10:$J$224),0),
IF('TL14'!$B$229=O$3,SUMIF('TL14'!$C$238:$C$451,$C87,'TL14'!$J$238:$J$451),0),
IF('TL15'!$B$3=O$3,SUMIF('TL15'!$C$10:$C$224,$C87,'TL15'!$J$10:$J$224),0),
IF('TL15'!$B$229=O$3,SUMIF('TL15'!$C$238:$C$451,$C87,'TL15'!$J$238:$J$451),0),
IF('TL16'!$B$3=O$3,SUMIF('TL16'!$C$10:$C$224,$C87,'TL16'!$J$10:$J$224),0),
IF('TL16'!$B$229=O$3,SUMIF('TL16'!$C$238:$C$451,$C87,'TL16'!$J$238:$J$451),0),
IF('TL17'!$B$3=O$3,SUMIF('TL17'!$C$10:$C$224,$C87,'TL17'!$J$10:$J$224),0),
IF('TL17'!$B$229=O$3,SUMIF('TL17'!$C$238:$C$451,$C87,'TL17'!$J$238:$J$451),0),
IF('TL18'!$B$3=O$3,SUMIF('TL18'!$C$10:$C$224,$C87,'TL18'!$J$10:$J$224),0),
IF('TL18'!$B$229=O$3,SUMIF('TL18'!$C$238:$C$451,$C87,'TL18'!$J$238:$J$451),0),
IF('TL19'!$B$3=O$3,SUMIF('TL19'!$C$10:$C$224,$C87,'TL19'!$J$10:$J$224),0),
IF('TL19'!$B$229=O$3,SUMIF('TL19'!$C$238:$C$451,$C87,'TL19'!$J$238:$J$451),0)
),0)</f>
        <v/>
      </c>
      <c r="P87" s="9">
        <f>IFERROR(SUM(
IF('TL01'!$B$3=P$3,SUMIF('TL01'!$C$10:$C$224,$C87,'TL01'!$J$10:$J$224),0),
IF('TL01'!$B$229=P$3,SUMIF('TL01'!$C$238:$C$451,$C87,'TL01'!$J$238:$J$451),0),
IF('TL02'!$B$3=P$3,SUMIF('TL02'!$C$10:$C$224,$C87,'TL02'!$J$10:$J$224),0),
IF('TL02'!$B$229=P$3,SUMIF('TL02'!$C$238:$C$451,$C87,'TL02'!$J$238:$J$451),0),
IF('TL03'!$B$3=P$3,SUMIF('TL03'!$C$10:$C$224,$C87,'TL03'!$J$10:$J$224),0),
IF('TL03'!$B$229=P$3,SUMIF('TL03'!$C$238:$C$451,$C87,'TL03'!$J$238:$J$451),0),
IF('TL04'!$B$3=P$3,SUMIF('TL04'!$C$10:$C$224,$C87,'TL04'!$J$10:$J$224),0),
IF('TL04'!$B$229=P$3,SUMIF('TL04'!$C$238:$C$451,$C87,'TL04'!$J$238:$J$451),0),
IF('TL05'!$B$3=P$3,SUMIF('TL05'!$C$10:$C$224,$C87,'TL05'!$J$10:$J$224),0),
IF('TL05'!$B$229=P$3,SUMIF('TL05'!$C$238:$C$451,$C87,'TL05'!$J$238:$J$451),0),
IF('TL06'!$B$3=P$3,SUMIF('TL06'!$C$10:$C$224,$C87,'TL06'!$J$10:$J$224),0),
IF('TL06'!$B$229=P$3,SUMIF('TL06'!$C$238:$C$451,$C87,'TL06'!$J$238:$J$451),0),
IF('TL07'!$B$3=P$3,SUMIF('TL07'!$C$10:$C$224,$C87,'TL07'!$J$10:$J$224),0),
IF('TL07'!$B$229=P$3,SUMIF('TL07'!$C$238:$C$451,$C87,'TL07'!$J$238:$J$451),0),
IF('TL08'!$B$3=P$3,SUMIF('TL08'!$C$10:$C$224,$C87,'TL08'!$J$10:$J$224),0),
IF('TL08'!$B$229=P$3,SUMIF('TL08'!$C$238:$C$451,$C87,'TL08'!$J$238:$J$451),0),
IF('TL09'!$B$3=P$3,SUMIF('TL09'!$C$10:$C$224,$C87,'TL09'!$J$10:$J$224),0),
IF('TL09'!$B$229=P$3,SUMIF('TL09'!$C$238:$C$451,$C87,'TL09'!$J$238:$J$451),0),
IF('TL10'!$B$3=P$3,SUMIF('TL10'!$C$10:$C$224,$C87,'TL10'!$J$10:$J$224),0),
IF('TL10'!$B$229=P$3,SUMIF('TL10'!$C$238:$C$451,$C87,'TL10'!$J$238:$J$451),0),
IF('TL11'!$B$3=P$3,SUMIF('TL11'!$C$10:$C$224,$C87,'TL11'!$J$10:$J$224),0),
IF('TL11'!$B$229=P$3,SUMIF('TL11'!$C$238:$C$451,$C87,'TL11'!$J$238:$J$451),0),
IF('TL12'!$B$3=P$3,SUMIF('TL12'!$C$10:$C$224,$C87,'TL12'!$J$10:$J$224),0),
IF('TL12'!$B$229=P$3,SUMIF('TL12'!$C$238:$C$451,$C87,'TL12'!$J$238:$J$451),0),
IF('TL13'!$B$3=P$3,SUMIF('TL13'!$C$10:$C$224,$C87,'TL13'!$J$10:$J$224),0),
IF('TL13'!$B$229=P$3,SUMIF('TL13'!$C$238:$C$451,$C87,'TL13'!$J$238:$J$451),0),
IF('TL14'!$B$3=P$3,SUMIF('TL14'!$C$10:$C$224,$C87,'TL14'!$J$10:$J$224),0),
IF('TL14'!$B$229=P$3,SUMIF('TL14'!$C$238:$C$451,$C87,'TL14'!$J$238:$J$451),0),
IF('TL15'!$B$3=P$3,SUMIF('TL15'!$C$10:$C$224,$C87,'TL15'!$J$10:$J$224),0),
IF('TL15'!$B$229=P$3,SUMIF('TL15'!$C$238:$C$451,$C87,'TL15'!$J$238:$J$451),0),
IF('TL16'!$B$3=P$3,SUMIF('TL16'!$C$10:$C$224,$C87,'TL16'!$J$10:$J$224),0),
IF('TL16'!$B$229=P$3,SUMIF('TL16'!$C$238:$C$451,$C87,'TL16'!$J$238:$J$451),0),
IF('TL17'!$B$3=P$3,SUMIF('TL17'!$C$10:$C$224,$C87,'TL17'!$J$10:$J$224),0),
IF('TL17'!$B$229=P$3,SUMIF('TL17'!$C$238:$C$451,$C87,'TL17'!$J$238:$J$451),0),
IF('TL18'!$B$3=P$3,SUMIF('TL18'!$C$10:$C$224,$C87,'TL18'!$J$10:$J$224),0),
IF('TL18'!$B$229=P$3,SUMIF('TL18'!$C$238:$C$451,$C87,'TL18'!$J$238:$J$451),0),
IF('TL19'!$B$3=P$3,SUMIF('TL19'!$C$10:$C$224,$C87,'TL19'!$J$10:$J$224),0),
IF('TL19'!$B$229=P$3,SUMIF('TL19'!$C$238:$C$451,$C87,'TL19'!$J$238:$J$451),0)
),0)</f>
        <v/>
      </c>
      <c r="Q87" s="9">
        <f>IFERROR(SUM(
IF('TL01'!$B$3=Q$3,SUMIF('TL01'!$C$10:$C$224,$C87,'TL01'!$J$10:$J$224),0),
IF('TL01'!$B$229=Q$3,SUMIF('TL01'!$C$238:$C$451,$C87,'TL01'!$J$238:$J$451),0),
IF('TL02'!$B$3=Q$3,SUMIF('TL02'!$C$10:$C$224,$C87,'TL02'!$J$10:$J$224),0),
IF('TL02'!$B$229=Q$3,SUMIF('TL02'!$C$238:$C$451,$C87,'TL02'!$J$238:$J$451),0),
IF('TL03'!$B$3=Q$3,SUMIF('TL03'!$C$10:$C$224,$C87,'TL03'!$J$10:$J$224),0),
IF('TL03'!$B$229=Q$3,SUMIF('TL03'!$C$238:$C$451,$C87,'TL03'!$J$238:$J$451),0),
IF('TL04'!$B$3=Q$3,SUMIF('TL04'!$C$10:$C$224,$C87,'TL04'!$J$10:$J$224),0),
IF('TL04'!$B$229=Q$3,SUMIF('TL04'!$C$238:$C$451,$C87,'TL04'!$J$238:$J$451),0),
IF('TL05'!$B$3=Q$3,SUMIF('TL05'!$C$10:$C$224,$C87,'TL05'!$J$10:$J$224),0),
IF('TL05'!$B$229=Q$3,SUMIF('TL05'!$C$238:$C$451,$C87,'TL05'!$J$238:$J$451),0),
IF('TL06'!$B$3=Q$3,SUMIF('TL06'!$C$10:$C$224,$C87,'TL06'!$J$10:$J$224),0),
IF('TL06'!$B$229=Q$3,SUMIF('TL06'!$C$238:$C$451,$C87,'TL06'!$J$238:$J$451),0),
IF('TL07'!$B$3=Q$3,SUMIF('TL07'!$C$10:$C$224,$C87,'TL07'!$J$10:$J$224),0),
IF('TL07'!$B$229=Q$3,SUMIF('TL07'!$C$238:$C$451,$C87,'TL07'!$J$238:$J$451),0),
IF('TL08'!$B$3=Q$3,SUMIF('TL08'!$C$10:$C$224,$C87,'TL08'!$J$10:$J$224),0),
IF('TL08'!$B$229=Q$3,SUMIF('TL08'!$C$238:$C$451,$C87,'TL08'!$J$238:$J$451),0),
IF('TL09'!$B$3=Q$3,SUMIF('TL09'!$C$10:$C$224,$C87,'TL09'!$J$10:$J$224),0),
IF('TL09'!$B$229=Q$3,SUMIF('TL09'!$C$238:$C$451,$C87,'TL09'!$J$238:$J$451),0),
IF('TL10'!$B$3=Q$3,SUMIF('TL10'!$C$10:$C$224,$C87,'TL10'!$J$10:$J$224),0),
IF('TL10'!$B$229=Q$3,SUMIF('TL10'!$C$238:$C$451,$C87,'TL10'!$J$238:$J$451),0),
IF('TL11'!$B$3=Q$3,SUMIF('TL11'!$C$10:$C$224,$C87,'TL11'!$J$10:$J$224),0),
IF('TL11'!$B$229=Q$3,SUMIF('TL11'!$C$238:$C$451,$C87,'TL11'!$J$238:$J$451),0),
IF('TL12'!$B$3=Q$3,SUMIF('TL12'!$C$10:$C$224,$C87,'TL12'!$J$10:$J$224),0),
IF('TL12'!$B$229=Q$3,SUMIF('TL12'!$C$238:$C$451,$C87,'TL12'!$J$238:$J$451),0),
IF('TL13'!$B$3=Q$3,SUMIF('TL13'!$C$10:$C$224,$C87,'TL13'!$J$10:$J$224),0),
IF('TL13'!$B$229=Q$3,SUMIF('TL13'!$C$238:$C$451,$C87,'TL13'!$J$238:$J$451),0),
IF('TL14'!$B$3=Q$3,SUMIF('TL14'!$C$10:$C$224,$C87,'TL14'!$J$10:$J$224),0),
IF('TL14'!$B$229=Q$3,SUMIF('TL14'!$C$238:$C$451,$C87,'TL14'!$J$238:$J$451),0),
IF('TL15'!$B$3=Q$3,SUMIF('TL15'!$C$10:$C$224,$C87,'TL15'!$J$10:$J$224),0),
IF('TL15'!$B$229=Q$3,SUMIF('TL15'!$C$238:$C$451,$C87,'TL15'!$J$238:$J$451),0),
IF('TL16'!$B$3=Q$3,SUMIF('TL16'!$C$10:$C$224,$C87,'TL16'!$J$10:$J$224),0),
IF('TL16'!$B$229=Q$3,SUMIF('TL16'!$C$238:$C$451,$C87,'TL16'!$J$238:$J$451),0),
IF('TL17'!$B$3=Q$3,SUMIF('TL17'!$C$10:$C$224,$C87,'TL17'!$J$10:$J$224),0),
IF('TL17'!$B$229=Q$3,SUMIF('TL17'!$C$238:$C$451,$C87,'TL17'!$J$238:$J$451),0),
IF('TL18'!$B$3=Q$3,SUMIF('TL18'!$C$10:$C$224,$C87,'TL18'!$J$10:$J$224),0),
IF('TL18'!$B$229=Q$3,SUMIF('TL18'!$C$238:$C$451,$C87,'TL18'!$J$238:$J$451),0),
IF('TL19'!$B$3=Q$3,SUMIF('TL19'!$C$10:$C$224,$C87,'TL19'!$J$10:$J$224),0),
IF('TL19'!$B$229=Q$3,SUMIF('TL19'!$C$238:$C$451,$C87,'TL19'!$J$238:$J$451),0)
),0)</f>
        <v/>
      </c>
      <c r="R87" s="9">
        <f>IFERROR(
SUM(
SUMIF('TL01'!C:C,C87,'TL01'!J:J),
SUMIF('TL02'!C:C,C87,'TL02'!J:J),
SUMIF('TL03'!C:C,C87,'TL03'!J:J),
SUMIF('TL04'!C:C,C87,'TL04'!J:J),
SUMIF('TL05'!C:C,C87,'TL05'!J:J),
SUMIF('TL06'!C:C,C87,'TL06'!J:J),
SUMIF('TL07'!C:C,C87,'TL07'!J:J),
SUMIF('TL08'!C:C,C87,'TL08'!J:J),
SUMIF('TL09'!C:C,C87,'TL09'!J:J),
SUMIF('TL10'!C:C,C87,'TL10'!J:J),
SUMIF('TL11'!C:C,C87,'TL11'!J:J),
SUMIF('TL12'!C:C,C87,'TL12'!J:J),
SUMIF('TL13'!C:C,C87,'TL13'!J:J),
SUMIF('TL14'!C:C,C87,'TL14'!J:J),
SUMIF('TL15'!C:C,C87,'TL15'!J:J),
SUMIF('TL16'!C:C,C87,'TL16'!J:J),
SUMIF('TL17'!C:C,C87,'TL17'!J:J),
SUMIF('TL18'!C:C,C87,'TL18'!J:J),SUMIF('TL19'!C:C,C87,'TL19'!J:J))
,0)</f>
        <v/>
      </c>
      <c r="S87" s="17">
        <f>IFERROR(__xludf.DUMMYFUNCTION("IFERROR(VLOOKUP(C87,
IMPORTRANGE(""1wULbzX32WdYsx-lj2U3uUNBBe2INVIRDtcK0d-Dvl90"",
""26-27!C:G""),
5,
FALSE),
"""")"),68.83056)</f>
        <v/>
      </c>
      <c r="T87" s="9" t="n"/>
      <c r="U87" s="92">
        <f>MAX(0,R87-T87)</f>
        <v/>
      </c>
      <c r="V87" s="93">
        <f>U87*S87</f>
        <v/>
      </c>
    </row>
    <row r="88" hidden="1" ht="15.75" customHeight="1" s="297">
      <c r="A88" s="115" t="inlineStr">
        <is>
          <t>SUMITOMO</t>
        </is>
      </c>
      <c r="B88" s="100" t="inlineStr">
        <is>
          <t>FUNGICIDA</t>
        </is>
      </c>
      <c r="C88" s="116" t="inlineStr">
        <is>
          <t>TAMIZ</t>
        </is>
      </c>
      <c r="D88" s="116" t="inlineStr">
        <is>
          <t>AZOXISTROBINA + TEBUCONAZOL</t>
        </is>
      </c>
      <c r="E88" s="116" t="inlineStr">
        <is>
          <t>120 + 160</t>
        </is>
      </c>
      <c r="F88" s="4" t="inlineStr">
        <is>
          <t>KG</t>
        </is>
      </c>
      <c r="G88" s="90">
        <f>HYPERLINK("https://www.google.com/search?q=" &amp; C88 &amp; "+bula+agrofit+pdf", "📄 Ver bula")</f>
        <v/>
      </c>
      <c r="H88" s="9">
        <f>IFERROR(__xludf.DUMMYFUNCTION("IFERROR(VLOOKUP(C88,
IMPORTRANGE(""1wULbzX32WdYsx-lj2U3uUNBBe2INVIRDtcK0d-Dvl90"",
""26-27!C:K""),
8,
FALSE),
"""")"),0.6)</f>
        <v/>
      </c>
      <c r="I88" s="117" t="inlineStr">
        <is>
          <t>1x20</t>
        </is>
      </c>
      <c r="J88" s="9">
        <f>IFERROR(SUM(
IF('TL01'!$B$3=J$3,SUMIF('TL01'!$C$10:$C$224,$C88,'TL01'!$J$10:$J$224),0),
IF('TL01'!$B$229=J$3,SUMIF('TL01'!$C$238:$C$451,$C88,'TL01'!$J$238:$J$451),0),
IF('TL02'!$B$3=J$3,SUMIF('TL02'!$C$10:$C$224,$C88,'TL02'!$J$10:$J$224),0),
IF('TL02'!$B$229=J$3,SUMIF('TL02'!$C$238:$C$451,$C88,'TL02'!$J$238:$J$451),0),
IF('TL03'!$B$3=J$3,SUMIF('TL03'!$C$10:$C$224,$C88,'TL03'!$J$10:$J$224),0),
IF('TL03'!$B$229=J$3,SUMIF('TL03'!$C$238:$C$451,$C88,'TL03'!$J$238:$J$451),0),
IF('TL04'!$B$3=J$3,SUMIF('TL04'!$C$10:$C$224,$C88,'TL04'!$J$10:$J$224),0),
IF('TL04'!$B$229=J$3,SUMIF('TL04'!$C$238:$C$451,$C88,'TL04'!$J$238:$J$451),0),
IF('TL05'!$B$3=J$3,SUMIF('TL05'!$C$10:$C$224,$C88,'TL05'!$J$10:$J$224),0),
IF('TL05'!$B$229=J$3,SUMIF('TL05'!$C$238:$C$451,$C88,'TL05'!$J$238:$J$451),0),
IF('TL06'!$B$3=J$3,SUMIF('TL06'!$C$10:$C$224,$C88,'TL06'!$J$10:$J$224),0),
IF('TL06'!$B$229=J$3,SUMIF('TL06'!$C$238:$C$451,$C88,'TL06'!$J$238:$J$451),0),
IF('TL07'!$B$3=J$3,SUMIF('TL07'!$C$10:$C$224,$C88,'TL07'!$J$10:$J$224),0),
IF('TL07'!$B$229=J$3,SUMIF('TL07'!$C$238:$C$451,$C88,'TL07'!$J$238:$J$451),0),
IF('TL08'!$B$3=J$3,SUMIF('TL08'!$C$10:$C$224,$C88,'TL08'!$J$10:$J$224),0),
IF('TL08'!$B$229=J$3,SUMIF('TL08'!$C$238:$C$451,$C88,'TL08'!$J$238:$J$451),0),
IF('TL09'!$B$3=J$3,SUMIF('TL09'!$C$10:$C$224,$C88,'TL09'!$J$10:$J$224),0),
IF('TL09'!$B$229=J$3,SUMIF('TL09'!$C$238:$C$451,$C88,'TL09'!$J$238:$J$451),0),
IF('TL10'!$B$3=J$3,SUMIF('TL10'!$C$10:$C$224,$C88,'TL10'!$J$10:$J$224),0),
IF('TL10'!$B$229=J$3,SUMIF('TL10'!$C$238:$C$451,$C88,'TL10'!$J$238:$J$451),0),
IF('TL11'!$B$3=J$3,SUMIF('TL11'!$C$10:$C$224,$C88,'TL11'!$J$10:$J$224),0),
IF('TL11'!$B$229=J$3,SUMIF('TL11'!$C$238:$C$451,$C88,'TL11'!$J$238:$J$451),0),
IF('TL12'!$B$3=J$3,SUMIF('TL12'!$C$10:$C$224,$C88,'TL12'!$J$10:$J$224),0),
IF('TL12'!$B$229=J$3,SUMIF('TL12'!$C$238:$C$451,$C88,'TL12'!$J$238:$J$451),0),
IF('TL13'!$B$3=J$3,SUMIF('TL13'!$C$10:$C$224,$C88,'TL13'!$J$10:$J$224),0),
IF('TL13'!$B$229=J$3,SUMIF('TL13'!$C$238:$C$451,$C88,'TL13'!$J$238:$J$451),0),
IF('TL14'!$B$3=J$3,SUMIF('TL14'!$C$10:$C$224,$C88,'TL14'!$J$10:$J$224),0),
IF('TL14'!$B$229=J$3,SUMIF('TL14'!$C$238:$C$451,$C88,'TL14'!$J$238:$J$451),0),
IF('TL15'!$B$3=J$3,SUMIF('TL15'!$C$10:$C$224,$C88,'TL15'!$J$10:$J$224),0),
IF('TL15'!$B$229=J$3,SUMIF('TL15'!$C$238:$C$451,$C88,'TL15'!$J$238:$J$451),0),
IF('TL16'!$B$3=J$3,SUMIF('TL16'!$C$10:$C$224,$C88,'TL16'!$J$10:$J$224),0),
IF('TL16'!$B$229=J$3,SUMIF('TL16'!$C$238:$C$451,$C88,'TL16'!$J$238:$J$451),0),
IF('TL17'!$B$3=J$3,SUMIF('TL17'!$C$10:$C$224,$C88,'TL17'!$J$10:$J$224),0),
IF('TL17'!$B$229=J$3,SUMIF('TL17'!$C$238:$C$451,$C88,'TL17'!$J$238:$J$451),0),
IF('TL18'!$B$3=J$3,SUMIF('TL18'!$C$10:$C$224,$C88,'TL18'!$J$10:$J$224),0),
IF('TL18'!$B$229=J$3,SUMIF('TL18'!$C$238:$C$451,$C88,'TL18'!$J$238:$J$451),0),
IF('TL19'!$B$3=J$3,SUMIF('TL19'!$C$10:$C$224,$C88,'TL19'!$J$10:$J$224),0),
IF('TL19'!$B$229=J$3,SUMIF('TL19'!$C$238:$C$451,$C88,'TL19'!$J$238:$J$451),0)
),0)</f>
        <v/>
      </c>
      <c r="K88" s="9">
        <f>IFERROR(SUM(
IF('TL01'!$B$3=K$3,SUMIF('TL01'!$C$10:$C$224,$C88,'TL01'!$J$10:$J$224),0),
IF('TL01'!$B$229=K$3,SUMIF('TL01'!$C$238:$C$451,$C88,'TL01'!$J$238:$J$451),0),
IF('TL02'!$B$3=K$3,SUMIF('TL02'!$C$10:$C$224,$C88,'TL02'!$J$10:$J$224),0),
IF('TL02'!$B$229=K$3,SUMIF('TL02'!$C$238:$C$451,$C88,'TL02'!$J$238:$J$451),0),
IF('TL03'!$B$3=K$3,SUMIF('TL03'!$C$10:$C$224,$C88,'TL03'!$J$10:$J$224),0),
IF('TL03'!$B$229=K$3,SUMIF('TL03'!$C$238:$C$451,$C88,'TL03'!$J$238:$J$451),0),
IF('TL04'!$B$3=K$3,SUMIF('TL04'!$C$10:$C$224,$C88,'TL04'!$J$10:$J$224),0),
IF('TL04'!$B$229=K$3,SUMIF('TL04'!$C$238:$C$451,$C88,'TL04'!$J$238:$J$451),0),
IF('TL05'!$B$3=K$3,SUMIF('TL05'!$C$10:$C$224,$C88,'TL05'!$J$10:$J$224),0),
IF('TL05'!$B$229=K$3,SUMIF('TL05'!$C$238:$C$451,$C88,'TL05'!$J$238:$J$451),0),
IF('TL06'!$B$3=K$3,SUMIF('TL06'!$C$10:$C$224,$C88,'TL06'!$J$10:$J$224),0),
IF('TL06'!$B$229=K$3,SUMIF('TL06'!$C$238:$C$451,$C88,'TL06'!$J$238:$J$451),0),
IF('TL07'!$B$3=K$3,SUMIF('TL07'!$C$10:$C$224,$C88,'TL07'!$J$10:$J$224),0),
IF('TL07'!$B$229=K$3,SUMIF('TL07'!$C$238:$C$451,$C88,'TL07'!$J$238:$J$451),0),
IF('TL08'!$B$3=K$3,SUMIF('TL08'!$C$10:$C$224,$C88,'TL08'!$J$10:$J$224),0),
IF('TL08'!$B$229=K$3,SUMIF('TL08'!$C$238:$C$451,$C88,'TL08'!$J$238:$J$451),0),
IF('TL09'!$B$3=K$3,SUMIF('TL09'!$C$10:$C$224,$C88,'TL09'!$J$10:$J$224),0),
IF('TL09'!$B$229=K$3,SUMIF('TL09'!$C$238:$C$451,$C88,'TL09'!$J$238:$J$451),0),
IF('TL10'!$B$3=K$3,SUMIF('TL10'!$C$10:$C$224,$C88,'TL10'!$J$10:$J$224),0),
IF('TL10'!$B$229=K$3,SUMIF('TL10'!$C$238:$C$451,$C88,'TL10'!$J$238:$J$451),0),
IF('TL11'!$B$3=K$3,SUMIF('TL11'!$C$10:$C$224,$C88,'TL11'!$J$10:$J$224),0),
IF('TL11'!$B$229=K$3,SUMIF('TL11'!$C$238:$C$451,$C88,'TL11'!$J$238:$J$451),0),
IF('TL12'!$B$3=K$3,SUMIF('TL12'!$C$10:$C$224,$C88,'TL12'!$J$10:$J$224),0),
IF('TL12'!$B$229=K$3,SUMIF('TL12'!$C$238:$C$451,$C88,'TL12'!$J$238:$J$451),0),
IF('TL13'!$B$3=K$3,SUMIF('TL13'!$C$10:$C$224,$C88,'TL13'!$J$10:$J$224),0),
IF('TL13'!$B$229=K$3,SUMIF('TL13'!$C$238:$C$451,$C88,'TL13'!$J$238:$J$451),0),
IF('TL14'!$B$3=K$3,SUMIF('TL14'!$C$10:$C$224,$C88,'TL14'!$J$10:$J$224),0),
IF('TL14'!$B$229=K$3,SUMIF('TL14'!$C$238:$C$451,$C88,'TL14'!$J$238:$J$451),0),
IF('TL15'!$B$3=K$3,SUMIF('TL15'!$C$10:$C$224,$C88,'TL15'!$J$10:$J$224),0),
IF('TL15'!$B$229=K$3,SUMIF('TL15'!$C$238:$C$451,$C88,'TL15'!$J$238:$J$451),0),
IF('TL16'!$B$3=K$3,SUMIF('TL16'!$C$10:$C$224,$C88,'TL16'!$J$10:$J$224),0),
IF('TL16'!$B$229=K$3,SUMIF('TL16'!$C$238:$C$451,$C88,'TL16'!$J$238:$J$451),0),
IF('TL17'!$B$3=K$3,SUMIF('TL17'!$C$10:$C$224,$C88,'TL17'!$J$10:$J$224),0),
IF('TL17'!$B$229=K$3,SUMIF('TL17'!$C$238:$C$451,$C88,'TL17'!$J$238:$J$451),0),
IF('TL18'!$B$3=K$3,SUMIF('TL18'!$C$10:$C$224,$C88,'TL18'!$J$10:$J$224),0),
IF('TL18'!$B$229=K$3,SUMIF('TL18'!$C$238:$C$451,$C88,'TL18'!$J$238:$J$451),0),
IF('TL19'!$B$3=K$3,SUMIF('TL19'!$C$10:$C$224,$C88,'TL19'!$J$10:$J$224),0),
IF('TL19'!$B$229=K$3,SUMIF('TL19'!$C$238:$C$451,$C88,'TL19'!$J$238:$J$451),0)
),0)</f>
        <v/>
      </c>
      <c r="L88" s="9">
        <f>IFERROR(SUM(
IF('TL01'!$B$3=L$3,SUMIF('TL01'!$C$10:$C$224,$C88,'TL01'!$J$10:$J$224),0),
IF('TL01'!$B$229=L$3,SUMIF('TL01'!$C$238:$C$451,$C88,'TL01'!$J$238:$J$451),0),
IF('TL02'!$B$3=L$3,SUMIF('TL02'!$C$10:$C$224,$C88,'TL02'!$J$10:$J$224),0),
IF('TL02'!$B$229=L$3,SUMIF('TL02'!$C$238:$C$451,$C88,'TL02'!$J$238:$J$451),0),
IF('TL03'!$B$3=L$3,SUMIF('TL03'!$C$10:$C$224,$C88,'TL03'!$J$10:$J$224),0),
IF('TL03'!$B$229=L$3,SUMIF('TL03'!$C$238:$C$451,$C88,'TL03'!$J$238:$J$451),0),
IF('TL04'!$B$3=L$3,SUMIF('TL04'!$C$10:$C$224,$C88,'TL04'!$J$10:$J$224),0),
IF('TL04'!$B$229=L$3,SUMIF('TL04'!$C$238:$C$451,$C88,'TL04'!$J$238:$J$451),0),
IF('TL05'!$B$3=L$3,SUMIF('TL05'!$C$10:$C$224,$C88,'TL05'!$J$10:$J$224),0),
IF('TL05'!$B$229=L$3,SUMIF('TL05'!$C$238:$C$451,$C88,'TL05'!$J$238:$J$451),0),
IF('TL06'!$B$3=L$3,SUMIF('TL06'!$C$10:$C$224,$C88,'TL06'!$J$10:$J$224),0),
IF('TL06'!$B$229=L$3,SUMIF('TL06'!$C$238:$C$451,$C88,'TL06'!$J$238:$J$451),0),
IF('TL07'!$B$3=L$3,SUMIF('TL07'!$C$10:$C$224,$C88,'TL07'!$J$10:$J$224),0),
IF('TL07'!$B$229=L$3,SUMIF('TL07'!$C$238:$C$451,$C88,'TL07'!$J$238:$J$451),0),
IF('TL08'!$B$3=L$3,SUMIF('TL08'!$C$10:$C$224,$C88,'TL08'!$J$10:$J$224),0),
IF('TL08'!$B$229=L$3,SUMIF('TL08'!$C$238:$C$451,$C88,'TL08'!$J$238:$J$451),0),
IF('TL09'!$B$3=L$3,SUMIF('TL09'!$C$10:$C$224,$C88,'TL09'!$J$10:$J$224),0),
IF('TL09'!$B$229=L$3,SUMIF('TL09'!$C$238:$C$451,$C88,'TL09'!$J$238:$J$451),0),
IF('TL10'!$B$3=L$3,SUMIF('TL10'!$C$10:$C$224,$C88,'TL10'!$J$10:$J$224),0),
IF('TL10'!$B$229=L$3,SUMIF('TL10'!$C$238:$C$451,$C88,'TL10'!$J$238:$J$451),0),
IF('TL11'!$B$3=L$3,SUMIF('TL11'!$C$10:$C$224,$C88,'TL11'!$J$10:$J$224),0),
IF('TL11'!$B$229=L$3,SUMIF('TL11'!$C$238:$C$451,$C88,'TL11'!$J$238:$J$451),0),
IF('TL12'!$B$3=L$3,SUMIF('TL12'!$C$10:$C$224,$C88,'TL12'!$J$10:$J$224),0),
IF('TL12'!$B$229=L$3,SUMIF('TL12'!$C$238:$C$451,$C88,'TL12'!$J$238:$J$451),0),
IF('TL13'!$B$3=L$3,SUMIF('TL13'!$C$10:$C$224,$C88,'TL13'!$J$10:$J$224),0),
IF('TL13'!$B$229=L$3,SUMIF('TL13'!$C$238:$C$451,$C88,'TL13'!$J$238:$J$451),0),
IF('TL14'!$B$3=L$3,SUMIF('TL14'!$C$10:$C$224,$C88,'TL14'!$J$10:$J$224),0),
IF('TL14'!$B$229=L$3,SUMIF('TL14'!$C$238:$C$451,$C88,'TL14'!$J$238:$J$451),0),
IF('TL15'!$B$3=L$3,SUMIF('TL15'!$C$10:$C$224,$C88,'TL15'!$J$10:$J$224),0),
IF('TL15'!$B$229=L$3,SUMIF('TL15'!$C$238:$C$451,$C88,'TL15'!$J$238:$J$451),0),
IF('TL16'!$B$3=L$3,SUMIF('TL16'!$C$10:$C$224,$C88,'TL16'!$J$10:$J$224),0),
IF('TL16'!$B$229=L$3,SUMIF('TL16'!$C$238:$C$451,$C88,'TL16'!$J$238:$J$451),0),
IF('TL17'!$B$3=L$3,SUMIF('TL17'!$C$10:$C$224,$C88,'TL17'!$J$10:$J$224),0),
IF('TL17'!$B$229=L$3,SUMIF('TL17'!$C$238:$C$451,$C88,'TL17'!$J$238:$J$451),0),
IF('TL18'!$B$3=L$3,SUMIF('TL18'!$C$10:$C$224,$C88,'TL18'!$J$10:$J$224),0),
IF('TL18'!$B$229=L$3,SUMIF('TL18'!$C$238:$C$451,$C88,'TL18'!$J$238:$J$451),0),
IF('TL19'!$B$3=L$3,SUMIF('TL19'!$C$10:$C$224,$C88,'TL19'!$J$10:$J$224),0),
IF('TL19'!$B$229=L$3,SUMIF('TL19'!$C$238:$C$451,$C88,'TL19'!$J$238:$J$451),0)
),0)</f>
        <v/>
      </c>
      <c r="M88" s="9">
        <f>IFERROR(SUM(
IF('TL01'!$B$3=M$3,SUMIF('TL01'!$C$10:$C$224,$C88,'TL01'!$J$10:$J$224),0),
IF('TL01'!$B$229=M$3,SUMIF('TL01'!$C$238:$C$451,$C88,'TL01'!$J$238:$J$451),0),
IF('TL02'!$B$3=M$3,SUMIF('TL02'!$C$10:$C$224,$C88,'TL02'!$J$10:$J$224),0),
IF('TL02'!$B$229=M$3,SUMIF('TL02'!$C$238:$C$451,$C88,'TL02'!$J$238:$J$451),0),
IF('TL03'!$B$3=M$3,SUMIF('TL03'!$C$10:$C$224,$C88,'TL03'!$J$10:$J$224),0),
IF('TL03'!$B$229=M$3,SUMIF('TL03'!$C$238:$C$451,$C88,'TL03'!$J$238:$J$451),0),
IF('TL04'!$B$3=M$3,SUMIF('TL04'!$C$10:$C$224,$C88,'TL04'!$J$10:$J$224),0),
IF('TL04'!$B$229=M$3,SUMIF('TL04'!$C$238:$C$451,$C88,'TL04'!$J$238:$J$451),0),
IF('TL05'!$B$3=M$3,SUMIF('TL05'!$C$10:$C$224,$C88,'TL05'!$J$10:$J$224),0),
IF('TL05'!$B$229=M$3,SUMIF('TL05'!$C$238:$C$451,$C88,'TL05'!$J$238:$J$451),0),
IF('TL06'!$B$3=M$3,SUMIF('TL06'!$C$10:$C$224,$C88,'TL06'!$J$10:$J$224),0),
IF('TL06'!$B$229=M$3,SUMIF('TL06'!$C$238:$C$451,$C88,'TL06'!$J$238:$J$451),0),
IF('TL07'!$B$3=M$3,SUMIF('TL07'!$C$10:$C$224,$C88,'TL07'!$J$10:$J$224),0),
IF('TL07'!$B$229=M$3,SUMIF('TL07'!$C$238:$C$451,$C88,'TL07'!$J$238:$J$451),0),
IF('TL08'!$B$3=M$3,SUMIF('TL08'!$C$10:$C$224,$C88,'TL08'!$J$10:$J$224),0),
IF('TL08'!$B$229=M$3,SUMIF('TL08'!$C$238:$C$451,$C88,'TL08'!$J$238:$J$451),0),
IF('TL09'!$B$3=M$3,SUMIF('TL09'!$C$10:$C$224,$C88,'TL09'!$J$10:$J$224),0),
IF('TL09'!$B$229=M$3,SUMIF('TL09'!$C$238:$C$451,$C88,'TL09'!$J$238:$J$451),0),
IF('TL10'!$B$3=M$3,SUMIF('TL10'!$C$10:$C$224,$C88,'TL10'!$J$10:$J$224),0),
IF('TL10'!$B$229=M$3,SUMIF('TL10'!$C$238:$C$451,$C88,'TL10'!$J$238:$J$451),0),
IF('TL11'!$B$3=M$3,SUMIF('TL11'!$C$10:$C$224,$C88,'TL11'!$J$10:$J$224),0),
IF('TL11'!$B$229=M$3,SUMIF('TL11'!$C$238:$C$451,$C88,'TL11'!$J$238:$J$451),0),
IF('TL12'!$B$3=M$3,SUMIF('TL12'!$C$10:$C$224,$C88,'TL12'!$J$10:$J$224),0),
IF('TL12'!$B$229=M$3,SUMIF('TL12'!$C$238:$C$451,$C88,'TL12'!$J$238:$J$451),0),
IF('TL13'!$B$3=M$3,SUMIF('TL13'!$C$10:$C$224,$C88,'TL13'!$J$10:$J$224),0),
IF('TL13'!$B$229=M$3,SUMIF('TL13'!$C$238:$C$451,$C88,'TL13'!$J$238:$J$451),0),
IF('TL14'!$B$3=M$3,SUMIF('TL14'!$C$10:$C$224,$C88,'TL14'!$J$10:$J$224),0),
IF('TL14'!$B$229=M$3,SUMIF('TL14'!$C$238:$C$451,$C88,'TL14'!$J$238:$J$451),0),
IF('TL15'!$B$3=M$3,SUMIF('TL15'!$C$10:$C$224,$C88,'TL15'!$J$10:$J$224),0),
IF('TL15'!$B$229=M$3,SUMIF('TL15'!$C$238:$C$451,$C88,'TL15'!$J$238:$J$451),0),
IF('TL16'!$B$3=M$3,SUMIF('TL16'!$C$10:$C$224,$C88,'TL16'!$J$10:$J$224),0),
IF('TL16'!$B$229=M$3,SUMIF('TL16'!$C$238:$C$451,$C88,'TL16'!$J$238:$J$451),0),
IF('TL17'!$B$3=M$3,SUMIF('TL17'!$C$10:$C$224,$C88,'TL17'!$J$10:$J$224),0),
IF('TL17'!$B$229=M$3,SUMIF('TL17'!$C$238:$C$451,$C88,'TL17'!$J$238:$J$451),0),
IF('TL18'!$B$3=M$3,SUMIF('TL18'!$C$10:$C$224,$C88,'TL18'!$J$10:$J$224),0),
IF('TL18'!$B$229=M$3,SUMIF('TL18'!$C$238:$C$451,$C88,'TL18'!$J$238:$J$451),0),
IF('TL19'!$B$3=M$3,SUMIF('TL19'!$C$10:$C$224,$C88,'TL19'!$J$10:$J$224),0),
IF('TL19'!$B$229=M$3,SUMIF('TL19'!$C$238:$C$451,$C88,'TL19'!$J$238:$J$451),0)
),0)</f>
        <v/>
      </c>
      <c r="N88" s="9">
        <f>IFERROR(SUM(
IF('TL01'!$B$3=N$3,SUMIF('TL01'!$C$10:$C$224,$C88,'TL01'!$J$10:$J$224),0),
IF('TL01'!$B$229=N$3,SUMIF('TL01'!$C$238:$C$451,$C88,'TL01'!$J$238:$J$451),0),
IF('TL02'!$B$3=N$3,SUMIF('TL02'!$C$10:$C$224,$C88,'TL02'!$J$10:$J$224),0),
IF('TL02'!$B$229=N$3,SUMIF('TL02'!$C$238:$C$451,$C88,'TL02'!$J$238:$J$451),0),
IF('TL03'!$B$3=N$3,SUMIF('TL03'!$C$10:$C$224,$C88,'TL03'!$J$10:$J$224),0),
IF('TL03'!$B$229=N$3,SUMIF('TL03'!$C$238:$C$451,$C88,'TL03'!$J$238:$J$451),0),
IF('TL04'!$B$3=N$3,SUMIF('TL04'!$C$10:$C$224,$C88,'TL04'!$J$10:$J$224),0),
IF('TL04'!$B$229=N$3,SUMIF('TL04'!$C$238:$C$451,$C88,'TL04'!$J$238:$J$451),0),
IF('TL05'!$B$3=N$3,SUMIF('TL05'!$C$10:$C$224,$C88,'TL05'!$J$10:$J$224),0),
IF('TL05'!$B$229=N$3,SUMIF('TL05'!$C$238:$C$451,$C88,'TL05'!$J$238:$J$451),0),
IF('TL06'!$B$3=N$3,SUMIF('TL06'!$C$10:$C$224,$C88,'TL06'!$J$10:$J$224),0),
IF('TL06'!$B$229=N$3,SUMIF('TL06'!$C$238:$C$451,$C88,'TL06'!$J$238:$J$451),0),
IF('TL07'!$B$3=N$3,SUMIF('TL07'!$C$10:$C$224,$C88,'TL07'!$J$10:$J$224),0),
IF('TL07'!$B$229=N$3,SUMIF('TL07'!$C$238:$C$451,$C88,'TL07'!$J$238:$J$451),0),
IF('TL08'!$B$3=N$3,SUMIF('TL08'!$C$10:$C$224,$C88,'TL08'!$J$10:$J$224),0),
IF('TL08'!$B$229=N$3,SUMIF('TL08'!$C$238:$C$451,$C88,'TL08'!$J$238:$J$451),0),
IF('TL09'!$B$3=N$3,SUMIF('TL09'!$C$10:$C$224,$C88,'TL09'!$J$10:$J$224),0),
IF('TL09'!$B$229=N$3,SUMIF('TL09'!$C$238:$C$451,$C88,'TL09'!$J$238:$J$451),0),
IF('TL10'!$B$3=N$3,SUMIF('TL10'!$C$10:$C$224,$C88,'TL10'!$J$10:$J$224),0),
IF('TL10'!$B$229=N$3,SUMIF('TL10'!$C$238:$C$451,$C88,'TL10'!$J$238:$J$451),0),
IF('TL11'!$B$3=N$3,SUMIF('TL11'!$C$10:$C$224,$C88,'TL11'!$J$10:$J$224),0),
IF('TL11'!$B$229=N$3,SUMIF('TL11'!$C$238:$C$451,$C88,'TL11'!$J$238:$J$451),0),
IF('TL12'!$B$3=N$3,SUMIF('TL12'!$C$10:$C$224,$C88,'TL12'!$J$10:$J$224),0),
IF('TL12'!$B$229=N$3,SUMIF('TL12'!$C$238:$C$451,$C88,'TL12'!$J$238:$J$451),0),
IF('TL13'!$B$3=N$3,SUMIF('TL13'!$C$10:$C$224,$C88,'TL13'!$J$10:$J$224),0),
IF('TL13'!$B$229=N$3,SUMIF('TL13'!$C$238:$C$451,$C88,'TL13'!$J$238:$J$451),0),
IF('TL14'!$B$3=N$3,SUMIF('TL14'!$C$10:$C$224,$C88,'TL14'!$J$10:$J$224),0),
IF('TL14'!$B$229=N$3,SUMIF('TL14'!$C$238:$C$451,$C88,'TL14'!$J$238:$J$451),0),
IF('TL15'!$B$3=N$3,SUMIF('TL15'!$C$10:$C$224,$C88,'TL15'!$J$10:$J$224),0),
IF('TL15'!$B$229=N$3,SUMIF('TL15'!$C$238:$C$451,$C88,'TL15'!$J$238:$J$451),0),
IF('TL16'!$B$3=N$3,SUMIF('TL16'!$C$10:$C$224,$C88,'TL16'!$J$10:$J$224),0),
IF('TL16'!$B$229=N$3,SUMIF('TL16'!$C$238:$C$451,$C88,'TL16'!$J$238:$J$451),0),
IF('TL17'!$B$3=N$3,SUMIF('TL17'!$C$10:$C$224,$C88,'TL17'!$J$10:$J$224),0),
IF('TL17'!$B$229=N$3,SUMIF('TL17'!$C$238:$C$451,$C88,'TL17'!$J$238:$J$451),0),
IF('TL18'!$B$3=N$3,SUMIF('TL18'!$C$10:$C$224,$C88,'TL18'!$J$10:$J$224),0),
IF('TL18'!$B$229=N$3,SUMIF('TL18'!$C$238:$C$451,$C88,'TL18'!$J$238:$J$451),0),
IF('TL19'!$B$3=N$3,SUMIF('TL19'!$C$10:$C$224,$C88,'TL19'!$J$10:$J$224),0),
IF('TL19'!$B$229=N$3,SUMIF('TL19'!$C$238:$C$451,$C88,'TL19'!$J$238:$J$451),0)
),0)</f>
        <v/>
      </c>
      <c r="O88" s="9">
        <f>IFERROR(SUM(
IF('TL01'!$B$3=O$3,SUMIF('TL01'!$C$10:$C$224,$C88,'TL01'!$J$10:$J$224),0),
IF('TL01'!$B$229=O$3,SUMIF('TL01'!$C$238:$C$451,$C88,'TL01'!$J$238:$J$451),0),
IF('TL02'!$B$3=O$3,SUMIF('TL02'!$C$10:$C$224,$C88,'TL02'!$J$10:$J$224),0),
IF('TL02'!$B$229=O$3,SUMIF('TL02'!$C$238:$C$451,$C88,'TL02'!$J$238:$J$451),0),
IF('TL03'!$B$3=O$3,SUMIF('TL03'!$C$10:$C$224,$C88,'TL03'!$J$10:$J$224),0),
IF('TL03'!$B$229=O$3,SUMIF('TL03'!$C$238:$C$451,$C88,'TL03'!$J$238:$J$451),0),
IF('TL04'!$B$3=O$3,SUMIF('TL04'!$C$10:$C$224,$C88,'TL04'!$J$10:$J$224),0),
IF('TL04'!$B$229=O$3,SUMIF('TL04'!$C$238:$C$451,$C88,'TL04'!$J$238:$J$451),0),
IF('TL05'!$B$3=O$3,SUMIF('TL05'!$C$10:$C$224,$C88,'TL05'!$J$10:$J$224),0),
IF('TL05'!$B$229=O$3,SUMIF('TL05'!$C$238:$C$451,$C88,'TL05'!$J$238:$J$451),0),
IF('TL06'!$B$3=O$3,SUMIF('TL06'!$C$10:$C$224,$C88,'TL06'!$J$10:$J$224),0),
IF('TL06'!$B$229=O$3,SUMIF('TL06'!$C$238:$C$451,$C88,'TL06'!$J$238:$J$451),0),
IF('TL07'!$B$3=O$3,SUMIF('TL07'!$C$10:$C$224,$C88,'TL07'!$J$10:$J$224),0),
IF('TL07'!$B$229=O$3,SUMIF('TL07'!$C$238:$C$451,$C88,'TL07'!$J$238:$J$451),0),
IF('TL08'!$B$3=O$3,SUMIF('TL08'!$C$10:$C$224,$C88,'TL08'!$J$10:$J$224),0),
IF('TL08'!$B$229=O$3,SUMIF('TL08'!$C$238:$C$451,$C88,'TL08'!$J$238:$J$451),0),
IF('TL09'!$B$3=O$3,SUMIF('TL09'!$C$10:$C$224,$C88,'TL09'!$J$10:$J$224),0),
IF('TL09'!$B$229=O$3,SUMIF('TL09'!$C$238:$C$451,$C88,'TL09'!$J$238:$J$451),0),
IF('TL10'!$B$3=O$3,SUMIF('TL10'!$C$10:$C$224,$C88,'TL10'!$J$10:$J$224),0),
IF('TL10'!$B$229=O$3,SUMIF('TL10'!$C$238:$C$451,$C88,'TL10'!$J$238:$J$451),0),
IF('TL11'!$B$3=O$3,SUMIF('TL11'!$C$10:$C$224,$C88,'TL11'!$J$10:$J$224),0),
IF('TL11'!$B$229=O$3,SUMIF('TL11'!$C$238:$C$451,$C88,'TL11'!$J$238:$J$451),0),
IF('TL12'!$B$3=O$3,SUMIF('TL12'!$C$10:$C$224,$C88,'TL12'!$J$10:$J$224),0),
IF('TL12'!$B$229=O$3,SUMIF('TL12'!$C$238:$C$451,$C88,'TL12'!$J$238:$J$451),0),
IF('TL13'!$B$3=O$3,SUMIF('TL13'!$C$10:$C$224,$C88,'TL13'!$J$10:$J$224),0),
IF('TL13'!$B$229=O$3,SUMIF('TL13'!$C$238:$C$451,$C88,'TL13'!$J$238:$J$451),0),
IF('TL14'!$B$3=O$3,SUMIF('TL14'!$C$10:$C$224,$C88,'TL14'!$J$10:$J$224),0),
IF('TL14'!$B$229=O$3,SUMIF('TL14'!$C$238:$C$451,$C88,'TL14'!$J$238:$J$451),0),
IF('TL15'!$B$3=O$3,SUMIF('TL15'!$C$10:$C$224,$C88,'TL15'!$J$10:$J$224),0),
IF('TL15'!$B$229=O$3,SUMIF('TL15'!$C$238:$C$451,$C88,'TL15'!$J$238:$J$451),0),
IF('TL16'!$B$3=O$3,SUMIF('TL16'!$C$10:$C$224,$C88,'TL16'!$J$10:$J$224),0),
IF('TL16'!$B$229=O$3,SUMIF('TL16'!$C$238:$C$451,$C88,'TL16'!$J$238:$J$451),0),
IF('TL17'!$B$3=O$3,SUMIF('TL17'!$C$10:$C$224,$C88,'TL17'!$J$10:$J$224),0),
IF('TL17'!$B$229=O$3,SUMIF('TL17'!$C$238:$C$451,$C88,'TL17'!$J$238:$J$451),0),
IF('TL18'!$B$3=O$3,SUMIF('TL18'!$C$10:$C$224,$C88,'TL18'!$J$10:$J$224),0),
IF('TL18'!$B$229=O$3,SUMIF('TL18'!$C$238:$C$451,$C88,'TL18'!$J$238:$J$451),0),
IF('TL19'!$B$3=O$3,SUMIF('TL19'!$C$10:$C$224,$C88,'TL19'!$J$10:$J$224),0),
IF('TL19'!$B$229=O$3,SUMIF('TL19'!$C$238:$C$451,$C88,'TL19'!$J$238:$J$451),0)
),0)</f>
        <v/>
      </c>
      <c r="P88" s="9">
        <f>IFERROR(SUM(
IF('TL01'!$B$3=P$3,SUMIF('TL01'!$C$10:$C$224,$C88,'TL01'!$J$10:$J$224),0),
IF('TL01'!$B$229=P$3,SUMIF('TL01'!$C$238:$C$451,$C88,'TL01'!$J$238:$J$451),0),
IF('TL02'!$B$3=P$3,SUMIF('TL02'!$C$10:$C$224,$C88,'TL02'!$J$10:$J$224),0),
IF('TL02'!$B$229=P$3,SUMIF('TL02'!$C$238:$C$451,$C88,'TL02'!$J$238:$J$451),0),
IF('TL03'!$B$3=P$3,SUMIF('TL03'!$C$10:$C$224,$C88,'TL03'!$J$10:$J$224),0),
IF('TL03'!$B$229=P$3,SUMIF('TL03'!$C$238:$C$451,$C88,'TL03'!$J$238:$J$451),0),
IF('TL04'!$B$3=P$3,SUMIF('TL04'!$C$10:$C$224,$C88,'TL04'!$J$10:$J$224),0),
IF('TL04'!$B$229=P$3,SUMIF('TL04'!$C$238:$C$451,$C88,'TL04'!$J$238:$J$451),0),
IF('TL05'!$B$3=P$3,SUMIF('TL05'!$C$10:$C$224,$C88,'TL05'!$J$10:$J$224),0),
IF('TL05'!$B$229=P$3,SUMIF('TL05'!$C$238:$C$451,$C88,'TL05'!$J$238:$J$451),0),
IF('TL06'!$B$3=P$3,SUMIF('TL06'!$C$10:$C$224,$C88,'TL06'!$J$10:$J$224),0),
IF('TL06'!$B$229=P$3,SUMIF('TL06'!$C$238:$C$451,$C88,'TL06'!$J$238:$J$451),0),
IF('TL07'!$B$3=P$3,SUMIF('TL07'!$C$10:$C$224,$C88,'TL07'!$J$10:$J$224),0),
IF('TL07'!$B$229=P$3,SUMIF('TL07'!$C$238:$C$451,$C88,'TL07'!$J$238:$J$451),0),
IF('TL08'!$B$3=P$3,SUMIF('TL08'!$C$10:$C$224,$C88,'TL08'!$J$10:$J$224),0),
IF('TL08'!$B$229=P$3,SUMIF('TL08'!$C$238:$C$451,$C88,'TL08'!$J$238:$J$451),0),
IF('TL09'!$B$3=P$3,SUMIF('TL09'!$C$10:$C$224,$C88,'TL09'!$J$10:$J$224),0),
IF('TL09'!$B$229=P$3,SUMIF('TL09'!$C$238:$C$451,$C88,'TL09'!$J$238:$J$451),0),
IF('TL10'!$B$3=P$3,SUMIF('TL10'!$C$10:$C$224,$C88,'TL10'!$J$10:$J$224),0),
IF('TL10'!$B$229=P$3,SUMIF('TL10'!$C$238:$C$451,$C88,'TL10'!$J$238:$J$451),0),
IF('TL11'!$B$3=P$3,SUMIF('TL11'!$C$10:$C$224,$C88,'TL11'!$J$10:$J$224),0),
IF('TL11'!$B$229=P$3,SUMIF('TL11'!$C$238:$C$451,$C88,'TL11'!$J$238:$J$451),0),
IF('TL12'!$B$3=P$3,SUMIF('TL12'!$C$10:$C$224,$C88,'TL12'!$J$10:$J$224),0),
IF('TL12'!$B$229=P$3,SUMIF('TL12'!$C$238:$C$451,$C88,'TL12'!$J$238:$J$451),0),
IF('TL13'!$B$3=P$3,SUMIF('TL13'!$C$10:$C$224,$C88,'TL13'!$J$10:$J$224),0),
IF('TL13'!$B$229=P$3,SUMIF('TL13'!$C$238:$C$451,$C88,'TL13'!$J$238:$J$451),0),
IF('TL14'!$B$3=P$3,SUMIF('TL14'!$C$10:$C$224,$C88,'TL14'!$J$10:$J$224),0),
IF('TL14'!$B$229=P$3,SUMIF('TL14'!$C$238:$C$451,$C88,'TL14'!$J$238:$J$451),0),
IF('TL15'!$B$3=P$3,SUMIF('TL15'!$C$10:$C$224,$C88,'TL15'!$J$10:$J$224),0),
IF('TL15'!$B$229=P$3,SUMIF('TL15'!$C$238:$C$451,$C88,'TL15'!$J$238:$J$451),0),
IF('TL16'!$B$3=P$3,SUMIF('TL16'!$C$10:$C$224,$C88,'TL16'!$J$10:$J$224),0),
IF('TL16'!$B$229=P$3,SUMIF('TL16'!$C$238:$C$451,$C88,'TL16'!$J$238:$J$451),0),
IF('TL17'!$B$3=P$3,SUMIF('TL17'!$C$10:$C$224,$C88,'TL17'!$J$10:$J$224),0),
IF('TL17'!$B$229=P$3,SUMIF('TL17'!$C$238:$C$451,$C88,'TL17'!$J$238:$J$451),0),
IF('TL18'!$B$3=P$3,SUMIF('TL18'!$C$10:$C$224,$C88,'TL18'!$J$10:$J$224),0),
IF('TL18'!$B$229=P$3,SUMIF('TL18'!$C$238:$C$451,$C88,'TL18'!$J$238:$J$451),0),
IF('TL19'!$B$3=P$3,SUMIF('TL19'!$C$10:$C$224,$C88,'TL19'!$J$10:$J$224),0),
IF('TL19'!$B$229=P$3,SUMIF('TL19'!$C$238:$C$451,$C88,'TL19'!$J$238:$J$451),0)
),0)</f>
        <v/>
      </c>
      <c r="Q88" s="9">
        <f>IFERROR(SUM(
IF('TL01'!$B$3=Q$3,SUMIF('TL01'!$C$10:$C$224,$C88,'TL01'!$J$10:$J$224),0),
IF('TL01'!$B$229=Q$3,SUMIF('TL01'!$C$238:$C$451,$C88,'TL01'!$J$238:$J$451),0),
IF('TL02'!$B$3=Q$3,SUMIF('TL02'!$C$10:$C$224,$C88,'TL02'!$J$10:$J$224),0),
IF('TL02'!$B$229=Q$3,SUMIF('TL02'!$C$238:$C$451,$C88,'TL02'!$J$238:$J$451),0),
IF('TL03'!$B$3=Q$3,SUMIF('TL03'!$C$10:$C$224,$C88,'TL03'!$J$10:$J$224),0),
IF('TL03'!$B$229=Q$3,SUMIF('TL03'!$C$238:$C$451,$C88,'TL03'!$J$238:$J$451),0),
IF('TL04'!$B$3=Q$3,SUMIF('TL04'!$C$10:$C$224,$C88,'TL04'!$J$10:$J$224),0),
IF('TL04'!$B$229=Q$3,SUMIF('TL04'!$C$238:$C$451,$C88,'TL04'!$J$238:$J$451),0),
IF('TL05'!$B$3=Q$3,SUMIF('TL05'!$C$10:$C$224,$C88,'TL05'!$J$10:$J$224),0),
IF('TL05'!$B$229=Q$3,SUMIF('TL05'!$C$238:$C$451,$C88,'TL05'!$J$238:$J$451),0),
IF('TL06'!$B$3=Q$3,SUMIF('TL06'!$C$10:$C$224,$C88,'TL06'!$J$10:$J$224),0),
IF('TL06'!$B$229=Q$3,SUMIF('TL06'!$C$238:$C$451,$C88,'TL06'!$J$238:$J$451),0),
IF('TL07'!$B$3=Q$3,SUMIF('TL07'!$C$10:$C$224,$C88,'TL07'!$J$10:$J$224),0),
IF('TL07'!$B$229=Q$3,SUMIF('TL07'!$C$238:$C$451,$C88,'TL07'!$J$238:$J$451),0),
IF('TL08'!$B$3=Q$3,SUMIF('TL08'!$C$10:$C$224,$C88,'TL08'!$J$10:$J$224),0),
IF('TL08'!$B$229=Q$3,SUMIF('TL08'!$C$238:$C$451,$C88,'TL08'!$J$238:$J$451),0),
IF('TL09'!$B$3=Q$3,SUMIF('TL09'!$C$10:$C$224,$C88,'TL09'!$J$10:$J$224),0),
IF('TL09'!$B$229=Q$3,SUMIF('TL09'!$C$238:$C$451,$C88,'TL09'!$J$238:$J$451),0),
IF('TL10'!$B$3=Q$3,SUMIF('TL10'!$C$10:$C$224,$C88,'TL10'!$J$10:$J$224),0),
IF('TL10'!$B$229=Q$3,SUMIF('TL10'!$C$238:$C$451,$C88,'TL10'!$J$238:$J$451),0),
IF('TL11'!$B$3=Q$3,SUMIF('TL11'!$C$10:$C$224,$C88,'TL11'!$J$10:$J$224),0),
IF('TL11'!$B$229=Q$3,SUMIF('TL11'!$C$238:$C$451,$C88,'TL11'!$J$238:$J$451),0),
IF('TL12'!$B$3=Q$3,SUMIF('TL12'!$C$10:$C$224,$C88,'TL12'!$J$10:$J$224),0),
IF('TL12'!$B$229=Q$3,SUMIF('TL12'!$C$238:$C$451,$C88,'TL12'!$J$238:$J$451),0),
IF('TL13'!$B$3=Q$3,SUMIF('TL13'!$C$10:$C$224,$C88,'TL13'!$J$10:$J$224),0),
IF('TL13'!$B$229=Q$3,SUMIF('TL13'!$C$238:$C$451,$C88,'TL13'!$J$238:$J$451),0),
IF('TL14'!$B$3=Q$3,SUMIF('TL14'!$C$10:$C$224,$C88,'TL14'!$J$10:$J$224),0),
IF('TL14'!$B$229=Q$3,SUMIF('TL14'!$C$238:$C$451,$C88,'TL14'!$J$238:$J$451),0),
IF('TL15'!$B$3=Q$3,SUMIF('TL15'!$C$10:$C$224,$C88,'TL15'!$J$10:$J$224),0),
IF('TL15'!$B$229=Q$3,SUMIF('TL15'!$C$238:$C$451,$C88,'TL15'!$J$238:$J$451),0),
IF('TL16'!$B$3=Q$3,SUMIF('TL16'!$C$10:$C$224,$C88,'TL16'!$J$10:$J$224),0),
IF('TL16'!$B$229=Q$3,SUMIF('TL16'!$C$238:$C$451,$C88,'TL16'!$J$238:$J$451),0),
IF('TL17'!$B$3=Q$3,SUMIF('TL17'!$C$10:$C$224,$C88,'TL17'!$J$10:$J$224),0),
IF('TL17'!$B$229=Q$3,SUMIF('TL17'!$C$238:$C$451,$C88,'TL17'!$J$238:$J$451),0),
IF('TL18'!$B$3=Q$3,SUMIF('TL18'!$C$10:$C$224,$C88,'TL18'!$J$10:$J$224),0),
IF('TL18'!$B$229=Q$3,SUMIF('TL18'!$C$238:$C$451,$C88,'TL18'!$J$238:$J$451),0),
IF('TL19'!$B$3=Q$3,SUMIF('TL19'!$C$10:$C$224,$C88,'TL19'!$J$10:$J$224),0),
IF('TL19'!$B$229=Q$3,SUMIF('TL19'!$C$238:$C$451,$C88,'TL19'!$J$238:$J$451),0)
),0)</f>
        <v/>
      </c>
      <c r="R88" s="9">
        <f>IFERROR(
SUM(
SUMIF('TL01'!C:C,C88,'TL01'!J:J),
SUMIF('TL02'!C:C,C88,'TL02'!J:J),
SUMIF('TL03'!C:C,C88,'TL03'!J:J),
SUMIF('TL04'!C:C,C88,'TL04'!J:J),
SUMIF('TL05'!C:C,C88,'TL05'!J:J),
SUMIF('TL06'!C:C,C88,'TL06'!J:J),
SUMIF('TL07'!C:C,C88,'TL07'!J:J),
SUMIF('TL08'!C:C,C88,'TL08'!J:J),
SUMIF('TL09'!C:C,C88,'TL09'!J:J),
SUMIF('TL10'!C:C,C88,'TL10'!J:J),
SUMIF('TL11'!C:C,C88,'TL11'!J:J),
SUMIF('TL12'!C:C,C88,'TL12'!J:J),
SUMIF('TL13'!C:C,C88,'TL13'!J:J),
SUMIF('TL14'!C:C,C88,'TL14'!J:J),
SUMIF('TL15'!C:C,C88,'TL15'!J:J),
SUMIF('TL16'!C:C,C88,'TL16'!J:J),
SUMIF('TL17'!C:C,C88,'TL17'!J:J),
SUMIF('TL18'!C:C,C88,'TL18'!J:J),SUMIF('TL19'!C:C,C88,'TL19'!J:J))
,0)</f>
        <v/>
      </c>
      <c r="S88" s="17">
        <f>IFERROR(__xludf.DUMMYFUNCTION("IFERROR(VLOOKUP(C88,
IMPORTRANGE(""1wULbzX32WdYsx-lj2U3uUNBBe2INVIRDtcK0d-Dvl90"",
""26-27!C:G""),
5,
FALSE),
"""")"),40.946400000000004)</f>
        <v/>
      </c>
      <c r="T88" s="9" t="n"/>
      <c r="U88" s="92">
        <f>MAX(0,R88-T88)</f>
        <v/>
      </c>
      <c r="V88" s="93">
        <f>U88*S88</f>
        <v/>
      </c>
    </row>
    <row r="89" hidden="1" ht="15.75" customHeight="1" s="297">
      <c r="A89" s="111" t="inlineStr">
        <is>
          <t>SUMITOMO</t>
        </is>
      </c>
      <c r="B89" s="112" t="inlineStr">
        <is>
          <t>FUNGICIDA</t>
        </is>
      </c>
      <c r="C89" s="113" t="inlineStr">
        <is>
          <t>TROIA</t>
        </is>
      </c>
      <c r="D89" s="113" t="inlineStr">
        <is>
          <t>MANCOZEBE</t>
        </is>
      </c>
      <c r="E89" s="113" t="n">
        <v>800</v>
      </c>
      <c r="F89" s="4" t="inlineStr">
        <is>
          <t>KG</t>
        </is>
      </c>
      <c r="G89" s="90">
        <f>HYPERLINK("https://www.google.com/search?q=" &amp; C89 &amp; "+bula+agrofit+pdf", "📄 Ver bula")</f>
        <v/>
      </c>
      <c r="H89" s="9">
        <f>IFERROR(__xludf.DUMMYFUNCTION("IFERROR(VLOOKUP(C89,
IMPORTRANGE(""1wULbzX32WdYsx-lj2U3uUNBBe2INVIRDtcK0d-Dvl90"",
""26-27!C:K""),
8,
FALSE),
"""")"),1.5)</f>
        <v/>
      </c>
      <c r="I89" s="114" t="inlineStr">
        <is>
          <t>1x10</t>
        </is>
      </c>
      <c r="J89" s="9">
        <f>IFERROR(SUM(
IF('TL01'!$B$3=J$3,SUMIF('TL01'!$C$10:$C$224,$C89,'TL01'!$J$10:$J$224),0),
IF('TL01'!$B$229=J$3,SUMIF('TL01'!$C$238:$C$451,$C89,'TL01'!$J$238:$J$451),0),
IF('TL02'!$B$3=J$3,SUMIF('TL02'!$C$10:$C$224,$C89,'TL02'!$J$10:$J$224),0),
IF('TL02'!$B$229=J$3,SUMIF('TL02'!$C$238:$C$451,$C89,'TL02'!$J$238:$J$451),0),
IF('TL03'!$B$3=J$3,SUMIF('TL03'!$C$10:$C$224,$C89,'TL03'!$J$10:$J$224),0),
IF('TL03'!$B$229=J$3,SUMIF('TL03'!$C$238:$C$451,$C89,'TL03'!$J$238:$J$451),0),
IF('TL04'!$B$3=J$3,SUMIF('TL04'!$C$10:$C$224,$C89,'TL04'!$J$10:$J$224),0),
IF('TL04'!$B$229=J$3,SUMIF('TL04'!$C$238:$C$451,$C89,'TL04'!$J$238:$J$451),0),
IF('TL05'!$B$3=J$3,SUMIF('TL05'!$C$10:$C$224,$C89,'TL05'!$J$10:$J$224),0),
IF('TL05'!$B$229=J$3,SUMIF('TL05'!$C$238:$C$451,$C89,'TL05'!$J$238:$J$451),0),
IF('TL06'!$B$3=J$3,SUMIF('TL06'!$C$10:$C$224,$C89,'TL06'!$J$10:$J$224),0),
IF('TL06'!$B$229=J$3,SUMIF('TL06'!$C$238:$C$451,$C89,'TL06'!$J$238:$J$451),0),
IF('TL07'!$B$3=J$3,SUMIF('TL07'!$C$10:$C$224,$C89,'TL07'!$J$10:$J$224),0),
IF('TL07'!$B$229=J$3,SUMIF('TL07'!$C$238:$C$451,$C89,'TL07'!$J$238:$J$451),0),
IF('TL08'!$B$3=J$3,SUMIF('TL08'!$C$10:$C$224,$C89,'TL08'!$J$10:$J$224),0),
IF('TL08'!$B$229=J$3,SUMIF('TL08'!$C$238:$C$451,$C89,'TL08'!$J$238:$J$451),0),
IF('TL09'!$B$3=J$3,SUMIF('TL09'!$C$10:$C$224,$C89,'TL09'!$J$10:$J$224),0),
IF('TL09'!$B$229=J$3,SUMIF('TL09'!$C$238:$C$451,$C89,'TL09'!$J$238:$J$451),0),
IF('TL10'!$B$3=J$3,SUMIF('TL10'!$C$10:$C$224,$C89,'TL10'!$J$10:$J$224),0),
IF('TL10'!$B$229=J$3,SUMIF('TL10'!$C$238:$C$451,$C89,'TL10'!$J$238:$J$451),0),
IF('TL11'!$B$3=J$3,SUMIF('TL11'!$C$10:$C$224,$C89,'TL11'!$J$10:$J$224),0),
IF('TL11'!$B$229=J$3,SUMIF('TL11'!$C$238:$C$451,$C89,'TL11'!$J$238:$J$451),0),
IF('TL12'!$B$3=J$3,SUMIF('TL12'!$C$10:$C$224,$C89,'TL12'!$J$10:$J$224),0),
IF('TL12'!$B$229=J$3,SUMIF('TL12'!$C$238:$C$451,$C89,'TL12'!$J$238:$J$451),0),
IF('TL13'!$B$3=J$3,SUMIF('TL13'!$C$10:$C$224,$C89,'TL13'!$J$10:$J$224),0),
IF('TL13'!$B$229=J$3,SUMIF('TL13'!$C$238:$C$451,$C89,'TL13'!$J$238:$J$451),0),
IF('TL14'!$B$3=J$3,SUMIF('TL14'!$C$10:$C$224,$C89,'TL14'!$J$10:$J$224),0),
IF('TL14'!$B$229=J$3,SUMIF('TL14'!$C$238:$C$451,$C89,'TL14'!$J$238:$J$451),0),
IF('TL15'!$B$3=J$3,SUMIF('TL15'!$C$10:$C$224,$C89,'TL15'!$J$10:$J$224),0),
IF('TL15'!$B$229=J$3,SUMIF('TL15'!$C$238:$C$451,$C89,'TL15'!$J$238:$J$451),0),
IF('TL16'!$B$3=J$3,SUMIF('TL16'!$C$10:$C$224,$C89,'TL16'!$J$10:$J$224),0),
IF('TL16'!$B$229=J$3,SUMIF('TL16'!$C$238:$C$451,$C89,'TL16'!$J$238:$J$451),0),
IF('TL17'!$B$3=J$3,SUMIF('TL17'!$C$10:$C$224,$C89,'TL17'!$J$10:$J$224),0),
IF('TL17'!$B$229=J$3,SUMIF('TL17'!$C$238:$C$451,$C89,'TL17'!$J$238:$J$451),0),
IF('TL18'!$B$3=J$3,SUMIF('TL18'!$C$10:$C$224,$C89,'TL18'!$J$10:$J$224),0),
IF('TL18'!$B$229=J$3,SUMIF('TL18'!$C$238:$C$451,$C89,'TL18'!$J$238:$J$451),0),
IF('TL19'!$B$3=J$3,SUMIF('TL19'!$C$10:$C$224,$C89,'TL19'!$J$10:$J$224),0),
IF('TL19'!$B$229=J$3,SUMIF('TL19'!$C$238:$C$451,$C89,'TL19'!$J$238:$J$451),0)
),0)</f>
        <v/>
      </c>
      <c r="K89" s="9">
        <f>IFERROR(SUM(
IF('TL01'!$B$3=K$3,SUMIF('TL01'!$C$10:$C$224,$C89,'TL01'!$J$10:$J$224),0),
IF('TL01'!$B$229=K$3,SUMIF('TL01'!$C$238:$C$451,$C89,'TL01'!$J$238:$J$451),0),
IF('TL02'!$B$3=K$3,SUMIF('TL02'!$C$10:$C$224,$C89,'TL02'!$J$10:$J$224),0),
IF('TL02'!$B$229=K$3,SUMIF('TL02'!$C$238:$C$451,$C89,'TL02'!$J$238:$J$451),0),
IF('TL03'!$B$3=K$3,SUMIF('TL03'!$C$10:$C$224,$C89,'TL03'!$J$10:$J$224),0),
IF('TL03'!$B$229=K$3,SUMIF('TL03'!$C$238:$C$451,$C89,'TL03'!$J$238:$J$451),0),
IF('TL04'!$B$3=K$3,SUMIF('TL04'!$C$10:$C$224,$C89,'TL04'!$J$10:$J$224),0),
IF('TL04'!$B$229=K$3,SUMIF('TL04'!$C$238:$C$451,$C89,'TL04'!$J$238:$J$451),0),
IF('TL05'!$B$3=K$3,SUMIF('TL05'!$C$10:$C$224,$C89,'TL05'!$J$10:$J$224),0),
IF('TL05'!$B$229=K$3,SUMIF('TL05'!$C$238:$C$451,$C89,'TL05'!$J$238:$J$451),0),
IF('TL06'!$B$3=K$3,SUMIF('TL06'!$C$10:$C$224,$C89,'TL06'!$J$10:$J$224),0),
IF('TL06'!$B$229=K$3,SUMIF('TL06'!$C$238:$C$451,$C89,'TL06'!$J$238:$J$451),0),
IF('TL07'!$B$3=K$3,SUMIF('TL07'!$C$10:$C$224,$C89,'TL07'!$J$10:$J$224),0),
IF('TL07'!$B$229=K$3,SUMIF('TL07'!$C$238:$C$451,$C89,'TL07'!$J$238:$J$451),0),
IF('TL08'!$B$3=K$3,SUMIF('TL08'!$C$10:$C$224,$C89,'TL08'!$J$10:$J$224),0),
IF('TL08'!$B$229=K$3,SUMIF('TL08'!$C$238:$C$451,$C89,'TL08'!$J$238:$J$451),0),
IF('TL09'!$B$3=K$3,SUMIF('TL09'!$C$10:$C$224,$C89,'TL09'!$J$10:$J$224),0),
IF('TL09'!$B$229=K$3,SUMIF('TL09'!$C$238:$C$451,$C89,'TL09'!$J$238:$J$451),0),
IF('TL10'!$B$3=K$3,SUMIF('TL10'!$C$10:$C$224,$C89,'TL10'!$J$10:$J$224),0),
IF('TL10'!$B$229=K$3,SUMIF('TL10'!$C$238:$C$451,$C89,'TL10'!$J$238:$J$451),0),
IF('TL11'!$B$3=K$3,SUMIF('TL11'!$C$10:$C$224,$C89,'TL11'!$J$10:$J$224),0),
IF('TL11'!$B$229=K$3,SUMIF('TL11'!$C$238:$C$451,$C89,'TL11'!$J$238:$J$451),0),
IF('TL12'!$B$3=K$3,SUMIF('TL12'!$C$10:$C$224,$C89,'TL12'!$J$10:$J$224),0),
IF('TL12'!$B$229=K$3,SUMIF('TL12'!$C$238:$C$451,$C89,'TL12'!$J$238:$J$451),0),
IF('TL13'!$B$3=K$3,SUMIF('TL13'!$C$10:$C$224,$C89,'TL13'!$J$10:$J$224),0),
IF('TL13'!$B$229=K$3,SUMIF('TL13'!$C$238:$C$451,$C89,'TL13'!$J$238:$J$451),0),
IF('TL14'!$B$3=K$3,SUMIF('TL14'!$C$10:$C$224,$C89,'TL14'!$J$10:$J$224),0),
IF('TL14'!$B$229=K$3,SUMIF('TL14'!$C$238:$C$451,$C89,'TL14'!$J$238:$J$451),0),
IF('TL15'!$B$3=K$3,SUMIF('TL15'!$C$10:$C$224,$C89,'TL15'!$J$10:$J$224),0),
IF('TL15'!$B$229=K$3,SUMIF('TL15'!$C$238:$C$451,$C89,'TL15'!$J$238:$J$451),0),
IF('TL16'!$B$3=K$3,SUMIF('TL16'!$C$10:$C$224,$C89,'TL16'!$J$10:$J$224),0),
IF('TL16'!$B$229=K$3,SUMIF('TL16'!$C$238:$C$451,$C89,'TL16'!$J$238:$J$451),0),
IF('TL17'!$B$3=K$3,SUMIF('TL17'!$C$10:$C$224,$C89,'TL17'!$J$10:$J$224),0),
IF('TL17'!$B$229=K$3,SUMIF('TL17'!$C$238:$C$451,$C89,'TL17'!$J$238:$J$451),0),
IF('TL18'!$B$3=K$3,SUMIF('TL18'!$C$10:$C$224,$C89,'TL18'!$J$10:$J$224),0),
IF('TL18'!$B$229=K$3,SUMIF('TL18'!$C$238:$C$451,$C89,'TL18'!$J$238:$J$451),0),
IF('TL19'!$B$3=K$3,SUMIF('TL19'!$C$10:$C$224,$C89,'TL19'!$J$10:$J$224),0),
IF('TL19'!$B$229=K$3,SUMIF('TL19'!$C$238:$C$451,$C89,'TL19'!$J$238:$J$451),0)
),0)</f>
        <v/>
      </c>
      <c r="L89" s="9">
        <f>IFERROR(SUM(
IF('TL01'!$B$3=L$3,SUMIF('TL01'!$C$10:$C$224,$C89,'TL01'!$J$10:$J$224),0),
IF('TL01'!$B$229=L$3,SUMIF('TL01'!$C$238:$C$451,$C89,'TL01'!$J$238:$J$451),0),
IF('TL02'!$B$3=L$3,SUMIF('TL02'!$C$10:$C$224,$C89,'TL02'!$J$10:$J$224),0),
IF('TL02'!$B$229=L$3,SUMIF('TL02'!$C$238:$C$451,$C89,'TL02'!$J$238:$J$451),0),
IF('TL03'!$B$3=L$3,SUMIF('TL03'!$C$10:$C$224,$C89,'TL03'!$J$10:$J$224),0),
IF('TL03'!$B$229=L$3,SUMIF('TL03'!$C$238:$C$451,$C89,'TL03'!$J$238:$J$451),0),
IF('TL04'!$B$3=L$3,SUMIF('TL04'!$C$10:$C$224,$C89,'TL04'!$J$10:$J$224),0),
IF('TL04'!$B$229=L$3,SUMIF('TL04'!$C$238:$C$451,$C89,'TL04'!$J$238:$J$451),0),
IF('TL05'!$B$3=L$3,SUMIF('TL05'!$C$10:$C$224,$C89,'TL05'!$J$10:$J$224),0),
IF('TL05'!$B$229=L$3,SUMIF('TL05'!$C$238:$C$451,$C89,'TL05'!$J$238:$J$451),0),
IF('TL06'!$B$3=L$3,SUMIF('TL06'!$C$10:$C$224,$C89,'TL06'!$J$10:$J$224),0),
IF('TL06'!$B$229=L$3,SUMIF('TL06'!$C$238:$C$451,$C89,'TL06'!$J$238:$J$451),0),
IF('TL07'!$B$3=L$3,SUMIF('TL07'!$C$10:$C$224,$C89,'TL07'!$J$10:$J$224),0),
IF('TL07'!$B$229=L$3,SUMIF('TL07'!$C$238:$C$451,$C89,'TL07'!$J$238:$J$451),0),
IF('TL08'!$B$3=L$3,SUMIF('TL08'!$C$10:$C$224,$C89,'TL08'!$J$10:$J$224),0),
IF('TL08'!$B$229=L$3,SUMIF('TL08'!$C$238:$C$451,$C89,'TL08'!$J$238:$J$451),0),
IF('TL09'!$B$3=L$3,SUMIF('TL09'!$C$10:$C$224,$C89,'TL09'!$J$10:$J$224),0),
IF('TL09'!$B$229=L$3,SUMIF('TL09'!$C$238:$C$451,$C89,'TL09'!$J$238:$J$451),0),
IF('TL10'!$B$3=L$3,SUMIF('TL10'!$C$10:$C$224,$C89,'TL10'!$J$10:$J$224),0),
IF('TL10'!$B$229=L$3,SUMIF('TL10'!$C$238:$C$451,$C89,'TL10'!$J$238:$J$451),0),
IF('TL11'!$B$3=L$3,SUMIF('TL11'!$C$10:$C$224,$C89,'TL11'!$J$10:$J$224),0),
IF('TL11'!$B$229=L$3,SUMIF('TL11'!$C$238:$C$451,$C89,'TL11'!$J$238:$J$451),0),
IF('TL12'!$B$3=L$3,SUMIF('TL12'!$C$10:$C$224,$C89,'TL12'!$J$10:$J$224),0),
IF('TL12'!$B$229=L$3,SUMIF('TL12'!$C$238:$C$451,$C89,'TL12'!$J$238:$J$451),0),
IF('TL13'!$B$3=L$3,SUMIF('TL13'!$C$10:$C$224,$C89,'TL13'!$J$10:$J$224),0),
IF('TL13'!$B$229=L$3,SUMIF('TL13'!$C$238:$C$451,$C89,'TL13'!$J$238:$J$451),0),
IF('TL14'!$B$3=L$3,SUMIF('TL14'!$C$10:$C$224,$C89,'TL14'!$J$10:$J$224),0),
IF('TL14'!$B$229=L$3,SUMIF('TL14'!$C$238:$C$451,$C89,'TL14'!$J$238:$J$451),0),
IF('TL15'!$B$3=L$3,SUMIF('TL15'!$C$10:$C$224,$C89,'TL15'!$J$10:$J$224),0),
IF('TL15'!$B$229=L$3,SUMIF('TL15'!$C$238:$C$451,$C89,'TL15'!$J$238:$J$451),0),
IF('TL16'!$B$3=L$3,SUMIF('TL16'!$C$10:$C$224,$C89,'TL16'!$J$10:$J$224),0),
IF('TL16'!$B$229=L$3,SUMIF('TL16'!$C$238:$C$451,$C89,'TL16'!$J$238:$J$451),0),
IF('TL17'!$B$3=L$3,SUMIF('TL17'!$C$10:$C$224,$C89,'TL17'!$J$10:$J$224),0),
IF('TL17'!$B$229=L$3,SUMIF('TL17'!$C$238:$C$451,$C89,'TL17'!$J$238:$J$451),0),
IF('TL18'!$B$3=L$3,SUMIF('TL18'!$C$10:$C$224,$C89,'TL18'!$J$10:$J$224),0),
IF('TL18'!$B$229=L$3,SUMIF('TL18'!$C$238:$C$451,$C89,'TL18'!$J$238:$J$451),0),
IF('TL19'!$B$3=L$3,SUMIF('TL19'!$C$10:$C$224,$C89,'TL19'!$J$10:$J$224),0),
IF('TL19'!$B$229=L$3,SUMIF('TL19'!$C$238:$C$451,$C89,'TL19'!$J$238:$J$451),0)
),0)</f>
        <v/>
      </c>
      <c r="M89" s="9">
        <f>IFERROR(SUM(
IF('TL01'!$B$3=M$3,SUMIF('TL01'!$C$10:$C$224,$C89,'TL01'!$J$10:$J$224),0),
IF('TL01'!$B$229=M$3,SUMIF('TL01'!$C$238:$C$451,$C89,'TL01'!$J$238:$J$451),0),
IF('TL02'!$B$3=M$3,SUMIF('TL02'!$C$10:$C$224,$C89,'TL02'!$J$10:$J$224),0),
IF('TL02'!$B$229=M$3,SUMIF('TL02'!$C$238:$C$451,$C89,'TL02'!$J$238:$J$451),0),
IF('TL03'!$B$3=M$3,SUMIF('TL03'!$C$10:$C$224,$C89,'TL03'!$J$10:$J$224),0),
IF('TL03'!$B$229=M$3,SUMIF('TL03'!$C$238:$C$451,$C89,'TL03'!$J$238:$J$451),0),
IF('TL04'!$B$3=M$3,SUMIF('TL04'!$C$10:$C$224,$C89,'TL04'!$J$10:$J$224),0),
IF('TL04'!$B$229=M$3,SUMIF('TL04'!$C$238:$C$451,$C89,'TL04'!$J$238:$J$451),0),
IF('TL05'!$B$3=M$3,SUMIF('TL05'!$C$10:$C$224,$C89,'TL05'!$J$10:$J$224),0),
IF('TL05'!$B$229=M$3,SUMIF('TL05'!$C$238:$C$451,$C89,'TL05'!$J$238:$J$451),0),
IF('TL06'!$B$3=M$3,SUMIF('TL06'!$C$10:$C$224,$C89,'TL06'!$J$10:$J$224),0),
IF('TL06'!$B$229=M$3,SUMIF('TL06'!$C$238:$C$451,$C89,'TL06'!$J$238:$J$451),0),
IF('TL07'!$B$3=M$3,SUMIF('TL07'!$C$10:$C$224,$C89,'TL07'!$J$10:$J$224),0),
IF('TL07'!$B$229=M$3,SUMIF('TL07'!$C$238:$C$451,$C89,'TL07'!$J$238:$J$451),0),
IF('TL08'!$B$3=M$3,SUMIF('TL08'!$C$10:$C$224,$C89,'TL08'!$J$10:$J$224),0),
IF('TL08'!$B$229=M$3,SUMIF('TL08'!$C$238:$C$451,$C89,'TL08'!$J$238:$J$451),0),
IF('TL09'!$B$3=M$3,SUMIF('TL09'!$C$10:$C$224,$C89,'TL09'!$J$10:$J$224),0),
IF('TL09'!$B$229=M$3,SUMIF('TL09'!$C$238:$C$451,$C89,'TL09'!$J$238:$J$451),0),
IF('TL10'!$B$3=M$3,SUMIF('TL10'!$C$10:$C$224,$C89,'TL10'!$J$10:$J$224),0),
IF('TL10'!$B$229=M$3,SUMIF('TL10'!$C$238:$C$451,$C89,'TL10'!$J$238:$J$451),0),
IF('TL11'!$B$3=M$3,SUMIF('TL11'!$C$10:$C$224,$C89,'TL11'!$J$10:$J$224),0),
IF('TL11'!$B$229=M$3,SUMIF('TL11'!$C$238:$C$451,$C89,'TL11'!$J$238:$J$451),0),
IF('TL12'!$B$3=M$3,SUMIF('TL12'!$C$10:$C$224,$C89,'TL12'!$J$10:$J$224),0),
IF('TL12'!$B$229=M$3,SUMIF('TL12'!$C$238:$C$451,$C89,'TL12'!$J$238:$J$451),0),
IF('TL13'!$B$3=M$3,SUMIF('TL13'!$C$10:$C$224,$C89,'TL13'!$J$10:$J$224),0),
IF('TL13'!$B$229=M$3,SUMIF('TL13'!$C$238:$C$451,$C89,'TL13'!$J$238:$J$451),0),
IF('TL14'!$B$3=M$3,SUMIF('TL14'!$C$10:$C$224,$C89,'TL14'!$J$10:$J$224),0),
IF('TL14'!$B$229=M$3,SUMIF('TL14'!$C$238:$C$451,$C89,'TL14'!$J$238:$J$451),0),
IF('TL15'!$B$3=M$3,SUMIF('TL15'!$C$10:$C$224,$C89,'TL15'!$J$10:$J$224),0),
IF('TL15'!$B$229=M$3,SUMIF('TL15'!$C$238:$C$451,$C89,'TL15'!$J$238:$J$451),0),
IF('TL16'!$B$3=M$3,SUMIF('TL16'!$C$10:$C$224,$C89,'TL16'!$J$10:$J$224),0),
IF('TL16'!$B$229=M$3,SUMIF('TL16'!$C$238:$C$451,$C89,'TL16'!$J$238:$J$451),0),
IF('TL17'!$B$3=M$3,SUMIF('TL17'!$C$10:$C$224,$C89,'TL17'!$J$10:$J$224),0),
IF('TL17'!$B$229=M$3,SUMIF('TL17'!$C$238:$C$451,$C89,'TL17'!$J$238:$J$451),0),
IF('TL18'!$B$3=M$3,SUMIF('TL18'!$C$10:$C$224,$C89,'TL18'!$J$10:$J$224),0),
IF('TL18'!$B$229=M$3,SUMIF('TL18'!$C$238:$C$451,$C89,'TL18'!$J$238:$J$451),0),
IF('TL19'!$B$3=M$3,SUMIF('TL19'!$C$10:$C$224,$C89,'TL19'!$J$10:$J$224),0),
IF('TL19'!$B$229=M$3,SUMIF('TL19'!$C$238:$C$451,$C89,'TL19'!$J$238:$J$451),0)
),0)</f>
        <v/>
      </c>
      <c r="N89" s="9">
        <f>IFERROR(SUM(
IF('TL01'!$B$3=N$3,SUMIF('TL01'!$C$10:$C$224,$C89,'TL01'!$J$10:$J$224),0),
IF('TL01'!$B$229=N$3,SUMIF('TL01'!$C$238:$C$451,$C89,'TL01'!$J$238:$J$451),0),
IF('TL02'!$B$3=N$3,SUMIF('TL02'!$C$10:$C$224,$C89,'TL02'!$J$10:$J$224),0),
IF('TL02'!$B$229=N$3,SUMIF('TL02'!$C$238:$C$451,$C89,'TL02'!$J$238:$J$451),0),
IF('TL03'!$B$3=N$3,SUMIF('TL03'!$C$10:$C$224,$C89,'TL03'!$J$10:$J$224),0),
IF('TL03'!$B$229=N$3,SUMIF('TL03'!$C$238:$C$451,$C89,'TL03'!$J$238:$J$451),0),
IF('TL04'!$B$3=N$3,SUMIF('TL04'!$C$10:$C$224,$C89,'TL04'!$J$10:$J$224),0),
IF('TL04'!$B$229=N$3,SUMIF('TL04'!$C$238:$C$451,$C89,'TL04'!$J$238:$J$451),0),
IF('TL05'!$B$3=N$3,SUMIF('TL05'!$C$10:$C$224,$C89,'TL05'!$J$10:$J$224),0),
IF('TL05'!$B$229=N$3,SUMIF('TL05'!$C$238:$C$451,$C89,'TL05'!$J$238:$J$451),0),
IF('TL06'!$B$3=N$3,SUMIF('TL06'!$C$10:$C$224,$C89,'TL06'!$J$10:$J$224),0),
IF('TL06'!$B$229=N$3,SUMIF('TL06'!$C$238:$C$451,$C89,'TL06'!$J$238:$J$451),0),
IF('TL07'!$B$3=N$3,SUMIF('TL07'!$C$10:$C$224,$C89,'TL07'!$J$10:$J$224),0),
IF('TL07'!$B$229=N$3,SUMIF('TL07'!$C$238:$C$451,$C89,'TL07'!$J$238:$J$451),0),
IF('TL08'!$B$3=N$3,SUMIF('TL08'!$C$10:$C$224,$C89,'TL08'!$J$10:$J$224),0),
IF('TL08'!$B$229=N$3,SUMIF('TL08'!$C$238:$C$451,$C89,'TL08'!$J$238:$J$451),0),
IF('TL09'!$B$3=N$3,SUMIF('TL09'!$C$10:$C$224,$C89,'TL09'!$J$10:$J$224),0),
IF('TL09'!$B$229=N$3,SUMIF('TL09'!$C$238:$C$451,$C89,'TL09'!$J$238:$J$451),0),
IF('TL10'!$B$3=N$3,SUMIF('TL10'!$C$10:$C$224,$C89,'TL10'!$J$10:$J$224),0),
IF('TL10'!$B$229=N$3,SUMIF('TL10'!$C$238:$C$451,$C89,'TL10'!$J$238:$J$451),0),
IF('TL11'!$B$3=N$3,SUMIF('TL11'!$C$10:$C$224,$C89,'TL11'!$J$10:$J$224),0),
IF('TL11'!$B$229=N$3,SUMIF('TL11'!$C$238:$C$451,$C89,'TL11'!$J$238:$J$451),0),
IF('TL12'!$B$3=N$3,SUMIF('TL12'!$C$10:$C$224,$C89,'TL12'!$J$10:$J$224),0),
IF('TL12'!$B$229=N$3,SUMIF('TL12'!$C$238:$C$451,$C89,'TL12'!$J$238:$J$451),0),
IF('TL13'!$B$3=N$3,SUMIF('TL13'!$C$10:$C$224,$C89,'TL13'!$J$10:$J$224),0),
IF('TL13'!$B$229=N$3,SUMIF('TL13'!$C$238:$C$451,$C89,'TL13'!$J$238:$J$451),0),
IF('TL14'!$B$3=N$3,SUMIF('TL14'!$C$10:$C$224,$C89,'TL14'!$J$10:$J$224),0),
IF('TL14'!$B$229=N$3,SUMIF('TL14'!$C$238:$C$451,$C89,'TL14'!$J$238:$J$451),0),
IF('TL15'!$B$3=N$3,SUMIF('TL15'!$C$10:$C$224,$C89,'TL15'!$J$10:$J$224),0),
IF('TL15'!$B$229=N$3,SUMIF('TL15'!$C$238:$C$451,$C89,'TL15'!$J$238:$J$451),0),
IF('TL16'!$B$3=N$3,SUMIF('TL16'!$C$10:$C$224,$C89,'TL16'!$J$10:$J$224),0),
IF('TL16'!$B$229=N$3,SUMIF('TL16'!$C$238:$C$451,$C89,'TL16'!$J$238:$J$451),0),
IF('TL17'!$B$3=N$3,SUMIF('TL17'!$C$10:$C$224,$C89,'TL17'!$J$10:$J$224),0),
IF('TL17'!$B$229=N$3,SUMIF('TL17'!$C$238:$C$451,$C89,'TL17'!$J$238:$J$451),0),
IF('TL18'!$B$3=N$3,SUMIF('TL18'!$C$10:$C$224,$C89,'TL18'!$J$10:$J$224),0),
IF('TL18'!$B$229=N$3,SUMIF('TL18'!$C$238:$C$451,$C89,'TL18'!$J$238:$J$451),0),
IF('TL19'!$B$3=N$3,SUMIF('TL19'!$C$10:$C$224,$C89,'TL19'!$J$10:$J$224),0),
IF('TL19'!$B$229=N$3,SUMIF('TL19'!$C$238:$C$451,$C89,'TL19'!$J$238:$J$451),0)
),0)</f>
        <v/>
      </c>
      <c r="O89" s="9">
        <f>IFERROR(SUM(
IF('TL01'!$B$3=O$3,SUMIF('TL01'!$C$10:$C$224,$C89,'TL01'!$J$10:$J$224),0),
IF('TL01'!$B$229=O$3,SUMIF('TL01'!$C$238:$C$451,$C89,'TL01'!$J$238:$J$451),0),
IF('TL02'!$B$3=O$3,SUMIF('TL02'!$C$10:$C$224,$C89,'TL02'!$J$10:$J$224),0),
IF('TL02'!$B$229=O$3,SUMIF('TL02'!$C$238:$C$451,$C89,'TL02'!$J$238:$J$451),0),
IF('TL03'!$B$3=O$3,SUMIF('TL03'!$C$10:$C$224,$C89,'TL03'!$J$10:$J$224),0),
IF('TL03'!$B$229=O$3,SUMIF('TL03'!$C$238:$C$451,$C89,'TL03'!$J$238:$J$451),0),
IF('TL04'!$B$3=O$3,SUMIF('TL04'!$C$10:$C$224,$C89,'TL04'!$J$10:$J$224),0),
IF('TL04'!$B$229=O$3,SUMIF('TL04'!$C$238:$C$451,$C89,'TL04'!$J$238:$J$451),0),
IF('TL05'!$B$3=O$3,SUMIF('TL05'!$C$10:$C$224,$C89,'TL05'!$J$10:$J$224),0),
IF('TL05'!$B$229=O$3,SUMIF('TL05'!$C$238:$C$451,$C89,'TL05'!$J$238:$J$451),0),
IF('TL06'!$B$3=O$3,SUMIF('TL06'!$C$10:$C$224,$C89,'TL06'!$J$10:$J$224),0),
IF('TL06'!$B$229=O$3,SUMIF('TL06'!$C$238:$C$451,$C89,'TL06'!$J$238:$J$451),0),
IF('TL07'!$B$3=O$3,SUMIF('TL07'!$C$10:$C$224,$C89,'TL07'!$J$10:$J$224),0),
IF('TL07'!$B$229=O$3,SUMIF('TL07'!$C$238:$C$451,$C89,'TL07'!$J$238:$J$451),0),
IF('TL08'!$B$3=O$3,SUMIF('TL08'!$C$10:$C$224,$C89,'TL08'!$J$10:$J$224),0),
IF('TL08'!$B$229=O$3,SUMIF('TL08'!$C$238:$C$451,$C89,'TL08'!$J$238:$J$451),0),
IF('TL09'!$B$3=O$3,SUMIF('TL09'!$C$10:$C$224,$C89,'TL09'!$J$10:$J$224),0),
IF('TL09'!$B$229=O$3,SUMIF('TL09'!$C$238:$C$451,$C89,'TL09'!$J$238:$J$451),0),
IF('TL10'!$B$3=O$3,SUMIF('TL10'!$C$10:$C$224,$C89,'TL10'!$J$10:$J$224),0),
IF('TL10'!$B$229=O$3,SUMIF('TL10'!$C$238:$C$451,$C89,'TL10'!$J$238:$J$451),0),
IF('TL11'!$B$3=O$3,SUMIF('TL11'!$C$10:$C$224,$C89,'TL11'!$J$10:$J$224),0),
IF('TL11'!$B$229=O$3,SUMIF('TL11'!$C$238:$C$451,$C89,'TL11'!$J$238:$J$451),0),
IF('TL12'!$B$3=O$3,SUMIF('TL12'!$C$10:$C$224,$C89,'TL12'!$J$10:$J$224),0),
IF('TL12'!$B$229=O$3,SUMIF('TL12'!$C$238:$C$451,$C89,'TL12'!$J$238:$J$451),0),
IF('TL13'!$B$3=O$3,SUMIF('TL13'!$C$10:$C$224,$C89,'TL13'!$J$10:$J$224),0),
IF('TL13'!$B$229=O$3,SUMIF('TL13'!$C$238:$C$451,$C89,'TL13'!$J$238:$J$451),0),
IF('TL14'!$B$3=O$3,SUMIF('TL14'!$C$10:$C$224,$C89,'TL14'!$J$10:$J$224),0),
IF('TL14'!$B$229=O$3,SUMIF('TL14'!$C$238:$C$451,$C89,'TL14'!$J$238:$J$451),0),
IF('TL15'!$B$3=O$3,SUMIF('TL15'!$C$10:$C$224,$C89,'TL15'!$J$10:$J$224),0),
IF('TL15'!$B$229=O$3,SUMIF('TL15'!$C$238:$C$451,$C89,'TL15'!$J$238:$J$451),0),
IF('TL16'!$B$3=O$3,SUMIF('TL16'!$C$10:$C$224,$C89,'TL16'!$J$10:$J$224),0),
IF('TL16'!$B$229=O$3,SUMIF('TL16'!$C$238:$C$451,$C89,'TL16'!$J$238:$J$451),0),
IF('TL17'!$B$3=O$3,SUMIF('TL17'!$C$10:$C$224,$C89,'TL17'!$J$10:$J$224),0),
IF('TL17'!$B$229=O$3,SUMIF('TL17'!$C$238:$C$451,$C89,'TL17'!$J$238:$J$451),0),
IF('TL18'!$B$3=O$3,SUMIF('TL18'!$C$10:$C$224,$C89,'TL18'!$J$10:$J$224),0),
IF('TL18'!$B$229=O$3,SUMIF('TL18'!$C$238:$C$451,$C89,'TL18'!$J$238:$J$451),0),
IF('TL19'!$B$3=O$3,SUMIF('TL19'!$C$10:$C$224,$C89,'TL19'!$J$10:$J$224),0),
IF('TL19'!$B$229=O$3,SUMIF('TL19'!$C$238:$C$451,$C89,'TL19'!$J$238:$J$451),0)
),0)</f>
        <v/>
      </c>
      <c r="P89" s="9">
        <f>IFERROR(SUM(
IF('TL01'!$B$3=P$3,SUMIF('TL01'!$C$10:$C$224,$C89,'TL01'!$J$10:$J$224),0),
IF('TL01'!$B$229=P$3,SUMIF('TL01'!$C$238:$C$451,$C89,'TL01'!$J$238:$J$451),0),
IF('TL02'!$B$3=P$3,SUMIF('TL02'!$C$10:$C$224,$C89,'TL02'!$J$10:$J$224),0),
IF('TL02'!$B$229=P$3,SUMIF('TL02'!$C$238:$C$451,$C89,'TL02'!$J$238:$J$451),0),
IF('TL03'!$B$3=P$3,SUMIF('TL03'!$C$10:$C$224,$C89,'TL03'!$J$10:$J$224),0),
IF('TL03'!$B$229=P$3,SUMIF('TL03'!$C$238:$C$451,$C89,'TL03'!$J$238:$J$451),0),
IF('TL04'!$B$3=P$3,SUMIF('TL04'!$C$10:$C$224,$C89,'TL04'!$J$10:$J$224),0),
IF('TL04'!$B$229=P$3,SUMIF('TL04'!$C$238:$C$451,$C89,'TL04'!$J$238:$J$451),0),
IF('TL05'!$B$3=P$3,SUMIF('TL05'!$C$10:$C$224,$C89,'TL05'!$J$10:$J$224),0),
IF('TL05'!$B$229=P$3,SUMIF('TL05'!$C$238:$C$451,$C89,'TL05'!$J$238:$J$451),0),
IF('TL06'!$B$3=P$3,SUMIF('TL06'!$C$10:$C$224,$C89,'TL06'!$J$10:$J$224),0),
IF('TL06'!$B$229=P$3,SUMIF('TL06'!$C$238:$C$451,$C89,'TL06'!$J$238:$J$451),0),
IF('TL07'!$B$3=P$3,SUMIF('TL07'!$C$10:$C$224,$C89,'TL07'!$J$10:$J$224),0),
IF('TL07'!$B$229=P$3,SUMIF('TL07'!$C$238:$C$451,$C89,'TL07'!$J$238:$J$451),0),
IF('TL08'!$B$3=P$3,SUMIF('TL08'!$C$10:$C$224,$C89,'TL08'!$J$10:$J$224),0),
IF('TL08'!$B$229=P$3,SUMIF('TL08'!$C$238:$C$451,$C89,'TL08'!$J$238:$J$451),0),
IF('TL09'!$B$3=P$3,SUMIF('TL09'!$C$10:$C$224,$C89,'TL09'!$J$10:$J$224),0),
IF('TL09'!$B$229=P$3,SUMIF('TL09'!$C$238:$C$451,$C89,'TL09'!$J$238:$J$451),0),
IF('TL10'!$B$3=P$3,SUMIF('TL10'!$C$10:$C$224,$C89,'TL10'!$J$10:$J$224),0),
IF('TL10'!$B$229=P$3,SUMIF('TL10'!$C$238:$C$451,$C89,'TL10'!$J$238:$J$451),0),
IF('TL11'!$B$3=P$3,SUMIF('TL11'!$C$10:$C$224,$C89,'TL11'!$J$10:$J$224),0),
IF('TL11'!$B$229=P$3,SUMIF('TL11'!$C$238:$C$451,$C89,'TL11'!$J$238:$J$451),0),
IF('TL12'!$B$3=P$3,SUMIF('TL12'!$C$10:$C$224,$C89,'TL12'!$J$10:$J$224),0),
IF('TL12'!$B$229=P$3,SUMIF('TL12'!$C$238:$C$451,$C89,'TL12'!$J$238:$J$451),0),
IF('TL13'!$B$3=P$3,SUMIF('TL13'!$C$10:$C$224,$C89,'TL13'!$J$10:$J$224),0),
IF('TL13'!$B$229=P$3,SUMIF('TL13'!$C$238:$C$451,$C89,'TL13'!$J$238:$J$451),0),
IF('TL14'!$B$3=P$3,SUMIF('TL14'!$C$10:$C$224,$C89,'TL14'!$J$10:$J$224),0),
IF('TL14'!$B$229=P$3,SUMIF('TL14'!$C$238:$C$451,$C89,'TL14'!$J$238:$J$451),0),
IF('TL15'!$B$3=P$3,SUMIF('TL15'!$C$10:$C$224,$C89,'TL15'!$J$10:$J$224),0),
IF('TL15'!$B$229=P$3,SUMIF('TL15'!$C$238:$C$451,$C89,'TL15'!$J$238:$J$451),0),
IF('TL16'!$B$3=P$3,SUMIF('TL16'!$C$10:$C$224,$C89,'TL16'!$J$10:$J$224),0),
IF('TL16'!$B$229=P$3,SUMIF('TL16'!$C$238:$C$451,$C89,'TL16'!$J$238:$J$451),0),
IF('TL17'!$B$3=P$3,SUMIF('TL17'!$C$10:$C$224,$C89,'TL17'!$J$10:$J$224),0),
IF('TL17'!$B$229=P$3,SUMIF('TL17'!$C$238:$C$451,$C89,'TL17'!$J$238:$J$451),0),
IF('TL18'!$B$3=P$3,SUMIF('TL18'!$C$10:$C$224,$C89,'TL18'!$J$10:$J$224),0),
IF('TL18'!$B$229=P$3,SUMIF('TL18'!$C$238:$C$451,$C89,'TL18'!$J$238:$J$451),0),
IF('TL19'!$B$3=P$3,SUMIF('TL19'!$C$10:$C$224,$C89,'TL19'!$J$10:$J$224),0),
IF('TL19'!$B$229=P$3,SUMIF('TL19'!$C$238:$C$451,$C89,'TL19'!$J$238:$J$451),0)
),0)</f>
        <v/>
      </c>
      <c r="Q89" s="9">
        <f>IFERROR(SUM(
IF('TL01'!$B$3=Q$3,SUMIF('TL01'!$C$10:$C$224,$C89,'TL01'!$J$10:$J$224),0),
IF('TL01'!$B$229=Q$3,SUMIF('TL01'!$C$238:$C$451,$C89,'TL01'!$J$238:$J$451),0),
IF('TL02'!$B$3=Q$3,SUMIF('TL02'!$C$10:$C$224,$C89,'TL02'!$J$10:$J$224),0),
IF('TL02'!$B$229=Q$3,SUMIF('TL02'!$C$238:$C$451,$C89,'TL02'!$J$238:$J$451),0),
IF('TL03'!$B$3=Q$3,SUMIF('TL03'!$C$10:$C$224,$C89,'TL03'!$J$10:$J$224),0),
IF('TL03'!$B$229=Q$3,SUMIF('TL03'!$C$238:$C$451,$C89,'TL03'!$J$238:$J$451),0),
IF('TL04'!$B$3=Q$3,SUMIF('TL04'!$C$10:$C$224,$C89,'TL04'!$J$10:$J$224),0),
IF('TL04'!$B$229=Q$3,SUMIF('TL04'!$C$238:$C$451,$C89,'TL04'!$J$238:$J$451),0),
IF('TL05'!$B$3=Q$3,SUMIF('TL05'!$C$10:$C$224,$C89,'TL05'!$J$10:$J$224),0),
IF('TL05'!$B$229=Q$3,SUMIF('TL05'!$C$238:$C$451,$C89,'TL05'!$J$238:$J$451),0),
IF('TL06'!$B$3=Q$3,SUMIF('TL06'!$C$10:$C$224,$C89,'TL06'!$J$10:$J$224),0),
IF('TL06'!$B$229=Q$3,SUMIF('TL06'!$C$238:$C$451,$C89,'TL06'!$J$238:$J$451),0),
IF('TL07'!$B$3=Q$3,SUMIF('TL07'!$C$10:$C$224,$C89,'TL07'!$J$10:$J$224),0),
IF('TL07'!$B$229=Q$3,SUMIF('TL07'!$C$238:$C$451,$C89,'TL07'!$J$238:$J$451),0),
IF('TL08'!$B$3=Q$3,SUMIF('TL08'!$C$10:$C$224,$C89,'TL08'!$J$10:$J$224),0),
IF('TL08'!$B$229=Q$3,SUMIF('TL08'!$C$238:$C$451,$C89,'TL08'!$J$238:$J$451),0),
IF('TL09'!$B$3=Q$3,SUMIF('TL09'!$C$10:$C$224,$C89,'TL09'!$J$10:$J$224),0),
IF('TL09'!$B$229=Q$3,SUMIF('TL09'!$C$238:$C$451,$C89,'TL09'!$J$238:$J$451),0),
IF('TL10'!$B$3=Q$3,SUMIF('TL10'!$C$10:$C$224,$C89,'TL10'!$J$10:$J$224),0),
IF('TL10'!$B$229=Q$3,SUMIF('TL10'!$C$238:$C$451,$C89,'TL10'!$J$238:$J$451),0),
IF('TL11'!$B$3=Q$3,SUMIF('TL11'!$C$10:$C$224,$C89,'TL11'!$J$10:$J$224),0),
IF('TL11'!$B$229=Q$3,SUMIF('TL11'!$C$238:$C$451,$C89,'TL11'!$J$238:$J$451),0),
IF('TL12'!$B$3=Q$3,SUMIF('TL12'!$C$10:$C$224,$C89,'TL12'!$J$10:$J$224),0),
IF('TL12'!$B$229=Q$3,SUMIF('TL12'!$C$238:$C$451,$C89,'TL12'!$J$238:$J$451),0),
IF('TL13'!$B$3=Q$3,SUMIF('TL13'!$C$10:$C$224,$C89,'TL13'!$J$10:$J$224),0),
IF('TL13'!$B$229=Q$3,SUMIF('TL13'!$C$238:$C$451,$C89,'TL13'!$J$238:$J$451),0),
IF('TL14'!$B$3=Q$3,SUMIF('TL14'!$C$10:$C$224,$C89,'TL14'!$J$10:$J$224),0),
IF('TL14'!$B$229=Q$3,SUMIF('TL14'!$C$238:$C$451,$C89,'TL14'!$J$238:$J$451),0),
IF('TL15'!$B$3=Q$3,SUMIF('TL15'!$C$10:$C$224,$C89,'TL15'!$J$10:$J$224),0),
IF('TL15'!$B$229=Q$3,SUMIF('TL15'!$C$238:$C$451,$C89,'TL15'!$J$238:$J$451),0),
IF('TL16'!$B$3=Q$3,SUMIF('TL16'!$C$10:$C$224,$C89,'TL16'!$J$10:$J$224),0),
IF('TL16'!$B$229=Q$3,SUMIF('TL16'!$C$238:$C$451,$C89,'TL16'!$J$238:$J$451),0),
IF('TL17'!$B$3=Q$3,SUMIF('TL17'!$C$10:$C$224,$C89,'TL17'!$J$10:$J$224),0),
IF('TL17'!$B$229=Q$3,SUMIF('TL17'!$C$238:$C$451,$C89,'TL17'!$J$238:$J$451),0),
IF('TL18'!$B$3=Q$3,SUMIF('TL18'!$C$10:$C$224,$C89,'TL18'!$J$10:$J$224),0),
IF('TL18'!$B$229=Q$3,SUMIF('TL18'!$C$238:$C$451,$C89,'TL18'!$J$238:$J$451),0),
IF('TL19'!$B$3=Q$3,SUMIF('TL19'!$C$10:$C$224,$C89,'TL19'!$J$10:$J$224),0),
IF('TL19'!$B$229=Q$3,SUMIF('TL19'!$C$238:$C$451,$C89,'TL19'!$J$238:$J$451),0)
),0)</f>
        <v/>
      </c>
      <c r="R89" s="9">
        <f>IFERROR(
SUM(
SUMIF('TL01'!C:C,C89,'TL01'!J:J),
SUMIF('TL02'!C:C,C89,'TL02'!J:J),
SUMIF('TL03'!C:C,C89,'TL03'!J:J),
SUMIF('TL04'!C:C,C89,'TL04'!J:J),
SUMIF('TL05'!C:C,C89,'TL05'!J:J),
SUMIF('TL06'!C:C,C89,'TL06'!J:J),
SUMIF('TL07'!C:C,C89,'TL07'!J:J),
SUMIF('TL08'!C:C,C89,'TL08'!J:J),
SUMIF('TL09'!C:C,C89,'TL09'!J:J),
SUMIF('TL10'!C:C,C89,'TL10'!J:J),
SUMIF('TL11'!C:C,C89,'TL11'!J:J),
SUMIF('TL12'!C:C,C89,'TL12'!J:J),
SUMIF('TL13'!C:C,C89,'TL13'!J:J),
SUMIF('TL14'!C:C,C89,'TL14'!J:J),
SUMIF('TL15'!C:C,C89,'TL15'!J:J),
SUMIF('TL16'!C:C,C89,'TL16'!J:J),
SUMIF('TL17'!C:C,C89,'TL17'!J:J),
SUMIF('TL18'!C:C,C89,'TL18'!J:J),SUMIF('TL19'!C:C,C89,'TL19'!J:J))
,0)</f>
        <v/>
      </c>
      <c r="S89" s="17">
        <f>IFERROR(__xludf.DUMMYFUNCTION("IFERROR(VLOOKUP(C89,
IMPORTRANGE(""1wULbzX32WdYsx-lj2U3uUNBBe2INVIRDtcK0d-Dvl90"",
""26-27!C:G""),
5,
FALSE),
"""")"),25.718400000000003)</f>
        <v/>
      </c>
      <c r="T89" s="9" t="n"/>
      <c r="U89" s="92">
        <f>MAX(0,R89-T89)</f>
        <v/>
      </c>
      <c r="V89" s="93">
        <f>U89*S89</f>
        <v/>
      </c>
    </row>
    <row r="90" hidden="1" ht="15.75" customHeight="1" s="297">
      <c r="A90" s="115" t="inlineStr">
        <is>
          <t>SYNGENTA</t>
        </is>
      </c>
      <c r="B90" s="95" t="inlineStr">
        <is>
          <t>FUNGICIDA</t>
        </is>
      </c>
      <c r="C90" s="116" t="inlineStr">
        <is>
          <t>ALADE</t>
        </is>
      </c>
      <c r="D90" s="116" t="inlineStr">
        <is>
          <t>BENZOVINDIFLUPYR + CIPROCONAZOL +
 DIFENOCONAZOL</t>
        </is>
      </c>
      <c r="E90" s="116" t="inlineStr">
        <is>
          <t>60 + 90 + 150</t>
        </is>
      </c>
      <c r="F90" s="4" t="inlineStr">
        <is>
          <t>L</t>
        </is>
      </c>
      <c r="G90" s="90">
        <f>HYPERLINK("https://www.google.com/search?q=" &amp; C90 &amp; "+bula+agrofit+pdf", "📄 Ver bula")</f>
        <v/>
      </c>
      <c r="H90" s="9">
        <f>IFERROR(__xludf.DUMMYFUNCTION("IFERROR(VLOOKUP(C90,
IMPORTRANGE(""1wULbzX32WdYsx-lj2U3uUNBBe2INVIRDtcK0d-Dvl90"",
""26-27!C:K""),
8,
FALSE),
"""")"),0.0)</f>
        <v/>
      </c>
      <c r="I90" s="117" t="inlineStr">
        <is>
          <t>1x20</t>
        </is>
      </c>
      <c r="J90" s="9">
        <f>IFERROR(SUM(
IF('TL01'!$B$3=J$3,SUMIF('TL01'!$C$10:$C$224,$C90,'TL01'!$J$10:$J$224),0),
IF('TL01'!$B$229=J$3,SUMIF('TL01'!$C$238:$C$451,$C90,'TL01'!$J$238:$J$451),0),
IF('TL02'!$B$3=J$3,SUMIF('TL02'!$C$10:$C$224,$C90,'TL02'!$J$10:$J$224),0),
IF('TL02'!$B$229=J$3,SUMIF('TL02'!$C$238:$C$451,$C90,'TL02'!$J$238:$J$451),0),
IF('TL03'!$B$3=J$3,SUMIF('TL03'!$C$10:$C$224,$C90,'TL03'!$J$10:$J$224),0),
IF('TL03'!$B$229=J$3,SUMIF('TL03'!$C$238:$C$451,$C90,'TL03'!$J$238:$J$451),0),
IF('TL04'!$B$3=J$3,SUMIF('TL04'!$C$10:$C$224,$C90,'TL04'!$J$10:$J$224),0),
IF('TL04'!$B$229=J$3,SUMIF('TL04'!$C$238:$C$451,$C90,'TL04'!$J$238:$J$451),0),
IF('TL05'!$B$3=J$3,SUMIF('TL05'!$C$10:$C$224,$C90,'TL05'!$J$10:$J$224),0),
IF('TL05'!$B$229=J$3,SUMIF('TL05'!$C$238:$C$451,$C90,'TL05'!$J$238:$J$451),0),
IF('TL06'!$B$3=J$3,SUMIF('TL06'!$C$10:$C$224,$C90,'TL06'!$J$10:$J$224),0),
IF('TL06'!$B$229=J$3,SUMIF('TL06'!$C$238:$C$451,$C90,'TL06'!$J$238:$J$451),0),
IF('TL07'!$B$3=J$3,SUMIF('TL07'!$C$10:$C$224,$C90,'TL07'!$J$10:$J$224),0),
IF('TL07'!$B$229=J$3,SUMIF('TL07'!$C$238:$C$451,$C90,'TL07'!$J$238:$J$451),0),
IF('TL08'!$B$3=J$3,SUMIF('TL08'!$C$10:$C$224,$C90,'TL08'!$J$10:$J$224),0),
IF('TL08'!$B$229=J$3,SUMIF('TL08'!$C$238:$C$451,$C90,'TL08'!$J$238:$J$451),0),
IF('TL09'!$B$3=J$3,SUMIF('TL09'!$C$10:$C$224,$C90,'TL09'!$J$10:$J$224),0),
IF('TL09'!$B$229=J$3,SUMIF('TL09'!$C$238:$C$451,$C90,'TL09'!$J$238:$J$451),0),
IF('TL10'!$B$3=J$3,SUMIF('TL10'!$C$10:$C$224,$C90,'TL10'!$J$10:$J$224),0),
IF('TL10'!$B$229=J$3,SUMIF('TL10'!$C$238:$C$451,$C90,'TL10'!$J$238:$J$451),0),
IF('TL11'!$B$3=J$3,SUMIF('TL11'!$C$10:$C$224,$C90,'TL11'!$J$10:$J$224),0),
IF('TL11'!$B$229=J$3,SUMIF('TL11'!$C$238:$C$451,$C90,'TL11'!$J$238:$J$451),0),
IF('TL12'!$B$3=J$3,SUMIF('TL12'!$C$10:$C$224,$C90,'TL12'!$J$10:$J$224),0),
IF('TL12'!$B$229=J$3,SUMIF('TL12'!$C$238:$C$451,$C90,'TL12'!$J$238:$J$451),0),
IF('TL13'!$B$3=J$3,SUMIF('TL13'!$C$10:$C$224,$C90,'TL13'!$J$10:$J$224),0),
IF('TL13'!$B$229=J$3,SUMIF('TL13'!$C$238:$C$451,$C90,'TL13'!$J$238:$J$451),0),
IF('TL14'!$B$3=J$3,SUMIF('TL14'!$C$10:$C$224,$C90,'TL14'!$J$10:$J$224),0),
IF('TL14'!$B$229=J$3,SUMIF('TL14'!$C$238:$C$451,$C90,'TL14'!$J$238:$J$451),0),
IF('TL15'!$B$3=J$3,SUMIF('TL15'!$C$10:$C$224,$C90,'TL15'!$J$10:$J$224),0),
IF('TL15'!$B$229=J$3,SUMIF('TL15'!$C$238:$C$451,$C90,'TL15'!$J$238:$J$451),0),
IF('TL16'!$B$3=J$3,SUMIF('TL16'!$C$10:$C$224,$C90,'TL16'!$J$10:$J$224),0),
IF('TL16'!$B$229=J$3,SUMIF('TL16'!$C$238:$C$451,$C90,'TL16'!$J$238:$J$451),0),
IF('TL17'!$B$3=J$3,SUMIF('TL17'!$C$10:$C$224,$C90,'TL17'!$J$10:$J$224),0),
IF('TL17'!$B$229=J$3,SUMIF('TL17'!$C$238:$C$451,$C90,'TL17'!$J$238:$J$451),0),
IF('TL18'!$B$3=J$3,SUMIF('TL18'!$C$10:$C$224,$C90,'TL18'!$J$10:$J$224),0),
IF('TL18'!$B$229=J$3,SUMIF('TL18'!$C$238:$C$451,$C90,'TL18'!$J$238:$J$451),0),
IF('TL19'!$B$3=J$3,SUMIF('TL19'!$C$10:$C$224,$C90,'TL19'!$J$10:$J$224),0),
IF('TL19'!$B$229=J$3,SUMIF('TL19'!$C$238:$C$451,$C90,'TL19'!$J$238:$J$451),0)
),0)</f>
        <v/>
      </c>
      <c r="K90" s="9">
        <f>IFERROR(SUM(
IF('TL01'!$B$3=K$3,SUMIF('TL01'!$C$10:$C$224,$C90,'TL01'!$J$10:$J$224),0),
IF('TL01'!$B$229=K$3,SUMIF('TL01'!$C$238:$C$451,$C90,'TL01'!$J$238:$J$451),0),
IF('TL02'!$B$3=K$3,SUMIF('TL02'!$C$10:$C$224,$C90,'TL02'!$J$10:$J$224),0),
IF('TL02'!$B$229=K$3,SUMIF('TL02'!$C$238:$C$451,$C90,'TL02'!$J$238:$J$451),0),
IF('TL03'!$B$3=K$3,SUMIF('TL03'!$C$10:$C$224,$C90,'TL03'!$J$10:$J$224),0),
IF('TL03'!$B$229=K$3,SUMIF('TL03'!$C$238:$C$451,$C90,'TL03'!$J$238:$J$451),0),
IF('TL04'!$B$3=K$3,SUMIF('TL04'!$C$10:$C$224,$C90,'TL04'!$J$10:$J$224),0),
IF('TL04'!$B$229=K$3,SUMIF('TL04'!$C$238:$C$451,$C90,'TL04'!$J$238:$J$451),0),
IF('TL05'!$B$3=K$3,SUMIF('TL05'!$C$10:$C$224,$C90,'TL05'!$J$10:$J$224),0),
IF('TL05'!$B$229=K$3,SUMIF('TL05'!$C$238:$C$451,$C90,'TL05'!$J$238:$J$451),0),
IF('TL06'!$B$3=K$3,SUMIF('TL06'!$C$10:$C$224,$C90,'TL06'!$J$10:$J$224),0),
IF('TL06'!$B$229=K$3,SUMIF('TL06'!$C$238:$C$451,$C90,'TL06'!$J$238:$J$451),0),
IF('TL07'!$B$3=K$3,SUMIF('TL07'!$C$10:$C$224,$C90,'TL07'!$J$10:$J$224),0),
IF('TL07'!$B$229=K$3,SUMIF('TL07'!$C$238:$C$451,$C90,'TL07'!$J$238:$J$451),0),
IF('TL08'!$B$3=K$3,SUMIF('TL08'!$C$10:$C$224,$C90,'TL08'!$J$10:$J$224),0),
IF('TL08'!$B$229=K$3,SUMIF('TL08'!$C$238:$C$451,$C90,'TL08'!$J$238:$J$451),0),
IF('TL09'!$B$3=K$3,SUMIF('TL09'!$C$10:$C$224,$C90,'TL09'!$J$10:$J$224),0),
IF('TL09'!$B$229=K$3,SUMIF('TL09'!$C$238:$C$451,$C90,'TL09'!$J$238:$J$451),0),
IF('TL10'!$B$3=K$3,SUMIF('TL10'!$C$10:$C$224,$C90,'TL10'!$J$10:$J$224),0),
IF('TL10'!$B$229=K$3,SUMIF('TL10'!$C$238:$C$451,$C90,'TL10'!$J$238:$J$451),0),
IF('TL11'!$B$3=K$3,SUMIF('TL11'!$C$10:$C$224,$C90,'TL11'!$J$10:$J$224),0),
IF('TL11'!$B$229=K$3,SUMIF('TL11'!$C$238:$C$451,$C90,'TL11'!$J$238:$J$451),0),
IF('TL12'!$B$3=K$3,SUMIF('TL12'!$C$10:$C$224,$C90,'TL12'!$J$10:$J$224),0),
IF('TL12'!$B$229=K$3,SUMIF('TL12'!$C$238:$C$451,$C90,'TL12'!$J$238:$J$451),0),
IF('TL13'!$B$3=K$3,SUMIF('TL13'!$C$10:$C$224,$C90,'TL13'!$J$10:$J$224),0),
IF('TL13'!$B$229=K$3,SUMIF('TL13'!$C$238:$C$451,$C90,'TL13'!$J$238:$J$451),0),
IF('TL14'!$B$3=K$3,SUMIF('TL14'!$C$10:$C$224,$C90,'TL14'!$J$10:$J$224),0),
IF('TL14'!$B$229=K$3,SUMIF('TL14'!$C$238:$C$451,$C90,'TL14'!$J$238:$J$451),0),
IF('TL15'!$B$3=K$3,SUMIF('TL15'!$C$10:$C$224,$C90,'TL15'!$J$10:$J$224),0),
IF('TL15'!$B$229=K$3,SUMIF('TL15'!$C$238:$C$451,$C90,'TL15'!$J$238:$J$451),0),
IF('TL16'!$B$3=K$3,SUMIF('TL16'!$C$10:$C$224,$C90,'TL16'!$J$10:$J$224),0),
IF('TL16'!$B$229=K$3,SUMIF('TL16'!$C$238:$C$451,$C90,'TL16'!$J$238:$J$451),0),
IF('TL17'!$B$3=K$3,SUMIF('TL17'!$C$10:$C$224,$C90,'TL17'!$J$10:$J$224),0),
IF('TL17'!$B$229=K$3,SUMIF('TL17'!$C$238:$C$451,$C90,'TL17'!$J$238:$J$451),0),
IF('TL18'!$B$3=K$3,SUMIF('TL18'!$C$10:$C$224,$C90,'TL18'!$J$10:$J$224),0),
IF('TL18'!$B$229=K$3,SUMIF('TL18'!$C$238:$C$451,$C90,'TL18'!$J$238:$J$451),0),
IF('TL19'!$B$3=K$3,SUMIF('TL19'!$C$10:$C$224,$C90,'TL19'!$J$10:$J$224),0),
IF('TL19'!$B$229=K$3,SUMIF('TL19'!$C$238:$C$451,$C90,'TL19'!$J$238:$J$451),0)
),0)</f>
        <v/>
      </c>
      <c r="L90" s="9">
        <f>IFERROR(SUM(
IF('TL01'!$B$3=L$3,SUMIF('TL01'!$C$10:$C$224,$C90,'TL01'!$J$10:$J$224),0),
IF('TL01'!$B$229=L$3,SUMIF('TL01'!$C$238:$C$451,$C90,'TL01'!$J$238:$J$451),0),
IF('TL02'!$B$3=L$3,SUMIF('TL02'!$C$10:$C$224,$C90,'TL02'!$J$10:$J$224),0),
IF('TL02'!$B$229=L$3,SUMIF('TL02'!$C$238:$C$451,$C90,'TL02'!$J$238:$J$451),0),
IF('TL03'!$B$3=L$3,SUMIF('TL03'!$C$10:$C$224,$C90,'TL03'!$J$10:$J$224),0),
IF('TL03'!$B$229=L$3,SUMIF('TL03'!$C$238:$C$451,$C90,'TL03'!$J$238:$J$451),0),
IF('TL04'!$B$3=L$3,SUMIF('TL04'!$C$10:$C$224,$C90,'TL04'!$J$10:$J$224),0),
IF('TL04'!$B$229=L$3,SUMIF('TL04'!$C$238:$C$451,$C90,'TL04'!$J$238:$J$451),0),
IF('TL05'!$B$3=L$3,SUMIF('TL05'!$C$10:$C$224,$C90,'TL05'!$J$10:$J$224),0),
IF('TL05'!$B$229=L$3,SUMIF('TL05'!$C$238:$C$451,$C90,'TL05'!$J$238:$J$451),0),
IF('TL06'!$B$3=L$3,SUMIF('TL06'!$C$10:$C$224,$C90,'TL06'!$J$10:$J$224),0),
IF('TL06'!$B$229=L$3,SUMIF('TL06'!$C$238:$C$451,$C90,'TL06'!$J$238:$J$451),0),
IF('TL07'!$B$3=L$3,SUMIF('TL07'!$C$10:$C$224,$C90,'TL07'!$J$10:$J$224),0),
IF('TL07'!$B$229=L$3,SUMIF('TL07'!$C$238:$C$451,$C90,'TL07'!$J$238:$J$451),0),
IF('TL08'!$B$3=L$3,SUMIF('TL08'!$C$10:$C$224,$C90,'TL08'!$J$10:$J$224),0),
IF('TL08'!$B$229=L$3,SUMIF('TL08'!$C$238:$C$451,$C90,'TL08'!$J$238:$J$451),0),
IF('TL09'!$B$3=L$3,SUMIF('TL09'!$C$10:$C$224,$C90,'TL09'!$J$10:$J$224),0),
IF('TL09'!$B$229=L$3,SUMIF('TL09'!$C$238:$C$451,$C90,'TL09'!$J$238:$J$451),0),
IF('TL10'!$B$3=L$3,SUMIF('TL10'!$C$10:$C$224,$C90,'TL10'!$J$10:$J$224),0),
IF('TL10'!$B$229=L$3,SUMIF('TL10'!$C$238:$C$451,$C90,'TL10'!$J$238:$J$451),0),
IF('TL11'!$B$3=L$3,SUMIF('TL11'!$C$10:$C$224,$C90,'TL11'!$J$10:$J$224),0),
IF('TL11'!$B$229=L$3,SUMIF('TL11'!$C$238:$C$451,$C90,'TL11'!$J$238:$J$451),0),
IF('TL12'!$B$3=L$3,SUMIF('TL12'!$C$10:$C$224,$C90,'TL12'!$J$10:$J$224),0),
IF('TL12'!$B$229=L$3,SUMIF('TL12'!$C$238:$C$451,$C90,'TL12'!$J$238:$J$451),0),
IF('TL13'!$B$3=L$3,SUMIF('TL13'!$C$10:$C$224,$C90,'TL13'!$J$10:$J$224),0),
IF('TL13'!$B$229=L$3,SUMIF('TL13'!$C$238:$C$451,$C90,'TL13'!$J$238:$J$451),0),
IF('TL14'!$B$3=L$3,SUMIF('TL14'!$C$10:$C$224,$C90,'TL14'!$J$10:$J$224),0),
IF('TL14'!$B$229=L$3,SUMIF('TL14'!$C$238:$C$451,$C90,'TL14'!$J$238:$J$451),0),
IF('TL15'!$B$3=L$3,SUMIF('TL15'!$C$10:$C$224,$C90,'TL15'!$J$10:$J$224),0),
IF('TL15'!$B$229=L$3,SUMIF('TL15'!$C$238:$C$451,$C90,'TL15'!$J$238:$J$451),0),
IF('TL16'!$B$3=L$3,SUMIF('TL16'!$C$10:$C$224,$C90,'TL16'!$J$10:$J$224),0),
IF('TL16'!$B$229=L$3,SUMIF('TL16'!$C$238:$C$451,$C90,'TL16'!$J$238:$J$451),0),
IF('TL17'!$B$3=L$3,SUMIF('TL17'!$C$10:$C$224,$C90,'TL17'!$J$10:$J$224),0),
IF('TL17'!$B$229=L$3,SUMIF('TL17'!$C$238:$C$451,$C90,'TL17'!$J$238:$J$451),0),
IF('TL18'!$B$3=L$3,SUMIF('TL18'!$C$10:$C$224,$C90,'TL18'!$J$10:$J$224),0),
IF('TL18'!$B$229=L$3,SUMIF('TL18'!$C$238:$C$451,$C90,'TL18'!$J$238:$J$451),0),
IF('TL19'!$B$3=L$3,SUMIF('TL19'!$C$10:$C$224,$C90,'TL19'!$J$10:$J$224),0),
IF('TL19'!$B$229=L$3,SUMIF('TL19'!$C$238:$C$451,$C90,'TL19'!$J$238:$J$451),0)
),0)</f>
        <v/>
      </c>
      <c r="M90" s="9">
        <f>IFERROR(SUM(
IF('TL01'!$B$3=M$3,SUMIF('TL01'!$C$10:$C$224,$C90,'TL01'!$J$10:$J$224),0),
IF('TL01'!$B$229=M$3,SUMIF('TL01'!$C$238:$C$451,$C90,'TL01'!$J$238:$J$451),0),
IF('TL02'!$B$3=M$3,SUMIF('TL02'!$C$10:$C$224,$C90,'TL02'!$J$10:$J$224),0),
IF('TL02'!$B$229=M$3,SUMIF('TL02'!$C$238:$C$451,$C90,'TL02'!$J$238:$J$451),0),
IF('TL03'!$B$3=M$3,SUMIF('TL03'!$C$10:$C$224,$C90,'TL03'!$J$10:$J$224),0),
IF('TL03'!$B$229=M$3,SUMIF('TL03'!$C$238:$C$451,$C90,'TL03'!$J$238:$J$451),0),
IF('TL04'!$B$3=M$3,SUMIF('TL04'!$C$10:$C$224,$C90,'TL04'!$J$10:$J$224),0),
IF('TL04'!$B$229=M$3,SUMIF('TL04'!$C$238:$C$451,$C90,'TL04'!$J$238:$J$451),0),
IF('TL05'!$B$3=M$3,SUMIF('TL05'!$C$10:$C$224,$C90,'TL05'!$J$10:$J$224),0),
IF('TL05'!$B$229=M$3,SUMIF('TL05'!$C$238:$C$451,$C90,'TL05'!$J$238:$J$451),0),
IF('TL06'!$B$3=M$3,SUMIF('TL06'!$C$10:$C$224,$C90,'TL06'!$J$10:$J$224),0),
IF('TL06'!$B$229=M$3,SUMIF('TL06'!$C$238:$C$451,$C90,'TL06'!$J$238:$J$451),0),
IF('TL07'!$B$3=M$3,SUMIF('TL07'!$C$10:$C$224,$C90,'TL07'!$J$10:$J$224),0),
IF('TL07'!$B$229=M$3,SUMIF('TL07'!$C$238:$C$451,$C90,'TL07'!$J$238:$J$451),0),
IF('TL08'!$B$3=M$3,SUMIF('TL08'!$C$10:$C$224,$C90,'TL08'!$J$10:$J$224),0),
IF('TL08'!$B$229=M$3,SUMIF('TL08'!$C$238:$C$451,$C90,'TL08'!$J$238:$J$451),0),
IF('TL09'!$B$3=M$3,SUMIF('TL09'!$C$10:$C$224,$C90,'TL09'!$J$10:$J$224),0),
IF('TL09'!$B$229=M$3,SUMIF('TL09'!$C$238:$C$451,$C90,'TL09'!$J$238:$J$451),0),
IF('TL10'!$B$3=M$3,SUMIF('TL10'!$C$10:$C$224,$C90,'TL10'!$J$10:$J$224),0),
IF('TL10'!$B$229=M$3,SUMIF('TL10'!$C$238:$C$451,$C90,'TL10'!$J$238:$J$451),0),
IF('TL11'!$B$3=M$3,SUMIF('TL11'!$C$10:$C$224,$C90,'TL11'!$J$10:$J$224),0),
IF('TL11'!$B$229=M$3,SUMIF('TL11'!$C$238:$C$451,$C90,'TL11'!$J$238:$J$451),0),
IF('TL12'!$B$3=M$3,SUMIF('TL12'!$C$10:$C$224,$C90,'TL12'!$J$10:$J$224),0),
IF('TL12'!$B$229=M$3,SUMIF('TL12'!$C$238:$C$451,$C90,'TL12'!$J$238:$J$451),0),
IF('TL13'!$B$3=M$3,SUMIF('TL13'!$C$10:$C$224,$C90,'TL13'!$J$10:$J$224),0),
IF('TL13'!$B$229=M$3,SUMIF('TL13'!$C$238:$C$451,$C90,'TL13'!$J$238:$J$451),0),
IF('TL14'!$B$3=M$3,SUMIF('TL14'!$C$10:$C$224,$C90,'TL14'!$J$10:$J$224),0),
IF('TL14'!$B$229=M$3,SUMIF('TL14'!$C$238:$C$451,$C90,'TL14'!$J$238:$J$451),0),
IF('TL15'!$B$3=M$3,SUMIF('TL15'!$C$10:$C$224,$C90,'TL15'!$J$10:$J$224),0),
IF('TL15'!$B$229=M$3,SUMIF('TL15'!$C$238:$C$451,$C90,'TL15'!$J$238:$J$451),0),
IF('TL16'!$B$3=M$3,SUMIF('TL16'!$C$10:$C$224,$C90,'TL16'!$J$10:$J$224),0),
IF('TL16'!$B$229=M$3,SUMIF('TL16'!$C$238:$C$451,$C90,'TL16'!$J$238:$J$451),0),
IF('TL17'!$B$3=M$3,SUMIF('TL17'!$C$10:$C$224,$C90,'TL17'!$J$10:$J$224),0),
IF('TL17'!$B$229=M$3,SUMIF('TL17'!$C$238:$C$451,$C90,'TL17'!$J$238:$J$451),0),
IF('TL18'!$B$3=M$3,SUMIF('TL18'!$C$10:$C$224,$C90,'TL18'!$J$10:$J$224),0),
IF('TL18'!$B$229=M$3,SUMIF('TL18'!$C$238:$C$451,$C90,'TL18'!$J$238:$J$451),0),
IF('TL19'!$B$3=M$3,SUMIF('TL19'!$C$10:$C$224,$C90,'TL19'!$J$10:$J$224),0),
IF('TL19'!$B$229=M$3,SUMIF('TL19'!$C$238:$C$451,$C90,'TL19'!$J$238:$J$451),0)
),0)</f>
        <v/>
      </c>
      <c r="N90" s="9">
        <f>IFERROR(SUM(
IF('TL01'!$B$3=N$3,SUMIF('TL01'!$C$10:$C$224,$C90,'TL01'!$J$10:$J$224),0),
IF('TL01'!$B$229=N$3,SUMIF('TL01'!$C$238:$C$451,$C90,'TL01'!$J$238:$J$451),0),
IF('TL02'!$B$3=N$3,SUMIF('TL02'!$C$10:$C$224,$C90,'TL02'!$J$10:$J$224),0),
IF('TL02'!$B$229=N$3,SUMIF('TL02'!$C$238:$C$451,$C90,'TL02'!$J$238:$J$451),0),
IF('TL03'!$B$3=N$3,SUMIF('TL03'!$C$10:$C$224,$C90,'TL03'!$J$10:$J$224),0),
IF('TL03'!$B$229=N$3,SUMIF('TL03'!$C$238:$C$451,$C90,'TL03'!$J$238:$J$451),0),
IF('TL04'!$B$3=N$3,SUMIF('TL04'!$C$10:$C$224,$C90,'TL04'!$J$10:$J$224),0),
IF('TL04'!$B$229=N$3,SUMIF('TL04'!$C$238:$C$451,$C90,'TL04'!$J$238:$J$451),0),
IF('TL05'!$B$3=N$3,SUMIF('TL05'!$C$10:$C$224,$C90,'TL05'!$J$10:$J$224),0),
IF('TL05'!$B$229=N$3,SUMIF('TL05'!$C$238:$C$451,$C90,'TL05'!$J$238:$J$451),0),
IF('TL06'!$B$3=N$3,SUMIF('TL06'!$C$10:$C$224,$C90,'TL06'!$J$10:$J$224),0),
IF('TL06'!$B$229=N$3,SUMIF('TL06'!$C$238:$C$451,$C90,'TL06'!$J$238:$J$451),0),
IF('TL07'!$B$3=N$3,SUMIF('TL07'!$C$10:$C$224,$C90,'TL07'!$J$10:$J$224),0),
IF('TL07'!$B$229=N$3,SUMIF('TL07'!$C$238:$C$451,$C90,'TL07'!$J$238:$J$451),0),
IF('TL08'!$B$3=N$3,SUMIF('TL08'!$C$10:$C$224,$C90,'TL08'!$J$10:$J$224),0),
IF('TL08'!$B$229=N$3,SUMIF('TL08'!$C$238:$C$451,$C90,'TL08'!$J$238:$J$451),0),
IF('TL09'!$B$3=N$3,SUMIF('TL09'!$C$10:$C$224,$C90,'TL09'!$J$10:$J$224),0),
IF('TL09'!$B$229=N$3,SUMIF('TL09'!$C$238:$C$451,$C90,'TL09'!$J$238:$J$451),0),
IF('TL10'!$B$3=N$3,SUMIF('TL10'!$C$10:$C$224,$C90,'TL10'!$J$10:$J$224),0),
IF('TL10'!$B$229=N$3,SUMIF('TL10'!$C$238:$C$451,$C90,'TL10'!$J$238:$J$451),0),
IF('TL11'!$B$3=N$3,SUMIF('TL11'!$C$10:$C$224,$C90,'TL11'!$J$10:$J$224),0),
IF('TL11'!$B$229=N$3,SUMIF('TL11'!$C$238:$C$451,$C90,'TL11'!$J$238:$J$451),0),
IF('TL12'!$B$3=N$3,SUMIF('TL12'!$C$10:$C$224,$C90,'TL12'!$J$10:$J$224),0),
IF('TL12'!$B$229=N$3,SUMIF('TL12'!$C$238:$C$451,$C90,'TL12'!$J$238:$J$451),0),
IF('TL13'!$B$3=N$3,SUMIF('TL13'!$C$10:$C$224,$C90,'TL13'!$J$10:$J$224),0),
IF('TL13'!$B$229=N$3,SUMIF('TL13'!$C$238:$C$451,$C90,'TL13'!$J$238:$J$451),0),
IF('TL14'!$B$3=N$3,SUMIF('TL14'!$C$10:$C$224,$C90,'TL14'!$J$10:$J$224),0),
IF('TL14'!$B$229=N$3,SUMIF('TL14'!$C$238:$C$451,$C90,'TL14'!$J$238:$J$451),0),
IF('TL15'!$B$3=N$3,SUMIF('TL15'!$C$10:$C$224,$C90,'TL15'!$J$10:$J$224),0),
IF('TL15'!$B$229=N$3,SUMIF('TL15'!$C$238:$C$451,$C90,'TL15'!$J$238:$J$451),0),
IF('TL16'!$B$3=N$3,SUMIF('TL16'!$C$10:$C$224,$C90,'TL16'!$J$10:$J$224),0),
IF('TL16'!$B$229=N$3,SUMIF('TL16'!$C$238:$C$451,$C90,'TL16'!$J$238:$J$451),0),
IF('TL17'!$B$3=N$3,SUMIF('TL17'!$C$10:$C$224,$C90,'TL17'!$J$10:$J$224),0),
IF('TL17'!$B$229=N$3,SUMIF('TL17'!$C$238:$C$451,$C90,'TL17'!$J$238:$J$451),0),
IF('TL18'!$B$3=N$3,SUMIF('TL18'!$C$10:$C$224,$C90,'TL18'!$J$10:$J$224),0),
IF('TL18'!$B$229=N$3,SUMIF('TL18'!$C$238:$C$451,$C90,'TL18'!$J$238:$J$451),0),
IF('TL19'!$B$3=N$3,SUMIF('TL19'!$C$10:$C$224,$C90,'TL19'!$J$10:$J$224),0),
IF('TL19'!$B$229=N$3,SUMIF('TL19'!$C$238:$C$451,$C90,'TL19'!$J$238:$J$451),0)
),0)</f>
        <v/>
      </c>
      <c r="O90" s="9">
        <f>IFERROR(SUM(
IF('TL01'!$B$3=O$3,SUMIF('TL01'!$C$10:$C$224,$C90,'TL01'!$J$10:$J$224),0),
IF('TL01'!$B$229=O$3,SUMIF('TL01'!$C$238:$C$451,$C90,'TL01'!$J$238:$J$451),0),
IF('TL02'!$B$3=O$3,SUMIF('TL02'!$C$10:$C$224,$C90,'TL02'!$J$10:$J$224),0),
IF('TL02'!$B$229=O$3,SUMIF('TL02'!$C$238:$C$451,$C90,'TL02'!$J$238:$J$451),0),
IF('TL03'!$B$3=O$3,SUMIF('TL03'!$C$10:$C$224,$C90,'TL03'!$J$10:$J$224),0),
IF('TL03'!$B$229=O$3,SUMIF('TL03'!$C$238:$C$451,$C90,'TL03'!$J$238:$J$451),0),
IF('TL04'!$B$3=O$3,SUMIF('TL04'!$C$10:$C$224,$C90,'TL04'!$J$10:$J$224),0),
IF('TL04'!$B$229=O$3,SUMIF('TL04'!$C$238:$C$451,$C90,'TL04'!$J$238:$J$451),0),
IF('TL05'!$B$3=O$3,SUMIF('TL05'!$C$10:$C$224,$C90,'TL05'!$J$10:$J$224),0),
IF('TL05'!$B$229=O$3,SUMIF('TL05'!$C$238:$C$451,$C90,'TL05'!$J$238:$J$451),0),
IF('TL06'!$B$3=O$3,SUMIF('TL06'!$C$10:$C$224,$C90,'TL06'!$J$10:$J$224),0),
IF('TL06'!$B$229=O$3,SUMIF('TL06'!$C$238:$C$451,$C90,'TL06'!$J$238:$J$451),0),
IF('TL07'!$B$3=O$3,SUMIF('TL07'!$C$10:$C$224,$C90,'TL07'!$J$10:$J$224),0),
IF('TL07'!$B$229=O$3,SUMIF('TL07'!$C$238:$C$451,$C90,'TL07'!$J$238:$J$451),0),
IF('TL08'!$B$3=O$3,SUMIF('TL08'!$C$10:$C$224,$C90,'TL08'!$J$10:$J$224),0),
IF('TL08'!$B$229=O$3,SUMIF('TL08'!$C$238:$C$451,$C90,'TL08'!$J$238:$J$451),0),
IF('TL09'!$B$3=O$3,SUMIF('TL09'!$C$10:$C$224,$C90,'TL09'!$J$10:$J$224),0),
IF('TL09'!$B$229=O$3,SUMIF('TL09'!$C$238:$C$451,$C90,'TL09'!$J$238:$J$451),0),
IF('TL10'!$B$3=O$3,SUMIF('TL10'!$C$10:$C$224,$C90,'TL10'!$J$10:$J$224),0),
IF('TL10'!$B$229=O$3,SUMIF('TL10'!$C$238:$C$451,$C90,'TL10'!$J$238:$J$451),0),
IF('TL11'!$B$3=O$3,SUMIF('TL11'!$C$10:$C$224,$C90,'TL11'!$J$10:$J$224),0),
IF('TL11'!$B$229=O$3,SUMIF('TL11'!$C$238:$C$451,$C90,'TL11'!$J$238:$J$451),0),
IF('TL12'!$B$3=O$3,SUMIF('TL12'!$C$10:$C$224,$C90,'TL12'!$J$10:$J$224),0),
IF('TL12'!$B$229=O$3,SUMIF('TL12'!$C$238:$C$451,$C90,'TL12'!$J$238:$J$451),0),
IF('TL13'!$B$3=O$3,SUMIF('TL13'!$C$10:$C$224,$C90,'TL13'!$J$10:$J$224),0),
IF('TL13'!$B$229=O$3,SUMIF('TL13'!$C$238:$C$451,$C90,'TL13'!$J$238:$J$451),0),
IF('TL14'!$B$3=O$3,SUMIF('TL14'!$C$10:$C$224,$C90,'TL14'!$J$10:$J$224),0),
IF('TL14'!$B$229=O$3,SUMIF('TL14'!$C$238:$C$451,$C90,'TL14'!$J$238:$J$451),0),
IF('TL15'!$B$3=O$3,SUMIF('TL15'!$C$10:$C$224,$C90,'TL15'!$J$10:$J$224),0),
IF('TL15'!$B$229=O$3,SUMIF('TL15'!$C$238:$C$451,$C90,'TL15'!$J$238:$J$451),0),
IF('TL16'!$B$3=O$3,SUMIF('TL16'!$C$10:$C$224,$C90,'TL16'!$J$10:$J$224),0),
IF('TL16'!$B$229=O$3,SUMIF('TL16'!$C$238:$C$451,$C90,'TL16'!$J$238:$J$451),0),
IF('TL17'!$B$3=O$3,SUMIF('TL17'!$C$10:$C$224,$C90,'TL17'!$J$10:$J$224),0),
IF('TL17'!$B$229=O$3,SUMIF('TL17'!$C$238:$C$451,$C90,'TL17'!$J$238:$J$451),0),
IF('TL18'!$B$3=O$3,SUMIF('TL18'!$C$10:$C$224,$C90,'TL18'!$J$10:$J$224),0),
IF('TL18'!$B$229=O$3,SUMIF('TL18'!$C$238:$C$451,$C90,'TL18'!$J$238:$J$451),0),
IF('TL19'!$B$3=O$3,SUMIF('TL19'!$C$10:$C$224,$C90,'TL19'!$J$10:$J$224),0),
IF('TL19'!$B$229=O$3,SUMIF('TL19'!$C$238:$C$451,$C90,'TL19'!$J$238:$J$451),0)
),0)</f>
        <v/>
      </c>
      <c r="P90" s="9">
        <f>IFERROR(SUM(
IF('TL01'!$B$3=P$3,SUMIF('TL01'!$C$10:$C$224,$C90,'TL01'!$J$10:$J$224),0),
IF('TL01'!$B$229=P$3,SUMIF('TL01'!$C$238:$C$451,$C90,'TL01'!$J$238:$J$451),0),
IF('TL02'!$B$3=P$3,SUMIF('TL02'!$C$10:$C$224,$C90,'TL02'!$J$10:$J$224),0),
IF('TL02'!$B$229=P$3,SUMIF('TL02'!$C$238:$C$451,$C90,'TL02'!$J$238:$J$451),0),
IF('TL03'!$B$3=P$3,SUMIF('TL03'!$C$10:$C$224,$C90,'TL03'!$J$10:$J$224),0),
IF('TL03'!$B$229=P$3,SUMIF('TL03'!$C$238:$C$451,$C90,'TL03'!$J$238:$J$451),0),
IF('TL04'!$B$3=P$3,SUMIF('TL04'!$C$10:$C$224,$C90,'TL04'!$J$10:$J$224),0),
IF('TL04'!$B$229=P$3,SUMIF('TL04'!$C$238:$C$451,$C90,'TL04'!$J$238:$J$451),0),
IF('TL05'!$B$3=P$3,SUMIF('TL05'!$C$10:$C$224,$C90,'TL05'!$J$10:$J$224),0),
IF('TL05'!$B$229=P$3,SUMIF('TL05'!$C$238:$C$451,$C90,'TL05'!$J$238:$J$451),0),
IF('TL06'!$B$3=P$3,SUMIF('TL06'!$C$10:$C$224,$C90,'TL06'!$J$10:$J$224),0),
IF('TL06'!$B$229=P$3,SUMIF('TL06'!$C$238:$C$451,$C90,'TL06'!$J$238:$J$451),0),
IF('TL07'!$B$3=P$3,SUMIF('TL07'!$C$10:$C$224,$C90,'TL07'!$J$10:$J$224),0),
IF('TL07'!$B$229=P$3,SUMIF('TL07'!$C$238:$C$451,$C90,'TL07'!$J$238:$J$451),0),
IF('TL08'!$B$3=P$3,SUMIF('TL08'!$C$10:$C$224,$C90,'TL08'!$J$10:$J$224),0),
IF('TL08'!$B$229=P$3,SUMIF('TL08'!$C$238:$C$451,$C90,'TL08'!$J$238:$J$451),0),
IF('TL09'!$B$3=P$3,SUMIF('TL09'!$C$10:$C$224,$C90,'TL09'!$J$10:$J$224),0),
IF('TL09'!$B$229=P$3,SUMIF('TL09'!$C$238:$C$451,$C90,'TL09'!$J$238:$J$451),0),
IF('TL10'!$B$3=P$3,SUMIF('TL10'!$C$10:$C$224,$C90,'TL10'!$J$10:$J$224),0),
IF('TL10'!$B$229=P$3,SUMIF('TL10'!$C$238:$C$451,$C90,'TL10'!$J$238:$J$451),0),
IF('TL11'!$B$3=P$3,SUMIF('TL11'!$C$10:$C$224,$C90,'TL11'!$J$10:$J$224),0),
IF('TL11'!$B$229=P$3,SUMIF('TL11'!$C$238:$C$451,$C90,'TL11'!$J$238:$J$451),0),
IF('TL12'!$B$3=P$3,SUMIF('TL12'!$C$10:$C$224,$C90,'TL12'!$J$10:$J$224),0),
IF('TL12'!$B$229=P$3,SUMIF('TL12'!$C$238:$C$451,$C90,'TL12'!$J$238:$J$451),0),
IF('TL13'!$B$3=P$3,SUMIF('TL13'!$C$10:$C$224,$C90,'TL13'!$J$10:$J$224),0),
IF('TL13'!$B$229=P$3,SUMIF('TL13'!$C$238:$C$451,$C90,'TL13'!$J$238:$J$451),0),
IF('TL14'!$B$3=P$3,SUMIF('TL14'!$C$10:$C$224,$C90,'TL14'!$J$10:$J$224),0),
IF('TL14'!$B$229=P$3,SUMIF('TL14'!$C$238:$C$451,$C90,'TL14'!$J$238:$J$451),0),
IF('TL15'!$B$3=P$3,SUMIF('TL15'!$C$10:$C$224,$C90,'TL15'!$J$10:$J$224),0),
IF('TL15'!$B$229=P$3,SUMIF('TL15'!$C$238:$C$451,$C90,'TL15'!$J$238:$J$451),0),
IF('TL16'!$B$3=P$3,SUMIF('TL16'!$C$10:$C$224,$C90,'TL16'!$J$10:$J$224),0),
IF('TL16'!$B$229=P$3,SUMIF('TL16'!$C$238:$C$451,$C90,'TL16'!$J$238:$J$451),0),
IF('TL17'!$B$3=P$3,SUMIF('TL17'!$C$10:$C$224,$C90,'TL17'!$J$10:$J$224),0),
IF('TL17'!$B$229=P$3,SUMIF('TL17'!$C$238:$C$451,$C90,'TL17'!$J$238:$J$451),0),
IF('TL18'!$B$3=P$3,SUMIF('TL18'!$C$10:$C$224,$C90,'TL18'!$J$10:$J$224),0),
IF('TL18'!$B$229=P$3,SUMIF('TL18'!$C$238:$C$451,$C90,'TL18'!$J$238:$J$451),0),
IF('TL19'!$B$3=P$3,SUMIF('TL19'!$C$10:$C$224,$C90,'TL19'!$J$10:$J$224),0),
IF('TL19'!$B$229=P$3,SUMIF('TL19'!$C$238:$C$451,$C90,'TL19'!$J$238:$J$451),0)
),0)</f>
        <v/>
      </c>
      <c r="Q90" s="9">
        <f>IFERROR(SUM(
IF('TL01'!$B$3=Q$3,SUMIF('TL01'!$C$10:$C$224,$C90,'TL01'!$J$10:$J$224),0),
IF('TL01'!$B$229=Q$3,SUMIF('TL01'!$C$238:$C$451,$C90,'TL01'!$J$238:$J$451),0),
IF('TL02'!$B$3=Q$3,SUMIF('TL02'!$C$10:$C$224,$C90,'TL02'!$J$10:$J$224),0),
IF('TL02'!$B$229=Q$3,SUMIF('TL02'!$C$238:$C$451,$C90,'TL02'!$J$238:$J$451),0),
IF('TL03'!$B$3=Q$3,SUMIF('TL03'!$C$10:$C$224,$C90,'TL03'!$J$10:$J$224),0),
IF('TL03'!$B$229=Q$3,SUMIF('TL03'!$C$238:$C$451,$C90,'TL03'!$J$238:$J$451),0),
IF('TL04'!$B$3=Q$3,SUMIF('TL04'!$C$10:$C$224,$C90,'TL04'!$J$10:$J$224),0),
IF('TL04'!$B$229=Q$3,SUMIF('TL04'!$C$238:$C$451,$C90,'TL04'!$J$238:$J$451),0),
IF('TL05'!$B$3=Q$3,SUMIF('TL05'!$C$10:$C$224,$C90,'TL05'!$J$10:$J$224),0),
IF('TL05'!$B$229=Q$3,SUMIF('TL05'!$C$238:$C$451,$C90,'TL05'!$J$238:$J$451),0),
IF('TL06'!$B$3=Q$3,SUMIF('TL06'!$C$10:$C$224,$C90,'TL06'!$J$10:$J$224),0),
IF('TL06'!$B$229=Q$3,SUMIF('TL06'!$C$238:$C$451,$C90,'TL06'!$J$238:$J$451),0),
IF('TL07'!$B$3=Q$3,SUMIF('TL07'!$C$10:$C$224,$C90,'TL07'!$J$10:$J$224),0),
IF('TL07'!$B$229=Q$3,SUMIF('TL07'!$C$238:$C$451,$C90,'TL07'!$J$238:$J$451),0),
IF('TL08'!$B$3=Q$3,SUMIF('TL08'!$C$10:$C$224,$C90,'TL08'!$J$10:$J$224),0),
IF('TL08'!$B$229=Q$3,SUMIF('TL08'!$C$238:$C$451,$C90,'TL08'!$J$238:$J$451),0),
IF('TL09'!$B$3=Q$3,SUMIF('TL09'!$C$10:$C$224,$C90,'TL09'!$J$10:$J$224),0),
IF('TL09'!$B$229=Q$3,SUMIF('TL09'!$C$238:$C$451,$C90,'TL09'!$J$238:$J$451),0),
IF('TL10'!$B$3=Q$3,SUMIF('TL10'!$C$10:$C$224,$C90,'TL10'!$J$10:$J$224),0),
IF('TL10'!$B$229=Q$3,SUMIF('TL10'!$C$238:$C$451,$C90,'TL10'!$J$238:$J$451),0),
IF('TL11'!$B$3=Q$3,SUMIF('TL11'!$C$10:$C$224,$C90,'TL11'!$J$10:$J$224),0),
IF('TL11'!$B$229=Q$3,SUMIF('TL11'!$C$238:$C$451,$C90,'TL11'!$J$238:$J$451),0),
IF('TL12'!$B$3=Q$3,SUMIF('TL12'!$C$10:$C$224,$C90,'TL12'!$J$10:$J$224),0),
IF('TL12'!$B$229=Q$3,SUMIF('TL12'!$C$238:$C$451,$C90,'TL12'!$J$238:$J$451),0),
IF('TL13'!$B$3=Q$3,SUMIF('TL13'!$C$10:$C$224,$C90,'TL13'!$J$10:$J$224),0),
IF('TL13'!$B$229=Q$3,SUMIF('TL13'!$C$238:$C$451,$C90,'TL13'!$J$238:$J$451),0),
IF('TL14'!$B$3=Q$3,SUMIF('TL14'!$C$10:$C$224,$C90,'TL14'!$J$10:$J$224),0),
IF('TL14'!$B$229=Q$3,SUMIF('TL14'!$C$238:$C$451,$C90,'TL14'!$J$238:$J$451),0),
IF('TL15'!$B$3=Q$3,SUMIF('TL15'!$C$10:$C$224,$C90,'TL15'!$J$10:$J$224),0),
IF('TL15'!$B$229=Q$3,SUMIF('TL15'!$C$238:$C$451,$C90,'TL15'!$J$238:$J$451),0),
IF('TL16'!$B$3=Q$3,SUMIF('TL16'!$C$10:$C$224,$C90,'TL16'!$J$10:$J$224),0),
IF('TL16'!$B$229=Q$3,SUMIF('TL16'!$C$238:$C$451,$C90,'TL16'!$J$238:$J$451),0),
IF('TL17'!$B$3=Q$3,SUMIF('TL17'!$C$10:$C$224,$C90,'TL17'!$J$10:$J$224),0),
IF('TL17'!$B$229=Q$3,SUMIF('TL17'!$C$238:$C$451,$C90,'TL17'!$J$238:$J$451),0),
IF('TL18'!$B$3=Q$3,SUMIF('TL18'!$C$10:$C$224,$C90,'TL18'!$J$10:$J$224),0),
IF('TL18'!$B$229=Q$3,SUMIF('TL18'!$C$238:$C$451,$C90,'TL18'!$J$238:$J$451),0),
IF('TL19'!$B$3=Q$3,SUMIF('TL19'!$C$10:$C$224,$C90,'TL19'!$J$10:$J$224),0),
IF('TL19'!$B$229=Q$3,SUMIF('TL19'!$C$238:$C$451,$C90,'TL19'!$J$238:$J$451),0)
),0)</f>
        <v/>
      </c>
      <c r="R90" s="9">
        <f>IFERROR(
SUM(
SUMIF('TL01'!C:C,C90,'TL01'!J:J),
SUMIF('TL02'!C:C,C90,'TL02'!J:J),
SUMIF('TL03'!C:C,C90,'TL03'!J:J),
SUMIF('TL04'!C:C,C90,'TL04'!J:J),
SUMIF('TL05'!C:C,C90,'TL05'!J:J),
SUMIF('TL06'!C:C,C90,'TL06'!J:J),
SUMIF('TL07'!C:C,C90,'TL07'!J:J),
SUMIF('TL08'!C:C,C90,'TL08'!J:J),
SUMIF('TL09'!C:C,C90,'TL09'!J:J),
SUMIF('TL10'!C:C,C90,'TL10'!J:J),
SUMIF('TL11'!C:C,C90,'TL11'!J:J),
SUMIF('TL12'!C:C,C90,'TL12'!J:J),
SUMIF('TL13'!C:C,C90,'TL13'!J:J),
SUMIF('TL14'!C:C,C90,'TL14'!J:J),
SUMIF('TL15'!C:C,C90,'TL15'!J:J),
SUMIF('TL16'!C:C,C90,'TL16'!J:J),
SUMIF('TL17'!C:C,C90,'TL17'!J:J),
SUMIF('TL18'!C:C,C90,'TL18'!J:J),SUMIF('TL19'!C:C,C90,'TL19'!J:J))
,0)</f>
        <v/>
      </c>
      <c r="S90" s="17">
        <f>IFERROR(__xludf.DUMMYFUNCTION("IFERROR(VLOOKUP(C90,
IMPORTRANGE(""1wULbzX32WdYsx-lj2U3uUNBBe2INVIRDtcK0d-Dvl90"",
""26-27!C:G""),
5,
FALSE),
"""")"),129.13344)</f>
        <v/>
      </c>
      <c r="T90" s="9" t="n"/>
      <c r="U90" s="92">
        <f>MAX(0,R90-T90)</f>
        <v/>
      </c>
      <c r="V90" s="93">
        <f>U90*S90</f>
        <v/>
      </c>
    </row>
    <row r="91" hidden="1" ht="15.75" customHeight="1" s="297">
      <c r="A91" s="111" t="inlineStr">
        <is>
          <t>SYNGENTA</t>
        </is>
      </c>
      <c r="B91" s="112" t="inlineStr">
        <is>
          <t>FUNGICIDA</t>
        </is>
      </c>
      <c r="C91" s="113" t="inlineStr">
        <is>
          <t>AMISTAR TOP</t>
        </is>
      </c>
      <c r="D91" s="113" t="inlineStr">
        <is>
          <t>AZOXISTROBINA + DIFENOCONAZOL</t>
        </is>
      </c>
      <c r="E91" s="113" t="inlineStr">
        <is>
          <t>200 + 125</t>
        </is>
      </c>
      <c r="F91" s="4" t="inlineStr">
        <is>
          <t>L</t>
        </is>
      </c>
      <c r="G91" s="90">
        <f>HYPERLINK("https://www.google.com/search?q=" &amp; C91 &amp; "+bula+agrofit+pdf", "📄 Ver bula")</f>
        <v/>
      </c>
      <c r="H91" s="9">
        <f>IFERROR(__xludf.DUMMYFUNCTION("IFERROR(VLOOKUP(C91,
IMPORTRANGE(""1wULbzX32WdYsx-lj2U3uUNBBe2INVIRDtcK0d-Dvl90"",
""26-27!C:K""),
8,
FALSE),
"""")"),0.75)</f>
        <v/>
      </c>
      <c r="I91" s="114" t="inlineStr">
        <is>
          <t>1x20</t>
        </is>
      </c>
      <c r="J91" s="9">
        <f>IFERROR(SUM(
IF('TL01'!$B$3=J$3,SUMIF('TL01'!$C$10:$C$224,$C91,'TL01'!$J$10:$J$224),0),
IF('TL01'!$B$229=J$3,SUMIF('TL01'!$C$238:$C$451,$C91,'TL01'!$J$238:$J$451),0),
IF('TL02'!$B$3=J$3,SUMIF('TL02'!$C$10:$C$224,$C91,'TL02'!$J$10:$J$224),0),
IF('TL02'!$B$229=J$3,SUMIF('TL02'!$C$238:$C$451,$C91,'TL02'!$J$238:$J$451),0),
IF('TL03'!$B$3=J$3,SUMIF('TL03'!$C$10:$C$224,$C91,'TL03'!$J$10:$J$224),0),
IF('TL03'!$B$229=J$3,SUMIF('TL03'!$C$238:$C$451,$C91,'TL03'!$J$238:$J$451),0),
IF('TL04'!$B$3=J$3,SUMIF('TL04'!$C$10:$C$224,$C91,'TL04'!$J$10:$J$224),0),
IF('TL04'!$B$229=J$3,SUMIF('TL04'!$C$238:$C$451,$C91,'TL04'!$J$238:$J$451),0),
IF('TL05'!$B$3=J$3,SUMIF('TL05'!$C$10:$C$224,$C91,'TL05'!$J$10:$J$224),0),
IF('TL05'!$B$229=J$3,SUMIF('TL05'!$C$238:$C$451,$C91,'TL05'!$J$238:$J$451),0),
IF('TL06'!$B$3=J$3,SUMIF('TL06'!$C$10:$C$224,$C91,'TL06'!$J$10:$J$224),0),
IF('TL06'!$B$229=J$3,SUMIF('TL06'!$C$238:$C$451,$C91,'TL06'!$J$238:$J$451),0),
IF('TL07'!$B$3=J$3,SUMIF('TL07'!$C$10:$C$224,$C91,'TL07'!$J$10:$J$224),0),
IF('TL07'!$B$229=J$3,SUMIF('TL07'!$C$238:$C$451,$C91,'TL07'!$J$238:$J$451),0),
IF('TL08'!$B$3=J$3,SUMIF('TL08'!$C$10:$C$224,$C91,'TL08'!$J$10:$J$224),0),
IF('TL08'!$B$229=J$3,SUMIF('TL08'!$C$238:$C$451,$C91,'TL08'!$J$238:$J$451),0),
IF('TL09'!$B$3=J$3,SUMIF('TL09'!$C$10:$C$224,$C91,'TL09'!$J$10:$J$224),0),
IF('TL09'!$B$229=J$3,SUMIF('TL09'!$C$238:$C$451,$C91,'TL09'!$J$238:$J$451),0),
IF('TL10'!$B$3=J$3,SUMIF('TL10'!$C$10:$C$224,$C91,'TL10'!$J$10:$J$224),0),
IF('TL10'!$B$229=J$3,SUMIF('TL10'!$C$238:$C$451,$C91,'TL10'!$J$238:$J$451),0),
IF('TL11'!$B$3=J$3,SUMIF('TL11'!$C$10:$C$224,$C91,'TL11'!$J$10:$J$224),0),
IF('TL11'!$B$229=J$3,SUMIF('TL11'!$C$238:$C$451,$C91,'TL11'!$J$238:$J$451),0),
IF('TL12'!$B$3=J$3,SUMIF('TL12'!$C$10:$C$224,$C91,'TL12'!$J$10:$J$224),0),
IF('TL12'!$B$229=J$3,SUMIF('TL12'!$C$238:$C$451,$C91,'TL12'!$J$238:$J$451),0),
IF('TL13'!$B$3=J$3,SUMIF('TL13'!$C$10:$C$224,$C91,'TL13'!$J$10:$J$224),0),
IF('TL13'!$B$229=J$3,SUMIF('TL13'!$C$238:$C$451,$C91,'TL13'!$J$238:$J$451),0),
IF('TL14'!$B$3=J$3,SUMIF('TL14'!$C$10:$C$224,$C91,'TL14'!$J$10:$J$224),0),
IF('TL14'!$B$229=J$3,SUMIF('TL14'!$C$238:$C$451,$C91,'TL14'!$J$238:$J$451),0),
IF('TL15'!$B$3=J$3,SUMIF('TL15'!$C$10:$C$224,$C91,'TL15'!$J$10:$J$224),0),
IF('TL15'!$B$229=J$3,SUMIF('TL15'!$C$238:$C$451,$C91,'TL15'!$J$238:$J$451),0),
IF('TL16'!$B$3=J$3,SUMIF('TL16'!$C$10:$C$224,$C91,'TL16'!$J$10:$J$224),0),
IF('TL16'!$B$229=J$3,SUMIF('TL16'!$C$238:$C$451,$C91,'TL16'!$J$238:$J$451),0),
IF('TL17'!$B$3=J$3,SUMIF('TL17'!$C$10:$C$224,$C91,'TL17'!$J$10:$J$224),0),
IF('TL17'!$B$229=J$3,SUMIF('TL17'!$C$238:$C$451,$C91,'TL17'!$J$238:$J$451),0),
IF('TL18'!$B$3=J$3,SUMIF('TL18'!$C$10:$C$224,$C91,'TL18'!$J$10:$J$224),0),
IF('TL18'!$B$229=J$3,SUMIF('TL18'!$C$238:$C$451,$C91,'TL18'!$J$238:$J$451),0),
IF('TL19'!$B$3=J$3,SUMIF('TL19'!$C$10:$C$224,$C91,'TL19'!$J$10:$J$224),0),
IF('TL19'!$B$229=J$3,SUMIF('TL19'!$C$238:$C$451,$C91,'TL19'!$J$238:$J$451),0)
),0)</f>
        <v/>
      </c>
      <c r="K91" s="9">
        <f>IFERROR(SUM(
IF('TL01'!$B$3=K$3,SUMIF('TL01'!$C$10:$C$224,$C91,'TL01'!$J$10:$J$224),0),
IF('TL01'!$B$229=K$3,SUMIF('TL01'!$C$238:$C$451,$C91,'TL01'!$J$238:$J$451),0),
IF('TL02'!$B$3=K$3,SUMIF('TL02'!$C$10:$C$224,$C91,'TL02'!$J$10:$J$224),0),
IF('TL02'!$B$229=K$3,SUMIF('TL02'!$C$238:$C$451,$C91,'TL02'!$J$238:$J$451),0),
IF('TL03'!$B$3=K$3,SUMIF('TL03'!$C$10:$C$224,$C91,'TL03'!$J$10:$J$224),0),
IF('TL03'!$B$229=K$3,SUMIF('TL03'!$C$238:$C$451,$C91,'TL03'!$J$238:$J$451),0),
IF('TL04'!$B$3=K$3,SUMIF('TL04'!$C$10:$C$224,$C91,'TL04'!$J$10:$J$224),0),
IF('TL04'!$B$229=K$3,SUMIF('TL04'!$C$238:$C$451,$C91,'TL04'!$J$238:$J$451),0),
IF('TL05'!$B$3=K$3,SUMIF('TL05'!$C$10:$C$224,$C91,'TL05'!$J$10:$J$224),0),
IF('TL05'!$B$229=K$3,SUMIF('TL05'!$C$238:$C$451,$C91,'TL05'!$J$238:$J$451),0),
IF('TL06'!$B$3=K$3,SUMIF('TL06'!$C$10:$C$224,$C91,'TL06'!$J$10:$J$224),0),
IF('TL06'!$B$229=K$3,SUMIF('TL06'!$C$238:$C$451,$C91,'TL06'!$J$238:$J$451),0),
IF('TL07'!$B$3=K$3,SUMIF('TL07'!$C$10:$C$224,$C91,'TL07'!$J$10:$J$224),0),
IF('TL07'!$B$229=K$3,SUMIF('TL07'!$C$238:$C$451,$C91,'TL07'!$J$238:$J$451),0),
IF('TL08'!$B$3=K$3,SUMIF('TL08'!$C$10:$C$224,$C91,'TL08'!$J$10:$J$224),0),
IF('TL08'!$B$229=K$3,SUMIF('TL08'!$C$238:$C$451,$C91,'TL08'!$J$238:$J$451),0),
IF('TL09'!$B$3=K$3,SUMIF('TL09'!$C$10:$C$224,$C91,'TL09'!$J$10:$J$224),0),
IF('TL09'!$B$229=K$3,SUMIF('TL09'!$C$238:$C$451,$C91,'TL09'!$J$238:$J$451),0),
IF('TL10'!$B$3=K$3,SUMIF('TL10'!$C$10:$C$224,$C91,'TL10'!$J$10:$J$224),0),
IF('TL10'!$B$229=K$3,SUMIF('TL10'!$C$238:$C$451,$C91,'TL10'!$J$238:$J$451),0),
IF('TL11'!$B$3=K$3,SUMIF('TL11'!$C$10:$C$224,$C91,'TL11'!$J$10:$J$224),0),
IF('TL11'!$B$229=K$3,SUMIF('TL11'!$C$238:$C$451,$C91,'TL11'!$J$238:$J$451),0),
IF('TL12'!$B$3=K$3,SUMIF('TL12'!$C$10:$C$224,$C91,'TL12'!$J$10:$J$224),0),
IF('TL12'!$B$229=K$3,SUMIF('TL12'!$C$238:$C$451,$C91,'TL12'!$J$238:$J$451),0),
IF('TL13'!$B$3=K$3,SUMIF('TL13'!$C$10:$C$224,$C91,'TL13'!$J$10:$J$224),0),
IF('TL13'!$B$229=K$3,SUMIF('TL13'!$C$238:$C$451,$C91,'TL13'!$J$238:$J$451),0),
IF('TL14'!$B$3=K$3,SUMIF('TL14'!$C$10:$C$224,$C91,'TL14'!$J$10:$J$224),0),
IF('TL14'!$B$229=K$3,SUMIF('TL14'!$C$238:$C$451,$C91,'TL14'!$J$238:$J$451),0),
IF('TL15'!$B$3=K$3,SUMIF('TL15'!$C$10:$C$224,$C91,'TL15'!$J$10:$J$224),0),
IF('TL15'!$B$229=K$3,SUMIF('TL15'!$C$238:$C$451,$C91,'TL15'!$J$238:$J$451),0),
IF('TL16'!$B$3=K$3,SUMIF('TL16'!$C$10:$C$224,$C91,'TL16'!$J$10:$J$224),0),
IF('TL16'!$B$229=K$3,SUMIF('TL16'!$C$238:$C$451,$C91,'TL16'!$J$238:$J$451),0),
IF('TL17'!$B$3=K$3,SUMIF('TL17'!$C$10:$C$224,$C91,'TL17'!$J$10:$J$224),0),
IF('TL17'!$B$229=K$3,SUMIF('TL17'!$C$238:$C$451,$C91,'TL17'!$J$238:$J$451),0),
IF('TL18'!$B$3=K$3,SUMIF('TL18'!$C$10:$C$224,$C91,'TL18'!$J$10:$J$224),0),
IF('TL18'!$B$229=K$3,SUMIF('TL18'!$C$238:$C$451,$C91,'TL18'!$J$238:$J$451),0),
IF('TL19'!$B$3=K$3,SUMIF('TL19'!$C$10:$C$224,$C91,'TL19'!$J$10:$J$224),0),
IF('TL19'!$B$229=K$3,SUMIF('TL19'!$C$238:$C$451,$C91,'TL19'!$J$238:$J$451),0)
),0)</f>
        <v/>
      </c>
      <c r="L91" s="9">
        <f>IFERROR(SUM(
IF('TL01'!$B$3=L$3,SUMIF('TL01'!$C$10:$C$224,$C91,'TL01'!$J$10:$J$224),0),
IF('TL01'!$B$229=L$3,SUMIF('TL01'!$C$238:$C$451,$C91,'TL01'!$J$238:$J$451),0),
IF('TL02'!$B$3=L$3,SUMIF('TL02'!$C$10:$C$224,$C91,'TL02'!$J$10:$J$224),0),
IF('TL02'!$B$229=L$3,SUMIF('TL02'!$C$238:$C$451,$C91,'TL02'!$J$238:$J$451),0),
IF('TL03'!$B$3=L$3,SUMIF('TL03'!$C$10:$C$224,$C91,'TL03'!$J$10:$J$224),0),
IF('TL03'!$B$229=L$3,SUMIF('TL03'!$C$238:$C$451,$C91,'TL03'!$J$238:$J$451),0),
IF('TL04'!$B$3=L$3,SUMIF('TL04'!$C$10:$C$224,$C91,'TL04'!$J$10:$J$224),0),
IF('TL04'!$B$229=L$3,SUMIF('TL04'!$C$238:$C$451,$C91,'TL04'!$J$238:$J$451),0),
IF('TL05'!$B$3=L$3,SUMIF('TL05'!$C$10:$C$224,$C91,'TL05'!$J$10:$J$224),0),
IF('TL05'!$B$229=L$3,SUMIF('TL05'!$C$238:$C$451,$C91,'TL05'!$J$238:$J$451),0),
IF('TL06'!$B$3=L$3,SUMIF('TL06'!$C$10:$C$224,$C91,'TL06'!$J$10:$J$224),0),
IF('TL06'!$B$229=L$3,SUMIF('TL06'!$C$238:$C$451,$C91,'TL06'!$J$238:$J$451),0),
IF('TL07'!$B$3=L$3,SUMIF('TL07'!$C$10:$C$224,$C91,'TL07'!$J$10:$J$224),0),
IF('TL07'!$B$229=L$3,SUMIF('TL07'!$C$238:$C$451,$C91,'TL07'!$J$238:$J$451),0),
IF('TL08'!$B$3=L$3,SUMIF('TL08'!$C$10:$C$224,$C91,'TL08'!$J$10:$J$224),0),
IF('TL08'!$B$229=L$3,SUMIF('TL08'!$C$238:$C$451,$C91,'TL08'!$J$238:$J$451),0),
IF('TL09'!$B$3=L$3,SUMIF('TL09'!$C$10:$C$224,$C91,'TL09'!$J$10:$J$224),0),
IF('TL09'!$B$229=L$3,SUMIF('TL09'!$C$238:$C$451,$C91,'TL09'!$J$238:$J$451),0),
IF('TL10'!$B$3=L$3,SUMIF('TL10'!$C$10:$C$224,$C91,'TL10'!$J$10:$J$224),0),
IF('TL10'!$B$229=L$3,SUMIF('TL10'!$C$238:$C$451,$C91,'TL10'!$J$238:$J$451),0),
IF('TL11'!$B$3=L$3,SUMIF('TL11'!$C$10:$C$224,$C91,'TL11'!$J$10:$J$224),0),
IF('TL11'!$B$229=L$3,SUMIF('TL11'!$C$238:$C$451,$C91,'TL11'!$J$238:$J$451),0),
IF('TL12'!$B$3=L$3,SUMIF('TL12'!$C$10:$C$224,$C91,'TL12'!$J$10:$J$224),0),
IF('TL12'!$B$229=L$3,SUMIF('TL12'!$C$238:$C$451,$C91,'TL12'!$J$238:$J$451),0),
IF('TL13'!$B$3=L$3,SUMIF('TL13'!$C$10:$C$224,$C91,'TL13'!$J$10:$J$224),0),
IF('TL13'!$B$229=L$3,SUMIF('TL13'!$C$238:$C$451,$C91,'TL13'!$J$238:$J$451),0),
IF('TL14'!$B$3=L$3,SUMIF('TL14'!$C$10:$C$224,$C91,'TL14'!$J$10:$J$224),0),
IF('TL14'!$B$229=L$3,SUMIF('TL14'!$C$238:$C$451,$C91,'TL14'!$J$238:$J$451),0),
IF('TL15'!$B$3=L$3,SUMIF('TL15'!$C$10:$C$224,$C91,'TL15'!$J$10:$J$224),0),
IF('TL15'!$B$229=L$3,SUMIF('TL15'!$C$238:$C$451,$C91,'TL15'!$J$238:$J$451),0),
IF('TL16'!$B$3=L$3,SUMIF('TL16'!$C$10:$C$224,$C91,'TL16'!$J$10:$J$224),0),
IF('TL16'!$B$229=L$3,SUMIF('TL16'!$C$238:$C$451,$C91,'TL16'!$J$238:$J$451),0),
IF('TL17'!$B$3=L$3,SUMIF('TL17'!$C$10:$C$224,$C91,'TL17'!$J$10:$J$224),0),
IF('TL17'!$B$229=L$3,SUMIF('TL17'!$C$238:$C$451,$C91,'TL17'!$J$238:$J$451),0),
IF('TL18'!$B$3=L$3,SUMIF('TL18'!$C$10:$C$224,$C91,'TL18'!$J$10:$J$224),0),
IF('TL18'!$B$229=L$3,SUMIF('TL18'!$C$238:$C$451,$C91,'TL18'!$J$238:$J$451),0),
IF('TL19'!$B$3=L$3,SUMIF('TL19'!$C$10:$C$224,$C91,'TL19'!$J$10:$J$224),0),
IF('TL19'!$B$229=L$3,SUMIF('TL19'!$C$238:$C$451,$C91,'TL19'!$J$238:$J$451),0)
),0)</f>
        <v/>
      </c>
      <c r="M91" s="9">
        <f>IFERROR(SUM(
IF('TL01'!$B$3=M$3,SUMIF('TL01'!$C$10:$C$224,$C91,'TL01'!$J$10:$J$224),0),
IF('TL01'!$B$229=M$3,SUMIF('TL01'!$C$238:$C$451,$C91,'TL01'!$J$238:$J$451),0),
IF('TL02'!$B$3=M$3,SUMIF('TL02'!$C$10:$C$224,$C91,'TL02'!$J$10:$J$224),0),
IF('TL02'!$B$229=M$3,SUMIF('TL02'!$C$238:$C$451,$C91,'TL02'!$J$238:$J$451),0),
IF('TL03'!$B$3=M$3,SUMIF('TL03'!$C$10:$C$224,$C91,'TL03'!$J$10:$J$224),0),
IF('TL03'!$B$229=M$3,SUMIF('TL03'!$C$238:$C$451,$C91,'TL03'!$J$238:$J$451),0),
IF('TL04'!$B$3=M$3,SUMIF('TL04'!$C$10:$C$224,$C91,'TL04'!$J$10:$J$224),0),
IF('TL04'!$B$229=M$3,SUMIF('TL04'!$C$238:$C$451,$C91,'TL04'!$J$238:$J$451),0),
IF('TL05'!$B$3=M$3,SUMIF('TL05'!$C$10:$C$224,$C91,'TL05'!$J$10:$J$224),0),
IF('TL05'!$B$229=M$3,SUMIF('TL05'!$C$238:$C$451,$C91,'TL05'!$J$238:$J$451),0),
IF('TL06'!$B$3=M$3,SUMIF('TL06'!$C$10:$C$224,$C91,'TL06'!$J$10:$J$224),0),
IF('TL06'!$B$229=M$3,SUMIF('TL06'!$C$238:$C$451,$C91,'TL06'!$J$238:$J$451),0),
IF('TL07'!$B$3=M$3,SUMIF('TL07'!$C$10:$C$224,$C91,'TL07'!$J$10:$J$224),0),
IF('TL07'!$B$229=M$3,SUMIF('TL07'!$C$238:$C$451,$C91,'TL07'!$J$238:$J$451),0),
IF('TL08'!$B$3=M$3,SUMIF('TL08'!$C$10:$C$224,$C91,'TL08'!$J$10:$J$224),0),
IF('TL08'!$B$229=M$3,SUMIF('TL08'!$C$238:$C$451,$C91,'TL08'!$J$238:$J$451),0),
IF('TL09'!$B$3=M$3,SUMIF('TL09'!$C$10:$C$224,$C91,'TL09'!$J$10:$J$224),0),
IF('TL09'!$B$229=M$3,SUMIF('TL09'!$C$238:$C$451,$C91,'TL09'!$J$238:$J$451),0),
IF('TL10'!$B$3=M$3,SUMIF('TL10'!$C$10:$C$224,$C91,'TL10'!$J$10:$J$224),0),
IF('TL10'!$B$229=M$3,SUMIF('TL10'!$C$238:$C$451,$C91,'TL10'!$J$238:$J$451),0),
IF('TL11'!$B$3=M$3,SUMIF('TL11'!$C$10:$C$224,$C91,'TL11'!$J$10:$J$224),0),
IF('TL11'!$B$229=M$3,SUMIF('TL11'!$C$238:$C$451,$C91,'TL11'!$J$238:$J$451),0),
IF('TL12'!$B$3=M$3,SUMIF('TL12'!$C$10:$C$224,$C91,'TL12'!$J$10:$J$224),0),
IF('TL12'!$B$229=M$3,SUMIF('TL12'!$C$238:$C$451,$C91,'TL12'!$J$238:$J$451),0),
IF('TL13'!$B$3=M$3,SUMIF('TL13'!$C$10:$C$224,$C91,'TL13'!$J$10:$J$224),0),
IF('TL13'!$B$229=M$3,SUMIF('TL13'!$C$238:$C$451,$C91,'TL13'!$J$238:$J$451),0),
IF('TL14'!$B$3=M$3,SUMIF('TL14'!$C$10:$C$224,$C91,'TL14'!$J$10:$J$224),0),
IF('TL14'!$B$229=M$3,SUMIF('TL14'!$C$238:$C$451,$C91,'TL14'!$J$238:$J$451),0),
IF('TL15'!$B$3=M$3,SUMIF('TL15'!$C$10:$C$224,$C91,'TL15'!$J$10:$J$224),0),
IF('TL15'!$B$229=M$3,SUMIF('TL15'!$C$238:$C$451,$C91,'TL15'!$J$238:$J$451),0),
IF('TL16'!$B$3=M$3,SUMIF('TL16'!$C$10:$C$224,$C91,'TL16'!$J$10:$J$224),0),
IF('TL16'!$B$229=M$3,SUMIF('TL16'!$C$238:$C$451,$C91,'TL16'!$J$238:$J$451),0),
IF('TL17'!$B$3=M$3,SUMIF('TL17'!$C$10:$C$224,$C91,'TL17'!$J$10:$J$224),0),
IF('TL17'!$B$229=M$3,SUMIF('TL17'!$C$238:$C$451,$C91,'TL17'!$J$238:$J$451),0),
IF('TL18'!$B$3=M$3,SUMIF('TL18'!$C$10:$C$224,$C91,'TL18'!$J$10:$J$224),0),
IF('TL18'!$B$229=M$3,SUMIF('TL18'!$C$238:$C$451,$C91,'TL18'!$J$238:$J$451),0),
IF('TL19'!$B$3=M$3,SUMIF('TL19'!$C$10:$C$224,$C91,'TL19'!$J$10:$J$224),0),
IF('TL19'!$B$229=M$3,SUMIF('TL19'!$C$238:$C$451,$C91,'TL19'!$J$238:$J$451),0)
),0)</f>
        <v/>
      </c>
      <c r="N91" s="9">
        <f>IFERROR(SUM(
IF('TL01'!$B$3=N$3,SUMIF('TL01'!$C$10:$C$224,$C91,'TL01'!$J$10:$J$224),0),
IF('TL01'!$B$229=N$3,SUMIF('TL01'!$C$238:$C$451,$C91,'TL01'!$J$238:$J$451),0),
IF('TL02'!$B$3=N$3,SUMIF('TL02'!$C$10:$C$224,$C91,'TL02'!$J$10:$J$224),0),
IF('TL02'!$B$229=N$3,SUMIF('TL02'!$C$238:$C$451,$C91,'TL02'!$J$238:$J$451),0),
IF('TL03'!$B$3=N$3,SUMIF('TL03'!$C$10:$C$224,$C91,'TL03'!$J$10:$J$224),0),
IF('TL03'!$B$229=N$3,SUMIF('TL03'!$C$238:$C$451,$C91,'TL03'!$J$238:$J$451),0),
IF('TL04'!$B$3=N$3,SUMIF('TL04'!$C$10:$C$224,$C91,'TL04'!$J$10:$J$224),0),
IF('TL04'!$B$229=N$3,SUMIF('TL04'!$C$238:$C$451,$C91,'TL04'!$J$238:$J$451),0),
IF('TL05'!$B$3=N$3,SUMIF('TL05'!$C$10:$C$224,$C91,'TL05'!$J$10:$J$224),0),
IF('TL05'!$B$229=N$3,SUMIF('TL05'!$C$238:$C$451,$C91,'TL05'!$J$238:$J$451),0),
IF('TL06'!$B$3=N$3,SUMIF('TL06'!$C$10:$C$224,$C91,'TL06'!$J$10:$J$224),0),
IF('TL06'!$B$229=N$3,SUMIF('TL06'!$C$238:$C$451,$C91,'TL06'!$J$238:$J$451),0),
IF('TL07'!$B$3=N$3,SUMIF('TL07'!$C$10:$C$224,$C91,'TL07'!$J$10:$J$224),0),
IF('TL07'!$B$229=N$3,SUMIF('TL07'!$C$238:$C$451,$C91,'TL07'!$J$238:$J$451),0),
IF('TL08'!$B$3=N$3,SUMIF('TL08'!$C$10:$C$224,$C91,'TL08'!$J$10:$J$224),0),
IF('TL08'!$B$229=N$3,SUMIF('TL08'!$C$238:$C$451,$C91,'TL08'!$J$238:$J$451),0),
IF('TL09'!$B$3=N$3,SUMIF('TL09'!$C$10:$C$224,$C91,'TL09'!$J$10:$J$224),0),
IF('TL09'!$B$229=N$3,SUMIF('TL09'!$C$238:$C$451,$C91,'TL09'!$J$238:$J$451),0),
IF('TL10'!$B$3=N$3,SUMIF('TL10'!$C$10:$C$224,$C91,'TL10'!$J$10:$J$224),0),
IF('TL10'!$B$229=N$3,SUMIF('TL10'!$C$238:$C$451,$C91,'TL10'!$J$238:$J$451),0),
IF('TL11'!$B$3=N$3,SUMIF('TL11'!$C$10:$C$224,$C91,'TL11'!$J$10:$J$224),0),
IF('TL11'!$B$229=N$3,SUMIF('TL11'!$C$238:$C$451,$C91,'TL11'!$J$238:$J$451),0),
IF('TL12'!$B$3=N$3,SUMIF('TL12'!$C$10:$C$224,$C91,'TL12'!$J$10:$J$224),0),
IF('TL12'!$B$229=N$3,SUMIF('TL12'!$C$238:$C$451,$C91,'TL12'!$J$238:$J$451),0),
IF('TL13'!$B$3=N$3,SUMIF('TL13'!$C$10:$C$224,$C91,'TL13'!$J$10:$J$224),0),
IF('TL13'!$B$229=N$3,SUMIF('TL13'!$C$238:$C$451,$C91,'TL13'!$J$238:$J$451),0),
IF('TL14'!$B$3=N$3,SUMIF('TL14'!$C$10:$C$224,$C91,'TL14'!$J$10:$J$224),0),
IF('TL14'!$B$229=N$3,SUMIF('TL14'!$C$238:$C$451,$C91,'TL14'!$J$238:$J$451),0),
IF('TL15'!$B$3=N$3,SUMIF('TL15'!$C$10:$C$224,$C91,'TL15'!$J$10:$J$224),0),
IF('TL15'!$B$229=N$3,SUMIF('TL15'!$C$238:$C$451,$C91,'TL15'!$J$238:$J$451),0),
IF('TL16'!$B$3=N$3,SUMIF('TL16'!$C$10:$C$224,$C91,'TL16'!$J$10:$J$224),0),
IF('TL16'!$B$229=N$3,SUMIF('TL16'!$C$238:$C$451,$C91,'TL16'!$J$238:$J$451),0),
IF('TL17'!$B$3=N$3,SUMIF('TL17'!$C$10:$C$224,$C91,'TL17'!$J$10:$J$224),0),
IF('TL17'!$B$229=N$3,SUMIF('TL17'!$C$238:$C$451,$C91,'TL17'!$J$238:$J$451),0),
IF('TL18'!$B$3=N$3,SUMIF('TL18'!$C$10:$C$224,$C91,'TL18'!$J$10:$J$224),0),
IF('TL18'!$B$229=N$3,SUMIF('TL18'!$C$238:$C$451,$C91,'TL18'!$J$238:$J$451),0),
IF('TL19'!$B$3=N$3,SUMIF('TL19'!$C$10:$C$224,$C91,'TL19'!$J$10:$J$224),0),
IF('TL19'!$B$229=N$3,SUMIF('TL19'!$C$238:$C$451,$C91,'TL19'!$J$238:$J$451),0)
),0)</f>
        <v/>
      </c>
      <c r="O91" s="9">
        <f>IFERROR(SUM(
IF('TL01'!$B$3=O$3,SUMIF('TL01'!$C$10:$C$224,$C91,'TL01'!$J$10:$J$224),0),
IF('TL01'!$B$229=O$3,SUMIF('TL01'!$C$238:$C$451,$C91,'TL01'!$J$238:$J$451),0),
IF('TL02'!$B$3=O$3,SUMIF('TL02'!$C$10:$C$224,$C91,'TL02'!$J$10:$J$224),0),
IF('TL02'!$B$229=O$3,SUMIF('TL02'!$C$238:$C$451,$C91,'TL02'!$J$238:$J$451),0),
IF('TL03'!$B$3=O$3,SUMIF('TL03'!$C$10:$C$224,$C91,'TL03'!$J$10:$J$224),0),
IF('TL03'!$B$229=O$3,SUMIF('TL03'!$C$238:$C$451,$C91,'TL03'!$J$238:$J$451),0),
IF('TL04'!$B$3=O$3,SUMIF('TL04'!$C$10:$C$224,$C91,'TL04'!$J$10:$J$224),0),
IF('TL04'!$B$229=O$3,SUMIF('TL04'!$C$238:$C$451,$C91,'TL04'!$J$238:$J$451),0),
IF('TL05'!$B$3=O$3,SUMIF('TL05'!$C$10:$C$224,$C91,'TL05'!$J$10:$J$224),0),
IF('TL05'!$B$229=O$3,SUMIF('TL05'!$C$238:$C$451,$C91,'TL05'!$J$238:$J$451),0),
IF('TL06'!$B$3=O$3,SUMIF('TL06'!$C$10:$C$224,$C91,'TL06'!$J$10:$J$224),0),
IF('TL06'!$B$229=O$3,SUMIF('TL06'!$C$238:$C$451,$C91,'TL06'!$J$238:$J$451),0),
IF('TL07'!$B$3=O$3,SUMIF('TL07'!$C$10:$C$224,$C91,'TL07'!$J$10:$J$224),0),
IF('TL07'!$B$229=O$3,SUMIF('TL07'!$C$238:$C$451,$C91,'TL07'!$J$238:$J$451),0),
IF('TL08'!$B$3=O$3,SUMIF('TL08'!$C$10:$C$224,$C91,'TL08'!$J$10:$J$224),0),
IF('TL08'!$B$229=O$3,SUMIF('TL08'!$C$238:$C$451,$C91,'TL08'!$J$238:$J$451),0),
IF('TL09'!$B$3=O$3,SUMIF('TL09'!$C$10:$C$224,$C91,'TL09'!$J$10:$J$224),0),
IF('TL09'!$B$229=O$3,SUMIF('TL09'!$C$238:$C$451,$C91,'TL09'!$J$238:$J$451),0),
IF('TL10'!$B$3=O$3,SUMIF('TL10'!$C$10:$C$224,$C91,'TL10'!$J$10:$J$224),0),
IF('TL10'!$B$229=O$3,SUMIF('TL10'!$C$238:$C$451,$C91,'TL10'!$J$238:$J$451),0),
IF('TL11'!$B$3=O$3,SUMIF('TL11'!$C$10:$C$224,$C91,'TL11'!$J$10:$J$224),0),
IF('TL11'!$B$229=O$3,SUMIF('TL11'!$C$238:$C$451,$C91,'TL11'!$J$238:$J$451),0),
IF('TL12'!$B$3=O$3,SUMIF('TL12'!$C$10:$C$224,$C91,'TL12'!$J$10:$J$224),0),
IF('TL12'!$B$229=O$3,SUMIF('TL12'!$C$238:$C$451,$C91,'TL12'!$J$238:$J$451),0),
IF('TL13'!$B$3=O$3,SUMIF('TL13'!$C$10:$C$224,$C91,'TL13'!$J$10:$J$224),0),
IF('TL13'!$B$229=O$3,SUMIF('TL13'!$C$238:$C$451,$C91,'TL13'!$J$238:$J$451),0),
IF('TL14'!$B$3=O$3,SUMIF('TL14'!$C$10:$C$224,$C91,'TL14'!$J$10:$J$224),0),
IF('TL14'!$B$229=O$3,SUMIF('TL14'!$C$238:$C$451,$C91,'TL14'!$J$238:$J$451),0),
IF('TL15'!$B$3=O$3,SUMIF('TL15'!$C$10:$C$224,$C91,'TL15'!$J$10:$J$224),0),
IF('TL15'!$B$229=O$3,SUMIF('TL15'!$C$238:$C$451,$C91,'TL15'!$J$238:$J$451),0),
IF('TL16'!$B$3=O$3,SUMIF('TL16'!$C$10:$C$224,$C91,'TL16'!$J$10:$J$224),0),
IF('TL16'!$B$229=O$3,SUMIF('TL16'!$C$238:$C$451,$C91,'TL16'!$J$238:$J$451),0),
IF('TL17'!$B$3=O$3,SUMIF('TL17'!$C$10:$C$224,$C91,'TL17'!$J$10:$J$224),0),
IF('TL17'!$B$229=O$3,SUMIF('TL17'!$C$238:$C$451,$C91,'TL17'!$J$238:$J$451),0),
IF('TL18'!$B$3=O$3,SUMIF('TL18'!$C$10:$C$224,$C91,'TL18'!$J$10:$J$224),0),
IF('TL18'!$B$229=O$3,SUMIF('TL18'!$C$238:$C$451,$C91,'TL18'!$J$238:$J$451),0),
IF('TL19'!$B$3=O$3,SUMIF('TL19'!$C$10:$C$224,$C91,'TL19'!$J$10:$J$224),0),
IF('TL19'!$B$229=O$3,SUMIF('TL19'!$C$238:$C$451,$C91,'TL19'!$J$238:$J$451),0)
),0)</f>
        <v/>
      </c>
      <c r="P91" s="9">
        <f>IFERROR(SUM(
IF('TL01'!$B$3=P$3,SUMIF('TL01'!$C$10:$C$224,$C91,'TL01'!$J$10:$J$224),0),
IF('TL01'!$B$229=P$3,SUMIF('TL01'!$C$238:$C$451,$C91,'TL01'!$J$238:$J$451),0),
IF('TL02'!$B$3=P$3,SUMIF('TL02'!$C$10:$C$224,$C91,'TL02'!$J$10:$J$224),0),
IF('TL02'!$B$229=P$3,SUMIF('TL02'!$C$238:$C$451,$C91,'TL02'!$J$238:$J$451),0),
IF('TL03'!$B$3=P$3,SUMIF('TL03'!$C$10:$C$224,$C91,'TL03'!$J$10:$J$224),0),
IF('TL03'!$B$229=P$3,SUMIF('TL03'!$C$238:$C$451,$C91,'TL03'!$J$238:$J$451),0),
IF('TL04'!$B$3=P$3,SUMIF('TL04'!$C$10:$C$224,$C91,'TL04'!$J$10:$J$224),0),
IF('TL04'!$B$229=P$3,SUMIF('TL04'!$C$238:$C$451,$C91,'TL04'!$J$238:$J$451),0),
IF('TL05'!$B$3=P$3,SUMIF('TL05'!$C$10:$C$224,$C91,'TL05'!$J$10:$J$224),0),
IF('TL05'!$B$229=P$3,SUMIF('TL05'!$C$238:$C$451,$C91,'TL05'!$J$238:$J$451),0),
IF('TL06'!$B$3=P$3,SUMIF('TL06'!$C$10:$C$224,$C91,'TL06'!$J$10:$J$224),0),
IF('TL06'!$B$229=P$3,SUMIF('TL06'!$C$238:$C$451,$C91,'TL06'!$J$238:$J$451),0),
IF('TL07'!$B$3=P$3,SUMIF('TL07'!$C$10:$C$224,$C91,'TL07'!$J$10:$J$224),0),
IF('TL07'!$B$229=P$3,SUMIF('TL07'!$C$238:$C$451,$C91,'TL07'!$J$238:$J$451),0),
IF('TL08'!$B$3=P$3,SUMIF('TL08'!$C$10:$C$224,$C91,'TL08'!$J$10:$J$224),0),
IF('TL08'!$B$229=P$3,SUMIF('TL08'!$C$238:$C$451,$C91,'TL08'!$J$238:$J$451),0),
IF('TL09'!$B$3=P$3,SUMIF('TL09'!$C$10:$C$224,$C91,'TL09'!$J$10:$J$224),0),
IF('TL09'!$B$229=P$3,SUMIF('TL09'!$C$238:$C$451,$C91,'TL09'!$J$238:$J$451),0),
IF('TL10'!$B$3=P$3,SUMIF('TL10'!$C$10:$C$224,$C91,'TL10'!$J$10:$J$224),0),
IF('TL10'!$B$229=P$3,SUMIF('TL10'!$C$238:$C$451,$C91,'TL10'!$J$238:$J$451),0),
IF('TL11'!$B$3=P$3,SUMIF('TL11'!$C$10:$C$224,$C91,'TL11'!$J$10:$J$224),0),
IF('TL11'!$B$229=P$3,SUMIF('TL11'!$C$238:$C$451,$C91,'TL11'!$J$238:$J$451),0),
IF('TL12'!$B$3=P$3,SUMIF('TL12'!$C$10:$C$224,$C91,'TL12'!$J$10:$J$224),0),
IF('TL12'!$B$229=P$3,SUMIF('TL12'!$C$238:$C$451,$C91,'TL12'!$J$238:$J$451),0),
IF('TL13'!$B$3=P$3,SUMIF('TL13'!$C$10:$C$224,$C91,'TL13'!$J$10:$J$224),0),
IF('TL13'!$B$229=P$3,SUMIF('TL13'!$C$238:$C$451,$C91,'TL13'!$J$238:$J$451),0),
IF('TL14'!$B$3=P$3,SUMIF('TL14'!$C$10:$C$224,$C91,'TL14'!$J$10:$J$224),0),
IF('TL14'!$B$229=P$3,SUMIF('TL14'!$C$238:$C$451,$C91,'TL14'!$J$238:$J$451),0),
IF('TL15'!$B$3=P$3,SUMIF('TL15'!$C$10:$C$224,$C91,'TL15'!$J$10:$J$224),0),
IF('TL15'!$B$229=P$3,SUMIF('TL15'!$C$238:$C$451,$C91,'TL15'!$J$238:$J$451),0),
IF('TL16'!$B$3=P$3,SUMIF('TL16'!$C$10:$C$224,$C91,'TL16'!$J$10:$J$224),0),
IF('TL16'!$B$229=P$3,SUMIF('TL16'!$C$238:$C$451,$C91,'TL16'!$J$238:$J$451),0),
IF('TL17'!$B$3=P$3,SUMIF('TL17'!$C$10:$C$224,$C91,'TL17'!$J$10:$J$224),0),
IF('TL17'!$B$229=P$3,SUMIF('TL17'!$C$238:$C$451,$C91,'TL17'!$J$238:$J$451),0),
IF('TL18'!$B$3=P$3,SUMIF('TL18'!$C$10:$C$224,$C91,'TL18'!$J$10:$J$224),0),
IF('TL18'!$B$229=P$3,SUMIF('TL18'!$C$238:$C$451,$C91,'TL18'!$J$238:$J$451),0),
IF('TL19'!$B$3=P$3,SUMIF('TL19'!$C$10:$C$224,$C91,'TL19'!$J$10:$J$224),0),
IF('TL19'!$B$229=P$3,SUMIF('TL19'!$C$238:$C$451,$C91,'TL19'!$J$238:$J$451),0)
),0)</f>
        <v/>
      </c>
      <c r="Q91" s="9">
        <f>IFERROR(SUM(
IF('TL01'!$B$3=Q$3,SUMIF('TL01'!$C$10:$C$224,$C91,'TL01'!$J$10:$J$224),0),
IF('TL01'!$B$229=Q$3,SUMIF('TL01'!$C$238:$C$451,$C91,'TL01'!$J$238:$J$451),0),
IF('TL02'!$B$3=Q$3,SUMIF('TL02'!$C$10:$C$224,$C91,'TL02'!$J$10:$J$224),0),
IF('TL02'!$B$229=Q$3,SUMIF('TL02'!$C$238:$C$451,$C91,'TL02'!$J$238:$J$451),0),
IF('TL03'!$B$3=Q$3,SUMIF('TL03'!$C$10:$C$224,$C91,'TL03'!$J$10:$J$224),0),
IF('TL03'!$B$229=Q$3,SUMIF('TL03'!$C$238:$C$451,$C91,'TL03'!$J$238:$J$451),0),
IF('TL04'!$B$3=Q$3,SUMIF('TL04'!$C$10:$C$224,$C91,'TL04'!$J$10:$J$224),0),
IF('TL04'!$B$229=Q$3,SUMIF('TL04'!$C$238:$C$451,$C91,'TL04'!$J$238:$J$451),0),
IF('TL05'!$B$3=Q$3,SUMIF('TL05'!$C$10:$C$224,$C91,'TL05'!$J$10:$J$224),0),
IF('TL05'!$B$229=Q$3,SUMIF('TL05'!$C$238:$C$451,$C91,'TL05'!$J$238:$J$451),0),
IF('TL06'!$B$3=Q$3,SUMIF('TL06'!$C$10:$C$224,$C91,'TL06'!$J$10:$J$224),0),
IF('TL06'!$B$229=Q$3,SUMIF('TL06'!$C$238:$C$451,$C91,'TL06'!$J$238:$J$451),0),
IF('TL07'!$B$3=Q$3,SUMIF('TL07'!$C$10:$C$224,$C91,'TL07'!$J$10:$J$224),0),
IF('TL07'!$B$229=Q$3,SUMIF('TL07'!$C$238:$C$451,$C91,'TL07'!$J$238:$J$451),0),
IF('TL08'!$B$3=Q$3,SUMIF('TL08'!$C$10:$C$224,$C91,'TL08'!$J$10:$J$224),0),
IF('TL08'!$B$229=Q$3,SUMIF('TL08'!$C$238:$C$451,$C91,'TL08'!$J$238:$J$451),0),
IF('TL09'!$B$3=Q$3,SUMIF('TL09'!$C$10:$C$224,$C91,'TL09'!$J$10:$J$224),0),
IF('TL09'!$B$229=Q$3,SUMIF('TL09'!$C$238:$C$451,$C91,'TL09'!$J$238:$J$451),0),
IF('TL10'!$B$3=Q$3,SUMIF('TL10'!$C$10:$C$224,$C91,'TL10'!$J$10:$J$224),0),
IF('TL10'!$B$229=Q$3,SUMIF('TL10'!$C$238:$C$451,$C91,'TL10'!$J$238:$J$451),0),
IF('TL11'!$B$3=Q$3,SUMIF('TL11'!$C$10:$C$224,$C91,'TL11'!$J$10:$J$224),0),
IF('TL11'!$B$229=Q$3,SUMIF('TL11'!$C$238:$C$451,$C91,'TL11'!$J$238:$J$451),0),
IF('TL12'!$B$3=Q$3,SUMIF('TL12'!$C$10:$C$224,$C91,'TL12'!$J$10:$J$224),0),
IF('TL12'!$B$229=Q$3,SUMIF('TL12'!$C$238:$C$451,$C91,'TL12'!$J$238:$J$451),0),
IF('TL13'!$B$3=Q$3,SUMIF('TL13'!$C$10:$C$224,$C91,'TL13'!$J$10:$J$224),0),
IF('TL13'!$B$229=Q$3,SUMIF('TL13'!$C$238:$C$451,$C91,'TL13'!$J$238:$J$451),0),
IF('TL14'!$B$3=Q$3,SUMIF('TL14'!$C$10:$C$224,$C91,'TL14'!$J$10:$J$224),0),
IF('TL14'!$B$229=Q$3,SUMIF('TL14'!$C$238:$C$451,$C91,'TL14'!$J$238:$J$451),0),
IF('TL15'!$B$3=Q$3,SUMIF('TL15'!$C$10:$C$224,$C91,'TL15'!$J$10:$J$224),0),
IF('TL15'!$B$229=Q$3,SUMIF('TL15'!$C$238:$C$451,$C91,'TL15'!$J$238:$J$451),0),
IF('TL16'!$B$3=Q$3,SUMIF('TL16'!$C$10:$C$224,$C91,'TL16'!$J$10:$J$224),0),
IF('TL16'!$B$229=Q$3,SUMIF('TL16'!$C$238:$C$451,$C91,'TL16'!$J$238:$J$451),0),
IF('TL17'!$B$3=Q$3,SUMIF('TL17'!$C$10:$C$224,$C91,'TL17'!$J$10:$J$224),0),
IF('TL17'!$B$229=Q$3,SUMIF('TL17'!$C$238:$C$451,$C91,'TL17'!$J$238:$J$451),0),
IF('TL18'!$B$3=Q$3,SUMIF('TL18'!$C$10:$C$224,$C91,'TL18'!$J$10:$J$224),0),
IF('TL18'!$B$229=Q$3,SUMIF('TL18'!$C$238:$C$451,$C91,'TL18'!$J$238:$J$451),0),
IF('TL19'!$B$3=Q$3,SUMIF('TL19'!$C$10:$C$224,$C91,'TL19'!$J$10:$J$224),0),
IF('TL19'!$B$229=Q$3,SUMIF('TL19'!$C$238:$C$451,$C91,'TL19'!$J$238:$J$451),0)
),0)</f>
        <v/>
      </c>
      <c r="R91" s="9">
        <f>IFERROR(
SUM(
SUMIF('TL01'!C:C,C91,'TL01'!J:J),
SUMIF('TL02'!C:C,C91,'TL02'!J:J),
SUMIF('TL03'!C:C,C91,'TL03'!J:J),
SUMIF('TL04'!C:C,C91,'TL04'!J:J),
SUMIF('TL05'!C:C,C91,'TL05'!J:J),
SUMIF('TL06'!C:C,C91,'TL06'!J:J),
SUMIF('TL07'!C:C,C91,'TL07'!J:J),
SUMIF('TL08'!C:C,C91,'TL08'!J:J),
SUMIF('TL09'!C:C,C91,'TL09'!J:J),
SUMIF('TL10'!C:C,C91,'TL10'!J:J),
SUMIF('TL11'!C:C,C91,'TL11'!J:J),
SUMIF('TL12'!C:C,C91,'TL12'!J:J),
SUMIF('TL13'!C:C,C91,'TL13'!J:J),
SUMIF('TL14'!C:C,C91,'TL14'!J:J),
SUMIF('TL15'!C:C,C91,'TL15'!J:J),
SUMIF('TL16'!C:C,C91,'TL16'!J:J),
SUMIF('TL17'!C:C,C91,'TL17'!J:J),
SUMIF('TL18'!C:C,C91,'TL18'!J:J),SUMIF('TL19'!C:C,C91,'TL19'!J:J))
,0)</f>
        <v/>
      </c>
      <c r="S91" s="17">
        <f>IFERROR(__xludf.DUMMYFUNCTION("IFERROR(VLOOKUP(C91,
IMPORTRANGE(""1wULbzX32WdYsx-lj2U3uUNBBe2INVIRDtcK0d-Dvl90"",
""26-27!C:G""),
5,
FALSE),
"""")"),109.03248)</f>
        <v/>
      </c>
      <c r="T91" s="9" t="n"/>
      <c r="U91" s="92">
        <f>MAX(0,R91-T91)</f>
        <v/>
      </c>
      <c r="V91" s="93">
        <f>U91*S91</f>
        <v/>
      </c>
    </row>
    <row r="92" hidden="1" ht="15.75" customHeight="1" s="297">
      <c r="A92" s="115" t="inlineStr">
        <is>
          <t>SYNGENTA</t>
        </is>
      </c>
      <c r="B92" s="100" t="inlineStr">
        <is>
          <t>FUNGICIDA</t>
        </is>
      </c>
      <c r="C92" s="116" t="inlineStr">
        <is>
          <t>AUGE</t>
        </is>
      </c>
      <c r="D92" s="116" t="inlineStr">
        <is>
          <t>HIDRÓXIDO DE COBRE</t>
        </is>
      </c>
      <c r="E92" s="116" t="n">
        <v>537.4400000000001</v>
      </c>
      <c r="F92" s="4" t="inlineStr">
        <is>
          <t>L</t>
        </is>
      </c>
      <c r="G92" s="90">
        <f>HYPERLINK("https://www.google.com/search?q=" &amp; C92 &amp; "+bula+agrofit+pdf", "📄 Ver bula")</f>
        <v/>
      </c>
      <c r="H92" s="9">
        <f>IFERROR(__xludf.DUMMYFUNCTION("IFERROR(VLOOKUP(C92,
IMPORTRANGE(""1wULbzX32WdYsx-lj2U3uUNBBe2INVIRDtcK0d-Dvl90"",
""26-27!C:K""),
8,
FALSE),
"""")"),0.6)</f>
        <v/>
      </c>
      <c r="I92" s="117" t="inlineStr">
        <is>
          <t>4X5</t>
        </is>
      </c>
      <c r="J92" s="9">
        <f>IFERROR(SUM(
IF('TL01'!$B$3=J$3,SUMIF('TL01'!$C$10:$C$224,$C92,'TL01'!$J$10:$J$224),0),
IF('TL01'!$B$229=J$3,SUMIF('TL01'!$C$238:$C$451,$C92,'TL01'!$J$238:$J$451),0),
IF('TL02'!$B$3=J$3,SUMIF('TL02'!$C$10:$C$224,$C92,'TL02'!$J$10:$J$224),0),
IF('TL02'!$B$229=J$3,SUMIF('TL02'!$C$238:$C$451,$C92,'TL02'!$J$238:$J$451),0),
IF('TL03'!$B$3=J$3,SUMIF('TL03'!$C$10:$C$224,$C92,'TL03'!$J$10:$J$224),0),
IF('TL03'!$B$229=J$3,SUMIF('TL03'!$C$238:$C$451,$C92,'TL03'!$J$238:$J$451),0),
IF('TL04'!$B$3=J$3,SUMIF('TL04'!$C$10:$C$224,$C92,'TL04'!$J$10:$J$224),0),
IF('TL04'!$B$229=J$3,SUMIF('TL04'!$C$238:$C$451,$C92,'TL04'!$J$238:$J$451),0),
IF('TL05'!$B$3=J$3,SUMIF('TL05'!$C$10:$C$224,$C92,'TL05'!$J$10:$J$224),0),
IF('TL05'!$B$229=J$3,SUMIF('TL05'!$C$238:$C$451,$C92,'TL05'!$J$238:$J$451),0),
IF('TL06'!$B$3=J$3,SUMIF('TL06'!$C$10:$C$224,$C92,'TL06'!$J$10:$J$224),0),
IF('TL06'!$B$229=J$3,SUMIF('TL06'!$C$238:$C$451,$C92,'TL06'!$J$238:$J$451),0),
IF('TL07'!$B$3=J$3,SUMIF('TL07'!$C$10:$C$224,$C92,'TL07'!$J$10:$J$224),0),
IF('TL07'!$B$229=J$3,SUMIF('TL07'!$C$238:$C$451,$C92,'TL07'!$J$238:$J$451),0),
IF('TL08'!$B$3=J$3,SUMIF('TL08'!$C$10:$C$224,$C92,'TL08'!$J$10:$J$224),0),
IF('TL08'!$B$229=J$3,SUMIF('TL08'!$C$238:$C$451,$C92,'TL08'!$J$238:$J$451),0),
IF('TL09'!$B$3=J$3,SUMIF('TL09'!$C$10:$C$224,$C92,'TL09'!$J$10:$J$224),0),
IF('TL09'!$B$229=J$3,SUMIF('TL09'!$C$238:$C$451,$C92,'TL09'!$J$238:$J$451),0),
IF('TL10'!$B$3=J$3,SUMIF('TL10'!$C$10:$C$224,$C92,'TL10'!$J$10:$J$224),0),
IF('TL10'!$B$229=J$3,SUMIF('TL10'!$C$238:$C$451,$C92,'TL10'!$J$238:$J$451),0),
IF('TL11'!$B$3=J$3,SUMIF('TL11'!$C$10:$C$224,$C92,'TL11'!$J$10:$J$224),0),
IF('TL11'!$B$229=J$3,SUMIF('TL11'!$C$238:$C$451,$C92,'TL11'!$J$238:$J$451),0),
IF('TL12'!$B$3=J$3,SUMIF('TL12'!$C$10:$C$224,$C92,'TL12'!$J$10:$J$224),0),
IF('TL12'!$B$229=J$3,SUMIF('TL12'!$C$238:$C$451,$C92,'TL12'!$J$238:$J$451),0),
IF('TL13'!$B$3=J$3,SUMIF('TL13'!$C$10:$C$224,$C92,'TL13'!$J$10:$J$224),0),
IF('TL13'!$B$229=J$3,SUMIF('TL13'!$C$238:$C$451,$C92,'TL13'!$J$238:$J$451),0),
IF('TL14'!$B$3=J$3,SUMIF('TL14'!$C$10:$C$224,$C92,'TL14'!$J$10:$J$224),0),
IF('TL14'!$B$229=J$3,SUMIF('TL14'!$C$238:$C$451,$C92,'TL14'!$J$238:$J$451),0),
IF('TL15'!$B$3=J$3,SUMIF('TL15'!$C$10:$C$224,$C92,'TL15'!$J$10:$J$224),0),
IF('TL15'!$B$229=J$3,SUMIF('TL15'!$C$238:$C$451,$C92,'TL15'!$J$238:$J$451),0),
IF('TL16'!$B$3=J$3,SUMIF('TL16'!$C$10:$C$224,$C92,'TL16'!$J$10:$J$224),0),
IF('TL16'!$B$229=J$3,SUMIF('TL16'!$C$238:$C$451,$C92,'TL16'!$J$238:$J$451),0),
IF('TL17'!$B$3=J$3,SUMIF('TL17'!$C$10:$C$224,$C92,'TL17'!$J$10:$J$224),0),
IF('TL17'!$B$229=J$3,SUMIF('TL17'!$C$238:$C$451,$C92,'TL17'!$J$238:$J$451),0),
IF('TL18'!$B$3=J$3,SUMIF('TL18'!$C$10:$C$224,$C92,'TL18'!$J$10:$J$224),0),
IF('TL18'!$B$229=J$3,SUMIF('TL18'!$C$238:$C$451,$C92,'TL18'!$J$238:$J$451),0),
IF('TL19'!$B$3=J$3,SUMIF('TL19'!$C$10:$C$224,$C92,'TL19'!$J$10:$J$224),0),
IF('TL19'!$B$229=J$3,SUMIF('TL19'!$C$238:$C$451,$C92,'TL19'!$J$238:$J$451),0)
),0)</f>
        <v/>
      </c>
      <c r="K92" s="9">
        <f>IFERROR(SUM(
IF('TL01'!$B$3=K$3,SUMIF('TL01'!$C$10:$C$224,$C92,'TL01'!$J$10:$J$224),0),
IF('TL01'!$B$229=K$3,SUMIF('TL01'!$C$238:$C$451,$C92,'TL01'!$J$238:$J$451),0),
IF('TL02'!$B$3=K$3,SUMIF('TL02'!$C$10:$C$224,$C92,'TL02'!$J$10:$J$224),0),
IF('TL02'!$B$229=K$3,SUMIF('TL02'!$C$238:$C$451,$C92,'TL02'!$J$238:$J$451),0),
IF('TL03'!$B$3=K$3,SUMIF('TL03'!$C$10:$C$224,$C92,'TL03'!$J$10:$J$224),0),
IF('TL03'!$B$229=K$3,SUMIF('TL03'!$C$238:$C$451,$C92,'TL03'!$J$238:$J$451),0),
IF('TL04'!$B$3=K$3,SUMIF('TL04'!$C$10:$C$224,$C92,'TL04'!$J$10:$J$224),0),
IF('TL04'!$B$229=K$3,SUMIF('TL04'!$C$238:$C$451,$C92,'TL04'!$J$238:$J$451),0),
IF('TL05'!$B$3=K$3,SUMIF('TL05'!$C$10:$C$224,$C92,'TL05'!$J$10:$J$224),0),
IF('TL05'!$B$229=K$3,SUMIF('TL05'!$C$238:$C$451,$C92,'TL05'!$J$238:$J$451),0),
IF('TL06'!$B$3=K$3,SUMIF('TL06'!$C$10:$C$224,$C92,'TL06'!$J$10:$J$224),0),
IF('TL06'!$B$229=K$3,SUMIF('TL06'!$C$238:$C$451,$C92,'TL06'!$J$238:$J$451),0),
IF('TL07'!$B$3=K$3,SUMIF('TL07'!$C$10:$C$224,$C92,'TL07'!$J$10:$J$224),0),
IF('TL07'!$B$229=K$3,SUMIF('TL07'!$C$238:$C$451,$C92,'TL07'!$J$238:$J$451),0),
IF('TL08'!$B$3=K$3,SUMIF('TL08'!$C$10:$C$224,$C92,'TL08'!$J$10:$J$224),0),
IF('TL08'!$B$229=K$3,SUMIF('TL08'!$C$238:$C$451,$C92,'TL08'!$J$238:$J$451),0),
IF('TL09'!$B$3=K$3,SUMIF('TL09'!$C$10:$C$224,$C92,'TL09'!$J$10:$J$224),0),
IF('TL09'!$B$229=K$3,SUMIF('TL09'!$C$238:$C$451,$C92,'TL09'!$J$238:$J$451),0),
IF('TL10'!$B$3=K$3,SUMIF('TL10'!$C$10:$C$224,$C92,'TL10'!$J$10:$J$224),0),
IF('TL10'!$B$229=K$3,SUMIF('TL10'!$C$238:$C$451,$C92,'TL10'!$J$238:$J$451),0),
IF('TL11'!$B$3=K$3,SUMIF('TL11'!$C$10:$C$224,$C92,'TL11'!$J$10:$J$224),0),
IF('TL11'!$B$229=K$3,SUMIF('TL11'!$C$238:$C$451,$C92,'TL11'!$J$238:$J$451),0),
IF('TL12'!$B$3=K$3,SUMIF('TL12'!$C$10:$C$224,$C92,'TL12'!$J$10:$J$224),0),
IF('TL12'!$B$229=K$3,SUMIF('TL12'!$C$238:$C$451,$C92,'TL12'!$J$238:$J$451),0),
IF('TL13'!$B$3=K$3,SUMIF('TL13'!$C$10:$C$224,$C92,'TL13'!$J$10:$J$224),0),
IF('TL13'!$B$229=K$3,SUMIF('TL13'!$C$238:$C$451,$C92,'TL13'!$J$238:$J$451),0),
IF('TL14'!$B$3=K$3,SUMIF('TL14'!$C$10:$C$224,$C92,'TL14'!$J$10:$J$224),0),
IF('TL14'!$B$229=K$3,SUMIF('TL14'!$C$238:$C$451,$C92,'TL14'!$J$238:$J$451),0),
IF('TL15'!$B$3=K$3,SUMIF('TL15'!$C$10:$C$224,$C92,'TL15'!$J$10:$J$224),0),
IF('TL15'!$B$229=K$3,SUMIF('TL15'!$C$238:$C$451,$C92,'TL15'!$J$238:$J$451),0),
IF('TL16'!$B$3=K$3,SUMIF('TL16'!$C$10:$C$224,$C92,'TL16'!$J$10:$J$224),0),
IF('TL16'!$B$229=K$3,SUMIF('TL16'!$C$238:$C$451,$C92,'TL16'!$J$238:$J$451),0),
IF('TL17'!$B$3=K$3,SUMIF('TL17'!$C$10:$C$224,$C92,'TL17'!$J$10:$J$224),0),
IF('TL17'!$B$229=K$3,SUMIF('TL17'!$C$238:$C$451,$C92,'TL17'!$J$238:$J$451),0),
IF('TL18'!$B$3=K$3,SUMIF('TL18'!$C$10:$C$224,$C92,'TL18'!$J$10:$J$224),0),
IF('TL18'!$B$229=K$3,SUMIF('TL18'!$C$238:$C$451,$C92,'TL18'!$J$238:$J$451),0),
IF('TL19'!$B$3=K$3,SUMIF('TL19'!$C$10:$C$224,$C92,'TL19'!$J$10:$J$224),0),
IF('TL19'!$B$229=K$3,SUMIF('TL19'!$C$238:$C$451,$C92,'TL19'!$J$238:$J$451),0)
),0)</f>
        <v/>
      </c>
      <c r="L92" s="9">
        <f>IFERROR(SUM(
IF('TL01'!$B$3=L$3,SUMIF('TL01'!$C$10:$C$224,$C92,'TL01'!$J$10:$J$224),0),
IF('TL01'!$B$229=L$3,SUMIF('TL01'!$C$238:$C$451,$C92,'TL01'!$J$238:$J$451),0),
IF('TL02'!$B$3=L$3,SUMIF('TL02'!$C$10:$C$224,$C92,'TL02'!$J$10:$J$224),0),
IF('TL02'!$B$229=L$3,SUMIF('TL02'!$C$238:$C$451,$C92,'TL02'!$J$238:$J$451),0),
IF('TL03'!$B$3=L$3,SUMIF('TL03'!$C$10:$C$224,$C92,'TL03'!$J$10:$J$224),0),
IF('TL03'!$B$229=L$3,SUMIF('TL03'!$C$238:$C$451,$C92,'TL03'!$J$238:$J$451),0),
IF('TL04'!$B$3=L$3,SUMIF('TL04'!$C$10:$C$224,$C92,'TL04'!$J$10:$J$224),0),
IF('TL04'!$B$229=L$3,SUMIF('TL04'!$C$238:$C$451,$C92,'TL04'!$J$238:$J$451),0),
IF('TL05'!$B$3=L$3,SUMIF('TL05'!$C$10:$C$224,$C92,'TL05'!$J$10:$J$224),0),
IF('TL05'!$B$229=L$3,SUMIF('TL05'!$C$238:$C$451,$C92,'TL05'!$J$238:$J$451),0),
IF('TL06'!$B$3=L$3,SUMIF('TL06'!$C$10:$C$224,$C92,'TL06'!$J$10:$J$224),0),
IF('TL06'!$B$229=L$3,SUMIF('TL06'!$C$238:$C$451,$C92,'TL06'!$J$238:$J$451),0),
IF('TL07'!$B$3=L$3,SUMIF('TL07'!$C$10:$C$224,$C92,'TL07'!$J$10:$J$224),0),
IF('TL07'!$B$229=L$3,SUMIF('TL07'!$C$238:$C$451,$C92,'TL07'!$J$238:$J$451),0),
IF('TL08'!$B$3=L$3,SUMIF('TL08'!$C$10:$C$224,$C92,'TL08'!$J$10:$J$224),0),
IF('TL08'!$B$229=L$3,SUMIF('TL08'!$C$238:$C$451,$C92,'TL08'!$J$238:$J$451),0),
IF('TL09'!$B$3=L$3,SUMIF('TL09'!$C$10:$C$224,$C92,'TL09'!$J$10:$J$224),0),
IF('TL09'!$B$229=L$3,SUMIF('TL09'!$C$238:$C$451,$C92,'TL09'!$J$238:$J$451),0),
IF('TL10'!$B$3=L$3,SUMIF('TL10'!$C$10:$C$224,$C92,'TL10'!$J$10:$J$224),0),
IF('TL10'!$B$229=L$3,SUMIF('TL10'!$C$238:$C$451,$C92,'TL10'!$J$238:$J$451),0),
IF('TL11'!$B$3=L$3,SUMIF('TL11'!$C$10:$C$224,$C92,'TL11'!$J$10:$J$224),0),
IF('TL11'!$B$229=L$3,SUMIF('TL11'!$C$238:$C$451,$C92,'TL11'!$J$238:$J$451),0),
IF('TL12'!$B$3=L$3,SUMIF('TL12'!$C$10:$C$224,$C92,'TL12'!$J$10:$J$224),0),
IF('TL12'!$B$229=L$3,SUMIF('TL12'!$C$238:$C$451,$C92,'TL12'!$J$238:$J$451),0),
IF('TL13'!$B$3=L$3,SUMIF('TL13'!$C$10:$C$224,$C92,'TL13'!$J$10:$J$224),0),
IF('TL13'!$B$229=L$3,SUMIF('TL13'!$C$238:$C$451,$C92,'TL13'!$J$238:$J$451),0),
IF('TL14'!$B$3=L$3,SUMIF('TL14'!$C$10:$C$224,$C92,'TL14'!$J$10:$J$224),0),
IF('TL14'!$B$229=L$3,SUMIF('TL14'!$C$238:$C$451,$C92,'TL14'!$J$238:$J$451),0),
IF('TL15'!$B$3=L$3,SUMIF('TL15'!$C$10:$C$224,$C92,'TL15'!$J$10:$J$224),0),
IF('TL15'!$B$229=L$3,SUMIF('TL15'!$C$238:$C$451,$C92,'TL15'!$J$238:$J$451),0),
IF('TL16'!$B$3=L$3,SUMIF('TL16'!$C$10:$C$224,$C92,'TL16'!$J$10:$J$224),0),
IF('TL16'!$B$229=L$3,SUMIF('TL16'!$C$238:$C$451,$C92,'TL16'!$J$238:$J$451),0),
IF('TL17'!$B$3=L$3,SUMIF('TL17'!$C$10:$C$224,$C92,'TL17'!$J$10:$J$224),0),
IF('TL17'!$B$229=L$3,SUMIF('TL17'!$C$238:$C$451,$C92,'TL17'!$J$238:$J$451),0),
IF('TL18'!$B$3=L$3,SUMIF('TL18'!$C$10:$C$224,$C92,'TL18'!$J$10:$J$224),0),
IF('TL18'!$B$229=L$3,SUMIF('TL18'!$C$238:$C$451,$C92,'TL18'!$J$238:$J$451),0),
IF('TL19'!$B$3=L$3,SUMIF('TL19'!$C$10:$C$224,$C92,'TL19'!$J$10:$J$224),0),
IF('TL19'!$B$229=L$3,SUMIF('TL19'!$C$238:$C$451,$C92,'TL19'!$J$238:$J$451),0)
),0)</f>
        <v/>
      </c>
      <c r="M92" s="9">
        <f>IFERROR(SUM(
IF('TL01'!$B$3=M$3,SUMIF('TL01'!$C$10:$C$224,$C92,'TL01'!$J$10:$J$224),0),
IF('TL01'!$B$229=M$3,SUMIF('TL01'!$C$238:$C$451,$C92,'TL01'!$J$238:$J$451),0),
IF('TL02'!$B$3=M$3,SUMIF('TL02'!$C$10:$C$224,$C92,'TL02'!$J$10:$J$224),0),
IF('TL02'!$B$229=M$3,SUMIF('TL02'!$C$238:$C$451,$C92,'TL02'!$J$238:$J$451),0),
IF('TL03'!$B$3=M$3,SUMIF('TL03'!$C$10:$C$224,$C92,'TL03'!$J$10:$J$224),0),
IF('TL03'!$B$229=M$3,SUMIF('TL03'!$C$238:$C$451,$C92,'TL03'!$J$238:$J$451),0),
IF('TL04'!$B$3=M$3,SUMIF('TL04'!$C$10:$C$224,$C92,'TL04'!$J$10:$J$224),0),
IF('TL04'!$B$229=M$3,SUMIF('TL04'!$C$238:$C$451,$C92,'TL04'!$J$238:$J$451),0),
IF('TL05'!$B$3=M$3,SUMIF('TL05'!$C$10:$C$224,$C92,'TL05'!$J$10:$J$224),0),
IF('TL05'!$B$229=M$3,SUMIF('TL05'!$C$238:$C$451,$C92,'TL05'!$J$238:$J$451),0),
IF('TL06'!$B$3=M$3,SUMIF('TL06'!$C$10:$C$224,$C92,'TL06'!$J$10:$J$224),0),
IF('TL06'!$B$229=M$3,SUMIF('TL06'!$C$238:$C$451,$C92,'TL06'!$J$238:$J$451),0),
IF('TL07'!$B$3=M$3,SUMIF('TL07'!$C$10:$C$224,$C92,'TL07'!$J$10:$J$224),0),
IF('TL07'!$B$229=M$3,SUMIF('TL07'!$C$238:$C$451,$C92,'TL07'!$J$238:$J$451),0),
IF('TL08'!$B$3=M$3,SUMIF('TL08'!$C$10:$C$224,$C92,'TL08'!$J$10:$J$224),0),
IF('TL08'!$B$229=M$3,SUMIF('TL08'!$C$238:$C$451,$C92,'TL08'!$J$238:$J$451),0),
IF('TL09'!$B$3=M$3,SUMIF('TL09'!$C$10:$C$224,$C92,'TL09'!$J$10:$J$224),0),
IF('TL09'!$B$229=M$3,SUMIF('TL09'!$C$238:$C$451,$C92,'TL09'!$J$238:$J$451),0),
IF('TL10'!$B$3=M$3,SUMIF('TL10'!$C$10:$C$224,$C92,'TL10'!$J$10:$J$224),0),
IF('TL10'!$B$229=M$3,SUMIF('TL10'!$C$238:$C$451,$C92,'TL10'!$J$238:$J$451),0),
IF('TL11'!$B$3=M$3,SUMIF('TL11'!$C$10:$C$224,$C92,'TL11'!$J$10:$J$224),0),
IF('TL11'!$B$229=M$3,SUMIF('TL11'!$C$238:$C$451,$C92,'TL11'!$J$238:$J$451),0),
IF('TL12'!$B$3=M$3,SUMIF('TL12'!$C$10:$C$224,$C92,'TL12'!$J$10:$J$224),0),
IF('TL12'!$B$229=M$3,SUMIF('TL12'!$C$238:$C$451,$C92,'TL12'!$J$238:$J$451),0),
IF('TL13'!$B$3=M$3,SUMIF('TL13'!$C$10:$C$224,$C92,'TL13'!$J$10:$J$224),0),
IF('TL13'!$B$229=M$3,SUMIF('TL13'!$C$238:$C$451,$C92,'TL13'!$J$238:$J$451),0),
IF('TL14'!$B$3=M$3,SUMIF('TL14'!$C$10:$C$224,$C92,'TL14'!$J$10:$J$224),0),
IF('TL14'!$B$229=M$3,SUMIF('TL14'!$C$238:$C$451,$C92,'TL14'!$J$238:$J$451),0),
IF('TL15'!$B$3=M$3,SUMIF('TL15'!$C$10:$C$224,$C92,'TL15'!$J$10:$J$224),0),
IF('TL15'!$B$229=M$3,SUMIF('TL15'!$C$238:$C$451,$C92,'TL15'!$J$238:$J$451),0),
IF('TL16'!$B$3=M$3,SUMIF('TL16'!$C$10:$C$224,$C92,'TL16'!$J$10:$J$224),0),
IF('TL16'!$B$229=M$3,SUMIF('TL16'!$C$238:$C$451,$C92,'TL16'!$J$238:$J$451),0),
IF('TL17'!$B$3=M$3,SUMIF('TL17'!$C$10:$C$224,$C92,'TL17'!$J$10:$J$224),0),
IF('TL17'!$B$229=M$3,SUMIF('TL17'!$C$238:$C$451,$C92,'TL17'!$J$238:$J$451),0),
IF('TL18'!$B$3=M$3,SUMIF('TL18'!$C$10:$C$224,$C92,'TL18'!$J$10:$J$224),0),
IF('TL18'!$B$229=M$3,SUMIF('TL18'!$C$238:$C$451,$C92,'TL18'!$J$238:$J$451),0),
IF('TL19'!$B$3=M$3,SUMIF('TL19'!$C$10:$C$224,$C92,'TL19'!$J$10:$J$224),0),
IF('TL19'!$B$229=M$3,SUMIF('TL19'!$C$238:$C$451,$C92,'TL19'!$J$238:$J$451),0)
),0)</f>
        <v/>
      </c>
      <c r="N92" s="9">
        <f>IFERROR(SUM(
IF('TL01'!$B$3=N$3,SUMIF('TL01'!$C$10:$C$224,$C92,'TL01'!$J$10:$J$224),0),
IF('TL01'!$B$229=N$3,SUMIF('TL01'!$C$238:$C$451,$C92,'TL01'!$J$238:$J$451),0),
IF('TL02'!$B$3=N$3,SUMIF('TL02'!$C$10:$C$224,$C92,'TL02'!$J$10:$J$224),0),
IF('TL02'!$B$229=N$3,SUMIF('TL02'!$C$238:$C$451,$C92,'TL02'!$J$238:$J$451),0),
IF('TL03'!$B$3=N$3,SUMIF('TL03'!$C$10:$C$224,$C92,'TL03'!$J$10:$J$224),0),
IF('TL03'!$B$229=N$3,SUMIF('TL03'!$C$238:$C$451,$C92,'TL03'!$J$238:$J$451),0),
IF('TL04'!$B$3=N$3,SUMIF('TL04'!$C$10:$C$224,$C92,'TL04'!$J$10:$J$224),0),
IF('TL04'!$B$229=N$3,SUMIF('TL04'!$C$238:$C$451,$C92,'TL04'!$J$238:$J$451),0),
IF('TL05'!$B$3=N$3,SUMIF('TL05'!$C$10:$C$224,$C92,'TL05'!$J$10:$J$224),0),
IF('TL05'!$B$229=N$3,SUMIF('TL05'!$C$238:$C$451,$C92,'TL05'!$J$238:$J$451),0),
IF('TL06'!$B$3=N$3,SUMIF('TL06'!$C$10:$C$224,$C92,'TL06'!$J$10:$J$224),0),
IF('TL06'!$B$229=N$3,SUMIF('TL06'!$C$238:$C$451,$C92,'TL06'!$J$238:$J$451),0),
IF('TL07'!$B$3=N$3,SUMIF('TL07'!$C$10:$C$224,$C92,'TL07'!$J$10:$J$224),0),
IF('TL07'!$B$229=N$3,SUMIF('TL07'!$C$238:$C$451,$C92,'TL07'!$J$238:$J$451),0),
IF('TL08'!$B$3=N$3,SUMIF('TL08'!$C$10:$C$224,$C92,'TL08'!$J$10:$J$224),0),
IF('TL08'!$B$229=N$3,SUMIF('TL08'!$C$238:$C$451,$C92,'TL08'!$J$238:$J$451),0),
IF('TL09'!$B$3=N$3,SUMIF('TL09'!$C$10:$C$224,$C92,'TL09'!$J$10:$J$224),0),
IF('TL09'!$B$229=N$3,SUMIF('TL09'!$C$238:$C$451,$C92,'TL09'!$J$238:$J$451),0),
IF('TL10'!$B$3=N$3,SUMIF('TL10'!$C$10:$C$224,$C92,'TL10'!$J$10:$J$224),0),
IF('TL10'!$B$229=N$3,SUMIF('TL10'!$C$238:$C$451,$C92,'TL10'!$J$238:$J$451),0),
IF('TL11'!$B$3=N$3,SUMIF('TL11'!$C$10:$C$224,$C92,'TL11'!$J$10:$J$224),0),
IF('TL11'!$B$229=N$3,SUMIF('TL11'!$C$238:$C$451,$C92,'TL11'!$J$238:$J$451),0),
IF('TL12'!$B$3=N$3,SUMIF('TL12'!$C$10:$C$224,$C92,'TL12'!$J$10:$J$224),0),
IF('TL12'!$B$229=N$3,SUMIF('TL12'!$C$238:$C$451,$C92,'TL12'!$J$238:$J$451),0),
IF('TL13'!$B$3=N$3,SUMIF('TL13'!$C$10:$C$224,$C92,'TL13'!$J$10:$J$224),0),
IF('TL13'!$B$229=N$3,SUMIF('TL13'!$C$238:$C$451,$C92,'TL13'!$J$238:$J$451),0),
IF('TL14'!$B$3=N$3,SUMIF('TL14'!$C$10:$C$224,$C92,'TL14'!$J$10:$J$224),0),
IF('TL14'!$B$229=N$3,SUMIF('TL14'!$C$238:$C$451,$C92,'TL14'!$J$238:$J$451),0),
IF('TL15'!$B$3=N$3,SUMIF('TL15'!$C$10:$C$224,$C92,'TL15'!$J$10:$J$224),0),
IF('TL15'!$B$229=N$3,SUMIF('TL15'!$C$238:$C$451,$C92,'TL15'!$J$238:$J$451),0),
IF('TL16'!$B$3=N$3,SUMIF('TL16'!$C$10:$C$224,$C92,'TL16'!$J$10:$J$224),0),
IF('TL16'!$B$229=N$3,SUMIF('TL16'!$C$238:$C$451,$C92,'TL16'!$J$238:$J$451),0),
IF('TL17'!$B$3=N$3,SUMIF('TL17'!$C$10:$C$224,$C92,'TL17'!$J$10:$J$224),0),
IF('TL17'!$B$229=N$3,SUMIF('TL17'!$C$238:$C$451,$C92,'TL17'!$J$238:$J$451),0),
IF('TL18'!$B$3=N$3,SUMIF('TL18'!$C$10:$C$224,$C92,'TL18'!$J$10:$J$224),0),
IF('TL18'!$B$229=N$3,SUMIF('TL18'!$C$238:$C$451,$C92,'TL18'!$J$238:$J$451),0),
IF('TL19'!$B$3=N$3,SUMIF('TL19'!$C$10:$C$224,$C92,'TL19'!$J$10:$J$224),0),
IF('TL19'!$B$229=N$3,SUMIF('TL19'!$C$238:$C$451,$C92,'TL19'!$J$238:$J$451),0)
),0)</f>
        <v/>
      </c>
      <c r="O92" s="9">
        <f>IFERROR(SUM(
IF('TL01'!$B$3=O$3,SUMIF('TL01'!$C$10:$C$224,$C92,'TL01'!$J$10:$J$224),0),
IF('TL01'!$B$229=O$3,SUMIF('TL01'!$C$238:$C$451,$C92,'TL01'!$J$238:$J$451),0),
IF('TL02'!$B$3=O$3,SUMIF('TL02'!$C$10:$C$224,$C92,'TL02'!$J$10:$J$224),0),
IF('TL02'!$B$229=O$3,SUMIF('TL02'!$C$238:$C$451,$C92,'TL02'!$J$238:$J$451),0),
IF('TL03'!$B$3=O$3,SUMIF('TL03'!$C$10:$C$224,$C92,'TL03'!$J$10:$J$224),0),
IF('TL03'!$B$229=O$3,SUMIF('TL03'!$C$238:$C$451,$C92,'TL03'!$J$238:$J$451),0),
IF('TL04'!$B$3=O$3,SUMIF('TL04'!$C$10:$C$224,$C92,'TL04'!$J$10:$J$224),0),
IF('TL04'!$B$229=O$3,SUMIF('TL04'!$C$238:$C$451,$C92,'TL04'!$J$238:$J$451),0),
IF('TL05'!$B$3=O$3,SUMIF('TL05'!$C$10:$C$224,$C92,'TL05'!$J$10:$J$224),0),
IF('TL05'!$B$229=O$3,SUMIF('TL05'!$C$238:$C$451,$C92,'TL05'!$J$238:$J$451),0),
IF('TL06'!$B$3=O$3,SUMIF('TL06'!$C$10:$C$224,$C92,'TL06'!$J$10:$J$224),0),
IF('TL06'!$B$229=O$3,SUMIF('TL06'!$C$238:$C$451,$C92,'TL06'!$J$238:$J$451),0),
IF('TL07'!$B$3=O$3,SUMIF('TL07'!$C$10:$C$224,$C92,'TL07'!$J$10:$J$224),0),
IF('TL07'!$B$229=O$3,SUMIF('TL07'!$C$238:$C$451,$C92,'TL07'!$J$238:$J$451),0),
IF('TL08'!$B$3=O$3,SUMIF('TL08'!$C$10:$C$224,$C92,'TL08'!$J$10:$J$224),0),
IF('TL08'!$B$229=O$3,SUMIF('TL08'!$C$238:$C$451,$C92,'TL08'!$J$238:$J$451),0),
IF('TL09'!$B$3=O$3,SUMIF('TL09'!$C$10:$C$224,$C92,'TL09'!$J$10:$J$224),0),
IF('TL09'!$B$229=O$3,SUMIF('TL09'!$C$238:$C$451,$C92,'TL09'!$J$238:$J$451),0),
IF('TL10'!$B$3=O$3,SUMIF('TL10'!$C$10:$C$224,$C92,'TL10'!$J$10:$J$224),0),
IF('TL10'!$B$229=O$3,SUMIF('TL10'!$C$238:$C$451,$C92,'TL10'!$J$238:$J$451),0),
IF('TL11'!$B$3=O$3,SUMIF('TL11'!$C$10:$C$224,$C92,'TL11'!$J$10:$J$224),0),
IF('TL11'!$B$229=O$3,SUMIF('TL11'!$C$238:$C$451,$C92,'TL11'!$J$238:$J$451),0),
IF('TL12'!$B$3=O$3,SUMIF('TL12'!$C$10:$C$224,$C92,'TL12'!$J$10:$J$224),0),
IF('TL12'!$B$229=O$3,SUMIF('TL12'!$C$238:$C$451,$C92,'TL12'!$J$238:$J$451),0),
IF('TL13'!$B$3=O$3,SUMIF('TL13'!$C$10:$C$224,$C92,'TL13'!$J$10:$J$224),0),
IF('TL13'!$B$229=O$3,SUMIF('TL13'!$C$238:$C$451,$C92,'TL13'!$J$238:$J$451),0),
IF('TL14'!$B$3=O$3,SUMIF('TL14'!$C$10:$C$224,$C92,'TL14'!$J$10:$J$224),0),
IF('TL14'!$B$229=O$3,SUMIF('TL14'!$C$238:$C$451,$C92,'TL14'!$J$238:$J$451),0),
IF('TL15'!$B$3=O$3,SUMIF('TL15'!$C$10:$C$224,$C92,'TL15'!$J$10:$J$224),0),
IF('TL15'!$B$229=O$3,SUMIF('TL15'!$C$238:$C$451,$C92,'TL15'!$J$238:$J$451),0),
IF('TL16'!$B$3=O$3,SUMIF('TL16'!$C$10:$C$224,$C92,'TL16'!$J$10:$J$224),0),
IF('TL16'!$B$229=O$3,SUMIF('TL16'!$C$238:$C$451,$C92,'TL16'!$J$238:$J$451),0),
IF('TL17'!$B$3=O$3,SUMIF('TL17'!$C$10:$C$224,$C92,'TL17'!$J$10:$J$224),0),
IF('TL17'!$B$229=O$3,SUMIF('TL17'!$C$238:$C$451,$C92,'TL17'!$J$238:$J$451),0),
IF('TL18'!$B$3=O$3,SUMIF('TL18'!$C$10:$C$224,$C92,'TL18'!$J$10:$J$224),0),
IF('TL18'!$B$229=O$3,SUMIF('TL18'!$C$238:$C$451,$C92,'TL18'!$J$238:$J$451),0),
IF('TL19'!$B$3=O$3,SUMIF('TL19'!$C$10:$C$224,$C92,'TL19'!$J$10:$J$224),0),
IF('TL19'!$B$229=O$3,SUMIF('TL19'!$C$238:$C$451,$C92,'TL19'!$J$238:$J$451),0)
),0)</f>
        <v/>
      </c>
      <c r="P92" s="9">
        <f>IFERROR(SUM(
IF('TL01'!$B$3=P$3,SUMIF('TL01'!$C$10:$C$224,$C92,'TL01'!$J$10:$J$224),0),
IF('TL01'!$B$229=P$3,SUMIF('TL01'!$C$238:$C$451,$C92,'TL01'!$J$238:$J$451),0),
IF('TL02'!$B$3=P$3,SUMIF('TL02'!$C$10:$C$224,$C92,'TL02'!$J$10:$J$224),0),
IF('TL02'!$B$229=P$3,SUMIF('TL02'!$C$238:$C$451,$C92,'TL02'!$J$238:$J$451),0),
IF('TL03'!$B$3=P$3,SUMIF('TL03'!$C$10:$C$224,$C92,'TL03'!$J$10:$J$224),0),
IF('TL03'!$B$229=P$3,SUMIF('TL03'!$C$238:$C$451,$C92,'TL03'!$J$238:$J$451),0),
IF('TL04'!$B$3=P$3,SUMIF('TL04'!$C$10:$C$224,$C92,'TL04'!$J$10:$J$224),0),
IF('TL04'!$B$229=P$3,SUMIF('TL04'!$C$238:$C$451,$C92,'TL04'!$J$238:$J$451),0),
IF('TL05'!$B$3=P$3,SUMIF('TL05'!$C$10:$C$224,$C92,'TL05'!$J$10:$J$224),0),
IF('TL05'!$B$229=P$3,SUMIF('TL05'!$C$238:$C$451,$C92,'TL05'!$J$238:$J$451),0),
IF('TL06'!$B$3=P$3,SUMIF('TL06'!$C$10:$C$224,$C92,'TL06'!$J$10:$J$224),0),
IF('TL06'!$B$229=P$3,SUMIF('TL06'!$C$238:$C$451,$C92,'TL06'!$J$238:$J$451),0),
IF('TL07'!$B$3=P$3,SUMIF('TL07'!$C$10:$C$224,$C92,'TL07'!$J$10:$J$224),0),
IF('TL07'!$B$229=P$3,SUMIF('TL07'!$C$238:$C$451,$C92,'TL07'!$J$238:$J$451),0),
IF('TL08'!$B$3=P$3,SUMIF('TL08'!$C$10:$C$224,$C92,'TL08'!$J$10:$J$224),0),
IF('TL08'!$B$229=P$3,SUMIF('TL08'!$C$238:$C$451,$C92,'TL08'!$J$238:$J$451),0),
IF('TL09'!$B$3=P$3,SUMIF('TL09'!$C$10:$C$224,$C92,'TL09'!$J$10:$J$224),0),
IF('TL09'!$B$229=P$3,SUMIF('TL09'!$C$238:$C$451,$C92,'TL09'!$J$238:$J$451),0),
IF('TL10'!$B$3=P$3,SUMIF('TL10'!$C$10:$C$224,$C92,'TL10'!$J$10:$J$224),0),
IF('TL10'!$B$229=P$3,SUMIF('TL10'!$C$238:$C$451,$C92,'TL10'!$J$238:$J$451),0),
IF('TL11'!$B$3=P$3,SUMIF('TL11'!$C$10:$C$224,$C92,'TL11'!$J$10:$J$224),0),
IF('TL11'!$B$229=P$3,SUMIF('TL11'!$C$238:$C$451,$C92,'TL11'!$J$238:$J$451),0),
IF('TL12'!$B$3=P$3,SUMIF('TL12'!$C$10:$C$224,$C92,'TL12'!$J$10:$J$224),0),
IF('TL12'!$B$229=P$3,SUMIF('TL12'!$C$238:$C$451,$C92,'TL12'!$J$238:$J$451),0),
IF('TL13'!$B$3=P$3,SUMIF('TL13'!$C$10:$C$224,$C92,'TL13'!$J$10:$J$224),0),
IF('TL13'!$B$229=P$3,SUMIF('TL13'!$C$238:$C$451,$C92,'TL13'!$J$238:$J$451),0),
IF('TL14'!$B$3=P$3,SUMIF('TL14'!$C$10:$C$224,$C92,'TL14'!$J$10:$J$224),0),
IF('TL14'!$B$229=P$3,SUMIF('TL14'!$C$238:$C$451,$C92,'TL14'!$J$238:$J$451),0),
IF('TL15'!$B$3=P$3,SUMIF('TL15'!$C$10:$C$224,$C92,'TL15'!$J$10:$J$224),0),
IF('TL15'!$B$229=P$3,SUMIF('TL15'!$C$238:$C$451,$C92,'TL15'!$J$238:$J$451),0),
IF('TL16'!$B$3=P$3,SUMIF('TL16'!$C$10:$C$224,$C92,'TL16'!$J$10:$J$224),0),
IF('TL16'!$B$229=P$3,SUMIF('TL16'!$C$238:$C$451,$C92,'TL16'!$J$238:$J$451),0),
IF('TL17'!$B$3=P$3,SUMIF('TL17'!$C$10:$C$224,$C92,'TL17'!$J$10:$J$224),0),
IF('TL17'!$B$229=P$3,SUMIF('TL17'!$C$238:$C$451,$C92,'TL17'!$J$238:$J$451),0),
IF('TL18'!$B$3=P$3,SUMIF('TL18'!$C$10:$C$224,$C92,'TL18'!$J$10:$J$224),0),
IF('TL18'!$B$229=P$3,SUMIF('TL18'!$C$238:$C$451,$C92,'TL18'!$J$238:$J$451),0),
IF('TL19'!$B$3=P$3,SUMIF('TL19'!$C$10:$C$224,$C92,'TL19'!$J$10:$J$224),0),
IF('TL19'!$B$229=P$3,SUMIF('TL19'!$C$238:$C$451,$C92,'TL19'!$J$238:$J$451),0)
),0)</f>
        <v/>
      </c>
      <c r="Q92" s="9">
        <f>IFERROR(SUM(
IF('TL01'!$B$3=Q$3,SUMIF('TL01'!$C$10:$C$224,$C92,'TL01'!$J$10:$J$224),0),
IF('TL01'!$B$229=Q$3,SUMIF('TL01'!$C$238:$C$451,$C92,'TL01'!$J$238:$J$451),0),
IF('TL02'!$B$3=Q$3,SUMIF('TL02'!$C$10:$C$224,$C92,'TL02'!$J$10:$J$224),0),
IF('TL02'!$B$229=Q$3,SUMIF('TL02'!$C$238:$C$451,$C92,'TL02'!$J$238:$J$451),0),
IF('TL03'!$B$3=Q$3,SUMIF('TL03'!$C$10:$C$224,$C92,'TL03'!$J$10:$J$224),0),
IF('TL03'!$B$229=Q$3,SUMIF('TL03'!$C$238:$C$451,$C92,'TL03'!$J$238:$J$451),0),
IF('TL04'!$B$3=Q$3,SUMIF('TL04'!$C$10:$C$224,$C92,'TL04'!$J$10:$J$224),0),
IF('TL04'!$B$229=Q$3,SUMIF('TL04'!$C$238:$C$451,$C92,'TL04'!$J$238:$J$451),0),
IF('TL05'!$B$3=Q$3,SUMIF('TL05'!$C$10:$C$224,$C92,'TL05'!$J$10:$J$224),0),
IF('TL05'!$B$229=Q$3,SUMIF('TL05'!$C$238:$C$451,$C92,'TL05'!$J$238:$J$451),0),
IF('TL06'!$B$3=Q$3,SUMIF('TL06'!$C$10:$C$224,$C92,'TL06'!$J$10:$J$224),0),
IF('TL06'!$B$229=Q$3,SUMIF('TL06'!$C$238:$C$451,$C92,'TL06'!$J$238:$J$451),0),
IF('TL07'!$B$3=Q$3,SUMIF('TL07'!$C$10:$C$224,$C92,'TL07'!$J$10:$J$224),0),
IF('TL07'!$B$229=Q$3,SUMIF('TL07'!$C$238:$C$451,$C92,'TL07'!$J$238:$J$451),0),
IF('TL08'!$B$3=Q$3,SUMIF('TL08'!$C$10:$C$224,$C92,'TL08'!$J$10:$J$224),0),
IF('TL08'!$B$229=Q$3,SUMIF('TL08'!$C$238:$C$451,$C92,'TL08'!$J$238:$J$451),0),
IF('TL09'!$B$3=Q$3,SUMIF('TL09'!$C$10:$C$224,$C92,'TL09'!$J$10:$J$224),0),
IF('TL09'!$B$229=Q$3,SUMIF('TL09'!$C$238:$C$451,$C92,'TL09'!$J$238:$J$451),0),
IF('TL10'!$B$3=Q$3,SUMIF('TL10'!$C$10:$C$224,$C92,'TL10'!$J$10:$J$224),0),
IF('TL10'!$B$229=Q$3,SUMIF('TL10'!$C$238:$C$451,$C92,'TL10'!$J$238:$J$451),0),
IF('TL11'!$B$3=Q$3,SUMIF('TL11'!$C$10:$C$224,$C92,'TL11'!$J$10:$J$224),0),
IF('TL11'!$B$229=Q$3,SUMIF('TL11'!$C$238:$C$451,$C92,'TL11'!$J$238:$J$451),0),
IF('TL12'!$B$3=Q$3,SUMIF('TL12'!$C$10:$C$224,$C92,'TL12'!$J$10:$J$224),0),
IF('TL12'!$B$229=Q$3,SUMIF('TL12'!$C$238:$C$451,$C92,'TL12'!$J$238:$J$451),0),
IF('TL13'!$B$3=Q$3,SUMIF('TL13'!$C$10:$C$224,$C92,'TL13'!$J$10:$J$224),0),
IF('TL13'!$B$229=Q$3,SUMIF('TL13'!$C$238:$C$451,$C92,'TL13'!$J$238:$J$451),0),
IF('TL14'!$B$3=Q$3,SUMIF('TL14'!$C$10:$C$224,$C92,'TL14'!$J$10:$J$224),0),
IF('TL14'!$B$229=Q$3,SUMIF('TL14'!$C$238:$C$451,$C92,'TL14'!$J$238:$J$451),0),
IF('TL15'!$B$3=Q$3,SUMIF('TL15'!$C$10:$C$224,$C92,'TL15'!$J$10:$J$224),0),
IF('TL15'!$B$229=Q$3,SUMIF('TL15'!$C$238:$C$451,$C92,'TL15'!$J$238:$J$451),0),
IF('TL16'!$B$3=Q$3,SUMIF('TL16'!$C$10:$C$224,$C92,'TL16'!$J$10:$J$224),0),
IF('TL16'!$B$229=Q$3,SUMIF('TL16'!$C$238:$C$451,$C92,'TL16'!$J$238:$J$451),0),
IF('TL17'!$B$3=Q$3,SUMIF('TL17'!$C$10:$C$224,$C92,'TL17'!$J$10:$J$224),0),
IF('TL17'!$B$229=Q$3,SUMIF('TL17'!$C$238:$C$451,$C92,'TL17'!$J$238:$J$451),0),
IF('TL18'!$B$3=Q$3,SUMIF('TL18'!$C$10:$C$224,$C92,'TL18'!$J$10:$J$224),0),
IF('TL18'!$B$229=Q$3,SUMIF('TL18'!$C$238:$C$451,$C92,'TL18'!$J$238:$J$451),0),
IF('TL19'!$B$3=Q$3,SUMIF('TL19'!$C$10:$C$224,$C92,'TL19'!$J$10:$J$224),0),
IF('TL19'!$B$229=Q$3,SUMIF('TL19'!$C$238:$C$451,$C92,'TL19'!$J$238:$J$451),0)
),0)</f>
        <v/>
      </c>
      <c r="R92" s="9">
        <f>IFERROR(
SUM(
SUMIF('TL01'!C:C,C92,'TL01'!J:J),
SUMIF('TL02'!C:C,C92,'TL02'!J:J),
SUMIF('TL03'!C:C,C92,'TL03'!J:J),
SUMIF('TL04'!C:C,C92,'TL04'!J:J),
SUMIF('TL05'!C:C,C92,'TL05'!J:J),
SUMIF('TL06'!C:C,C92,'TL06'!J:J),
SUMIF('TL07'!C:C,C92,'TL07'!J:J),
SUMIF('TL08'!C:C,C92,'TL08'!J:J),
SUMIF('TL09'!C:C,C92,'TL09'!J:J),
SUMIF('TL10'!C:C,C92,'TL10'!J:J),
SUMIF('TL11'!C:C,C92,'TL11'!J:J),
SUMIF('TL12'!C:C,C92,'TL12'!J:J),
SUMIF('TL13'!C:C,C92,'TL13'!J:J),
SUMIF('TL14'!C:C,C92,'TL14'!J:J),
SUMIF('TL15'!C:C,C92,'TL15'!J:J),
SUMIF('TL16'!C:C,C92,'TL16'!J:J),
SUMIF('TL17'!C:C,C92,'TL17'!J:J),
SUMIF('TL18'!C:C,C92,'TL18'!J:J),SUMIF('TL19'!C:C,C92,'TL19'!J:J))
,0)</f>
        <v/>
      </c>
      <c r="S92" s="17">
        <f>IFERROR(__xludf.DUMMYFUNCTION("IFERROR(VLOOKUP(C92,
IMPORTRANGE(""1wULbzX32WdYsx-lj2U3uUNBBe2INVIRDtcK0d-Dvl90"",
""26-27!C:G""),
5,
FALSE),
"""")"),53.60256000000001)</f>
        <v/>
      </c>
      <c r="T92" s="9" t="n"/>
      <c r="U92" s="92">
        <f>MAX(0,R92-T92)</f>
        <v/>
      </c>
      <c r="V92" s="93">
        <f>U92*S92</f>
        <v/>
      </c>
    </row>
    <row r="93" hidden="1" ht="15.75" customHeight="1" s="297">
      <c r="A93" s="111" t="inlineStr">
        <is>
          <t>SYNGENTA</t>
        </is>
      </c>
      <c r="B93" s="112" t="inlineStr">
        <is>
          <t>FUNGICIDA</t>
        </is>
      </c>
      <c r="C93" s="113" t="inlineStr">
        <is>
          <t>BRAVONIL 720</t>
        </is>
      </c>
      <c r="D93" s="113" t="inlineStr">
        <is>
          <t>CLOROTALONIL</t>
        </is>
      </c>
      <c r="E93" s="113" t="n">
        <v>720</v>
      </c>
      <c r="F93" s="4" t="inlineStr">
        <is>
          <t>KG</t>
        </is>
      </c>
      <c r="G93" s="90">
        <f>HYPERLINK("https://www.google.com/search?q=" &amp; C93 &amp; "+bula+agrofit+pdf", "📄 Ver bula")</f>
        <v/>
      </c>
      <c r="H93" s="9">
        <f>IFERROR(__xludf.DUMMYFUNCTION("IFERROR(VLOOKUP(C93,
IMPORTRANGE(""1wULbzX32WdYsx-lj2U3uUNBBe2INVIRDtcK0d-Dvl90"",
""26-27!C:K""),
8,
FALSE),
"""")"),1.5)</f>
        <v/>
      </c>
      <c r="I93" s="114" t="inlineStr">
        <is>
          <t>1x20</t>
        </is>
      </c>
      <c r="J93" s="9">
        <f>IFERROR(SUM(
IF('TL01'!$B$3=J$3,SUMIF('TL01'!$C$10:$C$224,$C93,'TL01'!$J$10:$J$224),0),
IF('TL01'!$B$229=J$3,SUMIF('TL01'!$C$238:$C$451,$C93,'TL01'!$J$238:$J$451),0),
IF('TL02'!$B$3=J$3,SUMIF('TL02'!$C$10:$C$224,$C93,'TL02'!$J$10:$J$224),0),
IF('TL02'!$B$229=J$3,SUMIF('TL02'!$C$238:$C$451,$C93,'TL02'!$J$238:$J$451),0),
IF('TL03'!$B$3=J$3,SUMIF('TL03'!$C$10:$C$224,$C93,'TL03'!$J$10:$J$224),0),
IF('TL03'!$B$229=J$3,SUMIF('TL03'!$C$238:$C$451,$C93,'TL03'!$J$238:$J$451),0),
IF('TL04'!$B$3=J$3,SUMIF('TL04'!$C$10:$C$224,$C93,'TL04'!$J$10:$J$224),0),
IF('TL04'!$B$229=J$3,SUMIF('TL04'!$C$238:$C$451,$C93,'TL04'!$J$238:$J$451),0),
IF('TL05'!$B$3=J$3,SUMIF('TL05'!$C$10:$C$224,$C93,'TL05'!$J$10:$J$224),0),
IF('TL05'!$B$229=J$3,SUMIF('TL05'!$C$238:$C$451,$C93,'TL05'!$J$238:$J$451),0),
IF('TL06'!$B$3=J$3,SUMIF('TL06'!$C$10:$C$224,$C93,'TL06'!$J$10:$J$224),0),
IF('TL06'!$B$229=J$3,SUMIF('TL06'!$C$238:$C$451,$C93,'TL06'!$J$238:$J$451),0),
IF('TL07'!$B$3=J$3,SUMIF('TL07'!$C$10:$C$224,$C93,'TL07'!$J$10:$J$224),0),
IF('TL07'!$B$229=J$3,SUMIF('TL07'!$C$238:$C$451,$C93,'TL07'!$J$238:$J$451),0),
IF('TL08'!$B$3=J$3,SUMIF('TL08'!$C$10:$C$224,$C93,'TL08'!$J$10:$J$224),0),
IF('TL08'!$B$229=J$3,SUMIF('TL08'!$C$238:$C$451,$C93,'TL08'!$J$238:$J$451),0),
IF('TL09'!$B$3=J$3,SUMIF('TL09'!$C$10:$C$224,$C93,'TL09'!$J$10:$J$224),0),
IF('TL09'!$B$229=J$3,SUMIF('TL09'!$C$238:$C$451,$C93,'TL09'!$J$238:$J$451),0),
IF('TL10'!$B$3=J$3,SUMIF('TL10'!$C$10:$C$224,$C93,'TL10'!$J$10:$J$224),0),
IF('TL10'!$B$229=J$3,SUMIF('TL10'!$C$238:$C$451,$C93,'TL10'!$J$238:$J$451),0),
IF('TL11'!$B$3=J$3,SUMIF('TL11'!$C$10:$C$224,$C93,'TL11'!$J$10:$J$224),0),
IF('TL11'!$B$229=J$3,SUMIF('TL11'!$C$238:$C$451,$C93,'TL11'!$J$238:$J$451),0),
IF('TL12'!$B$3=J$3,SUMIF('TL12'!$C$10:$C$224,$C93,'TL12'!$J$10:$J$224),0),
IF('TL12'!$B$229=J$3,SUMIF('TL12'!$C$238:$C$451,$C93,'TL12'!$J$238:$J$451),0),
IF('TL13'!$B$3=J$3,SUMIF('TL13'!$C$10:$C$224,$C93,'TL13'!$J$10:$J$224),0),
IF('TL13'!$B$229=J$3,SUMIF('TL13'!$C$238:$C$451,$C93,'TL13'!$J$238:$J$451),0),
IF('TL14'!$B$3=J$3,SUMIF('TL14'!$C$10:$C$224,$C93,'TL14'!$J$10:$J$224),0),
IF('TL14'!$B$229=J$3,SUMIF('TL14'!$C$238:$C$451,$C93,'TL14'!$J$238:$J$451),0),
IF('TL15'!$B$3=J$3,SUMIF('TL15'!$C$10:$C$224,$C93,'TL15'!$J$10:$J$224),0),
IF('TL15'!$B$229=J$3,SUMIF('TL15'!$C$238:$C$451,$C93,'TL15'!$J$238:$J$451),0),
IF('TL16'!$B$3=J$3,SUMIF('TL16'!$C$10:$C$224,$C93,'TL16'!$J$10:$J$224),0),
IF('TL16'!$B$229=J$3,SUMIF('TL16'!$C$238:$C$451,$C93,'TL16'!$J$238:$J$451),0),
IF('TL17'!$B$3=J$3,SUMIF('TL17'!$C$10:$C$224,$C93,'TL17'!$J$10:$J$224),0),
IF('TL17'!$B$229=J$3,SUMIF('TL17'!$C$238:$C$451,$C93,'TL17'!$J$238:$J$451),0),
IF('TL18'!$B$3=J$3,SUMIF('TL18'!$C$10:$C$224,$C93,'TL18'!$J$10:$J$224),0),
IF('TL18'!$B$229=J$3,SUMIF('TL18'!$C$238:$C$451,$C93,'TL18'!$J$238:$J$451),0),
IF('TL19'!$B$3=J$3,SUMIF('TL19'!$C$10:$C$224,$C93,'TL19'!$J$10:$J$224),0),
IF('TL19'!$B$229=J$3,SUMIF('TL19'!$C$238:$C$451,$C93,'TL19'!$J$238:$J$451),0)
),0)</f>
        <v/>
      </c>
      <c r="K93" s="9">
        <f>IFERROR(SUM(
IF('TL01'!$B$3=K$3,SUMIF('TL01'!$C$10:$C$224,$C93,'TL01'!$J$10:$J$224),0),
IF('TL01'!$B$229=K$3,SUMIF('TL01'!$C$238:$C$451,$C93,'TL01'!$J$238:$J$451),0),
IF('TL02'!$B$3=K$3,SUMIF('TL02'!$C$10:$C$224,$C93,'TL02'!$J$10:$J$224),0),
IF('TL02'!$B$229=K$3,SUMIF('TL02'!$C$238:$C$451,$C93,'TL02'!$J$238:$J$451),0),
IF('TL03'!$B$3=K$3,SUMIF('TL03'!$C$10:$C$224,$C93,'TL03'!$J$10:$J$224),0),
IF('TL03'!$B$229=K$3,SUMIF('TL03'!$C$238:$C$451,$C93,'TL03'!$J$238:$J$451),0),
IF('TL04'!$B$3=K$3,SUMIF('TL04'!$C$10:$C$224,$C93,'TL04'!$J$10:$J$224),0),
IF('TL04'!$B$229=K$3,SUMIF('TL04'!$C$238:$C$451,$C93,'TL04'!$J$238:$J$451),0),
IF('TL05'!$B$3=K$3,SUMIF('TL05'!$C$10:$C$224,$C93,'TL05'!$J$10:$J$224),0),
IF('TL05'!$B$229=K$3,SUMIF('TL05'!$C$238:$C$451,$C93,'TL05'!$J$238:$J$451),0),
IF('TL06'!$B$3=K$3,SUMIF('TL06'!$C$10:$C$224,$C93,'TL06'!$J$10:$J$224),0),
IF('TL06'!$B$229=K$3,SUMIF('TL06'!$C$238:$C$451,$C93,'TL06'!$J$238:$J$451),0),
IF('TL07'!$B$3=K$3,SUMIF('TL07'!$C$10:$C$224,$C93,'TL07'!$J$10:$J$224),0),
IF('TL07'!$B$229=K$3,SUMIF('TL07'!$C$238:$C$451,$C93,'TL07'!$J$238:$J$451),0),
IF('TL08'!$B$3=K$3,SUMIF('TL08'!$C$10:$C$224,$C93,'TL08'!$J$10:$J$224),0),
IF('TL08'!$B$229=K$3,SUMIF('TL08'!$C$238:$C$451,$C93,'TL08'!$J$238:$J$451),0),
IF('TL09'!$B$3=K$3,SUMIF('TL09'!$C$10:$C$224,$C93,'TL09'!$J$10:$J$224),0),
IF('TL09'!$B$229=K$3,SUMIF('TL09'!$C$238:$C$451,$C93,'TL09'!$J$238:$J$451),0),
IF('TL10'!$B$3=K$3,SUMIF('TL10'!$C$10:$C$224,$C93,'TL10'!$J$10:$J$224),0),
IF('TL10'!$B$229=K$3,SUMIF('TL10'!$C$238:$C$451,$C93,'TL10'!$J$238:$J$451),0),
IF('TL11'!$B$3=K$3,SUMIF('TL11'!$C$10:$C$224,$C93,'TL11'!$J$10:$J$224),0),
IF('TL11'!$B$229=K$3,SUMIF('TL11'!$C$238:$C$451,$C93,'TL11'!$J$238:$J$451),0),
IF('TL12'!$B$3=K$3,SUMIF('TL12'!$C$10:$C$224,$C93,'TL12'!$J$10:$J$224),0),
IF('TL12'!$B$229=K$3,SUMIF('TL12'!$C$238:$C$451,$C93,'TL12'!$J$238:$J$451),0),
IF('TL13'!$B$3=K$3,SUMIF('TL13'!$C$10:$C$224,$C93,'TL13'!$J$10:$J$224),0),
IF('TL13'!$B$229=K$3,SUMIF('TL13'!$C$238:$C$451,$C93,'TL13'!$J$238:$J$451),0),
IF('TL14'!$B$3=K$3,SUMIF('TL14'!$C$10:$C$224,$C93,'TL14'!$J$10:$J$224),0),
IF('TL14'!$B$229=K$3,SUMIF('TL14'!$C$238:$C$451,$C93,'TL14'!$J$238:$J$451),0),
IF('TL15'!$B$3=K$3,SUMIF('TL15'!$C$10:$C$224,$C93,'TL15'!$J$10:$J$224),0),
IF('TL15'!$B$229=K$3,SUMIF('TL15'!$C$238:$C$451,$C93,'TL15'!$J$238:$J$451),0),
IF('TL16'!$B$3=K$3,SUMIF('TL16'!$C$10:$C$224,$C93,'TL16'!$J$10:$J$224),0),
IF('TL16'!$B$229=K$3,SUMIF('TL16'!$C$238:$C$451,$C93,'TL16'!$J$238:$J$451),0),
IF('TL17'!$B$3=K$3,SUMIF('TL17'!$C$10:$C$224,$C93,'TL17'!$J$10:$J$224),0),
IF('TL17'!$B$229=K$3,SUMIF('TL17'!$C$238:$C$451,$C93,'TL17'!$J$238:$J$451),0),
IF('TL18'!$B$3=K$3,SUMIF('TL18'!$C$10:$C$224,$C93,'TL18'!$J$10:$J$224),0),
IF('TL18'!$B$229=K$3,SUMIF('TL18'!$C$238:$C$451,$C93,'TL18'!$J$238:$J$451),0),
IF('TL19'!$B$3=K$3,SUMIF('TL19'!$C$10:$C$224,$C93,'TL19'!$J$10:$J$224),0),
IF('TL19'!$B$229=K$3,SUMIF('TL19'!$C$238:$C$451,$C93,'TL19'!$J$238:$J$451),0)
),0)</f>
        <v/>
      </c>
      <c r="L93" s="9">
        <f>IFERROR(SUM(
IF('TL01'!$B$3=L$3,SUMIF('TL01'!$C$10:$C$224,$C93,'TL01'!$J$10:$J$224),0),
IF('TL01'!$B$229=L$3,SUMIF('TL01'!$C$238:$C$451,$C93,'TL01'!$J$238:$J$451),0),
IF('TL02'!$B$3=L$3,SUMIF('TL02'!$C$10:$C$224,$C93,'TL02'!$J$10:$J$224),0),
IF('TL02'!$B$229=L$3,SUMIF('TL02'!$C$238:$C$451,$C93,'TL02'!$J$238:$J$451),0),
IF('TL03'!$B$3=L$3,SUMIF('TL03'!$C$10:$C$224,$C93,'TL03'!$J$10:$J$224),0),
IF('TL03'!$B$229=L$3,SUMIF('TL03'!$C$238:$C$451,$C93,'TL03'!$J$238:$J$451),0),
IF('TL04'!$B$3=L$3,SUMIF('TL04'!$C$10:$C$224,$C93,'TL04'!$J$10:$J$224),0),
IF('TL04'!$B$229=L$3,SUMIF('TL04'!$C$238:$C$451,$C93,'TL04'!$J$238:$J$451),0),
IF('TL05'!$B$3=L$3,SUMIF('TL05'!$C$10:$C$224,$C93,'TL05'!$J$10:$J$224),0),
IF('TL05'!$B$229=L$3,SUMIF('TL05'!$C$238:$C$451,$C93,'TL05'!$J$238:$J$451),0),
IF('TL06'!$B$3=L$3,SUMIF('TL06'!$C$10:$C$224,$C93,'TL06'!$J$10:$J$224),0),
IF('TL06'!$B$229=L$3,SUMIF('TL06'!$C$238:$C$451,$C93,'TL06'!$J$238:$J$451),0),
IF('TL07'!$B$3=L$3,SUMIF('TL07'!$C$10:$C$224,$C93,'TL07'!$J$10:$J$224),0),
IF('TL07'!$B$229=L$3,SUMIF('TL07'!$C$238:$C$451,$C93,'TL07'!$J$238:$J$451),0),
IF('TL08'!$B$3=L$3,SUMIF('TL08'!$C$10:$C$224,$C93,'TL08'!$J$10:$J$224),0),
IF('TL08'!$B$229=L$3,SUMIF('TL08'!$C$238:$C$451,$C93,'TL08'!$J$238:$J$451),0),
IF('TL09'!$B$3=L$3,SUMIF('TL09'!$C$10:$C$224,$C93,'TL09'!$J$10:$J$224),0),
IF('TL09'!$B$229=L$3,SUMIF('TL09'!$C$238:$C$451,$C93,'TL09'!$J$238:$J$451),0),
IF('TL10'!$B$3=L$3,SUMIF('TL10'!$C$10:$C$224,$C93,'TL10'!$J$10:$J$224),0),
IF('TL10'!$B$229=L$3,SUMIF('TL10'!$C$238:$C$451,$C93,'TL10'!$J$238:$J$451),0),
IF('TL11'!$B$3=L$3,SUMIF('TL11'!$C$10:$C$224,$C93,'TL11'!$J$10:$J$224),0),
IF('TL11'!$B$229=L$3,SUMIF('TL11'!$C$238:$C$451,$C93,'TL11'!$J$238:$J$451),0),
IF('TL12'!$B$3=L$3,SUMIF('TL12'!$C$10:$C$224,$C93,'TL12'!$J$10:$J$224),0),
IF('TL12'!$B$229=L$3,SUMIF('TL12'!$C$238:$C$451,$C93,'TL12'!$J$238:$J$451),0),
IF('TL13'!$B$3=L$3,SUMIF('TL13'!$C$10:$C$224,$C93,'TL13'!$J$10:$J$224),0),
IF('TL13'!$B$229=L$3,SUMIF('TL13'!$C$238:$C$451,$C93,'TL13'!$J$238:$J$451),0),
IF('TL14'!$B$3=L$3,SUMIF('TL14'!$C$10:$C$224,$C93,'TL14'!$J$10:$J$224),0),
IF('TL14'!$B$229=L$3,SUMIF('TL14'!$C$238:$C$451,$C93,'TL14'!$J$238:$J$451),0),
IF('TL15'!$B$3=L$3,SUMIF('TL15'!$C$10:$C$224,$C93,'TL15'!$J$10:$J$224),0),
IF('TL15'!$B$229=L$3,SUMIF('TL15'!$C$238:$C$451,$C93,'TL15'!$J$238:$J$451),0),
IF('TL16'!$B$3=L$3,SUMIF('TL16'!$C$10:$C$224,$C93,'TL16'!$J$10:$J$224),0),
IF('TL16'!$B$229=L$3,SUMIF('TL16'!$C$238:$C$451,$C93,'TL16'!$J$238:$J$451),0),
IF('TL17'!$B$3=L$3,SUMIF('TL17'!$C$10:$C$224,$C93,'TL17'!$J$10:$J$224),0),
IF('TL17'!$B$229=L$3,SUMIF('TL17'!$C$238:$C$451,$C93,'TL17'!$J$238:$J$451),0),
IF('TL18'!$B$3=L$3,SUMIF('TL18'!$C$10:$C$224,$C93,'TL18'!$J$10:$J$224),0),
IF('TL18'!$B$229=L$3,SUMIF('TL18'!$C$238:$C$451,$C93,'TL18'!$J$238:$J$451),0),
IF('TL19'!$B$3=L$3,SUMIF('TL19'!$C$10:$C$224,$C93,'TL19'!$J$10:$J$224),0),
IF('TL19'!$B$229=L$3,SUMIF('TL19'!$C$238:$C$451,$C93,'TL19'!$J$238:$J$451),0)
),0)</f>
        <v/>
      </c>
      <c r="M93" s="9">
        <f>IFERROR(SUM(
IF('TL01'!$B$3=M$3,SUMIF('TL01'!$C$10:$C$224,$C93,'TL01'!$J$10:$J$224),0),
IF('TL01'!$B$229=M$3,SUMIF('TL01'!$C$238:$C$451,$C93,'TL01'!$J$238:$J$451),0),
IF('TL02'!$B$3=M$3,SUMIF('TL02'!$C$10:$C$224,$C93,'TL02'!$J$10:$J$224),0),
IF('TL02'!$B$229=M$3,SUMIF('TL02'!$C$238:$C$451,$C93,'TL02'!$J$238:$J$451),0),
IF('TL03'!$B$3=M$3,SUMIF('TL03'!$C$10:$C$224,$C93,'TL03'!$J$10:$J$224),0),
IF('TL03'!$B$229=M$3,SUMIF('TL03'!$C$238:$C$451,$C93,'TL03'!$J$238:$J$451),0),
IF('TL04'!$B$3=M$3,SUMIF('TL04'!$C$10:$C$224,$C93,'TL04'!$J$10:$J$224),0),
IF('TL04'!$B$229=M$3,SUMIF('TL04'!$C$238:$C$451,$C93,'TL04'!$J$238:$J$451),0),
IF('TL05'!$B$3=M$3,SUMIF('TL05'!$C$10:$C$224,$C93,'TL05'!$J$10:$J$224),0),
IF('TL05'!$B$229=M$3,SUMIF('TL05'!$C$238:$C$451,$C93,'TL05'!$J$238:$J$451),0),
IF('TL06'!$B$3=M$3,SUMIF('TL06'!$C$10:$C$224,$C93,'TL06'!$J$10:$J$224),0),
IF('TL06'!$B$229=M$3,SUMIF('TL06'!$C$238:$C$451,$C93,'TL06'!$J$238:$J$451),0),
IF('TL07'!$B$3=M$3,SUMIF('TL07'!$C$10:$C$224,$C93,'TL07'!$J$10:$J$224),0),
IF('TL07'!$B$229=M$3,SUMIF('TL07'!$C$238:$C$451,$C93,'TL07'!$J$238:$J$451),0),
IF('TL08'!$B$3=M$3,SUMIF('TL08'!$C$10:$C$224,$C93,'TL08'!$J$10:$J$224),0),
IF('TL08'!$B$229=M$3,SUMIF('TL08'!$C$238:$C$451,$C93,'TL08'!$J$238:$J$451),0),
IF('TL09'!$B$3=M$3,SUMIF('TL09'!$C$10:$C$224,$C93,'TL09'!$J$10:$J$224),0),
IF('TL09'!$B$229=M$3,SUMIF('TL09'!$C$238:$C$451,$C93,'TL09'!$J$238:$J$451),0),
IF('TL10'!$B$3=M$3,SUMIF('TL10'!$C$10:$C$224,$C93,'TL10'!$J$10:$J$224),0),
IF('TL10'!$B$229=M$3,SUMIF('TL10'!$C$238:$C$451,$C93,'TL10'!$J$238:$J$451),0),
IF('TL11'!$B$3=M$3,SUMIF('TL11'!$C$10:$C$224,$C93,'TL11'!$J$10:$J$224),0),
IF('TL11'!$B$229=M$3,SUMIF('TL11'!$C$238:$C$451,$C93,'TL11'!$J$238:$J$451),0),
IF('TL12'!$B$3=M$3,SUMIF('TL12'!$C$10:$C$224,$C93,'TL12'!$J$10:$J$224),0),
IF('TL12'!$B$229=M$3,SUMIF('TL12'!$C$238:$C$451,$C93,'TL12'!$J$238:$J$451),0),
IF('TL13'!$B$3=M$3,SUMIF('TL13'!$C$10:$C$224,$C93,'TL13'!$J$10:$J$224),0),
IF('TL13'!$B$229=M$3,SUMIF('TL13'!$C$238:$C$451,$C93,'TL13'!$J$238:$J$451),0),
IF('TL14'!$B$3=M$3,SUMIF('TL14'!$C$10:$C$224,$C93,'TL14'!$J$10:$J$224),0),
IF('TL14'!$B$229=M$3,SUMIF('TL14'!$C$238:$C$451,$C93,'TL14'!$J$238:$J$451),0),
IF('TL15'!$B$3=M$3,SUMIF('TL15'!$C$10:$C$224,$C93,'TL15'!$J$10:$J$224),0),
IF('TL15'!$B$229=M$3,SUMIF('TL15'!$C$238:$C$451,$C93,'TL15'!$J$238:$J$451),0),
IF('TL16'!$B$3=M$3,SUMIF('TL16'!$C$10:$C$224,$C93,'TL16'!$J$10:$J$224),0),
IF('TL16'!$B$229=M$3,SUMIF('TL16'!$C$238:$C$451,$C93,'TL16'!$J$238:$J$451),0),
IF('TL17'!$B$3=M$3,SUMIF('TL17'!$C$10:$C$224,$C93,'TL17'!$J$10:$J$224),0),
IF('TL17'!$B$229=M$3,SUMIF('TL17'!$C$238:$C$451,$C93,'TL17'!$J$238:$J$451),0),
IF('TL18'!$B$3=M$3,SUMIF('TL18'!$C$10:$C$224,$C93,'TL18'!$J$10:$J$224),0),
IF('TL18'!$B$229=M$3,SUMIF('TL18'!$C$238:$C$451,$C93,'TL18'!$J$238:$J$451),0),
IF('TL19'!$B$3=M$3,SUMIF('TL19'!$C$10:$C$224,$C93,'TL19'!$J$10:$J$224),0),
IF('TL19'!$B$229=M$3,SUMIF('TL19'!$C$238:$C$451,$C93,'TL19'!$J$238:$J$451),0)
),0)</f>
        <v/>
      </c>
      <c r="N93" s="9">
        <f>IFERROR(SUM(
IF('TL01'!$B$3=N$3,SUMIF('TL01'!$C$10:$C$224,$C93,'TL01'!$J$10:$J$224),0),
IF('TL01'!$B$229=N$3,SUMIF('TL01'!$C$238:$C$451,$C93,'TL01'!$J$238:$J$451),0),
IF('TL02'!$B$3=N$3,SUMIF('TL02'!$C$10:$C$224,$C93,'TL02'!$J$10:$J$224),0),
IF('TL02'!$B$229=N$3,SUMIF('TL02'!$C$238:$C$451,$C93,'TL02'!$J$238:$J$451),0),
IF('TL03'!$B$3=N$3,SUMIF('TL03'!$C$10:$C$224,$C93,'TL03'!$J$10:$J$224),0),
IF('TL03'!$B$229=N$3,SUMIF('TL03'!$C$238:$C$451,$C93,'TL03'!$J$238:$J$451),0),
IF('TL04'!$B$3=N$3,SUMIF('TL04'!$C$10:$C$224,$C93,'TL04'!$J$10:$J$224),0),
IF('TL04'!$B$229=N$3,SUMIF('TL04'!$C$238:$C$451,$C93,'TL04'!$J$238:$J$451),0),
IF('TL05'!$B$3=N$3,SUMIF('TL05'!$C$10:$C$224,$C93,'TL05'!$J$10:$J$224),0),
IF('TL05'!$B$229=N$3,SUMIF('TL05'!$C$238:$C$451,$C93,'TL05'!$J$238:$J$451),0),
IF('TL06'!$B$3=N$3,SUMIF('TL06'!$C$10:$C$224,$C93,'TL06'!$J$10:$J$224),0),
IF('TL06'!$B$229=N$3,SUMIF('TL06'!$C$238:$C$451,$C93,'TL06'!$J$238:$J$451),0),
IF('TL07'!$B$3=N$3,SUMIF('TL07'!$C$10:$C$224,$C93,'TL07'!$J$10:$J$224),0),
IF('TL07'!$B$229=N$3,SUMIF('TL07'!$C$238:$C$451,$C93,'TL07'!$J$238:$J$451),0),
IF('TL08'!$B$3=N$3,SUMIF('TL08'!$C$10:$C$224,$C93,'TL08'!$J$10:$J$224),0),
IF('TL08'!$B$229=N$3,SUMIF('TL08'!$C$238:$C$451,$C93,'TL08'!$J$238:$J$451),0),
IF('TL09'!$B$3=N$3,SUMIF('TL09'!$C$10:$C$224,$C93,'TL09'!$J$10:$J$224),0),
IF('TL09'!$B$229=N$3,SUMIF('TL09'!$C$238:$C$451,$C93,'TL09'!$J$238:$J$451),0),
IF('TL10'!$B$3=N$3,SUMIF('TL10'!$C$10:$C$224,$C93,'TL10'!$J$10:$J$224),0),
IF('TL10'!$B$229=N$3,SUMIF('TL10'!$C$238:$C$451,$C93,'TL10'!$J$238:$J$451),0),
IF('TL11'!$B$3=N$3,SUMIF('TL11'!$C$10:$C$224,$C93,'TL11'!$J$10:$J$224),0),
IF('TL11'!$B$229=N$3,SUMIF('TL11'!$C$238:$C$451,$C93,'TL11'!$J$238:$J$451),0),
IF('TL12'!$B$3=N$3,SUMIF('TL12'!$C$10:$C$224,$C93,'TL12'!$J$10:$J$224),0),
IF('TL12'!$B$229=N$3,SUMIF('TL12'!$C$238:$C$451,$C93,'TL12'!$J$238:$J$451),0),
IF('TL13'!$B$3=N$3,SUMIF('TL13'!$C$10:$C$224,$C93,'TL13'!$J$10:$J$224),0),
IF('TL13'!$B$229=N$3,SUMIF('TL13'!$C$238:$C$451,$C93,'TL13'!$J$238:$J$451),0),
IF('TL14'!$B$3=N$3,SUMIF('TL14'!$C$10:$C$224,$C93,'TL14'!$J$10:$J$224),0),
IF('TL14'!$B$229=N$3,SUMIF('TL14'!$C$238:$C$451,$C93,'TL14'!$J$238:$J$451),0),
IF('TL15'!$B$3=N$3,SUMIF('TL15'!$C$10:$C$224,$C93,'TL15'!$J$10:$J$224),0),
IF('TL15'!$B$229=N$3,SUMIF('TL15'!$C$238:$C$451,$C93,'TL15'!$J$238:$J$451),0),
IF('TL16'!$B$3=N$3,SUMIF('TL16'!$C$10:$C$224,$C93,'TL16'!$J$10:$J$224),0),
IF('TL16'!$B$229=N$3,SUMIF('TL16'!$C$238:$C$451,$C93,'TL16'!$J$238:$J$451),0),
IF('TL17'!$B$3=N$3,SUMIF('TL17'!$C$10:$C$224,$C93,'TL17'!$J$10:$J$224),0),
IF('TL17'!$B$229=N$3,SUMIF('TL17'!$C$238:$C$451,$C93,'TL17'!$J$238:$J$451),0),
IF('TL18'!$B$3=N$3,SUMIF('TL18'!$C$10:$C$224,$C93,'TL18'!$J$10:$J$224),0),
IF('TL18'!$B$229=N$3,SUMIF('TL18'!$C$238:$C$451,$C93,'TL18'!$J$238:$J$451),0),
IF('TL19'!$B$3=N$3,SUMIF('TL19'!$C$10:$C$224,$C93,'TL19'!$J$10:$J$224),0),
IF('TL19'!$B$229=N$3,SUMIF('TL19'!$C$238:$C$451,$C93,'TL19'!$J$238:$J$451),0)
),0)</f>
        <v/>
      </c>
      <c r="O93" s="9">
        <f>IFERROR(SUM(
IF('TL01'!$B$3=O$3,SUMIF('TL01'!$C$10:$C$224,$C93,'TL01'!$J$10:$J$224),0),
IF('TL01'!$B$229=O$3,SUMIF('TL01'!$C$238:$C$451,$C93,'TL01'!$J$238:$J$451),0),
IF('TL02'!$B$3=O$3,SUMIF('TL02'!$C$10:$C$224,$C93,'TL02'!$J$10:$J$224),0),
IF('TL02'!$B$229=O$3,SUMIF('TL02'!$C$238:$C$451,$C93,'TL02'!$J$238:$J$451),0),
IF('TL03'!$B$3=O$3,SUMIF('TL03'!$C$10:$C$224,$C93,'TL03'!$J$10:$J$224),0),
IF('TL03'!$B$229=O$3,SUMIF('TL03'!$C$238:$C$451,$C93,'TL03'!$J$238:$J$451),0),
IF('TL04'!$B$3=O$3,SUMIF('TL04'!$C$10:$C$224,$C93,'TL04'!$J$10:$J$224),0),
IF('TL04'!$B$229=O$3,SUMIF('TL04'!$C$238:$C$451,$C93,'TL04'!$J$238:$J$451),0),
IF('TL05'!$B$3=O$3,SUMIF('TL05'!$C$10:$C$224,$C93,'TL05'!$J$10:$J$224),0),
IF('TL05'!$B$229=O$3,SUMIF('TL05'!$C$238:$C$451,$C93,'TL05'!$J$238:$J$451),0),
IF('TL06'!$B$3=O$3,SUMIF('TL06'!$C$10:$C$224,$C93,'TL06'!$J$10:$J$224),0),
IF('TL06'!$B$229=O$3,SUMIF('TL06'!$C$238:$C$451,$C93,'TL06'!$J$238:$J$451),0),
IF('TL07'!$B$3=O$3,SUMIF('TL07'!$C$10:$C$224,$C93,'TL07'!$J$10:$J$224),0),
IF('TL07'!$B$229=O$3,SUMIF('TL07'!$C$238:$C$451,$C93,'TL07'!$J$238:$J$451),0),
IF('TL08'!$B$3=O$3,SUMIF('TL08'!$C$10:$C$224,$C93,'TL08'!$J$10:$J$224),0),
IF('TL08'!$B$229=O$3,SUMIF('TL08'!$C$238:$C$451,$C93,'TL08'!$J$238:$J$451),0),
IF('TL09'!$B$3=O$3,SUMIF('TL09'!$C$10:$C$224,$C93,'TL09'!$J$10:$J$224),0),
IF('TL09'!$B$229=O$3,SUMIF('TL09'!$C$238:$C$451,$C93,'TL09'!$J$238:$J$451),0),
IF('TL10'!$B$3=O$3,SUMIF('TL10'!$C$10:$C$224,$C93,'TL10'!$J$10:$J$224),0),
IF('TL10'!$B$229=O$3,SUMIF('TL10'!$C$238:$C$451,$C93,'TL10'!$J$238:$J$451),0),
IF('TL11'!$B$3=O$3,SUMIF('TL11'!$C$10:$C$224,$C93,'TL11'!$J$10:$J$224),0),
IF('TL11'!$B$229=O$3,SUMIF('TL11'!$C$238:$C$451,$C93,'TL11'!$J$238:$J$451),0),
IF('TL12'!$B$3=O$3,SUMIF('TL12'!$C$10:$C$224,$C93,'TL12'!$J$10:$J$224),0),
IF('TL12'!$B$229=O$3,SUMIF('TL12'!$C$238:$C$451,$C93,'TL12'!$J$238:$J$451),0),
IF('TL13'!$B$3=O$3,SUMIF('TL13'!$C$10:$C$224,$C93,'TL13'!$J$10:$J$224),0),
IF('TL13'!$B$229=O$3,SUMIF('TL13'!$C$238:$C$451,$C93,'TL13'!$J$238:$J$451),0),
IF('TL14'!$B$3=O$3,SUMIF('TL14'!$C$10:$C$224,$C93,'TL14'!$J$10:$J$224),0),
IF('TL14'!$B$229=O$3,SUMIF('TL14'!$C$238:$C$451,$C93,'TL14'!$J$238:$J$451),0),
IF('TL15'!$B$3=O$3,SUMIF('TL15'!$C$10:$C$224,$C93,'TL15'!$J$10:$J$224),0),
IF('TL15'!$B$229=O$3,SUMIF('TL15'!$C$238:$C$451,$C93,'TL15'!$J$238:$J$451),0),
IF('TL16'!$B$3=O$3,SUMIF('TL16'!$C$10:$C$224,$C93,'TL16'!$J$10:$J$224),0),
IF('TL16'!$B$229=O$3,SUMIF('TL16'!$C$238:$C$451,$C93,'TL16'!$J$238:$J$451),0),
IF('TL17'!$B$3=O$3,SUMIF('TL17'!$C$10:$C$224,$C93,'TL17'!$J$10:$J$224),0),
IF('TL17'!$B$229=O$3,SUMIF('TL17'!$C$238:$C$451,$C93,'TL17'!$J$238:$J$451),0),
IF('TL18'!$B$3=O$3,SUMIF('TL18'!$C$10:$C$224,$C93,'TL18'!$J$10:$J$224),0),
IF('TL18'!$B$229=O$3,SUMIF('TL18'!$C$238:$C$451,$C93,'TL18'!$J$238:$J$451),0),
IF('TL19'!$B$3=O$3,SUMIF('TL19'!$C$10:$C$224,$C93,'TL19'!$J$10:$J$224),0),
IF('TL19'!$B$229=O$3,SUMIF('TL19'!$C$238:$C$451,$C93,'TL19'!$J$238:$J$451),0)
),0)</f>
        <v/>
      </c>
      <c r="P93" s="9">
        <f>IFERROR(SUM(
IF('TL01'!$B$3=P$3,SUMIF('TL01'!$C$10:$C$224,$C93,'TL01'!$J$10:$J$224),0),
IF('TL01'!$B$229=P$3,SUMIF('TL01'!$C$238:$C$451,$C93,'TL01'!$J$238:$J$451),0),
IF('TL02'!$B$3=P$3,SUMIF('TL02'!$C$10:$C$224,$C93,'TL02'!$J$10:$J$224),0),
IF('TL02'!$B$229=P$3,SUMIF('TL02'!$C$238:$C$451,$C93,'TL02'!$J$238:$J$451),0),
IF('TL03'!$B$3=P$3,SUMIF('TL03'!$C$10:$C$224,$C93,'TL03'!$J$10:$J$224),0),
IF('TL03'!$B$229=P$3,SUMIF('TL03'!$C$238:$C$451,$C93,'TL03'!$J$238:$J$451),0),
IF('TL04'!$B$3=P$3,SUMIF('TL04'!$C$10:$C$224,$C93,'TL04'!$J$10:$J$224),0),
IF('TL04'!$B$229=P$3,SUMIF('TL04'!$C$238:$C$451,$C93,'TL04'!$J$238:$J$451),0),
IF('TL05'!$B$3=P$3,SUMIF('TL05'!$C$10:$C$224,$C93,'TL05'!$J$10:$J$224),0),
IF('TL05'!$B$229=P$3,SUMIF('TL05'!$C$238:$C$451,$C93,'TL05'!$J$238:$J$451),0),
IF('TL06'!$B$3=P$3,SUMIF('TL06'!$C$10:$C$224,$C93,'TL06'!$J$10:$J$224),0),
IF('TL06'!$B$229=P$3,SUMIF('TL06'!$C$238:$C$451,$C93,'TL06'!$J$238:$J$451),0),
IF('TL07'!$B$3=P$3,SUMIF('TL07'!$C$10:$C$224,$C93,'TL07'!$J$10:$J$224),0),
IF('TL07'!$B$229=P$3,SUMIF('TL07'!$C$238:$C$451,$C93,'TL07'!$J$238:$J$451),0),
IF('TL08'!$B$3=P$3,SUMIF('TL08'!$C$10:$C$224,$C93,'TL08'!$J$10:$J$224),0),
IF('TL08'!$B$229=P$3,SUMIF('TL08'!$C$238:$C$451,$C93,'TL08'!$J$238:$J$451),0),
IF('TL09'!$B$3=P$3,SUMIF('TL09'!$C$10:$C$224,$C93,'TL09'!$J$10:$J$224),0),
IF('TL09'!$B$229=P$3,SUMIF('TL09'!$C$238:$C$451,$C93,'TL09'!$J$238:$J$451),0),
IF('TL10'!$B$3=P$3,SUMIF('TL10'!$C$10:$C$224,$C93,'TL10'!$J$10:$J$224),0),
IF('TL10'!$B$229=P$3,SUMIF('TL10'!$C$238:$C$451,$C93,'TL10'!$J$238:$J$451),0),
IF('TL11'!$B$3=P$3,SUMIF('TL11'!$C$10:$C$224,$C93,'TL11'!$J$10:$J$224),0),
IF('TL11'!$B$229=P$3,SUMIF('TL11'!$C$238:$C$451,$C93,'TL11'!$J$238:$J$451),0),
IF('TL12'!$B$3=P$3,SUMIF('TL12'!$C$10:$C$224,$C93,'TL12'!$J$10:$J$224),0),
IF('TL12'!$B$229=P$3,SUMIF('TL12'!$C$238:$C$451,$C93,'TL12'!$J$238:$J$451),0),
IF('TL13'!$B$3=P$3,SUMIF('TL13'!$C$10:$C$224,$C93,'TL13'!$J$10:$J$224),0),
IF('TL13'!$B$229=P$3,SUMIF('TL13'!$C$238:$C$451,$C93,'TL13'!$J$238:$J$451),0),
IF('TL14'!$B$3=P$3,SUMIF('TL14'!$C$10:$C$224,$C93,'TL14'!$J$10:$J$224),0),
IF('TL14'!$B$229=P$3,SUMIF('TL14'!$C$238:$C$451,$C93,'TL14'!$J$238:$J$451),0),
IF('TL15'!$B$3=P$3,SUMIF('TL15'!$C$10:$C$224,$C93,'TL15'!$J$10:$J$224),0),
IF('TL15'!$B$229=P$3,SUMIF('TL15'!$C$238:$C$451,$C93,'TL15'!$J$238:$J$451),0),
IF('TL16'!$B$3=P$3,SUMIF('TL16'!$C$10:$C$224,$C93,'TL16'!$J$10:$J$224),0),
IF('TL16'!$B$229=P$3,SUMIF('TL16'!$C$238:$C$451,$C93,'TL16'!$J$238:$J$451),0),
IF('TL17'!$B$3=P$3,SUMIF('TL17'!$C$10:$C$224,$C93,'TL17'!$J$10:$J$224),0),
IF('TL17'!$B$229=P$3,SUMIF('TL17'!$C$238:$C$451,$C93,'TL17'!$J$238:$J$451),0),
IF('TL18'!$B$3=P$3,SUMIF('TL18'!$C$10:$C$224,$C93,'TL18'!$J$10:$J$224),0),
IF('TL18'!$B$229=P$3,SUMIF('TL18'!$C$238:$C$451,$C93,'TL18'!$J$238:$J$451),0),
IF('TL19'!$B$3=P$3,SUMIF('TL19'!$C$10:$C$224,$C93,'TL19'!$J$10:$J$224),0),
IF('TL19'!$B$229=P$3,SUMIF('TL19'!$C$238:$C$451,$C93,'TL19'!$J$238:$J$451),0)
),0)</f>
        <v/>
      </c>
      <c r="Q93" s="9">
        <f>IFERROR(SUM(
IF('TL01'!$B$3=Q$3,SUMIF('TL01'!$C$10:$C$224,$C93,'TL01'!$J$10:$J$224),0),
IF('TL01'!$B$229=Q$3,SUMIF('TL01'!$C$238:$C$451,$C93,'TL01'!$J$238:$J$451),0),
IF('TL02'!$B$3=Q$3,SUMIF('TL02'!$C$10:$C$224,$C93,'TL02'!$J$10:$J$224),0),
IF('TL02'!$B$229=Q$3,SUMIF('TL02'!$C$238:$C$451,$C93,'TL02'!$J$238:$J$451),0),
IF('TL03'!$B$3=Q$3,SUMIF('TL03'!$C$10:$C$224,$C93,'TL03'!$J$10:$J$224),0),
IF('TL03'!$B$229=Q$3,SUMIF('TL03'!$C$238:$C$451,$C93,'TL03'!$J$238:$J$451),0),
IF('TL04'!$B$3=Q$3,SUMIF('TL04'!$C$10:$C$224,$C93,'TL04'!$J$10:$J$224),0),
IF('TL04'!$B$229=Q$3,SUMIF('TL04'!$C$238:$C$451,$C93,'TL04'!$J$238:$J$451),0),
IF('TL05'!$B$3=Q$3,SUMIF('TL05'!$C$10:$C$224,$C93,'TL05'!$J$10:$J$224),0),
IF('TL05'!$B$229=Q$3,SUMIF('TL05'!$C$238:$C$451,$C93,'TL05'!$J$238:$J$451),0),
IF('TL06'!$B$3=Q$3,SUMIF('TL06'!$C$10:$C$224,$C93,'TL06'!$J$10:$J$224),0),
IF('TL06'!$B$229=Q$3,SUMIF('TL06'!$C$238:$C$451,$C93,'TL06'!$J$238:$J$451),0),
IF('TL07'!$B$3=Q$3,SUMIF('TL07'!$C$10:$C$224,$C93,'TL07'!$J$10:$J$224),0),
IF('TL07'!$B$229=Q$3,SUMIF('TL07'!$C$238:$C$451,$C93,'TL07'!$J$238:$J$451),0),
IF('TL08'!$B$3=Q$3,SUMIF('TL08'!$C$10:$C$224,$C93,'TL08'!$J$10:$J$224),0),
IF('TL08'!$B$229=Q$3,SUMIF('TL08'!$C$238:$C$451,$C93,'TL08'!$J$238:$J$451),0),
IF('TL09'!$B$3=Q$3,SUMIF('TL09'!$C$10:$C$224,$C93,'TL09'!$J$10:$J$224),0),
IF('TL09'!$B$229=Q$3,SUMIF('TL09'!$C$238:$C$451,$C93,'TL09'!$J$238:$J$451),0),
IF('TL10'!$B$3=Q$3,SUMIF('TL10'!$C$10:$C$224,$C93,'TL10'!$J$10:$J$224),0),
IF('TL10'!$B$229=Q$3,SUMIF('TL10'!$C$238:$C$451,$C93,'TL10'!$J$238:$J$451),0),
IF('TL11'!$B$3=Q$3,SUMIF('TL11'!$C$10:$C$224,$C93,'TL11'!$J$10:$J$224),0),
IF('TL11'!$B$229=Q$3,SUMIF('TL11'!$C$238:$C$451,$C93,'TL11'!$J$238:$J$451),0),
IF('TL12'!$B$3=Q$3,SUMIF('TL12'!$C$10:$C$224,$C93,'TL12'!$J$10:$J$224),0),
IF('TL12'!$B$229=Q$3,SUMIF('TL12'!$C$238:$C$451,$C93,'TL12'!$J$238:$J$451),0),
IF('TL13'!$B$3=Q$3,SUMIF('TL13'!$C$10:$C$224,$C93,'TL13'!$J$10:$J$224),0),
IF('TL13'!$B$229=Q$3,SUMIF('TL13'!$C$238:$C$451,$C93,'TL13'!$J$238:$J$451),0),
IF('TL14'!$B$3=Q$3,SUMIF('TL14'!$C$10:$C$224,$C93,'TL14'!$J$10:$J$224),0),
IF('TL14'!$B$229=Q$3,SUMIF('TL14'!$C$238:$C$451,$C93,'TL14'!$J$238:$J$451),0),
IF('TL15'!$B$3=Q$3,SUMIF('TL15'!$C$10:$C$224,$C93,'TL15'!$J$10:$J$224),0),
IF('TL15'!$B$229=Q$3,SUMIF('TL15'!$C$238:$C$451,$C93,'TL15'!$J$238:$J$451),0),
IF('TL16'!$B$3=Q$3,SUMIF('TL16'!$C$10:$C$224,$C93,'TL16'!$J$10:$J$224),0),
IF('TL16'!$B$229=Q$3,SUMIF('TL16'!$C$238:$C$451,$C93,'TL16'!$J$238:$J$451),0),
IF('TL17'!$B$3=Q$3,SUMIF('TL17'!$C$10:$C$224,$C93,'TL17'!$J$10:$J$224),0),
IF('TL17'!$B$229=Q$3,SUMIF('TL17'!$C$238:$C$451,$C93,'TL17'!$J$238:$J$451),0),
IF('TL18'!$B$3=Q$3,SUMIF('TL18'!$C$10:$C$224,$C93,'TL18'!$J$10:$J$224),0),
IF('TL18'!$B$229=Q$3,SUMIF('TL18'!$C$238:$C$451,$C93,'TL18'!$J$238:$J$451),0),
IF('TL19'!$B$3=Q$3,SUMIF('TL19'!$C$10:$C$224,$C93,'TL19'!$J$10:$J$224),0),
IF('TL19'!$B$229=Q$3,SUMIF('TL19'!$C$238:$C$451,$C93,'TL19'!$J$238:$J$451),0)
),0)</f>
        <v/>
      </c>
      <c r="R93" s="9">
        <f>IFERROR(
SUM(
SUMIF('TL01'!C:C,C93,'TL01'!J:J),
SUMIF('TL02'!C:C,C93,'TL02'!J:J),
SUMIF('TL03'!C:C,C93,'TL03'!J:J),
SUMIF('TL04'!C:C,C93,'TL04'!J:J),
SUMIF('TL05'!C:C,C93,'TL05'!J:J),
SUMIF('TL06'!C:C,C93,'TL06'!J:J),
SUMIF('TL07'!C:C,C93,'TL07'!J:J),
SUMIF('TL08'!C:C,C93,'TL08'!J:J),
SUMIF('TL09'!C:C,C93,'TL09'!J:J),
SUMIF('TL10'!C:C,C93,'TL10'!J:J),
SUMIF('TL11'!C:C,C93,'TL11'!J:J),
SUMIF('TL12'!C:C,C93,'TL12'!J:J),
SUMIF('TL13'!C:C,C93,'TL13'!J:J),
SUMIF('TL14'!C:C,C93,'TL14'!J:J),
SUMIF('TL15'!C:C,C93,'TL15'!J:J),
SUMIF('TL16'!C:C,C93,'TL16'!J:J),
SUMIF('TL17'!C:C,C93,'TL17'!J:J),
SUMIF('TL18'!C:C,C93,'TL18'!J:J),SUMIF('TL19'!C:C,C93,'TL19'!J:J))
,0)</f>
        <v/>
      </c>
      <c r="S93" s="17">
        <f>IFERROR(__xludf.DUMMYFUNCTION("IFERROR(VLOOKUP(C93,
IMPORTRANGE(""1wULbzX32WdYsx-lj2U3uUNBBe2INVIRDtcK0d-Dvl90"",
""26-27!C:G""),
5,
FALSE),
"""")"),24.22944)</f>
        <v/>
      </c>
      <c r="T93" s="118">
        <f>600+170</f>
        <v/>
      </c>
      <c r="U93" s="92">
        <f>MAX(0,R93-T93)</f>
        <v/>
      </c>
      <c r="V93" s="93">
        <f>U93*S93</f>
        <v/>
      </c>
    </row>
    <row r="94" hidden="1" ht="15.75" customHeight="1" s="297">
      <c r="A94" s="115" t="inlineStr">
        <is>
          <t>SYNGENTA</t>
        </is>
      </c>
      <c r="B94" s="100" t="inlineStr">
        <is>
          <t>FUNGICIDA</t>
        </is>
      </c>
      <c r="C94" s="116" t="inlineStr">
        <is>
          <t>BRAVONIL TOP</t>
        </is>
      </c>
      <c r="D94" s="116" t="inlineStr">
        <is>
          <t>CLOROTALONIL + DIFENOCONAZOL</t>
        </is>
      </c>
      <c r="E94" s="116" t="inlineStr">
        <is>
          <t>500 + 50</t>
        </is>
      </c>
      <c r="F94" s="4" t="inlineStr">
        <is>
          <t>KG</t>
        </is>
      </c>
      <c r="G94" s="90">
        <f>HYPERLINK("https://www.google.com/search?q=" &amp; C94 &amp; "+bula+agrofit+pdf", "📄 Ver bula")</f>
        <v/>
      </c>
      <c r="H94" s="9">
        <f>IFERROR(__xludf.DUMMYFUNCTION("IFERROR(VLOOKUP(C94,
IMPORTRANGE(""1wULbzX32WdYsx-lj2U3uUNBBe2INVIRDtcK0d-Dvl90"",
""26-27!C:K""),
8,
FALSE),
"""")"),2.0)</f>
        <v/>
      </c>
      <c r="I94" s="117" t="inlineStr">
        <is>
          <t>1x20</t>
        </is>
      </c>
      <c r="J94" s="9">
        <f>IFERROR(SUM(
IF('TL01'!$B$3=J$3,SUMIF('TL01'!$C$10:$C$224,$C94,'TL01'!$J$10:$J$224),0),
IF('TL01'!$B$229=J$3,SUMIF('TL01'!$C$238:$C$451,$C94,'TL01'!$J$238:$J$451),0),
IF('TL02'!$B$3=J$3,SUMIF('TL02'!$C$10:$C$224,$C94,'TL02'!$J$10:$J$224),0),
IF('TL02'!$B$229=J$3,SUMIF('TL02'!$C$238:$C$451,$C94,'TL02'!$J$238:$J$451),0),
IF('TL03'!$B$3=J$3,SUMIF('TL03'!$C$10:$C$224,$C94,'TL03'!$J$10:$J$224),0),
IF('TL03'!$B$229=J$3,SUMIF('TL03'!$C$238:$C$451,$C94,'TL03'!$J$238:$J$451),0),
IF('TL04'!$B$3=J$3,SUMIF('TL04'!$C$10:$C$224,$C94,'TL04'!$J$10:$J$224),0),
IF('TL04'!$B$229=J$3,SUMIF('TL04'!$C$238:$C$451,$C94,'TL04'!$J$238:$J$451),0),
IF('TL05'!$B$3=J$3,SUMIF('TL05'!$C$10:$C$224,$C94,'TL05'!$J$10:$J$224),0),
IF('TL05'!$B$229=J$3,SUMIF('TL05'!$C$238:$C$451,$C94,'TL05'!$J$238:$J$451),0),
IF('TL06'!$B$3=J$3,SUMIF('TL06'!$C$10:$C$224,$C94,'TL06'!$J$10:$J$224),0),
IF('TL06'!$B$229=J$3,SUMIF('TL06'!$C$238:$C$451,$C94,'TL06'!$J$238:$J$451),0),
IF('TL07'!$B$3=J$3,SUMIF('TL07'!$C$10:$C$224,$C94,'TL07'!$J$10:$J$224),0),
IF('TL07'!$B$229=J$3,SUMIF('TL07'!$C$238:$C$451,$C94,'TL07'!$J$238:$J$451),0),
IF('TL08'!$B$3=J$3,SUMIF('TL08'!$C$10:$C$224,$C94,'TL08'!$J$10:$J$224),0),
IF('TL08'!$B$229=J$3,SUMIF('TL08'!$C$238:$C$451,$C94,'TL08'!$J$238:$J$451),0),
IF('TL09'!$B$3=J$3,SUMIF('TL09'!$C$10:$C$224,$C94,'TL09'!$J$10:$J$224),0),
IF('TL09'!$B$229=J$3,SUMIF('TL09'!$C$238:$C$451,$C94,'TL09'!$J$238:$J$451),0),
IF('TL10'!$B$3=J$3,SUMIF('TL10'!$C$10:$C$224,$C94,'TL10'!$J$10:$J$224),0),
IF('TL10'!$B$229=J$3,SUMIF('TL10'!$C$238:$C$451,$C94,'TL10'!$J$238:$J$451),0),
IF('TL11'!$B$3=J$3,SUMIF('TL11'!$C$10:$C$224,$C94,'TL11'!$J$10:$J$224),0),
IF('TL11'!$B$229=J$3,SUMIF('TL11'!$C$238:$C$451,$C94,'TL11'!$J$238:$J$451),0),
IF('TL12'!$B$3=J$3,SUMIF('TL12'!$C$10:$C$224,$C94,'TL12'!$J$10:$J$224),0),
IF('TL12'!$B$229=J$3,SUMIF('TL12'!$C$238:$C$451,$C94,'TL12'!$J$238:$J$451),0),
IF('TL13'!$B$3=J$3,SUMIF('TL13'!$C$10:$C$224,$C94,'TL13'!$J$10:$J$224),0),
IF('TL13'!$B$229=J$3,SUMIF('TL13'!$C$238:$C$451,$C94,'TL13'!$J$238:$J$451),0),
IF('TL14'!$B$3=J$3,SUMIF('TL14'!$C$10:$C$224,$C94,'TL14'!$J$10:$J$224),0),
IF('TL14'!$B$229=J$3,SUMIF('TL14'!$C$238:$C$451,$C94,'TL14'!$J$238:$J$451),0),
IF('TL15'!$B$3=J$3,SUMIF('TL15'!$C$10:$C$224,$C94,'TL15'!$J$10:$J$224),0),
IF('TL15'!$B$229=J$3,SUMIF('TL15'!$C$238:$C$451,$C94,'TL15'!$J$238:$J$451),0),
IF('TL16'!$B$3=J$3,SUMIF('TL16'!$C$10:$C$224,$C94,'TL16'!$J$10:$J$224),0),
IF('TL16'!$B$229=J$3,SUMIF('TL16'!$C$238:$C$451,$C94,'TL16'!$J$238:$J$451),0),
IF('TL17'!$B$3=J$3,SUMIF('TL17'!$C$10:$C$224,$C94,'TL17'!$J$10:$J$224),0),
IF('TL17'!$B$229=J$3,SUMIF('TL17'!$C$238:$C$451,$C94,'TL17'!$J$238:$J$451),0),
IF('TL18'!$B$3=J$3,SUMIF('TL18'!$C$10:$C$224,$C94,'TL18'!$J$10:$J$224),0),
IF('TL18'!$B$229=J$3,SUMIF('TL18'!$C$238:$C$451,$C94,'TL18'!$J$238:$J$451),0),
IF('TL19'!$B$3=J$3,SUMIF('TL19'!$C$10:$C$224,$C94,'TL19'!$J$10:$J$224),0),
IF('TL19'!$B$229=J$3,SUMIF('TL19'!$C$238:$C$451,$C94,'TL19'!$J$238:$J$451),0)
),0)</f>
        <v/>
      </c>
      <c r="K94" s="9">
        <f>IFERROR(SUM(
IF('TL01'!$B$3=K$3,SUMIF('TL01'!$C$10:$C$224,$C94,'TL01'!$J$10:$J$224),0),
IF('TL01'!$B$229=K$3,SUMIF('TL01'!$C$238:$C$451,$C94,'TL01'!$J$238:$J$451),0),
IF('TL02'!$B$3=K$3,SUMIF('TL02'!$C$10:$C$224,$C94,'TL02'!$J$10:$J$224),0),
IF('TL02'!$B$229=K$3,SUMIF('TL02'!$C$238:$C$451,$C94,'TL02'!$J$238:$J$451),0),
IF('TL03'!$B$3=K$3,SUMIF('TL03'!$C$10:$C$224,$C94,'TL03'!$J$10:$J$224),0),
IF('TL03'!$B$229=K$3,SUMIF('TL03'!$C$238:$C$451,$C94,'TL03'!$J$238:$J$451),0),
IF('TL04'!$B$3=K$3,SUMIF('TL04'!$C$10:$C$224,$C94,'TL04'!$J$10:$J$224),0),
IF('TL04'!$B$229=K$3,SUMIF('TL04'!$C$238:$C$451,$C94,'TL04'!$J$238:$J$451),0),
IF('TL05'!$B$3=K$3,SUMIF('TL05'!$C$10:$C$224,$C94,'TL05'!$J$10:$J$224),0),
IF('TL05'!$B$229=K$3,SUMIF('TL05'!$C$238:$C$451,$C94,'TL05'!$J$238:$J$451),0),
IF('TL06'!$B$3=K$3,SUMIF('TL06'!$C$10:$C$224,$C94,'TL06'!$J$10:$J$224),0),
IF('TL06'!$B$229=K$3,SUMIF('TL06'!$C$238:$C$451,$C94,'TL06'!$J$238:$J$451),0),
IF('TL07'!$B$3=K$3,SUMIF('TL07'!$C$10:$C$224,$C94,'TL07'!$J$10:$J$224),0),
IF('TL07'!$B$229=K$3,SUMIF('TL07'!$C$238:$C$451,$C94,'TL07'!$J$238:$J$451),0),
IF('TL08'!$B$3=K$3,SUMIF('TL08'!$C$10:$C$224,$C94,'TL08'!$J$10:$J$224),0),
IF('TL08'!$B$229=K$3,SUMIF('TL08'!$C$238:$C$451,$C94,'TL08'!$J$238:$J$451),0),
IF('TL09'!$B$3=K$3,SUMIF('TL09'!$C$10:$C$224,$C94,'TL09'!$J$10:$J$224),0),
IF('TL09'!$B$229=K$3,SUMIF('TL09'!$C$238:$C$451,$C94,'TL09'!$J$238:$J$451),0),
IF('TL10'!$B$3=K$3,SUMIF('TL10'!$C$10:$C$224,$C94,'TL10'!$J$10:$J$224),0),
IF('TL10'!$B$229=K$3,SUMIF('TL10'!$C$238:$C$451,$C94,'TL10'!$J$238:$J$451),0),
IF('TL11'!$B$3=K$3,SUMIF('TL11'!$C$10:$C$224,$C94,'TL11'!$J$10:$J$224),0),
IF('TL11'!$B$229=K$3,SUMIF('TL11'!$C$238:$C$451,$C94,'TL11'!$J$238:$J$451),0),
IF('TL12'!$B$3=K$3,SUMIF('TL12'!$C$10:$C$224,$C94,'TL12'!$J$10:$J$224),0),
IF('TL12'!$B$229=K$3,SUMIF('TL12'!$C$238:$C$451,$C94,'TL12'!$J$238:$J$451),0),
IF('TL13'!$B$3=K$3,SUMIF('TL13'!$C$10:$C$224,$C94,'TL13'!$J$10:$J$224),0),
IF('TL13'!$B$229=K$3,SUMIF('TL13'!$C$238:$C$451,$C94,'TL13'!$J$238:$J$451),0),
IF('TL14'!$B$3=K$3,SUMIF('TL14'!$C$10:$C$224,$C94,'TL14'!$J$10:$J$224),0),
IF('TL14'!$B$229=K$3,SUMIF('TL14'!$C$238:$C$451,$C94,'TL14'!$J$238:$J$451),0),
IF('TL15'!$B$3=K$3,SUMIF('TL15'!$C$10:$C$224,$C94,'TL15'!$J$10:$J$224),0),
IF('TL15'!$B$229=K$3,SUMIF('TL15'!$C$238:$C$451,$C94,'TL15'!$J$238:$J$451),0),
IF('TL16'!$B$3=K$3,SUMIF('TL16'!$C$10:$C$224,$C94,'TL16'!$J$10:$J$224),0),
IF('TL16'!$B$229=K$3,SUMIF('TL16'!$C$238:$C$451,$C94,'TL16'!$J$238:$J$451),0),
IF('TL17'!$B$3=K$3,SUMIF('TL17'!$C$10:$C$224,$C94,'TL17'!$J$10:$J$224),0),
IF('TL17'!$B$229=K$3,SUMIF('TL17'!$C$238:$C$451,$C94,'TL17'!$J$238:$J$451),0),
IF('TL18'!$B$3=K$3,SUMIF('TL18'!$C$10:$C$224,$C94,'TL18'!$J$10:$J$224),0),
IF('TL18'!$B$229=K$3,SUMIF('TL18'!$C$238:$C$451,$C94,'TL18'!$J$238:$J$451),0),
IF('TL19'!$B$3=K$3,SUMIF('TL19'!$C$10:$C$224,$C94,'TL19'!$J$10:$J$224),0),
IF('TL19'!$B$229=K$3,SUMIF('TL19'!$C$238:$C$451,$C94,'TL19'!$J$238:$J$451),0)
),0)</f>
        <v/>
      </c>
      <c r="L94" s="9">
        <f>IFERROR(SUM(
IF('TL01'!$B$3=L$3,SUMIF('TL01'!$C$10:$C$224,$C94,'TL01'!$J$10:$J$224),0),
IF('TL01'!$B$229=L$3,SUMIF('TL01'!$C$238:$C$451,$C94,'TL01'!$J$238:$J$451),0),
IF('TL02'!$B$3=L$3,SUMIF('TL02'!$C$10:$C$224,$C94,'TL02'!$J$10:$J$224),0),
IF('TL02'!$B$229=L$3,SUMIF('TL02'!$C$238:$C$451,$C94,'TL02'!$J$238:$J$451),0),
IF('TL03'!$B$3=L$3,SUMIF('TL03'!$C$10:$C$224,$C94,'TL03'!$J$10:$J$224),0),
IF('TL03'!$B$229=L$3,SUMIF('TL03'!$C$238:$C$451,$C94,'TL03'!$J$238:$J$451),0),
IF('TL04'!$B$3=L$3,SUMIF('TL04'!$C$10:$C$224,$C94,'TL04'!$J$10:$J$224),0),
IF('TL04'!$B$229=L$3,SUMIF('TL04'!$C$238:$C$451,$C94,'TL04'!$J$238:$J$451),0),
IF('TL05'!$B$3=L$3,SUMIF('TL05'!$C$10:$C$224,$C94,'TL05'!$J$10:$J$224),0),
IF('TL05'!$B$229=L$3,SUMIF('TL05'!$C$238:$C$451,$C94,'TL05'!$J$238:$J$451),0),
IF('TL06'!$B$3=L$3,SUMIF('TL06'!$C$10:$C$224,$C94,'TL06'!$J$10:$J$224),0),
IF('TL06'!$B$229=L$3,SUMIF('TL06'!$C$238:$C$451,$C94,'TL06'!$J$238:$J$451),0),
IF('TL07'!$B$3=L$3,SUMIF('TL07'!$C$10:$C$224,$C94,'TL07'!$J$10:$J$224),0),
IF('TL07'!$B$229=L$3,SUMIF('TL07'!$C$238:$C$451,$C94,'TL07'!$J$238:$J$451),0),
IF('TL08'!$B$3=L$3,SUMIF('TL08'!$C$10:$C$224,$C94,'TL08'!$J$10:$J$224),0),
IF('TL08'!$B$229=L$3,SUMIF('TL08'!$C$238:$C$451,$C94,'TL08'!$J$238:$J$451),0),
IF('TL09'!$B$3=L$3,SUMIF('TL09'!$C$10:$C$224,$C94,'TL09'!$J$10:$J$224),0),
IF('TL09'!$B$229=L$3,SUMIF('TL09'!$C$238:$C$451,$C94,'TL09'!$J$238:$J$451),0),
IF('TL10'!$B$3=L$3,SUMIF('TL10'!$C$10:$C$224,$C94,'TL10'!$J$10:$J$224),0),
IF('TL10'!$B$229=L$3,SUMIF('TL10'!$C$238:$C$451,$C94,'TL10'!$J$238:$J$451),0),
IF('TL11'!$B$3=L$3,SUMIF('TL11'!$C$10:$C$224,$C94,'TL11'!$J$10:$J$224),0),
IF('TL11'!$B$229=L$3,SUMIF('TL11'!$C$238:$C$451,$C94,'TL11'!$J$238:$J$451),0),
IF('TL12'!$B$3=L$3,SUMIF('TL12'!$C$10:$C$224,$C94,'TL12'!$J$10:$J$224),0),
IF('TL12'!$B$229=L$3,SUMIF('TL12'!$C$238:$C$451,$C94,'TL12'!$J$238:$J$451),0),
IF('TL13'!$B$3=L$3,SUMIF('TL13'!$C$10:$C$224,$C94,'TL13'!$J$10:$J$224),0),
IF('TL13'!$B$229=L$3,SUMIF('TL13'!$C$238:$C$451,$C94,'TL13'!$J$238:$J$451),0),
IF('TL14'!$B$3=L$3,SUMIF('TL14'!$C$10:$C$224,$C94,'TL14'!$J$10:$J$224),0),
IF('TL14'!$B$229=L$3,SUMIF('TL14'!$C$238:$C$451,$C94,'TL14'!$J$238:$J$451),0),
IF('TL15'!$B$3=L$3,SUMIF('TL15'!$C$10:$C$224,$C94,'TL15'!$J$10:$J$224),0),
IF('TL15'!$B$229=L$3,SUMIF('TL15'!$C$238:$C$451,$C94,'TL15'!$J$238:$J$451),0),
IF('TL16'!$B$3=L$3,SUMIF('TL16'!$C$10:$C$224,$C94,'TL16'!$J$10:$J$224),0),
IF('TL16'!$B$229=L$3,SUMIF('TL16'!$C$238:$C$451,$C94,'TL16'!$J$238:$J$451),0),
IF('TL17'!$B$3=L$3,SUMIF('TL17'!$C$10:$C$224,$C94,'TL17'!$J$10:$J$224),0),
IF('TL17'!$B$229=L$3,SUMIF('TL17'!$C$238:$C$451,$C94,'TL17'!$J$238:$J$451),0),
IF('TL18'!$B$3=L$3,SUMIF('TL18'!$C$10:$C$224,$C94,'TL18'!$J$10:$J$224),0),
IF('TL18'!$B$229=L$3,SUMIF('TL18'!$C$238:$C$451,$C94,'TL18'!$J$238:$J$451),0),
IF('TL19'!$B$3=L$3,SUMIF('TL19'!$C$10:$C$224,$C94,'TL19'!$J$10:$J$224),0),
IF('TL19'!$B$229=L$3,SUMIF('TL19'!$C$238:$C$451,$C94,'TL19'!$J$238:$J$451),0)
),0)</f>
        <v/>
      </c>
      <c r="M94" s="9">
        <f>IFERROR(SUM(
IF('TL01'!$B$3=M$3,SUMIF('TL01'!$C$10:$C$224,$C94,'TL01'!$J$10:$J$224),0),
IF('TL01'!$B$229=M$3,SUMIF('TL01'!$C$238:$C$451,$C94,'TL01'!$J$238:$J$451),0),
IF('TL02'!$B$3=M$3,SUMIF('TL02'!$C$10:$C$224,$C94,'TL02'!$J$10:$J$224),0),
IF('TL02'!$B$229=M$3,SUMIF('TL02'!$C$238:$C$451,$C94,'TL02'!$J$238:$J$451),0),
IF('TL03'!$B$3=M$3,SUMIF('TL03'!$C$10:$C$224,$C94,'TL03'!$J$10:$J$224),0),
IF('TL03'!$B$229=M$3,SUMIF('TL03'!$C$238:$C$451,$C94,'TL03'!$J$238:$J$451),0),
IF('TL04'!$B$3=M$3,SUMIF('TL04'!$C$10:$C$224,$C94,'TL04'!$J$10:$J$224),0),
IF('TL04'!$B$229=M$3,SUMIF('TL04'!$C$238:$C$451,$C94,'TL04'!$J$238:$J$451),0),
IF('TL05'!$B$3=M$3,SUMIF('TL05'!$C$10:$C$224,$C94,'TL05'!$J$10:$J$224),0),
IF('TL05'!$B$229=M$3,SUMIF('TL05'!$C$238:$C$451,$C94,'TL05'!$J$238:$J$451),0),
IF('TL06'!$B$3=M$3,SUMIF('TL06'!$C$10:$C$224,$C94,'TL06'!$J$10:$J$224),0),
IF('TL06'!$B$229=M$3,SUMIF('TL06'!$C$238:$C$451,$C94,'TL06'!$J$238:$J$451),0),
IF('TL07'!$B$3=M$3,SUMIF('TL07'!$C$10:$C$224,$C94,'TL07'!$J$10:$J$224),0),
IF('TL07'!$B$229=M$3,SUMIF('TL07'!$C$238:$C$451,$C94,'TL07'!$J$238:$J$451),0),
IF('TL08'!$B$3=M$3,SUMIF('TL08'!$C$10:$C$224,$C94,'TL08'!$J$10:$J$224),0),
IF('TL08'!$B$229=M$3,SUMIF('TL08'!$C$238:$C$451,$C94,'TL08'!$J$238:$J$451),0),
IF('TL09'!$B$3=M$3,SUMIF('TL09'!$C$10:$C$224,$C94,'TL09'!$J$10:$J$224),0),
IF('TL09'!$B$229=M$3,SUMIF('TL09'!$C$238:$C$451,$C94,'TL09'!$J$238:$J$451),0),
IF('TL10'!$B$3=M$3,SUMIF('TL10'!$C$10:$C$224,$C94,'TL10'!$J$10:$J$224),0),
IF('TL10'!$B$229=M$3,SUMIF('TL10'!$C$238:$C$451,$C94,'TL10'!$J$238:$J$451),0),
IF('TL11'!$B$3=M$3,SUMIF('TL11'!$C$10:$C$224,$C94,'TL11'!$J$10:$J$224),0),
IF('TL11'!$B$229=M$3,SUMIF('TL11'!$C$238:$C$451,$C94,'TL11'!$J$238:$J$451),0),
IF('TL12'!$B$3=M$3,SUMIF('TL12'!$C$10:$C$224,$C94,'TL12'!$J$10:$J$224),0),
IF('TL12'!$B$229=M$3,SUMIF('TL12'!$C$238:$C$451,$C94,'TL12'!$J$238:$J$451),0),
IF('TL13'!$B$3=M$3,SUMIF('TL13'!$C$10:$C$224,$C94,'TL13'!$J$10:$J$224),0),
IF('TL13'!$B$229=M$3,SUMIF('TL13'!$C$238:$C$451,$C94,'TL13'!$J$238:$J$451),0),
IF('TL14'!$B$3=M$3,SUMIF('TL14'!$C$10:$C$224,$C94,'TL14'!$J$10:$J$224),0),
IF('TL14'!$B$229=M$3,SUMIF('TL14'!$C$238:$C$451,$C94,'TL14'!$J$238:$J$451),0),
IF('TL15'!$B$3=M$3,SUMIF('TL15'!$C$10:$C$224,$C94,'TL15'!$J$10:$J$224),0),
IF('TL15'!$B$229=M$3,SUMIF('TL15'!$C$238:$C$451,$C94,'TL15'!$J$238:$J$451),0),
IF('TL16'!$B$3=M$3,SUMIF('TL16'!$C$10:$C$224,$C94,'TL16'!$J$10:$J$224),0),
IF('TL16'!$B$229=M$3,SUMIF('TL16'!$C$238:$C$451,$C94,'TL16'!$J$238:$J$451),0),
IF('TL17'!$B$3=M$3,SUMIF('TL17'!$C$10:$C$224,$C94,'TL17'!$J$10:$J$224),0),
IF('TL17'!$B$229=M$3,SUMIF('TL17'!$C$238:$C$451,$C94,'TL17'!$J$238:$J$451),0),
IF('TL18'!$B$3=M$3,SUMIF('TL18'!$C$10:$C$224,$C94,'TL18'!$J$10:$J$224),0),
IF('TL18'!$B$229=M$3,SUMIF('TL18'!$C$238:$C$451,$C94,'TL18'!$J$238:$J$451),0),
IF('TL19'!$B$3=M$3,SUMIF('TL19'!$C$10:$C$224,$C94,'TL19'!$J$10:$J$224),0),
IF('TL19'!$B$229=M$3,SUMIF('TL19'!$C$238:$C$451,$C94,'TL19'!$J$238:$J$451),0)
),0)</f>
        <v/>
      </c>
      <c r="N94" s="9">
        <f>IFERROR(SUM(
IF('TL01'!$B$3=N$3,SUMIF('TL01'!$C$10:$C$224,$C94,'TL01'!$J$10:$J$224),0),
IF('TL01'!$B$229=N$3,SUMIF('TL01'!$C$238:$C$451,$C94,'TL01'!$J$238:$J$451),0),
IF('TL02'!$B$3=N$3,SUMIF('TL02'!$C$10:$C$224,$C94,'TL02'!$J$10:$J$224),0),
IF('TL02'!$B$229=N$3,SUMIF('TL02'!$C$238:$C$451,$C94,'TL02'!$J$238:$J$451),0),
IF('TL03'!$B$3=N$3,SUMIF('TL03'!$C$10:$C$224,$C94,'TL03'!$J$10:$J$224),0),
IF('TL03'!$B$229=N$3,SUMIF('TL03'!$C$238:$C$451,$C94,'TL03'!$J$238:$J$451),0),
IF('TL04'!$B$3=N$3,SUMIF('TL04'!$C$10:$C$224,$C94,'TL04'!$J$10:$J$224),0),
IF('TL04'!$B$229=N$3,SUMIF('TL04'!$C$238:$C$451,$C94,'TL04'!$J$238:$J$451),0),
IF('TL05'!$B$3=N$3,SUMIF('TL05'!$C$10:$C$224,$C94,'TL05'!$J$10:$J$224),0),
IF('TL05'!$B$229=N$3,SUMIF('TL05'!$C$238:$C$451,$C94,'TL05'!$J$238:$J$451),0),
IF('TL06'!$B$3=N$3,SUMIF('TL06'!$C$10:$C$224,$C94,'TL06'!$J$10:$J$224),0),
IF('TL06'!$B$229=N$3,SUMIF('TL06'!$C$238:$C$451,$C94,'TL06'!$J$238:$J$451),0),
IF('TL07'!$B$3=N$3,SUMIF('TL07'!$C$10:$C$224,$C94,'TL07'!$J$10:$J$224),0),
IF('TL07'!$B$229=N$3,SUMIF('TL07'!$C$238:$C$451,$C94,'TL07'!$J$238:$J$451),0),
IF('TL08'!$B$3=N$3,SUMIF('TL08'!$C$10:$C$224,$C94,'TL08'!$J$10:$J$224),0),
IF('TL08'!$B$229=N$3,SUMIF('TL08'!$C$238:$C$451,$C94,'TL08'!$J$238:$J$451),0),
IF('TL09'!$B$3=N$3,SUMIF('TL09'!$C$10:$C$224,$C94,'TL09'!$J$10:$J$224),0),
IF('TL09'!$B$229=N$3,SUMIF('TL09'!$C$238:$C$451,$C94,'TL09'!$J$238:$J$451),0),
IF('TL10'!$B$3=N$3,SUMIF('TL10'!$C$10:$C$224,$C94,'TL10'!$J$10:$J$224),0),
IF('TL10'!$B$229=N$3,SUMIF('TL10'!$C$238:$C$451,$C94,'TL10'!$J$238:$J$451),0),
IF('TL11'!$B$3=N$3,SUMIF('TL11'!$C$10:$C$224,$C94,'TL11'!$J$10:$J$224),0),
IF('TL11'!$B$229=N$3,SUMIF('TL11'!$C$238:$C$451,$C94,'TL11'!$J$238:$J$451),0),
IF('TL12'!$B$3=N$3,SUMIF('TL12'!$C$10:$C$224,$C94,'TL12'!$J$10:$J$224),0),
IF('TL12'!$B$229=N$3,SUMIF('TL12'!$C$238:$C$451,$C94,'TL12'!$J$238:$J$451),0),
IF('TL13'!$B$3=N$3,SUMIF('TL13'!$C$10:$C$224,$C94,'TL13'!$J$10:$J$224),0),
IF('TL13'!$B$229=N$3,SUMIF('TL13'!$C$238:$C$451,$C94,'TL13'!$J$238:$J$451),0),
IF('TL14'!$B$3=N$3,SUMIF('TL14'!$C$10:$C$224,$C94,'TL14'!$J$10:$J$224),0),
IF('TL14'!$B$229=N$3,SUMIF('TL14'!$C$238:$C$451,$C94,'TL14'!$J$238:$J$451),0),
IF('TL15'!$B$3=N$3,SUMIF('TL15'!$C$10:$C$224,$C94,'TL15'!$J$10:$J$224),0),
IF('TL15'!$B$229=N$3,SUMIF('TL15'!$C$238:$C$451,$C94,'TL15'!$J$238:$J$451),0),
IF('TL16'!$B$3=N$3,SUMIF('TL16'!$C$10:$C$224,$C94,'TL16'!$J$10:$J$224),0),
IF('TL16'!$B$229=N$3,SUMIF('TL16'!$C$238:$C$451,$C94,'TL16'!$J$238:$J$451),0),
IF('TL17'!$B$3=N$3,SUMIF('TL17'!$C$10:$C$224,$C94,'TL17'!$J$10:$J$224),0),
IF('TL17'!$B$229=N$3,SUMIF('TL17'!$C$238:$C$451,$C94,'TL17'!$J$238:$J$451),0),
IF('TL18'!$B$3=N$3,SUMIF('TL18'!$C$10:$C$224,$C94,'TL18'!$J$10:$J$224),0),
IF('TL18'!$B$229=N$3,SUMIF('TL18'!$C$238:$C$451,$C94,'TL18'!$J$238:$J$451),0),
IF('TL19'!$B$3=N$3,SUMIF('TL19'!$C$10:$C$224,$C94,'TL19'!$J$10:$J$224),0),
IF('TL19'!$B$229=N$3,SUMIF('TL19'!$C$238:$C$451,$C94,'TL19'!$J$238:$J$451),0)
),0)</f>
        <v/>
      </c>
      <c r="O94" s="9">
        <f>IFERROR(SUM(
IF('TL01'!$B$3=O$3,SUMIF('TL01'!$C$10:$C$224,$C94,'TL01'!$J$10:$J$224),0),
IF('TL01'!$B$229=O$3,SUMIF('TL01'!$C$238:$C$451,$C94,'TL01'!$J$238:$J$451),0),
IF('TL02'!$B$3=O$3,SUMIF('TL02'!$C$10:$C$224,$C94,'TL02'!$J$10:$J$224),0),
IF('TL02'!$B$229=O$3,SUMIF('TL02'!$C$238:$C$451,$C94,'TL02'!$J$238:$J$451),0),
IF('TL03'!$B$3=O$3,SUMIF('TL03'!$C$10:$C$224,$C94,'TL03'!$J$10:$J$224),0),
IF('TL03'!$B$229=O$3,SUMIF('TL03'!$C$238:$C$451,$C94,'TL03'!$J$238:$J$451),0),
IF('TL04'!$B$3=O$3,SUMIF('TL04'!$C$10:$C$224,$C94,'TL04'!$J$10:$J$224),0),
IF('TL04'!$B$229=O$3,SUMIF('TL04'!$C$238:$C$451,$C94,'TL04'!$J$238:$J$451),0),
IF('TL05'!$B$3=O$3,SUMIF('TL05'!$C$10:$C$224,$C94,'TL05'!$J$10:$J$224),0),
IF('TL05'!$B$229=O$3,SUMIF('TL05'!$C$238:$C$451,$C94,'TL05'!$J$238:$J$451),0),
IF('TL06'!$B$3=O$3,SUMIF('TL06'!$C$10:$C$224,$C94,'TL06'!$J$10:$J$224),0),
IF('TL06'!$B$229=O$3,SUMIF('TL06'!$C$238:$C$451,$C94,'TL06'!$J$238:$J$451),0),
IF('TL07'!$B$3=O$3,SUMIF('TL07'!$C$10:$C$224,$C94,'TL07'!$J$10:$J$224),0),
IF('TL07'!$B$229=O$3,SUMIF('TL07'!$C$238:$C$451,$C94,'TL07'!$J$238:$J$451),0),
IF('TL08'!$B$3=O$3,SUMIF('TL08'!$C$10:$C$224,$C94,'TL08'!$J$10:$J$224),0),
IF('TL08'!$B$229=O$3,SUMIF('TL08'!$C$238:$C$451,$C94,'TL08'!$J$238:$J$451),0),
IF('TL09'!$B$3=O$3,SUMIF('TL09'!$C$10:$C$224,$C94,'TL09'!$J$10:$J$224),0),
IF('TL09'!$B$229=O$3,SUMIF('TL09'!$C$238:$C$451,$C94,'TL09'!$J$238:$J$451),0),
IF('TL10'!$B$3=O$3,SUMIF('TL10'!$C$10:$C$224,$C94,'TL10'!$J$10:$J$224),0),
IF('TL10'!$B$229=O$3,SUMIF('TL10'!$C$238:$C$451,$C94,'TL10'!$J$238:$J$451),0),
IF('TL11'!$B$3=O$3,SUMIF('TL11'!$C$10:$C$224,$C94,'TL11'!$J$10:$J$224),0),
IF('TL11'!$B$229=O$3,SUMIF('TL11'!$C$238:$C$451,$C94,'TL11'!$J$238:$J$451),0),
IF('TL12'!$B$3=O$3,SUMIF('TL12'!$C$10:$C$224,$C94,'TL12'!$J$10:$J$224),0),
IF('TL12'!$B$229=O$3,SUMIF('TL12'!$C$238:$C$451,$C94,'TL12'!$J$238:$J$451),0),
IF('TL13'!$B$3=O$3,SUMIF('TL13'!$C$10:$C$224,$C94,'TL13'!$J$10:$J$224),0),
IF('TL13'!$B$229=O$3,SUMIF('TL13'!$C$238:$C$451,$C94,'TL13'!$J$238:$J$451),0),
IF('TL14'!$B$3=O$3,SUMIF('TL14'!$C$10:$C$224,$C94,'TL14'!$J$10:$J$224),0),
IF('TL14'!$B$229=O$3,SUMIF('TL14'!$C$238:$C$451,$C94,'TL14'!$J$238:$J$451),0),
IF('TL15'!$B$3=O$3,SUMIF('TL15'!$C$10:$C$224,$C94,'TL15'!$J$10:$J$224),0),
IF('TL15'!$B$229=O$3,SUMIF('TL15'!$C$238:$C$451,$C94,'TL15'!$J$238:$J$451),0),
IF('TL16'!$B$3=O$3,SUMIF('TL16'!$C$10:$C$224,$C94,'TL16'!$J$10:$J$224),0),
IF('TL16'!$B$229=O$3,SUMIF('TL16'!$C$238:$C$451,$C94,'TL16'!$J$238:$J$451),0),
IF('TL17'!$B$3=O$3,SUMIF('TL17'!$C$10:$C$224,$C94,'TL17'!$J$10:$J$224),0),
IF('TL17'!$B$229=O$3,SUMIF('TL17'!$C$238:$C$451,$C94,'TL17'!$J$238:$J$451),0),
IF('TL18'!$B$3=O$3,SUMIF('TL18'!$C$10:$C$224,$C94,'TL18'!$J$10:$J$224),0),
IF('TL18'!$B$229=O$3,SUMIF('TL18'!$C$238:$C$451,$C94,'TL18'!$J$238:$J$451),0),
IF('TL19'!$B$3=O$3,SUMIF('TL19'!$C$10:$C$224,$C94,'TL19'!$J$10:$J$224),0),
IF('TL19'!$B$229=O$3,SUMIF('TL19'!$C$238:$C$451,$C94,'TL19'!$J$238:$J$451),0)
),0)</f>
        <v/>
      </c>
      <c r="P94" s="9">
        <f>IFERROR(SUM(
IF('TL01'!$B$3=P$3,SUMIF('TL01'!$C$10:$C$224,$C94,'TL01'!$J$10:$J$224),0),
IF('TL01'!$B$229=P$3,SUMIF('TL01'!$C$238:$C$451,$C94,'TL01'!$J$238:$J$451),0),
IF('TL02'!$B$3=P$3,SUMIF('TL02'!$C$10:$C$224,$C94,'TL02'!$J$10:$J$224),0),
IF('TL02'!$B$229=P$3,SUMIF('TL02'!$C$238:$C$451,$C94,'TL02'!$J$238:$J$451),0),
IF('TL03'!$B$3=P$3,SUMIF('TL03'!$C$10:$C$224,$C94,'TL03'!$J$10:$J$224),0),
IF('TL03'!$B$229=P$3,SUMIF('TL03'!$C$238:$C$451,$C94,'TL03'!$J$238:$J$451),0),
IF('TL04'!$B$3=P$3,SUMIF('TL04'!$C$10:$C$224,$C94,'TL04'!$J$10:$J$224),0),
IF('TL04'!$B$229=P$3,SUMIF('TL04'!$C$238:$C$451,$C94,'TL04'!$J$238:$J$451),0),
IF('TL05'!$B$3=P$3,SUMIF('TL05'!$C$10:$C$224,$C94,'TL05'!$J$10:$J$224),0),
IF('TL05'!$B$229=P$3,SUMIF('TL05'!$C$238:$C$451,$C94,'TL05'!$J$238:$J$451),0),
IF('TL06'!$B$3=P$3,SUMIF('TL06'!$C$10:$C$224,$C94,'TL06'!$J$10:$J$224),0),
IF('TL06'!$B$229=P$3,SUMIF('TL06'!$C$238:$C$451,$C94,'TL06'!$J$238:$J$451),0),
IF('TL07'!$B$3=P$3,SUMIF('TL07'!$C$10:$C$224,$C94,'TL07'!$J$10:$J$224),0),
IF('TL07'!$B$229=P$3,SUMIF('TL07'!$C$238:$C$451,$C94,'TL07'!$J$238:$J$451),0),
IF('TL08'!$B$3=P$3,SUMIF('TL08'!$C$10:$C$224,$C94,'TL08'!$J$10:$J$224),0),
IF('TL08'!$B$229=P$3,SUMIF('TL08'!$C$238:$C$451,$C94,'TL08'!$J$238:$J$451),0),
IF('TL09'!$B$3=P$3,SUMIF('TL09'!$C$10:$C$224,$C94,'TL09'!$J$10:$J$224),0),
IF('TL09'!$B$229=P$3,SUMIF('TL09'!$C$238:$C$451,$C94,'TL09'!$J$238:$J$451),0),
IF('TL10'!$B$3=P$3,SUMIF('TL10'!$C$10:$C$224,$C94,'TL10'!$J$10:$J$224),0),
IF('TL10'!$B$229=P$3,SUMIF('TL10'!$C$238:$C$451,$C94,'TL10'!$J$238:$J$451),0),
IF('TL11'!$B$3=P$3,SUMIF('TL11'!$C$10:$C$224,$C94,'TL11'!$J$10:$J$224),0),
IF('TL11'!$B$229=P$3,SUMIF('TL11'!$C$238:$C$451,$C94,'TL11'!$J$238:$J$451),0),
IF('TL12'!$B$3=P$3,SUMIF('TL12'!$C$10:$C$224,$C94,'TL12'!$J$10:$J$224),0),
IF('TL12'!$B$229=P$3,SUMIF('TL12'!$C$238:$C$451,$C94,'TL12'!$J$238:$J$451),0),
IF('TL13'!$B$3=P$3,SUMIF('TL13'!$C$10:$C$224,$C94,'TL13'!$J$10:$J$224),0),
IF('TL13'!$B$229=P$3,SUMIF('TL13'!$C$238:$C$451,$C94,'TL13'!$J$238:$J$451),0),
IF('TL14'!$B$3=P$3,SUMIF('TL14'!$C$10:$C$224,$C94,'TL14'!$J$10:$J$224),0),
IF('TL14'!$B$229=P$3,SUMIF('TL14'!$C$238:$C$451,$C94,'TL14'!$J$238:$J$451),0),
IF('TL15'!$B$3=P$3,SUMIF('TL15'!$C$10:$C$224,$C94,'TL15'!$J$10:$J$224),0),
IF('TL15'!$B$229=P$3,SUMIF('TL15'!$C$238:$C$451,$C94,'TL15'!$J$238:$J$451),0),
IF('TL16'!$B$3=P$3,SUMIF('TL16'!$C$10:$C$224,$C94,'TL16'!$J$10:$J$224),0),
IF('TL16'!$B$229=P$3,SUMIF('TL16'!$C$238:$C$451,$C94,'TL16'!$J$238:$J$451),0),
IF('TL17'!$B$3=P$3,SUMIF('TL17'!$C$10:$C$224,$C94,'TL17'!$J$10:$J$224),0),
IF('TL17'!$B$229=P$3,SUMIF('TL17'!$C$238:$C$451,$C94,'TL17'!$J$238:$J$451),0),
IF('TL18'!$B$3=P$3,SUMIF('TL18'!$C$10:$C$224,$C94,'TL18'!$J$10:$J$224),0),
IF('TL18'!$B$229=P$3,SUMIF('TL18'!$C$238:$C$451,$C94,'TL18'!$J$238:$J$451),0),
IF('TL19'!$B$3=P$3,SUMIF('TL19'!$C$10:$C$224,$C94,'TL19'!$J$10:$J$224),0),
IF('TL19'!$B$229=P$3,SUMIF('TL19'!$C$238:$C$451,$C94,'TL19'!$J$238:$J$451),0)
),0)</f>
        <v/>
      </c>
      <c r="Q94" s="9">
        <f>IFERROR(SUM(
IF('TL01'!$B$3=Q$3,SUMIF('TL01'!$C$10:$C$224,$C94,'TL01'!$J$10:$J$224),0),
IF('TL01'!$B$229=Q$3,SUMIF('TL01'!$C$238:$C$451,$C94,'TL01'!$J$238:$J$451),0),
IF('TL02'!$B$3=Q$3,SUMIF('TL02'!$C$10:$C$224,$C94,'TL02'!$J$10:$J$224),0),
IF('TL02'!$B$229=Q$3,SUMIF('TL02'!$C$238:$C$451,$C94,'TL02'!$J$238:$J$451),0),
IF('TL03'!$B$3=Q$3,SUMIF('TL03'!$C$10:$C$224,$C94,'TL03'!$J$10:$J$224),0),
IF('TL03'!$B$229=Q$3,SUMIF('TL03'!$C$238:$C$451,$C94,'TL03'!$J$238:$J$451),0),
IF('TL04'!$B$3=Q$3,SUMIF('TL04'!$C$10:$C$224,$C94,'TL04'!$J$10:$J$224),0),
IF('TL04'!$B$229=Q$3,SUMIF('TL04'!$C$238:$C$451,$C94,'TL04'!$J$238:$J$451),0),
IF('TL05'!$B$3=Q$3,SUMIF('TL05'!$C$10:$C$224,$C94,'TL05'!$J$10:$J$224),0),
IF('TL05'!$B$229=Q$3,SUMIF('TL05'!$C$238:$C$451,$C94,'TL05'!$J$238:$J$451),0),
IF('TL06'!$B$3=Q$3,SUMIF('TL06'!$C$10:$C$224,$C94,'TL06'!$J$10:$J$224),0),
IF('TL06'!$B$229=Q$3,SUMIF('TL06'!$C$238:$C$451,$C94,'TL06'!$J$238:$J$451),0),
IF('TL07'!$B$3=Q$3,SUMIF('TL07'!$C$10:$C$224,$C94,'TL07'!$J$10:$J$224),0),
IF('TL07'!$B$229=Q$3,SUMIF('TL07'!$C$238:$C$451,$C94,'TL07'!$J$238:$J$451),0),
IF('TL08'!$B$3=Q$3,SUMIF('TL08'!$C$10:$C$224,$C94,'TL08'!$J$10:$J$224),0),
IF('TL08'!$B$229=Q$3,SUMIF('TL08'!$C$238:$C$451,$C94,'TL08'!$J$238:$J$451),0),
IF('TL09'!$B$3=Q$3,SUMIF('TL09'!$C$10:$C$224,$C94,'TL09'!$J$10:$J$224),0),
IF('TL09'!$B$229=Q$3,SUMIF('TL09'!$C$238:$C$451,$C94,'TL09'!$J$238:$J$451),0),
IF('TL10'!$B$3=Q$3,SUMIF('TL10'!$C$10:$C$224,$C94,'TL10'!$J$10:$J$224),0),
IF('TL10'!$B$229=Q$3,SUMIF('TL10'!$C$238:$C$451,$C94,'TL10'!$J$238:$J$451),0),
IF('TL11'!$B$3=Q$3,SUMIF('TL11'!$C$10:$C$224,$C94,'TL11'!$J$10:$J$224),0),
IF('TL11'!$B$229=Q$3,SUMIF('TL11'!$C$238:$C$451,$C94,'TL11'!$J$238:$J$451),0),
IF('TL12'!$B$3=Q$3,SUMIF('TL12'!$C$10:$C$224,$C94,'TL12'!$J$10:$J$224),0),
IF('TL12'!$B$229=Q$3,SUMIF('TL12'!$C$238:$C$451,$C94,'TL12'!$J$238:$J$451),0),
IF('TL13'!$B$3=Q$3,SUMIF('TL13'!$C$10:$C$224,$C94,'TL13'!$J$10:$J$224),0),
IF('TL13'!$B$229=Q$3,SUMIF('TL13'!$C$238:$C$451,$C94,'TL13'!$J$238:$J$451),0),
IF('TL14'!$B$3=Q$3,SUMIF('TL14'!$C$10:$C$224,$C94,'TL14'!$J$10:$J$224),0),
IF('TL14'!$B$229=Q$3,SUMIF('TL14'!$C$238:$C$451,$C94,'TL14'!$J$238:$J$451),0),
IF('TL15'!$B$3=Q$3,SUMIF('TL15'!$C$10:$C$224,$C94,'TL15'!$J$10:$J$224),0),
IF('TL15'!$B$229=Q$3,SUMIF('TL15'!$C$238:$C$451,$C94,'TL15'!$J$238:$J$451),0),
IF('TL16'!$B$3=Q$3,SUMIF('TL16'!$C$10:$C$224,$C94,'TL16'!$J$10:$J$224),0),
IF('TL16'!$B$229=Q$3,SUMIF('TL16'!$C$238:$C$451,$C94,'TL16'!$J$238:$J$451),0),
IF('TL17'!$B$3=Q$3,SUMIF('TL17'!$C$10:$C$224,$C94,'TL17'!$J$10:$J$224),0),
IF('TL17'!$B$229=Q$3,SUMIF('TL17'!$C$238:$C$451,$C94,'TL17'!$J$238:$J$451),0),
IF('TL18'!$B$3=Q$3,SUMIF('TL18'!$C$10:$C$224,$C94,'TL18'!$J$10:$J$224),0),
IF('TL18'!$B$229=Q$3,SUMIF('TL18'!$C$238:$C$451,$C94,'TL18'!$J$238:$J$451),0),
IF('TL19'!$B$3=Q$3,SUMIF('TL19'!$C$10:$C$224,$C94,'TL19'!$J$10:$J$224),0),
IF('TL19'!$B$229=Q$3,SUMIF('TL19'!$C$238:$C$451,$C94,'TL19'!$J$238:$J$451),0)
),0)</f>
        <v/>
      </c>
      <c r="R94" s="9">
        <f>IFERROR(
SUM(
SUMIF('TL01'!C:C,C94,'TL01'!J:J),
SUMIF('TL02'!C:C,C94,'TL02'!J:J),
SUMIF('TL03'!C:C,C94,'TL03'!J:J),
SUMIF('TL04'!C:C,C94,'TL04'!J:J),
SUMIF('TL05'!C:C,C94,'TL05'!J:J),
SUMIF('TL06'!C:C,C94,'TL06'!J:J),
SUMIF('TL07'!C:C,C94,'TL07'!J:J),
SUMIF('TL08'!C:C,C94,'TL08'!J:J),
SUMIF('TL09'!C:C,C94,'TL09'!J:J),
SUMIF('TL10'!C:C,C94,'TL10'!J:J),
SUMIF('TL11'!C:C,C94,'TL11'!J:J),
SUMIF('TL12'!C:C,C94,'TL12'!J:J),
SUMIF('TL13'!C:C,C94,'TL13'!J:J),
SUMIF('TL14'!C:C,C94,'TL14'!J:J),
SUMIF('TL15'!C:C,C94,'TL15'!J:J),
SUMIF('TL16'!C:C,C94,'TL16'!J:J),
SUMIF('TL17'!C:C,C94,'TL17'!J:J),
SUMIF('TL18'!C:C,C94,'TL18'!J:J),SUMIF('TL19'!C:C,C94,'TL19'!J:J))
,0)</f>
        <v/>
      </c>
      <c r="S94" s="17">
        <f>IFERROR(__xludf.DUMMYFUNCTION("IFERROR(VLOOKUP(C94,
IMPORTRANGE(""1wULbzX32WdYsx-lj2U3uUNBBe2INVIRDtcK0d-Dvl90"",
""26-27!C:G""),
5,
FALSE),
"""")"),27.748800000000006)</f>
        <v/>
      </c>
      <c r="T94" s="9" t="n"/>
      <c r="U94" s="92">
        <f>MAX(0,R94-T94)</f>
        <v/>
      </c>
      <c r="V94" s="93">
        <f>U94*S94</f>
        <v/>
      </c>
    </row>
    <row r="95" hidden="1" ht="15.75" customHeight="1" s="297">
      <c r="A95" s="111" t="inlineStr">
        <is>
          <t>SYNGENTA</t>
        </is>
      </c>
      <c r="B95" s="112" t="inlineStr">
        <is>
          <t>FUNGICIDA</t>
        </is>
      </c>
      <c r="C95" s="113" t="inlineStr">
        <is>
          <t>CYPRESS 400 EC</t>
        </is>
      </c>
      <c r="D95" s="113" t="inlineStr">
        <is>
          <t>DIFENOCONAZOL + CIPROCONAZOL</t>
        </is>
      </c>
      <c r="E95" s="113" t="inlineStr">
        <is>
          <t>250 + 150</t>
        </is>
      </c>
      <c r="F95" s="4" t="inlineStr">
        <is>
          <t>KG</t>
        </is>
      </c>
      <c r="G95" s="90">
        <f>HYPERLINK("https://www.google.com/search?q=" &amp; C95 &amp; "+bula+agrofit+pdf", "📄 Ver bula")</f>
        <v/>
      </c>
      <c r="H95" s="9">
        <f>IFERROR(__xludf.DUMMYFUNCTION("IFERROR(VLOOKUP(C95,
IMPORTRANGE(""1wULbzX32WdYsx-lj2U3uUNBBe2INVIRDtcK0d-Dvl90"",
""26-27!C:K""),
8,
FALSE),
"""")"),0.5)</f>
        <v/>
      </c>
      <c r="I95" s="114" t="inlineStr">
        <is>
          <t>1x20</t>
        </is>
      </c>
      <c r="J95" s="9">
        <f>IFERROR(SUM(
IF('TL01'!$B$3=J$3,SUMIF('TL01'!$C$10:$C$224,$C95,'TL01'!$J$10:$J$224),0),
IF('TL01'!$B$229=J$3,SUMIF('TL01'!$C$238:$C$451,$C95,'TL01'!$J$238:$J$451),0),
IF('TL02'!$B$3=J$3,SUMIF('TL02'!$C$10:$C$224,$C95,'TL02'!$J$10:$J$224),0),
IF('TL02'!$B$229=J$3,SUMIF('TL02'!$C$238:$C$451,$C95,'TL02'!$J$238:$J$451),0),
IF('TL03'!$B$3=J$3,SUMIF('TL03'!$C$10:$C$224,$C95,'TL03'!$J$10:$J$224),0),
IF('TL03'!$B$229=J$3,SUMIF('TL03'!$C$238:$C$451,$C95,'TL03'!$J$238:$J$451),0),
IF('TL04'!$B$3=J$3,SUMIF('TL04'!$C$10:$C$224,$C95,'TL04'!$J$10:$J$224),0),
IF('TL04'!$B$229=J$3,SUMIF('TL04'!$C$238:$C$451,$C95,'TL04'!$J$238:$J$451),0),
IF('TL05'!$B$3=J$3,SUMIF('TL05'!$C$10:$C$224,$C95,'TL05'!$J$10:$J$224),0),
IF('TL05'!$B$229=J$3,SUMIF('TL05'!$C$238:$C$451,$C95,'TL05'!$J$238:$J$451),0),
IF('TL06'!$B$3=J$3,SUMIF('TL06'!$C$10:$C$224,$C95,'TL06'!$J$10:$J$224),0),
IF('TL06'!$B$229=J$3,SUMIF('TL06'!$C$238:$C$451,$C95,'TL06'!$J$238:$J$451),0),
IF('TL07'!$B$3=J$3,SUMIF('TL07'!$C$10:$C$224,$C95,'TL07'!$J$10:$J$224),0),
IF('TL07'!$B$229=J$3,SUMIF('TL07'!$C$238:$C$451,$C95,'TL07'!$J$238:$J$451),0),
IF('TL08'!$B$3=J$3,SUMIF('TL08'!$C$10:$C$224,$C95,'TL08'!$J$10:$J$224),0),
IF('TL08'!$B$229=J$3,SUMIF('TL08'!$C$238:$C$451,$C95,'TL08'!$J$238:$J$451),0),
IF('TL09'!$B$3=J$3,SUMIF('TL09'!$C$10:$C$224,$C95,'TL09'!$J$10:$J$224),0),
IF('TL09'!$B$229=J$3,SUMIF('TL09'!$C$238:$C$451,$C95,'TL09'!$J$238:$J$451),0),
IF('TL10'!$B$3=J$3,SUMIF('TL10'!$C$10:$C$224,$C95,'TL10'!$J$10:$J$224),0),
IF('TL10'!$B$229=J$3,SUMIF('TL10'!$C$238:$C$451,$C95,'TL10'!$J$238:$J$451),0),
IF('TL11'!$B$3=J$3,SUMIF('TL11'!$C$10:$C$224,$C95,'TL11'!$J$10:$J$224),0),
IF('TL11'!$B$229=J$3,SUMIF('TL11'!$C$238:$C$451,$C95,'TL11'!$J$238:$J$451),0),
IF('TL12'!$B$3=J$3,SUMIF('TL12'!$C$10:$C$224,$C95,'TL12'!$J$10:$J$224),0),
IF('TL12'!$B$229=J$3,SUMIF('TL12'!$C$238:$C$451,$C95,'TL12'!$J$238:$J$451),0),
IF('TL13'!$B$3=J$3,SUMIF('TL13'!$C$10:$C$224,$C95,'TL13'!$J$10:$J$224),0),
IF('TL13'!$B$229=J$3,SUMIF('TL13'!$C$238:$C$451,$C95,'TL13'!$J$238:$J$451),0),
IF('TL14'!$B$3=J$3,SUMIF('TL14'!$C$10:$C$224,$C95,'TL14'!$J$10:$J$224),0),
IF('TL14'!$B$229=J$3,SUMIF('TL14'!$C$238:$C$451,$C95,'TL14'!$J$238:$J$451),0),
IF('TL15'!$B$3=J$3,SUMIF('TL15'!$C$10:$C$224,$C95,'TL15'!$J$10:$J$224),0),
IF('TL15'!$B$229=J$3,SUMIF('TL15'!$C$238:$C$451,$C95,'TL15'!$J$238:$J$451),0),
IF('TL16'!$B$3=J$3,SUMIF('TL16'!$C$10:$C$224,$C95,'TL16'!$J$10:$J$224),0),
IF('TL16'!$B$229=J$3,SUMIF('TL16'!$C$238:$C$451,$C95,'TL16'!$J$238:$J$451),0),
IF('TL17'!$B$3=J$3,SUMIF('TL17'!$C$10:$C$224,$C95,'TL17'!$J$10:$J$224),0),
IF('TL17'!$B$229=J$3,SUMIF('TL17'!$C$238:$C$451,$C95,'TL17'!$J$238:$J$451),0),
IF('TL18'!$B$3=J$3,SUMIF('TL18'!$C$10:$C$224,$C95,'TL18'!$J$10:$J$224),0),
IF('TL18'!$B$229=J$3,SUMIF('TL18'!$C$238:$C$451,$C95,'TL18'!$J$238:$J$451),0),
IF('TL19'!$B$3=J$3,SUMIF('TL19'!$C$10:$C$224,$C95,'TL19'!$J$10:$J$224),0),
IF('TL19'!$B$229=J$3,SUMIF('TL19'!$C$238:$C$451,$C95,'TL19'!$J$238:$J$451),0)
),0)</f>
        <v/>
      </c>
      <c r="K95" s="9">
        <f>IFERROR(SUM(
IF('TL01'!$B$3=K$3,SUMIF('TL01'!$C$10:$C$224,$C95,'TL01'!$J$10:$J$224),0),
IF('TL01'!$B$229=K$3,SUMIF('TL01'!$C$238:$C$451,$C95,'TL01'!$J$238:$J$451),0),
IF('TL02'!$B$3=K$3,SUMIF('TL02'!$C$10:$C$224,$C95,'TL02'!$J$10:$J$224),0),
IF('TL02'!$B$229=K$3,SUMIF('TL02'!$C$238:$C$451,$C95,'TL02'!$J$238:$J$451),0),
IF('TL03'!$B$3=K$3,SUMIF('TL03'!$C$10:$C$224,$C95,'TL03'!$J$10:$J$224),0),
IF('TL03'!$B$229=K$3,SUMIF('TL03'!$C$238:$C$451,$C95,'TL03'!$J$238:$J$451),0),
IF('TL04'!$B$3=K$3,SUMIF('TL04'!$C$10:$C$224,$C95,'TL04'!$J$10:$J$224),0),
IF('TL04'!$B$229=K$3,SUMIF('TL04'!$C$238:$C$451,$C95,'TL04'!$J$238:$J$451),0),
IF('TL05'!$B$3=K$3,SUMIF('TL05'!$C$10:$C$224,$C95,'TL05'!$J$10:$J$224),0),
IF('TL05'!$B$229=K$3,SUMIF('TL05'!$C$238:$C$451,$C95,'TL05'!$J$238:$J$451),0),
IF('TL06'!$B$3=K$3,SUMIF('TL06'!$C$10:$C$224,$C95,'TL06'!$J$10:$J$224),0),
IF('TL06'!$B$229=K$3,SUMIF('TL06'!$C$238:$C$451,$C95,'TL06'!$J$238:$J$451),0),
IF('TL07'!$B$3=K$3,SUMIF('TL07'!$C$10:$C$224,$C95,'TL07'!$J$10:$J$224),0),
IF('TL07'!$B$229=K$3,SUMIF('TL07'!$C$238:$C$451,$C95,'TL07'!$J$238:$J$451),0),
IF('TL08'!$B$3=K$3,SUMIF('TL08'!$C$10:$C$224,$C95,'TL08'!$J$10:$J$224),0),
IF('TL08'!$B$229=K$3,SUMIF('TL08'!$C$238:$C$451,$C95,'TL08'!$J$238:$J$451),0),
IF('TL09'!$B$3=K$3,SUMIF('TL09'!$C$10:$C$224,$C95,'TL09'!$J$10:$J$224),0),
IF('TL09'!$B$229=K$3,SUMIF('TL09'!$C$238:$C$451,$C95,'TL09'!$J$238:$J$451),0),
IF('TL10'!$B$3=K$3,SUMIF('TL10'!$C$10:$C$224,$C95,'TL10'!$J$10:$J$224),0),
IF('TL10'!$B$229=K$3,SUMIF('TL10'!$C$238:$C$451,$C95,'TL10'!$J$238:$J$451),0),
IF('TL11'!$B$3=K$3,SUMIF('TL11'!$C$10:$C$224,$C95,'TL11'!$J$10:$J$224),0),
IF('TL11'!$B$229=K$3,SUMIF('TL11'!$C$238:$C$451,$C95,'TL11'!$J$238:$J$451),0),
IF('TL12'!$B$3=K$3,SUMIF('TL12'!$C$10:$C$224,$C95,'TL12'!$J$10:$J$224),0),
IF('TL12'!$B$229=K$3,SUMIF('TL12'!$C$238:$C$451,$C95,'TL12'!$J$238:$J$451),0),
IF('TL13'!$B$3=K$3,SUMIF('TL13'!$C$10:$C$224,$C95,'TL13'!$J$10:$J$224),0),
IF('TL13'!$B$229=K$3,SUMIF('TL13'!$C$238:$C$451,$C95,'TL13'!$J$238:$J$451),0),
IF('TL14'!$B$3=K$3,SUMIF('TL14'!$C$10:$C$224,$C95,'TL14'!$J$10:$J$224),0),
IF('TL14'!$B$229=K$3,SUMIF('TL14'!$C$238:$C$451,$C95,'TL14'!$J$238:$J$451),0),
IF('TL15'!$B$3=K$3,SUMIF('TL15'!$C$10:$C$224,$C95,'TL15'!$J$10:$J$224),0),
IF('TL15'!$B$229=K$3,SUMIF('TL15'!$C$238:$C$451,$C95,'TL15'!$J$238:$J$451),0),
IF('TL16'!$B$3=K$3,SUMIF('TL16'!$C$10:$C$224,$C95,'TL16'!$J$10:$J$224),0),
IF('TL16'!$B$229=K$3,SUMIF('TL16'!$C$238:$C$451,$C95,'TL16'!$J$238:$J$451),0),
IF('TL17'!$B$3=K$3,SUMIF('TL17'!$C$10:$C$224,$C95,'TL17'!$J$10:$J$224),0),
IF('TL17'!$B$229=K$3,SUMIF('TL17'!$C$238:$C$451,$C95,'TL17'!$J$238:$J$451),0),
IF('TL18'!$B$3=K$3,SUMIF('TL18'!$C$10:$C$224,$C95,'TL18'!$J$10:$J$224),0),
IF('TL18'!$B$229=K$3,SUMIF('TL18'!$C$238:$C$451,$C95,'TL18'!$J$238:$J$451),0),
IF('TL19'!$B$3=K$3,SUMIF('TL19'!$C$10:$C$224,$C95,'TL19'!$J$10:$J$224),0),
IF('TL19'!$B$229=K$3,SUMIF('TL19'!$C$238:$C$451,$C95,'TL19'!$J$238:$J$451),0)
),0)</f>
        <v/>
      </c>
      <c r="L95" s="9">
        <f>IFERROR(SUM(
IF('TL01'!$B$3=L$3,SUMIF('TL01'!$C$10:$C$224,$C95,'TL01'!$J$10:$J$224),0),
IF('TL01'!$B$229=L$3,SUMIF('TL01'!$C$238:$C$451,$C95,'TL01'!$J$238:$J$451),0),
IF('TL02'!$B$3=L$3,SUMIF('TL02'!$C$10:$C$224,$C95,'TL02'!$J$10:$J$224),0),
IF('TL02'!$B$229=L$3,SUMIF('TL02'!$C$238:$C$451,$C95,'TL02'!$J$238:$J$451),0),
IF('TL03'!$B$3=L$3,SUMIF('TL03'!$C$10:$C$224,$C95,'TL03'!$J$10:$J$224),0),
IF('TL03'!$B$229=L$3,SUMIF('TL03'!$C$238:$C$451,$C95,'TL03'!$J$238:$J$451),0),
IF('TL04'!$B$3=L$3,SUMIF('TL04'!$C$10:$C$224,$C95,'TL04'!$J$10:$J$224),0),
IF('TL04'!$B$229=L$3,SUMIF('TL04'!$C$238:$C$451,$C95,'TL04'!$J$238:$J$451),0),
IF('TL05'!$B$3=L$3,SUMIF('TL05'!$C$10:$C$224,$C95,'TL05'!$J$10:$J$224),0),
IF('TL05'!$B$229=L$3,SUMIF('TL05'!$C$238:$C$451,$C95,'TL05'!$J$238:$J$451),0),
IF('TL06'!$B$3=L$3,SUMIF('TL06'!$C$10:$C$224,$C95,'TL06'!$J$10:$J$224),0),
IF('TL06'!$B$229=L$3,SUMIF('TL06'!$C$238:$C$451,$C95,'TL06'!$J$238:$J$451),0),
IF('TL07'!$B$3=L$3,SUMIF('TL07'!$C$10:$C$224,$C95,'TL07'!$J$10:$J$224),0),
IF('TL07'!$B$229=L$3,SUMIF('TL07'!$C$238:$C$451,$C95,'TL07'!$J$238:$J$451),0),
IF('TL08'!$B$3=L$3,SUMIF('TL08'!$C$10:$C$224,$C95,'TL08'!$J$10:$J$224),0),
IF('TL08'!$B$229=L$3,SUMIF('TL08'!$C$238:$C$451,$C95,'TL08'!$J$238:$J$451),0),
IF('TL09'!$B$3=L$3,SUMIF('TL09'!$C$10:$C$224,$C95,'TL09'!$J$10:$J$224),0),
IF('TL09'!$B$229=L$3,SUMIF('TL09'!$C$238:$C$451,$C95,'TL09'!$J$238:$J$451),0),
IF('TL10'!$B$3=L$3,SUMIF('TL10'!$C$10:$C$224,$C95,'TL10'!$J$10:$J$224),0),
IF('TL10'!$B$229=L$3,SUMIF('TL10'!$C$238:$C$451,$C95,'TL10'!$J$238:$J$451),0),
IF('TL11'!$B$3=L$3,SUMIF('TL11'!$C$10:$C$224,$C95,'TL11'!$J$10:$J$224),0),
IF('TL11'!$B$229=L$3,SUMIF('TL11'!$C$238:$C$451,$C95,'TL11'!$J$238:$J$451),0),
IF('TL12'!$B$3=L$3,SUMIF('TL12'!$C$10:$C$224,$C95,'TL12'!$J$10:$J$224),0),
IF('TL12'!$B$229=L$3,SUMIF('TL12'!$C$238:$C$451,$C95,'TL12'!$J$238:$J$451),0),
IF('TL13'!$B$3=L$3,SUMIF('TL13'!$C$10:$C$224,$C95,'TL13'!$J$10:$J$224),0),
IF('TL13'!$B$229=L$3,SUMIF('TL13'!$C$238:$C$451,$C95,'TL13'!$J$238:$J$451),0),
IF('TL14'!$B$3=L$3,SUMIF('TL14'!$C$10:$C$224,$C95,'TL14'!$J$10:$J$224),0),
IF('TL14'!$B$229=L$3,SUMIF('TL14'!$C$238:$C$451,$C95,'TL14'!$J$238:$J$451),0),
IF('TL15'!$B$3=L$3,SUMIF('TL15'!$C$10:$C$224,$C95,'TL15'!$J$10:$J$224),0),
IF('TL15'!$B$229=L$3,SUMIF('TL15'!$C$238:$C$451,$C95,'TL15'!$J$238:$J$451),0),
IF('TL16'!$B$3=L$3,SUMIF('TL16'!$C$10:$C$224,$C95,'TL16'!$J$10:$J$224),0),
IF('TL16'!$B$229=L$3,SUMIF('TL16'!$C$238:$C$451,$C95,'TL16'!$J$238:$J$451),0),
IF('TL17'!$B$3=L$3,SUMIF('TL17'!$C$10:$C$224,$C95,'TL17'!$J$10:$J$224),0),
IF('TL17'!$B$229=L$3,SUMIF('TL17'!$C$238:$C$451,$C95,'TL17'!$J$238:$J$451),0),
IF('TL18'!$B$3=L$3,SUMIF('TL18'!$C$10:$C$224,$C95,'TL18'!$J$10:$J$224),0),
IF('TL18'!$B$229=L$3,SUMIF('TL18'!$C$238:$C$451,$C95,'TL18'!$J$238:$J$451),0),
IF('TL19'!$B$3=L$3,SUMIF('TL19'!$C$10:$C$224,$C95,'TL19'!$J$10:$J$224),0),
IF('TL19'!$B$229=L$3,SUMIF('TL19'!$C$238:$C$451,$C95,'TL19'!$J$238:$J$451),0)
),0)</f>
        <v/>
      </c>
      <c r="M95" s="9">
        <f>IFERROR(SUM(
IF('TL01'!$B$3=M$3,SUMIF('TL01'!$C$10:$C$224,$C95,'TL01'!$J$10:$J$224),0),
IF('TL01'!$B$229=M$3,SUMIF('TL01'!$C$238:$C$451,$C95,'TL01'!$J$238:$J$451),0),
IF('TL02'!$B$3=M$3,SUMIF('TL02'!$C$10:$C$224,$C95,'TL02'!$J$10:$J$224),0),
IF('TL02'!$B$229=M$3,SUMIF('TL02'!$C$238:$C$451,$C95,'TL02'!$J$238:$J$451),0),
IF('TL03'!$B$3=M$3,SUMIF('TL03'!$C$10:$C$224,$C95,'TL03'!$J$10:$J$224),0),
IF('TL03'!$B$229=M$3,SUMIF('TL03'!$C$238:$C$451,$C95,'TL03'!$J$238:$J$451),0),
IF('TL04'!$B$3=M$3,SUMIF('TL04'!$C$10:$C$224,$C95,'TL04'!$J$10:$J$224),0),
IF('TL04'!$B$229=M$3,SUMIF('TL04'!$C$238:$C$451,$C95,'TL04'!$J$238:$J$451),0),
IF('TL05'!$B$3=M$3,SUMIF('TL05'!$C$10:$C$224,$C95,'TL05'!$J$10:$J$224),0),
IF('TL05'!$B$229=M$3,SUMIF('TL05'!$C$238:$C$451,$C95,'TL05'!$J$238:$J$451),0),
IF('TL06'!$B$3=M$3,SUMIF('TL06'!$C$10:$C$224,$C95,'TL06'!$J$10:$J$224),0),
IF('TL06'!$B$229=M$3,SUMIF('TL06'!$C$238:$C$451,$C95,'TL06'!$J$238:$J$451),0),
IF('TL07'!$B$3=M$3,SUMIF('TL07'!$C$10:$C$224,$C95,'TL07'!$J$10:$J$224),0),
IF('TL07'!$B$229=M$3,SUMIF('TL07'!$C$238:$C$451,$C95,'TL07'!$J$238:$J$451),0),
IF('TL08'!$B$3=M$3,SUMIF('TL08'!$C$10:$C$224,$C95,'TL08'!$J$10:$J$224),0),
IF('TL08'!$B$229=M$3,SUMIF('TL08'!$C$238:$C$451,$C95,'TL08'!$J$238:$J$451),0),
IF('TL09'!$B$3=M$3,SUMIF('TL09'!$C$10:$C$224,$C95,'TL09'!$J$10:$J$224),0),
IF('TL09'!$B$229=M$3,SUMIF('TL09'!$C$238:$C$451,$C95,'TL09'!$J$238:$J$451),0),
IF('TL10'!$B$3=M$3,SUMIF('TL10'!$C$10:$C$224,$C95,'TL10'!$J$10:$J$224),0),
IF('TL10'!$B$229=M$3,SUMIF('TL10'!$C$238:$C$451,$C95,'TL10'!$J$238:$J$451),0),
IF('TL11'!$B$3=M$3,SUMIF('TL11'!$C$10:$C$224,$C95,'TL11'!$J$10:$J$224),0),
IF('TL11'!$B$229=M$3,SUMIF('TL11'!$C$238:$C$451,$C95,'TL11'!$J$238:$J$451),0),
IF('TL12'!$B$3=M$3,SUMIF('TL12'!$C$10:$C$224,$C95,'TL12'!$J$10:$J$224),0),
IF('TL12'!$B$229=M$3,SUMIF('TL12'!$C$238:$C$451,$C95,'TL12'!$J$238:$J$451),0),
IF('TL13'!$B$3=M$3,SUMIF('TL13'!$C$10:$C$224,$C95,'TL13'!$J$10:$J$224),0),
IF('TL13'!$B$229=M$3,SUMIF('TL13'!$C$238:$C$451,$C95,'TL13'!$J$238:$J$451),0),
IF('TL14'!$B$3=M$3,SUMIF('TL14'!$C$10:$C$224,$C95,'TL14'!$J$10:$J$224),0),
IF('TL14'!$B$229=M$3,SUMIF('TL14'!$C$238:$C$451,$C95,'TL14'!$J$238:$J$451),0),
IF('TL15'!$B$3=M$3,SUMIF('TL15'!$C$10:$C$224,$C95,'TL15'!$J$10:$J$224),0),
IF('TL15'!$B$229=M$3,SUMIF('TL15'!$C$238:$C$451,$C95,'TL15'!$J$238:$J$451),0),
IF('TL16'!$B$3=M$3,SUMIF('TL16'!$C$10:$C$224,$C95,'TL16'!$J$10:$J$224),0),
IF('TL16'!$B$229=M$3,SUMIF('TL16'!$C$238:$C$451,$C95,'TL16'!$J$238:$J$451),0),
IF('TL17'!$B$3=M$3,SUMIF('TL17'!$C$10:$C$224,$C95,'TL17'!$J$10:$J$224),0),
IF('TL17'!$B$229=M$3,SUMIF('TL17'!$C$238:$C$451,$C95,'TL17'!$J$238:$J$451),0),
IF('TL18'!$B$3=M$3,SUMIF('TL18'!$C$10:$C$224,$C95,'TL18'!$J$10:$J$224),0),
IF('TL18'!$B$229=M$3,SUMIF('TL18'!$C$238:$C$451,$C95,'TL18'!$J$238:$J$451),0),
IF('TL19'!$B$3=M$3,SUMIF('TL19'!$C$10:$C$224,$C95,'TL19'!$J$10:$J$224),0),
IF('TL19'!$B$229=M$3,SUMIF('TL19'!$C$238:$C$451,$C95,'TL19'!$J$238:$J$451),0)
),0)</f>
        <v/>
      </c>
      <c r="N95" s="9">
        <f>IFERROR(SUM(
IF('TL01'!$B$3=N$3,SUMIF('TL01'!$C$10:$C$224,$C95,'TL01'!$J$10:$J$224),0),
IF('TL01'!$B$229=N$3,SUMIF('TL01'!$C$238:$C$451,$C95,'TL01'!$J$238:$J$451),0),
IF('TL02'!$B$3=N$3,SUMIF('TL02'!$C$10:$C$224,$C95,'TL02'!$J$10:$J$224),0),
IF('TL02'!$B$229=N$3,SUMIF('TL02'!$C$238:$C$451,$C95,'TL02'!$J$238:$J$451),0),
IF('TL03'!$B$3=N$3,SUMIF('TL03'!$C$10:$C$224,$C95,'TL03'!$J$10:$J$224),0),
IF('TL03'!$B$229=N$3,SUMIF('TL03'!$C$238:$C$451,$C95,'TL03'!$J$238:$J$451),0),
IF('TL04'!$B$3=N$3,SUMIF('TL04'!$C$10:$C$224,$C95,'TL04'!$J$10:$J$224),0),
IF('TL04'!$B$229=N$3,SUMIF('TL04'!$C$238:$C$451,$C95,'TL04'!$J$238:$J$451),0),
IF('TL05'!$B$3=N$3,SUMIF('TL05'!$C$10:$C$224,$C95,'TL05'!$J$10:$J$224),0),
IF('TL05'!$B$229=N$3,SUMIF('TL05'!$C$238:$C$451,$C95,'TL05'!$J$238:$J$451),0),
IF('TL06'!$B$3=N$3,SUMIF('TL06'!$C$10:$C$224,$C95,'TL06'!$J$10:$J$224),0),
IF('TL06'!$B$229=N$3,SUMIF('TL06'!$C$238:$C$451,$C95,'TL06'!$J$238:$J$451),0),
IF('TL07'!$B$3=N$3,SUMIF('TL07'!$C$10:$C$224,$C95,'TL07'!$J$10:$J$224),0),
IF('TL07'!$B$229=N$3,SUMIF('TL07'!$C$238:$C$451,$C95,'TL07'!$J$238:$J$451),0),
IF('TL08'!$B$3=N$3,SUMIF('TL08'!$C$10:$C$224,$C95,'TL08'!$J$10:$J$224),0),
IF('TL08'!$B$229=N$3,SUMIF('TL08'!$C$238:$C$451,$C95,'TL08'!$J$238:$J$451),0),
IF('TL09'!$B$3=N$3,SUMIF('TL09'!$C$10:$C$224,$C95,'TL09'!$J$10:$J$224),0),
IF('TL09'!$B$229=N$3,SUMIF('TL09'!$C$238:$C$451,$C95,'TL09'!$J$238:$J$451),0),
IF('TL10'!$B$3=N$3,SUMIF('TL10'!$C$10:$C$224,$C95,'TL10'!$J$10:$J$224),0),
IF('TL10'!$B$229=N$3,SUMIF('TL10'!$C$238:$C$451,$C95,'TL10'!$J$238:$J$451),0),
IF('TL11'!$B$3=N$3,SUMIF('TL11'!$C$10:$C$224,$C95,'TL11'!$J$10:$J$224),0),
IF('TL11'!$B$229=N$3,SUMIF('TL11'!$C$238:$C$451,$C95,'TL11'!$J$238:$J$451),0),
IF('TL12'!$B$3=N$3,SUMIF('TL12'!$C$10:$C$224,$C95,'TL12'!$J$10:$J$224),0),
IF('TL12'!$B$229=N$3,SUMIF('TL12'!$C$238:$C$451,$C95,'TL12'!$J$238:$J$451),0),
IF('TL13'!$B$3=N$3,SUMIF('TL13'!$C$10:$C$224,$C95,'TL13'!$J$10:$J$224),0),
IF('TL13'!$B$229=N$3,SUMIF('TL13'!$C$238:$C$451,$C95,'TL13'!$J$238:$J$451),0),
IF('TL14'!$B$3=N$3,SUMIF('TL14'!$C$10:$C$224,$C95,'TL14'!$J$10:$J$224),0),
IF('TL14'!$B$229=N$3,SUMIF('TL14'!$C$238:$C$451,$C95,'TL14'!$J$238:$J$451),0),
IF('TL15'!$B$3=N$3,SUMIF('TL15'!$C$10:$C$224,$C95,'TL15'!$J$10:$J$224),0),
IF('TL15'!$B$229=N$3,SUMIF('TL15'!$C$238:$C$451,$C95,'TL15'!$J$238:$J$451),0),
IF('TL16'!$B$3=N$3,SUMIF('TL16'!$C$10:$C$224,$C95,'TL16'!$J$10:$J$224),0),
IF('TL16'!$B$229=N$3,SUMIF('TL16'!$C$238:$C$451,$C95,'TL16'!$J$238:$J$451),0),
IF('TL17'!$B$3=N$3,SUMIF('TL17'!$C$10:$C$224,$C95,'TL17'!$J$10:$J$224),0),
IF('TL17'!$B$229=N$3,SUMIF('TL17'!$C$238:$C$451,$C95,'TL17'!$J$238:$J$451),0),
IF('TL18'!$B$3=N$3,SUMIF('TL18'!$C$10:$C$224,$C95,'TL18'!$J$10:$J$224),0),
IF('TL18'!$B$229=N$3,SUMIF('TL18'!$C$238:$C$451,$C95,'TL18'!$J$238:$J$451),0),
IF('TL19'!$B$3=N$3,SUMIF('TL19'!$C$10:$C$224,$C95,'TL19'!$J$10:$J$224),0),
IF('TL19'!$B$229=N$3,SUMIF('TL19'!$C$238:$C$451,$C95,'TL19'!$J$238:$J$451),0)
),0)</f>
        <v/>
      </c>
      <c r="O95" s="9">
        <f>IFERROR(SUM(
IF('TL01'!$B$3=O$3,SUMIF('TL01'!$C$10:$C$224,$C95,'TL01'!$J$10:$J$224),0),
IF('TL01'!$B$229=O$3,SUMIF('TL01'!$C$238:$C$451,$C95,'TL01'!$J$238:$J$451),0),
IF('TL02'!$B$3=O$3,SUMIF('TL02'!$C$10:$C$224,$C95,'TL02'!$J$10:$J$224),0),
IF('TL02'!$B$229=O$3,SUMIF('TL02'!$C$238:$C$451,$C95,'TL02'!$J$238:$J$451),0),
IF('TL03'!$B$3=O$3,SUMIF('TL03'!$C$10:$C$224,$C95,'TL03'!$J$10:$J$224),0),
IF('TL03'!$B$229=O$3,SUMIF('TL03'!$C$238:$C$451,$C95,'TL03'!$J$238:$J$451),0),
IF('TL04'!$B$3=O$3,SUMIF('TL04'!$C$10:$C$224,$C95,'TL04'!$J$10:$J$224),0),
IF('TL04'!$B$229=O$3,SUMIF('TL04'!$C$238:$C$451,$C95,'TL04'!$J$238:$J$451),0),
IF('TL05'!$B$3=O$3,SUMIF('TL05'!$C$10:$C$224,$C95,'TL05'!$J$10:$J$224),0),
IF('TL05'!$B$229=O$3,SUMIF('TL05'!$C$238:$C$451,$C95,'TL05'!$J$238:$J$451),0),
IF('TL06'!$B$3=O$3,SUMIF('TL06'!$C$10:$C$224,$C95,'TL06'!$J$10:$J$224),0),
IF('TL06'!$B$229=O$3,SUMIF('TL06'!$C$238:$C$451,$C95,'TL06'!$J$238:$J$451),0),
IF('TL07'!$B$3=O$3,SUMIF('TL07'!$C$10:$C$224,$C95,'TL07'!$J$10:$J$224),0),
IF('TL07'!$B$229=O$3,SUMIF('TL07'!$C$238:$C$451,$C95,'TL07'!$J$238:$J$451),0),
IF('TL08'!$B$3=O$3,SUMIF('TL08'!$C$10:$C$224,$C95,'TL08'!$J$10:$J$224),0),
IF('TL08'!$B$229=O$3,SUMIF('TL08'!$C$238:$C$451,$C95,'TL08'!$J$238:$J$451),0),
IF('TL09'!$B$3=O$3,SUMIF('TL09'!$C$10:$C$224,$C95,'TL09'!$J$10:$J$224),0),
IF('TL09'!$B$229=O$3,SUMIF('TL09'!$C$238:$C$451,$C95,'TL09'!$J$238:$J$451),0),
IF('TL10'!$B$3=O$3,SUMIF('TL10'!$C$10:$C$224,$C95,'TL10'!$J$10:$J$224),0),
IF('TL10'!$B$229=O$3,SUMIF('TL10'!$C$238:$C$451,$C95,'TL10'!$J$238:$J$451),0),
IF('TL11'!$B$3=O$3,SUMIF('TL11'!$C$10:$C$224,$C95,'TL11'!$J$10:$J$224),0),
IF('TL11'!$B$229=O$3,SUMIF('TL11'!$C$238:$C$451,$C95,'TL11'!$J$238:$J$451),0),
IF('TL12'!$B$3=O$3,SUMIF('TL12'!$C$10:$C$224,$C95,'TL12'!$J$10:$J$224),0),
IF('TL12'!$B$229=O$3,SUMIF('TL12'!$C$238:$C$451,$C95,'TL12'!$J$238:$J$451),0),
IF('TL13'!$B$3=O$3,SUMIF('TL13'!$C$10:$C$224,$C95,'TL13'!$J$10:$J$224),0),
IF('TL13'!$B$229=O$3,SUMIF('TL13'!$C$238:$C$451,$C95,'TL13'!$J$238:$J$451),0),
IF('TL14'!$B$3=O$3,SUMIF('TL14'!$C$10:$C$224,$C95,'TL14'!$J$10:$J$224),0),
IF('TL14'!$B$229=O$3,SUMIF('TL14'!$C$238:$C$451,$C95,'TL14'!$J$238:$J$451),0),
IF('TL15'!$B$3=O$3,SUMIF('TL15'!$C$10:$C$224,$C95,'TL15'!$J$10:$J$224),0),
IF('TL15'!$B$229=O$3,SUMIF('TL15'!$C$238:$C$451,$C95,'TL15'!$J$238:$J$451),0),
IF('TL16'!$B$3=O$3,SUMIF('TL16'!$C$10:$C$224,$C95,'TL16'!$J$10:$J$224),0),
IF('TL16'!$B$229=O$3,SUMIF('TL16'!$C$238:$C$451,$C95,'TL16'!$J$238:$J$451),0),
IF('TL17'!$B$3=O$3,SUMIF('TL17'!$C$10:$C$224,$C95,'TL17'!$J$10:$J$224),0),
IF('TL17'!$B$229=O$3,SUMIF('TL17'!$C$238:$C$451,$C95,'TL17'!$J$238:$J$451),0),
IF('TL18'!$B$3=O$3,SUMIF('TL18'!$C$10:$C$224,$C95,'TL18'!$J$10:$J$224),0),
IF('TL18'!$B$229=O$3,SUMIF('TL18'!$C$238:$C$451,$C95,'TL18'!$J$238:$J$451),0),
IF('TL19'!$B$3=O$3,SUMIF('TL19'!$C$10:$C$224,$C95,'TL19'!$J$10:$J$224),0),
IF('TL19'!$B$229=O$3,SUMIF('TL19'!$C$238:$C$451,$C95,'TL19'!$J$238:$J$451),0)
),0)</f>
        <v/>
      </c>
      <c r="P95" s="9">
        <f>IFERROR(SUM(
IF('TL01'!$B$3=P$3,SUMIF('TL01'!$C$10:$C$224,$C95,'TL01'!$J$10:$J$224),0),
IF('TL01'!$B$229=P$3,SUMIF('TL01'!$C$238:$C$451,$C95,'TL01'!$J$238:$J$451),0),
IF('TL02'!$B$3=P$3,SUMIF('TL02'!$C$10:$C$224,$C95,'TL02'!$J$10:$J$224),0),
IF('TL02'!$B$229=P$3,SUMIF('TL02'!$C$238:$C$451,$C95,'TL02'!$J$238:$J$451),0),
IF('TL03'!$B$3=P$3,SUMIF('TL03'!$C$10:$C$224,$C95,'TL03'!$J$10:$J$224),0),
IF('TL03'!$B$229=P$3,SUMIF('TL03'!$C$238:$C$451,$C95,'TL03'!$J$238:$J$451),0),
IF('TL04'!$B$3=P$3,SUMIF('TL04'!$C$10:$C$224,$C95,'TL04'!$J$10:$J$224),0),
IF('TL04'!$B$229=P$3,SUMIF('TL04'!$C$238:$C$451,$C95,'TL04'!$J$238:$J$451),0),
IF('TL05'!$B$3=P$3,SUMIF('TL05'!$C$10:$C$224,$C95,'TL05'!$J$10:$J$224),0),
IF('TL05'!$B$229=P$3,SUMIF('TL05'!$C$238:$C$451,$C95,'TL05'!$J$238:$J$451),0),
IF('TL06'!$B$3=P$3,SUMIF('TL06'!$C$10:$C$224,$C95,'TL06'!$J$10:$J$224),0),
IF('TL06'!$B$229=P$3,SUMIF('TL06'!$C$238:$C$451,$C95,'TL06'!$J$238:$J$451),0),
IF('TL07'!$B$3=P$3,SUMIF('TL07'!$C$10:$C$224,$C95,'TL07'!$J$10:$J$224),0),
IF('TL07'!$B$229=P$3,SUMIF('TL07'!$C$238:$C$451,$C95,'TL07'!$J$238:$J$451),0),
IF('TL08'!$B$3=P$3,SUMIF('TL08'!$C$10:$C$224,$C95,'TL08'!$J$10:$J$224),0),
IF('TL08'!$B$229=P$3,SUMIF('TL08'!$C$238:$C$451,$C95,'TL08'!$J$238:$J$451),0),
IF('TL09'!$B$3=P$3,SUMIF('TL09'!$C$10:$C$224,$C95,'TL09'!$J$10:$J$224),0),
IF('TL09'!$B$229=P$3,SUMIF('TL09'!$C$238:$C$451,$C95,'TL09'!$J$238:$J$451),0),
IF('TL10'!$B$3=P$3,SUMIF('TL10'!$C$10:$C$224,$C95,'TL10'!$J$10:$J$224),0),
IF('TL10'!$B$229=P$3,SUMIF('TL10'!$C$238:$C$451,$C95,'TL10'!$J$238:$J$451),0),
IF('TL11'!$B$3=P$3,SUMIF('TL11'!$C$10:$C$224,$C95,'TL11'!$J$10:$J$224),0),
IF('TL11'!$B$229=P$3,SUMIF('TL11'!$C$238:$C$451,$C95,'TL11'!$J$238:$J$451),0),
IF('TL12'!$B$3=P$3,SUMIF('TL12'!$C$10:$C$224,$C95,'TL12'!$J$10:$J$224),0),
IF('TL12'!$B$229=P$3,SUMIF('TL12'!$C$238:$C$451,$C95,'TL12'!$J$238:$J$451),0),
IF('TL13'!$B$3=P$3,SUMIF('TL13'!$C$10:$C$224,$C95,'TL13'!$J$10:$J$224),0),
IF('TL13'!$B$229=P$3,SUMIF('TL13'!$C$238:$C$451,$C95,'TL13'!$J$238:$J$451),0),
IF('TL14'!$B$3=P$3,SUMIF('TL14'!$C$10:$C$224,$C95,'TL14'!$J$10:$J$224),0),
IF('TL14'!$B$229=P$3,SUMIF('TL14'!$C$238:$C$451,$C95,'TL14'!$J$238:$J$451),0),
IF('TL15'!$B$3=P$3,SUMIF('TL15'!$C$10:$C$224,$C95,'TL15'!$J$10:$J$224),0),
IF('TL15'!$B$229=P$3,SUMIF('TL15'!$C$238:$C$451,$C95,'TL15'!$J$238:$J$451),0),
IF('TL16'!$B$3=P$3,SUMIF('TL16'!$C$10:$C$224,$C95,'TL16'!$J$10:$J$224),0),
IF('TL16'!$B$229=P$3,SUMIF('TL16'!$C$238:$C$451,$C95,'TL16'!$J$238:$J$451),0),
IF('TL17'!$B$3=P$3,SUMIF('TL17'!$C$10:$C$224,$C95,'TL17'!$J$10:$J$224),0),
IF('TL17'!$B$229=P$3,SUMIF('TL17'!$C$238:$C$451,$C95,'TL17'!$J$238:$J$451),0),
IF('TL18'!$B$3=P$3,SUMIF('TL18'!$C$10:$C$224,$C95,'TL18'!$J$10:$J$224),0),
IF('TL18'!$B$229=P$3,SUMIF('TL18'!$C$238:$C$451,$C95,'TL18'!$J$238:$J$451),0),
IF('TL19'!$B$3=P$3,SUMIF('TL19'!$C$10:$C$224,$C95,'TL19'!$J$10:$J$224),0),
IF('TL19'!$B$229=P$3,SUMIF('TL19'!$C$238:$C$451,$C95,'TL19'!$J$238:$J$451),0)
),0)</f>
        <v/>
      </c>
      <c r="Q95" s="9">
        <f>IFERROR(SUM(
IF('TL01'!$B$3=Q$3,SUMIF('TL01'!$C$10:$C$224,$C95,'TL01'!$J$10:$J$224),0),
IF('TL01'!$B$229=Q$3,SUMIF('TL01'!$C$238:$C$451,$C95,'TL01'!$J$238:$J$451),0),
IF('TL02'!$B$3=Q$3,SUMIF('TL02'!$C$10:$C$224,$C95,'TL02'!$J$10:$J$224),0),
IF('TL02'!$B$229=Q$3,SUMIF('TL02'!$C$238:$C$451,$C95,'TL02'!$J$238:$J$451),0),
IF('TL03'!$B$3=Q$3,SUMIF('TL03'!$C$10:$C$224,$C95,'TL03'!$J$10:$J$224),0),
IF('TL03'!$B$229=Q$3,SUMIF('TL03'!$C$238:$C$451,$C95,'TL03'!$J$238:$J$451),0),
IF('TL04'!$B$3=Q$3,SUMIF('TL04'!$C$10:$C$224,$C95,'TL04'!$J$10:$J$224),0),
IF('TL04'!$B$229=Q$3,SUMIF('TL04'!$C$238:$C$451,$C95,'TL04'!$J$238:$J$451),0),
IF('TL05'!$B$3=Q$3,SUMIF('TL05'!$C$10:$C$224,$C95,'TL05'!$J$10:$J$224),0),
IF('TL05'!$B$229=Q$3,SUMIF('TL05'!$C$238:$C$451,$C95,'TL05'!$J$238:$J$451),0),
IF('TL06'!$B$3=Q$3,SUMIF('TL06'!$C$10:$C$224,$C95,'TL06'!$J$10:$J$224),0),
IF('TL06'!$B$229=Q$3,SUMIF('TL06'!$C$238:$C$451,$C95,'TL06'!$J$238:$J$451),0),
IF('TL07'!$B$3=Q$3,SUMIF('TL07'!$C$10:$C$224,$C95,'TL07'!$J$10:$J$224),0),
IF('TL07'!$B$229=Q$3,SUMIF('TL07'!$C$238:$C$451,$C95,'TL07'!$J$238:$J$451),0),
IF('TL08'!$B$3=Q$3,SUMIF('TL08'!$C$10:$C$224,$C95,'TL08'!$J$10:$J$224),0),
IF('TL08'!$B$229=Q$3,SUMIF('TL08'!$C$238:$C$451,$C95,'TL08'!$J$238:$J$451),0),
IF('TL09'!$B$3=Q$3,SUMIF('TL09'!$C$10:$C$224,$C95,'TL09'!$J$10:$J$224),0),
IF('TL09'!$B$229=Q$3,SUMIF('TL09'!$C$238:$C$451,$C95,'TL09'!$J$238:$J$451),0),
IF('TL10'!$B$3=Q$3,SUMIF('TL10'!$C$10:$C$224,$C95,'TL10'!$J$10:$J$224),0),
IF('TL10'!$B$229=Q$3,SUMIF('TL10'!$C$238:$C$451,$C95,'TL10'!$J$238:$J$451),0),
IF('TL11'!$B$3=Q$3,SUMIF('TL11'!$C$10:$C$224,$C95,'TL11'!$J$10:$J$224),0),
IF('TL11'!$B$229=Q$3,SUMIF('TL11'!$C$238:$C$451,$C95,'TL11'!$J$238:$J$451),0),
IF('TL12'!$B$3=Q$3,SUMIF('TL12'!$C$10:$C$224,$C95,'TL12'!$J$10:$J$224),0),
IF('TL12'!$B$229=Q$3,SUMIF('TL12'!$C$238:$C$451,$C95,'TL12'!$J$238:$J$451),0),
IF('TL13'!$B$3=Q$3,SUMIF('TL13'!$C$10:$C$224,$C95,'TL13'!$J$10:$J$224),0),
IF('TL13'!$B$229=Q$3,SUMIF('TL13'!$C$238:$C$451,$C95,'TL13'!$J$238:$J$451),0),
IF('TL14'!$B$3=Q$3,SUMIF('TL14'!$C$10:$C$224,$C95,'TL14'!$J$10:$J$224),0),
IF('TL14'!$B$229=Q$3,SUMIF('TL14'!$C$238:$C$451,$C95,'TL14'!$J$238:$J$451),0),
IF('TL15'!$B$3=Q$3,SUMIF('TL15'!$C$10:$C$224,$C95,'TL15'!$J$10:$J$224),0),
IF('TL15'!$B$229=Q$3,SUMIF('TL15'!$C$238:$C$451,$C95,'TL15'!$J$238:$J$451),0),
IF('TL16'!$B$3=Q$3,SUMIF('TL16'!$C$10:$C$224,$C95,'TL16'!$J$10:$J$224),0),
IF('TL16'!$B$229=Q$3,SUMIF('TL16'!$C$238:$C$451,$C95,'TL16'!$J$238:$J$451),0),
IF('TL17'!$B$3=Q$3,SUMIF('TL17'!$C$10:$C$224,$C95,'TL17'!$J$10:$J$224),0),
IF('TL17'!$B$229=Q$3,SUMIF('TL17'!$C$238:$C$451,$C95,'TL17'!$J$238:$J$451),0),
IF('TL18'!$B$3=Q$3,SUMIF('TL18'!$C$10:$C$224,$C95,'TL18'!$J$10:$J$224),0),
IF('TL18'!$B$229=Q$3,SUMIF('TL18'!$C$238:$C$451,$C95,'TL18'!$J$238:$J$451),0),
IF('TL19'!$B$3=Q$3,SUMIF('TL19'!$C$10:$C$224,$C95,'TL19'!$J$10:$J$224),0),
IF('TL19'!$B$229=Q$3,SUMIF('TL19'!$C$238:$C$451,$C95,'TL19'!$J$238:$J$451),0)
),0)</f>
        <v/>
      </c>
      <c r="R95" s="9">
        <f>IFERROR(
SUM(
SUMIF('TL01'!C:C,C95,'TL01'!J:J),
SUMIF('TL02'!C:C,C95,'TL02'!J:J),
SUMIF('TL03'!C:C,C95,'TL03'!J:J),
SUMIF('TL04'!C:C,C95,'TL04'!J:J),
SUMIF('TL05'!C:C,C95,'TL05'!J:J),
SUMIF('TL06'!C:C,C95,'TL06'!J:J),
SUMIF('TL07'!C:C,C95,'TL07'!J:J),
SUMIF('TL08'!C:C,C95,'TL08'!J:J),
SUMIF('TL09'!C:C,C95,'TL09'!J:J),
SUMIF('TL10'!C:C,C95,'TL10'!J:J),
SUMIF('TL11'!C:C,C95,'TL11'!J:J),
SUMIF('TL12'!C:C,C95,'TL12'!J:J),
SUMIF('TL13'!C:C,C95,'TL13'!J:J),
SUMIF('TL14'!C:C,C95,'TL14'!J:J),
SUMIF('TL15'!C:C,C95,'TL15'!J:J),
SUMIF('TL16'!C:C,C95,'TL16'!J:J),
SUMIF('TL17'!C:C,C95,'TL17'!J:J),
SUMIF('TL18'!C:C,C95,'TL18'!J:J),SUMIF('TL19'!C:C,C95,'TL19'!J:J))
,0)</f>
        <v/>
      </c>
      <c r="S95" s="17">
        <f>IFERROR(__xludf.DUMMYFUNCTION("IFERROR(VLOOKUP(C95,
IMPORTRANGE(""1wULbzX32WdYsx-lj2U3uUNBBe2INVIRDtcK0d-Dvl90"",
""26-27!C:G""),
5,
FALSE),
"""")"),27.613440000000004)</f>
        <v/>
      </c>
      <c r="T95" s="9" t="n"/>
      <c r="U95" s="92">
        <f>MAX(0,R95-T95)</f>
        <v/>
      </c>
      <c r="V95" s="93">
        <f>U95*S95</f>
        <v/>
      </c>
    </row>
    <row r="96" hidden="1" ht="15.75" customHeight="1" s="297">
      <c r="A96" s="115" t="inlineStr">
        <is>
          <t>SYNGENTA</t>
        </is>
      </c>
      <c r="B96" s="100" t="inlineStr">
        <is>
          <t>FUNGICIDA</t>
        </is>
      </c>
      <c r="C96" s="116" t="inlineStr">
        <is>
          <t>ELATUS</t>
        </is>
      </c>
      <c r="D96" s="116" t="inlineStr">
        <is>
          <t>AZOXISTROBINA + BENZOVINDIFLUPYR</t>
        </is>
      </c>
      <c r="E96" s="116" t="inlineStr">
        <is>
          <t>300 + 150</t>
        </is>
      </c>
      <c r="F96" s="4" t="inlineStr">
        <is>
          <t>L</t>
        </is>
      </c>
      <c r="G96" s="90">
        <f>HYPERLINK("https://www.google.com/search?q=" &amp; C96 &amp; "+bula+agrofit+pdf", "📄 Ver bula")</f>
        <v/>
      </c>
      <c r="H96" s="9">
        <f>IFERROR(__xludf.DUMMYFUNCTION("IFERROR(VLOOKUP(C96,
IMPORTRANGE(""1wULbzX32WdYsx-lj2U3uUNBBe2INVIRDtcK0d-Dvl90"",
""26-27!C:K""),
8,
FALSE),
"""")"),0.3)</f>
        <v/>
      </c>
      <c r="I96" s="117" t="inlineStr">
        <is>
          <t>4X5</t>
        </is>
      </c>
      <c r="J96" s="9">
        <f>IFERROR(SUM(
IF('TL01'!$B$3=J$3,SUMIF('TL01'!$C$10:$C$224,$C96,'TL01'!$J$10:$J$224),0),
IF('TL01'!$B$229=J$3,SUMIF('TL01'!$C$238:$C$451,$C96,'TL01'!$J$238:$J$451),0),
IF('TL02'!$B$3=J$3,SUMIF('TL02'!$C$10:$C$224,$C96,'TL02'!$J$10:$J$224),0),
IF('TL02'!$B$229=J$3,SUMIF('TL02'!$C$238:$C$451,$C96,'TL02'!$J$238:$J$451),0),
IF('TL03'!$B$3=J$3,SUMIF('TL03'!$C$10:$C$224,$C96,'TL03'!$J$10:$J$224),0),
IF('TL03'!$B$229=J$3,SUMIF('TL03'!$C$238:$C$451,$C96,'TL03'!$J$238:$J$451),0),
IF('TL04'!$B$3=J$3,SUMIF('TL04'!$C$10:$C$224,$C96,'TL04'!$J$10:$J$224),0),
IF('TL04'!$B$229=J$3,SUMIF('TL04'!$C$238:$C$451,$C96,'TL04'!$J$238:$J$451),0),
IF('TL05'!$B$3=J$3,SUMIF('TL05'!$C$10:$C$224,$C96,'TL05'!$J$10:$J$224),0),
IF('TL05'!$B$229=J$3,SUMIF('TL05'!$C$238:$C$451,$C96,'TL05'!$J$238:$J$451),0),
IF('TL06'!$B$3=J$3,SUMIF('TL06'!$C$10:$C$224,$C96,'TL06'!$J$10:$J$224),0),
IF('TL06'!$B$229=J$3,SUMIF('TL06'!$C$238:$C$451,$C96,'TL06'!$J$238:$J$451),0),
IF('TL07'!$B$3=J$3,SUMIF('TL07'!$C$10:$C$224,$C96,'TL07'!$J$10:$J$224),0),
IF('TL07'!$B$229=J$3,SUMIF('TL07'!$C$238:$C$451,$C96,'TL07'!$J$238:$J$451),0),
IF('TL08'!$B$3=J$3,SUMIF('TL08'!$C$10:$C$224,$C96,'TL08'!$J$10:$J$224),0),
IF('TL08'!$B$229=J$3,SUMIF('TL08'!$C$238:$C$451,$C96,'TL08'!$J$238:$J$451),0),
IF('TL09'!$B$3=J$3,SUMIF('TL09'!$C$10:$C$224,$C96,'TL09'!$J$10:$J$224),0),
IF('TL09'!$B$229=J$3,SUMIF('TL09'!$C$238:$C$451,$C96,'TL09'!$J$238:$J$451),0),
IF('TL10'!$B$3=J$3,SUMIF('TL10'!$C$10:$C$224,$C96,'TL10'!$J$10:$J$224),0),
IF('TL10'!$B$229=J$3,SUMIF('TL10'!$C$238:$C$451,$C96,'TL10'!$J$238:$J$451),0),
IF('TL11'!$B$3=J$3,SUMIF('TL11'!$C$10:$C$224,$C96,'TL11'!$J$10:$J$224),0),
IF('TL11'!$B$229=J$3,SUMIF('TL11'!$C$238:$C$451,$C96,'TL11'!$J$238:$J$451),0),
IF('TL12'!$B$3=J$3,SUMIF('TL12'!$C$10:$C$224,$C96,'TL12'!$J$10:$J$224),0),
IF('TL12'!$B$229=J$3,SUMIF('TL12'!$C$238:$C$451,$C96,'TL12'!$J$238:$J$451),0),
IF('TL13'!$B$3=J$3,SUMIF('TL13'!$C$10:$C$224,$C96,'TL13'!$J$10:$J$224),0),
IF('TL13'!$B$229=J$3,SUMIF('TL13'!$C$238:$C$451,$C96,'TL13'!$J$238:$J$451),0),
IF('TL14'!$B$3=J$3,SUMIF('TL14'!$C$10:$C$224,$C96,'TL14'!$J$10:$J$224),0),
IF('TL14'!$B$229=J$3,SUMIF('TL14'!$C$238:$C$451,$C96,'TL14'!$J$238:$J$451),0),
IF('TL15'!$B$3=J$3,SUMIF('TL15'!$C$10:$C$224,$C96,'TL15'!$J$10:$J$224),0),
IF('TL15'!$B$229=J$3,SUMIF('TL15'!$C$238:$C$451,$C96,'TL15'!$J$238:$J$451),0),
IF('TL16'!$B$3=J$3,SUMIF('TL16'!$C$10:$C$224,$C96,'TL16'!$J$10:$J$224),0),
IF('TL16'!$B$229=J$3,SUMIF('TL16'!$C$238:$C$451,$C96,'TL16'!$J$238:$J$451),0),
IF('TL17'!$B$3=J$3,SUMIF('TL17'!$C$10:$C$224,$C96,'TL17'!$J$10:$J$224),0),
IF('TL17'!$B$229=J$3,SUMIF('TL17'!$C$238:$C$451,$C96,'TL17'!$J$238:$J$451),0),
IF('TL18'!$B$3=J$3,SUMIF('TL18'!$C$10:$C$224,$C96,'TL18'!$J$10:$J$224),0),
IF('TL18'!$B$229=J$3,SUMIF('TL18'!$C$238:$C$451,$C96,'TL18'!$J$238:$J$451),0),
IF('TL19'!$B$3=J$3,SUMIF('TL19'!$C$10:$C$224,$C96,'TL19'!$J$10:$J$224),0),
IF('TL19'!$B$229=J$3,SUMIF('TL19'!$C$238:$C$451,$C96,'TL19'!$J$238:$J$451),0)
),0)</f>
        <v/>
      </c>
      <c r="K96" s="9">
        <f>IFERROR(SUM(
IF('TL01'!$B$3=K$3,SUMIF('TL01'!$C$10:$C$224,$C96,'TL01'!$J$10:$J$224),0),
IF('TL01'!$B$229=K$3,SUMIF('TL01'!$C$238:$C$451,$C96,'TL01'!$J$238:$J$451),0),
IF('TL02'!$B$3=K$3,SUMIF('TL02'!$C$10:$C$224,$C96,'TL02'!$J$10:$J$224),0),
IF('TL02'!$B$229=K$3,SUMIF('TL02'!$C$238:$C$451,$C96,'TL02'!$J$238:$J$451),0),
IF('TL03'!$B$3=K$3,SUMIF('TL03'!$C$10:$C$224,$C96,'TL03'!$J$10:$J$224),0),
IF('TL03'!$B$229=K$3,SUMIF('TL03'!$C$238:$C$451,$C96,'TL03'!$J$238:$J$451),0),
IF('TL04'!$B$3=K$3,SUMIF('TL04'!$C$10:$C$224,$C96,'TL04'!$J$10:$J$224),0),
IF('TL04'!$B$229=K$3,SUMIF('TL04'!$C$238:$C$451,$C96,'TL04'!$J$238:$J$451),0),
IF('TL05'!$B$3=K$3,SUMIF('TL05'!$C$10:$C$224,$C96,'TL05'!$J$10:$J$224),0),
IF('TL05'!$B$229=K$3,SUMIF('TL05'!$C$238:$C$451,$C96,'TL05'!$J$238:$J$451),0),
IF('TL06'!$B$3=K$3,SUMIF('TL06'!$C$10:$C$224,$C96,'TL06'!$J$10:$J$224),0),
IF('TL06'!$B$229=K$3,SUMIF('TL06'!$C$238:$C$451,$C96,'TL06'!$J$238:$J$451),0),
IF('TL07'!$B$3=K$3,SUMIF('TL07'!$C$10:$C$224,$C96,'TL07'!$J$10:$J$224),0),
IF('TL07'!$B$229=K$3,SUMIF('TL07'!$C$238:$C$451,$C96,'TL07'!$J$238:$J$451),0),
IF('TL08'!$B$3=K$3,SUMIF('TL08'!$C$10:$C$224,$C96,'TL08'!$J$10:$J$224),0),
IF('TL08'!$B$229=K$3,SUMIF('TL08'!$C$238:$C$451,$C96,'TL08'!$J$238:$J$451),0),
IF('TL09'!$B$3=K$3,SUMIF('TL09'!$C$10:$C$224,$C96,'TL09'!$J$10:$J$224),0),
IF('TL09'!$B$229=K$3,SUMIF('TL09'!$C$238:$C$451,$C96,'TL09'!$J$238:$J$451),0),
IF('TL10'!$B$3=K$3,SUMIF('TL10'!$C$10:$C$224,$C96,'TL10'!$J$10:$J$224),0),
IF('TL10'!$B$229=K$3,SUMIF('TL10'!$C$238:$C$451,$C96,'TL10'!$J$238:$J$451),0),
IF('TL11'!$B$3=K$3,SUMIF('TL11'!$C$10:$C$224,$C96,'TL11'!$J$10:$J$224),0),
IF('TL11'!$B$229=K$3,SUMIF('TL11'!$C$238:$C$451,$C96,'TL11'!$J$238:$J$451),0),
IF('TL12'!$B$3=K$3,SUMIF('TL12'!$C$10:$C$224,$C96,'TL12'!$J$10:$J$224),0),
IF('TL12'!$B$229=K$3,SUMIF('TL12'!$C$238:$C$451,$C96,'TL12'!$J$238:$J$451),0),
IF('TL13'!$B$3=K$3,SUMIF('TL13'!$C$10:$C$224,$C96,'TL13'!$J$10:$J$224),0),
IF('TL13'!$B$229=K$3,SUMIF('TL13'!$C$238:$C$451,$C96,'TL13'!$J$238:$J$451),0),
IF('TL14'!$B$3=K$3,SUMIF('TL14'!$C$10:$C$224,$C96,'TL14'!$J$10:$J$224),0),
IF('TL14'!$B$229=K$3,SUMIF('TL14'!$C$238:$C$451,$C96,'TL14'!$J$238:$J$451),0),
IF('TL15'!$B$3=K$3,SUMIF('TL15'!$C$10:$C$224,$C96,'TL15'!$J$10:$J$224),0),
IF('TL15'!$B$229=K$3,SUMIF('TL15'!$C$238:$C$451,$C96,'TL15'!$J$238:$J$451),0),
IF('TL16'!$B$3=K$3,SUMIF('TL16'!$C$10:$C$224,$C96,'TL16'!$J$10:$J$224),0),
IF('TL16'!$B$229=K$3,SUMIF('TL16'!$C$238:$C$451,$C96,'TL16'!$J$238:$J$451),0),
IF('TL17'!$B$3=K$3,SUMIF('TL17'!$C$10:$C$224,$C96,'TL17'!$J$10:$J$224),0),
IF('TL17'!$B$229=K$3,SUMIF('TL17'!$C$238:$C$451,$C96,'TL17'!$J$238:$J$451),0),
IF('TL18'!$B$3=K$3,SUMIF('TL18'!$C$10:$C$224,$C96,'TL18'!$J$10:$J$224),0),
IF('TL18'!$B$229=K$3,SUMIF('TL18'!$C$238:$C$451,$C96,'TL18'!$J$238:$J$451),0),
IF('TL19'!$B$3=K$3,SUMIF('TL19'!$C$10:$C$224,$C96,'TL19'!$J$10:$J$224),0),
IF('TL19'!$B$229=K$3,SUMIF('TL19'!$C$238:$C$451,$C96,'TL19'!$J$238:$J$451),0)
),0)</f>
        <v/>
      </c>
      <c r="L96" s="9">
        <f>IFERROR(SUM(
IF('TL01'!$B$3=L$3,SUMIF('TL01'!$C$10:$C$224,$C96,'TL01'!$J$10:$J$224),0),
IF('TL01'!$B$229=L$3,SUMIF('TL01'!$C$238:$C$451,$C96,'TL01'!$J$238:$J$451),0),
IF('TL02'!$B$3=L$3,SUMIF('TL02'!$C$10:$C$224,$C96,'TL02'!$J$10:$J$224),0),
IF('TL02'!$B$229=L$3,SUMIF('TL02'!$C$238:$C$451,$C96,'TL02'!$J$238:$J$451),0),
IF('TL03'!$B$3=L$3,SUMIF('TL03'!$C$10:$C$224,$C96,'TL03'!$J$10:$J$224),0),
IF('TL03'!$B$229=L$3,SUMIF('TL03'!$C$238:$C$451,$C96,'TL03'!$J$238:$J$451),0),
IF('TL04'!$B$3=L$3,SUMIF('TL04'!$C$10:$C$224,$C96,'TL04'!$J$10:$J$224),0),
IF('TL04'!$B$229=L$3,SUMIF('TL04'!$C$238:$C$451,$C96,'TL04'!$J$238:$J$451),0),
IF('TL05'!$B$3=L$3,SUMIF('TL05'!$C$10:$C$224,$C96,'TL05'!$J$10:$J$224),0),
IF('TL05'!$B$229=L$3,SUMIF('TL05'!$C$238:$C$451,$C96,'TL05'!$J$238:$J$451),0),
IF('TL06'!$B$3=L$3,SUMIF('TL06'!$C$10:$C$224,$C96,'TL06'!$J$10:$J$224),0),
IF('TL06'!$B$229=L$3,SUMIF('TL06'!$C$238:$C$451,$C96,'TL06'!$J$238:$J$451),0),
IF('TL07'!$B$3=L$3,SUMIF('TL07'!$C$10:$C$224,$C96,'TL07'!$J$10:$J$224),0),
IF('TL07'!$B$229=L$3,SUMIF('TL07'!$C$238:$C$451,$C96,'TL07'!$J$238:$J$451),0),
IF('TL08'!$B$3=L$3,SUMIF('TL08'!$C$10:$C$224,$C96,'TL08'!$J$10:$J$224),0),
IF('TL08'!$B$229=L$3,SUMIF('TL08'!$C$238:$C$451,$C96,'TL08'!$J$238:$J$451),0),
IF('TL09'!$B$3=L$3,SUMIF('TL09'!$C$10:$C$224,$C96,'TL09'!$J$10:$J$224),0),
IF('TL09'!$B$229=L$3,SUMIF('TL09'!$C$238:$C$451,$C96,'TL09'!$J$238:$J$451),0),
IF('TL10'!$B$3=L$3,SUMIF('TL10'!$C$10:$C$224,$C96,'TL10'!$J$10:$J$224),0),
IF('TL10'!$B$229=L$3,SUMIF('TL10'!$C$238:$C$451,$C96,'TL10'!$J$238:$J$451),0),
IF('TL11'!$B$3=L$3,SUMIF('TL11'!$C$10:$C$224,$C96,'TL11'!$J$10:$J$224),0),
IF('TL11'!$B$229=L$3,SUMIF('TL11'!$C$238:$C$451,$C96,'TL11'!$J$238:$J$451),0),
IF('TL12'!$B$3=L$3,SUMIF('TL12'!$C$10:$C$224,$C96,'TL12'!$J$10:$J$224),0),
IF('TL12'!$B$229=L$3,SUMIF('TL12'!$C$238:$C$451,$C96,'TL12'!$J$238:$J$451),0),
IF('TL13'!$B$3=L$3,SUMIF('TL13'!$C$10:$C$224,$C96,'TL13'!$J$10:$J$224),0),
IF('TL13'!$B$229=L$3,SUMIF('TL13'!$C$238:$C$451,$C96,'TL13'!$J$238:$J$451),0),
IF('TL14'!$B$3=L$3,SUMIF('TL14'!$C$10:$C$224,$C96,'TL14'!$J$10:$J$224),0),
IF('TL14'!$B$229=L$3,SUMIF('TL14'!$C$238:$C$451,$C96,'TL14'!$J$238:$J$451),0),
IF('TL15'!$B$3=L$3,SUMIF('TL15'!$C$10:$C$224,$C96,'TL15'!$J$10:$J$224),0),
IF('TL15'!$B$229=L$3,SUMIF('TL15'!$C$238:$C$451,$C96,'TL15'!$J$238:$J$451),0),
IF('TL16'!$B$3=L$3,SUMIF('TL16'!$C$10:$C$224,$C96,'TL16'!$J$10:$J$224),0),
IF('TL16'!$B$229=L$3,SUMIF('TL16'!$C$238:$C$451,$C96,'TL16'!$J$238:$J$451),0),
IF('TL17'!$B$3=L$3,SUMIF('TL17'!$C$10:$C$224,$C96,'TL17'!$J$10:$J$224),0),
IF('TL17'!$B$229=L$3,SUMIF('TL17'!$C$238:$C$451,$C96,'TL17'!$J$238:$J$451),0),
IF('TL18'!$B$3=L$3,SUMIF('TL18'!$C$10:$C$224,$C96,'TL18'!$J$10:$J$224),0),
IF('TL18'!$B$229=L$3,SUMIF('TL18'!$C$238:$C$451,$C96,'TL18'!$J$238:$J$451),0),
IF('TL19'!$B$3=L$3,SUMIF('TL19'!$C$10:$C$224,$C96,'TL19'!$J$10:$J$224),0),
IF('TL19'!$B$229=L$3,SUMIF('TL19'!$C$238:$C$451,$C96,'TL19'!$J$238:$J$451),0)
),0)</f>
        <v/>
      </c>
      <c r="M96" s="9">
        <f>IFERROR(SUM(
IF('TL01'!$B$3=M$3,SUMIF('TL01'!$C$10:$C$224,$C96,'TL01'!$J$10:$J$224),0),
IF('TL01'!$B$229=M$3,SUMIF('TL01'!$C$238:$C$451,$C96,'TL01'!$J$238:$J$451),0),
IF('TL02'!$B$3=M$3,SUMIF('TL02'!$C$10:$C$224,$C96,'TL02'!$J$10:$J$224),0),
IF('TL02'!$B$229=M$3,SUMIF('TL02'!$C$238:$C$451,$C96,'TL02'!$J$238:$J$451),0),
IF('TL03'!$B$3=M$3,SUMIF('TL03'!$C$10:$C$224,$C96,'TL03'!$J$10:$J$224),0),
IF('TL03'!$B$229=M$3,SUMIF('TL03'!$C$238:$C$451,$C96,'TL03'!$J$238:$J$451),0),
IF('TL04'!$B$3=M$3,SUMIF('TL04'!$C$10:$C$224,$C96,'TL04'!$J$10:$J$224),0),
IF('TL04'!$B$229=M$3,SUMIF('TL04'!$C$238:$C$451,$C96,'TL04'!$J$238:$J$451),0),
IF('TL05'!$B$3=M$3,SUMIF('TL05'!$C$10:$C$224,$C96,'TL05'!$J$10:$J$224),0),
IF('TL05'!$B$229=M$3,SUMIF('TL05'!$C$238:$C$451,$C96,'TL05'!$J$238:$J$451),0),
IF('TL06'!$B$3=M$3,SUMIF('TL06'!$C$10:$C$224,$C96,'TL06'!$J$10:$J$224),0),
IF('TL06'!$B$229=M$3,SUMIF('TL06'!$C$238:$C$451,$C96,'TL06'!$J$238:$J$451),0),
IF('TL07'!$B$3=M$3,SUMIF('TL07'!$C$10:$C$224,$C96,'TL07'!$J$10:$J$224),0),
IF('TL07'!$B$229=M$3,SUMIF('TL07'!$C$238:$C$451,$C96,'TL07'!$J$238:$J$451),0),
IF('TL08'!$B$3=M$3,SUMIF('TL08'!$C$10:$C$224,$C96,'TL08'!$J$10:$J$224),0),
IF('TL08'!$B$229=M$3,SUMIF('TL08'!$C$238:$C$451,$C96,'TL08'!$J$238:$J$451),0),
IF('TL09'!$B$3=M$3,SUMIF('TL09'!$C$10:$C$224,$C96,'TL09'!$J$10:$J$224),0),
IF('TL09'!$B$229=M$3,SUMIF('TL09'!$C$238:$C$451,$C96,'TL09'!$J$238:$J$451),0),
IF('TL10'!$B$3=M$3,SUMIF('TL10'!$C$10:$C$224,$C96,'TL10'!$J$10:$J$224),0),
IF('TL10'!$B$229=M$3,SUMIF('TL10'!$C$238:$C$451,$C96,'TL10'!$J$238:$J$451),0),
IF('TL11'!$B$3=M$3,SUMIF('TL11'!$C$10:$C$224,$C96,'TL11'!$J$10:$J$224),0),
IF('TL11'!$B$229=M$3,SUMIF('TL11'!$C$238:$C$451,$C96,'TL11'!$J$238:$J$451),0),
IF('TL12'!$B$3=M$3,SUMIF('TL12'!$C$10:$C$224,$C96,'TL12'!$J$10:$J$224),0),
IF('TL12'!$B$229=M$3,SUMIF('TL12'!$C$238:$C$451,$C96,'TL12'!$J$238:$J$451),0),
IF('TL13'!$B$3=M$3,SUMIF('TL13'!$C$10:$C$224,$C96,'TL13'!$J$10:$J$224),0),
IF('TL13'!$B$229=M$3,SUMIF('TL13'!$C$238:$C$451,$C96,'TL13'!$J$238:$J$451),0),
IF('TL14'!$B$3=M$3,SUMIF('TL14'!$C$10:$C$224,$C96,'TL14'!$J$10:$J$224),0),
IF('TL14'!$B$229=M$3,SUMIF('TL14'!$C$238:$C$451,$C96,'TL14'!$J$238:$J$451),0),
IF('TL15'!$B$3=M$3,SUMIF('TL15'!$C$10:$C$224,$C96,'TL15'!$J$10:$J$224),0),
IF('TL15'!$B$229=M$3,SUMIF('TL15'!$C$238:$C$451,$C96,'TL15'!$J$238:$J$451),0),
IF('TL16'!$B$3=M$3,SUMIF('TL16'!$C$10:$C$224,$C96,'TL16'!$J$10:$J$224),0),
IF('TL16'!$B$229=M$3,SUMIF('TL16'!$C$238:$C$451,$C96,'TL16'!$J$238:$J$451),0),
IF('TL17'!$B$3=M$3,SUMIF('TL17'!$C$10:$C$224,$C96,'TL17'!$J$10:$J$224),0),
IF('TL17'!$B$229=M$3,SUMIF('TL17'!$C$238:$C$451,$C96,'TL17'!$J$238:$J$451),0),
IF('TL18'!$B$3=M$3,SUMIF('TL18'!$C$10:$C$224,$C96,'TL18'!$J$10:$J$224),0),
IF('TL18'!$B$229=M$3,SUMIF('TL18'!$C$238:$C$451,$C96,'TL18'!$J$238:$J$451),0),
IF('TL19'!$B$3=M$3,SUMIF('TL19'!$C$10:$C$224,$C96,'TL19'!$J$10:$J$224),0),
IF('TL19'!$B$229=M$3,SUMIF('TL19'!$C$238:$C$451,$C96,'TL19'!$J$238:$J$451),0)
),0)</f>
        <v/>
      </c>
      <c r="N96" s="9">
        <f>IFERROR(SUM(
IF('TL01'!$B$3=N$3,SUMIF('TL01'!$C$10:$C$224,$C96,'TL01'!$J$10:$J$224),0),
IF('TL01'!$B$229=N$3,SUMIF('TL01'!$C$238:$C$451,$C96,'TL01'!$J$238:$J$451),0),
IF('TL02'!$B$3=N$3,SUMIF('TL02'!$C$10:$C$224,$C96,'TL02'!$J$10:$J$224),0),
IF('TL02'!$B$229=N$3,SUMIF('TL02'!$C$238:$C$451,$C96,'TL02'!$J$238:$J$451),0),
IF('TL03'!$B$3=N$3,SUMIF('TL03'!$C$10:$C$224,$C96,'TL03'!$J$10:$J$224),0),
IF('TL03'!$B$229=N$3,SUMIF('TL03'!$C$238:$C$451,$C96,'TL03'!$J$238:$J$451),0),
IF('TL04'!$B$3=N$3,SUMIF('TL04'!$C$10:$C$224,$C96,'TL04'!$J$10:$J$224),0),
IF('TL04'!$B$229=N$3,SUMIF('TL04'!$C$238:$C$451,$C96,'TL04'!$J$238:$J$451),0),
IF('TL05'!$B$3=N$3,SUMIF('TL05'!$C$10:$C$224,$C96,'TL05'!$J$10:$J$224),0),
IF('TL05'!$B$229=N$3,SUMIF('TL05'!$C$238:$C$451,$C96,'TL05'!$J$238:$J$451),0),
IF('TL06'!$B$3=N$3,SUMIF('TL06'!$C$10:$C$224,$C96,'TL06'!$J$10:$J$224),0),
IF('TL06'!$B$229=N$3,SUMIF('TL06'!$C$238:$C$451,$C96,'TL06'!$J$238:$J$451),0),
IF('TL07'!$B$3=N$3,SUMIF('TL07'!$C$10:$C$224,$C96,'TL07'!$J$10:$J$224),0),
IF('TL07'!$B$229=N$3,SUMIF('TL07'!$C$238:$C$451,$C96,'TL07'!$J$238:$J$451),0),
IF('TL08'!$B$3=N$3,SUMIF('TL08'!$C$10:$C$224,$C96,'TL08'!$J$10:$J$224),0),
IF('TL08'!$B$229=N$3,SUMIF('TL08'!$C$238:$C$451,$C96,'TL08'!$J$238:$J$451),0),
IF('TL09'!$B$3=N$3,SUMIF('TL09'!$C$10:$C$224,$C96,'TL09'!$J$10:$J$224),0),
IF('TL09'!$B$229=N$3,SUMIF('TL09'!$C$238:$C$451,$C96,'TL09'!$J$238:$J$451),0),
IF('TL10'!$B$3=N$3,SUMIF('TL10'!$C$10:$C$224,$C96,'TL10'!$J$10:$J$224),0),
IF('TL10'!$B$229=N$3,SUMIF('TL10'!$C$238:$C$451,$C96,'TL10'!$J$238:$J$451),0),
IF('TL11'!$B$3=N$3,SUMIF('TL11'!$C$10:$C$224,$C96,'TL11'!$J$10:$J$224),0),
IF('TL11'!$B$229=N$3,SUMIF('TL11'!$C$238:$C$451,$C96,'TL11'!$J$238:$J$451),0),
IF('TL12'!$B$3=N$3,SUMIF('TL12'!$C$10:$C$224,$C96,'TL12'!$J$10:$J$224),0),
IF('TL12'!$B$229=N$3,SUMIF('TL12'!$C$238:$C$451,$C96,'TL12'!$J$238:$J$451),0),
IF('TL13'!$B$3=N$3,SUMIF('TL13'!$C$10:$C$224,$C96,'TL13'!$J$10:$J$224),0),
IF('TL13'!$B$229=N$3,SUMIF('TL13'!$C$238:$C$451,$C96,'TL13'!$J$238:$J$451),0),
IF('TL14'!$B$3=N$3,SUMIF('TL14'!$C$10:$C$224,$C96,'TL14'!$J$10:$J$224),0),
IF('TL14'!$B$229=N$3,SUMIF('TL14'!$C$238:$C$451,$C96,'TL14'!$J$238:$J$451),0),
IF('TL15'!$B$3=N$3,SUMIF('TL15'!$C$10:$C$224,$C96,'TL15'!$J$10:$J$224),0),
IF('TL15'!$B$229=N$3,SUMIF('TL15'!$C$238:$C$451,$C96,'TL15'!$J$238:$J$451),0),
IF('TL16'!$B$3=N$3,SUMIF('TL16'!$C$10:$C$224,$C96,'TL16'!$J$10:$J$224),0),
IF('TL16'!$B$229=N$3,SUMIF('TL16'!$C$238:$C$451,$C96,'TL16'!$J$238:$J$451),0),
IF('TL17'!$B$3=N$3,SUMIF('TL17'!$C$10:$C$224,$C96,'TL17'!$J$10:$J$224),0),
IF('TL17'!$B$229=N$3,SUMIF('TL17'!$C$238:$C$451,$C96,'TL17'!$J$238:$J$451),0),
IF('TL18'!$B$3=N$3,SUMIF('TL18'!$C$10:$C$224,$C96,'TL18'!$J$10:$J$224),0),
IF('TL18'!$B$229=N$3,SUMIF('TL18'!$C$238:$C$451,$C96,'TL18'!$J$238:$J$451),0),
IF('TL19'!$B$3=N$3,SUMIF('TL19'!$C$10:$C$224,$C96,'TL19'!$J$10:$J$224),0),
IF('TL19'!$B$229=N$3,SUMIF('TL19'!$C$238:$C$451,$C96,'TL19'!$J$238:$J$451),0)
),0)</f>
        <v/>
      </c>
      <c r="O96" s="9">
        <f>IFERROR(SUM(
IF('TL01'!$B$3=O$3,SUMIF('TL01'!$C$10:$C$224,$C96,'TL01'!$J$10:$J$224),0),
IF('TL01'!$B$229=O$3,SUMIF('TL01'!$C$238:$C$451,$C96,'TL01'!$J$238:$J$451),0),
IF('TL02'!$B$3=O$3,SUMIF('TL02'!$C$10:$C$224,$C96,'TL02'!$J$10:$J$224),0),
IF('TL02'!$B$229=O$3,SUMIF('TL02'!$C$238:$C$451,$C96,'TL02'!$J$238:$J$451),0),
IF('TL03'!$B$3=O$3,SUMIF('TL03'!$C$10:$C$224,$C96,'TL03'!$J$10:$J$224),0),
IF('TL03'!$B$229=O$3,SUMIF('TL03'!$C$238:$C$451,$C96,'TL03'!$J$238:$J$451),0),
IF('TL04'!$B$3=O$3,SUMIF('TL04'!$C$10:$C$224,$C96,'TL04'!$J$10:$J$224),0),
IF('TL04'!$B$229=O$3,SUMIF('TL04'!$C$238:$C$451,$C96,'TL04'!$J$238:$J$451),0),
IF('TL05'!$B$3=O$3,SUMIF('TL05'!$C$10:$C$224,$C96,'TL05'!$J$10:$J$224),0),
IF('TL05'!$B$229=O$3,SUMIF('TL05'!$C$238:$C$451,$C96,'TL05'!$J$238:$J$451),0),
IF('TL06'!$B$3=O$3,SUMIF('TL06'!$C$10:$C$224,$C96,'TL06'!$J$10:$J$224),0),
IF('TL06'!$B$229=O$3,SUMIF('TL06'!$C$238:$C$451,$C96,'TL06'!$J$238:$J$451),0),
IF('TL07'!$B$3=O$3,SUMIF('TL07'!$C$10:$C$224,$C96,'TL07'!$J$10:$J$224),0),
IF('TL07'!$B$229=O$3,SUMIF('TL07'!$C$238:$C$451,$C96,'TL07'!$J$238:$J$451),0),
IF('TL08'!$B$3=O$3,SUMIF('TL08'!$C$10:$C$224,$C96,'TL08'!$J$10:$J$224),0),
IF('TL08'!$B$229=O$3,SUMIF('TL08'!$C$238:$C$451,$C96,'TL08'!$J$238:$J$451),0),
IF('TL09'!$B$3=O$3,SUMIF('TL09'!$C$10:$C$224,$C96,'TL09'!$J$10:$J$224),0),
IF('TL09'!$B$229=O$3,SUMIF('TL09'!$C$238:$C$451,$C96,'TL09'!$J$238:$J$451),0),
IF('TL10'!$B$3=O$3,SUMIF('TL10'!$C$10:$C$224,$C96,'TL10'!$J$10:$J$224),0),
IF('TL10'!$B$229=O$3,SUMIF('TL10'!$C$238:$C$451,$C96,'TL10'!$J$238:$J$451),0),
IF('TL11'!$B$3=O$3,SUMIF('TL11'!$C$10:$C$224,$C96,'TL11'!$J$10:$J$224),0),
IF('TL11'!$B$229=O$3,SUMIF('TL11'!$C$238:$C$451,$C96,'TL11'!$J$238:$J$451),0),
IF('TL12'!$B$3=O$3,SUMIF('TL12'!$C$10:$C$224,$C96,'TL12'!$J$10:$J$224),0),
IF('TL12'!$B$229=O$3,SUMIF('TL12'!$C$238:$C$451,$C96,'TL12'!$J$238:$J$451),0),
IF('TL13'!$B$3=O$3,SUMIF('TL13'!$C$10:$C$224,$C96,'TL13'!$J$10:$J$224),0),
IF('TL13'!$B$229=O$3,SUMIF('TL13'!$C$238:$C$451,$C96,'TL13'!$J$238:$J$451),0),
IF('TL14'!$B$3=O$3,SUMIF('TL14'!$C$10:$C$224,$C96,'TL14'!$J$10:$J$224),0),
IF('TL14'!$B$229=O$3,SUMIF('TL14'!$C$238:$C$451,$C96,'TL14'!$J$238:$J$451),0),
IF('TL15'!$B$3=O$3,SUMIF('TL15'!$C$10:$C$224,$C96,'TL15'!$J$10:$J$224),0),
IF('TL15'!$B$229=O$3,SUMIF('TL15'!$C$238:$C$451,$C96,'TL15'!$J$238:$J$451),0),
IF('TL16'!$B$3=O$3,SUMIF('TL16'!$C$10:$C$224,$C96,'TL16'!$J$10:$J$224),0),
IF('TL16'!$B$229=O$3,SUMIF('TL16'!$C$238:$C$451,$C96,'TL16'!$J$238:$J$451),0),
IF('TL17'!$B$3=O$3,SUMIF('TL17'!$C$10:$C$224,$C96,'TL17'!$J$10:$J$224),0),
IF('TL17'!$B$229=O$3,SUMIF('TL17'!$C$238:$C$451,$C96,'TL17'!$J$238:$J$451),0),
IF('TL18'!$B$3=O$3,SUMIF('TL18'!$C$10:$C$224,$C96,'TL18'!$J$10:$J$224),0),
IF('TL18'!$B$229=O$3,SUMIF('TL18'!$C$238:$C$451,$C96,'TL18'!$J$238:$J$451),0),
IF('TL19'!$B$3=O$3,SUMIF('TL19'!$C$10:$C$224,$C96,'TL19'!$J$10:$J$224),0),
IF('TL19'!$B$229=O$3,SUMIF('TL19'!$C$238:$C$451,$C96,'TL19'!$J$238:$J$451),0)
),0)</f>
        <v/>
      </c>
      <c r="P96" s="9">
        <f>IFERROR(SUM(
IF('TL01'!$B$3=P$3,SUMIF('TL01'!$C$10:$C$224,$C96,'TL01'!$J$10:$J$224),0),
IF('TL01'!$B$229=P$3,SUMIF('TL01'!$C$238:$C$451,$C96,'TL01'!$J$238:$J$451),0),
IF('TL02'!$B$3=P$3,SUMIF('TL02'!$C$10:$C$224,$C96,'TL02'!$J$10:$J$224),0),
IF('TL02'!$B$229=P$3,SUMIF('TL02'!$C$238:$C$451,$C96,'TL02'!$J$238:$J$451),0),
IF('TL03'!$B$3=P$3,SUMIF('TL03'!$C$10:$C$224,$C96,'TL03'!$J$10:$J$224),0),
IF('TL03'!$B$229=P$3,SUMIF('TL03'!$C$238:$C$451,$C96,'TL03'!$J$238:$J$451),0),
IF('TL04'!$B$3=P$3,SUMIF('TL04'!$C$10:$C$224,$C96,'TL04'!$J$10:$J$224),0),
IF('TL04'!$B$229=P$3,SUMIF('TL04'!$C$238:$C$451,$C96,'TL04'!$J$238:$J$451),0),
IF('TL05'!$B$3=P$3,SUMIF('TL05'!$C$10:$C$224,$C96,'TL05'!$J$10:$J$224),0),
IF('TL05'!$B$229=P$3,SUMIF('TL05'!$C$238:$C$451,$C96,'TL05'!$J$238:$J$451),0),
IF('TL06'!$B$3=P$3,SUMIF('TL06'!$C$10:$C$224,$C96,'TL06'!$J$10:$J$224),0),
IF('TL06'!$B$229=P$3,SUMIF('TL06'!$C$238:$C$451,$C96,'TL06'!$J$238:$J$451),0),
IF('TL07'!$B$3=P$3,SUMIF('TL07'!$C$10:$C$224,$C96,'TL07'!$J$10:$J$224),0),
IF('TL07'!$B$229=P$3,SUMIF('TL07'!$C$238:$C$451,$C96,'TL07'!$J$238:$J$451),0),
IF('TL08'!$B$3=P$3,SUMIF('TL08'!$C$10:$C$224,$C96,'TL08'!$J$10:$J$224),0),
IF('TL08'!$B$229=P$3,SUMIF('TL08'!$C$238:$C$451,$C96,'TL08'!$J$238:$J$451),0),
IF('TL09'!$B$3=P$3,SUMIF('TL09'!$C$10:$C$224,$C96,'TL09'!$J$10:$J$224),0),
IF('TL09'!$B$229=P$3,SUMIF('TL09'!$C$238:$C$451,$C96,'TL09'!$J$238:$J$451),0),
IF('TL10'!$B$3=P$3,SUMIF('TL10'!$C$10:$C$224,$C96,'TL10'!$J$10:$J$224),0),
IF('TL10'!$B$229=P$3,SUMIF('TL10'!$C$238:$C$451,$C96,'TL10'!$J$238:$J$451),0),
IF('TL11'!$B$3=P$3,SUMIF('TL11'!$C$10:$C$224,$C96,'TL11'!$J$10:$J$224),0),
IF('TL11'!$B$229=P$3,SUMIF('TL11'!$C$238:$C$451,$C96,'TL11'!$J$238:$J$451),0),
IF('TL12'!$B$3=P$3,SUMIF('TL12'!$C$10:$C$224,$C96,'TL12'!$J$10:$J$224),0),
IF('TL12'!$B$229=P$3,SUMIF('TL12'!$C$238:$C$451,$C96,'TL12'!$J$238:$J$451),0),
IF('TL13'!$B$3=P$3,SUMIF('TL13'!$C$10:$C$224,$C96,'TL13'!$J$10:$J$224),0),
IF('TL13'!$B$229=P$3,SUMIF('TL13'!$C$238:$C$451,$C96,'TL13'!$J$238:$J$451),0),
IF('TL14'!$B$3=P$3,SUMIF('TL14'!$C$10:$C$224,$C96,'TL14'!$J$10:$J$224),0),
IF('TL14'!$B$229=P$3,SUMIF('TL14'!$C$238:$C$451,$C96,'TL14'!$J$238:$J$451),0),
IF('TL15'!$B$3=P$3,SUMIF('TL15'!$C$10:$C$224,$C96,'TL15'!$J$10:$J$224),0),
IF('TL15'!$B$229=P$3,SUMIF('TL15'!$C$238:$C$451,$C96,'TL15'!$J$238:$J$451),0),
IF('TL16'!$B$3=P$3,SUMIF('TL16'!$C$10:$C$224,$C96,'TL16'!$J$10:$J$224),0),
IF('TL16'!$B$229=P$3,SUMIF('TL16'!$C$238:$C$451,$C96,'TL16'!$J$238:$J$451),0),
IF('TL17'!$B$3=P$3,SUMIF('TL17'!$C$10:$C$224,$C96,'TL17'!$J$10:$J$224),0),
IF('TL17'!$B$229=P$3,SUMIF('TL17'!$C$238:$C$451,$C96,'TL17'!$J$238:$J$451),0),
IF('TL18'!$B$3=P$3,SUMIF('TL18'!$C$10:$C$224,$C96,'TL18'!$J$10:$J$224),0),
IF('TL18'!$B$229=P$3,SUMIF('TL18'!$C$238:$C$451,$C96,'TL18'!$J$238:$J$451),0),
IF('TL19'!$B$3=P$3,SUMIF('TL19'!$C$10:$C$224,$C96,'TL19'!$J$10:$J$224),0),
IF('TL19'!$B$229=P$3,SUMIF('TL19'!$C$238:$C$451,$C96,'TL19'!$J$238:$J$451),0)
),0)</f>
        <v/>
      </c>
      <c r="Q96" s="9">
        <f>IFERROR(SUM(
IF('TL01'!$B$3=Q$3,SUMIF('TL01'!$C$10:$C$224,$C96,'TL01'!$J$10:$J$224),0),
IF('TL01'!$B$229=Q$3,SUMIF('TL01'!$C$238:$C$451,$C96,'TL01'!$J$238:$J$451),0),
IF('TL02'!$B$3=Q$3,SUMIF('TL02'!$C$10:$C$224,$C96,'TL02'!$J$10:$J$224),0),
IF('TL02'!$B$229=Q$3,SUMIF('TL02'!$C$238:$C$451,$C96,'TL02'!$J$238:$J$451),0),
IF('TL03'!$B$3=Q$3,SUMIF('TL03'!$C$10:$C$224,$C96,'TL03'!$J$10:$J$224),0),
IF('TL03'!$B$229=Q$3,SUMIF('TL03'!$C$238:$C$451,$C96,'TL03'!$J$238:$J$451),0),
IF('TL04'!$B$3=Q$3,SUMIF('TL04'!$C$10:$C$224,$C96,'TL04'!$J$10:$J$224),0),
IF('TL04'!$B$229=Q$3,SUMIF('TL04'!$C$238:$C$451,$C96,'TL04'!$J$238:$J$451),0),
IF('TL05'!$B$3=Q$3,SUMIF('TL05'!$C$10:$C$224,$C96,'TL05'!$J$10:$J$224),0),
IF('TL05'!$B$229=Q$3,SUMIF('TL05'!$C$238:$C$451,$C96,'TL05'!$J$238:$J$451),0),
IF('TL06'!$B$3=Q$3,SUMIF('TL06'!$C$10:$C$224,$C96,'TL06'!$J$10:$J$224),0),
IF('TL06'!$B$229=Q$3,SUMIF('TL06'!$C$238:$C$451,$C96,'TL06'!$J$238:$J$451),0),
IF('TL07'!$B$3=Q$3,SUMIF('TL07'!$C$10:$C$224,$C96,'TL07'!$J$10:$J$224),0),
IF('TL07'!$B$229=Q$3,SUMIF('TL07'!$C$238:$C$451,$C96,'TL07'!$J$238:$J$451),0),
IF('TL08'!$B$3=Q$3,SUMIF('TL08'!$C$10:$C$224,$C96,'TL08'!$J$10:$J$224),0),
IF('TL08'!$B$229=Q$3,SUMIF('TL08'!$C$238:$C$451,$C96,'TL08'!$J$238:$J$451),0),
IF('TL09'!$B$3=Q$3,SUMIF('TL09'!$C$10:$C$224,$C96,'TL09'!$J$10:$J$224),0),
IF('TL09'!$B$229=Q$3,SUMIF('TL09'!$C$238:$C$451,$C96,'TL09'!$J$238:$J$451),0),
IF('TL10'!$B$3=Q$3,SUMIF('TL10'!$C$10:$C$224,$C96,'TL10'!$J$10:$J$224),0),
IF('TL10'!$B$229=Q$3,SUMIF('TL10'!$C$238:$C$451,$C96,'TL10'!$J$238:$J$451),0),
IF('TL11'!$B$3=Q$3,SUMIF('TL11'!$C$10:$C$224,$C96,'TL11'!$J$10:$J$224),0),
IF('TL11'!$B$229=Q$3,SUMIF('TL11'!$C$238:$C$451,$C96,'TL11'!$J$238:$J$451),0),
IF('TL12'!$B$3=Q$3,SUMIF('TL12'!$C$10:$C$224,$C96,'TL12'!$J$10:$J$224),0),
IF('TL12'!$B$229=Q$3,SUMIF('TL12'!$C$238:$C$451,$C96,'TL12'!$J$238:$J$451),0),
IF('TL13'!$B$3=Q$3,SUMIF('TL13'!$C$10:$C$224,$C96,'TL13'!$J$10:$J$224),0),
IF('TL13'!$B$229=Q$3,SUMIF('TL13'!$C$238:$C$451,$C96,'TL13'!$J$238:$J$451),0),
IF('TL14'!$B$3=Q$3,SUMIF('TL14'!$C$10:$C$224,$C96,'TL14'!$J$10:$J$224),0),
IF('TL14'!$B$229=Q$3,SUMIF('TL14'!$C$238:$C$451,$C96,'TL14'!$J$238:$J$451),0),
IF('TL15'!$B$3=Q$3,SUMIF('TL15'!$C$10:$C$224,$C96,'TL15'!$J$10:$J$224),0),
IF('TL15'!$B$229=Q$3,SUMIF('TL15'!$C$238:$C$451,$C96,'TL15'!$J$238:$J$451),0),
IF('TL16'!$B$3=Q$3,SUMIF('TL16'!$C$10:$C$224,$C96,'TL16'!$J$10:$J$224),0),
IF('TL16'!$B$229=Q$3,SUMIF('TL16'!$C$238:$C$451,$C96,'TL16'!$J$238:$J$451),0),
IF('TL17'!$B$3=Q$3,SUMIF('TL17'!$C$10:$C$224,$C96,'TL17'!$J$10:$J$224),0),
IF('TL17'!$B$229=Q$3,SUMIF('TL17'!$C$238:$C$451,$C96,'TL17'!$J$238:$J$451),0),
IF('TL18'!$B$3=Q$3,SUMIF('TL18'!$C$10:$C$224,$C96,'TL18'!$J$10:$J$224),0),
IF('TL18'!$B$229=Q$3,SUMIF('TL18'!$C$238:$C$451,$C96,'TL18'!$J$238:$J$451),0),
IF('TL19'!$B$3=Q$3,SUMIF('TL19'!$C$10:$C$224,$C96,'TL19'!$J$10:$J$224),0),
IF('TL19'!$B$229=Q$3,SUMIF('TL19'!$C$238:$C$451,$C96,'TL19'!$J$238:$J$451),0)
),0)</f>
        <v/>
      </c>
      <c r="R96" s="9">
        <f>IFERROR(
SUM(
SUMIF('TL01'!C:C,C96,'TL01'!J:J),
SUMIF('TL02'!C:C,C96,'TL02'!J:J),
SUMIF('TL03'!C:C,C96,'TL03'!J:J),
SUMIF('TL04'!C:C,C96,'TL04'!J:J),
SUMIF('TL05'!C:C,C96,'TL05'!J:J),
SUMIF('TL06'!C:C,C96,'TL06'!J:J),
SUMIF('TL07'!C:C,C96,'TL07'!J:J),
SUMIF('TL08'!C:C,C96,'TL08'!J:J),
SUMIF('TL09'!C:C,C96,'TL09'!J:J),
SUMIF('TL10'!C:C,C96,'TL10'!J:J),
SUMIF('TL11'!C:C,C96,'TL11'!J:J),
SUMIF('TL12'!C:C,C96,'TL12'!J:J),
SUMIF('TL13'!C:C,C96,'TL13'!J:J),
SUMIF('TL14'!C:C,C96,'TL14'!J:J),
SUMIF('TL15'!C:C,C96,'TL15'!J:J),
SUMIF('TL16'!C:C,C96,'TL16'!J:J),
SUMIF('TL17'!C:C,C96,'TL17'!J:J),
SUMIF('TL18'!C:C,C96,'TL18'!J:J),SUMIF('TL19'!C:C,C96,'TL19'!J:J))
,0)</f>
        <v/>
      </c>
      <c r="S96" s="17">
        <f>IFERROR(__xludf.DUMMYFUNCTION("IFERROR(VLOOKUP(C96,
IMPORTRANGE(""1wULbzX32WdYsx-lj2U3uUNBBe2INVIRDtcK0d-Dvl90"",
""26-27!C:G""),
5,
FALSE),
"""")"),291.63312)</f>
        <v/>
      </c>
      <c r="T96" s="9" t="n"/>
      <c r="U96" s="92">
        <f>MAX(0,R96-T96)</f>
        <v/>
      </c>
      <c r="V96" s="93">
        <f>U96*S96</f>
        <v/>
      </c>
    </row>
    <row r="97" hidden="1" ht="15.75" customHeight="1" s="297">
      <c r="A97" s="111" t="inlineStr">
        <is>
          <t>SYNGENTA</t>
        </is>
      </c>
      <c r="B97" s="112" t="inlineStr">
        <is>
          <t>FUNGICIDA</t>
        </is>
      </c>
      <c r="C97" s="113" t="inlineStr">
        <is>
          <t>MERTIN 400</t>
        </is>
      </c>
      <c r="D97" s="113" t="inlineStr">
        <is>
          <t>HIDRÓXIDO DE FENTINA</t>
        </is>
      </c>
      <c r="E97" s="113" t="n">
        <v>400</v>
      </c>
      <c r="F97" s="4" t="inlineStr">
        <is>
          <t>L</t>
        </is>
      </c>
      <c r="G97" s="90">
        <f>HYPERLINK("https://www.google.com/search?q=" &amp; C97 &amp; "+bula+agrofit+pdf", "📄 Ver bula")</f>
        <v/>
      </c>
      <c r="H97" s="9">
        <f>IFERROR(__xludf.DUMMYFUNCTION("IFERROR(VLOOKUP(C97,
IMPORTRANGE(""1wULbzX32WdYsx-lj2U3uUNBBe2INVIRDtcK0d-Dvl90"",
""26-27!C:K""),
8,
FALSE),
"""")"),"")</f>
        <v/>
      </c>
      <c r="I97" s="114" t="inlineStr">
        <is>
          <t>1x20</t>
        </is>
      </c>
      <c r="J97" s="9">
        <f>IFERROR(SUM(
IF('TL01'!$B$3=J$3,SUMIF('TL01'!$C$10:$C$224,$C97,'TL01'!$J$10:$J$224),0),
IF('TL01'!$B$229=J$3,SUMIF('TL01'!$C$238:$C$451,$C97,'TL01'!$J$238:$J$451),0),
IF('TL02'!$B$3=J$3,SUMIF('TL02'!$C$10:$C$224,$C97,'TL02'!$J$10:$J$224),0),
IF('TL02'!$B$229=J$3,SUMIF('TL02'!$C$238:$C$451,$C97,'TL02'!$J$238:$J$451),0),
IF('TL03'!$B$3=J$3,SUMIF('TL03'!$C$10:$C$224,$C97,'TL03'!$J$10:$J$224),0),
IF('TL03'!$B$229=J$3,SUMIF('TL03'!$C$238:$C$451,$C97,'TL03'!$J$238:$J$451),0),
IF('TL04'!$B$3=J$3,SUMIF('TL04'!$C$10:$C$224,$C97,'TL04'!$J$10:$J$224),0),
IF('TL04'!$B$229=J$3,SUMIF('TL04'!$C$238:$C$451,$C97,'TL04'!$J$238:$J$451),0),
IF('TL05'!$B$3=J$3,SUMIF('TL05'!$C$10:$C$224,$C97,'TL05'!$J$10:$J$224),0),
IF('TL05'!$B$229=J$3,SUMIF('TL05'!$C$238:$C$451,$C97,'TL05'!$J$238:$J$451),0),
IF('TL06'!$B$3=J$3,SUMIF('TL06'!$C$10:$C$224,$C97,'TL06'!$J$10:$J$224),0),
IF('TL06'!$B$229=J$3,SUMIF('TL06'!$C$238:$C$451,$C97,'TL06'!$J$238:$J$451),0),
IF('TL07'!$B$3=J$3,SUMIF('TL07'!$C$10:$C$224,$C97,'TL07'!$J$10:$J$224),0),
IF('TL07'!$B$229=J$3,SUMIF('TL07'!$C$238:$C$451,$C97,'TL07'!$J$238:$J$451),0),
IF('TL08'!$B$3=J$3,SUMIF('TL08'!$C$10:$C$224,$C97,'TL08'!$J$10:$J$224),0),
IF('TL08'!$B$229=J$3,SUMIF('TL08'!$C$238:$C$451,$C97,'TL08'!$J$238:$J$451),0),
IF('TL09'!$B$3=J$3,SUMIF('TL09'!$C$10:$C$224,$C97,'TL09'!$J$10:$J$224),0),
IF('TL09'!$B$229=J$3,SUMIF('TL09'!$C$238:$C$451,$C97,'TL09'!$J$238:$J$451),0),
IF('TL10'!$B$3=J$3,SUMIF('TL10'!$C$10:$C$224,$C97,'TL10'!$J$10:$J$224),0),
IF('TL10'!$B$229=J$3,SUMIF('TL10'!$C$238:$C$451,$C97,'TL10'!$J$238:$J$451),0),
IF('TL11'!$B$3=J$3,SUMIF('TL11'!$C$10:$C$224,$C97,'TL11'!$J$10:$J$224),0),
IF('TL11'!$B$229=J$3,SUMIF('TL11'!$C$238:$C$451,$C97,'TL11'!$J$238:$J$451),0),
IF('TL12'!$B$3=J$3,SUMIF('TL12'!$C$10:$C$224,$C97,'TL12'!$J$10:$J$224),0),
IF('TL12'!$B$229=J$3,SUMIF('TL12'!$C$238:$C$451,$C97,'TL12'!$J$238:$J$451),0),
IF('TL13'!$B$3=J$3,SUMIF('TL13'!$C$10:$C$224,$C97,'TL13'!$J$10:$J$224),0),
IF('TL13'!$B$229=J$3,SUMIF('TL13'!$C$238:$C$451,$C97,'TL13'!$J$238:$J$451),0),
IF('TL14'!$B$3=J$3,SUMIF('TL14'!$C$10:$C$224,$C97,'TL14'!$J$10:$J$224),0),
IF('TL14'!$B$229=J$3,SUMIF('TL14'!$C$238:$C$451,$C97,'TL14'!$J$238:$J$451),0),
IF('TL15'!$B$3=J$3,SUMIF('TL15'!$C$10:$C$224,$C97,'TL15'!$J$10:$J$224),0),
IF('TL15'!$B$229=J$3,SUMIF('TL15'!$C$238:$C$451,$C97,'TL15'!$J$238:$J$451),0),
IF('TL16'!$B$3=J$3,SUMIF('TL16'!$C$10:$C$224,$C97,'TL16'!$J$10:$J$224),0),
IF('TL16'!$B$229=J$3,SUMIF('TL16'!$C$238:$C$451,$C97,'TL16'!$J$238:$J$451),0),
IF('TL17'!$B$3=J$3,SUMIF('TL17'!$C$10:$C$224,$C97,'TL17'!$J$10:$J$224),0),
IF('TL17'!$B$229=J$3,SUMIF('TL17'!$C$238:$C$451,$C97,'TL17'!$J$238:$J$451),0),
IF('TL18'!$B$3=J$3,SUMIF('TL18'!$C$10:$C$224,$C97,'TL18'!$J$10:$J$224),0),
IF('TL18'!$B$229=J$3,SUMIF('TL18'!$C$238:$C$451,$C97,'TL18'!$J$238:$J$451),0),
IF('TL19'!$B$3=J$3,SUMIF('TL19'!$C$10:$C$224,$C97,'TL19'!$J$10:$J$224),0),
IF('TL19'!$B$229=J$3,SUMIF('TL19'!$C$238:$C$451,$C97,'TL19'!$J$238:$J$451),0)
),0)</f>
        <v/>
      </c>
      <c r="K97" s="9">
        <f>IFERROR(SUM(
IF('TL01'!$B$3=K$3,SUMIF('TL01'!$C$10:$C$224,$C97,'TL01'!$J$10:$J$224),0),
IF('TL01'!$B$229=K$3,SUMIF('TL01'!$C$238:$C$451,$C97,'TL01'!$J$238:$J$451),0),
IF('TL02'!$B$3=K$3,SUMIF('TL02'!$C$10:$C$224,$C97,'TL02'!$J$10:$J$224),0),
IF('TL02'!$B$229=K$3,SUMIF('TL02'!$C$238:$C$451,$C97,'TL02'!$J$238:$J$451),0),
IF('TL03'!$B$3=K$3,SUMIF('TL03'!$C$10:$C$224,$C97,'TL03'!$J$10:$J$224),0),
IF('TL03'!$B$229=K$3,SUMIF('TL03'!$C$238:$C$451,$C97,'TL03'!$J$238:$J$451),0),
IF('TL04'!$B$3=K$3,SUMIF('TL04'!$C$10:$C$224,$C97,'TL04'!$J$10:$J$224),0),
IF('TL04'!$B$229=K$3,SUMIF('TL04'!$C$238:$C$451,$C97,'TL04'!$J$238:$J$451),0),
IF('TL05'!$B$3=K$3,SUMIF('TL05'!$C$10:$C$224,$C97,'TL05'!$J$10:$J$224),0),
IF('TL05'!$B$229=K$3,SUMIF('TL05'!$C$238:$C$451,$C97,'TL05'!$J$238:$J$451),0),
IF('TL06'!$B$3=K$3,SUMIF('TL06'!$C$10:$C$224,$C97,'TL06'!$J$10:$J$224),0),
IF('TL06'!$B$229=K$3,SUMIF('TL06'!$C$238:$C$451,$C97,'TL06'!$J$238:$J$451),0),
IF('TL07'!$B$3=K$3,SUMIF('TL07'!$C$10:$C$224,$C97,'TL07'!$J$10:$J$224),0),
IF('TL07'!$B$229=K$3,SUMIF('TL07'!$C$238:$C$451,$C97,'TL07'!$J$238:$J$451),0),
IF('TL08'!$B$3=K$3,SUMIF('TL08'!$C$10:$C$224,$C97,'TL08'!$J$10:$J$224),0),
IF('TL08'!$B$229=K$3,SUMIF('TL08'!$C$238:$C$451,$C97,'TL08'!$J$238:$J$451),0),
IF('TL09'!$B$3=K$3,SUMIF('TL09'!$C$10:$C$224,$C97,'TL09'!$J$10:$J$224),0),
IF('TL09'!$B$229=K$3,SUMIF('TL09'!$C$238:$C$451,$C97,'TL09'!$J$238:$J$451),0),
IF('TL10'!$B$3=K$3,SUMIF('TL10'!$C$10:$C$224,$C97,'TL10'!$J$10:$J$224),0),
IF('TL10'!$B$229=K$3,SUMIF('TL10'!$C$238:$C$451,$C97,'TL10'!$J$238:$J$451),0),
IF('TL11'!$B$3=K$3,SUMIF('TL11'!$C$10:$C$224,$C97,'TL11'!$J$10:$J$224),0),
IF('TL11'!$B$229=K$3,SUMIF('TL11'!$C$238:$C$451,$C97,'TL11'!$J$238:$J$451),0),
IF('TL12'!$B$3=K$3,SUMIF('TL12'!$C$10:$C$224,$C97,'TL12'!$J$10:$J$224),0),
IF('TL12'!$B$229=K$3,SUMIF('TL12'!$C$238:$C$451,$C97,'TL12'!$J$238:$J$451),0),
IF('TL13'!$B$3=K$3,SUMIF('TL13'!$C$10:$C$224,$C97,'TL13'!$J$10:$J$224),0),
IF('TL13'!$B$229=K$3,SUMIF('TL13'!$C$238:$C$451,$C97,'TL13'!$J$238:$J$451),0),
IF('TL14'!$B$3=K$3,SUMIF('TL14'!$C$10:$C$224,$C97,'TL14'!$J$10:$J$224),0),
IF('TL14'!$B$229=K$3,SUMIF('TL14'!$C$238:$C$451,$C97,'TL14'!$J$238:$J$451),0),
IF('TL15'!$B$3=K$3,SUMIF('TL15'!$C$10:$C$224,$C97,'TL15'!$J$10:$J$224),0),
IF('TL15'!$B$229=K$3,SUMIF('TL15'!$C$238:$C$451,$C97,'TL15'!$J$238:$J$451),0),
IF('TL16'!$B$3=K$3,SUMIF('TL16'!$C$10:$C$224,$C97,'TL16'!$J$10:$J$224),0),
IF('TL16'!$B$229=K$3,SUMIF('TL16'!$C$238:$C$451,$C97,'TL16'!$J$238:$J$451),0),
IF('TL17'!$B$3=K$3,SUMIF('TL17'!$C$10:$C$224,$C97,'TL17'!$J$10:$J$224),0),
IF('TL17'!$B$229=K$3,SUMIF('TL17'!$C$238:$C$451,$C97,'TL17'!$J$238:$J$451),0),
IF('TL18'!$B$3=K$3,SUMIF('TL18'!$C$10:$C$224,$C97,'TL18'!$J$10:$J$224),0),
IF('TL18'!$B$229=K$3,SUMIF('TL18'!$C$238:$C$451,$C97,'TL18'!$J$238:$J$451),0),
IF('TL19'!$B$3=K$3,SUMIF('TL19'!$C$10:$C$224,$C97,'TL19'!$J$10:$J$224),0),
IF('TL19'!$B$229=K$3,SUMIF('TL19'!$C$238:$C$451,$C97,'TL19'!$J$238:$J$451),0)
),0)</f>
        <v/>
      </c>
      <c r="L97" s="9">
        <f>IFERROR(SUM(
IF('TL01'!$B$3=L$3,SUMIF('TL01'!$C$10:$C$224,$C97,'TL01'!$J$10:$J$224),0),
IF('TL01'!$B$229=L$3,SUMIF('TL01'!$C$238:$C$451,$C97,'TL01'!$J$238:$J$451),0),
IF('TL02'!$B$3=L$3,SUMIF('TL02'!$C$10:$C$224,$C97,'TL02'!$J$10:$J$224),0),
IF('TL02'!$B$229=L$3,SUMIF('TL02'!$C$238:$C$451,$C97,'TL02'!$J$238:$J$451),0),
IF('TL03'!$B$3=L$3,SUMIF('TL03'!$C$10:$C$224,$C97,'TL03'!$J$10:$J$224),0),
IF('TL03'!$B$229=L$3,SUMIF('TL03'!$C$238:$C$451,$C97,'TL03'!$J$238:$J$451),0),
IF('TL04'!$B$3=L$3,SUMIF('TL04'!$C$10:$C$224,$C97,'TL04'!$J$10:$J$224),0),
IF('TL04'!$B$229=L$3,SUMIF('TL04'!$C$238:$C$451,$C97,'TL04'!$J$238:$J$451),0),
IF('TL05'!$B$3=L$3,SUMIF('TL05'!$C$10:$C$224,$C97,'TL05'!$J$10:$J$224),0),
IF('TL05'!$B$229=L$3,SUMIF('TL05'!$C$238:$C$451,$C97,'TL05'!$J$238:$J$451),0),
IF('TL06'!$B$3=L$3,SUMIF('TL06'!$C$10:$C$224,$C97,'TL06'!$J$10:$J$224),0),
IF('TL06'!$B$229=L$3,SUMIF('TL06'!$C$238:$C$451,$C97,'TL06'!$J$238:$J$451),0),
IF('TL07'!$B$3=L$3,SUMIF('TL07'!$C$10:$C$224,$C97,'TL07'!$J$10:$J$224),0),
IF('TL07'!$B$229=L$3,SUMIF('TL07'!$C$238:$C$451,$C97,'TL07'!$J$238:$J$451),0),
IF('TL08'!$B$3=L$3,SUMIF('TL08'!$C$10:$C$224,$C97,'TL08'!$J$10:$J$224),0),
IF('TL08'!$B$229=L$3,SUMIF('TL08'!$C$238:$C$451,$C97,'TL08'!$J$238:$J$451),0),
IF('TL09'!$B$3=L$3,SUMIF('TL09'!$C$10:$C$224,$C97,'TL09'!$J$10:$J$224),0),
IF('TL09'!$B$229=L$3,SUMIF('TL09'!$C$238:$C$451,$C97,'TL09'!$J$238:$J$451),0),
IF('TL10'!$B$3=L$3,SUMIF('TL10'!$C$10:$C$224,$C97,'TL10'!$J$10:$J$224),0),
IF('TL10'!$B$229=L$3,SUMIF('TL10'!$C$238:$C$451,$C97,'TL10'!$J$238:$J$451),0),
IF('TL11'!$B$3=L$3,SUMIF('TL11'!$C$10:$C$224,$C97,'TL11'!$J$10:$J$224),0),
IF('TL11'!$B$229=L$3,SUMIF('TL11'!$C$238:$C$451,$C97,'TL11'!$J$238:$J$451),0),
IF('TL12'!$B$3=L$3,SUMIF('TL12'!$C$10:$C$224,$C97,'TL12'!$J$10:$J$224),0),
IF('TL12'!$B$229=L$3,SUMIF('TL12'!$C$238:$C$451,$C97,'TL12'!$J$238:$J$451),0),
IF('TL13'!$B$3=L$3,SUMIF('TL13'!$C$10:$C$224,$C97,'TL13'!$J$10:$J$224),0),
IF('TL13'!$B$229=L$3,SUMIF('TL13'!$C$238:$C$451,$C97,'TL13'!$J$238:$J$451),0),
IF('TL14'!$B$3=L$3,SUMIF('TL14'!$C$10:$C$224,$C97,'TL14'!$J$10:$J$224),0),
IF('TL14'!$B$229=L$3,SUMIF('TL14'!$C$238:$C$451,$C97,'TL14'!$J$238:$J$451),0),
IF('TL15'!$B$3=L$3,SUMIF('TL15'!$C$10:$C$224,$C97,'TL15'!$J$10:$J$224),0),
IF('TL15'!$B$229=L$3,SUMIF('TL15'!$C$238:$C$451,$C97,'TL15'!$J$238:$J$451),0),
IF('TL16'!$B$3=L$3,SUMIF('TL16'!$C$10:$C$224,$C97,'TL16'!$J$10:$J$224),0),
IF('TL16'!$B$229=L$3,SUMIF('TL16'!$C$238:$C$451,$C97,'TL16'!$J$238:$J$451),0),
IF('TL17'!$B$3=L$3,SUMIF('TL17'!$C$10:$C$224,$C97,'TL17'!$J$10:$J$224),0),
IF('TL17'!$B$229=L$3,SUMIF('TL17'!$C$238:$C$451,$C97,'TL17'!$J$238:$J$451),0),
IF('TL18'!$B$3=L$3,SUMIF('TL18'!$C$10:$C$224,$C97,'TL18'!$J$10:$J$224),0),
IF('TL18'!$B$229=L$3,SUMIF('TL18'!$C$238:$C$451,$C97,'TL18'!$J$238:$J$451),0),
IF('TL19'!$B$3=L$3,SUMIF('TL19'!$C$10:$C$224,$C97,'TL19'!$J$10:$J$224),0),
IF('TL19'!$B$229=L$3,SUMIF('TL19'!$C$238:$C$451,$C97,'TL19'!$J$238:$J$451),0)
),0)</f>
        <v/>
      </c>
      <c r="M97" s="9">
        <f>IFERROR(SUM(
IF('TL01'!$B$3=M$3,SUMIF('TL01'!$C$10:$C$224,$C97,'TL01'!$J$10:$J$224),0),
IF('TL01'!$B$229=M$3,SUMIF('TL01'!$C$238:$C$451,$C97,'TL01'!$J$238:$J$451),0),
IF('TL02'!$B$3=M$3,SUMIF('TL02'!$C$10:$C$224,$C97,'TL02'!$J$10:$J$224),0),
IF('TL02'!$B$229=M$3,SUMIF('TL02'!$C$238:$C$451,$C97,'TL02'!$J$238:$J$451),0),
IF('TL03'!$B$3=M$3,SUMIF('TL03'!$C$10:$C$224,$C97,'TL03'!$J$10:$J$224),0),
IF('TL03'!$B$229=M$3,SUMIF('TL03'!$C$238:$C$451,$C97,'TL03'!$J$238:$J$451),0),
IF('TL04'!$B$3=M$3,SUMIF('TL04'!$C$10:$C$224,$C97,'TL04'!$J$10:$J$224),0),
IF('TL04'!$B$229=M$3,SUMIF('TL04'!$C$238:$C$451,$C97,'TL04'!$J$238:$J$451),0),
IF('TL05'!$B$3=M$3,SUMIF('TL05'!$C$10:$C$224,$C97,'TL05'!$J$10:$J$224),0),
IF('TL05'!$B$229=M$3,SUMIF('TL05'!$C$238:$C$451,$C97,'TL05'!$J$238:$J$451),0),
IF('TL06'!$B$3=M$3,SUMIF('TL06'!$C$10:$C$224,$C97,'TL06'!$J$10:$J$224),0),
IF('TL06'!$B$229=M$3,SUMIF('TL06'!$C$238:$C$451,$C97,'TL06'!$J$238:$J$451),0),
IF('TL07'!$B$3=M$3,SUMIF('TL07'!$C$10:$C$224,$C97,'TL07'!$J$10:$J$224),0),
IF('TL07'!$B$229=M$3,SUMIF('TL07'!$C$238:$C$451,$C97,'TL07'!$J$238:$J$451),0),
IF('TL08'!$B$3=M$3,SUMIF('TL08'!$C$10:$C$224,$C97,'TL08'!$J$10:$J$224),0),
IF('TL08'!$B$229=M$3,SUMIF('TL08'!$C$238:$C$451,$C97,'TL08'!$J$238:$J$451),0),
IF('TL09'!$B$3=M$3,SUMIF('TL09'!$C$10:$C$224,$C97,'TL09'!$J$10:$J$224),0),
IF('TL09'!$B$229=M$3,SUMIF('TL09'!$C$238:$C$451,$C97,'TL09'!$J$238:$J$451),0),
IF('TL10'!$B$3=M$3,SUMIF('TL10'!$C$10:$C$224,$C97,'TL10'!$J$10:$J$224),0),
IF('TL10'!$B$229=M$3,SUMIF('TL10'!$C$238:$C$451,$C97,'TL10'!$J$238:$J$451),0),
IF('TL11'!$B$3=M$3,SUMIF('TL11'!$C$10:$C$224,$C97,'TL11'!$J$10:$J$224),0),
IF('TL11'!$B$229=M$3,SUMIF('TL11'!$C$238:$C$451,$C97,'TL11'!$J$238:$J$451),0),
IF('TL12'!$B$3=M$3,SUMIF('TL12'!$C$10:$C$224,$C97,'TL12'!$J$10:$J$224),0),
IF('TL12'!$B$229=M$3,SUMIF('TL12'!$C$238:$C$451,$C97,'TL12'!$J$238:$J$451),0),
IF('TL13'!$B$3=M$3,SUMIF('TL13'!$C$10:$C$224,$C97,'TL13'!$J$10:$J$224),0),
IF('TL13'!$B$229=M$3,SUMIF('TL13'!$C$238:$C$451,$C97,'TL13'!$J$238:$J$451),0),
IF('TL14'!$B$3=M$3,SUMIF('TL14'!$C$10:$C$224,$C97,'TL14'!$J$10:$J$224),0),
IF('TL14'!$B$229=M$3,SUMIF('TL14'!$C$238:$C$451,$C97,'TL14'!$J$238:$J$451),0),
IF('TL15'!$B$3=M$3,SUMIF('TL15'!$C$10:$C$224,$C97,'TL15'!$J$10:$J$224),0),
IF('TL15'!$B$229=M$3,SUMIF('TL15'!$C$238:$C$451,$C97,'TL15'!$J$238:$J$451),0),
IF('TL16'!$B$3=M$3,SUMIF('TL16'!$C$10:$C$224,$C97,'TL16'!$J$10:$J$224),0),
IF('TL16'!$B$229=M$3,SUMIF('TL16'!$C$238:$C$451,$C97,'TL16'!$J$238:$J$451),0),
IF('TL17'!$B$3=M$3,SUMIF('TL17'!$C$10:$C$224,$C97,'TL17'!$J$10:$J$224),0),
IF('TL17'!$B$229=M$3,SUMIF('TL17'!$C$238:$C$451,$C97,'TL17'!$J$238:$J$451),0),
IF('TL18'!$B$3=M$3,SUMIF('TL18'!$C$10:$C$224,$C97,'TL18'!$J$10:$J$224),0),
IF('TL18'!$B$229=M$3,SUMIF('TL18'!$C$238:$C$451,$C97,'TL18'!$J$238:$J$451),0),
IF('TL19'!$B$3=M$3,SUMIF('TL19'!$C$10:$C$224,$C97,'TL19'!$J$10:$J$224),0),
IF('TL19'!$B$229=M$3,SUMIF('TL19'!$C$238:$C$451,$C97,'TL19'!$J$238:$J$451),0)
),0)</f>
        <v/>
      </c>
      <c r="N97" s="9">
        <f>IFERROR(SUM(
IF('TL01'!$B$3=N$3,SUMIF('TL01'!$C$10:$C$224,$C97,'TL01'!$J$10:$J$224),0),
IF('TL01'!$B$229=N$3,SUMIF('TL01'!$C$238:$C$451,$C97,'TL01'!$J$238:$J$451),0),
IF('TL02'!$B$3=N$3,SUMIF('TL02'!$C$10:$C$224,$C97,'TL02'!$J$10:$J$224),0),
IF('TL02'!$B$229=N$3,SUMIF('TL02'!$C$238:$C$451,$C97,'TL02'!$J$238:$J$451),0),
IF('TL03'!$B$3=N$3,SUMIF('TL03'!$C$10:$C$224,$C97,'TL03'!$J$10:$J$224),0),
IF('TL03'!$B$229=N$3,SUMIF('TL03'!$C$238:$C$451,$C97,'TL03'!$J$238:$J$451),0),
IF('TL04'!$B$3=N$3,SUMIF('TL04'!$C$10:$C$224,$C97,'TL04'!$J$10:$J$224),0),
IF('TL04'!$B$229=N$3,SUMIF('TL04'!$C$238:$C$451,$C97,'TL04'!$J$238:$J$451),0),
IF('TL05'!$B$3=N$3,SUMIF('TL05'!$C$10:$C$224,$C97,'TL05'!$J$10:$J$224),0),
IF('TL05'!$B$229=N$3,SUMIF('TL05'!$C$238:$C$451,$C97,'TL05'!$J$238:$J$451),0),
IF('TL06'!$B$3=N$3,SUMIF('TL06'!$C$10:$C$224,$C97,'TL06'!$J$10:$J$224),0),
IF('TL06'!$B$229=N$3,SUMIF('TL06'!$C$238:$C$451,$C97,'TL06'!$J$238:$J$451),0),
IF('TL07'!$B$3=N$3,SUMIF('TL07'!$C$10:$C$224,$C97,'TL07'!$J$10:$J$224),0),
IF('TL07'!$B$229=N$3,SUMIF('TL07'!$C$238:$C$451,$C97,'TL07'!$J$238:$J$451),0),
IF('TL08'!$B$3=N$3,SUMIF('TL08'!$C$10:$C$224,$C97,'TL08'!$J$10:$J$224),0),
IF('TL08'!$B$229=N$3,SUMIF('TL08'!$C$238:$C$451,$C97,'TL08'!$J$238:$J$451),0),
IF('TL09'!$B$3=N$3,SUMIF('TL09'!$C$10:$C$224,$C97,'TL09'!$J$10:$J$224),0),
IF('TL09'!$B$229=N$3,SUMIF('TL09'!$C$238:$C$451,$C97,'TL09'!$J$238:$J$451),0),
IF('TL10'!$B$3=N$3,SUMIF('TL10'!$C$10:$C$224,$C97,'TL10'!$J$10:$J$224),0),
IF('TL10'!$B$229=N$3,SUMIF('TL10'!$C$238:$C$451,$C97,'TL10'!$J$238:$J$451),0),
IF('TL11'!$B$3=N$3,SUMIF('TL11'!$C$10:$C$224,$C97,'TL11'!$J$10:$J$224),0),
IF('TL11'!$B$229=N$3,SUMIF('TL11'!$C$238:$C$451,$C97,'TL11'!$J$238:$J$451),0),
IF('TL12'!$B$3=N$3,SUMIF('TL12'!$C$10:$C$224,$C97,'TL12'!$J$10:$J$224),0),
IF('TL12'!$B$229=N$3,SUMIF('TL12'!$C$238:$C$451,$C97,'TL12'!$J$238:$J$451),0),
IF('TL13'!$B$3=N$3,SUMIF('TL13'!$C$10:$C$224,$C97,'TL13'!$J$10:$J$224),0),
IF('TL13'!$B$229=N$3,SUMIF('TL13'!$C$238:$C$451,$C97,'TL13'!$J$238:$J$451),0),
IF('TL14'!$B$3=N$3,SUMIF('TL14'!$C$10:$C$224,$C97,'TL14'!$J$10:$J$224),0),
IF('TL14'!$B$229=N$3,SUMIF('TL14'!$C$238:$C$451,$C97,'TL14'!$J$238:$J$451),0),
IF('TL15'!$B$3=N$3,SUMIF('TL15'!$C$10:$C$224,$C97,'TL15'!$J$10:$J$224),0),
IF('TL15'!$B$229=N$3,SUMIF('TL15'!$C$238:$C$451,$C97,'TL15'!$J$238:$J$451),0),
IF('TL16'!$B$3=N$3,SUMIF('TL16'!$C$10:$C$224,$C97,'TL16'!$J$10:$J$224),0),
IF('TL16'!$B$229=N$3,SUMIF('TL16'!$C$238:$C$451,$C97,'TL16'!$J$238:$J$451),0),
IF('TL17'!$B$3=N$3,SUMIF('TL17'!$C$10:$C$224,$C97,'TL17'!$J$10:$J$224),0),
IF('TL17'!$B$229=N$3,SUMIF('TL17'!$C$238:$C$451,$C97,'TL17'!$J$238:$J$451),0),
IF('TL18'!$B$3=N$3,SUMIF('TL18'!$C$10:$C$224,$C97,'TL18'!$J$10:$J$224),0),
IF('TL18'!$B$229=N$3,SUMIF('TL18'!$C$238:$C$451,$C97,'TL18'!$J$238:$J$451),0),
IF('TL19'!$B$3=N$3,SUMIF('TL19'!$C$10:$C$224,$C97,'TL19'!$J$10:$J$224),0),
IF('TL19'!$B$229=N$3,SUMIF('TL19'!$C$238:$C$451,$C97,'TL19'!$J$238:$J$451),0)
),0)</f>
        <v/>
      </c>
      <c r="O97" s="9">
        <f>IFERROR(SUM(
IF('TL01'!$B$3=O$3,SUMIF('TL01'!$C$10:$C$224,$C97,'TL01'!$J$10:$J$224),0),
IF('TL01'!$B$229=O$3,SUMIF('TL01'!$C$238:$C$451,$C97,'TL01'!$J$238:$J$451),0),
IF('TL02'!$B$3=O$3,SUMIF('TL02'!$C$10:$C$224,$C97,'TL02'!$J$10:$J$224),0),
IF('TL02'!$B$229=O$3,SUMIF('TL02'!$C$238:$C$451,$C97,'TL02'!$J$238:$J$451),0),
IF('TL03'!$B$3=O$3,SUMIF('TL03'!$C$10:$C$224,$C97,'TL03'!$J$10:$J$224),0),
IF('TL03'!$B$229=O$3,SUMIF('TL03'!$C$238:$C$451,$C97,'TL03'!$J$238:$J$451),0),
IF('TL04'!$B$3=O$3,SUMIF('TL04'!$C$10:$C$224,$C97,'TL04'!$J$10:$J$224),0),
IF('TL04'!$B$229=O$3,SUMIF('TL04'!$C$238:$C$451,$C97,'TL04'!$J$238:$J$451),0),
IF('TL05'!$B$3=O$3,SUMIF('TL05'!$C$10:$C$224,$C97,'TL05'!$J$10:$J$224),0),
IF('TL05'!$B$229=O$3,SUMIF('TL05'!$C$238:$C$451,$C97,'TL05'!$J$238:$J$451),0),
IF('TL06'!$B$3=O$3,SUMIF('TL06'!$C$10:$C$224,$C97,'TL06'!$J$10:$J$224),0),
IF('TL06'!$B$229=O$3,SUMIF('TL06'!$C$238:$C$451,$C97,'TL06'!$J$238:$J$451),0),
IF('TL07'!$B$3=O$3,SUMIF('TL07'!$C$10:$C$224,$C97,'TL07'!$J$10:$J$224),0),
IF('TL07'!$B$229=O$3,SUMIF('TL07'!$C$238:$C$451,$C97,'TL07'!$J$238:$J$451),0),
IF('TL08'!$B$3=O$3,SUMIF('TL08'!$C$10:$C$224,$C97,'TL08'!$J$10:$J$224),0),
IF('TL08'!$B$229=O$3,SUMIF('TL08'!$C$238:$C$451,$C97,'TL08'!$J$238:$J$451),0),
IF('TL09'!$B$3=O$3,SUMIF('TL09'!$C$10:$C$224,$C97,'TL09'!$J$10:$J$224),0),
IF('TL09'!$B$229=O$3,SUMIF('TL09'!$C$238:$C$451,$C97,'TL09'!$J$238:$J$451),0),
IF('TL10'!$B$3=O$3,SUMIF('TL10'!$C$10:$C$224,$C97,'TL10'!$J$10:$J$224),0),
IF('TL10'!$B$229=O$3,SUMIF('TL10'!$C$238:$C$451,$C97,'TL10'!$J$238:$J$451),0),
IF('TL11'!$B$3=O$3,SUMIF('TL11'!$C$10:$C$224,$C97,'TL11'!$J$10:$J$224),0),
IF('TL11'!$B$229=O$3,SUMIF('TL11'!$C$238:$C$451,$C97,'TL11'!$J$238:$J$451),0),
IF('TL12'!$B$3=O$3,SUMIF('TL12'!$C$10:$C$224,$C97,'TL12'!$J$10:$J$224),0),
IF('TL12'!$B$229=O$3,SUMIF('TL12'!$C$238:$C$451,$C97,'TL12'!$J$238:$J$451),0),
IF('TL13'!$B$3=O$3,SUMIF('TL13'!$C$10:$C$224,$C97,'TL13'!$J$10:$J$224),0),
IF('TL13'!$B$229=O$3,SUMIF('TL13'!$C$238:$C$451,$C97,'TL13'!$J$238:$J$451),0),
IF('TL14'!$B$3=O$3,SUMIF('TL14'!$C$10:$C$224,$C97,'TL14'!$J$10:$J$224),0),
IF('TL14'!$B$229=O$3,SUMIF('TL14'!$C$238:$C$451,$C97,'TL14'!$J$238:$J$451),0),
IF('TL15'!$B$3=O$3,SUMIF('TL15'!$C$10:$C$224,$C97,'TL15'!$J$10:$J$224),0),
IF('TL15'!$B$229=O$3,SUMIF('TL15'!$C$238:$C$451,$C97,'TL15'!$J$238:$J$451),0),
IF('TL16'!$B$3=O$3,SUMIF('TL16'!$C$10:$C$224,$C97,'TL16'!$J$10:$J$224),0),
IF('TL16'!$B$229=O$3,SUMIF('TL16'!$C$238:$C$451,$C97,'TL16'!$J$238:$J$451),0),
IF('TL17'!$B$3=O$3,SUMIF('TL17'!$C$10:$C$224,$C97,'TL17'!$J$10:$J$224),0),
IF('TL17'!$B$229=O$3,SUMIF('TL17'!$C$238:$C$451,$C97,'TL17'!$J$238:$J$451),0),
IF('TL18'!$B$3=O$3,SUMIF('TL18'!$C$10:$C$224,$C97,'TL18'!$J$10:$J$224),0),
IF('TL18'!$B$229=O$3,SUMIF('TL18'!$C$238:$C$451,$C97,'TL18'!$J$238:$J$451),0),
IF('TL19'!$B$3=O$3,SUMIF('TL19'!$C$10:$C$224,$C97,'TL19'!$J$10:$J$224),0),
IF('TL19'!$B$229=O$3,SUMIF('TL19'!$C$238:$C$451,$C97,'TL19'!$J$238:$J$451),0)
),0)</f>
        <v/>
      </c>
      <c r="P97" s="9">
        <f>IFERROR(SUM(
IF('TL01'!$B$3=P$3,SUMIF('TL01'!$C$10:$C$224,$C97,'TL01'!$J$10:$J$224),0),
IF('TL01'!$B$229=P$3,SUMIF('TL01'!$C$238:$C$451,$C97,'TL01'!$J$238:$J$451),0),
IF('TL02'!$B$3=P$3,SUMIF('TL02'!$C$10:$C$224,$C97,'TL02'!$J$10:$J$224),0),
IF('TL02'!$B$229=P$3,SUMIF('TL02'!$C$238:$C$451,$C97,'TL02'!$J$238:$J$451),0),
IF('TL03'!$B$3=P$3,SUMIF('TL03'!$C$10:$C$224,$C97,'TL03'!$J$10:$J$224),0),
IF('TL03'!$B$229=P$3,SUMIF('TL03'!$C$238:$C$451,$C97,'TL03'!$J$238:$J$451),0),
IF('TL04'!$B$3=P$3,SUMIF('TL04'!$C$10:$C$224,$C97,'TL04'!$J$10:$J$224),0),
IF('TL04'!$B$229=P$3,SUMIF('TL04'!$C$238:$C$451,$C97,'TL04'!$J$238:$J$451),0),
IF('TL05'!$B$3=P$3,SUMIF('TL05'!$C$10:$C$224,$C97,'TL05'!$J$10:$J$224),0),
IF('TL05'!$B$229=P$3,SUMIF('TL05'!$C$238:$C$451,$C97,'TL05'!$J$238:$J$451),0),
IF('TL06'!$B$3=P$3,SUMIF('TL06'!$C$10:$C$224,$C97,'TL06'!$J$10:$J$224),0),
IF('TL06'!$B$229=P$3,SUMIF('TL06'!$C$238:$C$451,$C97,'TL06'!$J$238:$J$451),0),
IF('TL07'!$B$3=P$3,SUMIF('TL07'!$C$10:$C$224,$C97,'TL07'!$J$10:$J$224),0),
IF('TL07'!$B$229=P$3,SUMIF('TL07'!$C$238:$C$451,$C97,'TL07'!$J$238:$J$451),0),
IF('TL08'!$B$3=P$3,SUMIF('TL08'!$C$10:$C$224,$C97,'TL08'!$J$10:$J$224),0),
IF('TL08'!$B$229=P$3,SUMIF('TL08'!$C$238:$C$451,$C97,'TL08'!$J$238:$J$451),0),
IF('TL09'!$B$3=P$3,SUMIF('TL09'!$C$10:$C$224,$C97,'TL09'!$J$10:$J$224),0),
IF('TL09'!$B$229=P$3,SUMIF('TL09'!$C$238:$C$451,$C97,'TL09'!$J$238:$J$451),0),
IF('TL10'!$B$3=P$3,SUMIF('TL10'!$C$10:$C$224,$C97,'TL10'!$J$10:$J$224),0),
IF('TL10'!$B$229=P$3,SUMIF('TL10'!$C$238:$C$451,$C97,'TL10'!$J$238:$J$451),0),
IF('TL11'!$B$3=P$3,SUMIF('TL11'!$C$10:$C$224,$C97,'TL11'!$J$10:$J$224),0),
IF('TL11'!$B$229=P$3,SUMIF('TL11'!$C$238:$C$451,$C97,'TL11'!$J$238:$J$451),0),
IF('TL12'!$B$3=P$3,SUMIF('TL12'!$C$10:$C$224,$C97,'TL12'!$J$10:$J$224),0),
IF('TL12'!$B$229=P$3,SUMIF('TL12'!$C$238:$C$451,$C97,'TL12'!$J$238:$J$451),0),
IF('TL13'!$B$3=P$3,SUMIF('TL13'!$C$10:$C$224,$C97,'TL13'!$J$10:$J$224),0),
IF('TL13'!$B$229=P$3,SUMIF('TL13'!$C$238:$C$451,$C97,'TL13'!$J$238:$J$451),0),
IF('TL14'!$B$3=P$3,SUMIF('TL14'!$C$10:$C$224,$C97,'TL14'!$J$10:$J$224),0),
IF('TL14'!$B$229=P$3,SUMIF('TL14'!$C$238:$C$451,$C97,'TL14'!$J$238:$J$451),0),
IF('TL15'!$B$3=P$3,SUMIF('TL15'!$C$10:$C$224,$C97,'TL15'!$J$10:$J$224),0),
IF('TL15'!$B$229=P$3,SUMIF('TL15'!$C$238:$C$451,$C97,'TL15'!$J$238:$J$451),0),
IF('TL16'!$B$3=P$3,SUMIF('TL16'!$C$10:$C$224,$C97,'TL16'!$J$10:$J$224),0),
IF('TL16'!$B$229=P$3,SUMIF('TL16'!$C$238:$C$451,$C97,'TL16'!$J$238:$J$451),0),
IF('TL17'!$B$3=P$3,SUMIF('TL17'!$C$10:$C$224,$C97,'TL17'!$J$10:$J$224),0),
IF('TL17'!$B$229=P$3,SUMIF('TL17'!$C$238:$C$451,$C97,'TL17'!$J$238:$J$451),0),
IF('TL18'!$B$3=P$3,SUMIF('TL18'!$C$10:$C$224,$C97,'TL18'!$J$10:$J$224),0),
IF('TL18'!$B$229=P$3,SUMIF('TL18'!$C$238:$C$451,$C97,'TL18'!$J$238:$J$451),0),
IF('TL19'!$B$3=P$3,SUMIF('TL19'!$C$10:$C$224,$C97,'TL19'!$J$10:$J$224),0),
IF('TL19'!$B$229=P$3,SUMIF('TL19'!$C$238:$C$451,$C97,'TL19'!$J$238:$J$451),0)
),0)</f>
        <v/>
      </c>
      <c r="Q97" s="9">
        <f>IFERROR(SUM(
IF('TL01'!$B$3=Q$3,SUMIF('TL01'!$C$10:$C$224,$C97,'TL01'!$J$10:$J$224),0),
IF('TL01'!$B$229=Q$3,SUMIF('TL01'!$C$238:$C$451,$C97,'TL01'!$J$238:$J$451),0),
IF('TL02'!$B$3=Q$3,SUMIF('TL02'!$C$10:$C$224,$C97,'TL02'!$J$10:$J$224),0),
IF('TL02'!$B$229=Q$3,SUMIF('TL02'!$C$238:$C$451,$C97,'TL02'!$J$238:$J$451),0),
IF('TL03'!$B$3=Q$3,SUMIF('TL03'!$C$10:$C$224,$C97,'TL03'!$J$10:$J$224),0),
IF('TL03'!$B$229=Q$3,SUMIF('TL03'!$C$238:$C$451,$C97,'TL03'!$J$238:$J$451),0),
IF('TL04'!$B$3=Q$3,SUMIF('TL04'!$C$10:$C$224,$C97,'TL04'!$J$10:$J$224),0),
IF('TL04'!$B$229=Q$3,SUMIF('TL04'!$C$238:$C$451,$C97,'TL04'!$J$238:$J$451),0),
IF('TL05'!$B$3=Q$3,SUMIF('TL05'!$C$10:$C$224,$C97,'TL05'!$J$10:$J$224),0),
IF('TL05'!$B$229=Q$3,SUMIF('TL05'!$C$238:$C$451,$C97,'TL05'!$J$238:$J$451),0),
IF('TL06'!$B$3=Q$3,SUMIF('TL06'!$C$10:$C$224,$C97,'TL06'!$J$10:$J$224),0),
IF('TL06'!$B$229=Q$3,SUMIF('TL06'!$C$238:$C$451,$C97,'TL06'!$J$238:$J$451),0),
IF('TL07'!$B$3=Q$3,SUMIF('TL07'!$C$10:$C$224,$C97,'TL07'!$J$10:$J$224),0),
IF('TL07'!$B$229=Q$3,SUMIF('TL07'!$C$238:$C$451,$C97,'TL07'!$J$238:$J$451),0),
IF('TL08'!$B$3=Q$3,SUMIF('TL08'!$C$10:$C$224,$C97,'TL08'!$J$10:$J$224),0),
IF('TL08'!$B$229=Q$3,SUMIF('TL08'!$C$238:$C$451,$C97,'TL08'!$J$238:$J$451),0),
IF('TL09'!$B$3=Q$3,SUMIF('TL09'!$C$10:$C$224,$C97,'TL09'!$J$10:$J$224),0),
IF('TL09'!$B$229=Q$3,SUMIF('TL09'!$C$238:$C$451,$C97,'TL09'!$J$238:$J$451),0),
IF('TL10'!$B$3=Q$3,SUMIF('TL10'!$C$10:$C$224,$C97,'TL10'!$J$10:$J$224),0),
IF('TL10'!$B$229=Q$3,SUMIF('TL10'!$C$238:$C$451,$C97,'TL10'!$J$238:$J$451),0),
IF('TL11'!$B$3=Q$3,SUMIF('TL11'!$C$10:$C$224,$C97,'TL11'!$J$10:$J$224),0),
IF('TL11'!$B$229=Q$3,SUMIF('TL11'!$C$238:$C$451,$C97,'TL11'!$J$238:$J$451),0),
IF('TL12'!$B$3=Q$3,SUMIF('TL12'!$C$10:$C$224,$C97,'TL12'!$J$10:$J$224),0),
IF('TL12'!$B$229=Q$3,SUMIF('TL12'!$C$238:$C$451,$C97,'TL12'!$J$238:$J$451),0),
IF('TL13'!$B$3=Q$3,SUMIF('TL13'!$C$10:$C$224,$C97,'TL13'!$J$10:$J$224),0),
IF('TL13'!$B$229=Q$3,SUMIF('TL13'!$C$238:$C$451,$C97,'TL13'!$J$238:$J$451),0),
IF('TL14'!$B$3=Q$3,SUMIF('TL14'!$C$10:$C$224,$C97,'TL14'!$J$10:$J$224),0),
IF('TL14'!$B$229=Q$3,SUMIF('TL14'!$C$238:$C$451,$C97,'TL14'!$J$238:$J$451),0),
IF('TL15'!$B$3=Q$3,SUMIF('TL15'!$C$10:$C$224,$C97,'TL15'!$J$10:$J$224),0),
IF('TL15'!$B$229=Q$3,SUMIF('TL15'!$C$238:$C$451,$C97,'TL15'!$J$238:$J$451),0),
IF('TL16'!$B$3=Q$3,SUMIF('TL16'!$C$10:$C$224,$C97,'TL16'!$J$10:$J$224),0),
IF('TL16'!$B$229=Q$3,SUMIF('TL16'!$C$238:$C$451,$C97,'TL16'!$J$238:$J$451),0),
IF('TL17'!$B$3=Q$3,SUMIF('TL17'!$C$10:$C$224,$C97,'TL17'!$J$10:$J$224),0),
IF('TL17'!$B$229=Q$3,SUMIF('TL17'!$C$238:$C$451,$C97,'TL17'!$J$238:$J$451),0),
IF('TL18'!$B$3=Q$3,SUMIF('TL18'!$C$10:$C$224,$C97,'TL18'!$J$10:$J$224),0),
IF('TL18'!$B$229=Q$3,SUMIF('TL18'!$C$238:$C$451,$C97,'TL18'!$J$238:$J$451),0),
IF('TL19'!$B$3=Q$3,SUMIF('TL19'!$C$10:$C$224,$C97,'TL19'!$J$10:$J$224),0),
IF('TL19'!$B$229=Q$3,SUMIF('TL19'!$C$238:$C$451,$C97,'TL19'!$J$238:$J$451),0)
),0)</f>
        <v/>
      </c>
      <c r="R97" s="9">
        <f>IFERROR(
SUM(
SUMIF('TL01'!C:C,C97,'TL01'!J:J),
SUMIF('TL02'!C:C,C97,'TL02'!J:J),
SUMIF('TL03'!C:C,C97,'TL03'!J:J),
SUMIF('TL04'!C:C,C97,'TL04'!J:J),
SUMIF('TL05'!C:C,C97,'TL05'!J:J),
SUMIF('TL06'!C:C,C97,'TL06'!J:J),
SUMIF('TL07'!C:C,C97,'TL07'!J:J),
SUMIF('TL08'!C:C,C97,'TL08'!J:J),
SUMIF('TL09'!C:C,C97,'TL09'!J:J),
SUMIF('TL10'!C:C,C97,'TL10'!J:J),
SUMIF('TL11'!C:C,C97,'TL11'!J:J),
SUMIF('TL12'!C:C,C97,'TL12'!J:J),
SUMIF('TL13'!C:C,C97,'TL13'!J:J),
SUMIF('TL14'!C:C,C97,'TL14'!J:J),
SUMIF('TL15'!C:C,C97,'TL15'!J:J),
SUMIF('TL16'!C:C,C97,'TL16'!J:J),
SUMIF('TL17'!C:C,C97,'TL17'!J:J),
SUMIF('TL18'!C:C,C97,'TL18'!J:J),SUMIF('TL19'!C:C,C97,'TL19'!J:J))
,0)</f>
        <v/>
      </c>
      <c r="S97" s="17">
        <f>IFERROR(__xludf.DUMMYFUNCTION("IFERROR(VLOOKUP(C97,
IMPORTRANGE(""1wULbzX32WdYsx-lj2U3uUNBBe2INVIRDtcK0d-Dvl90"",
""26-27!C:G""),
5,
FALSE),
"""")"),67.68)</f>
        <v/>
      </c>
      <c r="T97" s="9" t="n"/>
      <c r="U97" s="92">
        <f>MAX(0,R97-T97)</f>
        <v/>
      </c>
      <c r="V97" s="93">
        <f>U97*S97</f>
        <v/>
      </c>
    </row>
    <row r="98" hidden="1" ht="15.75" customHeight="1" s="297">
      <c r="A98" s="115" t="inlineStr">
        <is>
          <t>SYNGENTA</t>
        </is>
      </c>
      <c r="B98" s="100" t="inlineStr">
        <is>
          <t>FUNGICIDA</t>
        </is>
      </c>
      <c r="C98" s="116" t="inlineStr">
        <is>
          <t>MIRAVIS</t>
        </is>
      </c>
      <c r="D98" s="116" t="inlineStr">
        <is>
          <t>PIDIFLUMETOFEN</t>
        </is>
      </c>
      <c r="E98" s="116" t="n">
        <v>200</v>
      </c>
      <c r="F98" s="4" t="inlineStr">
        <is>
          <t>L</t>
        </is>
      </c>
      <c r="G98" s="90">
        <f>HYPERLINK("https://www.google.com/search?q=" &amp; C98 &amp; "+bula+agrofit+pdf", "📄 Ver bula")</f>
        <v/>
      </c>
      <c r="H98" s="9">
        <f>IFERROR(__xludf.DUMMYFUNCTION("IFERROR(VLOOKUP(C98,
IMPORTRANGE(""1wULbzX32WdYsx-lj2U3uUNBBe2INVIRDtcK0d-Dvl90"",
""26-27!C:K""),
8,
FALSE),
"""")"),0.25)</f>
        <v/>
      </c>
      <c r="I98" s="117" t="inlineStr">
        <is>
          <t>4X5</t>
        </is>
      </c>
      <c r="J98" s="9">
        <f>IFERROR(SUM(
IF('TL01'!$B$3=J$3,SUMIF('TL01'!$C$10:$C$224,$C98,'TL01'!$J$10:$J$224),0),
IF('TL01'!$B$229=J$3,SUMIF('TL01'!$C$238:$C$451,$C98,'TL01'!$J$238:$J$451),0),
IF('TL02'!$B$3=J$3,SUMIF('TL02'!$C$10:$C$224,$C98,'TL02'!$J$10:$J$224),0),
IF('TL02'!$B$229=J$3,SUMIF('TL02'!$C$238:$C$451,$C98,'TL02'!$J$238:$J$451),0),
IF('TL03'!$B$3=J$3,SUMIF('TL03'!$C$10:$C$224,$C98,'TL03'!$J$10:$J$224),0),
IF('TL03'!$B$229=J$3,SUMIF('TL03'!$C$238:$C$451,$C98,'TL03'!$J$238:$J$451),0),
IF('TL04'!$B$3=J$3,SUMIF('TL04'!$C$10:$C$224,$C98,'TL04'!$J$10:$J$224),0),
IF('TL04'!$B$229=J$3,SUMIF('TL04'!$C$238:$C$451,$C98,'TL04'!$J$238:$J$451),0),
IF('TL05'!$B$3=J$3,SUMIF('TL05'!$C$10:$C$224,$C98,'TL05'!$J$10:$J$224),0),
IF('TL05'!$B$229=J$3,SUMIF('TL05'!$C$238:$C$451,$C98,'TL05'!$J$238:$J$451),0),
IF('TL06'!$B$3=J$3,SUMIF('TL06'!$C$10:$C$224,$C98,'TL06'!$J$10:$J$224),0),
IF('TL06'!$B$229=J$3,SUMIF('TL06'!$C$238:$C$451,$C98,'TL06'!$J$238:$J$451),0),
IF('TL07'!$B$3=J$3,SUMIF('TL07'!$C$10:$C$224,$C98,'TL07'!$J$10:$J$224),0),
IF('TL07'!$B$229=J$3,SUMIF('TL07'!$C$238:$C$451,$C98,'TL07'!$J$238:$J$451),0),
IF('TL08'!$B$3=J$3,SUMIF('TL08'!$C$10:$C$224,$C98,'TL08'!$J$10:$J$224),0),
IF('TL08'!$B$229=J$3,SUMIF('TL08'!$C$238:$C$451,$C98,'TL08'!$J$238:$J$451),0),
IF('TL09'!$B$3=J$3,SUMIF('TL09'!$C$10:$C$224,$C98,'TL09'!$J$10:$J$224),0),
IF('TL09'!$B$229=J$3,SUMIF('TL09'!$C$238:$C$451,$C98,'TL09'!$J$238:$J$451),0),
IF('TL10'!$B$3=J$3,SUMIF('TL10'!$C$10:$C$224,$C98,'TL10'!$J$10:$J$224),0),
IF('TL10'!$B$229=J$3,SUMIF('TL10'!$C$238:$C$451,$C98,'TL10'!$J$238:$J$451),0),
IF('TL11'!$B$3=J$3,SUMIF('TL11'!$C$10:$C$224,$C98,'TL11'!$J$10:$J$224),0),
IF('TL11'!$B$229=J$3,SUMIF('TL11'!$C$238:$C$451,$C98,'TL11'!$J$238:$J$451),0),
IF('TL12'!$B$3=J$3,SUMIF('TL12'!$C$10:$C$224,$C98,'TL12'!$J$10:$J$224),0),
IF('TL12'!$B$229=J$3,SUMIF('TL12'!$C$238:$C$451,$C98,'TL12'!$J$238:$J$451),0),
IF('TL13'!$B$3=J$3,SUMIF('TL13'!$C$10:$C$224,$C98,'TL13'!$J$10:$J$224),0),
IF('TL13'!$B$229=J$3,SUMIF('TL13'!$C$238:$C$451,$C98,'TL13'!$J$238:$J$451),0),
IF('TL14'!$B$3=J$3,SUMIF('TL14'!$C$10:$C$224,$C98,'TL14'!$J$10:$J$224),0),
IF('TL14'!$B$229=J$3,SUMIF('TL14'!$C$238:$C$451,$C98,'TL14'!$J$238:$J$451),0),
IF('TL15'!$B$3=J$3,SUMIF('TL15'!$C$10:$C$224,$C98,'TL15'!$J$10:$J$224),0),
IF('TL15'!$B$229=J$3,SUMIF('TL15'!$C$238:$C$451,$C98,'TL15'!$J$238:$J$451),0),
IF('TL16'!$B$3=J$3,SUMIF('TL16'!$C$10:$C$224,$C98,'TL16'!$J$10:$J$224),0),
IF('TL16'!$B$229=J$3,SUMIF('TL16'!$C$238:$C$451,$C98,'TL16'!$J$238:$J$451),0),
IF('TL17'!$B$3=J$3,SUMIF('TL17'!$C$10:$C$224,$C98,'TL17'!$J$10:$J$224),0),
IF('TL17'!$B$229=J$3,SUMIF('TL17'!$C$238:$C$451,$C98,'TL17'!$J$238:$J$451),0),
IF('TL18'!$B$3=J$3,SUMIF('TL18'!$C$10:$C$224,$C98,'TL18'!$J$10:$J$224),0),
IF('TL18'!$B$229=J$3,SUMIF('TL18'!$C$238:$C$451,$C98,'TL18'!$J$238:$J$451),0),
IF('TL19'!$B$3=J$3,SUMIF('TL19'!$C$10:$C$224,$C98,'TL19'!$J$10:$J$224),0),
IF('TL19'!$B$229=J$3,SUMIF('TL19'!$C$238:$C$451,$C98,'TL19'!$J$238:$J$451),0)
),0)</f>
        <v/>
      </c>
      <c r="K98" s="9">
        <f>IFERROR(SUM(
IF('TL01'!$B$3=K$3,SUMIF('TL01'!$C$10:$C$224,$C98,'TL01'!$J$10:$J$224),0),
IF('TL01'!$B$229=K$3,SUMIF('TL01'!$C$238:$C$451,$C98,'TL01'!$J$238:$J$451),0),
IF('TL02'!$B$3=K$3,SUMIF('TL02'!$C$10:$C$224,$C98,'TL02'!$J$10:$J$224),0),
IF('TL02'!$B$229=K$3,SUMIF('TL02'!$C$238:$C$451,$C98,'TL02'!$J$238:$J$451),0),
IF('TL03'!$B$3=K$3,SUMIF('TL03'!$C$10:$C$224,$C98,'TL03'!$J$10:$J$224),0),
IF('TL03'!$B$229=K$3,SUMIF('TL03'!$C$238:$C$451,$C98,'TL03'!$J$238:$J$451),0),
IF('TL04'!$B$3=K$3,SUMIF('TL04'!$C$10:$C$224,$C98,'TL04'!$J$10:$J$224),0),
IF('TL04'!$B$229=K$3,SUMIF('TL04'!$C$238:$C$451,$C98,'TL04'!$J$238:$J$451),0),
IF('TL05'!$B$3=K$3,SUMIF('TL05'!$C$10:$C$224,$C98,'TL05'!$J$10:$J$224),0),
IF('TL05'!$B$229=K$3,SUMIF('TL05'!$C$238:$C$451,$C98,'TL05'!$J$238:$J$451),0),
IF('TL06'!$B$3=K$3,SUMIF('TL06'!$C$10:$C$224,$C98,'TL06'!$J$10:$J$224),0),
IF('TL06'!$B$229=K$3,SUMIF('TL06'!$C$238:$C$451,$C98,'TL06'!$J$238:$J$451),0),
IF('TL07'!$B$3=K$3,SUMIF('TL07'!$C$10:$C$224,$C98,'TL07'!$J$10:$J$224),0),
IF('TL07'!$B$229=K$3,SUMIF('TL07'!$C$238:$C$451,$C98,'TL07'!$J$238:$J$451),0),
IF('TL08'!$B$3=K$3,SUMIF('TL08'!$C$10:$C$224,$C98,'TL08'!$J$10:$J$224),0),
IF('TL08'!$B$229=K$3,SUMIF('TL08'!$C$238:$C$451,$C98,'TL08'!$J$238:$J$451),0),
IF('TL09'!$B$3=K$3,SUMIF('TL09'!$C$10:$C$224,$C98,'TL09'!$J$10:$J$224),0),
IF('TL09'!$B$229=K$3,SUMIF('TL09'!$C$238:$C$451,$C98,'TL09'!$J$238:$J$451),0),
IF('TL10'!$B$3=K$3,SUMIF('TL10'!$C$10:$C$224,$C98,'TL10'!$J$10:$J$224),0),
IF('TL10'!$B$229=K$3,SUMIF('TL10'!$C$238:$C$451,$C98,'TL10'!$J$238:$J$451),0),
IF('TL11'!$B$3=K$3,SUMIF('TL11'!$C$10:$C$224,$C98,'TL11'!$J$10:$J$224),0),
IF('TL11'!$B$229=K$3,SUMIF('TL11'!$C$238:$C$451,$C98,'TL11'!$J$238:$J$451),0),
IF('TL12'!$B$3=K$3,SUMIF('TL12'!$C$10:$C$224,$C98,'TL12'!$J$10:$J$224),0),
IF('TL12'!$B$229=K$3,SUMIF('TL12'!$C$238:$C$451,$C98,'TL12'!$J$238:$J$451),0),
IF('TL13'!$B$3=K$3,SUMIF('TL13'!$C$10:$C$224,$C98,'TL13'!$J$10:$J$224),0),
IF('TL13'!$B$229=K$3,SUMIF('TL13'!$C$238:$C$451,$C98,'TL13'!$J$238:$J$451),0),
IF('TL14'!$B$3=K$3,SUMIF('TL14'!$C$10:$C$224,$C98,'TL14'!$J$10:$J$224),0),
IF('TL14'!$B$229=K$3,SUMIF('TL14'!$C$238:$C$451,$C98,'TL14'!$J$238:$J$451),0),
IF('TL15'!$B$3=K$3,SUMIF('TL15'!$C$10:$C$224,$C98,'TL15'!$J$10:$J$224),0),
IF('TL15'!$B$229=K$3,SUMIF('TL15'!$C$238:$C$451,$C98,'TL15'!$J$238:$J$451),0),
IF('TL16'!$B$3=K$3,SUMIF('TL16'!$C$10:$C$224,$C98,'TL16'!$J$10:$J$224),0),
IF('TL16'!$B$229=K$3,SUMIF('TL16'!$C$238:$C$451,$C98,'TL16'!$J$238:$J$451),0),
IF('TL17'!$B$3=K$3,SUMIF('TL17'!$C$10:$C$224,$C98,'TL17'!$J$10:$J$224),0),
IF('TL17'!$B$229=K$3,SUMIF('TL17'!$C$238:$C$451,$C98,'TL17'!$J$238:$J$451),0),
IF('TL18'!$B$3=K$3,SUMIF('TL18'!$C$10:$C$224,$C98,'TL18'!$J$10:$J$224),0),
IF('TL18'!$B$229=K$3,SUMIF('TL18'!$C$238:$C$451,$C98,'TL18'!$J$238:$J$451),0),
IF('TL19'!$B$3=K$3,SUMIF('TL19'!$C$10:$C$224,$C98,'TL19'!$J$10:$J$224),0),
IF('TL19'!$B$229=K$3,SUMIF('TL19'!$C$238:$C$451,$C98,'TL19'!$J$238:$J$451),0)
),0)</f>
        <v/>
      </c>
      <c r="L98" s="9">
        <f>IFERROR(SUM(
IF('TL01'!$B$3=L$3,SUMIF('TL01'!$C$10:$C$224,$C98,'TL01'!$J$10:$J$224),0),
IF('TL01'!$B$229=L$3,SUMIF('TL01'!$C$238:$C$451,$C98,'TL01'!$J$238:$J$451),0),
IF('TL02'!$B$3=L$3,SUMIF('TL02'!$C$10:$C$224,$C98,'TL02'!$J$10:$J$224),0),
IF('TL02'!$B$229=L$3,SUMIF('TL02'!$C$238:$C$451,$C98,'TL02'!$J$238:$J$451),0),
IF('TL03'!$B$3=L$3,SUMIF('TL03'!$C$10:$C$224,$C98,'TL03'!$J$10:$J$224),0),
IF('TL03'!$B$229=L$3,SUMIF('TL03'!$C$238:$C$451,$C98,'TL03'!$J$238:$J$451),0),
IF('TL04'!$B$3=L$3,SUMIF('TL04'!$C$10:$C$224,$C98,'TL04'!$J$10:$J$224),0),
IF('TL04'!$B$229=L$3,SUMIF('TL04'!$C$238:$C$451,$C98,'TL04'!$J$238:$J$451),0),
IF('TL05'!$B$3=L$3,SUMIF('TL05'!$C$10:$C$224,$C98,'TL05'!$J$10:$J$224),0),
IF('TL05'!$B$229=L$3,SUMIF('TL05'!$C$238:$C$451,$C98,'TL05'!$J$238:$J$451),0),
IF('TL06'!$B$3=L$3,SUMIF('TL06'!$C$10:$C$224,$C98,'TL06'!$J$10:$J$224),0),
IF('TL06'!$B$229=L$3,SUMIF('TL06'!$C$238:$C$451,$C98,'TL06'!$J$238:$J$451),0),
IF('TL07'!$B$3=L$3,SUMIF('TL07'!$C$10:$C$224,$C98,'TL07'!$J$10:$J$224),0),
IF('TL07'!$B$229=L$3,SUMIF('TL07'!$C$238:$C$451,$C98,'TL07'!$J$238:$J$451),0),
IF('TL08'!$B$3=L$3,SUMIF('TL08'!$C$10:$C$224,$C98,'TL08'!$J$10:$J$224),0),
IF('TL08'!$B$229=L$3,SUMIF('TL08'!$C$238:$C$451,$C98,'TL08'!$J$238:$J$451),0),
IF('TL09'!$B$3=L$3,SUMIF('TL09'!$C$10:$C$224,$C98,'TL09'!$J$10:$J$224),0),
IF('TL09'!$B$229=L$3,SUMIF('TL09'!$C$238:$C$451,$C98,'TL09'!$J$238:$J$451),0),
IF('TL10'!$B$3=L$3,SUMIF('TL10'!$C$10:$C$224,$C98,'TL10'!$J$10:$J$224),0),
IF('TL10'!$B$229=L$3,SUMIF('TL10'!$C$238:$C$451,$C98,'TL10'!$J$238:$J$451),0),
IF('TL11'!$B$3=L$3,SUMIF('TL11'!$C$10:$C$224,$C98,'TL11'!$J$10:$J$224),0),
IF('TL11'!$B$229=L$3,SUMIF('TL11'!$C$238:$C$451,$C98,'TL11'!$J$238:$J$451),0),
IF('TL12'!$B$3=L$3,SUMIF('TL12'!$C$10:$C$224,$C98,'TL12'!$J$10:$J$224),0),
IF('TL12'!$B$229=L$3,SUMIF('TL12'!$C$238:$C$451,$C98,'TL12'!$J$238:$J$451),0),
IF('TL13'!$B$3=L$3,SUMIF('TL13'!$C$10:$C$224,$C98,'TL13'!$J$10:$J$224),0),
IF('TL13'!$B$229=L$3,SUMIF('TL13'!$C$238:$C$451,$C98,'TL13'!$J$238:$J$451),0),
IF('TL14'!$B$3=L$3,SUMIF('TL14'!$C$10:$C$224,$C98,'TL14'!$J$10:$J$224),0),
IF('TL14'!$B$229=L$3,SUMIF('TL14'!$C$238:$C$451,$C98,'TL14'!$J$238:$J$451),0),
IF('TL15'!$B$3=L$3,SUMIF('TL15'!$C$10:$C$224,$C98,'TL15'!$J$10:$J$224),0),
IF('TL15'!$B$229=L$3,SUMIF('TL15'!$C$238:$C$451,$C98,'TL15'!$J$238:$J$451),0),
IF('TL16'!$B$3=L$3,SUMIF('TL16'!$C$10:$C$224,$C98,'TL16'!$J$10:$J$224),0),
IF('TL16'!$B$229=L$3,SUMIF('TL16'!$C$238:$C$451,$C98,'TL16'!$J$238:$J$451),0),
IF('TL17'!$B$3=L$3,SUMIF('TL17'!$C$10:$C$224,$C98,'TL17'!$J$10:$J$224),0),
IF('TL17'!$B$229=L$3,SUMIF('TL17'!$C$238:$C$451,$C98,'TL17'!$J$238:$J$451),0),
IF('TL18'!$B$3=L$3,SUMIF('TL18'!$C$10:$C$224,$C98,'TL18'!$J$10:$J$224),0),
IF('TL18'!$B$229=L$3,SUMIF('TL18'!$C$238:$C$451,$C98,'TL18'!$J$238:$J$451),0),
IF('TL19'!$B$3=L$3,SUMIF('TL19'!$C$10:$C$224,$C98,'TL19'!$J$10:$J$224),0),
IF('TL19'!$B$229=L$3,SUMIF('TL19'!$C$238:$C$451,$C98,'TL19'!$J$238:$J$451),0)
),0)</f>
        <v/>
      </c>
      <c r="M98" s="9">
        <f>IFERROR(SUM(
IF('TL01'!$B$3=M$3,SUMIF('TL01'!$C$10:$C$224,$C98,'TL01'!$J$10:$J$224),0),
IF('TL01'!$B$229=M$3,SUMIF('TL01'!$C$238:$C$451,$C98,'TL01'!$J$238:$J$451),0),
IF('TL02'!$B$3=M$3,SUMIF('TL02'!$C$10:$C$224,$C98,'TL02'!$J$10:$J$224),0),
IF('TL02'!$B$229=M$3,SUMIF('TL02'!$C$238:$C$451,$C98,'TL02'!$J$238:$J$451),0),
IF('TL03'!$B$3=M$3,SUMIF('TL03'!$C$10:$C$224,$C98,'TL03'!$J$10:$J$224),0),
IF('TL03'!$B$229=M$3,SUMIF('TL03'!$C$238:$C$451,$C98,'TL03'!$J$238:$J$451),0),
IF('TL04'!$B$3=M$3,SUMIF('TL04'!$C$10:$C$224,$C98,'TL04'!$J$10:$J$224),0),
IF('TL04'!$B$229=M$3,SUMIF('TL04'!$C$238:$C$451,$C98,'TL04'!$J$238:$J$451),0),
IF('TL05'!$B$3=M$3,SUMIF('TL05'!$C$10:$C$224,$C98,'TL05'!$J$10:$J$224),0),
IF('TL05'!$B$229=M$3,SUMIF('TL05'!$C$238:$C$451,$C98,'TL05'!$J$238:$J$451),0),
IF('TL06'!$B$3=M$3,SUMIF('TL06'!$C$10:$C$224,$C98,'TL06'!$J$10:$J$224),0),
IF('TL06'!$B$229=M$3,SUMIF('TL06'!$C$238:$C$451,$C98,'TL06'!$J$238:$J$451),0),
IF('TL07'!$B$3=M$3,SUMIF('TL07'!$C$10:$C$224,$C98,'TL07'!$J$10:$J$224),0),
IF('TL07'!$B$229=M$3,SUMIF('TL07'!$C$238:$C$451,$C98,'TL07'!$J$238:$J$451),0),
IF('TL08'!$B$3=M$3,SUMIF('TL08'!$C$10:$C$224,$C98,'TL08'!$J$10:$J$224),0),
IF('TL08'!$B$229=M$3,SUMIF('TL08'!$C$238:$C$451,$C98,'TL08'!$J$238:$J$451),0),
IF('TL09'!$B$3=M$3,SUMIF('TL09'!$C$10:$C$224,$C98,'TL09'!$J$10:$J$224),0),
IF('TL09'!$B$229=M$3,SUMIF('TL09'!$C$238:$C$451,$C98,'TL09'!$J$238:$J$451),0),
IF('TL10'!$B$3=M$3,SUMIF('TL10'!$C$10:$C$224,$C98,'TL10'!$J$10:$J$224),0),
IF('TL10'!$B$229=M$3,SUMIF('TL10'!$C$238:$C$451,$C98,'TL10'!$J$238:$J$451),0),
IF('TL11'!$B$3=M$3,SUMIF('TL11'!$C$10:$C$224,$C98,'TL11'!$J$10:$J$224),0),
IF('TL11'!$B$229=M$3,SUMIF('TL11'!$C$238:$C$451,$C98,'TL11'!$J$238:$J$451),0),
IF('TL12'!$B$3=M$3,SUMIF('TL12'!$C$10:$C$224,$C98,'TL12'!$J$10:$J$224),0),
IF('TL12'!$B$229=M$3,SUMIF('TL12'!$C$238:$C$451,$C98,'TL12'!$J$238:$J$451),0),
IF('TL13'!$B$3=M$3,SUMIF('TL13'!$C$10:$C$224,$C98,'TL13'!$J$10:$J$224),0),
IF('TL13'!$B$229=M$3,SUMIF('TL13'!$C$238:$C$451,$C98,'TL13'!$J$238:$J$451),0),
IF('TL14'!$B$3=M$3,SUMIF('TL14'!$C$10:$C$224,$C98,'TL14'!$J$10:$J$224),0),
IF('TL14'!$B$229=M$3,SUMIF('TL14'!$C$238:$C$451,$C98,'TL14'!$J$238:$J$451),0),
IF('TL15'!$B$3=M$3,SUMIF('TL15'!$C$10:$C$224,$C98,'TL15'!$J$10:$J$224),0),
IF('TL15'!$B$229=M$3,SUMIF('TL15'!$C$238:$C$451,$C98,'TL15'!$J$238:$J$451),0),
IF('TL16'!$B$3=M$3,SUMIF('TL16'!$C$10:$C$224,$C98,'TL16'!$J$10:$J$224),0),
IF('TL16'!$B$229=M$3,SUMIF('TL16'!$C$238:$C$451,$C98,'TL16'!$J$238:$J$451),0),
IF('TL17'!$B$3=M$3,SUMIF('TL17'!$C$10:$C$224,$C98,'TL17'!$J$10:$J$224),0),
IF('TL17'!$B$229=M$3,SUMIF('TL17'!$C$238:$C$451,$C98,'TL17'!$J$238:$J$451),0),
IF('TL18'!$B$3=M$3,SUMIF('TL18'!$C$10:$C$224,$C98,'TL18'!$J$10:$J$224),0),
IF('TL18'!$B$229=M$3,SUMIF('TL18'!$C$238:$C$451,$C98,'TL18'!$J$238:$J$451),0),
IF('TL19'!$B$3=M$3,SUMIF('TL19'!$C$10:$C$224,$C98,'TL19'!$J$10:$J$224),0),
IF('TL19'!$B$229=M$3,SUMIF('TL19'!$C$238:$C$451,$C98,'TL19'!$J$238:$J$451),0)
),0)</f>
        <v/>
      </c>
      <c r="N98" s="9">
        <f>IFERROR(SUM(
IF('TL01'!$B$3=N$3,SUMIF('TL01'!$C$10:$C$224,$C98,'TL01'!$J$10:$J$224),0),
IF('TL01'!$B$229=N$3,SUMIF('TL01'!$C$238:$C$451,$C98,'TL01'!$J$238:$J$451),0),
IF('TL02'!$B$3=N$3,SUMIF('TL02'!$C$10:$C$224,$C98,'TL02'!$J$10:$J$224),0),
IF('TL02'!$B$229=N$3,SUMIF('TL02'!$C$238:$C$451,$C98,'TL02'!$J$238:$J$451),0),
IF('TL03'!$B$3=N$3,SUMIF('TL03'!$C$10:$C$224,$C98,'TL03'!$J$10:$J$224),0),
IF('TL03'!$B$229=N$3,SUMIF('TL03'!$C$238:$C$451,$C98,'TL03'!$J$238:$J$451),0),
IF('TL04'!$B$3=N$3,SUMIF('TL04'!$C$10:$C$224,$C98,'TL04'!$J$10:$J$224),0),
IF('TL04'!$B$229=N$3,SUMIF('TL04'!$C$238:$C$451,$C98,'TL04'!$J$238:$J$451),0),
IF('TL05'!$B$3=N$3,SUMIF('TL05'!$C$10:$C$224,$C98,'TL05'!$J$10:$J$224),0),
IF('TL05'!$B$229=N$3,SUMIF('TL05'!$C$238:$C$451,$C98,'TL05'!$J$238:$J$451),0),
IF('TL06'!$B$3=N$3,SUMIF('TL06'!$C$10:$C$224,$C98,'TL06'!$J$10:$J$224),0),
IF('TL06'!$B$229=N$3,SUMIF('TL06'!$C$238:$C$451,$C98,'TL06'!$J$238:$J$451),0),
IF('TL07'!$B$3=N$3,SUMIF('TL07'!$C$10:$C$224,$C98,'TL07'!$J$10:$J$224),0),
IF('TL07'!$B$229=N$3,SUMIF('TL07'!$C$238:$C$451,$C98,'TL07'!$J$238:$J$451),0),
IF('TL08'!$B$3=N$3,SUMIF('TL08'!$C$10:$C$224,$C98,'TL08'!$J$10:$J$224),0),
IF('TL08'!$B$229=N$3,SUMIF('TL08'!$C$238:$C$451,$C98,'TL08'!$J$238:$J$451),0),
IF('TL09'!$B$3=N$3,SUMIF('TL09'!$C$10:$C$224,$C98,'TL09'!$J$10:$J$224),0),
IF('TL09'!$B$229=N$3,SUMIF('TL09'!$C$238:$C$451,$C98,'TL09'!$J$238:$J$451),0),
IF('TL10'!$B$3=N$3,SUMIF('TL10'!$C$10:$C$224,$C98,'TL10'!$J$10:$J$224),0),
IF('TL10'!$B$229=N$3,SUMIF('TL10'!$C$238:$C$451,$C98,'TL10'!$J$238:$J$451),0),
IF('TL11'!$B$3=N$3,SUMIF('TL11'!$C$10:$C$224,$C98,'TL11'!$J$10:$J$224),0),
IF('TL11'!$B$229=N$3,SUMIF('TL11'!$C$238:$C$451,$C98,'TL11'!$J$238:$J$451),0),
IF('TL12'!$B$3=N$3,SUMIF('TL12'!$C$10:$C$224,$C98,'TL12'!$J$10:$J$224),0),
IF('TL12'!$B$229=N$3,SUMIF('TL12'!$C$238:$C$451,$C98,'TL12'!$J$238:$J$451),0),
IF('TL13'!$B$3=N$3,SUMIF('TL13'!$C$10:$C$224,$C98,'TL13'!$J$10:$J$224),0),
IF('TL13'!$B$229=N$3,SUMIF('TL13'!$C$238:$C$451,$C98,'TL13'!$J$238:$J$451),0),
IF('TL14'!$B$3=N$3,SUMIF('TL14'!$C$10:$C$224,$C98,'TL14'!$J$10:$J$224),0),
IF('TL14'!$B$229=N$3,SUMIF('TL14'!$C$238:$C$451,$C98,'TL14'!$J$238:$J$451),0),
IF('TL15'!$B$3=N$3,SUMIF('TL15'!$C$10:$C$224,$C98,'TL15'!$J$10:$J$224),0),
IF('TL15'!$B$229=N$3,SUMIF('TL15'!$C$238:$C$451,$C98,'TL15'!$J$238:$J$451),0),
IF('TL16'!$B$3=N$3,SUMIF('TL16'!$C$10:$C$224,$C98,'TL16'!$J$10:$J$224),0),
IF('TL16'!$B$229=N$3,SUMIF('TL16'!$C$238:$C$451,$C98,'TL16'!$J$238:$J$451),0),
IF('TL17'!$B$3=N$3,SUMIF('TL17'!$C$10:$C$224,$C98,'TL17'!$J$10:$J$224),0),
IF('TL17'!$B$229=N$3,SUMIF('TL17'!$C$238:$C$451,$C98,'TL17'!$J$238:$J$451),0),
IF('TL18'!$B$3=N$3,SUMIF('TL18'!$C$10:$C$224,$C98,'TL18'!$J$10:$J$224),0),
IF('TL18'!$B$229=N$3,SUMIF('TL18'!$C$238:$C$451,$C98,'TL18'!$J$238:$J$451),0),
IF('TL19'!$B$3=N$3,SUMIF('TL19'!$C$10:$C$224,$C98,'TL19'!$J$10:$J$224),0),
IF('TL19'!$B$229=N$3,SUMIF('TL19'!$C$238:$C$451,$C98,'TL19'!$J$238:$J$451),0)
),0)</f>
        <v/>
      </c>
      <c r="O98" s="9">
        <f>IFERROR(SUM(
IF('TL01'!$B$3=O$3,SUMIF('TL01'!$C$10:$C$224,$C98,'TL01'!$J$10:$J$224),0),
IF('TL01'!$B$229=O$3,SUMIF('TL01'!$C$238:$C$451,$C98,'TL01'!$J$238:$J$451),0),
IF('TL02'!$B$3=O$3,SUMIF('TL02'!$C$10:$C$224,$C98,'TL02'!$J$10:$J$224),0),
IF('TL02'!$B$229=O$3,SUMIF('TL02'!$C$238:$C$451,$C98,'TL02'!$J$238:$J$451),0),
IF('TL03'!$B$3=O$3,SUMIF('TL03'!$C$10:$C$224,$C98,'TL03'!$J$10:$J$224),0),
IF('TL03'!$B$229=O$3,SUMIF('TL03'!$C$238:$C$451,$C98,'TL03'!$J$238:$J$451),0),
IF('TL04'!$B$3=O$3,SUMIF('TL04'!$C$10:$C$224,$C98,'TL04'!$J$10:$J$224),0),
IF('TL04'!$B$229=O$3,SUMIF('TL04'!$C$238:$C$451,$C98,'TL04'!$J$238:$J$451),0),
IF('TL05'!$B$3=O$3,SUMIF('TL05'!$C$10:$C$224,$C98,'TL05'!$J$10:$J$224),0),
IF('TL05'!$B$229=O$3,SUMIF('TL05'!$C$238:$C$451,$C98,'TL05'!$J$238:$J$451),0),
IF('TL06'!$B$3=O$3,SUMIF('TL06'!$C$10:$C$224,$C98,'TL06'!$J$10:$J$224),0),
IF('TL06'!$B$229=O$3,SUMIF('TL06'!$C$238:$C$451,$C98,'TL06'!$J$238:$J$451),0),
IF('TL07'!$B$3=O$3,SUMIF('TL07'!$C$10:$C$224,$C98,'TL07'!$J$10:$J$224),0),
IF('TL07'!$B$229=O$3,SUMIF('TL07'!$C$238:$C$451,$C98,'TL07'!$J$238:$J$451),0),
IF('TL08'!$B$3=O$3,SUMIF('TL08'!$C$10:$C$224,$C98,'TL08'!$J$10:$J$224),0),
IF('TL08'!$B$229=O$3,SUMIF('TL08'!$C$238:$C$451,$C98,'TL08'!$J$238:$J$451),0),
IF('TL09'!$B$3=O$3,SUMIF('TL09'!$C$10:$C$224,$C98,'TL09'!$J$10:$J$224),0),
IF('TL09'!$B$229=O$3,SUMIF('TL09'!$C$238:$C$451,$C98,'TL09'!$J$238:$J$451),0),
IF('TL10'!$B$3=O$3,SUMIF('TL10'!$C$10:$C$224,$C98,'TL10'!$J$10:$J$224),0),
IF('TL10'!$B$229=O$3,SUMIF('TL10'!$C$238:$C$451,$C98,'TL10'!$J$238:$J$451),0),
IF('TL11'!$B$3=O$3,SUMIF('TL11'!$C$10:$C$224,$C98,'TL11'!$J$10:$J$224),0),
IF('TL11'!$B$229=O$3,SUMIF('TL11'!$C$238:$C$451,$C98,'TL11'!$J$238:$J$451),0),
IF('TL12'!$B$3=O$3,SUMIF('TL12'!$C$10:$C$224,$C98,'TL12'!$J$10:$J$224),0),
IF('TL12'!$B$229=O$3,SUMIF('TL12'!$C$238:$C$451,$C98,'TL12'!$J$238:$J$451),0),
IF('TL13'!$B$3=O$3,SUMIF('TL13'!$C$10:$C$224,$C98,'TL13'!$J$10:$J$224),0),
IF('TL13'!$B$229=O$3,SUMIF('TL13'!$C$238:$C$451,$C98,'TL13'!$J$238:$J$451),0),
IF('TL14'!$B$3=O$3,SUMIF('TL14'!$C$10:$C$224,$C98,'TL14'!$J$10:$J$224),0),
IF('TL14'!$B$229=O$3,SUMIF('TL14'!$C$238:$C$451,$C98,'TL14'!$J$238:$J$451),0),
IF('TL15'!$B$3=O$3,SUMIF('TL15'!$C$10:$C$224,$C98,'TL15'!$J$10:$J$224),0),
IF('TL15'!$B$229=O$3,SUMIF('TL15'!$C$238:$C$451,$C98,'TL15'!$J$238:$J$451),0),
IF('TL16'!$B$3=O$3,SUMIF('TL16'!$C$10:$C$224,$C98,'TL16'!$J$10:$J$224),0),
IF('TL16'!$B$229=O$3,SUMIF('TL16'!$C$238:$C$451,$C98,'TL16'!$J$238:$J$451),0),
IF('TL17'!$B$3=O$3,SUMIF('TL17'!$C$10:$C$224,$C98,'TL17'!$J$10:$J$224),0),
IF('TL17'!$B$229=O$3,SUMIF('TL17'!$C$238:$C$451,$C98,'TL17'!$J$238:$J$451),0),
IF('TL18'!$B$3=O$3,SUMIF('TL18'!$C$10:$C$224,$C98,'TL18'!$J$10:$J$224),0),
IF('TL18'!$B$229=O$3,SUMIF('TL18'!$C$238:$C$451,$C98,'TL18'!$J$238:$J$451),0),
IF('TL19'!$B$3=O$3,SUMIF('TL19'!$C$10:$C$224,$C98,'TL19'!$J$10:$J$224),0),
IF('TL19'!$B$229=O$3,SUMIF('TL19'!$C$238:$C$451,$C98,'TL19'!$J$238:$J$451),0)
),0)</f>
        <v/>
      </c>
      <c r="P98" s="9">
        <f>IFERROR(SUM(
IF('TL01'!$B$3=P$3,SUMIF('TL01'!$C$10:$C$224,$C98,'TL01'!$J$10:$J$224),0),
IF('TL01'!$B$229=P$3,SUMIF('TL01'!$C$238:$C$451,$C98,'TL01'!$J$238:$J$451),0),
IF('TL02'!$B$3=P$3,SUMIF('TL02'!$C$10:$C$224,$C98,'TL02'!$J$10:$J$224),0),
IF('TL02'!$B$229=P$3,SUMIF('TL02'!$C$238:$C$451,$C98,'TL02'!$J$238:$J$451),0),
IF('TL03'!$B$3=P$3,SUMIF('TL03'!$C$10:$C$224,$C98,'TL03'!$J$10:$J$224),0),
IF('TL03'!$B$229=P$3,SUMIF('TL03'!$C$238:$C$451,$C98,'TL03'!$J$238:$J$451),0),
IF('TL04'!$B$3=P$3,SUMIF('TL04'!$C$10:$C$224,$C98,'TL04'!$J$10:$J$224),0),
IF('TL04'!$B$229=P$3,SUMIF('TL04'!$C$238:$C$451,$C98,'TL04'!$J$238:$J$451),0),
IF('TL05'!$B$3=P$3,SUMIF('TL05'!$C$10:$C$224,$C98,'TL05'!$J$10:$J$224),0),
IF('TL05'!$B$229=P$3,SUMIF('TL05'!$C$238:$C$451,$C98,'TL05'!$J$238:$J$451),0),
IF('TL06'!$B$3=P$3,SUMIF('TL06'!$C$10:$C$224,$C98,'TL06'!$J$10:$J$224),0),
IF('TL06'!$B$229=P$3,SUMIF('TL06'!$C$238:$C$451,$C98,'TL06'!$J$238:$J$451),0),
IF('TL07'!$B$3=P$3,SUMIF('TL07'!$C$10:$C$224,$C98,'TL07'!$J$10:$J$224),0),
IF('TL07'!$B$229=P$3,SUMIF('TL07'!$C$238:$C$451,$C98,'TL07'!$J$238:$J$451),0),
IF('TL08'!$B$3=P$3,SUMIF('TL08'!$C$10:$C$224,$C98,'TL08'!$J$10:$J$224),0),
IF('TL08'!$B$229=P$3,SUMIF('TL08'!$C$238:$C$451,$C98,'TL08'!$J$238:$J$451),0),
IF('TL09'!$B$3=P$3,SUMIF('TL09'!$C$10:$C$224,$C98,'TL09'!$J$10:$J$224),0),
IF('TL09'!$B$229=P$3,SUMIF('TL09'!$C$238:$C$451,$C98,'TL09'!$J$238:$J$451),0),
IF('TL10'!$B$3=P$3,SUMIF('TL10'!$C$10:$C$224,$C98,'TL10'!$J$10:$J$224),0),
IF('TL10'!$B$229=P$3,SUMIF('TL10'!$C$238:$C$451,$C98,'TL10'!$J$238:$J$451),0),
IF('TL11'!$B$3=P$3,SUMIF('TL11'!$C$10:$C$224,$C98,'TL11'!$J$10:$J$224),0),
IF('TL11'!$B$229=P$3,SUMIF('TL11'!$C$238:$C$451,$C98,'TL11'!$J$238:$J$451),0),
IF('TL12'!$B$3=P$3,SUMIF('TL12'!$C$10:$C$224,$C98,'TL12'!$J$10:$J$224),0),
IF('TL12'!$B$229=P$3,SUMIF('TL12'!$C$238:$C$451,$C98,'TL12'!$J$238:$J$451),0),
IF('TL13'!$B$3=P$3,SUMIF('TL13'!$C$10:$C$224,$C98,'TL13'!$J$10:$J$224),0),
IF('TL13'!$B$229=P$3,SUMIF('TL13'!$C$238:$C$451,$C98,'TL13'!$J$238:$J$451),0),
IF('TL14'!$B$3=P$3,SUMIF('TL14'!$C$10:$C$224,$C98,'TL14'!$J$10:$J$224),0),
IF('TL14'!$B$229=P$3,SUMIF('TL14'!$C$238:$C$451,$C98,'TL14'!$J$238:$J$451),0),
IF('TL15'!$B$3=P$3,SUMIF('TL15'!$C$10:$C$224,$C98,'TL15'!$J$10:$J$224),0),
IF('TL15'!$B$229=P$3,SUMIF('TL15'!$C$238:$C$451,$C98,'TL15'!$J$238:$J$451),0),
IF('TL16'!$B$3=P$3,SUMIF('TL16'!$C$10:$C$224,$C98,'TL16'!$J$10:$J$224),0),
IF('TL16'!$B$229=P$3,SUMIF('TL16'!$C$238:$C$451,$C98,'TL16'!$J$238:$J$451),0),
IF('TL17'!$B$3=P$3,SUMIF('TL17'!$C$10:$C$224,$C98,'TL17'!$J$10:$J$224),0),
IF('TL17'!$B$229=P$3,SUMIF('TL17'!$C$238:$C$451,$C98,'TL17'!$J$238:$J$451),0),
IF('TL18'!$B$3=P$3,SUMIF('TL18'!$C$10:$C$224,$C98,'TL18'!$J$10:$J$224),0),
IF('TL18'!$B$229=P$3,SUMIF('TL18'!$C$238:$C$451,$C98,'TL18'!$J$238:$J$451),0),
IF('TL19'!$B$3=P$3,SUMIF('TL19'!$C$10:$C$224,$C98,'TL19'!$J$10:$J$224),0),
IF('TL19'!$B$229=P$3,SUMIF('TL19'!$C$238:$C$451,$C98,'TL19'!$J$238:$J$451),0)
),0)</f>
        <v/>
      </c>
      <c r="Q98" s="9">
        <f>IFERROR(SUM(
IF('TL01'!$B$3=Q$3,SUMIF('TL01'!$C$10:$C$224,$C98,'TL01'!$J$10:$J$224),0),
IF('TL01'!$B$229=Q$3,SUMIF('TL01'!$C$238:$C$451,$C98,'TL01'!$J$238:$J$451),0),
IF('TL02'!$B$3=Q$3,SUMIF('TL02'!$C$10:$C$224,$C98,'TL02'!$J$10:$J$224),0),
IF('TL02'!$B$229=Q$3,SUMIF('TL02'!$C$238:$C$451,$C98,'TL02'!$J$238:$J$451),0),
IF('TL03'!$B$3=Q$3,SUMIF('TL03'!$C$10:$C$224,$C98,'TL03'!$J$10:$J$224),0),
IF('TL03'!$B$229=Q$3,SUMIF('TL03'!$C$238:$C$451,$C98,'TL03'!$J$238:$J$451),0),
IF('TL04'!$B$3=Q$3,SUMIF('TL04'!$C$10:$C$224,$C98,'TL04'!$J$10:$J$224),0),
IF('TL04'!$B$229=Q$3,SUMIF('TL04'!$C$238:$C$451,$C98,'TL04'!$J$238:$J$451),0),
IF('TL05'!$B$3=Q$3,SUMIF('TL05'!$C$10:$C$224,$C98,'TL05'!$J$10:$J$224),0),
IF('TL05'!$B$229=Q$3,SUMIF('TL05'!$C$238:$C$451,$C98,'TL05'!$J$238:$J$451),0),
IF('TL06'!$B$3=Q$3,SUMIF('TL06'!$C$10:$C$224,$C98,'TL06'!$J$10:$J$224),0),
IF('TL06'!$B$229=Q$3,SUMIF('TL06'!$C$238:$C$451,$C98,'TL06'!$J$238:$J$451),0),
IF('TL07'!$B$3=Q$3,SUMIF('TL07'!$C$10:$C$224,$C98,'TL07'!$J$10:$J$224),0),
IF('TL07'!$B$229=Q$3,SUMIF('TL07'!$C$238:$C$451,$C98,'TL07'!$J$238:$J$451),0),
IF('TL08'!$B$3=Q$3,SUMIF('TL08'!$C$10:$C$224,$C98,'TL08'!$J$10:$J$224),0),
IF('TL08'!$B$229=Q$3,SUMIF('TL08'!$C$238:$C$451,$C98,'TL08'!$J$238:$J$451),0),
IF('TL09'!$B$3=Q$3,SUMIF('TL09'!$C$10:$C$224,$C98,'TL09'!$J$10:$J$224),0),
IF('TL09'!$B$229=Q$3,SUMIF('TL09'!$C$238:$C$451,$C98,'TL09'!$J$238:$J$451),0),
IF('TL10'!$B$3=Q$3,SUMIF('TL10'!$C$10:$C$224,$C98,'TL10'!$J$10:$J$224),0),
IF('TL10'!$B$229=Q$3,SUMIF('TL10'!$C$238:$C$451,$C98,'TL10'!$J$238:$J$451),0),
IF('TL11'!$B$3=Q$3,SUMIF('TL11'!$C$10:$C$224,$C98,'TL11'!$J$10:$J$224),0),
IF('TL11'!$B$229=Q$3,SUMIF('TL11'!$C$238:$C$451,$C98,'TL11'!$J$238:$J$451),0),
IF('TL12'!$B$3=Q$3,SUMIF('TL12'!$C$10:$C$224,$C98,'TL12'!$J$10:$J$224),0),
IF('TL12'!$B$229=Q$3,SUMIF('TL12'!$C$238:$C$451,$C98,'TL12'!$J$238:$J$451),0),
IF('TL13'!$B$3=Q$3,SUMIF('TL13'!$C$10:$C$224,$C98,'TL13'!$J$10:$J$224),0),
IF('TL13'!$B$229=Q$3,SUMIF('TL13'!$C$238:$C$451,$C98,'TL13'!$J$238:$J$451),0),
IF('TL14'!$B$3=Q$3,SUMIF('TL14'!$C$10:$C$224,$C98,'TL14'!$J$10:$J$224),0),
IF('TL14'!$B$229=Q$3,SUMIF('TL14'!$C$238:$C$451,$C98,'TL14'!$J$238:$J$451),0),
IF('TL15'!$B$3=Q$3,SUMIF('TL15'!$C$10:$C$224,$C98,'TL15'!$J$10:$J$224),0),
IF('TL15'!$B$229=Q$3,SUMIF('TL15'!$C$238:$C$451,$C98,'TL15'!$J$238:$J$451),0),
IF('TL16'!$B$3=Q$3,SUMIF('TL16'!$C$10:$C$224,$C98,'TL16'!$J$10:$J$224),0),
IF('TL16'!$B$229=Q$3,SUMIF('TL16'!$C$238:$C$451,$C98,'TL16'!$J$238:$J$451),0),
IF('TL17'!$B$3=Q$3,SUMIF('TL17'!$C$10:$C$224,$C98,'TL17'!$J$10:$J$224),0),
IF('TL17'!$B$229=Q$3,SUMIF('TL17'!$C$238:$C$451,$C98,'TL17'!$J$238:$J$451),0),
IF('TL18'!$B$3=Q$3,SUMIF('TL18'!$C$10:$C$224,$C98,'TL18'!$J$10:$J$224),0),
IF('TL18'!$B$229=Q$3,SUMIF('TL18'!$C$238:$C$451,$C98,'TL18'!$J$238:$J$451),0),
IF('TL19'!$B$3=Q$3,SUMIF('TL19'!$C$10:$C$224,$C98,'TL19'!$J$10:$J$224),0),
IF('TL19'!$B$229=Q$3,SUMIF('TL19'!$C$238:$C$451,$C98,'TL19'!$J$238:$J$451),0)
),0)</f>
        <v/>
      </c>
      <c r="R98" s="9">
        <f>IFERROR(
SUM(
SUMIF('TL01'!C:C,C98,'TL01'!J:J),
SUMIF('TL02'!C:C,C98,'TL02'!J:J),
SUMIF('TL03'!C:C,C98,'TL03'!J:J),
SUMIF('TL04'!C:C,C98,'TL04'!J:J),
SUMIF('TL05'!C:C,C98,'TL05'!J:J),
SUMIF('TL06'!C:C,C98,'TL06'!J:J),
SUMIF('TL07'!C:C,C98,'TL07'!J:J),
SUMIF('TL08'!C:C,C98,'TL08'!J:J),
SUMIF('TL09'!C:C,C98,'TL09'!J:J),
SUMIF('TL10'!C:C,C98,'TL10'!J:J),
SUMIF('TL11'!C:C,C98,'TL11'!J:J),
SUMIF('TL12'!C:C,C98,'TL12'!J:J),
SUMIF('TL13'!C:C,C98,'TL13'!J:J),
SUMIF('TL14'!C:C,C98,'TL14'!J:J),
SUMIF('TL15'!C:C,C98,'TL15'!J:J),
SUMIF('TL16'!C:C,C98,'TL16'!J:J),
SUMIF('TL17'!C:C,C98,'TL17'!J:J),
SUMIF('TL18'!C:C,C98,'TL18'!J:J),SUMIF('TL19'!C:C,C98,'TL19'!J:J))
,0)</f>
        <v/>
      </c>
      <c r="S98" s="17">
        <f>IFERROR(__xludf.DUMMYFUNCTION("IFERROR(VLOOKUP(C98,
IMPORTRANGE(""1wULbzX32WdYsx-lj2U3uUNBBe2INVIRDtcK0d-Dvl90"",
""26-27!C:G""),
5,
FALSE),
"""")"),400.32720000000006)</f>
        <v/>
      </c>
      <c r="T98" s="9" t="n"/>
      <c r="U98" s="92">
        <f>MAX(0,R98-T98)</f>
        <v/>
      </c>
      <c r="V98" s="93">
        <f>U98*S98</f>
        <v/>
      </c>
    </row>
    <row r="99" hidden="1" ht="15.75" customHeight="1" s="297">
      <c r="A99" s="111" t="inlineStr">
        <is>
          <t>SYNGENTA</t>
        </is>
      </c>
      <c r="B99" s="112" t="inlineStr">
        <is>
          <t>FUNGICIDA</t>
        </is>
      </c>
      <c r="C99" s="113" t="inlineStr">
        <is>
          <t>MIRAVIS DUO</t>
        </is>
      </c>
      <c r="D99" s="113" t="inlineStr">
        <is>
          <t>PIDIFLUMETOFEN + DIFENOCONAZOL</t>
        </is>
      </c>
      <c r="E99" s="113" t="inlineStr">
        <is>
          <t>75 + 125</t>
        </is>
      </c>
      <c r="F99" s="4" t="inlineStr">
        <is>
          <t>L</t>
        </is>
      </c>
      <c r="G99" s="90">
        <f>HYPERLINK("https://www.google.com/search?q=" &amp; C99 &amp; "+bula+agrofit+pdf", "📄 Ver bula")</f>
        <v/>
      </c>
      <c r="H99" s="9">
        <f>IFERROR(__xludf.DUMMYFUNCTION("IFERROR(VLOOKUP(C99,
IMPORTRANGE(""1wULbzX32WdYsx-lj2U3uUNBBe2INVIRDtcK0d-Dvl90"",
""26-27!C:K""),
8,
FALSE),
"""")"),0.6)</f>
        <v/>
      </c>
      <c r="I99" s="114" t="inlineStr">
        <is>
          <t>1x20</t>
        </is>
      </c>
      <c r="J99" s="9">
        <f>IFERROR(SUM(
IF('TL01'!$B$3=J$3,SUMIF('TL01'!$C$10:$C$224,$C99,'TL01'!$J$10:$J$224),0),
IF('TL01'!$B$229=J$3,SUMIF('TL01'!$C$238:$C$451,$C99,'TL01'!$J$238:$J$451),0),
IF('TL02'!$B$3=J$3,SUMIF('TL02'!$C$10:$C$224,$C99,'TL02'!$J$10:$J$224),0),
IF('TL02'!$B$229=J$3,SUMIF('TL02'!$C$238:$C$451,$C99,'TL02'!$J$238:$J$451),0),
IF('TL03'!$B$3=J$3,SUMIF('TL03'!$C$10:$C$224,$C99,'TL03'!$J$10:$J$224),0),
IF('TL03'!$B$229=J$3,SUMIF('TL03'!$C$238:$C$451,$C99,'TL03'!$J$238:$J$451),0),
IF('TL04'!$B$3=J$3,SUMIF('TL04'!$C$10:$C$224,$C99,'TL04'!$J$10:$J$224),0),
IF('TL04'!$B$229=J$3,SUMIF('TL04'!$C$238:$C$451,$C99,'TL04'!$J$238:$J$451),0),
IF('TL05'!$B$3=J$3,SUMIF('TL05'!$C$10:$C$224,$C99,'TL05'!$J$10:$J$224),0),
IF('TL05'!$B$229=J$3,SUMIF('TL05'!$C$238:$C$451,$C99,'TL05'!$J$238:$J$451),0),
IF('TL06'!$B$3=J$3,SUMIF('TL06'!$C$10:$C$224,$C99,'TL06'!$J$10:$J$224),0),
IF('TL06'!$B$229=J$3,SUMIF('TL06'!$C$238:$C$451,$C99,'TL06'!$J$238:$J$451),0),
IF('TL07'!$B$3=J$3,SUMIF('TL07'!$C$10:$C$224,$C99,'TL07'!$J$10:$J$224),0),
IF('TL07'!$B$229=J$3,SUMIF('TL07'!$C$238:$C$451,$C99,'TL07'!$J$238:$J$451),0),
IF('TL08'!$B$3=J$3,SUMIF('TL08'!$C$10:$C$224,$C99,'TL08'!$J$10:$J$224),0),
IF('TL08'!$B$229=J$3,SUMIF('TL08'!$C$238:$C$451,$C99,'TL08'!$J$238:$J$451),0),
IF('TL09'!$B$3=J$3,SUMIF('TL09'!$C$10:$C$224,$C99,'TL09'!$J$10:$J$224),0),
IF('TL09'!$B$229=J$3,SUMIF('TL09'!$C$238:$C$451,$C99,'TL09'!$J$238:$J$451),0),
IF('TL10'!$B$3=J$3,SUMIF('TL10'!$C$10:$C$224,$C99,'TL10'!$J$10:$J$224),0),
IF('TL10'!$B$229=J$3,SUMIF('TL10'!$C$238:$C$451,$C99,'TL10'!$J$238:$J$451),0),
IF('TL11'!$B$3=J$3,SUMIF('TL11'!$C$10:$C$224,$C99,'TL11'!$J$10:$J$224),0),
IF('TL11'!$B$229=J$3,SUMIF('TL11'!$C$238:$C$451,$C99,'TL11'!$J$238:$J$451),0),
IF('TL12'!$B$3=J$3,SUMIF('TL12'!$C$10:$C$224,$C99,'TL12'!$J$10:$J$224),0),
IF('TL12'!$B$229=J$3,SUMIF('TL12'!$C$238:$C$451,$C99,'TL12'!$J$238:$J$451),0),
IF('TL13'!$B$3=J$3,SUMIF('TL13'!$C$10:$C$224,$C99,'TL13'!$J$10:$J$224),0),
IF('TL13'!$B$229=J$3,SUMIF('TL13'!$C$238:$C$451,$C99,'TL13'!$J$238:$J$451),0),
IF('TL14'!$B$3=J$3,SUMIF('TL14'!$C$10:$C$224,$C99,'TL14'!$J$10:$J$224),0),
IF('TL14'!$B$229=J$3,SUMIF('TL14'!$C$238:$C$451,$C99,'TL14'!$J$238:$J$451),0),
IF('TL15'!$B$3=J$3,SUMIF('TL15'!$C$10:$C$224,$C99,'TL15'!$J$10:$J$224),0),
IF('TL15'!$B$229=J$3,SUMIF('TL15'!$C$238:$C$451,$C99,'TL15'!$J$238:$J$451),0),
IF('TL16'!$B$3=J$3,SUMIF('TL16'!$C$10:$C$224,$C99,'TL16'!$J$10:$J$224),0),
IF('TL16'!$B$229=J$3,SUMIF('TL16'!$C$238:$C$451,$C99,'TL16'!$J$238:$J$451),0),
IF('TL17'!$B$3=J$3,SUMIF('TL17'!$C$10:$C$224,$C99,'TL17'!$J$10:$J$224),0),
IF('TL17'!$B$229=J$3,SUMIF('TL17'!$C$238:$C$451,$C99,'TL17'!$J$238:$J$451),0),
IF('TL18'!$B$3=J$3,SUMIF('TL18'!$C$10:$C$224,$C99,'TL18'!$J$10:$J$224),0),
IF('TL18'!$B$229=J$3,SUMIF('TL18'!$C$238:$C$451,$C99,'TL18'!$J$238:$J$451),0),
IF('TL19'!$B$3=J$3,SUMIF('TL19'!$C$10:$C$224,$C99,'TL19'!$J$10:$J$224),0),
IF('TL19'!$B$229=J$3,SUMIF('TL19'!$C$238:$C$451,$C99,'TL19'!$J$238:$J$451),0)
),0)</f>
        <v/>
      </c>
      <c r="K99" s="9">
        <f>IFERROR(SUM(
IF('TL01'!$B$3=K$3,SUMIF('TL01'!$C$10:$C$224,$C99,'TL01'!$J$10:$J$224),0),
IF('TL01'!$B$229=K$3,SUMIF('TL01'!$C$238:$C$451,$C99,'TL01'!$J$238:$J$451),0),
IF('TL02'!$B$3=K$3,SUMIF('TL02'!$C$10:$C$224,$C99,'TL02'!$J$10:$J$224),0),
IF('TL02'!$B$229=K$3,SUMIF('TL02'!$C$238:$C$451,$C99,'TL02'!$J$238:$J$451),0),
IF('TL03'!$B$3=K$3,SUMIF('TL03'!$C$10:$C$224,$C99,'TL03'!$J$10:$J$224),0),
IF('TL03'!$B$229=K$3,SUMIF('TL03'!$C$238:$C$451,$C99,'TL03'!$J$238:$J$451),0),
IF('TL04'!$B$3=K$3,SUMIF('TL04'!$C$10:$C$224,$C99,'TL04'!$J$10:$J$224),0),
IF('TL04'!$B$229=K$3,SUMIF('TL04'!$C$238:$C$451,$C99,'TL04'!$J$238:$J$451),0),
IF('TL05'!$B$3=K$3,SUMIF('TL05'!$C$10:$C$224,$C99,'TL05'!$J$10:$J$224),0),
IF('TL05'!$B$229=K$3,SUMIF('TL05'!$C$238:$C$451,$C99,'TL05'!$J$238:$J$451),0),
IF('TL06'!$B$3=K$3,SUMIF('TL06'!$C$10:$C$224,$C99,'TL06'!$J$10:$J$224),0),
IF('TL06'!$B$229=K$3,SUMIF('TL06'!$C$238:$C$451,$C99,'TL06'!$J$238:$J$451),0),
IF('TL07'!$B$3=K$3,SUMIF('TL07'!$C$10:$C$224,$C99,'TL07'!$J$10:$J$224),0),
IF('TL07'!$B$229=K$3,SUMIF('TL07'!$C$238:$C$451,$C99,'TL07'!$J$238:$J$451),0),
IF('TL08'!$B$3=K$3,SUMIF('TL08'!$C$10:$C$224,$C99,'TL08'!$J$10:$J$224),0),
IF('TL08'!$B$229=K$3,SUMIF('TL08'!$C$238:$C$451,$C99,'TL08'!$J$238:$J$451),0),
IF('TL09'!$B$3=K$3,SUMIF('TL09'!$C$10:$C$224,$C99,'TL09'!$J$10:$J$224),0),
IF('TL09'!$B$229=K$3,SUMIF('TL09'!$C$238:$C$451,$C99,'TL09'!$J$238:$J$451),0),
IF('TL10'!$B$3=K$3,SUMIF('TL10'!$C$10:$C$224,$C99,'TL10'!$J$10:$J$224),0),
IF('TL10'!$B$229=K$3,SUMIF('TL10'!$C$238:$C$451,$C99,'TL10'!$J$238:$J$451),0),
IF('TL11'!$B$3=K$3,SUMIF('TL11'!$C$10:$C$224,$C99,'TL11'!$J$10:$J$224),0),
IF('TL11'!$B$229=K$3,SUMIF('TL11'!$C$238:$C$451,$C99,'TL11'!$J$238:$J$451),0),
IF('TL12'!$B$3=K$3,SUMIF('TL12'!$C$10:$C$224,$C99,'TL12'!$J$10:$J$224),0),
IF('TL12'!$B$229=K$3,SUMIF('TL12'!$C$238:$C$451,$C99,'TL12'!$J$238:$J$451),0),
IF('TL13'!$B$3=K$3,SUMIF('TL13'!$C$10:$C$224,$C99,'TL13'!$J$10:$J$224),0),
IF('TL13'!$B$229=K$3,SUMIF('TL13'!$C$238:$C$451,$C99,'TL13'!$J$238:$J$451),0),
IF('TL14'!$B$3=K$3,SUMIF('TL14'!$C$10:$C$224,$C99,'TL14'!$J$10:$J$224),0),
IF('TL14'!$B$229=K$3,SUMIF('TL14'!$C$238:$C$451,$C99,'TL14'!$J$238:$J$451),0),
IF('TL15'!$B$3=K$3,SUMIF('TL15'!$C$10:$C$224,$C99,'TL15'!$J$10:$J$224),0),
IF('TL15'!$B$229=K$3,SUMIF('TL15'!$C$238:$C$451,$C99,'TL15'!$J$238:$J$451),0),
IF('TL16'!$B$3=K$3,SUMIF('TL16'!$C$10:$C$224,$C99,'TL16'!$J$10:$J$224),0),
IF('TL16'!$B$229=K$3,SUMIF('TL16'!$C$238:$C$451,$C99,'TL16'!$J$238:$J$451),0),
IF('TL17'!$B$3=K$3,SUMIF('TL17'!$C$10:$C$224,$C99,'TL17'!$J$10:$J$224),0),
IF('TL17'!$B$229=K$3,SUMIF('TL17'!$C$238:$C$451,$C99,'TL17'!$J$238:$J$451),0),
IF('TL18'!$B$3=K$3,SUMIF('TL18'!$C$10:$C$224,$C99,'TL18'!$J$10:$J$224),0),
IF('TL18'!$B$229=K$3,SUMIF('TL18'!$C$238:$C$451,$C99,'TL18'!$J$238:$J$451),0),
IF('TL19'!$B$3=K$3,SUMIF('TL19'!$C$10:$C$224,$C99,'TL19'!$J$10:$J$224),0),
IF('TL19'!$B$229=K$3,SUMIF('TL19'!$C$238:$C$451,$C99,'TL19'!$J$238:$J$451),0)
),0)</f>
        <v/>
      </c>
      <c r="L99" s="9">
        <f>IFERROR(SUM(
IF('TL01'!$B$3=L$3,SUMIF('TL01'!$C$10:$C$224,$C99,'TL01'!$J$10:$J$224),0),
IF('TL01'!$B$229=L$3,SUMIF('TL01'!$C$238:$C$451,$C99,'TL01'!$J$238:$J$451),0),
IF('TL02'!$B$3=L$3,SUMIF('TL02'!$C$10:$C$224,$C99,'TL02'!$J$10:$J$224),0),
IF('TL02'!$B$229=L$3,SUMIF('TL02'!$C$238:$C$451,$C99,'TL02'!$J$238:$J$451),0),
IF('TL03'!$B$3=L$3,SUMIF('TL03'!$C$10:$C$224,$C99,'TL03'!$J$10:$J$224),0),
IF('TL03'!$B$229=L$3,SUMIF('TL03'!$C$238:$C$451,$C99,'TL03'!$J$238:$J$451),0),
IF('TL04'!$B$3=L$3,SUMIF('TL04'!$C$10:$C$224,$C99,'TL04'!$J$10:$J$224),0),
IF('TL04'!$B$229=L$3,SUMIF('TL04'!$C$238:$C$451,$C99,'TL04'!$J$238:$J$451),0),
IF('TL05'!$B$3=L$3,SUMIF('TL05'!$C$10:$C$224,$C99,'TL05'!$J$10:$J$224),0),
IF('TL05'!$B$229=L$3,SUMIF('TL05'!$C$238:$C$451,$C99,'TL05'!$J$238:$J$451),0),
IF('TL06'!$B$3=L$3,SUMIF('TL06'!$C$10:$C$224,$C99,'TL06'!$J$10:$J$224),0),
IF('TL06'!$B$229=L$3,SUMIF('TL06'!$C$238:$C$451,$C99,'TL06'!$J$238:$J$451),0),
IF('TL07'!$B$3=L$3,SUMIF('TL07'!$C$10:$C$224,$C99,'TL07'!$J$10:$J$224),0),
IF('TL07'!$B$229=L$3,SUMIF('TL07'!$C$238:$C$451,$C99,'TL07'!$J$238:$J$451),0),
IF('TL08'!$B$3=L$3,SUMIF('TL08'!$C$10:$C$224,$C99,'TL08'!$J$10:$J$224),0),
IF('TL08'!$B$229=L$3,SUMIF('TL08'!$C$238:$C$451,$C99,'TL08'!$J$238:$J$451),0),
IF('TL09'!$B$3=L$3,SUMIF('TL09'!$C$10:$C$224,$C99,'TL09'!$J$10:$J$224),0),
IF('TL09'!$B$229=L$3,SUMIF('TL09'!$C$238:$C$451,$C99,'TL09'!$J$238:$J$451),0),
IF('TL10'!$B$3=L$3,SUMIF('TL10'!$C$10:$C$224,$C99,'TL10'!$J$10:$J$224),0),
IF('TL10'!$B$229=L$3,SUMIF('TL10'!$C$238:$C$451,$C99,'TL10'!$J$238:$J$451),0),
IF('TL11'!$B$3=L$3,SUMIF('TL11'!$C$10:$C$224,$C99,'TL11'!$J$10:$J$224),0),
IF('TL11'!$B$229=L$3,SUMIF('TL11'!$C$238:$C$451,$C99,'TL11'!$J$238:$J$451),0),
IF('TL12'!$B$3=L$3,SUMIF('TL12'!$C$10:$C$224,$C99,'TL12'!$J$10:$J$224),0),
IF('TL12'!$B$229=L$3,SUMIF('TL12'!$C$238:$C$451,$C99,'TL12'!$J$238:$J$451),0),
IF('TL13'!$B$3=L$3,SUMIF('TL13'!$C$10:$C$224,$C99,'TL13'!$J$10:$J$224),0),
IF('TL13'!$B$229=L$3,SUMIF('TL13'!$C$238:$C$451,$C99,'TL13'!$J$238:$J$451),0),
IF('TL14'!$B$3=L$3,SUMIF('TL14'!$C$10:$C$224,$C99,'TL14'!$J$10:$J$224),0),
IF('TL14'!$B$229=L$3,SUMIF('TL14'!$C$238:$C$451,$C99,'TL14'!$J$238:$J$451),0),
IF('TL15'!$B$3=L$3,SUMIF('TL15'!$C$10:$C$224,$C99,'TL15'!$J$10:$J$224),0),
IF('TL15'!$B$229=L$3,SUMIF('TL15'!$C$238:$C$451,$C99,'TL15'!$J$238:$J$451),0),
IF('TL16'!$B$3=L$3,SUMIF('TL16'!$C$10:$C$224,$C99,'TL16'!$J$10:$J$224),0),
IF('TL16'!$B$229=L$3,SUMIF('TL16'!$C$238:$C$451,$C99,'TL16'!$J$238:$J$451),0),
IF('TL17'!$B$3=L$3,SUMIF('TL17'!$C$10:$C$224,$C99,'TL17'!$J$10:$J$224),0),
IF('TL17'!$B$229=L$3,SUMIF('TL17'!$C$238:$C$451,$C99,'TL17'!$J$238:$J$451),0),
IF('TL18'!$B$3=L$3,SUMIF('TL18'!$C$10:$C$224,$C99,'TL18'!$J$10:$J$224),0),
IF('TL18'!$B$229=L$3,SUMIF('TL18'!$C$238:$C$451,$C99,'TL18'!$J$238:$J$451),0),
IF('TL19'!$B$3=L$3,SUMIF('TL19'!$C$10:$C$224,$C99,'TL19'!$J$10:$J$224),0),
IF('TL19'!$B$229=L$3,SUMIF('TL19'!$C$238:$C$451,$C99,'TL19'!$J$238:$J$451),0)
),0)</f>
        <v/>
      </c>
      <c r="M99" s="9">
        <f>IFERROR(SUM(
IF('TL01'!$B$3=M$3,SUMIF('TL01'!$C$10:$C$224,$C99,'TL01'!$J$10:$J$224),0),
IF('TL01'!$B$229=M$3,SUMIF('TL01'!$C$238:$C$451,$C99,'TL01'!$J$238:$J$451),0),
IF('TL02'!$B$3=M$3,SUMIF('TL02'!$C$10:$C$224,$C99,'TL02'!$J$10:$J$224),0),
IF('TL02'!$B$229=M$3,SUMIF('TL02'!$C$238:$C$451,$C99,'TL02'!$J$238:$J$451),0),
IF('TL03'!$B$3=M$3,SUMIF('TL03'!$C$10:$C$224,$C99,'TL03'!$J$10:$J$224),0),
IF('TL03'!$B$229=M$3,SUMIF('TL03'!$C$238:$C$451,$C99,'TL03'!$J$238:$J$451),0),
IF('TL04'!$B$3=M$3,SUMIF('TL04'!$C$10:$C$224,$C99,'TL04'!$J$10:$J$224),0),
IF('TL04'!$B$229=M$3,SUMIF('TL04'!$C$238:$C$451,$C99,'TL04'!$J$238:$J$451),0),
IF('TL05'!$B$3=M$3,SUMIF('TL05'!$C$10:$C$224,$C99,'TL05'!$J$10:$J$224),0),
IF('TL05'!$B$229=M$3,SUMIF('TL05'!$C$238:$C$451,$C99,'TL05'!$J$238:$J$451),0),
IF('TL06'!$B$3=M$3,SUMIF('TL06'!$C$10:$C$224,$C99,'TL06'!$J$10:$J$224),0),
IF('TL06'!$B$229=M$3,SUMIF('TL06'!$C$238:$C$451,$C99,'TL06'!$J$238:$J$451),0),
IF('TL07'!$B$3=M$3,SUMIF('TL07'!$C$10:$C$224,$C99,'TL07'!$J$10:$J$224),0),
IF('TL07'!$B$229=M$3,SUMIF('TL07'!$C$238:$C$451,$C99,'TL07'!$J$238:$J$451),0),
IF('TL08'!$B$3=M$3,SUMIF('TL08'!$C$10:$C$224,$C99,'TL08'!$J$10:$J$224),0),
IF('TL08'!$B$229=M$3,SUMIF('TL08'!$C$238:$C$451,$C99,'TL08'!$J$238:$J$451),0),
IF('TL09'!$B$3=M$3,SUMIF('TL09'!$C$10:$C$224,$C99,'TL09'!$J$10:$J$224),0),
IF('TL09'!$B$229=M$3,SUMIF('TL09'!$C$238:$C$451,$C99,'TL09'!$J$238:$J$451),0),
IF('TL10'!$B$3=M$3,SUMIF('TL10'!$C$10:$C$224,$C99,'TL10'!$J$10:$J$224),0),
IF('TL10'!$B$229=M$3,SUMIF('TL10'!$C$238:$C$451,$C99,'TL10'!$J$238:$J$451),0),
IF('TL11'!$B$3=M$3,SUMIF('TL11'!$C$10:$C$224,$C99,'TL11'!$J$10:$J$224),0),
IF('TL11'!$B$229=M$3,SUMIF('TL11'!$C$238:$C$451,$C99,'TL11'!$J$238:$J$451),0),
IF('TL12'!$B$3=M$3,SUMIF('TL12'!$C$10:$C$224,$C99,'TL12'!$J$10:$J$224),0),
IF('TL12'!$B$229=M$3,SUMIF('TL12'!$C$238:$C$451,$C99,'TL12'!$J$238:$J$451),0),
IF('TL13'!$B$3=M$3,SUMIF('TL13'!$C$10:$C$224,$C99,'TL13'!$J$10:$J$224),0),
IF('TL13'!$B$229=M$3,SUMIF('TL13'!$C$238:$C$451,$C99,'TL13'!$J$238:$J$451),0),
IF('TL14'!$B$3=M$3,SUMIF('TL14'!$C$10:$C$224,$C99,'TL14'!$J$10:$J$224),0),
IF('TL14'!$B$229=M$3,SUMIF('TL14'!$C$238:$C$451,$C99,'TL14'!$J$238:$J$451),0),
IF('TL15'!$B$3=M$3,SUMIF('TL15'!$C$10:$C$224,$C99,'TL15'!$J$10:$J$224),0),
IF('TL15'!$B$229=M$3,SUMIF('TL15'!$C$238:$C$451,$C99,'TL15'!$J$238:$J$451),0),
IF('TL16'!$B$3=M$3,SUMIF('TL16'!$C$10:$C$224,$C99,'TL16'!$J$10:$J$224),0),
IF('TL16'!$B$229=M$3,SUMIF('TL16'!$C$238:$C$451,$C99,'TL16'!$J$238:$J$451),0),
IF('TL17'!$B$3=M$3,SUMIF('TL17'!$C$10:$C$224,$C99,'TL17'!$J$10:$J$224),0),
IF('TL17'!$B$229=M$3,SUMIF('TL17'!$C$238:$C$451,$C99,'TL17'!$J$238:$J$451),0),
IF('TL18'!$B$3=M$3,SUMIF('TL18'!$C$10:$C$224,$C99,'TL18'!$J$10:$J$224),0),
IF('TL18'!$B$229=M$3,SUMIF('TL18'!$C$238:$C$451,$C99,'TL18'!$J$238:$J$451),0),
IF('TL19'!$B$3=M$3,SUMIF('TL19'!$C$10:$C$224,$C99,'TL19'!$J$10:$J$224),0),
IF('TL19'!$B$229=M$3,SUMIF('TL19'!$C$238:$C$451,$C99,'TL19'!$J$238:$J$451),0)
),0)</f>
        <v/>
      </c>
      <c r="N99" s="9">
        <f>IFERROR(SUM(
IF('TL01'!$B$3=N$3,SUMIF('TL01'!$C$10:$C$224,$C99,'TL01'!$J$10:$J$224),0),
IF('TL01'!$B$229=N$3,SUMIF('TL01'!$C$238:$C$451,$C99,'TL01'!$J$238:$J$451),0),
IF('TL02'!$B$3=N$3,SUMIF('TL02'!$C$10:$C$224,$C99,'TL02'!$J$10:$J$224),0),
IF('TL02'!$B$229=N$3,SUMIF('TL02'!$C$238:$C$451,$C99,'TL02'!$J$238:$J$451),0),
IF('TL03'!$B$3=N$3,SUMIF('TL03'!$C$10:$C$224,$C99,'TL03'!$J$10:$J$224),0),
IF('TL03'!$B$229=N$3,SUMIF('TL03'!$C$238:$C$451,$C99,'TL03'!$J$238:$J$451),0),
IF('TL04'!$B$3=N$3,SUMIF('TL04'!$C$10:$C$224,$C99,'TL04'!$J$10:$J$224),0),
IF('TL04'!$B$229=N$3,SUMIF('TL04'!$C$238:$C$451,$C99,'TL04'!$J$238:$J$451),0),
IF('TL05'!$B$3=N$3,SUMIF('TL05'!$C$10:$C$224,$C99,'TL05'!$J$10:$J$224),0),
IF('TL05'!$B$229=N$3,SUMIF('TL05'!$C$238:$C$451,$C99,'TL05'!$J$238:$J$451),0),
IF('TL06'!$B$3=N$3,SUMIF('TL06'!$C$10:$C$224,$C99,'TL06'!$J$10:$J$224),0),
IF('TL06'!$B$229=N$3,SUMIF('TL06'!$C$238:$C$451,$C99,'TL06'!$J$238:$J$451),0),
IF('TL07'!$B$3=N$3,SUMIF('TL07'!$C$10:$C$224,$C99,'TL07'!$J$10:$J$224),0),
IF('TL07'!$B$229=N$3,SUMIF('TL07'!$C$238:$C$451,$C99,'TL07'!$J$238:$J$451),0),
IF('TL08'!$B$3=N$3,SUMIF('TL08'!$C$10:$C$224,$C99,'TL08'!$J$10:$J$224),0),
IF('TL08'!$B$229=N$3,SUMIF('TL08'!$C$238:$C$451,$C99,'TL08'!$J$238:$J$451),0),
IF('TL09'!$B$3=N$3,SUMIF('TL09'!$C$10:$C$224,$C99,'TL09'!$J$10:$J$224),0),
IF('TL09'!$B$229=N$3,SUMIF('TL09'!$C$238:$C$451,$C99,'TL09'!$J$238:$J$451),0),
IF('TL10'!$B$3=N$3,SUMIF('TL10'!$C$10:$C$224,$C99,'TL10'!$J$10:$J$224),0),
IF('TL10'!$B$229=N$3,SUMIF('TL10'!$C$238:$C$451,$C99,'TL10'!$J$238:$J$451),0),
IF('TL11'!$B$3=N$3,SUMIF('TL11'!$C$10:$C$224,$C99,'TL11'!$J$10:$J$224),0),
IF('TL11'!$B$229=N$3,SUMIF('TL11'!$C$238:$C$451,$C99,'TL11'!$J$238:$J$451),0),
IF('TL12'!$B$3=N$3,SUMIF('TL12'!$C$10:$C$224,$C99,'TL12'!$J$10:$J$224),0),
IF('TL12'!$B$229=N$3,SUMIF('TL12'!$C$238:$C$451,$C99,'TL12'!$J$238:$J$451),0),
IF('TL13'!$B$3=N$3,SUMIF('TL13'!$C$10:$C$224,$C99,'TL13'!$J$10:$J$224),0),
IF('TL13'!$B$229=N$3,SUMIF('TL13'!$C$238:$C$451,$C99,'TL13'!$J$238:$J$451),0),
IF('TL14'!$B$3=N$3,SUMIF('TL14'!$C$10:$C$224,$C99,'TL14'!$J$10:$J$224),0),
IF('TL14'!$B$229=N$3,SUMIF('TL14'!$C$238:$C$451,$C99,'TL14'!$J$238:$J$451),0),
IF('TL15'!$B$3=N$3,SUMIF('TL15'!$C$10:$C$224,$C99,'TL15'!$J$10:$J$224),0),
IF('TL15'!$B$229=N$3,SUMIF('TL15'!$C$238:$C$451,$C99,'TL15'!$J$238:$J$451),0),
IF('TL16'!$B$3=N$3,SUMIF('TL16'!$C$10:$C$224,$C99,'TL16'!$J$10:$J$224),0),
IF('TL16'!$B$229=N$3,SUMIF('TL16'!$C$238:$C$451,$C99,'TL16'!$J$238:$J$451),0),
IF('TL17'!$B$3=N$3,SUMIF('TL17'!$C$10:$C$224,$C99,'TL17'!$J$10:$J$224),0),
IF('TL17'!$B$229=N$3,SUMIF('TL17'!$C$238:$C$451,$C99,'TL17'!$J$238:$J$451),0),
IF('TL18'!$B$3=N$3,SUMIF('TL18'!$C$10:$C$224,$C99,'TL18'!$J$10:$J$224),0),
IF('TL18'!$B$229=N$3,SUMIF('TL18'!$C$238:$C$451,$C99,'TL18'!$J$238:$J$451),0),
IF('TL19'!$B$3=N$3,SUMIF('TL19'!$C$10:$C$224,$C99,'TL19'!$J$10:$J$224),0),
IF('TL19'!$B$229=N$3,SUMIF('TL19'!$C$238:$C$451,$C99,'TL19'!$J$238:$J$451),0)
),0)</f>
        <v/>
      </c>
      <c r="O99" s="9">
        <f>IFERROR(SUM(
IF('TL01'!$B$3=O$3,SUMIF('TL01'!$C$10:$C$224,$C99,'TL01'!$J$10:$J$224),0),
IF('TL01'!$B$229=O$3,SUMIF('TL01'!$C$238:$C$451,$C99,'TL01'!$J$238:$J$451),0),
IF('TL02'!$B$3=O$3,SUMIF('TL02'!$C$10:$C$224,$C99,'TL02'!$J$10:$J$224),0),
IF('TL02'!$B$229=O$3,SUMIF('TL02'!$C$238:$C$451,$C99,'TL02'!$J$238:$J$451),0),
IF('TL03'!$B$3=O$3,SUMIF('TL03'!$C$10:$C$224,$C99,'TL03'!$J$10:$J$224),0),
IF('TL03'!$B$229=O$3,SUMIF('TL03'!$C$238:$C$451,$C99,'TL03'!$J$238:$J$451),0),
IF('TL04'!$B$3=O$3,SUMIF('TL04'!$C$10:$C$224,$C99,'TL04'!$J$10:$J$224),0),
IF('TL04'!$B$229=O$3,SUMIF('TL04'!$C$238:$C$451,$C99,'TL04'!$J$238:$J$451),0),
IF('TL05'!$B$3=O$3,SUMIF('TL05'!$C$10:$C$224,$C99,'TL05'!$J$10:$J$224),0),
IF('TL05'!$B$229=O$3,SUMIF('TL05'!$C$238:$C$451,$C99,'TL05'!$J$238:$J$451),0),
IF('TL06'!$B$3=O$3,SUMIF('TL06'!$C$10:$C$224,$C99,'TL06'!$J$10:$J$224),0),
IF('TL06'!$B$229=O$3,SUMIF('TL06'!$C$238:$C$451,$C99,'TL06'!$J$238:$J$451),0),
IF('TL07'!$B$3=O$3,SUMIF('TL07'!$C$10:$C$224,$C99,'TL07'!$J$10:$J$224),0),
IF('TL07'!$B$229=O$3,SUMIF('TL07'!$C$238:$C$451,$C99,'TL07'!$J$238:$J$451),0),
IF('TL08'!$B$3=O$3,SUMIF('TL08'!$C$10:$C$224,$C99,'TL08'!$J$10:$J$224),0),
IF('TL08'!$B$229=O$3,SUMIF('TL08'!$C$238:$C$451,$C99,'TL08'!$J$238:$J$451),0),
IF('TL09'!$B$3=O$3,SUMIF('TL09'!$C$10:$C$224,$C99,'TL09'!$J$10:$J$224),0),
IF('TL09'!$B$229=O$3,SUMIF('TL09'!$C$238:$C$451,$C99,'TL09'!$J$238:$J$451),0),
IF('TL10'!$B$3=O$3,SUMIF('TL10'!$C$10:$C$224,$C99,'TL10'!$J$10:$J$224),0),
IF('TL10'!$B$229=O$3,SUMIF('TL10'!$C$238:$C$451,$C99,'TL10'!$J$238:$J$451),0),
IF('TL11'!$B$3=O$3,SUMIF('TL11'!$C$10:$C$224,$C99,'TL11'!$J$10:$J$224),0),
IF('TL11'!$B$229=O$3,SUMIF('TL11'!$C$238:$C$451,$C99,'TL11'!$J$238:$J$451),0),
IF('TL12'!$B$3=O$3,SUMIF('TL12'!$C$10:$C$224,$C99,'TL12'!$J$10:$J$224),0),
IF('TL12'!$B$229=O$3,SUMIF('TL12'!$C$238:$C$451,$C99,'TL12'!$J$238:$J$451),0),
IF('TL13'!$B$3=O$3,SUMIF('TL13'!$C$10:$C$224,$C99,'TL13'!$J$10:$J$224),0),
IF('TL13'!$B$229=O$3,SUMIF('TL13'!$C$238:$C$451,$C99,'TL13'!$J$238:$J$451),0),
IF('TL14'!$B$3=O$3,SUMIF('TL14'!$C$10:$C$224,$C99,'TL14'!$J$10:$J$224),0),
IF('TL14'!$B$229=O$3,SUMIF('TL14'!$C$238:$C$451,$C99,'TL14'!$J$238:$J$451),0),
IF('TL15'!$B$3=O$3,SUMIF('TL15'!$C$10:$C$224,$C99,'TL15'!$J$10:$J$224),0),
IF('TL15'!$B$229=O$3,SUMIF('TL15'!$C$238:$C$451,$C99,'TL15'!$J$238:$J$451),0),
IF('TL16'!$B$3=O$3,SUMIF('TL16'!$C$10:$C$224,$C99,'TL16'!$J$10:$J$224),0),
IF('TL16'!$B$229=O$3,SUMIF('TL16'!$C$238:$C$451,$C99,'TL16'!$J$238:$J$451),0),
IF('TL17'!$B$3=O$3,SUMIF('TL17'!$C$10:$C$224,$C99,'TL17'!$J$10:$J$224),0),
IF('TL17'!$B$229=O$3,SUMIF('TL17'!$C$238:$C$451,$C99,'TL17'!$J$238:$J$451),0),
IF('TL18'!$B$3=O$3,SUMIF('TL18'!$C$10:$C$224,$C99,'TL18'!$J$10:$J$224),0),
IF('TL18'!$B$229=O$3,SUMIF('TL18'!$C$238:$C$451,$C99,'TL18'!$J$238:$J$451),0),
IF('TL19'!$B$3=O$3,SUMIF('TL19'!$C$10:$C$224,$C99,'TL19'!$J$10:$J$224),0),
IF('TL19'!$B$229=O$3,SUMIF('TL19'!$C$238:$C$451,$C99,'TL19'!$J$238:$J$451),0)
),0)</f>
        <v/>
      </c>
      <c r="P99" s="9">
        <f>IFERROR(SUM(
IF('TL01'!$B$3=P$3,SUMIF('TL01'!$C$10:$C$224,$C99,'TL01'!$J$10:$J$224),0),
IF('TL01'!$B$229=P$3,SUMIF('TL01'!$C$238:$C$451,$C99,'TL01'!$J$238:$J$451),0),
IF('TL02'!$B$3=P$3,SUMIF('TL02'!$C$10:$C$224,$C99,'TL02'!$J$10:$J$224),0),
IF('TL02'!$B$229=P$3,SUMIF('TL02'!$C$238:$C$451,$C99,'TL02'!$J$238:$J$451),0),
IF('TL03'!$B$3=P$3,SUMIF('TL03'!$C$10:$C$224,$C99,'TL03'!$J$10:$J$224),0),
IF('TL03'!$B$229=P$3,SUMIF('TL03'!$C$238:$C$451,$C99,'TL03'!$J$238:$J$451),0),
IF('TL04'!$B$3=P$3,SUMIF('TL04'!$C$10:$C$224,$C99,'TL04'!$J$10:$J$224),0),
IF('TL04'!$B$229=P$3,SUMIF('TL04'!$C$238:$C$451,$C99,'TL04'!$J$238:$J$451),0),
IF('TL05'!$B$3=P$3,SUMIF('TL05'!$C$10:$C$224,$C99,'TL05'!$J$10:$J$224),0),
IF('TL05'!$B$229=P$3,SUMIF('TL05'!$C$238:$C$451,$C99,'TL05'!$J$238:$J$451),0),
IF('TL06'!$B$3=P$3,SUMIF('TL06'!$C$10:$C$224,$C99,'TL06'!$J$10:$J$224),0),
IF('TL06'!$B$229=P$3,SUMIF('TL06'!$C$238:$C$451,$C99,'TL06'!$J$238:$J$451),0),
IF('TL07'!$B$3=P$3,SUMIF('TL07'!$C$10:$C$224,$C99,'TL07'!$J$10:$J$224),0),
IF('TL07'!$B$229=P$3,SUMIF('TL07'!$C$238:$C$451,$C99,'TL07'!$J$238:$J$451),0),
IF('TL08'!$B$3=P$3,SUMIF('TL08'!$C$10:$C$224,$C99,'TL08'!$J$10:$J$224),0),
IF('TL08'!$B$229=P$3,SUMIF('TL08'!$C$238:$C$451,$C99,'TL08'!$J$238:$J$451),0),
IF('TL09'!$B$3=P$3,SUMIF('TL09'!$C$10:$C$224,$C99,'TL09'!$J$10:$J$224),0),
IF('TL09'!$B$229=P$3,SUMIF('TL09'!$C$238:$C$451,$C99,'TL09'!$J$238:$J$451),0),
IF('TL10'!$B$3=P$3,SUMIF('TL10'!$C$10:$C$224,$C99,'TL10'!$J$10:$J$224),0),
IF('TL10'!$B$229=P$3,SUMIF('TL10'!$C$238:$C$451,$C99,'TL10'!$J$238:$J$451),0),
IF('TL11'!$B$3=P$3,SUMIF('TL11'!$C$10:$C$224,$C99,'TL11'!$J$10:$J$224),0),
IF('TL11'!$B$229=P$3,SUMIF('TL11'!$C$238:$C$451,$C99,'TL11'!$J$238:$J$451),0),
IF('TL12'!$B$3=P$3,SUMIF('TL12'!$C$10:$C$224,$C99,'TL12'!$J$10:$J$224),0),
IF('TL12'!$B$229=P$3,SUMIF('TL12'!$C$238:$C$451,$C99,'TL12'!$J$238:$J$451),0),
IF('TL13'!$B$3=P$3,SUMIF('TL13'!$C$10:$C$224,$C99,'TL13'!$J$10:$J$224),0),
IF('TL13'!$B$229=P$3,SUMIF('TL13'!$C$238:$C$451,$C99,'TL13'!$J$238:$J$451),0),
IF('TL14'!$B$3=P$3,SUMIF('TL14'!$C$10:$C$224,$C99,'TL14'!$J$10:$J$224),0),
IF('TL14'!$B$229=P$3,SUMIF('TL14'!$C$238:$C$451,$C99,'TL14'!$J$238:$J$451),0),
IF('TL15'!$B$3=P$3,SUMIF('TL15'!$C$10:$C$224,$C99,'TL15'!$J$10:$J$224),0),
IF('TL15'!$B$229=P$3,SUMIF('TL15'!$C$238:$C$451,$C99,'TL15'!$J$238:$J$451),0),
IF('TL16'!$B$3=P$3,SUMIF('TL16'!$C$10:$C$224,$C99,'TL16'!$J$10:$J$224),0),
IF('TL16'!$B$229=P$3,SUMIF('TL16'!$C$238:$C$451,$C99,'TL16'!$J$238:$J$451),0),
IF('TL17'!$B$3=P$3,SUMIF('TL17'!$C$10:$C$224,$C99,'TL17'!$J$10:$J$224),0),
IF('TL17'!$B$229=P$3,SUMIF('TL17'!$C$238:$C$451,$C99,'TL17'!$J$238:$J$451),0),
IF('TL18'!$B$3=P$3,SUMIF('TL18'!$C$10:$C$224,$C99,'TL18'!$J$10:$J$224),0),
IF('TL18'!$B$229=P$3,SUMIF('TL18'!$C$238:$C$451,$C99,'TL18'!$J$238:$J$451),0),
IF('TL19'!$B$3=P$3,SUMIF('TL19'!$C$10:$C$224,$C99,'TL19'!$J$10:$J$224),0),
IF('TL19'!$B$229=P$3,SUMIF('TL19'!$C$238:$C$451,$C99,'TL19'!$J$238:$J$451),0)
),0)</f>
        <v/>
      </c>
      <c r="Q99" s="9">
        <f>IFERROR(SUM(
IF('TL01'!$B$3=Q$3,SUMIF('TL01'!$C$10:$C$224,$C99,'TL01'!$J$10:$J$224),0),
IF('TL01'!$B$229=Q$3,SUMIF('TL01'!$C$238:$C$451,$C99,'TL01'!$J$238:$J$451),0),
IF('TL02'!$B$3=Q$3,SUMIF('TL02'!$C$10:$C$224,$C99,'TL02'!$J$10:$J$224),0),
IF('TL02'!$B$229=Q$3,SUMIF('TL02'!$C$238:$C$451,$C99,'TL02'!$J$238:$J$451),0),
IF('TL03'!$B$3=Q$3,SUMIF('TL03'!$C$10:$C$224,$C99,'TL03'!$J$10:$J$224),0),
IF('TL03'!$B$229=Q$3,SUMIF('TL03'!$C$238:$C$451,$C99,'TL03'!$J$238:$J$451),0),
IF('TL04'!$B$3=Q$3,SUMIF('TL04'!$C$10:$C$224,$C99,'TL04'!$J$10:$J$224),0),
IF('TL04'!$B$229=Q$3,SUMIF('TL04'!$C$238:$C$451,$C99,'TL04'!$J$238:$J$451),0),
IF('TL05'!$B$3=Q$3,SUMIF('TL05'!$C$10:$C$224,$C99,'TL05'!$J$10:$J$224),0),
IF('TL05'!$B$229=Q$3,SUMIF('TL05'!$C$238:$C$451,$C99,'TL05'!$J$238:$J$451),0),
IF('TL06'!$B$3=Q$3,SUMIF('TL06'!$C$10:$C$224,$C99,'TL06'!$J$10:$J$224),0),
IF('TL06'!$B$229=Q$3,SUMIF('TL06'!$C$238:$C$451,$C99,'TL06'!$J$238:$J$451),0),
IF('TL07'!$B$3=Q$3,SUMIF('TL07'!$C$10:$C$224,$C99,'TL07'!$J$10:$J$224),0),
IF('TL07'!$B$229=Q$3,SUMIF('TL07'!$C$238:$C$451,$C99,'TL07'!$J$238:$J$451),0),
IF('TL08'!$B$3=Q$3,SUMIF('TL08'!$C$10:$C$224,$C99,'TL08'!$J$10:$J$224),0),
IF('TL08'!$B$229=Q$3,SUMIF('TL08'!$C$238:$C$451,$C99,'TL08'!$J$238:$J$451),0),
IF('TL09'!$B$3=Q$3,SUMIF('TL09'!$C$10:$C$224,$C99,'TL09'!$J$10:$J$224),0),
IF('TL09'!$B$229=Q$3,SUMIF('TL09'!$C$238:$C$451,$C99,'TL09'!$J$238:$J$451),0),
IF('TL10'!$B$3=Q$3,SUMIF('TL10'!$C$10:$C$224,$C99,'TL10'!$J$10:$J$224),0),
IF('TL10'!$B$229=Q$3,SUMIF('TL10'!$C$238:$C$451,$C99,'TL10'!$J$238:$J$451),0),
IF('TL11'!$B$3=Q$3,SUMIF('TL11'!$C$10:$C$224,$C99,'TL11'!$J$10:$J$224),0),
IF('TL11'!$B$229=Q$3,SUMIF('TL11'!$C$238:$C$451,$C99,'TL11'!$J$238:$J$451),0),
IF('TL12'!$B$3=Q$3,SUMIF('TL12'!$C$10:$C$224,$C99,'TL12'!$J$10:$J$224),0),
IF('TL12'!$B$229=Q$3,SUMIF('TL12'!$C$238:$C$451,$C99,'TL12'!$J$238:$J$451),0),
IF('TL13'!$B$3=Q$3,SUMIF('TL13'!$C$10:$C$224,$C99,'TL13'!$J$10:$J$224),0),
IF('TL13'!$B$229=Q$3,SUMIF('TL13'!$C$238:$C$451,$C99,'TL13'!$J$238:$J$451),0),
IF('TL14'!$B$3=Q$3,SUMIF('TL14'!$C$10:$C$224,$C99,'TL14'!$J$10:$J$224),0),
IF('TL14'!$B$229=Q$3,SUMIF('TL14'!$C$238:$C$451,$C99,'TL14'!$J$238:$J$451),0),
IF('TL15'!$B$3=Q$3,SUMIF('TL15'!$C$10:$C$224,$C99,'TL15'!$J$10:$J$224),0),
IF('TL15'!$B$229=Q$3,SUMIF('TL15'!$C$238:$C$451,$C99,'TL15'!$J$238:$J$451),0),
IF('TL16'!$B$3=Q$3,SUMIF('TL16'!$C$10:$C$224,$C99,'TL16'!$J$10:$J$224),0),
IF('TL16'!$B$229=Q$3,SUMIF('TL16'!$C$238:$C$451,$C99,'TL16'!$J$238:$J$451),0),
IF('TL17'!$B$3=Q$3,SUMIF('TL17'!$C$10:$C$224,$C99,'TL17'!$J$10:$J$224),0),
IF('TL17'!$B$229=Q$3,SUMIF('TL17'!$C$238:$C$451,$C99,'TL17'!$J$238:$J$451),0),
IF('TL18'!$B$3=Q$3,SUMIF('TL18'!$C$10:$C$224,$C99,'TL18'!$J$10:$J$224),0),
IF('TL18'!$B$229=Q$3,SUMIF('TL18'!$C$238:$C$451,$C99,'TL18'!$J$238:$J$451),0),
IF('TL19'!$B$3=Q$3,SUMIF('TL19'!$C$10:$C$224,$C99,'TL19'!$J$10:$J$224),0),
IF('TL19'!$B$229=Q$3,SUMIF('TL19'!$C$238:$C$451,$C99,'TL19'!$J$238:$J$451),0)
),0)</f>
        <v/>
      </c>
      <c r="R99" s="9">
        <f>IFERROR(
SUM(
SUMIF('TL01'!C:C,C99,'TL01'!J:J),
SUMIF('TL02'!C:C,C99,'TL02'!J:J),
SUMIF('TL03'!C:C,C99,'TL03'!J:J),
SUMIF('TL04'!C:C,C99,'TL04'!J:J),
SUMIF('TL05'!C:C,C99,'TL05'!J:J),
SUMIF('TL06'!C:C,C99,'TL06'!J:J),
SUMIF('TL07'!C:C,C99,'TL07'!J:J),
SUMIF('TL08'!C:C,C99,'TL08'!J:J),
SUMIF('TL09'!C:C,C99,'TL09'!J:J),
SUMIF('TL10'!C:C,C99,'TL10'!J:J),
SUMIF('TL11'!C:C,C99,'TL11'!J:J),
SUMIF('TL12'!C:C,C99,'TL12'!J:J),
SUMIF('TL13'!C:C,C99,'TL13'!J:J),
SUMIF('TL14'!C:C,C99,'TL14'!J:J),
SUMIF('TL15'!C:C,C99,'TL15'!J:J),
SUMIF('TL16'!C:C,C99,'TL16'!J:J),
SUMIF('TL17'!C:C,C99,'TL17'!J:J),
SUMIF('TL18'!C:C,C99,'TL18'!J:J),SUMIF('TL19'!C:C,C99,'TL19'!J:J))
,0)</f>
        <v/>
      </c>
      <c r="S99" s="17">
        <f>IFERROR(__xludf.DUMMYFUNCTION("IFERROR(VLOOKUP(C99,
IMPORTRANGE(""1wULbzX32WdYsx-lj2U3uUNBBe2INVIRDtcK0d-Dvl90"",
""26-27!C:G""),
5,
FALSE),
"""")"),133.53264000000001)</f>
        <v/>
      </c>
      <c r="T99" s="9" t="n">
        <v>220</v>
      </c>
      <c r="U99" s="92">
        <f>MAX(0,R99-T99)</f>
        <v/>
      </c>
      <c r="V99" s="93">
        <f>U99*S99</f>
        <v/>
      </c>
    </row>
    <row r="100" hidden="1" ht="15.75" customHeight="1" s="297">
      <c r="A100" s="115" t="inlineStr">
        <is>
          <t>SYNGENTA</t>
        </is>
      </c>
      <c r="B100" s="100" t="inlineStr">
        <is>
          <t>FUNGICIDA</t>
        </is>
      </c>
      <c r="C100" s="116" t="inlineStr">
        <is>
          <t>MIRAVIS PRO</t>
        </is>
      </c>
      <c r="D100" s="116" t="inlineStr">
        <is>
          <t>PIDIFLUMETOFEN + PROTIOCONAZOL</t>
        </is>
      </c>
      <c r="E100" s="116" t="inlineStr">
        <is>
          <t>62,5 + 75</t>
        </is>
      </c>
      <c r="F100" s="4" t="inlineStr">
        <is>
          <t>L</t>
        </is>
      </c>
      <c r="G100" s="90">
        <f>HYPERLINK("https://www.google.com/search?q=" &amp; C100 &amp; "+bula+agrofit+pdf", "📄 Ver bula")</f>
        <v/>
      </c>
      <c r="H100" s="9">
        <f>IFERROR(__xludf.DUMMYFUNCTION("IFERROR(VLOOKUP(C100,
IMPORTRANGE(""1wULbzX32WdYsx-lj2U3uUNBBe2INVIRDtcK0d-Dvl90"",
""26-27!C:K""),
8,
FALSE),
"""")"),1.0)</f>
        <v/>
      </c>
      <c r="I100" s="117" t="inlineStr">
        <is>
          <t>1x20</t>
        </is>
      </c>
      <c r="J100" s="9">
        <f>IFERROR(SUM(
IF('TL01'!$B$3=J$3,SUMIF('TL01'!$C$10:$C$224,$C100,'TL01'!$J$10:$J$224),0),
IF('TL01'!$B$229=J$3,SUMIF('TL01'!$C$238:$C$451,$C100,'TL01'!$J$238:$J$451),0),
IF('TL02'!$B$3=J$3,SUMIF('TL02'!$C$10:$C$224,$C100,'TL02'!$J$10:$J$224),0),
IF('TL02'!$B$229=J$3,SUMIF('TL02'!$C$238:$C$451,$C100,'TL02'!$J$238:$J$451),0),
IF('TL03'!$B$3=J$3,SUMIF('TL03'!$C$10:$C$224,$C100,'TL03'!$J$10:$J$224),0),
IF('TL03'!$B$229=J$3,SUMIF('TL03'!$C$238:$C$451,$C100,'TL03'!$J$238:$J$451),0),
IF('TL04'!$B$3=J$3,SUMIF('TL04'!$C$10:$C$224,$C100,'TL04'!$J$10:$J$224),0),
IF('TL04'!$B$229=J$3,SUMIF('TL04'!$C$238:$C$451,$C100,'TL04'!$J$238:$J$451),0),
IF('TL05'!$B$3=J$3,SUMIF('TL05'!$C$10:$C$224,$C100,'TL05'!$J$10:$J$224),0),
IF('TL05'!$B$229=J$3,SUMIF('TL05'!$C$238:$C$451,$C100,'TL05'!$J$238:$J$451),0),
IF('TL06'!$B$3=J$3,SUMIF('TL06'!$C$10:$C$224,$C100,'TL06'!$J$10:$J$224),0),
IF('TL06'!$B$229=J$3,SUMIF('TL06'!$C$238:$C$451,$C100,'TL06'!$J$238:$J$451),0),
IF('TL07'!$B$3=J$3,SUMIF('TL07'!$C$10:$C$224,$C100,'TL07'!$J$10:$J$224),0),
IF('TL07'!$B$229=J$3,SUMIF('TL07'!$C$238:$C$451,$C100,'TL07'!$J$238:$J$451),0),
IF('TL08'!$B$3=J$3,SUMIF('TL08'!$C$10:$C$224,$C100,'TL08'!$J$10:$J$224),0),
IF('TL08'!$B$229=J$3,SUMIF('TL08'!$C$238:$C$451,$C100,'TL08'!$J$238:$J$451),0),
IF('TL09'!$B$3=J$3,SUMIF('TL09'!$C$10:$C$224,$C100,'TL09'!$J$10:$J$224),0),
IF('TL09'!$B$229=J$3,SUMIF('TL09'!$C$238:$C$451,$C100,'TL09'!$J$238:$J$451),0),
IF('TL10'!$B$3=J$3,SUMIF('TL10'!$C$10:$C$224,$C100,'TL10'!$J$10:$J$224),0),
IF('TL10'!$B$229=J$3,SUMIF('TL10'!$C$238:$C$451,$C100,'TL10'!$J$238:$J$451),0),
IF('TL11'!$B$3=J$3,SUMIF('TL11'!$C$10:$C$224,$C100,'TL11'!$J$10:$J$224),0),
IF('TL11'!$B$229=J$3,SUMIF('TL11'!$C$238:$C$451,$C100,'TL11'!$J$238:$J$451),0),
IF('TL12'!$B$3=J$3,SUMIF('TL12'!$C$10:$C$224,$C100,'TL12'!$J$10:$J$224),0),
IF('TL12'!$B$229=J$3,SUMIF('TL12'!$C$238:$C$451,$C100,'TL12'!$J$238:$J$451),0),
IF('TL13'!$B$3=J$3,SUMIF('TL13'!$C$10:$C$224,$C100,'TL13'!$J$10:$J$224),0),
IF('TL13'!$B$229=J$3,SUMIF('TL13'!$C$238:$C$451,$C100,'TL13'!$J$238:$J$451),0),
IF('TL14'!$B$3=J$3,SUMIF('TL14'!$C$10:$C$224,$C100,'TL14'!$J$10:$J$224),0),
IF('TL14'!$B$229=J$3,SUMIF('TL14'!$C$238:$C$451,$C100,'TL14'!$J$238:$J$451),0),
IF('TL15'!$B$3=J$3,SUMIF('TL15'!$C$10:$C$224,$C100,'TL15'!$J$10:$J$224),0),
IF('TL15'!$B$229=J$3,SUMIF('TL15'!$C$238:$C$451,$C100,'TL15'!$J$238:$J$451),0),
IF('TL16'!$B$3=J$3,SUMIF('TL16'!$C$10:$C$224,$C100,'TL16'!$J$10:$J$224),0),
IF('TL16'!$B$229=J$3,SUMIF('TL16'!$C$238:$C$451,$C100,'TL16'!$J$238:$J$451),0),
IF('TL17'!$B$3=J$3,SUMIF('TL17'!$C$10:$C$224,$C100,'TL17'!$J$10:$J$224),0),
IF('TL17'!$B$229=J$3,SUMIF('TL17'!$C$238:$C$451,$C100,'TL17'!$J$238:$J$451),0),
IF('TL18'!$B$3=J$3,SUMIF('TL18'!$C$10:$C$224,$C100,'TL18'!$J$10:$J$224),0),
IF('TL18'!$B$229=J$3,SUMIF('TL18'!$C$238:$C$451,$C100,'TL18'!$J$238:$J$451),0),
IF('TL19'!$B$3=J$3,SUMIF('TL19'!$C$10:$C$224,$C100,'TL19'!$J$10:$J$224),0),
IF('TL19'!$B$229=J$3,SUMIF('TL19'!$C$238:$C$451,$C100,'TL19'!$J$238:$J$451),0)
),0)</f>
        <v/>
      </c>
      <c r="K100" s="9">
        <f>IFERROR(SUM(
IF('TL01'!$B$3=K$3,SUMIF('TL01'!$C$10:$C$224,$C100,'TL01'!$J$10:$J$224),0),
IF('TL01'!$B$229=K$3,SUMIF('TL01'!$C$238:$C$451,$C100,'TL01'!$J$238:$J$451),0),
IF('TL02'!$B$3=K$3,SUMIF('TL02'!$C$10:$C$224,$C100,'TL02'!$J$10:$J$224),0),
IF('TL02'!$B$229=K$3,SUMIF('TL02'!$C$238:$C$451,$C100,'TL02'!$J$238:$J$451),0),
IF('TL03'!$B$3=K$3,SUMIF('TL03'!$C$10:$C$224,$C100,'TL03'!$J$10:$J$224),0),
IF('TL03'!$B$229=K$3,SUMIF('TL03'!$C$238:$C$451,$C100,'TL03'!$J$238:$J$451),0),
IF('TL04'!$B$3=K$3,SUMIF('TL04'!$C$10:$C$224,$C100,'TL04'!$J$10:$J$224),0),
IF('TL04'!$B$229=K$3,SUMIF('TL04'!$C$238:$C$451,$C100,'TL04'!$J$238:$J$451),0),
IF('TL05'!$B$3=K$3,SUMIF('TL05'!$C$10:$C$224,$C100,'TL05'!$J$10:$J$224),0),
IF('TL05'!$B$229=K$3,SUMIF('TL05'!$C$238:$C$451,$C100,'TL05'!$J$238:$J$451),0),
IF('TL06'!$B$3=K$3,SUMIF('TL06'!$C$10:$C$224,$C100,'TL06'!$J$10:$J$224),0),
IF('TL06'!$B$229=K$3,SUMIF('TL06'!$C$238:$C$451,$C100,'TL06'!$J$238:$J$451),0),
IF('TL07'!$B$3=K$3,SUMIF('TL07'!$C$10:$C$224,$C100,'TL07'!$J$10:$J$224),0),
IF('TL07'!$B$229=K$3,SUMIF('TL07'!$C$238:$C$451,$C100,'TL07'!$J$238:$J$451),0),
IF('TL08'!$B$3=K$3,SUMIF('TL08'!$C$10:$C$224,$C100,'TL08'!$J$10:$J$224),0),
IF('TL08'!$B$229=K$3,SUMIF('TL08'!$C$238:$C$451,$C100,'TL08'!$J$238:$J$451),0),
IF('TL09'!$B$3=K$3,SUMIF('TL09'!$C$10:$C$224,$C100,'TL09'!$J$10:$J$224),0),
IF('TL09'!$B$229=K$3,SUMIF('TL09'!$C$238:$C$451,$C100,'TL09'!$J$238:$J$451),0),
IF('TL10'!$B$3=K$3,SUMIF('TL10'!$C$10:$C$224,$C100,'TL10'!$J$10:$J$224),0),
IF('TL10'!$B$229=K$3,SUMIF('TL10'!$C$238:$C$451,$C100,'TL10'!$J$238:$J$451),0),
IF('TL11'!$B$3=K$3,SUMIF('TL11'!$C$10:$C$224,$C100,'TL11'!$J$10:$J$224),0),
IF('TL11'!$B$229=K$3,SUMIF('TL11'!$C$238:$C$451,$C100,'TL11'!$J$238:$J$451),0),
IF('TL12'!$B$3=K$3,SUMIF('TL12'!$C$10:$C$224,$C100,'TL12'!$J$10:$J$224),0),
IF('TL12'!$B$229=K$3,SUMIF('TL12'!$C$238:$C$451,$C100,'TL12'!$J$238:$J$451),0),
IF('TL13'!$B$3=K$3,SUMIF('TL13'!$C$10:$C$224,$C100,'TL13'!$J$10:$J$224),0),
IF('TL13'!$B$229=K$3,SUMIF('TL13'!$C$238:$C$451,$C100,'TL13'!$J$238:$J$451),0),
IF('TL14'!$B$3=K$3,SUMIF('TL14'!$C$10:$C$224,$C100,'TL14'!$J$10:$J$224),0),
IF('TL14'!$B$229=K$3,SUMIF('TL14'!$C$238:$C$451,$C100,'TL14'!$J$238:$J$451),0),
IF('TL15'!$B$3=K$3,SUMIF('TL15'!$C$10:$C$224,$C100,'TL15'!$J$10:$J$224),0),
IF('TL15'!$B$229=K$3,SUMIF('TL15'!$C$238:$C$451,$C100,'TL15'!$J$238:$J$451),0),
IF('TL16'!$B$3=K$3,SUMIF('TL16'!$C$10:$C$224,$C100,'TL16'!$J$10:$J$224),0),
IF('TL16'!$B$229=K$3,SUMIF('TL16'!$C$238:$C$451,$C100,'TL16'!$J$238:$J$451),0),
IF('TL17'!$B$3=K$3,SUMIF('TL17'!$C$10:$C$224,$C100,'TL17'!$J$10:$J$224),0),
IF('TL17'!$B$229=K$3,SUMIF('TL17'!$C$238:$C$451,$C100,'TL17'!$J$238:$J$451),0),
IF('TL18'!$B$3=K$3,SUMIF('TL18'!$C$10:$C$224,$C100,'TL18'!$J$10:$J$224),0),
IF('TL18'!$B$229=K$3,SUMIF('TL18'!$C$238:$C$451,$C100,'TL18'!$J$238:$J$451),0),
IF('TL19'!$B$3=K$3,SUMIF('TL19'!$C$10:$C$224,$C100,'TL19'!$J$10:$J$224),0),
IF('TL19'!$B$229=K$3,SUMIF('TL19'!$C$238:$C$451,$C100,'TL19'!$J$238:$J$451),0)
),0)</f>
        <v/>
      </c>
      <c r="L100" s="9">
        <f>IFERROR(SUM(
IF('TL01'!$B$3=L$3,SUMIF('TL01'!$C$10:$C$224,$C100,'TL01'!$J$10:$J$224),0),
IF('TL01'!$B$229=L$3,SUMIF('TL01'!$C$238:$C$451,$C100,'TL01'!$J$238:$J$451),0),
IF('TL02'!$B$3=L$3,SUMIF('TL02'!$C$10:$C$224,$C100,'TL02'!$J$10:$J$224),0),
IF('TL02'!$B$229=L$3,SUMIF('TL02'!$C$238:$C$451,$C100,'TL02'!$J$238:$J$451),0),
IF('TL03'!$B$3=L$3,SUMIF('TL03'!$C$10:$C$224,$C100,'TL03'!$J$10:$J$224),0),
IF('TL03'!$B$229=L$3,SUMIF('TL03'!$C$238:$C$451,$C100,'TL03'!$J$238:$J$451),0),
IF('TL04'!$B$3=L$3,SUMIF('TL04'!$C$10:$C$224,$C100,'TL04'!$J$10:$J$224),0),
IF('TL04'!$B$229=L$3,SUMIF('TL04'!$C$238:$C$451,$C100,'TL04'!$J$238:$J$451),0),
IF('TL05'!$B$3=L$3,SUMIF('TL05'!$C$10:$C$224,$C100,'TL05'!$J$10:$J$224),0),
IF('TL05'!$B$229=L$3,SUMIF('TL05'!$C$238:$C$451,$C100,'TL05'!$J$238:$J$451),0),
IF('TL06'!$B$3=L$3,SUMIF('TL06'!$C$10:$C$224,$C100,'TL06'!$J$10:$J$224),0),
IF('TL06'!$B$229=L$3,SUMIF('TL06'!$C$238:$C$451,$C100,'TL06'!$J$238:$J$451),0),
IF('TL07'!$B$3=L$3,SUMIF('TL07'!$C$10:$C$224,$C100,'TL07'!$J$10:$J$224),0),
IF('TL07'!$B$229=L$3,SUMIF('TL07'!$C$238:$C$451,$C100,'TL07'!$J$238:$J$451),0),
IF('TL08'!$B$3=L$3,SUMIF('TL08'!$C$10:$C$224,$C100,'TL08'!$J$10:$J$224),0),
IF('TL08'!$B$229=L$3,SUMIF('TL08'!$C$238:$C$451,$C100,'TL08'!$J$238:$J$451),0),
IF('TL09'!$B$3=L$3,SUMIF('TL09'!$C$10:$C$224,$C100,'TL09'!$J$10:$J$224),0),
IF('TL09'!$B$229=L$3,SUMIF('TL09'!$C$238:$C$451,$C100,'TL09'!$J$238:$J$451),0),
IF('TL10'!$B$3=L$3,SUMIF('TL10'!$C$10:$C$224,$C100,'TL10'!$J$10:$J$224),0),
IF('TL10'!$B$229=L$3,SUMIF('TL10'!$C$238:$C$451,$C100,'TL10'!$J$238:$J$451),0),
IF('TL11'!$B$3=L$3,SUMIF('TL11'!$C$10:$C$224,$C100,'TL11'!$J$10:$J$224),0),
IF('TL11'!$B$229=L$3,SUMIF('TL11'!$C$238:$C$451,$C100,'TL11'!$J$238:$J$451),0),
IF('TL12'!$B$3=L$3,SUMIF('TL12'!$C$10:$C$224,$C100,'TL12'!$J$10:$J$224),0),
IF('TL12'!$B$229=L$3,SUMIF('TL12'!$C$238:$C$451,$C100,'TL12'!$J$238:$J$451),0),
IF('TL13'!$B$3=L$3,SUMIF('TL13'!$C$10:$C$224,$C100,'TL13'!$J$10:$J$224),0),
IF('TL13'!$B$229=L$3,SUMIF('TL13'!$C$238:$C$451,$C100,'TL13'!$J$238:$J$451),0),
IF('TL14'!$B$3=L$3,SUMIF('TL14'!$C$10:$C$224,$C100,'TL14'!$J$10:$J$224),0),
IF('TL14'!$B$229=L$3,SUMIF('TL14'!$C$238:$C$451,$C100,'TL14'!$J$238:$J$451),0),
IF('TL15'!$B$3=L$3,SUMIF('TL15'!$C$10:$C$224,$C100,'TL15'!$J$10:$J$224),0),
IF('TL15'!$B$229=L$3,SUMIF('TL15'!$C$238:$C$451,$C100,'TL15'!$J$238:$J$451),0),
IF('TL16'!$B$3=L$3,SUMIF('TL16'!$C$10:$C$224,$C100,'TL16'!$J$10:$J$224),0),
IF('TL16'!$B$229=L$3,SUMIF('TL16'!$C$238:$C$451,$C100,'TL16'!$J$238:$J$451),0),
IF('TL17'!$B$3=L$3,SUMIF('TL17'!$C$10:$C$224,$C100,'TL17'!$J$10:$J$224),0),
IF('TL17'!$B$229=L$3,SUMIF('TL17'!$C$238:$C$451,$C100,'TL17'!$J$238:$J$451),0),
IF('TL18'!$B$3=L$3,SUMIF('TL18'!$C$10:$C$224,$C100,'TL18'!$J$10:$J$224),0),
IF('TL18'!$B$229=L$3,SUMIF('TL18'!$C$238:$C$451,$C100,'TL18'!$J$238:$J$451),0),
IF('TL19'!$B$3=L$3,SUMIF('TL19'!$C$10:$C$224,$C100,'TL19'!$J$10:$J$224),0),
IF('TL19'!$B$229=L$3,SUMIF('TL19'!$C$238:$C$451,$C100,'TL19'!$J$238:$J$451),0)
),0)</f>
        <v/>
      </c>
      <c r="M100" s="9">
        <f>IFERROR(SUM(
IF('TL01'!$B$3=M$3,SUMIF('TL01'!$C$10:$C$224,$C100,'TL01'!$J$10:$J$224),0),
IF('TL01'!$B$229=M$3,SUMIF('TL01'!$C$238:$C$451,$C100,'TL01'!$J$238:$J$451),0),
IF('TL02'!$B$3=M$3,SUMIF('TL02'!$C$10:$C$224,$C100,'TL02'!$J$10:$J$224),0),
IF('TL02'!$B$229=M$3,SUMIF('TL02'!$C$238:$C$451,$C100,'TL02'!$J$238:$J$451),0),
IF('TL03'!$B$3=M$3,SUMIF('TL03'!$C$10:$C$224,$C100,'TL03'!$J$10:$J$224),0),
IF('TL03'!$B$229=M$3,SUMIF('TL03'!$C$238:$C$451,$C100,'TL03'!$J$238:$J$451),0),
IF('TL04'!$B$3=M$3,SUMIF('TL04'!$C$10:$C$224,$C100,'TL04'!$J$10:$J$224),0),
IF('TL04'!$B$229=M$3,SUMIF('TL04'!$C$238:$C$451,$C100,'TL04'!$J$238:$J$451),0),
IF('TL05'!$B$3=M$3,SUMIF('TL05'!$C$10:$C$224,$C100,'TL05'!$J$10:$J$224),0),
IF('TL05'!$B$229=M$3,SUMIF('TL05'!$C$238:$C$451,$C100,'TL05'!$J$238:$J$451),0),
IF('TL06'!$B$3=M$3,SUMIF('TL06'!$C$10:$C$224,$C100,'TL06'!$J$10:$J$224),0),
IF('TL06'!$B$229=M$3,SUMIF('TL06'!$C$238:$C$451,$C100,'TL06'!$J$238:$J$451),0),
IF('TL07'!$B$3=M$3,SUMIF('TL07'!$C$10:$C$224,$C100,'TL07'!$J$10:$J$224),0),
IF('TL07'!$B$229=M$3,SUMIF('TL07'!$C$238:$C$451,$C100,'TL07'!$J$238:$J$451),0),
IF('TL08'!$B$3=M$3,SUMIF('TL08'!$C$10:$C$224,$C100,'TL08'!$J$10:$J$224),0),
IF('TL08'!$B$229=M$3,SUMIF('TL08'!$C$238:$C$451,$C100,'TL08'!$J$238:$J$451),0),
IF('TL09'!$B$3=M$3,SUMIF('TL09'!$C$10:$C$224,$C100,'TL09'!$J$10:$J$224),0),
IF('TL09'!$B$229=M$3,SUMIF('TL09'!$C$238:$C$451,$C100,'TL09'!$J$238:$J$451),0),
IF('TL10'!$B$3=M$3,SUMIF('TL10'!$C$10:$C$224,$C100,'TL10'!$J$10:$J$224),0),
IF('TL10'!$B$229=M$3,SUMIF('TL10'!$C$238:$C$451,$C100,'TL10'!$J$238:$J$451),0),
IF('TL11'!$B$3=M$3,SUMIF('TL11'!$C$10:$C$224,$C100,'TL11'!$J$10:$J$224),0),
IF('TL11'!$B$229=M$3,SUMIF('TL11'!$C$238:$C$451,$C100,'TL11'!$J$238:$J$451),0),
IF('TL12'!$B$3=M$3,SUMIF('TL12'!$C$10:$C$224,$C100,'TL12'!$J$10:$J$224),0),
IF('TL12'!$B$229=M$3,SUMIF('TL12'!$C$238:$C$451,$C100,'TL12'!$J$238:$J$451),0),
IF('TL13'!$B$3=M$3,SUMIF('TL13'!$C$10:$C$224,$C100,'TL13'!$J$10:$J$224),0),
IF('TL13'!$B$229=M$3,SUMIF('TL13'!$C$238:$C$451,$C100,'TL13'!$J$238:$J$451),0),
IF('TL14'!$B$3=M$3,SUMIF('TL14'!$C$10:$C$224,$C100,'TL14'!$J$10:$J$224),0),
IF('TL14'!$B$229=M$3,SUMIF('TL14'!$C$238:$C$451,$C100,'TL14'!$J$238:$J$451),0),
IF('TL15'!$B$3=M$3,SUMIF('TL15'!$C$10:$C$224,$C100,'TL15'!$J$10:$J$224),0),
IF('TL15'!$B$229=M$3,SUMIF('TL15'!$C$238:$C$451,$C100,'TL15'!$J$238:$J$451),0),
IF('TL16'!$B$3=M$3,SUMIF('TL16'!$C$10:$C$224,$C100,'TL16'!$J$10:$J$224),0),
IF('TL16'!$B$229=M$3,SUMIF('TL16'!$C$238:$C$451,$C100,'TL16'!$J$238:$J$451),0),
IF('TL17'!$B$3=M$3,SUMIF('TL17'!$C$10:$C$224,$C100,'TL17'!$J$10:$J$224),0),
IF('TL17'!$B$229=M$3,SUMIF('TL17'!$C$238:$C$451,$C100,'TL17'!$J$238:$J$451),0),
IF('TL18'!$B$3=M$3,SUMIF('TL18'!$C$10:$C$224,$C100,'TL18'!$J$10:$J$224),0),
IF('TL18'!$B$229=M$3,SUMIF('TL18'!$C$238:$C$451,$C100,'TL18'!$J$238:$J$451),0),
IF('TL19'!$B$3=M$3,SUMIF('TL19'!$C$10:$C$224,$C100,'TL19'!$J$10:$J$224),0),
IF('TL19'!$B$229=M$3,SUMIF('TL19'!$C$238:$C$451,$C100,'TL19'!$J$238:$J$451),0)
),0)</f>
        <v/>
      </c>
      <c r="N100" s="9">
        <f>IFERROR(SUM(
IF('TL01'!$B$3=N$3,SUMIF('TL01'!$C$10:$C$224,$C100,'TL01'!$J$10:$J$224),0),
IF('TL01'!$B$229=N$3,SUMIF('TL01'!$C$238:$C$451,$C100,'TL01'!$J$238:$J$451),0),
IF('TL02'!$B$3=N$3,SUMIF('TL02'!$C$10:$C$224,$C100,'TL02'!$J$10:$J$224),0),
IF('TL02'!$B$229=N$3,SUMIF('TL02'!$C$238:$C$451,$C100,'TL02'!$J$238:$J$451),0),
IF('TL03'!$B$3=N$3,SUMIF('TL03'!$C$10:$C$224,$C100,'TL03'!$J$10:$J$224),0),
IF('TL03'!$B$229=N$3,SUMIF('TL03'!$C$238:$C$451,$C100,'TL03'!$J$238:$J$451),0),
IF('TL04'!$B$3=N$3,SUMIF('TL04'!$C$10:$C$224,$C100,'TL04'!$J$10:$J$224),0),
IF('TL04'!$B$229=N$3,SUMIF('TL04'!$C$238:$C$451,$C100,'TL04'!$J$238:$J$451),0),
IF('TL05'!$B$3=N$3,SUMIF('TL05'!$C$10:$C$224,$C100,'TL05'!$J$10:$J$224),0),
IF('TL05'!$B$229=N$3,SUMIF('TL05'!$C$238:$C$451,$C100,'TL05'!$J$238:$J$451),0),
IF('TL06'!$B$3=N$3,SUMIF('TL06'!$C$10:$C$224,$C100,'TL06'!$J$10:$J$224),0),
IF('TL06'!$B$229=N$3,SUMIF('TL06'!$C$238:$C$451,$C100,'TL06'!$J$238:$J$451),0),
IF('TL07'!$B$3=N$3,SUMIF('TL07'!$C$10:$C$224,$C100,'TL07'!$J$10:$J$224),0),
IF('TL07'!$B$229=N$3,SUMIF('TL07'!$C$238:$C$451,$C100,'TL07'!$J$238:$J$451),0),
IF('TL08'!$B$3=N$3,SUMIF('TL08'!$C$10:$C$224,$C100,'TL08'!$J$10:$J$224),0),
IF('TL08'!$B$229=N$3,SUMIF('TL08'!$C$238:$C$451,$C100,'TL08'!$J$238:$J$451),0),
IF('TL09'!$B$3=N$3,SUMIF('TL09'!$C$10:$C$224,$C100,'TL09'!$J$10:$J$224),0),
IF('TL09'!$B$229=N$3,SUMIF('TL09'!$C$238:$C$451,$C100,'TL09'!$J$238:$J$451),0),
IF('TL10'!$B$3=N$3,SUMIF('TL10'!$C$10:$C$224,$C100,'TL10'!$J$10:$J$224),0),
IF('TL10'!$B$229=N$3,SUMIF('TL10'!$C$238:$C$451,$C100,'TL10'!$J$238:$J$451),0),
IF('TL11'!$B$3=N$3,SUMIF('TL11'!$C$10:$C$224,$C100,'TL11'!$J$10:$J$224),0),
IF('TL11'!$B$229=N$3,SUMIF('TL11'!$C$238:$C$451,$C100,'TL11'!$J$238:$J$451),0),
IF('TL12'!$B$3=N$3,SUMIF('TL12'!$C$10:$C$224,$C100,'TL12'!$J$10:$J$224),0),
IF('TL12'!$B$229=N$3,SUMIF('TL12'!$C$238:$C$451,$C100,'TL12'!$J$238:$J$451),0),
IF('TL13'!$B$3=N$3,SUMIF('TL13'!$C$10:$C$224,$C100,'TL13'!$J$10:$J$224),0),
IF('TL13'!$B$229=N$3,SUMIF('TL13'!$C$238:$C$451,$C100,'TL13'!$J$238:$J$451),0),
IF('TL14'!$B$3=N$3,SUMIF('TL14'!$C$10:$C$224,$C100,'TL14'!$J$10:$J$224),0),
IF('TL14'!$B$229=N$3,SUMIF('TL14'!$C$238:$C$451,$C100,'TL14'!$J$238:$J$451),0),
IF('TL15'!$B$3=N$3,SUMIF('TL15'!$C$10:$C$224,$C100,'TL15'!$J$10:$J$224),0),
IF('TL15'!$B$229=N$3,SUMIF('TL15'!$C$238:$C$451,$C100,'TL15'!$J$238:$J$451),0),
IF('TL16'!$B$3=N$3,SUMIF('TL16'!$C$10:$C$224,$C100,'TL16'!$J$10:$J$224),0),
IF('TL16'!$B$229=N$3,SUMIF('TL16'!$C$238:$C$451,$C100,'TL16'!$J$238:$J$451),0),
IF('TL17'!$B$3=N$3,SUMIF('TL17'!$C$10:$C$224,$C100,'TL17'!$J$10:$J$224),0),
IF('TL17'!$B$229=N$3,SUMIF('TL17'!$C$238:$C$451,$C100,'TL17'!$J$238:$J$451),0),
IF('TL18'!$B$3=N$3,SUMIF('TL18'!$C$10:$C$224,$C100,'TL18'!$J$10:$J$224),0),
IF('TL18'!$B$229=N$3,SUMIF('TL18'!$C$238:$C$451,$C100,'TL18'!$J$238:$J$451),0),
IF('TL19'!$B$3=N$3,SUMIF('TL19'!$C$10:$C$224,$C100,'TL19'!$J$10:$J$224),0),
IF('TL19'!$B$229=N$3,SUMIF('TL19'!$C$238:$C$451,$C100,'TL19'!$J$238:$J$451),0)
),0)</f>
        <v/>
      </c>
      <c r="O100" s="9">
        <f>IFERROR(SUM(
IF('TL01'!$B$3=O$3,SUMIF('TL01'!$C$10:$C$224,$C100,'TL01'!$J$10:$J$224),0),
IF('TL01'!$B$229=O$3,SUMIF('TL01'!$C$238:$C$451,$C100,'TL01'!$J$238:$J$451),0),
IF('TL02'!$B$3=O$3,SUMIF('TL02'!$C$10:$C$224,$C100,'TL02'!$J$10:$J$224),0),
IF('TL02'!$B$229=O$3,SUMIF('TL02'!$C$238:$C$451,$C100,'TL02'!$J$238:$J$451),0),
IF('TL03'!$B$3=O$3,SUMIF('TL03'!$C$10:$C$224,$C100,'TL03'!$J$10:$J$224),0),
IF('TL03'!$B$229=O$3,SUMIF('TL03'!$C$238:$C$451,$C100,'TL03'!$J$238:$J$451),0),
IF('TL04'!$B$3=O$3,SUMIF('TL04'!$C$10:$C$224,$C100,'TL04'!$J$10:$J$224),0),
IF('TL04'!$B$229=O$3,SUMIF('TL04'!$C$238:$C$451,$C100,'TL04'!$J$238:$J$451),0),
IF('TL05'!$B$3=O$3,SUMIF('TL05'!$C$10:$C$224,$C100,'TL05'!$J$10:$J$224),0),
IF('TL05'!$B$229=O$3,SUMIF('TL05'!$C$238:$C$451,$C100,'TL05'!$J$238:$J$451),0),
IF('TL06'!$B$3=O$3,SUMIF('TL06'!$C$10:$C$224,$C100,'TL06'!$J$10:$J$224),0),
IF('TL06'!$B$229=O$3,SUMIF('TL06'!$C$238:$C$451,$C100,'TL06'!$J$238:$J$451),0),
IF('TL07'!$B$3=O$3,SUMIF('TL07'!$C$10:$C$224,$C100,'TL07'!$J$10:$J$224),0),
IF('TL07'!$B$229=O$3,SUMIF('TL07'!$C$238:$C$451,$C100,'TL07'!$J$238:$J$451),0),
IF('TL08'!$B$3=O$3,SUMIF('TL08'!$C$10:$C$224,$C100,'TL08'!$J$10:$J$224),0),
IF('TL08'!$B$229=O$3,SUMIF('TL08'!$C$238:$C$451,$C100,'TL08'!$J$238:$J$451),0),
IF('TL09'!$B$3=O$3,SUMIF('TL09'!$C$10:$C$224,$C100,'TL09'!$J$10:$J$224),0),
IF('TL09'!$B$229=O$3,SUMIF('TL09'!$C$238:$C$451,$C100,'TL09'!$J$238:$J$451),0),
IF('TL10'!$B$3=O$3,SUMIF('TL10'!$C$10:$C$224,$C100,'TL10'!$J$10:$J$224),0),
IF('TL10'!$B$229=O$3,SUMIF('TL10'!$C$238:$C$451,$C100,'TL10'!$J$238:$J$451),0),
IF('TL11'!$B$3=O$3,SUMIF('TL11'!$C$10:$C$224,$C100,'TL11'!$J$10:$J$224),0),
IF('TL11'!$B$229=O$3,SUMIF('TL11'!$C$238:$C$451,$C100,'TL11'!$J$238:$J$451),0),
IF('TL12'!$B$3=O$3,SUMIF('TL12'!$C$10:$C$224,$C100,'TL12'!$J$10:$J$224),0),
IF('TL12'!$B$229=O$3,SUMIF('TL12'!$C$238:$C$451,$C100,'TL12'!$J$238:$J$451),0),
IF('TL13'!$B$3=O$3,SUMIF('TL13'!$C$10:$C$224,$C100,'TL13'!$J$10:$J$224),0),
IF('TL13'!$B$229=O$3,SUMIF('TL13'!$C$238:$C$451,$C100,'TL13'!$J$238:$J$451),0),
IF('TL14'!$B$3=O$3,SUMIF('TL14'!$C$10:$C$224,$C100,'TL14'!$J$10:$J$224),0),
IF('TL14'!$B$229=O$3,SUMIF('TL14'!$C$238:$C$451,$C100,'TL14'!$J$238:$J$451),0),
IF('TL15'!$B$3=O$3,SUMIF('TL15'!$C$10:$C$224,$C100,'TL15'!$J$10:$J$224),0),
IF('TL15'!$B$229=O$3,SUMIF('TL15'!$C$238:$C$451,$C100,'TL15'!$J$238:$J$451),0),
IF('TL16'!$B$3=O$3,SUMIF('TL16'!$C$10:$C$224,$C100,'TL16'!$J$10:$J$224),0),
IF('TL16'!$B$229=O$3,SUMIF('TL16'!$C$238:$C$451,$C100,'TL16'!$J$238:$J$451),0),
IF('TL17'!$B$3=O$3,SUMIF('TL17'!$C$10:$C$224,$C100,'TL17'!$J$10:$J$224),0),
IF('TL17'!$B$229=O$3,SUMIF('TL17'!$C$238:$C$451,$C100,'TL17'!$J$238:$J$451),0),
IF('TL18'!$B$3=O$3,SUMIF('TL18'!$C$10:$C$224,$C100,'TL18'!$J$10:$J$224),0),
IF('TL18'!$B$229=O$3,SUMIF('TL18'!$C$238:$C$451,$C100,'TL18'!$J$238:$J$451),0),
IF('TL19'!$B$3=O$3,SUMIF('TL19'!$C$10:$C$224,$C100,'TL19'!$J$10:$J$224),0),
IF('TL19'!$B$229=O$3,SUMIF('TL19'!$C$238:$C$451,$C100,'TL19'!$J$238:$J$451),0)
),0)</f>
        <v/>
      </c>
      <c r="P100" s="9">
        <f>IFERROR(SUM(
IF('TL01'!$B$3=P$3,SUMIF('TL01'!$C$10:$C$224,$C100,'TL01'!$J$10:$J$224),0),
IF('TL01'!$B$229=P$3,SUMIF('TL01'!$C$238:$C$451,$C100,'TL01'!$J$238:$J$451),0),
IF('TL02'!$B$3=P$3,SUMIF('TL02'!$C$10:$C$224,$C100,'TL02'!$J$10:$J$224),0),
IF('TL02'!$B$229=P$3,SUMIF('TL02'!$C$238:$C$451,$C100,'TL02'!$J$238:$J$451),0),
IF('TL03'!$B$3=P$3,SUMIF('TL03'!$C$10:$C$224,$C100,'TL03'!$J$10:$J$224),0),
IF('TL03'!$B$229=P$3,SUMIF('TL03'!$C$238:$C$451,$C100,'TL03'!$J$238:$J$451),0),
IF('TL04'!$B$3=P$3,SUMIF('TL04'!$C$10:$C$224,$C100,'TL04'!$J$10:$J$224),0),
IF('TL04'!$B$229=P$3,SUMIF('TL04'!$C$238:$C$451,$C100,'TL04'!$J$238:$J$451),0),
IF('TL05'!$B$3=P$3,SUMIF('TL05'!$C$10:$C$224,$C100,'TL05'!$J$10:$J$224),0),
IF('TL05'!$B$229=P$3,SUMIF('TL05'!$C$238:$C$451,$C100,'TL05'!$J$238:$J$451),0),
IF('TL06'!$B$3=P$3,SUMIF('TL06'!$C$10:$C$224,$C100,'TL06'!$J$10:$J$224),0),
IF('TL06'!$B$229=P$3,SUMIF('TL06'!$C$238:$C$451,$C100,'TL06'!$J$238:$J$451),0),
IF('TL07'!$B$3=P$3,SUMIF('TL07'!$C$10:$C$224,$C100,'TL07'!$J$10:$J$224),0),
IF('TL07'!$B$229=P$3,SUMIF('TL07'!$C$238:$C$451,$C100,'TL07'!$J$238:$J$451),0),
IF('TL08'!$B$3=P$3,SUMIF('TL08'!$C$10:$C$224,$C100,'TL08'!$J$10:$J$224),0),
IF('TL08'!$B$229=P$3,SUMIF('TL08'!$C$238:$C$451,$C100,'TL08'!$J$238:$J$451),0),
IF('TL09'!$B$3=P$3,SUMIF('TL09'!$C$10:$C$224,$C100,'TL09'!$J$10:$J$224),0),
IF('TL09'!$B$229=P$3,SUMIF('TL09'!$C$238:$C$451,$C100,'TL09'!$J$238:$J$451),0),
IF('TL10'!$B$3=P$3,SUMIF('TL10'!$C$10:$C$224,$C100,'TL10'!$J$10:$J$224),0),
IF('TL10'!$B$229=P$3,SUMIF('TL10'!$C$238:$C$451,$C100,'TL10'!$J$238:$J$451),0),
IF('TL11'!$B$3=P$3,SUMIF('TL11'!$C$10:$C$224,$C100,'TL11'!$J$10:$J$224),0),
IF('TL11'!$B$229=P$3,SUMIF('TL11'!$C$238:$C$451,$C100,'TL11'!$J$238:$J$451),0),
IF('TL12'!$B$3=P$3,SUMIF('TL12'!$C$10:$C$224,$C100,'TL12'!$J$10:$J$224),0),
IF('TL12'!$B$229=P$3,SUMIF('TL12'!$C$238:$C$451,$C100,'TL12'!$J$238:$J$451),0),
IF('TL13'!$B$3=P$3,SUMIF('TL13'!$C$10:$C$224,$C100,'TL13'!$J$10:$J$224),0),
IF('TL13'!$B$229=P$3,SUMIF('TL13'!$C$238:$C$451,$C100,'TL13'!$J$238:$J$451),0),
IF('TL14'!$B$3=P$3,SUMIF('TL14'!$C$10:$C$224,$C100,'TL14'!$J$10:$J$224),0),
IF('TL14'!$B$229=P$3,SUMIF('TL14'!$C$238:$C$451,$C100,'TL14'!$J$238:$J$451),0),
IF('TL15'!$B$3=P$3,SUMIF('TL15'!$C$10:$C$224,$C100,'TL15'!$J$10:$J$224),0),
IF('TL15'!$B$229=P$3,SUMIF('TL15'!$C$238:$C$451,$C100,'TL15'!$J$238:$J$451),0),
IF('TL16'!$B$3=P$3,SUMIF('TL16'!$C$10:$C$224,$C100,'TL16'!$J$10:$J$224),0),
IF('TL16'!$B$229=P$3,SUMIF('TL16'!$C$238:$C$451,$C100,'TL16'!$J$238:$J$451),0),
IF('TL17'!$B$3=P$3,SUMIF('TL17'!$C$10:$C$224,$C100,'TL17'!$J$10:$J$224),0),
IF('TL17'!$B$229=P$3,SUMIF('TL17'!$C$238:$C$451,$C100,'TL17'!$J$238:$J$451),0),
IF('TL18'!$B$3=P$3,SUMIF('TL18'!$C$10:$C$224,$C100,'TL18'!$J$10:$J$224),0),
IF('TL18'!$B$229=P$3,SUMIF('TL18'!$C$238:$C$451,$C100,'TL18'!$J$238:$J$451),0),
IF('TL19'!$B$3=P$3,SUMIF('TL19'!$C$10:$C$224,$C100,'TL19'!$J$10:$J$224),0),
IF('TL19'!$B$229=P$3,SUMIF('TL19'!$C$238:$C$451,$C100,'TL19'!$J$238:$J$451),0)
),0)</f>
        <v/>
      </c>
      <c r="Q100" s="9">
        <f>IFERROR(SUM(
IF('TL01'!$B$3=Q$3,SUMIF('TL01'!$C$10:$C$224,$C100,'TL01'!$J$10:$J$224),0),
IF('TL01'!$B$229=Q$3,SUMIF('TL01'!$C$238:$C$451,$C100,'TL01'!$J$238:$J$451),0),
IF('TL02'!$B$3=Q$3,SUMIF('TL02'!$C$10:$C$224,$C100,'TL02'!$J$10:$J$224),0),
IF('TL02'!$B$229=Q$3,SUMIF('TL02'!$C$238:$C$451,$C100,'TL02'!$J$238:$J$451),0),
IF('TL03'!$B$3=Q$3,SUMIF('TL03'!$C$10:$C$224,$C100,'TL03'!$J$10:$J$224),0),
IF('TL03'!$B$229=Q$3,SUMIF('TL03'!$C$238:$C$451,$C100,'TL03'!$J$238:$J$451),0),
IF('TL04'!$B$3=Q$3,SUMIF('TL04'!$C$10:$C$224,$C100,'TL04'!$J$10:$J$224),0),
IF('TL04'!$B$229=Q$3,SUMIF('TL04'!$C$238:$C$451,$C100,'TL04'!$J$238:$J$451),0),
IF('TL05'!$B$3=Q$3,SUMIF('TL05'!$C$10:$C$224,$C100,'TL05'!$J$10:$J$224),0),
IF('TL05'!$B$229=Q$3,SUMIF('TL05'!$C$238:$C$451,$C100,'TL05'!$J$238:$J$451),0),
IF('TL06'!$B$3=Q$3,SUMIF('TL06'!$C$10:$C$224,$C100,'TL06'!$J$10:$J$224),0),
IF('TL06'!$B$229=Q$3,SUMIF('TL06'!$C$238:$C$451,$C100,'TL06'!$J$238:$J$451),0),
IF('TL07'!$B$3=Q$3,SUMIF('TL07'!$C$10:$C$224,$C100,'TL07'!$J$10:$J$224),0),
IF('TL07'!$B$229=Q$3,SUMIF('TL07'!$C$238:$C$451,$C100,'TL07'!$J$238:$J$451),0),
IF('TL08'!$B$3=Q$3,SUMIF('TL08'!$C$10:$C$224,$C100,'TL08'!$J$10:$J$224),0),
IF('TL08'!$B$229=Q$3,SUMIF('TL08'!$C$238:$C$451,$C100,'TL08'!$J$238:$J$451),0),
IF('TL09'!$B$3=Q$3,SUMIF('TL09'!$C$10:$C$224,$C100,'TL09'!$J$10:$J$224),0),
IF('TL09'!$B$229=Q$3,SUMIF('TL09'!$C$238:$C$451,$C100,'TL09'!$J$238:$J$451),0),
IF('TL10'!$B$3=Q$3,SUMIF('TL10'!$C$10:$C$224,$C100,'TL10'!$J$10:$J$224),0),
IF('TL10'!$B$229=Q$3,SUMIF('TL10'!$C$238:$C$451,$C100,'TL10'!$J$238:$J$451),0),
IF('TL11'!$B$3=Q$3,SUMIF('TL11'!$C$10:$C$224,$C100,'TL11'!$J$10:$J$224),0),
IF('TL11'!$B$229=Q$3,SUMIF('TL11'!$C$238:$C$451,$C100,'TL11'!$J$238:$J$451),0),
IF('TL12'!$B$3=Q$3,SUMIF('TL12'!$C$10:$C$224,$C100,'TL12'!$J$10:$J$224),0),
IF('TL12'!$B$229=Q$3,SUMIF('TL12'!$C$238:$C$451,$C100,'TL12'!$J$238:$J$451),0),
IF('TL13'!$B$3=Q$3,SUMIF('TL13'!$C$10:$C$224,$C100,'TL13'!$J$10:$J$224),0),
IF('TL13'!$B$229=Q$3,SUMIF('TL13'!$C$238:$C$451,$C100,'TL13'!$J$238:$J$451),0),
IF('TL14'!$B$3=Q$3,SUMIF('TL14'!$C$10:$C$224,$C100,'TL14'!$J$10:$J$224),0),
IF('TL14'!$B$229=Q$3,SUMIF('TL14'!$C$238:$C$451,$C100,'TL14'!$J$238:$J$451),0),
IF('TL15'!$B$3=Q$3,SUMIF('TL15'!$C$10:$C$224,$C100,'TL15'!$J$10:$J$224),0),
IF('TL15'!$B$229=Q$3,SUMIF('TL15'!$C$238:$C$451,$C100,'TL15'!$J$238:$J$451),0),
IF('TL16'!$B$3=Q$3,SUMIF('TL16'!$C$10:$C$224,$C100,'TL16'!$J$10:$J$224),0),
IF('TL16'!$B$229=Q$3,SUMIF('TL16'!$C$238:$C$451,$C100,'TL16'!$J$238:$J$451),0),
IF('TL17'!$B$3=Q$3,SUMIF('TL17'!$C$10:$C$224,$C100,'TL17'!$J$10:$J$224),0),
IF('TL17'!$B$229=Q$3,SUMIF('TL17'!$C$238:$C$451,$C100,'TL17'!$J$238:$J$451),0),
IF('TL18'!$B$3=Q$3,SUMIF('TL18'!$C$10:$C$224,$C100,'TL18'!$J$10:$J$224),0),
IF('TL18'!$B$229=Q$3,SUMIF('TL18'!$C$238:$C$451,$C100,'TL18'!$J$238:$J$451),0),
IF('TL19'!$B$3=Q$3,SUMIF('TL19'!$C$10:$C$224,$C100,'TL19'!$J$10:$J$224),0),
IF('TL19'!$B$229=Q$3,SUMIF('TL19'!$C$238:$C$451,$C100,'TL19'!$J$238:$J$451),0)
),0)</f>
        <v/>
      </c>
      <c r="R100" s="9">
        <f>IFERROR(
SUM(
SUMIF('TL01'!C:C,C100,'TL01'!J:J),
SUMIF('TL02'!C:C,C100,'TL02'!J:J),
SUMIF('TL03'!C:C,C100,'TL03'!J:J),
SUMIF('TL04'!C:C,C100,'TL04'!J:J),
SUMIF('TL05'!C:C,C100,'TL05'!J:J),
SUMIF('TL06'!C:C,C100,'TL06'!J:J),
SUMIF('TL07'!C:C,C100,'TL07'!J:J),
SUMIF('TL08'!C:C,C100,'TL08'!J:J),
SUMIF('TL09'!C:C,C100,'TL09'!J:J),
SUMIF('TL10'!C:C,C100,'TL10'!J:J),
SUMIF('TL11'!C:C,C100,'TL11'!J:J),
SUMIF('TL12'!C:C,C100,'TL12'!J:J),
SUMIF('TL13'!C:C,C100,'TL13'!J:J),
SUMIF('TL14'!C:C,C100,'TL14'!J:J),
SUMIF('TL15'!C:C,C100,'TL15'!J:J),
SUMIF('TL16'!C:C,C100,'TL16'!J:J),
SUMIF('TL17'!C:C,C100,'TL17'!J:J),
SUMIF('TL18'!C:C,C100,'TL18'!J:J),SUMIF('TL19'!C:C,C100,'TL19'!J:J))
,0)</f>
        <v/>
      </c>
      <c r="S100" s="17">
        <f>IFERROR(__xludf.DUMMYFUNCTION("IFERROR(VLOOKUP(C100,
IMPORTRANGE(""1wULbzX32WdYsx-lj2U3uUNBBe2INVIRDtcK0d-Dvl90"",
""26-27!C:G""),
5,
FALSE),
"""")"),88.72848)</f>
        <v/>
      </c>
      <c r="T100" s="9" t="n"/>
      <c r="U100" s="92">
        <f>MAX(0,R100-T100)</f>
        <v/>
      </c>
      <c r="V100" s="93">
        <f>U100*S100</f>
        <v/>
      </c>
    </row>
    <row r="101" hidden="1" ht="15.75" customHeight="1" s="297">
      <c r="A101" s="111" t="inlineStr">
        <is>
          <t>SYNGENTA</t>
        </is>
      </c>
      <c r="B101" s="112" t="inlineStr">
        <is>
          <t>FUNGICIDA</t>
        </is>
      </c>
      <c r="C101" s="113" t="inlineStr">
        <is>
          <t>MITRION EC</t>
        </is>
      </c>
      <c r="D101" s="113" t="inlineStr">
        <is>
          <t>BENZOVINDIFLUPYR + PROTIOCONAZOL</t>
        </is>
      </c>
      <c r="E101" s="113" t="inlineStr">
        <is>
          <t>75 + 150</t>
        </is>
      </c>
      <c r="F101" s="4" t="inlineStr">
        <is>
          <t>L</t>
        </is>
      </c>
      <c r="G101" s="90">
        <f>HYPERLINK("https://www.google.com/search?q=" &amp; C101 &amp; "+bula+agrofit+pdf", "📄 Ver bula")</f>
        <v/>
      </c>
      <c r="H101" s="9">
        <f>IFERROR(__xludf.DUMMYFUNCTION("IFERROR(VLOOKUP(C101,
IMPORTRANGE(""1wULbzX32WdYsx-lj2U3uUNBBe2INVIRDtcK0d-Dvl90"",
""26-27!C:K""),
8,
FALSE),
"""")"),0.5)</f>
        <v/>
      </c>
      <c r="I101" s="114" t="inlineStr">
        <is>
          <t>1x20</t>
        </is>
      </c>
      <c r="J101" s="9">
        <f>IFERROR(SUM(
IF('TL01'!$B$3=J$3,SUMIF('TL01'!$C$10:$C$224,$C101,'TL01'!$J$10:$J$224),0),
IF('TL01'!$B$229=J$3,SUMIF('TL01'!$C$238:$C$451,$C101,'TL01'!$J$238:$J$451),0),
IF('TL02'!$B$3=J$3,SUMIF('TL02'!$C$10:$C$224,$C101,'TL02'!$J$10:$J$224),0),
IF('TL02'!$B$229=J$3,SUMIF('TL02'!$C$238:$C$451,$C101,'TL02'!$J$238:$J$451),0),
IF('TL03'!$B$3=J$3,SUMIF('TL03'!$C$10:$C$224,$C101,'TL03'!$J$10:$J$224),0),
IF('TL03'!$B$229=J$3,SUMIF('TL03'!$C$238:$C$451,$C101,'TL03'!$J$238:$J$451),0),
IF('TL04'!$B$3=J$3,SUMIF('TL04'!$C$10:$C$224,$C101,'TL04'!$J$10:$J$224),0),
IF('TL04'!$B$229=J$3,SUMIF('TL04'!$C$238:$C$451,$C101,'TL04'!$J$238:$J$451),0),
IF('TL05'!$B$3=J$3,SUMIF('TL05'!$C$10:$C$224,$C101,'TL05'!$J$10:$J$224),0),
IF('TL05'!$B$229=J$3,SUMIF('TL05'!$C$238:$C$451,$C101,'TL05'!$J$238:$J$451),0),
IF('TL06'!$B$3=J$3,SUMIF('TL06'!$C$10:$C$224,$C101,'TL06'!$J$10:$J$224),0),
IF('TL06'!$B$229=J$3,SUMIF('TL06'!$C$238:$C$451,$C101,'TL06'!$J$238:$J$451),0),
IF('TL07'!$B$3=J$3,SUMIF('TL07'!$C$10:$C$224,$C101,'TL07'!$J$10:$J$224),0),
IF('TL07'!$B$229=J$3,SUMIF('TL07'!$C$238:$C$451,$C101,'TL07'!$J$238:$J$451),0),
IF('TL08'!$B$3=J$3,SUMIF('TL08'!$C$10:$C$224,$C101,'TL08'!$J$10:$J$224),0),
IF('TL08'!$B$229=J$3,SUMIF('TL08'!$C$238:$C$451,$C101,'TL08'!$J$238:$J$451),0),
IF('TL09'!$B$3=J$3,SUMIF('TL09'!$C$10:$C$224,$C101,'TL09'!$J$10:$J$224),0),
IF('TL09'!$B$229=J$3,SUMIF('TL09'!$C$238:$C$451,$C101,'TL09'!$J$238:$J$451),0),
IF('TL10'!$B$3=J$3,SUMIF('TL10'!$C$10:$C$224,$C101,'TL10'!$J$10:$J$224),0),
IF('TL10'!$B$229=J$3,SUMIF('TL10'!$C$238:$C$451,$C101,'TL10'!$J$238:$J$451),0),
IF('TL11'!$B$3=J$3,SUMIF('TL11'!$C$10:$C$224,$C101,'TL11'!$J$10:$J$224),0),
IF('TL11'!$B$229=J$3,SUMIF('TL11'!$C$238:$C$451,$C101,'TL11'!$J$238:$J$451),0),
IF('TL12'!$B$3=J$3,SUMIF('TL12'!$C$10:$C$224,$C101,'TL12'!$J$10:$J$224),0),
IF('TL12'!$B$229=J$3,SUMIF('TL12'!$C$238:$C$451,$C101,'TL12'!$J$238:$J$451),0),
IF('TL13'!$B$3=J$3,SUMIF('TL13'!$C$10:$C$224,$C101,'TL13'!$J$10:$J$224),0),
IF('TL13'!$B$229=J$3,SUMIF('TL13'!$C$238:$C$451,$C101,'TL13'!$J$238:$J$451),0),
IF('TL14'!$B$3=J$3,SUMIF('TL14'!$C$10:$C$224,$C101,'TL14'!$J$10:$J$224),0),
IF('TL14'!$B$229=J$3,SUMIF('TL14'!$C$238:$C$451,$C101,'TL14'!$J$238:$J$451),0),
IF('TL15'!$B$3=J$3,SUMIF('TL15'!$C$10:$C$224,$C101,'TL15'!$J$10:$J$224),0),
IF('TL15'!$B$229=J$3,SUMIF('TL15'!$C$238:$C$451,$C101,'TL15'!$J$238:$J$451),0),
IF('TL16'!$B$3=J$3,SUMIF('TL16'!$C$10:$C$224,$C101,'TL16'!$J$10:$J$224),0),
IF('TL16'!$B$229=J$3,SUMIF('TL16'!$C$238:$C$451,$C101,'TL16'!$J$238:$J$451),0),
IF('TL17'!$B$3=J$3,SUMIF('TL17'!$C$10:$C$224,$C101,'TL17'!$J$10:$J$224),0),
IF('TL17'!$B$229=J$3,SUMIF('TL17'!$C$238:$C$451,$C101,'TL17'!$J$238:$J$451),0),
IF('TL18'!$B$3=J$3,SUMIF('TL18'!$C$10:$C$224,$C101,'TL18'!$J$10:$J$224),0),
IF('TL18'!$B$229=J$3,SUMIF('TL18'!$C$238:$C$451,$C101,'TL18'!$J$238:$J$451),0),
IF('TL19'!$B$3=J$3,SUMIF('TL19'!$C$10:$C$224,$C101,'TL19'!$J$10:$J$224),0),
IF('TL19'!$B$229=J$3,SUMIF('TL19'!$C$238:$C$451,$C101,'TL19'!$J$238:$J$451),0)
),0)</f>
        <v/>
      </c>
      <c r="K101" s="9">
        <f>IFERROR(SUM(
IF('TL01'!$B$3=K$3,SUMIF('TL01'!$C$10:$C$224,$C101,'TL01'!$J$10:$J$224),0),
IF('TL01'!$B$229=K$3,SUMIF('TL01'!$C$238:$C$451,$C101,'TL01'!$J$238:$J$451),0),
IF('TL02'!$B$3=K$3,SUMIF('TL02'!$C$10:$C$224,$C101,'TL02'!$J$10:$J$224),0),
IF('TL02'!$B$229=K$3,SUMIF('TL02'!$C$238:$C$451,$C101,'TL02'!$J$238:$J$451),0),
IF('TL03'!$B$3=K$3,SUMIF('TL03'!$C$10:$C$224,$C101,'TL03'!$J$10:$J$224),0),
IF('TL03'!$B$229=K$3,SUMIF('TL03'!$C$238:$C$451,$C101,'TL03'!$J$238:$J$451),0),
IF('TL04'!$B$3=K$3,SUMIF('TL04'!$C$10:$C$224,$C101,'TL04'!$J$10:$J$224),0),
IF('TL04'!$B$229=K$3,SUMIF('TL04'!$C$238:$C$451,$C101,'TL04'!$J$238:$J$451),0),
IF('TL05'!$B$3=K$3,SUMIF('TL05'!$C$10:$C$224,$C101,'TL05'!$J$10:$J$224),0),
IF('TL05'!$B$229=K$3,SUMIF('TL05'!$C$238:$C$451,$C101,'TL05'!$J$238:$J$451),0),
IF('TL06'!$B$3=K$3,SUMIF('TL06'!$C$10:$C$224,$C101,'TL06'!$J$10:$J$224),0),
IF('TL06'!$B$229=K$3,SUMIF('TL06'!$C$238:$C$451,$C101,'TL06'!$J$238:$J$451),0),
IF('TL07'!$B$3=K$3,SUMIF('TL07'!$C$10:$C$224,$C101,'TL07'!$J$10:$J$224),0),
IF('TL07'!$B$229=K$3,SUMIF('TL07'!$C$238:$C$451,$C101,'TL07'!$J$238:$J$451),0),
IF('TL08'!$B$3=K$3,SUMIF('TL08'!$C$10:$C$224,$C101,'TL08'!$J$10:$J$224),0),
IF('TL08'!$B$229=K$3,SUMIF('TL08'!$C$238:$C$451,$C101,'TL08'!$J$238:$J$451),0),
IF('TL09'!$B$3=K$3,SUMIF('TL09'!$C$10:$C$224,$C101,'TL09'!$J$10:$J$224),0),
IF('TL09'!$B$229=K$3,SUMIF('TL09'!$C$238:$C$451,$C101,'TL09'!$J$238:$J$451),0),
IF('TL10'!$B$3=K$3,SUMIF('TL10'!$C$10:$C$224,$C101,'TL10'!$J$10:$J$224),0),
IF('TL10'!$B$229=K$3,SUMIF('TL10'!$C$238:$C$451,$C101,'TL10'!$J$238:$J$451),0),
IF('TL11'!$B$3=K$3,SUMIF('TL11'!$C$10:$C$224,$C101,'TL11'!$J$10:$J$224),0),
IF('TL11'!$B$229=K$3,SUMIF('TL11'!$C$238:$C$451,$C101,'TL11'!$J$238:$J$451),0),
IF('TL12'!$B$3=K$3,SUMIF('TL12'!$C$10:$C$224,$C101,'TL12'!$J$10:$J$224),0),
IF('TL12'!$B$229=K$3,SUMIF('TL12'!$C$238:$C$451,$C101,'TL12'!$J$238:$J$451),0),
IF('TL13'!$B$3=K$3,SUMIF('TL13'!$C$10:$C$224,$C101,'TL13'!$J$10:$J$224),0),
IF('TL13'!$B$229=K$3,SUMIF('TL13'!$C$238:$C$451,$C101,'TL13'!$J$238:$J$451),0),
IF('TL14'!$B$3=K$3,SUMIF('TL14'!$C$10:$C$224,$C101,'TL14'!$J$10:$J$224),0),
IF('TL14'!$B$229=K$3,SUMIF('TL14'!$C$238:$C$451,$C101,'TL14'!$J$238:$J$451),0),
IF('TL15'!$B$3=K$3,SUMIF('TL15'!$C$10:$C$224,$C101,'TL15'!$J$10:$J$224),0),
IF('TL15'!$B$229=K$3,SUMIF('TL15'!$C$238:$C$451,$C101,'TL15'!$J$238:$J$451),0),
IF('TL16'!$B$3=K$3,SUMIF('TL16'!$C$10:$C$224,$C101,'TL16'!$J$10:$J$224),0),
IF('TL16'!$B$229=K$3,SUMIF('TL16'!$C$238:$C$451,$C101,'TL16'!$J$238:$J$451),0),
IF('TL17'!$B$3=K$3,SUMIF('TL17'!$C$10:$C$224,$C101,'TL17'!$J$10:$J$224),0),
IF('TL17'!$B$229=K$3,SUMIF('TL17'!$C$238:$C$451,$C101,'TL17'!$J$238:$J$451),0),
IF('TL18'!$B$3=K$3,SUMIF('TL18'!$C$10:$C$224,$C101,'TL18'!$J$10:$J$224),0),
IF('TL18'!$B$229=K$3,SUMIF('TL18'!$C$238:$C$451,$C101,'TL18'!$J$238:$J$451),0),
IF('TL19'!$B$3=K$3,SUMIF('TL19'!$C$10:$C$224,$C101,'TL19'!$J$10:$J$224),0),
IF('TL19'!$B$229=K$3,SUMIF('TL19'!$C$238:$C$451,$C101,'TL19'!$J$238:$J$451),0)
),0)</f>
        <v/>
      </c>
      <c r="L101" s="9">
        <f>IFERROR(SUM(
IF('TL01'!$B$3=L$3,SUMIF('TL01'!$C$10:$C$224,$C101,'TL01'!$J$10:$J$224),0),
IF('TL01'!$B$229=L$3,SUMIF('TL01'!$C$238:$C$451,$C101,'TL01'!$J$238:$J$451),0),
IF('TL02'!$B$3=L$3,SUMIF('TL02'!$C$10:$C$224,$C101,'TL02'!$J$10:$J$224),0),
IF('TL02'!$B$229=L$3,SUMIF('TL02'!$C$238:$C$451,$C101,'TL02'!$J$238:$J$451),0),
IF('TL03'!$B$3=L$3,SUMIF('TL03'!$C$10:$C$224,$C101,'TL03'!$J$10:$J$224),0),
IF('TL03'!$B$229=L$3,SUMIF('TL03'!$C$238:$C$451,$C101,'TL03'!$J$238:$J$451),0),
IF('TL04'!$B$3=L$3,SUMIF('TL04'!$C$10:$C$224,$C101,'TL04'!$J$10:$J$224),0),
IF('TL04'!$B$229=L$3,SUMIF('TL04'!$C$238:$C$451,$C101,'TL04'!$J$238:$J$451),0),
IF('TL05'!$B$3=L$3,SUMIF('TL05'!$C$10:$C$224,$C101,'TL05'!$J$10:$J$224),0),
IF('TL05'!$B$229=L$3,SUMIF('TL05'!$C$238:$C$451,$C101,'TL05'!$J$238:$J$451),0),
IF('TL06'!$B$3=L$3,SUMIF('TL06'!$C$10:$C$224,$C101,'TL06'!$J$10:$J$224),0),
IF('TL06'!$B$229=L$3,SUMIF('TL06'!$C$238:$C$451,$C101,'TL06'!$J$238:$J$451),0),
IF('TL07'!$B$3=L$3,SUMIF('TL07'!$C$10:$C$224,$C101,'TL07'!$J$10:$J$224),0),
IF('TL07'!$B$229=L$3,SUMIF('TL07'!$C$238:$C$451,$C101,'TL07'!$J$238:$J$451),0),
IF('TL08'!$B$3=L$3,SUMIF('TL08'!$C$10:$C$224,$C101,'TL08'!$J$10:$J$224),0),
IF('TL08'!$B$229=L$3,SUMIF('TL08'!$C$238:$C$451,$C101,'TL08'!$J$238:$J$451),0),
IF('TL09'!$B$3=L$3,SUMIF('TL09'!$C$10:$C$224,$C101,'TL09'!$J$10:$J$224),0),
IF('TL09'!$B$229=L$3,SUMIF('TL09'!$C$238:$C$451,$C101,'TL09'!$J$238:$J$451),0),
IF('TL10'!$B$3=L$3,SUMIF('TL10'!$C$10:$C$224,$C101,'TL10'!$J$10:$J$224),0),
IF('TL10'!$B$229=L$3,SUMIF('TL10'!$C$238:$C$451,$C101,'TL10'!$J$238:$J$451),0),
IF('TL11'!$B$3=L$3,SUMIF('TL11'!$C$10:$C$224,$C101,'TL11'!$J$10:$J$224),0),
IF('TL11'!$B$229=L$3,SUMIF('TL11'!$C$238:$C$451,$C101,'TL11'!$J$238:$J$451),0),
IF('TL12'!$B$3=L$3,SUMIF('TL12'!$C$10:$C$224,$C101,'TL12'!$J$10:$J$224),0),
IF('TL12'!$B$229=L$3,SUMIF('TL12'!$C$238:$C$451,$C101,'TL12'!$J$238:$J$451),0),
IF('TL13'!$B$3=L$3,SUMIF('TL13'!$C$10:$C$224,$C101,'TL13'!$J$10:$J$224),0),
IF('TL13'!$B$229=L$3,SUMIF('TL13'!$C$238:$C$451,$C101,'TL13'!$J$238:$J$451),0),
IF('TL14'!$B$3=L$3,SUMIF('TL14'!$C$10:$C$224,$C101,'TL14'!$J$10:$J$224),0),
IF('TL14'!$B$229=L$3,SUMIF('TL14'!$C$238:$C$451,$C101,'TL14'!$J$238:$J$451),0),
IF('TL15'!$B$3=L$3,SUMIF('TL15'!$C$10:$C$224,$C101,'TL15'!$J$10:$J$224),0),
IF('TL15'!$B$229=L$3,SUMIF('TL15'!$C$238:$C$451,$C101,'TL15'!$J$238:$J$451),0),
IF('TL16'!$B$3=L$3,SUMIF('TL16'!$C$10:$C$224,$C101,'TL16'!$J$10:$J$224),0),
IF('TL16'!$B$229=L$3,SUMIF('TL16'!$C$238:$C$451,$C101,'TL16'!$J$238:$J$451),0),
IF('TL17'!$B$3=L$3,SUMIF('TL17'!$C$10:$C$224,$C101,'TL17'!$J$10:$J$224),0),
IF('TL17'!$B$229=L$3,SUMIF('TL17'!$C$238:$C$451,$C101,'TL17'!$J$238:$J$451),0),
IF('TL18'!$B$3=L$3,SUMIF('TL18'!$C$10:$C$224,$C101,'TL18'!$J$10:$J$224),0),
IF('TL18'!$B$229=L$3,SUMIF('TL18'!$C$238:$C$451,$C101,'TL18'!$J$238:$J$451),0),
IF('TL19'!$B$3=L$3,SUMIF('TL19'!$C$10:$C$224,$C101,'TL19'!$J$10:$J$224),0),
IF('TL19'!$B$229=L$3,SUMIF('TL19'!$C$238:$C$451,$C101,'TL19'!$J$238:$J$451),0)
),0)</f>
        <v/>
      </c>
      <c r="M101" s="9">
        <f>IFERROR(SUM(
IF('TL01'!$B$3=M$3,SUMIF('TL01'!$C$10:$C$224,$C101,'TL01'!$J$10:$J$224),0),
IF('TL01'!$B$229=M$3,SUMIF('TL01'!$C$238:$C$451,$C101,'TL01'!$J$238:$J$451),0),
IF('TL02'!$B$3=M$3,SUMIF('TL02'!$C$10:$C$224,$C101,'TL02'!$J$10:$J$224),0),
IF('TL02'!$B$229=M$3,SUMIF('TL02'!$C$238:$C$451,$C101,'TL02'!$J$238:$J$451),0),
IF('TL03'!$B$3=M$3,SUMIF('TL03'!$C$10:$C$224,$C101,'TL03'!$J$10:$J$224),0),
IF('TL03'!$B$229=M$3,SUMIF('TL03'!$C$238:$C$451,$C101,'TL03'!$J$238:$J$451),0),
IF('TL04'!$B$3=M$3,SUMIF('TL04'!$C$10:$C$224,$C101,'TL04'!$J$10:$J$224),0),
IF('TL04'!$B$229=M$3,SUMIF('TL04'!$C$238:$C$451,$C101,'TL04'!$J$238:$J$451),0),
IF('TL05'!$B$3=M$3,SUMIF('TL05'!$C$10:$C$224,$C101,'TL05'!$J$10:$J$224),0),
IF('TL05'!$B$229=M$3,SUMIF('TL05'!$C$238:$C$451,$C101,'TL05'!$J$238:$J$451),0),
IF('TL06'!$B$3=M$3,SUMIF('TL06'!$C$10:$C$224,$C101,'TL06'!$J$10:$J$224),0),
IF('TL06'!$B$229=M$3,SUMIF('TL06'!$C$238:$C$451,$C101,'TL06'!$J$238:$J$451),0),
IF('TL07'!$B$3=M$3,SUMIF('TL07'!$C$10:$C$224,$C101,'TL07'!$J$10:$J$224),0),
IF('TL07'!$B$229=M$3,SUMIF('TL07'!$C$238:$C$451,$C101,'TL07'!$J$238:$J$451),0),
IF('TL08'!$B$3=M$3,SUMIF('TL08'!$C$10:$C$224,$C101,'TL08'!$J$10:$J$224),0),
IF('TL08'!$B$229=M$3,SUMIF('TL08'!$C$238:$C$451,$C101,'TL08'!$J$238:$J$451),0),
IF('TL09'!$B$3=M$3,SUMIF('TL09'!$C$10:$C$224,$C101,'TL09'!$J$10:$J$224),0),
IF('TL09'!$B$229=M$3,SUMIF('TL09'!$C$238:$C$451,$C101,'TL09'!$J$238:$J$451),0),
IF('TL10'!$B$3=M$3,SUMIF('TL10'!$C$10:$C$224,$C101,'TL10'!$J$10:$J$224),0),
IF('TL10'!$B$229=M$3,SUMIF('TL10'!$C$238:$C$451,$C101,'TL10'!$J$238:$J$451),0),
IF('TL11'!$B$3=M$3,SUMIF('TL11'!$C$10:$C$224,$C101,'TL11'!$J$10:$J$224),0),
IF('TL11'!$B$229=M$3,SUMIF('TL11'!$C$238:$C$451,$C101,'TL11'!$J$238:$J$451),0),
IF('TL12'!$B$3=M$3,SUMIF('TL12'!$C$10:$C$224,$C101,'TL12'!$J$10:$J$224),0),
IF('TL12'!$B$229=M$3,SUMIF('TL12'!$C$238:$C$451,$C101,'TL12'!$J$238:$J$451),0),
IF('TL13'!$B$3=M$3,SUMIF('TL13'!$C$10:$C$224,$C101,'TL13'!$J$10:$J$224),0),
IF('TL13'!$B$229=M$3,SUMIF('TL13'!$C$238:$C$451,$C101,'TL13'!$J$238:$J$451),0),
IF('TL14'!$B$3=M$3,SUMIF('TL14'!$C$10:$C$224,$C101,'TL14'!$J$10:$J$224),0),
IF('TL14'!$B$229=M$3,SUMIF('TL14'!$C$238:$C$451,$C101,'TL14'!$J$238:$J$451),0),
IF('TL15'!$B$3=M$3,SUMIF('TL15'!$C$10:$C$224,$C101,'TL15'!$J$10:$J$224),0),
IF('TL15'!$B$229=M$3,SUMIF('TL15'!$C$238:$C$451,$C101,'TL15'!$J$238:$J$451),0),
IF('TL16'!$B$3=M$3,SUMIF('TL16'!$C$10:$C$224,$C101,'TL16'!$J$10:$J$224),0),
IF('TL16'!$B$229=M$3,SUMIF('TL16'!$C$238:$C$451,$C101,'TL16'!$J$238:$J$451),0),
IF('TL17'!$B$3=M$3,SUMIF('TL17'!$C$10:$C$224,$C101,'TL17'!$J$10:$J$224),0),
IF('TL17'!$B$229=M$3,SUMIF('TL17'!$C$238:$C$451,$C101,'TL17'!$J$238:$J$451),0),
IF('TL18'!$B$3=M$3,SUMIF('TL18'!$C$10:$C$224,$C101,'TL18'!$J$10:$J$224),0),
IF('TL18'!$B$229=M$3,SUMIF('TL18'!$C$238:$C$451,$C101,'TL18'!$J$238:$J$451),0),
IF('TL19'!$B$3=M$3,SUMIF('TL19'!$C$10:$C$224,$C101,'TL19'!$J$10:$J$224),0),
IF('TL19'!$B$229=M$3,SUMIF('TL19'!$C$238:$C$451,$C101,'TL19'!$J$238:$J$451),0)
),0)</f>
        <v/>
      </c>
      <c r="N101" s="9">
        <f>IFERROR(SUM(
IF('TL01'!$B$3=N$3,SUMIF('TL01'!$C$10:$C$224,$C101,'TL01'!$J$10:$J$224),0),
IF('TL01'!$B$229=N$3,SUMIF('TL01'!$C$238:$C$451,$C101,'TL01'!$J$238:$J$451),0),
IF('TL02'!$B$3=N$3,SUMIF('TL02'!$C$10:$C$224,$C101,'TL02'!$J$10:$J$224),0),
IF('TL02'!$B$229=N$3,SUMIF('TL02'!$C$238:$C$451,$C101,'TL02'!$J$238:$J$451),0),
IF('TL03'!$B$3=N$3,SUMIF('TL03'!$C$10:$C$224,$C101,'TL03'!$J$10:$J$224),0),
IF('TL03'!$B$229=N$3,SUMIF('TL03'!$C$238:$C$451,$C101,'TL03'!$J$238:$J$451),0),
IF('TL04'!$B$3=N$3,SUMIF('TL04'!$C$10:$C$224,$C101,'TL04'!$J$10:$J$224),0),
IF('TL04'!$B$229=N$3,SUMIF('TL04'!$C$238:$C$451,$C101,'TL04'!$J$238:$J$451),0),
IF('TL05'!$B$3=N$3,SUMIF('TL05'!$C$10:$C$224,$C101,'TL05'!$J$10:$J$224),0),
IF('TL05'!$B$229=N$3,SUMIF('TL05'!$C$238:$C$451,$C101,'TL05'!$J$238:$J$451),0),
IF('TL06'!$B$3=N$3,SUMIF('TL06'!$C$10:$C$224,$C101,'TL06'!$J$10:$J$224),0),
IF('TL06'!$B$229=N$3,SUMIF('TL06'!$C$238:$C$451,$C101,'TL06'!$J$238:$J$451),0),
IF('TL07'!$B$3=N$3,SUMIF('TL07'!$C$10:$C$224,$C101,'TL07'!$J$10:$J$224),0),
IF('TL07'!$B$229=N$3,SUMIF('TL07'!$C$238:$C$451,$C101,'TL07'!$J$238:$J$451),0),
IF('TL08'!$B$3=N$3,SUMIF('TL08'!$C$10:$C$224,$C101,'TL08'!$J$10:$J$224),0),
IF('TL08'!$B$229=N$3,SUMIF('TL08'!$C$238:$C$451,$C101,'TL08'!$J$238:$J$451),0),
IF('TL09'!$B$3=N$3,SUMIF('TL09'!$C$10:$C$224,$C101,'TL09'!$J$10:$J$224),0),
IF('TL09'!$B$229=N$3,SUMIF('TL09'!$C$238:$C$451,$C101,'TL09'!$J$238:$J$451),0),
IF('TL10'!$B$3=N$3,SUMIF('TL10'!$C$10:$C$224,$C101,'TL10'!$J$10:$J$224),0),
IF('TL10'!$B$229=N$3,SUMIF('TL10'!$C$238:$C$451,$C101,'TL10'!$J$238:$J$451),0),
IF('TL11'!$B$3=N$3,SUMIF('TL11'!$C$10:$C$224,$C101,'TL11'!$J$10:$J$224),0),
IF('TL11'!$B$229=N$3,SUMIF('TL11'!$C$238:$C$451,$C101,'TL11'!$J$238:$J$451),0),
IF('TL12'!$B$3=N$3,SUMIF('TL12'!$C$10:$C$224,$C101,'TL12'!$J$10:$J$224),0),
IF('TL12'!$B$229=N$3,SUMIF('TL12'!$C$238:$C$451,$C101,'TL12'!$J$238:$J$451),0),
IF('TL13'!$B$3=N$3,SUMIF('TL13'!$C$10:$C$224,$C101,'TL13'!$J$10:$J$224),0),
IF('TL13'!$B$229=N$3,SUMIF('TL13'!$C$238:$C$451,$C101,'TL13'!$J$238:$J$451),0),
IF('TL14'!$B$3=N$3,SUMIF('TL14'!$C$10:$C$224,$C101,'TL14'!$J$10:$J$224),0),
IF('TL14'!$B$229=N$3,SUMIF('TL14'!$C$238:$C$451,$C101,'TL14'!$J$238:$J$451),0),
IF('TL15'!$B$3=N$3,SUMIF('TL15'!$C$10:$C$224,$C101,'TL15'!$J$10:$J$224),0),
IF('TL15'!$B$229=N$3,SUMIF('TL15'!$C$238:$C$451,$C101,'TL15'!$J$238:$J$451),0),
IF('TL16'!$B$3=N$3,SUMIF('TL16'!$C$10:$C$224,$C101,'TL16'!$J$10:$J$224),0),
IF('TL16'!$B$229=N$3,SUMIF('TL16'!$C$238:$C$451,$C101,'TL16'!$J$238:$J$451),0),
IF('TL17'!$B$3=N$3,SUMIF('TL17'!$C$10:$C$224,$C101,'TL17'!$J$10:$J$224),0),
IF('TL17'!$B$229=N$3,SUMIF('TL17'!$C$238:$C$451,$C101,'TL17'!$J$238:$J$451),0),
IF('TL18'!$B$3=N$3,SUMIF('TL18'!$C$10:$C$224,$C101,'TL18'!$J$10:$J$224),0),
IF('TL18'!$B$229=N$3,SUMIF('TL18'!$C$238:$C$451,$C101,'TL18'!$J$238:$J$451),0),
IF('TL19'!$B$3=N$3,SUMIF('TL19'!$C$10:$C$224,$C101,'TL19'!$J$10:$J$224),0),
IF('TL19'!$B$229=N$3,SUMIF('TL19'!$C$238:$C$451,$C101,'TL19'!$J$238:$J$451),0)
),0)</f>
        <v/>
      </c>
      <c r="O101" s="9">
        <f>IFERROR(SUM(
IF('TL01'!$B$3=O$3,SUMIF('TL01'!$C$10:$C$224,$C101,'TL01'!$J$10:$J$224),0),
IF('TL01'!$B$229=O$3,SUMIF('TL01'!$C$238:$C$451,$C101,'TL01'!$J$238:$J$451),0),
IF('TL02'!$B$3=O$3,SUMIF('TL02'!$C$10:$C$224,$C101,'TL02'!$J$10:$J$224),0),
IF('TL02'!$B$229=O$3,SUMIF('TL02'!$C$238:$C$451,$C101,'TL02'!$J$238:$J$451),0),
IF('TL03'!$B$3=O$3,SUMIF('TL03'!$C$10:$C$224,$C101,'TL03'!$J$10:$J$224),0),
IF('TL03'!$B$229=O$3,SUMIF('TL03'!$C$238:$C$451,$C101,'TL03'!$J$238:$J$451),0),
IF('TL04'!$B$3=O$3,SUMIF('TL04'!$C$10:$C$224,$C101,'TL04'!$J$10:$J$224),0),
IF('TL04'!$B$229=O$3,SUMIF('TL04'!$C$238:$C$451,$C101,'TL04'!$J$238:$J$451),0),
IF('TL05'!$B$3=O$3,SUMIF('TL05'!$C$10:$C$224,$C101,'TL05'!$J$10:$J$224),0),
IF('TL05'!$B$229=O$3,SUMIF('TL05'!$C$238:$C$451,$C101,'TL05'!$J$238:$J$451),0),
IF('TL06'!$B$3=O$3,SUMIF('TL06'!$C$10:$C$224,$C101,'TL06'!$J$10:$J$224),0),
IF('TL06'!$B$229=O$3,SUMIF('TL06'!$C$238:$C$451,$C101,'TL06'!$J$238:$J$451),0),
IF('TL07'!$B$3=O$3,SUMIF('TL07'!$C$10:$C$224,$C101,'TL07'!$J$10:$J$224),0),
IF('TL07'!$B$229=O$3,SUMIF('TL07'!$C$238:$C$451,$C101,'TL07'!$J$238:$J$451),0),
IF('TL08'!$B$3=O$3,SUMIF('TL08'!$C$10:$C$224,$C101,'TL08'!$J$10:$J$224),0),
IF('TL08'!$B$229=O$3,SUMIF('TL08'!$C$238:$C$451,$C101,'TL08'!$J$238:$J$451),0),
IF('TL09'!$B$3=O$3,SUMIF('TL09'!$C$10:$C$224,$C101,'TL09'!$J$10:$J$224),0),
IF('TL09'!$B$229=O$3,SUMIF('TL09'!$C$238:$C$451,$C101,'TL09'!$J$238:$J$451),0),
IF('TL10'!$B$3=O$3,SUMIF('TL10'!$C$10:$C$224,$C101,'TL10'!$J$10:$J$224),0),
IF('TL10'!$B$229=O$3,SUMIF('TL10'!$C$238:$C$451,$C101,'TL10'!$J$238:$J$451),0),
IF('TL11'!$B$3=O$3,SUMIF('TL11'!$C$10:$C$224,$C101,'TL11'!$J$10:$J$224),0),
IF('TL11'!$B$229=O$3,SUMIF('TL11'!$C$238:$C$451,$C101,'TL11'!$J$238:$J$451),0),
IF('TL12'!$B$3=O$3,SUMIF('TL12'!$C$10:$C$224,$C101,'TL12'!$J$10:$J$224),0),
IF('TL12'!$B$229=O$3,SUMIF('TL12'!$C$238:$C$451,$C101,'TL12'!$J$238:$J$451),0),
IF('TL13'!$B$3=O$3,SUMIF('TL13'!$C$10:$C$224,$C101,'TL13'!$J$10:$J$224),0),
IF('TL13'!$B$229=O$3,SUMIF('TL13'!$C$238:$C$451,$C101,'TL13'!$J$238:$J$451),0),
IF('TL14'!$B$3=O$3,SUMIF('TL14'!$C$10:$C$224,$C101,'TL14'!$J$10:$J$224),0),
IF('TL14'!$B$229=O$3,SUMIF('TL14'!$C$238:$C$451,$C101,'TL14'!$J$238:$J$451),0),
IF('TL15'!$B$3=O$3,SUMIF('TL15'!$C$10:$C$224,$C101,'TL15'!$J$10:$J$224),0),
IF('TL15'!$B$229=O$3,SUMIF('TL15'!$C$238:$C$451,$C101,'TL15'!$J$238:$J$451),0),
IF('TL16'!$B$3=O$3,SUMIF('TL16'!$C$10:$C$224,$C101,'TL16'!$J$10:$J$224),0),
IF('TL16'!$B$229=O$3,SUMIF('TL16'!$C$238:$C$451,$C101,'TL16'!$J$238:$J$451),0),
IF('TL17'!$B$3=O$3,SUMIF('TL17'!$C$10:$C$224,$C101,'TL17'!$J$10:$J$224),0),
IF('TL17'!$B$229=O$3,SUMIF('TL17'!$C$238:$C$451,$C101,'TL17'!$J$238:$J$451),0),
IF('TL18'!$B$3=O$3,SUMIF('TL18'!$C$10:$C$224,$C101,'TL18'!$J$10:$J$224),0),
IF('TL18'!$B$229=O$3,SUMIF('TL18'!$C$238:$C$451,$C101,'TL18'!$J$238:$J$451),0),
IF('TL19'!$B$3=O$3,SUMIF('TL19'!$C$10:$C$224,$C101,'TL19'!$J$10:$J$224),0),
IF('TL19'!$B$229=O$3,SUMIF('TL19'!$C$238:$C$451,$C101,'TL19'!$J$238:$J$451),0)
),0)</f>
        <v/>
      </c>
      <c r="P101" s="9">
        <f>IFERROR(SUM(
IF('TL01'!$B$3=P$3,SUMIF('TL01'!$C$10:$C$224,$C101,'TL01'!$J$10:$J$224),0),
IF('TL01'!$B$229=P$3,SUMIF('TL01'!$C$238:$C$451,$C101,'TL01'!$J$238:$J$451),0),
IF('TL02'!$B$3=P$3,SUMIF('TL02'!$C$10:$C$224,$C101,'TL02'!$J$10:$J$224),0),
IF('TL02'!$B$229=P$3,SUMIF('TL02'!$C$238:$C$451,$C101,'TL02'!$J$238:$J$451),0),
IF('TL03'!$B$3=P$3,SUMIF('TL03'!$C$10:$C$224,$C101,'TL03'!$J$10:$J$224),0),
IF('TL03'!$B$229=P$3,SUMIF('TL03'!$C$238:$C$451,$C101,'TL03'!$J$238:$J$451),0),
IF('TL04'!$B$3=P$3,SUMIF('TL04'!$C$10:$C$224,$C101,'TL04'!$J$10:$J$224),0),
IF('TL04'!$B$229=P$3,SUMIF('TL04'!$C$238:$C$451,$C101,'TL04'!$J$238:$J$451),0),
IF('TL05'!$B$3=P$3,SUMIF('TL05'!$C$10:$C$224,$C101,'TL05'!$J$10:$J$224),0),
IF('TL05'!$B$229=P$3,SUMIF('TL05'!$C$238:$C$451,$C101,'TL05'!$J$238:$J$451),0),
IF('TL06'!$B$3=P$3,SUMIF('TL06'!$C$10:$C$224,$C101,'TL06'!$J$10:$J$224),0),
IF('TL06'!$B$229=P$3,SUMIF('TL06'!$C$238:$C$451,$C101,'TL06'!$J$238:$J$451),0),
IF('TL07'!$B$3=P$3,SUMIF('TL07'!$C$10:$C$224,$C101,'TL07'!$J$10:$J$224),0),
IF('TL07'!$B$229=P$3,SUMIF('TL07'!$C$238:$C$451,$C101,'TL07'!$J$238:$J$451),0),
IF('TL08'!$B$3=P$3,SUMIF('TL08'!$C$10:$C$224,$C101,'TL08'!$J$10:$J$224),0),
IF('TL08'!$B$229=P$3,SUMIF('TL08'!$C$238:$C$451,$C101,'TL08'!$J$238:$J$451),0),
IF('TL09'!$B$3=P$3,SUMIF('TL09'!$C$10:$C$224,$C101,'TL09'!$J$10:$J$224),0),
IF('TL09'!$B$229=P$3,SUMIF('TL09'!$C$238:$C$451,$C101,'TL09'!$J$238:$J$451),0),
IF('TL10'!$B$3=P$3,SUMIF('TL10'!$C$10:$C$224,$C101,'TL10'!$J$10:$J$224),0),
IF('TL10'!$B$229=P$3,SUMIF('TL10'!$C$238:$C$451,$C101,'TL10'!$J$238:$J$451),0),
IF('TL11'!$B$3=P$3,SUMIF('TL11'!$C$10:$C$224,$C101,'TL11'!$J$10:$J$224),0),
IF('TL11'!$B$229=P$3,SUMIF('TL11'!$C$238:$C$451,$C101,'TL11'!$J$238:$J$451),0),
IF('TL12'!$B$3=P$3,SUMIF('TL12'!$C$10:$C$224,$C101,'TL12'!$J$10:$J$224),0),
IF('TL12'!$B$229=P$3,SUMIF('TL12'!$C$238:$C$451,$C101,'TL12'!$J$238:$J$451),0),
IF('TL13'!$B$3=P$3,SUMIF('TL13'!$C$10:$C$224,$C101,'TL13'!$J$10:$J$224),0),
IF('TL13'!$B$229=P$3,SUMIF('TL13'!$C$238:$C$451,$C101,'TL13'!$J$238:$J$451),0),
IF('TL14'!$B$3=P$3,SUMIF('TL14'!$C$10:$C$224,$C101,'TL14'!$J$10:$J$224),0),
IF('TL14'!$B$229=P$3,SUMIF('TL14'!$C$238:$C$451,$C101,'TL14'!$J$238:$J$451),0),
IF('TL15'!$B$3=P$3,SUMIF('TL15'!$C$10:$C$224,$C101,'TL15'!$J$10:$J$224),0),
IF('TL15'!$B$229=P$3,SUMIF('TL15'!$C$238:$C$451,$C101,'TL15'!$J$238:$J$451),0),
IF('TL16'!$B$3=P$3,SUMIF('TL16'!$C$10:$C$224,$C101,'TL16'!$J$10:$J$224),0),
IF('TL16'!$B$229=P$3,SUMIF('TL16'!$C$238:$C$451,$C101,'TL16'!$J$238:$J$451),0),
IF('TL17'!$B$3=P$3,SUMIF('TL17'!$C$10:$C$224,$C101,'TL17'!$J$10:$J$224),0),
IF('TL17'!$B$229=P$3,SUMIF('TL17'!$C$238:$C$451,$C101,'TL17'!$J$238:$J$451),0),
IF('TL18'!$B$3=P$3,SUMIF('TL18'!$C$10:$C$224,$C101,'TL18'!$J$10:$J$224),0),
IF('TL18'!$B$229=P$3,SUMIF('TL18'!$C$238:$C$451,$C101,'TL18'!$J$238:$J$451),0),
IF('TL19'!$B$3=P$3,SUMIF('TL19'!$C$10:$C$224,$C101,'TL19'!$J$10:$J$224),0),
IF('TL19'!$B$229=P$3,SUMIF('TL19'!$C$238:$C$451,$C101,'TL19'!$J$238:$J$451),0)
),0)</f>
        <v/>
      </c>
      <c r="Q101" s="9">
        <f>IFERROR(SUM(
IF('TL01'!$B$3=Q$3,SUMIF('TL01'!$C$10:$C$224,$C101,'TL01'!$J$10:$J$224),0),
IF('TL01'!$B$229=Q$3,SUMIF('TL01'!$C$238:$C$451,$C101,'TL01'!$J$238:$J$451),0),
IF('TL02'!$B$3=Q$3,SUMIF('TL02'!$C$10:$C$224,$C101,'TL02'!$J$10:$J$224),0),
IF('TL02'!$B$229=Q$3,SUMIF('TL02'!$C$238:$C$451,$C101,'TL02'!$J$238:$J$451),0),
IF('TL03'!$B$3=Q$3,SUMIF('TL03'!$C$10:$C$224,$C101,'TL03'!$J$10:$J$224),0),
IF('TL03'!$B$229=Q$3,SUMIF('TL03'!$C$238:$C$451,$C101,'TL03'!$J$238:$J$451),0),
IF('TL04'!$B$3=Q$3,SUMIF('TL04'!$C$10:$C$224,$C101,'TL04'!$J$10:$J$224),0),
IF('TL04'!$B$229=Q$3,SUMIF('TL04'!$C$238:$C$451,$C101,'TL04'!$J$238:$J$451),0),
IF('TL05'!$B$3=Q$3,SUMIF('TL05'!$C$10:$C$224,$C101,'TL05'!$J$10:$J$224),0),
IF('TL05'!$B$229=Q$3,SUMIF('TL05'!$C$238:$C$451,$C101,'TL05'!$J$238:$J$451),0),
IF('TL06'!$B$3=Q$3,SUMIF('TL06'!$C$10:$C$224,$C101,'TL06'!$J$10:$J$224),0),
IF('TL06'!$B$229=Q$3,SUMIF('TL06'!$C$238:$C$451,$C101,'TL06'!$J$238:$J$451),0),
IF('TL07'!$B$3=Q$3,SUMIF('TL07'!$C$10:$C$224,$C101,'TL07'!$J$10:$J$224),0),
IF('TL07'!$B$229=Q$3,SUMIF('TL07'!$C$238:$C$451,$C101,'TL07'!$J$238:$J$451),0),
IF('TL08'!$B$3=Q$3,SUMIF('TL08'!$C$10:$C$224,$C101,'TL08'!$J$10:$J$224),0),
IF('TL08'!$B$229=Q$3,SUMIF('TL08'!$C$238:$C$451,$C101,'TL08'!$J$238:$J$451),0),
IF('TL09'!$B$3=Q$3,SUMIF('TL09'!$C$10:$C$224,$C101,'TL09'!$J$10:$J$224),0),
IF('TL09'!$B$229=Q$3,SUMIF('TL09'!$C$238:$C$451,$C101,'TL09'!$J$238:$J$451),0),
IF('TL10'!$B$3=Q$3,SUMIF('TL10'!$C$10:$C$224,$C101,'TL10'!$J$10:$J$224),0),
IF('TL10'!$B$229=Q$3,SUMIF('TL10'!$C$238:$C$451,$C101,'TL10'!$J$238:$J$451),0),
IF('TL11'!$B$3=Q$3,SUMIF('TL11'!$C$10:$C$224,$C101,'TL11'!$J$10:$J$224),0),
IF('TL11'!$B$229=Q$3,SUMIF('TL11'!$C$238:$C$451,$C101,'TL11'!$J$238:$J$451),0),
IF('TL12'!$B$3=Q$3,SUMIF('TL12'!$C$10:$C$224,$C101,'TL12'!$J$10:$J$224),0),
IF('TL12'!$B$229=Q$3,SUMIF('TL12'!$C$238:$C$451,$C101,'TL12'!$J$238:$J$451),0),
IF('TL13'!$B$3=Q$3,SUMIF('TL13'!$C$10:$C$224,$C101,'TL13'!$J$10:$J$224),0),
IF('TL13'!$B$229=Q$3,SUMIF('TL13'!$C$238:$C$451,$C101,'TL13'!$J$238:$J$451),0),
IF('TL14'!$B$3=Q$3,SUMIF('TL14'!$C$10:$C$224,$C101,'TL14'!$J$10:$J$224),0),
IF('TL14'!$B$229=Q$3,SUMIF('TL14'!$C$238:$C$451,$C101,'TL14'!$J$238:$J$451),0),
IF('TL15'!$B$3=Q$3,SUMIF('TL15'!$C$10:$C$224,$C101,'TL15'!$J$10:$J$224),0),
IF('TL15'!$B$229=Q$3,SUMIF('TL15'!$C$238:$C$451,$C101,'TL15'!$J$238:$J$451),0),
IF('TL16'!$B$3=Q$3,SUMIF('TL16'!$C$10:$C$224,$C101,'TL16'!$J$10:$J$224),0),
IF('TL16'!$B$229=Q$3,SUMIF('TL16'!$C$238:$C$451,$C101,'TL16'!$J$238:$J$451),0),
IF('TL17'!$B$3=Q$3,SUMIF('TL17'!$C$10:$C$224,$C101,'TL17'!$J$10:$J$224),0),
IF('TL17'!$B$229=Q$3,SUMIF('TL17'!$C$238:$C$451,$C101,'TL17'!$J$238:$J$451),0),
IF('TL18'!$B$3=Q$3,SUMIF('TL18'!$C$10:$C$224,$C101,'TL18'!$J$10:$J$224),0),
IF('TL18'!$B$229=Q$3,SUMIF('TL18'!$C$238:$C$451,$C101,'TL18'!$J$238:$J$451),0),
IF('TL19'!$B$3=Q$3,SUMIF('TL19'!$C$10:$C$224,$C101,'TL19'!$J$10:$J$224),0),
IF('TL19'!$B$229=Q$3,SUMIF('TL19'!$C$238:$C$451,$C101,'TL19'!$J$238:$J$451),0)
),0)</f>
        <v/>
      </c>
      <c r="R101" s="9">
        <f>IFERROR(
SUM(
SUMIF('TL01'!C:C,C101,'TL01'!J:J),
SUMIF('TL02'!C:C,C101,'TL02'!J:J),
SUMIF('TL03'!C:C,C101,'TL03'!J:J),
SUMIF('TL04'!C:C,C101,'TL04'!J:J),
SUMIF('TL05'!C:C,C101,'TL05'!J:J),
SUMIF('TL06'!C:C,C101,'TL06'!J:J),
SUMIF('TL07'!C:C,C101,'TL07'!J:J),
SUMIF('TL08'!C:C,C101,'TL08'!J:J),
SUMIF('TL09'!C:C,C101,'TL09'!J:J),
SUMIF('TL10'!C:C,C101,'TL10'!J:J),
SUMIF('TL11'!C:C,C101,'TL11'!J:J),
SUMIF('TL12'!C:C,C101,'TL12'!J:J),
SUMIF('TL13'!C:C,C101,'TL13'!J:J),
SUMIF('TL14'!C:C,C101,'TL14'!J:J),
SUMIF('TL15'!C:C,C101,'TL15'!J:J),
SUMIF('TL16'!C:C,C101,'TL16'!J:J),
SUMIF('TL17'!C:C,C101,'TL17'!J:J),
SUMIF('TL18'!C:C,C101,'TL18'!J:J),SUMIF('TL19'!C:C,C101,'TL19'!J:J))
,0)</f>
        <v/>
      </c>
      <c r="S101" s="17">
        <f>IFERROR(__xludf.DUMMYFUNCTION("IFERROR(VLOOKUP(C101,
IMPORTRANGE(""1wULbzX32WdYsx-lj2U3uUNBBe2INVIRDtcK0d-Dvl90"",
""26-27!C:G""),
5,
FALSE),
"""")"),148.82832)</f>
        <v/>
      </c>
      <c r="T101" s="9" t="n"/>
      <c r="U101" s="92">
        <f>MAX(0,R101-T101)</f>
        <v/>
      </c>
      <c r="V101" s="93">
        <f>U101*S101</f>
        <v/>
      </c>
    </row>
    <row r="102" hidden="1" ht="15.75" customHeight="1" s="297">
      <c r="A102" s="115" t="inlineStr">
        <is>
          <t>SYNGENTA</t>
        </is>
      </c>
      <c r="B102" s="100" t="inlineStr">
        <is>
          <t>FUNGICIDA</t>
        </is>
      </c>
      <c r="C102" s="116" t="inlineStr">
        <is>
          <t>PRIORI TOP</t>
        </is>
      </c>
      <c r="D102" s="116" t="inlineStr">
        <is>
          <t>AZOXISTROBINA + DIFENOCONAZOL</t>
        </is>
      </c>
      <c r="E102" s="116" t="inlineStr">
        <is>
          <t>200 + 125</t>
        </is>
      </c>
      <c r="F102" s="4" t="inlineStr">
        <is>
          <t>KG</t>
        </is>
      </c>
      <c r="G102" s="90">
        <f>HYPERLINK("https://www.google.com/search?q=" &amp; C102 &amp; "+bula+agrofit+pdf", "📄 Ver bula")</f>
        <v/>
      </c>
      <c r="H102" s="9">
        <f>IFERROR(__xludf.DUMMYFUNCTION("IFERROR(VLOOKUP(C102,
IMPORTRANGE(""1wULbzX32WdYsx-lj2U3uUNBBe2INVIRDtcK0d-Dvl90"",
""26-27!C:K""),
8,
FALSE),
"""")"),0.4)</f>
        <v/>
      </c>
      <c r="I102" s="117" t="inlineStr">
        <is>
          <t>1x20</t>
        </is>
      </c>
      <c r="J102" s="9">
        <f>IFERROR(SUM(
IF('TL01'!$B$3=J$3,SUMIF('TL01'!$C$10:$C$224,$C102,'TL01'!$J$10:$J$224),0),
IF('TL01'!$B$229=J$3,SUMIF('TL01'!$C$238:$C$451,$C102,'TL01'!$J$238:$J$451),0),
IF('TL02'!$B$3=J$3,SUMIF('TL02'!$C$10:$C$224,$C102,'TL02'!$J$10:$J$224),0),
IF('TL02'!$B$229=J$3,SUMIF('TL02'!$C$238:$C$451,$C102,'TL02'!$J$238:$J$451),0),
IF('TL03'!$B$3=J$3,SUMIF('TL03'!$C$10:$C$224,$C102,'TL03'!$J$10:$J$224),0),
IF('TL03'!$B$229=J$3,SUMIF('TL03'!$C$238:$C$451,$C102,'TL03'!$J$238:$J$451),0),
IF('TL04'!$B$3=J$3,SUMIF('TL04'!$C$10:$C$224,$C102,'TL04'!$J$10:$J$224),0),
IF('TL04'!$B$229=J$3,SUMIF('TL04'!$C$238:$C$451,$C102,'TL04'!$J$238:$J$451),0),
IF('TL05'!$B$3=J$3,SUMIF('TL05'!$C$10:$C$224,$C102,'TL05'!$J$10:$J$224),0),
IF('TL05'!$B$229=J$3,SUMIF('TL05'!$C$238:$C$451,$C102,'TL05'!$J$238:$J$451),0),
IF('TL06'!$B$3=J$3,SUMIF('TL06'!$C$10:$C$224,$C102,'TL06'!$J$10:$J$224),0),
IF('TL06'!$B$229=J$3,SUMIF('TL06'!$C$238:$C$451,$C102,'TL06'!$J$238:$J$451),0),
IF('TL07'!$B$3=J$3,SUMIF('TL07'!$C$10:$C$224,$C102,'TL07'!$J$10:$J$224),0),
IF('TL07'!$B$229=J$3,SUMIF('TL07'!$C$238:$C$451,$C102,'TL07'!$J$238:$J$451),0),
IF('TL08'!$B$3=J$3,SUMIF('TL08'!$C$10:$C$224,$C102,'TL08'!$J$10:$J$224),0),
IF('TL08'!$B$229=J$3,SUMIF('TL08'!$C$238:$C$451,$C102,'TL08'!$J$238:$J$451),0),
IF('TL09'!$B$3=J$3,SUMIF('TL09'!$C$10:$C$224,$C102,'TL09'!$J$10:$J$224),0),
IF('TL09'!$B$229=J$3,SUMIF('TL09'!$C$238:$C$451,$C102,'TL09'!$J$238:$J$451),0),
IF('TL10'!$B$3=J$3,SUMIF('TL10'!$C$10:$C$224,$C102,'TL10'!$J$10:$J$224),0),
IF('TL10'!$B$229=J$3,SUMIF('TL10'!$C$238:$C$451,$C102,'TL10'!$J$238:$J$451),0),
IF('TL11'!$B$3=J$3,SUMIF('TL11'!$C$10:$C$224,$C102,'TL11'!$J$10:$J$224),0),
IF('TL11'!$B$229=J$3,SUMIF('TL11'!$C$238:$C$451,$C102,'TL11'!$J$238:$J$451),0),
IF('TL12'!$B$3=J$3,SUMIF('TL12'!$C$10:$C$224,$C102,'TL12'!$J$10:$J$224),0),
IF('TL12'!$B$229=J$3,SUMIF('TL12'!$C$238:$C$451,$C102,'TL12'!$J$238:$J$451),0),
IF('TL13'!$B$3=J$3,SUMIF('TL13'!$C$10:$C$224,$C102,'TL13'!$J$10:$J$224),0),
IF('TL13'!$B$229=J$3,SUMIF('TL13'!$C$238:$C$451,$C102,'TL13'!$J$238:$J$451),0),
IF('TL14'!$B$3=J$3,SUMIF('TL14'!$C$10:$C$224,$C102,'TL14'!$J$10:$J$224),0),
IF('TL14'!$B$229=J$3,SUMIF('TL14'!$C$238:$C$451,$C102,'TL14'!$J$238:$J$451),0),
IF('TL15'!$B$3=J$3,SUMIF('TL15'!$C$10:$C$224,$C102,'TL15'!$J$10:$J$224),0),
IF('TL15'!$B$229=J$3,SUMIF('TL15'!$C$238:$C$451,$C102,'TL15'!$J$238:$J$451),0),
IF('TL16'!$B$3=J$3,SUMIF('TL16'!$C$10:$C$224,$C102,'TL16'!$J$10:$J$224),0),
IF('TL16'!$B$229=J$3,SUMIF('TL16'!$C$238:$C$451,$C102,'TL16'!$J$238:$J$451),0),
IF('TL17'!$B$3=J$3,SUMIF('TL17'!$C$10:$C$224,$C102,'TL17'!$J$10:$J$224),0),
IF('TL17'!$B$229=J$3,SUMIF('TL17'!$C$238:$C$451,$C102,'TL17'!$J$238:$J$451),0),
IF('TL18'!$B$3=J$3,SUMIF('TL18'!$C$10:$C$224,$C102,'TL18'!$J$10:$J$224),0),
IF('TL18'!$B$229=J$3,SUMIF('TL18'!$C$238:$C$451,$C102,'TL18'!$J$238:$J$451),0),
IF('TL19'!$B$3=J$3,SUMIF('TL19'!$C$10:$C$224,$C102,'TL19'!$J$10:$J$224),0),
IF('TL19'!$B$229=J$3,SUMIF('TL19'!$C$238:$C$451,$C102,'TL19'!$J$238:$J$451),0)
),0)</f>
        <v/>
      </c>
      <c r="K102" s="9">
        <f>IFERROR(SUM(
IF('TL01'!$B$3=K$3,SUMIF('TL01'!$C$10:$C$224,$C102,'TL01'!$J$10:$J$224),0),
IF('TL01'!$B$229=K$3,SUMIF('TL01'!$C$238:$C$451,$C102,'TL01'!$J$238:$J$451),0),
IF('TL02'!$B$3=K$3,SUMIF('TL02'!$C$10:$C$224,$C102,'TL02'!$J$10:$J$224),0),
IF('TL02'!$B$229=K$3,SUMIF('TL02'!$C$238:$C$451,$C102,'TL02'!$J$238:$J$451),0),
IF('TL03'!$B$3=K$3,SUMIF('TL03'!$C$10:$C$224,$C102,'TL03'!$J$10:$J$224),0),
IF('TL03'!$B$229=K$3,SUMIF('TL03'!$C$238:$C$451,$C102,'TL03'!$J$238:$J$451),0),
IF('TL04'!$B$3=K$3,SUMIF('TL04'!$C$10:$C$224,$C102,'TL04'!$J$10:$J$224),0),
IF('TL04'!$B$229=K$3,SUMIF('TL04'!$C$238:$C$451,$C102,'TL04'!$J$238:$J$451),0),
IF('TL05'!$B$3=K$3,SUMIF('TL05'!$C$10:$C$224,$C102,'TL05'!$J$10:$J$224),0),
IF('TL05'!$B$229=K$3,SUMIF('TL05'!$C$238:$C$451,$C102,'TL05'!$J$238:$J$451),0),
IF('TL06'!$B$3=K$3,SUMIF('TL06'!$C$10:$C$224,$C102,'TL06'!$J$10:$J$224),0),
IF('TL06'!$B$229=K$3,SUMIF('TL06'!$C$238:$C$451,$C102,'TL06'!$J$238:$J$451),0),
IF('TL07'!$B$3=K$3,SUMIF('TL07'!$C$10:$C$224,$C102,'TL07'!$J$10:$J$224),0),
IF('TL07'!$B$229=K$3,SUMIF('TL07'!$C$238:$C$451,$C102,'TL07'!$J$238:$J$451),0),
IF('TL08'!$B$3=K$3,SUMIF('TL08'!$C$10:$C$224,$C102,'TL08'!$J$10:$J$224),0),
IF('TL08'!$B$229=K$3,SUMIF('TL08'!$C$238:$C$451,$C102,'TL08'!$J$238:$J$451),0),
IF('TL09'!$B$3=K$3,SUMIF('TL09'!$C$10:$C$224,$C102,'TL09'!$J$10:$J$224),0),
IF('TL09'!$B$229=K$3,SUMIF('TL09'!$C$238:$C$451,$C102,'TL09'!$J$238:$J$451),0),
IF('TL10'!$B$3=K$3,SUMIF('TL10'!$C$10:$C$224,$C102,'TL10'!$J$10:$J$224),0),
IF('TL10'!$B$229=K$3,SUMIF('TL10'!$C$238:$C$451,$C102,'TL10'!$J$238:$J$451),0),
IF('TL11'!$B$3=K$3,SUMIF('TL11'!$C$10:$C$224,$C102,'TL11'!$J$10:$J$224),0),
IF('TL11'!$B$229=K$3,SUMIF('TL11'!$C$238:$C$451,$C102,'TL11'!$J$238:$J$451),0),
IF('TL12'!$B$3=K$3,SUMIF('TL12'!$C$10:$C$224,$C102,'TL12'!$J$10:$J$224),0),
IF('TL12'!$B$229=K$3,SUMIF('TL12'!$C$238:$C$451,$C102,'TL12'!$J$238:$J$451),0),
IF('TL13'!$B$3=K$3,SUMIF('TL13'!$C$10:$C$224,$C102,'TL13'!$J$10:$J$224),0),
IF('TL13'!$B$229=K$3,SUMIF('TL13'!$C$238:$C$451,$C102,'TL13'!$J$238:$J$451),0),
IF('TL14'!$B$3=K$3,SUMIF('TL14'!$C$10:$C$224,$C102,'TL14'!$J$10:$J$224),0),
IF('TL14'!$B$229=K$3,SUMIF('TL14'!$C$238:$C$451,$C102,'TL14'!$J$238:$J$451),0),
IF('TL15'!$B$3=K$3,SUMIF('TL15'!$C$10:$C$224,$C102,'TL15'!$J$10:$J$224),0),
IF('TL15'!$B$229=K$3,SUMIF('TL15'!$C$238:$C$451,$C102,'TL15'!$J$238:$J$451),0),
IF('TL16'!$B$3=K$3,SUMIF('TL16'!$C$10:$C$224,$C102,'TL16'!$J$10:$J$224),0),
IF('TL16'!$B$229=K$3,SUMIF('TL16'!$C$238:$C$451,$C102,'TL16'!$J$238:$J$451),0),
IF('TL17'!$B$3=K$3,SUMIF('TL17'!$C$10:$C$224,$C102,'TL17'!$J$10:$J$224),0),
IF('TL17'!$B$229=K$3,SUMIF('TL17'!$C$238:$C$451,$C102,'TL17'!$J$238:$J$451),0),
IF('TL18'!$B$3=K$3,SUMIF('TL18'!$C$10:$C$224,$C102,'TL18'!$J$10:$J$224),0),
IF('TL18'!$B$229=K$3,SUMIF('TL18'!$C$238:$C$451,$C102,'TL18'!$J$238:$J$451),0),
IF('TL19'!$B$3=K$3,SUMIF('TL19'!$C$10:$C$224,$C102,'TL19'!$J$10:$J$224),0),
IF('TL19'!$B$229=K$3,SUMIF('TL19'!$C$238:$C$451,$C102,'TL19'!$J$238:$J$451),0)
),0)</f>
        <v/>
      </c>
      <c r="L102" s="9">
        <f>IFERROR(SUM(
IF('TL01'!$B$3=L$3,SUMIF('TL01'!$C$10:$C$224,$C102,'TL01'!$J$10:$J$224),0),
IF('TL01'!$B$229=L$3,SUMIF('TL01'!$C$238:$C$451,$C102,'TL01'!$J$238:$J$451),0),
IF('TL02'!$B$3=L$3,SUMIF('TL02'!$C$10:$C$224,$C102,'TL02'!$J$10:$J$224),0),
IF('TL02'!$B$229=L$3,SUMIF('TL02'!$C$238:$C$451,$C102,'TL02'!$J$238:$J$451),0),
IF('TL03'!$B$3=L$3,SUMIF('TL03'!$C$10:$C$224,$C102,'TL03'!$J$10:$J$224),0),
IF('TL03'!$B$229=L$3,SUMIF('TL03'!$C$238:$C$451,$C102,'TL03'!$J$238:$J$451),0),
IF('TL04'!$B$3=L$3,SUMIF('TL04'!$C$10:$C$224,$C102,'TL04'!$J$10:$J$224),0),
IF('TL04'!$B$229=L$3,SUMIF('TL04'!$C$238:$C$451,$C102,'TL04'!$J$238:$J$451),0),
IF('TL05'!$B$3=L$3,SUMIF('TL05'!$C$10:$C$224,$C102,'TL05'!$J$10:$J$224),0),
IF('TL05'!$B$229=L$3,SUMIF('TL05'!$C$238:$C$451,$C102,'TL05'!$J$238:$J$451),0),
IF('TL06'!$B$3=L$3,SUMIF('TL06'!$C$10:$C$224,$C102,'TL06'!$J$10:$J$224),0),
IF('TL06'!$B$229=L$3,SUMIF('TL06'!$C$238:$C$451,$C102,'TL06'!$J$238:$J$451),0),
IF('TL07'!$B$3=L$3,SUMIF('TL07'!$C$10:$C$224,$C102,'TL07'!$J$10:$J$224),0),
IF('TL07'!$B$229=L$3,SUMIF('TL07'!$C$238:$C$451,$C102,'TL07'!$J$238:$J$451),0),
IF('TL08'!$B$3=L$3,SUMIF('TL08'!$C$10:$C$224,$C102,'TL08'!$J$10:$J$224),0),
IF('TL08'!$B$229=L$3,SUMIF('TL08'!$C$238:$C$451,$C102,'TL08'!$J$238:$J$451),0),
IF('TL09'!$B$3=L$3,SUMIF('TL09'!$C$10:$C$224,$C102,'TL09'!$J$10:$J$224),0),
IF('TL09'!$B$229=L$3,SUMIF('TL09'!$C$238:$C$451,$C102,'TL09'!$J$238:$J$451),0),
IF('TL10'!$B$3=L$3,SUMIF('TL10'!$C$10:$C$224,$C102,'TL10'!$J$10:$J$224),0),
IF('TL10'!$B$229=L$3,SUMIF('TL10'!$C$238:$C$451,$C102,'TL10'!$J$238:$J$451),0),
IF('TL11'!$B$3=L$3,SUMIF('TL11'!$C$10:$C$224,$C102,'TL11'!$J$10:$J$224),0),
IF('TL11'!$B$229=L$3,SUMIF('TL11'!$C$238:$C$451,$C102,'TL11'!$J$238:$J$451),0),
IF('TL12'!$B$3=L$3,SUMIF('TL12'!$C$10:$C$224,$C102,'TL12'!$J$10:$J$224),0),
IF('TL12'!$B$229=L$3,SUMIF('TL12'!$C$238:$C$451,$C102,'TL12'!$J$238:$J$451),0),
IF('TL13'!$B$3=L$3,SUMIF('TL13'!$C$10:$C$224,$C102,'TL13'!$J$10:$J$224),0),
IF('TL13'!$B$229=L$3,SUMIF('TL13'!$C$238:$C$451,$C102,'TL13'!$J$238:$J$451),0),
IF('TL14'!$B$3=L$3,SUMIF('TL14'!$C$10:$C$224,$C102,'TL14'!$J$10:$J$224),0),
IF('TL14'!$B$229=L$3,SUMIF('TL14'!$C$238:$C$451,$C102,'TL14'!$J$238:$J$451),0),
IF('TL15'!$B$3=L$3,SUMIF('TL15'!$C$10:$C$224,$C102,'TL15'!$J$10:$J$224),0),
IF('TL15'!$B$229=L$3,SUMIF('TL15'!$C$238:$C$451,$C102,'TL15'!$J$238:$J$451),0),
IF('TL16'!$B$3=L$3,SUMIF('TL16'!$C$10:$C$224,$C102,'TL16'!$J$10:$J$224),0),
IF('TL16'!$B$229=L$3,SUMIF('TL16'!$C$238:$C$451,$C102,'TL16'!$J$238:$J$451),0),
IF('TL17'!$B$3=L$3,SUMIF('TL17'!$C$10:$C$224,$C102,'TL17'!$J$10:$J$224),0),
IF('TL17'!$B$229=L$3,SUMIF('TL17'!$C$238:$C$451,$C102,'TL17'!$J$238:$J$451),0),
IF('TL18'!$B$3=L$3,SUMIF('TL18'!$C$10:$C$224,$C102,'TL18'!$J$10:$J$224),0),
IF('TL18'!$B$229=L$3,SUMIF('TL18'!$C$238:$C$451,$C102,'TL18'!$J$238:$J$451),0),
IF('TL19'!$B$3=L$3,SUMIF('TL19'!$C$10:$C$224,$C102,'TL19'!$J$10:$J$224),0),
IF('TL19'!$B$229=L$3,SUMIF('TL19'!$C$238:$C$451,$C102,'TL19'!$J$238:$J$451),0)
),0)</f>
        <v/>
      </c>
      <c r="M102" s="9">
        <f>IFERROR(SUM(
IF('TL01'!$B$3=M$3,SUMIF('TL01'!$C$10:$C$224,$C102,'TL01'!$J$10:$J$224),0),
IF('TL01'!$B$229=M$3,SUMIF('TL01'!$C$238:$C$451,$C102,'TL01'!$J$238:$J$451),0),
IF('TL02'!$B$3=M$3,SUMIF('TL02'!$C$10:$C$224,$C102,'TL02'!$J$10:$J$224),0),
IF('TL02'!$B$229=M$3,SUMIF('TL02'!$C$238:$C$451,$C102,'TL02'!$J$238:$J$451),0),
IF('TL03'!$B$3=M$3,SUMIF('TL03'!$C$10:$C$224,$C102,'TL03'!$J$10:$J$224),0),
IF('TL03'!$B$229=M$3,SUMIF('TL03'!$C$238:$C$451,$C102,'TL03'!$J$238:$J$451),0),
IF('TL04'!$B$3=M$3,SUMIF('TL04'!$C$10:$C$224,$C102,'TL04'!$J$10:$J$224),0),
IF('TL04'!$B$229=M$3,SUMIF('TL04'!$C$238:$C$451,$C102,'TL04'!$J$238:$J$451),0),
IF('TL05'!$B$3=M$3,SUMIF('TL05'!$C$10:$C$224,$C102,'TL05'!$J$10:$J$224),0),
IF('TL05'!$B$229=M$3,SUMIF('TL05'!$C$238:$C$451,$C102,'TL05'!$J$238:$J$451),0),
IF('TL06'!$B$3=M$3,SUMIF('TL06'!$C$10:$C$224,$C102,'TL06'!$J$10:$J$224),0),
IF('TL06'!$B$229=M$3,SUMIF('TL06'!$C$238:$C$451,$C102,'TL06'!$J$238:$J$451),0),
IF('TL07'!$B$3=M$3,SUMIF('TL07'!$C$10:$C$224,$C102,'TL07'!$J$10:$J$224),0),
IF('TL07'!$B$229=M$3,SUMIF('TL07'!$C$238:$C$451,$C102,'TL07'!$J$238:$J$451),0),
IF('TL08'!$B$3=M$3,SUMIF('TL08'!$C$10:$C$224,$C102,'TL08'!$J$10:$J$224),0),
IF('TL08'!$B$229=M$3,SUMIF('TL08'!$C$238:$C$451,$C102,'TL08'!$J$238:$J$451),0),
IF('TL09'!$B$3=M$3,SUMIF('TL09'!$C$10:$C$224,$C102,'TL09'!$J$10:$J$224),0),
IF('TL09'!$B$229=M$3,SUMIF('TL09'!$C$238:$C$451,$C102,'TL09'!$J$238:$J$451),0),
IF('TL10'!$B$3=M$3,SUMIF('TL10'!$C$10:$C$224,$C102,'TL10'!$J$10:$J$224),0),
IF('TL10'!$B$229=M$3,SUMIF('TL10'!$C$238:$C$451,$C102,'TL10'!$J$238:$J$451),0),
IF('TL11'!$B$3=M$3,SUMIF('TL11'!$C$10:$C$224,$C102,'TL11'!$J$10:$J$224),0),
IF('TL11'!$B$229=M$3,SUMIF('TL11'!$C$238:$C$451,$C102,'TL11'!$J$238:$J$451),0),
IF('TL12'!$B$3=M$3,SUMIF('TL12'!$C$10:$C$224,$C102,'TL12'!$J$10:$J$224),0),
IF('TL12'!$B$229=M$3,SUMIF('TL12'!$C$238:$C$451,$C102,'TL12'!$J$238:$J$451),0),
IF('TL13'!$B$3=M$3,SUMIF('TL13'!$C$10:$C$224,$C102,'TL13'!$J$10:$J$224),0),
IF('TL13'!$B$229=M$3,SUMIF('TL13'!$C$238:$C$451,$C102,'TL13'!$J$238:$J$451),0),
IF('TL14'!$B$3=M$3,SUMIF('TL14'!$C$10:$C$224,$C102,'TL14'!$J$10:$J$224),0),
IF('TL14'!$B$229=M$3,SUMIF('TL14'!$C$238:$C$451,$C102,'TL14'!$J$238:$J$451),0),
IF('TL15'!$B$3=M$3,SUMIF('TL15'!$C$10:$C$224,$C102,'TL15'!$J$10:$J$224),0),
IF('TL15'!$B$229=M$3,SUMIF('TL15'!$C$238:$C$451,$C102,'TL15'!$J$238:$J$451),0),
IF('TL16'!$B$3=M$3,SUMIF('TL16'!$C$10:$C$224,$C102,'TL16'!$J$10:$J$224),0),
IF('TL16'!$B$229=M$3,SUMIF('TL16'!$C$238:$C$451,$C102,'TL16'!$J$238:$J$451),0),
IF('TL17'!$B$3=M$3,SUMIF('TL17'!$C$10:$C$224,$C102,'TL17'!$J$10:$J$224),0),
IF('TL17'!$B$229=M$3,SUMIF('TL17'!$C$238:$C$451,$C102,'TL17'!$J$238:$J$451),0),
IF('TL18'!$B$3=M$3,SUMIF('TL18'!$C$10:$C$224,$C102,'TL18'!$J$10:$J$224),0),
IF('TL18'!$B$229=M$3,SUMIF('TL18'!$C$238:$C$451,$C102,'TL18'!$J$238:$J$451),0),
IF('TL19'!$B$3=M$3,SUMIF('TL19'!$C$10:$C$224,$C102,'TL19'!$J$10:$J$224),0),
IF('TL19'!$B$229=M$3,SUMIF('TL19'!$C$238:$C$451,$C102,'TL19'!$J$238:$J$451),0)
),0)</f>
        <v/>
      </c>
      <c r="N102" s="9">
        <f>IFERROR(SUM(
IF('TL01'!$B$3=N$3,SUMIF('TL01'!$C$10:$C$224,$C102,'TL01'!$J$10:$J$224),0),
IF('TL01'!$B$229=N$3,SUMIF('TL01'!$C$238:$C$451,$C102,'TL01'!$J$238:$J$451),0),
IF('TL02'!$B$3=N$3,SUMIF('TL02'!$C$10:$C$224,$C102,'TL02'!$J$10:$J$224),0),
IF('TL02'!$B$229=N$3,SUMIF('TL02'!$C$238:$C$451,$C102,'TL02'!$J$238:$J$451),0),
IF('TL03'!$B$3=N$3,SUMIF('TL03'!$C$10:$C$224,$C102,'TL03'!$J$10:$J$224),0),
IF('TL03'!$B$229=N$3,SUMIF('TL03'!$C$238:$C$451,$C102,'TL03'!$J$238:$J$451),0),
IF('TL04'!$B$3=N$3,SUMIF('TL04'!$C$10:$C$224,$C102,'TL04'!$J$10:$J$224),0),
IF('TL04'!$B$229=N$3,SUMIF('TL04'!$C$238:$C$451,$C102,'TL04'!$J$238:$J$451),0),
IF('TL05'!$B$3=N$3,SUMIF('TL05'!$C$10:$C$224,$C102,'TL05'!$J$10:$J$224),0),
IF('TL05'!$B$229=N$3,SUMIF('TL05'!$C$238:$C$451,$C102,'TL05'!$J$238:$J$451),0),
IF('TL06'!$B$3=N$3,SUMIF('TL06'!$C$10:$C$224,$C102,'TL06'!$J$10:$J$224),0),
IF('TL06'!$B$229=N$3,SUMIF('TL06'!$C$238:$C$451,$C102,'TL06'!$J$238:$J$451),0),
IF('TL07'!$B$3=N$3,SUMIF('TL07'!$C$10:$C$224,$C102,'TL07'!$J$10:$J$224),0),
IF('TL07'!$B$229=N$3,SUMIF('TL07'!$C$238:$C$451,$C102,'TL07'!$J$238:$J$451),0),
IF('TL08'!$B$3=N$3,SUMIF('TL08'!$C$10:$C$224,$C102,'TL08'!$J$10:$J$224),0),
IF('TL08'!$B$229=N$3,SUMIF('TL08'!$C$238:$C$451,$C102,'TL08'!$J$238:$J$451),0),
IF('TL09'!$B$3=N$3,SUMIF('TL09'!$C$10:$C$224,$C102,'TL09'!$J$10:$J$224),0),
IF('TL09'!$B$229=N$3,SUMIF('TL09'!$C$238:$C$451,$C102,'TL09'!$J$238:$J$451),0),
IF('TL10'!$B$3=N$3,SUMIF('TL10'!$C$10:$C$224,$C102,'TL10'!$J$10:$J$224),0),
IF('TL10'!$B$229=N$3,SUMIF('TL10'!$C$238:$C$451,$C102,'TL10'!$J$238:$J$451),0),
IF('TL11'!$B$3=N$3,SUMIF('TL11'!$C$10:$C$224,$C102,'TL11'!$J$10:$J$224),0),
IF('TL11'!$B$229=N$3,SUMIF('TL11'!$C$238:$C$451,$C102,'TL11'!$J$238:$J$451),0),
IF('TL12'!$B$3=N$3,SUMIF('TL12'!$C$10:$C$224,$C102,'TL12'!$J$10:$J$224),0),
IF('TL12'!$B$229=N$3,SUMIF('TL12'!$C$238:$C$451,$C102,'TL12'!$J$238:$J$451),0),
IF('TL13'!$B$3=N$3,SUMIF('TL13'!$C$10:$C$224,$C102,'TL13'!$J$10:$J$224),0),
IF('TL13'!$B$229=N$3,SUMIF('TL13'!$C$238:$C$451,$C102,'TL13'!$J$238:$J$451),0),
IF('TL14'!$B$3=N$3,SUMIF('TL14'!$C$10:$C$224,$C102,'TL14'!$J$10:$J$224),0),
IF('TL14'!$B$229=N$3,SUMIF('TL14'!$C$238:$C$451,$C102,'TL14'!$J$238:$J$451),0),
IF('TL15'!$B$3=N$3,SUMIF('TL15'!$C$10:$C$224,$C102,'TL15'!$J$10:$J$224),0),
IF('TL15'!$B$229=N$3,SUMIF('TL15'!$C$238:$C$451,$C102,'TL15'!$J$238:$J$451),0),
IF('TL16'!$B$3=N$3,SUMIF('TL16'!$C$10:$C$224,$C102,'TL16'!$J$10:$J$224),0),
IF('TL16'!$B$229=N$3,SUMIF('TL16'!$C$238:$C$451,$C102,'TL16'!$J$238:$J$451),0),
IF('TL17'!$B$3=N$3,SUMIF('TL17'!$C$10:$C$224,$C102,'TL17'!$J$10:$J$224),0),
IF('TL17'!$B$229=N$3,SUMIF('TL17'!$C$238:$C$451,$C102,'TL17'!$J$238:$J$451),0),
IF('TL18'!$B$3=N$3,SUMIF('TL18'!$C$10:$C$224,$C102,'TL18'!$J$10:$J$224),0),
IF('TL18'!$B$229=N$3,SUMIF('TL18'!$C$238:$C$451,$C102,'TL18'!$J$238:$J$451),0),
IF('TL19'!$B$3=N$3,SUMIF('TL19'!$C$10:$C$224,$C102,'TL19'!$J$10:$J$224),0),
IF('TL19'!$B$229=N$3,SUMIF('TL19'!$C$238:$C$451,$C102,'TL19'!$J$238:$J$451),0)
),0)</f>
        <v/>
      </c>
      <c r="O102" s="9">
        <f>IFERROR(SUM(
IF('TL01'!$B$3=O$3,SUMIF('TL01'!$C$10:$C$224,$C102,'TL01'!$J$10:$J$224),0),
IF('TL01'!$B$229=O$3,SUMIF('TL01'!$C$238:$C$451,$C102,'TL01'!$J$238:$J$451),0),
IF('TL02'!$B$3=O$3,SUMIF('TL02'!$C$10:$C$224,$C102,'TL02'!$J$10:$J$224),0),
IF('TL02'!$B$229=O$3,SUMIF('TL02'!$C$238:$C$451,$C102,'TL02'!$J$238:$J$451),0),
IF('TL03'!$B$3=O$3,SUMIF('TL03'!$C$10:$C$224,$C102,'TL03'!$J$10:$J$224),0),
IF('TL03'!$B$229=O$3,SUMIF('TL03'!$C$238:$C$451,$C102,'TL03'!$J$238:$J$451),0),
IF('TL04'!$B$3=O$3,SUMIF('TL04'!$C$10:$C$224,$C102,'TL04'!$J$10:$J$224),0),
IF('TL04'!$B$229=O$3,SUMIF('TL04'!$C$238:$C$451,$C102,'TL04'!$J$238:$J$451),0),
IF('TL05'!$B$3=O$3,SUMIF('TL05'!$C$10:$C$224,$C102,'TL05'!$J$10:$J$224),0),
IF('TL05'!$B$229=O$3,SUMIF('TL05'!$C$238:$C$451,$C102,'TL05'!$J$238:$J$451),0),
IF('TL06'!$B$3=O$3,SUMIF('TL06'!$C$10:$C$224,$C102,'TL06'!$J$10:$J$224),0),
IF('TL06'!$B$229=O$3,SUMIF('TL06'!$C$238:$C$451,$C102,'TL06'!$J$238:$J$451),0),
IF('TL07'!$B$3=O$3,SUMIF('TL07'!$C$10:$C$224,$C102,'TL07'!$J$10:$J$224),0),
IF('TL07'!$B$229=O$3,SUMIF('TL07'!$C$238:$C$451,$C102,'TL07'!$J$238:$J$451),0),
IF('TL08'!$B$3=O$3,SUMIF('TL08'!$C$10:$C$224,$C102,'TL08'!$J$10:$J$224),0),
IF('TL08'!$B$229=O$3,SUMIF('TL08'!$C$238:$C$451,$C102,'TL08'!$J$238:$J$451),0),
IF('TL09'!$B$3=O$3,SUMIF('TL09'!$C$10:$C$224,$C102,'TL09'!$J$10:$J$224),0),
IF('TL09'!$B$229=O$3,SUMIF('TL09'!$C$238:$C$451,$C102,'TL09'!$J$238:$J$451),0),
IF('TL10'!$B$3=O$3,SUMIF('TL10'!$C$10:$C$224,$C102,'TL10'!$J$10:$J$224),0),
IF('TL10'!$B$229=O$3,SUMIF('TL10'!$C$238:$C$451,$C102,'TL10'!$J$238:$J$451),0),
IF('TL11'!$B$3=O$3,SUMIF('TL11'!$C$10:$C$224,$C102,'TL11'!$J$10:$J$224),0),
IF('TL11'!$B$229=O$3,SUMIF('TL11'!$C$238:$C$451,$C102,'TL11'!$J$238:$J$451),0),
IF('TL12'!$B$3=O$3,SUMIF('TL12'!$C$10:$C$224,$C102,'TL12'!$J$10:$J$224),0),
IF('TL12'!$B$229=O$3,SUMIF('TL12'!$C$238:$C$451,$C102,'TL12'!$J$238:$J$451),0),
IF('TL13'!$B$3=O$3,SUMIF('TL13'!$C$10:$C$224,$C102,'TL13'!$J$10:$J$224),0),
IF('TL13'!$B$229=O$3,SUMIF('TL13'!$C$238:$C$451,$C102,'TL13'!$J$238:$J$451),0),
IF('TL14'!$B$3=O$3,SUMIF('TL14'!$C$10:$C$224,$C102,'TL14'!$J$10:$J$224),0),
IF('TL14'!$B$229=O$3,SUMIF('TL14'!$C$238:$C$451,$C102,'TL14'!$J$238:$J$451),0),
IF('TL15'!$B$3=O$3,SUMIF('TL15'!$C$10:$C$224,$C102,'TL15'!$J$10:$J$224),0),
IF('TL15'!$B$229=O$3,SUMIF('TL15'!$C$238:$C$451,$C102,'TL15'!$J$238:$J$451),0),
IF('TL16'!$B$3=O$3,SUMIF('TL16'!$C$10:$C$224,$C102,'TL16'!$J$10:$J$224),0),
IF('TL16'!$B$229=O$3,SUMIF('TL16'!$C$238:$C$451,$C102,'TL16'!$J$238:$J$451),0),
IF('TL17'!$B$3=O$3,SUMIF('TL17'!$C$10:$C$224,$C102,'TL17'!$J$10:$J$224),0),
IF('TL17'!$B$229=O$3,SUMIF('TL17'!$C$238:$C$451,$C102,'TL17'!$J$238:$J$451),0),
IF('TL18'!$B$3=O$3,SUMIF('TL18'!$C$10:$C$224,$C102,'TL18'!$J$10:$J$224),0),
IF('TL18'!$B$229=O$3,SUMIF('TL18'!$C$238:$C$451,$C102,'TL18'!$J$238:$J$451),0),
IF('TL19'!$B$3=O$3,SUMIF('TL19'!$C$10:$C$224,$C102,'TL19'!$J$10:$J$224),0),
IF('TL19'!$B$229=O$3,SUMIF('TL19'!$C$238:$C$451,$C102,'TL19'!$J$238:$J$451),0)
),0)</f>
        <v/>
      </c>
      <c r="P102" s="9">
        <f>IFERROR(SUM(
IF('TL01'!$B$3=P$3,SUMIF('TL01'!$C$10:$C$224,$C102,'TL01'!$J$10:$J$224),0),
IF('TL01'!$B$229=P$3,SUMIF('TL01'!$C$238:$C$451,$C102,'TL01'!$J$238:$J$451),0),
IF('TL02'!$B$3=P$3,SUMIF('TL02'!$C$10:$C$224,$C102,'TL02'!$J$10:$J$224),0),
IF('TL02'!$B$229=P$3,SUMIF('TL02'!$C$238:$C$451,$C102,'TL02'!$J$238:$J$451),0),
IF('TL03'!$B$3=P$3,SUMIF('TL03'!$C$10:$C$224,$C102,'TL03'!$J$10:$J$224),0),
IF('TL03'!$B$229=P$3,SUMIF('TL03'!$C$238:$C$451,$C102,'TL03'!$J$238:$J$451),0),
IF('TL04'!$B$3=P$3,SUMIF('TL04'!$C$10:$C$224,$C102,'TL04'!$J$10:$J$224),0),
IF('TL04'!$B$229=P$3,SUMIF('TL04'!$C$238:$C$451,$C102,'TL04'!$J$238:$J$451),0),
IF('TL05'!$B$3=P$3,SUMIF('TL05'!$C$10:$C$224,$C102,'TL05'!$J$10:$J$224),0),
IF('TL05'!$B$229=P$3,SUMIF('TL05'!$C$238:$C$451,$C102,'TL05'!$J$238:$J$451),0),
IF('TL06'!$B$3=P$3,SUMIF('TL06'!$C$10:$C$224,$C102,'TL06'!$J$10:$J$224),0),
IF('TL06'!$B$229=P$3,SUMIF('TL06'!$C$238:$C$451,$C102,'TL06'!$J$238:$J$451),0),
IF('TL07'!$B$3=P$3,SUMIF('TL07'!$C$10:$C$224,$C102,'TL07'!$J$10:$J$224),0),
IF('TL07'!$B$229=P$3,SUMIF('TL07'!$C$238:$C$451,$C102,'TL07'!$J$238:$J$451),0),
IF('TL08'!$B$3=P$3,SUMIF('TL08'!$C$10:$C$224,$C102,'TL08'!$J$10:$J$224),0),
IF('TL08'!$B$229=P$3,SUMIF('TL08'!$C$238:$C$451,$C102,'TL08'!$J$238:$J$451),0),
IF('TL09'!$B$3=P$3,SUMIF('TL09'!$C$10:$C$224,$C102,'TL09'!$J$10:$J$224),0),
IF('TL09'!$B$229=P$3,SUMIF('TL09'!$C$238:$C$451,$C102,'TL09'!$J$238:$J$451),0),
IF('TL10'!$B$3=P$3,SUMIF('TL10'!$C$10:$C$224,$C102,'TL10'!$J$10:$J$224),0),
IF('TL10'!$B$229=P$3,SUMIF('TL10'!$C$238:$C$451,$C102,'TL10'!$J$238:$J$451),0),
IF('TL11'!$B$3=P$3,SUMIF('TL11'!$C$10:$C$224,$C102,'TL11'!$J$10:$J$224),0),
IF('TL11'!$B$229=P$3,SUMIF('TL11'!$C$238:$C$451,$C102,'TL11'!$J$238:$J$451),0),
IF('TL12'!$B$3=P$3,SUMIF('TL12'!$C$10:$C$224,$C102,'TL12'!$J$10:$J$224),0),
IF('TL12'!$B$229=P$3,SUMIF('TL12'!$C$238:$C$451,$C102,'TL12'!$J$238:$J$451),0),
IF('TL13'!$B$3=P$3,SUMIF('TL13'!$C$10:$C$224,$C102,'TL13'!$J$10:$J$224),0),
IF('TL13'!$B$229=P$3,SUMIF('TL13'!$C$238:$C$451,$C102,'TL13'!$J$238:$J$451),0),
IF('TL14'!$B$3=P$3,SUMIF('TL14'!$C$10:$C$224,$C102,'TL14'!$J$10:$J$224),0),
IF('TL14'!$B$229=P$3,SUMIF('TL14'!$C$238:$C$451,$C102,'TL14'!$J$238:$J$451),0),
IF('TL15'!$B$3=P$3,SUMIF('TL15'!$C$10:$C$224,$C102,'TL15'!$J$10:$J$224),0),
IF('TL15'!$B$229=P$3,SUMIF('TL15'!$C$238:$C$451,$C102,'TL15'!$J$238:$J$451),0),
IF('TL16'!$B$3=P$3,SUMIF('TL16'!$C$10:$C$224,$C102,'TL16'!$J$10:$J$224),0),
IF('TL16'!$B$229=P$3,SUMIF('TL16'!$C$238:$C$451,$C102,'TL16'!$J$238:$J$451),0),
IF('TL17'!$B$3=P$3,SUMIF('TL17'!$C$10:$C$224,$C102,'TL17'!$J$10:$J$224),0),
IF('TL17'!$B$229=P$3,SUMIF('TL17'!$C$238:$C$451,$C102,'TL17'!$J$238:$J$451),0),
IF('TL18'!$B$3=P$3,SUMIF('TL18'!$C$10:$C$224,$C102,'TL18'!$J$10:$J$224),0),
IF('TL18'!$B$229=P$3,SUMIF('TL18'!$C$238:$C$451,$C102,'TL18'!$J$238:$J$451),0),
IF('TL19'!$B$3=P$3,SUMIF('TL19'!$C$10:$C$224,$C102,'TL19'!$J$10:$J$224),0),
IF('TL19'!$B$229=P$3,SUMIF('TL19'!$C$238:$C$451,$C102,'TL19'!$J$238:$J$451),0)
),0)</f>
        <v/>
      </c>
      <c r="Q102" s="9">
        <f>IFERROR(SUM(
IF('TL01'!$B$3=Q$3,SUMIF('TL01'!$C$10:$C$224,$C102,'TL01'!$J$10:$J$224),0),
IF('TL01'!$B$229=Q$3,SUMIF('TL01'!$C$238:$C$451,$C102,'TL01'!$J$238:$J$451),0),
IF('TL02'!$B$3=Q$3,SUMIF('TL02'!$C$10:$C$224,$C102,'TL02'!$J$10:$J$224),0),
IF('TL02'!$B$229=Q$3,SUMIF('TL02'!$C$238:$C$451,$C102,'TL02'!$J$238:$J$451),0),
IF('TL03'!$B$3=Q$3,SUMIF('TL03'!$C$10:$C$224,$C102,'TL03'!$J$10:$J$224),0),
IF('TL03'!$B$229=Q$3,SUMIF('TL03'!$C$238:$C$451,$C102,'TL03'!$J$238:$J$451),0),
IF('TL04'!$B$3=Q$3,SUMIF('TL04'!$C$10:$C$224,$C102,'TL04'!$J$10:$J$224),0),
IF('TL04'!$B$229=Q$3,SUMIF('TL04'!$C$238:$C$451,$C102,'TL04'!$J$238:$J$451),0),
IF('TL05'!$B$3=Q$3,SUMIF('TL05'!$C$10:$C$224,$C102,'TL05'!$J$10:$J$224),0),
IF('TL05'!$B$229=Q$3,SUMIF('TL05'!$C$238:$C$451,$C102,'TL05'!$J$238:$J$451),0),
IF('TL06'!$B$3=Q$3,SUMIF('TL06'!$C$10:$C$224,$C102,'TL06'!$J$10:$J$224),0),
IF('TL06'!$B$229=Q$3,SUMIF('TL06'!$C$238:$C$451,$C102,'TL06'!$J$238:$J$451),0),
IF('TL07'!$B$3=Q$3,SUMIF('TL07'!$C$10:$C$224,$C102,'TL07'!$J$10:$J$224),0),
IF('TL07'!$B$229=Q$3,SUMIF('TL07'!$C$238:$C$451,$C102,'TL07'!$J$238:$J$451),0),
IF('TL08'!$B$3=Q$3,SUMIF('TL08'!$C$10:$C$224,$C102,'TL08'!$J$10:$J$224),0),
IF('TL08'!$B$229=Q$3,SUMIF('TL08'!$C$238:$C$451,$C102,'TL08'!$J$238:$J$451),0),
IF('TL09'!$B$3=Q$3,SUMIF('TL09'!$C$10:$C$224,$C102,'TL09'!$J$10:$J$224),0),
IF('TL09'!$B$229=Q$3,SUMIF('TL09'!$C$238:$C$451,$C102,'TL09'!$J$238:$J$451),0),
IF('TL10'!$B$3=Q$3,SUMIF('TL10'!$C$10:$C$224,$C102,'TL10'!$J$10:$J$224),0),
IF('TL10'!$B$229=Q$3,SUMIF('TL10'!$C$238:$C$451,$C102,'TL10'!$J$238:$J$451),0),
IF('TL11'!$B$3=Q$3,SUMIF('TL11'!$C$10:$C$224,$C102,'TL11'!$J$10:$J$224),0),
IF('TL11'!$B$229=Q$3,SUMIF('TL11'!$C$238:$C$451,$C102,'TL11'!$J$238:$J$451),0),
IF('TL12'!$B$3=Q$3,SUMIF('TL12'!$C$10:$C$224,$C102,'TL12'!$J$10:$J$224),0),
IF('TL12'!$B$229=Q$3,SUMIF('TL12'!$C$238:$C$451,$C102,'TL12'!$J$238:$J$451),0),
IF('TL13'!$B$3=Q$3,SUMIF('TL13'!$C$10:$C$224,$C102,'TL13'!$J$10:$J$224),0),
IF('TL13'!$B$229=Q$3,SUMIF('TL13'!$C$238:$C$451,$C102,'TL13'!$J$238:$J$451),0),
IF('TL14'!$B$3=Q$3,SUMIF('TL14'!$C$10:$C$224,$C102,'TL14'!$J$10:$J$224),0),
IF('TL14'!$B$229=Q$3,SUMIF('TL14'!$C$238:$C$451,$C102,'TL14'!$J$238:$J$451),0),
IF('TL15'!$B$3=Q$3,SUMIF('TL15'!$C$10:$C$224,$C102,'TL15'!$J$10:$J$224),0),
IF('TL15'!$B$229=Q$3,SUMIF('TL15'!$C$238:$C$451,$C102,'TL15'!$J$238:$J$451),0),
IF('TL16'!$B$3=Q$3,SUMIF('TL16'!$C$10:$C$224,$C102,'TL16'!$J$10:$J$224),0),
IF('TL16'!$B$229=Q$3,SUMIF('TL16'!$C$238:$C$451,$C102,'TL16'!$J$238:$J$451),0),
IF('TL17'!$B$3=Q$3,SUMIF('TL17'!$C$10:$C$224,$C102,'TL17'!$J$10:$J$224),0),
IF('TL17'!$B$229=Q$3,SUMIF('TL17'!$C$238:$C$451,$C102,'TL17'!$J$238:$J$451),0),
IF('TL18'!$B$3=Q$3,SUMIF('TL18'!$C$10:$C$224,$C102,'TL18'!$J$10:$J$224),0),
IF('TL18'!$B$229=Q$3,SUMIF('TL18'!$C$238:$C$451,$C102,'TL18'!$J$238:$J$451),0),
IF('TL19'!$B$3=Q$3,SUMIF('TL19'!$C$10:$C$224,$C102,'TL19'!$J$10:$J$224),0),
IF('TL19'!$B$229=Q$3,SUMIF('TL19'!$C$238:$C$451,$C102,'TL19'!$J$238:$J$451),0)
),0)</f>
        <v/>
      </c>
      <c r="R102" s="9">
        <f>IFERROR(
SUM(
SUMIF('TL01'!C:C,C102,'TL01'!J:J),
SUMIF('TL02'!C:C,C102,'TL02'!J:J),
SUMIF('TL03'!C:C,C102,'TL03'!J:J),
SUMIF('TL04'!C:C,C102,'TL04'!J:J),
SUMIF('TL05'!C:C,C102,'TL05'!J:J),
SUMIF('TL06'!C:C,C102,'TL06'!J:J),
SUMIF('TL07'!C:C,C102,'TL07'!J:J),
SUMIF('TL08'!C:C,C102,'TL08'!J:J),
SUMIF('TL09'!C:C,C102,'TL09'!J:J),
SUMIF('TL10'!C:C,C102,'TL10'!J:J),
SUMIF('TL11'!C:C,C102,'TL11'!J:J),
SUMIF('TL12'!C:C,C102,'TL12'!J:J),
SUMIF('TL13'!C:C,C102,'TL13'!J:J),
SUMIF('TL14'!C:C,C102,'TL14'!J:J),
SUMIF('TL15'!C:C,C102,'TL15'!J:J),
SUMIF('TL16'!C:C,C102,'TL16'!J:J),
SUMIF('TL17'!C:C,C102,'TL17'!J:J),
SUMIF('TL18'!C:C,C102,'TL18'!J:J),SUMIF('TL19'!C:C,C102,'TL19'!J:J))
,0)</f>
        <v/>
      </c>
      <c r="S102" s="17">
        <f>IFERROR(__xludf.DUMMYFUNCTION("IFERROR(VLOOKUP(C102,
IMPORTRANGE(""1wULbzX32WdYsx-lj2U3uUNBBe2INVIRDtcK0d-Dvl90"",
""26-27!C:G""),
5,
FALSE),
"""")"),122.70384000000001)</f>
        <v/>
      </c>
      <c r="T102" s="9" t="n"/>
      <c r="U102" s="92">
        <f>MAX(0,R102-T102)</f>
        <v/>
      </c>
      <c r="V102" s="93">
        <f>U102*S102</f>
        <v/>
      </c>
    </row>
    <row r="103" hidden="1" ht="15.75" customHeight="1" s="297">
      <c r="A103" s="111" t="inlineStr">
        <is>
          <t>SYNGENTA</t>
        </is>
      </c>
      <c r="B103" s="112" t="inlineStr">
        <is>
          <t>FUNGICIDA</t>
        </is>
      </c>
      <c r="C103" s="113" t="inlineStr">
        <is>
          <t>RIDOMIL GOLD BRAVO</t>
        </is>
      </c>
      <c r="D103" s="113" t="inlineStr">
        <is>
          <t>METALAXIL-M + CLOROTALONIL</t>
        </is>
      </c>
      <c r="E103" s="113" t="inlineStr">
        <is>
          <t>40 + 400</t>
        </is>
      </c>
      <c r="F103" s="4" t="inlineStr">
        <is>
          <t>L</t>
        </is>
      </c>
      <c r="G103" s="90">
        <f>HYPERLINK("https://www.google.com/search?q=" &amp; C103 &amp; "+bula+agrofit+pdf", "📄 Ver bula")</f>
        <v/>
      </c>
      <c r="H103" s="9">
        <f>IFERROR(__xludf.DUMMYFUNCTION("IFERROR(VLOOKUP(C103,
IMPORTRANGE(""1wULbzX32WdYsx-lj2U3uUNBBe2INVIRDtcK0d-Dvl90"",
""26-27!C:K""),
8,
FALSE),
"""")"),2.0)</f>
        <v/>
      </c>
      <c r="I103" s="114" t="inlineStr">
        <is>
          <t>1x20</t>
        </is>
      </c>
      <c r="J103" s="9">
        <f>IFERROR(SUM(
IF('TL01'!$B$3=J$3,SUMIF('TL01'!$C$10:$C$224,$C103,'TL01'!$J$10:$J$224),0),
IF('TL01'!$B$229=J$3,SUMIF('TL01'!$C$238:$C$451,$C103,'TL01'!$J$238:$J$451),0),
IF('TL02'!$B$3=J$3,SUMIF('TL02'!$C$10:$C$224,$C103,'TL02'!$J$10:$J$224),0),
IF('TL02'!$B$229=J$3,SUMIF('TL02'!$C$238:$C$451,$C103,'TL02'!$J$238:$J$451),0),
IF('TL03'!$B$3=J$3,SUMIF('TL03'!$C$10:$C$224,$C103,'TL03'!$J$10:$J$224),0),
IF('TL03'!$B$229=J$3,SUMIF('TL03'!$C$238:$C$451,$C103,'TL03'!$J$238:$J$451),0),
IF('TL04'!$B$3=J$3,SUMIF('TL04'!$C$10:$C$224,$C103,'TL04'!$J$10:$J$224),0),
IF('TL04'!$B$229=J$3,SUMIF('TL04'!$C$238:$C$451,$C103,'TL04'!$J$238:$J$451),0),
IF('TL05'!$B$3=J$3,SUMIF('TL05'!$C$10:$C$224,$C103,'TL05'!$J$10:$J$224),0),
IF('TL05'!$B$229=J$3,SUMIF('TL05'!$C$238:$C$451,$C103,'TL05'!$J$238:$J$451),0),
IF('TL06'!$B$3=J$3,SUMIF('TL06'!$C$10:$C$224,$C103,'TL06'!$J$10:$J$224),0),
IF('TL06'!$B$229=J$3,SUMIF('TL06'!$C$238:$C$451,$C103,'TL06'!$J$238:$J$451),0),
IF('TL07'!$B$3=J$3,SUMIF('TL07'!$C$10:$C$224,$C103,'TL07'!$J$10:$J$224),0),
IF('TL07'!$B$229=J$3,SUMIF('TL07'!$C$238:$C$451,$C103,'TL07'!$J$238:$J$451),0),
IF('TL08'!$B$3=J$3,SUMIF('TL08'!$C$10:$C$224,$C103,'TL08'!$J$10:$J$224),0),
IF('TL08'!$B$229=J$3,SUMIF('TL08'!$C$238:$C$451,$C103,'TL08'!$J$238:$J$451),0),
IF('TL09'!$B$3=J$3,SUMIF('TL09'!$C$10:$C$224,$C103,'TL09'!$J$10:$J$224),0),
IF('TL09'!$B$229=J$3,SUMIF('TL09'!$C$238:$C$451,$C103,'TL09'!$J$238:$J$451),0),
IF('TL10'!$B$3=J$3,SUMIF('TL10'!$C$10:$C$224,$C103,'TL10'!$J$10:$J$224),0),
IF('TL10'!$B$229=J$3,SUMIF('TL10'!$C$238:$C$451,$C103,'TL10'!$J$238:$J$451),0),
IF('TL11'!$B$3=J$3,SUMIF('TL11'!$C$10:$C$224,$C103,'TL11'!$J$10:$J$224),0),
IF('TL11'!$B$229=J$3,SUMIF('TL11'!$C$238:$C$451,$C103,'TL11'!$J$238:$J$451),0),
IF('TL12'!$B$3=J$3,SUMIF('TL12'!$C$10:$C$224,$C103,'TL12'!$J$10:$J$224),0),
IF('TL12'!$B$229=J$3,SUMIF('TL12'!$C$238:$C$451,$C103,'TL12'!$J$238:$J$451),0),
IF('TL13'!$B$3=J$3,SUMIF('TL13'!$C$10:$C$224,$C103,'TL13'!$J$10:$J$224),0),
IF('TL13'!$B$229=J$3,SUMIF('TL13'!$C$238:$C$451,$C103,'TL13'!$J$238:$J$451),0),
IF('TL14'!$B$3=J$3,SUMIF('TL14'!$C$10:$C$224,$C103,'TL14'!$J$10:$J$224),0),
IF('TL14'!$B$229=J$3,SUMIF('TL14'!$C$238:$C$451,$C103,'TL14'!$J$238:$J$451),0),
IF('TL15'!$B$3=J$3,SUMIF('TL15'!$C$10:$C$224,$C103,'TL15'!$J$10:$J$224),0),
IF('TL15'!$B$229=J$3,SUMIF('TL15'!$C$238:$C$451,$C103,'TL15'!$J$238:$J$451),0),
IF('TL16'!$B$3=J$3,SUMIF('TL16'!$C$10:$C$224,$C103,'TL16'!$J$10:$J$224),0),
IF('TL16'!$B$229=J$3,SUMIF('TL16'!$C$238:$C$451,$C103,'TL16'!$J$238:$J$451),0),
IF('TL17'!$B$3=J$3,SUMIF('TL17'!$C$10:$C$224,$C103,'TL17'!$J$10:$J$224),0),
IF('TL17'!$B$229=J$3,SUMIF('TL17'!$C$238:$C$451,$C103,'TL17'!$J$238:$J$451),0),
IF('TL18'!$B$3=J$3,SUMIF('TL18'!$C$10:$C$224,$C103,'TL18'!$J$10:$J$224),0),
IF('TL18'!$B$229=J$3,SUMIF('TL18'!$C$238:$C$451,$C103,'TL18'!$J$238:$J$451),0),
IF('TL19'!$B$3=J$3,SUMIF('TL19'!$C$10:$C$224,$C103,'TL19'!$J$10:$J$224),0),
IF('TL19'!$B$229=J$3,SUMIF('TL19'!$C$238:$C$451,$C103,'TL19'!$J$238:$J$451),0)
),0)</f>
        <v/>
      </c>
      <c r="K103" s="9">
        <f>IFERROR(SUM(
IF('TL01'!$B$3=K$3,SUMIF('TL01'!$C$10:$C$224,$C103,'TL01'!$J$10:$J$224),0),
IF('TL01'!$B$229=K$3,SUMIF('TL01'!$C$238:$C$451,$C103,'TL01'!$J$238:$J$451),0),
IF('TL02'!$B$3=K$3,SUMIF('TL02'!$C$10:$C$224,$C103,'TL02'!$J$10:$J$224),0),
IF('TL02'!$B$229=K$3,SUMIF('TL02'!$C$238:$C$451,$C103,'TL02'!$J$238:$J$451),0),
IF('TL03'!$B$3=K$3,SUMIF('TL03'!$C$10:$C$224,$C103,'TL03'!$J$10:$J$224),0),
IF('TL03'!$B$229=K$3,SUMIF('TL03'!$C$238:$C$451,$C103,'TL03'!$J$238:$J$451),0),
IF('TL04'!$B$3=K$3,SUMIF('TL04'!$C$10:$C$224,$C103,'TL04'!$J$10:$J$224),0),
IF('TL04'!$B$229=K$3,SUMIF('TL04'!$C$238:$C$451,$C103,'TL04'!$J$238:$J$451),0),
IF('TL05'!$B$3=K$3,SUMIF('TL05'!$C$10:$C$224,$C103,'TL05'!$J$10:$J$224),0),
IF('TL05'!$B$229=K$3,SUMIF('TL05'!$C$238:$C$451,$C103,'TL05'!$J$238:$J$451),0),
IF('TL06'!$B$3=K$3,SUMIF('TL06'!$C$10:$C$224,$C103,'TL06'!$J$10:$J$224),0),
IF('TL06'!$B$229=K$3,SUMIF('TL06'!$C$238:$C$451,$C103,'TL06'!$J$238:$J$451),0),
IF('TL07'!$B$3=K$3,SUMIF('TL07'!$C$10:$C$224,$C103,'TL07'!$J$10:$J$224),0),
IF('TL07'!$B$229=K$3,SUMIF('TL07'!$C$238:$C$451,$C103,'TL07'!$J$238:$J$451),0),
IF('TL08'!$B$3=K$3,SUMIF('TL08'!$C$10:$C$224,$C103,'TL08'!$J$10:$J$224),0),
IF('TL08'!$B$229=K$3,SUMIF('TL08'!$C$238:$C$451,$C103,'TL08'!$J$238:$J$451),0),
IF('TL09'!$B$3=K$3,SUMIF('TL09'!$C$10:$C$224,$C103,'TL09'!$J$10:$J$224),0),
IF('TL09'!$B$229=K$3,SUMIF('TL09'!$C$238:$C$451,$C103,'TL09'!$J$238:$J$451),0),
IF('TL10'!$B$3=K$3,SUMIF('TL10'!$C$10:$C$224,$C103,'TL10'!$J$10:$J$224),0),
IF('TL10'!$B$229=K$3,SUMIF('TL10'!$C$238:$C$451,$C103,'TL10'!$J$238:$J$451),0),
IF('TL11'!$B$3=K$3,SUMIF('TL11'!$C$10:$C$224,$C103,'TL11'!$J$10:$J$224),0),
IF('TL11'!$B$229=K$3,SUMIF('TL11'!$C$238:$C$451,$C103,'TL11'!$J$238:$J$451),0),
IF('TL12'!$B$3=K$3,SUMIF('TL12'!$C$10:$C$224,$C103,'TL12'!$J$10:$J$224),0),
IF('TL12'!$B$229=K$3,SUMIF('TL12'!$C$238:$C$451,$C103,'TL12'!$J$238:$J$451),0),
IF('TL13'!$B$3=K$3,SUMIF('TL13'!$C$10:$C$224,$C103,'TL13'!$J$10:$J$224),0),
IF('TL13'!$B$229=K$3,SUMIF('TL13'!$C$238:$C$451,$C103,'TL13'!$J$238:$J$451),0),
IF('TL14'!$B$3=K$3,SUMIF('TL14'!$C$10:$C$224,$C103,'TL14'!$J$10:$J$224),0),
IF('TL14'!$B$229=K$3,SUMIF('TL14'!$C$238:$C$451,$C103,'TL14'!$J$238:$J$451),0),
IF('TL15'!$B$3=K$3,SUMIF('TL15'!$C$10:$C$224,$C103,'TL15'!$J$10:$J$224),0),
IF('TL15'!$B$229=K$3,SUMIF('TL15'!$C$238:$C$451,$C103,'TL15'!$J$238:$J$451),0),
IF('TL16'!$B$3=K$3,SUMIF('TL16'!$C$10:$C$224,$C103,'TL16'!$J$10:$J$224),0),
IF('TL16'!$B$229=K$3,SUMIF('TL16'!$C$238:$C$451,$C103,'TL16'!$J$238:$J$451),0),
IF('TL17'!$B$3=K$3,SUMIF('TL17'!$C$10:$C$224,$C103,'TL17'!$J$10:$J$224),0),
IF('TL17'!$B$229=K$3,SUMIF('TL17'!$C$238:$C$451,$C103,'TL17'!$J$238:$J$451),0),
IF('TL18'!$B$3=K$3,SUMIF('TL18'!$C$10:$C$224,$C103,'TL18'!$J$10:$J$224),0),
IF('TL18'!$B$229=K$3,SUMIF('TL18'!$C$238:$C$451,$C103,'TL18'!$J$238:$J$451),0),
IF('TL19'!$B$3=K$3,SUMIF('TL19'!$C$10:$C$224,$C103,'TL19'!$J$10:$J$224),0),
IF('TL19'!$B$229=K$3,SUMIF('TL19'!$C$238:$C$451,$C103,'TL19'!$J$238:$J$451),0)
),0)</f>
        <v/>
      </c>
      <c r="L103" s="9">
        <f>IFERROR(SUM(
IF('TL01'!$B$3=L$3,SUMIF('TL01'!$C$10:$C$224,$C103,'TL01'!$J$10:$J$224),0),
IF('TL01'!$B$229=L$3,SUMIF('TL01'!$C$238:$C$451,$C103,'TL01'!$J$238:$J$451),0),
IF('TL02'!$B$3=L$3,SUMIF('TL02'!$C$10:$C$224,$C103,'TL02'!$J$10:$J$224),0),
IF('TL02'!$B$229=L$3,SUMIF('TL02'!$C$238:$C$451,$C103,'TL02'!$J$238:$J$451),0),
IF('TL03'!$B$3=L$3,SUMIF('TL03'!$C$10:$C$224,$C103,'TL03'!$J$10:$J$224),0),
IF('TL03'!$B$229=L$3,SUMIF('TL03'!$C$238:$C$451,$C103,'TL03'!$J$238:$J$451),0),
IF('TL04'!$B$3=L$3,SUMIF('TL04'!$C$10:$C$224,$C103,'TL04'!$J$10:$J$224),0),
IF('TL04'!$B$229=L$3,SUMIF('TL04'!$C$238:$C$451,$C103,'TL04'!$J$238:$J$451),0),
IF('TL05'!$B$3=L$3,SUMIF('TL05'!$C$10:$C$224,$C103,'TL05'!$J$10:$J$224),0),
IF('TL05'!$B$229=L$3,SUMIF('TL05'!$C$238:$C$451,$C103,'TL05'!$J$238:$J$451),0),
IF('TL06'!$B$3=L$3,SUMIF('TL06'!$C$10:$C$224,$C103,'TL06'!$J$10:$J$224),0),
IF('TL06'!$B$229=L$3,SUMIF('TL06'!$C$238:$C$451,$C103,'TL06'!$J$238:$J$451),0),
IF('TL07'!$B$3=L$3,SUMIF('TL07'!$C$10:$C$224,$C103,'TL07'!$J$10:$J$224),0),
IF('TL07'!$B$229=L$3,SUMIF('TL07'!$C$238:$C$451,$C103,'TL07'!$J$238:$J$451),0),
IF('TL08'!$B$3=L$3,SUMIF('TL08'!$C$10:$C$224,$C103,'TL08'!$J$10:$J$224),0),
IF('TL08'!$B$229=L$3,SUMIF('TL08'!$C$238:$C$451,$C103,'TL08'!$J$238:$J$451),0),
IF('TL09'!$B$3=L$3,SUMIF('TL09'!$C$10:$C$224,$C103,'TL09'!$J$10:$J$224),0),
IF('TL09'!$B$229=L$3,SUMIF('TL09'!$C$238:$C$451,$C103,'TL09'!$J$238:$J$451),0),
IF('TL10'!$B$3=L$3,SUMIF('TL10'!$C$10:$C$224,$C103,'TL10'!$J$10:$J$224),0),
IF('TL10'!$B$229=L$3,SUMIF('TL10'!$C$238:$C$451,$C103,'TL10'!$J$238:$J$451),0),
IF('TL11'!$B$3=L$3,SUMIF('TL11'!$C$10:$C$224,$C103,'TL11'!$J$10:$J$224),0),
IF('TL11'!$B$229=L$3,SUMIF('TL11'!$C$238:$C$451,$C103,'TL11'!$J$238:$J$451),0),
IF('TL12'!$B$3=L$3,SUMIF('TL12'!$C$10:$C$224,$C103,'TL12'!$J$10:$J$224),0),
IF('TL12'!$B$229=L$3,SUMIF('TL12'!$C$238:$C$451,$C103,'TL12'!$J$238:$J$451),0),
IF('TL13'!$B$3=L$3,SUMIF('TL13'!$C$10:$C$224,$C103,'TL13'!$J$10:$J$224),0),
IF('TL13'!$B$229=L$3,SUMIF('TL13'!$C$238:$C$451,$C103,'TL13'!$J$238:$J$451),0),
IF('TL14'!$B$3=L$3,SUMIF('TL14'!$C$10:$C$224,$C103,'TL14'!$J$10:$J$224),0),
IF('TL14'!$B$229=L$3,SUMIF('TL14'!$C$238:$C$451,$C103,'TL14'!$J$238:$J$451),0),
IF('TL15'!$B$3=L$3,SUMIF('TL15'!$C$10:$C$224,$C103,'TL15'!$J$10:$J$224),0),
IF('TL15'!$B$229=L$3,SUMIF('TL15'!$C$238:$C$451,$C103,'TL15'!$J$238:$J$451),0),
IF('TL16'!$B$3=L$3,SUMIF('TL16'!$C$10:$C$224,$C103,'TL16'!$J$10:$J$224),0),
IF('TL16'!$B$229=L$3,SUMIF('TL16'!$C$238:$C$451,$C103,'TL16'!$J$238:$J$451),0),
IF('TL17'!$B$3=L$3,SUMIF('TL17'!$C$10:$C$224,$C103,'TL17'!$J$10:$J$224),0),
IF('TL17'!$B$229=L$3,SUMIF('TL17'!$C$238:$C$451,$C103,'TL17'!$J$238:$J$451),0),
IF('TL18'!$B$3=L$3,SUMIF('TL18'!$C$10:$C$224,$C103,'TL18'!$J$10:$J$224),0),
IF('TL18'!$B$229=L$3,SUMIF('TL18'!$C$238:$C$451,$C103,'TL18'!$J$238:$J$451),0),
IF('TL19'!$B$3=L$3,SUMIF('TL19'!$C$10:$C$224,$C103,'TL19'!$J$10:$J$224),0),
IF('TL19'!$B$229=L$3,SUMIF('TL19'!$C$238:$C$451,$C103,'TL19'!$J$238:$J$451),0)
),0)</f>
        <v/>
      </c>
      <c r="M103" s="9">
        <f>IFERROR(SUM(
IF('TL01'!$B$3=M$3,SUMIF('TL01'!$C$10:$C$224,$C103,'TL01'!$J$10:$J$224),0),
IF('TL01'!$B$229=M$3,SUMIF('TL01'!$C$238:$C$451,$C103,'TL01'!$J$238:$J$451),0),
IF('TL02'!$B$3=M$3,SUMIF('TL02'!$C$10:$C$224,$C103,'TL02'!$J$10:$J$224),0),
IF('TL02'!$B$229=M$3,SUMIF('TL02'!$C$238:$C$451,$C103,'TL02'!$J$238:$J$451),0),
IF('TL03'!$B$3=M$3,SUMIF('TL03'!$C$10:$C$224,$C103,'TL03'!$J$10:$J$224),0),
IF('TL03'!$B$229=M$3,SUMIF('TL03'!$C$238:$C$451,$C103,'TL03'!$J$238:$J$451),0),
IF('TL04'!$B$3=M$3,SUMIF('TL04'!$C$10:$C$224,$C103,'TL04'!$J$10:$J$224),0),
IF('TL04'!$B$229=M$3,SUMIF('TL04'!$C$238:$C$451,$C103,'TL04'!$J$238:$J$451),0),
IF('TL05'!$B$3=M$3,SUMIF('TL05'!$C$10:$C$224,$C103,'TL05'!$J$10:$J$224),0),
IF('TL05'!$B$229=M$3,SUMIF('TL05'!$C$238:$C$451,$C103,'TL05'!$J$238:$J$451),0),
IF('TL06'!$B$3=M$3,SUMIF('TL06'!$C$10:$C$224,$C103,'TL06'!$J$10:$J$224),0),
IF('TL06'!$B$229=M$3,SUMIF('TL06'!$C$238:$C$451,$C103,'TL06'!$J$238:$J$451),0),
IF('TL07'!$B$3=M$3,SUMIF('TL07'!$C$10:$C$224,$C103,'TL07'!$J$10:$J$224),0),
IF('TL07'!$B$229=M$3,SUMIF('TL07'!$C$238:$C$451,$C103,'TL07'!$J$238:$J$451),0),
IF('TL08'!$B$3=M$3,SUMIF('TL08'!$C$10:$C$224,$C103,'TL08'!$J$10:$J$224),0),
IF('TL08'!$B$229=M$3,SUMIF('TL08'!$C$238:$C$451,$C103,'TL08'!$J$238:$J$451),0),
IF('TL09'!$B$3=M$3,SUMIF('TL09'!$C$10:$C$224,$C103,'TL09'!$J$10:$J$224),0),
IF('TL09'!$B$229=M$3,SUMIF('TL09'!$C$238:$C$451,$C103,'TL09'!$J$238:$J$451),0),
IF('TL10'!$B$3=M$3,SUMIF('TL10'!$C$10:$C$224,$C103,'TL10'!$J$10:$J$224),0),
IF('TL10'!$B$229=M$3,SUMIF('TL10'!$C$238:$C$451,$C103,'TL10'!$J$238:$J$451),0),
IF('TL11'!$B$3=M$3,SUMIF('TL11'!$C$10:$C$224,$C103,'TL11'!$J$10:$J$224),0),
IF('TL11'!$B$229=M$3,SUMIF('TL11'!$C$238:$C$451,$C103,'TL11'!$J$238:$J$451),0),
IF('TL12'!$B$3=M$3,SUMIF('TL12'!$C$10:$C$224,$C103,'TL12'!$J$10:$J$224),0),
IF('TL12'!$B$229=M$3,SUMIF('TL12'!$C$238:$C$451,$C103,'TL12'!$J$238:$J$451),0),
IF('TL13'!$B$3=M$3,SUMIF('TL13'!$C$10:$C$224,$C103,'TL13'!$J$10:$J$224),0),
IF('TL13'!$B$229=M$3,SUMIF('TL13'!$C$238:$C$451,$C103,'TL13'!$J$238:$J$451),0),
IF('TL14'!$B$3=M$3,SUMIF('TL14'!$C$10:$C$224,$C103,'TL14'!$J$10:$J$224),0),
IF('TL14'!$B$229=M$3,SUMIF('TL14'!$C$238:$C$451,$C103,'TL14'!$J$238:$J$451),0),
IF('TL15'!$B$3=M$3,SUMIF('TL15'!$C$10:$C$224,$C103,'TL15'!$J$10:$J$224),0),
IF('TL15'!$B$229=M$3,SUMIF('TL15'!$C$238:$C$451,$C103,'TL15'!$J$238:$J$451),0),
IF('TL16'!$B$3=M$3,SUMIF('TL16'!$C$10:$C$224,$C103,'TL16'!$J$10:$J$224),0),
IF('TL16'!$B$229=M$3,SUMIF('TL16'!$C$238:$C$451,$C103,'TL16'!$J$238:$J$451),0),
IF('TL17'!$B$3=M$3,SUMIF('TL17'!$C$10:$C$224,$C103,'TL17'!$J$10:$J$224),0),
IF('TL17'!$B$229=M$3,SUMIF('TL17'!$C$238:$C$451,$C103,'TL17'!$J$238:$J$451),0),
IF('TL18'!$B$3=M$3,SUMIF('TL18'!$C$10:$C$224,$C103,'TL18'!$J$10:$J$224),0),
IF('TL18'!$B$229=M$3,SUMIF('TL18'!$C$238:$C$451,$C103,'TL18'!$J$238:$J$451),0),
IF('TL19'!$B$3=M$3,SUMIF('TL19'!$C$10:$C$224,$C103,'TL19'!$J$10:$J$224),0),
IF('TL19'!$B$229=M$3,SUMIF('TL19'!$C$238:$C$451,$C103,'TL19'!$J$238:$J$451),0)
),0)</f>
        <v/>
      </c>
      <c r="N103" s="9">
        <f>IFERROR(SUM(
IF('TL01'!$B$3=N$3,SUMIF('TL01'!$C$10:$C$224,$C103,'TL01'!$J$10:$J$224),0),
IF('TL01'!$B$229=N$3,SUMIF('TL01'!$C$238:$C$451,$C103,'TL01'!$J$238:$J$451),0),
IF('TL02'!$B$3=N$3,SUMIF('TL02'!$C$10:$C$224,$C103,'TL02'!$J$10:$J$224),0),
IF('TL02'!$B$229=N$3,SUMIF('TL02'!$C$238:$C$451,$C103,'TL02'!$J$238:$J$451),0),
IF('TL03'!$B$3=N$3,SUMIF('TL03'!$C$10:$C$224,$C103,'TL03'!$J$10:$J$224),0),
IF('TL03'!$B$229=N$3,SUMIF('TL03'!$C$238:$C$451,$C103,'TL03'!$J$238:$J$451),0),
IF('TL04'!$B$3=N$3,SUMIF('TL04'!$C$10:$C$224,$C103,'TL04'!$J$10:$J$224),0),
IF('TL04'!$B$229=N$3,SUMIF('TL04'!$C$238:$C$451,$C103,'TL04'!$J$238:$J$451),0),
IF('TL05'!$B$3=N$3,SUMIF('TL05'!$C$10:$C$224,$C103,'TL05'!$J$10:$J$224),0),
IF('TL05'!$B$229=N$3,SUMIF('TL05'!$C$238:$C$451,$C103,'TL05'!$J$238:$J$451),0),
IF('TL06'!$B$3=N$3,SUMIF('TL06'!$C$10:$C$224,$C103,'TL06'!$J$10:$J$224),0),
IF('TL06'!$B$229=N$3,SUMIF('TL06'!$C$238:$C$451,$C103,'TL06'!$J$238:$J$451),0),
IF('TL07'!$B$3=N$3,SUMIF('TL07'!$C$10:$C$224,$C103,'TL07'!$J$10:$J$224),0),
IF('TL07'!$B$229=N$3,SUMIF('TL07'!$C$238:$C$451,$C103,'TL07'!$J$238:$J$451),0),
IF('TL08'!$B$3=N$3,SUMIF('TL08'!$C$10:$C$224,$C103,'TL08'!$J$10:$J$224),0),
IF('TL08'!$B$229=N$3,SUMIF('TL08'!$C$238:$C$451,$C103,'TL08'!$J$238:$J$451),0),
IF('TL09'!$B$3=N$3,SUMIF('TL09'!$C$10:$C$224,$C103,'TL09'!$J$10:$J$224),0),
IF('TL09'!$B$229=N$3,SUMIF('TL09'!$C$238:$C$451,$C103,'TL09'!$J$238:$J$451),0),
IF('TL10'!$B$3=N$3,SUMIF('TL10'!$C$10:$C$224,$C103,'TL10'!$J$10:$J$224),0),
IF('TL10'!$B$229=N$3,SUMIF('TL10'!$C$238:$C$451,$C103,'TL10'!$J$238:$J$451),0),
IF('TL11'!$B$3=N$3,SUMIF('TL11'!$C$10:$C$224,$C103,'TL11'!$J$10:$J$224),0),
IF('TL11'!$B$229=N$3,SUMIF('TL11'!$C$238:$C$451,$C103,'TL11'!$J$238:$J$451),0),
IF('TL12'!$B$3=N$3,SUMIF('TL12'!$C$10:$C$224,$C103,'TL12'!$J$10:$J$224),0),
IF('TL12'!$B$229=N$3,SUMIF('TL12'!$C$238:$C$451,$C103,'TL12'!$J$238:$J$451),0),
IF('TL13'!$B$3=N$3,SUMIF('TL13'!$C$10:$C$224,$C103,'TL13'!$J$10:$J$224),0),
IF('TL13'!$B$229=N$3,SUMIF('TL13'!$C$238:$C$451,$C103,'TL13'!$J$238:$J$451),0),
IF('TL14'!$B$3=N$3,SUMIF('TL14'!$C$10:$C$224,$C103,'TL14'!$J$10:$J$224),0),
IF('TL14'!$B$229=N$3,SUMIF('TL14'!$C$238:$C$451,$C103,'TL14'!$J$238:$J$451),0),
IF('TL15'!$B$3=N$3,SUMIF('TL15'!$C$10:$C$224,$C103,'TL15'!$J$10:$J$224),0),
IF('TL15'!$B$229=N$3,SUMIF('TL15'!$C$238:$C$451,$C103,'TL15'!$J$238:$J$451),0),
IF('TL16'!$B$3=N$3,SUMIF('TL16'!$C$10:$C$224,$C103,'TL16'!$J$10:$J$224),0),
IF('TL16'!$B$229=N$3,SUMIF('TL16'!$C$238:$C$451,$C103,'TL16'!$J$238:$J$451),0),
IF('TL17'!$B$3=N$3,SUMIF('TL17'!$C$10:$C$224,$C103,'TL17'!$J$10:$J$224),0),
IF('TL17'!$B$229=N$3,SUMIF('TL17'!$C$238:$C$451,$C103,'TL17'!$J$238:$J$451),0),
IF('TL18'!$B$3=N$3,SUMIF('TL18'!$C$10:$C$224,$C103,'TL18'!$J$10:$J$224),0),
IF('TL18'!$B$229=N$3,SUMIF('TL18'!$C$238:$C$451,$C103,'TL18'!$J$238:$J$451),0),
IF('TL19'!$B$3=N$3,SUMIF('TL19'!$C$10:$C$224,$C103,'TL19'!$J$10:$J$224),0),
IF('TL19'!$B$229=N$3,SUMIF('TL19'!$C$238:$C$451,$C103,'TL19'!$J$238:$J$451),0)
),0)</f>
        <v/>
      </c>
      <c r="O103" s="9">
        <f>IFERROR(SUM(
IF('TL01'!$B$3=O$3,SUMIF('TL01'!$C$10:$C$224,$C103,'TL01'!$J$10:$J$224),0),
IF('TL01'!$B$229=O$3,SUMIF('TL01'!$C$238:$C$451,$C103,'TL01'!$J$238:$J$451),0),
IF('TL02'!$B$3=O$3,SUMIF('TL02'!$C$10:$C$224,$C103,'TL02'!$J$10:$J$224),0),
IF('TL02'!$B$229=O$3,SUMIF('TL02'!$C$238:$C$451,$C103,'TL02'!$J$238:$J$451),0),
IF('TL03'!$B$3=O$3,SUMIF('TL03'!$C$10:$C$224,$C103,'TL03'!$J$10:$J$224),0),
IF('TL03'!$B$229=O$3,SUMIF('TL03'!$C$238:$C$451,$C103,'TL03'!$J$238:$J$451),0),
IF('TL04'!$B$3=O$3,SUMIF('TL04'!$C$10:$C$224,$C103,'TL04'!$J$10:$J$224),0),
IF('TL04'!$B$229=O$3,SUMIF('TL04'!$C$238:$C$451,$C103,'TL04'!$J$238:$J$451),0),
IF('TL05'!$B$3=O$3,SUMIF('TL05'!$C$10:$C$224,$C103,'TL05'!$J$10:$J$224),0),
IF('TL05'!$B$229=O$3,SUMIF('TL05'!$C$238:$C$451,$C103,'TL05'!$J$238:$J$451),0),
IF('TL06'!$B$3=O$3,SUMIF('TL06'!$C$10:$C$224,$C103,'TL06'!$J$10:$J$224),0),
IF('TL06'!$B$229=O$3,SUMIF('TL06'!$C$238:$C$451,$C103,'TL06'!$J$238:$J$451),0),
IF('TL07'!$B$3=O$3,SUMIF('TL07'!$C$10:$C$224,$C103,'TL07'!$J$10:$J$224),0),
IF('TL07'!$B$229=O$3,SUMIF('TL07'!$C$238:$C$451,$C103,'TL07'!$J$238:$J$451),0),
IF('TL08'!$B$3=O$3,SUMIF('TL08'!$C$10:$C$224,$C103,'TL08'!$J$10:$J$224),0),
IF('TL08'!$B$229=O$3,SUMIF('TL08'!$C$238:$C$451,$C103,'TL08'!$J$238:$J$451),0),
IF('TL09'!$B$3=O$3,SUMIF('TL09'!$C$10:$C$224,$C103,'TL09'!$J$10:$J$224),0),
IF('TL09'!$B$229=O$3,SUMIF('TL09'!$C$238:$C$451,$C103,'TL09'!$J$238:$J$451),0),
IF('TL10'!$B$3=O$3,SUMIF('TL10'!$C$10:$C$224,$C103,'TL10'!$J$10:$J$224),0),
IF('TL10'!$B$229=O$3,SUMIF('TL10'!$C$238:$C$451,$C103,'TL10'!$J$238:$J$451),0),
IF('TL11'!$B$3=O$3,SUMIF('TL11'!$C$10:$C$224,$C103,'TL11'!$J$10:$J$224),0),
IF('TL11'!$B$229=O$3,SUMIF('TL11'!$C$238:$C$451,$C103,'TL11'!$J$238:$J$451),0),
IF('TL12'!$B$3=O$3,SUMIF('TL12'!$C$10:$C$224,$C103,'TL12'!$J$10:$J$224),0),
IF('TL12'!$B$229=O$3,SUMIF('TL12'!$C$238:$C$451,$C103,'TL12'!$J$238:$J$451),0),
IF('TL13'!$B$3=O$3,SUMIF('TL13'!$C$10:$C$224,$C103,'TL13'!$J$10:$J$224),0),
IF('TL13'!$B$229=O$3,SUMIF('TL13'!$C$238:$C$451,$C103,'TL13'!$J$238:$J$451),0),
IF('TL14'!$B$3=O$3,SUMIF('TL14'!$C$10:$C$224,$C103,'TL14'!$J$10:$J$224),0),
IF('TL14'!$B$229=O$3,SUMIF('TL14'!$C$238:$C$451,$C103,'TL14'!$J$238:$J$451),0),
IF('TL15'!$B$3=O$3,SUMIF('TL15'!$C$10:$C$224,$C103,'TL15'!$J$10:$J$224),0),
IF('TL15'!$B$229=O$3,SUMIF('TL15'!$C$238:$C$451,$C103,'TL15'!$J$238:$J$451),0),
IF('TL16'!$B$3=O$3,SUMIF('TL16'!$C$10:$C$224,$C103,'TL16'!$J$10:$J$224),0),
IF('TL16'!$B$229=O$3,SUMIF('TL16'!$C$238:$C$451,$C103,'TL16'!$J$238:$J$451),0),
IF('TL17'!$B$3=O$3,SUMIF('TL17'!$C$10:$C$224,$C103,'TL17'!$J$10:$J$224),0),
IF('TL17'!$B$229=O$3,SUMIF('TL17'!$C$238:$C$451,$C103,'TL17'!$J$238:$J$451),0),
IF('TL18'!$B$3=O$3,SUMIF('TL18'!$C$10:$C$224,$C103,'TL18'!$J$10:$J$224),0),
IF('TL18'!$B$229=O$3,SUMIF('TL18'!$C$238:$C$451,$C103,'TL18'!$J$238:$J$451),0),
IF('TL19'!$B$3=O$3,SUMIF('TL19'!$C$10:$C$224,$C103,'TL19'!$J$10:$J$224),0),
IF('TL19'!$B$229=O$3,SUMIF('TL19'!$C$238:$C$451,$C103,'TL19'!$J$238:$J$451),0)
),0)</f>
        <v/>
      </c>
      <c r="P103" s="9">
        <f>IFERROR(SUM(
IF('TL01'!$B$3=P$3,SUMIF('TL01'!$C$10:$C$224,$C103,'TL01'!$J$10:$J$224),0),
IF('TL01'!$B$229=P$3,SUMIF('TL01'!$C$238:$C$451,$C103,'TL01'!$J$238:$J$451),0),
IF('TL02'!$B$3=P$3,SUMIF('TL02'!$C$10:$C$224,$C103,'TL02'!$J$10:$J$224),0),
IF('TL02'!$B$229=P$3,SUMIF('TL02'!$C$238:$C$451,$C103,'TL02'!$J$238:$J$451),0),
IF('TL03'!$B$3=P$3,SUMIF('TL03'!$C$10:$C$224,$C103,'TL03'!$J$10:$J$224),0),
IF('TL03'!$B$229=P$3,SUMIF('TL03'!$C$238:$C$451,$C103,'TL03'!$J$238:$J$451),0),
IF('TL04'!$B$3=P$3,SUMIF('TL04'!$C$10:$C$224,$C103,'TL04'!$J$10:$J$224),0),
IF('TL04'!$B$229=P$3,SUMIF('TL04'!$C$238:$C$451,$C103,'TL04'!$J$238:$J$451),0),
IF('TL05'!$B$3=P$3,SUMIF('TL05'!$C$10:$C$224,$C103,'TL05'!$J$10:$J$224),0),
IF('TL05'!$B$229=P$3,SUMIF('TL05'!$C$238:$C$451,$C103,'TL05'!$J$238:$J$451),0),
IF('TL06'!$B$3=P$3,SUMIF('TL06'!$C$10:$C$224,$C103,'TL06'!$J$10:$J$224),0),
IF('TL06'!$B$229=P$3,SUMIF('TL06'!$C$238:$C$451,$C103,'TL06'!$J$238:$J$451),0),
IF('TL07'!$B$3=P$3,SUMIF('TL07'!$C$10:$C$224,$C103,'TL07'!$J$10:$J$224),0),
IF('TL07'!$B$229=P$3,SUMIF('TL07'!$C$238:$C$451,$C103,'TL07'!$J$238:$J$451),0),
IF('TL08'!$B$3=P$3,SUMIF('TL08'!$C$10:$C$224,$C103,'TL08'!$J$10:$J$224),0),
IF('TL08'!$B$229=P$3,SUMIF('TL08'!$C$238:$C$451,$C103,'TL08'!$J$238:$J$451),0),
IF('TL09'!$B$3=P$3,SUMIF('TL09'!$C$10:$C$224,$C103,'TL09'!$J$10:$J$224),0),
IF('TL09'!$B$229=P$3,SUMIF('TL09'!$C$238:$C$451,$C103,'TL09'!$J$238:$J$451),0),
IF('TL10'!$B$3=P$3,SUMIF('TL10'!$C$10:$C$224,$C103,'TL10'!$J$10:$J$224),0),
IF('TL10'!$B$229=P$3,SUMIF('TL10'!$C$238:$C$451,$C103,'TL10'!$J$238:$J$451),0),
IF('TL11'!$B$3=P$3,SUMIF('TL11'!$C$10:$C$224,$C103,'TL11'!$J$10:$J$224),0),
IF('TL11'!$B$229=P$3,SUMIF('TL11'!$C$238:$C$451,$C103,'TL11'!$J$238:$J$451),0),
IF('TL12'!$B$3=P$3,SUMIF('TL12'!$C$10:$C$224,$C103,'TL12'!$J$10:$J$224),0),
IF('TL12'!$B$229=P$3,SUMIF('TL12'!$C$238:$C$451,$C103,'TL12'!$J$238:$J$451),0),
IF('TL13'!$B$3=P$3,SUMIF('TL13'!$C$10:$C$224,$C103,'TL13'!$J$10:$J$224),0),
IF('TL13'!$B$229=P$3,SUMIF('TL13'!$C$238:$C$451,$C103,'TL13'!$J$238:$J$451),0),
IF('TL14'!$B$3=P$3,SUMIF('TL14'!$C$10:$C$224,$C103,'TL14'!$J$10:$J$224),0),
IF('TL14'!$B$229=P$3,SUMIF('TL14'!$C$238:$C$451,$C103,'TL14'!$J$238:$J$451),0),
IF('TL15'!$B$3=P$3,SUMIF('TL15'!$C$10:$C$224,$C103,'TL15'!$J$10:$J$224),0),
IF('TL15'!$B$229=P$3,SUMIF('TL15'!$C$238:$C$451,$C103,'TL15'!$J$238:$J$451),0),
IF('TL16'!$B$3=P$3,SUMIF('TL16'!$C$10:$C$224,$C103,'TL16'!$J$10:$J$224),0),
IF('TL16'!$B$229=P$3,SUMIF('TL16'!$C$238:$C$451,$C103,'TL16'!$J$238:$J$451),0),
IF('TL17'!$B$3=P$3,SUMIF('TL17'!$C$10:$C$224,$C103,'TL17'!$J$10:$J$224),0),
IF('TL17'!$B$229=P$3,SUMIF('TL17'!$C$238:$C$451,$C103,'TL17'!$J$238:$J$451),0),
IF('TL18'!$B$3=P$3,SUMIF('TL18'!$C$10:$C$224,$C103,'TL18'!$J$10:$J$224),0),
IF('TL18'!$B$229=P$3,SUMIF('TL18'!$C$238:$C$451,$C103,'TL18'!$J$238:$J$451),0),
IF('TL19'!$B$3=P$3,SUMIF('TL19'!$C$10:$C$224,$C103,'TL19'!$J$10:$J$224),0),
IF('TL19'!$B$229=P$3,SUMIF('TL19'!$C$238:$C$451,$C103,'TL19'!$J$238:$J$451),0)
),0)</f>
        <v/>
      </c>
      <c r="Q103" s="9">
        <f>IFERROR(SUM(
IF('TL01'!$B$3=Q$3,SUMIF('TL01'!$C$10:$C$224,$C103,'TL01'!$J$10:$J$224),0),
IF('TL01'!$B$229=Q$3,SUMIF('TL01'!$C$238:$C$451,$C103,'TL01'!$J$238:$J$451),0),
IF('TL02'!$B$3=Q$3,SUMIF('TL02'!$C$10:$C$224,$C103,'TL02'!$J$10:$J$224),0),
IF('TL02'!$B$229=Q$3,SUMIF('TL02'!$C$238:$C$451,$C103,'TL02'!$J$238:$J$451),0),
IF('TL03'!$B$3=Q$3,SUMIF('TL03'!$C$10:$C$224,$C103,'TL03'!$J$10:$J$224),0),
IF('TL03'!$B$229=Q$3,SUMIF('TL03'!$C$238:$C$451,$C103,'TL03'!$J$238:$J$451),0),
IF('TL04'!$B$3=Q$3,SUMIF('TL04'!$C$10:$C$224,$C103,'TL04'!$J$10:$J$224),0),
IF('TL04'!$B$229=Q$3,SUMIF('TL04'!$C$238:$C$451,$C103,'TL04'!$J$238:$J$451),0),
IF('TL05'!$B$3=Q$3,SUMIF('TL05'!$C$10:$C$224,$C103,'TL05'!$J$10:$J$224),0),
IF('TL05'!$B$229=Q$3,SUMIF('TL05'!$C$238:$C$451,$C103,'TL05'!$J$238:$J$451),0),
IF('TL06'!$B$3=Q$3,SUMIF('TL06'!$C$10:$C$224,$C103,'TL06'!$J$10:$J$224),0),
IF('TL06'!$B$229=Q$3,SUMIF('TL06'!$C$238:$C$451,$C103,'TL06'!$J$238:$J$451),0),
IF('TL07'!$B$3=Q$3,SUMIF('TL07'!$C$10:$C$224,$C103,'TL07'!$J$10:$J$224),0),
IF('TL07'!$B$229=Q$3,SUMIF('TL07'!$C$238:$C$451,$C103,'TL07'!$J$238:$J$451),0),
IF('TL08'!$B$3=Q$3,SUMIF('TL08'!$C$10:$C$224,$C103,'TL08'!$J$10:$J$224),0),
IF('TL08'!$B$229=Q$3,SUMIF('TL08'!$C$238:$C$451,$C103,'TL08'!$J$238:$J$451),0),
IF('TL09'!$B$3=Q$3,SUMIF('TL09'!$C$10:$C$224,$C103,'TL09'!$J$10:$J$224),0),
IF('TL09'!$B$229=Q$3,SUMIF('TL09'!$C$238:$C$451,$C103,'TL09'!$J$238:$J$451),0),
IF('TL10'!$B$3=Q$3,SUMIF('TL10'!$C$10:$C$224,$C103,'TL10'!$J$10:$J$224),0),
IF('TL10'!$B$229=Q$3,SUMIF('TL10'!$C$238:$C$451,$C103,'TL10'!$J$238:$J$451),0),
IF('TL11'!$B$3=Q$3,SUMIF('TL11'!$C$10:$C$224,$C103,'TL11'!$J$10:$J$224),0),
IF('TL11'!$B$229=Q$3,SUMIF('TL11'!$C$238:$C$451,$C103,'TL11'!$J$238:$J$451),0),
IF('TL12'!$B$3=Q$3,SUMIF('TL12'!$C$10:$C$224,$C103,'TL12'!$J$10:$J$224),0),
IF('TL12'!$B$229=Q$3,SUMIF('TL12'!$C$238:$C$451,$C103,'TL12'!$J$238:$J$451),0),
IF('TL13'!$B$3=Q$3,SUMIF('TL13'!$C$10:$C$224,$C103,'TL13'!$J$10:$J$224),0),
IF('TL13'!$B$229=Q$3,SUMIF('TL13'!$C$238:$C$451,$C103,'TL13'!$J$238:$J$451),0),
IF('TL14'!$B$3=Q$3,SUMIF('TL14'!$C$10:$C$224,$C103,'TL14'!$J$10:$J$224),0),
IF('TL14'!$B$229=Q$3,SUMIF('TL14'!$C$238:$C$451,$C103,'TL14'!$J$238:$J$451),0),
IF('TL15'!$B$3=Q$3,SUMIF('TL15'!$C$10:$C$224,$C103,'TL15'!$J$10:$J$224),0),
IF('TL15'!$B$229=Q$3,SUMIF('TL15'!$C$238:$C$451,$C103,'TL15'!$J$238:$J$451),0),
IF('TL16'!$B$3=Q$3,SUMIF('TL16'!$C$10:$C$224,$C103,'TL16'!$J$10:$J$224),0),
IF('TL16'!$B$229=Q$3,SUMIF('TL16'!$C$238:$C$451,$C103,'TL16'!$J$238:$J$451),0),
IF('TL17'!$B$3=Q$3,SUMIF('TL17'!$C$10:$C$224,$C103,'TL17'!$J$10:$J$224),0),
IF('TL17'!$B$229=Q$3,SUMIF('TL17'!$C$238:$C$451,$C103,'TL17'!$J$238:$J$451),0),
IF('TL18'!$B$3=Q$3,SUMIF('TL18'!$C$10:$C$224,$C103,'TL18'!$J$10:$J$224),0),
IF('TL18'!$B$229=Q$3,SUMIF('TL18'!$C$238:$C$451,$C103,'TL18'!$J$238:$J$451),0),
IF('TL19'!$B$3=Q$3,SUMIF('TL19'!$C$10:$C$224,$C103,'TL19'!$J$10:$J$224),0),
IF('TL19'!$B$229=Q$3,SUMIF('TL19'!$C$238:$C$451,$C103,'TL19'!$J$238:$J$451),0)
),0)</f>
        <v/>
      </c>
      <c r="R103" s="9">
        <f>IFERROR(
SUM(
SUMIF('TL01'!C:C,C103,'TL01'!J:J),
SUMIF('TL02'!C:C,C103,'TL02'!J:J),
SUMIF('TL03'!C:C,C103,'TL03'!J:J),
SUMIF('TL04'!C:C,C103,'TL04'!J:J),
SUMIF('TL05'!C:C,C103,'TL05'!J:J),
SUMIF('TL06'!C:C,C103,'TL06'!J:J),
SUMIF('TL07'!C:C,C103,'TL07'!J:J),
SUMIF('TL08'!C:C,C103,'TL08'!J:J),
SUMIF('TL09'!C:C,C103,'TL09'!J:J),
SUMIF('TL10'!C:C,C103,'TL10'!J:J),
SUMIF('TL11'!C:C,C103,'TL11'!J:J),
SUMIF('TL12'!C:C,C103,'TL12'!J:J),
SUMIF('TL13'!C:C,C103,'TL13'!J:J),
SUMIF('TL14'!C:C,C103,'TL14'!J:J),
SUMIF('TL15'!C:C,C103,'TL15'!J:J),
SUMIF('TL16'!C:C,C103,'TL16'!J:J),
SUMIF('TL17'!C:C,C103,'TL17'!J:J),
SUMIF('TL18'!C:C,C103,'TL18'!J:J),SUMIF('TL19'!C:C,C103,'TL19'!J:J))
,0)</f>
        <v/>
      </c>
      <c r="S103" s="17">
        <f>IFERROR(__xludf.DUMMYFUNCTION("IFERROR(VLOOKUP(C103,
IMPORTRANGE(""1wULbzX32WdYsx-lj2U3uUNBBe2INVIRDtcK0d-Dvl90"",
""26-27!C:G""),
5,
FALSE),
"""")"),90.48816000000001)</f>
        <v/>
      </c>
      <c r="T103" s="9" t="n"/>
      <c r="U103" s="92">
        <f>MAX(0,R103-T103)</f>
        <v/>
      </c>
      <c r="V103" s="93">
        <f>U103*S103</f>
        <v/>
      </c>
    </row>
    <row r="104" hidden="1" ht="15.75" customHeight="1" s="297">
      <c r="A104" s="115" t="inlineStr">
        <is>
          <t>SYNGENTA</t>
        </is>
      </c>
      <c r="B104" s="100" t="inlineStr">
        <is>
          <t>FUNGICIDA</t>
        </is>
      </c>
      <c r="C104" s="116" t="inlineStr">
        <is>
          <t>SCORE FLEXI®</t>
        </is>
      </c>
      <c r="D104" s="116" t="inlineStr">
        <is>
          <t>PROPICONAZOL + DIFENOCONAZOL</t>
        </is>
      </c>
      <c r="E104" s="116" t="inlineStr">
        <is>
          <t>250 + 250</t>
        </is>
      </c>
      <c r="F104" s="4" t="inlineStr">
        <is>
          <t>KG</t>
        </is>
      </c>
      <c r="G104" s="90">
        <f>HYPERLINK("https://www.google.com/search?q=" &amp; C104 &amp; "+bula+agrofit+pdf", "📄 Ver bula")</f>
        <v/>
      </c>
      <c r="H104" s="9">
        <f>IFERROR(__xludf.DUMMYFUNCTION("IFERROR(VLOOKUP(C104,
IMPORTRANGE(""1wULbzX32WdYsx-lj2U3uUNBBe2INVIRDtcK0d-Dvl90"",
""26-27!C:K""),
8,
FALSE),
"""")"),0.15)</f>
        <v/>
      </c>
      <c r="I104" s="117" t="inlineStr">
        <is>
          <t>4x5</t>
        </is>
      </c>
      <c r="J104" s="9">
        <f>IFERROR(SUM(
IF('TL01'!$B$3=J$3,SUMIF('TL01'!$C$10:$C$224,$C104,'TL01'!$J$10:$J$224),0),
IF('TL01'!$B$229=J$3,SUMIF('TL01'!$C$238:$C$451,$C104,'TL01'!$J$238:$J$451),0),
IF('TL02'!$B$3=J$3,SUMIF('TL02'!$C$10:$C$224,$C104,'TL02'!$J$10:$J$224),0),
IF('TL02'!$B$229=J$3,SUMIF('TL02'!$C$238:$C$451,$C104,'TL02'!$J$238:$J$451),0),
IF('TL03'!$B$3=J$3,SUMIF('TL03'!$C$10:$C$224,$C104,'TL03'!$J$10:$J$224),0),
IF('TL03'!$B$229=J$3,SUMIF('TL03'!$C$238:$C$451,$C104,'TL03'!$J$238:$J$451),0),
IF('TL04'!$B$3=J$3,SUMIF('TL04'!$C$10:$C$224,$C104,'TL04'!$J$10:$J$224),0),
IF('TL04'!$B$229=J$3,SUMIF('TL04'!$C$238:$C$451,$C104,'TL04'!$J$238:$J$451),0),
IF('TL05'!$B$3=J$3,SUMIF('TL05'!$C$10:$C$224,$C104,'TL05'!$J$10:$J$224),0),
IF('TL05'!$B$229=J$3,SUMIF('TL05'!$C$238:$C$451,$C104,'TL05'!$J$238:$J$451),0),
IF('TL06'!$B$3=J$3,SUMIF('TL06'!$C$10:$C$224,$C104,'TL06'!$J$10:$J$224),0),
IF('TL06'!$B$229=J$3,SUMIF('TL06'!$C$238:$C$451,$C104,'TL06'!$J$238:$J$451),0),
IF('TL07'!$B$3=J$3,SUMIF('TL07'!$C$10:$C$224,$C104,'TL07'!$J$10:$J$224),0),
IF('TL07'!$B$229=J$3,SUMIF('TL07'!$C$238:$C$451,$C104,'TL07'!$J$238:$J$451),0),
IF('TL08'!$B$3=J$3,SUMIF('TL08'!$C$10:$C$224,$C104,'TL08'!$J$10:$J$224),0),
IF('TL08'!$B$229=J$3,SUMIF('TL08'!$C$238:$C$451,$C104,'TL08'!$J$238:$J$451),0),
IF('TL09'!$B$3=J$3,SUMIF('TL09'!$C$10:$C$224,$C104,'TL09'!$J$10:$J$224),0),
IF('TL09'!$B$229=J$3,SUMIF('TL09'!$C$238:$C$451,$C104,'TL09'!$J$238:$J$451),0),
IF('TL10'!$B$3=J$3,SUMIF('TL10'!$C$10:$C$224,$C104,'TL10'!$J$10:$J$224),0),
IF('TL10'!$B$229=J$3,SUMIF('TL10'!$C$238:$C$451,$C104,'TL10'!$J$238:$J$451),0),
IF('TL11'!$B$3=J$3,SUMIF('TL11'!$C$10:$C$224,$C104,'TL11'!$J$10:$J$224),0),
IF('TL11'!$B$229=J$3,SUMIF('TL11'!$C$238:$C$451,$C104,'TL11'!$J$238:$J$451),0),
IF('TL12'!$B$3=J$3,SUMIF('TL12'!$C$10:$C$224,$C104,'TL12'!$J$10:$J$224),0),
IF('TL12'!$B$229=J$3,SUMIF('TL12'!$C$238:$C$451,$C104,'TL12'!$J$238:$J$451),0),
IF('TL13'!$B$3=J$3,SUMIF('TL13'!$C$10:$C$224,$C104,'TL13'!$J$10:$J$224),0),
IF('TL13'!$B$229=J$3,SUMIF('TL13'!$C$238:$C$451,$C104,'TL13'!$J$238:$J$451),0),
IF('TL14'!$B$3=J$3,SUMIF('TL14'!$C$10:$C$224,$C104,'TL14'!$J$10:$J$224),0),
IF('TL14'!$B$229=J$3,SUMIF('TL14'!$C$238:$C$451,$C104,'TL14'!$J$238:$J$451),0),
IF('TL15'!$B$3=J$3,SUMIF('TL15'!$C$10:$C$224,$C104,'TL15'!$J$10:$J$224),0),
IF('TL15'!$B$229=J$3,SUMIF('TL15'!$C$238:$C$451,$C104,'TL15'!$J$238:$J$451),0),
IF('TL16'!$B$3=J$3,SUMIF('TL16'!$C$10:$C$224,$C104,'TL16'!$J$10:$J$224),0),
IF('TL16'!$B$229=J$3,SUMIF('TL16'!$C$238:$C$451,$C104,'TL16'!$J$238:$J$451),0),
IF('TL17'!$B$3=J$3,SUMIF('TL17'!$C$10:$C$224,$C104,'TL17'!$J$10:$J$224),0),
IF('TL17'!$B$229=J$3,SUMIF('TL17'!$C$238:$C$451,$C104,'TL17'!$J$238:$J$451),0),
IF('TL18'!$B$3=J$3,SUMIF('TL18'!$C$10:$C$224,$C104,'TL18'!$J$10:$J$224),0),
IF('TL18'!$B$229=J$3,SUMIF('TL18'!$C$238:$C$451,$C104,'TL18'!$J$238:$J$451),0),
IF('TL19'!$B$3=J$3,SUMIF('TL19'!$C$10:$C$224,$C104,'TL19'!$J$10:$J$224),0),
IF('TL19'!$B$229=J$3,SUMIF('TL19'!$C$238:$C$451,$C104,'TL19'!$J$238:$J$451),0)
),0)</f>
        <v/>
      </c>
      <c r="K104" s="9">
        <f>IFERROR(SUM(
IF('TL01'!$B$3=K$3,SUMIF('TL01'!$C$10:$C$224,$C104,'TL01'!$J$10:$J$224),0),
IF('TL01'!$B$229=K$3,SUMIF('TL01'!$C$238:$C$451,$C104,'TL01'!$J$238:$J$451),0),
IF('TL02'!$B$3=K$3,SUMIF('TL02'!$C$10:$C$224,$C104,'TL02'!$J$10:$J$224),0),
IF('TL02'!$B$229=K$3,SUMIF('TL02'!$C$238:$C$451,$C104,'TL02'!$J$238:$J$451),0),
IF('TL03'!$B$3=K$3,SUMIF('TL03'!$C$10:$C$224,$C104,'TL03'!$J$10:$J$224),0),
IF('TL03'!$B$229=K$3,SUMIF('TL03'!$C$238:$C$451,$C104,'TL03'!$J$238:$J$451),0),
IF('TL04'!$B$3=K$3,SUMIF('TL04'!$C$10:$C$224,$C104,'TL04'!$J$10:$J$224),0),
IF('TL04'!$B$229=K$3,SUMIF('TL04'!$C$238:$C$451,$C104,'TL04'!$J$238:$J$451),0),
IF('TL05'!$B$3=K$3,SUMIF('TL05'!$C$10:$C$224,$C104,'TL05'!$J$10:$J$224),0),
IF('TL05'!$B$229=K$3,SUMIF('TL05'!$C$238:$C$451,$C104,'TL05'!$J$238:$J$451),0),
IF('TL06'!$B$3=K$3,SUMIF('TL06'!$C$10:$C$224,$C104,'TL06'!$J$10:$J$224),0),
IF('TL06'!$B$229=K$3,SUMIF('TL06'!$C$238:$C$451,$C104,'TL06'!$J$238:$J$451),0),
IF('TL07'!$B$3=K$3,SUMIF('TL07'!$C$10:$C$224,$C104,'TL07'!$J$10:$J$224),0),
IF('TL07'!$B$229=K$3,SUMIF('TL07'!$C$238:$C$451,$C104,'TL07'!$J$238:$J$451),0),
IF('TL08'!$B$3=K$3,SUMIF('TL08'!$C$10:$C$224,$C104,'TL08'!$J$10:$J$224),0),
IF('TL08'!$B$229=K$3,SUMIF('TL08'!$C$238:$C$451,$C104,'TL08'!$J$238:$J$451),0),
IF('TL09'!$B$3=K$3,SUMIF('TL09'!$C$10:$C$224,$C104,'TL09'!$J$10:$J$224),0),
IF('TL09'!$B$229=K$3,SUMIF('TL09'!$C$238:$C$451,$C104,'TL09'!$J$238:$J$451),0),
IF('TL10'!$B$3=K$3,SUMIF('TL10'!$C$10:$C$224,$C104,'TL10'!$J$10:$J$224),0),
IF('TL10'!$B$229=K$3,SUMIF('TL10'!$C$238:$C$451,$C104,'TL10'!$J$238:$J$451),0),
IF('TL11'!$B$3=K$3,SUMIF('TL11'!$C$10:$C$224,$C104,'TL11'!$J$10:$J$224),0),
IF('TL11'!$B$229=K$3,SUMIF('TL11'!$C$238:$C$451,$C104,'TL11'!$J$238:$J$451),0),
IF('TL12'!$B$3=K$3,SUMIF('TL12'!$C$10:$C$224,$C104,'TL12'!$J$10:$J$224),0),
IF('TL12'!$B$229=K$3,SUMIF('TL12'!$C$238:$C$451,$C104,'TL12'!$J$238:$J$451),0),
IF('TL13'!$B$3=K$3,SUMIF('TL13'!$C$10:$C$224,$C104,'TL13'!$J$10:$J$224),0),
IF('TL13'!$B$229=K$3,SUMIF('TL13'!$C$238:$C$451,$C104,'TL13'!$J$238:$J$451),0),
IF('TL14'!$B$3=K$3,SUMIF('TL14'!$C$10:$C$224,$C104,'TL14'!$J$10:$J$224),0),
IF('TL14'!$B$229=K$3,SUMIF('TL14'!$C$238:$C$451,$C104,'TL14'!$J$238:$J$451),0),
IF('TL15'!$B$3=K$3,SUMIF('TL15'!$C$10:$C$224,$C104,'TL15'!$J$10:$J$224),0),
IF('TL15'!$B$229=K$3,SUMIF('TL15'!$C$238:$C$451,$C104,'TL15'!$J$238:$J$451),0),
IF('TL16'!$B$3=K$3,SUMIF('TL16'!$C$10:$C$224,$C104,'TL16'!$J$10:$J$224),0),
IF('TL16'!$B$229=K$3,SUMIF('TL16'!$C$238:$C$451,$C104,'TL16'!$J$238:$J$451),0),
IF('TL17'!$B$3=K$3,SUMIF('TL17'!$C$10:$C$224,$C104,'TL17'!$J$10:$J$224),0),
IF('TL17'!$B$229=K$3,SUMIF('TL17'!$C$238:$C$451,$C104,'TL17'!$J$238:$J$451),0),
IF('TL18'!$B$3=K$3,SUMIF('TL18'!$C$10:$C$224,$C104,'TL18'!$J$10:$J$224),0),
IF('TL18'!$B$229=K$3,SUMIF('TL18'!$C$238:$C$451,$C104,'TL18'!$J$238:$J$451),0),
IF('TL19'!$B$3=K$3,SUMIF('TL19'!$C$10:$C$224,$C104,'TL19'!$J$10:$J$224),0),
IF('TL19'!$B$229=K$3,SUMIF('TL19'!$C$238:$C$451,$C104,'TL19'!$J$238:$J$451),0)
),0)</f>
        <v/>
      </c>
      <c r="L104" s="9">
        <f>IFERROR(SUM(
IF('TL01'!$B$3=L$3,SUMIF('TL01'!$C$10:$C$224,$C104,'TL01'!$J$10:$J$224),0),
IF('TL01'!$B$229=L$3,SUMIF('TL01'!$C$238:$C$451,$C104,'TL01'!$J$238:$J$451),0),
IF('TL02'!$B$3=L$3,SUMIF('TL02'!$C$10:$C$224,$C104,'TL02'!$J$10:$J$224),0),
IF('TL02'!$B$229=L$3,SUMIF('TL02'!$C$238:$C$451,$C104,'TL02'!$J$238:$J$451),0),
IF('TL03'!$B$3=L$3,SUMIF('TL03'!$C$10:$C$224,$C104,'TL03'!$J$10:$J$224),0),
IF('TL03'!$B$229=L$3,SUMIF('TL03'!$C$238:$C$451,$C104,'TL03'!$J$238:$J$451),0),
IF('TL04'!$B$3=L$3,SUMIF('TL04'!$C$10:$C$224,$C104,'TL04'!$J$10:$J$224),0),
IF('TL04'!$B$229=L$3,SUMIF('TL04'!$C$238:$C$451,$C104,'TL04'!$J$238:$J$451),0),
IF('TL05'!$B$3=L$3,SUMIF('TL05'!$C$10:$C$224,$C104,'TL05'!$J$10:$J$224),0),
IF('TL05'!$B$229=L$3,SUMIF('TL05'!$C$238:$C$451,$C104,'TL05'!$J$238:$J$451),0),
IF('TL06'!$B$3=L$3,SUMIF('TL06'!$C$10:$C$224,$C104,'TL06'!$J$10:$J$224),0),
IF('TL06'!$B$229=L$3,SUMIF('TL06'!$C$238:$C$451,$C104,'TL06'!$J$238:$J$451),0),
IF('TL07'!$B$3=L$3,SUMIF('TL07'!$C$10:$C$224,$C104,'TL07'!$J$10:$J$224),0),
IF('TL07'!$B$229=L$3,SUMIF('TL07'!$C$238:$C$451,$C104,'TL07'!$J$238:$J$451),0),
IF('TL08'!$B$3=L$3,SUMIF('TL08'!$C$10:$C$224,$C104,'TL08'!$J$10:$J$224),0),
IF('TL08'!$B$229=L$3,SUMIF('TL08'!$C$238:$C$451,$C104,'TL08'!$J$238:$J$451),0),
IF('TL09'!$B$3=L$3,SUMIF('TL09'!$C$10:$C$224,$C104,'TL09'!$J$10:$J$224),0),
IF('TL09'!$B$229=L$3,SUMIF('TL09'!$C$238:$C$451,$C104,'TL09'!$J$238:$J$451),0),
IF('TL10'!$B$3=L$3,SUMIF('TL10'!$C$10:$C$224,$C104,'TL10'!$J$10:$J$224),0),
IF('TL10'!$B$229=L$3,SUMIF('TL10'!$C$238:$C$451,$C104,'TL10'!$J$238:$J$451),0),
IF('TL11'!$B$3=L$3,SUMIF('TL11'!$C$10:$C$224,$C104,'TL11'!$J$10:$J$224),0),
IF('TL11'!$B$229=L$3,SUMIF('TL11'!$C$238:$C$451,$C104,'TL11'!$J$238:$J$451),0),
IF('TL12'!$B$3=L$3,SUMIF('TL12'!$C$10:$C$224,$C104,'TL12'!$J$10:$J$224),0),
IF('TL12'!$B$229=L$3,SUMIF('TL12'!$C$238:$C$451,$C104,'TL12'!$J$238:$J$451),0),
IF('TL13'!$B$3=L$3,SUMIF('TL13'!$C$10:$C$224,$C104,'TL13'!$J$10:$J$224),0),
IF('TL13'!$B$229=L$3,SUMIF('TL13'!$C$238:$C$451,$C104,'TL13'!$J$238:$J$451),0),
IF('TL14'!$B$3=L$3,SUMIF('TL14'!$C$10:$C$224,$C104,'TL14'!$J$10:$J$224),0),
IF('TL14'!$B$229=L$3,SUMIF('TL14'!$C$238:$C$451,$C104,'TL14'!$J$238:$J$451),0),
IF('TL15'!$B$3=L$3,SUMIF('TL15'!$C$10:$C$224,$C104,'TL15'!$J$10:$J$224),0),
IF('TL15'!$B$229=L$3,SUMIF('TL15'!$C$238:$C$451,$C104,'TL15'!$J$238:$J$451),0),
IF('TL16'!$B$3=L$3,SUMIF('TL16'!$C$10:$C$224,$C104,'TL16'!$J$10:$J$224),0),
IF('TL16'!$B$229=L$3,SUMIF('TL16'!$C$238:$C$451,$C104,'TL16'!$J$238:$J$451),0),
IF('TL17'!$B$3=L$3,SUMIF('TL17'!$C$10:$C$224,$C104,'TL17'!$J$10:$J$224),0),
IF('TL17'!$B$229=L$3,SUMIF('TL17'!$C$238:$C$451,$C104,'TL17'!$J$238:$J$451),0),
IF('TL18'!$B$3=L$3,SUMIF('TL18'!$C$10:$C$224,$C104,'TL18'!$J$10:$J$224),0),
IF('TL18'!$B$229=L$3,SUMIF('TL18'!$C$238:$C$451,$C104,'TL18'!$J$238:$J$451),0),
IF('TL19'!$B$3=L$3,SUMIF('TL19'!$C$10:$C$224,$C104,'TL19'!$J$10:$J$224),0),
IF('TL19'!$B$229=L$3,SUMIF('TL19'!$C$238:$C$451,$C104,'TL19'!$J$238:$J$451),0)
),0)</f>
        <v/>
      </c>
      <c r="M104" s="9">
        <f>IFERROR(SUM(
IF('TL01'!$B$3=M$3,SUMIF('TL01'!$C$10:$C$224,$C104,'TL01'!$J$10:$J$224),0),
IF('TL01'!$B$229=M$3,SUMIF('TL01'!$C$238:$C$451,$C104,'TL01'!$J$238:$J$451),0),
IF('TL02'!$B$3=M$3,SUMIF('TL02'!$C$10:$C$224,$C104,'TL02'!$J$10:$J$224),0),
IF('TL02'!$B$229=M$3,SUMIF('TL02'!$C$238:$C$451,$C104,'TL02'!$J$238:$J$451),0),
IF('TL03'!$B$3=M$3,SUMIF('TL03'!$C$10:$C$224,$C104,'TL03'!$J$10:$J$224),0),
IF('TL03'!$B$229=M$3,SUMIF('TL03'!$C$238:$C$451,$C104,'TL03'!$J$238:$J$451),0),
IF('TL04'!$B$3=M$3,SUMIF('TL04'!$C$10:$C$224,$C104,'TL04'!$J$10:$J$224),0),
IF('TL04'!$B$229=M$3,SUMIF('TL04'!$C$238:$C$451,$C104,'TL04'!$J$238:$J$451),0),
IF('TL05'!$B$3=M$3,SUMIF('TL05'!$C$10:$C$224,$C104,'TL05'!$J$10:$J$224),0),
IF('TL05'!$B$229=M$3,SUMIF('TL05'!$C$238:$C$451,$C104,'TL05'!$J$238:$J$451),0),
IF('TL06'!$B$3=M$3,SUMIF('TL06'!$C$10:$C$224,$C104,'TL06'!$J$10:$J$224),0),
IF('TL06'!$B$229=M$3,SUMIF('TL06'!$C$238:$C$451,$C104,'TL06'!$J$238:$J$451),0),
IF('TL07'!$B$3=M$3,SUMIF('TL07'!$C$10:$C$224,$C104,'TL07'!$J$10:$J$224),0),
IF('TL07'!$B$229=M$3,SUMIF('TL07'!$C$238:$C$451,$C104,'TL07'!$J$238:$J$451),0),
IF('TL08'!$B$3=M$3,SUMIF('TL08'!$C$10:$C$224,$C104,'TL08'!$J$10:$J$224),0),
IF('TL08'!$B$229=M$3,SUMIF('TL08'!$C$238:$C$451,$C104,'TL08'!$J$238:$J$451),0),
IF('TL09'!$B$3=M$3,SUMIF('TL09'!$C$10:$C$224,$C104,'TL09'!$J$10:$J$224),0),
IF('TL09'!$B$229=M$3,SUMIF('TL09'!$C$238:$C$451,$C104,'TL09'!$J$238:$J$451),0),
IF('TL10'!$B$3=M$3,SUMIF('TL10'!$C$10:$C$224,$C104,'TL10'!$J$10:$J$224),0),
IF('TL10'!$B$229=M$3,SUMIF('TL10'!$C$238:$C$451,$C104,'TL10'!$J$238:$J$451),0),
IF('TL11'!$B$3=M$3,SUMIF('TL11'!$C$10:$C$224,$C104,'TL11'!$J$10:$J$224),0),
IF('TL11'!$B$229=M$3,SUMIF('TL11'!$C$238:$C$451,$C104,'TL11'!$J$238:$J$451),0),
IF('TL12'!$B$3=M$3,SUMIF('TL12'!$C$10:$C$224,$C104,'TL12'!$J$10:$J$224),0),
IF('TL12'!$B$229=M$3,SUMIF('TL12'!$C$238:$C$451,$C104,'TL12'!$J$238:$J$451),0),
IF('TL13'!$B$3=M$3,SUMIF('TL13'!$C$10:$C$224,$C104,'TL13'!$J$10:$J$224),0),
IF('TL13'!$B$229=M$3,SUMIF('TL13'!$C$238:$C$451,$C104,'TL13'!$J$238:$J$451),0),
IF('TL14'!$B$3=M$3,SUMIF('TL14'!$C$10:$C$224,$C104,'TL14'!$J$10:$J$224),0),
IF('TL14'!$B$229=M$3,SUMIF('TL14'!$C$238:$C$451,$C104,'TL14'!$J$238:$J$451),0),
IF('TL15'!$B$3=M$3,SUMIF('TL15'!$C$10:$C$224,$C104,'TL15'!$J$10:$J$224),0),
IF('TL15'!$B$229=M$3,SUMIF('TL15'!$C$238:$C$451,$C104,'TL15'!$J$238:$J$451),0),
IF('TL16'!$B$3=M$3,SUMIF('TL16'!$C$10:$C$224,$C104,'TL16'!$J$10:$J$224),0),
IF('TL16'!$B$229=M$3,SUMIF('TL16'!$C$238:$C$451,$C104,'TL16'!$J$238:$J$451),0),
IF('TL17'!$B$3=M$3,SUMIF('TL17'!$C$10:$C$224,$C104,'TL17'!$J$10:$J$224),0),
IF('TL17'!$B$229=M$3,SUMIF('TL17'!$C$238:$C$451,$C104,'TL17'!$J$238:$J$451),0),
IF('TL18'!$B$3=M$3,SUMIF('TL18'!$C$10:$C$224,$C104,'TL18'!$J$10:$J$224),0),
IF('TL18'!$B$229=M$3,SUMIF('TL18'!$C$238:$C$451,$C104,'TL18'!$J$238:$J$451),0),
IF('TL19'!$B$3=M$3,SUMIF('TL19'!$C$10:$C$224,$C104,'TL19'!$J$10:$J$224),0),
IF('TL19'!$B$229=M$3,SUMIF('TL19'!$C$238:$C$451,$C104,'TL19'!$J$238:$J$451),0)
),0)</f>
        <v/>
      </c>
      <c r="N104" s="9">
        <f>IFERROR(SUM(
IF('TL01'!$B$3=N$3,SUMIF('TL01'!$C$10:$C$224,$C104,'TL01'!$J$10:$J$224),0),
IF('TL01'!$B$229=N$3,SUMIF('TL01'!$C$238:$C$451,$C104,'TL01'!$J$238:$J$451),0),
IF('TL02'!$B$3=N$3,SUMIF('TL02'!$C$10:$C$224,$C104,'TL02'!$J$10:$J$224),0),
IF('TL02'!$B$229=N$3,SUMIF('TL02'!$C$238:$C$451,$C104,'TL02'!$J$238:$J$451),0),
IF('TL03'!$B$3=N$3,SUMIF('TL03'!$C$10:$C$224,$C104,'TL03'!$J$10:$J$224),0),
IF('TL03'!$B$229=N$3,SUMIF('TL03'!$C$238:$C$451,$C104,'TL03'!$J$238:$J$451),0),
IF('TL04'!$B$3=N$3,SUMIF('TL04'!$C$10:$C$224,$C104,'TL04'!$J$10:$J$224),0),
IF('TL04'!$B$229=N$3,SUMIF('TL04'!$C$238:$C$451,$C104,'TL04'!$J$238:$J$451),0),
IF('TL05'!$B$3=N$3,SUMIF('TL05'!$C$10:$C$224,$C104,'TL05'!$J$10:$J$224),0),
IF('TL05'!$B$229=N$3,SUMIF('TL05'!$C$238:$C$451,$C104,'TL05'!$J$238:$J$451),0),
IF('TL06'!$B$3=N$3,SUMIF('TL06'!$C$10:$C$224,$C104,'TL06'!$J$10:$J$224),0),
IF('TL06'!$B$229=N$3,SUMIF('TL06'!$C$238:$C$451,$C104,'TL06'!$J$238:$J$451),0),
IF('TL07'!$B$3=N$3,SUMIF('TL07'!$C$10:$C$224,$C104,'TL07'!$J$10:$J$224),0),
IF('TL07'!$B$229=N$3,SUMIF('TL07'!$C$238:$C$451,$C104,'TL07'!$J$238:$J$451),0),
IF('TL08'!$B$3=N$3,SUMIF('TL08'!$C$10:$C$224,$C104,'TL08'!$J$10:$J$224),0),
IF('TL08'!$B$229=N$3,SUMIF('TL08'!$C$238:$C$451,$C104,'TL08'!$J$238:$J$451),0),
IF('TL09'!$B$3=N$3,SUMIF('TL09'!$C$10:$C$224,$C104,'TL09'!$J$10:$J$224),0),
IF('TL09'!$B$229=N$3,SUMIF('TL09'!$C$238:$C$451,$C104,'TL09'!$J$238:$J$451),0),
IF('TL10'!$B$3=N$3,SUMIF('TL10'!$C$10:$C$224,$C104,'TL10'!$J$10:$J$224),0),
IF('TL10'!$B$229=N$3,SUMIF('TL10'!$C$238:$C$451,$C104,'TL10'!$J$238:$J$451),0),
IF('TL11'!$B$3=N$3,SUMIF('TL11'!$C$10:$C$224,$C104,'TL11'!$J$10:$J$224),0),
IF('TL11'!$B$229=N$3,SUMIF('TL11'!$C$238:$C$451,$C104,'TL11'!$J$238:$J$451),0),
IF('TL12'!$B$3=N$3,SUMIF('TL12'!$C$10:$C$224,$C104,'TL12'!$J$10:$J$224),0),
IF('TL12'!$B$229=N$3,SUMIF('TL12'!$C$238:$C$451,$C104,'TL12'!$J$238:$J$451),0),
IF('TL13'!$B$3=N$3,SUMIF('TL13'!$C$10:$C$224,$C104,'TL13'!$J$10:$J$224),0),
IF('TL13'!$B$229=N$3,SUMIF('TL13'!$C$238:$C$451,$C104,'TL13'!$J$238:$J$451),0),
IF('TL14'!$B$3=N$3,SUMIF('TL14'!$C$10:$C$224,$C104,'TL14'!$J$10:$J$224),0),
IF('TL14'!$B$229=N$3,SUMIF('TL14'!$C$238:$C$451,$C104,'TL14'!$J$238:$J$451),0),
IF('TL15'!$B$3=N$3,SUMIF('TL15'!$C$10:$C$224,$C104,'TL15'!$J$10:$J$224),0),
IF('TL15'!$B$229=N$3,SUMIF('TL15'!$C$238:$C$451,$C104,'TL15'!$J$238:$J$451),0),
IF('TL16'!$B$3=N$3,SUMIF('TL16'!$C$10:$C$224,$C104,'TL16'!$J$10:$J$224),0),
IF('TL16'!$B$229=N$3,SUMIF('TL16'!$C$238:$C$451,$C104,'TL16'!$J$238:$J$451),0),
IF('TL17'!$B$3=N$3,SUMIF('TL17'!$C$10:$C$224,$C104,'TL17'!$J$10:$J$224),0),
IF('TL17'!$B$229=N$3,SUMIF('TL17'!$C$238:$C$451,$C104,'TL17'!$J$238:$J$451),0),
IF('TL18'!$B$3=N$3,SUMIF('TL18'!$C$10:$C$224,$C104,'TL18'!$J$10:$J$224),0),
IF('TL18'!$B$229=N$3,SUMIF('TL18'!$C$238:$C$451,$C104,'TL18'!$J$238:$J$451),0),
IF('TL19'!$B$3=N$3,SUMIF('TL19'!$C$10:$C$224,$C104,'TL19'!$J$10:$J$224),0),
IF('TL19'!$B$229=N$3,SUMIF('TL19'!$C$238:$C$451,$C104,'TL19'!$J$238:$J$451),0)
),0)</f>
        <v/>
      </c>
      <c r="O104" s="9">
        <f>IFERROR(SUM(
IF('TL01'!$B$3=O$3,SUMIF('TL01'!$C$10:$C$224,$C104,'TL01'!$J$10:$J$224),0),
IF('TL01'!$B$229=O$3,SUMIF('TL01'!$C$238:$C$451,$C104,'TL01'!$J$238:$J$451),0),
IF('TL02'!$B$3=O$3,SUMIF('TL02'!$C$10:$C$224,$C104,'TL02'!$J$10:$J$224),0),
IF('TL02'!$B$229=O$3,SUMIF('TL02'!$C$238:$C$451,$C104,'TL02'!$J$238:$J$451),0),
IF('TL03'!$B$3=O$3,SUMIF('TL03'!$C$10:$C$224,$C104,'TL03'!$J$10:$J$224),0),
IF('TL03'!$B$229=O$3,SUMIF('TL03'!$C$238:$C$451,$C104,'TL03'!$J$238:$J$451),0),
IF('TL04'!$B$3=O$3,SUMIF('TL04'!$C$10:$C$224,$C104,'TL04'!$J$10:$J$224),0),
IF('TL04'!$B$229=O$3,SUMIF('TL04'!$C$238:$C$451,$C104,'TL04'!$J$238:$J$451),0),
IF('TL05'!$B$3=O$3,SUMIF('TL05'!$C$10:$C$224,$C104,'TL05'!$J$10:$J$224),0),
IF('TL05'!$B$229=O$3,SUMIF('TL05'!$C$238:$C$451,$C104,'TL05'!$J$238:$J$451),0),
IF('TL06'!$B$3=O$3,SUMIF('TL06'!$C$10:$C$224,$C104,'TL06'!$J$10:$J$224),0),
IF('TL06'!$B$229=O$3,SUMIF('TL06'!$C$238:$C$451,$C104,'TL06'!$J$238:$J$451),0),
IF('TL07'!$B$3=O$3,SUMIF('TL07'!$C$10:$C$224,$C104,'TL07'!$J$10:$J$224),0),
IF('TL07'!$B$229=O$3,SUMIF('TL07'!$C$238:$C$451,$C104,'TL07'!$J$238:$J$451),0),
IF('TL08'!$B$3=O$3,SUMIF('TL08'!$C$10:$C$224,$C104,'TL08'!$J$10:$J$224),0),
IF('TL08'!$B$229=O$3,SUMIF('TL08'!$C$238:$C$451,$C104,'TL08'!$J$238:$J$451),0),
IF('TL09'!$B$3=O$3,SUMIF('TL09'!$C$10:$C$224,$C104,'TL09'!$J$10:$J$224),0),
IF('TL09'!$B$229=O$3,SUMIF('TL09'!$C$238:$C$451,$C104,'TL09'!$J$238:$J$451),0),
IF('TL10'!$B$3=O$3,SUMIF('TL10'!$C$10:$C$224,$C104,'TL10'!$J$10:$J$224),0),
IF('TL10'!$B$229=O$3,SUMIF('TL10'!$C$238:$C$451,$C104,'TL10'!$J$238:$J$451),0),
IF('TL11'!$B$3=O$3,SUMIF('TL11'!$C$10:$C$224,$C104,'TL11'!$J$10:$J$224),0),
IF('TL11'!$B$229=O$3,SUMIF('TL11'!$C$238:$C$451,$C104,'TL11'!$J$238:$J$451),0),
IF('TL12'!$B$3=O$3,SUMIF('TL12'!$C$10:$C$224,$C104,'TL12'!$J$10:$J$224),0),
IF('TL12'!$B$229=O$3,SUMIF('TL12'!$C$238:$C$451,$C104,'TL12'!$J$238:$J$451),0),
IF('TL13'!$B$3=O$3,SUMIF('TL13'!$C$10:$C$224,$C104,'TL13'!$J$10:$J$224),0),
IF('TL13'!$B$229=O$3,SUMIF('TL13'!$C$238:$C$451,$C104,'TL13'!$J$238:$J$451),0),
IF('TL14'!$B$3=O$3,SUMIF('TL14'!$C$10:$C$224,$C104,'TL14'!$J$10:$J$224),0),
IF('TL14'!$B$229=O$3,SUMIF('TL14'!$C$238:$C$451,$C104,'TL14'!$J$238:$J$451),0),
IF('TL15'!$B$3=O$3,SUMIF('TL15'!$C$10:$C$224,$C104,'TL15'!$J$10:$J$224),0),
IF('TL15'!$B$229=O$3,SUMIF('TL15'!$C$238:$C$451,$C104,'TL15'!$J$238:$J$451),0),
IF('TL16'!$B$3=O$3,SUMIF('TL16'!$C$10:$C$224,$C104,'TL16'!$J$10:$J$224),0),
IF('TL16'!$B$229=O$3,SUMIF('TL16'!$C$238:$C$451,$C104,'TL16'!$J$238:$J$451),0),
IF('TL17'!$B$3=O$3,SUMIF('TL17'!$C$10:$C$224,$C104,'TL17'!$J$10:$J$224),0),
IF('TL17'!$B$229=O$3,SUMIF('TL17'!$C$238:$C$451,$C104,'TL17'!$J$238:$J$451),0),
IF('TL18'!$B$3=O$3,SUMIF('TL18'!$C$10:$C$224,$C104,'TL18'!$J$10:$J$224),0),
IF('TL18'!$B$229=O$3,SUMIF('TL18'!$C$238:$C$451,$C104,'TL18'!$J$238:$J$451),0),
IF('TL19'!$B$3=O$3,SUMIF('TL19'!$C$10:$C$224,$C104,'TL19'!$J$10:$J$224),0),
IF('TL19'!$B$229=O$3,SUMIF('TL19'!$C$238:$C$451,$C104,'TL19'!$J$238:$J$451),0)
),0)</f>
        <v/>
      </c>
      <c r="P104" s="9">
        <f>IFERROR(SUM(
IF('TL01'!$B$3=P$3,SUMIF('TL01'!$C$10:$C$224,$C104,'TL01'!$J$10:$J$224),0),
IF('TL01'!$B$229=P$3,SUMIF('TL01'!$C$238:$C$451,$C104,'TL01'!$J$238:$J$451),0),
IF('TL02'!$B$3=P$3,SUMIF('TL02'!$C$10:$C$224,$C104,'TL02'!$J$10:$J$224),0),
IF('TL02'!$B$229=P$3,SUMIF('TL02'!$C$238:$C$451,$C104,'TL02'!$J$238:$J$451),0),
IF('TL03'!$B$3=P$3,SUMIF('TL03'!$C$10:$C$224,$C104,'TL03'!$J$10:$J$224),0),
IF('TL03'!$B$229=P$3,SUMIF('TL03'!$C$238:$C$451,$C104,'TL03'!$J$238:$J$451),0),
IF('TL04'!$B$3=P$3,SUMIF('TL04'!$C$10:$C$224,$C104,'TL04'!$J$10:$J$224),0),
IF('TL04'!$B$229=P$3,SUMIF('TL04'!$C$238:$C$451,$C104,'TL04'!$J$238:$J$451),0),
IF('TL05'!$B$3=P$3,SUMIF('TL05'!$C$10:$C$224,$C104,'TL05'!$J$10:$J$224),0),
IF('TL05'!$B$229=P$3,SUMIF('TL05'!$C$238:$C$451,$C104,'TL05'!$J$238:$J$451),0),
IF('TL06'!$B$3=P$3,SUMIF('TL06'!$C$10:$C$224,$C104,'TL06'!$J$10:$J$224),0),
IF('TL06'!$B$229=P$3,SUMIF('TL06'!$C$238:$C$451,$C104,'TL06'!$J$238:$J$451),0),
IF('TL07'!$B$3=P$3,SUMIF('TL07'!$C$10:$C$224,$C104,'TL07'!$J$10:$J$224),0),
IF('TL07'!$B$229=P$3,SUMIF('TL07'!$C$238:$C$451,$C104,'TL07'!$J$238:$J$451),0),
IF('TL08'!$B$3=P$3,SUMIF('TL08'!$C$10:$C$224,$C104,'TL08'!$J$10:$J$224),0),
IF('TL08'!$B$229=P$3,SUMIF('TL08'!$C$238:$C$451,$C104,'TL08'!$J$238:$J$451),0),
IF('TL09'!$B$3=P$3,SUMIF('TL09'!$C$10:$C$224,$C104,'TL09'!$J$10:$J$224),0),
IF('TL09'!$B$229=P$3,SUMIF('TL09'!$C$238:$C$451,$C104,'TL09'!$J$238:$J$451),0),
IF('TL10'!$B$3=P$3,SUMIF('TL10'!$C$10:$C$224,$C104,'TL10'!$J$10:$J$224),0),
IF('TL10'!$B$229=P$3,SUMIF('TL10'!$C$238:$C$451,$C104,'TL10'!$J$238:$J$451),0),
IF('TL11'!$B$3=P$3,SUMIF('TL11'!$C$10:$C$224,$C104,'TL11'!$J$10:$J$224),0),
IF('TL11'!$B$229=P$3,SUMIF('TL11'!$C$238:$C$451,$C104,'TL11'!$J$238:$J$451),0),
IF('TL12'!$B$3=P$3,SUMIF('TL12'!$C$10:$C$224,$C104,'TL12'!$J$10:$J$224),0),
IF('TL12'!$B$229=P$3,SUMIF('TL12'!$C$238:$C$451,$C104,'TL12'!$J$238:$J$451),0),
IF('TL13'!$B$3=P$3,SUMIF('TL13'!$C$10:$C$224,$C104,'TL13'!$J$10:$J$224),0),
IF('TL13'!$B$229=P$3,SUMIF('TL13'!$C$238:$C$451,$C104,'TL13'!$J$238:$J$451),0),
IF('TL14'!$B$3=P$3,SUMIF('TL14'!$C$10:$C$224,$C104,'TL14'!$J$10:$J$224),0),
IF('TL14'!$B$229=P$3,SUMIF('TL14'!$C$238:$C$451,$C104,'TL14'!$J$238:$J$451),0),
IF('TL15'!$B$3=P$3,SUMIF('TL15'!$C$10:$C$224,$C104,'TL15'!$J$10:$J$224),0),
IF('TL15'!$B$229=P$3,SUMIF('TL15'!$C$238:$C$451,$C104,'TL15'!$J$238:$J$451),0),
IF('TL16'!$B$3=P$3,SUMIF('TL16'!$C$10:$C$224,$C104,'TL16'!$J$10:$J$224),0),
IF('TL16'!$B$229=P$3,SUMIF('TL16'!$C$238:$C$451,$C104,'TL16'!$J$238:$J$451),0),
IF('TL17'!$B$3=P$3,SUMIF('TL17'!$C$10:$C$224,$C104,'TL17'!$J$10:$J$224),0),
IF('TL17'!$B$229=P$3,SUMIF('TL17'!$C$238:$C$451,$C104,'TL17'!$J$238:$J$451),0),
IF('TL18'!$B$3=P$3,SUMIF('TL18'!$C$10:$C$224,$C104,'TL18'!$J$10:$J$224),0),
IF('TL18'!$B$229=P$3,SUMIF('TL18'!$C$238:$C$451,$C104,'TL18'!$J$238:$J$451),0),
IF('TL19'!$B$3=P$3,SUMIF('TL19'!$C$10:$C$224,$C104,'TL19'!$J$10:$J$224),0),
IF('TL19'!$B$229=P$3,SUMIF('TL19'!$C$238:$C$451,$C104,'TL19'!$J$238:$J$451),0)
),0)</f>
        <v/>
      </c>
      <c r="Q104" s="9">
        <f>IFERROR(SUM(
IF('TL01'!$B$3=Q$3,SUMIF('TL01'!$C$10:$C$224,$C104,'TL01'!$J$10:$J$224),0),
IF('TL01'!$B$229=Q$3,SUMIF('TL01'!$C$238:$C$451,$C104,'TL01'!$J$238:$J$451),0),
IF('TL02'!$B$3=Q$3,SUMIF('TL02'!$C$10:$C$224,$C104,'TL02'!$J$10:$J$224),0),
IF('TL02'!$B$229=Q$3,SUMIF('TL02'!$C$238:$C$451,$C104,'TL02'!$J$238:$J$451),0),
IF('TL03'!$B$3=Q$3,SUMIF('TL03'!$C$10:$C$224,$C104,'TL03'!$J$10:$J$224),0),
IF('TL03'!$B$229=Q$3,SUMIF('TL03'!$C$238:$C$451,$C104,'TL03'!$J$238:$J$451),0),
IF('TL04'!$B$3=Q$3,SUMIF('TL04'!$C$10:$C$224,$C104,'TL04'!$J$10:$J$224),0),
IF('TL04'!$B$229=Q$3,SUMIF('TL04'!$C$238:$C$451,$C104,'TL04'!$J$238:$J$451),0),
IF('TL05'!$B$3=Q$3,SUMIF('TL05'!$C$10:$C$224,$C104,'TL05'!$J$10:$J$224),0),
IF('TL05'!$B$229=Q$3,SUMIF('TL05'!$C$238:$C$451,$C104,'TL05'!$J$238:$J$451),0),
IF('TL06'!$B$3=Q$3,SUMIF('TL06'!$C$10:$C$224,$C104,'TL06'!$J$10:$J$224),0),
IF('TL06'!$B$229=Q$3,SUMIF('TL06'!$C$238:$C$451,$C104,'TL06'!$J$238:$J$451),0),
IF('TL07'!$B$3=Q$3,SUMIF('TL07'!$C$10:$C$224,$C104,'TL07'!$J$10:$J$224),0),
IF('TL07'!$B$229=Q$3,SUMIF('TL07'!$C$238:$C$451,$C104,'TL07'!$J$238:$J$451),0),
IF('TL08'!$B$3=Q$3,SUMIF('TL08'!$C$10:$C$224,$C104,'TL08'!$J$10:$J$224),0),
IF('TL08'!$B$229=Q$3,SUMIF('TL08'!$C$238:$C$451,$C104,'TL08'!$J$238:$J$451),0),
IF('TL09'!$B$3=Q$3,SUMIF('TL09'!$C$10:$C$224,$C104,'TL09'!$J$10:$J$224),0),
IF('TL09'!$B$229=Q$3,SUMIF('TL09'!$C$238:$C$451,$C104,'TL09'!$J$238:$J$451),0),
IF('TL10'!$B$3=Q$3,SUMIF('TL10'!$C$10:$C$224,$C104,'TL10'!$J$10:$J$224),0),
IF('TL10'!$B$229=Q$3,SUMIF('TL10'!$C$238:$C$451,$C104,'TL10'!$J$238:$J$451),0),
IF('TL11'!$B$3=Q$3,SUMIF('TL11'!$C$10:$C$224,$C104,'TL11'!$J$10:$J$224),0),
IF('TL11'!$B$229=Q$3,SUMIF('TL11'!$C$238:$C$451,$C104,'TL11'!$J$238:$J$451),0),
IF('TL12'!$B$3=Q$3,SUMIF('TL12'!$C$10:$C$224,$C104,'TL12'!$J$10:$J$224),0),
IF('TL12'!$B$229=Q$3,SUMIF('TL12'!$C$238:$C$451,$C104,'TL12'!$J$238:$J$451),0),
IF('TL13'!$B$3=Q$3,SUMIF('TL13'!$C$10:$C$224,$C104,'TL13'!$J$10:$J$224),0),
IF('TL13'!$B$229=Q$3,SUMIF('TL13'!$C$238:$C$451,$C104,'TL13'!$J$238:$J$451),0),
IF('TL14'!$B$3=Q$3,SUMIF('TL14'!$C$10:$C$224,$C104,'TL14'!$J$10:$J$224),0),
IF('TL14'!$B$229=Q$3,SUMIF('TL14'!$C$238:$C$451,$C104,'TL14'!$J$238:$J$451),0),
IF('TL15'!$B$3=Q$3,SUMIF('TL15'!$C$10:$C$224,$C104,'TL15'!$J$10:$J$224),0),
IF('TL15'!$B$229=Q$3,SUMIF('TL15'!$C$238:$C$451,$C104,'TL15'!$J$238:$J$451),0),
IF('TL16'!$B$3=Q$3,SUMIF('TL16'!$C$10:$C$224,$C104,'TL16'!$J$10:$J$224),0),
IF('TL16'!$B$229=Q$3,SUMIF('TL16'!$C$238:$C$451,$C104,'TL16'!$J$238:$J$451),0),
IF('TL17'!$B$3=Q$3,SUMIF('TL17'!$C$10:$C$224,$C104,'TL17'!$J$10:$J$224),0),
IF('TL17'!$B$229=Q$3,SUMIF('TL17'!$C$238:$C$451,$C104,'TL17'!$J$238:$J$451),0),
IF('TL18'!$B$3=Q$3,SUMIF('TL18'!$C$10:$C$224,$C104,'TL18'!$J$10:$J$224),0),
IF('TL18'!$B$229=Q$3,SUMIF('TL18'!$C$238:$C$451,$C104,'TL18'!$J$238:$J$451),0),
IF('TL19'!$B$3=Q$3,SUMIF('TL19'!$C$10:$C$224,$C104,'TL19'!$J$10:$J$224),0),
IF('TL19'!$B$229=Q$3,SUMIF('TL19'!$C$238:$C$451,$C104,'TL19'!$J$238:$J$451),0)
),0)</f>
        <v/>
      </c>
      <c r="R104" s="9">
        <f>IFERROR(
SUM(
SUMIF('TL01'!C:C,C104,'TL01'!J:J),
SUMIF('TL02'!C:C,C104,'TL02'!J:J),
SUMIF('TL03'!C:C,C104,'TL03'!J:J),
SUMIF('TL04'!C:C,C104,'TL04'!J:J),
SUMIF('TL05'!C:C,C104,'TL05'!J:J),
SUMIF('TL06'!C:C,C104,'TL06'!J:J),
SUMIF('TL07'!C:C,C104,'TL07'!J:J),
SUMIF('TL08'!C:C,C104,'TL08'!J:J),
SUMIF('TL09'!C:C,C104,'TL09'!J:J),
SUMIF('TL10'!C:C,C104,'TL10'!J:J),
SUMIF('TL11'!C:C,C104,'TL11'!J:J),
SUMIF('TL12'!C:C,C104,'TL12'!J:J),
SUMIF('TL13'!C:C,C104,'TL13'!J:J),
SUMIF('TL14'!C:C,C104,'TL14'!J:J),
SUMIF('TL15'!C:C,C104,'TL15'!J:J),
SUMIF('TL16'!C:C,C104,'TL16'!J:J),
SUMIF('TL17'!C:C,C104,'TL17'!J:J),
SUMIF('TL18'!C:C,C104,'TL18'!J:J),SUMIF('TL19'!C:C,C104,'TL19'!J:J))
,0)</f>
        <v/>
      </c>
      <c r="S104" s="17">
        <f>IFERROR(__xludf.DUMMYFUNCTION("IFERROR(VLOOKUP(C104,
IMPORTRANGE(""1wULbzX32WdYsx-lj2U3uUNBBe2INVIRDtcK0d-Dvl90"",
""26-27!C:G""),
5,
FALSE),
"""")"),153.36288000000002)</f>
        <v/>
      </c>
      <c r="T104" s="9" t="n"/>
      <c r="U104" s="92">
        <f>MAX(0,R104-T104)</f>
        <v/>
      </c>
      <c r="V104" s="93">
        <f>U104*S104</f>
        <v/>
      </c>
    </row>
    <row r="105" hidden="1" ht="15.75" customHeight="1" s="297">
      <c r="A105" s="111" t="inlineStr">
        <is>
          <t>SYNGENTA</t>
        </is>
      </c>
      <c r="B105" s="112" t="inlineStr">
        <is>
          <t>FUNGICIDA</t>
        </is>
      </c>
      <c r="C105" s="113" t="inlineStr">
        <is>
          <t>SEEKER</t>
        </is>
      </c>
      <c r="D105" s="113" t="inlineStr">
        <is>
          <t>FENPROPIDINA</t>
        </is>
      </c>
      <c r="E105" s="113" t="n">
        <v>750</v>
      </c>
      <c r="F105" s="4" t="inlineStr">
        <is>
          <t>L</t>
        </is>
      </c>
      <c r="G105" s="90">
        <f>HYPERLINK("https://www.google.com/search?q=" &amp; C105 &amp; "+bula+agrofit+pdf", "📄 Ver bula")</f>
        <v/>
      </c>
      <c r="H105" s="9">
        <f>IFERROR(__xludf.DUMMYFUNCTION("IFERROR(VLOOKUP(C105,
IMPORTRANGE(""1wULbzX32WdYsx-lj2U3uUNBBe2INVIRDtcK0d-Dvl90"",
""26-27!C:K""),
8,
FALSE),
"""")"),0.5)</f>
        <v/>
      </c>
      <c r="I105" s="114" t="inlineStr">
        <is>
          <t>4x5</t>
        </is>
      </c>
      <c r="J105" s="9">
        <f>IFERROR(SUM(
IF('TL01'!$B$3=J$3,SUMIF('TL01'!$C$10:$C$224,$C105,'TL01'!$J$10:$J$224),0),
IF('TL01'!$B$229=J$3,SUMIF('TL01'!$C$238:$C$451,$C105,'TL01'!$J$238:$J$451),0),
IF('TL02'!$B$3=J$3,SUMIF('TL02'!$C$10:$C$224,$C105,'TL02'!$J$10:$J$224),0),
IF('TL02'!$B$229=J$3,SUMIF('TL02'!$C$238:$C$451,$C105,'TL02'!$J$238:$J$451),0),
IF('TL03'!$B$3=J$3,SUMIF('TL03'!$C$10:$C$224,$C105,'TL03'!$J$10:$J$224),0),
IF('TL03'!$B$229=J$3,SUMIF('TL03'!$C$238:$C$451,$C105,'TL03'!$J$238:$J$451),0),
IF('TL04'!$B$3=J$3,SUMIF('TL04'!$C$10:$C$224,$C105,'TL04'!$J$10:$J$224),0),
IF('TL04'!$B$229=J$3,SUMIF('TL04'!$C$238:$C$451,$C105,'TL04'!$J$238:$J$451),0),
IF('TL05'!$B$3=J$3,SUMIF('TL05'!$C$10:$C$224,$C105,'TL05'!$J$10:$J$224),0),
IF('TL05'!$B$229=J$3,SUMIF('TL05'!$C$238:$C$451,$C105,'TL05'!$J$238:$J$451),0),
IF('TL06'!$B$3=J$3,SUMIF('TL06'!$C$10:$C$224,$C105,'TL06'!$J$10:$J$224),0),
IF('TL06'!$B$229=J$3,SUMIF('TL06'!$C$238:$C$451,$C105,'TL06'!$J$238:$J$451),0),
IF('TL07'!$B$3=J$3,SUMIF('TL07'!$C$10:$C$224,$C105,'TL07'!$J$10:$J$224),0),
IF('TL07'!$B$229=J$3,SUMIF('TL07'!$C$238:$C$451,$C105,'TL07'!$J$238:$J$451),0),
IF('TL08'!$B$3=J$3,SUMIF('TL08'!$C$10:$C$224,$C105,'TL08'!$J$10:$J$224),0),
IF('TL08'!$B$229=J$3,SUMIF('TL08'!$C$238:$C$451,$C105,'TL08'!$J$238:$J$451),0),
IF('TL09'!$B$3=J$3,SUMIF('TL09'!$C$10:$C$224,$C105,'TL09'!$J$10:$J$224),0),
IF('TL09'!$B$229=J$3,SUMIF('TL09'!$C$238:$C$451,$C105,'TL09'!$J$238:$J$451),0),
IF('TL10'!$B$3=J$3,SUMIF('TL10'!$C$10:$C$224,$C105,'TL10'!$J$10:$J$224),0),
IF('TL10'!$B$229=J$3,SUMIF('TL10'!$C$238:$C$451,$C105,'TL10'!$J$238:$J$451),0),
IF('TL11'!$B$3=J$3,SUMIF('TL11'!$C$10:$C$224,$C105,'TL11'!$J$10:$J$224),0),
IF('TL11'!$B$229=J$3,SUMIF('TL11'!$C$238:$C$451,$C105,'TL11'!$J$238:$J$451),0),
IF('TL12'!$B$3=J$3,SUMIF('TL12'!$C$10:$C$224,$C105,'TL12'!$J$10:$J$224),0),
IF('TL12'!$B$229=J$3,SUMIF('TL12'!$C$238:$C$451,$C105,'TL12'!$J$238:$J$451),0),
IF('TL13'!$B$3=J$3,SUMIF('TL13'!$C$10:$C$224,$C105,'TL13'!$J$10:$J$224),0),
IF('TL13'!$B$229=J$3,SUMIF('TL13'!$C$238:$C$451,$C105,'TL13'!$J$238:$J$451),0),
IF('TL14'!$B$3=J$3,SUMIF('TL14'!$C$10:$C$224,$C105,'TL14'!$J$10:$J$224),0),
IF('TL14'!$B$229=J$3,SUMIF('TL14'!$C$238:$C$451,$C105,'TL14'!$J$238:$J$451),0),
IF('TL15'!$B$3=J$3,SUMIF('TL15'!$C$10:$C$224,$C105,'TL15'!$J$10:$J$224),0),
IF('TL15'!$B$229=J$3,SUMIF('TL15'!$C$238:$C$451,$C105,'TL15'!$J$238:$J$451),0),
IF('TL16'!$B$3=J$3,SUMIF('TL16'!$C$10:$C$224,$C105,'TL16'!$J$10:$J$224),0),
IF('TL16'!$B$229=J$3,SUMIF('TL16'!$C$238:$C$451,$C105,'TL16'!$J$238:$J$451),0),
IF('TL17'!$B$3=J$3,SUMIF('TL17'!$C$10:$C$224,$C105,'TL17'!$J$10:$J$224),0),
IF('TL17'!$B$229=J$3,SUMIF('TL17'!$C$238:$C$451,$C105,'TL17'!$J$238:$J$451),0),
IF('TL18'!$B$3=J$3,SUMIF('TL18'!$C$10:$C$224,$C105,'TL18'!$J$10:$J$224),0),
IF('TL18'!$B$229=J$3,SUMIF('TL18'!$C$238:$C$451,$C105,'TL18'!$J$238:$J$451),0),
IF('TL19'!$B$3=J$3,SUMIF('TL19'!$C$10:$C$224,$C105,'TL19'!$J$10:$J$224),0),
IF('TL19'!$B$229=J$3,SUMIF('TL19'!$C$238:$C$451,$C105,'TL19'!$J$238:$J$451),0)
),0)</f>
        <v/>
      </c>
      <c r="K105" s="9">
        <f>IFERROR(SUM(
IF('TL01'!$B$3=K$3,SUMIF('TL01'!$C$10:$C$224,$C105,'TL01'!$J$10:$J$224),0),
IF('TL01'!$B$229=K$3,SUMIF('TL01'!$C$238:$C$451,$C105,'TL01'!$J$238:$J$451),0),
IF('TL02'!$B$3=K$3,SUMIF('TL02'!$C$10:$C$224,$C105,'TL02'!$J$10:$J$224),0),
IF('TL02'!$B$229=K$3,SUMIF('TL02'!$C$238:$C$451,$C105,'TL02'!$J$238:$J$451),0),
IF('TL03'!$B$3=K$3,SUMIF('TL03'!$C$10:$C$224,$C105,'TL03'!$J$10:$J$224),0),
IF('TL03'!$B$229=K$3,SUMIF('TL03'!$C$238:$C$451,$C105,'TL03'!$J$238:$J$451),0),
IF('TL04'!$B$3=K$3,SUMIF('TL04'!$C$10:$C$224,$C105,'TL04'!$J$10:$J$224),0),
IF('TL04'!$B$229=K$3,SUMIF('TL04'!$C$238:$C$451,$C105,'TL04'!$J$238:$J$451),0),
IF('TL05'!$B$3=K$3,SUMIF('TL05'!$C$10:$C$224,$C105,'TL05'!$J$10:$J$224),0),
IF('TL05'!$B$229=K$3,SUMIF('TL05'!$C$238:$C$451,$C105,'TL05'!$J$238:$J$451),0),
IF('TL06'!$B$3=K$3,SUMIF('TL06'!$C$10:$C$224,$C105,'TL06'!$J$10:$J$224),0),
IF('TL06'!$B$229=K$3,SUMIF('TL06'!$C$238:$C$451,$C105,'TL06'!$J$238:$J$451),0),
IF('TL07'!$B$3=K$3,SUMIF('TL07'!$C$10:$C$224,$C105,'TL07'!$J$10:$J$224),0),
IF('TL07'!$B$229=K$3,SUMIF('TL07'!$C$238:$C$451,$C105,'TL07'!$J$238:$J$451),0),
IF('TL08'!$B$3=K$3,SUMIF('TL08'!$C$10:$C$224,$C105,'TL08'!$J$10:$J$224),0),
IF('TL08'!$B$229=K$3,SUMIF('TL08'!$C$238:$C$451,$C105,'TL08'!$J$238:$J$451),0),
IF('TL09'!$B$3=K$3,SUMIF('TL09'!$C$10:$C$224,$C105,'TL09'!$J$10:$J$224),0),
IF('TL09'!$B$229=K$3,SUMIF('TL09'!$C$238:$C$451,$C105,'TL09'!$J$238:$J$451),0),
IF('TL10'!$B$3=K$3,SUMIF('TL10'!$C$10:$C$224,$C105,'TL10'!$J$10:$J$224),0),
IF('TL10'!$B$229=K$3,SUMIF('TL10'!$C$238:$C$451,$C105,'TL10'!$J$238:$J$451),0),
IF('TL11'!$B$3=K$3,SUMIF('TL11'!$C$10:$C$224,$C105,'TL11'!$J$10:$J$224),0),
IF('TL11'!$B$229=K$3,SUMIF('TL11'!$C$238:$C$451,$C105,'TL11'!$J$238:$J$451),0),
IF('TL12'!$B$3=K$3,SUMIF('TL12'!$C$10:$C$224,$C105,'TL12'!$J$10:$J$224),0),
IF('TL12'!$B$229=K$3,SUMIF('TL12'!$C$238:$C$451,$C105,'TL12'!$J$238:$J$451),0),
IF('TL13'!$B$3=K$3,SUMIF('TL13'!$C$10:$C$224,$C105,'TL13'!$J$10:$J$224),0),
IF('TL13'!$B$229=K$3,SUMIF('TL13'!$C$238:$C$451,$C105,'TL13'!$J$238:$J$451),0),
IF('TL14'!$B$3=K$3,SUMIF('TL14'!$C$10:$C$224,$C105,'TL14'!$J$10:$J$224),0),
IF('TL14'!$B$229=K$3,SUMIF('TL14'!$C$238:$C$451,$C105,'TL14'!$J$238:$J$451),0),
IF('TL15'!$B$3=K$3,SUMIF('TL15'!$C$10:$C$224,$C105,'TL15'!$J$10:$J$224),0),
IF('TL15'!$B$229=K$3,SUMIF('TL15'!$C$238:$C$451,$C105,'TL15'!$J$238:$J$451),0),
IF('TL16'!$B$3=K$3,SUMIF('TL16'!$C$10:$C$224,$C105,'TL16'!$J$10:$J$224),0),
IF('TL16'!$B$229=K$3,SUMIF('TL16'!$C$238:$C$451,$C105,'TL16'!$J$238:$J$451),0),
IF('TL17'!$B$3=K$3,SUMIF('TL17'!$C$10:$C$224,$C105,'TL17'!$J$10:$J$224),0),
IF('TL17'!$B$229=K$3,SUMIF('TL17'!$C$238:$C$451,$C105,'TL17'!$J$238:$J$451),0),
IF('TL18'!$B$3=K$3,SUMIF('TL18'!$C$10:$C$224,$C105,'TL18'!$J$10:$J$224),0),
IF('TL18'!$B$229=K$3,SUMIF('TL18'!$C$238:$C$451,$C105,'TL18'!$J$238:$J$451),0),
IF('TL19'!$B$3=K$3,SUMIF('TL19'!$C$10:$C$224,$C105,'TL19'!$J$10:$J$224),0),
IF('TL19'!$B$229=K$3,SUMIF('TL19'!$C$238:$C$451,$C105,'TL19'!$J$238:$J$451),0)
),0)</f>
        <v/>
      </c>
      <c r="L105" s="9">
        <f>IFERROR(SUM(
IF('TL01'!$B$3=L$3,SUMIF('TL01'!$C$10:$C$224,$C105,'TL01'!$J$10:$J$224),0),
IF('TL01'!$B$229=L$3,SUMIF('TL01'!$C$238:$C$451,$C105,'TL01'!$J$238:$J$451),0),
IF('TL02'!$B$3=L$3,SUMIF('TL02'!$C$10:$C$224,$C105,'TL02'!$J$10:$J$224),0),
IF('TL02'!$B$229=L$3,SUMIF('TL02'!$C$238:$C$451,$C105,'TL02'!$J$238:$J$451),0),
IF('TL03'!$B$3=L$3,SUMIF('TL03'!$C$10:$C$224,$C105,'TL03'!$J$10:$J$224),0),
IF('TL03'!$B$229=L$3,SUMIF('TL03'!$C$238:$C$451,$C105,'TL03'!$J$238:$J$451),0),
IF('TL04'!$B$3=L$3,SUMIF('TL04'!$C$10:$C$224,$C105,'TL04'!$J$10:$J$224),0),
IF('TL04'!$B$229=L$3,SUMIF('TL04'!$C$238:$C$451,$C105,'TL04'!$J$238:$J$451),0),
IF('TL05'!$B$3=L$3,SUMIF('TL05'!$C$10:$C$224,$C105,'TL05'!$J$10:$J$224),0),
IF('TL05'!$B$229=L$3,SUMIF('TL05'!$C$238:$C$451,$C105,'TL05'!$J$238:$J$451),0),
IF('TL06'!$B$3=L$3,SUMIF('TL06'!$C$10:$C$224,$C105,'TL06'!$J$10:$J$224),0),
IF('TL06'!$B$229=L$3,SUMIF('TL06'!$C$238:$C$451,$C105,'TL06'!$J$238:$J$451),0),
IF('TL07'!$B$3=L$3,SUMIF('TL07'!$C$10:$C$224,$C105,'TL07'!$J$10:$J$224),0),
IF('TL07'!$B$229=L$3,SUMIF('TL07'!$C$238:$C$451,$C105,'TL07'!$J$238:$J$451),0),
IF('TL08'!$B$3=L$3,SUMIF('TL08'!$C$10:$C$224,$C105,'TL08'!$J$10:$J$224),0),
IF('TL08'!$B$229=L$3,SUMIF('TL08'!$C$238:$C$451,$C105,'TL08'!$J$238:$J$451),0),
IF('TL09'!$B$3=L$3,SUMIF('TL09'!$C$10:$C$224,$C105,'TL09'!$J$10:$J$224),0),
IF('TL09'!$B$229=L$3,SUMIF('TL09'!$C$238:$C$451,$C105,'TL09'!$J$238:$J$451),0),
IF('TL10'!$B$3=L$3,SUMIF('TL10'!$C$10:$C$224,$C105,'TL10'!$J$10:$J$224),0),
IF('TL10'!$B$229=L$3,SUMIF('TL10'!$C$238:$C$451,$C105,'TL10'!$J$238:$J$451),0),
IF('TL11'!$B$3=L$3,SUMIF('TL11'!$C$10:$C$224,$C105,'TL11'!$J$10:$J$224),0),
IF('TL11'!$B$229=L$3,SUMIF('TL11'!$C$238:$C$451,$C105,'TL11'!$J$238:$J$451),0),
IF('TL12'!$B$3=L$3,SUMIF('TL12'!$C$10:$C$224,$C105,'TL12'!$J$10:$J$224),0),
IF('TL12'!$B$229=L$3,SUMIF('TL12'!$C$238:$C$451,$C105,'TL12'!$J$238:$J$451),0),
IF('TL13'!$B$3=L$3,SUMIF('TL13'!$C$10:$C$224,$C105,'TL13'!$J$10:$J$224),0),
IF('TL13'!$B$229=L$3,SUMIF('TL13'!$C$238:$C$451,$C105,'TL13'!$J$238:$J$451),0),
IF('TL14'!$B$3=L$3,SUMIF('TL14'!$C$10:$C$224,$C105,'TL14'!$J$10:$J$224),0),
IF('TL14'!$B$229=L$3,SUMIF('TL14'!$C$238:$C$451,$C105,'TL14'!$J$238:$J$451),0),
IF('TL15'!$B$3=L$3,SUMIF('TL15'!$C$10:$C$224,$C105,'TL15'!$J$10:$J$224),0),
IF('TL15'!$B$229=L$3,SUMIF('TL15'!$C$238:$C$451,$C105,'TL15'!$J$238:$J$451),0),
IF('TL16'!$B$3=L$3,SUMIF('TL16'!$C$10:$C$224,$C105,'TL16'!$J$10:$J$224),0),
IF('TL16'!$B$229=L$3,SUMIF('TL16'!$C$238:$C$451,$C105,'TL16'!$J$238:$J$451),0),
IF('TL17'!$B$3=L$3,SUMIF('TL17'!$C$10:$C$224,$C105,'TL17'!$J$10:$J$224),0),
IF('TL17'!$B$229=L$3,SUMIF('TL17'!$C$238:$C$451,$C105,'TL17'!$J$238:$J$451),0),
IF('TL18'!$B$3=L$3,SUMIF('TL18'!$C$10:$C$224,$C105,'TL18'!$J$10:$J$224),0),
IF('TL18'!$B$229=L$3,SUMIF('TL18'!$C$238:$C$451,$C105,'TL18'!$J$238:$J$451),0),
IF('TL19'!$B$3=L$3,SUMIF('TL19'!$C$10:$C$224,$C105,'TL19'!$J$10:$J$224),0),
IF('TL19'!$B$229=L$3,SUMIF('TL19'!$C$238:$C$451,$C105,'TL19'!$J$238:$J$451),0)
),0)</f>
        <v/>
      </c>
      <c r="M105" s="9">
        <f>IFERROR(SUM(
IF('TL01'!$B$3=M$3,SUMIF('TL01'!$C$10:$C$224,$C105,'TL01'!$J$10:$J$224),0),
IF('TL01'!$B$229=M$3,SUMIF('TL01'!$C$238:$C$451,$C105,'TL01'!$J$238:$J$451),0),
IF('TL02'!$B$3=M$3,SUMIF('TL02'!$C$10:$C$224,$C105,'TL02'!$J$10:$J$224),0),
IF('TL02'!$B$229=M$3,SUMIF('TL02'!$C$238:$C$451,$C105,'TL02'!$J$238:$J$451),0),
IF('TL03'!$B$3=M$3,SUMIF('TL03'!$C$10:$C$224,$C105,'TL03'!$J$10:$J$224),0),
IF('TL03'!$B$229=M$3,SUMIF('TL03'!$C$238:$C$451,$C105,'TL03'!$J$238:$J$451),0),
IF('TL04'!$B$3=M$3,SUMIF('TL04'!$C$10:$C$224,$C105,'TL04'!$J$10:$J$224),0),
IF('TL04'!$B$229=M$3,SUMIF('TL04'!$C$238:$C$451,$C105,'TL04'!$J$238:$J$451),0),
IF('TL05'!$B$3=M$3,SUMIF('TL05'!$C$10:$C$224,$C105,'TL05'!$J$10:$J$224),0),
IF('TL05'!$B$229=M$3,SUMIF('TL05'!$C$238:$C$451,$C105,'TL05'!$J$238:$J$451),0),
IF('TL06'!$B$3=M$3,SUMIF('TL06'!$C$10:$C$224,$C105,'TL06'!$J$10:$J$224),0),
IF('TL06'!$B$229=M$3,SUMIF('TL06'!$C$238:$C$451,$C105,'TL06'!$J$238:$J$451),0),
IF('TL07'!$B$3=M$3,SUMIF('TL07'!$C$10:$C$224,$C105,'TL07'!$J$10:$J$224),0),
IF('TL07'!$B$229=M$3,SUMIF('TL07'!$C$238:$C$451,$C105,'TL07'!$J$238:$J$451),0),
IF('TL08'!$B$3=M$3,SUMIF('TL08'!$C$10:$C$224,$C105,'TL08'!$J$10:$J$224),0),
IF('TL08'!$B$229=M$3,SUMIF('TL08'!$C$238:$C$451,$C105,'TL08'!$J$238:$J$451),0),
IF('TL09'!$B$3=M$3,SUMIF('TL09'!$C$10:$C$224,$C105,'TL09'!$J$10:$J$224),0),
IF('TL09'!$B$229=M$3,SUMIF('TL09'!$C$238:$C$451,$C105,'TL09'!$J$238:$J$451),0),
IF('TL10'!$B$3=M$3,SUMIF('TL10'!$C$10:$C$224,$C105,'TL10'!$J$10:$J$224),0),
IF('TL10'!$B$229=M$3,SUMIF('TL10'!$C$238:$C$451,$C105,'TL10'!$J$238:$J$451),0),
IF('TL11'!$B$3=M$3,SUMIF('TL11'!$C$10:$C$224,$C105,'TL11'!$J$10:$J$224),0),
IF('TL11'!$B$229=M$3,SUMIF('TL11'!$C$238:$C$451,$C105,'TL11'!$J$238:$J$451),0),
IF('TL12'!$B$3=M$3,SUMIF('TL12'!$C$10:$C$224,$C105,'TL12'!$J$10:$J$224),0),
IF('TL12'!$B$229=M$3,SUMIF('TL12'!$C$238:$C$451,$C105,'TL12'!$J$238:$J$451),0),
IF('TL13'!$B$3=M$3,SUMIF('TL13'!$C$10:$C$224,$C105,'TL13'!$J$10:$J$224),0),
IF('TL13'!$B$229=M$3,SUMIF('TL13'!$C$238:$C$451,$C105,'TL13'!$J$238:$J$451),0),
IF('TL14'!$B$3=M$3,SUMIF('TL14'!$C$10:$C$224,$C105,'TL14'!$J$10:$J$224),0),
IF('TL14'!$B$229=M$3,SUMIF('TL14'!$C$238:$C$451,$C105,'TL14'!$J$238:$J$451),0),
IF('TL15'!$B$3=M$3,SUMIF('TL15'!$C$10:$C$224,$C105,'TL15'!$J$10:$J$224),0),
IF('TL15'!$B$229=M$3,SUMIF('TL15'!$C$238:$C$451,$C105,'TL15'!$J$238:$J$451),0),
IF('TL16'!$B$3=M$3,SUMIF('TL16'!$C$10:$C$224,$C105,'TL16'!$J$10:$J$224),0),
IF('TL16'!$B$229=M$3,SUMIF('TL16'!$C$238:$C$451,$C105,'TL16'!$J$238:$J$451),0),
IF('TL17'!$B$3=M$3,SUMIF('TL17'!$C$10:$C$224,$C105,'TL17'!$J$10:$J$224),0),
IF('TL17'!$B$229=M$3,SUMIF('TL17'!$C$238:$C$451,$C105,'TL17'!$J$238:$J$451),0),
IF('TL18'!$B$3=M$3,SUMIF('TL18'!$C$10:$C$224,$C105,'TL18'!$J$10:$J$224),0),
IF('TL18'!$B$229=M$3,SUMIF('TL18'!$C$238:$C$451,$C105,'TL18'!$J$238:$J$451),0),
IF('TL19'!$B$3=M$3,SUMIF('TL19'!$C$10:$C$224,$C105,'TL19'!$J$10:$J$224),0),
IF('TL19'!$B$229=M$3,SUMIF('TL19'!$C$238:$C$451,$C105,'TL19'!$J$238:$J$451),0)
),0)</f>
        <v/>
      </c>
      <c r="N105" s="9">
        <f>IFERROR(SUM(
IF('TL01'!$B$3=N$3,SUMIF('TL01'!$C$10:$C$224,$C105,'TL01'!$J$10:$J$224),0),
IF('TL01'!$B$229=N$3,SUMIF('TL01'!$C$238:$C$451,$C105,'TL01'!$J$238:$J$451),0),
IF('TL02'!$B$3=N$3,SUMIF('TL02'!$C$10:$C$224,$C105,'TL02'!$J$10:$J$224),0),
IF('TL02'!$B$229=N$3,SUMIF('TL02'!$C$238:$C$451,$C105,'TL02'!$J$238:$J$451),0),
IF('TL03'!$B$3=N$3,SUMIF('TL03'!$C$10:$C$224,$C105,'TL03'!$J$10:$J$224),0),
IF('TL03'!$B$229=N$3,SUMIF('TL03'!$C$238:$C$451,$C105,'TL03'!$J$238:$J$451),0),
IF('TL04'!$B$3=N$3,SUMIF('TL04'!$C$10:$C$224,$C105,'TL04'!$J$10:$J$224),0),
IF('TL04'!$B$229=N$3,SUMIF('TL04'!$C$238:$C$451,$C105,'TL04'!$J$238:$J$451),0),
IF('TL05'!$B$3=N$3,SUMIF('TL05'!$C$10:$C$224,$C105,'TL05'!$J$10:$J$224),0),
IF('TL05'!$B$229=N$3,SUMIF('TL05'!$C$238:$C$451,$C105,'TL05'!$J$238:$J$451),0),
IF('TL06'!$B$3=N$3,SUMIF('TL06'!$C$10:$C$224,$C105,'TL06'!$J$10:$J$224),0),
IF('TL06'!$B$229=N$3,SUMIF('TL06'!$C$238:$C$451,$C105,'TL06'!$J$238:$J$451),0),
IF('TL07'!$B$3=N$3,SUMIF('TL07'!$C$10:$C$224,$C105,'TL07'!$J$10:$J$224),0),
IF('TL07'!$B$229=N$3,SUMIF('TL07'!$C$238:$C$451,$C105,'TL07'!$J$238:$J$451),0),
IF('TL08'!$B$3=N$3,SUMIF('TL08'!$C$10:$C$224,$C105,'TL08'!$J$10:$J$224),0),
IF('TL08'!$B$229=N$3,SUMIF('TL08'!$C$238:$C$451,$C105,'TL08'!$J$238:$J$451),0),
IF('TL09'!$B$3=N$3,SUMIF('TL09'!$C$10:$C$224,$C105,'TL09'!$J$10:$J$224),0),
IF('TL09'!$B$229=N$3,SUMIF('TL09'!$C$238:$C$451,$C105,'TL09'!$J$238:$J$451),0),
IF('TL10'!$B$3=N$3,SUMIF('TL10'!$C$10:$C$224,$C105,'TL10'!$J$10:$J$224),0),
IF('TL10'!$B$229=N$3,SUMIF('TL10'!$C$238:$C$451,$C105,'TL10'!$J$238:$J$451),0),
IF('TL11'!$B$3=N$3,SUMIF('TL11'!$C$10:$C$224,$C105,'TL11'!$J$10:$J$224),0),
IF('TL11'!$B$229=N$3,SUMIF('TL11'!$C$238:$C$451,$C105,'TL11'!$J$238:$J$451),0),
IF('TL12'!$B$3=N$3,SUMIF('TL12'!$C$10:$C$224,$C105,'TL12'!$J$10:$J$224),0),
IF('TL12'!$B$229=N$3,SUMIF('TL12'!$C$238:$C$451,$C105,'TL12'!$J$238:$J$451),0),
IF('TL13'!$B$3=N$3,SUMIF('TL13'!$C$10:$C$224,$C105,'TL13'!$J$10:$J$224),0),
IF('TL13'!$B$229=N$3,SUMIF('TL13'!$C$238:$C$451,$C105,'TL13'!$J$238:$J$451),0),
IF('TL14'!$B$3=N$3,SUMIF('TL14'!$C$10:$C$224,$C105,'TL14'!$J$10:$J$224),0),
IF('TL14'!$B$229=N$3,SUMIF('TL14'!$C$238:$C$451,$C105,'TL14'!$J$238:$J$451),0),
IF('TL15'!$B$3=N$3,SUMIF('TL15'!$C$10:$C$224,$C105,'TL15'!$J$10:$J$224),0),
IF('TL15'!$B$229=N$3,SUMIF('TL15'!$C$238:$C$451,$C105,'TL15'!$J$238:$J$451),0),
IF('TL16'!$B$3=N$3,SUMIF('TL16'!$C$10:$C$224,$C105,'TL16'!$J$10:$J$224),0),
IF('TL16'!$B$229=N$3,SUMIF('TL16'!$C$238:$C$451,$C105,'TL16'!$J$238:$J$451),0),
IF('TL17'!$B$3=N$3,SUMIF('TL17'!$C$10:$C$224,$C105,'TL17'!$J$10:$J$224),0),
IF('TL17'!$B$229=N$3,SUMIF('TL17'!$C$238:$C$451,$C105,'TL17'!$J$238:$J$451),0),
IF('TL18'!$B$3=N$3,SUMIF('TL18'!$C$10:$C$224,$C105,'TL18'!$J$10:$J$224),0),
IF('TL18'!$B$229=N$3,SUMIF('TL18'!$C$238:$C$451,$C105,'TL18'!$J$238:$J$451),0),
IF('TL19'!$B$3=N$3,SUMIF('TL19'!$C$10:$C$224,$C105,'TL19'!$J$10:$J$224),0),
IF('TL19'!$B$229=N$3,SUMIF('TL19'!$C$238:$C$451,$C105,'TL19'!$J$238:$J$451),0)
),0)</f>
        <v/>
      </c>
      <c r="O105" s="9">
        <f>IFERROR(SUM(
IF('TL01'!$B$3=O$3,SUMIF('TL01'!$C$10:$C$224,$C105,'TL01'!$J$10:$J$224),0),
IF('TL01'!$B$229=O$3,SUMIF('TL01'!$C$238:$C$451,$C105,'TL01'!$J$238:$J$451),0),
IF('TL02'!$B$3=O$3,SUMIF('TL02'!$C$10:$C$224,$C105,'TL02'!$J$10:$J$224),0),
IF('TL02'!$B$229=O$3,SUMIF('TL02'!$C$238:$C$451,$C105,'TL02'!$J$238:$J$451),0),
IF('TL03'!$B$3=O$3,SUMIF('TL03'!$C$10:$C$224,$C105,'TL03'!$J$10:$J$224),0),
IF('TL03'!$B$229=O$3,SUMIF('TL03'!$C$238:$C$451,$C105,'TL03'!$J$238:$J$451),0),
IF('TL04'!$B$3=O$3,SUMIF('TL04'!$C$10:$C$224,$C105,'TL04'!$J$10:$J$224),0),
IF('TL04'!$B$229=O$3,SUMIF('TL04'!$C$238:$C$451,$C105,'TL04'!$J$238:$J$451),0),
IF('TL05'!$B$3=O$3,SUMIF('TL05'!$C$10:$C$224,$C105,'TL05'!$J$10:$J$224),0),
IF('TL05'!$B$229=O$3,SUMIF('TL05'!$C$238:$C$451,$C105,'TL05'!$J$238:$J$451),0),
IF('TL06'!$B$3=O$3,SUMIF('TL06'!$C$10:$C$224,$C105,'TL06'!$J$10:$J$224),0),
IF('TL06'!$B$229=O$3,SUMIF('TL06'!$C$238:$C$451,$C105,'TL06'!$J$238:$J$451),0),
IF('TL07'!$B$3=O$3,SUMIF('TL07'!$C$10:$C$224,$C105,'TL07'!$J$10:$J$224),0),
IF('TL07'!$B$229=O$3,SUMIF('TL07'!$C$238:$C$451,$C105,'TL07'!$J$238:$J$451),0),
IF('TL08'!$B$3=O$3,SUMIF('TL08'!$C$10:$C$224,$C105,'TL08'!$J$10:$J$224),0),
IF('TL08'!$B$229=O$3,SUMIF('TL08'!$C$238:$C$451,$C105,'TL08'!$J$238:$J$451),0),
IF('TL09'!$B$3=O$3,SUMIF('TL09'!$C$10:$C$224,$C105,'TL09'!$J$10:$J$224),0),
IF('TL09'!$B$229=O$3,SUMIF('TL09'!$C$238:$C$451,$C105,'TL09'!$J$238:$J$451),0),
IF('TL10'!$B$3=O$3,SUMIF('TL10'!$C$10:$C$224,$C105,'TL10'!$J$10:$J$224),0),
IF('TL10'!$B$229=O$3,SUMIF('TL10'!$C$238:$C$451,$C105,'TL10'!$J$238:$J$451),0),
IF('TL11'!$B$3=O$3,SUMIF('TL11'!$C$10:$C$224,$C105,'TL11'!$J$10:$J$224),0),
IF('TL11'!$B$229=O$3,SUMIF('TL11'!$C$238:$C$451,$C105,'TL11'!$J$238:$J$451),0),
IF('TL12'!$B$3=O$3,SUMIF('TL12'!$C$10:$C$224,$C105,'TL12'!$J$10:$J$224),0),
IF('TL12'!$B$229=O$3,SUMIF('TL12'!$C$238:$C$451,$C105,'TL12'!$J$238:$J$451),0),
IF('TL13'!$B$3=O$3,SUMIF('TL13'!$C$10:$C$224,$C105,'TL13'!$J$10:$J$224),0),
IF('TL13'!$B$229=O$3,SUMIF('TL13'!$C$238:$C$451,$C105,'TL13'!$J$238:$J$451),0),
IF('TL14'!$B$3=O$3,SUMIF('TL14'!$C$10:$C$224,$C105,'TL14'!$J$10:$J$224),0),
IF('TL14'!$B$229=O$3,SUMIF('TL14'!$C$238:$C$451,$C105,'TL14'!$J$238:$J$451),0),
IF('TL15'!$B$3=O$3,SUMIF('TL15'!$C$10:$C$224,$C105,'TL15'!$J$10:$J$224),0),
IF('TL15'!$B$229=O$3,SUMIF('TL15'!$C$238:$C$451,$C105,'TL15'!$J$238:$J$451),0),
IF('TL16'!$B$3=O$3,SUMIF('TL16'!$C$10:$C$224,$C105,'TL16'!$J$10:$J$224),0),
IF('TL16'!$B$229=O$3,SUMIF('TL16'!$C$238:$C$451,$C105,'TL16'!$J$238:$J$451),0),
IF('TL17'!$B$3=O$3,SUMIF('TL17'!$C$10:$C$224,$C105,'TL17'!$J$10:$J$224),0),
IF('TL17'!$B$229=O$3,SUMIF('TL17'!$C$238:$C$451,$C105,'TL17'!$J$238:$J$451),0),
IF('TL18'!$B$3=O$3,SUMIF('TL18'!$C$10:$C$224,$C105,'TL18'!$J$10:$J$224),0),
IF('TL18'!$B$229=O$3,SUMIF('TL18'!$C$238:$C$451,$C105,'TL18'!$J$238:$J$451),0),
IF('TL19'!$B$3=O$3,SUMIF('TL19'!$C$10:$C$224,$C105,'TL19'!$J$10:$J$224),0),
IF('TL19'!$B$229=O$3,SUMIF('TL19'!$C$238:$C$451,$C105,'TL19'!$J$238:$J$451),0)
),0)</f>
        <v/>
      </c>
      <c r="P105" s="9">
        <f>IFERROR(SUM(
IF('TL01'!$B$3=P$3,SUMIF('TL01'!$C$10:$C$224,$C105,'TL01'!$J$10:$J$224),0),
IF('TL01'!$B$229=P$3,SUMIF('TL01'!$C$238:$C$451,$C105,'TL01'!$J$238:$J$451),0),
IF('TL02'!$B$3=P$3,SUMIF('TL02'!$C$10:$C$224,$C105,'TL02'!$J$10:$J$224),0),
IF('TL02'!$B$229=P$3,SUMIF('TL02'!$C$238:$C$451,$C105,'TL02'!$J$238:$J$451),0),
IF('TL03'!$B$3=P$3,SUMIF('TL03'!$C$10:$C$224,$C105,'TL03'!$J$10:$J$224),0),
IF('TL03'!$B$229=P$3,SUMIF('TL03'!$C$238:$C$451,$C105,'TL03'!$J$238:$J$451),0),
IF('TL04'!$B$3=P$3,SUMIF('TL04'!$C$10:$C$224,$C105,'TL04'!$J$10:$J$224),0),
IF('TL04'!$B$229=P$3,SUMIF('TL04'!$C$238:$C$451,$C105,'TL04'!$J$238:$J$451),0),
IF('TL05'!$B$3=P$3,SUMIF('TL05'!$C$10:$C$224,$C105,'TL05'!$J$10:$J$224),0),
IF('TL05'!$B$229=P$3,SUMIF('TL05'!$C$238:$C$451,$C105,'TL05'!$J$238:$J$451),0),
IF('TL06'!$B$3=P$3,SUMIF('TL06'!$C$10:$C$224,$C105,'TL06'!$J$10:$J$224),0),
IF('TL06'!$B$229=P$3,SUMIF('TL06'!$C$238:$C$451,$C105,'TL06'!$J$238:$J$451),0),
IF('TL07'!$B$3=P$3,SUMIF('TL07'!$C$10:$C$224,$C105,'TL07'!$J$10:$J$224),0),
IF('TL07'!$B$229=P$3,SUMIF('TL07'!$C$238:$C$451,$C105,'TL07'!$J$238:$J$451),0),
IF('TL08'!$B$3=P$3,SUMIF('TL08'!$C$10:$C$224,$C105,'TL08'!$J$10:$J$224),0),
IF('TL08'!$B$229=P$3,SUMIF('TL08'!$C$238:$C$451,$C105,'TL08'!$J$238:$J$451),0),
IF('TL09'!$B$3=P$3,SUMIF('TL09'!$C$10:$C$224,$C105,'TL09'!$J$10:$J$224),0),
IF('TL09'!$B$229=P$3,SUMIF('TL09'!$C$238:$C$451,$C105,'TL09'!$J$238:$J$451),0),
IF('TL10'!$B$3=P$3,SUMIF('TL10'!$C$10:$C$224,$C105,'TL10'!$J$10:$J$224),0),
IF('TL10'!$B$229=P$3,SUMIF('TL10'!$C$238:$C$451,$C105,'TL10'!$J$238:$J$451),0),
IF('TL11'!$B$3=P$3,SUMIF('TL11'!$C$10:$C$224,$C105,'TL11'!$J$10:$J$224),0),
IF('TL11'!$B$229=P$3,SUMIF('TL11'!$C$238:$C$451,$C105,'TL11'!$J$238:$J$451),0),
IF('TL12'!$B$3=P$3,SUMIF('TL12'!$C$10:$C$224,$C105,'TL12'!$J$10:$J$224),0),
IF('TL12'!$B$229=P$3,SUMIF('TL12'!$C$238:$C$451,$C105,'TL12'!$J$238:$J$451),0),
IF('TL13'!$B$3=P$3,SUMIF('TL13'!$C$10:$C$224,$C105,'TL13'!$J$10:$J$224),0),
IF('TL13'!$B$229=P$3,SUMIF('TL13'!$C$238:$C$451,$C105,'TL13'!$J$238:$J$451),0),
IF('TL14'!$B$3=P$3,SUMIF('TL14'!$C$10:$C$224,$C105,'TL14'!$J$10:$J$224),0),
IF('TL14'!$B$229=P$3,SUMIF('TL14'!$C$238:$C$451,$C105,'TL14'!$J$238:$J$451),0),
IF('TL15'!$B$3=P$3,SUMIF('TL15'!$C$10:$C$224,$C105,'TL15'!$J$10:$J$224),0),
IF('TL15'!$B$229=P$3,SUMIF('TL15'!$C$238:$C$451,$C105,'TL15'!$J$238:$J$451),0),
IF('TL16'!$B$3=P$3,SUMIF('TL16'!$C$10:$C$224,$C105,'TL16'!$J$10:$J$224),0),
IF('TL16'!$B$229=P$3,SUMIF('TL16'!$C$238:$C$451,$C105,'TL16'!$J$238:$J$451),0),
IF('TL17'!$B$3=P$3,SUMIF('TL17'!$C$10:$C$224,$C105,'TL17'!$J$10:$J$224),0),
IF('TL17'!$B$229=P$3,SUMIF('TL17'!$C$238:$C$451,$C105,'TL17'!$J$238:$J$451),0),
IF('TL18'!$B$3=P$3,SUMIF('TL18'!$C$10:$C$224,$C105,'TL18'!$J$10:$J$224),0),
IF('TL18'!$B$229=P$3,SUMIF('TL18'!$C$238:$C$451,$C105,'TL18'!$J$238:$J$451),0),
IF('TL19'!$B$3=P$3,SUMIF('TL19'!$C$10:$C$224,$C105,'TL19'!$J$10:$J$224),0),
IF('TL19'!$B$229=P$3,SUMIF('TL19'!$C$238:$C$451,$C105,'TL19'!$J$238:$J$451),0)
),0)</f>
        <v/>
      </c>
      <c r="Q105" s="9">
        <f>IFERROR(SUM(
IF('TL01'!$B$3=Q$3,SUMIF('TL01'!$C$10:$C$224,$C105,'TL01'!$J$10:$J$224),0),
IF('TL01'!$B$229=Q$3,SUMIF('TL01'!$C$238:$C$451,$C105,'TL01'!$J$238:$J$451),0),
IF('TL02'!$B$3=Q$3,SUMIF('TL02'!$C$10:$C$224,$C105,'TL02'!$J$10:$J$224),0),
IF('TL02'!$B$229=Q$3,SUMIF('TL02'!$C$238:$C$451,$C105,'TL02'!$J$238:$J$451),0),
IF('TL03'!$B$3=Q$3,SUMIF('TL03'!$C$10:$C$224,$C105,'TL03'!$J$10:$J$224),0),
IF('TL03'!$B$229=Q$3,SUMIF('TL03'!$C$238:$C$451,$C105,'TL03'!$J$238:$J$451),0),
IF('TL04'!$B$3=Q$3,SUMIF('TL04'!$C$10:$C$224,$C105,'TL04'!$J$10:$J$224),0),
IF('TL04'!$B$229=Q$3,SUMIF('TL04'!$C$238:$C$451,$C105,'TL04'!$J$238:$J$451),0),
IF('TL05'!$B$3=Q$3,SUMIF('TL05'!$C$10:$C$224,$C105,'TL05'!$J$10:$J$224),0),
IF('TL05'!$B$229=Q$3,SUMIF('TL05'!$C$238:$C$451,$C105,'TL05'!$J$238:$J$451),0),
IF('TL06'!$B$3=Q$3,SUMIF('TL06'!$C$10:$C$224,$C105,'TL06'!$J$10:$J$224),0),
IF('TL06'!$B$229=Q$3,SUMIF('TL06'!$C$238:$C$451,$C105,'TL06'!$J$238:$J$451),0),
IF('TL07'!$B$3=Q$3,SUMIF('TL07'!$C$10:$C$224,$C105,'TL07'!$J$10:$J$224),0),
IF('TL07'!$B$229=Q$3,SUMIF('TL07'!$C$238:$C$451,$C105,'TL07'!$J$238:$J$451),0),
IF('TL08'!$B$3=Q$3,SUMIF('TL08'!$C$10:$C$224,$C105,'TL08'!$J$10:$J$224),0),
IF('TL08'!$B$229=Q$3,SUMIF('TL08'!$C$238:$C$451,$C105,'TL08'!$J$238:$J$451),0),
IF('TL09'!$B$3=Q$3,SUMIF('TL09'!$C$10:$C$224,$C105,'TL09'!$J$10:$J$224),0),
IF('TL09'!$B$229=Q$3,SUMIF('TL09'!$C$238:$C$451,$C105,'TL09'!$J$238:$J$451),0),
IF('TL10'!$B$3=Q$3,SUMIF('TL10'!$C$10:$C$224,$C105,'TL10'!$J$10:$J$224),0),
IF('TL10'!$B$229=Q$3,SUMIF('TL10'!$C$238:$C$451,$C105,'TL10'!$J$238:$J$451),0),
IF('TL11'!$B$3=Q$3,SUMIF('TL11'!$C$10:$C$224,$C105,'TL11'!$J$10:$J$224),0),
IF('TL11'!$B$229=Q$3,SUMIF('TL11'!$C$238:$C$451,$C105,'TL11'!$J$238:$J$451),0),
IF('TL12'!$B$3=Q$3,SUMIF('TL12'!$C$10:$C$224,$C105,'TL12'!$J$10:$J$224),0),
IF('TL12'!$B$229=Q$3,SUMIF('TL12'!$C$238:$C$451,$C105,'TL12'!$J$238:$J$451),0),
IF('TL13'!$B$3=Q$3,SUMIF('TL13'!$C$10:$C$224,$C105,'TL13'!$J$10:$J$224),0),
IF('TL13'!$B$229=Q$3,SUMIF('TL13'!$C$238:$C$451,$C105,'TL13'!$J$238:$J$451),0),
IF('TL14'!$B$3=Q$3,SUMIF('TL14'!$C$10:$C$224,$C105,'TL14'!$J$10:$J$224),0),
IF('TL14'!$B$229=Q$3,SUMIF('TL14'!$C$238:$C$451,$C105,'TL14'!$J$238:$J$451),0),
IF('TL15'!$B$3=Q$3,SUMIF('TL15'!$C$10:$C$224,$C105,'TL15'!$J$10:$J$224),0),
IF('TL15'!$B$229=Q$3,SUMIF('TL15'!$C$238:$C$451,$C105,'TL15'!$J$238:$J$451),0),
IF('TL16'!$B$3=Q$3,SUMIF('TL16'!$C$10:$C$224,$C105,'TL16'!$J$10:$J$224),0),
IF('TL16'!$B$229=Q$3,SUMIF('TL16'!$C$238:$C$451,$C105,'TL16'!$J$238:$J$451),0),
IF('TL17'!$B$3=Q$3,SUMIF('TL17'!$C$10:$C$224,$C105,'TL17'!$J$10:$J$224),0),
IF('TL17'!$B$229=Q$3,SUMIF('TL17'!$C$238:$C$451,$C105,'TL17'!$J$238:$J$451),0),
IF('TL18'!$B$3=Q$3,SUMIF('TL18'!$C$10:$C$224,$C105,'TL18'!$J$10:$J$224),0),
IF('TL18'!$B$229=Q$3,SUMIF('TL18'!$C$238:$C$451,$C105,'TL18'!$J$238:$J$451),0),
IF('TL19'!$B$3=Q$3,SUMIF('TL19'!$C$10:$C$224,$C105,'TL19'!$J$10:$J$224),0),
IF('TL19'!$B$229=Q$3,SUMIF('TL19'!$C$238:$C$451,$C105,'TL19'!$J$238:$J$451),0)
),0)</f>
        <v/>
      </c>
      <c r="R105" s="9">
        <f>IFERROR(
SUM(
SUMIF('TL01'!C:C,C105,'TL01'!J:J),
SUMIF('TL02'!C:C,C105,'TL02'!J:J),
SUMIF('TL03'!C:C,C105,'TL03'!J:J),
SUMIF('TL04'!C:C,C105,'TL04'!J:J),
SUMIF('TL05'!C:C,C105,'TL05'!J:J),
SUMIF('TL06'!C:C,C105,'TL06'!J:J),
SUMIF('TL07'!C:C,C105,'TL07'!J:J),
SUMIF('TL08'!C:C,C105,'TL08'!J:J),
SUMIF('TL09'!C:C,C105,'TL09'!J:J),
SUMIF('TL10'!C:C,C105,'TL10'!J:J),
SUMIF('TL11'!C:C,C105,'TL11'!J:J),
SUMIF('TL12'!C:C,C105,'TL12'!J:J),
SUMIF('TL13'!C:C,C105,'TL13'!J:J),
SUMIF('TL14'!C:C,C105,'TL14'!J:J),
SUMIF('TL15'!C:C,C105,'TL15'!J:J),
SUMIF('TL16'!C:C,C105,'TL16'!J:J),
SUMIF('TL17'!C:C,C105,'TL17'!J:J),
SUMIF('TL18'!C:C,C105,'TL18'!J:J),SUMIF('TL19'!C:C,C105,'TL19'!J:J))
,0)</f>
        <v/>
      </c>
      <c r="S105" s="17">
        <f>IFERROR(__xludf.DUMMYFUNCTION("IFERROR(VLOOKUP(C105,
IMPORTRANGE(""1wULbzX32WdYsx-lj2U3uUNBBe2INVIRDtcK0d-Dvl90"",
""26-27!C:G""),
5,
FALSE),
"""")"),201.41568)</f>
        <v/>
      </c>
      <c r="T105" s="9" t="n"/>
      <c r="U105" s="92">
        <f>MAX(0,R105-T105)</f>
        <v/>
      </c>
      <c r="V105" s="93">
        <f>U105*S105</f>
        <v/>
      </c>
    </row>
    <row r="106" hidden="1" ht="15.75" customHeight="1" s="297">
      <c r="A106" s="115" t="inlineStr">
        <is>
          <t>ADAMA</t>
        </is>
      </c>
      <c r="B106" s="100" t="inlineStr">
        <is>
          <t>HERBICIDA</t>
        </is>
      </c>
      <c r="C106" s="116" t="inlineStr">
        <is>
          <t>AMINOL 806</t>
        </is>
      </c>
      <c r="D106" s="116" t="inlineStr">
        <is>
          <t>2,4-D-DIMETILAMINA</t>
        </is>
      </c>
      <c r="E106" s="116" t="n">
        <v>806</v>
      </c>
      <c r="F106" s="4" t="inlineStr">
        <is>
          <t>KG</t>
        </is>
      </c>
      <c r="G106" s="90">
        <f>HYPERLINK("https://www.google.com/search?q=" &amp; C106 &amp; "+bula+agrofit+pdf", "📄 Ver bula")</f>
        <v/>
      </c>
      <c r="H106" s="9">
        <f>IFERROR(__xludf.DUMMYFUNCTION("IFERROR(VLOOKUP(C106,
IMPORTRANGE(""1wULbzX32WdYsx-lj2U3uUNBBe2INVIRDtcK0d-Dvl90"",
""26-27!C:K""),
8,
FALSE),
"""")"),1.0)</f>
        <v/>
      </c>
      <c r="I106" s="117" t="inlineStr">
        <is>
          <t>1x20</t>
        </is>
      </c>
      <c r="J106" s="9">
        <f>IFERROR(SUM(
IF('TL01'!$B$3=J$3,SUMIF('TL01'!$C$10:$C$224,$C106,'TL01'!$J$10:$J$224),0),
IF('TL01'!$B$229=J$3,SUMIF('TL01'!$C$238:$C$451,$C106,'TL01'!$J$238:$J$451),0),
IF('TL02'!$B$3=J$3,SUMIF('TL02'!$C$10:$C$224,$C106,'TL02'!$J$10:$J$224),0),
IF('TL02'!$B$229=J$3,SUMIF('TL02'!$C$238:$C$451,$C106,'TL02'!$J$238:$J$451),0),
IF('TL03'!$B$3=J$3,SUMIF('TL03'!$C$10:$C$224,$C106,'TL03'!$J$10:$J$224),0),
IF('TL03'!$B$229=J$3,SUMIF('TL03'!$C$238:$C$451,$C106,'TL03'!$J$238:$J$451),0),
IF('TL04'!$B$3=J$3,SUMIF('TL04'!$C$10:$C$224,$C106,'TL04'!$J$10:$J$224),0),
IF('TL04'!$B$229=J$3,SUMIF('TL04'!$C$238:$C$451,$C106,'TL04'!$J$238:$J$451),0),
IF('TL05'!$B$3=J$3,SUMIF('TL05'!$C$10:$C$224,$C106,'TL05'!$J$10:$J$224),0),
IF('TL05'!$B$229=J$3,SUMIF('TL05'!$C$238:$C$451,$C106,'TL05'!$J$238:$J$451),0),
IF('TL06'!$B$3=J$3,SUMIF('TL06'!$C$10:$C$224,$C106,'TL06'!$J$10:$J$224),0),
IF('TL06'!$B$229=J$3,SUMIF('TL06'!$C$238:$C$451,$C106,'TL06'!$J$238:$J$451),0),
IF('TL07'!$B$3=J$3,SUMIF('TL07'!$C$10:$C$224,$C106,'TL07'!$J$10:$J$224),0),
IF('TL07'!$B$229=J$3,SUMIF('TL07'!$C$238:$C$451,$C106,'TL07'!$J$238:$J$451),0),
IF('TL08'!$B$3=J$3,SUMIF('TL08'!$C$10:$C$224,$C106,'TL08'!$J$10:$J$224),0),
IF('TL08'!$B$229=J$3,SUMIF('TL08'!$C$238:$C$451,$C106,'TL08'!$J$238:$J$451),0),
IF('TL09'!$B$3=J$3,SUMIF('TL09'!$C$10:$C$224,$C106,'TL09'!$J$10:$J$224),0),
IF('TL09'!$B$229=J$3,SUMIF('TL09'!$C$238:$C$451,$C106,'TL09'!$J$238:$J$451),0),
IF('TL10'!$B$3=J$3,SUMIF('TL10'!$C$10:$C$224,$C106,'TL10'!$J$10:$J$224),0),
IF('TL10'!$B$229=J$3,SUMIF('TL10'!$C$238:$C$451,$C106,'TL10'!$J$238:$J$451),0),
IF('TL11'!$B$3=J$3,SUMIF('TL11'!$C$10:$C$224,$C106,'TL11'!$J$10:$J$224),0),
IF('TL11'!$B$229=J$3,SUMIF('TL11'!$C$238:$C$451,$C106,'TL11'!$J$238:$J$451),0),
IF('TL12'!$B$3=J$3,SUMIF('TL12'!$C$10:$C$224,$C106,'TL12'!$J$10:$J$224),0),
IF('TL12'!$B$229=J$3,SUMIF('TL12'!$C$238:$C$451,$C106,'TL12'!$J$238:$J$451),0),
IF('TL13'!$B$3=J$3,SUMIF('TL13'!$C$10:$C$224,$C106,'TL13'!$J$10:$J$224),0),
IF('TL13'!$B$229=J$3,SUMIF('TL13'!$C$238:$C$451,$C106,'TL13'!$J$238:$J$451),0),
IF('TL14'!$B$3=J$3,SUMIF('TL14'!$C$10:$C$224,$C106,'TL14'!$J$10:$J$224),0),
IF('TL14'!$B$229=J$3,SUMIF('TL14'!$C$238:$C$451,$C106,'TL14'!$J$238:$J$451),0),
IF('TL15'!$B$3=J$3,SUMIF('TL15'!$C$10:$C$224,$C106,'TL15'!$J$10:$J$224),0),
IF('TL15'!$B$229=J$3,SUMIF('TL15'!$C$238:$C$451,$C106,'TL15'!$J$238:$J$451),0),
IF('TL16'!$B$3=J$3,SUMIF('TL16'!$C$10:$C$224,$C106,'TL16'!$J$10:$J$224),0),
IF('TL16'!$B$229=J$3,SUMIF('TL16'!$C$238:$C$451,$C106,'TL16'!$J$238:$J$451),0),
IF('TL17'!$B$3=J$3,SUMIF('TL17'!$C$10:$C$224,$C106,'TL17'!$J$10:$J$224),0),
IF('TL17'!$B$229=J$3,SUMIF('TL17'!$C$238:$C$451,$C106,'TL17'!$J$238:$J$451),0),
IF('TL18'!$B$3=J$3,SUMIF('TL18'!$C$10:$C$224,$C106,'TL18'!$J$10:$J$224),0),
IF('TL18'!$B$229=J$3,SUMIF('TL18'!$C$238:$C$451,$C106,'TL18'!$J$238:$J$451),0),
IF('TL19'!$B$3=J$3,SUMIF('TL19'!$C$10:$C$224,$C106,'TL19'!$J$10:$J$224),0),
IF('TL19'!$B$229=J$3,SUMIF('TL19'!$C$238:$C$451,$C106,'TL19'!$J$238:$J$451),0)
),0)</f>
        <v/>
      </c>
      <c r="K106" s="9">
        <f>IFERROR(SUM(
IF('TL01'!$B$3=K$3,SUMIF('TL01'!$C$10:$C$224,$C106,'TL01'!$J$10:$J$224),0),
IF('TL01'!$B$229=K$3,SUMIF('TL01'!$C$238:$C$451,$C106,'TL01'!$J$238:$J$451),0),
IF('TL02'!$B$3=K$3,SUMIF('TL02'!$C$10:$C$224,$C106,'TL02'!$J$10:$J$224),0),
IF('TL02'!$B$229=K$3,SUMIF('TL02'!$C$238:$C$451,$C106,'TL02'!$J$238:$J$451),0),
IF('TL03'!$B$3=K$3,SUMIF('TL03'!$C$10:$C$224,$C106,'TL03'!$J$10:$J$224),0),
IF('TL03'!$B$229=K$3,SUMIF('TL03'!$C$238:$C$451,$C106,'TL03'!$J$238:$J$451),0),
IF('TL04'!$B$3=K$3,SUMIF('TL04'!$C$10:$C$224,$C106,'TL04'!$J$10:$J$224),0),
IF('TL04'!$B$229=K$3,SUMIF('TL04'!$C$238:$C$451,$C106,'TL04'!$J$238:$J$451),0),
IF('TL05'!$B$3=K$3,SUMIF('TL05'!$C$10:$C$224,$C106,'TL05'!$J$10:$J$224),0),
IF('TL05'!$B$229=K$3,SUMIF('TL05'!$C$238:$C$451,$C106,'TL05'!$J$238:$J$451),0),
IF('TL06'!$B$3=K$3,SUMIF('TL06'!$C$10:$C$224,$C106,'TL06'!$J$10:$J$224),0),
IF('TL06'!$B$229=K$3,SUMIF('TL06'!$C$238:$C$451,$C106,'TL06'!$J$238:$J$451),0),
IF('TL07'!$B$3=K$3,SUMIF('TL07'!$C$10:$C$224,$C106,'TL07'!$J$10:$J$224),0),
IF('TL07'!$B$229=K$3,SUMIF('TL07'!$C$238:$C$451,$C106,'TL07'!$J$238:$J$451),0),
IF('TL08'!$B$3=K$3,SUMIF('TL08'!$C$10:$C$224,$C106,'TL08'!$J$10:$J$224),0),
IF('TL08'!$B$229=K$3,SUMIF('TL08'!$C$238:$C$451,$C106,'TL08'!$J$238:$J$451),0),
IF('TL09'!$B$3=K$3,SUMIF('TL09'!$C$10:$C$224,$C106,'TL09'!$J$10:$J$224),0),
IF('TL09'!$B$229=K$3,SUMIF('TL09'!$C$238:$C$451,$C106,'TL09'!$J$238:$J$451),0),
IF('TL10'!$B$3=K$3,SUMIF('TL10'!$C$10:$C$224,$C106,'TL10'!$J$10:$J$224),0),
IF('TL10'!$B$229=K$3,SUMIF('TL10'!$C$238:$C$451,$C106,'TL10'!$J$238:$J$451),0),
IF('TL11'!$B$3=K$3,SUMIF('TL11'!$C$10:$C$224,$C106,'TL11'!$J$10:$J$224),0),
IF('TL11'!$B$229=K$3,SUMIF('TL11'!$C$238:$C$451,$C106,'TL11'!$J$238:$J$451),0),
IF('TL12'!$B$3=K$3,SUMIF('TL12'!$C$10:$C$224,$C106,'TL12'!$J$10:$J$224),0),
IF('TL12'!$B$229=K$3,SUMIF('TL12'!$C$238:$C$451,$C106,'TL12'!$J$238:$J$451),0),
IF('TL13'!$B$3=K$3,SUMIF('TL13'!$C$10:$C$224,$C106,'TL13'!$J$10:$J$224),0),
IF('TL13'!$B$229=K$3,SUMIF('TL13'!$C$238:$C$451,$C106,'TL13'!$J$238:$J$451),0),
IF('TL14'!$B$3=K$3,SUMIF('TL14'!$C$10:$C$224,$C106,'TL14'!$J$10:$J$224),0),
IF('TL14'!$B$229=K$3,SUMIF('TL14'!$C$238:$C$451,$C106,'TL14'!$J$238:$J$451),0),
IF('TL15'!$B$3=K$3,SUMIF('TL15'!$C$10:$C$224,$C106,'TL15'!$J$10:$J$224),0),
IF('TL15'!$B$229=K$3,SUMIF('TL15'!$C$238:$C$451,$C106,'TL15'!$J$238:$J$451),0),
IF('TL16'!$B$3=K$3,SUMIF('TL16'!$C$10:$C$224,$C106,'TL16'!$J$10:$J$224),0),
IF('TL16'!$B$229=K$3,SUMIF('TL16'!$C$238:$C$451,$C106,'TL16'!$J$238:$J$451),0),
IF('TL17'!$B$3=K$3,SUMIF('TL17'!$C$10:$C$224,$C106,'TL17'!$J$10:$J$224),0),
IF('TL17'!$B$229=K$3,SUMIF('TL17'!$C$238:$C$451,$C106,'TL17'!$J$238:$J$451),0),
IF('TL18'!$B$3=K$3,SUMIF('TL18'!$C$10:$C$224,$C106,'TL18'!$J$10:$J$224),0),
IF('TL18'!$B$229=K$3,SUMIF('TL18'!$C$238:$C$451,$C106,'TL18'!$J$238:$J$451),0),
IF('TL19'!$B$3=K$3,SUMIF('TL19'!$C$10:$C$224,$C106,'TL19'!$J$10:$J$224),0),
IF('TL19'!$B$229=K$3,SUMIF('TL19'!$C$238:$C$451,$C106,'TL19'!$J$238:$J$451),0)
),0)</f>
        <v/>
      </c>
      <c r="L106" s="9">
        <f>IFERROR(SUM(
IF('TL01'!$B$3=L$3,SUMIF('TL01'!$C$10:$C$224,$C106,'TL01'!$J$10:$J$224),0),
IF('TL01'!$B$229=L$3,SUMIF('TL01'!$C$238:$C$451,$C106,'TL01'!$J$238:$J$451),0),
IF('TL02'!$B$3=L$3,SUMIF('TL02'!$C$10:$C$224,$C106,'TL02'!$J$10:$J$224),0),
IF('TL02'!$B$229=L$3,SUMIF('TL02'!$C$238:$C$451,$C106,'TL02'!$J$238:$J$451),0),
IF('TL03'!$B$3=L$3,SUMIF('TL03'!$C$10:$C$224,$C106,'TL03'!$J$10:$J$224),0),
IF('TL03'!$B$229=L$3,SUMIF('TL03'!$C$238:$C$451,$C106,'TL03'!$J$238:$J$451),0),
IF('TL04'!$B$3=L$3,SUMIF('TL04'!$C$10:$C$224,$C106,'TL04'!$J$10:$J$224),0),
IF('TL04'!$B$229=L$3,SUMIF('TL04'!$C$238:$C$451,$C106,'TL04'!$J$238:$J$451),0),
IF('TL05'!$B$3=L$3,SUMIF('TL05'!$C$10:$C$224,$C106,'TL05'!$J$10:$J$224),0),
IF('TL05'!$B$229=L$3,SUMIF('TL05'!$C$238:$C$451,$C106,'TL05'!$J$238:$J$451),0),
IF('TL06'!$B$3=L$3,SUMIF('TL06'!$C$10:$C$224,$C106,'TL06'!$J$10:$J$224),0),
IF('TL06'!$B$229=L$3,SUMIF('TL06'!$C$238:$C$451,$C106,'TL06'!$J$238:$J$451),0),
IF('TL07'!$B$3=L$3,SUMIF('TL07'!$C$10:$C$224,$C106,'TL07'!$J$10:$J$224),0),
IF('TL07'!$B$229=L$3,SUMIF('TL07'!$C$238:$C$451,$C106,'TL07'!$J$238:$J$451),0),
IF('TL08'!$B$3=L$3,SUMIF('TL08'!$C$10:$C$224,$C106,'TL08'!$J$10:$J$224),0),
IF('TL08'!$B$229=L$3,SUMIF('TL08'!$C$238:$C$451,$C106,'TL08'!$J$238:$J$451),0),
IF('TL09'!$B$3=L$3,SUMIF('TL09'!$C$10:$C$224,$C106,'TL09'!$J$10:$J$224),0),
IF('TL09'!$B$229=L$3,SUMIF('TL09'!$C$238:$C$451,$C106,'TL09'!$J$238:$J$451),0),
IF('TL10'!$B$3=L$3,SUMIF('TL10'!$C$10:$C$224,$C106,'TL10'!$J$10:$J$224),0),
IF('TL10'!$B$229=L$3,SUMIF('TL10'!$C$238:$C$451,$C106,'TL10'!$J$238:$J$451),0),
IF('TL11'!$B$3=L$3,SUMIF('TL11'!$C$10:$C$224,$C106,'TL11'!$J$10:$J$224),0),
IF('TL11'!$B$229=L$3,SUMIF('TL11'!$C$238:$C$451,$C106,'TL11'!$J$238:$J$451),0),
IF('TL12'!$B$3=L$3,SUMIF('TL12'!$C$10:$C$224,$C106,'TL12'!$J$10:$J$224),0),
IF('TL12'!$B$229=L$3,SUMIF('TL12'!$C$238:$C$451,$C106,'TL12'!$J$238:$J$451),0),
IF('TL13'!$B$3=L$3,SUMIF('TL13'!$C$10:$C$224,$C106,'TL13'!$J$10:$J$224),0),
IF('TL13'!$B$229=L$3,SUMIF('TL13'!$C$238:$C$451,$C106,'TL13'!$J$238:$J$451),0),
IF('TL14'!$B$3=L$3,SUMIF('TL14'!$C$10:$C$224,$C106,'TL14'!$J$10:$J$224),0),
IF('TL14'!$B$229=L$3,SUMIF('TL14'!$C$238:$C$451,$C106,'TL14'!$J$238:$J$451),0),
IF('TL15'!$B$3=L$3,SUMIF('TL15'!$C$10:$C$224,$C106,'TL15'!$J$10:$J$224),0),
IF('TL15'!$B$229=L$3,SUMIF('TL15'!$C$238:$C$451,$C106,'TL15'!$J$238:$J$451),0),
IF('TL16'!$B$3=L$3,SUMIF('TL16'!$C$10:$C$224,$C106,'TL16'!$J$10:$J$224),0),
IF('TL16'!$B$229=L$3,SUMIF('TL16'!$C$238:$C$451,$C106,'TL16'!$J$238:$J$451),0),
IF('TL17'!$B$3=L$3,SUMIF('TL17'!$C$10:$C$224,$C106,'TL17'!$J$10:$J$224),0),
IF('TL17'!$B$229=L$3,SUMIF('TL17'!$C$238:$C$451,$C106,'TL17'!$J$238:$J$451),0),
IF('TL18'!$B$3=L$3,SUMIF('TL18'!$C$10:$C$224,$C106,'TL18'!$J$10:$J$224),0),
IF('TL18'!$B$229=L$3,SUMIF('TL18'!$C$238:$C$451,$C106,'TL18'!$J$238:$J$451),0),
IF('TL19'!$B$3=L$3,SUMIF('TL19'!$C$10:$C$224,$C106,'TL19'!$J$10:$J$224),0),
IF('TL19'!$B$229=L$3,SUMIF('TL19'!$C$238:$C$451,$C106,'TL19'!$J$238:$J$451),0)
),0)</f>
        <v/>
      </c>
      <c r="M106" s="9">
        <f>IFERROR(SUM(
IF('TL01'!$B$3=M$3,SUMIF('TL01'!$C$10:$C$224,$C106,'TL01'!$J$10:$J$224),0),
IF('TL01'!$B$229=M$3,SUMIF('TL01'!$C$238:$C$451,$C106,'TL01'!$J$238:$J$451),0),
IF('TL02'!$B$3=M$3,SUMIF('TL02'!$C$10:$C$224,$C106,'TL02'!$J$10:$J$224),0),
IF('TL02'!$B$229=M$3,SUMIF('TL02'!$C$238:$C$451,$C106,'TL02'!$J$238:$J$451),0),
IF('TL03'!$B$3=M$3,SUMIF('TL03'!$C$10:$C$224,$C106,'TL03'!$J$10:$J$224),0),
IF('TL03'!$B$229=M$3,SUMIF('TL03'!$C$238:$C$451,$C106,'TL03'!$J$238:$J$451),0),
IF('TL04'!$B$3=M$3,SUMIF('TL04'!$C$10:$C$224,$C106,'TL04'!$J$10:$J$224),0),
IF('TL04'!$B$229=M$3,SUMIF('TL04'!$C$238:$C$451,$C106,'TL04'!$J$238:$J$451),0),
IF('TL05'!$B$3=M$3,SUMIF('TL05'!$C$10:$C$224,$C106,'TL05'!$J$10:$J$224),0),
IF('TL05'!$B$229=M$3,SUMIF('TL05'!$C$238:$C$451,$C106,'TL05'!$J$238:$J$451),0),
IF('TL06'!$B$3=M$3,SUMIF('TL06'!$C$10:$C$224,$C106,'TL06'!$J$10:$J$224),0),
IF('TL06'!$B$229=M$3,SUMIF('TL06'!$C$238:$C$451,$C106,'TL06'!$J$238:$J$451),0),
IF('TL07'!$B$3=M$3,SUMIF('TL07'!$C$10:$C$224,$C106,'TL07'!$J$10:$J$224),0),
IF('TL07'!$B$229=M$3,SUMIF('TL07'!$C$238:$C$451,$C106,'TL07'!$J$238:$J$451),0),
IF('TL08'!$B$3=M$3,SUMIF('TL08'!$C$10:$C$224,$C106,'TL08'!$J$10:$J$224),0),
IF('TL08'!$B$229=M$3,SUMIF('TL08'!$C$238:$C$451,$C106,'TL08'!$J$238:$J$451),0),
IF('TL09'!$B$3=M$3,SUMIF('TL09'!$C$10:$C$224,$C106,'TL09'!$J$10:$J$224),0),
IF('TL09'!$B$229=M$3,SUMIF('TL09'!$C$238:$C$451,$C106,'TL09'!$J$238:$J$451),0),
IF('TL10'!$B$3=M$3,SUMIF('TL10'!$C$10:$C$224,$C106,'TL10'!$J$10:$J$224),0),
IF('TL10'!$B$229=M$3,SUMIF('TL10'!$C$238:$C$451,$C106,'TL10'!$J$238:$J$451),0),
IF('TL11'!$B$3=M$3,SUMIF('TL11'!$C$10:$C$224,$C106,'TL11'!$J$10:$J$224),0),
IF('TL11'!$B$229=M$3,SUMIF('TL11'!$C$238:$C$451,$C106,'TL11'!$J$238:$J$451),0),
IF('TL12'!$B$3=M$3,SUMIF('TL12'!$C$10:$C$224,$C106,'TL12'!$J$10:$J$224),0),
IF('TL12'!$B$229=M$3,SUMIF('TL12'!$C$238:$C$451,$C106,'TL12'!$J$238:$J$451),0),
IF('TL13'!$B$3=M$3,SUMIF('TL13'!$C$10:$C$224,$C106,'TL13'!$J$10:$J$224),0),
IF('TL13'!$B$229=M$3,SUMIF('TL13'!$C$238:$C$451,$C106,'TL13'!$J$238:$J$451),0),
IF('TL14'!$B$3=M$3,SUMIF('TL14'!$C$10:$C$224,$C106,'TL14'!$J$10:$J$224),0),
IF('TL14'!$B$229=M$3,SUMIF('TL14'!$C$238:$C$451,$C106,'TL14'!$J$238:$J$451),0),
IF('TL15'!$B$3=M$3,SUMIF('TL15'!$C$10:$C$224,$C106,'TL15'!$J$10:$J$224),0),
IF('TL15'!$B$229=M$3,SUMIF('TL15'!$C$238:$C$451,$C106,'TL15'!$J$238:$J$451),0),
IF('TL16'!$B$3=M$3,SUMIF('TL16'!$C$10:$C$224,$C106,'TL16'!$J$10:$J$224),0),
IF('TL16'!$B$229=M$3,SUMIF('TL16'!$C$238:$C$451,$C106,'TL16'!$J$238:$J$451),0),
IF('TL17'!$B$3=M$3,SUMIF('TL17'!$C$10:$C$224,$C106,'TL17'!$J$10:$J$224),0),
IF('TL17'!$B$229=M$3,SUMIF('TL17'!$C$238:$C$451,$C106,'TL17'!$J$238:$J$451),0),
IF('TL18'!$B$3=M$3,SUMIF('TL18'!$C$10:$C$224,$C106,'TL18'!$J$10:$J$224),0),
IF('TL18'!$B$229=M$3,SUMIF('TL18'!$C$238:$C$451,$C106,'TL18'!$J$238:$J$451),0),
IF('TL19'!$B$3=M$3,SUMIF('TL19'!$C$10:$C$224,$C106,'TL19'!$J$10:$J$224),0),
IF('TL19'!$B$229=M$3,SUMIF('TL19'!$C$238:$C$451,$C106,'TL19'!$J$238:$J$451),0)
),0)</f>
        <v/>
      </c>
      <c r="N106" s="9">
        <f>IFERROR(SUM(
IF('TL01'!$B$3=N$3,SUMIF('TL01'!$C$10:$C$224,$C106,'TL01'!$J$10:$J$224),0),
IF('TL01'!$B$229=N$3,SUMIF('TL01'!$C$238:$C$451,$C106,'TL01'!$J$238:$J$451),0),
IF('TL02'!$B$3=N$3,SUMIF('TL02'!$C$10:$C$224,$C106,'TL02'!$J$10:$J$224),0),
IF('TL02'!$B$229=N$3,SUMIF('TL02'!$C$238:$C$451,$C106,'TL02'!$J$238:$J$451),0),
IF('TL03'!$B$3=N$3,SUMIF('TL03'!$C$10:$C$224,$C106,'TL03'!$J$10:$J$224),0),
IF('TL03'!$B$229=N$3,SUMIF('TL03'!$C$238:$C$451,$C106,'TL03'!$J$238:$J$451),0),
IF('TL04'!$B$3=N$3,SUMIF('TL04'!$C$10:$C$224,$C106,'TL04'!$J$10:$J$224),0),
IF('TL04'!$B$229=N$3,SUMIF('TL04'!$C$238:$C$451,$C106,'TL04'!$J$238:$J$451),0),
IF('TL05'!$B$3=N$3,SUMIF('TL05'!$C$10:$C$224,$C106,'TL05'!$J$10:$J$224),0),
IF('TL05'!$B$229=N$3,SUMIF('TL05'!$C$238:$C$451,$C106,'TL05'!$J$238:$J$451),0),
IF('TL06'!$B$3=N$3,SUMIF('TL06'!$C$10:$C$224,$C106,'TL06'!$J$10:$J$224),0),
IF('TL06'!$B$229=N$3,SUMIF('TL06'!$C$238:$C$451,$C106,'TL06'!$J$238:$J$451),0),
IF('TL07'!$B$3=N$3,SUMIF('TL07'!$C$10:$C$224,$C106,'TL07'!$J$10:$J$224),0),
IF('TL07'!$B$229=N$3,SUMIF('TL07'!$C$238:$C$451,$C106,'TL07'!$J$238:$J$451),0),
IF('TL08'!$B$3=N$3,SUMIF('TL08'!$C$10:$C$224,$C106,'TL08'!$J$10:$J$224),0),
IF('TL08'!$B$229=N$3,SUMIF('TL08'!$C$238:$C$451,$C106,'TL08'!$J$238:$J$451),0),
IF('TL09'!$B$3=N$3,SUMIF('TL09'!$C$10:$C$224,$C106,'TL09'!$J$10:$J$224),0),
IF('TL09'!$B$229=N$3,SUMIF('TL09'!$C$238:$C$451,$C106,'TL09'!$J$238:$J$451),0),
IF('TL10'!$B$3=N$3,SUMIF('TL10'!$C$10:$C$224,$C106,'TL10'!$J$10:$J$224),0),
IF('TL10'!$B$229=N$3,SUMIF('TL10'!$C$238:$C$451,$C106,'TL10'!$J$238:$J$451),0),
IF('TL11'!$B$3=N$3,SUMIF('TL11'!$C$10:$C$224,$C106,'TL11'!$J$10:$J$224),0),
IF('TL11'!$B$229=N$3,SUMIF('TL11'!$C$238:$C$451,$C106,'TL11'!$J$238:$J$451),0),
IF('TL12'!$B$3=N$3,SUMIF('TL12'!$C$10:$C$224,$C106,'TL12'!$J$10:$J$224),0),
IF('TL12'!$B$229=N$3,SUMIF('TL12'!$C$238:$C$451,$C106,'TL12'!$J$238:$J$451),0),
IF('TL13'!$B$3=N$3,SUMIF('TL13'!$C$10:$C$224,$C106,'TL13'!$J$10:$J$224),0),
IF('TL13'!$B$229=N$3,SUMIF('TL13'!$C$238:$C$451,$C106,'TL13'!$J$238:$J$451),0),
IF('TL14'!$B$3=N$3,SUMIF('TL14'!$C$10:$C$224,$C106,'TL14'!$J$10:$J$224),0),
IF('TL14'!$B$229=N$3,SUMIF('TL14'!$C$238:$C$451,$C106,'TL14'!$J$238:$J$451),0),
IF('TL15'!$B$3=N$3,SUMIF('TL15'!$C$10:$C$224,$C106,'TL15'!$J$10:$J$224),0),
IF('TL15'!$B$229=N$3,SUMIF('TL15'!$C$238:$C$451,$C106,'TL15'!$J$238:$J$451),0),
IF('TL16'!$B$3=N$3,SUMIF('TL16'!$C$10:$C$224,$C106,'TL16'!$J$10:$J$224),0),
IF('TL16'!$B$229=N$3,SUMIF('TL16'!$C$238:$C$451,$C106,'TL16'!$J$238:$J$451),0),
IF('TL17'!$B$3=N$3,SUMIF('TL17'!$C$10:$C$224,$C106,'TL17'!$J$10:$J$224),0),
IF('TL17'!$B$229=N$3,SUMIF('TL17'!$C$238:$C$451,$C106,'TL17'!$J$238:$J$451),0),
IF('TL18'!$B$3=N$3,SUMIF('TL18'!$C$10:$C$224,$C106,'TL18'!$J$10:$J$224),0),
IF('TL18'!$B$229=N$3,SUMIF('TL18'!$C$238:$C$451,$C106,'TL18'!$J$238:$J$451),0),
IF('TL19'!$B$3=N$3,SUMIF('TL19'!$C$10:$C$224,$C106,'TL19'!$J$10:$J$224),0),
IF('TL19'!$B$229=N$3,SUMIF('TL19'!$C$238:$C$451,$C106,'TL19'!$J$238:$J$451),0)
),0)</f>
        <v/>
      </c>
      <c r="O106" s="9">
        <f>IFERROR(SUM(
IF('TL01'!$B$3=O$3,SUMIF('TL01'!$C$10:$C$224,$C106,'TL01'!$J$10:$J$224),0),
IF('TL01'!$B$229=O$3,SUMIF('TL01'!$C$238:$C$451,$C106,'TL01'!$J$238:$J$451),0),
IF('TL02'!$B$3=O$3,SUMIF('TL02'!$C$10:$C$224,$C106,'TL02'!$J$10:$J$224),0),
IF('TL02'!$B$229=O$3,SUMIF('TL02'!$C$238:$C$451,$C106,'TL02'!$J$238:$J$451),0),
IF('TL03'!$B$3=O$3,SUMIF('TL03'!$C$10:$C$224,$C106,'TL03'!$J$10:$J$224),0),
IF('TL03'!$B$229=O$3,SUMIF('TL03'!$C$238:$C$451,$C106,'TL03'!$J$238:$J$451),0),
IF('TL04'!$B$3=O$3,SUMIF('TL04'!$C$10:$C$224,$C106,'TL04'!$J$10:$J$224),0),
IF('TL04'!$B$229=O$3,SUMIF('TL04'!$C$238:$C$451,$C106,'TL04'!$J$238:$J$451),0),
IF('TL05'!$B$3=O$3,SUMIF('TL05'!$C$10:$C$224,$C106,'TL05'!$J$10:$J$224),0),
IF('TL05'!$B$229=O$3,SUMIF('TL05'!$C$238:$C$451,$C106,'TL05'!$J$238:$J$451),0),
IF('TL06'!$B$3=O$3,SUMIF('TL06'!$C$10:$C$224,$C106,'TL06'!$J$10:$J$224),0),
IF('TL06'!$B$229=O$3,SUMIF('TL06'!$C$238:$C$451,$C106,'TL06'!$J$238:$J$451),0),
IF('TL07'!$B$3=O$3,SUMIF('TL07'!$C$10:$C$224,$C106,'TL07'!$J$10:$J$224),0),
IF('TL07'!$B$229=O$3,SUMIF('TL07'!$C$238:$C$451,$C106,'TL07'!$J$238:$J$451),0),
IF('TL08'!$B$3=O$3,SUMIF('TL08'!$C$10:$C$224,$C106,'TL08'!$J$10:$J$224),0),
IF('TL08'!$B$229=O$3,SUMIF('TL08'!$C$238:$C$451,$C106,'TL08'!$J$238:$J$451),0),
IF('TL09'!$B$3=O$3,SUMIF('TL09'!$C$10:$C$224,$C106,'TL09'!$J$10:$J$224),0),
IF('TL09'!$B$229=O$3,SUMIF('TL09'!$C$238:$C$451,$C106,'TL09'!$J$238:$J$451),0),
IF('TL10'!$B$3=O$3,SUMIF('TL10'!$C$10:$C$224,$C106,'TL10'!$J$10:$J$224),0),
IF('TL10'!$B$229=O$3,SUMIF('TL10'!$C$238:$C$451,$C106,'TL10'!$J$238:$J$451),0),
IF('TL11'!$B$3=O$3,SUMIF('TL11'!$C$10:$C$224,$C106,'TL11'!$J$10:$J$224),0),
IF('TL11'!$B$229=O$3,SUMIF('TL11'!$C$238:$C$451,$C106,'TL11'!$J$238:$J$451),0),
IF('TL12'!$B$3=O$3,SUMIF('TL12'!$C$10:$C$224,$C106,'TL12'!$J$10:$J$224),0),
IF('TL12'!$B$229=O$3,SUMIF('TL12'!$C$238:$C$451,$C106,'TL12'!$J$238:$J$451),0),
IF('TL13'!$B$3=O$3,SUMIF('TL13'!$C$10:$C$224,$C106,'TL13'!$J$10:$J$224),0),
IF('TL13'!$B$229=O$3,SUMIF('TL13'!$C$238:$C$451,$C106,'TL13'!$J$238:$J$451),0),
IF('TL14'!$B$3=O$3,SUMIF('TL14'!$C$10:$C$224,$C106,'TL14'!$J$10:$J$224),0),
IF('TL14'!$B$229=O$3,SUMIF('TL14'!$C$238:$C$451,$C106,'TL14'!$J$238:$J$451),0),
IF('TL15'!$B$3=O$3,SUMIF('TL15'!$C$10:$C$224,$C106,'TL15'!$J$10:$J$224),0),
IF('TL15'!$B$229=O$3,SUMIF('TL15'!$C$238:$C$451,$C106,'TL15'!$J$238:$J$451),0),
IF('TL16'!$B$3=O$3,SUMIF('TL16'!$C$10:$C$224,$C106,'TL16'!$J$10:$J$224),0),
IF('TL16'!$B$229=O$3,SUMIF('TL16'!$C$238:$C$451,$C106,'TL16'!$J$238:$J$451),0),
IF('TL17'!$B$3=O$3,SUMIF('TL17'!$C$10:$C$224,$C106,'TL17'!$J$10:$J$224),0),
IF('TL17'!$B$229=O$3,SUMIF('TL17'!$C$238:$C$451,$C106,'TL17'!$J$238:$J$451),0),
IF('TL18'!$B$3=O$3,SUMIF('TL18'!$C$10:$C$224,$C106,'TL18'!$J$10:$J$224),0),
IF('TL18'!$B$229=O$3,SUMIF('TL18'!$C$238:$C$451,$C106,'TL18'!$J$238:$J$451),0),
IF('TL19'!$B$3=O$3,SUMIF('TL19'!$C$10:$C$224,$C106,'TL19'!$J$10:$J$224),0),
IF('TL19'!$B$229=O$3,SUMIF('TL19'!$C$238:$C$451,$C106,'TL19'!$J$238:$J$451),0)
),0)</f>
        <v/>
      </c>
      <c r="P106" s="9">
        <f>IFERROR(SUM(
IF('TL01'!$B$3=P$3,SUMIF('TL01'!$C$10:$C$224,$C106,'TL01'!$J$10:$J$224),0),
IF('TL01'!$B$229=P$3,SUMIF('TL01'!$C$238:$C$451,$C106,'TL01'!$J$238:$J$451),0),
IF('TL02'!$B$3=P$3,SUMIF('TL02'!$C$10:$C$224,$C106,'TL02'!$J$10:$J$224),0),
IF('TL02'!$B$229=P$3,SUMIF('TL02'!$C$238:$C$451,$C106,'TL02'!$J$238:$J$451),0),
IF('TL03'!$B$3=P$3,SUMIF('TL03'!$C$10:$C$224,$C106,'TL03'!$J$10:$J$224),0),
IF('TL03'!$B$229=P$3,SUMIF('TL03'!$C$238:$C$451,$C106,'TL03'!$J$238:$J$451),0),
IF('TL04'!$B$3=P$3,SUMIF('TL04'!$C$10:$C$224,$C106,'TL04'!$J$10:$J$224),0),
IF('TL04'!$B$229=P$3,SUMIF('TL04'!$C$238:$C$451,$C106,'TL04'!$J$238:$J$451),0),
IF('TL05'!$B$3=P$3,SUMIF('TL05'!$C$10:$C$224,$C106,'TL05'!$J$10:$J$224),0),
IF('TL05'!$B$229=P$3,SUMIF('TL05'!$C$238:$C$451,$C106,'TL05'!$J$238:$J$451),0),
IF('TL06'!$B$3=P$3,SUMIF('TL06'!$C$10:$C$224,$C106,'TL06'!$J$10:$J$224),0),
IF('TL06'!$B$229=P$3,SUMIF('TL06'!$C$238:$C$451,$C106,'TL06'!$J$238:$J$451),0),
IF('TL07'!$B$3=P$3,SUMIF('TL07'!$C$10:$C$224,$C106,'TL07'!$J$10:$J$224),0),
IF('TL07'!$B$229=P$3,SUMIF('TL07'!$C$238:$C$451,$C106,'TL07'!$J$238:$J$451),0),
IF('TL08'!$B$3=P$3,SUMIF('TL08'!$C$10:$C$224,$C106,'TL08'!$J$10:$J$224),0),
IF('TL08'!$B$229=P$3,SUMIF('TL08'!$C$238:$C$451,$C106,'TL08'!$J$238:$J$451),0),
IF('TL09'!$B$3=P$3,SUMIF('TL09'!$C$10:$C$224,$C106,'TL09'!$J$10:$J$224),0),
IF('TL09'!$B$229=P$3,SUMIF('TL09'!$C$238:$C$451,$C106,'TL09'!$J$238:$J$451),0),
IF('TL10'!$B$3=P$3,SUMIF('TL10'!$C$10:$C$224,$C106,'TL10'!$J$10:$J$224),0),
IF('TL10'!$B$229=P$3,SUMIF('TL10'!$C$238:$C$451,$C106,'TL10'!$J$238:$J$451),0),
IF('TL11'!$B$3=P$3,SUMIF('TL11'!$C$10:$C$224,$C106,'TL11'!$J$10:$J$224),0),
IF('TL11'!$B$229=P$3,SUMIF('TL11'!$C$238:$C$451,$C106,'TL11'!$J$238:$J$451),0),
IF('TL12'!$B$3=P$3,SUMIF('TL12'!$C$10:$C$224,$C106,'TL12'!$J$10:$J$224),0),
IF('TL12'!$B$229=P$3,SUMIF('TL12'!$C$238:$C$451,$C106,'TL12'!$J$238:$J$451),0),
IF('TL13'!$B$3=P$3,SUMIF('TL13'!$C$10:$C$224,$C106,'TL13'!$J$10:$J$224),0),
IF('TL13'!$B$229=P$3,SUMIF('TL13'!$C$238:$C$451,$C106,'TL13'!$J$238:$J$451),0),
IF('TL14'!$B$3=P$3,SUMIF('TL14'!$C$10:$C$224,$C106,'TL14'!$J$10:$J$224),0),
IF('TL14'!$B$229=P$3,SUMIF('TL14'!$C$238:$C$451,$C106,'TL14'!$J$238:$J$451),0),
IF('TL15'!$B$3=P$3,SUMIF('TL15'!$C$10:$C$224,$C106,'TL15'!$J$10:$J$224),0),
IF('TL15'!$B$229=P$3,SUMIF('TL15'!$C$238:$C$451,$C106,'TL15'!$J$238:$J$451),0),
IF('TL16'!$B$3=P$3,SUMIF('TL16'!$C$10:$C$224,$C106,'TL16'!$J$10:$J$224),0),
IF('TL16'!$B$229=P$3,SUMIF('TL16'!$C$238:$C$451,$C106,'TL16'!$J$238:$J$451),0),
IF('TL17'!$B$3=P$3,SUMIF('TL17'!$C$10:$C$224,$C106,'TL17'!$J$10:$J$224),0),
IF('TL17'!$B$229=P$3,SUMIF('TL17'!$C$238:$C$451,$C106,'TL17'!$J$238:$J$451),0),
IF('TL18'!$B$3=P$3,SUMIF('TL18'!$C$10:$C$224,$C106,'TL18'!$J$10:$J$224),0),
IF('TL18'!$B$229=P$3,SUMIF('TL18'!$C$238:$C$451,$C106,'TL18'!$J$238:$J$451),0),
IF('TL19'!$B$3=P$3,SUMIF('TL19'!$C$10:$C$224,$C106,'TL19'!$J$10:$J$224),0),
IF('TL19'!$B$229=P$3,SUMIF('TL19'!$C$238:$C$451,$C106,'TL19'!$J$238:$J$451),0)
),0)</f>
        <v/>
      </c>
      <c r="Q106" s="9">
        <f>IFERROR(SUM(
IF('TL01'!$B$3=Q$3,SUMIF('TL01'!$C$10:$C$224,$C106,'TL01'!$J$10:$J$224),0),
IF('TL01'!$B$229=Q$3,SUMIF('TL01'!$C$238:$C$451,$C106,'TL01'!$J$238:$J$451),0),
IF('TL02'!$B$3=Q$3,SUMIF('TL02'!$C$10:$C$224,$C106,'TL02'!$J$10:$J$224),0),
IF('TL02'!$B$229=Q$3,SUMIF('TL02'!$C$238:$C$451,$C106,'TL02'!$J$238:$J$451),0),
IF('TL03'!$B$3=Q$3,SUMIF('TL03'!$C$10:$C$224,$C106,'TL03'!$J$10:$J$224),0),
IF('TL03'!$B$229=Q$3,SUMIF('TL03'!$C$238:$C$451,$C106,'TL03'!$J$238:$J$451),0),
IF('TL04'!$B$3=Q$3,SUMIF('TL04'!$C$10:$C$224,$C106,'TL04'!$J$10:$J$224),0),
IF('TL04'!$B$229=Q$3,SUMIF('TL04'!$C$238:$C$451,$C106,'TL04'!$J$238:$J$451),0),
IF('TL05'!$B$3=Q$3,SUMIF('TL05'!$C$10:$C$224,$C106,'TL05'!$J$10:$J$224),0),
IF('TL05'!$B$229=Q$3,SUMIF('TL05'!$C$238:$C$451,$C106,'TL05'!$J$238:$J$451),0),
IF('TL06'!$B$3=Q$3,SUMIF('TL06'!$C$10:$C$224,$C106,'TL06'!$J$10:$J$224),0),
IF('TL06'!$B$229=Q$3,SUMIF('TL06'!$C$238:$C$451,$C106,'TL06'!$J$238:$J$451),0),
IF('TL07'!$B$3=Q$3,SUMIF('TL07'!$C$10:$C$224,$C106,'TL07'!$J$10:$J$224),0),
IF('TL07'!$B$229=Q$3,SUMIF('TL07'!$C$238:$C$451,$C106,'TL07'!$J$238:$J$451),0),
IF('TL08'!$B$3=Q$3,SUMIF('TL08'!$C$10:$C$224,$C106,'TL08'!$J$10:$J$224),0),
IF('TL08'!$B$229=Q$3,SUMIF('TL08'!$C$238:$C$451,$C106,'TL08'!$J$238:$J$451),0),
IF('TL09'!$B$3=Q$3,SUMIF('TL09'!$C$10:$C$224,$C106,'TL09'!$J$10:$J$224),0),
IF('TL09'!$B$229=Q$3,SUMIF('TL09'!$C$238:$C$451,$C106,'TL09'!$J$238:$J$451),0),
IF('TL10'!$B$3=Q$3,SUMIF('TL10'!$C$10:$C$224,$C106,'TL10'!$J$10:$J$224),0),
IF('TL10'!$B$229=Q$3,SUMIF('TL10'!$C$238:$C$451,$C106,'TL10'!$J$238:$J$451),0),
IF('TL11'!$B$3=Q$3,SUMIF('TL11'!$C$10:$C$224,$C106,'TL11'!$J$10:$J$224),0),
IF('TL11'!$B$229=Q$3,SUMIF('TL11'!$C$238:$C$451,$C106,'TL11'!$J$238:$J$451),0),
IF('TL12'!$B$3=Q$3,SUMIF('TL12'!$C$10:$C$224,$C106,'TL12'!$J$10:$J$224),0),
IF('TL12'!$B$229=Q$3,SUMIF('TL12'!$C$238:$C$451,$C106,'TL12'!$J$238:$J$451),0),
IF('TL13'!$B$3=Q$3,SUMIF('TL13'!$C$10:$C$224,$C106,'TL13'!$J$10:$J$224),0),
IF('TL13'!$B$229=Q$3,SUMIF('TL13'!$C$238:$C$451,$C106,'TL13'!$J$238:$J$451),0),
IF('TL14'!$B$3=Q$3,SUMIF('TL14'!$C$10:$C$224,$C106,'TL14'!$J$10:$J$224),0),
IF('TL14'!$B$229=Q$3,SUMIF('TL14'!$C$238:$C$451,$C106,'TL14'!$J$238:$J$451),0),
IF('TL15'!$B$3=Q$3,SUMIF('TL15'!$C$10:$C$224,$C106,'TL15'!$J$10:$J$224),0),
IF('TL15'!$B$229=Q$3,SUMIF('TL15'!$C$238:$C$451,$C106,'TL15'!$J$238:$J$451),0),
IF('TL16'!$B$3=Q$3,SUMIF('TL16'!$C$10:$C$224,$C106,'TL16'!$J$10:$J$224),0),
IF('TL16'!$B$229=Q$3,SUMIF('TL16'!$C$238:$C$451,$C106,'TL16'!$J$238:$J$451),0),
IF('TL17'!$B$3=Q$3,SUMIF('TL17'!$C$10:$C$224,$C106,'TL17'!$J$10:$J$224),0),
IF('TL17'!$B$229=Q$3,SUMIF('TL17'!$C$238:$C$451,$C106,'TL17'!$J$238:$J$451),0),
IF('TL18'!$B$3=Q$3,SUMIF('TL18'!$C$10:$C$224,$C106,'TL18'!$J$10:$J$224),0),
IF('TL18'!$B$229=Q$3,SUMIF('TL18'!$C$238:$C$451,$C106,'TL18'!$J$238:$J$451),0),
IF('TL19'!$B$3=Q$3,SUMIF('TL19'!$C$10:$C$224,$C106,'TL19'!$J$10:$J$224),0),
IF('TL19'!$B$229=Q$3,SUMIF('TL19'!$C$238:$C$451,$C106,'TL19'!$J$238:$J$451),0)
),0)</f>
        <v/>
      </c>
      <c r="R106" s="9">
        <f>IFERROR(
SUM(
SUMIF('TL01'!C:C,C106,'TL01'!J:J),
SUMIF('TL02'!C:C,C106,'TL02'!J:J),
SUMIF('TL03'!C:C,C106,'TL03'!J:J),
SUMIF('TL04'!C:C,C106,'TL04'!J:J),
SUMIF('TL05'!C:C,C106,'TL05'!J:J),
SUMIF('TL06'!C:C,C106,'TL06'!J:J),
SUMIF('TL07'!C:C,C106,'TL07'!J:J),
SUMIF('TL08'!C:C,C106,'TL08'!J:J),
SUMIF('TL09'!C:C,C106,'TL09'!J:J),
SUMIF('TL10'!C:C,C106,'TL10'!J:J),
SUMIF('TL11'!C:C,C106,'TL11'!J:J),
SUMIF('TL12'!C:C,C106,'TL12'!J:J),
SUMIF('TL13'!C:C,C106,'TL13'!J:J),
SUMIF('TL14'!C:C,C106,'TL14'!J:J),
SUMIF('TL15'!C:C,C106,'TL15'!J:J),
SUMIF('TL16'!C:C,C106,'TL16'!J:J),
SUMIF('TL17'!C:C,C106,'TL17'!J:J),
SUMIF('TL18'!C:C,C106,'TL18'!J:J),SUMIF('TL19'!C:C,C106,'TL19'!J:J))
,0)</f>
        <v/>
      </c>
      <c r="S106" s="17">
        <f>IFERROR(__xludf.DUMMYFUNCTION("IFERROR(VLOOKUP(C106,
IMPORTRANGE(""1wULbzX32WdYsx-lj2U3uUNBBe2INVIRDtcK0d-Dvl90"",
""26-27!C:G""),
5,
FALSE),
"""")"),18.1892)</f>
        <v/>
      </c>
      <c r="T106" s="9" t="n"/>
      <c r="U106" s="92">
        <f>MAX(0,R106-T106)</f>
        <v/>
      </c>
      <c r="V106" s="93">
        <f>U106*S106</f>
        <v/>
      </c>
    </row>
    <row r="107" hidden="1" ht="15.75" customHeight="1" s="297">
      <c r="A107" s="111" t="inlineStr">
        <is>
          <t>ADAMA</t>
        </is>
      </c>
      <c r="B107" s="112" t="inlineStr">
        <is>
          <t>HERBICIDA</t>
        </is>
      </c>
      <c r="C107" s="113" t="inlineStr">
        <is>
          <t>APRESA</t>
        </is>
      </c>
      <c r="D107" s="113" t="inlineStr">
        <is>
          <t>FLUMIOXAZINA + S-METOLACLORO</t>
        </is>
      </c>
      <c r="E107" s="113" t="inlineStr">
        <is>
          <t>42 + 840</t>
        </is>
      </c>
      <c r="F107" s="4" t="inlineStr">
        <is>
          <t>L</t>
        </is>
      </c>
      <c r="G107" s="90">
        <f>HYPERLINK("https://www.google.com/search?q=" &amp; C107 &amp; "+bula+agrofit+pdf", "📄 Ver bula")</f>
        <v/>
      </c>
      <c r="H107" s="9">
        <f>IFERROR(__xludf.DUMMYFUNCTION("IFERROR(VLOOKUP(C107,
IMPORTRANGE(""1wULbzX32WdYsx-lj2U3uUNBBe2INVIRDtcK0d-Dvl90"",
""26-27!C:K""),
8,
FALSE),
"""")"),"")</f>
        <v/>
      </c>
      <c r="I107" s="114" t="inlineStr">
        <is>
          <t>1x20</t>
        </is>
      </c>
      <c r="J107" s="9">
        <f>IFERROR(SUM(
IF('TL01'!$B$3=J$3,SUMIF('TL01'!$C$10:$C$224,$C107,'TL01'!$J$10:$J$224),0),
IF('TL01'!$B$229=J$3,SUMIF('TL01'!$C$238:$C$451,$C107,'TL01'!$J$238:$J$451),0),
IF('TL02'!$B$3=J$3,SUMIF('TL02'!$C$10:$C$224,$C107,'TL02'!$J$10:$J$224),0),
IF('TL02'!$B$229=J$3,SUMIF('TL02'!$C$238:$C$451,$C107,'TL02'!$J$238:$J$451),0),
IF('TL03'!$B$3=J$3,SUMIF('TL03'!$C$10:$C$224,$C107,'TL03'!$J$10:$J$224),0),
IF('TL03'!$B$229=J$3,SUMIF('TL03'!$C$238:$C$451,$C107,'TL03'!$J$238:$J$451),0),
IF('TL04'!$B$3=J$3,SUMIF('TL04'!$C$10:$C$224,$C107,'TL04'!$J$10:$J$224),0),
IF('TL04'!$B$229=J$3,SUMIF('TL04'!$C$238:$C$451,$C107,'TL04'!$J$238:$J$451),0),
IF('TL05'!$B$3=J$3,SUMIF('TL05'!$C$10:$C$224,$C107,'TL05'!$J$10:$J$224),0),
IF('TL05'!$B$229=J$3,SUMIF('TL05'!$C$238:$C$451,$C107,'TL05'!$J$238:$J$451),0),
IF('TL06'!$B$3=J$3,SUMIF('TL06'!$C$10:$C$224,$C107,'TL06'!$J$10:$J$224),0),
IF('TL06'!$B$229=J$3,SUMIF('TL06'!$C$238:$C$451,$C107,'TL06'!$J$238:$J$451),0),
IF('TL07'!$B$3=J$3,SUMIF('TL07'!$C$10:$C$224,$C107,'TL07'!$J$10:$J$224),0),
IF('TL07'!$B$229=J$3,SUMIF('TL07'!$C$238:$C$451,$C107,'TL07'!$J$238:$J$451),0),
IF('TL08'!$B$3=J$3,SUMIF('TL08'!$C$10:$C$224,$C107,'TL08'!$J$10:$J$224),0),
IF('TL08'!$B$229=J$3,SUMIF('TL08'!$C$238:$C$451,$C107,'TL08'!$J$238:$J$451),0),
IF('TL09'!$B$3=J$3,SUMIF('TL09'!$C$10:$C$224,$C107,'TL09'!$J$10:$J$224),0),
IF('TL09'!$B$229=J$3,SUMIF('TL09'!$C$238:$C$451,$C107,'TL09'!$J$238:$J$451),0),
IF('TL10'!$B$3=J$3,SUMIF('TL10'!$C$10:$C$224,$C107,'TL10'!$J$10:$J$224),0),
IF('TL10'!$B$229=J$3,SUMIF('TL10'!$C$238:$C$451,$C107,'TL10'!$J$238:$J$451),0),
IF('TL11'!$B$3=J$3,SUMIF('TL11'!$C$10:$C$224,$C107,'TL11'!$J$10:$J$224),0),
IF('TL11'!$B$229=J$3,SUMIF('TL11'!$C$238:$C$451,$C107,'TL11'!$J$238:$J$451),0),
IF('TL12'!$B$3=J$3,SUMIF('TL12'!$C$10:$C$224,$C107,'TL12'!$J$10:$J$224),0),
IF('TL12'!$B$229=J$3,SUMIF('TL12'!$C$238:$C$451,$C107,'TL12'!$J$238:$J$451),0),
IF('TL13'!$B$3=J$3,SUMIF('TL13'!$C$10:$C$224,$C107,'TL13'!$J$10:$J$224),0),
IF('TL13'!$B$229=J$3,SUMIF('TL13'!$C$238:$C$451,$C107,'TL13'!$J$238:$J$451),0),
IF('TL14'!$B$3=J$3,SUMIF('TL14'!$C$10:$C$224,$C107,'TL14'!$J$10:$J$224),0),
IF('TL14'!$B$229=J$3,SUMIF('TL14'!$C$238:$C$451,$C107,'TL14'!$J$238:$J$451),0),
IF('TL15'!$B$3=J$3,SUMIF('TL15'!$C$10:$C$224,$C107,'TL15'!$J$10:$J$224),0),
IF('TL15'!$B$229=J$3,SUMIF('TL15'!$C$238:$C$451,$C107,'TL15'!$J$238:$J$451),0),
IF('TL16'!$B$3=J$3,SUMIF('TL16'!$C$10:$C$224,$C107,'TL16'!$J$10:$J$224),0),
IF('TL16'!$B$229=J$3,SUMIF('TL16'!$C$238:$C$451,$C107,'TL16'!$J$238:$J$451),0),
IF('TL17'!$B$3=J$3,SUMIF('TL17'!$C$10:$C$224,$C107,'TL17'!$J$10:$J$224),0),
IF('TL17'!$B$229=J$3,SUMIF('TL17'!$C$238:$C$451,$C107,'TL17'!$J$238:$J$451),0),
IF('TL18'!$B$3=J$3,SUMIF('TL18'!$C$10:$C$224,$C107,'TL18'!$J$10:$J$224),0),
IF('TL18'!$B$229=J$3,SUMIF('TL18'!$C$238:$C$451,$C107,'TL18'!$J$238:$J$451),0),
IF('TL19'!$B$3=J$3,SUMIF('TL19'!$C$10:$C$224,$C107,'TL19'!$J$10:$J$224),0),
IF('TL19'!$B$229=J$3,SUMIF('TL19'!$C$238:$C$451,$C107,'TL19'!$J$238:$J$451),0)
),0)</f>
        <v/>
      </c>
      <c r="K107" s="9">
        <f>IFERROR(SUM(
IF('TL01'!$B$3=K$3,SUMIF('TL01'!$C$10:$C$224,$C107,'TL01'!$J$10:$J$224),0),
IF('TL01'!$B$229=K$3,SUMIF('TL01'!$C$238:$C$451,$C107,'TL01'!$J$238:$J$451),0),
IF('TL02'!$B$3=K$3,SUMIF('TL02'!$C$10:$C$224,$C107,'TL02'!$J$10:$J$224),0),
IF('TL02'!$B$229=K$3,SUMIF('TL02'!$C$238:$C$451,$C107,'TL02'!$J$238:$J$451),0),
IF('TL03'!$B$3=K$3,SUMIF('TL03'!$C$10:$C$224,$C107,'TL03'!$J$10:$J$224),0),
IF('TL03'!$B$229=K$3,SUMIF('TL03'!$C$238:$C$451,$C107,'TL03'!$J$238:$J$451),0),
IF('TL04'!$B$3=K$3,SUMIF('TL04'!$C$10:$C$224,$C107,'TL04'!$J$10:$J$224),0),
IF('TL04'!$B$229=K$3,SUMIF('TL04'!$C$238:$C$451,$C107,'TL04'!$J$238:$J$451),0),
IF('TL05'!$B$3=K$3,SUMIF('TL05'!$C$10:$C$224,$C107,'TL05'!$J$10:$J$224),0),
IF('TL05'!$B$229=K$3,SUMIF('TL05'!$C$238:$C$451,$C107,'TL05'!$J$238:$J$451),0),
IF('TL06'!$B$3=K$3,SUMIF('TL06'!$C$10:$C$224,$C107,'TL06'!$J$10:$J$224),0),
IF('TL06'!$B$229=K$3,SUMIF('TL06'!$C$238:$C$451,$C107,'TL06'!$J$238:$J$451),0),
IF('TL07'!$B$3=K$3,SUMIF('TL07'!$C$10:$C$224,$C107,'TL07'!$J$10:$J$224),0),
IF('TL07'!$B$229=K$3,SUMIF('TL07'!$C$238:$C$451,$C107,'TL07'!$J$238:$J$451),0),
IF('TL08'!$B$3=K$3,SUMIF('TL08'!$C$10:$C$224,$C107,'TL08'!$J$10:$J$224),0),
IF('TL08'!$B$229=K$3,SUMIF('TL08'!$C$238:$C$451,$C107,'TL08'!$J$238:$J$451),0),
IF('TL09'!$B$3=K$3,SUMIF('TL09'!$C$10:$C$224,$C107,'TL09'!$J$10:$J$224),0),
IF('TL09'!$B$229=K$3,SUMIF('TL09'!$C$238:$C$451,$C107,'TL09'!$J$238:$J$451),0),
IF('TL10'!$B$3=K$3,SUMIF('TL10'!$C$10:$C$224,$C107,'TL10'!$J$10:$J$224),0),
IF('TL10'!$B$229=K$3,SUMIF('TL10'!$C$238:$C$451,$C107,'TL10'!$J$238:$J$451),0),
IF('TL11'!$B$3=K$3,SUMIF('TL11'!$C$10:$C$224,$C107,'TL11'!$J$10:$J$224),0),
IF('TL11'!$B$229=K$3,SUMIF('TL11'!$C$238:$C$451,$C107,'TL11'!$J$238:$J$451),0),
IF('TL12'!$B$3=K$3,SUMIF('TL12'!$C$10:$C$224,$C107,'TL12'!$J$10:$J$224),0),
IF('TL12'!$B$229=K$3,SUMIF('TL12'!$C$238:$C$451,$C107,'TL12'!$J$238:$J$451),0),
IF('TL13'!$B$3=K$3,SUMIF('TL13'!$C$10:$C$224,$C107,'TL13'!$J$10:$J$224),0),
IF('TL13'!$B$229=K$3,SUMIF('TL13'!$C$238:$C$451,$C107,'TL13'!$J$238:$J$451),0),
IF('TL14'!$B$3=K$3,SUMIF('TL14'!$C$10:$C$224,$C107,'TL14'!$J$10:$J$224),0),
IF('TL14'!$B$229=K$3,SUMIF('TL14'!$C$238:$C$451,$C107,'TL14'!$J$238:$J$451),0),
IF('TL15'!$B$3=K$3,SUMIF('TL15'!$C$10:$C$224,$C107,'TL15'!$J$10:$J$224),0),
IF('TL15'!$B$229=K$3,SUMIF('TL15'!$C$238:$C$451,$C107,'TL15'!$J$238:$J$451),0),
IF('TL16'!$B$3=K$3,SUMIF('TL16'!$C$10:$C$224,$C107,'TL16'!$J$10:$J$224),0),
IF('TL16'!$B$229=K$3,SUMIF('TL16'!$C$238:$C$451,$C107,'TL16'!$J$238:$J$451),0),
IF('TL17'!$B$3=K$3,SUMIF('TL17'!$C$10:$C$224,$C107,'TL17'!$J$10:$J$224),0),
IF('TL17'!$B$229=K$3,SUMIF('TL17'!$C$238:$C$451,$C107,'TL17'!$J$238:$J$451),0),
IF('TL18'!$B$3=K$3,SUMIF('TL18'!$C$10:$C$224,$C107,'TL18'!$J$10:$J$224),0),
IF('TL18'!$B$229=K$3,SUMIF('TL18'!$C$238:$C$451,$C107,'TL18'!$J$238:$J$451),0),
IF('TL19'!$B$3=K$3,SUMIF('TL19'!$C$10:$C$224,$C107,'TL19'!$J$10:$J$224),0),
IF('TL19'!$B$229=K$3,SUMIF('TL19'!$C$238:$C$451,$C107,'TL19'!$J$238:$J$451),0)
),0)</f>
        <v/>
      </c>
      <c r="L107" s="9">
        <f>IFERROR(SUM(
IF('TL01'!$B$3=L$3,SUMIF('TL01'!$C$10:$C$224,$C107,'TL01'!$J$10:$J$224),0),
IF('TL01'!$B$229=L$3,SUMIF('TL01'!$C$238:$C$451,$C107,'TL01'!$J$238:$J$451),0),
IF('TL02'!$B$3=L$3,SUMIF('TL02'!$C$10:$C$224,$C107,'TL02'!$J$10:$J$224),0),
IF('TL02'!$B$229=L$3,SUMIF('TL02'!$C$238:$C$451,$C107,'TL02'!$J$238:$J$451),0),
IF('TL03'!$B$3=L$3,SUMIF('TL03'!$C$10:$C$224,$C107,'TL03'!$J$10:$J$224),0),
IF('TL03'!$B$229=L$3,SUMIF('TL03'!$C$238:$C$451,$C107,'TL03'!$J$238:$J$451),0),
IF('TL04'!$B$3=L$3,SUMIF('TL04'!$C$10:$C$224,$C107,'TL04'!$J$10:$J$224),0),
IF('TL04'!$B$229=L$3,SUMIF('TL04'!$C$238:$C$451,$C107,'TL04'!$J$238:$J$451),0),
IF('TL05'!$B$3=L$3,SUMIF('TL05'!$C$10:$C$224,$C107,'TL05'!$J$10:$J$224),0),
IF('TL05'!$B$229=L$3,SUMIF('TL05'!$C$238:$C$451,$C107,'TL05'!$J$238:$J$451),0),
IF('TL06'!$B$3=L$3,SUMIF('TL06'!$C$10:$C$224,$C107,'TL06'!$J$10:$J$224),0),
IF('TL06'!$B$229=L$3,SUMIF('TL06'!$C$238:$C$451,$C107,'TL06'!$J$238:$J$451),0),
IF('TL07'!$B$3=L$3,SUMIF('TL07'!$C$10:$C$224,$C107,'TL07'!$J$10:$J$224),0),
IF('TL07'!$B$229=L$3,SUMIF('TL07'!$C$238:$C$451,$C107,'TL07'!$J$238:$J$451),0),
IF('TL08'!$B$3=L$3,SUMIF('TL08'!$C$10:$C$224,$C107,'TL08'!$J$10:$J$224),0),
IF('TL08'!$B$229=L$3,SUMIF('TL08'!$C$238:$C$451,$C107,'TL08'!$J$238:$J$451),0),
IF('TL09'!$B$3=L$3,SUMIF('TL09'!$C$10:$C$224,$C107,'TL09'!$J$10:$J$224),0),
IF('TL09'!$B$229=L$3,SUMIF('TL09'!$C$238:$C$451,$C107,'TL09'!$J$238:$J$451),0),
IF('TL10'!$B$3=L$3,SUMIF('TL10'!$C$10:$C$224,$C107,'TL10'!$J$10:$J$224),0),
IF('TL10'!$B$229=L$3,SUMIF('TL10'!$C$238:$C$451,$C107,'TL10'!$J$238:$J$451),0),
IF('TL11'!$B$3=L$3,SUMIF('TL11'!$C$10:$C$224,$C107,'TL11'!$J$10:$J$224),0),
IF('TL11'!$B$229=L$3,SUMIF('TL11'!$C$238:$C$451,$C107,'TL11'!$J$238:$J$451),0),
IF('TL12'!$B$3=L$3,SUMIF('TL12'!$C$10:$C$224,$C107,'TL12'!$J$10:$J$224),0),
IF('TL12'!$B$229=L$3,SUMIF('TL12'!$C$238:$C$451,$C107,'TL12'!$J$238:$J$451),0),
IF('TL13'!$B$3=L$3,SUMIF('TL13'!$C$10:$C$224,$C107,'TL13'!$J$10:$J$224),0),
IF('TL13'!$B$229=L$3,SUMIF('TL13'!$C$238:$C$451,$C107,'TL13'!$J$238:$J$451),0),
IF('TL14'!$B$3=L$3,SUMIF('TL14'!$C$10:$C$224,$C107,'TL14'!$J$10:$J$224),0),
IF('TL14'!$B$229=L$3,SUMIF('TL14'!$C$238:$C$451,$C107,'TL14'!$J$238:$J$451),0),
IF('TL15'!$B$3=L$3,SUMIF('TL15'!$C$10:$C$224,$C107,'TL15'!$J$10:$J$224),0),
IF('TL15'!$B$229=L$3,SUMIF('TL15'!$C$238:$C$451,$C107,'TL15'!$J$238:$J$451),0),
IF('TL16'!$B$3=L$3,SUMIF('TL16'!$C$10:$C$224,$C107,'TL16'!$J$10:$J$224),0),
IF('TL16'!$B$229=L$3,SUMIF('TL16'!$C$238:$C$451,$C107,'TL16'!$J$238:$J$451),0),
IF('TL17'!$B$3=L$3,SUMIF('TL17'!$C$10:$C$224,$C107,'TL17'!$J$10:$J$224),0),
IF('TL17'!$B$229=L$3,SUMIF('TL17'!$C$238:$C$451,$C107,'TL17'!$J$238:$J$451),0),
IF('TL18'!$B$3=L$3,SUMIF('TL18'!$C$10:$C$224,$C107,'TL18'!$J$10:$J$224),0),
IF('TL18'!$B$229=L$3,SUMIF('TL18'!$C$238:$C$451,$C107,'TL18'!$J$238:$J$451),0),
IF('TL19'!$B$3=L$3,SUMIF('TL19'!$C$10:$C$224,$C107,'TL19'!$J$10:$J$224),0),
IF('TL19'!$B$229=L$3,SUMIF('TL19'!$C$238:$C$451,$C107,'TL19'!$J$238:$J$451),0)
),0)</f>
        <v/>
      </c>
      <c r="M107" s="9">
        <f>IFERROR(SUM(
IF('TL01'!$B$3=M$3,SUMIF('TL01'!$C$10:$C$224,$C107,'TL01'!$J$10:$J$224),0),
IF('TL01'!$B$229=M$3,SUMIF('TL01'!$C$238:$C$451,$C107,'TL01'!$J$238:$J$451),0),
IF('TL02'!$B$3=M$3,SUMIF('TL02'!$C$10:$C$224,$C107,'TL02'!$J$10:$J$224),0),
IF('TL02'!$B$229=M$3,SUMIF('TL02'!$C$238:$C$451,$C107,'TL02'!$J$238:$J$451),0),
IF('TL03'!$B$3=M$3,SUMIF('TL03'!$C$10:$C$224,$C107,'TL03'!$J$10:$J$224),0),
IF('TL03'!$B$229=M$3,SUMIF('TL03'!$C$238:$C$451,$C107,'TL03'!$J$238:$J$451),0),
IF('TL04'!$B$3=M$3,SUMIF('TL04'!$C$10:$C$224,$C107,'TL04'!$J$10:$J$224),0),
IF('TL04'!$B$229=M$3,SUMIF('TL04'!$C$238:$C$451,$C107,'TL04'!$J$238:$J$451),0),
IF('TL05'!$B$3=M$3,SUMIF('TL05'!$C$10:$C$224,$C107,'TL05'!$J$10:$J$224),0),
IF('TL05'!$B$229=M$3,SUMIF('TL05'!$C$238:$C$451,$C107,'TL05'!$J$238:$J$451),0),
IF('TL06'!$B$3=M$3,SUMIF('TL06'!$C$10:$C$224,$C107,'TL06'!$J$10:$J$224),0),
IF('TL06'!$B$229=M$3,SUMIF('TL06'!$C$238:$C$451,$C107,'TL06'!$J$238:$J$451),0),
IF('TL07'!$B$3=M$3,SUMIF('TL07'!$C$10:$C$224,$C107,'TL07'!$J$10:$J$224),0),
IF('TL07'!$B$229=M$3,SUMIF('TL07'!$C$238:$C$451,$C107,'TL07'!$J$238:$J$451),0),
IF('TL08'!$B$3=M$3,SUMIF('TL08'!$C$10:$C$224,$C107,'TL08'!$J$10:$J$224),0),
IF('TL08'!$B$229=M$3,SUMIF('TL08'!$C$238:$C$451,$C107,'TL08'!$J$238:$J$451),0),
IF('TL09'!$B$3=M$3,SUMIF('TL09'!$C$10:$C$224,$C107,'TL09'!$J$10:$J$224),0),
IF('TL09'!$B$229=M$3,SUMIF('TL09'!$C$238:$C$451,$C107,'TL09'!$J$238:$J$451),0),
IF('TL10'!$B$3=M$3,SUMIF('TL10'!$C$10:$C$224,$C107,'TL10'!$J$10:$J$224),0),
IF('TL10'!$B$229=M$3,SUMIF('TL10'!$C$238:$C$451,$C107,'TL10'!$J$238:$J$451),0),
IF('TL11'!$B$3=M$3,SUMIF('TL11'!$C$10:$C$224,$C107,'TL11'!$J$10:$J$224),0),
IF('TL11'!$B$229=M$3,SUMIF('TL11'!$C$238:$C$451,$C107,'TL11'!$J$238:$J$451),0),
IF('TL12'!$B$3=M$3,SUMIF('TL12'!$C$10:$C$224,$C107,'TL12'!$J$10:$J$224),0),
IF('TL12'!$B$229=M$3,SUMIF('TL12'!$C$238:$C$451,$C107,'TL12'!$J$238:$J$451),0),
IF('TL13'!$B$3=M$3,SUMIF('TL13'!$C$10:$C$224,$C107,'TL13'!$J$10:$J$224),0),
IF('TL13'!$B$229=M$3,SUMIF('TL13'!$C$238:$C$451,$C107,'TL13'!$J$238:$J$451),0),
IF('TL14'!$B$3=M$3,SUMIF('TL14'!$C$10:$C$224,$C107,'TL14'!$J$10:$J$224),0),
IF('TL14'!$B$229=M$3,SUMIF('TL14'!$C$238:$C$451,$C107,'TL14'!$J$238:$J$451),0),
IF('TL15'!$B$3=M$3,SUMIF('TL15'!$C$10:$C$224,$C107,'TL15'!$J$10:$J$224),0),
IF('TL15'!$B$229=M$3,SUMIF('TL15'!$C$238:$C$451,$C107,'TL15'!$J$238:$J$451),0),
IF('TL16'!$B$3=M$3,SUMIF('TL16'!$C$10:$C$224,$C107,'TL16'!$J$10:$J$224),0),
IF('TL16'!$B$229=M$3,SUMIF('TL16'!$C$238:$C$451,$C107,'TL16'!$J$238:$J$451),0),
IF('TL17'!$B$3=M$3,SUMIF('TL17'!$C$10:$C$224,$C107,'TL17'!$J$10:$J$224),0),
IF('TL17'!$B$229=M$3,SUMIF('TL17'!$C$238:$C$451,$C107,'TL17'!$J$238:$J$451),0),
IF('TL18'!$B$3=M$3,SUMIF('TL18'!$C$10:$C$224,$C107,'TL18'!$J$10:$J$224),0),
IF('TL18'!$B$229=M$3,SUMIF('TL18'!$C$238:$C$451,$C107,'TL18'!$J$238:$J$451),0),
IF('TL19'!$B$3=M$3,SUMIF('TL19'!$C$10:$C$224,$C107,'TL19'!$J$10:$J$224),0),
IF('TL19'!$B$229=M$3,SUMIF('TL19'!$C$238:$C$451,$C107,'TL19'!$J$238:$J$451),0)
),0)</f>
        <v/>
      </c>
      <c r="N107" s="9">
        <f>IFERROR(SUM(
IF('TL01'!$B$3=N$3,SUMIF('TL01'!$C$10:$C$224,$C107,'TL01'!$J$10:$J$224),0),
IF('TL01'!$B$229=N$3,SUMIF('TL01'!$C$238:$C$451,$C107,'TL01'!$J$238:$J$451),0),
IF('TL02'!$B$3=N$3,SUMIF('TL02'!$C$10:$C$224,$C107,'TL02'!$J$10:$J$224),0),
IF('TL02'!$B$229=N$3,SUMIF('TL02'!$C$238:$C$451,$C107,'TL02'!$J$238:$J$451),0),
IF('TL03'!$B$3=N$3,SUMIF('TL03'!$C$10:$C$224,$C107,'TL03'!$J$10:$J$224),0),
IF('TL03'!$B$229=N$3,SUMIF('TL03'!$C$238:$C$451,$C107,'TL03'!$J$238:$J$451),0),
IF('TL04'!$B$3=N$3,SUMIF('TL04'!$C$10:$C$224,$C107,'TL04'!$J$10:$J$224),0),
IF('TL04'!$B$229=N$3,SUMIF('TL04'!$C$238:$C$451,$C107,'TL04'!$J$238:$J$451),0),
IF('TL05'!$B$3=N$3,SUMIF('TL05'!$C$10:$C$224,$C107,'TL05'!$J$10:$J$224),0),
IF('TL05'!$B$229=N$3,SUMIF('TL05'!$C$238:$C$451,$C107,'TL05'!$J$238:$J$451),0),
IF('TL06'!$B$3=N$3,SUMIF('TL06'!$C$10:$C$224,$C107,'TL06'!$J$10:$J$224),0),
IF('TL06'!$B$229=N$3,SUMIF('TL06'!$C$238:$C$451,$C107,'TL06'!$J$238:$J$451),0),
IF('TL07'!$B$3=N$3,SUMIF('TL07'!$C$10:$C$224,$C107,'TL07'!$J$10:$J$224),0),
IF('TL07'!$B$229=N$3,SUMIF('TL07'!$C$238:$C$451,$C107,'TL07'!$J$238:$J$451),0),
IF('TL08'!$B$3=N$3,SUMIF('TL08'!$C$10:$C$224,$C107,'TL08'!$J$10:$J$224),0),
IF('TL08'!$B$229=N$3,SUMIF('TL08'!$C$238:$C$451,$C107,'TL08'!$J$238:$J$451),0),
IF('TL09'!$B$3=N$3,SUMIF('TL09'!$C$10:$C$224,$C107,'TL09'!$J$10:$J$224),0),
IF('TL09'!$B$229=N$3,SUMIF('TL09'!$C$238:$C$451,$C107,'TL09'!$J$238:$J$451),0),
IF('TL10'!$B$3=N$3,SUMIF('TL10'!$C$10:$C$224,$C107,'TL10'!$J$10:$J$224),0),
IF('TL10'!$B$229=N$3,SUMIF('TL10'!$C$238:$C$451,$C107,'TL10'!$J$238:$J$451),0),
IF('TL11'!$B$3=N$3,SUMIF('TL11'!$C$10:$C$224,$C107,'TL11'!$J$10:$J$224),0),
IF('TL11'!$B$229=N$3,SUMIF('TL11'!$C$238:$C$451,$C107,'TL11'!$J$238:$J$451),0),
IF('TL12'!$B$3=N$3,SUMIF('TL12'!$C$10:$C$224,$C107,'TL12'!$J$10:$J$224),0),
IF('TL12'!$B$229=N$3,SUMIF('TL12'!$C$238:$C$451,$C107,'TL12'!$J$238:$J$451),0),
IF('TL13'!$B$3=N$3,SUMIF('TL13'!$C$10:$C$224,$C107,'TL13'!$J$10:$J$224),0),
IF('TL13'!$B$229=N$3,SUMIF('TL13'!$C$238:$C$451,$C107,'TL13'!$J$238:$J$451),0),
IF('TL14'!$B$3=N$3,SUMIF('TL14'!$C$10:$C$224,$C107,'TL14'!$J$10:$J$224),0),
IF('TL14'!$B$229=N$3,SUMIF('TL14'!$C$238:$C$451,$C107,'TL14'!$J$238:$J$451),0),
IF('TL15'!$B$3=N$3,SUMIF('TL15'!$C$10:$C$224,$C107,'TL15'!$J$10:$J$224),0),
IF('TL15'!$B$229=N$3,SUMIF('TL15'!$C$238:$C$451,$C107,'TL15'!$J$238:$J$451),0),
IF('TL16'!$B$3=N$3,SUMIF('TL16'!$C$10:$C$224,$C107,'TL16'!$J$10:$J$224),0),
IF('TL16'!$B$229=N$3,SUMIF('TL16'!$C$238:$C$451,$C107,'TL16'!$J$238:$J$451),0),
IF('TL17'!$B$3=N$3,SUMIF('TL17'!$C$10:$C$224,$C107,'TL17'!$J$10:$J$224),0),
IF('TL17'!$B$229=N$3,SUMIF('TL17'!$C$238:$C$451,$C107,'TL17'!$J$238:$J$451),0),
IF('TL18'!$B$3=N$3,SUMIF('TL18'!$C$10:$C$224,$C107,'TL18'!$J$10:$J$224),0),
IF('TL18'!$B$229=N$3,SUMIF('TL18'!$C$238:$C$451,$C107,'TL18'!$J$238:$J$451),0),
IF('TL19'!$B$3=N$3,SUMIF('TL19'!$C$10:$C$224,$C107,'TL19'!$J$10:$J$224),0),
IF('TL19'!$B$229=N$3,SUMIF('TL19'!$C$238:$C$451,$C107,'TL19'!$J$238:$J$451),0)
),0)</f>
        <v/>
      </c>
      <c r="O107" s="9">
        <f>IFERROR(SUM(
IF('TL01'!$B$3=O$3,SUMIF('TL01'!$C$10:$C$224,$C107,'TL01'!$J$10:$J$224),0),
IF('TL01'!$B$229=O$3,SUMIF('TL01'!$C$238:$C$451,$C107,'TL01'!$J$238:$J$451),0),
IF('TL02'!$B$3=O$3,SUMIF('TL02'!$C$10:$C$224,$C107,'TL02'!$J$10:$J$224),0),
IF('TL02'!$B$229=O$3,SUMIF('TL02'!$C$238:$C$451,$C107,'TL02'!$J$238:$J$451),0),
IF('TL03'!$B$3=O$3,SUMIF('TL03'!$C$10:$C$224,$C107,'TL03'!$J$10:$J$224),0),
IF('TL03'!$B$229=O$3,SUMIF('TL03'!$C$238:$C$451,$C107,'TL03'!$J$238:$J$451),0),
IF('TL04'!$B$3=O$3,SUMIF('TL04'!$C$10:$C$224,$C107,'TL04'!$J$10:$J$224),0),
IF('TL04'!$B$229=O$3,SUMIF('TL04'!$C$238:$C$451,$C107,'TL04'!$J$238:$J$451),0),
IF('TL05'!$B$3=O$3,SUMIF('TL05'!$C$10:$C$224,$C107,'TL05'!$J$10:$J$224),0),
IF('TL05'!$B$229=O$3,SUMIF('TL05'!$C$238:$C$451,$C107,'TL05'!$J$238:$J$451),0),
IF('TL06'!$B$3=O$3,SUMIF('TL06'!$C$10:$C$224,$C107,'TL06'!$J$10:$J$224),0),
IF('TL06'!$B$229=O$3,SUMIF('TL06'!$C$238:$C$451,$C107,'TL06'!$J$238:$J$451),0),
IF('TL07'!$B$3=O$3,SUMIF('TL07'!$C$10:$C$224,$C107,'TL07'!$J$10:$J$224),0),
IF('TL07'!$B$229=O$3,SUMIF('TL07'!$C$238:$C$451,$C107,'TL07'!$J$238:$J$451),0),
IF('TL08'!$B$3=O$3,SUMIF('TL08'!$C$10:$C$224,$C107,'TL08'!$J$10:$J$224),0),
IF('TL08'!$B$229=O$3,SUMIF('TL08'!$C$238:$C$451,$C107,'TL08'!$J$238:$J$451),0),
IF('TL09'!$B$3=O$3,SUMIF('TL09'!$C$10:$C$224,$C107,'TL09'!$J$10:$J$224),0),
IF('TL09'!$B$229=O$3,SUMIF('TL09'!$C$238:$C$451,$C107,'TL09'!$J$238:$J$451),0),
IF('TL10'!$B$3=O$3,SUMIF('TL10'!$C$10:$C$224,$C107,'TL10'!$J$10:$J$224),0),
IF('TL10'!$B$229=O$3,SUMIF('TL10'!$C$238:$C$451,$C107,'TL10'!$J$238:$J$451),0),
IF('TL11'!$B$3=O$3,SUMIF('TL11'!$C$10:$C$224,$C107,'TL11'!$J$10:$J$224),0),
IF('TL11'!$B$229=O$3,SUMIF('TL11'!$C$238:$C$451,$C107,'TL11'!$J$238:$J$451),0),
IF('TL12'!$B$3=O$3,SUMIF('TL12'!$C$10:$C$224,$C107,'TL12'!$J$10:$J$224),0),
IF('TL12'!$B$229=O$3,SUMIF('TL12'!$C$238:$C$451,$C107,'TL12'!$J$238:$J$451),0),
IF('TL13'!$B$3=O$3,SUMIF('TL13'!$C$10:$C$224,$C107,'TL13'!$J$10:$J$224),0),
IF('TL13'!$B$229=O$3,SUMIF('TL13'!$C$238:$C$451,$C107,'TL13'!$J$238:$J$451),0),
IF('TL14'!$B$3=O$3,SUMIF('TL14'!$C$10:$C$224,$C107,'TL14'!$J$10:$J$224),0),
IF('TL14'!$B$229=O$3,SUMIF('TL14'!$C$238:$C$451,$C107,'TL14'!$J$238:$J$451),0),
IF('TL15'!$B$3=O$3,SUMIF('TL15'!$C$10:$C$224,$C107,'TL15'!$J$10:$J$224),0),
IF('TL15'!$B$229=O$3,SUMIF('TL15'!$C$238:$C$451,$C107,'TL15'!$J$238:$J$451),0),
IF('TL16'!$B$3=O$3,SUMIF('TL16'!$C$10:$C$224,$C107,'TL16'!$J$10:$J$224),0),
IF('TL16'!$B$229=O$3,SUMIF('TL16'!$C$238:$C$451,$C107,'TL16'!$J$238:$J$451),0),
IF('TL17'!$B$3=O$3,SUMIF('TL17'!$C$10:$C$224,$C107,'TL17'!$J$10:$J$224),0),
IF('TL17'!$B$229=O$3,SUMIF('TL17'!$C$238:$C$451,$C107,'TL17'!$J$238:$J$451),0),
IF('TL18'!$B$3=O$3,SUMIF('TL18'!$C$10:$C$224,$C107,'TL18'!$J$10:$J$224),0),
IF('TL18'!$B$229=O$3,SUMIF('TL18'!$C$238:$C$451,$C107,'TL18'!$J$238:$J$451),0),
IF('TL19'!$B$3=O$3,SUMIF('TL19'!$C$10:$C$224,$C107,'TL19'!$J$10:$J$224),0),
IF('TL19'!$B$229=O$3,SUMIF('TL19'!$C$238:$C$451,$C107,'TL19'!$J$238:$J$451),0)
),0)</f>
        <v/>
      </c>
      <c r="P107" s="9">
        <f>IFERROR(SUM(
IF('TL01'!$B$3=P$3,SUMIF('TL01'!$C$10:$C$224,$C107,'TL01'!$J$10:$J$224),0),
IF('TL01'!$B$229=P$3,SUMIF('TL01'!$C$238:$C$451,$C107,'TL01'!$J$238:$J$451),0),
IF('TL02'!$B$3=P$3,SUMIF('TL02'!$C$10:$C$224,$C107,'TL02'!$J$10:$J$224),0),
IF('TL02'!$B$229=P$3,SUMIF('TL02'!$C$238:$C$451,$C107,'TL02'!$J$238:$J$451),0),
IF('TL03'!$B$3=P$3,SUMIF('TL03'!$C$10:$C$224,$C107,'TL03'!$J$10:$J$224),0),
IF('TL03'!$B$229=P$3,SUMIF('TL03'!$C$238:$C$451,$C107,'TL03'!$J$238:$J$451),0),
IF('TL04'!$B$3=P$3,SUMIF('TL04'!$C$10:$C$224,$C107,'TL04'!$J$10:$J$224),0),
IF('TL04'!$B$229=P$3,SUMIF('TL04'!$C$238:$C$451,$C107,'TL04'!$J$238:$J$451),0),
IF('TL05'!$B$3=P$3,SUMIF('TL05'!$C$10:$C$224,$C107,'TL05'!$J$10:$J$224),0),
IF('TL05'!$B$229=P$3,SUMIF('TL05'!$C$238:$C$451,$C107,'TL05'!$J$238:$J$451),0),
IF('TL06'!$B$3=P$3,SUMIF('TL06'!$C$10:$C$224,$C107,'TL06'!$J$10:$J$224),0),
IF('TL06'!$B$229=P$3,SUMIF('TL06'!$C$238:$C$451,$C107,'TL06'!$J$238:$J$451),0),
IF('TL07'!$B$3=P$3,SUMIF('TL07'!$C$10:$C$224,$C107,'TL07'!$J$10:$J$224),0),
IF('TL07'!$B$229=P$3,SUMIF('TL07'!$C$238:$C$451,$C107,'TL07'!$J$238:$J$451),0),
IF('TL08'!$B$3=P$3,SUMIF('TL08'!$C$10:$C$224,$C107,'TL08'!$J$10:$J$224),0),
IF('TL08'!$B$229=P$3,SUMIF('TL08'!$C$238:$C$451,$C107,'TL08'!$J$238:$J$451),0),
IF('TL09'!$B$3=P$3,SUMIF('TL09'!$C$10:$C$224,$C107,'TL09'!$J$10:$J$224),0),
IF('TL09'!$B$229=P$3,SUMIF('TL09'!$C$238:$C$451,$C107,'TL09'!$J$238:$J$451),0),
IF('TL10'!$B$3=P$3,SUMIF('TL10'!$C$10:$C$224,$C107,'TL10'!$J$10:$J$224),0),
IF('TL10'!$B$229=P$3,SUMIF('TL10'!$C$238:$C$451,$C107,'TL10'!$J$238:$J$451),0),
IF('TL11'!$B$3=P$3,SUMIF('TL11'!$C$10:$C$224,$C107,'TL11'!$J$10:$J$224),0),
IF('TL11'!$B$229=P$3,SUMIF('TL11'!$C$238:$C$451,$C107,'TL11'!$J$238:$J$451),0),
IF('TL12'!$B$3=P$3,SUMIF('TL12'!$C$10:$C$224,$C107,'TL12'!$J$10:$J$224),0),
IF('TL12'!$B$229=P$3,SUMIF('TL12'!$C$238:$C$451,$C107,'TL12'!$J$238:$J$451),0),
IF('TL13'!$B$3=P$3,SUMIF('TL13'!$C$10:$C$224,$C107,'TL13'!$J$10:$J$224),0),
IF('TL13'!$B$229=P$3,SUMIF('TL13'!$C$238:$C$451,$C107,'TL13'!$J$238:$J$451),0),
IF('TL14'!$B$3=P$3,SUMIF('TL14'!$C$10:$C$224,$C107,'TL14'!$J$10:$J$224),0),
IF('TL14'!$B$229=P$3,SUMIF('TL14'!$C$238:$C$451,$C107,'TL14'!$J$238:$J$451),0),
IF('TL15'!$B$3=P$3,SUMIF('TL15'!$C$10:$C$224,$C107,'TL15'!$J$10:$J$224),0),
IF('TL15'!$B$229=P$3,SUMIF('TL15'!$C$238:$C$451,$C107,'TL15'!$J$238:$J$451),0),
IF('TL16'!$B$3=P$3,SUMIF('TL16'!$C$10:$C$224,$C107,'TL16'!$J$10:$J$224),0),
IF('TL16'!$B$229=P$3,SUMIF('TL16'!$C$238:$C$451,$C107,'TL16'!$J$238:$J$451),0),
IF('TL17'!$B$3=P$3,SUMIF('TL17'!$C$10:$C$224,$C107,'TL17'!$J$10:$J$224),0),
IF('TL17'!$B$229=P$3,SUMIF('TL17'!$C$238:$C$451,$C107,'TL17'!$J$238:$J$451),0),
IF('TL18'!$B$3=P$3,SUMIF('TL18'!$C$10:$C$224,$C107,'TL18'!$J$10:$J$224),0),
IF('TL18'!$B$229=P$3,SUMIF('TL18'!$C$238:$C$451,$C107,'TL18'!$J$238:$J$451),0),
IF('TL19'!$B$3=P$3,SUMIF('TL19'!$C$10:$C$224,$C107,'TL19'!$J$10:$J$224),0),
IF('TL19'!$B$229=P$3,SUMIF('TL19'!$C$238:$C$451,$C107,'TL19'!$J$238:$J$451),0)
),0)</f>
        <v/>
      </c>
      <c r="Q107" s="9">
        <f>IFERROR(SUM(
IF('TL01'!$B$3=Q$3,SUMIF('TL01'!$C$10:$C$224,$C107,'TL01'!$J$10:$J$224),0),
IF('TL01'!$B$229=Q$3,SUMIF('TL01'!$C$238:$C$451,$C107,'TL01'!$J$238:$J$451),0),
IF('TL02'!$B$3=Q$3,SUMIF('TL02'!$C$10:$C$224,$C107,'TL02'!$J$10:$J$224),0),
IF('TL02'!$B$229=Q$3,SUMIF('TL02'!$C$238:$C$451,$C107,'TL02'!$J$238:$J$451),0),
IF('TL03'!$B$3=Q$3,SUMIF('TL03'!$C$10:$C$224,$C107,'TL03'!$J$10:$J$224),0),
IF('TL03'!$B$229=Q$3,SUMIF('TL03'!$C$238:$C$451,$C107,'TL03'!$J$238:$J$451),0),
IF('TL04'!$B$3=Q$3,SUMIF('TL04'!$C$10:$C$224,$C107,'TL04'!$J$10:$J$224),0),
IF('TL04'!$B$229=Q$3,SUMIF('TL04'!$C$238:$C$451,$C107,'TL04'!$J$238:$J$451),0),
IF('TL05'!$B$3=Q$3,SUMIF('TL05'!$C$10:$C$224,$C107,'TL05'!$J$10:$J$224),0),
IF('TL05'!$B$229=Q$3,SUMIF('TL05'!$C$238:$C$451,$C107,'TL05'!$J$238:$J$451),0),
IF('TL06'!$B$3=Q$3,SUMIF('TL06'!$C$10:$C$224,$C107,'TL06'!$J$10:$J$224),0),
IF('TL06'!$B$229=Q$3,SUMIF('TL06'!$C$238:$C$451,$C107,'TL06'!$J$238:$J$451),0),
IF('TL07'!$B$3=Q$3,SUMIF('TL07'!$C$10:$C$224,$C107,'TL07'!$J$10:$J$224),0),
IF('TL07'!$B$229=Q$3,SUMIF('TL07'!$C$238:$C$451,$C107,'TL07'!$J$238:$J$451),0),
IF('TL08'!$B$3=Q$3,SUMIF('TL08'!$C$10:$C$224,$C107,'TL08'!$J$10:$J$224),0),
IF('TL08'!$B$229=Q$3,SUMIF('TL08'!$C$238:$C$451,$C107,'TL08'!$J$238:$J$451),0),
IF('TL09'!$B$3=Q$3,SUMIF('TL09'!$C$10:$C$224,$C107,'TL09'!$J$10:$J$224),0),
IF('TL09'!$B$229=Q$3,SUMIF('TL09'!$C$238:$C$451,$C107,'TL09'!$J$238:$J$451),0),
IF('TL10'!$B$3=Q$3,SUMIF('TL10'!$C$10:$C$224,$C107,'TL10'!$J$10:$J$224),0),
IF('TL10'!$B$229=Q$3,SUMIF('TL10'!$C$238:$C$451,$C107,'TL10'!$J$238:$J$451),0),
IF('TL11'!$B$3=Q$3,SUMIF('TL11'!$C$10:$C$224,$C107,'TL11'!$J$10:$J$224),0),
IF('TL11'!$B$229=Q$3,SUMIF('TL11'!$C$238:$C$451,$C107,'TL11'!$J$238:$J$451),0),
IF('TL12'!$B$3=Q$3,SUMIF('TL12'!$C$10:$C$224,$C107,'TL12'!$J$10:$J$224),0),
IF('TL12'!$B$229=Q$3,SUMIF('TL12'!$C$238:$C$451,$C107,'TL12'!$J$238:$J$451),0),
IF('TL13'!$B$3=Q$3,SUMIF('TL13'!$C$10:$C$224,$C107,'TL13'!$J$10:$J$224),0),
IF('TL13'!$B$229=Q$3,SUMIF('TL13'!$C$238:$C$451,$C107,'TL13'!$J$238:$J$451),0),
IF('TL14'!$B$3=Q$3,SUMIF('TL14'!$C$10:$C$224,$C107,'TL14'!$J$10:$J$224),0),
IF('TL14'!$B$229=Q$3,SUMIF('TL14'!$C$238:$C$451,$C107,'TL14'!$J$238:$J$451),0),
IF('TL15'!$B$3=Q$3,SUMIF('TL15'!$C$10:$C$224,$C107,'TL15'!$J$10:$J$224),0),
IF('TL15'!$B$229=Q$3,SUMIF('TL15'!$C$238:$C$451,$C107,'TL15'!$J$238:$J$451),0),
IF('TL16'!$B$3=Q$3,SUMIF('TL16'!$C$10:$C$224,$C107,'TL16'!$J$10:$J$224),0),
IF('TL16'!$B$229=Q$3,SUMIF('TL16'!$C$238:$C$451,$C107,'TL16'!$J$238:$J$451),0),
IF('TL17'!$B$3=Q$3,SUMIF('TL17'!$C$10:$C$224,$C107,'TL17'!$J$10:$J$224),0),
IF('TL17'!$B$229=Q$3,SUMIF('TL17'!$C$238:$C$451,$C107,'TL17'!$J$238:$J$451),0),
IF('TL18'!$B$3=Q$3,SUMIF('TL18'!$C$10:$C$224,$C107,'TL18'!$J$10:$J$224),0),
IF('TL18'!$B$229=Q$3,SUMIF('TL18'!$C$238:$C$451,$C107,'TL18'!$J$238:$J$451),0),
IF('TL19'!$B$3=Q$3,SUMIF('TL19'!$C$10:$C$224,$C107,'TL19'!$J$10:$J$224),0),
IF('TL19'!$B$229=Q$3,SUMIF('TL19'!$C$238:$C$451,$C107,'TL19'!$J$238:$J$451),0)
),0)</f>
        <v/>
      </c>
      <c r="R107" s="9">
        <f>IFERROR(
SUM(
SUMIF('TL01'!C:C,C107,'TL01'!J:J),
SUMIF('TL02'!C:C,C107,'TL02'!J:J),
SUMIF('TL03'!C:C,C107,'TL03'!J:J),
SUMIF('TL04'!C:C,C107,'TL04'!J:J),
SUMIF('TL05'!C:C,C107,'TL05'!J:J),
SUMIF('TL06'!C:C,C107,'TL06'!J:J),
SUMIF('TL07'!C:C,C107,'TL07'!J:J),
SUMIF('TL08'!C:C,C107,'TL08'!J:J),
SUMIF('TL09'!C:C,C107,'TL09'!J:J),
SUMIF('TL10'!C:C,C107,'TL10'!J:J),
SUMIF('TL11'!C:C,C107,'TL11'!J:J),
SUMIF('TL12'!C:C,C107,'TL12'!J:J),
SUMIF('TL13'!C:C,C107,'TL13'!J:J),
SUMIF('TL14'!C:C,C107,'TL14'!J:J),
SUMIF('TL15'!C:C,C107,'TL15'!J:J),
SUMIF('TL16'!C:C,C107,'TL16'!J:J),
SUMIF('TL17'!C:C,C107,'TL17'!J:J),
SUMIF('TL18'!C:C,C107,'TL18'!J:J),SUMIF('TL19'!C:C,C107,'TL19'!J:J))
,0)</f>
        <v/>
      </c>
      <c r="S107" s="17">
        <f>IFERROR(__xludf.DUMMYFUNCTION("IFERROR(VLOOKUP(C107,
IMPORTRANGE(""1wULbzX32WdYsx-lj2U3uUNBBe2INVIRDtcK0d-Dvl90"",
""26-27!C:G""),
5,
FALSE),
"""")"),54.887139999999995)</f>
        <v/>
      </c>
      <c r="T107" s="9" t="n"/>
      <c r="U107" s="92">
        <f>MAX(0,R107-T107)</f>
        <v/>
      </c>
      <c r="V107" s="93">
        <f>U107*S107</f>
        <v/>
      </c>
    </row>
    <row r="108" hidden="1" ht="15.75" customHeight="1" s="297">
      <c r="A108" s="115" t="inlineStr">
        <is>
          <t>ADAMA</t>
        </is>
      </c>
      <c r="B108" s="100" t="inlineStr">
        <is>
          <t>HERBICIDA</t>
        </is>
      </c>
      <c r="C108" s="116" t="inlineStr">
        <is>
          <t>ARADDO</t>
        </is>
      </c>
      <c r="D108" s="116" t="inlineStr">
        <is>
          <t>CLETODIM + FLUROXIPIR-MEPTÍLICO</t>
        </is>
      </c>
      <c r="E108" s="116" t="inlineStr">
        <is>
          <t>140 + 288</t>
        </is>
      </c>
      <c r="F108" s="4" t="inlineStr">
        <is>
          <t>L</t>
        </is>
      </c>
      <c r="G108" s="90">
        <f>HYPERLINK("https://www.google.com/search?q=" &amp; C108 &amp; "+bula+agrofit+pdf", "📄 Ver bula")</f>
        <v/>
      </c>
      <c r="H108" s="9">
        <f>IFERROR(__xludf.DUMMYFUNCTION("IFERROR(VLOOKUP(C108,
IMPORTRANGE(""1wULbzX32WdYsx-lj2U3uUNBBe2INVIRDtcK0d-Dvl90"",
""26-27!C:K""),
8,
FALSE),
"""")"),1.0)</f>
        <v/>
      </c>
      <c r="I108" s="117" t="inlineStr">
        <is>
          <t>1x20</t>
        </is>
      </c>
      <c r="J108" s="9">
        <f>IFERROR(SUM(
IF('TL01'!$B$3=J$3,SUMIF('TL01'!$C$10:$C$224,$C108,'TL01'!$J$10:$J$224),0),
IF('TL01'!$B$229=J$3,SUMIF('TL01'!$C$238:$C$451,$C108,'TL01'!$J$238:$J$451),0),
IF('TL02'!$B$3=J$3,SUMIF('TL02'!$C$10:$C$224,$C108,'TL02'!$J$10:$J$224),0),
IF('TL02'!$B$229=J$3,SUMIF('TL02'!$C$238:$C$451,$C108,'TL02'!$J$238:$J$451),0),
IF('TL03'!$B$3=J$3,SUMIF('TL03'!$C$10:$C$224,$C108,'TL03'!$J$10:$J$224),0),
IF('TL03'!$B$229=J$3,SUMIF('TL03'!$C$238:$C$451,$C108,'TL03'!$J$238:$J$451),0),
IF('TL04'!$B$3=J$3,SUMIF('TL04'!$C$10:$C$224,$C108,'TL04'!$J$10:$J$224),0),
IF('TL04'!$B$229=J$3,SUMIF('TL04'!$C$238:$C$451,$C108,'TL04'!$J$238:$J$451),0),
IF('TL05'!$B$3=J$3,SUMIF('TL05'!$C$10:$C$224,$C108,'TL05'!$J$10:$J$224),0),
IF('TL05'!$B$229=J$3,SUMIF('TL05'!$C$238:$C$451,$C108,'TL05'!$J$238:$J$451),0),
IF('TL06'!$B$3=J$3,SUMIF('TL06'!$C$10:$C$224,$C108,'TL06'!$J$10:$J$224),0),
IF('TL06'!$B$229=J$3,SUMIF('TL06'!$C$238:$C$451,$C108,'TL06'!$J$238:$J$451),0),
IF('TL07'!$B$3=J$3,SUMIF('TL07'!$C$10:$C$224,$C108,'TL07'!$J$10:$J$224),0),
IF('TL07'!$B$229=J$3,SUMIF('TL07'!$C$238:$C$451,$C108,'TL07'!$J$238:$J$451),0),
IF('TL08'!$B$3=J$3,SUMIF('TL08'!$C$10:$C$224,$C108,'TL08'!$J$10:$J$224),0),
IF('TL08'!$B$229=J$3,SUMIF('TL08'!$C$238:$C$451,$C108,'TL08'!$J$238:$J$451),0),
IF('TL09'!$B$3=J$3,SUMIF('TL09'!$C$10:$C$224,$C108,'TL09'!$J$10:$J$224),0),
IF('TL09'!$B$229=J$3,SUMIF('TL09'!$C$238:$C$451,$C108,'TL09'!$J$238:$J$451),0),
IF('TL10'!$B$3=J$3,SUMIF('TL10'!$C$10:$C$224,$C108,'TL10'!$J$10:$J$224),0),
IF('TL10'!$B$229=J$3,SUMIF('TL10'!$C$238:$C$451,$C108,'TL10'!$J$238:$J$451),0),
IF('TL11'!$B$3=J$3,SUMIF('TL11'!$C$10:$C$224,$C108,'TL11'!$J$10:$J$224),0),
IF('TL11'!$B$229=J$3,SUMIF('TL11'!$C$238:$C$451,$C108,'TL11'!$J$238:$J$451),0),
IF('TL12'!$B$3=J$3,SUMIF('TL12'!$C$10:$C$224,$C108,'TL12'!$J$10:$J$224),0),
IF('TL12'!$B$229=J$3,SUMIF('TL12'!$C$238:$C$451,$C108,'TL12'!$J$238:$J$451),0),
IF('TL13'!$B$3=J$3,SUMIF('TL13'!$C$10:$C$224,$C108,'TL13'!$J$10:$J$224),0),
IF('TL13'!$B$229=J$3,SUMIF('TL13'!$C$238:$C$451,$C108,'TL13'!$J$238:$J$451),0),
IF('TL14'!$B$3=J$3,SUMIF('TL14'!$C$10:$C$224,$C108,'TL14'!$J$10:$J$224),0),
IF('TL14'!$B$229=J$3,SUMIF('TL14'!$C$238:$C$451,$C108,'TL14'!$J$238:$J$451),0),
IF('TL15'!$B$3=J$3,SUMIF('TL15'!$C$10:$C$224,$C108,'TL15'!$J$10:$J$224),0),
IF('TL15'!$B$229=J$3,SUMIF('TL15'!$C$238:$C$451,$C108,'TL15'!$J$238:$J$451),0),
IF('TL16'!$B$3=J$3,SUMIF('TL16'!$C$10:$C$224,$C108,'TL16'!$J$10:$J$224),0),
IF('TL16'!$B$229=J$3,SUMIF('TL16'!$C$238:$C$451,$C108,'TL16'!$J$238:$J$451),0),
IF('TL17'!$B$3=J$3,SUMIF('TL17'!$C$10:$C$224,$C108,'TL17'!$J$10:$J$224),0),
IF('TL17'!$B$229=J$3,SUMIF('TL17'!$C$238:$C$451,$C108,'TL17'!$J$238:$J$451),0),
IF('TL18'!$B$3=J$3,SUMIF('TL18'!$C$10:$C$224,$C108,'TL18'!$J$10:$J$224),0),
IF('TL18'!$B$229=J$3,SUMIF('TL18'!$C$238:$C$451,$C108,'TL18'!$J$238:$J$451),0),
IF('TL19'!$B$3=J$3,SUMIF('TL19'!$C$10:$C$224,$C108,'TL19'!$J$10:$J$224),0),
IF('TL19'!$B$229=J$3,SUMIF('TL19'!$C$238:$C$451,$C108,'TL19'!$J$238:$J$451),0)
),0)</f>
        <v/>
      </c>
      <c r="K108" s="9">
        <f>IFERROR(SUM(
IF('TL01'!$B$3=K$3,SUMIF('TL01'!$C$10:$C$224,$C108,'TL01'!$J$10:$J$224),0),
IF('TL01'!$B$229=K$3,SUMIF('TL01'!$C$238:$C$451,$C108,'TL01'!$J$238:$J$451),0),
IF('TL02'!$B$3=K$3,SUMIF('TL02'!$C$10:$C$224,$C108,'TL02'!$J$10:$J$224),0),
IF('TL02'!$B$229=K$3,SUMIF('TL02'!$C$238:$C$451,$C108,'TL02'!$J$238:$J$451),0),
IF('TL03'!$B$3=K$3,SUMIF('TL03'!$C$10:$C$224,$C108,'TL03'!$J$10:$J$224),0),
IF('TL03'!$B$229=K$3,SUMIF('TL03'!$C$238:$C$451,$C108,'TL03'!$J$238:$J$451),0),
IF('TL04'!$B$3=K$3,SUMIF('TL04'!$C$10:$C$224,$C108,'TL04'!$J$10:$J$224),0),
IF('TL04'!$B$229=K$3,SUMIF('TL04'!$C$238:$C$451,$C108,'TL04'!$J$238:$J$451),0),
IF('TL05'!$B$3=K$3,SUMIF('TL05'!$C$10:$C$224,$C108,'TL05'!$J$10:$J$224),0),
IF('TL05'!$B$229=K$3,SUMIF('TL05'!$C$238:$C$451,$C108,'TL05'!$J$238:$J$451),0),
IF('TL06'!$B$3=K$3,SUMIF('TL06'!$C$10:$C$224,$C108,'TL06'!$J$10:$J$224),0),
IF('TL06'!$B$229=K$3,SUMIF('TL06'!$C$238:$C$451,$C108,'TL06'!$J$238:$J$451),0),
IF('TL07'!$B$3=K$3,SUMIF('TL07'!$C$10:$C$224,$C108,'TL07'!$J$10:$J$224),0),
IF('TL07'!$B$229=K$3,SUMIF('TL07'!$C$238:$C$451,$C108,'TL07'!$J$238:$J$451),0),
IF('TL08'!$B$3=K$3,SUMIF('TL08'!$C$10:$C$224,$C108,'TL08'!$J$10:$J$224),0),
IF('TL08'!$B$229=K$3,SUMIF('TL08'!$C$238:$C$451,$C108,'TL08'!$J$238:$J$451),0),
IF('TL09'!$B$3=K$3,SUMIF('TL09'!$C$10:$C$224,$C108,'TL09'!$J$10:$J$224),0),
IF('TL09'!$B$229=K$3,SUMIF('TL09'!$C$238:$C$451,$C108,'TL09'!$J$238:$J$451),0),
IF('TL10'!$B$3=K$3,SUMIF('TL10'!$C$10:$C$224,$C108,'TL10'!$J$10:$J$224),0),
IF('TL10'!$B$229=K$3,SUMIF('TL10'!$C$238:$C$451,$C108,'TL10'!$J$238:$J$451),0),
IF('TL11'!$B$3=K$3,SUMIF('TL11'!$C$10:$C$224,$C108,'TL11'!$J$10:$J$224),0),
IF('TL11'!$B$229=K$3,SUMIF('TL11'!$C$238:$C$451,$C108,'TL11'!$J$238:$J$451),0),
IF('TL12'!$B$3=K$3,SUMIF('TL12'!$C$10:$C$224,$C108,'TL12'!$J$10:$J$224),0),
IF('TL12'!$B$229=K$3,SUMIF('TL12'!$C$238:$C$451,$C108,'TL12'!$J$238:$J$451),0),
IF('TL13'!$B$3=K$3,SUMIF('TL13'!$C$10:$C$224,$C108,'TL13'!$J$10:$J$224),0),
IF('TL13'!$B$229=K$3,SUMIF('TL13'!$C$238:$C$451,$C108,'TL13'!$J$238:$J$451),0),
IF('TL14'!$B$3=K$3,SUMIF('TL14'!$C$10:$C$224,$C108,'TL14'!$J$10:$J$224),0),
IF('TL14'!$B$229=K$3,SUMIF('TL14'!$C$238:$C$451,$C108,'TL14'!$J$238:$J$451),0),
IF('TL15'!$B$3=K$3,SUMIF('TL15'!$C$10:$C$224,$C108,'TL15'!$J$10:$J$224),0),
IF('TL15'!$B$229=K$3,SUMIF('TL15'!$C$238:$C$451,$C108,'TL15'!$J$238:$J$451),0),
IF('TL16'!$B$3=K$3,SUMIF('TL16'!$C$10:$C$224,$C108,'TL16'!$J$10:$J$224),0),
IF('TL16'!$B$229=K$3,SUMIF('TL16'!$C$238:$C$451,$C108,'TL16'!$J$238:$J$451),0),
IF('TL17'!$B$3=K$3,SUMIF('TL17'!$C$10:$C$224,$C108,'TL17'!$J$10:$J$224),0),
IF('TL17'!$B$229=K$3,SUMIF('TL17'!$C$238:$C$451,$C108,'TL17'!$J$238:$J$451),0),
IF('TL18'!$B$3=K$3,SUMIF('TL18'!$C$10:$C$224,$C108,'TL18'!$J$10:$J$224),0),
IF('TL18'!$B$229=K$3,SUMIF('TL18'!$C$238:$C$451,$C108,'TL18'!$J$238:$J$451),0),
IF('TL19'!$B$3=K$3,SUMIF('TL19'!$C$10:$C$224,$C108,'TL19'!$J$10:$J$224),0),
IF('TL19'!$B$229=K$3,SUMIF('TL19'!$C$238:$C$451,$C108,'TL19'!$J$238:$J$451),0)
),0)</f>
        <v/>
      </c>
      <c r="L108" s="9">
        <f>IFERROR(SUM(
IF('TL01'!$B$3=L$3,SUMIF('TL01'!$C$10:$C$224,$C108,'TL01'!$J$10:$J$224),0),
IF('TL01'!$B$229=L$3,SUMIF('TL01'!$C$238:$C$451,$C108,'TL01'!$J$238:$J$451),0),
IF('TL02'!$B$3=L$3,SUMIF('TL02'!$C$10:$C$224,$C108,'TL02'!$J$10:$J$224),0),
IF('TL02'!$B$229=L$3,SUMIF('TL02'!$C$238:$C$451,$C108,'TL02'!$J$238:$J$451),0),
IF('TL03'!$B$3=L$3,SUMIF('TL03'!$C$10:$C$224,$C108,'TL03'!$J$10:$J$224),0),
IF('TL03'!$B$229=L$3,SUMIF('TL03'!$C$238:$C$451,$C108,'TL03'!$J$238:$J$451),0),
IF('TL04'!$B$3=L$3,SUMIF('TL04'!$C$10:$C$224,$C108,'TL04'!$J$10:$J$224),0),
IF('TL04'!$B$229=L$3,SUMIF('TL04'!$C$238:$C$451,$C108,'TL04'!$J$238:$J$451),0),
IF('TL05'!$B$3=L$3,SUMIF('TL05'!$C$10:$C$224,$C108,'TL05'!$J$10:$J$224),0),
IF('TL05'!$B$229=L$3,SUMIF('TL05'!$C$238:$C$451,$C108,'TL05'!$J$238:$J$451),0),
IF('TL06'!$B$3=L$3,SUMIF('TL06'!$C$10:$C$224,$C108,'TL06'!$J$10:$J$224),0),
IF('TL06'!$B$229=L$3,SUMIF('TL06'!$C$238:$C$451,$C108,'TL06'!$J$238:$J$451),0),
IF('TL07'!$B$3=L$3,SUMIF('TL07'!$C$10:$C$224,$C108,'TL07'!$J$10:$J$224),0),
IF('TL07'!$B$229=L$3,SUMIF('TL07'!$C$238:$C$451,$C108,'TL07'!$J$238:$J$451),0),
IF('TL08'!$B$3=L$3,SUMIF('TL08'!$C$10:$C$224,$C108,'TL08'!$J$10:$J$224),0),
IF('TL08'!$B$229=L$3,SUMIF('TL08'!$C$238:$C$451,$C108,'TL08'!$J$238:$J$451),0),
IF('TL09'!$B$3=L$3,SUMIF('TL09'!$C$10:$C$224,$C108,'TL09'!$J$10:$J$224),0),
IF('TL09'!$B$229=L$3,SUMIF('TL09'!$C$238:$C$451,$C108,'TL09'!$J$238:$J$451),0),
IF('TL10'!$B$3=L$3,SUMIF('TL10'!$C$10:$C$224,$C108,'TL10'!$J$10:$J$224),0),
IF('TL10'!$B$229=L$3,SUMIF('TL10'!$C$238:$C$451,$C108,'TL10'!$J$238:$J$451),0),
IF('TL11'!$B$3=L$3,SUMIF('TL11'!$C$10:$C$224,$C108,'TL11'!$J$10:$J$224),0),
IF('TL11'!$B$229=L$3,SUMIF('TL11'!$C$238:$C$451,$C108,'TL11'!$J$238:$J$451),0),
IF('TL12'!$B$3=L$3,SUMIF('TL12'!$C$10:$C$224,$C108,'TL12'!$J$10:$J$224),0),
IF('TL12'!$B$229=L$3,SUMIF('TL12'!$C$238:$C$451,$C108,'TL12'!$J$238:$J$451),0),
IF('TL13'!$B$3=L$3,SUMIF('TL13'!$C$10:$C$224,$C108,'TL13'!$J$10:$J$224),0),
IF('TL13'!$B$229=L$3,SUMIF('TL13'!$C$238:$C$451,$C108,'TL13'!$J$238:$J$451),0),
IF('TL14'!$B$3=L$3,SUMIF('TL14'!$C$10:$C$224,$C108,'TL14'!$J$10:$J$224),0),
IF('TL14'!$B$229=L$3,SUMIF('TL14'!$C$238:$C$451,$C108,'TL14'!$J$238:$J$451),0),
IF('TL15'!$B$3=L$3,SUMIF('TL15'!$C$10:$C$224,$C108,'TL15'!$J$10:$J$224),0),
IF('TL15'!$B$229=L$3,SUMIF('TL15'!$C$238:$C$451,$C108,'TL15'!$J$238:$J$451),0),
IF('TL16'!$B$3=L$3,SUMIF('TL16'!$C$10:$C$224,$C108,'TL16'!$J$10:$J$224),0),
IF('TL16'!$B$229=L$3,SUMIF('TL16'!$C$238:$C$451,$C108,'TL16'!$J$238:$J$451),0),
IF('TL17'!$B$3=L$3,SUMIF('TL17'!$C$10:$C$224,$C108,'TL17'!$J$10:$J$224),0),
IF('TL17'!$B$229=L$3,SUMIF('TL17'!$C$238:$C$451,$C108,'TL17'!$J$238:$J$451),0),
IF('TL18'!$B$3=L$3,SUMIF('TL18'!$C$10:$C$224,$C108,'TL18'!$J$10:$J$224),0),
IF('TL18'!$B$229=L$3,SUMIF('TL18'!$C$238:$C$451,$C108,'TL18'!$J$238:$J$451),0),
IF('TL19'!$B$3=L$3,SUMIF('TL19'!$C$10:$C$224,$C108,'TL19'!$J$10:$J$224),0),
IF('TL19'!$B$229=L$3,SUMIF('TL19'!$C$238:$C$451,$C108,'TL19'!$J$238:$J$451),0)
),0)</f>
        <v/>
      </c>
      <c r="M108" s="9">
        <f>IFERROR(SUM(
IF('TL01'!$B$3=M$3,SUMIF('TL01'!$C$10:$C$224,$C108,'TL01'!$J$10:$J$224),0),
IF('TL01'!$B$229=M$3,SUMIF('TL01'!$C$238:$C$451,$C108,'TL01'!$J$238:$J$451),0),
IF('TL02'!$B$3=M$3,SUMIF('TL02'!$C$10:$C$224,$C108,'TL02'!$J$10:$J$224),0),
IF('TL02'!$B$229=M$3,SUMIF('TL02'!$C$238:$C$451,$C108,'TL02'!$J$238:$J$451),0),
IF('TL03'!$B$3=M$3,SUMIF('TL03'!$C$10:$C$224,$C108,'TL03'!$J$10:$J$224),0),
IF('TL03'!$B$229=M$3,SUMIF('TL03'!$C$238:$C$451,$C108,'TL03'!$J$238:$J$451),0),
IF('TL04'!$B$3=M$3,SUMIF('TL04'!$C$10:$C$224,$C108,'TL04'!$J$10:$J$224),0),
IF('TL04'!$B$229=M$3,SUMIF('TL04'!$C$238:$C$451,$C108,'TL04'!$J$238:$J$451),0),
IF('TL05'!$B$3=M$3,SUMIF('TL05'!$C$10:$C$224,$C108,'TL05'!$J$10:$J$224),0),
IF('TL05'!$B$229=M$3,SUMIF('TL05'!$C$238:$C$451,$C108,'TL05'!$J$238:$J$451),0),
IF('TL06'!$B$3=M$3,SUMIF('TL06'!$C$10:$C$224,$C108,'TL06'!$J$10:$J$224),0),
IF('TL06'!$B$229=M$3,SUMIF('TL06'!$C$238:$C$451,$C108,'TL06'!$J$238:$J$451),0),
IF('TL07'!$B$3=M$3,SUMIF('TL07'!$C$10:$C$224,$C108,'TL07'!$J$10:$J$224),0),
IF('TL07'!$B$229=M$3,SUMIF('TL07'!$C$238:$C$451,$C108,'TL07'!$J$238:$J$451),0),
IF('TL08'!$B$3=M$3,SUMIF('TL08'!$C$10:$C$224,$C108,'TL08'!$J$10:$J$224),0),
IF('TL08'!$B$229=M$3,SUMIF('TL08'!$C$238:$C$451,$C108,'TL08'!$J$238:$J$451),0),
IF('TL09'!$B$3=M$3,SUMIF('TL09'!$C$10:$C$224,$C108,'TL09'!$J$10:$J$224),0),
IF('TL09'!$B$229=M$3,SUMIF('TL09'!$C$238:$C$451,$C108,'TL09'!$J$238:$J$451),0),
IF('TL10'!$B$3=M$3,SUMIF('TL10'!$C$10:$C$224,$C108,'TL10'!$J$10:$J$224),0),
IF('TL10'!$B$229=M$3,SUMIF('TL10'!$C$238:$C$451,$C108,'TL10'!$J$238:$J$451),0),
IF('TL11'!$B$3=M$3,SUMIF('TL11'!$C$10:$C$224,$C108,'TL11'!$J$10:$J$224),0),
IF('TL11'!$B$229=M$3,SUMIF('TL11'!$C$238:$C$451,$C108,'TL11'!$J$238:$J$451),0),
IF('TL12'!$B$3=M$3,SUMIF('TL12'!$C$10:$C$224,$C108,'TL12'!$J$10:$J$224),0),
IF('TL12'!$B$229=M$3,SUMIF('TL12'!$C$238:$C$451,$C108,'TL12'!$J$238:$J$451),0),
IF('TL13'!$B$3=M$3,SUMIF('TL13'!$C$10:$C$224,$C108,'TL13'!$J$10:$J$224),0),
IF('TL13'!$B$229=M$3,SUMIF('TL13'!$C$238:$C$451,$C108,'TL13'!$J$238:$J$451),0),
IF('TL14'!$B$3=M$3,SUMIF('TL14'!$C$10:$C$224,$C108,'TL14'!$J$10:$J$224),0),
IF('TL14'!$B$229=M$3,SUMIF('TL14'!$C$238:$C$451,$C108,'TL14'!$J$238:$J$451),0),
IF('TL15'!$B$3=M$3,SUMIF('TL15'!$C$10:$C$224,$C108,'TL15'!$J$10:$J$224),0),
IF('TL15'!$B$229=M$3,SUMIF('TL15'!$C$238:$C$451,$C108,'TL15'!$J$238:$J$451),0),
IF('TL16'!$B$3=M$3,SUMIF('TL16'!$C$10:$C$224,$C108,'TL16'!$J$10:$J$224),0),
IF('TL16'!$B$229=M$3,SUMIF('TL16'!$C$238:$C$451,$C108,'TL16'!$J$238:$J$451),0),
IF('TL17'!$B$3=M$3,SUMIF('TL17'!$C$10:$C$224,$C108,'TL17'!$J$10:$J$224),0),
IF('TL17'!$B$229=M$3,SUMIF('TL17'!$C$238:$C$451,$C108,'TL17'!$J$238:$J$451),0),
IF('TL18'!$B$3=M$3,SUMIF('TL18'!$C$10:$C$224,$C108,'TL18'!$J$10:$J$224),0),
IF('TL18'!$B$229=M$3,SUMIF('TL18'!$C$238:$C$451,$C108,'TL18'!$J$238:$J$451),0),
IF('TL19'!$B$3=M$3,SUMIF('TL19'!$C$10:$C$224,$C108,'TL19'!$J$10:$J$224),0),
IF('TL19'!$B$229=M$3,SUMIF('TL19'!$C$238:$C$451,$C108,'TL19'!$J$238:$J$451),0)
),0)</f>
        <v/>
      </c>
      <c r="N108" s="9">
        <f>IFERROR(SUM(
IF('TL01'!$B$3=N$3,SUMIF('TL01'!$C$10:$C$224,$C108,'TL01'!$J$10:$J$224),0),
IF('TL01'!$B$229=N$3,SUMIF('TL01'!$C$238:$C$451,$C108,'TL01'!$J$238:$J$451),0),
IF('TL02'!$B$3=N$3,SUMIF('TL02'!$C$10:$C$224,$C108,'TL02'!$J$10:$J$224),0),
IF('TL02'!$B$229=N$3,SUMIF('TL02'!$C$238:$C$451,$C108,'TL02'!$J$238:$J$451),0),
IF('TL03'!$B$3=N$3,SUMIF('TL03'!$C$10:$C$224,$C108,'TL03'!$J$10:$J$224),0),
IF('TL03'!$B$229=N$3,SUMIF('TL03'!$C$238:$C$451,$C108,'TL03'!$J$238:$J$451),0),
IF('TL04'!$B$3=N$3,SUMIF('TL04'!$C$10:$C$224,$C108,'TL04'!$J$10:$J$224),0),
IF('TL04'!$B$229=N$3,SUMIF('TL04'!$C$238:$C$451,$C108,'TL04'!$J$238:$J$451),0),
IF('TL05'!$B$3=N$3,SUMIF('TL05'!$C$10:$C$224,$C108,'TL05'!$J$10:$J$224),0),
IF('TL05'!$B$229=N$3,SUMIF('TL05'!$C$238:$C$451,$C108,'TL05'!$J$238:$J$451),0),
IF('TL06'!$B$3=N$3,SUMIF('TL06'!$C$10:$C$224,$C108,'TL06'!$J$10:$J$224),0),
IF('TL06'!$B$229=N$3,SUMIF('TL06'!$C$238:$C$451,$C108,'TL06'!$J$238:$J$451),0),
IF('TL07'!$B$3=N$3,SUMIF('TL07'!$C$10:$C$224,$C108,'TL07'!$J$10:$J$224),0),
IF('TL07'!$B$229=N$3,SUMIF('TL07'!$C$238:$C$451,$C108,'TL07'!$J$238:$J$451),0),
IF('TL08'!$B$3=N$3,SUMIF('TL08'!$C$10:$C$224,$C108,'TL08'!$J$10:$J$224),0),
IF('TL08'!$B$229=N$3,SUMIF('TL08'!$C$238:$C$451,$C108,'TL08'!$J$238:$J$451),0),
IF('TL09'!$B$3=N$3,SUMIF('TL09'!$C$10:$C$224,$C108,'TL09'!$J$10:$J$224),0),
IF('TL09'!$B$229=N$3,SUMIF('TL09'!$C$238:$C$451,$C108,'TL09'!$J$238:$J$451),0),
IF('TL10'!$B$3=N$3,SUMIF('TL10'!$C$10:$C$224,$C108,'TL10'!$J$10:$J$224),0),
IF('TL10'!$B$229=N$3,SUMIF('TL10'!$C$238:$C$451,$C108,'TL10'!$J$238:$J$451),0),
IF('TL11'!$B$3=N$3,SUMIF('TL11'!$C$10:$C$224,$C108,'TL11'!$J$10:$J$224),0),
IF('TL11'!$B$229=N$3,SUMIF('TL11'!$C$238:$C$451,$C108,'TL11'!$J$238:$J$451),0),
IF('TL12'!$B$3=N$3,SUMIF('TL12'!$C$10:$C$224,$C108,'TL12'!$J$10:$J$224),0),
IF('TL12'!$B$229=N$3,SUMIF('TL12'!$C$238:$C$451,$C108,'TL12'!$J$238:$J$451),0),
IF('TL13'!$B$3=N$3,SUMIF('TL13'!$C$10:$C$224,$C108,'TL13'!$J$10:$J$224),0),
IF('TL13'!$B$229=N$3,SUMIF('TL13'!$C$238:$C$451,$C108,'TL13'!$J$238:$J$451),0),
IF('TL14'!$B$3=N$3,SUMIF('TL14'!$C$10:$C$224,$C108,'TL14'!$J$10:$J$224),0),
IF('TL14'!$B$229=N$3,SUMIF('TL14'!$C$238:$C$451,$C108,'TL14'!$J$238:$J$451),0),
IF('TL15'!$B$3=N$3,SUMIF('TL15'!$C$10:$C$224,$C108,'TL15'!$J$10:$J$224),0),
IF('TL15'!$B$229=N$3,SUMIF('TL15'!$C$238:$C$451,$C108,'TL15'!$J$238:$J$451),0),
IF('TL16'!$B$3=N$3,SUMIF('TL16'!$C$10:$C$224,$C108,'TL16'!$J$10:$J$224),0),
IF('TL16'!$B$229=N$3,SUMIF('TL16'!$C$238:$C$451,$C108,'TL16'!$J$238:$J$451),0),
IF('TL17'!$B$3=N$3,SUMIF('TL17'!$C$10:$C$224,$C108,'TL17'!$J$10:$J$224),0),
IF('TL17'!$B$229=N$3,SUMIF('TL17'!$C$238:$C$451,$C108,'TL17'!$J$238:$J$451),0),
IF('TL18'!$B$3=N$3,SUMIF('TL18'!$C$10:$C$224,$C108,'TL18'!$J$10:$J$224),0),
IF('TL18'!$B$229=N$3,SUMIF('TL18'!$C$238:$C$451,$C108,'TL18'!$J$238:$J$451),0),
IF('TL19'!$B$3=N$3,SUMIF('TL19'!$C$10:$C$224,$C108,'TL19'!$J$10:$J$224),0),
IF('TL19'!$B$229=N$3,SUMIF('TL19'!$C$238:$C$451,$C108,'TL19'!$J$238:$J$451),0)
),0)</f>
        <v/>
      </c>
      <c r="O108" s="9">
        <f>IFERROR(SUM(
IF('TL01'!$B$3=O$3,SUMIF('TL01'!$C$10:$C$224,$C108,'TL01'!$J$10:$J$224),0),
IF('TL01'!$B$229=O$3,SUMIF('TL01'!$C$238:$C$451,$C108,'TL01'!$J$238:$J$451),0),
IF('TL02'!$B$3=O$3,SUMIF('TL02'!$C$10:$C$224,$C108,'TL02'!$J$10:$J$224),0),
IF('TL02'!$B$229=O$3,SUMIF('TL02'!$C$238:$C$451,$C108,'TL02'!$J$238:$J$451),0),
IF('TL03'!$B$3=O$3,SUMIF('TL03'!$C$10:$C$224,$C108,'TL03'!$J$10:$J$224),0),
IF('TL03'!$B$229=O$3,SUMIF('TL03'!$C$238:$C$451,$C108,'TL03'!$J$238:$J$451),0),
IF('TL04'!$B$3=O$3,SUMIF('TL04'!$C$10:$C$224,$C108,'TL04'!$J$10:$J$224),0),
IF('TL04'!$B$229=O$3,SUMIF('TL04'!$C$238:$C$451,$C108,'TL04'!$J$238:$J$451),0),
IF('TL05'!$B$3=O$3,SUMIF('TL05'!$C$10:$C$224,$C108,'TL05'!$J$10:$J$224),0),
IF('TL05'!$B$229=O$3,SUMIF('TL05'!$C$238:$C$451,$C108,'TL05'!$J$238:$J$451),0),
IF('TL06'!$B$3=O$3,SUMIF('TL06'!$C$10:$C$224,$C108,'TL06'!$J$10:$J$224),0),
IF('TL06'!$B$229=O$3,SUMIF('TL06'!$C$238:$C$451,$C108,'TL06'!$J$238:$J$451),0),
IF('TL07'!$B$3=O$3,SUMIF('TL07'!$C$10:$C$224,$C108,'TL07'!$J$10:$J$224),0),
IF('TL07'!$B$229=O$3,SUMIF('TL07'!$C$238:$C$451,$C108,'TL07'!$J$238:$J$451),0),
IF('TL08'!$B$3=O$3,SUMIF('TL08'!$C$10:$C$224,$C108,'TL08'!$J$10:$J$224),0),
IF('TL08'!$B$229=O$3,SUMIF('TL08'!$C$238:$C$451,$C108,'TL08'!$J$238:$J$451),0),
IF('TL09'!$B$3=O$3,SUMIF('TL09'!$C$10:$C$224,$C108,'TL09'!$J$10:$J$224),0),
IF('TL09'!$B$229=O$3,SUMIF('TL09'!$C$238:$C$451,$C108,'TL09'!$J$238:$J$451),0),
IF('TL10'!$B$3=O$3,SUMIF('TL10'!$C$10:$C$224,$C108,'TL10'!$J$10:$J$224),0),
IF('TL10'!$B$229=O$3,SUMIF('TL10'!$C$238:$C$451,$C108,'TL10'!$J$238:$J$451),0),
IF('TL11'!$B$3=O$3,SUMIF('TL11'!$C$10:$C$224,$C108,'TL11'!$J$10:$J$224),0),
IF('TL11'!$B$229=O$3,SUMIF('TL11'!$C$238:$C$451,$C108,'TL11'!$J$238:$J$451),0),
IF('TL12'!$B$3=O$3,SUMIF('TL12'!$C$10:$C$224,$C108,'TL12'!$J$10:$J$224),0),
IF('TL12'!$B$229=O$3,SUMIF('TL12'!$C$238:$C$451,$C108,'TL12'!$J$238:$J$451),0),
IF('TL13'!$B$3=O$3,SUMIF('TL13'!$C$10:$C$224,$C108,'TL13'!$J$10:$J$224),0),
IF('TL13'!$B$229=O$3,SUMIF('TL13'!$C$238:$C$451,$C108,'TL13'!$J$238:$J$451),0),
IF('TL14'!$B$3=O$3,SUMIF('TL14'!$C$10:$C$224,$C108,'TL14'!$J$10:$J$224),0),
IF('TL14'!$B$229=O$3,SUMIF('TL14'!$C$238:$C$451,$C108,'TL14'!$J$238:$J$451),0),
IF('TL15'!$B$3=O$3,SUMIF('TL15'!$C$10:$C$224,$C108,'TL15'!$J$10:$J$224),0),
IF('TL15'!$B$229=O$3,SUMIF('TL15'!$C$238:$C$451,$C108,'TL15'!$J$238:$J$451),0),
IF('TL16'!$B$3=O$3,SUMIF('TL16'!$C$10:$C$224,$C108,'TL16'!$J$10:$J$224),0),
IF('TL16'!$B$229=O$3,SUMIF('TL16'!$C$238:$C$451,$C108,'TL16'!$J$238:$J$451),0),
IF('TL17'!$B$3=O$3,SUMIF('TL17'!$C$10:$C$224,$C108,'TL17'!$J$10:$J$224),0),
IF('TL17'!$B$229=O$3,SUMIF('TL17'!$C$238:$C$451,$C108,'TL17'!$J$238:$J$451),0),
IF('TL18'!$B$3=O$3,SUMIF('TL18'!$C$10:$C$224,$C108,'TL18'!$J$10:$J$224),0),
IF('TL18'!$B$229=O$3,SUMIF('TL18'!$C$238:$C$451,$C108,'TL18'!$J$238:$J$451),0),
IF('TL19'!$B$3=O$3,SUMIF('TL19'!$C$10:$C$224,$C108,'TL19'!$J$10:$J$224),0),
IF('TL19'!$B$229=O$3,SUMIF('TL19'!$C$238:$C$451,$C108,'TL19'!$J$238:$J$451),0)
),0)</f>
        <v/>
      </c>
      <c r="P108" s="9">
        <f>IFERROR(SUM(
IF('TL01'!$B$3=P$3,SUMIF('TL01'!$C$10:$C$224,$C108,'TL01'!$J$10:$J$224),0),
IF('TL01'!$B$229=P$3,SUMIF('TL01'!$C$238:$C$451,$C108,'TL01'!$J$238:$J$451),0),
IF('TL02'!$B$3=P$3,SUMIF('TL02'!$C$10:$C$224,$C108,'TL02'!$J$10:$J$224),0),
IF('TL02'!$B$229=P$3,SUMIF('TL02'!$C$238:$C$451,$C108,'TL02'!$J$238:$J$451),0),
IF('TL03'!$B$3=P$3,SUMIF('TL03'!$C$10:$C$224,$C108,'TL03'!$J$10:$J$224),0),
IF('TL03'!$B$229=P$3,SUMIF('TL03'!$C$238:$C$451,$C108,'TL03'!$J$238:$J$451),0),
IF('TL04'!$B$3=P$3,SUMIF('TL04'!$C$10:$C$224,$C108,'TL04'!$J$10:$J$224),0),
IF('TL04'!$B$229=P$3,SUMIF('TL04'!$C$238:$C$451,$C108,'TL04'!$J$238:$J$451),0),
IF('TL05'!$B$3=P$3,SUMIF('TL05'!$C$10:$C$224,$C108,'TL05'!$J$10:$J$224),0),
IF('TL05'!$B$229=P$3,SUMIF('TL05'!$C$238:$C$451,$C108,'TL05'!$J$238:$J$451),0),
IF('TL06'!$B$3=P$3,SUMIF('TL06'!$C$10:$C$224,$C108,'TL06'!$J$10:$J$224),0),
IF('TL06'!$B$229=P$3,SUMIF('TL06'!$C$238:$C$451,$C108,'TL06'!$J$238:$J$451),0),
IF('TL07'!$B$3=P$3,SUMIF('TL07'!$C$10:$C$224,$C108,'TL07'!$J$10:$J$224),0),
IF('TL07'!$B$229=P$3,SUMIF('TL07'!$C$238:$C$451,$C108,'TL07'!$J$238:$J$451),0),
IF('TL08'!$B$3=P$3,SUMIF('TL08'!$C$10:$C$224,$C108,'TL08'!$J$10:$J$224),0),
IF('TL08'!$B$229=P$3,SUMIF('TL08'!$C$238:$C$451,$C108,'TL08'!$J$238:$J$451),0),
IF('TL09'!$B$3=P$3,SUMIF('TL09'!$C$10:$C$224,$C108,'TL09'!$J$10:$J$224),0),
IF('TL09'!$B$229=P$3,SUMIF('TL09'!$C$238:$C$451,$C108,'TL09'!$J$238:$J$451),0),
IF('TL10'!$B$3=P$3,SUMIF('TL10'!$C$10:$C$224,$C108,'TL10'!$J$10:$J$224),0),
IF('TL10'!$B$229=P$3,SUMIF('TL10'!$C$238:$C$451,$C108,'TL10'!$J$238:$J$451),0),
IF('TL11'!$B$3=P$3,SUMIF('TL11'!$C$10:$C$224,$C108,'TL11'!$J$10:$J$224),0),
IF('TL11'!$B$229=P$3,SUMIF('TL11'!$C$238:$C$451,$C108,'TL11'!$J$238:$J$451),0),
IF('TL12'!$B$3=P$3,SUMIF('TL12'!$C$10:$C$224,$C108,'TL12'!$J$10:$J$224),0),
IF('TL12'!$B$229=P$3,SUMIF('TL12'!$C$238:$C$451,$C108,'TL12'!$J$238:$J$451),0),
IF('TL13'!$B$3=P$3,SUMIF('TL13'!$C$10:$C$224,$C108,'TL13'!$J$10:$J$224),0),
IF('TL13'!$B$229=P$3,SUMIF('TL13'!$C$238:$C$451,$C108,'TL13'!$J$238:$J$451),0),
IF('TL14'!$B$3=P$3,SUMIF('TL14'!$C$10:$C$224,$C108,'TL14'!$J$10:$J$224),0),
IF('TL14'!$B$229=P$3,SUMIF('TL14'!$C$238:$C$451,$C108,'TL14'!$J$238:$J$451),0),
IF('TL15'!$B$3=P$3,SUMIF('TL15'!$C$10:$C$224,$C108,'TL15'!$J$10:$J$224),0),
IF('TL15'!$B$229=P$3,SUMIF('TL15'!$C$238:$C$451,$C108,'TL15'!$J$238:$J$451),0),
IF('TL16'!$B$3=P$3,SUMIF('TL16'!$C$10:$C$224,$C108,'TL16'!$J$10:$J$224),0),
IF('TL16'!$B$229=P$3,SUMIF('TL16'!$C$238:$C$451,$C108,'TL16'!$J$238:$J$451),0),
IF('TL17'!$B$3=P$3,SUMIF('TL17'!$C$10:$C$224,$C108,'TL17'!$J$10:$J$224),0),
IF('TL17'!$B$229=P$3,SUMIF('TL17'!$C$238:$C$451,$C108,'TL17'!$J$238:$J$451),0),
IF('TL18'!$B$3=P$3,SUMIF('TL18'!$C$10:$C$224,$C108,'TL18'!$J$10:$J$224),0),
IF('TL18'!$B$229=P$3,SUMIF('TL18'!$C$238:$C$451,$C108,'TL18'!$J$238:$J$451),0),
IF('TL19'!$B$3=P$3,SUMIF('TL19'!$C$10:$C$224,$C108,'TL19'!$J$10:$J$224),0),
IF('TL19'!$B$229=P$3,SUMIF('TL19'!$C$238:$C$451,$C108,'TL19'!$J$238:$J$451),0)
),0)</f>
        <v/>
      </c>
      <c r="Q108" s="9">
        <f>IFERROR(SUM(
IF('TL01'!$B$3=Q$3,SUMIF('TL01'!$C$10:$C$224,$C108,'TL01'!$J$10:$J$224),0),
IF('TL01'!$B$229=Q$3,SUMIF('TL01'!$C$238:$C$451,$C108,'TL01'!$J$238:$J$451),0),
IF('TL02'!$B$3=Q$3,SUMIF('TL02'!$C$10:$C$224,$C108,'TL02'!$J$10:$J$224),0),
IF('TL02'!$B$229=Q$3,SUMIF('TL02'!$C$238:$C$451,$C108,'TL02'!$J$238:$J$451),0),
IF('TL03'!$B$3=Q$3,SUMIF('TL03'!$C$10:$C$224,$C108,'TL03'!$J$10:$J$224),0),
IF('TL03'!$B$229=Q$3,SUMIF('TL03'!$C$238:$C$451,$C108,'TL03'!$J$238:$J$451),0),
IF('TL04'!$B$3=Q$3,SUMIF('TL04'!$C$10:$C$224,$C108,'TL04'!$J$10:$J$224),0),
IF('TL04'!$B$229=Q$3,SUMIF('TL04'!$C$238:$C$451,$C108,'TL04'!$J$238:$J$451),0),
IF('TL05'!$B$3=Q$3,SUMIF('TL05'!$C$10:$C$224,$C108,'TL05'!$J$10:$J$224),0),
IF('TL05'!$B$229=Q$3,SUMIF('TL05'!$C$238:$C$451,$C108,'TL05'!$J$238:$J$451),0),
IF('TL06'!$B$3=Q$3,SUMIF('TL06'!$C$10:$C$224,$C108,'TL06'!$J$10:$J$224),0),
IF('TL06'!$B$229=Q$3,SUMIF('TL06'!$C$238:$C$451,$C108,'TL06'!$J$238:$J$451),0),
IF('TL07'!$B$3=Q$3,SUMIF('TL07'!$C$10:$C$224,$C108,'TL07'!$J$10:$J$224),0),
IF('TL07'!$B$229=Q$3,SUMIF('TL07'!$C$238:$C$451,$C108,'TL07'!$J$238:$J$451),0),
IF('TL08'!$B$3=Q$3,SUMIF('TL08'!$C$10:$C$224,$C108,'TL08'!$J$10:$J$224),0),
IF('TL08'!$B$229=Q$3,SUMIF('TL08'!$C$238:$C$451,$C108,'TL08'!$J$238:$J$451),0),
IF('TL09'!$B$3=Q$3,SUMIF('TL09'!$C$10:$C$224,$C108,'TL09'!$J$10:$J$224),0),
IF('TL09'!$B$229=Q$3,SUMIF('TL09'!$C$238:$C$451,$C108,'TL09'!$J$238:$J$451),0),
IF('TL10'!$B$3=Q$3,SUMIF('TL10'!$C$10:$C$224,$C108,'TL10'!$J$10:$J$224),0),
IF('TL10'!$B$229=Q$3,SUMIF('TL10'!$C$238:$C$451,$C108,'TL10'!$J$238:$J$451),0),
IF('TL11'!$B$3=Q$3,SUMIF('TL11'!$C$10:$C$224,$C108,'TL11'!$J$10:$J$224),0),
IF('TL11'!$B$229=Q$3,SUMIF('TL11'!$C$238:$C$451,$C108,'TL11'!$J$238:$J$451),0),
IF('TL12'!$B$3=Q$3,SUMIF('TL12'!$C$10:$C$224,$C108,'TL12'!$J$10:$J$224),0),
IF('TL12'!$B$229=Q$3,SUMIF('TL12'!$C$238:$C$451,$C108,'TL12'!$J$238:$J$451),0),
IF('TL13'!$B$3=Q$3,SUMIF('TL13'!$C$10:$C$224,$C108,'TL13'!$J$10:$J$224),0),
IF('TL13'!$B$229=Q$3,SUMIF('TL13'!$C$238:$C$451,$C108,'TL13'!$J$238:$J$451),0),
IF('TL14'!$B$3=Q$3,SUMIF('TL14'!$C$10:$C$224,$C108,'TL14'!$J$10:$J$224),0),
IF('TL14'!$B$229=Q$3,SUMIF('TL14'!$C$238:$C$451,$C108,'TL14'!$J$238:$J$451),0),
IF('TL15'!$B$3=Q$3,SUMIF('TL15'!$C$10:$C$224,$C108,'TL15'!$J$10:$J$224),0),
IF('TL15'!$B$229=Q$3,SUMIF('TL15'!$C$238:$C$451,$C108,'TL15'!$J$238:$J$451),0),
IF('TL16'!$B$3=Q$3,SUMIF('TL16'!$C$10:$C$224,$C108,'TL16'!$J$10:$J$224),0),
IF('TL16'!$B$229=Q$3,SUMIF('TL16'!$C$238:$C$451,$C108,'TL16'!$J$238:$J$451),0),
IF('TL17'!$B$3=Q$3,SUMIF('TL17'!$C$10:$C$224,$C108,'TL17'!$J$10:$J$224),0),
IF('TL17'!$B$229=Q$3,SUMIF('TL17'!$C$238:$C$451,$C108,'TL17'!$J$238:$J$451),0),
IF('TL18'!$B$3=Q$3,SUMIF('TL18'!$C$10:$C$224,$C108,'TL18'!$J$10:$J$224),0),
IF('TL18'!$B$229=Q$3,SUMIF('TL18'!$C$238:$C$451,$C108,'TL18'!$J$238:$J$451),0),
IF('TL19'!$B$3=Q$3,SUMIF('TL19'!$C$10:$C$224,$C108,'TL19'!$J$10:$J$224),0),
IF('TL19'!$B$229=Q$3,SUMIF('TL19'!$C$238:$C$451,$C108,'TL19'!$J$238:$J$451),0)
),0)</f>
        <v/>
      </c>
      <c r="R108" s="9">
        <f>IFERROR(
SUM(
SUMIF('TL01'!C:C,C108,'TL01'!J:J),
SUMIF('TL02'!C:C,C108,'TL02'!J:J),
SUMIF('TL03'!C:C,C108,'TL03'!J:J),
SUMIF('TL04'!C:C,C108,'TL04'!J:J),
SUMIF('TL05'!C:C,C108,'TL05'!J:J),
SUMIF('TL06'!C:C,C108,'TL06'!J:J),
SUMIF('TL07'!C:C,C108,'TL07'!J:J),
SUMIF('TL08'!C:C,C108,'TL08'!J:J),
SUMIF('TL09'!C:C,C108,'TL09'!J:J),
SUMIF('TL10'!C:C,C108,'TL10'!J:J),
SUMIF('TL11'!C:C,C108,'TL11'!J:J),
SUMIF('TL12'!C:C,C108,'TL12'!J:J),
SUMIF('TL13'!C:C,C108,'TL13'!J:J),
SUMIF('TL14'!C:C,C108,'TL14'!J:J),
SUMIF('TL15'!C:C,C108,'TL15'!J:J),
SUMIF('TL16'!C:C,C108,'TL16'!J:J),
SUMIF('TL17'!C:C,C108,'TL17'!J:J),
SUMIF('TL18'!C:C,C108,'TL18'!J:J),SUMIF('TL19'!C:C,C108,'TL19'!J:J))
,0)</f>
        <v/>
      </c>
      <c r="S108" s="17">
        <f>IFERROR(__xludf.DUMMYFUNCTION("IFERROR(VLOOKUP(C108,
IMPORTRANGE(""1wULbzX32WdYsx-lj2U3uUNBBe2INVIRDtcK0d-Dvl90"",
""26-27!C:G""),
5,
FALSE),
"""")"),60.048939999999995)</f>
        <v/>
      </c>
      <c r="T108" s="9" t="n">
        <v>1200</v>
      </c>
      <c r="U108" s="92">
        <f>MAX(0,R108-T108)</f>
        <v/>
      </c>
      <c r="V108" s="93">
        <f>U108*S108</f>
        <v/>
      </c>
    </row>
    <row r="109" hidden="1" ht="15.75" customHeight="1" s="297">
      <c r="A109" s="111" t="inlineStr">
        <is>
          <t>ADAMA</t>
        </is>
      </c>
      <c r="B109" s="112" t="inlineStr">
        <is>
          <t>HERBICIDA</t>
        </is>
      </c>
      <c r="C109" s="113" t="inlineStr">
        <is>
          <t>CHEVAL</t>
        </is>
      </c>
      <c r="D109" s="113" t="inlineStr">
        <is>
          <t>S-METOLACLORO + GLUFOSINATO - SAL DE AMÔNIO</t>
        </is>
      </c>
      <c r="E109" s="113" t="inlineStr">
        <is>
          <t>600 + 200</t>
        </is>
      </c>
      <c r="F109" s="4" t="inlineStr">
        <is>
          <t>L</t>
        </is>
      </c>
      <c r="G109" s="90">
        <f>HYPERLINK("https://www.google.com/search?q=" &amp; C109 &amp; "+bula+agrofit+pdf", "📄 Ver bula")</f>
        <v/>
      </c>
      <c r="H109" s="9">
        <f>IFERROR(__xludf.DUMMYFUNCTION("IFERROR(VLOOKUP(C109,
IMPORTRANGE(""1wULbzX32WdYsx-lj2U3uUNBBe2INVIRDtcK0d-Dvl90"",
""26-27!C:K""),
8,
FALSE),
"""")"),2.0)</f>
        <v/>
      </c>
      <c r="I109" s="114" t="inlineStr">
        <is>
          <t>1x20</t>
        </is>
      </c>
      <c r="J109" s="9">
        <f>IFERROR(SUM(
IF('TL01'!$B$3=J$3,SUMIF('TL01'!$C$10:$C$224,$C109,'TL01'!$J$10:$J$224),0),
IF('TL01'!$B$229=J$3,SUMIF('TL01'!$C$238:$C$451,$C109,'TL01'!$J$238:$J$451),0),
IF('TL02'!$B$3=J$3,SUMIF('TL02'!$C$10:$C$224,$C109,'TL02'!$J$10:$J$224),0),
IF('TL02'!$B$229=J$3,SUMIF('TL02'!$C$238:$C$451,$C109,'TL02'!$J$238:$J$451),0),
IF('TL03'!$B$3=J$3,SUMIF('TL03'!$C$10:$C$224,$C109,'TL03'!$J$10:$J$224),0),
IF('TL03'!$B$229=J$3,SUMIF('TL03'!$C$238:$C$451,$C109,'TL03'!$J$238:$J$451),0),
IF('TL04'!$B$3=J$3,SUMIF('TL04'!$C$10:$C$224,$C109,'TL04'!$J$10:$J$224),0),
IF('TL04'!$B$229=J$3,SUMIF('TL04'!$C$238:$C$451,$C109,'TL04'!$J$238:$J$451),0),
IF('TL05'!$B$3=J$3,SUMIF('TL05'!$C$10:$C$224,$C109,'TL05'!$J$10:$J$224),0),
IF('TL05'!$B$229=J$3,SUMIF('TL05'!$C$238:$C$451,$C109,'TL05'!$J$238:$J$451),0),
IF('TL06'!$B$3=J$3,SUMIF('TL06'!$C$10:$C$224,$C109,'TL06'!$J$10:$J$224),0),
IF('TL06'!$B$229=J$3,SUMIF('TL06'!$C$238:$C$451,$C109,'TL06'!$J$238:$J$451),0),
IF('TL07'!$B$3=J$3,SUMIF('TL07'!$C$10:$C$224,$C109,'TL07'!$J$10:$J$224),0),
IF('TL07'!$B$229=J$3,SUMIF('TL07'!$C$238:$C$451,$C109,'TL07'!$J$238:$J$451),0),
IF('TL08'!$B$3=J$3,SUMIF('TL08'!$C$10:$C$224,$C109,'TL08'!$J$10:$J$224),0),
IF('TL08'!$B$229=J$3,SUMIF('TL08'!$C$238:$C$451,$C109,'TL08'!$J$238:$J$451),0),
IF('TL09'!$B$3=J$3,SUMIF('TL09'!$C$10:$C$224,$C109,'TL09'!$J$10:$J$224),0),
IF('TL09'!$B$229=J$3,SUMIF('TL09'!$C$238:$C$451,$C109,'TL09'!$J$238:$J$451),0),
IF('TL10'!$B$3=J$3,SUMIF('TL10'!$C$10:$C$224,$C109,'TL10'!$J$10:$J$224),0),
IF('TL10'!$B$229=J$3,SUMIF('TL10'!$C$238:$C$451,$C109,'TL10'!$J$238:$J$451),0),
IF('TL11'!$B$3=J$3,SUMIF('TL11'!$C$10:$C$224,$C109,'TL11'!$J$10:$J$224),0),
IF('TL11'!$B$229=J$3,SUMIF('TL11'!$C$238:$C$451,$C109,'TL11'!$J$238:$J$451),0),
IF('TL12'!$B$3=J$3,SUMIF('TL12'!$C$10:$C$224,$C109,'TL12'!$J$10:$J$224),0),
IF('TL12'!$B$229=J$3,SUMIF('TL12'!$C$238:$C$451,$C109,'TL12'!$J$238:$J$451),0),
IF('TL13'!$B$3=J$3,SUMIF('TL13'!$C$10:$C$224,$C109,'TL13'!$J$10:$J$224),0),
IF('TL13'!$B$229=J$3,SUMIF('TL13'!$C$238:$C$451,$C109,'TL13'!$J$238:$J$451),0),
IF('TL14'!$B$3=J$3,SUMIF('TL14'!$C$10:$C$224,$C109,'TL14'!$J$10:$J$224),0),
IF('TL14'!$B$229=J$3,SUMIF('TL14'!$C$238:$C$451,$C109,'TL14'!$J$238:$J$451),0),
IF('TL15'!$B$3=J$3,SUMIF('TL15'!$C$10:$C$224,$C109,'TL15'!$J$10:$J$224),0),
IF('TL15'!$B$229=J$3,SUMIF('TL15'!$C$238:$C$451,$C109,'TL15'!$J$238:$J$451),0),
IF('TL16'!$B$3=J$3,SUMIF('TL16'!$C$10:$C$224,$C109,'TL16'!$J$10:$J$224),0),
IF('TL16'!$B$229=J$3,SUMIF('TL16'!$C$238:$C$451,$C109,'TL16'!$J$238:$J$451),0),
IF('TL17'!$B$3=J$3,SUMIF('TL17'!$C$10:$C$224,$C109,'TL17'!$J$10:$J$224),0),
IF('TL17'!$B$229=J$3,SUMIF('TL17'!$C$238:$C$451,$C109,'TL17'!$J$238:$J$451),0),
IF('TL18'!$B$3=J$3,SUMIF('TL18'!$C$10:$C$224,$C109,'TL18'!$J$10:$J$224),0),
IF('TL18'!$B$229=J$3,SUMIF('TL18'!$C$238:$C$451,$C109,'TL18'!$J$238:$J$451),0),
IF('TL19'!$B$3=J$3,SUMIF('TL19'!$C$10:$C$224,$C109,'TL19'!$J$10:$J$224),0),
IF('TL19'!$B$229=J$3,SUMIF('TL19'!$C$238:$C$451,$C109,'TL19'!$J$238:$J$451),0)
),0)</f>
        <v/>
      </c>
      <c r="K109" s="9">
        <f>IFERROR(SUM(
IF('TL01'!$B$3=K$3,SUMIF('TL01'!$C$10:$C$224,$C109,'TL01'!$J$10:$J$224),0),
IF('TL01'!$B$229=K$3,SUMIF('TL01'!$C$238:$C$451,$C109,'TL01'!$J$238:$J$451),0),
IF('TL02'!$B$3=K$3,SUMIF('TL02'!$C$10:$C$224,$C109,'TL02'!$J$10:$J$224),0),
IF('TL02'!$B$229=K$3,SUMIF('TL02'!$C$238:$C$451,$C109,'TL02'!$J$238:$J$451),0),
IF('TL03'!$B$3=K$3,SUMIF('TL03'!$C$10:$C$224,$C109,'TL03'!$J$10:$J$224),0),
IF('TL03'!$B$229=K$3,SUMIF('TL03'!$C$238:$C$451,$C109,'TL03'!$J$238:$J$451),0),
IF('TL04'!$B$3=K$3,SUMIF('TL04'!$C$10:$C$224,$C109,'TL04'!$J$10:$J$224),0),
IF('TL04'!$B$229=K$3,SUMIF('TL04'!$C$238:$C$451,$C109,'TL04'!$J$238:$J$451),0),
IF('TL05'!$B$3=K$3,SUMIF('TL05'!$C$10:$C$224,$C109,'TL05'!$J$10:$J$224),0),
IF('TL05'!$B$229=K$3,SUMIF('TL05'!$C$238:$C$451,$C109,'TL05'!$J$238:$J$451),0),
IF('TL06'!$B$3=K$3,SUMIF('TL06'!$C$10:$C$224,$C109,'TL06'!$J$10:$J$224),0),
IF('TL06'!$B$229=K$3,SUMIF('TL06'!$C$238:$C$451,$C109,'TL06'!$J$238:$J$451),0),
IF('TL07'!$B$3=K$3,SUMIF('TL07'!$C$10:$C$224,$C109,'TL07'!$J$10:$J$224),0),
IF('TL07'!$B$229=K$3,SUMIF('TL07'!$C$238:$C$451,$C109,'TL07'!$J$238:$J$451),0),
IF('TL08'!$B$3=K$3,SUMIF('TL08'!$C$10:$C$224,$C109,'TL08'!$J$10:$J$224),0),
IF('TL08'!$B$229=K$3,SUMIF('TL08'!$C$238:$C$451,$C109,'TL08'!$J$238:$J$451),0),
IF('TL09'!$B$3=K$3,SUMIF('TL09'!$C$10:$C$224,$C109,'TL09'!$J$10:$J$224),0),
IF('TL09'!$B$229=K$3,SUMIF('TL09'!$C$238:$C$451,$C109,'TL09'!$J$238:$J$451),0),
IF('TL10'!$B$3=K$3,SUMIF('TL10'!$C$10:$C$224,$C109,'TL10'!$J$10:$J$224),0),
IF('TL10'!$B$229=K$3,SUMIF('TL10'!$C$238:$C$451,$C109,'TL10'!$J$238:$J$451),0),
IF('TL11'!$B$3=K$3,SUMIF('TL11'!$C$10:$C$224,$C109,'TL11'!$J$10:$J$224),0),
IF('TL11'!$B$229=K$3,SUMIF('TL11'!$C$238:$C$451,$C109,'TL11'!$J$238:$J$451),0),
IF('TL12'!$B$3=K$3,SUMIF('TL12'!$C$10:$C$224,$C109,'TL12'!$J$10:$J$224),0),
IF('TL12'!$B$229=K$3,SUMIF('TL12'!$C$238:$C$451,$C109,'TL12'!$J$238:$J$451),0),
IF('TL13'!$B$3=K$3,SUMIF('TL13'!$C$10:$C$224,$C109,'TL13'!$J$10:$J$224),0),
IF('TL13'!$B$229=K$3,SUMIF('TL13'!$C$238:$C$451,$C109,'TL13'!$J$238:$J$451),0),
IF('TL14'!$B$3=K$3,SUMIF('TL14'!$C$10:$C$224,$C109,'TL14'!$J$10:$J$224),0),
IF('TL14'!$B$229=K$3,SUMIF('TL14'!$C$238:$C$451,$C109,'TL14'!$J$238:$J$451),0),
IF('TL15'!$B$3=K$3,SUMIF('TL15'!$C$10:$C$224,$C109,'TL15'!$J$10:$J$224),0),
IF('TL15'!$B$229=K$3,SUMIF('TL15'!$C$238:$C$451,$C109,'TL15'!$J$238:$J$451),0),
IF('TL16'!$B$3=K$3,SUMIF('TL16'!$C$10:$C$224,$C109,'TL16'!$J$10:$J$224),0),
IF('TL16'!$B$229=K$3,SUMIF('TL16'!$C$238:$C$451,$C109,'TL16'!$J$238:$J$451),0),
IF('TL17'!$B$3=K$3,SUMIF('TL17'!$C$10:$C$224,$C109,'TL17'!$J$10:$J$224),0),
IF('TL17'!$B$229=K$3,SUMIF('TL17'!$C$238:$C$451,$C109,'TL17'!$J$238:$J$451),0),
IF('TL18'!$B$3=K$3,SUMIF('TL18'!$C$10:$C$224,$C109,'TL18'!$J$10:$J$224),0),
IF('TL18'!$B$229=K$3,SUMIF('TL18'!$C$238:$C$451,$C109,'TL18'!$J$238:$J$451),0),
IF('TL19'!$B$3=K$3,SUMIF('TL19'!$C$10:$C$224,$C109,'TL19'!$J$10:$J$224),0),
IF('TL19'!$B$229=K$3,SUMIF('TL19'!$C$238:$C$451,$C109,'TL19'!$J$238:$J$451),0)
),0)</f>
        <v/>
      </c>
      <c r="L109" s="9">
        <f>IFERROR(SUM(
IF('TL01'!$B$3=L$3,SUMIF('TL01'!$C$10:$C$224,$C109,'TL01'!$J$10:$J$224),0),
IF('TL01'!$B$229=L$3,SUMIF('TL01'!$C$238:$C$451,$C109,'TL01'!$J$238:$J$451),0),
IF('TL02'!$B$3=L$3,SUMIF('TL02'!$C$10:$C$224,$C109,'TL02'!$J$10:$J$224),0),
IF('TL02'!$B$229=L$3,SUMIF('TL02'!$C$238:$C$451,$C109,'TL02'!$J$238:$J$451),0),
IF('TL03'!$B$3=L$3,SUMIF('TL03'!$C$10:$C$224,$C109,'TL03'!$J$10:$J$224),0),
IF('TL03'!$B$229=L$3,SUMIF('TL03'!$C$238:$C$451,$C109,'TL03'!$J$238:$J$451),0),
IF('TL04'!$B$3=L$3,SUMIF('TL04'!$C$10:$C$224,$C109,'TL04'!$J$10:$J$224),0),
IF('TL04'!$B$229=L$3,SUMIF('TL04'!$C$238:$C$451,$C109,'TL04'!$J$238:$J$451),0),
IF('TL05'!$B$3=L$3,SUMIF('TL05'!$C$10:$C$224,$C109,'TL05'!$J$10:$J$224),0),
IF('TL05'!$B$229=L$3,SUMIF('TL05'!$C$238:$C$451,$C109,'TL05'!$J$238:$J$451),0),
IF('TL06'!$B$3=L$3,SUMIF('TL06'!$C$10:$C$224,$C109,'TL06'!$J$10:$J$224),0),
IF('TL06'!$B$229=L$3,SUMIF('TL06'!$C$238:$C$451,$C109,'TL06'!$J$238:$J$451),0),
IF('TL07'!$B$3=L$3,SUMIF('TL07'!$C$10:$C$224,$C109,'TL07'!$J$10:$J$224),0),
IF('TL07'!$B$229=L$3,SUMIF('TL07'!$C$238:$C$451,$C109,'TL07'!$J$238:$J$451),0),
IF('TL08'!$B$3=L$3,SUMIF('TL08'!$C$10:$C$224,$C109,'TL08'!$J$10:$J$224),0),
IF('TL08'!$B$229=L$3,SUMIF('TL08'!$C$238:$C$451,$C109,'TL08'!$J$238:$J$451),0),
IF('TL09'!$B$3=L$3,SUMIF('TL09'!$C$10:$C$224,$C109,'TL09'!$J$10:$J$224),0),
IF('TL09'!$B$229=L$3,SUMIF('TL09'!$C$238:$C$451,$C109,'TL09'!$J$238:$J$451),0),
IF('TL10'!$B$3=L$3,SUMIF('TL10'!$C$10:$C$224,$C109,'TL10'!$J$10:$J$224),0),
IF('TL10'!$B$229=L$3,SUMIF('TL10'!$C$238:$C$451,$C109,'TL10'!$J$238:$J$451),0),
IF('TL11'!$B$3=L$3,SUMIF('TL11'!$C$10:$C$224,$C109,'TL11'!$J$10:$J$224),0),
IF('TL11'!$B$229=L$3,SUMIF('TL11'!$C$238:$C$451,$C109,'TL11'!$J$238:$J$451),0),
IF('TL12'!$B$3=L$3,SUMIF('TL12'!$C$10:$C$224,$C109,'TL12'!$J$10:$J$224),0),
IF('TL12'!$B$229=L$3,SUMIF('TL12'!$C$238:$C$451,$C109,'TL12'!$J$238:$J$451),0),
IF('TL13'!$B$3=L$3,SUMIF('TL13'!$C$10:$C$224,$C109,'TL13'!$J$10:$J$224),0),
IF('TL13'!$B$229=L$3,SUMIF('TL13'!$C$238:$C$451,$C109,'TL13'!$J$238:$J$451),0),
IF('TL14'!$B$3=L$3,SUMIF('TL14'!$C$10:$C$224,$C109,'TL14'!$J$10:$J$224),0),
IF('TL14'!$B$229=L$3,SUMIF('TL14'!$C$238:$C$451,$C109,'TL14'!$J$238:$J$451),0),
IF('TL15'!$B$3=L$3,SUMIF('TL15'!$C$10:$C$224,$C109,'TL15'!$J$10:$J$224),0),
IF('TL15'!$B$229=L$3,SUMIF('TL15'!$C$238:$C$451,$C109,'TL15'!$J$238:$J$451),0),
IF('TL16'!$B$3=L$3,SUMIF('TL16'!$C$10:$C$224,$C109,'TL16'!$J$10:$J$224),0),
IF('TL16'!$B$229=L$3,SUMIF('TL16'!$C$238:$C$451,$C109,'TL16'!$J$238:$J$451),0),
IF('TL17'!$B$3=L$3,SUMIF('TL17'!$C$10:$C$224,$C109,'TL17'!$J$10:$J$224),0),
IF('TL17'!$B$229=L$3,SUMIF('TL17'!$C$238:$C$451,$C109,'TL17'!$J$238:$J$451),0),
IF('TL18'!$B$3=L$3,SUMIF('TL18'!$C$10:$C$224,$C109,'TL18'!$J$10:$J$224),0),
IF('TL18'!$B$229=L$3,SUMIF('TL18'!$C$238:$C$451,$C109,'TL18'!$J$238:$J$451),0),
IF('TL19'!$B$3=L$3,SUMIF('TL19'!$C$10:$C$224,$C109,'TL19'!$J$10:$J$224),0),
IF('TL19'!$B$229=L$3,SUMIF('TL19'!$C$238:$C$451,$C109,'TL19'!$J$238:$J$451),0)
),0)</f>
        <v/>
      </c>
      <c r="M109" s="9">
        <f>IFERROR(SUM(
IF('TL01'!$B$3=M$3,SUMIF('TL01'!$C$10:$C$224,$C109,'TL01'!$J$10:$J$224),0),
IF('TL01'!$B$229=M$3,SUMIF('TL01'!$C$238:$C$451,$C109,'TL01'!$J$238:$J$451),0),
IF('TL02'!$B$3=M$3,SUMIF('TL02'!$C$10:$C$224,$C109,'TL02'!$J$10:$J$224),0),
IF('TL02'!$B$229=M$3,SUMIF('TL02'!$C$238:$C$451,$C109,'TL02'!$J$238:$J$451),0),
IF('TL03'!$B$3=M$3,SUMIF('TL03'!$C$10:$C$224,$C109,'TL03'!$J$10:$J$224),0),
IF('TL03'!$B$229=M$3,SUMIF('TL03'!$C$238:$C$451,$C109,'TL03'!$J$238:$J$451),0),
IF('TL04'!$B$3=M$3,SUMIF('TL04'!$C$10:$C$224,$C109,'TL04'!$J$10:$J$224),0),
IF('TL04'!$B$229=M$3,SUMIF('TL04'!$C$238:$C$451,$C109,'TL04'!$J$238:$J$451),0),
IF('TL05'!$B$3=M$3,SUMIF('TL05'!$C$10:$C$224,$C109,'TL05'!$J$10:$J$224),0),
IF('TL05'!$B$229=M$3,SUMIF('TL05'!$C$238:$C$451,$C109,'TL05'!$J$238:$J$451),0),
IF('TL06'!$B$3=M$3,SUMIF('TL06'!$C$10:$C$224,$C109,'TL06'!$J$10:$J$224),0),
IF('TL06'!$B$229=M$3,SUMIF('TL06'!$C$238:$C$451,$C109,'TL06'!$J$238:$J$451),0),
IF('TL07'!$B$3=M$3,SUMIF('TL07'!$C$10:$C$224,$C109,'TL07'!$J$10:$J$224),0),
IF('TL07'!$B$229=M$3,SUMIF('TL07'!$C$238:$C$451,$C109,'TL07'!$J$238:$J$451),0),
IF('TL08'!$B$3=M$3,SUMIF('TL08'!$C$10:$C$224,$C109,'TL08'!$J$10:$J$224),0),
IF('TL08'!$B$229=M$3,SUMIF('TL08'!$C$238:$C$451,$C109,'TL08'!$J$238:$J$451),0),
IF('TL09'!$B$3=M$3,SUMIF('TL09'!$C$10:$C$224,$C109,'TL09'!$J$10:$J$224),0),
IF('TL09'!$B$229=M$3,SUMIF('TL09'!$C$238:$C$451,$C109,'TL09'!$J$238:$J$451),0),
IF('TL10'!$B$3=M$3,SUMIF('TL10'!$C$10:$C$224,$C109,'TL10'!$J$10:$J$224),0),
IF('TL10'!$B$229=M$3,SUMIF('TL10'!$C$238:$C$451,$C109,'TL10'!$J$238:$J$451),0),
IF('TL11'!$B$3=M$3,SUMIF('TL11'!$C$10:$C$224,$C109,'TL11'!$J$10:$J$224),0),
IF('TL11'!$B$229=M$3,SUMIF('TL11'!$C$238:$C$451,$C109,'TL11'!$J$238:$J$451),0),
IF('TL12'!$B$3=M$3,SUMIF('TL12'!$C$10:$C$224,$C109,'TL12'!$J$10:$J$224),0),
IF('TL12'!$B$229=M$3,SUMIF('TL12'!$C$238:$C$451,$C109,'TL12'!$J$238:$J$451),0),
IF('TL13'!$B$3=M$3,SUMIF('TL13'!$C$10:$C$224,$C109,'TL13'!$J$10:$J$224),0),
IF('TL13'!$B$229=M$3,SUMIF('TL13'!$C$238:$C$451,$C109,'TL13'!$J$238:$J$451),0),
IF('TL14'!$B$3=M$3,SUMIF('TL14'!$C$10:$C$224,$C109,'TL14'!$J$10:$J$224),0),
IF('TL14'!$B$229=M$3,SUMIF('TL14'!$C$238:$C$451,$C109,'TL14'!$J$238:$J$451),0),
IF('TL15'!$B$3=M$3,SUMIF('TL15'!$C$10:$C$224,$C109,'TL15'!$J$10:$J$224),0),
IF('TL15'!$B$229=M$3,SUMIF('TL15'!$C$238:$C$451,$C109,'TL15'!$J$238:$J$451),0),
IF('TL16'!$B$3=M$3,SUMIF('TL16'!$C$10:$C$224,$C109,'TL16'!$J$10:$J$224),0),
IF('TL16'!$B$229=M$3,SUMIF('TL16'!$C$238:$C$451,$C109,'TL16'!$J$238:$J$451),0),
IF('TL17'!$B$3=M$3,SUMIF('TL17'!$C$10:$C$224,$C109,'TL17'!$J$10:$J$224),0),
IF('TL17'!$B$229=M$3,SUMIF('TL17'!$C$238:$C$451,$C109,'TL17'!$J$238:$J$451),0),
IF('TL18'!$B$3=M$3,SUMIF('TL18'!$C$10:$C$224,$C109,'TL18'!$J$10:$J$224),0),
IF('TL18'!$B$229=M$3,SUMIF('TL18'!$C$238:$C$451,$C109,'TL18'!$J$238:$J$451),0),
IF('TL19'!$B$3=M$3,SUMIF('TL19'!$C$10:$C$224,$C109,'TL19'!$J$10:$J$224),0),
IF('TL19'!$B$229=M$3,SUMIF('TL19'!$C$238:$C$451,$C109,'TL19'!$J$238:$J$451),0)
),0)</f>
        <v/>
      </c>
      <c r="N109" s="9">
        <f>IFERROR(SUM(
IF('TL01'!$B$3=N$3,SUMIF('TL01'!$C$10:$C$224,$C109,'TL01'!$J$10:$J$224),0),
IF('TL01'!$B$229=N$3,SUMIF('TL01'!$C$238:$C$451,$C109,'TL01'!$J$238:$J$451),0),
IF('TL02'!$B$3=N$3,SUMIF('TL02'!$C$10:$C$224,$C109,'TL02'!$J$10:$J$224),0),
IF('TL02'!$B$229=N$3,SUMIF('TL02'!$C$238:$C$451,$C109,'TL02'!$J$238:$J$451),0),
IF('TL03'!$B$3=N$3,SUMIF('TL03'!$C$10:$C$224,$C109,'TL03'!$J$10:$J$224),0),
IF('TL03'!$B$229=N$3,SUMIF('TL03'!$C$238:$C$451,$C109,'TL03'!$J$238:$J$451),0),
IF('TL04'!$B$3=N$3,SUMIF('TL04'!$C$10:$C$224,$C109,'TL04'!$J$10:$J$224),0),
IF('TL04'!$B$229=N$3,SUMIF('TL04'!$C$238:$C$451,$C109,'TL04'!$J$238:$J$451),0),
IF('TL05'!$B$3=N$3,SUMIF('TL05'!$C$10:$C$224,$C109,'TL05'!$J$10:$J$224),0),
IF('TL05'!$B$229=N$3,SUMIF('TL05'!$C$238:$C$451,$C109,'TL05'!$J$238:$J$451),0),
IF('TL06'!$B$3=N$3,SUMIF('TL06'!$C$10:$C$224,$C109,'TL06'!$J$10:$J$224),0),
IF('TL06'!$B$229=N$3,SUMIF('TL06'!$C$238:$C$451,$C109,'TL06'!$J$238:$J$451),0),
IF('TL07'!$B$3=N$3,SUMIF('TL07'!$C$10:$C$224,$C109,'TL07'!$J$10:$J$224),0),
IF('TL07'!$B$229=N$3,SUMIF('TL07'!$C$238:$C$451,$C109,'TL07'!$J$238:$J$451),0),
IF('TL08'!$B$3=N$3,SUMIF('TL08'!$C$10:$C$224,$C109,'TL08'!$J$10:$J$224),0),
IF('TL08'!$B$229=N$3,SUMIF('TL08'!$C$238:$C$451,$C109,'TL08'!$J$238:$J$451),0),
IF('TL09'!$B$3=N$3,SUMIF('TL09'!$C$10:$C$224,$C109,'TL09'!$J$10:$J$224),0),
IF('TL09'!$B$229=N$3,SUMIF('TL09'!$C$238:$C$451,$C109,'TL09'!$J$238:$J$451),0),
IF('TL10'!$B$3=N$3,SUMIF('TL10'!$C$10:$C$224,$C109,'TL10'!$J$10:$J$224),0),
IF('TL10'!$B$229=N$3,SUMIF('TL10'!$C$238:$C$451,$C109,'TL10'!$J$238:$J$451),0),
IF('TL11'!$B$3=N$3,SUMIF('TL11'!$C$10:$C$224,$C109,'TL11'!$J$10:$J$224),0),
IF('TL11'!$B$229=N$3,SUMIF('TL11'!$C$238:$C$451,$C109,'TL11'!$J$238:$J$451),0),
IF('TL12'!$B$3=N$3,SUMIF('TL12'!$C$10:$C$224,$C109,'TL12'!$J$10:$J$224),0),
IF('TL12'!$B$229=N$3,SUMIF('TL12'!$C$238:$C$451,$C109,'TL12'!$J$238:$J$451),0),
IF('TL13'!$B$3=N$3,SUMIF('TL13'!$C$10:$C$224,$C109,'TL13'!$J$10:$J$224),0),
IF('TL13'!$B$229=N$3,SUMIF('TL13'!$C$238:$C$451,$C109,'TL13'!$J$238:$J$451),0),
IF('TL14'!$B$3=N$3,SUMIF('TL14'!$C$10:$C$224,$C109,'TL14'!$J$10:$J$224),0),
IF('TL14'!$B$229=N$3,SUMIF('TL14'!$C$238:$C$451,$C109,'TL14'!$J$238:$J$451),0),
IF('TL15'!$B$3=N$3,SUMIF('TL15'!$C$10:$C$224,$C109,'TL15'!$J$10:$J$224),0),
IF('TL15'!$B$229=N$3,SUMIF('TL15'!$C$238:$C$451,$C109,'TL15'!$J$238:$J$451),0),
IF('TL16'!$B$3=N$3,SUMIF('TL16'!$C$10:$C$224,$C109,'TL16'!$J$10:$J$224),0),
IF('TL16'!$B$229=N$3,SUMIF('TL16'!$C$238:$C$451,$C109,'TL16'!$J$238:$J$451),0),
IF('TL17'!$B$3=N$3,SUMIF('TL17'!$C$10:$C$224,$C109,'TL17'!$J$10:$J$224),0),
IF('TL17'!$B$229=N$3,SUMIF('TL17'!$C$238:$C$451,$C109,'TL17'!$J$238:$J$451),0),
IF('TL18'!$B$3=N$3,SUMIF('TL18'!$C$10:$C$224,$C109,'TL18'!$J$10:$J$224),0),
IF('TL18'!$B$229=N$3,SUMIF('TL18'!$C$238:$C$451,$C109,'TL18'!$J$238:$J$451),0),
IF('TL19'!$B$3=N$3,SUMIF('TL19'!$C$10:$C$224,$C109,'TL19'!$J$10:$J$224),0),
IF('TL19'!$B$229=N$3,SUMIF('TL19'!$C$238:$C$451,$C109,'TL19'!$J$238:$J$451),0)
),0)</f>
        <v/>
      </c>
      <c r="O109" s="9">
        <f>IFERROR(SUM(
IF('TL01'!$B$3=O$3,SUMIF('TL01'!$C$10:$C$224,$C109,'TL01'!$J$10:$J$224),0),
IF('TL01'!$B$229=O$3,SUMIF('TL01'!$C$238:$C$451,$C109,'TL01'!$J$238:$J$451),0),
IF('TL02'!$B$3=O$3,SUMIF('TL02'!$C$10:$C$224,$C109,'TL02'!$J$10:$J$224),0),
IF('TL02'!$B$229=O$3,SUMIF('TL02'!$C$238:$C$451,$C109,'TL02'!$J$238:$J$451),0),
IF('TL03'!$B$3=O$3,SUMIF('TL03'!$C$10:$C$224,$C109,'TL03'!$J$10:$J$224),0),
IF('TL03'!$B$229=O$3,SUMIF('TL03'!$C$238:$C$451,$C109,'TL03'!$J$238:$J$451),0),
IF('TL04'!$B$3=O$3,SUMIF('TL04'!$C$10:$C$224,$C109,'TL04'!$J$10:$J$224),0),
IF('TL04'!$B$229=O$3,SUMIF('TL04'!$C$238:$C$451,$C109,'TL04'!$J$238:$J$451),0),
IF('TL05'!$B$3=O$3,SUMIF('TL05'!$C$10:$C$224,$C109,'TL05'!$J$10:$J$224),0),
IF('TL05'!$B$229=O$3,SUMIF('TL05'!$C$238:$C$451,$C109,'TL05'!$J$238:$J$451),0),
IF('TL06'!$B$3=O$3,SUMIF('TL06'!$C$10:$C$224,$C109,'TL06'!$J$10:$J$224),0),
IF('TL06'!$B$229=O$3,SUMIF('TL06'!$C$238:$C$451,$C109,'TL06'!$J$238:$J$451),0),
IF('TL07'!$B$3=O$3,SUMIF('TL07'!$C$10:$C$224,$C109,'TL07'!$J$10:$J$224),0),
IF('TL07'!$B$229=O$3,SUMIF('TL07'!$C$238:$C$451,$C109,'TL07'!$J$238:$J$451),0),
IF('TL08'!$B$3=O$3,SUMIF('TL08'!$C$10:$C$224,$C109,'TL08'!$J$10:$J$224),0),
IF('TL08'!$B$229=O$3,SUMIF('TL08'!$C$238:$C$451,$C109,'TL08'!$J$238:$J$451),0),
IF('TL09'!$B$3=O$3,SUMIF('TL09'!$C$10:$C$224,$C109,'TL09'!$J$10:$J$224),0),
IF('TL09'!$B$229=O$3,SUMIF('TL09'!$C$238:$C$451,$C109,'TL09'!$J$238:$J$451),0),
IF('TL10'!$B$3=O$3,SUMIF('TL10'!$C$10:$C$224,$C109,'TL10'!$J$10:$J$224),0),
IF('TL10'!$B$229=O$3,SUMIF('TL10'!$C$238:$C$451,$C109,'TL10'!$J$238:$J$451),0),
IF('TL11'!$B$3=O$3,SUMIF('TL11'!$C$10:$C$224,$C109,'TL11'!$J$10:$J$224),0),
IF('TL11'!$B$229=O$3,SUMIF('TL11'!$C$238:$C$451,$C109,'TL11'!$J$238:$J$451),0),
IF('TL12'!$B$3=O$3,SUMIF('TL12'!$C$10:$C$224,$C109,'TL12'!$J$10:$J$224),0),
IF('TL12'!$B$229=O$3,SUMIF('TL12'!$C$238:$C$451,$C109,'TL12'!$J$238:$J$451),0),
IF('TL13'!$B$3=O$3,SUMIF('TL13'!$C$10:$C$224,$C109,'TL13'!$J$10:$J$224),0),
IF('TL13'!$B$229=O$3,SUMIF('TL13'!$C$238:$C$451,$C109,'TL13'!$J$238:$J$451),0),
IF('TL14'!$B$3=O$3,SUMIF('TL14'!$C$10:$C$224,$C109,'TL14'!$J$10:$J$224),0),
IF('TL14'!$B$229=O$3,SUMIF('TL14'!$C$238:$C$451,$C109,'TL14'!$J$238:$J$451),0),
IF('TL15'!$B$3=O$3,SUMIF('TL15'!$C$10:$C$224,$C109,'TL15'!$J$10:$J$224),0),
IF('TL15'!$B$229=O$3,SUMIF('TL15'!$C$238:$C$451,$C109,'TL15'!$J$238:$J$451),0),
IF('TL16'!$B$3=O$3,SUMIF('TL16'!$C$10:$C$224,$C109,'TL16'!$J$10:$J$224),0),
IF('TL16'!$B$229=O$3,SUMIF('TL16'!$C$238:$C$451,$C109,'TL16'!$J$238:$J$451),0),
IF('TL17'!$B$3=O$3,SUMIF('TL17'!$C$10:$C$224,$C109,'TL17'!$J$10:$J$224),0),
IF('TL17'!$B$229=O$3,SUMIF('TL17'!$C$238:$C$451,$C109,'TL17'!$J$238:$J$451),0),
IF('TL18'!$B$3=O$3,SUMIF('TL18'!$C$10:$C$224,$C109,'TL18'!$J$10:$J$224),0),
IF('TL18'!$B$229=O$3,SUMIF('TL18'!$C$238:$C$451,$C109,'TL18'!$J$238:$J$451),0),
IF('TL19'!$B$3=O$3,SUMIF('TL19'!$C$10:$C$224,$C109,'TL19'!$J$10:$J$224),0),
IF('TL19'!$B$229=O$3,SUMIF('TL19'!$C$238:$C$451,$C109,'TL19'!$J$238:$J$451),0)
),0)</f>
        <v/>
      </c>
      <c r="P109" s="9">
        <f>IFERROR(SUM(
IF('TL01'!$B$3=P$3,SUMIF('TL01'!$C$10:$C$224,$C109,'TL01'!$J$10:$J$224),0),
IF('TL01'!$B$229=P$3,SUMIF('TL01'!$C$238:$C$451,$C109,'TL01'!$J$238:$J$451),0),
IF('TL02'!$B$3=P$3,SUMIF('TL02'!$C$10:$C$224,$C109,'TL02'!$J$10:$J$224),0),
IF('TL02'!$B$229=P$3,SUMIF('TL02'!$C$238:$C$451,$C109,'TL02'!$J$238:$J$451),0),
IF('TL03'!$B$3=P$3,SUMIF('TL03'!$C$10:$C$224,$C109,'TL03'!$J$10:$J$224),0),
IF('TL03'!$B$229=P$3,SUMIF('TL03'!$C$238:$C$451,$C109,'TL03'!$J$238:$J$451),0),
IF('TL04'!$B$3=P$3,SUMIF('TL04'!$C$10:$C$224,$C109,'TL04'!$J$10:$J$224),0),
IF('TL04'!$B$229=P$3,SUMIF('TL04'!$C$238:$C$451,$C109,'TL04'!$J$238:$J$451),0),
IF('TL05'!$B$3=P$3,SUMIF('TL05'!$C$10:$C$224,$C109,'TL05'!$J$10:$J$224),0),
IF('TL05'!$B$229=P$3,SUMIF('TL05'!$C$238:$C$451,$C109,'TL05'!$J$238:$J$451),0),
IF('TL06'!$B$3=P$3,SUMIF('TL06'!$C$10:$C$224,$C109,'TL06'!$J$10:$J$224),0),
IF('TL06'!$B$229=P$3,SUMIF('TL06'!$C$238:$C$451,$C109,'TL06'!$J$238:$J$451),0),
IF('TL07'!$B$3=P$3,SUMIF('TL07'!$C$10:$C$224,$C109,'TL07'!$J$10:$J$224),0),
IF('TL07'!$B$229=P$3,SUMIF('TL07'!$C$238:$C$451,$C109,'TL07'!$J$238:$J$451),0),
IF('TL08'!$B$3=P$3,SUMIF('TL08'!$C$10:$C$224,$C109,'TL08'!$J$10:$J$224),0),
IF('TL08'!$B$229=P$3,SUMIF('TL08'!$C$238:$C$451,$C109,'TL08'!$J$238:$J$451),0),
IF('TL09'!$B$3=P$3,SUMIF('TL09'!$C$10:$C$224,$C109,'TL09'!$J$10:$J$224),0),
IF('TL09'!$B$229=P$3,SUMIF('TL09'!$C$238:$C$451,$C109,'TL09'!$J$238:$J$451),0),
IF('TL10'!$B$3=P$3,SUMIF('TL10'!$C$10:$C$224,$C109,'TL10'!$J$10:$J$224),0),
IF('TL10'!$B$229=P$3,SUMIF('TL10'!$C$238:$C$451,$C109,'TL10'!$J$238:$J$451),0),
IF('TL11'!$B$3=P$3,SUMIF('TL11'!$C$10:$C$224,$C109,'TL11'!$J$10:$J$224),0),
IF('TL11'!$B$229=P$3,SUMIF('TL11'!$C$238:$C$451,$C109,'TL11'!$J$238:$J$451),0),
IF('TL12'!$B$3=P$3,SUMIF('TL12'!$C$10:$C$224,$C109,'TL12'!$J$10:$J$224),0),
IF('TL12'!$B$229=P$3,SUMIF('TL12'!$C$238:$C$451,$C109,'TL12'!$J$238:$J$451),0),
IF('TL13'!$B$3=P$3,SUMIF('TL13'!$C$10:$C$224,$C109,'TL13'!$J$10:$J$224),0),
IF('TL13'!$B$229=P$3,SUMIF('TL13'!$C$238:$C$451,$C109,'TL13'!$J$238:$J$451),0),
IF('TL14'!$B$3=P$3,SUMIF('TL14'!$C$10:$C$224,$C109,'TL14'!$J$10:$J$224),0),
IF('TL14'!$B$229=P$3,SUMIF('TL14'!$C$238:$C$451,$C109,'TL14'!$J$238:$J$451),0),
IF('TL15'!$B$3=P$3,SUMIF('TL15'!$C$10:$C$224,$C109,'TL15'!$J$10:$J$224),0),
IF('TL15'!$B$229=P$3,SUMIF('TL15'!$C$238:$C$451,$C109,'TL15'!$J$238:$J$451),0),
IF('TL16'!$B$3=P$3,SUMIF('TL16'!$C$10:$C$224,$C109,'TL16'!$J$10:$J$224),0),
IF('TL16'!$B$229=P$3,SUMIF('TL16'!$C$238:$C$451,$C109,'TL16'!$J$238:$J$451),0),
IF('TL17'!$B$3=P$3,SUMIF('TL17'!$C$10:$C$224,$C109,'TL17'!$J$10:$J$224),0),
IF('TL17'!$B$229=P$3,SUMIF('TL17'!$C$238:$C$451,$C109,'TL17'!$J$238:$J$451),0),
IF('TL18'!$B$3=P$3,SUMIF('TL18'!$C$10:$C$224,$C109,'TL18'!$J$10:$J$224),0),
IF('TL18'!$B$229=P$3,SUMIF('TL18'!$C$238:$C$451,$C109,'TL18'!$J$238:$J$451),0),
IF('TL19'!$B$3=P$3,SUMIF('TL19'!$C$10:$C$224,$C109,'TL19'!$J$10:$J$224),0),
IF('TL19'!$B$229=P$3,SUMIF('TL19'!$C$238:$C$451,$C109,'TL19'!$J$238:$J$451),0)
),0)</f>
        <v/>
      </c>
      <c r="Q109" s="9">
        <f>IFERROR(SUM(
IF('TL01'!$B$3=Q$3,SUMIF('TL01'!$C$10:$C$224,$C109,'TL01'!$J$10:$J$224),0),
IF('TL01'!$B$229=Q$3,SUMIF('TL01'!$C$238:$C$451,$C109,'TL01'!$J$238:$J$451),0),
IF('TL02'!$B$3=Q$3,SUMIF('TL02'!$C$10:$C$224,$C109,'TL02'!$J$10:$J$224),0),
IF('TL02'!$B$229=Q$3,SUMIF('TL02'!$C$238:$C$451,$C109,'TL02'!$J$238:$J$451),0),
IF('TL03'!$B$3=Q$3,SUMIF('TL03'!$C$10:$C$224,$C109,'TL03'!$J$10:$J$224),0),
IF('TL03'!$B$229=Q$3,SUMIF('TL03'!$C$238:$C$451,$C109,'TL03'!$J$238:$J$451),0),
IF('TL04'!$B$3=Q$3,SUMIF('TL04'!$C$10:$C$224,$C109,'TL04'!$J$10:$J$224),0),
IF('TL04'!$B$229=Q$3,SUMIF('TL04'!$C$238:$C$451,$C109,'TL04'!$J$238:$J$451),0),
IF('TL05'!$B$3=Q$3,SUMIF('TL05'!$C$10:$C$224,$C109,'TL05'!$J$10:$J$224),0),
IF('TL05'!$B$229=Q$3,SUMIF('TL05'!$C$238:$C$451,$C109,'TL05'!$J$238:$J$451),0),
IF('TL06'!$B$3=Q$3,SUMIF('TL06'!$C$10:$C$224,$C109,'TL06'!$J$10:$J$224),0),
IF('TL06'!$B$229=Q$3,SUMIF('TL06'!$C$238:$C$451,$C109,'TL06'!$J$238:$J$451),0),
IF('TL07'!$B$3=Q$3,SUMIF('TL07'!$C$10:$C$224,$C109,'TL07'!$J$10:$J$224),0),
IF('TL07'!$B$229=Q$3,SUMIF('TL07'!$C$238:$C$451,$C109,'TL07'!$J$238:$J$451),0),
IF('TL08'!$B$3=Q$3,SUMIF('TL08'!$C$10:$C$224,$C109,'TL08'!$J$10:$J$224),0),
IF('TL08'!$B$229=Q$3,SUMIF('TL08'!$C$238:$C$451,$C109,'TL08'!$J$238:$J$451),0),
IF('TL09'!$B$3=Q$3,SUMIF('TL09'!$C$10:$C$224,$C109,'TL09'!$J$10:$J$224),0),
IF('TL09'!$B$229=Q$3,SUMIF('TL09'!$C$238:$C$451,$C109,'TL09'!$J$238:$J$451),0),
IF('TL10'!$B$3=Q$3,SUMIF('TL10'!$C$10:$C$224,$C109,'TL10'!$J$10:$J$224),0),
IF('TL10'!$B$229=Q$3,SUMIF('TL10'!$C$238:$C$451,$C109,'TL10'!$J$238:$J$451),0),
IF('TL11'!$B$3=Q$3,SUMIF('TL11'!$C$10:$C$224,$C109,'TL11'!$J$10:$J$224),0),
IF('TL11'!$B$229=Q$3,SUMIF('TL11'!$C$238:$C$451,$C109,'TL11'!$J$238:$J$451),0),
IF('TL12'!$B$3=Q$3,SUMIF('TL12'!$C$10:$C$224,$C109,'TL12'!$J$10:$J$224),0),
IF('TL12'!$B$229=Q$3,SUMIF('TL12'!$C$238:$C$451,$C109,'TL12'!$J$238:$J$451),0),
IF('TL13'!$B$3=Q$3,SUMIF('TL13'!$C$10:$C$224,$C109,'TL13'!$J$10:$J$224),0),
IF('TL13'!$B$229=Q$3,SUMIF('TL13'!$C$238:$C$451,$C109,'TL13'!$J$238:$J$451),0),
IF('TL14'!$B$3=Q$3,SUMIF('TL14'!$C$10:$C$224,$C109,'TL14'!$J$10:$J$224),0),
IF('TL14'!$B$229=Q$3,SUMIF('TL14'!$C$238:$C$451,$C109,'TL14'!$J$238:$J$451),0),
IF('TL15'!$B$3=Q$3,SUMIF('TL15'!$C$10:$C$224,$C109,'TL15'!$J$10:$J$224),0),
IF('TL15'!$B$229=Q$3,SUMIF('TL15'!$C$238:$C$451,$C109,'TL15'!$J$238:$J$451),0),
IF('TL16'!$B$3=Q$3,SUMIF('TL16'!$C$10:$C$224,$C109,'TL16'!$J$10:$J$224),0),
IF('TL16'!$B$229=Q$3,SUMIF('TL16'!$C$238:$C$451,$C109,'TL16'!$J$238:$J$451),0),
IF('TL17'!$B$3=Q$3,SUMIF('TL17'!$C$10:$C$224,$C109,'TL17'!$J$10:$J$224),0),
IF('TL17'!$B$229=Q$3,SUMIF('TL17'!$C$238:$C$451,$C109,'TL17'!$J$238:$J$451),0),
IF('TL18'!$B$3=Q$3,SUMIF('TL18'!$C$10:$C$224,$C109,'TL18'!$J$10:$J$224),0),
IF('TL18'!$B$229=Q$3,SUMIF('TL18'!$C$238:$C$451,$C109,'TL18'!$J$238:$J$451),0),
IF('TL19'!$B$3=Q$3,SUMIF('TL19'!$C$10:$C$224,$C109,'TL19'!$J$10:$J$224),0),
IF('TL19'!$B$229=Q$3,SUMIF('TL19'!$C$238:$C$451,$C109,'TL19'!$J$238:$J$451),0)
),0)</f>
        <v/>
      </c>
      <c r="R109" s="9">
        <f>IFERROR(
SUM(
SUMIF('TL01'!C:C,C109,'TL01'!J:J),
SUMIF('TL02'!C:C,C109,'TL02'!J:J),
SUMIF('TL03'!C:C,C109,'TL03'!J:J),
SUMIF('TL04'!C:C,C109,'TL04'!J:J),
SUMIF('TL05'!C:C,C109,'TL05'!J:J),
SUMIF('TL06'!C:C,C109,'TL06'!J:J),
SUMIF('TL07'!C:C,C109,'TL07'!J:J),
SUMIF('TL08'!C:C,C109,'TL08'!J:J),
SUMIF('TL09'!C:C,C109,'TL09'!J:J),
SUMIF('TL10'!C:C,C109,'TL10'!J:J),
SUMIF('TL11'!C:C,C109,'TL11'!J:J),
SUMIF('TL12'!C:C,C109,'TL12'!J:J),
SUMIF('TL13'!C:C,C109,'TL13'!J:J),
SUMIF('TL14'!C:C,C109,'TL14'!J:J),
SUMIF('TL15'!C:C,C109,'TL15'!J:J),
SUMIF('TL16'!C:C,C109,'TL16'!J:J),
SUMIF('TL17'!C:C,C109,'TL17'!J:J),
SUMIF('TL18'!C:C,C109,'TL18'!J:J),SUMIF('TL19'!C:C,C109,'TL19'!J:J))
,0)</f>
        <v/>
      </c>
      <c r="S109" s="17">
        <f>IFERROR(__xludf.DUMMYFUNCTION("IFERROR(VLOOKUP(C109,
IMPORTRANGE(""1wULbzX32WdYsx-lj2U3uUNBBe2INVIRDtcK0d-Dvl90"",
""26-27!C:G""),
5,
FALSE),
"""")"),47.783519999999996)</f>
        <v/>
      </c>
      <c r="T109" s="9" t="n"/>
      <c r="U109" s="92">
        <f>MAX(0,R109-T109)</f>
        <v/>
      </c>
      <c r="V109" s="93">
        <f>U109*S109</f>
        <v/>
      </c>
    </row>
    <row r="110" hidden="1" ht="15.75" customHeight="1" s="297">
      <c r="A110" s="115" t="inlineStr">
        <is>
          <t>ADAMA</t>
        </is>
      </c>
      <c r="B110" s="100" t="inlineStr">
        <is>
          <t>HERBICIDA</t>
        </is>
      </c>
      <c r="C110" s="116" t="inlineStr">
        <is>
          <t>POQUER</t>
        </is>
      </c>
      <c r="D110" s="116" t="inlineStr">
        <is>
          <t>CLETODIM</t>
        </is>
      </c>
      <c r="E110" s="116" t="n">
        <v>240</v>
      </c>
      <c r="F110" s="4" t="inlineStr">
        <is>
          <t>L</t>
        </is>
      </c>
      <c r="G110" s="90">
        <f>HYPERLINK("https://www.google.com/search?q=" &amp; C110 &amp; "+bula+agrofit+pdf", "📄 Ver bula")</f>
        <v/>
      </c>
      <c r="H110" s="9">
        <f>IFERROR(__xludf.DUMMYFUNCTION("IFERROR(VLOOKUP(C110,
IMPORTRANGE(""1wULbzX32WdYsx-lj2U3uUNBBe2INVIRDtcK0d-Dvl90"",
""26-27!C:K""),
8,
FALSE),
"""")"),0.4)</f>
        <v/>
      </c>
      <c r="I110" s="117" t="inlineStr">
        <is>
          <t>1x20</t>
        </is>
      </c>
      <c r="J110" s="9">
        <f>IFERROR(SUM(
IF('TL01'!$B$3=J$3,SUMIF('TL01'!$C$10:$C$224,$C110,'TL01'!$J$10:$J$224),0),
IF('TL01'!$B$229=J$3,SUMIF('TL01'!$C$238:$C$451,$C110,'TL01'!$J$238:$J$451),0),
IF('TL02'!$B$3=J$3,SUMIF('TL02'!$C$10:$C$224,$C110,'TL02'!$J$10:$J$224),0),
IF('TL02'!$B$229=J$3,SUMIF('TL02'!$C$238:$C$451,$C110,'TL02'!$J$238:$J$451),0),
IF('TL03'!$B$3=J$3,SUMIF('TL03'!$C$10:$C$224,$C110,'TL03'!$J$10:$J$224),0),
IF('TL03'!$B$229=J$3,SUMIF('TL03'!$C$238:$C$451,$C110,'TL03'!$J$238:$J$451),0),
IF('TL04'!$B$3=J$3,SUMIF('TL04'!$C$10:$C$224,$C110,'TL04'!$J$10:$J$224),0),
IF('TL04'!$B$229=J$3,SUMIF('TL04'!$C$238:$C$451,$C110,'TL04'!$J$238:$J$451),0),
IF('TL05'!$B$3=J$3,SUMIF('TL05'!$C$10:$C$224,$C110,'TL05'!$J$10:$J$224),0),
IF('TL05'!$B$229=J$3,SUMIF('TL05'!$C$238:$C$451,$C110,'TL05'!$J$238:$J$451),0),
IF('TL06'!$B$3=J$3,SUMIF('TL06'!$C$10:$C$224,$C110,'TL06'!$J$10:$J$224),0),
IF('TL06'!$B$229=J$3,SUMIF('TL06'!$C$238:$C$451,$C110,'TL06'!$J$238:$J$451),0),
IF('TL07'!$B$3=J$3,SUMIF('TL07'!$C$10:$C$224,$C110,'TL07'!$J$10:$J$224),0),
IF('TL07'!$B$229=J$3,SUMIF('TL07'!$C$238:$C$451,$C110,'TL07'!$J$238:$J$451),0),
IF('TL08'!$B$3=J$3,SUMIF('TL08'!$C$10:$C$224,$C110,'TL08'!$J$10:$J$224),0),
IF('TL08'!$B$229=J$3,SUMIF('TL08'!$C$238:$C$451,$C110,'TL08'!$J$238:$J$451),0),
IF('TL09'!$B$3=J$3,SUMIF('TL09'!$C$10:$C$224,$C110,'TL09'!$J$10:$J$224),0),
IF('TL09'!$B$229=J$3,SUMIF('TL09'!$C$238:$C$451,$C110,'TL09'!$J$238:$J$451),0),
IF('TL10'!$B$3=J$3,SUMIF('TL10'!$C$10:$C$224,$C110,'TL10'!$J$10:$J$224),0),
IF('TL10'!$B$229=J$3,SUMIF('TL10'!$C$238:$C$451,$C110,'TL10'!$J$238:$J$451),0),
IF('TL11'!$B$3=J$3,SUMIF('TL11'!$C$10:$C$224,$C110,'TL11'!$J$10:$J$224),0),
IF('TL11'!$B$229=J$3,SUMIF('TL11'!$C$238:$C$451,$C110,'TL11'!$J$238:$J$451),0),
IF('TL12'!$B$3=J$3,SUMIF('TL12'!$C$10:$C$224,$C110,'TL12'!$J$10:$J$224),0),
IF('TL12'!$B$229=J$3,SUMIF('TL12'!$C$238:$C$451,$C110,'TL12'!$J$238:$J$451),0),
IF('TL13'!$B$3=J$3,SUMIF('TL13'!$C$10:$C$224,$C110,'TL13'!$J$10:$J$224),0),
IF('TL13'!$B$229=J$3,SUMIF('TL13'!$C$238:$C$451,$C110,'TL13'!$J$238:$J$451),0),
IF('TL14'!$B$3=J$3,SUMIF('TL14'!$C$10:$C$224,$C110,'TL14'!$J$10:$J$224),0),
IF('TL14'!$B$229=J$3,SUMIF('TL14'!$C$238:$C$451,$C110,'TL14'!$J$238:$J$451),0),
IF('TL15'!$B$3=J$3,SUMIF('TL15'!$C$10:$C$224,$C110,'TL15'!$J$10:$J$224),0),
IF('TL15'!$B$229=J$3,SUMIF('TL15'!$C$238:$C$451,$C110,'TL15'!$J$238:$J$451),0),
IF('TL16'!$B$3=J$3,SUMIF('TL16'!$C$10:$C$224,$C110,'TL16'!$J$10:$J$224),0),
IF('TL16'!$B$229=J$3,SUMIF('TL16'!$C$238:$C$451,$C110,'TL16'!$J$238:$J$451),0),
IF('TL17'!$B$3=J$3,SUMIF('TL17'!$C$10:$C$224,$C110,'TL17'!$J$10:$J$224),0),
IF('TL17'!$B$229=J$3,SUMIF('TL17'!$C$238:$C$451,$C110,'TL17'!$J$238:$J$451),0),
IF('TL18'!$B$3=J$3,SUMIF('TL18'!$C$10:$C$224,$C110,'TL18'!$J$10:$J$224),0),
IF('TL18'!$B$229=J$3,SUMIF('TL18'!$C$238:$C$451,$C110,'TL18'!$J$238:$J$451),0),
IF('TL19'!$B$3=J$3,SUMIF('TL19'!$C$10:$C$224,$C110,'TL19'!$J$10:$J$224),0),
IF('TL19'!$B$229=J$3,SUMIF('TL19'!$C$238:$C$451,$C110,'TL19'!$J$238:$J$451),0)
),0)</f>
        <v/>
      </c>
      <c r="K110" s="9">
        <f>IFERROR(SUM(
IF('TL01'!$B$3=K$3,SUMIF('TL01'!$C$10:$C$224,$C110,'TL01'!$J$10:$J$224),0),
IF('TL01'!$B$229=K$3,SUMIF('TL01'!$C$238:$C$451,$C110,'TL01'!$J$238:$J$451),0),
IF('TL02'!$B$3=K$3,SUMIF('TL02'!$C$10:$C$224,$C110,'TL02'!$J$10:$J$224),0),
IF('TL02'!$B$229=K$3,SUMIF('TL02'!$C$238:$C$451,$C110,'TL02'!$J$238:$J$451),0),
IF('TL03'!$B$3=K$3,SUMIF('TL03'!$C$10:$C$224,$C110,'TL03'!$J$10:$J$224),0),
IF('TL03'!$B$229=K$3,SUMIF('TL03'!$C$238:$C$451,$C110,'TL03'!$J$238:$J$451),0),
IF('TL04'!$B$3=K$3,SUMIF('TL04'!$C$10:$C$224,$C110,'TL04'!$J$10:$J$224),0),
IF('TL04'!$B$229=K$3,SUMIF('TL04'!$C$238:$C$451,$C110,'TL04'!$J$238:$J$451),0),
IF('TL05'!$B$3=K$3,SUMIF('TL05'!$C$10:$C$224,$C110,'TL05'!$J$10:$J$224),0),
IF('TL05'!$B$229=K$3,SUMIF('TL05'!$C$238:$C$451,$C110,'TL05'!$J$238:$J$451),0),
IF('TL06'!$B$3=K$3,SUMIF('TL06'!$C$10:$C$224,$C110,'TL06'!$J$10:$J$224),0),
IF('TL06'!$B$229=K$3,SUMIF('TL06'!$C$238:$C$451,$C110,'TL06'!$J$238:$J$451),0),
IF('TL07'!$B$3=K$3,SUMIF('TL07'!$C$10:$C$224,$C110,'TL07'!$J$10:$J$224),0),
IF('TL07'!$B$229=K$3,SUMIF('TL07'!$C$238:$C$451,$C110,'TL07'!$J$238:$J$451),0),
IF('TL08'!$B$3=K$3,SUMIF('TL08'!$C$10:$C$224,$C110,'TL08'!$J$10:$J$224),0),
IF('TL08'!$B$229=K$3,SUMIF('TL08'!$C$238:$C$451,$C110,'TL08'!$J$238:$J$451),0),
IF('TL09'!$B$3=K$3,SUMIF('TL09'!$C$10:$C$224,$C110,'TL09'!$J$10:$J$224),0),
IF('TL09'!$B$229=K$3,SUMIF('TL09'!$C$238:$C$451,$C110,'TL09'!$J$238:$J$451),0),
IF('TL10'!$B$3=K$3,SUMIF('TL10'!$C$10:$C$224,$C110,'TL10'!$J$10:$J$224),0),
IF('TL10'!$B$229=K$3,SUMIF('TL10'!$C$238:$C$451,$C110,'TL10'!$J$238:$J$451),0),
IF('TL11'!$B$3=K$3,SUMIF('TL11'!$C$10:$C$224,$C110,'TL11'!$J$10:$J$224),0),
IF('TL11'!$B$229=K$3,SUMIF('TL11'!$C$238:$C$451,$C110,'TL11'!$J$238:$J$451),0),
IF('TL12'!$B$3=K$3,SUMIF('TL12'!$C$10:$C$224,$C110,'TL12'!$J$10:$J$224),0),
IF('TL12'!$B$229=K$3,SUMIF('TL12'!$C$238:$C$451,$C110,'TL12'!$J$238:$J$451),0),
IF('TL13'!$B$3=K$3,SUMIF('TL13'!$C$10:$C$224,$C110,'TL13'!$J$10:$J$224),0),
IF('TL13'!$B$229=K$3,SUMIF('TL13'!$C$238:$C$451,$C110,'TL13'!$J$238:$J$451),0),
IF('TL14'!$B$3=K$3,SUMIF('TL14'!$C$10:$C$224,$C110,'TL14'!$J$10:$J$224),0),
IF('TL14'!$B$229=K$3,SUMIF('TL14'!$C$238:$C$451,$C110,'TL14'!$J$238:$J$451),0),
IF('TL15'!$B$3=K$3,SUMIF('TL15'!$C$10:$C$224,$C110,'TL15'!$J$10:$J$224),0),
IF('TL15'!$B$229=K$3,SUMIF('TL15'!$C$238:$C$451,$C110,'TL15'!$J$238:$J$451),0),
IF('TL16'!$B$3=K$3,SUMIF('TL16'!$C$10:$C$224,$C110,'TL16'!$J$10:$J$224),0),
IF('TL16'!$B$229=K$3,SUMIF('TL16'!$C$238:$C$451,$C110,'TL16'!$J$238:$J$451),0),
IF('TL17'!$B$3=K$3,SUMIF('TL17'!$C$10:$C$224,$C110,'TL17'!$J$10:$J$224),0),
IF('TL17'!$B$229=K$3,SUMIF('TL17'!$C$238:$C$451,$C110,'TL17'!$J$238:$J$451),0),
IF('TL18'!$B$3=K$3,SUMIF('TL18'!$C$10:$C$224,$C110,'TL18'!$J$10:$J$224),0),
IF('TL18'!$B$229=K$3,SUMIF('TL18'!$C$238:$C$451,$C110,'TL18'!$J$238:$J$451),0),
IF('TL19'!$B$3=K$3,SUMIF('TL19'!$C$10:$C$224,$C110,'TL19'!$J$10:$J$224),0),
IF('TL19'!$B$229=K$3,SUMIF('TL19'!$C$238:$C$451,$C110,'TL19'!$J$238:$J$451),0)
),0)</f>
        <v/>
      </c>
      <c r="L110" s="9">
        <f>IFERROR(SUM(
IF('TL01'!$B$3=L$3,SUMIF('TL01'!$C$10:$C$224,$C110,'TL01'!$J$10:$J$224),0),
IF('TL01'!$B$229=L$3,SUMIF('TL01'!$C$238:$C$451,$C110,'TL01'!$J$238:$J$451),0),
IF('TL02'!$B$3=L$3,SUMIF('TL02'!$C$10:$C$224,$C110,'TL02'!$J$10:$J$224),0),
IF('TL02'!$B$229=L$3,SUMIF('TL02'!$C$238:$C$451,$C110,'TL02'!$J$238:$J$451),0),
IF('TL03'!$B$3=L$3,SUMIF('TL03'!$C$10:$C$224,$C110,'TL03'!$J$10:$J$224),0),
IF('TL03'!$B$229=L$3,SUMIF('TL03'!$C$238:$C$451,$C110,'TL03'!$J$238:$J$451),0),
IF('TL04'!$B$3=L$3,SUMIF('TL04'!$C$10:$C$224,$C110,'TL04'!$J$10:$J$224),0),
IF('TL04'!$B$229=L$3,SUMIF('TL04'!$C$238:$C$451,$C110,'TL04'!$J$238:$J$451),0),
IF('TL05'!$B$3=L$3,SUMIF('TL05'!$C$10:$C$224,$C110,'TL05'!$J$10:$J$224),0),
IF('TL05'!$B$229=L$3,SUMIF('TL05'!$C$238:$C$451,$C110,'TL05'!$J$238:$J$451),0),
IF('TL06'!$B$3=L$3,SUMIF('TL06'!$C$10:$C$224,$C110,'TL06'!$J$10:$J$224),0),
IF('TL06'!$B$229=L$3,SUMIF('TL06'!$C$238:$C$451,$C110,'TL06'!$J$238:$J$451),0),
IF('TL07'!$B$3=L$3,SUMIF('TL07'!$C$10:$C$224,$C110,'TL07'!$J$10:$J$224),0),
IF('TL07'!$B$229=L$3,SUMIF('TL07'!$C$238:$C$451,$C110,'TL07'!$J$238:$J$451),0),
IF('TL08'!$B$3=L$3,SUMIF('TL08'!$C$10:$C$224,$C110,'TL08'!$J$10:$J$224),0),
IF('TL08'!$B$229=L$3,SUMIF('TL08'!$C$238:$C$451,$C110,'TL08'!$J$238:$J$451),0),
IF('TL09'!$B$3=L$3,SUMIF('TL09'!$C$10:$C$224,$C110,'TL09'!$J$10:$J$224),0),
IF('TL09'!$B$229=L$3,SUMIF('TL09'!$C$238:$C$451,$C110,'TL09'!$J$238:$J$451),0),
IF('TL10'!$B$3=L$3,SUMIF('TL10'!$C$10:$C$224,$C110,'TL10'!$J$10:$J$224),0),
IF('TL10'!$B$229=L$3,SUMIF('TL10'!$C$238:$C$451,$C110,'TL10'!$J$238:$J$451),0),
IF('TL11'!$B$3=L$3,SUMIF('TL11'!$C$10:$C$224,$C110,'TL11'!$J$10:$J$224),0),
IF('TL11'!$B$229=L$3,SUMIF('TL11'!$C$238:$C$451,$C110,'TL11'!$J$238:$J$451),0),
IF('TL12'!$B$3=L$3,SUMIF('TL12'!$C$10:$C$224,$C110,'TL12'!$J$10:$J$224),0),
IF('TL12'!$B$229=L$3,SUMIF('TL12'!$C$238:$C$451,$C110,'TL12'!$J$238:$J$451),0),
IF('TL13'!$B$3=L$3,SUMIF('TL13'!$C$10:$C$224,$C110,'TL13'!$J$10:$J$224),0),
IF('TL13'!$B$229=L$3,SUMIF('TL13'!$C$238:$C$451,$C110,'TL13'!$J$238:$J$451),0),
IF('TL14'!$B$3=L$3,SUMIF('TL14'!$C$10:$C$224,$C110,'TL14'!$J$10:$J$224),0),
IF('TL14'!$B$229=L$3,SUMIF('TL14'!$C$238:$C$451,$C110,'TL14'!$J$238:$J$451),0),
IF('TL15'!$B$3=L$3,SUMIF('TL15'!$C$10:$C$224,$C110,'TL15'!$J$10:$J$224),0),
IF('TL15'!$B$229=L$3,SUMIF('TL15'!$C$238:$C$451,$C110,'TL15'!$J$238:$J$451),0),
IF('TL16'!$B$3=L$3,SUMIF('TL16'!$C$10:$C$224,$C110,'TL16'!$J$10:$J$224),0),
IF('TL16'!$B$229=L$3,SUMIF('TL16'!$C$238:$C$451,$C110,'TL16'!$J$238:$J$451),0),
IF('TL17'!$B$3=L$3,SUMIF('TL17'!$C$10:$C$224,$C110,'TL17'!$J$10:$J$224),0),
IF('TL17'!$B$229=L$3,SUMIF('TL17'!$C$238:$C$451,$C110,'TL17'!$J$238:$J$451),0),
IF('TL18'!$B$3=L$3,SUMIF('TL18'!$C$10:$C$224,$C110,'TL18'!$J$10:$J$224),0),
IF('TL18'!$B$229=L$3,SUMIF('TL18'!$C$238:$C$451,$C110,'TL18'!$J$238:$J$451),0),
IF('TL19'!$B$3=L$3,SUMIF('TL19'!$C$10:$C$224,$C110,'TL19'!$J$10:$J$224),0),
IF('TL19'!$B$229=L$3,SUMIF('TL19'!$C$238:$C$451,$C110,'TL19'!$J$238:$J$451),0)
),0)</f>
        <v/>
      </c>
      <c r="M110" s="9">
        <f>IFERROR(SUM(
IF('TL01'!$B$3=M$3,SUMIF('TL01'!$C$10:$C$224,$C110,'TL01'!$J$10:$J$224),0),
IF('TL01'!$B$229=M$3,SUMIF('TL01'!$C$238:$C$451,$C110,'TL01'!$J$238:$J$451),0),
IF('TL02'!$B$3=M$3,SUMIF('TL02'!$C$10:$C$224,$C110,'TL02'!$J$10:$J$224),0),
IF('TL02'!$B$229=M$3,SUMIF('TL02'!$C$238:$C$451,$C110,'TL02'!$J$238:$J$451),0),
IF('TL03'!$B$3=M$3,SUMIF('TL03'!$C$10:$C$224,$C110,'TL03'!$J$10:$J$224),0),
IF('TL03'!$B$229=M$3,SUMIF('TL03'!$C$238:$C$451,$C110,'TL03'!$J$238:$J$451),0),
IF('TL04'!$B$3=M$3,SUMIF('TL04'!$C$10:$C$224,$C110,'TL04'!$J$10:$J$224),0),
IF('TL04'!$B$229=M$3,SUMIF('TL04'!$C$238:$C$451,$C110,'TL04'!$J$238:$J$451),0),
IF('TL05'!$B$3=M$3,SUMIF('TL05'!$C$10:$C$224,$C110,'TL05'!$J$10:$J$224),0),
IF('TL05'!$B$229=M$3,SUMIF('TL05'!$C$238:$C$451,$C110,'TL05'!$J$238:$J$451),0),
IF('TL06'!$B$3=M$3,SUMIF('TL06'!$C$10:$C$224,$C110,'TL06'!$J$10:$J$224),0),
IF('TL06'!$B$229=M$3,SUMIF('TL06'!$C$238:$C$451,$C110,'TL06'!$J$238:$J$451),0),
IF('TL07'!$B$3=M$3,SUMIF('TL07'!$C$10:$C$224,$C110,'TL07'!$J$10:$J$224),0),
IF('TL07'!$B$229=M$3,SUMIF('TL07'!$C$238:$C$451,$C110,'TL07'!$J$238:$J$451),0),
IF('TL08'!$B$3=M$3,SUMIF('TL08'!$C$10:$C$224,$C110,'TL08'!$J$10:$J$224),0),
IF('TL08'!$B$229=M$3,SUMIF('TL08'!$C$238:$C$451,$C110,'TL08'!$J$238:$J$451),0),
IF('TL09'!$B$3=M$3,SUMIF('TL09'!$C$10:$C$224,$C110,'TL09'!$J$10:$J$224),0),
IF('TL09'!$B$229=M$3,SUMIF('TL09'!$C$238:$C$451,$C110,'TL09'!$J$238:$J$451),0),
IF('TL10'!$B$3=M$3,SUMIF('TL10'!$C$10:$C$224,$C110,'TL10'!$J$10:$J$224),0),
IF('TL10'!$B$229=M$3,SUMIF('TL10'!$C$238:$C$451,$C110,'TL10'!$J$238:$J$451),0),
IF('TL11'!$B$3=M$3,SUMIF('TL11'!$C$10:$C$224,$C110,'TL11'!$J$10:$J$224),0),
IF('TL11'!$B$229=M$3,SUMIF('TL11'!$C$238:$C$451,$C110,'TL11'!$J$238:$J$451),0),
IF('TL12'!$B$3=M$3,SUMIF('TL12'!$C$10:$C$224,$C110,'TL12'!$J$10:$J$224),0),
IF('TL12'!$B$229=M$3,SUMIF('TL12'!$C$238:$C$451,$C110,'TL12'!$J$238:$J$451),0),
IF('TL13'!$B$3=M$3,SUMIF('TL13'!$C$10:$C$224,$C110,'TL13'!$J$10:$J$224),0),
IF('TL13'!$B$229=M$3,SUMIF('TL13'!$C$238:$C$451,$C110,'TL13'!$J$238:$J$451),0),
IF('TL14'!$B$3=M$3,SUMIF('TL14'!$C$10:$C$224,$C110,'TL14'!$J$10:$J$224),0),
IF('TL14'!$B$229=M$3,SUMIF('TL14'!$C$238:$C$451,$C110,'TL14'!$J$238:$J$451),0),
IF('TL15'!$B$3=M$3,SUMIF('TL15'!$C$10:$C$224,$C110,'TL15'!$J$10:$J$224),0),
IF('TL15'!$B$229=M$3,SUMIF('TL15'!$C$238:$C$451,$C110,'TL15'!$J$238:$J$451),0),
IF('TL16'!$B$3=M$3,SUMIF('TL16'!$C$10:$C$224,$C110,'TL16'!$J$10:$J$224),0),
IF('TL16'!$B$229=M$3,SUMIF('TL16'!$C$238:$C$451,$C110,'TL16'!$J$238:$J$451),0),
IF('TL17'!$B$3=M$3,SUMIF('TL17'!$C$10:$C$224,$C110,'TL17'!$J$10:$J$224),0),
IF('TL17'!$B$229=M$3,SUMIF('TL17'!$C$238:$C$451,$C110,'TL17'!$J$238:$J$451),0),
IF('TL18'!$B$3=M$3,SUMIF('TL18'!$C$10:$C$224,$C110,'TL18'!$J$10:$J$224),0),
IF('TL18'!$B$229=M$3,SUMIF('TL18'!$C$238:$C$451,$C110,'TL18'!$J$238:$J$451),0),
IF('TL19'!$B$3=M$3,SUMIF('TL19'!$C$10:$C$224,$C110,'TL19'!$J$10:$J$224),0),
IF('TL19'!$B$229=M$3,SUMIF('TL19'!$C$238:$C$451,$C110,'TL19'!$J$238:$J$451),0)
),0)</f>
        <v/>
      </c>
      <c r="N110" s="9">
        <f>IFERROR(SUM(
IF('TL01'!$B$3=N$3,SUMIF('TL01'!$C$10:$C$224,$C110,'TL01'!$J$10:$J$224),0),
IF('TL01'!$B$229=N$3,SUMIF('TL01'!$C$238:$C$451,$C110,'TL01'!$J$238:$J$451),0),
IF('TL02'!$B$3=N$3,SUMIF('TL02'!$C$10:$C$224,$C110,'TL02'!$J$10:$J$224),0),
IF('TL02'!$B$229=N$3,SUMIF('TL02'!$C$238:$C$451,$C110,'TL02'!$J$238:$J$451),0),
IF('TL03'!$B$3=N$3,SUMIF('TL03'!$C$10:$C$224,$C110,'TL03'!$J$10:$J$224),0),
IF('TL03'!$B$229=N$3,SUMIF('TL03'!$C$238:$C$451,$C110,'TL03'!$J$238:$J$451),0),
IF('TL04'!$B$3=N$3,SUMIF('TL04'!$C$10:$C$224,$C110,'TL04'!$J$10:$J$224),0),
IF('TL04'!$B$229=N$3,SUMIF('TL04'!$C$238:$C$451,$C110,'TL04'!$J$238:$J$451),0),
IF('TL05'!$B$3=N$3,SUMIF('TL05'!$C$10:$C$224,$C110,'TL05'!$J$10:$J$224),0),
IF('TL05'!$B$229=N$3,SUMIF('TL05'!$C$238:$C$451,$C110,'TL05'!$J$238:$J$451),0),
IF('TL06'!$B$3=N$3,SUMIF('TL06'!$C$10:$C$224,$C110,'TL06'!$J$10:$J$224),0),
IF('TL06'!$B$229=N$3,SUMIF('TL06'!$C$238:$C$451,$C110,'TL06'!$J$238:$J$451),0),
IF('TL07'!$B$3=N$3,SUMIF('TL07'!$C$10:$C$224,$C110,'TL07'!$J$10:$J$224),0),
IF('TL07'!$B$229=N$3,SUMIF('TL07'!$C$238:$C$451,$C110,'TL07'!$J$238:$J$451),0),
IF('TL08'!$B$3=N$3,SUMIF('TL08'!$C$10:$C$224,$C110,'TL08'!$J$10:$J$224),0),
IF('TL08'!$B$229=N$3,SUMIF('TL08'!$C$238:$C$451,$C110,'TL08'!$J$238:$J$451),0),
IF('TL09'!$B$3=N$3,SUMIF('TL09'!$C$10:$C$224,$C110,'TL09'!$J$10:$J$224),0),
IF('TL09'!$B$229=N$3,SUMIF('TL09'!$C$238:$C$451,$C110,'TL09'!$J$238:$J$451),0),
IF('TL10'!$B$3=N$3,SUMIF('TL10'!$C$10:$C$224,$C110,'TL10'!$J$10:$J$224),0),
IF('TL10'!$B$229=N$3,SUMIF('TL10'!$C$238:$C$451,$C110,'TL10'!$J$238:$J$451),0),
IF('TL11'!$B$3=N$3,SUMIF('TL11'!$C$10:$C$224,$C110,'TL11'!$J$10:$J$224),0),
IF('TL11'!$B$229=N$3,SUMIF('TL11'!$C$238:$C$451,$C110,'TL11'!$J$238:$J$451),0),
IF('TL12'!$B$3=N$3,SUMIF('TL12'!$C$10:$C$224,$C110,'TL12'!$J$10:$J$224),0),
IF('TL12'!$B$229=N$3,SUMIF('TL12'!$C$238:$C$451,$C110,'TL12'!$J$238:$J$451),0),
IF('TL13'!$B$3=N$3,SUMIF('TL13'!$C$10:$C$224,$C110,'TL13'!$J$10:$J$224),0),
IF('TL13'!$B$229=N$3,SUMIF('TL13'!$C$238:$C$451,$C110,'TL13'!$J$238:$J$451),0),
IF('TL14'!$B$3=N$3,SUMIF('TL14'!$C$10:$C$224,$C110,'TL14'!$J$10:$J$224),0),
IF('TL14'!$B$229=N$3,SUMIF('TL14'!$C$238:$C$451,$C110,'TL14'!$J$238:$J$451),0),
IF('TL15'!$B$3=N$3,SUMIF('TL15'!$C$10:$C$224,$C110,'TL15'!$J$10:$J$224),0),
IF('TL15'!$B$229=N$3,SUMIF('TL15'!$C$238:$C$451,$C110,'TL15'!$J$238:$J$451),0),
IF('TL16'!$B$3=N$3,SUMIF('TL16'!$C$10:$C$224,$C110,'TL16'!$J$10:$J$224),0),
IF('TL16'!$B$229=N$3,SUMIF('TL16'!$C$238:$C$451,$C110,'TL16'!$J$238:$J$451),0),
IF('TL17'!$B$3=N$3,SUMIF('TL17'!$C$10:$C$224,$C110,'TL17'!$J$10:$J$224),0),
IF('TL17'!$B$229=N$3,SUMIF('TL17'!$C$238:$C$451,$C110,'TL17'!$J$238:$J$451),0),
IF('TL18'!$B$3=N$3,SUMIF('TL18'!$C$10:$C$224,$C110,'TL18'!$J$10:$J$224),0),
IF('TL18'!$B$229=N$3,SUMIF('TL18'!$C$238:$C$451,$C110,'TL18'!$J$238:$J$451),0),
IF('TL19'!$B$3=N$3,SUMIF('TL19'!$C$10:$C$224,$C110,'TL19'!$J$10:$J$224),0),
IF('TL19'!$B$229=N$3,SUMIF('TL19'!$C$238:$C$451,$C110,'TL19'!$J$238:$J$451),0)
),0)</f>
        <v/>
      </c>
      <c r="O110" s="9">
        <f>IFERROR(SUM(
IF('TL01'!$B$3=O$3,SUMIF('TL01'!$C$10:$C$224,$C110,'TL01'!$J$10:$J$224),0),
IF('TL01'!$B$229=O$3,SUMIF('TL01'!$C$238:$C$451,$C110,'TL01'!$J$238:$J$451),0),
IF('TL02'!$B$3=O$3,SUMIF('TL02'!$C$10:$C$224,$C110,'TL02'!$J$10:$J$224),0),
IF('TL02'!$B$229=O$3,SUMIF('TL02'!$C$238:$C$451,$C110,'TL02'!$J$238:$J$451),0),
IF('TL03'!$B$3=O$3,SUMIF('TL03'!$C$10:$C$224,$C110,'TL03'!$J$10:$J$224),0),
IF('TL03'!$B$229=O$3,SUMIF('TL03'!$C$238:$C$451,$C110,'TL03'!$J$238:$J$451),0),
IF('TL04'!$B$3=O$3,SUMIF('TL04'!$C$10:$C$224,$C110,'TL04'!$J$10:$J$224),0),
IF('TL04'!$B$229=O$3,SUMIF('TL04'!$C$238:$C$451,$C110,'TL04'!$J$238:$J$451),0),
IF('TL05'!$B$3=O$3,SUMIF('TL05'!$C$10:$C$224,$C110,'TL05'!$J$10:$J$224),0),
IF('TL05'!$B$229=O$3,SUMIF('TL05'!$C$238:$C$451,$C110,'TL05'!$J$238:$J$451),0),
IF('TL06'!$B$3=O$3,SUMIF('TL06'!$C$10:$C$224,$C110,'TL06'!$J$10:$J$224),0),
IF('TL06'!$B$229=O$3,SUMIF('TL06'!$C$238:$C$451,$C110,'TL06'!$J$238:$J$451),0),
IF('TL07'!$B$3=O$3,SUMIF('TL07'!$C$10:$C$224,$C110,'TL07'!$J$10:$J$224),0),
IF('TL07'!$B$229=O$3,SUMIF('TL07'!$C$238:$C$451,$C110,'TL07'!$J$238:$J$451),0),
IF('TL08'!$B$3=O$3,SUMIF('TL08'!$C$10:$C$224,$C110,'TL08'!$J$10:$J$224),0),
IF('TL08'!$B$229=O$3,SUMIF('TL08'!$C$238:$C$451,$C110,'TL08'!$J$238:$J$451),0),
IF('TL09'!$B$3=O$3,SUMIF('TL09'!$C$10:$C$224,$C110,'TL09'!$J$10:$J$224),0),
IF('TL09'!$B$229=O$3,SUMIF('TL09'!$C$238:$C$451,$C110,'TL09'!$J$238:$J$451),0),
IF('TL10'!$B$3=O$3,SUMIF('TL10'!$C$10:$C$224,$C110,'TL10'!$J$10:$J$224),0),
IF('TL10'!$B$229=O$3,SUMIF('TL10'!$C$238:$C$451,$C110,'TL10'!$J$238:$J$451),0),
IF('TL11'!$B$3=O$3,SUMIF('TL11'!$C$10:$C$224,$C110,'TL11'!$J$10:$J$224),0),
IF('TL11'!$B$229=O$3,SUMIF('TL11'!$C$238:$C$451,$C110,'TL11'!$J$238:$J$451),0),
IF('TL12'!$B$3=O$3,SUMIF('TL12'!$C$10:$C$224,$C110,'TL12'!$J$10:$J$224),0),
IF('TL12'!$B$229=O$3,SUMIF('TL12'!$C$238:$C$451,$C110,'TL12'!$J$238:$J$451),0),
IF('TL13'!$B$3=O$3,SUMIF('TL13'!$C$10:$C$224,$C110,'TL13'!$J$10:$J$224),0),
IF('TL13'!$B$229=O$3,SUMIF('TL13'!$C$238:$C$451,$C110,'TL13'!$J$238:$J$451),0),
IF('TL14'!$B$3=O$3,SUMIF('TL14'!$C$10:$C$224,$C110,'TL14'!$J$10:$J$224),0),
IF('TL14'!$B$229=O$3,SUMIF('TL14'!$C$238:$C$451,$C110,'TL14'!$J$238:$J$451),0),
IF('TL15'!$B$3=O$3,SUMIF('TL15'!$C$10:$C$224,$C110,'TL15'!$J$10:$J$224),0),
IF('TL15'!$B$229=O$3,SUMIF('TL15'!$C$238:$C$451,$C110,'TL15'!$J$238:$J$451),0),
IF('TL16'!$B$3=O$3,SUMIF('TL16'!$C$10:$C$224,$C110,'TL16'!$J$10:$J$224),0),
IF('TL16'!$B$229=O$3,SUMIF('TL16'!$C$238:$C$451,$C110,'TL16'!$J$238:$J$451),0),
IF('TL17'!$B$3=O$3,SUMIF('TL17'!$C$10:$C$224,$C110,'TL17'!$J$10:$J$224),0),
IF('TL17'!$B$229=O$3,SUMIF('TL17'!$C$238:$C$451,$C110,'TL17'!$J$238:$J$451),0),
IF('TL18'!$B$3=O$3,SUMIF('TL18'!$C$10:$C$224,$C110,'TL18'!$J$10:$J$224),0),
IF('TL18'!$B$229=O$3,SUMIF('TL18'!$C$238:$C$451,$C110,'TL18'!$J$238:$J$451),0),
IF('TL19'!$B$3=O$3,SUMIF('TL19'!$C$10:$C$224,$C110,'TL19'!$J$10:$J$224),0),
IF('TL19'!$B$229=O$3,SUMIF('TL19'!$C$238:$C$451,$C110,'TL19'!$J$238:$J$451),0)
),0)</f>
        <v/>
      </c>
      <c r="P110" s="9">
        <f>IFERROR(SUM(
IF('TL01'!$B$3=P$3,SUMIF('TL01'!$C$10:$C$224,$C110,'TL01'!$J$10:$J$224),0),
IF('TL01'!$B$229=P$3,SUMIF('TL01'!$C$238:$C$451,$C110,'TL01'!$J$238:$J$451),0),
IF('TL02'!$B$3=P$3,SUMIF('TL02'!$C$10:$C$224,$C110,'TL02'!$J$10:$J$224),0),
IF('TL02'!$B$229=P$3,SUMIF('TL02'!$C$238:$C$451,$C110,'TL02'!$J$238:$J$451),0),
IF('TL03'!$B$3=P$3,SUMIF('TL03'!$C$10:$C$224,$C110,'TL03'!$J$10:$J$224),0),
IF('TL03'!$B$229=P$3,SUMIF('TL03'!$C$238:$C$451,$C110,'TL03'!$J$238:$J$451),0),
IF('TL04'!$B$3=P$3,SUMIF('TL04'!$C$10:$C$224,$C110,'TL04'!$J$10:$J$224),0),
IF('TL04'!$B$229=P$3,SUMIF('TL04'!$C$238:$C$451,$C110,'TL04'!$J$238:$J$451),0),
IF('TL05'!$B$3=P$3,SUMIF('TL05'!$C$10:$C$224,$C110,'TL05'!$J$10:$J$224),0),
IF('TL05'!$B$229=P$3,SUMIF('TL05'!$C$238:$C$451,$C110,'TL05'!$J$238:$J$451),0),
IF('TL06'!$B$3=P$3,SUMIF('TL06'!$C$10:$C$224,$C110,'TL06'!$J$10:$J$224),0),
IF('TL06'!$B$229=P$3,SUMIF('TL06'!$C$238:$C$451,$C110,'TL06'!$J$238:$J$451),0),
IF('TL07'!$B$3=P$3,SUMIF('TL07'!$C$10:$C$224,$C110,'TL07'!$J$10:$J$224),0),
IF('TL07'!$B$229=P$3,SUMIF('TL07'!$C$238:$C$451,$C110,'TL07'!$J$238:$J$451),0),
IF('TL08'!$B$3=P$3,SUMIF('TL08'!$C$10:$C$224,$C110,'TL08'!$J$10:$J$224),0),
IF('TL08'!$B$229=P$3,SUMIF('TL08'!$C$238:$C$451,$C110,'TL08'!$J$238:$J$451),0),
IF('TL09'!$B$3=P$3,SUMIF('TL09'!$C$10:$C$224,$C110,'TL09'!$J$10:$J$224),0),
IF('TL09'!$B$229=P$3,SUMIF('TL09'!$C$238:$C$451,$C110,'TL09'!$J$238:$J$451),0),
IF('TL10'!$B$3=P$3,SUMIF('TL10'!$C$10:$C$224,$C110,'TL10'!$J$10:$J$224),0),
IF('TL10'!$B$229=P$3,SUMIF('TL10'!$C$238:$C$451,$C110,'TL10'!$J$238:$J$451),0),
IF('TL11'!$B$3=P$3,SUMIF('TL11'!$C$10:$C$224,$C110,'TL11'!$J$10:$J$224),0),
IF('TL11'!$B$229=P$3,SUMIF('TL11'!$C$238:$C$451,$C110,'TL11'!$J$238:$J$451),0),
IF('TL12'!$B$3=P$3,SUMIF('TL12'!$C$10:$C$224,$C110,'TL12'!$J$10:$J$224),0),
IF('TL12'!$B$229=P$3,SUMIF('TL12'!$C$238:$C$451,$C110,'TL12'!$J$238:$J$451),0),
IF('TL13'!$B$3=P$3,SUMIF('TL13'!$C$10:$C$224,$C110,'TL13'!$J$10:$J$224),0),
IF('TL13'!$B$229=P$3,SUMIF('TL13'!$C$238:$C$451,$C110,'TL13'!$J$238:$J$451),0),
IF('TL14'!$B$3=P$3,SUMIF('TL14'!$C$10:$C$224,$C110,'TL14'!$J$10:$J$224),0),
IF('TL14'!$B$229=P$3,SUMIF('TL14'!$C$238:$C$451,$C110,'TL14'!$J$238:$J$451),0),
IF('TL15'!$B$3=P$3,SUMIF('TL15'!$C$10:$C$224,$C110,'TL15'!$J$10:$J$224),0),
IF('TL15'!$B$229=P$3,SUMIF('TL15'!$C$238:$C$451,$C110,'TL15'!$J$238:$J$451),0),
IF('TL16'!$B$3=P$3,SUMIF('TL16'!$C$10:$C$224,$C110,'TL16'!$J$10:$J$224),0),
IF('TL16'!$B$229=P$3,SUMIF('TL16'!$C$238:$C$451,$C110,'TL16'!$J$238:$J$451),0),
IF('TL17'!$B$3=P$3,SUMIF('TL17'!$C$10:$C$224,$C110,'TL17'!$J$10:$J$224),0),
IF('TL17'!$B$229=P$3,SUMIF('TL17'!$C$238:$C$451,$C110,'TL17'!$J$238:$J$451),0),
IF('TL18'!$B$3=P$3,SUMIF('TL18'!$C$10:$C$224,$C110,'TL18'!$J$10:$J$224),0),
IF('TL18'!$B$229=P$3,SUMIF('TL18'!$C$238:$C$451,$C110,'TL18'!$J$238:$J$451),0),
IF('TL19'!$B$3=P$3,SUMIF('TL19'!$C$10:$C$224,$C110,'TL19'!$J$10:$J$224),0),
IF('TL19'!$B$229=P$3,SUMIF('TL19'!$C$238:$C$451,$C110,'TL19'!$J$238:$J$451),0)
),0)</f>
        <v/>
      </c>
      <c r="Q110" s="9">
        <f>IFERROR(SUM(
IF('TL01'!$B$3=Q$3,SUMIF('TL01'!$C$10:$C$224,$C110,'TL01'!$J$10:$J$224),0),
IF('TL01'!$B$229=Q$3,SUMIF('TL01'!$C$238:$C$451,$C110,'TL01'!$J$238:$J$451),0),
IF('TL02'!$B$3=Q$3,SUMIF('TL02'!$C$10:$C$224,$C110,'TL02'!$J$10:$J$224),0),
IF('TL02'!$B$229=Q$3,SUMIF('TL02'!$C$238:$C$451,$C110,'TL02'!$J$238:$J$451),0),
IF('TL03'!$B$3=Q$3,SUMIF('TL03'!$C$10:$C$224,$C110,'TL03'!$J$10:$J$224),0),
IF('TL03'!$B$229=Q$3,SUMIF('TL03'!$C$238:$C$451,$C110,'TL03'!$J$238:$J$451),0),
IF('TL04'!$B$3=Q$3,SUMIF('TL04'!$C$10:$C$224,$C110,'TL04'!$J$10:$J$224),0),
IF('TL04'!$B$229=Q$3,SUMIF('TL04'!$C$238:$C$451,$C110,'TL04'!$J$238:$J$451),0),
IF('TL05'!$B$3=Q$3,SUMIF('TL05'!$C$10:$C$224,$C110,'TL05'!$J$10:$J$224),0),
IF('TL05'!$B$229=Q$3,SUMIF('TL05'!$C$238:$C$451,$C110,'TL05'!$J$238:$J$451),0),
IF('TL06'!$B$3=Q$3,SUMIF('TL06'!$C$10:$C$224,$C110,'TL06'!$J$10:$J$224),0),
IF('TL06'!$B$229=Q$3,SUMIF('TL06'!$C$238:$C$451,$C110,'TL06'!$J$238:$J$451),0),
IF('TL07'!$B$3=Q$3,SUMIF('TL07'!$C$10:$C$224,$C110,'TL07'!$J$10:$J$224),0),
IF('TL07'!$B$229=Q$3,SUMIF('TL07'!$C$238:$C$451,$C110,'TL07'!$J$238:$J$451),0),
IF('TL08'!$B$3=Q$3,SUMIF('TL08'!$C$10:$C$224,$C110,'TL08'!$J$10:$J$224),0),
IF('TL08'!$B$229=Q$3,SUMIF('TL08'!$C$238:$C$451,$C110,'TL08'!$J$238:$J$451),0),
IF('TL09'!$B$3=Q$3,SUMIF('TL09'!$C$10:$C$224,$C110,'TL09'!$J$10:$J$224),0),
IF('TL09'!$B$229=Q$3,SUMIF('TL09'!$C$238:$C$451,$C110,'TL09'!$J$238:$J$451),0),
IF('TL10'!$B$3=Q$3,SUMIF('TL10'!$C$10:$C$224,$C110,'TL10'!$J$10:$J$224),0),
IF('TL10'!$B$229=Q$3,SUMIF('TL10'!$C$238:$C$451,$C110,'TL10'!$J$238:$J$451),0),
IF('TL11'!$B$3=Q$3,SUMIF('TL11'!$C$10:$C$224,$C110,'TL11'!$J$10:$J$224),0),
IF('TL11'!$B$229=Q$3,SUMIF('TL11'!$C$238:$C$451,$C110,'TL11'!$J$238:$J$451),0),
IF('TL12'!$B$3=Q$3,SUMIF('TL12'!$C$10:$C$224,$C110,'TL12'!$J$10:$J$224),0),
IF('TL12'!$B$229=Q$3,SUMIF('TL12'!$C$238:$C$451,$C110,'TL12'!$J$238:$J$451),0),
IF('TL13'!$B$3=Q$3,SUMIF('TL13'!$C$10:$C$224,$C110,'TL13'!$J$10:$J$224),0),
IF('TL13'!$B$229=Q$3,SUMIF('TL13'!$C$238:$C$451,$C110,'TL13'!$J$238:$J$451),0),
IF('TL14'!$B$3=Q$3,SUMIF('TL14'!$C$10:$C$224,$C110,'TL14'!$J$10:$J$224),0),
IF('TL14'!$B$229=Q$3,SUMIF('TL14'!$C$238:$C$451,$C110,'TL14'!$J$238:$J$451),0),
IF('TL15'!$B$3=Q$3,SUMIF('TL15'!$C$10:$C$224,$C110,'TL15'!$J$10:$J$224),0),
IF('TL15'!$B$229=Q$3,SUMIF('TL15'!$C$238:$C$451,$C110,'TL15'!$J$238:$J$451),0),
IF('TL16'!$B$3=Q$3,SUMIF('TL16'!$C$10:$C$224,$C110,'TL16'!$J$10:$J$224),0),
IF('TL16'!$B$229=Q$3,SUMIF('TL16'!$C$238:$C$451,$C110,'TL16'!$J$238:$J$451),0),
IF('TL17'!$B$3=Q$3,SUMIF('TL17'!$C$10:$C$224,$C110,'TL17'!$J$10:$J$224),0),
IF('TL17'!$B$229=Q$3,SUMIF('TL17'!$C$238:$C$451,$C110,'TL17'!$J$238:$J$451),0),
IF('TL18'!$B$3=Q$3,SUMIF('TL18'!$C$10:$C$224,$C110,'TL18'!$J$10:$J$224),0),
IF('TL18'!$B$229=Q$3,SUMIF('TL18'!$C$238:$C$451,$C110,'TL18'!$J$238:$J$451),0),
IF('TL19'!$B$3=Q$3,SUMIF('TL19'!$C$10:$C$224,$C110,'TL19'!$J$10:$J$224),0),
IF('TL19'!$B$229=Q$3,SUMIF('TL19'!$C$238:$C$451,$C110,'TL19'!$J$238:$J$451),0)
),0)</f>
        <v/>
      </c>
      <c r="R110" s="9">
        <f>IFERROR(
SUM(
SUMIF('TL01'!C:C,C110,'TL01'!J:J),
SUMIF('TL02'!C:C,C110,'TL02'!J:J),
SUMIF('TL03'!C:C,C110,'TL03'!J:J),
SUMIF('TL04'!C:C,C110,'TL04'!J:J),
SUMIF('TL05'!C:C,C110,'TL05'!J:J),
SUMIF('TL06'!C:C,C110,'TL06'!J:J),
SUMIF('TL07'!C:C,C110,'TL07'!J:J),
SUMIF('TL08'!C:C,C110,'TL08'!J:J),
SUMIF('TL09'!C:C,C110,'TL09'!J:J),
SUMIF('TL10'!C:C,C110,'TL10'!J:J),
SUMIF('TL11'!C:C,C110,'TL11'!J:J),
SUMIF('TL12'!C:C,C110,'TL12'!J:J),
SUMIF('TL13'!C:C,C110,'TL13'!J:J),
SUMIF('TL14'!C:C,C110,'TL14'!J:J),
SUMIF('TL15'!C:C,C110,'TL15'!J:J),
SUMIF('TL16'!C:C,C110,'TL16'!J:J),
SUMIF('TL17'!C:C,C110,'TL17'!J:J),
SUMIF('TL18'!C:C,C110,'TL18'!J:J),SUMIF('TL19'!C:C,C110,'TL19'!J:J))
,0)</f>
        <v/>
      </c>
      <c r="S110" s="17">
        <f>IFERROR(__xludf.DUMMYFUNCTION("IFERROR(VLOOKUP(C110,
IMPORTRANGE(""1wULbzX32WdYsx-lj2U3uUNBBe2INVIRDtcK0d-Dvl90"",
""26-27!C:G""),
5,
FALSE),
"""")"),33.01094)</f>
        <v/>
      </c>
      <c r="T110" s="118" t="n">
        <v>920</v>
      </c>
      <c r="U110" s="92">
        <f>MAX(0,R110-T110)</f>
        <v/>
      </c>
      <c r="V110" s="93">
        <f>U110*S110</f>
        <v/>
      </c>
    </row>
    <row r="111" hidden="1" ht="15.75" customHeight="1" s="297">
      <c r="A111" s="111" t="inlineStr">
        <is>
          <t>ADAMA</t>
        </is>
      </c>
      <c r="B111" s="112" t="inlineStr">
        <is>
          <t>HERBICIDA</t>
        </is>
      </c>
      <c r="C111" s="113" t="inlineStr">
        <is>
          <t>PREMERLIN 600 EC</t>
        </is>
      </c>
      <c r="D111" s="113" t="inlineStr">
        <is>
          <t>TRIFLURALINA</t>
        </is>
      </c>
      <c r="E111" s="113" t="n">
        <v>600</v>
      </c>
      <c r="F111" s="4" t="inlineStr">
        <is>
          <t>L</t>
        </is>
      </c>
      <c r="G111" s="90">
        <f>HYPERLINK("https://www.google.com/search?q=" &amp; C111 &amp; "+bula+agrofit+pdf", "📄 Ver bula")</f>
        <v/>
      </c>
      <c r="H111" s="9">
        <f>IFERROR(__xludf.DUMMYFUNCTION("IFERROR(VLOOKUP(C111,
IMPORTRANGE(""1wULbzX32WdYsx-lj2U3uUNBBe2INVIRDtcK0d-Dvl90"",
""26-27!C:K""),
8,
FALSE),
"""")"),"")</f>
        <v/>
      </c>
      <c r="I111" s="114" t="inlineStr">
        <is>
          <t>1x20</t>
        </is>
      </c>
      <c r="J111" s="9">
        <f>IFERROR(SUM(
IF('TL01'!$B$3=J$3,SUMIF('TL01'!$C$10:$C$224,$C111,'TL01'!$J$10:$J$224),0),
IF('TL01'!$B$229=J$3,SUMIF('TL01'!$C$238:$C$451,$C111,'TL01'!$J$238:$J$451),0),
IF('TL02'!$B$3=J$3,SUMIF('TL02'!$C$10:$C$224,$C111,'TL02'!$J$10:$J$224),0),
IF('TL02'!$B$229=J$3,SUMIF('TL02'!$C$238:$C$451,$C111,'TL02'!$J$238:$J$451),0),
IF('TL03'!$B$3=J$3,SUMIF('TL03'!$C$10:$C$224,$C111,'TL03'!$J$10:$J$224),0),
IF('TL03'!$B$229=J$3,SUMIF('TL03'!$C$238:$C$451,$C111,'TL03'!$J$238:$J$451),0),
IF('TL04'!$B$3=J$3,SUMIF('TL04'!$C$10:$C$224,$C111,'TL04'!$J$10:$J$224),0),
IF('TL04'!$B$229=J$3,SUMIF('TL04'!$C$238:$C$451,$C111,'TL04'!$J$238:$J$451),0),
IF('TL05'!$B$3=J$3,SUMIF('TL05'!$C$10:$C$224,$C111,'TL05'!$J$10:$J$224),0),
IF('TL05'!$B$229=J$3,SUMIF('TL05'!$C$238:$C$451,$C111,'TL05'!$J$238:$J$451),0),
IF('TL06'!$B$3=J$3,SUMIF('TL06'!$C$10:$C$224,$C111,'TL06'!$J$10:$J$224),0),
IF('TL06'!$B$229=J$3,SUMIF('TL06'!$C$238:$C$451,$C111,'TL06'!$J$238:$J$451),0),
IF('TL07'!$B$3=J$3,SUMIF('TL07'!$C$10:$C$224,$C111,'TL07'!$J$10:$J$224),0),
IF('TL07'!$B$229=J$3,SUMIF('TL07'!$C$238:$C$451,$C111,'TL07'!$J$238:$J$451),0),
IF('TL08'!$B$3=J$3,SUMIF('TL08'!$C$10:$C$224,$C111,'TL08'!$J$10:$J$224),0),
IF('TL08'!$B$229=J$3,SUMIF('TL08'!$C$238:$C$451,$C111,'TL08'!$J$238:$J$451),0),
IF('TL09'!$B$3=J$3,SUMIF('TL09'!$C$10:$C$224,$C111,'TL09'!$J$10:$J$224),0),
IF('TL09'!$B$229=J$3,SUMIF('TL09'!$C$238:$C$451,$C111,'TL09'!$J$238:$J$451),0),
IF('TL10'!$B$3=J$3,SUMIF('TL10'!$C$10:$C$224,$C111,'TL10'!$J$10:$J$224),0),
IF('TL10'!$B$229=J$3,SUMIF('TL10'!$C$238:$C$451,$C111,'TL10'!$J$238:$J$451),0),
IF('TL11'!$B$3=J$3,SUMIF('TL11'!$C$10:$C$224,$C111,'TL11'!$J$10:$J$224),0),
IF('TL11'!$B$229=J$3,SUMIF('TL11'!$C$238:$C$451,$C111,'TL11'!$J$238:$J$451),0),
IF('TL12'!$B$3=J$3,SUMIF('TL12'!$C$10:$C$224,$C111,'TL12'!$J$10:$J$224),0),
IF('TL12'!$B$229=J$3,SUMIF('TL12'!$C$238:$C$451,$C111,'TL12'!$J$238:$J$451),0),
IF('TL13'!$B$3=J$3,SUMIF('TL13'!$C$10:$C$224,$C111,'TL13'!$J$10:$J$224),0),
IF('TL13'!$B$229=J$3,SUMIF('TL13'!$C$238:$C$451,$C111,'TL13'!$J$238:$J$451),0),
IF('TL14'!$B$3=J$3,SUMIF('TL14'!$C$10:$C$224,$C111,'TL14'!$J$10:$J$224),0),
IF('TL14'!$B$229=J$3,SUMIF('TL14'!$C$238:$C$451,$C111,'TL14'!$J$238:$J$451),0),
IF('TL15'!$B$3=J$3,SUMIF('TL15'!$C$10:$C$224,$C111,'TL15'!$J$10:$J$224),0),
IF('TL15'!$B$229=J$3,SUMIF('TL15'!$C$238:$C$451,$C111,'TL15'!$J$238:$J$451),0),
IF('TL16'!$B$3=J$3,SUMIF('TL16'!$C$10:$C$224,$C111,'TL16'!$J$10:$J$224),0),
IF('TL16'!$B$229=J$3,SUMIF('TL16'!$C$238:$C$451,$C111,'TL16'!$J$238:$J$451),0),
IF('TL17'!$B$3=J$3,SUMIF('TL17'!$C$10:$C$224,$C111,'TL17'!$J$10:$J$224),0),
IF('TL17'!$B$229=J$3,SUMIF('TL17'!$C$238:$C$451,$C111,'TL17'!$J$238:$J$451),0),
IF('TL18'!$B$3=J$3,SUMIF('TL18'!$C$10:$C$224,$C111,'TL18'!$J$10:$J$224),0),
IF('TL18'!$B$229=J$3,SUMIF('TL18'!$C$238:$C$451,$C111,'TL18'!$J$238:$J$451),0),
IF('TL19'!$B$3=J$3,SUMIF('TL19'!$C$10:$C$224,$C111,'TL19'!$J$10:$J$224),0),
IF('TL19'!$B$229=J$3,SUMIF('TL19'!$C$238:$C$451,$C111,'TL19'!$J$238:$J$451),0)
),0)</f>
        <v/>
      </c>
      <c r="K111" s="9">
        <f>IFERROR(SUM(
IF('TL01'!$B$3=K$3,SUMIF('TL01'!$C$10:$C$224,$C111,'TL01'!$J$10:$J$224),0),
IF('TL01'!$B$229=K$3,SUMIF('TL01'!$C$238:$C$451,$C111,'TL01'!$J$238:$J$451),0),
IF('TL02'!$B$3=K$3,SUMIF('TL02'!$C$10:$C$224,$C111,'TL02'!$J$10:$J$224),0),
IF('TL02'!$B$229=K$3,SUMIF('TL02'!$C$238:$C$451,$C111,'TL02'!$J$238:$J$451),0),
IF('TL03'!$B$3=K$3,SUMIF('TL03'!$C$10:$C$224,$C111,'TL03'!$J$10:$J$224),0),
IF('TL03'!$B$229=K$3,SUMIF('TL03'!$C$238:$C$451,$C111,'TL03'!$J$238:$J$451),0),
IF('TL04'!$B$3=K$3,SUMIF('TL04'!$C$10:$C$224,$C111,'TL04'!$J$10:$J$224),0),
IF('TL04'!$B$229=K$3,SUMIF('TL04'!$C$238:$C$451,$C111,'TL04'!$J$238:$J$451),0),
IF('TL05'!$B$3=K$3,SUMIF('TL05'!$C$10:$C$224,$C111,'TL05'!$J$10:$J$224),0),
IF('TL05'!$B$229=K$3,SUMIF('TL05'!$C$238:$C$451,$C111,'TL05'!$J$238:$J$451),0),
IF('TL06'!$B$3=K$3,SUMIF('TL06'!$C$10:$C$224,$C111,'TL06'!$J$10:$J$224),0),
IF('TL06'!$B$229=K$3,SUMIF('TL06'!$C$238:$C$451,$C111,'TL06'!$J$238:$J$451),0),
IF('TL07'!$B$3=K$3,SUMIF('TL07'!$C$10:$C$224,$C111,'TL07'!$J$10:$J$224),0),
IF('TL07'!$B$229=K$3,SUMIF('TL07'!$C$238:$C$451,$C111,'TL07'!$J$238:$J$451),0),
IF('TL08'!$B$3=K$3,SUMIF('TL08'!$C$10:$C$224,$C111,'TL08'!$J$10:$J$224),0),
IF('TL08'!$B$229=K$3,SUMIF('TL08'!$C$238:$C$451,$C111,'TL08'!$J$238:$J$451),0),
IF('TL09'!$B$3=K$3,SUMIF('TL09'!$C$10:$C$224,$C111,'TL09'!$J$10:$J$224),0),
IF('TL09'!$B$229=K$3,SUMIF('TL09'!$C$238:$C$451,$C111,'TL09'!$J$238:$J$451),0),
IF('TL10'!$B$3=K$3,SUMIF('TL10'!$C$10:$C$224,$C111,'TL10'!$J$10:$J$224),0),
IF('TL10'!$B$229=K$3,SUMIF('TL10'!$C$238:$C$451,$C111,'TL10'!$J$238:$J$451),0),
IF('TL11'!$B$3=K$3,SUMIF('TL11'!$C$10:$C$224,$C111,'TL11'!$J$10:$J$224),0),
IF('TL11'!$B$229=K$3,SUMIF('TL11'!$C$238:$C$451,$C111,'TL11'!$J$238:$J$451),0),
IF('TL12'!$B$3=K$3,SUMIF('TL12'!$C$10:$C$224,$C111,'TL12'!$J$10:$J$224),0),
IF('TL12'!$B$229=K$3,SUMIF('TL12'!$C$238:$C$451,$C111,'TL12'!$J$238:$J$451),0),
IF('TL13'!$B$3=K$3,SUMIF('TL13'!$C$10:$C$224,$C111,'TL13'!$J$10:$J$224),0),
IF('TL13'!$B$229=K$3,SUMIF('TL13'!$C$238:$C$451,$C111,'TL13'!$J$238:$J$451),0),
IF('TL14'!$B$3=K$3,SUMIF('TL14'!$C$10:$C$224,$C111,'TL14'!$J$10:$J$224),0),
IF('TL14'!$B$229=K$3,SUMIF('TL14'!$C$238:$C$451,$C111,'TL14'!$J$238:$J$451),0),
IF('TL15'!$B$3=K$3,SUMIF('TL15'!$C$10:$C$224,$C111,'TL15'!$J$10:$J$224),0),
IF('TL15'!$B$229=K$3,SUMIF('TL15'!$C$238:$C$451,$C111,'TL15'!$J$238:$J$451),0),
IF('TL16'!$B$3=K$3,SUMIF('TL16'!$C$10:$C$224,$C111,'TL16'!$J$10:$J$224),0),
IF('TL16'!$B$229=K$3,SUMIF('TL16'!$C$238:$C$451,$C111,'TL16'!$J$238:$J$451),0),
IF('TL17'!$B$3=K$3,SUMIF('TL17'!$C$10:$C$224,$C111,'TL17'!$J$10:$J$224),0),
IF('TL17'!$B$229=K$3,SUMIF('TL17'!$C$238:$C$451,$C111,'TL17'!$J$238:$J$451),0),
IF('TL18'!$B$3=K$3,SUMIF('TL18'!$C$10:$C$224,$C111,'TL18'!$J$10:$J$224),0),
IF('TL18'!$B$229=K$3,SUMIF('TL18'!$C$238:$C$451,$C111,'TL18'!$J$238:$J$451),0),
IF('TL19'!$B$3=K$3,SUMIF('TL19'!$C$10:$C$224,$C111,'TL19'!$J$10:$J$224),0),
IF('TL19'!$B$229=K$3,SUMIF('TL19'!$C$238:$C$451,$C111,'TL19'!$J$238:$J$451),0)
),0)</f>
        <v/>
      </c>
      <c r="L111" s="9">
        <f>IFERROR(SUM(
IF('TL01'!$B$3=L$3,SUMIF('TL01'!$C$10:$C$224,$C111,'TL01'!$J$10:$J$224),0),
IF('TL01'!$B$229=L$3,SUMIF('TL01'!$C$238:$C$451,$C111,'TL01'!$J$238:$J$451),0),
IF('TL02'!$B$3=L$3,SUMIF('TL02'!$C$10:$C$224,$C111,'TL02'!$J$10:$J$224),0),
IF('TL02'!$B$229=L$3,SUMIF('TL02'!$C$238:$C$451,$C111,'TL02'!$J$238:$J$451),0),
IF('TL03'!$B$3=L$3,SUMIF('TL03'!$C$10:$C$224,$C111,'TL03'!$J$10:$J$224),0),
IF('TL03'!$B$229=L$3,SUMIF('TL03'!$C$238:$C$451,$C111,'TL03'!$J$238:$J$451),0),
IF('TL04'!$B$3=L$3,SUMIF('TL04'!$C$10:$C$224,$C111,'TL04'!$J$10:$J$224),0),
IF('TL04'!$B$229=L$3,SUMIF('TL04'!$C$238:$C$451,$C111,'TL04'!$J$238:$J$451),0),
IF('TL05'!$B$3=L$3,SUMIF('TL05'!$C$10:$C$224,$C111,'TL05'!$J$10:$J$224),0),
IF('TL05'!$B$229=L$3,SUMIF('TL05'!$C$238:$C$451,$C111,'TL05'!$J$238:$J$451),0),
IF('TL06'!$B$3=L$3,SUMIF('TL06'!$C$10:$C$224,$C111,'TL06'!$J$10:$J$224),0),
IF('TL06'!$B$229=L$3,SUMIF('TL06'!$C$238:$C$451,$C111,'TL06'!$J$238:$J$451),0),
IF('TL07'!$B$3=L$3,SUMIF('TL07'!$C$10:$C$224,$C111,'TL07'!$J$10:$J$224),0),
IF('TL07'!$B$229=L$3,SUMIF('TL07'!$C$238:$C$451,$C111,'TL07'!$J$238:$J$451),0),
IF('TL08'!$B$3=L$3,SUMIF('TL08'!$C$10:$C$224,$C111,'TL08'!$J$10:$J$224),0),
IF('TL08'!$B$229=L$3,SUMIF('TL08'!$C$238:$C$451,$C111,'TL08'!$J$238:$J$451),0),
IF('TL09'!$B$3=L$3,SUMIF('TL09'!$C$10:$C$224,$C111,'TL09'!$J$10:$J$224),0),
IF('TL09'!$B$229=L$3,SUMIF('TL09'!$C$238:$C$451,$C111,'TL09'!$J$238:$J$451),0),
IF('TL10'!$B$3=L$3,SUMIF('TL10'!$C$10:$C$224,$C111,'TL10'!$J$10:$J$224),0),
IF('TL10'!$B$229=L$3,SUMIF('TL10'!$C$238:$C$451,$C111,'TL10'!$J$238:$J$451),0),
IF('TL11'!$B$3=L$3,SUMIF('TL11'!$C$10:$C$224,$C111,'TL11'!$J$10:$J$224),0),
IF('TL11'!$B$229=L$3,SUMIF('TL11'!$C$238:$C$451,$C111,'TL11'!$J$238:$J$451),0),
IF('TL12'!$B$3=L$3,SUMIF('TL12'!$C$10:$C$224,$C111,'TL12'!$J$10:$J$224),0),
IF('TL12'!$B$229=L$3,SUMIF('TL12'!$C$238:$C$451,$C111,'TL12'!$J$238:$J$451),0),
IF('TL13'!$B$3=L$3,SUMIF('TL13'!$C$10:$C$224,$C111,'TL13'!$J$10:$J$224),0),
IF('TL13'!$B$229=L$3,SUMIF('TL13'!$C$238:$C$451,$C111,'TL13'!$J$238:$J$451),0),
IF('TL14'!$B$3=L$3,SUMIF('TL14'!$C$10:$C$224,$C111,'TL14'!$J$10:$J$224),0),
IF('TL14'!$B$229=L$3,SUMIF('TL14'!$C$238:$C$451,$C111,'TL14'!$J$238:$J$451),0),
IF('TL15'!$B$3=L$3,SUMIF('TL15'!$C$10:$C$224,$C111,'TL15'!$J$10:$J$224),0),
IF('TL15'!$B$229=L$3,SUMIF('TL15'!$C$238:$C$451,$C111,'TL15'!$J$238:$J$451),0),
IF('TL16'!$B$3=L$3,SUMIF('TL16'!$C$10:$C$224,$C111,'TL16'!$J$10:$J$224),0),
IF('TL16'!$B$229=L$3,SUMIF('TL16'!$C$238:$C$451,$C111,'TL16'!$J$238:$J$451),0),
IF('TL17'!$B$3=L$3,SUMIF('TL17'!$C$10:$C$224,$C111,'TL17'!$J$10:$J$224),0),
IF('TL17'!$B$229=L$3,SUMIF('TL17'!$C$238:$C$451,$C111,'TL17'!$J$238:$J$451),0),
IF('TL18'!$B$3=L$3,SUMIF('TL18'!$C$10:$C$224,$C111,'TL18'!$J$10:$J$224),0),
IF('TL18'!$B$229=L$3,SUMIF('TL18'!$C$238:$C$451,$C111,'TL18'!$J$238:$J$451),0),
IF('TL19'!$B$3=L$3,SUMIF('TL19'!$C$10:$C$224,$C111,'TL19'!$J$10:$J$224),0),
IF('TL19'!$B$229=L$3,SUMIF('TL19'!$C$238:$C$451,$C111,'TL19'!$J$238:$J$451),0)
),0)</f>
        <v/>
      </c>
      <c r="M111" s="9">
        <f>IFERROR(SUM(
IF('TL01'!$B$3=M$3,SUMIF('TL01'!$C$10:$C$224,$C111,'TL01'!$J$10:$J$224),0),
IF('TL01'!$B$229=M$3,SUMIF('TL01'!$C$238:$C$451,$C111,'TL01'!$J$238:$J$451),0),
IF('TL02'!$B$3=M$3,SUMIF('TL02'!$C$10:$C$224,$C111,'TL02'!$J$10:$J$224),0),
IF('TL02'!$B$229=M$3,SUMIF('TL02'!$C$238:$C$451,$C111,'TL02'!$J$238:$J$451),0),
IF('TL03'!$B$3=M$3,SUMIF('TL03'!$C$10:$C$224,$C111,'TL03'!$J$10:$J$224),0),
IF('TL03'!$B$229=M$3,SUMIF('TL03'!$C$238:$C$451,$C111,'TL03'!$J$238:$J$451),0),
IF('TL04'!$B$3=M$3,SUMIF('TL04'!$C$10:$C$224,$C111,'TL04'!$J$10:$J$224),0),
IF('TL04'!$B$229=M$3,SUMIF('TL04'!$C$238:$C$451,$C111,'TL04'!$J$238:$J$451),0),
IF('TL05'!$B$3=M$3,SUMIF('TL05'!$C$10:$C$224,$C111,'TL05'!$J$10:$J$224),0),
IF('TL05'!$B$229=M$3,SUMIF('TL05'!$C$238:$C$451,$C111,'TL05'!$J$238:$J$451),0),
IF('TL06'!$B$3=M$3,SUMIF('TL06'!$C$10:$C$224,$C111,'TL06'!$J$10:$J$224),0),
IF('TL06'!$B$229=M$3,SUMIF('TL06'!$C$238:$C$451,$C111,'TL06'!$J$238:$J$451),0),
IF('TL07'!$B$3=M$3,SUMIF('TL07'!$C$10:$C$224,$C111,'TL07'!$J$10:$J$224),0),
IF('TL07'!$B$229=M$3,SUMIF('TL07'!$C$238:$C$451,$C111,'TL07'!$J$238:$J$451),0),
IF('TL08'!$B$3=M$3,SUMIF('TL08'!$C$10:$C$224,$C111,'TL08'!$J$10:$J$224),0),
IF('TL08'!$B$229=M$3,SUMIF('TL08'!$C$238:$C$451,$C111,'TL08'!$J$238:$J$451),0),
IF('TL09'!$B$3=M$3,SUMIF('TL09'!$C$10:$C$224,$C111,'TL09'!$J$10:$J$224),0),
IF('TL09'!$B$229=M$3,SUMIF('TL09'!$C$238:$C$451,$C111,'TL09'!$J$238:$J$451),0),
IF('TL10'!$B$3=M$3,SUMIF('TL10'!$C$10:$C$224,$C111,'TL10'!$J$10:$J$224),0),
IF('TL10'!$B$229=M$3,SUMIF('TL10'!$C$238:$C$451,$C111,'TL10'!$J$238:$J$451),0),
IF('TL11'!$B$3=M$3,SUMIF('TL11'!$C$10:$C$224,$C111,'TL11'!$J$10:$J$224),0),
IF('TL11'!$B$229=M$3,SUMIF('TL11'!$C$238:$C$451,$C111,'TL11'!$J$238:$J$451),0),
IF('TL12'!$B$3=M$3,SUMIF('TL12'!$C$10:$C$224,$C111,'TL12'!$J$10:$J$224),0),
IF('TL12'!$B$229=M$3,SUMIF('TL12'!$C$238:$C$451,$C111,'TL12'!$J$238:$J$451),0),
IF('TL13'!$B$3=M$3,SUMIF('TL13'!$C$10:$C$224,$C111,'TL13'!$J$10:$J$224),0),
IF('TL13'!$B$229=M$3,SUMIF('TL13'!$C$238:$C$451,$C111,'TL13'!$J$238:$J$451),0),
IF('TL14'!$B$3=M$3,SUMIF('TL14'!$C$10:$C$224,$C111,'TL14'!$J$10:$J$224),0),
IF('TL14'!$B$229=M$3,SUMIF('TL14'!$C$238:$C$451,$C111,'TL14'!$J$238:$J$451),0),
IF('TL15'!$B$3=M$3,SUMIF('TL15'!$C$10:$C$224,$C111,'TL15'!$J$10:$J$224),0),
IF('TL15'!$B$229=M$3,SUMIF('TL15'!$C$238:$C$451,$C111,'TL15'!$J$238:$J$451),0),
IF('TL16'!$B$3=M$3,SUMIF('TL16'!$C$10:$C$224,$C111,'TL16'!$J$10:$J$224),0),
IF('TL16'!$B$229=M$3,SUMIF('TL16'!$C$238:$C$451,$C111,'TL16'!$J$238:$J$451),0),
IF('TL17'!$B$3=M$3,SUMIF('TL17'!$C$10:$C$224,$C111,'TL17'!$J$10:$J$224),0),
IF('TL17'!$B$229=M$3,SUMIF('TL17'!$C$238:$C$451,$C111,'TL17'!$J$238:$J$451),0),
IF('TL18'!$B$3=M$3,SUMIF('TL18'!$C$10:$C$224,$C111,'TL18'!$J$10:$J$224),0),
IF('TL18'!$B$229=M$3,SUMIF('TL18'!$C$238:$C$451,$C111,'TL18'!$J$238:$J$451),0),
IF('TL19'!$B$3=M$3,SUMIF('TL19'!$C$10:$C$224,$C111,'TL19'!$J$10:$J$224),0),
IF('TL19'!$B$229=M$3,SUMIF('TL19'!$C$238:$C$451,$C111,'TL19'!$J$238:$J$451),0)
),0)</f>
        <v/>
      </c>
      <c r="N111" s="9">
        <f>IFERROR(SUM(
IF('TL01'!$B$3=N$3,SUMIF('TL01'!$C$10:$C$224,$C111,'TL01'!$J$10:$J$224),0),
IF('TL01'!$B$229=N$3,SUMIF('TL01'!$C$238:$C$451,$C111,'TL01'!$J$238:$J$451),0),
IF('TL02'!$B$3=N$3,SUMIF('TL02'!$C$10:$C$224,$C111,'TL02'!$J$10:$J$224),0),
IF('TL02'!$B$229=N$3,SUMIF('TL02'!$C$238:$C$451,$C111,'TL02'!$J$238:$J$451),0),
IF('TL03'!$B$3=N$3,SUMIF('TL03'!$C$10:$C$224,$C111,'TL03'!$J$10:$J$224),0),
IF('TL03'!$B$229=N$3,SUMIF('TL03'!$C$238:$C$451,$C111,'TL03'!$J$238:$J$451),0),
IF('TL04'!$B$3=N$3,SUMIF('TL04'!$C$10:$C$224,$C111,'TL04'!$J$10:$J$224),0),
IF('TL04'!$B$229=N$3,SUMIF('TL04'!$C$238:$C$451,$C111,'TL04'!$J$238:$J$451),0),
IF('TL05'!$B$3=N$3,SUMIF('TL05'!$C$10:$C$224,$C111,'TL05'!$J$10:$J$224),0),
IF('TL05'!$B$229=N$3,SUMIF('TL05'!$C$238:$C$451,$C111,'TL05'!$J$238:$J$451),0),
IF('TL06'!$B$3=N$3,SUMIF('TL06'!$C$10:$C$224,$C111,'TL06'!$J$10:$J$224),0),
IF('TL06'!$B$229=N$3,SUMIF('TL06'!$C$238:$C$451,$C111,'TL06'!$J$238:$J$451),0),
IF('TL07'!$B$3=N$3,SUMIF('TL07'!$C$10:$C$224,$C111,'TL07'!$J$10:$J$224),0),
IF('TL07'!$B$229=N$3,SUMIF('TL07'!$C$238:$C$451,$C111,'TL07'!$J$238:$J$451),0),
IF('TL08'!$B$3=N$3,SUMIF('TL08'!$C$10:$C$224,$C111,'TL08'!$J$10:$J$224),0),
IF('TL08'!$B$229=N$3,SUMIF('TL08'!$C$238:$C$451,$C111,'TL08'!$J$238:$J$451),0),
IF('TL09'!$B$3=N$3,SUMIF('TL09'!$C$10:$C$224,$C111,'TL09'!$J$10:$J$224),0),
IF('TL09'!$B$229=N$3,SUMIF('TL09'!$C$238:$C$451,$C111,'TL09'!$J$238:$J$451),0),
IF('TL10'!$B$3=N$3,SUMIF('TL10'!$C$10:$C$224,$C111,'TL10'!$J$10:$J$224),0),
IF('TL10'!$B$229=N$3,SUMIF('TL10'!$C$238:$C$451,$C111,'TL10'!$J$238:$J$451),0),
IF('TL11'!$B$3=N$3,SUMIF('TL11'!$C$10:$C$224,$C111,'TL11'!$J$10:$J$224),0),
IF('TL11'!$B$229=N$3,SUMIF('TL11'!$C$238:$C$451,$C111,'TL11'!$J$238:$J$451),0),
IF('TL12'!$B$3=N$3,SUMIF('TL12'!$C$10:$C$224,$C111,'TL12'!$J$10:$J$224),0),
IF('TL12'!$B$229=N$3,SUMIF('TL12'!$C$238:$C$451,$C111,'TL12'!$J$238:$J$451),0),
IF('TL13'!$B$3=N$3,SUMIF('TL13'!$C$10:$C$224,$C111,'TL13'!$J$10:$J$224),0),
IF('TL13'!$B$229=N$3,SUMIF('TL13'!$C$238:$C$451,$C111,'TL13'!$J$238:$J$451),0),
IF('TL14'!$B$3=N$3,SUMIF('TL14'!$C$10:$C$224,$C111,'TL14'!$J$10:$J$224),0),
IF('TL14'!$B$229=N$3,SUMIF('TL14'!$C$238:$C$451,$C111,'TL14'!$J$238:$J$451),0),
IF('TL15'!$B$3=N$3,SUMIF('TL15'!$C$10:$C$224,$C111,'TL15'!$J$10:$J$224),0),
IF('TL15'!$B$229=N$3,SUMIF('TL15'!$C$238:$C$451,$C111,'TL15'!$J$238:$J$451),0),
IF('TL16'!$B$3=N$3,SUMIF('TL16'!$C$10:$C$224,$C111,'TL16'!$J$10:$J$224),0),
IF('TL16'!$B$229=N$3,SUMIF('TL16'!$C$238:$C$451,$C111,'TL16'!$J$238:$J$451),0),
IF('TL17'!$B$3=N$3,SUMIF('TL17'!$C$10:$C$224,$C111,'TL17'!$J$10:$J$224),0),
IF('TL17'!$B$229=N$3,SUMIF('TL17'!$C$238:$C$451,$C111,'TL17'!$J$238:$J$451),0),
IF('TL18'!$B$3=N$3,SUMIF('TL18'!$C$10:$C$224,$C111,'TL18'!$J$10:$J$224),0),
IF('TL18'!$B$229=N$3,SUMIF('TL18'!$C$238:$C$451,$C111,'TL18'!$J$238:$J$451),0),
IF('TL19'!$B$3=N$3,SUMIF('TL19'!$C$10:$C$224,$C111,'TL19'!$J$10:$J$224),0),
IF('TL19'!$B$229=N$3,SUMIF('TL19'!$C$238:$C$451,$C111,'TL19'!$J$238:$J$451),0)
),0)</f>
        <v/>
      </c>
      <c r="O111" s="9">
        <f>IFERROR(SUM(
IF('TL01'!$B$3=O$3,SUMIF('TL01'!$C$10:$C$224,$C111,'TL01'!$J$10:$J$224),0),
IF('TL01'!$B$229=O$3,SUMIF('TL01'!$C$238:$C$451,$C111,'TL01'!$J$238:$J$451),0),
IF('TL02'!$B$3=O$3,SUMIF('TL02'!$C$10:$C$224,$C111,'TL02'!$J$10:$J$224),0),
IF('TL02'!$B$229=O$3,SUMIF('TL02'!$C$238:$C$451,$C111,'TL02'!$J$238:$J$451),0),
IF('TL03'!$B$3=O$3,SUMIF('TL03'!$C$10:$C$224,$C111,'TL03'!$J$10:$J$224),0),
IF('TL03'!$B$229=O$3,SUMIF('TL03'!$C$238:$C$451,$C111,'TL03'!$J$238:$J$451),0),
IF('TL04'!$B$3=O$3,SUMIF('TL04'!$C$10:$C$224,$C111,'TL04'!$J$10:$J$224),0),
IF('TL04'!$B$229=O$3,SUMIF('TL04'!$C$238:$C$451,$C111,'TL04'!$J$238:$J$451),0),
IF('TL05'!$B$3=O$3,SUMIF('TL05'!$C$10:$C$224,$C111,'TL05'!$J$10:$J$224),0),
IF('TL05'!$B$229=O$3,SUMIF('TL05'!$C$238:$C$451,$C111,'TL05'!$J$238:$J$451),0),
IF('TL06'!$B$3=O$3,SUMIF('TL06'!$C$10:$C$224,$C111,'TL06'!$J$10:$J$224),0),
IF('TL06'!$B$229=O$3,SUMIF('TL06'!$C$238:$C$451,$C111,'TL06'!$J$238:$J$451),0),
IF('TL07'!$B$3=O$3,SUMIF('TL07'!$C$10:$C$224,$C111,'TL07'!$J$10:$J$224),0),
IF('TL07'!$B$229=O$3,SUMIF('TL07'!$C$238:$C$451,$C111,'TL07'!$J$238:$J$451),0),
IF('TL08'!$B$3=O$3,SUMIF('TL08'!$C$10:$C$224,$C111,'TL08'!$J$10:$J$224),0),
IF('TL08'!$B$229=O$3,SUMIF('TL08'!$C$238:$C$451,$C111,'TL08'!$J$238:$J$451),0),
IF('TL09'!$B$3=O$3,SUMIF('TL09'!$C$10:$C$224,$C111,'TL09'!$J$10:$J$224),0),
IF('TL09'!$B$229=O$3,SUMIF('TL09'!$C$238:$C$451,$C111,'TL09'!$J$238:$J$451),0),
IF('TL10'!$B$3=O$3,SUMIF('TL10'!$C$10:$C$224,$C111,'TL10'!$J$10:$J$224),0),
IF('TL10'!$B$229=O$3,SUMIF('TL10'!$C$238:$C$451,$C111,'TL10'!$J$238:$J$451),0),
IF('TL11'!$B$3=O$3,SUMIF('TL11'!$C$10:$C$224,$C111,'TL11'!$J$10:$J$224),0),
IF('TL11'!$B$229=O$3,SUMIF('TL11'!$C$238:$C$451,$C111,'TL11'!$J$238:$J$451),0),
IF('TL12'!$B$3=O$3,SUMIF('TL12'!$C$10:$C$224,$C111,'TL12'!$J$10:$J$224),0),
IF('TL12'!$B$229=O$3,SUMIF('TL12'!$C$238:$C$451,$C111,'TL12'!$J$238:$J$451),0),
IF('TL13'!$B$3=O$3,SUMIF('TL13'!$C$10:$C$224,$C111,'TL13'!$J$10:$J$224),0),
IF('TL13'!$B$229=O$3,SUMIF('TL13'!$C$238:$C$451,$C111,'TL13'!$J$238:$J$451),0),
IF('TL14'!$B$3=O$3,SUMIF('TL14'!$C$10:$C$224,$C111,'TL14'!$J$10:$J$224),0),
IF('TL14'!$B$229=O$3,SUMIF('TL14'!$C$238:$C$451,$C111,'TL14'!$J$238:$J$451),0),
IF('TL15'!$B$3=O$3,SUMIF('TL15'!$C$10:$C$224,$C111,'TL15'!$J$10:$J$224),0),
IF('TL15'!$B$229=O$3,SUMIF('TL15'!$C$238:$C$451,$C111,'TL15'!$J$238:$J$451),0),
IF('TL16'!$B$3=O$3,SUMIF('TL16'!$C$10:$C$224,$C111,'TL16'!$J$10:$J$224),0),
IF('TL16'!$B$229=O$3,SUMIF('TL16'!$C$238:$C$451,$C111,'TL16'!$J$238:$J$451),0),
IF('TL17'!$B$3=O$3,SUMIF('TL17'!$C$10:$C$224,$C111,'TL17'!$J$10:$J$224),0),
IF('TL17'!$B$229=O$3,SUMIF('TL17'!$C$238:$C$451,$C111,'TL17'!$J$238:$J$451),0),
IF('TL18'!$B$3=O$3,SUMIF('TL18'!$C$10:$C$224,$C111,'TL18'!$J$10:$J$224),0),
IF('TL18'!$B$229=O$3,SUMIF('TL18'!$C$238:$C$451,$C111,'TL18'!$J$238:$J$451),0),
IF('TL19'!$B$3=O$3,SUMIF('TL19'!$C$10:$C$224,$C111,'TL19'!$J$10:$J$224),0),
IF('TL19'!$B$229=O$3,SUMIF('TL19'!$C$238:$C$451,$C111,'TL19'!$J$238:$J$451),0)
),0)</f>
        <v/>
      </c>
      <c r="P111" s="9">
        <f>IFERROR(SUM(
IF('TL01'!$B$3=P$3,SUMIF('TL01'!$C$10:$C$224,$C111,'TL01'!$J$10:$J$224),0),
IF('TL01'!$B$229=P$3,SUMIF('TL01'!$C$238:$C$451,$C111,'TL01'!$J$238:$J$451),0),
IF('TL02'!$B$3=P$3,SUMIF('TL02'!$C$10:$C$224,$C111,'TL02'!$J$10:$J$224),0),
IF('TL02'!$B$229=P$3,SUMIF('TL02'!$C$238:$C$451,$C111,'TL02'!$J$238:$J$451),0),
IF('TL03'!$B$3=P$3,SUMIF('TL03'!$C$10:$C$224,$C111,'TL03'!$J$10:$J$224),0),
IF('TL03'!$B$229=P$3,SUMIF('TL03'!$C$238:$C$451,$C111,'TL03'!$J$238:$J$451),0),
IF('TL04'!$B$3=P$3,SUMIF('TL04'!$C$10:$C$224,$C111,'TL04'!$J$10:$J$224),0),
IF('TL04'!$B$229=P$3,SUMIF('TL04'!$C$238:$C$451,$C111,'TL04'!$J$238:$J$451),0),
IF('TL05'!$B$3=P$3,SUMIF('TL05'!$C$10:$C$224,$C111,'TL05'!$J$10:$J$224),0),
IF('TL05'!$B$229=P$3,SUMIF('TL05'!$C$238:$C$451,$C111,'TL05'!$J$238:$J$451),0),
IF('TL06'!$B$3=P$3,SUMIF('TL06'!$C$10:$C$224,$C111,'TL06'!$J$10:$J$224),0),
IF('TL06'!$B$229=P$3,SUMIF('TL06'!$C$238:$C$451,$C111,'TL06'!$J$238:$J$451),0),
IF('TL07'!$B$3=P$3,SUMIF('TL07'!$C$10:$C$224,$C111,'TL07'!$J$10:$J$224),0),
IF('TL07'!$B$229=P$3,SUMIF('TL07'!$C$238:$C$451,$C111,'TL07'!$J$238:$J$451),0),
IF('TL08'!$B$3=P$3,SUMIF('TL08'!$C$10:$C$224,$C111,'TL08'!$J$10:$J$224),0),
IF('TL08'!$B$229=P$3,SUMIF('TL08'!$C$238:$C$451,$C111,'TL08'!$J$238:$J$451),0),
IF('TL09'!$B$3=P$3,SUMIF('TL09'!$C$10:$C$224,$C111,'TL09'!$J$10:$J$224),0),
IF('TL09'!$B$229=P$3,SUMIF('TL09'!$C$238:$C$451,$C111,'TL09'!$J$238:$J$451),0),
IF('TL10'!$B$3=P$3,SUMIF('TL10'!$C$10:$C$224,$C111,'TL10'!$J$10:$J$224),0),
IF('TL10'!$B$229=P$3,SUMIF('TL10'!$C$238:$C$451,$C111,'TL10'!$J$238:$J$451),0),
IF('TL11'!$B$3=P$3,SUMIF('TL11'!$C$10:$C$224,$C111,'TL11'!$J$10:$J$224),0),
IF('TL11'!$B$229=P$3,SUMIF('TL11'!$C$238:$C$451,$C111,'TL11'!$J$238:$J$451),0),
IF('TL12'!$B$3=P$3,SUMIF('TL12'!$C$10:$C$224,$C111,'TL12'!$J$10:$J$224),0),
IF('TL12'!$B$229=P$3,SUMIF('TL12'!$C$238:$C$451,$C111,'TL12'!$J$238:$J$451),0),
IF('TL13'!$B$3=P$3,SUMIF('TL13'!$C$10:$C$224,$C111,'TL13'!$J$10:$J$224),0),
IF('TL13'!$B$229=P$3,SUMIF('TL13'!$C$238:$C$451,$C111,'TL13'!$J$238:$J$451),0),
IF('TL14'!$B$3=P$3,SUMIF('TL14'!$C$10:$C$224,$C111,'TL14'!$J$10:$J$224),0),
IF('TL14'!$B$229=P$3,SUMIF('TL14'!$C$238:$C$451,$C111,'TL14'!$J$238:$J$451),0),
IF('TL15'!$B$3=P$3,SUMIF('TL15'!$C$10:$C$224,$C111,'TL15'!$J$10:$J$224),0),
IF('TL15'!$B$229=P$3,SUMIF('TL15'!$C$238:$C$451,$C111,'TL15'!$J$238:$J$451),0),
IF('TL16'!$B$3=P$3,SUMIF('TL16'!$C$10:$C$224,$C111,'TL16'!$J$10:$J$224),0),
IF('TL16'!$B$229=P$3,SUMIF('TL16'!$C$238:$C$451,$C111,'TL16'!$J$238:$J$451),0),
IF('TL17'!$B$3=P$3,SUMIF('TL17'!$C$10:$C$224,$C111,'TL17'!$J$10:$J$224),0),
IF('TL17'!$B$229=P$3,SUMIF('TL17'!$C$238:$C$451,$C111,'TL17'!$J$238:$J$451),0),
IF('TL18'!$B$3=P$3,SUMIF('TL18'!$C$10:$C$224,$C111,'TL18'!$J$10:$J$224),0),
IF('TL18'!$B$229=P$3,SUMIF('TL18'!$C$238:$C$451,$C111,'TL18'!$J$238:$J$451),0),
IF('TL19'!$B$3=P$3,SUMIF('TL19'!$C$10:$C$224,$C111,'TL19'!$J$10:$J$224),0),
IF('TL19'!$B$229=P$3,SUMIF('TL19'!$C$238:$C$451,$C111,'TL19'!$J$238:$J$451),0)
),0)</f>
        <v/>
      </c>
      <c r="Q111" s="9">
        <f>IFERROR(SUM(
IF('TL01'!$B$3=Q$3,SUMIF('TL01'!$C$10:$C$224,$C111,'TL01'!$J$10:$J$224),0),
IF('TL01'!$B$229=Q$3,SUMIF('TL01'!$C$238:$C$451,$C111,'TL01'!$J$238:$J$451),0),
IF('TL02'!$B$3=Q$3,SUMIF('TL02'!$C$10:$C$224,$C111,'TL02'!$J$10:$J$224),0),
IF('TL02'!$B$229=Q$3,SUMIF('TL02'!$C$238:$C$451,$C111,'TL02'!$J$238:$J$451),0),
IF('TL03'!$B$3=Q$3,SUMIF('TL03'!$C$10:$C$224,$C111,'TL03'!$J$10:$J$224),0),
IF('TL03'!$B$229=Q$3,SUMIF('TL03'!$C$238:$C$451,$C111,'TL03'!$J$238:$J$451),0),
IF('TL04'!$B$3=Q$3,SUMIF('TL04'!$C$10:$C$224,$C111,'TL04'!$J$10:$J$224),0),
IF('TL04'!$B$229=Q$3,SUMIF('TL04'!$C$238:$C$451,$C111,'TL04'!$J$238:$J$451),0),
IF('TL05'!$B$3=Q$3,SUMIF('TL05'!$C$10:$C$224,$C111,'TL05'!$J$10:$J$224),0),
IF('TL05'!$B$229=Q$3,SUMIF('TL05'!$C$238:$C$451,$C111,'TL05'!$J$238:$J$451),0),
IF('TL06'!$B$3=Q$3,SUMIF('TL06'!$C$10:$C$224,$C111,'TL06'!$J$10:$J$224),0),
IF('TL06'!$B$229=Q$3,SUMIF('TL06'!$C$238:$C$451,$C111,'TL06'!$J$238:$J$451),0),
IF('TL07'!$B$3=Q$3,SUMIF('TL07'!$C$10:$C$224,$C111,'TL07'!$J$10:$J$224),0),
IF('TL07'!$B$229=Q$3,SUMIF('TL07'!$C$238:$C$451,$C111,'TL07'!$J$238:$J$451),0),
IF('TL08'!$B$3=Q$3,SUMIF('TL08'!$C$10:$C$224,$C111,'TL08'!$J$10:$J$224),0),
IF('TL08'!$B$229=Q$3,SUMIF('TL08'!$C$238:$C$451,$C111,'TL08'!$J$238:$J$451),0),
IF('TL09'!$B$3=Q$3,SUMIF('TL09'!$C$10:$C$224,$C111,'TL09'!$J$10:$J$224),0),
IF('TL09'!$B$229=Q$3,SUMIF('TL09'!$C$238:$C$451,$C111,'TL09'!$J$238:$J$451),0),
IF('TL10'!$B$3=Q$3,SUMIF('TL10'!$C$10:$C$224,$C111,'TL10'!$J$10:$J$224),0),
IF('TL10'!$B$229=Q$3,SUMIF('TL10'!$C$238:$C$451,$C111,'TL10'!$J$238:$J$451),0),
IF('TL11'!$B$3=Q$3,SUMIF('TL11'!$C$10:$C$224,$C111,'TL11'!$J$10:$J$224),0),
IF('TL11'!$B$229=Q$3,SUMIF('TL11'!$C$238:$C$451,$C111,'TL11'!$J$238:$J$451),0),
IF('TL12'!$B$3=Q$3,SUMIF('TL12'!$C$10:$C$224,$C111,'TL12'!$J$10:$J$224),0),
IF('TL12'!$B$229=Q$3,SUMIF('TL12'!$C$238:$C$451,$C111,'TL12'!$J$238:$J$451),0),
IF('TL13'!$B$3=Q$3,SUMIF('TL13'!$C$10:$C$224,$C111,'TL13'!$J$10:$J$224),0),
IF('TL13'!$B$229=Q$3,SUMIF('TL13'!$C$238:$C$451,$C111,'TL13'!$J$238:$J$451),0),
IF('TL14'!$B$3=Q$3,SUMIF('TL14'!$C$10:$C$224,$C111,'TL14'!$J$10:$J$224),0),
IF('TL14'!$B$229=Q$3,SUMIF('TL14'!$C$238:$C$451,$C111,'TL14'!$J$238:$J$451),0),
IF('TL15'!$B$3=Q$3,SUMIF('TL15'!$C$10:$C$224,$C111,'TL15'!$J$10:$J$224),0),
IF('TL15'!$B$229=Q$3,SUMIF('TL15'!$C$238:$C$451,$C111,'TL15'!$J$238:$J$451),0),
IF('TL16'!$B$3=Q$3,SUMIF('TL16'!$C$10:$C$224,$C111,'TL16'!$J$10:$J$224),0),
IF('TL16'!$B$229=Q$3,SUMIF('TL16'!$C$238:$C$451,$C111,'TL16'!$J$238:$J$451),0),
IF('TL17'!$B$3=Q$3,SUMIF('TL17'!$C$10:$C$224,$C111,'TL17'!$J$10:$J$224),0),
IF('TL17'!$B$229=Q$3,SUMIF('TL17'!$C$238:$C$451,$C111,'TL17'!$J$238:$J$451),0),
IF('TL18'!$B$3=Q$3,SUMIF('TL18'!$C$10:$C$224,$C111,'TL18'!$J$10:$J$224),0),
IF('TL18'!$B$229=Q$3,SUMIF('TL18'!$C$238:$C$451,$C111,'TL18'!$J$238:$J$451),0),
IF('TL19'!$B$3=Q$3,SUMIF('TL19'!$C$10:$C$224,$C111,'TL19'!$J$10:$J$224),0),
IF('TL19'!$B$229=Q$3,SUMIF('TL19'!$C$238:$C$451,$C111,'TL19'!$J$238:$J$451),0)
),0)</f>
        <v/>
      </c>
      <c r="R111" s="9">
        <f>IFERROR(
SUM(
SUMIF('TL01'!C:C,C111,'TL01'!J:J),
SUMIF('TL02'!C:C,C111,'TL02'!J:J),
SUMIF('TL03'!C:C,C111,'TL03'!J:J),
SUMIF('TL04'!C:C,C111,'TL04'!J:J),
SUMIF('TL05'!C:C,C111,'TL05'!J:J),
SUMIF('TL06'!C:C,C111,'TL06'!J:J),
SUMIF('TL07'!C:C,C111,'TL07'!J:J),
SUMIF('TL08'!C:C,C111,'TL08'!J:J),
SUMIF('TL09'!C:C,C111,'TL09'!J:J),
SUMIF('TL10'!C:C,C111,'TL10'!J:J),
SUMIF('TL11'!C:C,C111,'TL11'!J:J),
SUMIF('TL12'!C:C,C111,'TL12'!J:J),
SUMIF('TL13'!C:C,C111,'TL13'!J:J),
SUMIF('TL14'!C:C,C111,'TL14'!J:J),
SUMIF('TL15'!C:C,C111,'TL15'!J:J),
SUMIF('TL16'!C:C,C111,'TL16'!J:J),
SUMIF('TL17'!C:C,C111,'TL17'!J:J),
SUMIF('TL18'!C:C,C111,'TL18'!J:J),SUMIF('TL19'!C:C,C111,'TL19'!J:J))
,0)</f>
        <v/>
      </c>
      <c r="S111" s="17">
        <f>IFERROR(__xludf.DUMMYFUNCTION("IFERROR(VLOOKUP(C111,
IMPORTRANGE(""1wULbzX32WdYsx-lj2U3uUNBBe2INVIRDtcK0d-Dvl90"",
""26-27!C:G""),
5,
FALSE),
"""")"),35.78848)</f>
        <v/>
      </c>
      <c r="T111" s="9" t="n"/>
      <c r="U111" s="92">
        <f>MAX(0,R111-T111)</f>
        <v/>
      </c>
      <c r="V111" s="93">
        <f>U111*S111</f>
        <v/>
      </c>
    </row>
    <row r="112" hidden="1" ht="15.75" customHeight="1" s="297">
      <c r="A112" s="115" t="inlineStr">
        <is>
          <t>BASF</t>
        </is>
      </c>
      <c r="B112" s="100" t="inlineStr">
        <is>
          <t>HERBICIDA</t>
        </is>
      </c>
      <c r="C112" s="116" t="inlineStr">
        <is>
          <t>AMPLO</t>
        </is>
      </c>
      <c r="D112" s="116" t="inlineStr">
        <is>
          <t>BENTAZONA + IMAZAMOXI</t>
        </is>
      </c>
      <c r="E112" s="116" t="inlineStr">
        <is>
          <t>600 + 28</t>
        </is>
      </c>
      <c r="F112" s="4" t="inlineStr">
        <is>
          <t>L</t>
        </is>
      </c>
      <c r="G112" s="90">
        <f>HYPERLINK("https://www.google.com/search?q=" &amp; C112 &amp; "+bula+agrofit+pdf", "📄 Ver bula")</f>
        <v/>
      </c>
      <c r="H112" s="9">
        <f>IFERROR(__xludf.DUMMYFUNCTION("IFERROR(VLOOKUP(C112,
IMPORTRANGE(""1wULbzX32WdYsx-lj2U3uUNBBe2INVIRDtcK0d-Dvl90"",
""26-27!C:K""),
8,
FALSE),
"""")"),"")</f>
        <v/>
      </c>
      <c r="I112" s="117" t="inlineStr">
        <is>
          <t>4X5</t>
        </is>
      </c>
      <c r="J112" s="9">
        <f>IFERROR(SUM(
IF('TL01'!$B$3=J$3,SUMIF('TL01'!$C$10:$C$224,$C112,'TL01'!$J$10:$J$224),0),
IF('TL01'!$B$229=J$3,SUMIF('TL01'!$C$238:$C$451,$C112,'TL01'!$J$238:$J$451),0),
IF('TL02'!$B$3=J$3,SUMIF('TL02'!$C$10:$C$224,$C112,'TL02'!$J$10:$J$224),0),
IF('TL02'!$B$229=J$3,SUMIF('TL02'!$C$238:$C$451,$C112,'TL02'!$J$238:$J$451),0),
IF('TL03'!$B$3=J$3,SUMIF('TL03'!$C$10:$C$224,$C112,'TL03'!$J$10:$J$224),0),
IF('TL03'!$B$229=J$3,SUMIF('TL03'!$C$238:$C$451,$C112,'TL03'!$J$238:$J$451),0),
IF('TL04'!$B$3=J$3,SUMIF('TL04'!$C$10:$C$224,$C112,'TL04'!$J$10:$J$224),0),
IF('TL04'!$B$229=J$3,SUMIF('TL04'!$C$238:$C$451,$C112,'TL04'!$J$238:$J$451),0),
IF('TL05'!$B$3=J$3,SUMIF('TL05'!$C$10:$C$224,$C112,'TL05'!$J$10:$J$224),0),
IF('TL05'!$B$229=J$3,SUMIF('TL05'!$C$238:$C$451,$C112,'TL05'!$J$238:$J$451),0),
IF('TL06'!$B$3=J$3,SUMIF('TL06'!$C$10:$C$224,$C112,'TL06'!$J$10:$J$224),0),
IF('TL06'!$B$229=J$3,SUMIF('TL06'!$C$238:$C$451,$C112,'TL06'!$J$238:$J$451),0),
IF('TL07'!$B$3=J$3,SUMIF('TL07'!$C$10:$C$224,$C112,'TL07'!$J$10:$J$224),0),
IF('TL07'!$B$229=J$3,SUMIF('TL07'!$C$238:$C$451,$C112,'TL07'!$J$238:$J$451),0),
IF('TL08'!$B$3=J$3,SUMIF('TL08'!$C$10:$C$224,$C112,'TL08'!$J$10:$J$224),0),
IF('TL08'!$B$229=J$3,SUMIF('TL08'!$C$238:$C$451,$C112,'TL08'!$J$238:$J$451),0),
IF('TL09'!$B$3=J$3,SUMIF('TL09'!$C$10:$C$224,$C112,'TL09'!$J$10:$J$224),0),
IF('TL09'!$B$229=J$3,SUMIF('TL09'!$C$238:$C$451,$C112,'TL09'!$J$238:$J$451),0),
IF('TL10'!$B$3=J$3,SUMIF('TL10'!$C$10:$C$224,$C112,'TL10'!$J$10:$J$224),0),
IF('TL10'!$B$229=J$3,SUMIF('TL10'!$C$238:$C$451,$C112,'TL10'!$J$238:$J$451),0),
IF('TL11'!$B$3=J$3,SUMIF('TL11'!$C$10:$C$224,$C112,'TL11'!$J$10:$J$224),0),
IF('TL11'!$B$229=J$3,SUMIF('TL11'!$C$238:$C$451,$C112,'TL11'!$J$238:$J$451),0),
IF('TL12'!$B$3=J$3,SUMIF('TL12'!$C$10:$C$224,$C112,'TL12'!$J$10:$J$224),0),
IF('TL12'!$B$229=J$3,SUMIF('TL12'!$C$238:$C$451,$C112,'TL12'!$J$238:$J$451),0),
IF('TL13'!$B$3=J$3,SUMIF('TL13'!$C$10:$C$224,$C112,'TL13'!$J$10:$J$224),0),
IF('TL13'!$B$229=J$3,SUMIF('TL13'!$C$238:$C$451,$C112,'TL13'!$J$238:$J$451),0),
IF('TL14'!$B$3=J$3,SUMIF('TL14'!$C$10:$C$224,$C112,'TL14'!$J$10:$J$224),0),
IF('TL14'!$B$229=J$3,SUMIF('TL14'!$C$238:$C$451,$C112,'TL14'!$J$238:$J$451),0),
IF('TL15'!$B$3=J$3,SUMIF('TL15'!$C$10:$C$224,$C112,'TL15'!$J$10:$J$224),0),
IF('TL15'!$B$229=J$3,SUMIF('TL15'!$C$238:$C$451,$C112,'TL15'!$J$238:$J$451),0),
IF('TL16'!$B$3=J$3,SUMIF('TL16'!$C$10:$C$224,$C112,'TL16'!$J$10:$J$224),0),
IF('TL16'!$B$229=J$3,SUMIF('TL16'!$C$238:$C$451,$C112,'TL16'!$J$238:$J$451),0),
IF('TL17'!$B$3=J$3,SUMIF('TL17'!$C$10:$C$224,$C112,'TL17'!$J$10:$J$224),0),
IF('TL17'!$B$229=J$3,SUMIF('TL17'!$C$238:$C$451,$C112,'TL17'!$J$238:$J$451),0),
IF('TL18'!$B$3=J$3,SUMIF('TL18'!$C$10:$C$224,$C112,'TL18'!$J$10:$J$224),0),
IF('TL18'!$B$229=J$3,SUMIF('TL18'!$C$238:$C$451,$C112,'TL18'!$J$238:$J$451),0),
IF('TL19'!$B$3=J$3,SUMIF('TL19'!$C$10:$C$224,$C112,'TL19'!$J$10:$J$224),0),
IF('TL19'!$B$229=J$3,SUMIF('TL19'!$C$238:$C$451,$C112,'TL19'!$J$238:$J$451),0)
),0)</f>
        <v/>
      </c>
      <c r="K112" s="9">
        <f>IFERROR(SUM(
IF('TL01'!$B$3=K$3,SUMIF('TL01'!$C$10:$C$224,$C112,'TL01'!$J$10:$J$224),0),
IF('TL01'!$B$229=K$3,SUMIF('TL01'!$C$238:$C$451,$C112,'TL01'!$J$238:$J$451),0),
IF('TL02'!$B$3=K$3,SUMIF('TL02'!$C$10:$C$224,$C112,'TL02'!$J$10:$J$224),0),
IF('TL02'!$B$229=K$3,SUMIF('TL02'!$C$238:$C$451,$C112,'TL02'!$J$238:$J$451),0),
IF('TL03'!$B$3=K$3,SUMIF('TL03'!$C$10:$C$224,$C112,'TL03'!$J$10:$J$224),0),
IF('TL03'!$B$229=K$3,SUMIF('TL03'!$C$238:$C$451,$C112,'TL03'!$J$238:$J$451),0),
IF('TL04'!$B$3=K$3,SUMIF('TL04'!$C$10:$C$224,$C112,'TL04'!$J$10:$J$224),0),
IF('TL04'!$B$229=K$3,SUMIF('TL04'!$C$238:$C$451,$C112,'TL04'!$J$238:$J$451),0),
IF('TL05'!$B$3=K$3,SUMIF('TL05'!$C$10:$C$224,$C112,'TL05'!$J$10:$J$224),0),
IF('TL05'!$B$229=K$3,SUMIF('TL05'!$C$238:$C$451,$C112,'TL05'!$J$238:$J$451),0),
IF('TL06'!$B$3=K$3,SUMIF('TL06'!$C$10:$C$224,$C112,'TL06'!$J$10:$J$224),0),
IF('TL06'!$B$229=K$3,SUMIF('TL06'!$C$238:$C$451,$C112,'TL06'!$J$238:$J$451),0),
IF('TL07'!$B$3=K$3,SUMIF('TL07'!$C$10:$C$224,$C112,'TL07'!$J$10:$J$224),0),
IF('TL07'!$B$229=K$3,SUMIF('TL07'!$C$238:$C$451,$C112,'TL07'!$J$238:$J$451),0),
IF('TL08'!$B$3=K$3,SUMIF('TL08'!$C$10:$C$224,$C112,'TL08'!$J$10:$J$224),0),
IF('TL08'!$B$229=K$3,SUMIF('TL08'!$C$238:$C$451,$C112,'TL08'!$J$238:$J$451),0),
IF('TL09'!$B$3=K$3,SUMIF('TL09'!$C$10:$C$224,$C112,'TL09'!$J$10:$J$224),0),
IF('TL09'!$B$229=K$3,SUMIF('TL09'!$C$238:$C$451,$C112,'TL09'!$J$238:$J$451),0),
IF('TL10'!$B$3=K$3,SUMIF('TL10'!$C$10:$C$224,$C112,'TL10'!$J$10:$J$224),0),
IF('TL10'!$B$229=K$3,SUMIF('TL10'!$C$238:$C$451,$C112,'TL10'!$J$238:$J$451),0),
IF('TL11'!$B$3=K$3,SUMIF('TL11'!$C$10:$C$224,$C112,'TL11'!$J$10:$J$224),0),
IF('TL11'!$B$229=K$3,SUMIF('TL11'!$C$238:$C$451,$C112,'TL11'!$J$238:$J$451),0),
IF('TL12'!$B$3=K$3,SUMIF('TL12'!$C$10:$C$224,$C112,'TL12'!$J$10:$J$224),0),
IF('TL12'!$B$229=K$3,SUMIF('TL12'!$C$238:$C$451,$C112,'TL12'!$J$238:$J$451),0),
IF('TL13'!$B$3=K$3,SUMIF('TL13'!$C$10:$C$224,$C112,'TL13'!$J$10:$J$224),0),
IF('TL13'!$B$229=K$3,SUMIF('TL13'!$C$238:$C$451,$C112,'TL13'!$J$238:$J$451),0),
IF('TL14'!$B$3=K$3,SUMIF('TL14'!$C$10:$C$224,$C112,'TL14'!$J$10:$J$224),0),
IF('TL14'!$B$229=K$3,SUMIF('TL14'!$C$238:$C$451,$C112,'TL14'!$J$238:$J$451),0),
IF('TL15'!$B$3=K$3,SUMIF('TL15'!$C$10:$C$224,$C112,'TL15'!$J$10:$J$224),0),
IF('TL15'!$B$229=K$3,SUMIF('TL15'!$C$238:$C$451,$C112,'TL15'!$J$238:$J$451),0),
IF('TL16'!$B$3=K$3,SUMIF('TL16'!$C$10:$C$224,$C112,'TL16'!$J$10:$J$224),0),
IF('TL16'!$B$229=K$3,SUMIF('TL16'!$C$238:$C$451,$C112,'TL16'!$J$238:$J$451),0),
IF('TL17'!$B$3=K$3,SUMIF('TL17'!$C$10:$C$224,$C112,'TL17'!$J$10:$J$224),0),
IF('TL17'!$B$229=K$3,SUMIF('TL17'!$C$238:$C$451,$C112,'TL17'!$J$238:$J$451),0),
IF('TL18'!$B$3=K$3,SUMIF('TL18'!$C$10:$C$224,$C112,'TL18'!$J$10:$J$224),0),
IF('TL18'!$B$229=K$3,SUMIF('TL18'!$C$238:$C$451,$C112,'TL18'!$J$238:$J$451),0),
IF('TL19'!$B$3=K$3,SUMIF('TL19'!$C$10:$C$224,$C112,'TL19'!$J$10:$J$224),0),
IF('TL19'!$B$229=K$3,SUMIF('TL19'!$C$238:$C$451,$C112,'TL19'!$J$238:$J$451),0)
),0)</f>
        <v/>
      </c>
      <c r="L112" s="9">
        <f>IFERROR(SUM(
IF('TL01'!$B$3=L$3,SUMIF('TL01'!$C$10:$C$224,$C112,'TL01'!$J$10:$J$224),0),
IF('TL01'!$B$229=L$3,SUMIF('TL01'!$C$238:$C$451,$C112,'TL01'!$J$238:$J$451),0),
IF('TL02'!$B$3=L$3,SUMIF('TL02'!$C$10:$C$224,$C112,'TL02'!$J$10:$J$224),0),
IF('TL02'!$B$229=L$3,SUMIF('TL02'!$C$238:$C$451,$C112,'TL02'!$J$238:$J$451),0),
IF('TL03'!$B$3=L$3,SUMIF('TL03'!$C$10:$C$224,$C112,'TL03'!$J$10:$J$224),0),
IF('TL03'!$B$229=L$3,SUMIF('TL03'!$C$238:$C$451,$C112,'TL03'!$J$238:$J$451),0),
IF('TL04'!$B$3=L$3,SUMIF('TL04'!$C$10:$C$224,$C112,'TL04'!$J$10:$J$224),0),
IF('TL04'!$B$229=L$3,SUMIF('TL04'!$C$238:$C$451,$C112,'TL04'!$J$238:$J$451),0),
IF('TL05'!$B$3=L$3,SUMIF('TL05'!$C$10:$C$224,$C112,'TL05'!$J$10:$J$224),0),
IF('TL05'!$B$229=L$3,SUMIF('TL05'!$C$238:$C$451,$C112,'TL05'!$J$238:$J$451),0),
IF('TL06'!$B$3=L$3,SUMIF('TL06'!$C$10:$C$224,$C112,'TL06'!$J$10:$J$224),0),
IF('TL06'!$B$229=L$3,SUMIF('TL06'!$C$238:$C$451,$C112,'TL06'!$J$238:$J$451),0),
IF('TL07'!$B$3=L$3,SUMIF('TL07'!$C$10:$C$224,$C112,'TL07'!$J$10:$J$224),0),
IF('TL07'!$B$229=L$3,SUMIF('TL07'!$C$238:$C$451,$C112,'TL07'!$J$238:$J$451),0),
IF('TL08'!$B$3=L$3,SUMIF('TL08'!$C$10:$C$224,$C112,'TL08'!$J$10:$J$224),0),
IF('TL08'!$B$229=L$3,SUMIF('TL08'!$C$238:$C$451,$C112,'TL08'!$J$238:$J$451),0),
IF('TL09'!$B$3=L$3,SUMIF('TL09'!$C$10:$C$224,$C112,'TL09'!$J$10:$J$224),0),
IF('TL09'!$B$229=L$3,SUMIF('TL09'!$C$238:$C$451,$C112,'TL09'!$J$238:$J$451),0),
IF('TL10'!$B$3=L$3,SUMIF('TL10'!$C$10:$C$224,$C112,'TL10'!$J$10:$J$224),0),
IF('TL10'!$B$229=L$3,SUMIF('TL10'!$C$238:$C$451,$C112,'TL10'!$J$238:$J$451),0),
IF('TL11'!$B$3=L$3,SUMIF('TL11'!$C$10:$C$224,$C112,'TL11'!$J$10:$J$224),0),
IF('TL11'!$B$229=L$3,SUMIF('TL11'!$C$238:$C$451,$C112,'TL11'!$J$238:$J$451),0),
IF('TL12'!$B$3=L$3,SUMIF('TL12'!$C$10:$C$224,$C112,'TL12'!$J$10:$J$224),0),
IF('TL12'!$B$229=L$3,SUMIF('TL12'!$C$238:$C$451,$C112,'TL12'!$J$238:$J$451),0),
IF('TL13'!$B$3=L$3,SUMIF('TL13'!$C$10:$C$224,$C112,'TL13'!$J$10:$J$224),0),
IF('TL13'!$B$229=L$3,SUMIF('TL13'!$C$238:$C$451,$C112,'TL13'!$J$238:$J$451),0),
IF('TL14'!$B$3=L$3,SUMIF('TL14'!$C$10:$C$224,$C112,'TL14'!$J$10:$J$224),0),
IF('TL14'!$B$229=L$3,SUMIF('TL14'!$C$238:$C$451,$C112,'TL14'!$J$238:$J$451),0),
IF('TL15'!$B$3=L$3,SUMIF('TL15'!$C$10:$C$224,$C112,'TL15'!$J$10:$J$224),0),
IF('TL15'!$B$229=L$3,SUMIF('TL15'!$C$238:$C$451,$C112,'TL15'!$J$238:$J$451),0),
IF('TL16'!$B$3=L$3,SUMIF('TL16'!$C$10:$C$224,$C112,'TL16'!$J$10:$J$224),0),
IF('TL16'!$B$229=L$3,SUMIF('TL16'!$C$238:$C$451,$C112,'TL16'!$J$238:$J$451),0),
IF('TL17'!$B$3=L$3,SUMIF('TL17'!$C$10:$C$224,$C112,'TL17'!$J$10:$J$224),0),
IF('TL17'!$B$229=L$3,SUMIF('TL17'!$C$238:$C$451,$C112,'TL17'!$J$238:$J$451),0),
IF('TL18'!$B$3=L$3,SUMIF('TL18'!$C$10:$C$224,$C112,'TL18'!$J$10:$J$224),0),
IF('TL18'!$B$229=L$3,SUMIF('TL18'!$C$238:$C$451,$C112,'TL18'!$J$238:$J$451),0),
IF('TL19'!$B$3=L$3,SUMIF('TL19'!$C$10:$C$224,$C112,'TL19'!$J$10:$J$224),0),
IF('TL19'!$B$229=L$3,SUMIF('TL19'!$C$238:$C$451,$C112,'TL19'!$J$238:$J$451),0)
),0)</f>
        <v/>
      </c>
      <c r="M112" s="9">
        <f>IFERROR(SUM(
IF('TL01'!$B$3=M$3,SUMIF('TL01'!$C$10:$C$224,$C112,'TL01'!$J$10:$J$224),0),
IF('TL01'!$B$229=M$3,SUMIF('TL01'!$C$238:$C$451,$C112,'TL01'!$J$238:$J$451),0),
IF('TL02'!$B$3=M$3,SUMIF('TL02'!$C$10:$C$224,$C112,'TL02'!$J$10:$J$224),0),
IF('TL02'!$B$229=M$3,SUMIF('TL02'!$C$238:$C$451,$C112,'TL02'!$J$238:$J$451),0),
IF('TL03'!$B$3=M$3,SUMIF('TL03'!$C$10:$C$224,$C112,'TL03'!$J$10:$J$224),0),
IF('TL03'!$B$229=M$3,SUMIF('TL03'!$C$238:$C$451,$C112,'TL03'!$J$238:$J$451),0),
IF('TL04'!$B$3=M$3,SUMIF('TL04'!$C$10:$C$224,$C112,'TL04'!$J$10:$J$224),0),
IF('TL04'!$B$229=M$3,SUMIF('TL04'!$C$238:$C$451,$C112,'TL04'!$J$238:$J$451),0),
IF('TL05'!$B$3=M$3,SUMIF('TL05'!$C$10:$C$224,$C112,'TL05'!$J$10:$J$224),0),
IF('TL05'!$B$229=M$3,SUMIF('TL05'!$C$238:$C$451,$C112,'TL05'!$J$238:$J$451),0),
IF('TL06'!$B$3=M$3,SUMIF('TL06'!$C$10:$C$224,$C112,'TL06'!$J$10:$J$224),0),
IF('TL06'!$B$229=M$3,SUMIF('TL06'!$C$238:$C$451,$C112,'TL06'!$J$238:$J$451),0),
IF('TL07'!$B$3=M$3,SUMIF('TL07'!$C$10:$C$224,$C112,'TL07'!$J$10:$J$224),0),
IF('TL07'!$B$229=M$3,SUMIF('TL07'!$C$238:$C$451,$C112,'TL07'!$J$238:$J$451),0),
IF('TL08'!$B$3=M$3,SUMIF('TL08'!$C$10:$C$224,$C112,'TL08'!$J$10:$J$224),0),
IF('TL08'!$B$229=M$3,SUMIF('TL08'!$C$238:$C$451,$C112,'TL08'!$J$238:$J$451),0),
IF('TL09'!$B$3=M$3,SUMIF('TL09'!$C$10:$C$224,$C112,'TL09'!$J$10:$J$224),0),
IF('TL09'!$B$229=M$3,SUMIF('TL09'!$C$238:$C$451,$C112,'TL09'!$J$238:$J$451),0),
IF('TL10'!$B$3=M$3,SUMIF('TL10'!$C$10:$C$224,$C112,'TL10'!$J$10:$J$224),0),
IF('TL10'!$B$229=M$3,SUMIF('TL10'!$C$238:$C$451,$C112,'TL10'!$J$238:$J$451),0),
IF('TL11'!$B$3=M$3,SUMIF('TL11'!$C$10:$C$224,$C112,'TL11'!$J$10:$J$224),0),
IF('TL11'!$B$229=M$3,SUMIF('TL11'!$C$238:$C$451,$C112,'TL11'!$J$238:$J$451),0),
IF('TL12'!$B$3=M$3,SUMIF('TL12'!$C$10:$C$224,$C112,'TL12'!$J$10:$J$224),0),
IF('TL12'!$B$229=M$3,SUMIF('TL12'!$C$238:$C$451,$C112,'TL12'!$J$238:$J$451),0),
IF('TL13'!$B$3=M$3,SUMIF('TL13'!$C$10:$C$224,$C112,'TL13'!$J$10:$J$224),0),
IF('TL13'!$B$229=M$3,SUMIF('TL13'!$C$238:$C$451,$C112,'TL13'!$J$238:$J$451),0),
IF('TL14'!$B$3=M$3,SUMIF('TL14'!$C$10:$C$224,$C112,'TL14'!$J$10:$J$224),0),
IF('TL14'!$B$229=M$3,SUMIF('TL14'!$C$238:$C$451,$C112,'TL14'!$J$238:$J$451),0),
IF('TL15'!$B$3=M$3,SUMIF('TL15'!$C$10:$C$224,$C112,'TL15'!$J$10:$J$224),0),
IF('TL15'!$B$229=M$3,SUMIF('TL15'!$C$238:$C$451,$C112,'TL15'!$J$238:$J$451),0),
IF('TL16'!$B$3=M$3,SUMIF('TL16'!$C$10:$C$224,$C112,'TL16'!$J$10:$J$224),0),
IF('TL16'!$B$229=M$3,SUMIF('TL16'!$C$238:$C$451,$C112,'TL16'!$J$238:$J$451),0),
IF('TL17'!$B$3=M$3,SUMIF('TL17'!$C$10:$C$224,$C112,'TL17'!$J$10:$J$224),0),
IF('TL17'!$B$229=M$3,SUMIF('TL17'!$C$238:$C$451,$C112,'TL17'!$J$238:$J$451),0),
IF('TL18'!$B$3=M$3,SUMIF('TL18'!$C$10:$C$224,$C112,'TL18'!$J$10:$J$224),0),
IF('TL18'!$B$229=M$3,SUMIF('TL18'!$C$238:$C$451,$C112,'TL18'!$J$238:$J$451),0),
IF('TL19'!$B$3=M$3,SUMIF('TL19'!$C$10:$C$224,$C112,'TL19'!$J$10:$J$224),0),
IF('TL19'!$B$229=M$3,SUMIF('TL19'!$C$238:$C$451,$C112,'TL19'!$J$238:$J$451),0)
),0)</f>
        <v/>
      </c>
      <c r="N112" s="9">
        <f>IFERROR(SUM(
IF('TL01'!$B$3=N$3,SUMIF('TL01'!$C$10:$C$224,$C112,'TL01'!$J$10:$J$224),0),
IF('TL01'!$B$229=N$3,SUMIF('TL01'!$C$238:$C$451,$C112,'TL01'!$J$238:$J$451),0),
IF('TL02'!$B$3=N$3,SUMIF('TL02'!$C$10:$C$224,$C112,'TL02'!$J$10:$J$224),0),
IF('TL02'!$B$229=N$3,SUMIF('TL02'!$C$238:$C$451,$C112,'TL02'!$J$238:$J$451),0),
IF('TL03'!$B$3=N$3,SUMIF('TL03'!$C$10:$C$224,$C112,'TL03'!$J$10:$J$224),0),
IF('TL03'!$B$229=N$3,SUMIF('TL03'!$C$238:$C$451,$C112,'TL03'!$J$238:$J$451),0),
IF('TL04'!$B$3=N$3,SUMIF('TL04'!$C$10:$C$224,$C112,'TL04'!$J$10:$J$224),0),
IF('TL04'!$B$229=N$3,SUMIF('TL04'!$C$238:$C$451,$C112,'TL04'!$J$238:$J$451),0),
IF('TL05'!$B$3=N$3,SUMIF('TL05'!$C$10:$C$224,$C112,'TL05'!$J$10:$J$224),0),
IF('TL05'!$B$229=N$3,SUMIF('TL05'!$C$238:$C$451,$C112,'TL05'!$J$238:$J$451),0),
IF('TL06'!$B$3=N$3,SUMIF('TL06'!$C$10:$C$224,$C112,'TL06'!$J$10:$J$224),0),
IF('TL06'!$B$229=N$3,SUMIF('TL06'!$C$238:$C$451,$C112,'TL06'!$J$238:$J$451),0),
IF('TL07'!$B$3=N$3,SUMIF('TL07'!$C$10:$C$224,$C112,'TL07'!$J$10:$J$224),0),
IF('TL07'!$B$229=N$3,SUMIF('TL07'!$C$238:$C$451,$C112,'TL07'!$J$238:$J$451),0),
IF('TL08'!$B$3=N$3,SUMIF('TL08'!$C$10:$C$224,$C112,'TL08'!$J$10:$J$224),0),
IF('TL08'!$B$229=N$3,SUMIF('TL08'!$C$238:$C$451,$C112,'TL08'!$J$238:$J$451),0),
IF('TL09'!$B$3=N$3,SUMIF('TL09'!$C$10:$C$224,$C112,'TL09'!$J$10:$J$224),0),
IF('TL09'!$B$229=N$3,SUMIF('TL09'!$C$238:$C$451,$C112,'TL09'!$J$238:$J$451),0),
IF('TL10'!$B$3=N$3,SUMIF('TL10'!$C$10:$C$224,$C112,'TL10'!$J$10:$J$224),0),
IF('TL10'!$B$229=N$3,SUMIF('TL10'!$C$238:$C$451,$C112,'TL10'!$J$238:$J$451),0),
IF('TL11'!$B$3=N$3,SUMIF('TL11'!$C$10:$C$224,$C112,'TL11'!$J$10:$J$224),0),
IF('TL11'!$B$229=N$3,SUMIF('TL11'!$C$238:$C$451,$C112,'TL11'!$J$238:$J$451),0),
IF('TL12'!$B$3=N$3,SUMIF('TL12'!$C$10:$C$224,$C112,'TL12'!$J$10:$J$224),0),
IF('TL12'!$B$229=N$3,SUMIF('TL12'!$C$238:$C$451,$C112,'TL12'!$J$238:$J$451),0),
IF('TL13'!$B$3=N$3,SUMIF('TL13'!$C$10:$C$224,$C112,'TL13'!$J$10:$J$224),0),
IF('TL13'!$B$229=N$3,SUMIF('TL13'!$C$238:$C$451,$C112,'TL13'!$J$238:$J$451),0),
IF('TL14'!$B$3=N$3,SUMIF('TL14'!$C$10:$C$224,$C112,'TL14'!$J$10:$J$224),0),
IF('TL14'!$B$229=N$3,SUMIF('TL14'!$C$238:$C$451,$C112,'TL14'!$J$238:$J$451),0),
IF('TL15'!$B$3=N$3,SUMIF('TL15'!$C$10:$C$224,$C112,'TL15'!$J$10:$J$224),0),
IF('TL15'!$B$229=N$3,SUMIF('TL15'!$C$238:$C$451,$C112,'TL15'!$J$238:$J$451),0),
IF('TL16'!$B$3=N$3,SUMIF('TL16'!$C$10:$C$224,$C112,'TL16'!$J$10:$J$224),0),
IF('TL16'!$B$229=N$3,SUMIF('TL16'!$C$238:$C$451,$C112,'TL16'!$J$238:$J$451),0),
IF('TL17'!$B$3=N$3,SUMIF('TL17'!$C$10:$C$224,$C112,'TL17'!$J$10:$J$224),0),
IF('TL17'!$B$229=N$3,SUMIF('TL17'!$C$238:$C$451,$C112,'TL17'!$J$238:$J$451),0),
IF('TL18'!$B$3=N$3,SUMIF('TL18'!$C$10:$C$224,$C112,'TL18'!$J$10:$J$224),0),
IF('TL18'!$B$229=N$3,SUMIF('TL18'!$C$238:$C$451,$C112,'TL18'!$J$238:$J$451),0),
IF('TL19'!$B$3=N$3,SUMIF('TL19'!$C$10:$C$224,$C112,'TL19'!$J$10:$J$224),0),
IF('TL19'!$B$229=N$3,SUMIF('TL19'!$C$238:$C$451,$C112,'TL19'!$J$238:$J$451),0)
),0)</f>
        <v/>
      </c>
      <c r="O112" s="9">
        <f>IFERROR(SUM(
IF('TL01'!$B$3=O$3,SUMIF('TL01'!$C$10:$C$224,$C112,'TL01'!$J$10:$J$224),0),
IF('TL01'!$B$229=O$3,SUMIF('TL01'!$C$238:$C$451,$C112,'TL01'!$J$238:$J$451),0),
IF('TL02'!$B$3=O$3,SUMIF('TL02'!$C$10:$C$224,$C112,'TL02'!$J$10:$J$224),0),
IF('TL02'!$B$229=O$3,SUMIF('TL02'!$C$238:$C$451,$C112,'TL02'!$J$238:$J$451),0),
IF('TL03'!$B$3=O$3,SUMIF('TL03'!$C$10:$C$224,$C112,'TL03'!$J$10:$J$224),0),
IF('TL03'!$B$229=O$3,SUMIF('TL03'!$C$238:$C$451,$C112,'TL03'!$J$238:$J$451),0),
IF('TL04'!$B$3=O$3,SUMIF('TL04'!$C$10:$C$224,$C112,'TL04'!$J$10:$J$224),0),
IF('TL04'!$B$229=O$3,SUMIF('TL04'!$C$238:$C$451,$C112,'TL04'!$J$238:$J$451),0),
IF('TL05'!$B$3=O$3,SUMIF('TL05'!$C$10:$C$224,$C112,'TL05'!$J$10:$J$224),0),
IF('TL05'!$B$229=O$3,SUMIF('TL05'!$C$238:$C$451,$C112,'TL05'!$J$238:$J$451),0),
IF('TL06'!$B$3=O$3,SUMIF('TL06'!$C$10:$C$224,$C112,'TL06'!$J$10:$J$224),0),
IF('TL06'!$B$229=O$3,SUMIF('TL06'!$C$238:$C$451,$C112,'TL06'!$J$238:$J$451),0),
IF('TL07'!$B$3=O$3,SUMIF('TL07'!$C$10:$C$224,$C112,'TL07'!$J$10:$J$224),0),
IF('TL07'!$B$229=O$3,SUMIF('TL07'!$C$238:$C$451,$C112,'TL07'!$J$238:$J$451),0),
IF('TL08'!$B$3=O$3,SUMIF('TL08'!$C$10:$C$224,$C112,'TL08'!$J$10:$J$224),0),
IF('TL08'!$B$229=O$3,SUMIF('TL08'!$C$238:$C$451,$C112,'TL08'!$J$238:$J$451),0),
IF('TL09'!$B$3=O$3,SUMIF('TL09'!$C$10:$C$224,$C112,'TL09'!$J$10:$J$224),0),
IF('TL09'!$B$229=O$3,SUMIF('TL09'!$C$238:$C$451,$C112,'TL09'!$J$238:$J$451),0),
IF('TL10'!$B$3=O$3,SUMIF('TL10'!$C$10:$C$224,$C112,'TL10'!$J$10:$J$224),0),
IF('TL10'!$B$229=O$3,SUMIF('TL10'!$C$238:$C$451,$C112,'TL10'!$J$238:$J$451),0),
IF('TL11'!$B$3=O$3,SUMIF('TL11'!$C$10:$C$224,$C112,'TL11'!$J$10:$J$224),0),
IF('TL11'!$B$229=O$3,SUMIF('TL11'!$C$238:$C$451,$C112,'TL11'!$J$238:$J$451),0),
IF('TL12'!$B$3=O$3,SUMIF('TL12'!$C$10:$C$224,$C112,'TL12'!$J$10:$J$224),0),
IF('TL12'!$B$229=O$3,SUMIF('TL12'!$C$238:$C$451,$C112,'TL12'!$J$238:$J$451),0),
IF('TL13'!$B$3=O$3,SUMIF('TL13'!$C$10:$C$224,$C112,'TL13'!$J$10:$J$224),0),
IF('TL13'!$B$229=O$3,SUMIF('TL13'!$C$238:$C$451,$C112,'TL13'!$J$238:$J$451),0),
IF('TL14'!$B$3=O$3,SUMIF('TL14'!$C$10:$C$224,$C112,'TL14'!$J$10:$J$224),0),
IF('TL14'!$B$229=O$3,SUMIF('TL14'!$C$238:$C$451,$C112,'TL14'!$J$238:$J$451),0),
IF('TL15'!$B$3=O$3,SUMIF('TL15'!$C$10:$C$224,$C112,'TL15'!$J$10:$J$224),0),
IF('TL15'!$B$229=O$3,SUMIF('TL15'!$C$238:$C$451,$C112,'TL15'!$J$238:$J$451),0),
IF('TL16'!$B$3=O$3,SUMIF('TL16'!$C$10:$C$224,$C112,'TL16'!$J$10:$J$224),0),
IF('TL16'!$B$229=O$3,SUMIF('TL16'!$C$238:$C$451,$C112,'TL16'!$J$238:$J$451),0),
IF('TL17'!$B$3=O$3,SUMIF('TL17'!$C$10:$C$224,$C112,'TL17'!$J$10:$J$224),0),
IF('TL17'!$B$229=O$3,SUMIF('TL17'!$C$238:$C$451,$C112,'TL17'!$J$238:$J$451),0),
IF('TL18'!$B$3=O$3,SUMIF('TL18'!$C$10:$C$224,$C112,'TL18'!$J$10:$J$224),0),
IF('TL18'!$B$229=O$3,SUMIF('TL18'!$C$238:$C$451,$C112,'TL18'!$J$238:$J$451),0),
IF('TL19'!$B$3=O$3,SUMIF('TL19'!$C$10:$C$224,$C112,'TL19'!$J$10:$J$224),0),
IF('TL19'!$B$229=O$3,SUMIF('TL19'!$C$238:$C$451,$C112,'TL19'!$J$238:$J$451),0)
),0)</f>
        <v/>
      </c>
      <c r="P112" s="9">
        <f>IFERROR(SUM(
IF('TL01'!$B$3=P$3,SUMIF('TL01'!$C$10:$C$224,$C112,'TL01'!$J$10:$J$224),0),
IF('TL01'!$B$229=P$3,SUMIF('TL01'!$C$238:$C$451,$C112,'TL01'!$J$238:$J$451),0),
IF('TL02'!$B$3=P$3,SUMIF('TL02'!$C$10:$C$224,$C112,'TL02'!$J$10:$J$224),0),
IF('TL02'!$B$229=P$3,SUMIF('TL02'!$C$238:$C$451,$C112,'TL02'!$J$238:$J$451),0),
IF('TL03'!$B$3=P$3,SUMIF('TL03'!$C$10:$C$224,$C112,'TL03'!$J$10:$J$224),0),
IF('TL03'!$B$229=P$3,SUMIF('TL03'!$C$238:$C$451,$C112,'TL03'!$J$238:$J$451),0),
IF('TL04'!$B$3=P$3,SUMIF('TL04'!$C$10:$C$224,$C112,'TL04'!$J$10:$J$224),0),
IF('TL04'!$B$229=P$3,SUMIF('TL04'!$C$238:$C$451,$C112,'TL04'!$J$238:$J$451),0),
IF('TL05'!$B$3=P$3,SUMIF('TL05'!$C$10:$C$224,$C112,'TL05'!$J$10:$J$224),0),
IF('TL05'!$B$229=P$3,SUMIF('TL05'!$C$238:$C$451,$C112,'TL05'!$J$238:$J$451),0),
IF('TL06'!$B$3=P$3,SUMIF('TL06'!$C$10:$C$224,$C112,'TL06'!$J$10:$J$224),0),
IF('TL06'!$B$229=P$3,SUMIF('TL06'!$C$238:$C$451,$C112,'TL06'!$J$238:$J$451),0),
IF('TL07'!$B$3=P$3,SUMIF('TL07'!$C$10:$C$224,$C112,'TL07'!$J$10:$J$224),0),
IF('TL07'!$B$229=P$3,SUMIF('TL07'!$C$238:$C$451,$C112,'TL07'!$J$238:$J$451),0),
IF('TL08'!$B$3=P$3,SUMIF('TL08'!$C$10:$C$224,$C112,'TL08'!$J$10:$J$224),0),
IF('TL08'!$B$229=P$3,SUMIF('TL08'!$C$238:$C$451,$C112,'TL08'!$J$238:$J$451),0),
IF('TL09'!$B$3=P$3,SUMIF('TL09'!$C$10:$C$224,$C112,'TL09'!$J$10:$J$224),0),
IF('TL09'!$B$229=P$3,SUMIF('TL09'!$C$238:$C$451,$C112,'TL09'!$J$238:$J$451),0),
IF('TL10'!$B$3=P$3,SUMIF('TL10'!$C$10:$C$224,$C112,'TL10'!$J$10:$J$224),0),
IF('TL10'!$B$229=P$3,SUMIF('TL10'!$C$238:$C$451,$C112,'TL10'!$J$238:$J$451),0),
IF('TL11'!$B$3=P$3,SUMIF('TL11'!$C$10:$C$224,$C112,'TL11'!$J$10:$J$224),0),
IF('TL11'!$B$229=P$3,SUMIF('TL11'!$C$238:$C$451,$C112,'TL11'!$J$238:$J$451),0),
IF('TL12'!$B$3=P$3,SUMIF('TL12'!$C$10:$C$224,$C112,'TL12'!$J$10:$J$224),0),
IF('TL12'!$B$229=P$3,SUMIF('TL12'!$C$238:$C$451,$C112,'TL12'!$J$238:$J$451),0),
IF('TL13'!$B$3=P$3,SUMIF('TL13'!$C$10:$C$224,$C112,'TL13'!$J$10:$J$224),0),
IF('TL13'!$B$229=P$3,SUMIF('TL13'!$C$238:$C$451,$C112,'TL13'!$J$238:$J$451),0),
IF('TL14'!$B$3=P$3,SUMIF('TL14'!$C$10:$C$224,$C112,'TL14'!$J$10:$J$224),0),
IF('TL14'!$B$229=P$3,SUMIF('TL14'!$C$238:$C$451,$C112,'TL14'!$J$238:$J$451),0),
IF('TL15'!$B$3=P$3,SUMIF('TL15'!$C$10:$C$224,$C112,'TL15'!$J$10:$J$224),0),
IF('TL15'!$B$229=P$3,SUMIF('TL15'!$C$238:$C$451,$C112,'TL15'!$J$238:$J$451),0),
IF('TL16'!$B$3=P$3,SUMIF('TL16'!$C$10:$C$224,$C112,'TL16'!$J$10:$J$224),0),
IF('TL16'!$B$229=P$3,SUMIF('TL16'!$C$238:$C$451,$C112,'TL16'!$J$238:$J$451),0),
IF('TL17'!$B$3=P$3,SUMIF('TL17'!$C$10:$C$224,$C112,'TL17'!$J$10:$J$224),0),
IF('TL17'!$B$229=P$3,SUMIF('TL17'!$C$238:$C$451,$C112,'TL17'!$J$238:$J$451),0),
IF('TL18'!$B$3=P$3,SUMIF('TL18'!$C$10:$C$224,$C112,'TL18'!$J$10:$J$224),0),
IF('TL18'!$B$229=P$3,SUMIF('TL18'!$C$238:$C$451,$C112,'TL18'!$J$238:$J$451),0),
IF('TL19'!$B$3=P$3,SUMIF('TL19'!$C$10:$C$224,$C112,'TL19'!$J$10:$J$224),0),
IF('TL19'!$B$229=P$3,SUMIF('TL19'!$C$238:$C$451,$C112,'TL19'!$J$238:$J$451),0)
),0)</f>
        <v/>
      </c>
      <c r="Q112" s="9">
        <f>IFERROR(SUM(
IF('TL01'!$B$3=Q$3,SUMIF('TL01'!$C$10:$C$224,$C112,'TL01'!$J$10:$J$224),0),
IF('TL01'!$B$229=Q$3,SUMIF('TL01'!$C$238:$C$451,$C112,'TL01'!$J$238:$J$451),0),
IF('TL02'!$B$3=Q$3,SUMIF('TL02'!$C$10:$C$224,$C112,'TL02'!$J$10:$J$224),0),
IF('TL02'!$B$229=Q$3,SUMIF('TL02'!$C$238:$C$451,$C112,'TL02'!$J$238:$J$451),0),
IF('TL03'!$B$3=Q$3,SUMIF('TL03'!$C$10:$C$224,$C112,'TL03'!$J$10:$J$224),0),
IF('TL03'!$B$229=Q$3,SUMIF('TL03'!$C$238:$C$451,$C112,'TL03'!$J$238:$J$451),0),
IF('TL04'!$B$3=Q$3,SUMIF('TL04'!$C$10:$C$224,$C112,'TL04'!$J$10:$J$224),0),
IF('TL04'!$B$229=Q$3,SUMIF('TL04'!$C$238:$C$451,$C112,'TL04'!$J$238:$J$451),0),
IF('TL05'!$B$3=Q$3,SUMIF('TL05'!$C$10:$C$224,$C112,'TL05'!$J$10:$J$224),0),
IF('TL05'!$B$229=Q$3,SUMIF('TL05'!$C$238:$C$451,$C112,'TL05'!$J$238:$J$451),0),
IF('TL06'!$B$3=Q$3,SUMIF('TL06'!$C$10:$C$224,$C112,'TL06'!$J$10:$J$224),0),
IF('TL06'!$B$229=Q$3,SUMIF('TL06'!$C$238:$C$451,$C112,'TL06'!$J$238:$J$451),0),
IF('TL07'!$B$3=Q$3,SUMIF('TL07'!$C$10:$C$224,$C112,'TL07'!$J$10:$J$224),0),
IF('TL07'!$B$229=Q$3,SUMIF('TL07'!$C$238:$C$451,$C112,'TL07'!$J$238:$J$451),0),
IF('TL08'!$B$3=Q$3,SUMIF('TL08'!$C$10:$C$224,$C112,'TL08'!$J$10:$J$224),0),
IF('TL08'!$B$229=Q$3,SUMIF('TL08'!$C$238:$C$451,$C112,'TL08'!$J$238:$J$451),0),
IF('TL09'!$B$3=Q$3,SUMIF('TL09'!$C$10:$C$224,$C112,'TL09'!$J$10:$J$224),0),
IF('TL09'!$B$229=Q$3,SUMIF('TL09'!$C$238:$C$451,$C112,'TL09'!$J$238:$J$451),0),
IF('TL10'!$B$3=Q$3,SUMIF('TL10'!$C$10:$C$224,$C112,'TL10'!$J$10:$J$224),0),
IF('TL10'!$B$229=Q$3,SUMIF('TL10'!$C$238:$C$451,$C112,'TL10'!$J$238:$J$451),0),
IF('TL11'!$B$3=Q$3,SUMIF('TL11'!$C$10:$C$224,$C112,'TL11'!$J$10:$J$224),0),
IF('TL11'!$B$229=Q$3,SUMIF('TL11'!$C$238:$C$451,$C112,'TL11'!$J$238:$J$451),0),
IF('TL12'!$B$3=Q$3,SUMIF('TL12'!$C$10:$C$224,$C112,'TL12'!$J$10:$J$224),0),
IF('TL12'!$B$229=Q$3,SUMIF('TL12'!$C$238:$C$451,$C112,'TL12'!$J$238:$J$451),0),
IF('TL13'!$B$3=Q$3,SUMIF('TL13'!$C$10:$C$224,$C112,'TL13'!$J$10:$J$224),0),
IF('TL13'!$B$229=Q$3,SUMIF('TL13'!$C$238:$C$451,$C112,'TL13'!$J$238:$J$451),0),
IF('TL14'!$B$3=Q$3,SUMIF('TL14'!$C$10:$C$224,$C112,'TL14'!$J$10:$J$224),0),
IF('TL14'!$B$229=Q$3,SUMIF('TL14'!$C$238:$C$451,$C112,'TL14'!$J$238:$J$451),0),
IF('TL15'!$B$3=Q$3,SUMIF('TL15'!$C$10:$C$224,$C112,'TL15'!$J$10:$J$224),0),
IF('TL15'!$B$229=Q$3,SUMIF('TL15'!$C$238:$C$451,$C112,'TL15'!$J$238:$J$451),0),
IF('TL16'!$B$3=Q$3,SUMIF('TL16'!$C$10:$C$224,$C112,'TL16'!$J$10:$J$224),0),
IF('TL16'!$B$229=Q$3,SUMIF('TL16'!$C$238:$C$451,$C112,'TL16'!$J$238:$J$451),0),
IF('TL17'!$B$3=Q$3,SUMIF('TL17'!$C$10:$C$224,$C112,'TL17'!$J$10:$J$224),0),
IF('TL17'!$B$229=Q$3,SUMIF('TL17'!$C$238:$C$451,$C112,'TL17'!$J$238:$J$451),0),
IF('TL18'!$B$3=Q$3,SUMIF('TL18'!$C$10:$C$224,$C112,'TL18'!$J$10:$J$224),0),
IF('TL18'!$B$229=Q$3,SUMIF('TL18'!$C$238:$C$451,$C112,'TL18'!$J$238:$J$451),0),
IF('TL19'!$B$3=Q$3,SUMIF('TL19'!$C$10:$C$224,$C112,'TL19'!$J$10:$J$224),0),
IF('TL19'!$B$229=Q$3,SUMIF('TL19'!$C$238:$C$451,$C112,'TL19'!$J$238:$J$451),0)
),0)</f>
        <v/>
      </c>
      <c r="R112" s="9">
        <f>IFERROR(
SUM(
SUMIF('TL01'!C:C,C112,'TL01'!J:J),
SUMIF('TL02'!C:C,C112,'TL02'!J:J),
SUMIF('TL03'!C:C,C112,'TL03'!J:J),
SUMIF('TL04'!C:C,C112,'TL04'!J:J),
SUMIF('TL05'!C:C,C112,'TL05'!J:J),
SUMIF('TL06'!C:C,C112,'TL06'!J:J),
SUMIF('TL07'!C:C,C112,'TL07'!J:J),
SUMIF('TL08'!C:C,C112,'TL08'!J:J),
SUMIF('TL09'!C:C,C112,'TL09'!J:J),
SUMIF('TL10'!C:C,C112,'TL10'!J:J),
SUMIF('TL11'!C:C,C112,'TL11'!J:J),
SUMIF('TL12'!C:C,C112,'TL12'!J:J),
SUMIF('TL13'!C:C,C112,'TL13'!J:J),
SUMIF('TL14'!C:C,C112,'TL14'!J:J),
SUMIF('TL15'!C:C,C112,'TL15'!J:J),
SUMIF('TL16'!C:C,C112,'TL16'!J:J),
SUMIF('TL17'!C:C,C112,'TL17'!J:J),
SUMIF('TL18'!C:C,C112,'TL18'!J:J),SUMIF('TL19'!C:C,C112,'TL19'!J:J))
,0)</f>
        <v/>
      </c>
      <c r="S112" s="17">
        <f>IFERROR(__xludf.DUMMYFUNCTION("IFERROR(VLOOKUP(C112,
IMPORTRANGE(""1wULbzX32WdYsx-lj2U3uUNBBe2INVIRDtcK0d-Dvl90"",
""26-27!C:G""),
5,
FALSE),
"""")"),158.27061999999998)</f>
        <v/>
      </c>
      <c r="T112" s="9" t="n"/>
      <c r="U112" s="92">
        <f>MAX(0,R112-T112)</f>
        <v/>
      </c>
      <c r="V112" s="93">
        <f>U112*S112</f>
        <v/>
      </c>
    </row>
    <row r="113" hidden="1" ht="15.75" customHeight="1" s="297">
      <c r="A113" s="111" t="inlineStr">
        <is>
          <t>BASF</t>
        </is>
      </c>
      <c r="B113" s="112" t="inlineStr">
        <is>
          <t>HERBICIDA</t>
        </is>
      </c>
      <c r="C113" s="113" t="inlineStr">
        <is>
          <t>BASAGRAN 600</t>
        </is>
      </c>
      <c r="D113" s="113" t="inlineStr">
        <is>
          <t>BENTAZONA</t>
        </is>
      </c>
      <c r="E113" s="113" t="n">
        <v>600</v>
      </c>
      <c r="F113" s="4" t="inlineStr">
        <is>
          <t>L</t>
        </is>
      </c>
      <c r="G113" s="90">
        <f>HYPERLINK("https://www.google.com/search?q=" &amp; C113 &amp; "+bula+agrofit+pdf", "📄 Ver bula")</f>
        <v/>
      </c>
      <c r="H113" s="9">
        <f>IFERROR(__xludf.DUMMYFUNCTION("IFERROR(VLOOKUP(C113,
IMPORTRANGE(""1wULbzX32WdYsx-lj2U3uUNBBe2INVIRDtcK0d-Dvl90"",
""26-27!C:K""),
8,
FALSE),
"""")"),1.0)</f>
        <v/>
      </c>
      <c r="I113" s="114" t="inlineStr">
        <is>
          <t>4X5</t>
        </is>
      </c>
      <c r="J113" s="9">
        <f>IFERROR(SUM(
IF('TL01'!$B$3=J$3,SUMIF('TL01'!$C$10:$C$224,$C113,'TL01'!$J$10:$J$224),0),
IF('TL01'!$B$229=J$3,SUMIF('TL01'!$C$238:$C$451,$C113,'TL01'!$J$238:$J$451),0),
IF('TL02'!$B$3=J$3,SUMIF('TL02'!$C$10:$C$224,$C113,'TL02'!$J$10:$J$224),0),
IF('TL02'!$B$229=J$3,SUMIF('TL02'!$C$238:$C$451,$C113,'TL02'!$J$238:$J$451),0),
IF('TL03'!$B$3=J$3,SUMIF('TL03'!$C$10:$C$224,$C113,'TL03'!$J$10:$J$224),0),
IF('TL03'!$B$229=J$3,SUMIF('TL03'!$C$238:$C$451,$C113,'TL03'!$J$238:$J$451),0),
IF('TL04'!$B$3=J$3,SUMIF('TL04'!$C$10:$C$224,$C113,'TL04'!$J$10:$J$224),0),
IF('TL04'!$B$229=J$3,SUMIF('TL04'!$C$238:$C$451,$C113,'TL04'!$J$238:$J$451),0),
IF('TL05'!$B$3=J$3,SUMIF('TL05'!$C$10:$C$224,$C113,'TL05'!$J$10:$J$224),0),
IF('TL05'!$B$229=J$3,SUMIF('TL05'!$C$238:$C$451,$C113,'TL05'!$J$238:$J$451),0),
IF('TL06'!$B$3=J$3,SUMIF('TL06'!$C$10:$C$224,$C113,'TL06'!$J$10:$J$224),0),
IF('TL06'!$B$229=J$3,SUMIF('TL06'!$C$238:$C$451,$C113,'TL06'!$J$238:$J$451),0),
IF('TL07'!$B$3=J$3,SUMIF('TL07'!$C$10:$C$224,$C113,'TL07'!$J$10:$J$224),0),
IF('TL07'!$B$229=J$3,SUMIF('TL07'!$C$238:$C$451,$C113,'TL07'!$J$238:$J$451),0),
IF('TL08'!$B$3=J$3,SUMIF('TL08'!$C$10:$C$224,$C113,'TL08'!$J$10:$J$224),0),
IF('TL08'!$B$229=J$3,SUMIF('TL08'!$C$238:$C$451,$C113,'TL08'!$J$238:$J$451),0),
IF('TL09'!$B$3=J$3,SUMIF('TL09'!$C$10:$C$224,$C113,'TL09'!$J$10:$J$224),0),
IF('TL09'!$B$229=J$3,SUMIF('TL09'!$C$238:$C$451,$C113,'TL09'!$J$238:$J$451),0),
IF('TL10'!$B$3=J$3,SUMIF('TL10'!$C$10:$C$224,$C113,'TL10'!$J$10:$J$224),0),
IF('TL10'!$B$229=J$3,SUMIF('TL10'!$C$238:$C$451,$C113,'TL10'!$J$238:$J$451),0),
IF('TL11'!$B$3=J$3,SUMIF('TL11'!$C$10:$C$224,$C113,'TL11'!$J$10:$J$224),0),
IF('TL11'!$B$229=J$3,SUMIF('TL11'!$C$238:$C$451,$C113,'TL11'!$J$238:$J$451),0),
IF('TL12'!$B$3=J$3,SUMIF('TL12'!$C$10:$C$224,$C113,'TL12'!$J$10:$J$224),0),
IF('TL12'!$B$229=J$3,SUMIF('TL12'!$C$238:$C$451,$C113,'TL12'!$J$238:$J$451),0),
IF('TL13'!$B$3=J$3,SUMIF('TL13'!$C$10:$C$224,$C113,'TL13'!$J$10:$J$224),0),
IF('TL13'!$B$229=J$3,SUMIF('TL13'!$C$238:$C$451,$C113,'TL13'!$J$238:$J$451),0),
IF('TL14'!$B$3=J$3,SUMIF('TL14'!$C$10:$C$224,$C113,'TL14'!$J$10:$J$224),0),
IF('TL14'!$B$229=J$3,SUMIF('TL14'!$C$238:$C$451,$C113,'TL14'!$J$238:$J$451),0),
IF('TL15'!$B$3=J$3,SUMIF('TL15'!$C$10:$C$224,$C113,'TL15'!$J$10:$J$224),0),
IF('TL15'!$B$229=J$3,SUMIF('TL15'!$C$238:$C$451,$C113,'TL15'!$J$238:$J$451),0),
IF('TL16'!$B$3=J$3,SUMIF('TL16'!$C$10:$C$224,$C113,'TL16'!$J$10:$J$224),0),
IF('TL16'!$B$229=J$3,SUMIF('TL16'!$C$238:$C$451,$C113,'TL16'!$J$238:$J$451),0),
IF('TL17'!$B$3=J$3,SUMIF('TL17'!$C$10:$C$224,$C113,'TL17'!$J$10:$J$224),0),
IF('TL17'!$B$229=J$3,SUMIF('TL17'!$C$238:$C$451,$C113,'TL17'!$J$238:$J$451),0),
IF('TL18'!$B$3=J$3,SUMIF('TL18'!$C$10:$C$224,$C113,'TL18'!$J$10:$J$224),0),
IF('TL18'!$B$229=J$3,SUMIF('TL18'!$C$238:$C$451,$C113,'TL18'!$J$238:$J$451),0),
IF('TL19'!$B$3=J$3,SUMIF('TL19'!$C$10:$C$224,$C113,'TL19'!$J$10:$J$224),0),
IF('TL19'!$B$229=J$3,SUMIF('TL19'!$C$238:$C$451,$C113,'TL19'!$J$238:$J$451),0)
),0)</f>
        <v/>
      </c>
      <c r="K113" s="9">
        <f>IFERROR(SUM(
IF('TL01'!$B$3=K$3,SUMIF('TL01'!$C$10:$C$224,$C113,'TL01'!$J$10:$J$224),0),
IF('TL01'!$B$229=K$3,SUMIF('TL01'!$C$238:$C$451,$C113,'TL01'!$J$238:$J$451),0),
IF('TL02'!$B$3=K$3,SUMIF('TL02'!$C$10:$C$224,$C113,'TL02'!$J$10:$J$224),0),
IF('TL02'!$B$229=K$3,SUMIF('TL02'!$C$238:$C$451,$C113,'TL02'!$J$238:$J$451),0),
IF('TL03'!$B$3=K$3,SUMIF('TL03'!$C$10:$C$224,$C113,'TL03'!$J$10:$J$224),0),
IF('TL03'!$B$229=K$3,SUMIF('TL03'!$C$238:$C$451,$C113,'TL03'!$J$238:$J$451),0),
IF('TL04'!$B$3=K$3,SUMIF('TL04'!$C$10:$C$224,$C113,'TL04'!$J$10:$J$224),0),
IF('TL04'!$B$229=K$3,SUMIF('TL04'!$C$238:$C$451,$C113,'TL04'!$J$238:$J$451),0),
IF('TL05'!$B$3=K$3,SUMIF('TL05'!$C$10:$C$224,$C113,'TL05'!$J$10:$J$224),0),
IF('TL05'!$B$229=K$3,SUMIF('TL05'!$C$238:$C$451,$C113,'TL05'!$J$238:$J$451),0),
IF('TL06'!$B$3=K$3,SUMIF('TL06'!$C$10:$C$224,$C113,'TL06'!$J$10:$J$224),0),
IF('TL06'!$B$229=K$3,SUMIF('TL06'!$C$238:$C$451,$C113,'TL06'!$J$238:$J$451),0),
IF('TL07'!$B$3=K$3,SUMIF('TL07'!$C$10:$C$224,$C113,'TL07'!$J$10:$J$224),0),
IF('TL07'!$B$229=K$3,SUMIF('TL07'!$C$238:$C$451,$C113,'TL07'!$J$238:$J$451),0),
IF('TL08'!$B$3=K$3,SUMIF('TL08'!$C$10:$C$224,$C113,'TL08'!$J$10:$J$224),0),
IF('TL08'!$B$229=K$3,SUMIF('TL08'!$C$238:$C$451,$C113,'TL08'!$J$238:$J$451),0),
IF('TL09'!$B$3=K$3,SUMIF('TL09'!$C$10:$C$224,$C113,'TL09'!$J$10:$J$224),0),
IF('TL09'!$B$229=K$3,SUMIF('TL09'!$C$238:$C$451,$C113,'TL09'!$J$238:$J$451),0),
IF('TL10'!$B$3=K$3,SUMIF('TL10'!$C$10:$C$224,$C113,'TL10'!$J$10:$J$224),0),
IF('TL10'!$B$229=K$3,SUMIF('TL10'!$C$238:$C$451,$C113,'TL10'!$J$238:$J$451),0),
IF('TL11'!$B$3=K$3,SUMIF('TL11'!$C$10:$C$224,$C113,'TL11'!$J$10:$J$224),0),
IF('TL11'!$B$229=K$3,SUMIF('TL11'!$C$238:$C$451,$C113,'TL11'!$J$238:$J$451),0),
IF('TL12'!$B$3=K$3,SUMIF('TL12'!$C$10:$C$224,$C113,'TL12'!$J$10:$J$224),0),
IF('TL12'!$B$229=K$3,SUMIF('TL12'!$C$238:$C$451,$C113,'TL12'!$J$238:$J$451),0),
IF('TL13'!$B$3=K$3,SUMIF('TL13'!$C$10:$C$224,$C113,'TL13'!$J$10:$J$224),0),
IF('TL13'!$B$229=K$3,SUMIF('TL13'!$C$238:$C$451,$C113,'TL13'!$J$238:$J$451),0),
IF('TL14'!$B$3=K$3,SUMIF('TL14'!$C$10:$C$224,$C113,'TL14'!$J$10:$J$224),0),
IF('TL14'!$B$229=K$3,SUMIF('TL14'!$C$238:$C$451,$C113,'TL14'!$J$238:$J$451),0),
IF('TL15'!$B$3=K$3,SUMIF('TL15'!$C$10:$C$224,$C113,'TL15'!$J$10:$J$224),0),
IF('TL15'!$B$229=K$3,SUMIF('TL15'!$C$238:$C$451,$C113,'TL15'!$J$238:$J$451),0),
IF('TL16'!$B$3=K$3,SUMIF('TL16'!$C$10:$C$224,$C113,'TL16'!$J$10:$J$224),0),
IF('TL16'!$B$229=K$3,SUMIF('TL16'!$C$238:$C$451,$C113,'TL16'!$J$238:$J$451),0),
IF('TL17'!$B$3=K$3,SUMIF('TL17'!$C$10:$C$224,$C113,'TL17'!$J$10:$J$224),0),
IF('TL17'!$B$229=K$3,SUMIF('TL17'!$C$238:$C$451,$C113,'TL17'!$J$238:$J$451),0),
IF('TL18'!$B$3=K$3,SUMIF('TL18'!$C$10:$C$224,$C113,'TL18'!$J$10:$J$224),0),
IF('TL18'!$B$229=K$3,SUMIF('TL18'!$C$238:$C$451,$C113,'TL18'!$J$238:$J$451),0),
IF('TL19'!$B$3=K$3,SUMIF('TL19'!$C$10:$C$224,$C113,'TL19'!$J$10:$J$224),0),
IF('TL19'!$B$229=K$3,SUMIF('TL19'!$C$238:$C$451,$C113,'TL19'!$J$238:$J$451),0)
),0)</f>
        <v/>
      </c>
      <c r="L113" s="9">
        <f>IFERROR(SUM(
IF('TL01'!$B$3=L$3,SUMIF('TL01'!$C$10:$C$224,$C113,'TL01'!$J$10:$J$224),0),
IF('TL01'!$B$229=L$3,SUMIF('TL01'!$C$238:$C$451,$C113,'TL01'!$J$238:$J$451),0),
IF('TL02'!$B$3=L$3,SUMIF('TL02'!$C$10:$C$224,$C113,'TL02'!$J$10:$J$224),0),
IF('TL02'!$B$229=L$3,SUMIF('TL02'!$C$238:$C$451,$C113,'TL02'!$J$238:$J$451),0),
IF('TL03'!$B$3=L$3,SUMIF('TL03'!$C$10:$C$224,$C113,'TL03'!$J$10:$J$224),0),
IF('TL03'!$B$229=L$3,SUMIF('TL03'!$C$238:$C$451,$C113,'TL03'!$J$238:$J$451),0),
IF('TL04'!$B$3=L$3,SUMIF('TL04'!$C$10:$C$224,$C113,'TL04'!$J$10:$J$224),0),
IF('TL04'!$B$229=L$3,SUMIF('TL04'!$C$238:$C$451,$C113,'TL04'!$J$238:$J$451),0),
IF('TL05'!$B$3=L$3,SUMIF('TL05'!$C$10:$C$224,$C113,'TL05'!$J$10:$J$224),0),
IF('TL05'!$B$229=L$3,SUMIF('TL05'!$C$238:$C$451,$C113,'TL05'!$J$238:$J$451),0),
IF('TL06'!$B$3=L$3,SUMIF('TL06'!$C$10:$C$224,$C113,'TL06'!$J$10:$J$224),0),
IF('TL06'!$B$229=L$3,SUMIF('TL06'!$C$238:$C$451,$C113,'TL06'!$J$238:$J$451),0),
IF('TL07'!$B$3=L$3,SUMIF('TL07'!$C$10:$C$224,$C113,'TL07'!$J$10:$J$224),0),
IF('TL07'!$B$229=L$3,SUMIF('TL07'!$C$238:$C$451,$C113,'TL07'!$J$238:$J$451),0),
IF('TL08'!$B$3=L$3,SUMIF('TL08'!$C$10:$C$224,$C113,'TL08'!$J$10:$J$224),0),
IF('TL08'!$B$229=L$3,SUMIF('TL08'!$C$238:$C$451,$C113,'TL08'!$J$238:$J$451),0),
IF('TL09'!$B$3=L$3,SUMIF('TL09'!$C$10:$C$224,$C113,'TL09'!$J$10:$J$224),0),
IF('TL09'!$B$229=L$3,SUMIF('TL09'!$C$238:$C$451,$C113,'TL09'!$J$238:$J$451),0),
IF('TL10'!$B$3=L$3,SUMIF('TL10'!$C$10:$C$224,$C113,'TL10'!$J$10:$J$224),0),
IF('TL10'!$B$229=L$3,SUMIF('TL10'!$C$238:$C$451,$C113,'TL10'!$J$238:$J$451),0),
IF('TL11'!$B$3=L$3,SUMIF('TL11'!$C$10:$C$224,$C113,'TL11'!$J$10:$J$224),0),
IF('TL11'!$B$229=L$3,SUMIF('TL11'!$C$238:$C$451,$C113,'TL11'!$J$238:$J$451),0),
IF('TL12'!$B$3=L$3,SUMIF('TL12'!$C$10:$C$224,$C113,'TL12'!$J$10:$J$224),0),
IF('TL12'!$B$229=L$3,SUMIF('TL12'!$C$238:$C$451,$C113,'TL12'!$J$238:$J$451),0),
IF('TL13'!$B$3=L$3,SUMIF('TL13'!$C$10:$C$224,$C113,'TL13'!$J$10:$J$224),0),
IF('TL13'!$B$229=L$3,SUMIF('TL13'!$C$238:$C$451,$C113,'TL13'!$J$238:$J$451),0),
IF('TL14'!$B$3=L$3,SUMIF('TL14'!$C$10:$C$224,$C113,'TL14'!$J$10:$J$224),0),
IF('TL14'!$B$229=L$3,SUMIF('TL14'!$C$238:$C$451,$C113,'TL14'!$J$238:$J$451),0),
IF('TL15'!$B$3=L$3,SUMIF('TL15'!$C$10:$C$224,$C113,'TL15'!$J$10:$J$224),0),
IF('TL15'!$B$229=L$3,SUMIF('TL15'!$C$238:$C$451,$C113,'TL15'!$J$238:$J$451),0),
IF('TL16'!$B$3=L$3,SUMIF('TL16'!$C$10:$C$224,$C113,'TL16'!$J$10:$J$224),0),
IF('TL16'!$B$229=L$3,SUMIF('TL16'!$C$238:$C$451,$C113,'TL16'!$J$238:$J$451),0),
IF('TL17'!$B$3=L$3,SUMIF('TL17'!$C$10:$C$224,$C113,'TL17'!$J$10:$J$224),0),
IF('TL17'!$B$229=L$3,SUMIF('TL17'!$C$238:$C$451,$C113,'TL17'!$J$238:$J$451),0),
IF('TL18'!$B$3=L$3,SUMIF('TL18'!$C$10:$C$224,$C113,'TL18'!$J$10:$J$224),0),
IF('TL18'!$B$229=L$3,SUMIF('TL18'!$C$238:$C$451,$C113,'TL18'!$J$238:$J$451),0),
IF('TL19'!$B$3=L$3,SUMIF('TL19'!$C$10:$C$224,$C113,'TL19'!$J$10:$J$224),0),
IF('TL19'!$B$229=L$3,SUMIF('TL19'!$C$238:$C$451,$C113,'TL19'!$J$238:$J$451),0)
),0)</f>
        <v/>
      </c>
      <c r="M113" s="9">
        <f>IFERROR(SUM(
IF('TL01'!$B$3=M$3,SUMIF('TL01'!$C$10:$C$224,$C113,'TL01'!$J$10:$J$224),0),
IF('TL01'!$B$229=M$3,SUMIF('TL01'!$C$238:$C$451,$C113,'TL01'!$J$238:$J$451),0),
IF('TL02'!$B$3=M$3,SUMIF('TL02'!$C$10:$C$224,$C113,'TL02'!$J$10:$J$224),0),
IF('TL02'!$B$229=M$3,SUMIF('TL02'!$C$238:$C$451,$C113,'TL02'!$J$238:$J$451),0),
IF('TL03'!$B$3=M$3,SUMIF('TL03'!$C$10:$C$224,$C113,'TL03'!$J$10:$J$224),0),
IF('TL03'!$B$229=M$3,SUMIF('TL03'!$C$238:$C$451,$C113,'TL03'!$J$238:$J$451),0),
IF('TL04'!$B$3=M$3,SUMIF('TL04'!$C$10:$C$224,$C113,'TL04'!$J$10:$J$224),0),
IF('TL04'!$B$229=M$3,SUMIF('TL04'!$C$238:$C$451,$C113,'TL04'!$J$238:$J$451),0),
IF('TL05'!$B$3=M$3,SUMIF('TL05'!$C$10:$C$224,$C113,'TL05'!$J$10:$J$224),0),
IF('TL05'!$B$229=M$3,SUMIF('TL05'!$C$238:$C$451,$C113,'TL05'!$J$238:$J$451),0),
IF('TL06'!$B$3=M$3,SUMIF('TL06'!$C$10:$C$224,$C113,'TL06'!$J$10:$J$224),0),
IF('TL06'!$B$229=M$3,SUMIF('TL06'!$C$238:$C$451,$C113,'TL06'!$J$238:$J$451),0),
IF('TL07'!$B$3=M$3,SUMIF('TL07'!$C$10:$C$224,$C113,'TL07'!$J$10:$J$224),0),
IF('TL07'!$B$229=M$3,SUMIF('TL07'!$C$238:$C$451,$C113,'TL07'!$J$238:$J$451),0),
IF('TL08'!$B$3=M$3,SUMIF('TL08'!$C$10:$C$224,$C113,'TL08'!$J$10:$J$224),0),
IF('TL08'!$B$229=M$3,SUMIF('TL08'!$C$238:$C$451,$C113,'TL08'!$J$238:$J$451),0),
IF('TL09'!$B$3=M$3,SUMIF('TL09'!$C$10:$C$224,$C113,'TL09'!$J$10:$J$224),0),
IF('TL09'!$B$229=M$3,SUMIF('TL09'!$C$238:$C$451,$C113,'TL09'!$J$238:$J$451),0),
IF('TL10'!$B$3=M$3,SUMIF('TL10'!$C$10:$C$224,$C113,'TL10'!$J$10:$J$224),0),
IF('TL10'!$B$229=M$3,SUMIF('TL10'!$C$238:$C$451,$C113,'TL10'!$J$238:$J$451),0),
IF('TL11'!$B$3=M$3,SUMIF('TL11'!$C$10:$C$224,$C113,'TL11'!$J$10:$J$224),0),
IF('TL11'!$B$229=M$3,SUMIF('TL11'!$C$238:$C$451,$C113,'TL11'!$J$238:$J$451),0),
IF('TL12'!$B$3=M$3,SUMIF('TL12'!$C$10:$C$224,$C113,'TL12'!$J$10:$J$224),0),
IF('TL12'!$B$229=M$3,SUMIF('TL12'!$C$238:$C$451,$C113,'TL12'!$J$238:$J$451),0),
IF('TL13'!$B$3=M$3,SUMIF('TL13'!$C$10:$C$224,$C113,'TL13'!$J$10:$J$224),0),
IF('TL13'!$B$229=M$3,SUMIF('TL13'!$C$238:$C$451,$C113,'TL13'!$J$238:$J$451),0),
IF('TL14'!$B$3=M$3,SUMIF('TL14'!$C$10:$C$224,$C113,'TL14'!$J$10:$J$224),0),
IF('TL14'!$B$229=M$3,SUMIF('TL14'!$C$238:$C$451,$C113,'TL14'!$J$238:$J$451),0),
IF('TL15'!$B$3=M$3,SUMIF('TL15'!$C$10:$C$224,$C113,'TL15'!$J$10:$J$224),0),
IF('TL15'!$B$229=M$3,SUMIF('TL15'!$C$238:$C$451,$C113,'TL15'!$J$238:$J$451),0),
IF('TL16'!$B$3=M$3,SUMIF('TL16'!$C$10:$C$224,$C113,'TL16'!$J$10:$J$224),0),
IF('TL16'!$B$229=M$3,SUMIF('TL16'!$C$238:$C$451,$C113,'TL16'!$J$238:$J$451),0),
IF('TL17'!$B$3=M$3,SUMIF('TL17'!$C$10:$C$224,$C113,'TL17'!$J$10:$J$224),0),
IF('TL17'!$B$229=M$3,SUMIF('TL17'!$C$238:$C$451,$C113,'TL17'!$J$238:$J$451),0),
IF('TL18'!$B$3=M$3,SUMIF('TL18'!$C$10:$C$224,$C113,'TL18'!$J$10:$J$224),0),
IF('TL18'!$B$229=M$3,SUMIF('TL18'!$C$238:$C$451,$C113,'TL18'!$J$238:$J$451),0),
IF('TL19'!$B$3=M$3,SUMIF('TL19'!$C$10:$C$224,$C113,'TL19'!$J$10:$J$224),0),
IF('TL19'!$B$229=M$3,SUMIF('TL19'!$C$238:$C$451,$C113,'TL19'!$J$238:$J$451),0)
),0)</f>
        <v/>
      </c>
      <c r="N113" s="9">
        <f>IFERROR(SUM(
IF('TL01'!$B$3=N$3,SUMIF('TL01'!$C$10:$C$224,$C113,'TL01'!$J$10:$J$224),0),
IF('TL01'!$B$229=N$3,SUMIF('TL01'!$C$238:$C$451,$C113,'TL01'!$J$238:$J$451),0),
IF('TL02'!$B$3=N$3,SUMIF('TL02'!$C$10:$C$224,$C113,'TL02'!$J$10:$J$224),0),
IF('TL02'!$B$229=N$3,SUMIF('TL02'!$C$238:$C$451,$C113,'TL02'!$J$238:$J$451),0),
IF('TL03'!$B$3=N$3,SUMIF('TL03'!$C$10:$C$224,$C113,'TL03'!$J$10:$J$224),0),
IF('TL03'!$B$229=N$3,SUMIF('TL03'!$C$238:$C$451,$C113,'TL03'!$J$238:$J$451),0),
IF('TL04'!$B$3=N$3,SUMIF('TL04'!$C$10:$C$224,$C113,'TL04'!$J$10:$J$224),0),
IF('TL04'!$B$229=N$3,SUMIF('TL04'!$C$238:$C$451,$C113,'TL04'!$J$238:$J$451),0),
IF('TL05'!$B$3=N$3,SUMIF('TL05'!$C$10:$C$224,$C113,'TL05'!$J$10:$J$224),0),
IF('TL05'!$B$229=N$3,SUMIF('TL05'!$C$238:$C$451,$C113,'TL05'!$J$238:$J$451),0),
IF('TL06'!$B$3=N$3,SUMIF('TL06'!$C$10:$C$224,$C113,'TL06'!$J$10:$J$224),0),
IF('TL06'!$B$229=N$3,SUMIF('TL06'!$C$238:$C$451,$C113,'TL06'!$J$238:$J$451),0),
IF('TL07'!$B$3=N$3,SUMIF('TL07'!$C$10:$C$224,$C113,'TL07'!$J$10:$J$224),0),
IF('TL07'!$B$229=N$3,SUMIF('TL07'!$C$238:$C$451,$C113,'TL07'!$J$238:$J$451),0),
IF('TL08'!$B$3=N$3,SUMIF('TL08'!$C$10:$C$224,$C113,'TL08'!$J$10:$J$224),0),
IF('TL08'!$B$229=N$3,SUMIF('TL08'!$C$238:$C$451,$C113,'TL08'!$J$238:$J$451),0),
IF('TL09'!$B$3=N$3,SUMIF('TL09'!$C$10:$C$224,$C113,'TL09'!$J$10:$J$224),0),
IF('TL09'!$B$229=N$3,SUMIF('TL09'!$C$238:$C$451,$C113,'TL09'!$J$238:$J$451),0),
IF('TL10'!$B$3=N$3,SUMIF('TL10'!$C$10:$C$224,$C113,'TL10'!$J$10:$J$224),0),
IF('TL10'!$B$229=N$3,SUMIF('TL10'!$C$238:$C$451,$C113,'TL10'!$J$238:$J$451),0),
IF('TL11'!$B$3=N$3,SUMIF('TL11'!$C$10:$C$224,$C113,'TL11'!$J$10:$J$224),0),
IF('TL11'!$B$229=N$3,SUMIF('TL11'!$C$238:$C$451,$C113,'TL11'!$J$238:$J$451),0),
IF('TL12'!$B$3=N$3,SUMIF('TL12'!$C$10:$C$224,$C113,'TL12'!$J$10:$J$224),0),
IF('TL12'!$B$229=N$3,SUMIF('TL12'!$C$238:$C$451,$C113,'TL12'!$J$238:$J$451),0),
IF('TL13'!$B$3=N$3,SUMIF('TL13'!$C$10:$C$224,$C113,'TL13'!$J$10:$J$224),0),
IF('TL13'!$B$229=N$3,SUMIF('TL13'!$C$238:$C$451,$C113,'TL13'!$J$238:$J$451),0),
IF('TL14'!$B$3=N$3,SUMIF('TL14'!$C$10:$C$224,$C113,'TL14'!$J$10:$J$224),0),
IF('TL14'!$B$229=N$3,SUMIF('TL14'!$C$238:$C$451,$C113,'TL14'!$J$238:$J$451),0),
IF('TL15'!$B$3=N$3,SUMIF('TL15'!$C$10:$C$224,$C113,'TL15'!$J$10:$J$224),0),
IF('TL15'!$B$229=N$3,SUMIF('TL15'!$C$238:$C$451,$C113,'TL15'!$J$238:$J$451),0),
IF('TL16'!$B$3=N$3,SUMIF('TL16'!$C$10:$C$224,$C113,'TL16'!$J$10:$J$224),0),
IF('TL16'!$B$229=N$3,SUMIF('TL16'!$C$238:$C$451,$C113,'TL16'!$J$238:$J$451),0),
IF('TL17'!$B$3=N$3,SUMIF('TL17'!$C$10:$C$224,$C113,'TL17'!$J$10:$J$224),0),
IF('TL17'!$B$229=N$3,SUMIF('TL17'!$C$238:$C$451,$C113,'TL17'!$J$238:$J$451),0),
IF('TL18'!$B$3=N$3,SUMIF('TL18'!$C$10:$C$224,$C113,'TL18'!$J$10:$J$224),0),
IF('TL18'!$B$229=N$3,SUMIF('TL18'!$C$238:$C$451,$C113,'TL18'!$J$238:$J$451),0),
IF('TL19'!$B$3=N$3,SUMIF('TL19'!$C$10:$C$224,$C113,'TL19'!$J$10:$J$224),0),
IF('TL19'!$B$229=N$3,SUMIF('TL19'!$C$238:$C$451,$C113,'TL19'!$J$238:$J$451),0)
),0)</f>
        <v/>
      </c>
      <c r="O113" s="9">
        <f>IFERROR(SUM(
IF('TL01'!$B$3=O$3,SUMIF('TL01'!$C$10:$C$224,$C113,'TL01'!$J$10:$J$224),0),
IF('TL01'!$B$229=O$3,SUMIF('TL01'!$C$238:$C$451,$C113,'TL01'!$J$238:$J$451),0),
IF('TL02'!$B$3=O$3,SUMIF('TL02'!$C$10:$C$224,$C113,'TL02'!$J$10:$J$224),0),
IF('TL02'!$B$229=O$3,SUMIF('TL02'!$C$238:$C$451,$C113,'TL02'!$J$238:$J$451),0),
IF('TL03'!$B$3=O$3,SUMIF('TL03'!$C$10:$C$224,$C113,'TL03'!$J$10:$J$224),0),
IF('TL03'!$B$229=O$3,SUMIF('TL03'!$C$238:$C$451,$C113,'TL03'!$J$238:$J$451),0),
IF('TL04'!$B$3=O$3,SUMIF('TL04'!$C$10:$C$224,$C113,'TL04'!$J$10:$J$224),0),
IF('TL04'!$B$229=O$3,SUMIF('TL04'!$C$238:$C$451,$C113,'TL04'!$J$238:$J$451),0),
IF('TL05'!$B$3=O$3,SUMIF('TL05'!$C$10:$C$224,$C113,'TL05'!$J$10:$J$224),0),
IF('TL05'!$B$229=O$3,SUMIF('TL05'!$C$238:$C$451,$C113,'TL05'!$J$238:$J$451),0),
IF('TL06'!$B$3=O$3,SUMIF('TL06'!$C$10:$C$224,$C113,'TL06'!$J$10:$J$224),0),
IF('TL06'!$B$229=O$3,SUMIF('TL06'!$C$238:$C$451,$C113,'TL06'!$J$238:$J$451),0),
IF('TL07'!$B$3=O$3,SUMIF('TL07'!$C$10:$C$224,$C113,'TL07'!$J$10:$J$224),0),
IF('TL07'!$B$229=O$3,SUMIF('TL07'!$C$238:$C$451,$C113,'TL07'!$J$238:$J$451),0),
IF('TL08'!$B$3=O$3,SUMIF('TL08'!$C$10:$C$224,$C113,'TL08'!$J$10:$J$224),0),
IF('TL08'!$B$229=O$3,SUMIF('TL08'!$C$238:$C$451,$C113,'TL08'!$J$238:$J$451),0),
IF('TL09'!$B$3=O$3,SUMIF('TL09'!$C$10:$C$224,$C113,'TL09'!$J$10:$J$224),0),
IF('TL09'!$B$229=O$3,SUMIF('TL09'!$C$238:$C$451,$C113,'TL09'!$J$238:$J$451),0),
IF('TL10'!$B$3=O$3,SUMIF('TL10'!$C$10:$C$224,$C113,'TL10'!$J$10:$J$224),0),
IF('TL10'!$B$229=O$3,SUMIF('TL10'!$C$238:$C$451,$C113,'TL10'!$J$238:$J$451),0),
IF('TL11'!$B$3=O$3,SUMIF('TL11'!$C$10:$C$224,$C113,'TL11'!$J$10:$J$224),0),
IF('TL11'!$B$229=O$3,SUMIF('TL11'!$C$238:$C$451,$C113,'TL11'!$J$238:$J$451),0),
IF('TL12'!$B$3=O$3,SUMIF('TL12'!$C$10:$C$224,$C113,'TL12'!$J$10:$J$224),0),
IF('TL12'!$B$229=O$3,SUMIF('TL12'!$C$238:$C$451,$C113,'TL12'!$J$238:$J$451),0),
IF('TL13'!$B$3=O$3,SUMIF('TL13'!$C$10:$C$224,$C113,'TL13'!$J$10:$J$224),0),
IF('TL13'!$B$229=O$3,SUMIF('TL13'!$C$238:$C$451,$C113,'TL13'!$J$238:$J$451),0),
IF('TL14'!$B$3=O$3,SUMIF('TL14'!$C$10:$C$224,$C113,'TL14'!$J$10:$J$224),0),
IF('TL14'!$B$229=O$3,SUMIF('TL14'!$C$238:$C$451,$C113,'TL14'!$J$238:$J$451),0),
IF('TL15'!$B$3=O$3,SUMIF('TL15'!$C$10:$C$224,$C113,'TL15'!$J$10:$J$224),0),
IF('TL15'!$B$229=O$3,SUMIF('TL15'!$C$238:$C$451,$C113,'TL15'!$J$238:$J$451),0),
IF('TL16'!$B$3=O$3,SUMIF('TL16'!$C$10:$C$224,$C113,'TL16'!$J$10:$J$224),0),
IF('TL16'!$B$229=O$3,SUMIF('TL16'!$C$238:$C$451,$C113,'TL16'!$J$238:$J$451),0),
IF('TL17'!$B$3=O$3,SUMIF('TL17'!$C$10:$C$224,$C113,'TL17'!$J$10:$J$224),0),
IF('TL17'!$B$229=O$3,SUMIF('TL17'!$C$238:$C$451,$C113,'TL17'!$J$238:$J$451),0),
IF('TL18'!$B$3=O$3,SUMIF('TL18'!$C$10:$C$224,$C113,'TL18'!$J$10:$J$224),0),
IF('TL18'!$B$229=O$3,SUMIF('TL18'!$C$238:$C$451,$C113,'TL18'!$J$238:$J$451),0),
IF('TL19'!$B$3=O$3,SUMIF('TL19'!$C$10:$C$224,$C113,'TL19'!$J$10:$J$224),0),
IF('TL19'!$B$229=O$3,SUMIF('TL19'!$C$238:$C$451,$C113,'TL19'!$J$238:$J$451),0)
),0)</f>
        <v/>
      </c>
      <c r="P113" s="9">
        <f>IFERROR(SUM(
IF('TL01'!$B$3=P$3,SUMIF('TL01'!$C$10:$C$224,$C113,'TL01'!$J$10:$J$224),0),
IF('TL01'!$B$229=P$3,SUMIF('TL01'!$C$238:$C$451,$C113,'TL01'!$J$238:$J$451),0),
IF('TL02'!$B$3=P$3,SUMIF('TL02'!$C$10:$C$224,$C113,'TL02'!$J$10:$J$224),0),
IF('TL02'!$B$229=P$3,SUMIF('TL02'!$C$238:$C$451,$C113,'TL02'!$J$238:$J$451),0),
IF('TL03'!$B$3=P$3,SUMIF('TL03'!$C$10:$C$224,$C113,'TL03'!$J$10:$J$224),0),
IF('TL03'!$B$229=P$3,SUMIF('TL03'!$C$238:$C$451,$C113,'TL03'!$J$238:$J$451),0),
IF('TL04'!$B$3=P$3,SUMIF('TL04'!$C$10:$C$224,$C113,'TL04'!$J$10:$J$224),0),
IF('TL04'!$B$229=P$3,SUMIF('TL04'!$C$238:$C$451,$C113,'TL04'!$J$238:$J$451),0),
IF('TL05'!$B$3=P$3,SUMIF('TL05'!$C$10:$C$224,$C113,'TL05'!$J$10:$J$224),0),
IF('TL05'!$B$229=P$3,SUMIF('TL05'!$C$238:$C$451,$C113,'TL05'!$J$238:$J$451),0),
IF('TL06'!$B$3=P$3,SUMIF('TL06'!$C$10:$C$224,$C113,'TL06'!$J$10:$J$224),0),
IF('TL06'!$B$229=P$3,SUMIF('TL06'!$C$238:$C$451,$C113,'TL06'!$J$238:$J$451),0),
IF('TL07'!$B$3=P$3,SUMIF('TL07'!$C$10:$C$224,$C113,'TL07'!$J$10:$J$224),0),
IF('TL07'!$B$229=P$3,SUMIF('TL07'!$C$238:$C$451,$C113,'TL07'!$J$238:$J$451),0),
IF('TL08'!$B$3=P$3,SUMIF('TL08'!$C$10:$C$224,$C113,'TL08'!$J$10:$J$224),0),
IF('TL08'!$B$229=P$3,SUMIF('TL08'!$C$238:$C$451,$C113,'TL08'!$J$238:$J$451),0),
IF('TL09'!$B$3=P$3,SUMIF('TL09'!$C$10:$C$224,$C113,'TL09'!$J$10:$J$224),0),
IF('TL09'!$B$229=P$3,SUMIF('TL09'!$C$238:$C$451,$C113,'TL09'!$J$238:$J$451),0),
IF('TL10'!$B$3=P$3,SUMIF('TL10'!$C$10:$C$224,$C113,'TL10'!$J$10:$J$224),0),
IF('TL10'!$B$229=P$3,SUMIF('TL10'!$C$238:$C$451,$C113,'TL10'!$J$238:$J$451),0),
IF('TL11'!$B$3=P$3,SUMIF('TL11'!$C$10:$C$224,$C113,'TL11'!$J$10:$J$224),0),
IF('TL11'!$B$229=P$3,SUMIF('TL11'!$C$238:$C$451,$C113,'TL11'!$J$238:$J$451),0),
IF('TL12'!$B$3=P$3,SUMIF('TL12'!$C$10:$C$224,$C113,'TL12'!$J$10:$J$224),0),
IF('TL12'!$B$229=P$3,SUMIF('TL12'!$C$238:$C$451,$C113,'TL12'!$J$238:$J$451),0),
IF('TL13'!$B$3=P$3,SUMIF('TL13'!$C$10:$C$224,$C113,'TL13'!$J$10:$J$224),0),
IF('TL13'!$B$229=P$3,SUMIF('TL13'!$C$238:$C$451,$C113,'TL13'!$J$238:$J$451),0),
IF('TL14'!$B$3=P$3,SUMIF('TL14'!$C$10:$C$224,$C113,'TL14'!$J$10:$J$224),0),
IF('TL14'!$B$229=P$3,SUMIF('TL14'!$C$238:$C$451,$C113,'TL14'!$J$238:$J$451),0),
IF('TL15'!$B$3=P$3,SUMIF('TL15'!$C$10:$C$224,$C113,'TL15'!$J$10:$J$224),0),
IF('TL15'!$B$229=P$3,SUMIF('TL15'!$C$238:$C$451,$C113,'TL15'!$J$238:$J$451),0),
IF('TL16'!$B$3=P$3,SUMIF('TL16'!$C$10:$C$224,$C113,'TL16'!$J$10:$J$224),0),
IF('TL16'!$B$229=P$3,SUMIF('TL16'!$C$238:$C$451,$C113,'TL16'!$J$238:$J$451),0),
IF('TL17'!$B$3=P$3,SUMIF('TL17'!$C$10:$C$224,$C113,'TL17'!$J$10:$J$224),0),
IF('TL17'!$B$229=P$3,SUMIF('TL17'!$C$238:$C$451,$C113,'TL17'!$J$238:$J$451),0),
IF('TL18'!$B$3=P$3,SUMIF('TL18'!$C$10:$C$224,$C113,'TL18'!$J$10:$J$224),0),
IF('TL18'!$B$229=P$3,SUMIF('TL18'!$C$238:$C$451,$C113,'TL18'!$J$238:$J$451),0),
IF('TL19'!$B$3=P$3,SUMIF('TL19'!$C$10:$C$224,$C113,'TL19'!$J$10:$J$224),0),
IF('TL19'!$B$229=P$3,SUMIF('TL19'!$C$238:$C$451,$C113,'TL19'!$J$238:$J$451),0)
),0)</f>
        <v/>
      </c>
      <c r="Q113" s="9">
        <f>IFERROR(SUM(
IF('TL01'!$B$3=Q$3,SUMIF('TL01'!$C$10:$C$224,$C113,'TL01'!$J$10:$J$224),0),
IF('TL01'!$B$229=Q$3,SUMIF('TL01'!$C$238:$C$451,$C113,'TL01'!$J$238:$J$451),0),
IF('TL02'!$B$3=Q$3,SUMIF('TL02'!$C$10:$C$224,$C113,'TL02'!$J$10:$J$224),0),
IF('TL02'!$B$229=Q$3,SUMIF('TL02'!$C$238:$C$451,$C113,'TL02'!$J$238:$J$451),0),
IF('TL03'!$B$3=Q$3,SUMIF('TL03'!$C$10:$C$224,$C113,'TL03'!$J$10:$J$224),0),
IF('TL03'!$B$229=Q$3,SUMIF('TL03'!$C$238:$C$451,$C113,'TL03'!$J$238:$J$451),0),
IF('TL04'!$B$3=Q$3,SUMIF('TL04'!$C$10:$C$224,$C113,'TL04'!$J$10:$J$224),0),
IF('TL04'!$B$229=Q$3,SUMIF('TL04'!$C$238:$C$451,$C113,'TL04'!$J$238:$J$451),0),
IF('TL05'!$B$3=Q$3,SUMIF('TL05'!$C$10:$C$224,$C113,'TL05'!$J$10:$J$224),0),
IF('TL05'!$B$229=Q$3,SUMIF('TL05'!$C$238:$C$451,$C113,'TL05'!$J$238:$J$451),0),
IF('TL06'!$B$3=Q$3,SUMIF('TL06'!$C$10:$C$224,$C113,'TL06'!$J$10:$J$224),0),
IF('TL06'!$B$229=Q$3,SUMIF('TL06'!$C$238:$C$451,$C113,'TL06'!$J$238:$J$451),0),
IF('TL07'!$B$3=Q$3,SUMIF('TL07'!$C$10:$C$224,$C113,'TL07'!$J$10:$J$224),0),
IF('TL07'!$B$229=Q$3,SUMIF('TL07'!$C$238:$C$451,$C113,'TL07'!$J$238:$J$451),0),
IF('TL08'!$B$3=Q$3,SUMIF('TL08'!$C$10:$C$224,$C113,'TL08'!$J$10:$J$224),0),
IF('TL08'!$B$229=Q$3,SUMIF('TL08'!$C$238:$C$451,$C113,'TL08'!$J$238:$J$451),0),
IF('TL09'!$B$3=Q$3,SUMIF('TL09'!$C$10:$C$224,$C113,'TL09'!$J$10:$J$224),0),
IF('TL09'!$B$229=Q$3,SUMIF('TL09'!$C$238:$C$451,$C113,'TL09'!$J$238:$J$451),0),
IF('TL10'!$B$3=Q$3,SUMIF('TL10'!$C$10:$C$224,$C113,'TL10'!$J$10:$J$224),0),
IF('TL10'!$B$229=Q$3,SUMIF('TL10'!$C$238:$C$451,$C113,'TL10'!$J$238:$J$451),0),
IF('TL11'!$B$3=Q$3,SUMIF('TL11'!$C$10:$C$224,$C113,'TL11'!$J$10:$J$224),0),
IF('TL11'!$B$229=Q$3,SUMIF('TL11'!$C$238:$C$451,$C113,'TL11'!$J$238:$J$451),0),
IF('TL12'!$B$3=Q$3,SUMIF('TL12'!$C$10:$C$224,$C113,'TL12'!$J$10:$J$224),0),
IF('TL12'!$B$229=Q$3,SUMIF('TL12'!$C$238:$C$451,$C113,'TL12'!$J$238:$J$451),0),
IF('TL13'!$B$3=Q$3,SUMIF('TL13'!$C$10:$C$224,$C113,'TL13'!$J$10:$J$224),0),
IF('TL13'!$B$229=Q$3,SUMIF('TL13'!$C$238:$C$451,$C113,'TL13'!$J$238:$J$451),0),
IF('TL14'!$B$3=Q$3,SUMIF('TL14'!$C$10:$C$224,$C113,'TL14'!$J$10:$J$224),0),
IF('TL14'!$B$229=Q$3,SUMIF('TL14'!$C$238:$C$451,$C113,'TL14'!$J$238:$J$451),0),
IF('TL15'!$B$3=Q$3,SUMIF('TL15'!$C$10:$C$224,$C113,'TL15'!$J$10:$J$224),0),
IF('TL15'!$B$229=Q$3,SUMIF('TL15'!$C$238:$C$451,$C113,'TL15'!$J$238:$J$451),0),
IF('TL16'!$B$3=Q$3,SUMIF('TL16'!$C$10:$C$224,$C113,'TL16'!$J$10:$J$224),0),
IF('TL16'!$B$229=Q$3,SUMIF('TL16'!$C$238:$C$451,$C113,'TL16'!$J$238:$J$451),0),
IF('TL17'!$B$3=Q$3,SUMIF('TL17'!$C$10:$C$224,$C113,'TL17'!$J$10:$J$224),0),
IF('TL17'!$B$229=Q$3,SUMIF('TL17'!$C$238:$C$451,$C113,'TL17'!$J$238:$J$451),0),
IF('TL18'!$B$3=Q$3,SUMIF('TL18'!$C$10:$C$224,$C113,'TL18'!$J$10:$J$224),0),
IF('TL18'!$B$229=Q$3,SUMIF('TL18'!$C$238:$C$451,$C113,'TL18'!$J$238:$J$451),0),
IF('TL19'!$B$3=Q$3,SUMIF('TL19'!$C$10:$C$224,$C113,'TL19'!$J$10:$J$224),0),
IF('TL19'!$B$229=Q$3,SUMIF('TL19'!$C$238:$C$451,$C113,'TL19'!$J$238:$J$451),0)
),0)</f>
        <v/>
      </c>
      <c r="R113" s="9">
        <f>IFERROR(
SUM(
SUMIF('TL01'!C:C,C113,'TL01'!J:J),
SUMIF('TL02'!C:C,C113,'TL02'!J:J),
SUMIF('TL03'!C:C,C113,'TL03'!J:J),
SUMIF('TL04'!C:C,C113,'TL04'!J:J),
SUMIF('TL05'!C:C,C113,'TL05'!J:J),
SUMIF('TL06'!C:C,C113,'TL06'!J:J),
SUMIF('TL07'!C:C,C113,'TL07'!J:J),
SUMIF('TL08'!C:C,C113,'TL08'!J:J),
SUMIF('TL09'!C:C,C113,'TL09'!J:J),
SUMIF('TL10'!C:C,C113,'TL10'!J:J),
SUMIF('TL11'!C:C,C113,'TL11'!J:J),
SUMIF('TL12'!C:C,C113,'TL12'!J:J),
SUMIF('TL13'!C:C,C113,'TL13'!J:J),
SUMIF('TL14'!C:C,C113,'TL14'!J:J),
SUMIF('TL15'!C:C,C113,'TL15'!J:J),
SUMIF('TL16'!C:C,C113,'TL16'!J:J),
SUMIF('TL17'!C:C,C113,'TL17'!J:J),
SUMIF('TL18'!C:C,C113,'TL18'!J:J),SUMIF('TL19'!C:C,C113,'TL19'!J:J))
,0)</f>
        <v/>
      </c>
      <c r="S113" s="17">
        <f>IFERROR(__xludf.DUMMYFUNCTION("IFERROR(VLOOKUP(C113,
IMPORTRANGE(""1wULbzX32WdYsx-lj2U3uUNBBe2INVIRDtcK0d-Dvl90"",
""26-27!C:G""),
5,
FALSE),
"""")"),74.37907999999999)</f>
        <v/>
      </c>
      <c r="T113" s="9" t="n"/>
      <c r="U113" s="92">
        <f>MAX(0,R113-T113)</f>
        <v/>
      </c>
      <c r="V113" s="93">
        <f>U113*S113</f>
        <v/>
      </c>
    </row>
    <row r="114" hidden="1" ht="15.75" customHeight="1" s="297">
      <c r="A114" s="115" t="inlineStr">
        <is>
          <t>BASF</t>
        </is>
      </c>
      <c r="B114" s="100" t="inlineStr">
        <is>
          <t>HERBICIDA</t>
        </is>
      </c>
      <c r="C114" s="116" t="inlineStr">
        <is>
          <t>FINALE</t>
        </is>
      </c>
      <c r="D114" s="116" t="inlineStr">
        <is>
          <t>GLUFOSINATO - SAL DE AMONIO</t>
        </is>
      </c>
      <c r="E114" s="116" t="n">
        <v>200</v>
      </c>
      <c r="F114" s="4" t="inlineStr">
        <is>
          <t>L</t>
        </is>
      </c>
      <c r="G114" s="90">
        <f>HYPERLINK("https://www.google.com/search?q=" &amp; C114 &amp; "+bula+agrofit+pdf", "📄 Ver bula")</f>
        <v/>
      </c>
      <c r="H114" s="9">
        <f>IFERROR(__xludf.DUMMYFUNCTION("IFERROR(VLOOKUP(C114,
IMPORTRANGE(""1wULbzX32WdYsx-lj2U3uUNBBe2INVIRDtcK0d-Dvl90"",
""26-27!C:K""),
8,
FALSE),
"""")"),2.0)</f>
        <v/>
      </c>
      <c r="I114" s="117" t="inlineStr">
        <is>
          <t>4X5</t>
        </is>
      </c>
      <c r="J114" s="9">
        <f>IFERROR(SUM(
IF('TL01'!$B$3=J$3,SUMIF('TL01'!$C$10:$C$224,$C114,'TL01'!$J$10:$J$224),0),
IF('TL01'!$B$229=J$3,SUMIF('TL01'!$C$238:$C$451,$C114,'TL01'!$J$238:$J$451),0),
IF('TL02'!$B$3=J$3,SUMIF('TL02'!$C$10:$C$224,$C114,'TL02'!$J$10:$J$224),0),
IF('TL02'!$B$229=J$3,SUMIF('TL02'!$C$238:$C$451,$C114,'TL02'!$J$238:$J$451),0),
IF('TL03'!$B$3=J$3,SUMIF('TL03'!$C$10:$C$224,$C114,'TL03'!$J$10:$J$224),0),
IF('TL03'!$B$229=J$3,SUMIF('TL03'!$C$238:$C$451,$C114,'TL03'!$J$238:$J$451),0),
IF('TL04'!$B$3=J$3,SUMIF('TL04'!$C$10:$C$224,$C114,'TL04'!$J$10:$J$224),0),
IF('TL04'!$B$229=J$3,SUMIF('TL04'!$C$238:$C$451,$C114,'TL04'!$J$238:$J$451),0),
IF('TL05'!$B$3=J$3,SUMIF('TL05'!$C$10:$C$224,$C114,'TL05'!$J$10:$J$224),0),
IF('TL05'!$B$229=J$3,SUMIF('TL05'!$C$238:$C$451,$C114,'TL05'!$J$238:$J$451),0),
IF('TL06'!$B$3=J$3,SUMIF('TL06'!$C$10:$C$224,$C114,'TL06'!$J$10:$J$224),0),
IF('TL06'!$B$229=J$3,SUMIF('TL06'!$C$238:$C$451,$C114,'TL06'!$J$238:$J$451),0),
IF('TL07'!$B$3=J$3,SUMIF('TL07'!$C$10:$C$224,$C114,'TL07'!$J$10:$J$224),0),
IF('TL07'!$B$229=J$3,SUMIF('TL07'!$C$238:$C$451,$C114,'TL07'!$J$238:$J$451),0),
IF('TL08'!$B$3=J$3,SUMIF('TL08'!$C$10:$C$224,$C114,'TL08'!$J$10:$J$224),0),
IF('TL08'!$B$229=J$3,SUMIF('TL08'!$C$238:$C$451,$C114,'TL08'!$J$238:$J$451),0),
IF('TL09'!$B$3=J$3,SUMIF('TL09'!$C$10:$C$224,$C114,'TL09'!$J$10:$J$224),0),
IF('TL09'!$B$229=J$3,SUMIF('TL09'!$C$238:$C$451,$C114,'TL09'!$J$238:$J$451),0),
IF('TL10'!$B$3=J$3,SUMIF('TL10'!$C$10:$C$224,$C114,'TL10'!$J$10:$J$224),0),
IF('TL10'!$B$229=J$3,SUMIF('TL10'!$C$238:$C$451,$C114,'TL10'!$J$238:$J$451),0),
IF('TL11'!$B$3=J$3,SUMIF('TL11'!$C$10:$C$224,$C114,'TL11'!$J$10:$J$224),0),
IF('TL11'!$B$229=J$3,SUMIF('TL11'!$C$238:$C$451,$C114,'TL11'!$J$238:$J$451),0),
IF('TL12'!$B$3=J$3,SUMIF('TL12'!$C$10:$C$224,$C114,'TL12'!$J$10:$J$224),0),
IF('TL12'!$B$229=J$3,SUMIF('TL12'!$C$238:$C$451,$C114,'TL12'!$J$238:$J$451),0),
IF('TL13'!$B$3=J$3,SUMIF('TL13'!$C$10:$C$224,$C114,'TL13'!$J$10:$J$224),0),
IF('TL13'!$B$229=J$3,SUMIF('TL13'!$C$238:$C$451,$C114,'TL13'!$J$238:$J$451),0),
IF('TL14'!$B$3=J$3,SUMIF('TL14'!$C$10:$C$224,$C114,'TL14'!$J$10:$J$224),0),
IF('TL14'!$B$229=J$3,SUMIF('TL14'!$C$238:$C$451,$C114,'TL14'!$J$238:$J$451),0),
IF('TL15'!$B$3=J$3,SUMIF('TL15'!$C$10:$C$224,$C114,'TL15'!$J$10:$J$224),0),
IF('TL15'!$B$229=J$3,SUMIF('TL15'!$C$238:$C$451,$C114,'TL15'!$J$238:$J$451),0),
IF('TL16'!$B$3=J$3,SUMIF('TL16'!$C$10:$C$224,$C114,'TL16'!$J$10:$J$224),0),
IF('TL16'!$B$229=J$3,SUMIF('TL16'!$C$238:$C$451,$C114,'TL16'!$J$238:$J$451),0),
IF('TL17'!$B$3=J$3,SUMIF('TL17'!$C$10:$C$224,$C114,'TL17'!$J$10:$J$224),0),
IF('TL17'!$B$229=J$3,SUMIF('TL17'!$C$238:$C$451,$C114,'TL17'!$J$238:$J$451),0),
IF('TL18'!$B$3=J$3,SUMIF('TL18'!$C$10:$C$224,$C114,'TL18'!$J$10:$J$224),0),
IF('TL18'!$B$229=J$3,SUMIF('TL18'!$C$238:$C$451,$C114,'TL18'!$J$238:$J$451),0),
IF('TL19'!$B$3=J$3,SUMIF('TL19'!$C$10:$C$224,$C114,'TL19'!$J$10:$J$224),0),
IF('TL19'!$B$229=J$3,SUMIF('TL19'!$C$238:$C$451,$C114,'TL19'!$J$238:$J$451),0)
),0)</f>
        <v/>
      </c>
      <c r="K114" s="9">
        <f>IFERROR(SUM(
IF('TL01'!$B$3=K$3,SUMIF('TL01'!$C$10:$C$224,$C114,'TL01'!$J$10:$J$224),0),
IF('TL01'!$B$229=K$3,SUMIF('TL01'!$C$238:$C$451,$C114,'TL01'!$J$238:$J$451),0),
IF('TL02'!$B$3=K$3,SUMIF('TL02'!$C$10:$C$224,$C114,'TL02'!$J$10:$J$224),0),
IF('TL02'!$B$229=K$3,SUMIF('TL02'!$C$238:$C$451,$C114,'TL02'!$J$238:$J$451),0),
IF('TL03'!$B$3=K$3,SUMIF('TL03'!$C$10:$C$224,$C114,'TL03'!$J$10:$J$224),0),
IF('TL03'!$B$229=K$3,SUMIF('TL03'!$C$238:$C$451,$C114,'TL03'!$J$238:$J$451),0),
IF('TL04'!$B$3=K$3,SUMIF('TL04'!$C$10:$C$224,$C114,'TL04'!$J$10:$J$224),0),
IF('TL04'!$B$229=K$3,SUMIF('TL04'!$C$238:$C$451,$C114,'TL04'!$J$238:$J$451),0),
IF('TL05'!$B$3=K$3,SUMIF('TL05'!$C$10:$C$224,$C114,'TL05'!$J$10:$J$224),0),
IF('TL05'!$B$229=K$3,SUMIF('TL05'!$C$238:$C$451,$C114,'TL05'!$J$238:$J$451),0),
IF('TL06'!$B$3=K$3,SUMIF('TL06'!$C$10:$C$224,$C114,'TL06'!$J$10:$J$224),0),
IF('TL06'!$B$229=K$3,SUMIF('TL06'!$C$238:$C$451,$C114,'TL06'!$J$238:$J$451),0),
IF('TL07'!$B$3=K$3,SUMIF('TL07'!$C$10:$C$224,$C114,'TL07'!$J$10:$J$224),0),
IF('TL07'!$B$229=K$3,SUMIF('TL07'!$C$238:$C$451,$C114,'TL07'!$J$238:$J$451),0),
IF('TL08'!$B$3=K$3,SUMIF('TL08'!$C$10:$C$224,$C114,'TL08'!$J$10:$J$224),0),
IF('TL08'!$B$229=K$3,SUMIF('TL08'!$C$238:$C$451,$C114,'TL08'!$J$238:$J$451),0),
IF('TL09'!$B$3=K$3,SUMIF('TL09'!$C$10:$C$224,$C114,'TL09'!$J$10:$J$224),0),
IF('TL09'!$B$229=K$3,SUMIF('TL09'!$C$238:$C$451,$C114,'TL09'!$J$238:$J$451),0),
IF('TL10'!$B$3=K$3,SUMIF('TL10'!$C$10:$C$224,$C114,'TL10'!$J$10:$J$224),0),
IF('TL10'!$B$229=K$3,SUMIF('TL10'!$C$238:$C$451,$C114,'TL10'!$J$238:$J$451),0),
IF('TL11'!$B$3=K$3,SUMIF('TL11'!$C$10:$C$224,$C114,'TL11'!$J$10:$J$224),0),
IF('TL11'!$B$229=K$3,SUMIF('TL11'!$C$238:$C$451,$C114,'TL11'!$J$238:$J$451),0),
IF('TL12'!$B$3=K$3,SUMIF('TL12'!$C$10:$C$224,$C114,'TL12'!$J$10:$J$224),0),
IF('TL12'!$B$229=K$3,SUMIF('TL12'!$C$238:$C$451,$C114,'TL12'!$J$238:$J$451),0),
IF('TL13'!$B$3=K$3,SUMIF('TL13'!$C$10:$C$224,$C114,'TL13'!$J$10:$J$224),0),
IF('TL13'!$B$229=K$3,SUMIF('TL13'!$C$238:$C$451,$C114,'TL13'!$J$238:$J$451),0),
IF('TL14'!$B$3=K$3,SUMIF('TL14'!$C$10:$C$224,$C114,'TL14'!$J$10:$J$224),0),
IF('TL14'!$B$229=K$3,SUMIF('TL14'!$C$238:$C$451,$C114,'TL14'!$J$238:$J$451),0),
IF('TL15'!$B$3=K$3,SUMIF('TL15'!$C$10:$C$224,$C114,'TL15'!$J$10:$J$224),0),
IF('TL15'!$B$229=K$3,SUMIF('TL15'!$C$238:$C$451,$C114,'TL15'!$J$238:$J$451),0),
IF('TL16'!$B$3=K$3,SUMIF('TL16'!$C$10:$C$224,$C114,'TL16'!$J$10:$J$224),0),
IF('TL16'!$B$229=K$3,SUMIF('TL16'!$C$238:$C$451,$C114,'TL16'!$J$238:$J$451),0),
IF('TL17'!$B$3=K$3,SUMIF('TL17'!$C$10:$C$224,$C114,'TL17'!$J$10:$J$224),0),
IF('TL17'!$B$229=K$3,SUMIF('TL17'!$C$238:$C$451,$C114,'TL17'!$J$238:$J$451),0),
IF('TL18'!$B$3=K$3,SUMIF('TL18'!$C$10:$C$224,$C114,'TL18'!$J$10:$J$224),0),
IF('TL18'!$B$229=K$3,SUMIF('TL18'!$C$238:$C$451,$C114,'TL18'!$J$238:$J$451),0),
IF('TL19'!$B$3=K$3,SUMIF('TL19'!$C$10:$C$224,$C114,'TL19'!$J$10:$J$224),0),
IF('TL19'!$B$229=K$3,SUMIF('TL19'!$C$238:$C$451,$C114,'TL19'!$J$238:$J$451),0)
),0)</f>
        <v/>
      </c>
      <c r="L114" s="9">
        <f>IFERROR(SUM(
IF('TL01'!$B$3=L$3,SUMIF('TL01'!$C$10:$C$224,$C114,'TL01'!$J$10:$J$224),0),
IF('TL01'!$B$229=L$3,SUMIF('TL01'!$C$238:$C$451,$C114,'TL01'!$J$238:$J$451),0),
IF('TL02'!$B$3=L$3,SUMIF('TL02'!$C$10:$C$224,$C114,'TL02'!$J$10:$J$224),0),
IF('TL02'!$B$229=L$3,SUMIF('TL02'!$C$238:$C$451,$C114,'TL02'!$J$238:$J$451),0),
IF('TL03'!$B$3=L$3,SUMIF('TL03'!$C$10:$C$224,$C114,'TL03'!$J$10:$J$224),0),
IF('TL03'!$B$229=L$3,SUMIF('TL03'!$C$238:$C$451,$C114,'TL03'!$J$238:$J$451),0),
IF('TL04'!$B$3=L$3,SUMIF('TL04'!$C$10:$C$224,$C114,'TL04'!$J$10:$J$224),0),
IF('TL04'!$B$229=L$3,SUMIF('TL04'!$C$238:$C$451,$C114,'TL04'!$J$238:$J$451),0),
IF('TL05'!$B$3=L$3,SUMIF('TL05'!$C$10:$C$224,$C114,'TL05'!$J$10:$J$224),0),
IF('TL05'!$B$229=L$3,SUMIF('TL05'!$C$238:$C$451,$C114,'TL05'!$J$238:$J$451),0),
IF('TL06'!$B$3=L$3,SUMIF('TL06'!$C$10:$C$224,$C114,'TL06'!$J$10:$J$224),0),
IF('TL06'!$B$229=L$3,SUMIF('TL06'!$C$238:$C$451,$C114,'TL06'!$J$238:$J$451),0),
IF('TL07'!$B$3=L$3,SUMIF('TL07'!$C$10:$C$224,$C114,'TL07'!$J$10:$J$224),0),
IF('TL07'!$B$229=L$3,SUMIF('TL07'!$C$238:$C$451,$C114,'TL07'!$J$238:$J$451),0),
IF('TL08'!$B$3=L$3,SUMIF('TL08'!$C$10:$C$224,$C114,'TL08'!$J$10:$J$224),0),
IF('TL08'!$B$229=L$3,SUMIF('TL08'!$C$238:$C$451,$C114,'TL08'!$J$238:$J$451),0),
IF('TL09'!$B$3=L$3,SUMIF('TL09'!$C$10:$C$224,$C114,'TL09'!$J$10:$J$224),0),
IF('TL09'!$B$229=L$3,SUMIF('TL09'!$C$238:$C$451,$C114,'TL09'!$J$238:$J$451),0),
IF('TL10'!$B$3=L$3,SUMIF('TL10'!$C$10:$C$224,$C114,'TL10'!$J$10:$J$224),0),
IF('TL10'!$B$229=L$3,SUMIF('TL10'!$C$238:$C$451,$C114,'TL10'!$J$238:$J$451),0),
IF('TL11'!$B$3=L$3,SUMIF('TL11'!$C$10:$C$224,$C114,'TL11'!$J$10:$J$224),0),
IF('TL11'!$B$229=L$3,SUMIF('TL11'!$C$238:$C$451,$C114,'TL11'!$J$238:$J$451),0),
IF('TL12'!$B$3=L$3,SUMIF('TL12'!$C$10:$C$224,$C114,'TL12'!$J$10:$J$224),0),
IF('TL12'!$B$229=L$3,SUMIF('TL12'!$C$238:$C$451,$C114,'TL12'!$J$238:$J$451),0),
IF('TL13'!$B$3=L$3,SUMIF('TL13'!$C$10:$C$224,$C114,'TL13'!$J$10:$J$224),0),
IF('TL13'!$B$229=L$3,SUMIF('TL13'!$C$238:$C$451,$C114,'TL13'!$J$238:$J$451),0),
IF('TL14'!$B$3=L$3,SUMIF('TL14'!$C$10:$C$224,$C114,'TL14'!$J$10:$J$224),0),
IF('TL14'!$B$229=L$3,SUMIF('TL14'!$C$238:$C$451,$C114,'TL14'!$J$238:$J$451),0),
IF('TL15'!$B$3=L$3,SUMIF('TL15'!$C$10:$C$224,$C114,'TL15'!$J$10:$J$224),0),
IF('TL15'!$B$229=L$3,SUMIF('TL15'!$C$238:$C$451,$C114,'TL15'!$J$238:$J$451),0),
IF('TL16'!$B$3=L$3,SUMIF('TL16'!$C$10:$C$224,$C114,'TL16'!$J$10:$J$224),0),
IF('TL16'!$B$229=L$3,SUMIF('TL16'!$C$238:$C$451,$C114,'TL16'!$J$238:$J$451),0),
IF('TL17'!$B$3=L$3,SUMIF('TL17'!$C$10:$C$224,$C114,'TL17'!$J$10:$J$224),0),
IF('TL17'!$B$229=L$3,SUMIF('TL17'!$C$238:$C$451,$C114,'TL17'!$J$238:$J$451),0),
IF('TL18'!$B$3=L$3,SUMIF('TL18'!$C$10:$C$224,$C114,'TL18'!$J$10:$J$224),0),
IF('TL18'!$B$229=L$3,SUMIF('TL18'!$C$238:$C$451,$C114,'TL18'!$J$238:$J$451),0),
IF('TL19'!$B$3=L$3,SUMIF('TL19'!$C$10:$C$224,$C114,'TL19'!$J$10:$J$224),0),
IF('TL19'!$B$229=L$3,SUMIF('TL19'!$C$238:$C$451,$C114,'TL19'!$J$238:$J$451),0)
),0)</f>
        <v/>
      </c>
      <c r="M114" s="9">
        <f>IFERROR(SUM(
IF('TL01'!$B$3=M$3,SUMIF('TL01'!$C$10:$C$224,$C114,'TL01'!$J$10:$J$224),0),
IF('TL01'!$B$229=M$3,SUMIF('TL01'!$C$238:$C$451,$C114,'TL01'!$J$238:$J$451),0),
IF('TL02'!$B$3=M$3,SUMIF('TL02'!$C$10:$C$224,$C114,'TL02'!$J$10:$J$224),0),
IF('TL02'!$B$229=M$3,SUMIF('TL02'!$C$238:$C$451,$C114,'TL02'!$J$238:$J$451),0),
IF('TL03'!$B$3=M$3,SUMIF('TL03'!$C$10:$C$224,$C114,'TL03'!$J$10:$J$224),0),
IF('TL03'!$B$229=M$3,SUMIF('TL03'!$C$238:$C$451,$C114,'TL03'!$J$238:$J$451),0),
IF('TL04'!$B$3=M$3,SUMIF('TL04'!$C$10:$C$224,$C114,'TL04'!$J$10:$J$224),0),
IF('TL04'!$B$229=M$3,SUMIF('TL04'!$C$238:$C$451,$C114,'TL04'!$J$238:$J$451),0),
IF('TL05'!$B$3=M$3,SUMIF('TL05'!$C$10:$C$224,$C114,'TL05'!$J$10:$J$224),0),
IF('TL05'!$B$229=M$3,SUMIF('TL05'!$C$238:$C$451,$C114,'TL05'!$J$238:$J$451),0),
IF('TL06'!$B$3=M$3,SUMIF('TL06'!$C$10:$C$224,$C114,'TL06'!$J$10:$J$224),0),
IF('TL06'!$B$229=M$3,SUMIF('TL06'!$C$238:$C$451,$C114,'TL06'!$J$238:$J$451),0),
IF('TL07'!$B$3=M$3,SUMIF('TL07'!$C$10:$C$224,$C114,'TL07'!$J$10:$J$224),0),
IF('TL07'!$B$229=M$3,SUMIF('TL07'!$C$238:$C$451,$C114,'TL07'!$J$238:$J$451),0),
IF('TL08'!$B$3=M$3,SUMIF('TL08'!$C$10:$C$224,$C114,'TL08'!$J$10:$J$224),0),
IF('TL08'!$B$229=M$3,SUMIF('TL08'!$C$238:$C$451,$C114,'TL08'!$J$238:$J$451),0),
IF('TL09'!$B$3=M$3,SUMIF('TL09'!$C$10:$C$224,$C114,'TL09'!$J$10:$J$224),0),
IF('TL09'!$B$229=M$3,SUMIF('TL09'!$C$238:$C$451,$C114,'TL09'!$J$238:$J$451),0),
IF('TL10'!$B$3=M$3,SUMIF('TL10'!$C$10:$C$224,$C114,'TL10'!$J$10:$J$224),0),
IF('TL10'!$B$229=M$3,SUMIF('TL10'!$C$238:$C$451,$C114,'TL10'!$J$238:$J$451),0),
IF('TL11'!$B$3=M$3,SUMIF('TL11'!$C$10:$C$224,$C114,'TL11'!$J$10:$J$224),0),
IF('TL11'!$B$229=M$3,SUMIF('TL11'!$C$238:$C$451,$C114,'TL11'!$J$238:$J$451),0),
IF('TL12'!$B$3=M$3,SUMIF('TL12'!$C$10:$C$224,$C114,'TL12'!$J$10:$J$224),0),
IF('TL12'!$B$229=M$3,SUMIF('TL12'!$C$238:$C$451,$C114,'TL12'!$J$238:$J$451),0),
IF('TL13'!$B$3=M$3,SUMIF('TL13'!$C$10:$C$224,$C114,'TL13'!$J$10:$J$224),0),
IF('TL13'!$B$229=M$3,SUMIF('TL13'!$C$238:$C$451,$C114,'TL13'!$J$238:$J$451),0),
IF('TL14'!$B$3=M$3,SUMIF('TL14'!$C$10:$C$224,$C114,'TL14'!$J$10:$J$224),0),
IF('TL14'!$B$229=M$3,SUMIF('TL14'!$C$238:$C$451,$C114,'TL14'!$J$238:$J$451),0),
IF('TL15'!$B$3=M$3,SUMIF('TL15'!$C$10:$C$224,$C114,'TL15'!$J$10:$J$224),0),
IF('TL15'!$B$229=M$3,SUMIF('TL15'!$C$238:$C$451,$C114,'TL15'!$J$238:$J$451),0),
IF('TL16'!$B$3=M$3,SUMIF('TL16'!$C$10:$C$224,$C114,'TL16'!$J$10:$J$224),0),
IF('TL16'!$B$229=M$3,SUMIF('TL16'!$C$238:$C$451,$C114,'TL16'!$J$238:$J$451),0),
IF('TL17'!$B$3=M$3,SUMIF('TL17'!$C$10:$C$224,$C114,'TL17'!$J$10:$J$224),0),
IF('TL17'!$B$229=M$3,SUMIF('TL17'!$C$238:$C$451,$C114,'TL17'!$J$238:$J$451),0),
IF('TL18'!$B$3=M$3,SUMIF('TL18'!$C$10:$C$224,$C114,'TL18'!$J$10:$J$224),0),
IF('TL18'!$B$229=M$3,SUMIF('TL18'!$C$238:$C$451,$C114,'TL18'!$J$238:$J$451),0),
IF('TL19'!$B$3=M$3,SUMIF('TL19'!$C$10:$C$224,$C114,'TL19'!$J$10:$J$224),0),
IF('TL19'!$B$229=M$3,SUMIF('TL19'!$C$238:$C$451,$C114,'TL19'!$J$238:$J$451),0)
),0)</f>
        <v/>
      </c>
      <c r="N114" s="9">
        <f>IFERROR(SUM(
IF('TL01'!$B$3=N$3,SUMIF('TL01'!$C$10:$C$224,$C114,'TL01'!$J$10:$J$224),0),
IF('TL01'!$B$229=N$3,SUMIF('TL01'!$C$238:$C$451,$C114,'TL01'!$J$238:$J$451),0),
IF('TL02'!$B$3=N$3,SUMIF('TL02'!$C$10:$C$224,$C114,'TL02'!$J$10:$J$224),0),
IF('TL02'!$B$229=N$3,SUMIF('TL02'!$C$238:$C$451,$C114,'TL02'!$J$238:$J$451),0),
IF('TL03'!$B$3=N$3,SUMIF('TL03'!$C$10:$C$224,$C114,'TL03'!$J$10:$J$224),0),
IF('TL03'!$B$229=N$3,SUMIF('TL03'!$C$238:$C$451,$C114,'TL03'!$J$238:$J$451),0),
IF('TL04'!$B$3=N$3,SUMIF('TL04'!$C$10:$C$224,$C114,'TL04'!$J$10:$J$224),0),
IF('TL04'!$B$229=N$3,SUMIF('TL04'!$C$238:$C$451,$C114,'TL04'!$J$238:$J$451),0),
IF('TL05'!$B$3=N$3,SUMIF('TL05'!$C$10:$C$224,$C114,'TL05'!$J$10:$J$224),0),
IF('TL05'!$B$229=N$3,SUMIF('TL05'!$C$238:$C$451,$C114,'TL05'!$J$238:$J$451),0),
IF('TL06'!$B$3=N$3,SUMIF('TL06'!$C$10:$C$224,$C114,'TL06'!$J$10:$J$224),0),
IF('TL06'!$B$229=N$3,SUMIF('TL06'!$C$238:$C$451,$C114,'TL06'!$J$238:$J$451),0),
IF('TL07'!$B$3=N$3,SUMIF('TL07'!$C$10:$C$224,$C114,'TL07'!$J$10:$J$224),0),
IF('TL07'!$B$229=N$3,SUMIF('TL07'!$C$238:$C$451,$C114,'TL07'!$J$238:$J$451),0),
IF('TL08'!$B$3=N$3,SUMIF('TL08'!$C$10:$C$224,$C114,'TL08'!$J$10:$J$224),0),
IF('TL08'!$B$229=N$3,SUMIF('TL08'!$C$238:$C$451,$C114,'TL08'!$J$238:$J$451),0),
IF('TL09'!$B$3=N$3,SUMIF('TL09'!$C$10:$C$224,$C114,'TL09'!$J$10:$J$224),0),
IF('TL09'!$B$229=N$3,SUMIF('TL09'!$C$238:$C$451,$C114,'TL09'!$J$238:$J$451),0),
IF('TL10'!$B$3=N$3,SUMIF('TL10'!$C$10:$C$224,$C114,'TL10'!$J$10:$J$224),0),
IF('TL10'!$B$229=N$3,SUMIF('TL10'!$C$238:$C$451,$C114,'TL10'!$J$238:$J$451),0),
IF('TL11'!$B$3=N$3,SUMIF('TL11'!$C$10:$C$224,$C114,'TL11'!$J$10:$J$224),0),
IF('TL11'!$B$229=N$3,SUMIF('TL11'!$C$238:$C$451,$C114,'TL11'!$J$238:$J$451),0),
IF('TL12'!$B$3=N$3,SUMIF('TL12'!$C$10:$C$224,$C114,'TL12'!$J$10:$J$224),0),
IF('TL12'!$B$229=N$3,SUMIF('TL12'!$C$238:$C$451,$C114,'TL12'!$J$238:$J$451),0),
IF('TL13'!$B$3=N$3,SUMIF('TL13'!$C$10:$C$224,$C114,'TL13'!$J$10:$J$224),0),
IF('TL13'!$B$229=N$3,SUMIF('TL13'!$C$238:$C$451,$C114,'TL13'!$J$238:$J$451),0),
IF('TL14'!$B$3=N$3,SUMIF('TL14'!$C$10:$C$224,$C114,'TL14'!$J$10:$J$224),0),
IF('TL14'!$B$229=N$3,SUMIF('TL14'!$C$238:$C$451,$C114,'TL14'!$J$238:$J$451),0),
IF('TL15'!$B$3=N$3,SUMIF('TL15'!$C$10:$C$224,$C114,'TL15'!$J$10:$J$224),0),
IF('TL15'!$B$229=N$3,SUMIF('TL15'!$C$238:$C$451,$C114,'TL15'!$J$238:$J$451),0),
IF('TL16'!$B$3=N$3,SUMIF('TL16'!$C$10:$C$224,$C114,'TL16'!$J$10:$J$224),0),
IF('TL16'!$B$229=N$3,SUMIF('TL16'!$C$238:$C$451,$C114,'TL16'!$J$238:$J$451),0),
IF('TL17'!$B$3=N$3,SUMIF('TL17'!$C$10:$C$224,$C114,'TL17'!$J$10:$J$224),0),
IF('TL17'!$B$229=N$3,SUMIF('TL17'!$C$238:$C$451,$C114,'TL17'!$J$238:$J$451),0),
IF('TL18'!$B$3=N$3,SUMIF('TL18'!$C$10:$C$224,$C114,'TL18'!$J$10:$J$224),0),
IF('TL18'!$B$229=N$3,SUMIF('TL18'!$C$238:$C$451,$C114,'TL18'!$J$238:$J$451),0),
IF('TL19'!$B$3=N$3,SUMIF('TL19'!$C$10:$C$224,$C114,'TL19'!$J$10:$J$224),0),
IF('TL19'!$B$229=N$3,SUMIF('TL19'!$C$238:$C$451,$C114,'TL19'!$J$238:$J$451),0)
),0)</f>
        <v/>
      </c>
      <c r="O114" s="9">
        <f>IFERROR(SUM(
IF('TL01'!$B$3=O$3,SUMIF('TL01'!$C$10:$C$224,$C114,'TL01'!$J$10:$J$224),0),
IF('TL01'!$B$229=O$3,SUMIF('TL01'!$C$238:$C$451,$C114,'TL01'!$J$238:$J$451),0),
IF('TL02'!$B$3=O$3,SUMIF('TL02'!$C$10:$C$224,$C114,'TL02'!$J$10:$J$224),0),
IF('TL02'!$B$229=O$3,SUMIF('TL02'!$C$238:$C$451,$C114,'TL02'!$J$238:$J$451),0),
IF('TL03'!$B$3=O$3,SUMIF('TL03'!$C$10:$C$224,$C114,'TL03'!$J$10:$J$224),0),
IF('TL03'!$B$229=O$3,SUMIF('TL03'!$C$238:$C$451,$C114,'TL03'!$J$238:$J$451),0),
IF('TL04'!$B$3=O$3,SUMIF('TL04'!$C$10:$C$224,$C114,'TL04'!$J$10:$J$224),0),
IF('TL04'!$B$229=O$3,SUMIF('TL04'!$C$238:$C$451,$C114,'TL04'!$J$238:$J$451),0),
IF('TL05'!$B$3=O$3,SUMIF('TL05'!$C$10:$C$224,$C114,'TL05'!$J$10:$J$224),0),
IF('TL05'!$B$229=O$3,SUMIF('TL05'!$C$238:$C$451,$C114,'TL05'!$J$238:$J$451),0),
IF('TL06'!$B$3=O$3,SUMIF('TL06'!$C$10:$C$224,$C114,'TL06'!$J$10:$J$224),0),
IF('TL06'!$B$229=O$3,SUMIF('TL06'!$C$238:$C$451,$C114,'TL06'!$J$238:$J$451),0),
IF('TL07'!$B$3=O$3,SUMIF('TL07'!$C$10:$C$224,$C114,'TL07'!$J$10:$J$224),0),
IF('TL07'!$B$229=O$3,SUMIF('TL07'!$C$238:$C$451,$C114,'TL07'!$J$238:$J$451),0),
IF('TL08'!$B$3=O$3,SUMIF('TL08'!$C$10:$C$224,$C114,'TL08'!$J$10:$J$224),0),
IF('TL08'!$B$229=O$3,SUMIF('TL08'!$C$238:$C$451,$C114,'TL08'!$J$238:$J$451),0),
IF('TL09'!$B$3=O$3,SUMIF('TL09'!$C$10:$C$224,$C114,'TL09'!$J$10:$J$224),0),
IF('TL09'!$B$229=O$3,SUMIF('TL09'!$C$238:$C$451,$C114,'TL09'!$J$238:$J$451),0),
IF('TL10'!$B$3=O$3,SUMIF('TL10'!$C$10:$C$224,$C114,'TL10'!$J$10:$J$224),0),
IF('TL10'!$B$229=O$3,SUMIF('TL10'!$C$238:$C$451,$C114,'TL10'!$J$238:$J$451),0),
IF('TL11'!$B$3=O$3,SUMIF('TL11'!$C$10:$C$224,$C114,'TL11'!$J$10:$J$224),0),
IF('TL11'!$B$229=O$3,SUMIF('TL11'!$C$238:$C$451,$C114,'TL11'!$J$238:$J$451),0),
IF('TL12'!$B$3=O$3,SUMIF('TL12'!$C$10:$C$224,$C114,'TL12'!$J$10:$J$224),0),
IF('TL12'!$B$229=O$3,SUMIF('TL12'!$C$238:$C$451,$C114,'TL12'!$J$238:$J$451),0),
IF('TL13'!$B$3=O$3,SUMIF('TL13'!$C$10:$C$224,$C114,'TL13'!$J$10:$J$224),0),
IF('TL13'!$B$229=O$3,SUMIF('TL13'!$C$238:$C$451,$C114,'TL13'!$J$238:$J$451),0),
IF('TL14'!$B$3=O$3,SUMIF('TL14'!$C$10:$C$224,$C114,'TL14'!$J$10:$J$224),0),
IF('TL14'!$B$229=O$3,SUMIF('TL14'!$C$238:$C$451,$C114,'TL14'!$J$238:$J$451),0),
IF('TL15'!$B$3=O$3,SUMIF('TL15'!$C$10:$C$224,$C114,'TL15'!$J$10:$J$224),0),
IF('TL15'!$B$229=O$3,SUMIF('TL15'!$C$238:$C$451,$C114,'TL15'!$J$238:$J$451),0),
IF('TL16'!$B$3=O$3,SUMIF('TL16'!$C$10:$C$224,$C114,'TL16'!$J$10:$J$224),0),
IF('TL16'!$B$229=O$3,SUMIF('TL16'!$C$238:$C$451,$C114,'TL16'!$J$238:$J$451),0),
IF('TL17'!$B$3=O$3,SUMIF('TL17'!$C$10:$C$224,$C114,'TL17'!$J$10:$J$224),0),
IF('TL17'!$B$229=O$3,SUMIF('TL17'!$C$238:$C$451,$C114,'TL17'!$J$238:$J$451),0),
IF('TL18'!$B$3=O$3,SUMIF('TL18'!$C$10:$C$224,$C114,'TL18'!$J$10:$J$224),0),
IF('TL18'!$B$229=O$3,SUMIF('TL18'!$C$238:$C$451,$C114,'TL18'!$J$238:$J$451),0),
IF('TL19'!$B$3=O$3,SUMIF('TL19'!$C$10:$C$224,$C114,'TL19'!$J$10:$J$224),0),
IF('TL19'!$B$229=O$3,SUMIF('TL19'!$C$238:$C$451,$C114,'TL19'!$J$238:$J$451),0)
),0)</f>
        <v/>
      </c>
      <c r="P114" s="9">
        <f>IFERROR(SUM(
IF('TL01'!$B$3=P$3,SUMIF('TL01'!$C$10:$C$224,$C114,'TL01'!$J$10:$J$224),0),
IF('TL01'!$B$229=P$3,SUMIF('TL01'!$C$238:$C$451,$C114,'TL01'!$J$238:$J$451),0),
IF('TL02'!$B$3=P$3,SUMIF('TL02'!$C$10:$C$224,$C114,'TL02'!$J$10:$J$224),0),
IF('TL02'!$B$229=P$3,SUMIF('TL02'!$C$238:$C$451,$C114,'TL02'!$J$238:$J$451),0),
IF('TL03'!$B$3=P$3,SUMIF('TL03'!$C$10:$C$224,$C114,'TL03'!$J$10:$J$224),0),
IF('TL03'!$B$229=P$3,SUMIF('TL03'!$C$238:$C$451,$C114,'TL03'!$J$238:$J$451),0),
IF('TL04'!$B$3=P$3,SUMIF('TL04'!$C$10:$C$224,$C114,'TL04'!$J$10:$J$224),0),
IF('TL04'!$B$229=P$3,SUMIF('TL04'!$C$238:$C$451,$C114,'TL04'!$J$238:$J$451),0),
IF('TL05'!$B$3=P$3,SUMIF('TL05'!$C$10:$C$224,$C114,'TL05'!$J$10:$J$224),0),
IF('TL05'!$B$229=P$3,SUMIF('TL05'!$C$238:$C$451,$C114,'TL05'!$J$238:$J$451),0),
IF('TL06'!$B$3=P$3,SUMIF('TL06'!$C$10:$C$224,$C114,'TL06'!$J$10:$J$224),0),
IF('TL06'!$B$229=P$3,SUMIF('TL06'!$C$238:$C$451,$C114,'TL06'!$J$238:$J$451),0),
IF('TL07'!$B$3=P$3,SUMIF('TL07'!$C$10:$C$224,$C114,'TL07'!$J$10:$J$224),0),
IF('TL07'!$B$229=P$3,SUMIF('TL07'!$C$238:$C$451,$C114,'TL07'!$J$238:$J$451),0),
IF('TL08'!$B$3=P$3,SUMIF('TL08'!$C$10:$C$224,$C114,'TL08'!$J$10:$J$224),0),
IF('TL08'!$B$229=P$3,SUMIF('TL08'!$C$238:$C$451,$C114,'TL08'!$J$238:$J$451),0),
IF('TL09'!$B$3=P$3,SUMIF('TL09'!$C$10:$C$224,$C114,'TL09'!$J$10:$J$224),0),
IF('TL09'!$B$229=P$3,SUMIF('TL09'!$C$238:$C$451,$C114,'TL09'!$J$238:$J$451),0),
IF('TL10'!$B$3=P$3,SUMIF('TL10'!$C$10:$C$224,$C114,'TL10'!$J$10:$J$224),0),
IF('TL10'!$B$229=P$3,SUMIF('TL10'!$C$238:$C$451,$C114,'TL10'!$J$238:$J$451),0),
IF('TL11'!$B$3=P$3,SUMIF('TL11'!$C$10:$C$224,$C114,'TL11'!$J$10:$J$224),0),
IF('TL11'!$B$229=P$3,SUMIF('TL11'!$C$238:$C$451,$C114,'TL11'!$J$238:$J$451),0),
IF('TL12'!$B$3=P$3,SUMIF('TL12'!$C$10:$C$224,$C114,'TL12'!$J$10:$J$224),0),
IF('TL12'!$B$229=P$3,SUMIF('TL12'!$C$238:$C$451,$C114,'TL12'!$J$238:$J$451),0),
IF('TL13'!$B$3=P$3,SUMIF('TL13'!$C$10:$C$224,$C114,'TL13'!$J$10:$J$224),0),
IF('TL13'!$B$229=P$3,SUMIF('TL13'!$C$238:$C$451,$C114,'TL13'!$J$238:$J$451),0),
IF('TL14'!$B$3=P$3,SUMIF('TL14'!$C$10:$C$224,$C114,'TL14'!$J$10:$J$224),0),
IF('TL14'!$B$229=P$3,SUMIF('TL14'!$C$238:$C$451,$C114,'TL14'!$J$238:$J$451),0),
IF('TL15'!$B$3=P$3,SUMIF('TL15'!$C$10:$C$224,$C114,'TL15'!$J$10:$J$224),0),
IF('TL15'!$B$229=P$3,SUMIF('TL15'!$C$238:$C$451,$C114,'TL15'!$J$238:$J$451),0),
IF('TL16'!$B$3=P$3,SUMIF('TL16'!$C$10:$C$224,$C114,'TL16'!$J$10:$J$224),0),
IF('TL16'!$B$229=P$3,SUMIF('TL16'!$C$238:$C$451,$C114,'TL16'!$J$238:$J$451),0),
IF('TL17'!$B$3=P$3,SUMIF('TL17'!$C$10:$C$224,$C114,'TL17'!$J$10:$J$224),0),
IF('TL17'!$B$229=P$3,SUMIF('TL17'!$C$238:$C$451,$C114,'TL17'!$J$238:$J$451),0),
IF('TL18'!$B$3=P$3,SUMIF('TL18'!$C$10:$C$224,$C114,'TL18'!$J$10:$J$224),0),
IF('TL18'!$B$229=P$3,SUMIF('TL18'!$C$238:$C$451,$C114,'TL18'!$J$238:$J$451),0),
IF('TL19'!$B$3=P$3,SUMIF('TL19'!$C$10:$C$224,$C114,'TL19'!$J$10:$J$224),0),
IF('TL19'!$B$229=P$3,SUMIF('TL19'!$C$238:$C$451,$C114,'TL19'!$J$238:$J$451),0)
),0)</f>
        <v/>
      </c>
      <c r="Q114" s="9">
        <f>IFERROR(SUM(
IF('TL01'!$B$3=Q$3,SUMIF('TL01'!$C$10:$C$224,$C114,'TL01'!$J$10:$J$224),0),
IF('TL01'!$B$229=Q$3,SUMIF('TL01'!$C$238:$C$451,$C114,'TL01'!$J$238:$J$451),0),
IF('TL02'!$B$3=Q$3,SUMIF('TL02'!$C$10:$C$224,$C114,'TL02'!$J$10:$J$224),0),
IF('TL02'!$B$229=Q$3,SUMIF('TL02'!$C$238:$C$451,$C114,'TL02'!$J$238:$J$451),0),
IF('TL03'!$B$3=Q$3,SUMIF('TL03'!$C$10:$C$224,$C114,'TL03'!$J$10:$J$224),0),
IF('TL03'!$B$229=Q$3,SUMIF('TL03'!$C$238:$C$451,$C114,'TL03'!$J$238:$J$451),0),
IF('TL04'!$B$3=Q$3,SUMIF('TL04'!$C$10:$C$224,$C114,'TL04'!$J$10:$J$224),0),
IF('TL04'!$B$229=Q$3,SUMIF('TL04'!$C$238:$C$451,$C114,'TL04'!$J$238:$J$451),0),
IF('TL05'!$B$3=Q$3,SUMIF('TL05'!$C$10:$C$224,$C114,'TL05'!$J$10:$J$224),0),
IF('TL05'!$B$229=Q$3,SUMIF('TL05'!$C$238:$C$451,$C114,'TL05'!$J$238:$J$451),0),
IF('TL06'!$B$3=Q$3,SUMIF('TL06'!$C$10:$C$224,$C114,'TL06'!$J$10:$J$224),0),
IF('TL06'!$B$229=Q$3,SUMIF('TL06'!$C$238:$C$451,$C114,'TL06'!$J$238:$J$451),0),
IF('TL07'!$B$3=Q$3,SUMIF('TL07'!$C$10:$C$224,$C114,'TL07'!$J$10:$J$224),0),
IF('TL07'!$B$229=Q$3,SUMIF('TL07'!$C$238:$C$451,$C114,'TL07'!$J$238:$J$451),0),
IF('TL08'!$B$3=Q$3,SUMIF('TL08'!$C$10:$C$224,$C114,'TL08'!$J$10:$J$224),0),
IF('TL08'!$B$229=Q$3,SUMIF('TL08'!$C$238:$C$451,$C114,'TL08'!$J$238:$J$451),0),
IF('TL09'!$B$3=Q$3,SUMIF('TL09'!$C$10:$C$224,$C114,'TL09'!$J$10:$J$224),0),
IF('TL09'!$B$229=Q$3,SUMIF('TL09'!$C$238:$C$451,$C114,'TL09'!$J$238:$J$451),0),
IF('TL10'!$B$3=Q$3,SUMIF('TL10'!$C$10:$C$224,$C114,'TL10'!$J$10:$J$224),0),
IF('TL10'!$B$229=Q$3,SUMIF('TL10'!$C$238:$C$451,$C114,'TL10'!$J$238:$J$451),0),
IF('TL11'!$B$3=Q$3,SUMIF('TL11'!$C$10:$C$224,$C114,'TL11'!$J$10:$J$224),0),
IF('TL11'!$B$229=Q$3,SUMIF('TL11'!$C$238:$C$451,$C114,'TL11'!$J$238:$J$451),0),
IF('TL12'!$B$3=Q$3,SUMIF('TL12'!$C$10:$C$224,$C114,'TL12'!$J$10:$J$224),0),
IF('TL12'!$B$229=Q$3,SUMIF('TL12'!$C$238:$C$451,$C114,'TL12'!$J$238:$J$451),0),
IF('TL13'!$B$3=Q$3,SUMIF('TL13'!$C$10:$C$224,$C114,'TL13'!$J$10:$J$224),0),
IF('TL13'!$B$229=Q$3,SUMIF('TL13'!$C$238:$C$451,$C114,'TL13'!$J$238:$J$451),0),
IF('TL14'!$B$3=Q$3,SUMIF('TL14'!$C$10:$C$224,$C114,'TL14'!$J$10:$J$224),0),
IF('TL14'!$B$229=Q$3,SUMIF('TL14'!$C$238:$C$451,$C114,'TL14'!$J$238:$J$451),0),
IF('TL15'!$B$3=Q$3,SUMIF('TL15'!$C$10:$C$224,$C114,'TL15'!$J$10:$J$224),0),
IF('TL15'!$B$229=Q$3,SUMIF('TL15'!$C$238:$C$451,$C114,'TL15'!$J$238:$J$451),0),
IF('TL16'!$B$3=Q$3,SUMIF('TL16'!$C$10:$C$224,$C114,'TL16'!$J$10:$J$224),0),
IF('TL16'!$B$229=Q$3,SUMIF('TL16'!$C$238:$C$451,$C114,'TL16'!$J$238:$J$451),0),
IF('TL17'!$B$3=Q$3,SUMIF('TL17'!$C$10:$C$224,$C114,'TL17'!$J$10:$J$224),0),
IF('TL17'!$B$229=Q$3,SUMIF('TL17'!$C$238:$C$451,$C114,'TL17'!$J$238:$J$451),0),
IF('TL18'!$B$3=Q$3,SUMIF('TL18'!$C$10:$C$224,$C114,'TL18'!$J$10:$J$224),0),
IF('TL18'!$B$229=Q$3,SUMIF('TL18'!$C$238:$C$451,$C114,'TL18'!$J$238:$J$451),0),
IF('TL19'!$B$3=Q$3,SUMIF('TL19'!$C$10:$C$224,$C114,'TL19'!$J$10:$J$224),0),
IF('TL19'!$B$229=Q$3,SUMIF('TL19'!$C$238:$C$451,$C114,'TL19'!$J$238:$J$451),0)
),0)</f>
        <v/>
      </c>
      <c r="R114" s="9">
        <f>IFERROR(
SUM(
SUMIF('TL01'!C:C,C114,'TL01'!J:J),
SUMIF('TL02'!C:C,C114,'TL02'!J:J),
SUMIF('TL03'!C:C,C114,'TL03'!J:J),
SUMIF('TL04'!C:C,C114,'TL04'!J:J),
SUMIF('TL05'!C:C,C114,'TL05'!J:J),
SUMIF('TL06'!C:C,C114,'TL06'!J:J),
SUMIF('TL07'!C:C,C114,'TL07'!J:J),
SUMIF('TL08'!C:C,C114,'TL08'!J:J),
SUMIF('TL09'!C:C,C114,'TL09'!J:J),
SUMIF('TL10'!C:C,C114,'TL10'!J:J),
SUMIF('TL11'!C:C,C114,'TL11'!J:J),
SUMIF('TL12'!C:C,C114,'TL12'!J:J),
SUMIF('TL13'!C:C,C114,'TL13'!J:J),
SUMIF('TL14'!C:C,C114,'TL14'!J:J),
SUMIF('TL15'!C:C,C114,'TL15'!J:J),
SUMIF('TL16'!C:C,C114,'TL16'!J:J),
SUMIF('TL17'!C:C,C114,'TL17'!J:J),
SUMIF('TL18'!C:C,C114,'TL18'!J:J),SUMIF('TL19'!C:C,C114,'TL19'!J:J))
,0)</f>
        <v/>
      </c>
      <c r="S114" s="17">
        <f>IFERROR(__xludf.DUMMYFUNCTION("IFERROR(VLOOKUP(C114,
IMPORTRANGE(""1wULbzX32WdYsx-lj2U3uUNBBe2INVIRDtcK0d-Dvl90"",
""26-27!C:G""),
5,
FALSE),
"""")"),25.145339999999997)</f>
        <v/>
      </c>
      <c r="T114" s="9" t="n"/>
      <c r="U114" s="92">
        <f>MAX(0,R114-T114)</f>
        <v/>
      </c>
      <c r="V114" s="93">
        <f>U114*S114</f>
        <v/>
      </c>
    </row>
    <row r="115" hidden="1" ht="15.75" customHeight="1" s="297">
      <c r="A115" s="111" t="inlineStr">
        <is>
          <t>BASF</t>
        </is>
      </c>
      <c r="B115" s="112" t="inlineStr">
        <is>
          <t>HERBICIDA</t>
        </is>
      </c>
      <c r="C115" s="113" t="inlineStr">
        <is>
          <t>HEAT</t>
        </is>
      </c>
      <c r="D115" s="113" t="inlineStr">
        <is>
          <t>SAFLUFENACIL</t>
        </is>
      </c>
      <c r="E115" s="113" t="n">
        <v>700</v>
      </c>
      <c r="F115" s="4" t="inlineStr">
        <is>
          <t>L</t>
        </is>
      </c>
      <c r="G115" s="90">
        <f>HYPERLINK("https://www.google.com/search?q=" &amp; C115 &amp; "+bula+agrofit+pdf", "📄 Ver bula")</f>
        <v/>
      </c>
      <c r="H115" s="9">
        <f>IFERROR(__xludf.DUMMYFUNCTION("IFERROR(VLOOKUP(C115,
IMPORTRANGE(""1wULbzX32WdYsx-lj2U3uUNBBe2INVIRDtcK0d-Dvl90"",
""26-27!C:K""),
8,
FALSE),
"""")"),"")</f>
        <v/>
      </c>
      <c r="I115" s="114" t="inlineStr">
        <is>
          <t>10X0,35</t>
        </is>
      </c>
      <c r="J115" s="9">
        <f>IFERROR(SUM(
IF('TL01'!$B$3=J$3,SUMIF('TL01'!$C$10:$C$224,$C115,'TL01'!$J$10:$J$224),0),
IF('TL01'!$B$229=J$3,SUMIF('TL01'!$C$238:$C$451,$C115,'TL01'!$J$238:$J$451),0),
IF('TL02'!$B$3=J$3,SUMIF('TL02'!$C$10:$C$224,$C115,'TL02'!$J$10:$J$224),0),
IF('TL02'!$B$229=J$3,SUMIF('TL02'!$C$238:$C$451,$C115,'TL02'!$J$238:$J$451),0),
IF('TL03'!$B$3=J$3,SUMIF('TL03'!$C$10:$C$224,$C115,'TL03'!$J$10:$J$224),0),
IF('TL03'!$B$229=J$3,SUMIF('TL03'!$C$238:$C$451,$C115,'TL03'!$J$238:$J$451),0),
IF('TL04'!$B$3=J$3,SUMIF('TL04'!$C$10:$C$224,$C115,'TL04'!$J$10:$J$224),0),
IF('TL04'!$B$229=J$3,SUMIF('TL04'!$C$238:$C$451,$C115,'TL04'!$J$238:$J$451),0),
IF('TL05'!$B$3=J$3,SUMIF('TL05'!$C$10:$C$224,$C115,'TL05'!$J$10:$J$224),0),
IF('TL05'!$B$229=J$3,SUMIF('TL05'!$C$238:$C$451,$C115,'TL05'!$J$238:$J$451),0),
IF('TL06'!$B$3=J$3,SUMIF('TL06'!$C$10:$C$224,$C115,'TL06'!$J$10:$J$224),0),
IF('TL06'!$B$229=J$3,SUMIF('TL06'!$C$238:$C$451,$C115,'TL06'!$J$238:$J$451),0),
IF('TL07'!$B$3=J$3,SUMIF('TL07'!$C$10:$C$224,$C115,'TL07'!$J$10:$J$224),0),
IF('TL07'!$B$229=J$3,SUMIF('TL07'!$C$238:$C$451,$C115,'TL07'!$J$238:$J$451),0),
IF('TL08'!$B$3=J$3,SUMIF('TL08'!$C$10:$C$224,$C115,'TL08'!$J$10:$J$224),0),
IF('TL08'!$B$229=J$3,SUMIF('TL08'!$C$238:$C$451,$C115,'TL08'!$J$238:$J$451),0),
IF('TL09'!$B$3=J$3,SUMIF('TL09'!$C$10:$C$224,$C115,'TL09'!$J$10:$J$224),0),
IF('TL09'!$B$229=J$3,SUMIF('TL09'!$C$238:$C$451,$C115,'TL09'!$J$238:$J$451),0),
IF('TL10'!$B$3=J$3,SUMIF('TL10'!$C$10:$C$224,$C115,'TL10'!$J$10:$J$224),0),
IF('TL10'!$B$229=J$3,SUMIF('TL10'!$C$238:$C$451,$C115,'TL10'!$J$238:$J$451),0),
IF('TL11'!$B$3=J$3,SUMIF('TL11'!$C$10:$C$224,$C115,'TL11'!$J$10:$J$224),0),
IF('TL11'!$B$229=J$3,SUMIF('TL11'!$C$238:$C$451,$C115,'TL11'!$J$238:$J$451),0),
IF('TL12'!$B$3=J$3,SUMIF('TL12'!$C$10:$C$224,$C115,'TL12'!$J$10:$J$224),0),
IF('TL12'!$B$229=J$3,SUMIF('TL12'!$C$238:$C$451,$C115,'TL12'!$J$238:$J$451),0),
IF('TL13'!$B$3=J$3,SUMIF('TL13'!$C$10:$C$224,$C115,'TL13'!$J$10:$J$224),0),
IF('TL13'!$B$229=J$3,SUMIF('TL13'!$C$238:$C$451,$C115,'TL13'!$J$238:$J$451),0),
IF('TL14'!$B$3=J$3,SUMIF('TL14'!$C$10:$C$224,$C115,'TL14'!$J$10:$J$224),0),
IF('TL14'!$B$229=J$3,SUMIF('TL14'!$C$238:$C$451,$C115,'TL14'!$J$238:$J$451),0),
IF('TL15'!$B$3=J$3,SUMIF('TL15'!$C$10:$C$224,$C115,'TL15'!$J$10:$J$224),0),
IF('TL15'!$B$229=J$3,SUMIF('TL15'!$C$238:$C$451,$C115,'TL15'!$J$238:$J$451),0),
IF('TL16'!$B$3=J$3,SUMIF('TL16'!$C$10:$C$224,$C115,'TL16'!$J$10:$J$224),0),
IF('TL16'!$B$229=J$3,SUMIF('TL16'!$C$238:$C$451,$C115,'TL16'!$J$238:$J$451),0),
IF('TL17'!$B$3=J$3,SUMIF('TL17'!$C$10:$C$224,$C115,'TL17'!$J$10:$J$224),0),
IF('TL17'!$B$229=J$3,SUMIF('TL17'!$C$238:$C$451,$C115,'TL17'!$J$238:$J$451),0),
IF('TL18'!$B$3=J$3,SUMIF('TL18'!$C$10:$C$224,$C115,'TL18'!$J$10:$J$224),0),
IF('TL18'!$B$229=J$3,SUMIF('TL18'!$C$238:$C$451,$C115,'TL18'!$J$238:$J$451),0),
IF('TL19'!$B$3=J$3,SUMIF('TL19'!$C$10:$C$224,$C115,'TL19'!$J$10:$J$224),0),
IF('TL19'!$B$229=J$3,SUMIF('TL19'!$C$238:$C$451,$C115,'TL19'!$J$238:$J$451),0)
),0)</f>
        <v/>
      </c>
      <c r="K115" s="9">
        <f>IFERROR(SUM(
IF('TL01'!$B$3=K$3,SUMIF('TL01'!$C$10:$C$224,$C115,'TL01'!$J$10:$J$224),0),
IF('TL01'!$B$229=K$3,SUMIF('TL01'!$C$238:$C$451,$C115,'TL01'!$J$238:$J$451),0),
IF('TL02'!$B$3=K$3,SUMIF('TL02'!$C$10:$C$224,$C115,'TL02'!$J$10:$J$224),0),
IF('TL02'!$B$229=K$3,SUMIF('TL02'!$C$238:$C$451,$C115,'TL02'!$J$238:$J$451),0),
IF('TL03'!$B$3=K$3,SUMIF('TL03'!$C$10:$C$224,$C115,'TL03'!$J$10:$J$224),0),
IF('TL03'!$B$229=K$3,SUMIF('TL03'!$C$238:$C$451,$C115,'TL03'!$J$238:$J$451),0),
IF('TL04'!$B$3=K$3,SUMIF('TL04'!$C$10:$C$224,$C115,'TL04'!$J$10:$J$224),0),
IF('TL04'!$B$229=K$3,SUMIF('TL04'!$C$238:$C$451,$C115,'TL04'!$J$238:$J$451),0),
IF('TL05'!$B$3=K$3,SUMIF('TL05'!$C$10:$C$224,$C115,'TL05'!$J$10:$J$224),0),
IF('TL05'!$B$229=K$3,SUMIF('TL05'!$C$238:$C$451,$C115,'TL05'!$J$238:$J$451),0),
IF('TL06'!$B$3=K$3,SUMIF('TL06'!$C$10:$C$224,$C115,'TL06'!$J$10:$J$224),0),
IF('TL06'!$B$229=K$3,SUMIF('TL06'!$C$238:$C$451,$C115,'TL06'!$J$238:$J$451),0),
IF('TL07'!$B$3=K$3,SUMIF('TL07'!$C$10:$C$224,$C115,'TL07'!$J$10:$J$224),0),
IF('TL07'!$B$229=K$3,SUMIF('TL07'!$C$238:$C$451,$C115,'TL07'!$J$238:$J$451),0),
IF('TL08'!$B$3=K$3,SUMIF('TL08'!$C$10:$C$224,$C115,'TL08'!$J$10:$J$224),0),
IF('TL08'!$B$229=K$3,SUMIF('TL08'!$C$238:$C$451,$C115,'TL08'!$J$238:$J$451),0),
IF('TL09'!$B$3=K$3,SUMIF('TL09'!$C$10:$C$224,$C115,'TL09'!$J$10:$J$224),0),
IF('TL09'!$B$229=K$3,SUMIF('TL09'!$C$238:$C$451,$C115,'TL09'!$J$238:$J$451),0),
IF('TL10'!$B$3=K$3,SUMIF('TL10'!$C$10:$C$224,$C115,'TL10'!$J$10:$J$224),0),
IF('TL10'!$B$229=K$3,SUMIF('TL10'!$C$238:$C$451,$C115,'TL10'!$J$238:$J$451),0),
IF('TL11'!$B$3=K$3,SUMIF('TL11'!$C$10:$C$224,$C115,'TL11'!$J$10:$J$224),0),
IF('TL11'!$B$229=K$3,SUMIF('TL11'!$C$238:$C$451,$C115,'TL11'!$J$238:$J$451),0),
IF('TL12'!$B$3=K$3,SUMIF('TL12'!$C$10:$C$224,$C115,'TL12'!$J$10:$J$224),0),
IF('TL12'!$B$229=K$3,SUMIF('TL12'!$C$238:$C$451,$C115,'TL12'!$J$238:$J$451),0),
IF('TL13'!$B$3=K$3,SUMIF('TL13'!$C$10:$C$224,$C115,'TL13'!$J$10:$J$224),0),
IF('TL13'!$B$229=K$3,SUMIF('TL13'!$C$238:$C$451,$C115,'TL13'!$J$238:$J$451),0),
IF('TL14'!$B$3=K$3,SUMIF('TL14'!$C$10:$C$224,$C115,'TL14'!$J$10:$J$224),0),
IF('TL14'!$B$229=K$3,SUMIF('TL14'!$C$238:$C$451,$C115,'TL14'!$J$238:$J$451),0),
IF('TL15'!$B$3=K$3,SUMIF('TL15'!$C$10:$C$224,$C115,'TL15'!$J$10:$J$224),0),
IF('TL15'!$B$229=K$3,SUMIF('TL15'!$C$238:$C$451,$C115,'TL15'!$J$238:$J$451),0),
IF('TL16'!$B$3=K$3,SUMIF('TL16'!$C$10:$C$224,$C115,'TL16'!$J$10:$J$224),0),
IF('TL16'!$B$229=K$3,SUMIF('TL16'!$C$238:$C$451,$C115,'TL16'!$J$238:$J$451),0),
IF('TL17'!$B$3=K$3,SUMIF('TL17'!$C$10:$C$224,$C115,'TL17'!$J$10:$J$224),0),
IF('TL17'!$B$229=K$3,SUMIF('TL17'!$C$238:$C$451,$C115,'TL17'!$J$238:$J$451),0),
IF('TL18'!$B$3=K$3,SUMIF('TL18'!$C$10:$C$224,$C115,'TL18'!$J$10:$J$224),0),
IF('TL18'!$B$229=K$3,SUMIF('TL18'!$C$238:$C$451,$C115,'TL18'!$J$238:$J$451),0),
IF('TL19'!$B$3=K$3,SUMIF('TL19'!$C$10:$C$224,$C115,'TL19'!$J$10:$J$224),0),
IF('TL19'!$B$229=K$3,SUMIF('TL19'!$C$238:$C$451,$C115,'TL19'!$J$238:$J$451),0)
),0)</f>
        <v/>
      </c>
      <c r="L115" s="9">
        <f>IFERROR(SUM(
IF('TL01'!$B$3=L$3,SUMIF('TL01'!$C$10:$C$224,$C115,'TL01'!$J$10:$J$224),0),
IF('TL01'!$B$229=L$3,SUMIF('TL01'!$C$238:$C$451,$C115,'TL01'!$J$238:$J$451),0),
IF('TL02'!$B$3=L$3,SUMIF('TL02'!$C$10:$C$224,$C115,'TL02'!$J$10:$J$224),0),
IF('TL02'!$B$229=L$3,SUMIF('TL02'!$C$238:$C$451,$C115,'TL02'!$J$238:$J$451),0),
IF('TL03'!$B$3=L$3,SUMIF('TL03'!$C$10:$C$224,$C115,'TL03'!$J$10:$J$224),0),
IF('TL03'!$B$229=L$3,SUMIF('TL03'!$C$238:$C$451,$C115,'TL03'!$J$238:$J$451),0),
IF('TL04'!$B$3=L$3,SUMIF('TL04'!$C$10:$C$224,$C115,'TL04'!$J$10:$J$224),0),
IF('TL04'!$B$229=L$3,SUMIF('TL04'!$C$238:$C$451,$C115,'TL04'!$J$238:$J$451),0),
IF('TL05'!$B$3=L$3,SUMIF('TL05'!$C$10:$C$224,$C115,'TL05'!$J$10:$J$224),0),
IF('TL05'!$B$229=L$3,SUMIF('TL05'!$C$238:$C$451,$C115,'TL05'!$J$238:$J$451),0),
IF('TL06'!$B$3=L$3,SUMIF('TL06'!$C$10:$C$224,$C115,'TL06'!$J$10:$J$224),0),
IF('TL06'!$B$229=L$3,SUMIF('TL06'!$C$238:$C$451,$C115,'TL06'!$J$238:$J$451),0),
IF('TL07'!$B$3=L$3,SUMIF('TL07'!$C$10:$C$224,$C115,'TL07'!$J$10:$J$224),0),
IF('TL07'!$B$229=L$3,SUMIF('TL07'!$C$238:$C$451,$C115,'TL07'!$J$238:$J$451),0),
IF('TL08'!$B$3=L$3,SUMIF('TL08'!$C$10:$C$224,$C115,'TL08'!$J$10:$J$224),0),
IF('TL08'!$B$229=L$3,SUMIF('TL08'!$C$238:$C$451,$C115,'TL08'!$J$238:$J$451),0),
IF('TL09'!$B$3=L$3,SUMIF('TL09'!$C$10:$C$224,$C115,'TL09'!$J$10:$J$224),0),
IF('TL09'!$B$229=L$3,SUMIF('TL09'!$C$238:$C$451,$C115,'TL09'!$J$238:$J$451),0),
IF('TL10'!$B$3=L$3,SUMIF('TL10'!$C$10:$C$224,$C115,'TL10'!$J$10:$J$224),0),
IF('TL10'!$B$229=L$3,SUMIF('TL10'!$C$238:$C$451,$C115,'TL10'!$J$238:$J$451),0),
IF('TL11'!$B$3=L$3,SUMIF('TL11'!$C$10:$C$224,$C115,'TL11'!$J$10:$J$224),0),
IF('TL11'!$B$229=L$3,SUMIF('TL11'!$C$238:$C$451,$C115,'TL11'!$J$238:$J$451),0),
IF('TL12'!$B$3=L$3,SUMIF('TL12'!$C$10:$C$224,$C115,'TL12'!$J$10:$J$224),0),
IF('TL12'!$B$229=L$3,SUMIF('TL12'!$C$238:$C$451,$C115,'TL12'!$J$238:$J$451),0),
IF('TL13'!$B$3=L$3,SUMIF('TL13'!$C$10:$C$224,$C115,'TL13'!$J$10:$J$224),0),
IF('TL13'!$B$229=L$3,SUMIF('TL13'!$C$238:$C$451,$C115,'TL13'!$J$238:$J$451),0),
IF('TL14'!$B$3=L$3,SUMIF('TL14'!$C$10:$C$224,$C115,'TL14'!$J$10:$J$224),0),
IF('TL14'!$B$229=L$3,SUMIF('TL14'!$C$238:$C$451,$C115,'TL14'!$J$238:$J$451),0),
IF('TL15'!$B$3=L$3,SUMIF('TL15'!$C$10:$C$224,$C115,'TL15'!$J$10:$J$224),0),
IF('TL15'!$B$229=L$3,SUMIF('TL15'!$C$238:$C$451,$C115,'TL15'!$J$238:$J$451),0),
IF('TL16'!$B$3=L$3,SUMIF('TL16'!$C$10:$C$224,$C115,'TL16'!$J$10:$J$224),0),
IF('TL16'!$B$229=L$3,SUMIF('TL16'!$C$238:$C$451,$C115,'TL16'!$J$238:$J$451),0),
IF('TL17'!$B$3=L$3,SUMIF('TL17'!$C$10:$C$224,$C115,'TL17'!$J$10:$J$224),0),
IF('TL17'!$B$229=L$3,SUMIF('TL17'!$C$238:$C$451,$C115,'TL17'!$J$238:$J$451),0),
IF('TL18'!$B$3=L$3,SUMIF('TL18'!$C$10:$C$224,$C115,'TL18'!$J$10:$J$224),0),
IF('TL18'!$B$229=L$3,SUMIF('TL18'!$C$238:$C$451,$C115,'TL18'!$J$238:$J$451),0),
IF('TL19'!$B$3=L$3,SUMIF('TL19'!$C$10:$C$224,$C115,'TL19'!$J$10:$J$224),0),
IF('TL19'!$B$229=L$3,SUMIF('TL19'!$C$238:$C$451,$C115,'TL19'!$J$238:$J$451),0)
),0)</f>
        <v/>
      </c>
      <c r="M115" s="9">
        <f>IFERROR(SUM(
IF('TL01'!$B$3=M$3,SUMIF('TL01'!$C$10:$C$224,$C115,'TL01'!$J$10:$J$224),0),
IF('TL01'!$B$229=M$3,SUMIF('TL01'!$C$238:$C$451,$C115,'TL01'!$J$238:$J$451),0),
IF('TL02'!$B$3=M$3,SUMIF('TL02'!$C$10:$C$224,$C115,'TL02'!$J$10:$J$224),0),
IF('TL02'!$B$229=M$3,SUMIF('TL02'!$C$238:$C$451,$C115,'TL02'!$J$238:$J$451),0),
IF('TL03'!$B$3=M$3,SUMIF('TL03'!$C$10:$C$224,$C115,'TL03'!$J$10:$J$224),0),
IF('TL03'!$B$229=M$3,SUMIF('TL03'!$C$238:$C$451,$C115,'TL03'!$J$238:$J$451),0),
IF('TL04'!$B$3=M$3,SUMIF('TL04'!$C$10:$C$224,$C115,'TL04'!$J$10:$J$224),0),
IF('TL04'!$B$229=M$3,SUMIF('TL04'!$C$238:$C$451,$C115,'TL04'!$J$238:$J$451),0),
IF('TL05'!$B$3=M$3,SUMIF('TL05'!$C$10:$C$224,$C115,'TL05'!$J$10:$J$224),0),
IF('TL05'!$B$229=M$3,SUMIF('TL05'!$C$238:$C$451,$C115,'TL05'!$J$238:$J$451),0),
IF('TL06'!$B$3=M$3,SUMIF('TL06'!$C$10:$C$224,$C115,'TL06'!$J$10:$J$224),0),
IF('TL06'!$B$229=M$3,SUMIF('TL06'!$C$238:$C$451,$C115,'TL06'!$J$238:$J$451),0),
IF('TL07'!$B$3=M$3,SUMIF('TL07'!$C$10:$C$224,$C115,'TL07'!$J$10:$J$224),0),
IF('TL07'!$B$229=M$3,SUMIF('TL07'!$C$238:$C$451,$C115,'TL07'!$J$238:$J$451),0),
IF('TL08'!$B$3=M$3,SUMIF('TL08'!$C$10:$C$224,$C115,'TL08'!$J$10:$J$224),0),
IF('TL08'!$B$229=M$3,SUMIF('TL08'!$C$238:$C$451,$C115,'TL08'!$J$238:$J$451),0),
IF('TL09'!$B$3=M$3,SUMIF('TL09'!$C$10:$C$224,$C115,'TL09'!$J$10:$J$224),0),
IF('TL09'!$B$229=M$3,SUMIF('TL09'!$C$238:$C$451,$C115,'TL09'!$J$238:$J$451),0),
IF('TL10'!$B$3=M$3,SUMIF('TL10'!$C$10:$C$224,$C115,'TL10'!$J$10:$J$224),0),
IF('TL10'!$B$229=M$3,SUMIF('TL10'!$C$238:$C$451,$C115,'TL10'!$J$238:$J$451),0),
IF('TL11'!$B$3=M$3,SUMIF('TL11'!$C$10:$C$224,$C115,'TL11'!$J$10:$J$224),0),
IF('TL11'!$B$229=M$3,SUMIF('TL11'!$C$238:$C$451,$C115,'TL11'!$J$238:$J$451),0),
IF('TL12'!$B$3=M$3,SUMIF('TL12'!$C$10:$C$224,$C115,'TL12'!$J$10:$J$224),0),
IF('TL12'!$B$229=M$3,SUMIF('TL12'!$C$238:$C$451,$C115,'TL12'!$J$238:$J$451),0),
IF('TL13'!$B$3=M$3,SUMIF('TL13'!$C$10:$C$224,$C115,'TL13'!$J$10:$J$224),0),
IF('TL13'!$B$229=M$3,SUMIF('TL13'!$C$238:$C$451,$C115,'TL13'!$J$238:$J$451),0),
IF('TL14'!$B$3=M$3,SUMIF('TL14'!$C$10:$C$224,$C115,'TL14'!$J$10:$J$224),0),
IF('TL14'!$B$229=M$3,SUMIF('TL14'!$C$238:$C$451,$C115,'TL14'!$J$238:$J$451),0),
IF('TL15'!$B$3=M$3,SUMIF('TL15'!$C$10:$C$224,$C115,'TL15'!$J$10:$J$224),0),
IF('TL15'!$B$229=M$3,SUMIF('TL15'!$C$238:$C$451,$C115,'TL15'!$J$238:$J$451),0),
IF('TL16'!$B$3=M$3,SUMIF('TL16'!$C$10:$C$224,$C115,'TL16'!$J$10:$J$224),0),
IF('TL16'!$B$229=M$3,SUMIF('TL16'!$C$238:$C$451,$C115,'TL16'!$J$238:$J$451),0),
IF('TL17'!$B$3=M$3,SUMIF('TL17'!$C$10:$C$224,$C115,'TL17'!$J$10:$J$224),0),
IF('TL17'!$B$229=M$3,SUMIF('TL17'!$C$238:$C$451,$C115,'TL17'!$J$238:$J$451),0),
IF('TL18'!$B$3=M$3,SUMIF('TL18'!$C$10:$C$224,$C115,'TL18'!$J$10:$J$224),0),
IF('TL18'!$B$229=M$3,SUMIF('TL18'!$C$238:$C$451,$C115,'TL18'!$J$238:$J$451),0),
IF('TL19'!$B$3=M$3,SUMIF('TL19'!$C$10:$C$224,$C115,'TL19'!$J$10:$J$224),0),
IF('TL19'!$B$229=M$3,SUMIF('TL19'!$C$238:$C$451,$C115,'TL19'!$J$238:$J$451),0)
),0)</f>
        <v/>
      </c>
      <c r="N115" s="9">
        <f>IFERROR(SUM(
IF('TL01'!$B$3=N$3,SUMIF('TL01'!$C$10:$C$224,$C115,'TL01'!$J$10:$J$224),0),
IF('TL01'!$B$229=N$3,SUMIF('TL01'!$C$238:$C$451,$C115,'TL01'!$J$238:$J$451),0),
IF('TL02'!$B$3=N$3,SUMIF('TL02'!$C$10:$C$224,$C115,'TL02'!$J$10:$J$224),0),
IF('TL02'!$B$229=N$3,SUMIF('TL02'!$C$238:$C$451,$C115,'TL02'!$J$238:$J$451),0),
IF('TL03'!$B$3=N$3,SUMIF('TL03'!$C$10:$C$224,$C115,'TL03'!$J$10:$J$224),0),
IF('TL03'!$B$229=N$3,SUMIF('TL03'!$C$238:$C$451,$C115,'TL03'!$J$238:$J$451),0),
IF('TL04'!$B$3=N$3,SUMIF('TL04'!$C$10:$C$224,$C115,'TL04'!$J$10:$J$224),0),
IF('TL04'!$B$229=N$3,SUMIF('TL04'!$C$238:$C$451,$C115,'TL04'!$J$238:$J$451),0),
IF('TL05'!$B$3=N$3,SUMIF('TL05'!$C$10:$C$224,$C115,'TL05'!$J$10:$J$224),0),
IF('TL05'!$B$229=N$3,SUMIF('TL05'!$C$238:$C$451,$C115,'TL05'!$J$238:$J$451),0),
IF('TL06'!$B$3=N$3,SUMIF('TL06'!$C$10:$C$224,$C115,'TL06'!$J$10:$J$224),0),
IF('TL06'!$B$229=N$3,SUMIF('TL06'!$C$238:$C$451,$C115,'TL06'!$J$238:$J$451),0),
IF('TL07'!$B$3=N$3,SUMIF('TL07'!$C$10:$C$224,$C115,'TL07'!$J$10:$J$224),0),
IF('TL07'!$B$229=N$3,SUMIF('TL07'!$C$238:$C$451,$C115,'TL07'!$J$238:$J$451),0),
IF('TL08'!$B$3=N$3,SUMIF('TL08'!$C$10:$C$224,$C115,'TL08'!$J$10:$J$224),0),
IF('TL08'!$B$229=N$3,SUMIF('TL08'!$C$238:$C$451,$C115,'TL08'!$J$238:$J$451),0),
IF('TL09'!$B$3=N$3,SUMIF('TL09'!$C$10:$C$224,$C115,'TL09'!$J$10:$J$224),0),
IF('TL09'!$B$229=N$3,SUMIF('TL09'!$C$238:$C$451,$C115,'TL09'!$J$238:$J$451),0),
IF('TL10'!$B$3=N$3,SUMIF('TL10'!$C$10:$C$224,$C115,'TL10'!$J$10:$J$224),0),
IF('TL10'!$B$229=N$3,SUMIF('TL10'!$C$238:$C$451,$C115,'TL10'!$J$238:$J$451),0),
IF('TL11'!$B$3=N$3,SUMIF('TL11'!$C$10:$C$224,$C115,'TL11'!$J$10:$J$224),0),
IF('TL11'!$B$229=N$3,SUMIF('TL11'!$C$238:$C$451,$C115,'TL11'!$J$238:$J$451),0),
IF('TL12'!$B$3=N$3,SUMIF('TL12'!$C$10:$C$224,$C115,'TL12'!$J$10:$J$224),0),
IF('TL12'!$B$229=N$3,SUMIF('TL12'!$C$238:$C$451,$C115,'TL12'!$J$238:$J$451),0),
IF('TL13'!$B$3=N$3,SUMIF('TL13'!$C$10:$C$224,$C115,'TL13'!$J$10:$J$224),0),
IF('TL13'!$B$229=N$3,SUMIF('TL13'!$C$238:$C$451,$C115,'TL13'!$J$238:$J$451),0),
IF('TL14'!$B$3=N$3,SUMIF('TL14'!$C$10:$C$224,$C115,'TL14'!$J$10:$J$224),0),
IF('TL14'!$B$229=N$3,SUMIF('TL14'!$C$238:$C$451,$C115,'TL14'!$J$238:$J$451),0),
IF('TL15'!$B$3=N$3,SUMIF('TL15'!$C$10:$C$224,$C115,'TL15'!$J$10:$J$224),0),
IF('TL15'!$B$229=N$3,SUMIF('TL15'!$C$238:$C$451,$C115,'TL15'!$J$238:$J$451),0),
IF('TL16'!$B$3=N$3,SUMIF('TL16'!$C$10:$C$224,$C115,'TL16'!$J$10:$J$224),0),
IF('TL16'!$B$229=N$3,SUMIF('TL16'!$C$238:$C$451,$C115,'TL16'!$J$238:$J$451),0),
IF('TL17'!$B$3=N$3,SUMIF('TL17'!$C$10:$C$224,$C115,'TL17'!$J$10:$J$224),0),
IF('TL17'!$B$229=N$3,SUMIF('TL17'!$C$238:$C$451,$C115,'TL17'!$J$238:$J$451),0),
IF('TL18'!$B$3=N$3,SUMIF('TL18'!$C$10:$C$224,$C115,'TL18'!$J$10:$J$224),0),
IF('TL18'!$B$229=N$3,SUMIF('TL18'!$C$238:$C$451,$C115,'TL18'!$J$238:$J$451),0),
IF('TL19'!$B$3=N$3,SUMIF('TL19'!$C$10:$C$224,$C115,'TL19'!$J$10:$J$224),0),
IF('TL19'!$B$229=N$3,SUMIF('TL19'!$C$238:$C$451,$C115,'TL19'!$J$238:$J$451),0)
),0)</f>
        <v/>
      </c>
      <c r="O115" s="9">
        <f>IFERROR(SUM(
IF('TL01'!$B$3=O$3,SUMIF('TL01'!$C$10:$C$224,$C115,'TL01'!$J$10:$J$224),0),
IF('TL01'!$B$229=O$3,SUMIF('TL01'!$C$238:$C$451,$C115,'TL01'!$J$238:$J$451),0),
IF('TL02'!$B$3=O$3,SUMIF('TL02'!$C$10:$C$224,$C115,'TL02'!$J$10:$J$224),0),
IF('TL02'!$B$229=O$3,SUMIF('TL02'!$C$238:$C$451,$C115,'TL02'!$J$238:$J$451),0),
IF('TL03'!$B$3=O$3,SUMIF('TL03'!$C$10:$C$224,$C115,'TL03'!$J$10:$J$224),0),
IF('TL03'!$B$229=O$3,SUMIF('TL03'!$C$238:$C$451,$C115,'TL03'!$J$238:$J$451),0),
IF('TL04'!$B$3=O$3,SUMIF('TL04'!$C$10:$C$224,$C115,'TL04'!$J$10:$J$224),0),
IF('TL04'!$B$229=O$3,SUMIF('TL04'!$C$238:$C$451,$C115,'TL04'!$J$238:$J$451),0),
IF('TL05'!$B$3=O$3,SUMIF('TL05'!$C$10:$C$224,$C115,'TL05'!$J$10:$J$224),0),
IF('TL05'!$B$229=O$3,SUMIF('TL05'!$C$238:$C$451,$C115,'TL05'!$J$238:$J$451),0),
IF('TL06'!$B$3=O$3,SUMIF('TL06'!$C$10:$C$224,$C115,'TL06'!$J$10:$J$224),0),
IF('TL06'!$B$229=O$3,SUMIF('TL06'!$C$238:$C$451,$C115,'TL06'!$J$238:$J$451),0),
IF('TL07'!$B$3=O$3,SUMIF('TL07'!$C$10:$C$224,$C115,'TL07'!$J$10:$J$224),0),
IF('TL07'!$B$229=O$3,SUMIF('TL07'!$C$238:$C$451,$C115,'TL07'!$J$238:$J$451),0),
IF('TL08'!$B$3=O$3,SUMIF('TL08'!$C$10:$C$224,$C115,'TL08'!$J$10:$J$224),0),
IF('TL08'!$B$229=O$3,SUMIF('TL08'!$C$238:$C$451,$C115,'TL08'!$J$238:$J$451),0),
IF('TL09'!$B$3=O$3,SUMIF('TL09'!$C$10:$C$224,$C115,'TL09'!$J$10:$J$224),0),
IF('TL09'!$B$229=O$3,SUMIF('TL09'!$C$238:$C$451,$C115,'TL09'!$J$238:$J$451),0),
IF('TL10'!$B$3=O$3,SUMIF('TL10'!$C$10:$C$224,$C115,'TL10'!$J$10:$J$224),0),
IF('TL10'!$B$229=O$3,SUMIF('TL10'!$C$238:$C$451,$C115,'TL10'!$J$238:$J$451),0),
IF('TL11'!$B$3=O$3,SUMIF('TL11'!$C$10:$C$224,$C115,'TL11'!$J$10:$J$224),0),
IF('TL11'!$B$229=O$3,SUMIF('TL11'!$C$238:$C$451,$C115,'TL11'!$J$238:$J$451),0),
IF('TL12'!$B$3=O$3,SUMIF('TL12'!$C$10:$C$224,$C115,'TL12'!$J$10:$J$224),0),
IF('TL12'!$B$229=O$3,SUMIF('TL12'!$C$238:$C$451,$C115,'TL12'!$J$238:$J$451),0),
IF('TL13'!$B$3=O$3,SUMIF('TL13'!$C$10:$C$224,$C115,'TL13'!$J$10:$J$224),0),
IF('TL13'!$B$229=O$3,SUMIF('TL13'!$C$238:$C$451,$C115,'TL13'!$J$238:$J$451),0),
IF('TL14'!$B$3=O$3,SUMIF('TL14'!$C$10:$C$224,$C115,'TL14'!$J$10:$J$224),0),
IF('TL14'!$B$229=O$3,SUMIF('TL14'!$C$238:$C$451,$C115,'TL14'!$J$238:$J$451),0),
IF('TL15'!$B$3=O$3,SUMIF('TL15'!$C$10:$C$224,$C115,'TL15'!$J$10:$J$224),0),
IF('TL15'!$B$229=O$3,SUMIF('TL15'!$C$238:$C$451,$C115,'TL15'!$J$238:$J$451),0),
IF('TL16'!$B$3=O$3,SUMIF('TL16'!$C$10:$C$224,$C115,'TL16'!$J$10:$J$224),0),
IF('TL16'!$B$229=O$3,SUMIF('TL16'!$C$238:$C$451,$C115,'TL16'!$J$238:$J$451),0),
IF('TL17'!$B$3=O$3,SUMIF('TL17'!$C$10:$C$224,$C115,'TL17'!$J$10:$J$224),0),
IF('TL17'!$B$229=O$3,SUMIF('TL17'!$C$238:$C$451,$C115,'TL17'!$J$238:$J$451),0),
IF('TL18'!$B$3=O$3,SUMIF('TL18'!$C$10:$C$224,$C115,'TL18'!$J$10:$J$224),0),
IF('TL18'!$B$229=O$3,SUMIF('TL18'!$C$238:$C$451,$C115,'TL18'!$J$238:$J$451),0),
IF('TL19'!$B$3=O$3,SUMIF('TL19'!$C$10:$C$224,$C115,'TL19'!$J$10:$J$224),0),
IF('TL19'!$B$229=O$3,SUMIF('TL19'!$C$238:$C$451,$C115,'TL19'!$J$238:$J$451),0)
),0)</f>
        <v/>
      </c>
      <c r="P115" s="9">
        <f>IFERROR(SUM(
IF('TL01'!$B$3=P$3,SUMIF('TL01'!$C$10:$C$224,$C115,'TL01'!$J$10:$J$224),0),
IF('TL01'!$B$229=P$3,SUMIF('TL01'!$C$238:$C$451,$C115,'TL01'!$J$238:$J$451),0),
IF('TL02'!$B$3=P$3,SUMIF('TL02'!$C$10:$C$224,$C115,'TL02'!$J$10:$J$224),0),
IF('TL02'!$B$229=P$3,SUMIF('TL02'!$C$238:$C$451,$C115,'TL02'!$J$238:$J$451),0),
IF('TL03'!$B$3=P$3,SUMIF('TL03'!$C$10:$C$224,$C115,'TL03'!$J$10:$J$224),0),
IF('TL03'!$B$229=P$3,SUMIF('TL03'!$C$238:$C$451,$C115,'TL03'!$J$238:$J$451),0),
IF('TL04'!$B$3=P$3,SUMIF('TL04'!$C$10:$C$224,$C115,'TL04'!$J$10:$J$224),0),
IF('TL04'!$B$229=P$3,SUMIF('TL04'!$C$238:$C$451,$C115,'TL04'!$J$238:$J$451),0),
IF('TL05'!$B$3=P$3,SUMIF('TL05'!$C$10:$C$224,$C115,'TL05'!$J$10:$J$224),0),
IF('TL05'!$B$229=P$3,SUMIF('TL05'!$C$238:$C$451,$C115,'TL05'!$J$238:$J$451),0),
IF('TL06'!$B$3=P$3,SUMIF('TL06'!$C$10:$C$224,$C115,'TL06'!$J$10:$J$224),0),
IF('TL06'!$B$229=P$3,SUMIF('TL06'!$C$238:$C$451,$C115,'TL06'!$J$238:$J$451),0),
IF('TL07'!$B$3=P$3,SUMIF('TL07'!$C$10:$C$224,$C115,'TL07'!$J$10:$J$224),0),
IF('TL07'!$B$229=P$3,SUMIF('TL07'!$C$238:$C$451,$C115,'TL07'!$J$238:$J$451),0),
IF('TL08'!$B$3=P$3,SUMIF('TL08'!$C$10:$C$224,$C115,'TL08'!$J$10:$J$224),0),
IF('TL08'!$B$229=P$3,SUMIF('TL08'!$C$238:$C$451,$C115,'TL08'!$J$238:$J$451),0),
IF('TL09'!$B$3=P$3,SUMIF('TL09'!$C$10:$C$224,$C115,'TL09'!$J$10:$J$224),0),
IF('TL09'!$B$229=P$3,SUMIF('TL09'!$C$238:$C$451,$C115,'TL09'!$J$238:$J$451),0),
IF('TL10'!$B$3=P$3,SUMIF('TL10'!$C$10:$C$224,$C115,'TL10'!$J$10:$J$224),0),
IF('TL10'!$B$229=P$3,SUMIF('TL10'!$C$238:$C$451,$C115,'TL10'!$J$238:$J$451),0),
IF('TL11'!$B$3=P$3,SUMIF('TL11'!$C$10:$C$224,$C115,'TL11'!$J$10:$J$224),0),
IF('TL11'!$B$229=P$3,SUMIF('TL11'!$C$238:$C$451,$C115,'TL11'!$J$238:$J$451),0),
IF('TL12'!$B$3=P$3,SUMIF('TL12'!$C$10:$C$224,$C115,'TL12'!$J$10:$J$224),0),
IF('TL12'!$B$229=P$3,SUMIF('TL12'!$C$238:$C$451,$C115,'TL12'!$J$238:$J$451),0),
IF('TL13'!$B$3=P$3,SUMIF('TL13'!$C$10:$C$224,$C115,'TL13'!$J$10:$J$224),0),
IF('TL13'!$B$229=P$3,SUMIF('TL13'!$C$238:$C$451,$C115,'TL13'!$J$238:$J$451),0),
IF('TL14'!$B$3=P$3,SUMIF('TL14'!$C$10:$C$224,$C115,'TL14'!$J$10:$J$224),0),
IF('TL14'!$B$229=P$3,SUMIF('TL14'!$C$238:$C$451,$C115,'TL14'!$J$238:$J$451),0),
IF('TL15'!$B$3=P$3,SUMIF('TL15'!$C$10:$C$224,$C115,'TL15'!$J$10:$J$224),0),
IF('TL15'!$B$229=P$3,SUMIF('TL15'!$C$238:$C$451,$C115,'TL15'!$J$238:$J$451),0),
IF('TL16'!$B$3=P$3,SUMIF('TL16'!$C$10:$C$224,$C115,'TL16'!$J$10:$J$224),0),
IF('TL16'!$B$229=P$3,SUMIF('TL16'!$C$238:$C$451,$C115,'TL16'!$J$238:$J$451),0),
IF('TL17'!$B$3=P$3,SUMIF('TL17'!$C$10:$C$224,$C115,'TL17'!$J$10:$J$224),0),
IF('TL17'!$B$229=P$3,SUMIF('TL17'!$C$238:$C$451,$C115,'TL17'!$J$238:$J$451),0),
IF('TL18'!$B$3=P$3,SUMIF('TL18'!$C$10:$C$224,$C115,'TL18'!$J$10:$J$224),0),
IF('TL18'!$B$229=P$3,SUMIF('TL18'!$C$238:$C$451,$C115,'TL18'!$J$238:$J$451),0),
IF('TL19'!$B$3=P$3,SUMIF('TL19'!$C$10:$C$224,$C115,'TL19'!$J$10:$J$224),0),
IF('TL19'!$B$229=P$3,SUMIF('TL19'!$C$238:$C$451,$C115,'TL19'!$J$238:$J$451),0)
),0)</f>
        <v/>
      </c>
      <c r="Q115" s="9">
        <f>IFERROR(SUM(
IF('TL01'!$B$3=Q$3,SUMIF('TL01'!$C$10:$C$224,$C115,'TL01'!$J$10:$J$224),0),
IF('TL01'!$B$229=Q$3,SUMIF('TL01'!$C$238:$C$451,$C115,'TL01'!$J$238:$J$451),0),
IF('TL02'!$B$3=Q$3,SUMIF('TL02'!$C$10:$C$224,$C115,'TL02'!$J$10:$J$224),0),
IF('TL02'!$B$229=Q$3,SUMIF('TL02'!$C$238:$C$451,$C115,'TL02'!$J$238:$J$451),0),
IF('TL03'!$B$3=Q$3,SUMIF('TL03'!$C$10:$C$224,$C115,'TL03'!$J$10:$J$224),0),
IF('TL03'!$B$229=Q$3,SUMIF('TL03'!$C$238:$C$451,$C115,'TL03'!$J$238:$J$451),0),
IF('TL04'!$B$3=Q$3,SUMIF('TL04'!$C$10:$C$224,$C115,'TL04'!$J$10:$J$224),0),
IF('TL04'!$B$229=Q$3,SUMIF('TL04'!$C$238:$C$451,$C115,'TL04'!$J$238:$J$451),0),
IF('TL05'!$B$3=Q$3,SUMIF('TL05'!$C$10:$C$224,$C115,'TL05'!$J$10:$J$224),0),
IF('TL05'!$B$229=Q$3,SUMIF('TL05'!$C$238:$C$451,$C115,'TL05'!$J$238:$J$451),0),
IF('TL06'!$B$3=Q$3,SUMIF('TL06'!$C$10:$C$224,$C115,'TL06'!$J$10:$J$224),0),
IF('TL06'!$B$229=Q$3,SUMIF('TL06'!$C$238:$C$451,$C115,'TL06'!$J$238:$J$451),0),
IF('TL07'!$B$3=Q$3,SUMIF('TL07'!$C$10:$C$224,$C115,'TL07'!$J$10:$J$224),0),
IF('TL07'!$B$229=Q$3,SUMIF('TL07'!$C$238:$C$451,$C115,'TL07'!$J$238:$J$451),0),
IF('TL08'!$B$3=Q$3,SUMIF('TL08'!$C$10:$C$224,$C115,'TL08'!$J$10:$J$224),0),
IF('TL08'!$B$229=Q$3,SUMIF('TL08'!$C$238:$C$451,$C115,'TL08'!$J$238:$J$451),0),
IF('TL09'!$B$3=Q$3,SUMIF('TL09'!$C$10:$C$224,$C115,'TL09'!$J$10:$J$224),0),
IF('TL09'!$B$229=Q$3,SUMIF('TL09'!$C$238:$C$451,$C115,'TL09'!$J$238:$J$451),0),
IF('TL10'!$B$3=Q$3,SUMIF('TL10'!$C$10:$C$224,$C115,'TL10'!$J$10:$J$224),0),
IF('TL10'!$B$229=Q$3,SUMIF('TL10'!$C$238:$C$451,$C115,'TL10'!$J$238:$J$451),0),
IF('TL11'!$B$3=Q$3,SUMIF('TL11'!$C$10:$C$224,$C115,'TL11'!$J$10:$J$224),0),
IF('TL11'!$B$229=Q$3,SUMIF('TL11'!$C$238:$C$451,$C115,'TL11'!$J$238:$J$451),0),
IF('TL12'!$B$3=Q$3,SUMIF('TL12'!$C$10:$C$224,$C115,'TL12'!$J$10:$J$224),0),
IF('TL12'!$B$229=Q$3,SUMIF('TL12'!$C$238:$C$451,$C115,'TL12'!$J$238:$J$451),0),
IF('TL13'!$B$3=Q$3,SUMIF('TL13'!$C$10:$C$224,$C115,'TL13'!$J$10:$J$224),0),
IF('TL13'!$B$229=Q$3,SUMIF('TL13'!$C$238:$C$451,$C115,'TL13'!$J$238:$J$451),0),
IF('TL14'!$B$3=Q$3,SUMIF('TL14'!$C$10:$C$224,$C115,'TL14'!$J$10:$J$224),0),
IF('TL14'!$B$229=Q$3,SUMIF('TL14'!$C$238:$C$451,$C115,'TL14'!$J$238:$J$451),0),
IF('TL15'!$B$3=Q$3,SUMIF('TL15'!$C$10:$C$224,$C115,'TL15'!$J$10:$J$224),0),
IF('TL15'!$B$229=Q$3,SUMIF('TL15'!$C$238:$C$451,$C115,'TL15'!$J$238:$J$451),0),
IF('TL16'!$B$3=Q$3,SUMIF('TL16'!$C$10:$C$224,$C115,'TL16'!$J$10:$J$224),0),
IF('TL16'!$B$229=Q$3,SUMIF('TL16'!$C$238:$C$451,$C115,'TL16'!$J$238:$J$451),0),
IF('TL17'!$B$3=Q$3,SUMIF('TL17'!$C$10:$C$224,$C115,'TL17'!$J$10:$J$224),0),
IF('TL17'!$B$229=Q$3,SUMIF('TL17'!$C$238:$C$451,$C115,'TL17'!$J$238:$J$451),0),
IF('TL18'!$B$3=Q$3,SUMIF('TL18'!$C$10:$C$224,$C115,'TL18'!$J$10:$J$224),0),
IF('TL18'!$B$229=Q$3,SUMIF('TL18'!$C$238:$C$451,$C115,'TL18'!$J$238:$J$451),0),
IF('TL19'!$B$3=Q$3,SUMIF('TL19'!$C$10:$C$224,$C115,'TL19'!$J$10:$J$224),0),
IF('TL19'!$B$229=Q$3,SUMIF('TL19'!$C$238:$C$451,$C115,'TL19'!$J$238:$J$451),0)
),0)</f>
        <v/>
      </c>
      <c r="R115" s="9">
        <f>IFERROR(
SUM(
SUMIF('TL01'!C:C,C115,'TL01'!J:J),
SUMIF('TL02'!C:C,C115,'TL02'!J:J),
SUMIF('TL03'!C:C,C115,'TL03'!J:J),
SUMIF('TL04'!C:C,C115,'TL04'!J:J),
SUMIF('TL05'!C:C,C115,'TL05'!J:J),
SUMIF('TL06'!C:C,C115,'TL06'!J:J),
SUMIF('TL07'!C:C,C115,'TL07'!J:J),
SUMIF('TL08'!C:C,C115,'TL08'!J:J),
SUMIF('TL09'!C:C,C115,'TL09'!J:J),
SUMIF('TL10'!C:C,C115,'TL10'!J:J),
SUMIF('TL11'!C:C,C115,'TL11'!J:J),
SUMIF('TL12'!C:C,C115,'TL12'!J:J),
SUMIF('TL13'!C:C,C115,'TL13'!J:J),
SUMIF('TL14'!C:C,C115,'TL14'!J:J),
SUMIF('TL15'!C:C,C115,'TL15'!J:J),
SUMIF('TL16'!C:C,C115,'TL16'!J:J),
SUMIF('TL17'!C:C,C115,'TL17'!J:J),
SUMIF('TL18'!C:C,C115,'TL18'!J:J),SUMIF('TL19'!C:C,C115,'TL19'!J:J))
,0)</f>
        <v/>
      </c>
      <c r="S115" s="17">
        <f>IFERROR(__xludf.DUMMYFUNCTION("IFERROR(VLOOKUP(C115,
IMPORTRANGE(""1wULbzX32WdYsx-lj2U3uUNBBe2INVIRDtcK0d-Dvl90"",
""26-27!C:G""),
5,
FALSE),
"""")"),930.9183399999998)</f>
        <v/>
      </c>
      <c r="T115" s="9" t="n"/>
      <c r="U115" s="92">
        <f>MAX(0,R115-T115)</f>
        <v/>
      </c>
      <c r="V115" s="93">
        <f>U115*S115</f>
        <v/>
      </c>
    </row>
    <row r="116" hidden="1" ht="15.75" customHeight="1" s="297">
      <c r="A116" s="115" t="inlineStr">
        <is>
          <t>BASF</t>
        </is>
      </c>
      <c r="B116" s="100" t="inlineStr">
        <is>
          <t>HERBICIDA</t>
        </is>
      </c>
      <c r="C116" s="116" t="inlineStr">
        <is>
          <t>LIBERTY</t>
        </is>
      </c>
      <c r="D116" s="116" t="inlineStr">
        <is>
          <t>GLUFOSINATO - SAL DE AMONIO</t>
        </is>
      </c>
      <c r="E116" s="116" t="n">
        <v>200</v>
      </c>
      <c r="F116" s="4" t="inlineStr">
        <is>
          <t>KG</t>
        </is>
      </c>
      <c r="G116" s="90">
        <f>HYPERLINK("https://www.google.com/search?q=" &amp; C116 &amp; "+bula+agrofit+pdf", "📄 Ver bula")</f>
        <v/>
      </c>
      <c r="H116" s="9">
        <f>IFERROR(__xludf.DUMMYFUNCTION("IFERROR(VLOOKUP(C116,
IMPORTRANGE(""1wULbzX32WdYsx-lj2U3uUNBBe2INVIRDtcK0d-Dvl90"",
""26-27!C:K""),
8,
FALSE),
"""")"),2.0)</f>
        <v/>
      </c>
      <c r="I116" s="117" t="inlineStr">
        <is>
          <t>2X10</t>
        </is>
      </c>
      <c r="J116" s="9">
        <f>IFERROR(SUM(
IF('TL01'!$B$3=J$3,SUMIF('TL01'!$C$10:$C$224,$C116,'TL01'!$J$10:$J$224),0),
IF('TL01'!$B$229=J$3,SUMIF('TL01'!$C$238:$C$451,$C116,'TL01'!$J$238:$J$451),0),
IF('TL02'!$B$3=J$3,SUMIF('TL02'!$C$10:$C$224,$C116,'TL02'!$J$10:$J$224),0),
IF('TL02'!$B$229=J$3,SUMIF('TL02'!$C$238:$C$451,$C116,'TL02'!$J$238:$J$451),0),
IF('TL03'!$B$3=J$3,SUMIF('TL03'!$C$10:$C$224,$C116,'TL03'!$J$10:$J$224),0),
IF('TL03'!$B$229=J$3,SUMIF('TL03'!$C$238:$C$451,$C116,'TL03'!$J$238:$J$451),0),
IF('TL04'!$B$3=J$3,SUMIF('TL04'!$C$10:$C$224,$C116,'TL04'!$J$10:$J$224),0),
IF('TL04'!$B$229=J$3,SUMIF('TL04'!$C$238:$C$451,$C116,'TL04'!$J$238:$J$451),0),
IF('TL05'!$B$3=J$3,SUMIF('TL05'!$C$10:$C$224,$C116,'TL05'!$J$10:$J$224),0),
IF('TL05'!$B$229=J$3,SUMIF('TL05'!$C$238:$C$451,$C116,'TL05'!$J$238:$J$451),0),
IF('TL06'!$B$3=J$3,SUMIF('TL06'!$C$10:$C$224,$C116,'TL06'!$J$10:$J$224),0),
IF('TL06'!$B$229=J$3,SUMIF('TL06'!$C$238:$C$451,$C116,'TL06'!$J$238:$J$451),0),
IF('TL07'!$B$3=J$3,SUMIF('TL07'!$C$10:$C$224,$C116,'TL07'!$J$10:$J$224),0),
IF('TL07'!$B$229=J$3,SUMIF('TL07'!$C$238:$C$451,$C116,'TL07'!$J$238:$J$451),0),
IF('TL08'!$B$3=J$3,SUMIF('TL08'!$C$10:$C$224,$C116,'TL08'!$J$10:$J$224),0),
IF('TL08'!$B$229=J$3,SUMIF('TL08'!$C$238:$C$451,$C116,'TL08'!$J$238:$J$451),0),
IF('TL09'!$B$3=J$3,SUMIF('TL09'!$C$10:$C$224,$C116,'TL09'!$J$10:$J$224),0),
IF('TL09'!$B$229=J$3,SUMIF('TL09'!$C$238:$C$451,$C116,'TL09'!$J$238:$J$451),0),
IF('TL10'!$B$3=J$3,SUMIF('TL10'!$C$10:$C$224,$C116,'TL10'!$J$10:$J$224),0),
IF('TL10'!$B$229=J$3,SUMIF('TL10'!$C$238:$C$451,$C116,'TL10'!$J$238:$J$451),0),
IF('TL11'!$B$3=J$3,SUMIF('TL11'!$C$10:$C$224,$C116,'TL11'!$J$10:$J$224),0),
IF('TL11'!$B$229=J$3,SUMIF('TL11'!$C$238:$C$451,$C116,'TL11'!$J$238:$J$451),0),
IF('TL12'!$B$3=J$3,SUMIF('TL12'!$C$10:$C$224,$C116,'TL12'!$J$10:$J$224),0),
IF('TL12'!$B$229=J$3,SUMIF('TL12'!$C$238:$C$451,$C116,'TL12'!$J$238:$J$451),0),
IF('TL13'!$B$3=J$3,SUMIF('TL13'!$C$10:$C$224,$C116,'TL13'!$J$10:$J$224),0),
IF('TL13'!$B$229=J$3,SUMIF('TL13'!$C$238:$C$451,$C116,'TL13'!$J$238:$J$451),0),
IF('TL14'!$B$3=J$3,SUMIF('TL14'!$C$10:$C$224,$C116,'TL14'!$J$10:$J$224),0),
IF('TL14'!$B$229=J$3,SUMIF('TL14'!$C$238:$C$451,$C116,'TL14'!$J$238:$J$451),0),
IF('TL15'!$B$3=J$3,SUMIF('TL15'!$C$10:$C$224,$C116,'TL15'!$J$10:$J$224),0),
IF('TL15'!$B$229=J$3,SUMIF('TL15'!$C$238:$C$451,$C116,'TL15'!$J$238:$J$451),0),
IF('TL16'!$B$3=J$3,SUMIF('TL16'!$C$10:$C$224,$C116,'TL16'!$J$10:$J$224),0),
IF('TL16'!$B$229=J$3,SUMIF('TL16'!$C$238:$C$451,$C116,'TL16'!$J$238:$J$451),0),
IF('TL17'!$B$3=J$3,SUMIF('TL17'!$C$10:$C$224,$C116,'TL17'!$J$10:$J$224),0),
IF('TL17'!$B$229=J$3,SUMIF('TL17'!$C$238:$C$451,$C116,'TL17'!$J$238:$J$451),0),
IF('TL18'!$B$3=J$3,SUMIF('TL18'!$C$10:$C$224,$C116,'TL18'!$J$10:$J$224),0),
IF('TL18'!$B$229=J$3,SUMIF('TL18'!$C$238:$C$451,$C116,'TL18'!$J$238:$J$451),0),
IF('TL19'!$B$3=J$3,SUMIF('TL19'!$C$10:$C$224,$C116,'TL19'!$J$10:$J$224),0),
IF('TL19'!$B$229=J$3,SUMIF('TL19'!$C$238:$C$451,$C116,'TL19'!$J$238:$J$451),0)
),0)</f>
        <v/>
      </c>
      <c r="K116" s="9">
        <f>IFERROR(SUM(
IF('TL01'!$B$3=K$3,SUMIF('TL01'!$C$10:$C$224,$C116,'TL01'!$J$10:$J$224),0),
IF('TL01'!$B$229=K$3,SUMIF('TL01'!$C$238:$C$451,$C116,'TL01'!$J$238:$J$451),0),
IF('TL02'!$B$3=K$3,SUMIF('TL02'!$C$10:$C$224,$C116,'TL02'!$J$10:$J$224),0),
IF('TL02'!$B$229=K$3,SUMIF('TL02'!$C$238:$C$451,$C116,'TL02'!$J$238:$J$451),0),
IF('TL03'!$B$3=K$3,SUMIF('TL03'!$C$10:$C$224,$C116,'TL03'!$J$10:$J$224),0),
IF('TL03'!$B$229=K$3,SUMIF('TL03'!$C$238:$C$451,$C116,'TL03'!$J$238:$J$451),0),
IF('TL04'!$B$3=K$3,SUMIF('TL04'!$C$10:$C$224,$C116,'TL04'!$J$10:$J$224),0),
IF('TL04'!$B$229=K$3,SUMIF('TL04'!$C$238:$C$451,$C116,'TL04'!$J$238:$J$451),0),
IF('TL05'!$B$3=K$3,SUMIF('TL05'!$C$10:$C$224,$C116,'TL05'!$J$10:$J$224),0),
IF('TL05'!$B$229=K$3,SUMIF('TL05'!$C$238:$C$451,$C116,'TL05'!$J$238:$J$451),0),
IF('TL06'!$B$3=K$3,SUMIF('TL06'!$C$10:$C$224,$C116,'TL06'!$J$10:$J$224),0),
IF('TL06'!$B$229=K$3,SUMIF('TL06'!$C$238:$C$451,$C116,'TL06'!$J$238:$J$451),0),
IF('TL07'!$B$3=K$3,SUMIF('TL07'!$C$10:$C$224,$C116,'TL07'!$J$10:$J$224),0),
IF('TL07'!$B$229=K$3,SUMIF('TL07'!$C$238:$C$451,$C116,'TL07'!$J$238:$J$451),0),
IF('TL08'!$B$3=K$3,SUMIF('TL08'!$C$10:$C$224,$C116,'TL08'!$J$10:$J$224),0),
IF('TL08'!$B$229=K$3,SUMIF('TL08'!$C$238:$C$451,$C116,'TL08'!$J$238:$J$451),0),
IF('TL09'!$B$3=K$3,SUMIF('TL09'!$C$10:$C$224,$C116,'TL09'!$J$10:$J$224),0),
IF('TL09'!$B$229=K$3,SUMIF('TL09'!$C$238:$C$451,$C116,'TL09'!$J$238:$J$451),0),
IF('TL10'!$B$3=K$3,SUMIF('TL10'!$C$10:$C$224,$C116,'TL10'!$J$10:$J$224),0),
IF('TL10'!$B$229=K$3,SUMIF('TL10'!$C$238:$C$451,$C116,'TL10'!$J$238:$J$451),0),
IF('TL11'!$B$3=K$3,SUMIF('TL11'!$C$10:$C$224,$C116,'TL11'!$J$10:$J$224),0),
IF('TL11'!$B$229=K$3,SUMIF('TL11'!$C$238:$C$451,$C116,'TL11'!$J$238:$J$451),0),
IF('TL12'!$B$3=K$3,SUMIF('TL12'!$C$10:$C$224,$C116,'TL12'!$J$10:$J$224),0),
IF('TL12'!$B$229=K$3,SUMIF('TL12'!$C$238:$C$451,$C116,'TL12'!$J$238:$J$451),0),
IF('TL13'!$B$3=K$3,SUMIF('TL13'!$C$10:$C$224,$C116,'TL13'!$J$10:$J$224),0),
IF('TL13'!$B$229=K$3,SUMIF('TL13'!$C$238:$C$451,$C116,'TL13'!$J$238:$J$451),0),
IF('TL14'!$B$3=K$3,SUMIF('TL14'!$C$10:$C$224,$C116,'TL14'!$J$10:$J$224),0),
IF('TL14'!$B$229=K$3,SUMIF('TL14'!$C$238:$C$451,$C116,'TL14'!$J$238:$J$451),0),
IF('TL15'!$B$3=K$3,SUMIF('TL15'!$C$10:$C$224,$C116,'TL15'!$J$10:$J$224),0),
IF('TL15'!$B$229=K$3,SUMIF('TL15'!$C$238:$C$451,$C116,'TL15'!$J$238:$J$451),0),
IF('TL16'!$B$3=K$3,SUMIF('TL16'!$C$10:$C$224,$C116,'TL16'!$J$10:$J$224),0),
IF('TL16'!$B$229=K$3,SUMIF('TL16'!$C$238:$C$451,$C116,'TL16'!$J$238:$J$451),0),
IF('TL17'!$B$3=K$3,SUMIF('TL17'!$C$10:$C$224,$C116,'TL17'!$J$10:$J$224),0),
IF('TL17'!$B$229=K$3,SUMIF('TL17'!$C$238:$C$451,$C116,'TL17'!$J$238:$J$451),0),
IF('TL18'!$B$3=K$3,SUMIF('TL18'!$C$10:$C$224,$C116,'TL18'!$J$10:$J$224),0),
IF('TL18'!$B$229=K$3,SUMIF('TL18'!$C$238:$C$451,$C116,'TL18'!$J$238:$J$451),0),
IF('TL19'!$B$3=K$3,SUMIF('TL19'!$C$10:$C$224,$C116,'TL19'!$J$10:$J$224),0),
IF('TL19'!$B$229=K$3,SUMIF('TL19'!$C$238:$C$451,$C116,'TL19'!$J$238:$J$451),0)
),0)</f>
        <v/>
      </c>
      <c r="L116" s="9">
        <f>IFERROR(SUM(
IF('TL01'!$B$3=L$3,SUMIF('TL01'!$C$10:$C$224,$C116,'TL01'!$J$10:$J$224),0),
IF('TL01'!$B$229=L$3,SUMIF('TL01'!$C$238:$C$451,$C116,'TL01'!$J$238:$J$451),0),
IF('TL02'!$B$3=L$3,SUMIF('TL02'!$C$10:$C$224,$C116,'TL02'!$J$10:$J$224),0),
IF('TL02'!$B$229=L$3,SUMIF('TL02'!$C$238:$C$451,$C116,'TL02'!$J$238:$J$451),0),
IF('TL03'!$B$3=L$3,SUMIF('TL03'!$C$10:$C$224,$C116,'TL03'!$J$10:$J$224),0),
IF('TL03'!$B$229=L$3,SUMIF('TL03'!$C$238:$C$451,$C116,'TL03'!$J$238:$J$451),0),
IF('TL04'!$B$3=L$3,SUMIF('TL04'!$C$10:$C$224,$C116,'TL04'!$J$10:$J$224),0),
IF('TL04'!$B$229=L$3,SUMIF('TL04'!$C$238:$C$451,$C116,'TL04'!$J$238:$J$451),0),
IF('TL05'!$B$3=L$3,SUMIF('TL05'!$C$10:$C$224,$C116,'TL05'!$J$10:$J$224),0),
IF('TL05'!$B$229=L$3,SUMIF('TL05'!$C$238:$C$451,$C116,'TL05'!$J$238:$J$451),0),
IF('TL06'!$B$3=L$3,SUMIF('TL06'!$C$10:$C$224,$C116,'TL06'!$J$10:$J$224),0),
IF('TL06'!$B$229=L$3,SUMIF('TL06'!$C$238:$C$451,$C116,'TL06'!$J$238:$J$451),0),
IF('TL07'!$B$3=L$3,SUMIF('TL07'!$C$10:$C$224,$C116,'TL07'!$J$10:$J$224),0),
IF('TL07'!$B$229=L$3,SUMIF('TL07'!$C$238:$C$451,$C116,'TL07'!$J$238:$J$451),0),
IF('TL08'!$B$3=L$3,SUMIF('TL08'!$C$10:$C$224,$C116,'TL08'!$J$10:$J$224),0),
IF('TL08'!$B$229=L$3,SUMIF('TL08'!$C$238:$C$451,$C116,'TL08'!$J$238:$J$451),0),
IF('TL09'!$B$3=L$3,SUMIF('TL09'!$C$10:$C$224,$C116,'TL09'!$J$10:$J$224),0),
IF('TL09'!$B$229=L$3,SUMIF('TL09'!$C$238:$C$451,$C116,'TL09'!$J$238:$J$451),0),
IF('TL10'!$B$3=L$3,SUMIF('TL10'!$C$10:$C$224,$C116,'TL10'!$J$10:$J$224),0),
IF('TL10'!$B$229=L$3,SUMIF('TL10'!$C$238:$C$451,$C116,'TL10'!$J$238:$J$451),0),
IF('TL11'!$B$3=L$3,SUMIF('TL11'!$C$10:$C$224,$C116,'TL11'!$J$10:$J$224),0),
IF('TL11'!$B$229=L$3,SUMIF('TL11'!$C$238:$C$451,$C116,'TL11'!$J$238:$J$451),0),
IF('TL12'!$B$3=L$3,SUMIF('TL12'!$C$10:$C$224,$C116,'TL12'!$J$10:$J$224),0),
IF('TL12'!$B$229=L$3,SUMIF('TL12'!$C$238:$C$451,$C116,'TL12'!$J$238:$J$451),0),
IF('TL13'!$B$3=L$3,SUMIF('TL13'!$C$10:$C$224,$C116,'TL13'!$J$10:$J$224),0),
IF('TL13'!$B$229=L$3,SUMIF('TL13'!$C$238:$C$451,$C116,'TL13'!$J$238:$J$451),0),
IF('TL14'!$B$3=L$3,SUMIF('TL14'!$C$10:$C$224,$C116,'TL14'!$J$10:$J$224),0),
IF('TL14'!$B$229=L$3,SUMIF('TL14'!$C$238:$C$451,$C116,'TL14'!$J$238:$J$451),0),
IF('TL15'!$B$3=L$3,SUMIF('TL15'!$C$10:$C$224,$C116,'TL15'!$J$10:$J$224),0),
IF('TL15'!$B$229=L$3,SUMIF('TL15'!$C$238:$C$451,$C116,'TL15'!$J$238:$J$451),0),
IF('TL16'!$B$3=L$3,SUMIF('TL16'!$C$10:$C$224,$C116,'TL16'!$J$10:$J$224),0),
IF('TL16'!$B$229=L$3,SUMIF('TL16'!$C$238:$C$451,$C116,'TL16'!$J$238:$J$451),0),
IF('TL17'!$B$3=L$3,SUMIF('TL17'!$C$10:$C$224,$C116,'TL17'!$J$10:$J$224),0),
IF('TL17'!$B$229=L$3,SUMIF('TL17'!$C$238:$C$451,$C116,'TL17'!$J$238:$J$451),0),
IF('TL18'!$B$3=L$3,SUMIF('TL18'!$C$10:$C$224,$C116,'TL18'!$J$10:$J$224),0),
IF('TL18'!$B$229=L$3,SUMIF('TL18'!$C$238:$C$451,$C116,'TL18'!$J$238:$J$451),0),
IF('TL19'!$B$3=L$3,SUMIF('TL19'!$C$10:$C$224,$C116,'TL19'!$J$10:$J$224),0),
IF('TL19'!$B$229=L$3,SUMIF('TL19'!$C$238:$C$451,$C116,'TL19'!$J$238:$J$451),0)
),0)</f>
        <v/>
      </c>
      <c r="M116" s="9">
        <f>IFERROR(SUM(
IF('TL01'!$B$3=M$3,SUMIF('TL01'!$C$10:$C$224,$C116,'TL01'!$J$10:$J$224),0),
IF('TL01'!$B$229=M$3,SUMIF('TL01'!$C$238:$C$451,$C116,'TL01'!$J$238:$J$451),0),
IF('TL02'!$B$3=M$3,SUMIF('TL02'!$C$10:$C$224,$C116,'TL02'!$J$10:$J$224),0),
IF('TL02'!$B$229=M$3,SUMIF('TL02'!$C$238:$C$451,$C116,'TL02'!$J$238:$J$451),0),
IF('TL03'!$B$3=M$3,SUMIF('TL03'!$C$10:$C$224,$C116,'TL03'!$J$10:$J$224),0),
IF('TL03'!$B$229=M$3,SUMIF('TL03'!$C$238:$C$451,$C116,'TL03'!$J$238:$J$451),0),
IF('TL04'!$B$3=M$3,SUMIF('TL04'!$C$10:$C$224,$C116,'TL04'!$J$10:$J$224),0),
IF('TL04'!$B$229=M$3,SUMIF('TL04'!$C$238:$C$451,$C116,'TL04'!$J$238:$J$451),0),
IF('TL05'!$B$3=M$3,SUMIF('TL05'!$C$10:$C$224,$C116,'TL05'!$J$10:$J$224),0),
IF('TL05'!$B$229=M$3,SUMIF('TL05'!$C$238:$C$451,$C116,'TL05'!$J$238:$J$451),0),
IF('TL06'!$B$3=M$3,SUMIF('TL06'!$C$10:$C$224,$C116,'TL06'!$J$10:$J$224),0),
IF('TL06'!$B$229=M$3,SUMIF('TL06'!$C$238:$C$451,$C116,'TL06'!$J$238:$J$451),0),
IF('TL07'!$B$3=M$3,SUMIF('TL07'!$C$10:$C$224,$C116,'TL07'!$J$10:$J$224),0),
IF('TL07'!$B$229=M$3,SUMIF('TL07'!$C$238:$C$451,$C116,'TL07'!$J$238:$J$451),0),
IF('TL08'!$B$3=M$3,SUMIF('TL08'!$C$10:$C$224,$C116,'TL08'!$J$10:$J$224),0),
IF('TL08'!$B$229=M$3,SUMIF('TL08'!$C$238:$C$451,$C116,'TL08'!$J$238:$J$451),0),
IF('TL09'!$B$3=M$3,SUMIF('TL09'!$C$10:$C$224,$C116,'TL09'!$J$10:$J$224),0),
IF('TL09'!$B$229=M$3,SUMIF('TL09'!$C$238:$C$451,$C116,'TL09'!$J$238:$J$451),0),
IF('TL10'!$B$3=M$3,SUMIF('TL10'!$C$10:$C$224,$C116,'TL10'!$J$10:$J$224),0),
IF('TL10'!$B$229=M$3,SUMIF('TL10'!$C$238:$C$451,$C116,'TL10'!$J$238:$J$451),0),
IF('TL11'!$B$3=M$3,SUMIF('TL11'!$C$10:$C$224,$C116,'TL11'!$J$10:$J$224),0),
IF('TL11'!$B$229=M$3,SUMIF('TL11'!$C$238:$C$451,$C116,'TL11'!$J$238:$J$451),0),
IF('TL12'!$B$3=M$3,SUMIF('TL12'!$C$10:$C$224,$C116,'TL12'!$J$10:$J$224),0),
IF('TL12'!$B$229=M$3,SUMIF('TL12'!$C$238:$C$451,$C116,'TL12'!$J$238:$J$451),0),
IF('TL13'!$B$3=M$3,SUMIF('TL13'!$C$10:$C$224,$C116,'TL13'!$J$10:$J$224),0),
IF('TL13'!$B$229=M$3,SUMIF('TL13'!$C$238:$C$451,$C116,'TL13'!$J$238:$J$451),0),
IF('TL14'!$B$3=M$3,SUMIF('TL14'!$C$10:$C$224,$C116,'TL14'!$J$10:$J$224),0),
IF('TL14'!$B$229=M$3,SUMIF('TL14'!$C$238:$C$451,$C116,'TL14'!$J$238:$J$451),0),
IF('TL15'!$B$3=M$3,SUMIF('TL15'!$C$10:$C$224,$C116,'TL15'!$J$10:$J$224),0),
IF('TL15'!$B$229=M$3,SUMIF('TL15'!$C$238:$C$451,$C116,'TL15'!$J$238:$J$451),0),
IF('TL16'!$B$3=M$3,SUMIF('TL16'!$C$10:$C$224,$C116,'TL16'!$J$10:$J$224),0),
IF('TL16'!$B$229=M$3,SUMIF('TL16'!$C$238:$C$451,$C116,'TL16'!$J$238:$J$451),0),
IF('TL17'!$B$3=M$3,SUMIF('TL17'!$C$10:$C$224,$C116,'TL17'!$J$10:$J$224),0),
IF('TL17'!$B$229=M$3,SUMIF('TL17'!$C$238:$C$451,$C116,'TL17'!$J$238:$J$451),0),
IF('TL18'!$B$3=M$3,SUMIF('TL18'!$C$10:$C$224,$C116,'TL18'!$J$10:$J$224),0),
IF('TL18'!$B$229=M$3,SUMIF('TL18'!$C$238:$C$451,$C116,'TL18'!$J$238:$J$451),0),
IF('TL19'!$B$3=M$3,SUMIF('TL19'!$C$10:$C$224,$C116,'TL19'!$J$10:$J$224),0),
IF('TL19'!$B$229=M$3,SUMIF('TL19'!$C$238:$C$451,$C116,'TL19'!$J$238:$J$451),0)
),0)</f>
        <v/>
      </c>
      <c r="N116" s="9">
        <f>IFERROR(SUM(
IF('TL01'!$B$3=N$3,SUMIF('TL01'!$C$10:$C$224,$C116,'TL01'!$J$10:$J$224),0),
IF('TL01'!$B$229=N$3,SUMIF('TL01'!$C$238:$C$451,$C116,'TL01'!$J$238:$J$451),0),
IF('TL02'!$B$3=N$3,SUMIF('TL02'!$C$10:$C$224,$C116,'TL02'!$J$10:$J$224),0),
IF('TL02'!$B$229=N$3,SUMIF('TL02'!$C$238:$C$451,$C116,'TL02'!$J$238:$J$451),0),
IF('TL03'!$B$3=N$3,SUMIF('TL03'!$C$10:$C$224,$C116,'TL03'!$J$10:$J$224),0),
IF('TL03'!$B$229=N$3,SUMIF('TL03'!$C$238:$C$451,$C116,'TL03'!$J$238:$J$451),0),
IF('TL04'!$B$3=N$3,SUMIF('TL04'!$C$10:$C$224,$C116,'TL04'!$J$10:$J$224),0),
IF('TL04'!$B$229=N$3,SUMIF('TL04'!$C$238:$C$451,$C116,'TL04'!$J$238:$J$451),0),
IF('TL05'!$B$3=N$3,SUMIF('TL05'!$C$10:$C$224,$C116,'TL05'!$J$10:$J$224),0),
IF('TL05'!$B$229=N$3,SUMIF('TL05'!$C$238:$C$451,$C116,'TL05'!$J$238:$J$451),0),
IF('TL06'!$B$3=N$3,SUMIF('TL06'!$C$10:$C$224,$C116,'TL06'!$J$10:$J$224),0),
IF('TL06'!$B$229=N$3,SUMIF('TL06'!$C$238:$C$451,$C116,'TL06'!$J$238:$J$451),0),
IF('TL07'!$B$3=N$3,SUMIF('TL07'!$C$10:$C$224,$C116,'TL07'!$J$10:$J$224),0),
IF('TL07'!$B$229=N$3,SUMIF('TL07'!$C$238:$C$451,$C116,'TL07'!$J$238:$J$451),0),
IF('TL08'!$B$3=N$3,SUMIF('TL08'!$C$10:$C$224,$C116,'TL08'!$J$10:$J$224),0),
IF('TL08'!$B$229=N$3,SUMIF('TL08'!$C$238:$C$451,$C116,'TL08'!$J$238:$J$451),0),
IF('TL09'!$B$3=N$3,SUMIF('TL09'!$C$10:$C$224,$C116,'TL09'!$J$10:$J$224),0),
IF('TL09'!$B$229=N$3,SUMIF('TL09'!$C$238:$C$451,$C116,'TL09'!$J$238:$J$451),0),
IF('TL10'!$B$3=N$3,SUMIF('TL10'!$C$10:$C$224,$C116,'TL10'!$J$10:$J$224),0),
IF('TL10'!$B$229=N$3,SUMIF('TL10'!$C$238:$C$451,$C116,'TL10'!$J$238:$J$451),0),
IF('TL11'!$B$3=N$3,SUMIF('TL11'!$C$10:$C$224,$C116,'TL11'!$J$10:$J$224),0),
IF('TL11'!$B$229=N$3,SUMIF('TL11'!$C$238:$C$451,$C116,'TL11'!$J$238:$J$451),0),
IF('TL12'!$B$3=N$3,SUMIF('TL12'!$C$10:$C$224,$C116,'TL12'!$J$10:$J$224),0),
IF('TL12'!$B$229=N$3,SUMIF('TL12'!$C$238:$C$451,$C116,'TL12'!$J$238:$J$451),0),
IF('TL13'!$B$3=N$3,SUMIF('TL13'!$C$10:$C$224,$C116,'TL13'!$J$10:$J$224),0),
IF('TL13'!$B$229=N$3,SUMIF('TL13'!$C$238:$C$451,$C116,'TL13'!$J$238:$J$451),0),
IF('TL14'!$B$3=N$3,SUMIF('TL14'!$C$10:$C$224,$C116,'TL14'!$J$10:$J$224),0),
IF('TL14'!$B$229=N$3,SUMIF('TL14'!$C$238:$C$451,$C116,'TL14'!$J$238:$J$451),0),
IF('TL15'!$B$3=N$3,SUMIF('TL15'!$C$10:$C$224,$C116,'TL15'!$J$10:$J$224),0),
IF('TL15'!$B$229=N$3,SUMIF('TL15'!$C$238:$C$451,$C116,'TL15'!$J$238:$J$451),0),
IF('TL16'!$B$3=N$3,SUMIF('TL16'!$C$10:$C$224,$C116,'TL16'!$J$10:$J$224),0),
IF('TL16'!$B$229=N$3,SUMIF('TL16'!$C$238:$C$451,$C116,'TL16'!$J$238:$J$451),0),
IF('TL17'!$B$3=N$3,SUMIF('TL17'!$C$10:$C$224,$C116,'TL17'!$J$10:$J$224),0),
IF('TL17'!$B$229=N$3,SUMIF('TL17'!$C$238:$C$451,$C116,'TL17'!$J$238:$J$451),0),
IF('TL18'!$B$3=N$3,SUMIF('TL18'!$C$10:$C$224,$C116,'TL18'!$J$10:$J$224),0),
IF('TL18'!$B$229=N$3,SUMIF('TL18'!$C$238:$C$451,$C116,'TL18'!$J$238:$J$451),0),
IF('TL19'!$B$3=N$3,SUMIF('TL19'!$C$10:$C$224,$C116,'TL19'!$J$10:$J$224),0),
IF('TL19'!$B$229=N$3,SUMIF('TL19'!$C$238:$C$451,$C116,'TL19'!$J$238:$J$451),0)
),0)</f>
        <v/>
      </c>
      <c r="O116" s="9">
        <f>IFERROR(SUM(
IF('TL01'!$B$3=O$3,SUMIF('TL01'!$C$10:$C$224,$C116,'TL01'!$J$10:$J$224),0),
IF('TL01'!$B$229=O$3,SUMIF('TL01'!$C$238:$C$451,$C116,'TL01'!$J$238:$J$451),0),
IF('TL02'!$B$3=O$3,SUMIF('TL02'!$C$10:$C$224,$C116,'TL02'!$J$10:$J$224),0),
IF('TL02'!$B$229=O$3,SUMIF('TL02'!$C$238:$C$451,$C116,'TL02'!$J$238:$J$451),0),
IF('TL03'!$B$3=O$3,SUMIF('TL03'!$C$10:$C$224,$C116,'TL03'!$J$10:$J$224),0),
IF('TL03'!$B$229=O$3,SUMIF('TL03'!$C$238:$C$451,$C116,'TL03'!$J$238:$J$451),0),
IF('TL04'!$B$3=O$3,SUMIF('TL04'!$C$10:$C$224,$C116,'TL04'!$J$10:$J$224),0),
IF('TL04'!$B$229=O$3,SUMIF('TL04'!$C$238:$C$451,$C116,'TL04'!$J$238:$J$451),0),
IF('TL05'!$B$3=O$3,SUMIF('TL05'!$C$10:$C$224,$C116,'TL05'!$J$10:$J$224),0),
IF('TL05'!$B$229=O$3,SUMIF('TL05'!$C$238:$C$451,$C116,'TL05'!$J$238:$J$451),0),
IF('TL06'!$B$3=O$3,SUMIF('TL06'!$C$10:$C$224,$C116,'TL06'!$J$10:$J$224),0),
IF('TL06'!$B$229=O$3,SUMIF('TL06'!$C$238:$C$451,$C116,'TL06'!$J$238:$J$451),0),
IF('TL07'!$B$3=O$3,SUMIF('TL07'!$C$10:$C$224,$C116,'TL07'!$J$10:$J$224),0),
IF('TL07'!$B$229=O$3,SUMIF('TL07'!$C$238:$C$451,$C116,'TL07'!$J$238:$J$451),0),
IF('TL08'!$B$3=O$3,SUMIF('TL08'!$C$10:$C$224,$C116,'TL08'!$J$10:$J$224),0),
IF('TL08'!$B$229=O$3,SUMIF('TL08'!$C$238:$C$451,$C116,'TL08'!$J$238:$J$451),0),
IF('TL09'!$B$3=O$3,SUMIF('TL09'!$C$10:$C$224,$C116,'TL09'!$J$10:$J$224),0),
IF('TL09'!$B$229=O$3,SUMIF('TL09'!$C$238:$C$451,$C116,'TL09'!$J$238:$J$451),0),
IF('TL10'!$B$3=O$3,SUMIF('TL10'!$C$10:$C$224,$C116,'TL10'!$J$10:$J$224),0),
IF('TL10'!$B$229=O$3,SUMIF('TL10'!$C$238:$C$451,$C116,'TL10'!$J$238:$J$451),0),
IF('TL11'!$B$3=O$3,SUMIF('TL11'!$C$10:$C$224,$C116,'TL11'!$J$10:$J$224),0),
IF('TL11'!$B$229=O$3,SUMIF('TL11'!$C$238:$C$451,$C116,'TL11'!$J$238:$J$451),0),
IF('TL12'!$B$3=O$3,SUMIF('TL12'!$C$10:$C$224,$C116,'TL12'!$J$10:$J$224),0),
IF('TL12'!$B$229=O$3,SUMIF('TL12'!$C$238:$C$451,$C116,'TL12'!$J$238:$J$451),0),
IF('TL13'!$B$3=O$3,SUMIF('TL13'!$C$10:$C$224,$C116,'TL13'!$J$10:$J$224),0),
IF('TL13'!$B$229=O$3,SUMIF('TL13'!$C$238:$C$451,$C116,'TL13'!$J$238:$J$451),0),
IF('TL14'!$B$3=O$3,SUMIF('TL14'!$C$10:$C$224,$C116,'TL14'!$J$10:$J$224),0),
IF('TL14'!$B$229=O$3,SUMIF('TL14'!$C$238:$C$451,$C116,'TL14'!$J$238:$J$451),0),
IF('TL15'!$B$3=O$3,SUMIF('TL15'!$C$10:$C$224,$C116,'TL15'!$J$10:$J$224),0),
IF('TL15'!$B$229=O$3,SUMIF('TL15'!$C$238:$C$451,$C116,'TL15'!$J$238:$J$451),0),
IF('TL16'!$B$3=O$3,SUMIF('TL16'!$C$10:$C$224,$C116,'TL16'!$J$10:$J$224),0),
IF('TL16'!$B$229=O$3,SUMIF('TL16'!$C$238:$C$451,$C116,'TL16'!$J$238:$J$451),0),
IF('TL17'!$B$3=O$3,SUMIF('TL17'!$C$10:$C$224,$C116,'TL17'!$J$10:$J$224),0),
IF('TL17'!$B$229=O$3,SUMIF('TL17'!$C$238:$C$451,$C116,'TL17'!$J$238:$J$451),0),
IF('TL18'!$B$3=O$3,SUMIF('TL18'!$C$10:$C$224,$C116,'TL18'!$J$10:$J$224),0),
IF('TL18'!$B$229=O$3,SUMIF('TL18'!$C$238:$C$451,$C116,'TL18'!$J$238:$J$451),0),
IF('TL19'!$B$3=O$3,SUMIF('TL19'!$C$10:$C$224,$C116,'TL19'!$J$10:$J$224),0),
IF('TL19'!$B$229=O$3,SUMIF('TL19'!$C$238:$C$451,$C116,'TL19'!$J$238:$J$451),0)
),0)</f>
        <v/>
      </c>
      <c r="P116" s="9">
        <f>IFERROR(SUM(
IF('TL01'!$B$3=P$3,SUMIF('TL01'!$C$10:$C$224,$C116,'TL01'!$J$10:$J$224),0),
IF('TL01'!$B$229=P$3,SUMIF('TL01'!$C$238:$C$451,$C116,'TL01'!$J$238:$J$451),0),
IF('TL02'!$B$3=P$3,SUMIF('TL02'!$C$10:$C$224,$C116,'TL02'!$J$10:$J$224),0),
IF('TL02'!$B$229=P$3,SUMIF('TL02'!$C$238:$C$451,$C116,'TL02'!$J$238:$J$451),0),
IF('TL03'!$B$3=P$3,SUMIF('TL03'!$C$10:$C$224,$C116,'TL03'!$J$10:$J$224),0),
IF('TL03'!$B$229=P$3,SUMIF('TL03'!$C$238:$C$451,$C116,'TL03'!$J$238:$J$451),0),
IF('TL04'!$B$3=P$3,SUMIF('TL04'!$C$10:$C$224,$C116,'TL04'!$J$10:$J$224),0),
IF('TL04'!$B$229=P$3,SUMIF('TL04'!$C$238:$C$451,$C116,'TL04'!$J$238:$J$451),0),
IF('TL05'!$B$3=P$3,SUMIF('TL05'!$C$10:$C$224,$C116,'TL05'!$J$10:$J$224),0),
IF('TL05'!$B$229=P$3,SUMIF('TL05'!$C$238:$C$451,$C116,'TL05'!$J$238:$J$451),0),
IF('TL06'!$B$3=P$3,SUMIF('TL06'!$C$10:$C$224,$C116,'TL06'!$J$10:$J$224),0),
IF('TL06'!$B$229=P$3,SUMIF('TL06'!$C$238:$C$451,$C116,'TL06'!$J$238:$J$451),0),
IF('TL07'!$B$3=P$3,SUMIF('TL07'!$C$10:$C$224,$C116,'TL07'!$J$10:$J$224),0),
IF('TL07'!$B$229=P$3,SUMIF('TL07'!$C$238:$C$451,$C116,'TL07'!$J$238:$J$451),0),
IF('TL08'!$B$3=P$3,SUMIF('TL08'!$C$10:$C$224,$C116,'TL08'!$J$10:$J$224),0),
IF('TL08'!$B$229=P$3,SUMIF('TL08'!$C$238:$C$451,$C116,'TL08'!$J$238:$J$451),0),
IF('TL09'!$B$3=P$3,SUMIF('TL09'!$C$10:$C$224,$C116,'TL09'!$J$10:$J$224),0),
IF('TL09'!$B$229=P$3,SUMIF('TL09'!$C$238:$C$451,$C116,'TL09'!$J$238:$J$451),0),
IF('TL10'!$B$3=P$3,SUMIF('TL10'!$C$10:$C$224,$C116,'TL10'!$J$10:$J$224),0),
IF('TL10'!$B$229=P$3,SUMIF('TL10'!$C$238:$C$451,$C116,'TL10'!$J$238:$J$451),0),
IF('TL11'!$B$3=P$3,SUMIF('TL11'!$C$10:$C$224,$C116,'TL11'!$J$10:$J$224),0),
IF('TL11'!$B$229=P$3,SUMIF('TL11'!$C$238:$C$451,$C116,'TL11'!$J$238:$J$451),0),
IF('TL12'!$B$3=P$3,SUMIF('TL12'!$C$10:$C$224,$C116,'TL12'!$J$10:$J$224),0),
IF('TL12'!$B$229=P$3,SUMIF('TL12'!$C$238:$C$451,$C116,'TL12'!$J$238:$J$451),0),
IF('TL13'!$B$3=P$3,SUMIF('TL13'!$C$10:$C$224,$C116,'TL13'!$J$10:$J$224),0),
IF('TL13'!$B$229=P$3,SUMIF('TL13'!$C$238:$C$451,$C116,'TL13'!$J$238:$J$451),0),
IF('TL14'!$B$3=P$3,SUMIF('TL14'!$C$10:$C$224,$C116,'TL14'!$J$10:$J$224),0),
IF('TL14'!$B$229=P$3,SUMIF('TL14'!$C$238:$C$451,$C116,'TL14'!$J$238:$J$451),0),
IF('TL15'!$B$3=P$3,SUMIF('TL15'!$C$10:$C$224,$C116,'TL15'!$J$10:$J$224),0),
IF('TL15'!$B$229=P$3,SUMIF('TL15'!$C$238:$C$451,$C116,'TL15'!$J$238:$J$451),0),
IF('TL16'!$B$3=P$3,SUMIF('TL16'!$C$10:$C$224,$C116,'TL16'!$J$10:$J$224),0),
IF('TL16'!$B$229=P$3,SUMIF('TL16'!$C$238:$C$451,$C116,'TL16'!$J$238:$J$451),0),
IF('TL17'!$B$3=P$3,SUMIF('TL17'!$C$10:$C$224,$C116,'TL17'!$J$10:$J$224),0),
IF('TL17'!$B$229=P$3,SUMIF('TL17'!$C$238:$C$451,$C116,'TL17'!$J$238:$J$451),0),
IF('TL18'!$B$3=P$3,SUMIF('TL18'!$C$10:$C$224,$C116,'TL18'!$J$10:$J$224),0),
IF('TL18'!$B$229=P$3,SUMIF('TL18'!$C$238:$C$451,$C116,'TL18'!$J$238:$J$451),0),
IF('TL19'!$B$3=P$3,SUMIF('TL19'!$C$10:$C$224,$C116,'TL19'!$J$10:$J$224),0),
IF('TL19'!$B$229=P$3,SUMIF('TL19'!$C$238:$C$451,$C116,'TL19'!$J$238:$J$451),0)
),0)</f>
        <v/>
      </c>
      <c r="Q116" s="9">
        <f>IFERROR(SUM(
IF('TL01'!$B$3=Q$3,SUMIF('TL01'!$C$10:$C$224,$C116,'TL01'!$J$10:$J$224),0),
IF('TL01'!$B$229=Q$3,SUMIF('TL01'!$C$238:$C$451,$C116,'TL01'!$J$238:$J$451),0),
IF('TL02'!$B$3=Q$3,SUMIF('TL02'!$C$10:$C$224,$C116,'TL02'!$J$10:$J$224),0),
IF('TL02'!$B$229=Q$3,SUMIF('TL02'!$C$238:$C$451,$C116,'TL02'!$J$238:$J$451),0),
IF('TL03'!$B$3=Q$3,SUMIF('TL03'!$C$10:$C$224,$C116,'TL03'!$J$10:$J$224),0),
IF('TL03'!$B$229=Q$3,SUMIF('TL03'!$C$238:$C$451,$C116,'TL03'!$J$238:$J$451),0),
IF('TL04'!$B$3=Q$3,SUMIF('TL04'!$C$10:$C$224,$C116,'TL04'!$J$10:$J$224),0),
IF('TL04'!$B$229=Q$3,SUMIF('TL04'!$C$238:$C$451,$C116,'TL04'!$J$238:$J$451),0),
IF('TL05'!$B$3=Q$3,SUMIF('TL05'!$C$10:$C$224,$C116,'TL05'!$J$10:$J$224),0),
IF('TL05'!$B$229=Q$3,SUMIF('TL05'!$C$238:$C$451,$C116,'TL05'!$J$238:$J$451),0),
IF('TL06'!$B$3=Q$3,SUMIF('TL06'!$C$10:$C$224,$C116,'TL06'!$J$10:$J$224),0),
IF('TL06'!$B$229=Q$3,SUMIF('TL06'!$C$238:$C$451,$C116,'TL06'!$J$238:$J$451),0),
IF('TL07'!$B$3=Q$3,SUMIF('TL07'!$C$10:$C$224,$C116,'TL07'!$J$10:$J$224),0),
IF('TL07'!$B$229=Q$3,SUMIF('TL07'!$C$238:$C$451,$C116,'TL07'!$J$238:$J$451),0),
IF('TL08'!$B$3=Q$3,SUMIF('TL08'!$C$10:$C$224,$C116,'TL08'!$J$10:$J$224),0),
IF('TL08'!$B$229=Q$3,SUMIF('TL08'!$C$238:$C$451,$C116,'TL08'!$J$238:$J$451),0),
IF('TL09'!$B$3=Q$3,SUMIF('TL09'!$C$10:$C$224,$C116,'TL09'!$J$10:$J$224),0),
IF('TL09'!$B$229=Q$3,SUMIF('TL09'!$C$238:$C$451,$C116,'TL09'!$J$238:$J$451),0),
IF('TL10'!$B$3=Q$3,SUMIF('TL10'!$C$10:$C$224,$C116,'TL10'!$J$10:$J$224),0),
IF('TL10'!$B$229=Q$3,SUMIF('TL10'!$C$238:$C$451,$C116,'TL10'!$J$238:$J$451),0),
IF('TL11'!$B$3=Q$3,SUMIF('TL11'!$C$10:$C$224,$C116,'TL11'!$J$10:$J$224),0),
IF('TL11'!$B$229=Q$3,SUMIF('TL11'!$C$238:$C$451,$C116,'TL11'!$J$238:$J$451),0),
IF('TL12'!$B$3=Q$3,SUMIF('TL12'!$C$10:$C$224,$C116,'TL12'!$J$10:$J$224),0),
IF('TL12'!$B$229=Q$3,SUMIF('TL12'!$C$238:$C$451,$C116,'TL12'!$J$238:$J$451),0),
IF('TL13'!$B$3=Q$3,SUMIF('TL13'!$C$10:$C$224,$C116,'TL13'!$J$10:$J$224),0),
IF('TL13'!$B$229=Q$3,SUMIF('TL13'!$C$238:$C$451,$C116,'TL13'!$J$238:$J$451),0),
IF('TL14'!$B$3=Q$3,SUMIF('TL14'!$C$10:$C$224,$C116,'TL14'!$J$10:$J$224),0),
IF('TL14'!$B$229=Q$3,SUMIF('TL14'!$C$238:$C$451,$C116,'TL14'!$J$238:$J$451),0),
IF('TL15'!$B$3=Q$3,SUMIF('TL15'!$C$10:$C$224,$C116,'TL15'!$J$10:$J$224),0),
IF('TL15'!$B$229=Q$3,SUMIF('TL15'!$C$238:$C$451,$C116,'TL15'!$J$238:$J$451),0),
IF('TL16'!$B$3=Q$3,SUMIF('TL16'!$C$10:$C$224,$C116,'TL16'!$J$10:$J$224),0),
IF('TL16'!$B$229=Q$3,SUMIF('TL16'!$C$238:$C$451,$C116,'TL16'!$J$238:$J$451),0),
IF('TL17'!$B$3=Q$3,SUMIF('TL17'!$C$10:$C$224,$C116,'TL17'!$J$10:$J$224),0),
IF('TL17'!$B$229=Q$3,SUMIF('TL17'!$C$238:$C$451,$C116,'TL17'!$J$238:$J$451),0),
IF('TL18'!$B$3=Q$3,SUMIF('TL18'!$C$10:$C$224,$C116,'TL18'!$J$10:$J$224),0),
IF('TL18'!$B$229=Q$3,SUMIF('TL18'!$C$238:$C$451,$C116,'TL18'!$J$238:$J$451),0),
IF('TL19'!$B$3=Q$3,SUMIF('TL19'!$C$10:$C$224,$C116,'TL19'!$J$10:$J$224),0),
IF('TL19'!$B$229=Q$3,SUMIF('TL19'!$C$238:$C$451,$C116,'TL19'!$J$238:$J$451),0)
),0)</f>
        <v/>
      </c>
      <c r="R116" s="9">
        <f>IFERROR(
SUM(
SUMIF('TL01'!C:C,C116,'TL01'!J:J),
SUMIF('TL02'!C:C,C116,'TL02'!J:J),
SUMIF('TL03'!C:C,C116,'TL03'!J:J),
SUMIF('TL04'!C:C,C116,'TL04'!J:J),
SUMIF('TL05'!C:C,C116,'TL05'!J:J),
SUMIF('TL06'!C:C,C116,'TL06'!J:J),
SUMIF('TL07'!C:C,C116,'TL07'!J:J),
SUMIF('TL08'!C:C,C116,'TL08'!J:J),
SUMIF('TL09'!C:C,C116,'TL09'!J:J),
SUMIF('TL10'!C:C,C116,'TL10'!J:J),
SUMIF('TL11'!C:C,C116,'TL11'!J:J),
SUMIF('TL12'!C:C,C116,'TL12'!J:J),
SUMIF('TL13'!C:C,C116,'TL13'!J:J),
SUMIF('TL14'!C:C,C116,'TL14'!J:J),
SUMIF('TL15'!C:C,C116,'TL15'!J:J),
SUMIF('TL16'!C:C,C116,'TL16'!J:J),
SUMIF('TL17'!C:C,C116,'TL17'!J:J),
SUMIF('TL18'!C:C,C116,'TL18'!J:J),SUMIF('TL19'!C:C,C116,'TL19'!J:J))
,0)</f>
        <v/>
      </c>
      <c r="S116" s="17">
        <f>IFERROR(__xludf.DUMMYFUNCTION("IFERROR(VLOOKUP(C116,
IMPORTRANGE(""1wULbzX32WdYsx-lj2U3uUNBBe2INVIRDtcK0d-Dvl90"",
""26-27!C:G""),
5,
FALSE),
"""")"),27.308379999999996)</f>
        <v/>
      </c>
      <c r="T116" s="9" t="n"/>
      <c r="U116" s="92">
        <f>MAX(0,R116-T116)</f>
        <v/>
      </c>
      <c r="V116" s="93">
        <f>U116*S116</f>
        <v/>
      </c>
    </row>
    <row r="117" hidden="1" ht="15.75" customHeight="1" s="297">
      <c r="A117" s="111" t="inlineStr">
        <is>
          <t>BASF</t>
        </is>
      </c>
      <c r="B117" s="112" t="inlineStr">
        <is>
          <t>HERBICIDA</t>
        </is>
      </c>
      <c r="C117" s="113" t="inlineStr">
        <is>
          <t>PROWL H2O</t>
        </is>
      </c>
      <c r="D117" s="113" t="inlineStr">
        <is>
          <t>PENDIMETALINA</t>
        </is>
      </c>
      <c r="E117" s="113" t="n">
        <v>455</v>
      </c>
      <c r="F117" s="4" t="inlineStr">
        <is>
          <t>L</t>
        </is>
      </c>
      <c r="G117" s="90">
        <f>HYPERLINK("https://www.google.com/search?q=" &amp; C117 &amp; "+bula+agrofit+pdf", "📄 Ver bula")</f>
        <v/>
      </c>
      <c r="H117" s="9">
        <f>IFERROR(__xludf.DUMMYFUNCTION("IFERROR(VLOOKUP(C117,
IMPORTRANGE(""1wULbzX32WdYsx-lj2U3uUNBBe2INVIRDtcK0d-Dvl90"",
""26-27!C:K""),
8,
FALSE),
"""")"),"")</f>
        <v/>
      </c>
      <c r="I117" s="114" t="inlineStr">
        <is>
          <t>2x10</t>
        </is>
      </c>
      <c r="J117" s="9">
        <f>IFERROR(SUM(
IF('TL01'!$B$3=J$3,SUMIF('TL01'!$C$10:$C$224,$C117,'TL01'!$J$10:$J$224),0),
IF('TL01'!$B$229=J$3,SUMIF('TL01'!$C$238:$C$451,$C117,'TL01'!$J$238:$J$451),0),
IF('TL02'!$B$3=J$3,SUMIF('TL02'!$C$10:$C$224,$C117,'TL02'!$J$10:$J$224),0),
IF('TL02'!$B$229=J$3,SUMIF('TL02'!$C$238:$C$451,$C117,'TL02'!$J$238:$J$451),0),
IF('TL03'!$B$3=J$3,SUMIF('TL03'!$C$10:$C$224,$C117,'TL03'!$J$10:$J$224),0),
IF('TL03'!$B$229=J$3,SUMIF('TL03'!$C$238:$C$451,$C117,'TL03'!$J$238:$J$451),0),
IF('TL04'!$B$3=J$3,SUMIF('TL04'!$C$10:$C$224,$C117,'TL04'!$J$10:$J$224),0),
IF('TL04'!$B$229=J$3,SUMIF('TL04'!$C$238:$C$451,$C117,'TL04'!$J$238:$J$451),0),
IF('TL05'!$B$3=J$3,SUMIF('TL05'!$C$10:$C$224,$C117,'TL05'!$J$10:$J$224),0),
IF('TL05'!$B$229=J$3,SUMIF('TL05'!$C$238:$C$451,$C117,'TL05'!$J$238:$J$451),0),
IF('TL06'!$B$3=J$3,SUMIF('TL06'!$C$10:$C$224,$C117,'TL06'!$J$10:$J$224),0),
IF('TL06'!$B$229=J$3,SUMIF('TL06'!$C$238:$C$451,$C117,'TL06'!$J$238:$J$451),0),
IF('TL07'!$B$3=J$3,SUMIF('TL07'!$C$10:$C$224,$C117,'TL07'!$J$10:$J$224),0),
IF('TL07'!$B$229=J$3,SUMIF('TL07'!$C$238:$C$451,$C117,'TL07'!$J$238:$J$451),0),
IF('TL08'!$B$3=J$3,SUMIF('TL08'!$C$10:$C$224,$C117,'TL08'!$J$10:$J$224),0),
IF('TL08'!$B$229=J$3,SUMIF('TL08'!$C$238:$C$451,$C117,'TL08'!$J$238:$J$451),0),
IF('TL09'!$B$3=J$3,SUMIF('TL09'!$C$10:$C$224,$C117,'TL09'!$J$10:$J$224),0),
IF('TL09'!$B$229=J$3,SUMIF('TL09'!$C$238:$C$451,$C117,'TL09'!$J$238:$J$451),0),
IF('TL10'!$B$3=J$3,SUMIF('TL10'!$C$10:$C$224,$C117,'TL10'!$J$10:$J$224),0),
IF('TL10'!$B$229=J$3,SUMIF('TL10'!$C$238:$C$451,$C117,'TL10'!$J$238:$J$451),0),
IF('TL11'!$B$3=J$3,SUMIF('TL11'!$C$10:$C$224,$C117,'TL11'!$J$10:$J$224),0),
IF('TL11'!$B$229=J$3,SUMIF('TL11'!$C$238:$C$451,$C117,'TL11'!$J$238:$J$451),0),
IF('TL12'!$B$3=J$3,SUMIF('TL12'!$C$10:$C$224,$C117,'TL12'!$J$10:$J$224),0),
IF('TL12'!$B$229=J$3,SUMIF('TL12'!$C$238:$C$451,$C117,'TL12'!$J$238:$J$451),0),
IF('TL13'!$B$3=J$3,SUMIF('TL13'!$C$10:$C$224,$C117,'TL13'!$J$10:$J$224),0),
IF('TL13'!$B$229=J$3,SUMIF('TL13'!$C$238:$C$451,$C117,'TL13'!$J$238:$J$451),0),
IF('TL14'!$B$3=J$3,SUMIF('TL14'!$C$10:$C$224,$C117,'TL14'!$J$10:$J$224),0),
IF('TL14'!$B$229=J$3,SUMIF('TL14'!$C$238:$C$451,$C117,'TL14'!$J$238:$J$451),0),
IF('TL15'!$B$3=J$3,SUMIF('TL15'!$C$10:$C$224,$C117,'TL15'!$J$10:$J$224),0),
IF('TL15'!$B$229=J$3,SUMIF('TL15'!$C$238:$C$451,$C117,'TL15'!$J$238:$J$451),0),
IF('TL16'!$B$3=J$3,SUMIF('TL16'!$C$10:$C$224,$C117,'TL16'!$J$10:$J$224),0),
IF('TL16'!$B$229=J$3,SUMIF('TL16'!$C$238:$C$451,$C117,'TL16'!$J$238:$J$451),0),
IF('TL17'!$B$3=J$3,SUMIF('TL17'!$C$10:$C$224,$C117,'TL17'!$J$10:$J$224),0),
IF('TL17'!$B$229=J$3,SUMIF('TL17'!$C$238:$C$451,$C117,'TL17'!$J$238:$J$451),0),
IF('TL18'!$B$3=J$3,SUMIF('TL18'!$C$10:$C$224,$C117,'TL18'!$J$10:$J$224),0),
IF('TL18'!$B$229=J$3,SUMIF('TL18'!$C$238:$C$451,$C117,'TL18'!$J$238:$J$451),0),
IF('TL19'!$B$3=J$3,SUMIF('TL19'!$C$10:$C$224,$C117,'TL19'!$J$10:$J$224),0),
IF('TL19'!$B$229=J$3,SUMIF('TL19'!$C$238:$C$451,$C117,'TL19'!$J$238:$J$451),0)
),0)</f>
        <v/>
      </c>
      <c r="K117" s="9">
        <f>IFERROR(SUM(
IF('TL01'!$B$3=K$3,SUMIF('TL01'!$C$10:$C$224,$C117,'TL01'!$J$10:$J$224),0),
IF('TL01'!$B$229=K$3,SUMIF('TL01'!$C$238:$C$451,$C117,'TL01'!$J$238:$J$451),0),
IF('TL02'!$B$3=K$3,SUMIF('TL02'!$C$10:$C$224,$C117,'TL02'!$J$10:$J$224),0),
IF('TL02'!$B$229=K$3,SUMIF('TL02'!$C$238:$C$451,$C117,'TL02'!$J$238:$J$451),0),
IF('TL03'!$B$3=K$3,SUMIF('TL03'!$C$10:$C$224,$C117,'TL03'!$J$10:$J$224),0),
IF('TL03'!$B$229=K$3,SUMIF('TL03'!$C$238:$C$451,$C117,'TL03'!$J$238:$J$451),0),
IF('TL04'!$B$3=K$3,SUMIF('TL04'!$C$10:$C$224,$C117,'TL04'!$J$10:$J$224),0),
IF('TL04'!$B$229=K$3,SUMIF('TL04'!$C$238:$C$451,$C117,'TL04'!$J$238:$J$451),0),
IF('TL05'!$B$3=K$3,SUMIF('TL05'!$C$10:$C$224,$C117,'TL05'!$J$10:$J$224),0),
IF('TL05'!$B$229=K$3,SUMIF('TL05'!$C$238:$C$451,$C117,'TL05'!$J$238:$J$451),0),
IF('TL06'!$B$3=K$3,SUMIF('TL06'!$C$10:$C$224,$C117,'TL06'!$J$10:$J$224),0),
IF('TL06'!$B$229=K$3,SUMIF('TL06'!$C$238:$C$451,$C117,'TL06'!$J$238:$J$451),0),
IF('TL07'!$B$3=K$3,SUMIF('TL07'!$C$10:$C$224,$C117,'TL07'!$J$10:$J$224),0),
IF('TL07'!$B$229=K$3,SUMIF('TL07'!$C$238:$C$451,$C117,'TL07'!$J$238:$J$451),0),
IF('TL08'!$B$3=K$3,SUMIF('TL08'!$C$10:$C$224,$C117,'TL08'!$J$10:$J$224),0),
IF('TL08'!$B$229=K$3,SUMIF('TL08'!$C$238:$C$451,$C117,'TL08'!$J$238:$J$451),0),
IF('TL09'!$B$3=K$3,SUMIF('TL09'!$C$10:$C$224,$C117,'TL09'!$J$10:$J$224),0),
IF('TL09'!$B$229=K$3,SUMIF('TL09'!$C$238:$C$451,$C117,'TL09'!$J$238:$J$451),0),
IF('TL10'!$B$3=K$3,SUMIF('TL10'!$C$10:$C$224,$C117,'TL10'!$J$10:$J$224),0),
IF('TL10'!$B$229=K$3,SUMIF('TL10'!$C$238:$C$451,$C117,'TL10'!$J$238:$J$451),0),
IF('TL11'!$B$3=K$3,SUMIF('TL11'!$C$10:$C$224,$C117,'TL11'!$J$10:$J$224),0),
IF('TL11'!$B$229=K$3,SUMIF('TL11'!$C$238:$C$451,$C117,'TL11'!$J$238:$J$451),0),
IF('TL12'!$B$3=K$3,SUMIF('TL12'!$C$10:$C$224,$C117,'TL12'!$J$10:$J$224),0),
IF('TL12'!$B$229=K$3,SUMIF('TL12'!$C$238:$C$451,$C117,'TL12'!$J$238:$J$451),0),
IF('TL13'!$B$3=K$3,SUMIF('TL13'!$C$10:$C$224,$C117,'TL13'!$J$10:$J$224),0),
IF('TL13'!$B$229=K$3,SUMIF('TL13'!$C$238:$C$451,$C117,'TL13'!$J$238:$J$451),0),
IF('TL14'!$B$3=K$3,SUMIF('TL14'!$C$10:$C$224,$C117,'TL14'!$J$10:$J$224),0),
IF('TL14'!$B$229=K$3,SUMIF('TL14'!$C$238:$C$451,$C117,'TL14'!$J$238:$J$451),0),
IF('TL15'!$B$3=K$3,SUMIF('TL15'!$C$10:$C$224,$C117,'TL15'!$J$10:$J$224),0),
IF('TL15'!$B$229=K$3,SUMIF('TL15'!$C$238:$C$451,$C117,'TL15'!$J$238:$J$451),0),
IF('TL16'!$B$3=K$3,SUMIF('TL16'!$C$10:$C$224,$C117,'TL16'!$J$10:$J$224),0),
IF('TL16'!$B$229=K$3,SUMIF('TL16'!$C$238:$C$451,$C117,'TL16'!$J$238:$J$451),0),
IF('TL17'!$B$3=K$3,SUMIF('TL17'!$C$10:$C$224,$C117,'TL17'!$J$10:$J$224),0),
IF('TL17'!$B$229=K$3,SUMIF('TL17'!$C$238:$C$451,$C117,'TL17'!$J$238:$J$451),0),
IF('TL18'!$B$3=K$3,SUMIF('TL18'!$C$10:$C$224,$C117,'TL18'!$J$10:$J$224),0),
IF('TL18'!$B$229=K$3,SUMIF('TL18'!$C$238:$C$451,$C117,'TL18'!$J$238:$J$451),0),
IF('TL19'!$B$3=K$3,SUMIF('TL19'!$C$10:$C$224,$C117,'TL19'!$J$10:$J$224),0),
IF('TL19'!$B$229=K$3,SUMIF('TL19'!$C$238:$C$451,$C117,'TL19'!$J$238:$J$451),0)
),0)</f>
        <v/>
      </c>
      <c r="L117" s="9">
        <f>IFERROR(SUM(
IF('TL01'!$B$3=L$3,SUMIF('TL01'!$C$10:$C$224,$C117,'TL01'!$J$10:$J$224),0),
IF('TL01'!$B$229=L$3,SUMIF('TL01'!$C$238:$C$451,$C117,'TL01'!$J$238:$J$451),0),
IF('TL02'!$B$3=L$3,SUMIF('TL02'!$C$10:$C$224,$C117,'TL02'!$J$10:$J$224),0),
IF('TL02'!$B$229=L$3,SUMIF('TL02'!$C$238:$C$451,$C117,'TL02'!$J$238:$J$451),0),
IF('TL03'!$B$3=L$3,SUMIF('TL03'!$C$10:$C$224,$C117,'TL03'!$J$10:$J$224),0),
IF('TL03'!$B$229=L$3,SUMIF('TL03'!$C$238:$C$451,$C117,'TL03'!$J$238:$J$451),0),
IF('TL04'!$B$3=L$3,SUMIF('TL04'!$C$10:$C$224,$C117,'TL04'!$J$10:$J$224),0),
IF('TL04'!$B$229=L$3,SUMIF('TL04'!$C$238:$C$451,$C117,'TL04'!$J$238:$J$451),0),
IF('TL05'!$B$3=L$3,SUMIF('TL05'!$C$10:$C$224,$C117,'TL05'!$J$10:$J$224),0),
IF('TL05'!$B$229=L$3,SUMIF('TL05'!$C$238:$C$451,$C117,'TL05'!$J$238:$J$451),0),
IF('TL06'!$B$3=L$3,SUMIF('TL06'!$C$10:$C$224,$C117,'TL06'!$J$10:$J$224),0),
IF('TL06'!$B$229=L$3,SUMIF('TL06'!$C$238:$C$451,$C117,'TL06'!$J$238:$J$451),0),
IF('TL07'!$B$3=L$3,SUMIF('TL07'!$C$10:$C$224,$C117,'TL07'!$J$10:$J$224),0),
IF('TL07'!$B$229=L$3,SUMIF('TL07'!$C$238:$C$451,$C117,'TL07'!$J$238:$J$451),0),
IF('TL08'!$B$3=L$3,SUMIF('TL08'!$C$10:$C$224,$C117,'TL08'!$J$10:$J$224),0),
IF('TL08'!$B$229=L$3,SUMIF('TL08'!$C$238:$C$451,$C117,'TL08'!$J$238:$J$451),0),
IF('TL09'!$B$3=L$3,SUMIF('TL09'!$C$10:$C$224,$C117,'TL09'!$J$10:$J$224),0),
IF('TL09'!$B$229=L$3,SUMIF('TL09'!$C$238:$C$451,$C117,'TL09'!$J$238:$J$451),0),
IF('TL10'!$B$3=L$3,SUMIF('TL10'!$C$10:$C$224,$C117,'TL10'!$J$10:$J$224),0),
IF('TL10'!$B$229=L$3,SUMIF('TL10'!$C$238:$C$451,$C117,'TL10'!$J$238:$J$451),0),
IF('TL11'!$B$3=L$3,SUMIF('TL11'!$C$10:$C$224,$C117,'TL11'!$J$10:$J$224),0),
IF('TL11'!$B$229=L$3,SUMIF('TL11'!$C$238:$C$451,$C117,'TL11'!$J$238:$J$451),0),
IF('TL12'!$B$3=L$3,SUMIF('TL12'!$C$10:$C$224,$C117,'TL12'!$J$10:$J$224),0),
IF('TL12'!$B$229=L$3,SUMIF('TL12'!$C$238:$C$451,$C117,'TL12'!$J$238:$J$451),0),
IF('TL13'!$B$3=L$3,SUMIF('TL13'!$C$10:$C$224,$C117,'TL13'!$J$10:$J$224),0),
IF('TL13'!$B$229=L$3,SUMIF('TL13'!$C$238:$C$451,$C117,'TL13'!$J$238:$J$451),0),
IF('TL14'!$B$3=L$3,SUMIF('TL14'!$C$10:$C$224,$C117,'TL14'!$J$10:$J$224),0),
IF('TL14'!$B$229=L$3,SUMIF('TL14'!$C$238:$C$451,$C117,'TL14'!$J$238:$J$451),0),
IF('TL15'!$B$3=L$3,SUMIF('TL15'!$C$10:$C$224,$C117,'TL15'!$J$10:$J$224),0),
IF('TL15'!$B$229=L$3,SUMIF('TL15'!$C$238:$C$451,$C117,'TL15'!$J$238:$J$451),0),
IF('TL16'!$B$3=L$3,SUMIF('TL16'!$C$10:$C$224,$C117,'TL16'!$J$10:$J$224),0),
IF('TL16'!$B$229=L$3,SUMIF('TL16'!$C$238:$C$451,$C117,'TL16'!$J$238:$J$451),0),
IF('TL17'!$B$3=L$3,SUMIF('TL17'!$C$10:$C$224,$C117,'TL17'!$J$10:$J$224),0),
IF('TL17'!$B$229=L$3,SUMIF('TL17'!$C$238:$C$451,$C117,'TL17'!$J$238:$J$451),0),
IF('TL18'!$B$3=L$3,SUMIF('TL18'!$C$10:$C$224,$C117,'TL18'!$J$10:$J$224),0),
IF('TL18'!$B$229=L$3,SUMIF('TL18'!$C$238:$C$451,$C117,'TL18'!$J$238:$J$451),0),
IF('TL19'!$B$3=L$3,SUMIF('TL19'!$C$10:$C$224,$C117,'TL19'!$J$10:$J$224),0),
IF('TL19'!$B$229=L$3,SUMIF('TL19'!$C$238:$C$451,$C117,'TL19'!$J$238:$J$451),0)
),0)</f>
        <v/>
      </c>
      <c r="M117" s="9">
        <f>IFERROR(SUM(
IF('TL01'!$B$3=M$3,SUMIF('TL01'!$C$10:$C$224,$C117,'TL01'!$J$10:$J$224),0),
IF('TL01'!$B$229=M$3,SUMIF('TL01'!$C$238:$C$451,$C117,'TL01'!$J$238:$J$451),0),
IF('TL02'!$B$3=M$3,SUMIF('TL02'!$C$10:$C$224,$C117,'TL02'!$J$10:$J$224),0),
IF('TL02'!$B$229=M$3,SUMIF('TL02'!$C$238:$C$451,$C117,'TL02'!$J$238:$J$451),0),
IF('TL03'!$B$3=M$3,SUMIF('TL03'!$C$10:$C$224,$C117,'TL03'!$J$10:$J$224),0),
IF('TL03'!$B$229=M$3,SUMIF('TL03'!$C$238:$C$451,$C117,'TL03'!$J$238:$J$451),0),
IF('TL04'!$B$3=M$3,SUMIF('TL04'!$C$10:$C$224,$C117,'TL04'!$J$10:$J$224),0),
IF('TL04'!$B$229=M$3,SUMIF('TL04'!$C$238:$C$451,$C117,'TL04'!$J$238:$J$451),0),
IF('TL05'!$B$3=M$3,SUMIF('TL05'!$C$10:$C$224,$C117,'TL05'!$J$10:$J$224),0),
IF('TL05'!$B$229=M$3,SUMIF('TL05'!$C$238:$C$451,$C117,'TL05'!$J$238:$J$451),0),
IF('TL06'!$B$3=M$3,SUMIF('TL06'!$C$10:$C$224,$C117,'TL06'!$J$10:$J$224),0),
IF('TL06'!$B$229=M$3,SUMIF('TL06'!$C$238:$C$451,$C117,'TL06'!$J$238:$J$451),0),
IF('TL07'!$B$3=M$3,SUMIF('TL07'!$C$10:$C$224,$C117,'TL07'!$J$10:$J$224),0),
IF('TL07'!$B$229=M$3,SUMIF('TL07'!$C$238:$C$451,$C117,'TL07'!$J$238:$J$451),0),
IF('TL08'!$B$3=M$3,SUMIF('TL08'!$C$10:$C$224,$C117,'TL08'!$J$10:$J$224),0),
IF('TL08'!$B$229=M$3,SUMIF('TL08'!$C$238:$C$451,$C117,'TL08'!$J$238:$J$451),0),
IF('TL09'!$B$3=M$3,SUMIF('TL09'!$C$10:$C$224,$C117,'TL09'!$J$10:$J$224),0),
IF('TL09'!$B$229=M$3,SUMIF('TL09'!$C$238:$C$451,$C117,'TL09'!$J$238:$J$451),0),
IF('TL10'!$B$3=M$3,SUMIF('TL10'!$C$10:$C$224,$C117,'TL10'!$J$10:$J$224),0),
IF('TL10'!$B$229=M$3,SUMIF('TL10'!$C$238:$C$451,$C117,'TL10'!$J$238:$J$451),0),
IF('TL11'!$B$3=M$3,SUMIF('TL11'!$C$10:$C$224,$C117,'TL11'!$J$10:$J$224),0),
IF('TL11'!$B$229=M$3,SUMIF('TL11'!$C$238:$C$451,$C117,'TL11'!$J$238:$J$451),0),
IF('TL12'!$B$3=M$3,SUMIF('TL12'!$C$10:$C$224,$C117,'TL12'!$J$10:$J$224),0),
IF('TL12'!$B$229=M$3,SUMIF('TL12'!$C$238:$C$451,$C117,'TL12'!$J$238:$J$451),0),
IF('TL13'!$B$3=M$3,SUMIF('TL13'!$C$10:$C$224,$C117,'TL13'!$J$10:$J$224),0),
IF('TL13'!$B$229=M$3,SUMIF('TL13'!$C$238:$C$451,$C117,'TL13'!$J$238:$J$451),0),
IF('TL14'!$B$3=M$3,SUMIF('TL14'!$C$10:$C$224,$C117,'TL14'!$J$10:$J$224),0),
IF('TL14'!$B$229=M$3,SUMIF('TL14'!$C$238:$C$451,$C117,'TL14'!$J$238:$J$451),0),
IF('TL15'!$B$3=M$3,SUMIF('TL15'!$C$10:$C$224,$C117,'TL15'!$J$10:$J$224),0),
IF('TL15'!$B$229=M$3,SUMIF('TL15'!$C$238:$C$451,$C117,'TL15'!$J$238:$J$451),0),
IF('TL16'!$B$3=M$3,SUMIF('TL16'!$C$10:$C$224,$C117,'TL16'!$J$10:$J$224),0),
IF('TL16'!$B$229=M$3,SUMIF('TL16'!$C$238:$C$451,$C117,'TL16'!$J$238:$J$451),0),
IF('TL17'!$B$3=M$3,SUMIF('TL17'!$C$10:$C$224,$C117,'TL17'!$J$10:$J$224),0),
IF('TL17'!$B$229=M$3,SUMIF('TL17'!$C$238:$C$451,$C117,'TL17'!$J$238:$J$451),0),
IF('TL18'!$B$3=M$3,SUMIF('TL18'!$C$10:$C$224,$C117,'TL18'!$J$10:$J$224),0),
IF('TL18'!$B$229=M$3,SUMIF('TL18'!$C$238:$C$451,$C117,'TL18'!$J$238:$J$451),0),
IF('TL19'!$B$3=M$3,SUMIF('TL19'!$C$10:$C$224,$C117,'TL19'!$J$10:$J$224),0),
IF('TL19'!$B$229=M$3,SUMIF('TL19'!$C$238:$C$451,$C117,'TL19'!$J$238:$J$451),0)
),0)</f>
        <v/>
      </c>
      <c r="N117" s="9">
        <f>IFERROR(SUM(
IF('TL01'!$B$3=N$3,SUMIF('TL01'!$C$10:$C$224,$C117,'TL01'!$J$10:$J$224),0),
IF('TL01'!$B$229=N$3,SUMIF('TL01'!$C$238:$C$451,$C117,'TL01'!$J$238:$J$451),0),
IF('TL02'!$B$3=N$3,SUMIF('TL02'!$C$10:$C$224,$C117,'TL02'!$J$10:$J$224),0),
IF('TL02'!$B$229=N$3,SUMIF('TL02'!$C$238:$C$451,$C117,'TL02'!$J$238:$J$451),0),
IF('TL03'!$B$3=N$3,SUMIF('TL03'!$C$10:$C$224,$C117,'TL03'!$J$10:$J$224),0),
IF('TL03'!$B$229=N$3,SUMIF('TL03'!$C$238:$C$451,$C117,'TL03'!$J$238:$J$451),0),
IF('TL04'!$B$3=N$3,SUMIF('TL04'!$C$10:$C$224,$C117,'TL04'!$J$10:$J$224),0),
IF('TL04'!$B$229=N$3,SUMIF('TL04'!$C$238:$C$451,$C117,'TL04'!$J$238:$J$451),0),
IF('TL05'!$B$3=N$3,SUMIF('TL05'!$C$10:$C$224,$C117,'TL05'!$J$10:$J$224),0),
IF('TL05'!$B$229=N$3,SUMIF('TL05'!$C$238:$C$451,$C117,'TL05'!$J$238:$J$451),0),
IF('TL06'!$B$3=N$3,SUMIF('TL06'!$C$10:$C$224,$C117,'TL06'!$J$10:$J$224),0),
IF('TL06'!$B$229=N$3,SUMIF('TL06'!$C$238:$C$451,$C117,'TL06'!$J$238:$J$451),0),
IF('TL07'!$B$3=N$3,SUMIF('TL07'!$C$10:$C$224,$C117,'TL07'!$J$10:$J$224),0),
IF('TL07'!$B$229=N$3,SUMIF('TL07'!$C$238:$C$451,$C117,'TL07'!$J$238:$J$451),0),
IF('TL08'!$B$3=N$3,SUMIF('TL08'!$C$10:$C$224,$C117,'TL08'!$J$10:$J$224),0),
IF('TL08'!$B$229=N$3,SUMIF('TL08'!$C$238:$C$451,$C117,'TL08'!$J$238:$J$451),0),
IF('TL09'!$B$3=N$3,SUMIF('TL09'!$C$10:$C$224,$C117,'TL09'!$J$10:$J$224),0),
IF('TL09'!$B$229=N$3,SUMIF('TL09'!$C$238:$C$451,$C117,'TL09'!$J$238:$J$451),0),
IF('TL10'!$B$3=N$3,SUMIF('TL10'!$C$10:$C$224,$C117,'TL10'!$J$10:$J$224),0),
IF('TL10'!$B$229=N$3,SUMIF('TL10'!$C$238:$C$451,$C117,'TL10'!$J$238:$J$451),0),
IF('TL11'!$B$3=N$3,SUMIF('TL11'!$C$10:$C$224,$C117,'TL11'!$J$10:$J$224),0),
IF('TL11'!$B$229=N$3,SUMIF('TL11'!$C$238:$C$451,$C117,'TL11'!$J$238:$J$451),0),
IF('TL12'!$B$3=N$3,SUMIF('TL12'!$C$10:$C$224,$C117,'TL12'!$J$10:$J$224),0),
IF('TL12'!$B$229=N$3,SUMIF('TL12'!$C$238:$C$451,$C117,'TL12'!$J$238:$J$451),0),
IF('TL13'!$B$3=N$3,SUMIF('TL13'!$C$10:$C$224,$C117,'TL13'!$J$10:$J$224),0),
IF('TL13'!$B$229=N$3,SUMIF('TL13'!$C$238:$C$451,$C117,'TL13'!$J$238:$J$451),0),
IF('TL14'!$B$3=N$3,SUMIF('TL14'!$C$10:$C$224,$C117,'TL14'!$J$10:$J$224),0),
IF('TL14'!$B$229=N$3,SUMIF('TL14'!$C$238:$C$451,$C117,'TL14'!$J$238:$J$451),0),
IF('TL15'!$B$3=N$3,SUMIF('TL15'!$C$10:$C$224,$C117,'TL15'!$J$10:$J$224),0),
IF('TL15'!$B$229=N$3,SUMIF('TL15'!$C$238:$C$451,$C117,'TL15'!$J$238:$J$451),0),
IF('TL16'!$B$3=N$3,SUMIF('TL16'!$C$10:$C$224,$C117,'TL16'!$J$10:$J$224),0),
IF('TL16'!$B$229=N$3,SUMIF('TL16'!$C$238:$C$451,$C117,'TL16'!$J$238:$J$451),0),
IF('TL17'!$B$3=N$3,SUMIF('TL17'!$C$10:$C$224,$C117,'TL17'!$J$10:$J$224),0),
IF('TL17'!$B$229=N$3,SUMIF('TL17'!$C$238:$C$451,$C117,'TL17'!$J$238:$J$451),0),
IF('TL18'!$B$3=N$3,SUMIF('TL18'!$C$10:$C$224,$C117,'TL18'!$J$10:$J$224),0),
IF('TL18'!$B$229=N$3,SUMIF('TL18'!$C$238:$C$451,$C117,'TL18'!$J$238:$J$451),0),
IF('TL19'!$B$3=N$3,SUMIF('TL19'!$C$10:$C$224,$C117,'TL19'!$J$10:$J$224),0),
IF('TL19'!$B$229=N$3,SUMIF('TL19'!$C$238:$C$451,$C117,'TL19'!$J$238:$J$451),0)
),0)</f>
        <v/>
      </c>
      <c r="O117" s="9">
        <f>IFERROR(SUM(
IF('TL01'!$B$3=O$3,SUMIF('TL01'!$C$10:$C$224,$C117,'TL01'!$J$10:$J$224),0),
IF('TL01'!$B$229=O$3,SUMIF('TL01'!$C$238:$C$451,$C117,'TL01'!$J$238:$J$451),0),
IF('TL02'!$B$3=O$3,SUMIF('TL02'!$C$10:$C$224,$C117,'TL02'!$J$10:$J$224),0),
IF('TL02'!$B$229=O$3,SUMIF('TL02'!$C$238:$C$451,$C117,'TL02'!$J$238:$J$451),0),
IF('TL03'!$B$3=O$3,SUMIF('TL03'!$C$10:$C$224,$C117,'TL03'!$J$10:$J$224),0),
IF('TL03'!$B$229=O$3,SUMIF('TL03'!$C$238:$C$451,$C117,'TL03'!$J$238:$J$451),0),
IF('TL04'!$B$3=O$3,SUMIF('TL04'!$C$10:$C$224,$C117,'TL04'!$J$10:$J$224),0),
IF('TL04'!$B$229=O$3,SUMIF('TL04'!$C$238:$C$451,$C117,'TL04'!$J$238:$J$451),0),
IF('TL05'!$B$3=O$3,SUMIF('TL05'!$C$10:$C$224,$C117,'TL05'!$J$10:$J$224),0),
IF('TL05'!$B$229=O$3,SUMIF('TL05'!$C$238:$C$451,$C117,'TL05'!$J$238:$J$451),0),
IF('TL06'!$B$3=O$3,SUMIF('TL06'!$C$10:$C$224,$C117,'TL06'!$J$10:$J$224),0),
IF('TL06'!$B$229=O$3,SUMIF('TL06'!$C$238:$C$451,$C117,'TL06'!$J$238:$J$451),0),
IF('TL07'!$B$3=O$3,SUMIF('TL07'!$C$10:$C$224,$C117,'TL07'!$J$10:$J$224),0),
IF('TL07'!$B$229=O$3,SUMIF('TL07'!$C$238:$C$451,$C117,'TL07'!$J$238:$J$451),0),
IF('TL08'!$B$3=O$3,SUMIF('TL08'!$C$10:$C$224,$C117,'TL08'!$J$10:$J$224),0),
IF('TL08'!$B$229=O$3,SUMIF('TL08'!$C$238:$C$451,$C117,'TL08'!$J$238:$J$451),0),
IF('TL09'!$B$3=O$3,SUMIF('TL09'!$C$10:$C$224,$C117,'TL09'!$J$10:$J$224),0),
IF('TL09'!$B$229=O$3,SUMIF('TL09'!$C$238:$C$451,$C117,'TL09'!$J$238:$J$451),0),
IF('TL10'!$B$3=O$3,SUMIF('TL10'!$C$10:$C$224,$C117,'TL10'!$J$10:$J$224),0),
IF('TL10'!$B$229=O$3,SUMIF('TL10'!$C$238:$C$451,$C117,'TL10'!$J$238:$J$451),0),
IF('TL11'!$B$3=O$3,SUMIF('TL11'!$C$10:$C$224,$C117,'TL11'!$J$10:$J$224),0),
IF('TL11'!$B$229=O$3,SUMIF('TL11'!$C$238:$C$451,$C117,'TL11'!$J$238:$J$451),0),
IF('TL12'!$B$3=O$3,SUMIF('TL12'!$C$10:$C$224,$C117,'TL12'!$J$10:$J$224),0),
IF('TL12'!$B$229=O$3,SUMIF('TL12'!$C$238:$C$451,$C117,'TL12'!$J$238:$J$451),0),
IF('TL13'!$B$3=O$3,SUMIF('TL13'!$C$10:$C$224,$C117,'TL13'!$J$10:$J$224),0),
IF('TL13'!$B$229=O$3,SUMIF('TL13'!$C$238:$C$451,$C117,'TL13'!$J$238:$J$451),0),
IF('TL14'!$B$3=O$3,SUMIF('TL14'!$C$10:$C$224,$C117,'TL14'!$J$10:$J$224),0),
IF('TL14'!$B$229=O$3,SUMIF('TL14'!$C$238:$C$451,$C117,'TL14'!$J$238:$J$451),0),
IF('TL15'!$B$3=O$3,SUMIF('TL15'!$C$10:$C$224,$C117,'TL15'!$J$10:$J$224),0),
IF('TL15'!$B$229=O$3,SUMIF('TL15'!$C$238:$C$451,$C117,'TL15'!$J$238:$J$451),0),
IF('TL16'!$B$3=O$3,SUMIF('TL16'!$C$10:$C$224,$C117,'TL16'!$J$10:$J$224),0),
IF('TL16'!$B$229=O$3,SUMIF('TL16'!$C$238:$C$451,$C117,'TL16'!$J$238:$J$451),0),
IF('TL17'!$B$3=O$3,SUMIF('TL17'!$C$10:$C$224,$C117,'TL17'!$J$10:$J$224),0),
IF('TL17'!$B$229=O$3,SUMIF('TL17'!$C$238:$C$451,$C117,'TL17'!$J$238:$J$451),0),
IF('TL18'!$B$3=O$3,SUMIF('TL18'!$C$10:$C$224,$C117,'TL18'!$J$10:$J$224),0),
IF('TL18'!$B$229=O$3,SUMIF('TL18'!$C$238:$C$451,$C117,'TL18'!$J$238:$J$451),0),
IF('TL19'!$B$3=O$3,SUMIF('TL19'!$C$10:$C$224,$C117,'TL19'!$J$10:$J$224),0),
IF('TL19'!$B$229=O$3,SUMIF('TL19'!$C$238:$C$451,$C117,'TL19'!$J$238:$J$451),0)
),0)</f>
        <v/>
      </c>
      <c r="P117" s="9">
        <f>IFERROR(SUM(
IF('TL01'!$B$3=P$3,SUMIF('TL01'!$C$10:$C$224,$C117,'TL01'!$J$10:$J$224),0),
IF('TL01'!$B$229=P$3,SUMIF('TL01'!$C$238:$C$451,$C117,'TL01'!$J$238:$J$451),0),
IF('TL02'!$B$3=P$3,SUMIF('TL02'!$C$10:$C$224,$C117,'TL02'!$J$10:$J$224),0),
IF('TL02'!$B$229=P$3,SUMIF('TL02'!$C$238:$C$451,$C117,'TL02'!$J$238:$J$451),0),
IF('TL03'!$B$3=P$3,SUMIF('TL03'!$C$10:$C$224,$C117,'TL03'!$J$10:$J$224),0),
IF('TL03'!$B$229=P$3,SUMIF('TL03'!$C$238:$C$451,$C117,'TL03'!$J$238:$J$451),0),
IF('TL04'!$B$3=P$3,SUMIF('TL04'!$C$10:$C$224,$C117,'TL04'!$J$10:$J$224),0),
IF('TL04'!$B$229=P$3,SUMIF('TL04'!$C$238:$C$451,$C117,'TL04'!$J$238:$J$451),0),
IF('TL05'!$B$3=P$3,SUMIF('TL05'!$C$10:$C$224,$C117,'TL05'!$J$10:$J$224),0),
IF('TL05'!$B$229=P$3,SUMIF('TL05'!$C$238:$C$451,$C117,'TL05'!$J$238:$J$451),0),
IF('TL06'!$B$3=P$3,SUMIF('TL06'!$C$10:$C$224,$C117,'TL06'!$J$10:$J$224),0),
IF('TL06'!$B$229=P$3,SUMIF('TL06'!$C$238:$C$451,$C117,'TL06'!$J$238:$J$451),0),
IF('TL07'!$B$3=P$3,SUMIF('TL07'!$C$10:$C$224,$C117,'TL07'!$J$10:$J$224),0),
IF('TL07'!$B$229=P$3,SUMIF('TL07'!$C$238:$C$451,$C117,'TL07'!$J$238:$J$451),0),
IF('TL08'!$B$3=P$3,SUMIF('TL08'!$C$10:$C$224,$C117,'TL08'!$J$10:$J$224),0),
IF('TL08'!$B$229=P$3,SUMIF('TL08'!$C$238:$C$451,$C117,'TL08'!$J$238:$J$451),0),
IF('TL09'!$B$3=P$3,SUMIF('TL09'!$C$10:$C$224,$C117,'TL09'!$J$10:$J$224),0),
IF('TL09'!$B$229=P$3,SUMIF('TL09'!$C$238:$C$451,$C117,'TL09'!$J$238:$J$451),0),
IF('TL10'!$B$3=P$3,SUMIF('TL10'!$C$10:$C$224,$C117,'TL10'!$J$10:$J$224),0),
IF('TL10'!$B$229=P$3,SUMIF('TL10'!$C$238:$C$451,$C117,'TL10'!$J$238:$J$451),0),
IF('TL11'!$B$3=P$3,SUMIF('TL11'!$C$10:$C$224,$C117,'TL11'!$J$10:$J$224),0),
IF('TL11'!$B$229=P$3,SUMIF('TL11'!$C$238:$C$451,$C117,'TL11'!$J$238:$J$451),0),
IF('TL12'!$B$3=P$3,SUMIF('TL12'!$C$10:$C$224,$C117,'TL12'!$J$10:$J$224),0),
IF('TL12'!$B$229=P$3,SUMIF('TL12'!$C$238:$C$451,$C117,'TL12'!$J$238:$J$451),0),
IF('TL13'!$B$3=P$3,SUMIF('TL13'!$C$10:$C$224,$C117,'TL13'!$J$10:$J$224),0),
IF('TL13'!$B$229=P$3,SUMIF('TL13'!$C$238:$C$451,$C117,'TL13'!$J$238:$J$451),0),
IF('TL14'!$B$3=P$3,SUMIF('TL14'!$C$10:$C$224,$C117,'TL14'!$J$10:$J$224),0),
IF('TL14'!$B$229=P$3,SUMIF('TL14'!$C$238:$C$451,$C117,'TL14'!$J$238:$J$451),0),
IF('TL15'!$B$3=P$3,SUMIF('TL15'!$C$10:$C$224,$C117,'TL15'!$J$10:$J$224),0),
IF('TL15'!$B$229=P$3,SUMIF('TL15'!$C$238:$C$451,$C117,'TL15'!$J$238:$J$451),0),
IF('TL16'!$B$3=P$3,SUMIF('TL16'!$C$10:$C$224,$C117,'TL16'!$J$10:$J$224),0),
IF('TL16'!$B$229=P$3,SUMIF('TL16'!$C$238:$C$451,$C117,'TL16'!$J$238:$J$451),0),
IF('TL17'!$B$3=P$3,SUMIF('TL17'!$C$10:$C$224,$C117,'TL17'!$J$10:$J$224),0),
IF('TL17'!$B$229=P$3,SUMIF('TL17'!$C$238:$C$451,$C117,'TL17'!$J$238:$J$451),0),
IF('TL18'!$B$3=P$3,SUMIF('TL18'!$C$10:$C$224,$C117,'TL18'!$J$10:$J$224),0),
IF('TL18'!$B$229=P$3,SUMIF('TL18'!$C$238:$C$451,$C117,'TL18'!$J$238:$J$451),0),
IF('TL19'!$B$3=P$3,SUMIF('TL19'!$C$10:$C$224,$C117,'TL19'!$J$10:$J$224),0),
IF('TL19'!$B$229=P$3,SUMIF('TL19'!$C$238:$C$451,$C117,'TL19'!$J$238:$J$451),0)
),0)</f>
        <v/>
      </c>
      <c r="Q117" s="9">
        <f>IFERROR(SUM(
IF('TL01'!$B$3=Q$3,SUMIF('TL01'!$C$10:$C$224,$C117,'TL01'!$J$10:$J$224),0),
IF('TL01'!$B$229=Q$3,SUMIF('TL01'!$C$238:$C$451,$C117,'TL01'!$J$238:$J$451),0),
IF('TL02'!$B$3=Q$3,SUMIF('TL02'!$C$10:$C$224,$C117,'TL02'!$J$10:$J$224),0),
IF('TL02'!$B$229=Q$3,SUMIF('TL02'!$C$238:$C$451,$C117,'TL02'!$J$238:$J$451),0),
IF('TL03'!$B$3=Q$3,SUMIF('TL03'!$C$10:$C$224,$C117,'TL03'!$J$10:$J$224),0),
IF('TL03'!$B$229=Q$3,SUMIF('TL03'!$C$238:$C$451,$C117,'TL03'!$J$238:$J$451),0),
IF('TL04'!$B$3=Q$3,SUMIF('TL04'!$C$10:$C$224,$C117,'TL04'!$J$10:$J$224),0),
IF('TL04'!$B$229=Q$3,SUMIF('TL04'!$C$238:$C$451,$C117,'TL04'!$J$238:$J$451),0),
IF('TL05'!$B$3=Q$3,SUMIF('TL05'!$C$10:$C$224,$C117,'TL05'!$J$10:$J$224),0),
IF('TL05'!$B$229=Q$3,SUMIF('TL05'!$C$238:$C$451,$C117,'TL05'!$J$238:$J$451),0),
IF('TL06'!$B$3=Q$3,SUMIF('TL06'!$C$10:$C$224,$C117,'TL06'!$J$10:$J$224),0),
IF('TL06'!$B$229=Q$3,SUMIF('TL06'!$C$238:$C$451,$C117,'TL06'!$J$238:$J$451),0),
IF('TL07'!$B$3=Q$3,SUMIF('TL07'!$C$10:$C$224,$C117,'TL07'!$J$10:$J$224),0),
IF('TL07'!$B$229=Q$3,SUMIF('TL07'!$C$238:$C$451,$C117,'TL07'!$J$238:$J$451),0),
IF('TL08'!$B$3=Q$3,SUMIF('TL08'!$C$10:$C$224,$C117,'TL08'!$J$10:$J$224),0),
IF('TL08'!$B$229=Q$3,SUMIF('TL08'!$C$238:$C$451,$C117,'TL08'!$J$238:$J$451),0),
IF('TL09'!$B$3=Q$3,SUMIF('TL09'!$C$10:$C$224,$C117,'TL09'!$J$10:$J$224),0),
IF('TL09'!$B$229=Q$3,SUMIF('TL09'!$C$238:$C$451,$C117,'TL09'!$J$238:$J$451),0),
IF('TL10'!$B$3=Q$3,SUMIF('TL10'!$C$10:$C$224,$C117,'TL10'!$J$10:$J$224),0),
IF('TL10'!$B$229=Q$3,SUMIF('TL10'!$C$238:$C$451,$C117,'TL10'!$J$238:$J$451),0),
IF('TL11'!$B$3=Q$3,SUMIF('TL11'!$C$10:$C$224,$C117,'TL11'!$J$10:$J$224),0),
IF('TL11'!$B$229=Q$3,SUMIF('TL11'!$C$238:$C$451,$C117,'TL11'!$J$238:$J$451),0),
IF('TL12'!$B$3=Q$3,SUMIF('TL12'!$C$10:$C$224,$C117,'TL12'!$J$10:$J$224),0),
IF('TL12'!$B$229=Q$3,SUMIF('TL12'!$C$238:$C$451,$C117,'TL12'!$J$238:$J$451),0),
IF('TL13'!$B$3=Q$3,SUMIF('TL13'!$C$10:$C$224,$C117,'TL13'!$J$10:$J$224),0),
IF('TL13'!$B$229=Q$3,SUMIF('TL13'!$C$238:$C$451,$C117,'TL13'!$J$238:$J$451),0),
IF('TL14'!$B$3=Q$3,SUMIF('TL14'!$C$10:$C$224,$C117,'TL14'!$J$10:$J$224),0),
IF('TL14'!$B$229=Q$3,SUMIF('TL14'!$C$238:$C$451,$C117,'TL14'!$J$238:$J$451),0),
IF('TL15'!$B$3=Q$3,SUMIF('TL15'!$C$10:$C$224,$C117,'TL15'!$J$10:$J$224),0),
IF('TL15'!$B$229=Q$3,SUMIF('TL15'!$C$238:$C$451,$C117,'TL15'!$J$238:$J$451),0),
IF('TL16'!$B$3=Q$3,SUMIF('TL16'!$C$10:$C$224,$C117,'TL16'!$J$10:$J$224),0),
IF('TL16'!$B$229=Q$3,SUMIF('TL16'!$C$238:$C$451,$C117,'TL16'!$J$238:$J$451),0),
IF('TL17'!$B$3=Q$3,SUMIF('TL17'!$C$10:$C$224,$C117,'TL17'!$J$10:$J$224),0),
IF('TL17'!$B$229=Q$3,SUMIF('TL17'!$C$238:$C$451,$C117,'TL17'!$J$238:$J$451),0),
IF('TL18'!$B$3=Q$3,SUMIF('TL18'!$C$10:$C$224,$C117,'TL18'!$J$10:$J$224),0),
IF('TL18'!$B$229=Q$3,SUMIF('TL18'!$C$238:$C$451,$C117,'TL18'!$J$238:$J$451),0),
IF('TL19'!$B$3=Q$3,SUMIF('TL19'!$C$10:$C$224,$C117,'TL19'!$J$10:$J$224),0),
IF('TL19'!$B$229=Q$3,SUMIF('TL19'!$C$238:$C$451,$C117,'TL19'!$J$238:$J$451),0)
),0)</f>
        <v/>
      </c>
      <c r="R117" s="9">
        <f>IFERROR(
SUM(
SUMIF('TL01'!C:C,C117,'TL01'!J:J),
SUMIF('TL02'!C:C,C117,'TL02'!J:J),
SUMIF('TL03'!C:C,C117,'TL03'!J:J),
SUMIF('TL04'!C:C,C117,'TL04'!J:J),
SUMIF('TL05'!C:C,C117,'TL05'!J:J),
SUMIF('TL06'!C:C,C117,'TL06'!J:J),
SUMIF('TL07'!C:C,C117,'TL07'!J:J),
SUMIF('TL08'!C:C,C117,'TL08'!J:J),
SUMIF('TL09'!C:C,C117,'TL09'!J:J),
SUMIF('TL10'!C:C,C117,'TL10'!J:J),
SUMIF('TL11'!C:C,C117,'TL11'!J:J),
SUMIF('TL12'!C:C,C117,'TL12'!J:J),
SUMIF('TL13'!C:C,C117,'TL13'!J:J),
SUMIF('TL14'!C:C,C117,'TL14'!J:J),
SUMIF('TL15'!C:C,C117,'TL15'!J:J),
SUMIF('TL16'!C:C,C117,'TL16'!J:J),
SUMIF('TL17'!C:C,C117,'TL17'!J:J),
SUMIF('TL18'!C:C,C117,'TL18'!J:J),SUMIF('TL19'!C:C,C117,'TL19'!J:J))
,0)</f>
        <v/>
      </c>
      <c r="S117" s="17">
        <f>IFERROR(__xludf.DUMMYFUNCTION("IFERROR(VLOOKUP(C117,
IMPORTRANGE(""1wULbzX32WdYsx-lj2U3uUNBBe2INVIRDtcK0d-Dvl90"",
""26-27!C:G""),
5,
FALSE),
"""")"),62.35945999999999)</f>
        <v/>
      </c>
      <c r="T117" s="9" t="n"/>
      <c r="U117" s="92">
        <f>MAX(0,R117-T117)</f>
        <v/>
      </c>
      <c r="V117" s="93">
        <f>U117*S117</f>
        <v/>
      </c>
    </row>
    <row r="118" hidden="1" ht="15.75" customHeight="1" s="297">
      <c r="A118" s="115" t="inlineStr">
        <is>
          <t>BAYER</t>
        </is>
      </c>
      <c r="B118" s="100" t="inlineStr">
        <is>
          <t>HERBICIDA</t>
        </is>
      </c>
      <c r="C118" s="116" t="inlineStr">
        <is>
          <t>ADENGO</t>
        </is>
      </c>
      <c r="D118" s="116" t="inlineStr">
        <is>
          <t>ISOXAFLUTOL + TIENCARBAZONA METÍLICA</t>
        </is>
      </c>
      <c r="E118" s="116" t="inlineStr">
        <is>
          <t>225 + 90</t>
        </is>
      </c>
      <c r="F118" s="4" t="inlineStr">
        <is>
          <t>L</t>
        </is>
      </c>
      <c r="G118" s="90">
        <f>HYPERLINK("https://www.google.com/search?q=" &amp; C118 &amp; "+bula+agrofit+pdf", "📄 Ver bula")</f>
        <v/>
      </c>
      <c r="H118" s="9">
        <f>IFERROR(__xludf.DUMMYFUNCTION("IFERROR(VLOOKUP(C118,
IMPORTRANGE(""1wULbzX32WdYsx-lj2U3uUNBBe2INVIRDtcK0d-Dvl90"",
""26-27!C:K""),
8,
FALSE),
"""")"),0.2)</f>
        <v/>
      </c>
      <c r="I118" s="117" t="inlineStr">
        <is>
          <t>12X1</t>
        </is>
      </c>
      <c r="J118" s="9">
        <f>IFERROR(SUM(
IF('TL01'!$B$3=J$3,SUMIF('TL01'!$C$10:$C$224,$C118,'TL01'!$J$10:$J$224),0),
IF('TL01'!$B$229=J$3,SUMIF('TL01'!$C$238:$C$451,$C118,'TL01'!$J$238:$J$451),0),
IF('TL02'!$B$3=J$3,SUMIF('TL02'!$C$10:$C$224,$C118,'TL02'!$J$10:$J$224),0),
IF('TL02'!$B$229=J$3,SUMIF('TL02'!$C$238:$C$451,$C118,'TL02'!$J$238:$J$451),0),
IF('TL03'!$B$3=J$3,SUMIF('TL03'!$C$10:$C$224,$C118,'TL03'!$J$10:$J$224),0),
IF('TL03'!$B$229=J$3,SUMIF('TL03'!$C$238:$C$451,$C118,'TL03'!$J$238:$J$451),0),
IF('TL04'!$B$3=J$3,SUMIF('TL04'!$C$10:$C$224,$C118,'TL04'!$J$10:$J$224),0),
IF('TL04'!$B$229=J$3,SUMIF('TL04'!$C$238:$C$451,$C118,'TL04'!$J$238:$J$451),0),
IF('TL05'!$B$3=J$3,SUMIF('TL05'!$C$10:$C$224,$C118,'TL05'!$J$10:$J$224),0),
IF('TL05'!$B$229=J$3,SUMIF('TL05'!$C$238:$C$451,$C118,'TL05'!$J$238:$J$451),0),
IF('TL06'!$B$3=J$3,SUMIF('TL06'!$C$10:$C$224,$C118,'TL06'!$J$10:$J$224),0),
IF('TL06'!$B$229=J$3,SUMIF('TL06'!$C$238:$C$451,$C118,'TL06'!$J$238:$J$451),0),
IF('TL07'!$B$3=J$3,SUMIF('TL07'!$C$10:$C$224,$C118,'TL07'!$J$10:$J$224),0),
IF('TL07'!$B$229=J$3,SUMIF('TL07'!$C$238:$C$451,$C118,'TL07'!$J$238:$J$451),0),
IF('TL08'!$B$3=J$3,SUMIF('TL08'!$C$10:$C$224,$C118,'TL08'!$J$10:$J$224),0),
IF('TL08'!$B$229=J$3,SUMIF('TL08'!$C$238:$C$451,$C118,'TL08'!$J$238:$J$451),0),
IF('TL09'!$B$3=J$3,SUMIF('TL09'!$C$10:$C$224,$C118,'TL09'!$J$10:$J$224),0),
IF('TL09'!$B$229=J$3,SUMIF('TL09'!$C$238:$C$451,$C118,'TL09'!$J$238:$J$451),0),
IF('TL10'!$B$3=J$3,SUMIF('TL10'!$C$10:$C$224,$C118,'TL10'!$J$10:$J$224),0),
IF('TL10'!$B$229=J$3,SUMIF('TL10'!$C$238:$C$451,$C118,'TL10'!$J$238:$J$451),0),
IF('TL11'!$B$3=J$3,SUMIF('TL11'!$C$10:$C$224,$C118,'TL11'!$J$10:$J$224),0),
IF('TL11'!$B$229=J$3,SUMIF('TL11'!$C$238:$C$451,$C118,'TL11'!$J$238:$J$451),0),
IF('TL12'!$B$3=J$3,SUMIF('TL12'!$C$10:$C$224,$C118,'TL12'!$J$10:$J$224),0),
IF('TL12'!$B$229=J$3,SUMIF('TL12'!$C$238:$C$451,$C118,'TL12'!$J$238:$J$451),0),
IF('TL13'!$B$3=J$3,SUMIF('TL13'!$C$10:$C$224,$C118,'TL13'!$J$10:$J$224),0),
IF('TL13'!$B$229=J$3,SUMIF('TL13'!$C$238:$C$451,$C118,'TL13'!$J$238:$J$451),0),
IF('TL14'!$B$3=J$3,SUMIF('TL14'!$C$10:$C$224,$C118,'TL14'!$J$10:$J$224),0),
IF('TL14'!$B$229=J$3,SUMIF('TL14'!$C$238:$C$451,$C118,'TL14'!$J$238:$J$451),0),
IF('TL15'!$B$3=J$3,SUMIF('TL15'!$C$10:$C$224,$C118,'TL15'!$J$10:$J$224),0),
IF('TL15'!$B$229=J$3,SUMIF('TL15'!$C$238:$C$451,$C118,'TL15'!$J$238:$J$451),0),
IF('TL16'!$B$3=J$3,SUMIF('TL16'!$C$10:$C$224,$C118,'TL16'!$J$10:$J$224),0),
IF('TL16'!$B$229=J$3,SUMIF('TL16'!$C$238:$C$451,$C118,'TL16'!$J$238:$J$451),0),
IF('TL17'!$B$3=J$3,SUMIF('TL17'!$C$10:$C$224,$C118,'TL17'!$J$10:$J$224),0),
IF('TL17'!$B$229=J$3,SUMIF('TL17'!$C$238:$C$451,$C118,'TL17'!$J$238:$J$451),0),
IF('TL18'!$B$3=J$3,SUMIF('TL18'!$C$10:$C$224,$C118,'TL18'!$J$10:$J$224),0),
IF('TL18'!$B$229=J$3,SUMIF('TL18'!$C$238:$C$451,$C118,'TL18'!$J$238:$J$451),0),
IF('TL19'!$B$3=J$3,SUMIF('TL19'!$C$10:$C$224,$C118,'TL19'!$J$10:$J$224),0),
IF('TL19'!$B$229=J$3,SUMIF('TL19'!$C$238:$C$451,$C118,'TL19'!$J$238:$J$451),0)
),0)</f>
        <v/>
      </c>
      <c r="K118" s="9">
        <f>IFERROR(SUM(
IF('TL01'!$B$3=K$3,SUMIF('TL01'!$C$10:$C$224,$C118,'TL01'!$J$10:$J$224),0),
IF('TL01'!$B$229=K$3,SUMIF('TL01'!$C$238:$C$451,$C118,'TL01'!$J$238:$J$451),0),
IF('TL02'!$B$3=K$3,SUMIF('TL02'!$C$10:$C$224,$C118,'TL02'!$J$10:$J$224),0),
IF('TL02'!$B$229=K$3,SUMIF('TL02'!$C$238:$C$451,$C118,'TL02'!$J$238:$J$451),0),
IF('TL03'!$B$3=K$3,SUMIF('TL03'!$C$10:$C$224,$C118,'TL03'!$J$10:$J$224),0),
IF('TL03'!$B$229=K$3,SUMIF('TL03'!$C$238:$C$451,$C118,'TL03'!$J$238:$J$451),0),
IF('TL04'!$B$3=K$3,SUMIF('TL04'!$C$10:$C$224,$C118,'TL04'!$J$10:$J$224),0),
IF('TL04'!$B$229=K$3,SUMIF('TL04'!$C$238:$C$451,$C118,'TL04'!$J$238:$J$451),0),
IF('TL05'!$B$3=K$3,SUMIF('TL05'!$C$10:$C$224,$C118,'TL05'!$J$10:$J$224),0),
IF('TL05'!$B$229=K$3,SUMIF('TL05'!$C$238:$C$451,$C118,'TL05'!$J$238:$J$451),0),
IF('TL06'!$B$3=K$3,SUMIF('TL06'!$C$10:$C$224,$C118,'TL06'!$J$10:$J$224),0),
IF('TL06'!$B$229=K$3,SUMIF('TL06'!$C$238:$C$451,$C118,'TL06'!$J$238:$J$451),0),
IF('TL07'!$B$3=K$3,SUMIF('TL07'!$C$10:$C$224,$C118,'TL07'!$J$10:$J$224),0),
IF('TL07'!$B$229=K$3,SUMIF('TL07'!$C$238:$C$451,$C118,'TL07'!$J$238:$J$451),0),
IF('TL08'!$B$3=K$3,SUMIF('TL08'!$C$10:$C$224,$C118,'TL08'!$J$10:$J$224),0),
IF('TL08'!$B$229=K$3,SUMIF('TL08'!$C$238:$C$451,$C118,'TL08'!$J$238:$J$451),0),
IF('TL09'!$B$3=K$3,SUMIF('TL09'!$C$10:$C$224,$C118,'TL09'!$J$10:$J$224),0),
IF('TL09'!$B$229=K$3,SUMIF('TL09'!$C$238:$C$451,$C118,'TL09'!$J$238:$J$451),0),
IF('TL10'!$B$3=K$3,SUMIF('TL10'!$C$10:$C$224,$C118,'TL10'!$J$10:$J$224),0),
IF('TL10'!$B$229=K$3,SUMIF('TL10'!$C$238:$C$451,$C118,'TL10'!$J$238:$J$451),0),
IF('TL11'!$B$3=K$3,SUMIF('TL11'!$C$10:$C$224,$C118,'TL11'!$J$10:$J$224),0),
IF('TL11'!$B$229=K$3,SUMIF('TL11'!$C$238:$C$451,$C118,'TL11'!$J$238:$J$451),0),
IF('TL12'!$B$3=K$3,SUMIF('TL12'!$C$10:$C$224,$C118,'TL12'!$J$10:$J$224),0),
IF('TL12'!$B$229=K$3,SUMIF('TL12'!$C$238:$C$451,$C118,'TL12'!$J$238:$J$451),0),
IF('TL13'!$B$3=K$3,SUMIF('TL13'!$C$10:$C$224,$C118,'TL13'!$J$10:$J$224),0),
IF('TL13'!$B$229=K$3,SUMIF('TL13'!$C$238:$C$451,$C118,'TL13'!$J$238:$J$451),0),
IF('TL14'!$B$3=K$3,SUMIF('TL14'!$C$10:$C$224,$C118,'TL14'!$J$10:$J$224),0),
IF('TL14'!$B$229=K$3,SUMIF('TL14'!$C$238:$C$451,$C118,'TL14'!$J$238:$J$451),0),
IF('TL15'!$B$3=K$3,SUMIF('TL15'!$C$10:$C$224,$C118,'TL15'!$J$10:$J$224),0),
IF('TL15'!$B$229=K$3,SUMIF('TL15'!$C$238:$C$451,$C118,'TL15'!$J$238:$J$451),0),
IF('TL16'!$B$3=K$3,SUMIF('TL16'!$C$10:$C$224,$C118,'TL16'!$J$10:$J$224),0),
IF('TL16'!$B$229=K$3,SUMIF('TL16'!$C$238:$C$451,$C118,'TL16'!$J$238:$J$451),0),
IF('TL17'!$B$3=K$3,SUMIF('TL17'!$C$10:$C$224,$C118,'TL17'!$J$10:$J$224),0),
IF('TL17'!$B$229=K$3,SUMIF('TL17'!$C$238:$C$451,$C118,'TL17'!$J$238:$J$451),0),
IF('TL18'!$B$3=K$3,SUMIF('TL18'!$C$10:$C$224,$C118,'TL18'!$J$10:$J$224),0),
IF('TL18'!$B$229=K$3,SUMIF('TL18'!$C$238:$C$451,$C118,'TL18'!$J$238:$J$451),0),
IF('TL19'!$B$3=K$3,SUMIF('TL19'!$C$10:$C$224,$C118,'TL19'!$J$10:$J$224),0),
IF('TL19'!$B$229=K$3,SUMIF('TL19'!$C$238:$C$451,$C118,'TL19'!$J$238:$J$451),0)
),0)</f>
        <v/>
      </c>
      <c r="L118" s="9">
        <f>IFERROR(SUM(
IF('TL01'!$B$3=L$3,SUMIF('TL01'!$C$10:$C$224,$C118,'TL01'!$J$10:$J$224),0),
IF('TL01'!$B$229=L$3,SUMIF('TL01'!$C$238:$C$451,$C118,'TL01'!$J$238:$J$451),0),
IF('TL02'!$B$3=L$3,SUMIF('TL02'!$C$10:$C$224,$C118,'TL02'!$J$10:$J$224),0),
IF('TL02'!$B$229=L$3,SUMIF('TL02'!$C$238:$C$451,$C118,'TL02'!$J$238:$J$451),0),
IF('TL03'!$B$3=L$3,SUMIF('TL03'!$C$10:$C$224,$C118,'TL03'!$J$10:$J$224),0),
IF('TL03'!$B$229=L$3,SUMIF('TL03'!$C$238:$C$451,$C118,'TL03'!$J$238:$J$451),0),
IF('TL04'!$B$3=L$3,SUMIF('TL04'!$C$10:$C$224,$C118,'TL04'!$J$10:$J$224),0),
IF('TL04'!$B$229=L$3,SUMIF('TL04'!$C$238:$C$451,$C118,'TL04'!$J$238:$J$451),0),
IF('TL05'!$B$3=L$3,SUMIF('TL05'!$C$10:$C$224,$C118,'TL05'!$J$10:$J$224),0),
IF('TL05'!$B$229=L$3,SUMIF('TL05'!$C$238:$C$451,$C118,'TL05'!$J$238:$J$451),0),
IF('TL06'!$B$3=L$3,SUMIF('TL06'!$C$10:$C$224,$C118,'TL06'!$J$10:$J$224),0),
IF('TL06'!$B$229=L$3,SUMIF('TL06'!$C$238:$C$451,$C118,'TL06'!$J$238:$J$451),0),
IF('TL07'!$B$3=L$3,SUMIF('TL07'!$C$10:$C$224,$C118,'TL07'!$J$10:$J$224),0),
IF('TL07'!$B$229=L$3,SUMIF('TL07'!$C$238:$C$451,$C118,'TL07'!$J$238:$J$451),0),
IF('TL08'!$B$3=L$3,SUMIF('TL08'!$C$10:$C$224,$C118,'TL08'!$J$10:$J$224),0),
IF('TL08'!$B$229=L$3,SUMIF('TL08'!$C$238:$C$451,$C118,'TL08'!$J$238:$J$451),0),
IF('TL09'!$B$3=L$3,SUMIF('TL09'!$C$10:$C$224,$C118,'TL09'!$J$10:$J$224),0),
IF('TL09'!$B$229=L$3,SUMIF('TL09'!$C$238:$C$451,$C118,'TL09'!$J$238:$J$451),0),
IF('TL10'!$B$3=L$3,SUMIF('TL10'!$C$10:$C$224,$C118,'TL10'!$J$10:$J$224),0),
IF('TL10'!$B$229=L$3,SUMIF('TL10'!$C$238:$C$451,$C118,'TL10'!$J$238:$J$451),0),
IF('TL11'!$B$3=L$3,SUMIF('TL11'!$C$10:$C$224,$C118,'TL11'!$J$10:$J$224),0),
IF('TL11'!$B$229=L$3,SUMIF('TL11'!$C$238:$C$451,$C118,'TL11'!$J$238:$J$451),0),
IF('TL12'!$B$3=L$3,SUMIF('TL12'!$C$10:$C$224,$C118,'TL12'!$J$10:$J$224),0),
IF('TL12'!$B$229=L$3,SUMIF('TL12'!$C$238:$C$451,$C118,'TL12'!$J$238:$J$451),0),
IF('TL13'!$B$3=L$3,SUMIF('TL13'!$C$10:$C$224,$C118,'TL13'!$J$10:$J$224),0),
IF('TL13'!$B$229=L$3,SUMIF('TL13'!$C$238:$C$451,$C118,'TL13'!$J$238:$J$451),0),
IF('TL14'!$B$3=L$3,SUMIF('TL14'!$C$10:$C$224,$C118,'TL14'!$J$10:$J$224),0),
IF('TL14'!$B$229=L$3,SUMIF('TL14'!$C$238:$C$451,$C118,'TL14'!$J$238:$J$451),0),
IF('TL15'!$B$3=L$3,SUMIF('TL15'!$C$10:$C$224,$C118,'TL15'!$J$10:$J$224),0),
IF('TL15'!$B$229=L$3,SUMIF('TL15'!$C$238:$C$451,$C118,'TL15'!$J$238:$J$451),0),
IF('TL16'!$B$3=L$3,SUMIF('TL16'!$C$10:$C$224,$C118,'TL16'!$J$10:$J$224),0),
IF('TL16'!$B$229=L$3,SUMIF('TL16'!$C$238:$C$451,$C118,'TL16'!$J$238:$J$451),0),
IF('TL17'!$B$3=L$3,SUMIF('TL17'!$C$10:$C$224,$C118,'TL17'!$J$10:$J$224),0),
IF('TL17'!$B$229=L$3,SUMIF('TL17'!$C$238:$C$451,$C118,'TL17'!$J$238:$J$451),0),
IF('TL18'!$B$3=L$3,SUMIF('TL18'!$C$10:$C$224,$C118,'TL18'!$J$10:$J$224),0),
IF('TL18'!$B$229=L$3,SUMIF('TL18'!$C$238:$C$451,$C118,'TL18'!$J$238:$J$451),0),
IF('TL19'!$B$3=L$3,SUMIF('TL19'!$C$10:$C$224,$C118,'TL19'!$J$10:$J$224),0),
IF('TL19'!$B$229=L$3,SUMIF('TL19'!$C$238:$C$451,$C118,'TL19'!$J$238:$J$451),0)
),0)</f>
        <v/>
      </c>
      <c r="M118" s="9">
        <f>IFERROR(SUM(
IF('TL01'!$B$3=M$3,SUMIF('TL01'!$C$10:$C$224,$C118,'TL01'!$J$10:$J$224),0),
IF('TL01'!$B$229=M$3,SUMIF('TL01'!$C$238:$C$451,$C118,'TL01'!$J$238:$J$451),0),
IF('TL02'!$B$3=M$3,SUMIF('TL02'!$C$10:$C$224,$C118,'TL02'!$J$10:$J$224),0),
IF('TL02'!$B$229=M$3,SUMIF('TL02'!$C$238:$C$451,$C118,'TL02'!$J$238:$J$451),0),
IF('TL03'!$B$3=M$3,SUMIF('TL03'!$C$10:$C$224,$C118,'TL03'!$J$10:$J$224),0),
IF('TL03'!$B$229=M$3,SUMIF('TL03'!$C$238:$C$451,$C118,'TL03'!$J$238:$J$451),0),
IF('TL04'!$B$3=M$3,SUMIF('TL04'!$C$10:$C$224,$C118,'TL04'!$J$10:$J$224),0),
IF('TL04'!$B$229=M$3,SUMIF('TL04'!$C$238:$C$451,$C118,'TL04'!$J$238:$J$451),0),
IF('TL05'!$B$3=M$3,SUMIF('TL05'!$C$10:$C$224,$C118,'TL05'!$J$10:$J$224),0),
IF('TL05'!$B$229=M$3,SUMIF('TL05'!$C$238:$C$451,$C118,'TL05'!$J$238:$J$451),0),
IF('TL06'!$B$3=M$3,SUMIF('TL06'!$C$10:$C$224,$C118,'TL06'!$J$10:$J$224),0),
IF('TL06'!$B$229=M$3,SUMIF('TL06'!$C$238:$C$451,$C118,'TL06'!$J$238:$J$451),0),
IF('TL07'!$B$3=M$3,SUMIF('TL07'!$C$10:$C$224,$C118,'TL07'!$J$10:$J$224),0),
IF('TL07'!$B$229=M$3,SUMIF('TL07'!$C$238:$C$451,$C118,'TL07'!$J$238:$J$451),0),
IF('TL08'!$B$3=M$3,SUMIF('TL08'!$C$10:$C$224,$C118,'TL08'!$J$10:$J$224),0),
IF('TL08'!$B$229=M$3,SUMIF('TL08'!$C$238:$C$451,$C118,'TL08'!$J$238:$J$451),0),
IF('TL09'!$B$3=M$3,SUMIF('TL09'!$C$10:$C$224,$C118,'TL09'!$J$10:$J$224),0),
IF('TL09'!$B$229=M$3,SUMIF('TL09'!$C$238:$C$451,$C118,'TL09'!$J$238:$J$451),0),
IF('TL10'!$B$3=M$3,SUMIF('TL10'!$C$10:$C$224,$C118,'TL10'!$J$10:$J$224),0),
IF('TL10'!$B$229=M$3,SUMIF('TL10'!$C$238:$C$451,$C118,'TL10'!$J$238:$J$451),0),
IF('TL11'!$B$3=M$3,SUMIF('TL11'!$C$10:$C$224,$C118,'TL11'!$J$10:$J$224),0),
IF('TL11'!$B$229=M$3,SUMIF('TL11'!$C$238:$C$451,$C118,'TL11'!$J$238:$J$451),0),
IF('TL12'!$B$3=M$3,SUMIF('TL12'!$C$10:$C$224,$C118,'TL12'!$J$10:$J$224),0),
IF('TL12'!$B$229=M$3,SUMIF('TL12'!$C$238:$C$451,$C118,'TL12'!$J$238:$J$451),0),
IF('TL13'!$B$3=M$3,SUMIF('TL13'!$C$10:$C$224,$C118,'TL13'!$J$10:$J$224),0),
IF('TL13'!$B$229=M$3,SUMIF('TL13'!$C$238:$C$451,$C118,'TL13'!$J$238:$J$451),0),
IF('TL14'!$B$3=M$3,SUMIF('TL14'!$C$10:$C$224,$C118,'TL14'!$J$10:$J$224),0),
IF('TL14'!$B$229=M$3,SUMIF('TL14'!$C$238:$C$451,$C118,'TL14'!$J$238:$J$451),0),
IF('TL15'!$B$3=M$3,SUMIF('TL15'!$C$10:$C$224,$C118,'TL15'!$J$10:$J$224),0),
IF('TL15'!$B$229=M$3,SUMIF('TL15'!$C$238:$C$451,$C118,'TL15'!$J$238:$J$451),0),
IF('TL16'!$B$3=M$3,SUMIF('TL16'!$C$10:$C$224,$C118,'TL16'!$J$10:$J$224),0),
IF('TL16'!$B$229=M$3,SUMIF('TL16'!$C$238:$C$451,$C118,'TL16'!$J$238:$J$451),0),
IF('TL17'!$B$3=M$3,SUMIF('TL17'!$C$10:$C$224,$C118,'TL17'!$J$10:$J$224),0),
IF('TL17'!$B$229=M$3,SUMIF('TL17'!$C$238:$C$451,$C118,'TL17'!$J$238:$J$451),0),
IF('TL18'!$B$3=M$3,SUMIF('TL18'!$C$10:$C$224,$C118,'TL18'!$J$10:$J$224),0),
IF('TL18'!$B$229=M$3,SUMIF('TL18'!$C$238:$C$451,$C118,'TL18'!$J$238:$J$451),0),
IF('TL19'!$B$3=M$3,SUMIF('TL19'!$C$10:$C$224,$C118,'TL19'!$J$10:$J$224),0),
IF('TL19'!$B$229=M$3,SUMIF('TL19'!$C$238:$C$451,$C118,'TL19'!$J$238:$J$451),0)
),0)</f>
        <v/>
      </c>
      <c r="N118" s="9">
        <f>IFERROR(SUM(
IF('TL01'!$B$3=N$3,SUMIF('TL01'!$C$10:$C$224,$C118,'TL01'!$J$10:$J$224),0),
IF('TL01'!$B$229=N$3,SUMIF('TL01'!$C$238:$C$451,$C118,'TL01'!$J$238:$J$451),0),
IF('TL02'!$B$3=N$3,SUMIF('TL02'!$C$10:$C$224,$C118,'TL02'!$J$10:$J$224),0),
IF('TL02'!$B$229=N$3,SUMIF('TL02'!$C$238:$C$451,$C118,'TL02'!$J$238:$J$451),0),
IF('TL03'!$B$3=N$3,SUMIF('TL03'!$C$10:$C$224,$C118,'TL03'!$J$10:$J$224),0),
IF('TL03'!$B$229=N$3,SUMIF('TL03'!$C$238:$C$451,$C118,'TL03'!$J$238:$J$451),0),
IF('TL04'!$B$3=N$3,SUMIF('TL04'!$C$10:$C$224,$C118,'TL04'!$J$10:$J$224),0),
IF('TL04'!$B$229=N$3,SUMIF('TL04'!$C$238:$C$451,$C118,'TL04'!$J$238:$J$451),0),
IF('TL05'!$B$3=N$3,SUMIF('TL05'!$C$10:$C$224,$C118,'TL05'!$J$10:$J$224),0),
IF('TL05'!$B$229=N$3,SUMIF('TL05'!$C$238:$C$451,$C118,'TL05'!$J$238:$J$451),0),
IF('TL06'!$B$3=N$3,SUMIF('TL06'!$C$10:$C$224,$C118,'TL06'!$J$10:$J$224),0),
IF('TL06'!$B$229=N$3,SUMIF('TL06'!$C$238:$C$451,$C118,'TL06'!$J$238:$J$451),0),
IF('TL07'!$B$3=N$3,SUMIF('TL07'!$C$10:$C$224,$C118,'TL07'!$J$10:$J$224),0),
IF('TL07'!$B$229=N$3,SUMIF('TL07'!$C$238:$C$451,$C118,'TL07'!$J$238:$J$451),0),
IF('TL08'!$B$3=N$3,SUMIF('TL08'!$C$10:$C$224,$C118,'TL08'!$J$10:$J$224),0),
IF('TL08'!$B$229=N$3,SUMIF('TL08'!$C$238:$C$451,$C118,'TL08'!$J$238:$J$451),0),
IF('TL09'!$B$3=N$3,SUMIF('TL09'!$C$10:$C$224,$C118,'TL09'!$J$10:$J$224),0),
IF('TL09'!$B$229=N$3,SUMIF('TL09'!$C$238:$C$451,$C118,'TL09'!$J$238:$J$451),0),
IF('TL10'!$B$3=N$3,SUMIF('TL10'!$C$10:$C$224,$C118,'TL10'!$J$10:$J$224),0),
IF('TL10'!$B$229=N$3,SUMIF('TL10'!$C$238:$C$451,$C118,'TL10'!$J$238:$J$451),0),
IF('TL11'!$B$3=N$3,SUMIF('TL11'!$C$10:$C$224,$C118,'TL11'!$J$10:$J$224),0),
IF('TL11'!$B$229=N$3,SUMIF('TL11'!$C$238:$C$451,$C118,'TL11'!$J$238:$J$451),0),
IF('TL12'!$B$3=N$3,SUMIF('TL12'!$C$10:$C$224,$C118,'TL12'!$J$10:$J$224),0),
IF('TL12'!$B$229=N$3,SUMIF('TL12'!$C$238:$C$451,$C118,'TL12'!$J$238:$J$451),0),
IF('TL13'!$B$3=N$3,SUMIF('TL13'!$C$10:$C$224,$C118,'TL13'!$J$10:$J$224),0),
IF('TL13'!$B$229=N$3,SUMIF('TL13'!$C$238:$C$451,$C118,'TL13'!$J$238:$J$451),0),
IF('TL14'!$B$3=N$3,SUMIF('TL14'!$C$10:$C$224,$C118,'TL14'!$J$10:$J$224),0),
IF('TL14'!$B$229=N$3,SUMIF('TL14'!$C$238:$C$451,$C118,'TL14'!$J$238:$J$451),0),
IF('TL15'!$B$3=N$3,SUMIF('TL15'!$C$10:$C$224,$C118,'TL15'!$J$10:$J$224),0),
IF('TL15'!$B$229=N$3,SUMIF('TL15'!$C$238:$C$451,$C118,'TL15'!$J$238:$J$451),0),
IF('TL16'!$B$3=N$3,SUMIF('TL16'!$C$10:$C$224,$C118,'TL16'!$J$10:$J$224),0),
IF('TL16'!$B$229=N$3,SUMIF('TL16'!$C$238:$C$451,$C118,'TL16'!$J$238:$J$451),0),
IF('TL17'!$B$3=N$3,SUMIF('TL17'!$C$10:$C$224,$C118,'TL17'!$J$10:$J$224),0),
IF('TL17'!$B$229=N$3,SUMIF('TL17'!$C$238:$C$451,$C118,'TL17'!$J$238:$J$451),0),
IF('TL18'!$B$3=N$3,SUMIF('TL18'!$C$10:$C$224,$C118,'TL18'!$J$10:$J$224),0),
IF('TL18'!$B$229=N$3,SUMIF('TL18'!$C$238:$C$451,$C118,'TL18'!$J$238:$J$451),0),
IF('TL19'!$B$3=N$3,SUMIF('TL19'!$C$10:$C$224,$C118,'TL19'!$J$10:$J$224),0),
IF('TL19'!$B$229=N$3,SUMIF('TL19'!$C$238:$C$451,$C118,'TL19'!$J$238:$J$451),0)
),0)</f>
        <v/>
      </c>
      <c r="O118" s="9">
        <f>IFERROR(SUM(
IF('TL01'!$B$3=O$3,SUMIF('TL01'!$C$10:$C$224,$C118,'TL01'!$J$10:$J$224),0),
IF('TL01'!$B$229=O$3,SUMIF('TL01'!$C$238:$C$451,$C118,'TL01'!$J$238:$J$451),0),
IF('TL02'!$B$3=O$3,SUMIF('TL02'!$C$10:$C$224,$C118,'TL02'!$J$10:$J$224),0),
IF('TL02'!$B$229=O$3,SUMIF('TL02'!$C$238:$C$451,$C118,'TL02'!$J$238:$J$451),0),
IF('TL03'!$B$3=O$3,SUMIF('TL03'!$C$10:$C$224,$C118,'TL03'!$J$10:$J$224),0),
IF('TL03'!$B$229=O$3,SUMIF('TL03'!$C$238:$C$451,$C118,'TL03'!$J$238:$J$451),0),
IF('TL04'!$B$3=O$3,SUMIF('TL04'!$C$10:$C$224,$C118,'TL04'!$J$10:$J$224),0),
IF('TL04'!$B$229=O$3,SUMIF('TL04'!$C$238:$C$451,$C118,'TL04'!$J$238:$J$451),0),
IF('TL05'!$B$3=O$3,SUMIF('TL05'!$C$10:$C$224,$C118,'TL05'!$J$10:$J$224),0),
IF('TL05'!$B$229=O$3,SUMIF('TL05'!$C$238:$C$451,$C118,'TL05'!$J$238:$J$451),0),
IF('TL06'!$B$3=O$3,SUMIF('TL06'!$C$10:$C$224,$C118,'TL06'!$J$10:$J$224),0),
IF('TL06'!$B$229=O$3,SUMIF('TL06'!$C$238:$C$451,$C118,'TL06'!$J$238:$J$451),0),
IF('TL07'!$B$3=O$3,SUMIF('TL07'!$C$10:$C$224,$C118,'TL07'!$J$10:$J$224),0),
IF('TL07'!$B$229=O$3,SUMIF('TL07'!$C$238:$C$451,$C118,'TL07'!$J$238:$J$451),0),
IF('TL08'!$B$3=O$3,SUMIF('TL08'!$C$10:$C$224,$C118,'TL08'!$J$10:$J$224),0),
IF('TL08'!$B$229=O$3,SUMIF('TL08'!$C$238:$C$451,$C118,'TL08'!$J$238:$J$451),0),
IF('TL09'!$B$3=O$3,SUMIF('TL09'!$C$10:$C$224,$C118,'TL09'!$J$10:$J$224),0),
IF('TL09'!$B$229=O$3,SUMIF('TL09'!$C$238:$C$451,$C118,'TL09'!$J$238:$J$451),0),
IF('TL10'!$B$3=O$3,SUMIF('TL10'!$C$10:$C$224,$C118,'TL10'!$J$10:$J$224),0),
IF('TL10'!$B$229=O$3,SUMIF('TL10'!$C$238:$C$451,$C118,'TL10'!$J$238:$J$451),0),
IF('TL11'!$B$3=O$3,SUMIF('TL11'!$C$10:$C$224,$C118,'TL11'!$J$10:$J$224),0),
IF('TL11'!$B$229=O$3,SUMIF('TL11'!$C$238:$C$451,$C118,'TL11'!$J$238:$J$451),0),
IF('TL12'!$B$3=O$3,SUMIF('TL12'!$C$10:$C$224,$C118,'TL12'!$J$10:$J$224),0),
IF('TL12'!$B$229=O$3,SUMIF('TL12'!$C$238:$C$451,$C118,'TL12'!$J$238:$J$451),0),
IF('TL13'!$B$3=O$3,SUMIF('TL13'!$C$10:$C$224,$C118,'TL13'!$J$10:$J$224),0),
IF('TL13'!$B$229=O$3,SUMIF('TL13'!$C$238:$C$451,$C118,'TL13'!$J$238:$J$451),0),
IF('TL14'!$B$3=O$3,SUMIF('TL14'!$C$10:$C$224,$C118,'TL14'!$J$10:$J$224),0),
IF('TL14'!$B$229=O$3,SUMIF('TL14'!$C$238:$C$451,$C118,'TL14'!$J$238:$J$451),0),
IF('TL15'!$B$3=O$3,SUMIF('TL15'!$C$10:$C$224,$C118,'TL15'!$J$10:$J$224),0),
IF('TL15'!$B$229=O$3,SUMIF('TL15'!$C$238:$C$451,$C118,'TL15'!$J$238:$J$451),0),
IF('TL16'!$B$3=O$3,SUMIF('TL16'!$C$10:$C$224,$C118,'TL16'!$J$10:$J$224),0),
IF('TL16'!$B$229=O$3,SUMIF('TL16'!$C$238:$C$451,$C118,'TL16'!$J$238:$J$451),0),
IF('TL17'!$B$3=O$3,SUMIF('TL17'!$C$10:$C$224,$C118,'TL17'!$J$10:$J$224),0),
IF('TL17'!$B$229=O$3,SUMIF('TL17'!$C$238:$C$451,$C118,'TL17'!$J$238:$J$451),0),
IF('TL18'!$B$3=O$3,SUMIF('TL18'!$C$10:$C$224,$C118,'TL18'!$J$10:$J$224),0),
IF('TL18'!$B$229=O$3,SUMIF('TL18'!$C$238:$C$451,$C118,'TL18'!$J$238:$J$451),0),
IF('TL19'!$B$3=O$3,SUMIF('TL19'!$C$10:$C$224,$C118,'TL19'!$J$10:$J$224),0),
IF('TL19'!$B$229=O$3,SUMIF('TL19'!$C$238:$C$451,$C118,'TL19'!$J$238:$J$451),0)
),0)</f>
        <v/>
      </c>
      <c r="P118" s="9">
        <f>IFERROR(SUM(
IF('TL01'!$B$3=P$3,SUMIF('TL01'!$C$10:$C$224,$C118,'TL01'!$J$10:$J$224),0),
IF('TL01'!$B$229=P$3,SUMIF('TL01'!$C$238:$C$451,$C118,'TL01'!$J$238:$J$451),0),
IF('TL02'!$B$3=P$3,SUMIF('TL02'!$C$10:$C$224,$C118,'TL02'!$J$10:$J$224),0),
IF('TL02'!$B$229=P$3,SUMIF('TL02'!$C$238:$C$451,$C118,'TL02'!$J$238:$J$451),0),
IF('TL03'!$B$3=P$3,SUMIF('TL03'!$C$10:$C$224,$C118,'TL03'!$J$10:$J$224),0),
IF('TL03'!$B$229=P$3,SUMIF('TL03'!$C$238:$C$451,$C118,'TL03'!$J$238:$J$451),0),
IF('TL04'!$B$3=P$3,SUMIF('TL04'!$C$10:$C$224,$C118,'TL04'!$J$10:$J$224),0),
IF('TL04'!$B$229=P$3,SUMIF('TL04'!$C$238:$C$451,$C118,'TL04'!$J$238:$J$451),0),
IF('TL05'!$B$3=P$3,SUMIF('TL05'!$C$10:$C$224,$C118,'TL05'!$J$10:$J$224),0),
IF('TL05'!$B$229=P$3,SUMIF('TL05'!$C$238:$C$451,$C118,'TL05'!$J$238:$J$451),0),
IF('TL06'!$B$3=P$3,SUMIF('TL06'!$C$10:$C$224,$C118,'TL06'!$J$10:$J$224),0),
IF('TL06'!$B$229=P$3,SUMIF('TL06'!$C$238:$C$451,$C118,'TL06'!$J$238:$J$451),0),
IF('TL07'!$B$3=P$3,SUMIF('TL07'!$C$10:$C$224,$C118,'TL07'!$J$10:$J$224),0),
IF('TL07'!$B$229=P$3,SUMIF('TL07'!$C$238:$C$451,$C118,'TL07'!$J$238:$J$451),0),
IF('TL08'!$B$3=P$3,SUMIF('TL08'!$C$10:$C$224,$C118,'TL08'!$J$10:$J$224),0),
IF('TL08'!$B$229=P$3,SUMIF('TL08'!$C$238:$C$451,$C118,'TL08'!$J$238:$J$451),0),
IF('TL09'!$B$3=P$3,SUMIF('TL09'!$C$10:$C$224,$C118,'TL09'!$J$10:$J$224),0),
IF('TL09'!$B$229=P$3,SUMIF('TL09'!$C$238:$C$451,$C118,'TL09'!$J$238:$J$451),0),
IF('TL10'!$B$3=P$3,SUMIF('TL10'!$C$10:$C$224,$C118,'TL10'!$J$10:$J$224),0),
IF('TL10'!$B$229=P$3,SUMIF('TL10'!$C$238:$C$451,$C118,'TL10'!$J$238:$J$451),0),
IF('TL11'!$B$3=P$3,SUMIF('TL11'!$C$10:$C$224,$C118,'TL11'!$J$10:$J$224),0),
IF('TL11'!$B$229=P$3,SUMIF('TL11'!$C$238:$C$451,$C118,'TL11'!$J$238:$J$451),0),
IF('TL12'!$B$3=P$3,SUMIF('TL12'!$C$10:$C$224,$C118,'TL12'!$J$10:$J$224),0),
IF('TL12'!$B$229=P$3,SUMIF('TL12'!$C$238:$C$451,$C118,'TL12'!$J$238:$J$451),0),
IF('TL13'!$B$3=P$3,SUMIF('TL13'!$C$10:$C$224,$C118,'TL13'!$J$10:$J$224),0),
IF('TL13'!$B$229=P$3,SUMIF('TL13'!$C$238:$C$451,$C118,'TL13'!$J$238:$J$451),0),
IF('TL14'!$B$3=P$3,SUMIF('TL14'!$C$10:$C$224,$C118,'TL14'!$J$10:$J$224),0),
IF('TL14'!$B$229=P$3,SUMIF('TL14'!$C$238:$C$451,$C118,'TL14'!$J$238:$J$451),0),
IF('TL15'!$B$3=P$3,SUMIF('TL15'!$C$10:$C$224,$C118,'TL15'!$J$10:$J$224),0),
IF('TL15'!$B$229=P$3,SUMIF('TL15'!$C$238:$C$451,$C118,'TL15'!$J$238:$J$451),0),
IF('TL16'!$B$3=P$3,SUMIF('TL16'!$C$10:$C$224,$C118,'TL16'!$J$10:$J$224),0),
IF('TL16'!$B$229=P$3,SUMIF('TL16'!$C$238:$C$451,$C118,'TL16'!$J$238:$J$451),0),
IF('TL17'!$B$3=P$3,SUMIF('TL17'!$C$10:$C$224,$C118,'TL17'!$J$10:$J$224),0),
IF('TL17'!$B$229=P$3,SUMIF('TL17'!$C$238:$C$451,$C118,'TL17'!$J$238:$J$451),0),
IF('TL18'!$B$3=P$3,SUMIF('TL18'!$C$10:$C$224,$C118,'TL18'!$J$10:$J$224),0),
IF('TL18'!$B$229=P$3,SUMIF('TL18'!$C$238:$C$451,$C118,'TL18'!$J$238:$J$451),0),
IF('TL19'!$B$3=P$3,SUMIF('TL19'!$C$10:$C$224,$C118,'TL19'!$J$10:$J$224),0),
IF('TL19'!$B$229=P$3,SUMIF('TL19'!$C$238:$C$451,$C118,'TL19'!$J$238:$J$451),0)
),0)</f>
        <v/>
      </c>
      <c r="Q118" s="9">
        <f>IFERROR(SUM(
IF('TL01'!$B$3=Q$3,SUMIF('TL01'!$C$10:$C$224,$C118,'TL01'!$J$10:$J$224),0),
IF('TL01'!$B$229=Q$3,SUMIF('TL01'!$C$238:$C$451,$C118,'TL01'!$J$238:$J$451),0),
IF('TL02'!$B$3=Q$3,SUMIF('TL02'!$C$10:$C$224,$C118,'TL02'!$J$10:$J$224),0),
IF('TL02'!$B$229=Q$3,SUMIF('TL02'!$C$238:$C$451,$C118,'TL02'!$J$238:$J$451),0),
IF('TL03'!$B$3=Q$3,SUMIF('TL03'!$C$10:$C$224,$C118,'TL03'!$J$10:$J$224),0),
IF('TL03'!$B$229=Q$3,SUMIF('TL03'!$C$238:$C$451,$C118,'TL03'!$J$238:$J$451),0),
IF('TL04'!$B$3=Q$3,SUMIF('TL04'!$C$10:$C$224,$C118,'TL04'!$J$10:$J$224),0),
IF('TL04'!$B$229=Q$3,SUMIF('TL04'!$C$238:$C$451,$C118,'TL04'!$J$238:$J$451),0),
IF('TL05'!$B$3=Q$3,SUMIF('TL05'!$C$10:$C$224,$C118,'TL05'!$J$10:$J$224),0),
IF('TL05'!$B$229=Q$3,SUMIF('TL05'!$C$238:$C$451,$C118,'TL05'!$J$238:$J$451),0),
IF('TL06'!$B$3=Q$3,SUMIF('TL06'!$C$10:$C$224,$C118,'TL06'!$J$10:$J$224),0),
IF('TL06'!$B$229=Q$3,SUMIF('TL06'!$C$238:$C$451,$C118,'TL06'!$J$238:$J$451),0),
IF('TL07'!$B$3=Q$3,SUMIF('TL07'!$C$10:$C$224,$C118,'TL07'!$J$10:$J$224),0),
IF('TL07'!$B$229=Q$3,SUMIF('TL07'!$C$238:$C$451,$C118,'TL07'!$J$238:$J$451),0),
IF('TL08'!$B$3=Q$3,SUMIF('TL08'!$C$10:$C$224,$C118,'TL08'!$J$10:$J$224),0),
IF('TL08'!$B$229=Q$3,SUMIF('TL08'!$C$238:$C$451,$C118,'TL08'!$J$238:$J$451),0),
IF('TL09'!$B$3=Q$3,SUMIF('TL09'!$C$10:$C$224,$C118,'TL09'!$J$10:$J$224),0),
IF('TL09'!$B$229=Q$3,SUMIF('TL09'!$C$238:$C$451,$C118,'TL09'!$J$238:$J$451),0),
IF('TL10'!$B$3=Q$3,SUMIF('TL10'!$C$10:$C$224,$C118,'TL10'!$J$10:$J$224),0),
IF('TL10'!$B$229=Q$3,SUMIF('TL10'!$C$238:$C$451,$C118,'TL10'!$J$238:$J$451),0),
IF('TL11'!$B$3=Q$3,SUMIF('TL11'!$C$10:$C$224,$C118,'TL11'!$J$10:$J$224),0),
IF('TL11'!$B$229=Q$3,SUMIF('TL11'!$C$238:$C$451,$C118,'TL11'!$J$238:$J$451),0),
IF('TL12'!$B$3=Q$3,SUMIF('TL12'!$C$10:$C$224,$C118,'TL12'!$J$10:$J$224),0),
IF('TL12'!$B$229=Q$3,SUMIF('TL12'!$C$238:$C$451,$C118,'TL12'!$J$238:$J$451),0),
IF('TL13'!$B$3=Q$3,SUMIF('TL13'!$C$10:$C$224,$C118,'TL13'!$J$10:$J$224),0),
IF('TL13'!$B$229=Q$3,SUMIF('TL13'!$C$238:$C$451,$C118,'TL13'!$J$238:$J$451),0),
IF('TL14'!$B$3=Q$3,SUMIF('TL14'!$C$10:$C$224,$C118,'TL14'!$J$10:$J$224),0),
IF('TL14'!$B$229=Q$3,SUMIF('TL14'!$C$238:$C$451,$C118,'TL14'!$J$238:$J$451),0),
IF('TL15'!$B$3=Q$3,SUMIF('TL15'!$C$10:$C$224,$C118,'TL15'!$J$10:$J$224),0),
IF('TL15'!$B$229=Q$3,SUMIF('TL15'!$C$238:$C$451,$C118,'TL15'!$J$238:$J$451),0),
IF('TL16'!$B$3=Q$3,SUMIF('TL16'!$C$10:$C$224,$C118,'TL16'!$J$10:$J$224),0),
IF('TL16'!$B$229=Q$3,SUMIF('TL16'!$C$238:$C$451,$C118,'TL16'!$J$238:$J$451),0),
IF('TL17'!$B$3=Q$3,SUMIF('TL17'!$C$10:$C$224,$C118,'TL17'!$J$10:$J$224),0),
IF('TL17'!$B$229=Q$3,SUMIF('TL17'!$C$238:$C$451,$C118,'TL17'!$J$238:$J$451),0),
IF('TL18'!$B$3=Q$3,SUMIF('TL18'!$C$10:$C$224,$C118,'TL18'!$J$10:$J$224),0),
IF('TL18'!$B$229=Q$3,SUMIF('TL18'!$C$238:$C$451,$C118,'TL18'!$J$238:$J$451),0),
IF('TL19'!$B$3=Q$3,SUMIF('TL19'!$C$10:$C$224,$C118,'TL19'!$J$10:$J$224),0),
IF('TL19'!$B$229=Q$3,SUMIF('TL19'!$C$238:$C$451,$C118,'TL19'!$J$238:$J$451),0)
),0)</f>
        <v/>
      </c>
      <c r="R118" s="9">
        <f>IFERROR(
SUM(
SUMIF('TL01'!C:C,C118,'TL01'!J:J),
SUMIF('TL02'!C:C,C118,'TL02'!J:J),
SUMIF('TL03'!C:C,C118,'TL03'!J:J),
SUMIF('TL04'!C:C,C118,'TL04'!J:J),
SUMIF('TL05'!C:C,C118,'TL05'!J:J),
SUMIF('TL06'!C:C,C118,'TL06'!J:J),
SUMIF('TL07'!C:C,C118,'TL07'!J:J),
SUMIF('TL08'!C:C,C118,'TL08'!J:J),
SUMIF('TL09'!C:C,C118,'TL09'!J:J),
SUMIF('TL10'!C:C,C118,'TL10'!J:J),
SUMIF('TL11'!C:C,C118,'TL11'!J:J),
SUMIF('TL12'!C:C,C118,'TL12'!J:J),
SUMIF('TL13'!C:C,C118,'TL13'!J:J),
SUMIF('TL14'!C:C,C118,'TL14'!J:J),
SUMIF('TL15'!C:C,C118,'TL15'!J:J),
SUMIF('TL16'!C:C,C118,'TL16'!J:J),
SUMIF('TL17'!C:C,C118,'TL17'!J:J),
SUMIF('TL18'!C:C,C118,'TL18'!J:J),SUMIF('TL19'!C:C,C118,'TL19'!J:J))
,0)</f>
        <v/>
      </c>
      <c r="S118" s="17">
        <f>IFERROR(__xludf.DUMMYFUNCTION("IFERROR(VLOOKUP(C118,
IMPORTRANGE(""1wULbzX32WdYsx-lj2U3uUNBBe2INVIRDtcK0d-Dvl90"",
""26-27!C:G""),
5,
FALSE),
"""")"),436.93407999999994)</f>
        <v/>
      </c>
      <c r="T118" s="9" t="n"/>
      <c r="U118" s="92">
        <f>MAX(0,R118-T118)</f>
        <v/>
      </c>
      <c r="V118" s="93">
        <f>U118*S118</f>
        <v/>
      </c>
    </row>
    <row r="119" hidden="1" ht="15.75" customHeight="1" s="297">
      <c r="A119" s="111" t="inlineStr">
        <is>
          <t>BAYER</t>
        </is>
      </c>
      <c r="B119" s="112" t="inlineStr">
        <is>
          <t>HERBICIDA</t>
        </is>
      </c>
      <c r="C119" s="113" t="inlineStr">
        <is>
          <t>ROUNDUP WG</t>
        </is>
      </c>
      <c r="D119" s="113" t="inlineStr">
        <is>
          <t>GLIFOSATO-SAL DE AMÔNIO</t>
        </is>
      </c>
      <c r="E119" s="113" t="n">
        <v>720</v>
      </c>
      <c r="F119" s="4" t="inlineStr">
        <is>
          <t>L</t>
        </is>
      </c>
      <c r="G119" s="90">
        <f>HYPERLINK("https://www.google.com/search?q=" &amp; C119 &amp; "+bula+agrofit+pdf", "📄 Ver bula")</f>
        <v/>
      </c>
      <c r="H119" s="9">
        <f>IFERROR(__xludf.DUMMYFUNCTION("IFERROR(VLOOKUP(C119,
IMPORTRANGE(""1wULbzX32WdYsx-lj2U3uUNBBe2INVIRDtcK0d-Dvl90"",
""26-27!C:K""),
8,
FALSE),
"""")"),2.0)</f>
        <v/>
      </c>
      <c r="I119" s="114" t="inlineStr">
        <is>
          <t>4x5</t>
        </is>
      </c>
      <c r="J119" s="9">
        <f>IFERROR(SUM(
IF('TL01'!$B$3=J$3,SUMIF('TL01'!$C$10:$C$224,$C119,'TL01'!$J$10:$J$224),0),
IF('TL01'!$B$229=J$3,SUMIF('TL01'!$C$238:$C$451,$C119,'TL01'!$J$238:$J$451),0),
IF('TL02'!$B$3=J$3,SUMIF('TL02'!$C$10:$C$224,$C119,'TL02'!$J$10:$J$224),0),
IF('TL02'!$B$229=J$3,SUMIF('TL02'!$C$238:$C$451,$C119,'TL02'!$J$238:$J$451),0),
IF('TL03'!$B$3=J$3,SUMIF('TL03'!$C$10:$C$224,$C119,'TL03'!$J$10:$J$224),0),
IF('TL03'!$B$229=J$3,SUMIF('TL03'!$C$238:$C$451,$C119,'TL03'!$J$238:$J$451),0),
IF('TL04'!$B$3=J$3,SUMIF('TL04'!$C$10:$C$224,$C119,'TL04'!$J$10:$J$224),0),
IF('TL04'!$B$229=J$3,SUMIF('TL04'!$C$238:$C$451,$C119,'TL04'!$J$238:$J$451),0),
IF('TL05'!$B$3=J$3,SUMIF('TL05'!$C$10:$C$224,$C119,'TL05'!$J$10:$J$224),0),
IF('TL05'!$B$229=J$3,SUMIF('TL05'!$C$238:$C$451,$C119,'TL05'!$J$238:$J$451),0),
IF('TL06'!$B$3=J$3,SUMIF('TL06'!$C$10:$C$224,$C119,'TL06'!$J$10:$J$224),0),
IF('TL06'!$B$229=J$3,SUMIF('TL06'!$C$238:$C$451,$C119,'TL06'!$J$238:$J$451),0),
IF('TL07'!$B$3=J$3,SUMIF('TL07'!$C$10:$C$224,$C119,'TL07'!$J$10:$J$224),0),
IF('TL07'!$B$229=J$3,SUMIF('TL07'!$C$238:$C$451,$C119,'TL07'!$J$238:$J$451),0),
IF('TL08'!$B$3=J$3,SUMIF('TL08'!$C$10:$C$224,$C119,'TL08'!$J$10:$J$224),0),
IF('TL08'!$B$229=J$3,SUMIF('TL08'!$C$238:$C$451,$C119,'TL08'!$J$238:$J$451),0),
IF('TL09'!$B$3=J$3,SUMIF('TL09'!$C$10:$C$224,$C119,'TL09'!$J$10:$J$224),0),
IF('TL09'!$B$229=J$3,SUMIF('TL09'!$C$238:$C$451,$C119,'TL09'!$J$238:$J$451),0),
IF('TL10'!$B$3=J$3,SUMIF('TL10'!$C$10:$C$224,$C119,'TL10'!$J$10:$J$224),0),
IF('TL10'!$B$229=J$3,SUMIF('TL10'!$C$238:$C$451,$C119,'TL10'!$J$238:$J$451),0),
IF('TL11'!$B$3=J$3,SUMIF('TL11'!$C$10:$C$224,$C119,'TL11'!$J$10:$J$224),0),
IF('TL11'!$B$229=J$3,SUMIF('TL11'!$C$238:$C$451,$C119,'TL11'!$J$238:$J$451),0),
IF('TL12'!$B$3=J$3,SUMIF('TL12'!$C$10:$C$224,$C119,'TL12'!$J$10:$J$224),0),
IF('TL12'!$B$229=J$3,SUMIF('TL12'!$C$238:$C$451,$C119,'TL12'!$J$238:$J$451),0),
IF('TL13'!$B$3=J$3,SUMIF('TL13'!$C$10:$C$224,$C119,'TL13'!$J$10:$J$224),0),
IF('TL13'!$B$229=J$3,SUMIF('TL13'!$C$238:$C$451,$C119,'TL13'!$J$238:$J$451),0),
IF('TL14'!$B$3=J$3,SUMIF('TL14'!$C$10:$C$224,$C119,'TL14'!$J$10:$J$224),0),
IF('TL14'!$B$229=J$3,SUMIF('TL14'!$C$238:$C$451,$C119,'TL14'!$J$238:$J$451),0),
IF('TL15'!$B$3=J$3,SUMIF('TL15'!$C$10:$C$224,$C119,'TL15'!$J$10:$J$224),0),
IF('TL15'!$B$229=J$3,SUMIF('TL15'!$C$238:$C$451,$C119,'TL15'!$J$238:$J$451),0),
IF('TL16'!$B$3=J$3,SUMIF('TL16'!$C$10:$C$224,$C119,'TL16'!$J$10:$J$224),0),
IF('TL16'!$B$229=J$3,SUMIF('TL16'!$C$238:$C$451,$C119,'TL16'!$J$238:$J$451),0),
IF('TL17'!$B$3=J$3,SUMIF('TL17'!$C$10:$C$224,$C119,'TL17'!$J$10:$J$224),0),
IF('TL17'!$B$229=J$3,SUMIF('TL17'!$C$238:$C$451,$C119,'TL17'!$J$238:$J$451),0),
IF('TL18'!$B$3=J$3,SUMIF('TL18'!$C$10:$C$224,$C119,'TL18'!$J$10:$J$224),0),
IF('TL18'!$B$229=J$3,SUMIF('TL18'!$C$238:$C$451,$C119,'TL18'!$J$238:$J$451),0),
IF('TL19'!$B$3=J$3,SUMIF('TL19'!$C$10:$C$224,$C119,'TL19'!$J$10:$J$224),0),
IF('TL19'!$B$229=J$3,SUMIF('TL19'!$C$238:$C$451,$C119,'TL19'!$J$238:$J$451),0)
),0)</f>
        <v/>
      </c>
      <c r="K119" s="9">
        <f>IFERROR(SUM(
IF('TL01'!$B$3=K$3,SUMIF('TL01'!$C$10:$C$224,$C119,'TL01'!$J$10:$J$224),0),
IF('TL01'!$B$229=K$3,SUMIF('TL01'!$C$238:$C$451,$C119,'TL01'!$J$238:$J$451),0),
IF('TL02'!$B$3=K$3,SUMIF('TL02'!$C$10:$C$224,$C119,'TL02'!$J$10:$J$224),0),
IF('TL02'!$B$229=K$3,SUMIF('TL02'!$C$238:$C$451,$C119,'TL02'!$J$238:$J$451),0),
IF('TL03'!$B$3=K$3,SUMIF('TL03'!$C$10:$C$224,$C119,'TL03'!$J$10:$J$224),0),
IF('TL03'!$B$229=K$3,SUMIF('TL03'!$C$238:$C$451,$C119,'TL03'!$J$238:$J$451),0),
IF('TL04'!$B$3=K$3,SUMIF('TL04'!$C$10:$C$224,$C119,'TL04'!$J$10:$J$224),0),
IF('TL04'!$B$229=K$3,SUMIF('TL04'!$C$238:$C$451,$C119,'TL04'!$J$238:$J$451),0),
IF('TL05'!$B$3=K$3,SUMIF('TL05'!$C$10:$C$224,$C119,'TL05'!$J$10:$J$224),0),
IF('TL05'!$B$229=K$3,SUMIF('TL05'!$C$238:$C$451,$C119,'TL05'!$J$238:$J$451),0),
IF('TL06'!$B$3=K$3,SUMIF('TL06'!$C$10:$C$224,$C119,'TL06'!$J$10:$J$224),0),
IF('TL06'!$B$229=K$3,SUMIF('TL06'!$C$238:$C$451,$C119,'TL06'!$J$238:$J$451),0),
IF('TL07'!$B$3=K$3,SUMIF('TL07'!$C$10:$C$224,$C119,'TL07'!$J$10:$J$224),0),
IF('TL07'!$B$229=K$3,SUMIF('TL07'!$C$238:$C$451,$C119,'TL07'!$J$238:$J$451),0),
IF('TL08'!$B$3=K$3,SUMIF('TL08'!$C$10:$C$224,$C119,'TL08'!$J$10:$J$224),0),
IF('TL08'!$B$229=K$3,SUMIF('TL08'!$C$238:$C$451,$C119,'TL08'!$J$238:$J$451),0),
IF('TL09'!$B$3=K$3,SUMIF('TL09'!$C$10:$C$224,$C119,'TL09'!$J$10:$J$224),0),
IF('TL09'!$B$229=K$3,SUMIF('TL09'!$C$238:$C$451,$C119,'TL09'!$J$238:$J$451),0),
IF('TL10'!$B$3=K$3,SUMIF('TL10'!$C$10:$C$224,$C119,'TL10'!$J$10:$J$224),0),
IF('TL10'!$B$229=K$3,SUMIF('TL10'!$C$238:$C$451,$C119,'TL10'!$J$238:$J$451),0),
IF('TL11'!$B$3=K$3,SUMIF('TL11'!$C$10:$C$224,$C119,'TL11'!$J$10:$J$224),0),
IF('TL11'!$B$229=K$3,SUMIF('TL11'!$C$238:$C$451,$C119,'TL11'!$J$238:$J$451),0),
IF('TL12'!$B$3=K$3,SUMIF('TL12'!$C$10:$C$224,$C119,'TL12'!$J$10:$J$224),0),
IF('TL12'!$B$229=K$3,SUMIF('TL12'!$C$238:$C$451,$C119,'TL12'!$J$238:$J$451),0),
IF('TL13'!$B$3=K$3,SUMIF('TL13'!$C$10:$C$224,$C119,'TL13'!$J$10:$J$224),0),
IF('TL13'!$B$229=K$3,SUMIF('TL13'!$C$238:$C$451,$C119,'TL13'!$J$238:$J$451),0),
IF('TL14'!$B$3=K$3,SUMIF('TL14'!$C$10:$C$224,$C119,'TL14'!$J$10:$J$224),0),
IF('TL14'!$B$229=K$3,SUMIF('TL14'!$C$238:$C$451,$C119,'TL14'!$J$238:$J$451),0),
IF('TL15'!$B$3=K$3,SUMIF('TL15'!$C$10:$C$224,$C119,'TL15'!$J$10:$J$224),0),
IF('TL15'!$B$229=K$3,SUMIF('TL15'!$C$238:$C$451,$C119,'TL15'!$J$238:$J$451),0),
IF('TL16'!$B$3=K$3,SUMIF('TL16'!$C$10:$C$224,$C119,'TL16'!$J$10:$J$224),0),
IF('TL16'!$B$229=K$3,SUMIF('TL16'!$C$238:$C$451,$C119,'TL16'!$J$238:$J$451),0),
IF('TL17'!$B$3=K$3,SUMIF('TL17'!$C$10:$C$224,$C119,'TL17'!$J$10:$J$224),0),
IF('TL17'!$B$229=K$3,SUMIF('TL17'!$C$238:$C$451,$C119,'TL17'!$J$238:$J$451),0),
IF('TL18'!$B$3=K$3,SUMIF('TL18'!$C$10:$C$224,$C119,'TL18'!$J$10:$J$224),0),
IF('TL18'!$B$229=K$3,SUMIF('TL18'!$C$238:$C$451,$C119,'TL18'!$J$238:$J$451),0),
IF('TL19'!$B$3=K$3,SUMIF('TL19'!$C$10:$C$224,$C119,'TL19'!$J$10:$J$224),0),
IF('TL19'!$B$229=K$3,SUMIF('TL19'!$C$238:$C$451,$C119,'TL19'!$J$238:$J$451),0)
),0)</f>
        <v/>
      </c>
      <c r="L119" s="9">
        <f>IFERROR(SUM(
IF('TL01'!$B$3=L$3,SUMIF('TL01'!$C$10:$C$224,$C119,'TL01'!$J$10:$J$224),0),
IF('TL01'!$B$229=L$3,SUMIF('TL01'!$C$238:$C$451,$C119,'TL01'!$J$238:$J$451),0),
IF('TL02'!$B$3=L$3,SUMIF('TL02'!$C$10:$C$224,$C119,'TL02'!$J$10:$J$224),0),
IF('TL02'!$B$229=L$3,SUMIF('TL02'!$C$238:$C$451,$C119,'TL02'!$J$238:$J$451),0),
IF('TL03'!$B$3=L$3,SUMIF('TL03'!$C$10:$C$224,$C119,'TL03'!$J$10:$J$224),0),
IF('TL03'!$B$229=L$3,SUMIF('TL03'!$C$238:$C$451,$C119,'TL03'!$J$238:$J$451),0),
IF('TL04'!$B$3=L$3,SUMIF('TL04'!$C$10:$C$224,$C119,'TL04'!$J$10:$J$224),0),
IF('TL04'!$B$229=L$3,SUMIF('TL04'!$C$238:$C$451,$C119,'TL04'!$J$238:$J$451),0),
IF('TL05'!$B$3=L$3,SUMIF('TL05'!$C$10:$C$224,$C119,'TL05'!$J$10:$J$224),0),
IF('TL05'!$B$229=L$3,SUMIF('TL05'!$C$238:$C$451,$C119,'TL05'!$J$238:$J$451),0),
IF('TL06'!$B$3=L$3,SUMIF('TL06'!$C$10:$C$224,$C119,'TL06'!$J$10:$J$224),0),
IF('TL06'!$B$229=L$3,SUMIF('TL06'!$C$238:$C$451,$C119,'TL06'!$J$238:$J$451),0),
IF('TL07'!$B$3=L$3,SUMIF('TL07'!$C$10:$C$224,$C119,'TL07'!$J$10:$J$224),0),
IF('TL07'!$B$229=L$3,SUMIF('TL07'!$C$238:$C$451,$C119,'TL07'!$J$238:$J$451),0),
IF('TL08'!$B$3=L$3,SUMIF('TL08'!$C$10:$C$224,$C119,'TL08'!$J$10:$J$224),0),
IF('TL08'!$B$229=L$3,SUMIF('TL08'!$C$238:$C$451,$C119,'TL08'!$J$238:$J$451),0),
IF('TL09'!$B$3=L$3,SUMIF('TL09'!$C$10:$C$224,$C119,'TL09'!$J$10:$J$224),0),
IF('TL09'!$B$229=L$3,SUMIF('TL09'!$C$238:$C$451,$C119,'TL09'!$J$238:$J$451),0),
IF('TL10'!$B$3=L$3,SUMIF('TL10'!$C$10:$C$224,$C119,'TL10'!$J$10:$J$224),0),
IF('TL10'!$B$229=L$3,SUMIF('TL10'!$C$238:$C$451,$C119,'TL10'!$J$238:$J$451),0),
IF('TL11'!$B$3=L$3,SUMIF('TL11'!$C$10:$C$224,$C119,'TL11'!$J$10:$J$224),0),
IF('TL11'!$B$229=L$3,SUMIF('TL11'!$C$238:$C$451,$C119,'TL11'!$J$238:$J$451),0),
IF('TL12'!$B$3=L$3,SUMIF('TL12'!$C$10:$C$224,$C119,'TL12'!$J$10:$J$224),0),
IF('TL12'!$B$229=L$3,SUMIF('TL12'!$C$238:$C$451,$C119,'TL12'!$J$238:$J$451),0),
IF('TL13'!$B$3=L$3,SUMIF('TL13'!$C$10:$C$224,$C119,'TL13'!$J$10:$J$224),0),
IF('TL13'!$B$229=L$3,SUMIF('TL13'!$C$238:$C$451,$C119,'TL13'!$J$238:$J$451),0),
IF('TL14'!$B$3=L$3,SUMIF('TL14'!$C$10:$C$224,$C119,'TL14'!$J$10:$J$224),0),
IF('TL14'!$B$229=L$3,SUMIF('TL14'!$C$238:$C$451,$C119,'TL14'!$J$238:$J$451),0),
IF('TL15'!$B$3=L$3,SUMIF('TL15'!$C$10:$C$224,$C119,'TL15'!$J$10:$J$224),0),
IF('TL15'!$B$229=L$3,SUMIF('TL15'!$C$238:$C$451,$C119,'TL15'!$J$238:$J$451),0),
IF('TL16'!$B$3=L$3,SUMIF('TL16'!$C$10:$C$224,$C119,'TL16'!$J$10:$J$224),0),
IF('TL16'!$B$229=L$3,SUMIF('TL16'!$C$238:$C$451,$C119,'TL16'!$J$238:$J$451),0),
IF('TL17'!$B$3=L$3,SUMIF('TL17'!$C$10:$C$224,$C119,'TL17'!$J$10:$J$224),0),
IF('TL17'!$B$229=L$3,SUMIF('TL17'!$C$238:$C$451,$C119,'TL17'!$J$238:$J$451),0),
IF('TL18'!$B$3=L$3,SUMIF('TL18'!$C$10:$C$224,$C119,'TL18'!$J$10:$J$224),0),
IF('TL18'!$B$229=L$3,SUMIF('TL18'!$C$238:$C$451,$C119,'TL18'!$J$238:$J$451),0),
IF('TL19'!$B$3=L$3,SUMIF('TL19'!$C$10:$C$224,$C119,'TL19'!$J$10:$J$224),0),
IF('TL19'!$B$229=L$3,SUMIF('TL19'!$C$238:$C$451,$C119,'TL19'!$J$238:$J$451),0)
),0)</f>
        <v/>
      </c>
      <c r="M119" s="9">
        <f>IFERROR(SUM(
IF('TL01'!$B$3=M$3,SUMIF('TL01'!$C$10:$C$224,$C119,'TL01'!$J$10:$J$224),0),
IF('TL01'!$B$229=M$3,SUMIF('TL01'!$C$238:$C$451,$C119,'TL01'!$J$238:$J$451),0),
IF('TL02'!$B$3=M$3,SUMIF('TL02'!$C$10:$C$224,$C119,'TL02'!$J$10:$J$224),0),
IF('TL02'!$B$229=M$3,SUMIF('TL02'!$C$238:$C$451,$C119,'TL02'!$J$238:$J$451),0),
IF('TL03'!$B$3=M$3,SUMIF('TL03'!$C$10:$C$224,$C119,'TL03'!$J$10:$J$224),0),
IF('TL03'!$B$229=M$3,SUMIF('TL03'!$C$238:$C$451,$C119,'TL03'!$J$238:$J$451),0),
IF('TL04'!$B$3=M$3,SUMIF('TL04'!$C$10:$C$224,$C119,'TL04'!$J$10:$J$224),0),
IF('TL04'!$B$229=M$3,SUMIF('TL04'!$C$238:$C$451,$C119,'TL04'!$J$238:$J$451),0),
IF('TL05'!$B$3=M$3,SUMIF('TL05'!$C$10:$C$224,$C119,'TL05'!$J$10:$J$224),0),
IF('TL05'!$B$229=M$3,SUMIF('TL05'!$C$238:$C$451,$C119,'TL05'!$J$238:$J$451),0),
IF('TL06'!$B$3=M$3,SUMIF('TL06'!$C$10:$C$224,$C119,'TL06'!$J$10:$J$224),0),
IF('TL06'!$B$229=M$3,SUMIF('TL06'!$C$238:$C$451,$C119,'TL06'!$J$238:$J$451),0),
IF('TL07'!$B$3=M$3,SUMIF('TL07'!$C$10:$C$224,$C119,'TL07'!$J$10:$J$224),0),
IF('TL07'!$B$229=M$3,SUMIF('TL07'!$C$238:$C$451,$C119,'TL07'!$J$238:$J$451),0),
IF('TL08'!$B$3=M$3,SUMIF('TL08'!$C$10:$C$224,$C119,'TL08'!$J$10:$J$224),0),
IF('TL08'!$B$229=M$3,SUMIF('TL08'!$C$238:$C$451,$C119,'TL08'!$J$238:$J$451),0),
IF('TL09'!$B$3=M$3,SUMIF('TL09'!$C$10:$C$224,$C119,'TL09'!$J$10:$J$224),0),
IF('TL09'!$B$229=M$3,SUMIF('TL09'!$C$238:$C$451,$C119,'TL09'!$J$238:$J$451),0),
IF('TL10'!$B$3=M$3,SUMIF('TL10'!$C$10:$C$224,$C119,'TL10'!$J$10:$J$224),0),
IF('TL10'!$B$229=M$3,SUMIF('TL10'!$C$238:$C$451,$C119,'TL10'!$J$238:$J$451),0),
IF('TL11'!$B$3=M$3,SUMIF('TL11'!$C$10:$C$224,$C119,'TL11'!$J$10:$J$224),0),
IF('TL11'!$B$229=M$3,SUMIF('TL11'!$C$238:$C$451,$C119,'TL11'!$J$238:$J$451),0),
IF('TL12'!$B$3=M$3,SUMIF('TL12'!$C$10:$C$224,$C119,'TL12'!$J$10:$J$224),0),
IF('TL12'!$B$229=M$3,SUMIF('TL12'!$C$238:$C$451,$C119,'TL12'!$J$238:$J$451),0),
IF('TL13'!$B$3=M$3,SUMIF('TL13'!$C$10:$C$224,$C119,'TL13'!$J$10:$J$224),0),
IF('TL13'!$B$229=M$3,SUMIF('TL13'!$C$238:$C$451,$C119,'TL13'!$J$238:$J$451),0),
IF('TL14'!$B$3=M$3,SUMIF('TL14'!$C$10:$C$224,$C119,'TL14'!$J$10:$J$224),0),
IF('TL14'!$B$229=M$3,SUMIF('TL14'!$C$238:$C$451,$C119,'TL14'!$J$238:$J$451),0),
IF('TL15'!$B$3=M$3,SUMIF('TL15'!$C$10:$C$224,$C119,'TL15'!$J$10:$J$224),0),
IF('TL15'!$B$229=M$3,SUMIF('TL15'!$C$238:$C$451,$C119,'TL15'!$J$238:$J$451),0),
IF('TL16'!$B$3=M$3,SUMIF('TL16'!$C$10:$C$224,$C119,'TL16'!$J$10:$J$224),0),
IF('TL16'!$B$229=M$3,SUMIF('TL16'!$C$238:$C$451,$C119,'TL16'!$J$238:$J$451),0),
IF('TL17'!$B$3=M$3,SUMIF('TL17'!$C$10:$C$224,$C119,'TL17'!$J$10:$J$224),0),
IF('TL17'!$B$229=M$3,SUMIF('TL17'!$C$238:$C$451,$C119,'TL17'!$J$238:$J$451),0),
IF('TL18'!$B$3=M$3,SUMIF('TL18'!$C$10:$C$224,$C119,'TL18'!$J$10:$J$224),0),
IF('TL18'!$B$229=M$3,SUMIF('TL18'!$C$238:$C$451,$C119,'TL18'!$J$238:$J$451),0),
IF('TL19'!$B$3=M$3,SUMIF('TL19'!$C$10:$C$224,$C119,'TL19'!$J$10:$J$224),0),
IF('TL19'!$B$229=M$3,SUMIF('TL19'!$C$238:$C$451,$C119,'TL19'!$J$238:$J$451),0)
),0)</f>
        <v/>
      </c>
      <c r="N119" s="9">
        <f>IFERROR(SUM(
IF('TL01'!$B$3=N$3,SUMIF('TL01'!$C$10:$C$224,$C119,'TL01'!$J$10:$J$224),0),
IF('TL01'!$B$229=N$3,SUMIF('TL01'!$C$238:$C$451,$C119,'TL01'!$J$238:$J$451),0),
IF('TL02'!$B$3=N$3,SUMIF('TL02'!$C$10:$C$224,$C119,'TL02'!$J$10:$J$224),0),
IF('TL02'!$B$229=N$3,SUMIF('TL02'!$C$238:$C$451,$C119,'TL02'!$J$238:$J$451),0),
IF('TL03'!$B$3=N$3,SUMIF('TL03'!$C$10:$C$224,$C119,'TL03'!$J$10:$J$224),0),
IF('TL03'!$B$229=N$3,SUMIF('TL03'!$C$238:$C$451,$C119,'TL03'!$J$238:$J$451),0),
IF('TL04'!$B$3=N$3,SUMIF('TL04'!$C$10:$C$224,$C119,'TL04'!$J$10:$J$224),0),
IF('TL04'!$B$229=N$3,SUMIF('TL04'!$C$238:$C$451,$C119,'TL04'!$J$238:$J$451),0),
IF('TL05'!$B$3=N$3,SUMIF('TL05'!$C$10:$C$224,$C119,'TL05'!$J$10:$J$224),0),
IF('TL05'!$B$229=N$3,SUMIF('TL05'!$C$238:$C$451,$C119,'TL05'!$J$238:$J$451),0),
IF('TL06'!$B$3=N$3,SUMIF('TL06'!$C$10:$C$224,$C119,'TL06'!$J$10:$J$224),0),
IF('TL06'!$B$229=N$3,SUMIF('TL06'!$C$238:$C$451,$C119,'TL06'!$J$238:$J$451),0),
IF('TL07'!$B$3=N$3,SUMIF('TL07'!$C$10:$C$224,$C119,'TL07'!$J$10:$J$224),0),
IF('TL07'!$B$229=N$3,SUMIF('TL07'!$C$238:$C$451,$C119,'TL07'!$J$238:$J$451),0),
IF('TL08'!$B$3=N$3,SUMIF('TL08'!$C$10:$C$224,$C119,'TL08'!$J$10:$J$224),0),
IF('TL08'!$B$229=N$3,SUMIF('TL08'!$C$238:$C$451,$C119,'TL08'!$J$238:$J$451),0),
IF('TL09'!$B$3=N$3,SUMIF('TL09'!$C$10:$C$224,$C119,'TL09'!$J$10:$J$224),0),
IF('TL09'!$B$229=N$3,SUMIF('TL09'!$C$238:$C$451,$C119,'TL09'!$J$238:$J$451),0),
IF('TL10'!$B$3=N$3,SUMIF('TL10'!$C$10:$C$224,$C119,'TL10'!$J$10:$J$224),0),
IF('TL10'!$B$229=N$3,SUMIF('TL10'!$C$238:$C$451,$C119,'TL10'!$J$238:$J$451),0),
IF('TL11'!$B$3=N$3,SUMIF('TL11'!$C$10:$C$224,$C119,'TL11'!$J$10:$J$224),0),
IF('TL11'!$B$229=N$3,SUMIF('TL11'!$C$238:$C$451,$C119,'TL11'!$J$238:$J$451),0),
IF('TL12'!$B$3=N$3,SUMIF('TL12'!$C$10:$C$224,$C119,'TL12'!$J$10:$J$224),0),
IF('TL12'!$B$229=N$3,SUMIF('TL12'!$C$238:$C$451,$C119,'TL12'!$J$238:$J$451),0),
IF('TL13'!$B$3=N$3,SUMIF('TL13'!$C$10:$C$224,$C119,'TL13'!$J$10:$J$224),0),
IF('TL13'!$B$229=N$3,SUMIF('TL13'!$C$238:$C$451,$C119,'TL13'!$J$238:$J$451),0),
IF('TL14'!$B$3=N$3,SUMIF('TL14'!$C$10:$C$224,$C119,'TL14'!$J$10:$J$224),0),
IF('TL14'!$B$229=N$3,SUMIF('TL14'!$C$238:$C$451,$C119,'TL14'!$J$238:$J$451),0),
IF('TL15'!$B$3=N$3,SUMIF('TL15'!$C$10:$C$224,$C119,'TL15'!$J$10:$J$224),0),
IF('TL15'!$B$229=N$3,SUMIF('TL15'!$C$238:$C$451,$C119,'TL15'!$J$238:$J$451),0),
IF('TL16'!$B$3=N$3,SUMIF('TL16'!$C$10:$C$224,$C119,'TL16'!$J$10:$J$224),0),
IF('TL16'!$B$229=N$3,SUMIF('TL16'!$C$238:$C$451,$C119,'TL16'!$J$238:$J$451),0),
IF('TL17'!$B$3=N$3,SUMIF('TL17'!$C$10:$C$224,$C119,'TL17'!$J$10:$J$224),0),
IF('TL17'!$B$229=N$3,SUMIF('TL17'!$C$238:$C$451,$C119,'TL17'!$J$238:$J$451),0),
IF('TL18'!$B$3=N$3,SUMIF('TL18'!$C$10:$C$224,$C119,'TL18'!$J$10:$J$224),0),
IF('TL18'!$B$229=N$3,SUMIF('TL18'!$C$238:$C$451,$C119,'TL18'!$J$238:$J$451),0),
IF('TL19'!$B$3=N$3,SUMIF('TL19'!$C$10:$C$224,$C119,'TL19'!$J$10:$J$224),0),
IF('TL19'!$B$229=N$3,SUMIF('TL19'!$C$238:$C$451,$C119,'TL19'!$J$238:$J$451),0)
),0)</f>
        <v/>
      </c>
      <c r="O119" s="9">
        <f>IFERROR(SUM(
IF('TL01'!$B$3=O$3,SUMIF('TL01'!$C$10:$C$224,$C119,'TL01'!$J$10:$J$224),0),
IF('TL01'!$B$229=O$3,SUMIF('TL01'!$C$238:$C$451,$C119,'TL01'!$J$238:$J$451),0),
IF('TL02'!$B$3=O$3,SUMIF('TL02'!$C$10:$C$224,$C119,'TL02'!$J$10:$J$224),0),
IF('TL02'!$B$229=O$3,SUMIF('TL02'!$C$238:$C$451,$C119,'TL02'!$J$238:$J$451),0),
IF('TL03'!$B$3=O$3,SUMIF('TL03'!$C$10:$C$224,$C119,'TL03'!$J$10:$J$224),0),
IF('TL03'!$B$229=O$3,SUMIF('TL03'!$C$238:$C$451,$C119,'TL03'!$J$238:$J$451),0),
IF('TL04'!$B$3=O$3,SUMIF('TL04'!$C$10:$C$224,$C119,'TL04'!$J$10:$J$224),0),
IF('TL04'!$B$229=O$3,SUMIF('TL04'!$C$238:$C$451,$C119,'TL04'!$J$238:$J$451),0),
IF('TL05'!$B$3=O$3,SUMIF('TL05'!$C$10:$C$224,$C119,'TL05'!$J$10:$J$224),0),
IF('TL05'!$B$229=O$3,SUMIF('TL05'!$C$238:$C$451,$C119,'TL05'!$J$238:$J$451),0),
IF('TL06'!$B$3=O$3,SUMIF('TL06'!$C$10:$C$224,$C119,'TL06'!$J$10:$J$224),0),
IF('TL06'!$B$229=O$3,SUMIF('TL06'!$C$238:$C$451,$C119,'TL06'!$J$238:$J$451),0),
IF('TL07'!$B$3=O$3,SUMIF('TL07'!$C$10:$C$224,$C119,'TL07'!$J$10:$J$224),0),
IF('TL07'!$B$229=O$3,SUMIF('TL07'!$C$238:$C$451,$C119,'TL07'!$J$238:$J$451),0),
IF('TL08'!$B$3=O$3,SUMIF('TL08'!$C$10:$C$224,$C119,'TL08'!$J$10:$J$224),0),
IF('TL08'!$B$229=O$3,SUMIF('TL08'!$C$238:$C$451,$C119,'TL08'!$J$238:$J$451),0),
IF('TL09'!$B$3=O$3,SUMIF('TL09'!$C$10:$C$224,$C119,'TL09'!$J$10:$J$224),0),
IF('TL09'!$B$229=O$3,SUMIF('TL09'!$C$238:$C$451,$C119,'TL09'!$J$238:$J$451),0),
IF('TL10'!$B$3=O$3,SUMIF('TL10'!$C$10:$C$224,$C119,'TL10'!$J$10:$J$224),0),
IF('TL10'!$B$229=O$3,SUMIF('TL10'!$C$238:$C$451,$C119,'TL10'!$J$238:$J$451),0),
IF('TL11'!$B$3=O$3,SUMIF('TL11'!$C$10:$C$224,$C119,'TL11'!$J$10:$J$224),0),
IF('TL11'!$B$229=O$3,SUMIF('TL11'!$C$238:$C$451,$C119,'TL11'!$J$238:$J$451),0),
IF('TL12'!$B$3=O$3,SUMIF('TL12'!$C$10:$C$224,$C119,'TL12'!$J$10:$J$224),0),
IF('TL12'!$B$229=O$3,SUMIF('TL12'!$C$238:$C$451,$C119,'TL12'!$J$238:$J$451),0),
IF('TL13'!$B$3=O$3,SUMIF('TL13'!$C$10:$C$224,$C119,'TL13'!$J$10:$J$224),0),
IF('TL13'!$B$229=O$3,SUMIF('TL13'!$C$238:$C$451,$C119,'TL13'!$J$238:$J$451),0),
IF('TL14'!$B$3=O$3,SUMIF('TL14'!$C$10:$C$224,$C119,'TL14'!$J$10:$J$224),0),
IF('TL14'!$B$229=O$3,SUMIF('TL14'!$C$238:$C$451,$C119,'TL14'!$J$238:$J$451),0),
IF('TL15'!$B$3=O$3,SUMIF('TL15'!$C$10:$C$224,$C119,'TL15'!$J$10:$J$224),0),
IF('TL15'!$B$229=O$3,SUMIF('TL15'!$C$238:$C$451,$C119,'TL15'!$J$238:$J$451),0),
IF('TL16'!$B$3=O$3,SUMIF('TL16'!$C$10:$C$224,$C119,'TL16'!$J$10:$J$224),0),
IF('TL16'!$B$229=O$3,SUMIF('TL16'!$C$238:$C$451,$C119,'TL16'!$J$238:$J$451),0),
IF('TL17'!$B$3=O$3,SUMIF('TL17'!$C$10:$C$224,$C119,'TL17'!$J$10:$J$224),0),
IF('TL17'!$B$229=O$3,SUMIF('TL17'!$C$238:$C$451,$C119,'TL17'!$J$238:$J$451),0),
IF('TL18'!$B$3=O$3,SUMIF('TL18'!$C$10:$C$224,$C119,'TL18'!$J$10:$J$224),0),
IF('TL18'!$B$229=O$3,SUMIF('TL18'!$C$238:$C$451,$C119,'TL18'!$J$238:$J$451),0),
IF('TL19'!$B$3=O$3,SUMIF('TL19'!$C$10:$C$224,$C119,'TL19'!$J$10:$J$224),0),
IF('TL19'!$B$229=O$3,SUMIF('TL19'!$C$238:$C$451,$C119,'TL19'!$J$238:$J$451),0)
),0)</f>
        <v/>
      </c>
      <c r="P119" s="9">
        <f>IFERROR(SUM(
IF('TL01'!$B$3=P$3,SUMIF('TL01'!$C$10:$C$224,$C119,'TL01'!$J$10:$J$224),0),
IF('TL01'!$B$229=P$3,SUMIF('TL01'!$C$238:$C$451,$C119,'TL01'!$J$238:$J$451),0),
IF('TL02'!$B$3=P$3,SUMIF('TL02'!$C$10:$C$224,$C119,'TL02'!$J$10:$J$224),0),
IF('TL02'!$B$229=P$3,SUMIF('TL02'!$C$238:$C$451,$C119,'TL02'!$J$238:$J$451),0),
IF('TL03'!$B$3=P$3,SUMIF('TL03'!$C$10:$C$224,$C119,'TL03'!$J$10:$J$224),0),
IF('TL03'!$B$229=P$3,SUMIF('TL03'!$C$238:$C$451,$C119,'TL03'!$J$238:$J$451),0),
IF('TL04'!$B$3=P$3,SUMIF('TL04'!$C$10:$C$224,$C119,'TL04'!$J$10:$J$224),0),
IF('TL04'!$B$229=P$3,SUMIF('TL04'!$C$238:$C$451,$C119,'TL04'!$J$238:$J$451),0),
IF('TL05'!$B$3=P$3,SUMIF('TL05'!$C$10:$C$224,$C119,'TL05'!$J$10:$J$224),0),
IF('TL05'!$B$229=P$3,SUMIF('TL05'!$C$238:$C$451,$C119,'TL05'!$J$238:$J$451),0),
IF('TL06'!$B$3=P$3,SUMIF('TL06'!$C$10:$C$224,$C119,'TL06'!$J$10:$J$224),0),
IF('TL06'!$B$229=P$3,SUMIF('TL06'!$C$238:$C$451,$C119,'TL06'!$J$238:$J$451),0),
IF('TL07'!$B$3=P$3,SUMIF('TL07'!$C$10:$C$224,$C119,'TL07'!$J$10:$J$224),0),
IF('TL07'!$B$229=P$3,SUMIF('TL07'!$C$238:$C$451,$C119,'TL07'!$J$238:$J$451),0),
IF('TL08'!$B$3=P$3,SUMIF('TL08'!$C$10:$C$224,$C119,'TL08'!$J$10:$J$224),0),
IF('TL08'!$B$229=P$3,SUMIF('TL08'!$C$238:$C$451,$C119,'TL08'!$J$238:$J$451),0),
IF('TL09'!$B$3=P$3,SUMIF('TL09'!$C$10:$C$224,$C119,'TL09'!$J$10:$J$224),0),
IF('TL09'!$B$229=P$3,SUMIF('TL09'!$C$238:$C$451,$C119,'TL09'!$J$238:$J$451),0),
IF('TL10'!$B$3=P$3,SUMIF('TL10'!$C$10:$C$224,$C119,'TL10'!$J$10:$J$224),0),
IF('TL10'!$B$229=P$3,SUMIF('TL10'!$C$238:$C$451,$C119,'TL10'!$J$238:$J$451),0),
IF('TL11'!$B$3=P$3,SUMIF('TL11'!$C$10:$C$224,$C119,'TL11'!$J$10:$J$224),0),
IF('TL11'!$B$229=P$3,SUMIF('TL11'!$C$238:$C$451,$C119,'TL11'!$J$238:$J$451),0),
IF('TL12'!$B$3=P$3,SUMIF('TL12'!$C$10:$C$224,$C119,'TL12'!$J$10:$J$224),0),
IF('TL12'!$B$229=P$3,SUMIF('TL12'!$C$238:$C$451,$C119,'TL12'!$J$238:$J$451),0),
IF('TL13'!$B$3=P$3,SUMIF('TL13'!$C$10:$C$224,$C119,'TL13'!$J$10:$J$224),0),
IF('TL13'!$B$229=P$3,SUMIF('TL13'!$C$238:$C$451,$C119,'TL13'!$J$238:$J$451),0),
IF('TL14'!$B$3=P$3,SUMIF('TL14'!$C$10:$C$224,$C119,'TL14'!$J$10:$J$224),0),
IF('TL14'!$B$229=P$3,SUMIF('TL14'!$C$238:$C$451,$C119,'TL14'!$J$238:$J$451),0),
IF('TL15'!$B$3=P$3,SUMIF('TL15'!$C$10:$C$224,$C119,'TL15'!$J$10:$J$224),0),
IF('TL15'!$B$229=P$3,SUMIF('TL15'!$C$238:$C$451,$C119,'TL15'!$J$238:$J$451),0),
IF('TL16'!$B$3=P$3,SUMIF('TL16'!$C$10:$C$224,$C119,'TL16'!$J$10:$J$224),0),
IF('TL16'!$B$229=P$3,SUMIF('TL16'!$C$238:$C$451,$C119,'TL16'!$J$238:$J$451),0),
IF('TL17'!$B$3=P$3,SUMIF('TL17'!$C$10:$C$224,$C119,'TL17'!$J$10:$J$224),0),
IF('TL17'!$B$229=P$3,SUMIF('TL17'!$C$238:$C$451,$C119,'TL17'!$J$238:$J$451),0),
IF('TL18'!$B$3=P$3,SUMIF('TL18'!$C$10:$C$224,$C119,'TL18'!$J$10:$J$224),0),
IF('TL18'!$B$229=P$3,SUMIF('TL18'!$C$238:$C$451,$C119,'TL18'!$J$238:$J$451),0),
IF('TL19'!$B$3=P$3,SUMIF('TL19'!$C$10:$C$224,$C119,'TL19'!$J$10:$J$224),0),
IF('TL19'!$B$229=P$3,SUMIF('TL19'!$C$238:$C$451,$C119,'TL19'!$J$238:$J$451),0)
),0)</f>
        <v/>
      </c>
      <c r="Q119" s="9">
        <f>IFERROR(SUM(
IF('TL01'!$B$3=Q$3,SUMIF('TL01'!$C$10:$C$224,$C119,'TL01'!$J$10:$J$224),0),
IF('TL01'!$B$229=Q$3,SUMIF('TL01'!$C$238:$C$451,$C119,'TL01'!$J$238:$J$451),0),
IF('TL02'!$B$3=Q$3,SUMIF('TL02'!$C$10:$C$224,$C119,'TL02'!$J$10:$J$224),0),
IF('TL02'!$B$229=Q$3,SUMIF('TL02'!$C$238:$C$451,$C119,'TL02'!$J$238:$J$451),0),
IF('TL03'!$B$3=Q$3,SUMIF('TL03'!$C$10:$C$224,$C119,'TL03'!$J$10:$J$224),0),
IF('TL03'!$B$229=Q$3,SUMIF('TL03'!$C$238:$C$451,$C119,'TL03'!$J$238:$J$451),0),
IF('TL04'!$B$3=Q$3,SUMIF('TL04'!$C$10:$C$224,$C119,'TL04'!$J$10:$J$224),0),
IF('TL04'!$B$229=Q$3,SUMIF('TL04'!$C$238:$C$451,$C119,'TL04'!$J$238:$J$451),0),
IF('TL05'!$B$3=Q$3,SUMIF('TL05'!$C$10:$C$224,$C119,'TL05'!$J$10:$J$224),0),
IF('TL05'!$B$229=Q$3,SUMIF('TL05'!$C$238:$C$451,$C119,'TL05'!$J$238:$J$451),0),
IF('TL06'!$B$3=Q$3,SUMIF('TL06'!$C$10:$C$224,$C119,'TL06'!$J$10:$J$224),0),
IF('TL06'!$B$229=Q$3,SUMIF('TL06'!$C$238:$C$451,$C119,'TL06'!$J$238:$J$451),0),
IF('TL07'!$B$3=Q$3,SUMIF('TL07'!$C$10:$C$224,$C119,'TL07'!$J$10:$J$224),0),
IF('TL07'!$B$229=Q$3,SUMIF('TL07'!$C$238:$C$451,$C119,'TL07'!$J$238:$J$451),0),
IF('TL08'!$B$3=Q$3,SUMIF('TL08'!$C$10:$C$224,$C119,'TL08'!$J$10:$J$224),0),
IF('TL08'!$B$229=Q$3,SUMIF('TL08'!$C$238:$C$451,$C119,'TL08'!$J$238:$J$451),0),
IF('TL09'!$B$3=Q$3,SUMIF('TL09'!$C$10:$C$224,$C119,'TL09'!$J$10:$J$224),0),
IF('TL09'!$B$229=Q$3,SUMIF('TL09'!$C$238:$C$451,$C119,'TL09'!$J$238:$J$451),0),
IF('TL10'!$B$3=Q$3,SUMIF('TL10'!$C$10:$C$224,$C119,'TL10'!$J$10:$J$224),0),
IF('TL10'!$B$229=Q$3,SUMIF('TL10'!$C$238:$C$451,$C119,'TL10'!$J$238:$J$451),0),
IF('TL11'!$B$3=Q$3,SUMIF('TL11'!$C$10:$C$224,$C119,'TL11'!$J$10:$J$224),0),
IF('TL11'!$B$229=Q$3,SUMIF('TL11'!$C$238:$C$451,$C119,'TL11'!$J$238:$J$451),0),
IF('TL12'!$B$3=Q$3,SUMIF('TL12'!$C$10:$C$224,$C119,'TL12'!$J$10:$J$224),0),
IF('TL12'!$B$229=Q$3,SUMIF('TL12'!$C$238:$C$451,$C119,'TL12'!$J$238:$J$451),0),
IF('TL13'!$B$3=Q$3,SUMIF('TL13'!$C$10:$C$224,$C119,'TL13'!$J$10:$J$224),0),
IF('TL13'!$B$229=Q$3,SUMIF('TL13'!$C$238:$C$451,$C119,'TL13'!$J$238:$J$451),0),
IF('TL14'!$B$3=Q$3,SUMIF('TL14'!$C$10:$C$224,$C119,'TL14'!$J$10:$J$224),0),
IF('TL14'!$B$229=Q$3,SUMIF('TL14'!$C$238:$C$451,$C119,'TL14'!$J$238:$J$451),0),
IF('TL15'!$B$3=Q$3,SUMIF('TL15'!$C$10:$C$224,$C119,'TL15'!$J$10:$J$224),0),
IF('TL15'!$B$229=Q$3,SUMIF('TL15'!$C$238:$C$451,$C119,'TL15'!$J$238:$J$451),0),
IF('TL16'!$B$3=Q$3,SUMIF('TL16'!$C$10:$C$224,$C119,'TL16'!$J$10:$J$224),0),
IF('TL16'!$B$229=Q$3,SUMIF('TL16'!$C$238:$C$451,$C119,'TL16'!$J$238:$J$451),0),
IF('TL17'!$B$3=Q$3,SUMIF('TL17'!$C$10:$C$224,$C119,'TL17'!$J$10:$J$224),0),
IF('TL17'!$B$229=Q$3,SUMIF('TL17'!$C$238:$C$451,$C119,'TL17'!$J$238:$J$451),0),
IF('TL18'!$B$3=Q$3,SUMIF('TL18'!$C$10:$C$224,$C119,'TL18'!$J$10:$J$224),0),
IF('TL18'!$B$229=Q$3,SUMIF('TL18'!$C$238:$C$451,$C119,'TL18'!$J$238:$J$451),0),
IF('TL19'!$B$3=Q$3,SUMIF('TL19'!$C$10:$C$224,$C119,'TL19'!$J$10:$J$224),0),
IF('TL19'!$B$229=Q$3,SUMIF('TL19'!$C$238:$C$451,$C119,'TL19'!$J$238:$J$451),0)
),0)</f>
        <v/>
      </c>
      <c r="R119" s="9">
        <f>IFERROR(
SUM(
SUMIF('TL01'!C:C,C119,'TL01'!J:J),
SUMIF('TL02'!C:C,C119,'TL02'!J:J),
SUMIF('TL03'!C:C,C119,'TL03'!J:J),
SUMIF('TL04'!C:C,C119,'TL04'!J:J),
SUMIF('TL05'!C:C,C119,'TL05'!J:J),
SUMIF('TL06'!C:C,C119,'TL06'!J:J),
SUMIF('TL07'!C:C,C119,'TL07'!J:J),
SUMIF('TL08'!C:C,C119,'TL08'!J:J),
SUMIF('TL09'!C:C,C119,'TL09'!J:J),
SUMIF('TL10'!C:C,C119,'TL10'!J:J),
SUMIF('TL11'!C:C,C119,'TL11'!J:J),
SUMIF('TL12'!C:C,C119,'TL12'!J:J),
SUMIF('TL13'!C:C,C119,'TL13'!J:J),
SUMIF('TL14'!C:C,C119,'TL14'!J:J),
SUMIF('TL15'!C:C,C119,'TL15'!J:J),
SUMIF('TL16'!C:C,C119,'TL16'!J:J),
SUMIF('TL17'!C:C,C119,'TL17'!J:J),
SUMIF('TL18'!C:C,C119,'TL18'!J:J),SUMIF('TL19'!C:C,C119,'TL19'!J:J))
,0)</f>
        <v/>
      </c>
      <c r="S119" s="17">
        <f>IFERROR(__xludf.DUMMYFUNCTION("IFERROR(VLOOKUP(C119,
IMPORTRANGE(""1wULbzX32WdYsx-lj2U3uUNBBe2INVIRDtcK0d-Dvl90"",
""26-27!C:G""),
5,
FALSE),
"""")"),24.58)</f>
        <v/>
      </c>
      <c r="T119" s="9" t="n">
        <v>1266</v>
      </c>
      <c r="U119" s="92">
        <f>MAX(0,R119-T119)</f>
        <v/>
      </c>
      <c r="V119" s="93">
        <f>U119*S119</f>
        <v/>
      </c>
    </row>
    <row r="120" hidden="1" ht="15.75" customHeight="1" s="297">
      <c r="A120" s="115" t="inlineStr">
        <is>
          <t>BAYER</t>
        </is>
      </c>
      <c r="B120" s="100" t="inlineStr">
        <is>
          <t>HERBICIDA</t>
        </is>
      </c>
      <c r="C120" s="116" t="inlineStr">
        <is>
          <t>SOBERAN</t>
        </is>
      </c>
      <c r="D120" s="116" t="inlineStr">
        <is>
          <t>TEMBOTRIONA</t>
        </is>
      </c>
      <c r="E120" s="116" t="n">
        <v>420</v>
      </c>
      <c r="F120" s="4" t="inlineStr">
        <is>
          <t>L</t>
        </is>
      </c>
      <c r="G120" s="90">
        <f>HYPERLINK("https://www.google.com/search?q=" &amp; C120 &amp; "+bula+agrofit+pdf", "📄 Ver bula")</f>
        <v/>
      </c>
      <c r="H120" s="9">
        <f>IFERROR(__xludf.DUMMYFUNCTION("IFERROR(VLOOKUP(C120,
IMPORTRANGE(""1wULbzX32WdYsx-lj2U3uUNBBe2INVIRDtcK0d-Dvl90"",
""26-27!C:K""),
8,
FALSE),
"""")"),"")</f>
        <v/>
      </c>
      <c r="I120" s="117" t="inlineStr">
        <is>
          <t>4X5</t>
        </is>
      </c>
      <c r="J120" s="9">
        <f>IFERROR(SUM(
IF('TL01'!$B$3=J$3,SUMIF('TL01'!$C$10:$C$224,$C120,'TL01'!$J$10:$J$224),0),
IF('TL01'!$B$229=J$3,SUMIF('TL01'!$C$238:$C$451,$C120,'TL01'!$J$238:$J$451),0),
IF('TL02'!$B$3=J$3,SUMIF('TL02'!$C$10:$C$224,$C120,'TL02'!$J$10:$J$224),0),
IF('TL02'!$B$229=J$3,SUMIF('TL02'!$C$238:$C$451,$C120,'TL02'!$J$238:$J$451),0),
IF('TL03'!$B$3=J$3,SUMIF('TL03'!$C$10:$C$224,$C120,'TL03'!$J$10:$J$224),0),
IF('TL03'!$B$229=J$3,SUMIF('TL03'!$C$238:$C$451,$C120,'TL03'!$J$238:$J$451),0),
IF('TL04'!$B$3=J$3,SUMIF('TL04'!$C$10:$C$224,$C120,'TL04'!$J$10:$J$224),0),
IF('TL04'!$B$229=J$3,SUMIF('TL04'!$C$238:$C$451,$C120,'TL04'!$J$238:$J$451),0),
IF('TL05'!$B$3=J$3,SUMIF('TL05'!$C$10:$C$224,$C120,'TL05'!$J$10:$J$224),0),
IF('TL05'!$B$229=J$3,SUMIF('TL05'!$C$238:$C$451,$C120,'TL05'!$J$238:$J$451),0),
IF('TL06'!$B$3=J$3,SUMIF('TL06'!$C$10:$C$224,$C120,'TL06'!$J$10:$J$224),0),
IF('TL06'!$B$229=J$3,SUMIF('TL06'!$C$238:$C$451,$C120,'TL06'!$J$238:$J$451),0),
IF('TL07'!$B$3=J$3,SUMIF('TL07'!$C$10:$C$224,$C120,'TL07'!$J$10:$J$224),0),
IF('TL07'!$B$229=J$3,SUMIF('TL07'!$C$238:$C$451,$C120,'TL07'!$J$238:$J$451),0),
IF('TL08'!$B$3=J$3,SUMIF('TL08'!$C$10:$C$224,$C120,'TL08'!$J$10:$J$224),0),
IF('TL08'!$B$229=J$3,SUMIF('TL08'!$C$238:$C$451,$C120,'TL08'!$J$238:$J$451),0),
IF('TL09'!$B$3=J$3,SUMIF('TL09'!$C$10:$C$224,$C120,'TL09'!$J$10:$J$224),0),
IF('TL09'!$B$229=J$3,SUMIF('TL09'!$C$238:$C$451,$C120,'TL09'!$J$238:$J$451),0),
IF('TL10'!$B$3=J$3,SUMIF('TL10'!$C$10:$C$224,$C120,'TL10'!$J$10:$J$224),0),
IF('TL10'!$B$229=J$3,SUMIF('TL10'!$C$238:$C$451,$C120,'TL10'!$J$238:$J$451),0),
IF('TL11'!$B$3=J$3,SUMIF('TL11'!$C$10:$C$224,$C120,'TL11'!$J$10:$J$224),0),
IF('TL11'!$B$229=J$3,SUMIF('TL11'!$C$238:$C$451,$C120,'TL11'!$J$238:$J$451),0),
IF('TL12'!$B$3=J$3,SUMIF('TL12'!$C$10:$C$224,$C120,'TL12'!$J$10:$J$224),0),
IF('TL12'!$B$229=J$3,SUMIF('TL12'!$C$238:$C$451,$C120,'TL12'!$J$238:$J$451),0),
IF('TL13'!$B$3=J$3,SUMIF('TL13'!$C$10:$C$224,$C120,'TL13'!$J$10:$J$224),0),
IF('TL13'!$B$229=J$3,SUMIF('TL13'!$C$238:$C$451,$C120,'TL13'!$J$238:$J$451),0),
IF('TL14'!$B$3=J$3,SUMIF('TL14'!$C$10:$C$224,$C120,'TL14'!$J$10:$J$224),0),
IF('TL14'!$B$229=J$3,SUMIF('TL14'!$C$238:$C$451,$C120,'TL14'!$J$238:$J$451),0),
IF('TL15'!$B$3=J$3,SUMIF('TL15'!$C$10:$C$224,$C120,'TL15'!$J$10:$J$224),0),
IF('TL15'!$B$229=J$3,SUMIF('TL15'!$C$238:$C$451,$C120,'TL15'!$J$238:$J$451),0),
IF('TL16'!$B$3=J$3,SUMIF('TL16'!$C$10:$C$224,$C120,'TL16'!$J$10:$J$224),0),
IF('TL16'!$B$229=J$3,SUMIF('TL16'!$C$238:$C$451,$C120,'TL16'!$J$238:$J$451),0),
IF('TL17'!$B$3=J$3,SUMIF('TL17'!$C$10:$C$224,$C120,'TL17'!$J$10:$J$224),0),
IF('TL17'!$B$229=J$3,SUMIF('TL17'!$C$238:$C$451,$C120,'TL17'!$J$238:$J$451),0),
IF('TL18'!$B$3=J$3,SUMIF('TL18'!$C$10:$C$224,$C120,'TL18'!$J$10:$J$224),0),
IF('TL18'!$B$229=J$3,SUMIF('TL18'!$C$238:$C$451,$C120,'TL18'!$J$238:$J$451),0),
IF('TL19'!$B$3=J$3,SUMIF('TL19'!$C$10:$C$224,$C120,'TL19'!$J$10:$J$224),0),
IF('TL19'!$B$229=J$3,SUMIF('TL19'!$C$238:$C$451,$C120,'TL19'!$J$238:$J$451),0)
),0)</f>
        <v/>
      </c>
      <c r="K120" s="9">
        <f>IFERROR(SUM(
IF('TL01'!$B$3=K$3,SUMIF('TL01'!$C$10:$C$224,$C120,'TL01'!$J$10:$J$224),0),
IF('TL01'!$B$229=K$3,SUMIF('TL01'!$C$238:$C$451,$C120,'TL01'!$J$238:$J$451),0),
IF('TL02'!$B$3=K$3,SUMIF('TL02'!$C$10:$C$224,$C120,'TL02'!$J$10:$J$224),0),
IF('TL02'!$B$229=K$3,SUMIF('TL02'!$C$238:$C$451,$C120,'TL02'!$J$238:$J$451),0),
IF('TL03'!$B$3=K$3,SUMIF('TL03'!$C$10:$C$224,$C120,'TL03'!$J$10:$J$224),0),
IF('TL03'!$B$229=K$3,SUMIF('TL03'!$C$238:$C$451,$C120,'TL03'!$J$238:$J$451),0),
IF('TL04'!$B$3=K$3,SUMIF('TL04'!$C$10:$C$224,$C120,'TL04'!$J$10:$J$224),0),
IF('TL04'!$B$229=K$3,SUMIF('TL04'!$C$238:$C$451,$C120,'TL04'!$J$238:$J$451),0),
IF('TL05'!$B$3=K$3,SUMIF('TL05'!$C$10:$C$224,$C120,'TL05'!$J$10:$J$224),0),
IF('TL05'!$B$229=K$3,SUMIF('TL05'!$C$238:$C$451,$C120,'TL05'!$J$238:$J$451),0),
IF('TL06'!$B$3=K$3,SUMIF('TL06'!$C$10:$C$224,$C120,'TL06'!$J$10:$J$224),0),
IF('TL06'!$B$229=K$3,SUMIF('TL06'!$C$238:$C$451,$C120,'TL06'!$J$238:$J$451),0),
IF('TL07'!$B$3=K$3,SUMIF('TL07'!$C$10:$C$224,$C120,'TL07'!$J$10:$J$224),0),
IF('TL07'!$B$229=K$3,SUMIF('TL07'!$C$238:$C$451,$C120,'TL07'!$J$238:$J$451),0),
IF('TL08'!$B$3=K$3,SUMIF('TL08'!$C$10:$C$224,$C120,'TL08'!$J$10:$J$224),0),
IF('TL08'!$B$229=K$3,SUMIF('TL08'!$C$238:$C$451,$C120,'TL08'!$J$238:$J$451),0),
IF('TL09'!$B$3=K$3,SUMIF('TL09'!$C$10:$C$224,$C120,'TL09'!$J$10:$J$224),0),
IF('TL09'!$B$229=K$3,SUMIF('TL09'!$C$238:$C$451,$C120,'TL09'!$J$238:$J$451),0),
IF('TL10'!$B$3=K$3,SUMIF('TL10'!$C$10:$C$224,$C120,'TL10'!$J$10:$J$224),0),
IF('TL10'!$B$229=K$3,SUMIF('TL10'!$C$238:$C$451,$C120,'TL10'!$J$238:$J$451),0),
IF('TL11'!$B$3=K$3,SUMIF('TL11'!$C$10:$C$224,$C120,'TL11'!$J$10:$J$224),0),
IF('TL11'!$B$229=K$3,SUMIF('TL11'!$C$238:$C$451,$C120,'TL11'!$J$238:$J$451),0),
IF('TL12'!$B$3=K$3,SUMIF('TL12'!$C$10:$C$224,$C120,'TL12'!$J$10:$J$224),0),
IF('TL12'!$B$229=K$3,SUMIF('TL12'!$C$238:$C$451,$C120,'TL12'!$J$238:$J$451),0),
IF('TL13'!$B$3=K$3,SUMIF('TL13'!$C$10:$C$224,$C120,'TL13'!$J$10:$J$224),0),
IF('TL13'!$B$229=K$3,SUMIF('TL13'!$C$238:$C$451,$C120,'TL13'!$J$238:$J$451),0),
IF('TL14'!$B$3=K$3,SUMIF('TL14'!$C$10:$C$224,$C120,'TL14'!$J$10:$J$224),0),
IF('TL14'!$B$229=K$3,SUMIF('TL14'!$C$238:$C$451,$C120,'TL14'!$J$238:$J$451),0),
IF('TL15'!$B$3=K$3,SUMIF('TL15'!$C$10:$C$224,$C120,'TL15'!$J$10:$J$224),0),
IF('TL15'!$B$229=K$3,SUMIF('TL15'!$C$238:$C$451,$C120,'TL15'!$J$238:$J$451),0),
IF('TL16'!$B$3=K$3,SUMIF('TL16'!$C$10:$C$224,$C120,'TL16'!$J$10:$J$224),0),
IF('TL16'!$B$229=K$3,SUMIF('TL16'!$C$238:$C$451,$C120,'TL16'!$J$238:$J$451),0),
IF('TL17'!$B$3=K$3,SUMIF('TL17'!$C$10:$C$224,$C120,'TL17'!$J$10:$J$224),0),
IF('TL17'!$B$229=K$3,SUMIF('TL17'!$C$238:$C$451,$C120,'TL17'!$J$238:$J$451),0),
IF('TL18'!$B$3=K$3,SUMIF('TL18'!$C$10:$C$224,$C120,'TL18'!$J$10:$J$224),0),
IF('TL18'!$B$229=K$3,SUMIF('TL18'!$C$238:$C$451,$C120,'TL18'!$J$238:$J$451),0),
IF('TL19'!$B$3=K$3,SUMIF('TL19'!$C$10:$C$224,$C120,'TL19'!$J$10:$J$224),0),
IF('TL19'!$B$229=K$3,SUMIF('TL19'!$C$238:$C$451,$C120,'TL19'!$J$238:$J$451),0)
),0)</f>
        <v/>
      </c>
      <c r="L120" s="9">
        <f>IFERROR(SUM(
IF('TL01'!$B$3=L$3,SUMIF('TL01'!$C$10:$C$224,$C120,'TL01'!$J$10:$J$224),0),
IF('TL01'!$B$229=L$3,SUMIF('TL01'!$C$238:$C$451,$C120,'TL01'!$J$238:$J$451),0),
IF('TL02'!$B$3=L$3,SUMIF('TL02'!$C$10:$C$224,$C120,'TL02'!$J$10:$J$224),0),
IF('TL02'!$B$229=L$3,SUMIF('TL02'!$C$238:$C$451,$C120,'TL02'!$J$238:$J$451),0),
IF('TL03'!$B$3=L$3,SUMIF('TL03'!$C$10:$C$224,$C120,'TL03'!$J$10:$J$224),0),
IF('TL03'!$B$229=L$3,SUMIF('TL03'!$C$238:$C$451,$C120,'TL03'!$J$238:$J$451),0),
IF('TL04'!$B$3=L$3,SUMIF('TL04'!$C$10:$C$224,$C120,'TL04'!$J$10:$J$224),0),
IF('TL04'!$B$229=L$3,SUMIF('TL04'!$C$238:$C$451,$C120,'TL04'!$J$238:$J$451),0),
IF('TL05'!$B$3=L$3,SUMIF('TL05'!$C$10:$C$224,$C120,'TL05'!$J$10:$J$224),0),
IF('TL05'!$B$229=L$3,SUMIF('TL05'!$C$238:$C$451,$C120,'TL05'!$J$238:$J$451),0),
IF('TL06'!$B$3=L$3,SUMIF('TL06'!$C$10:$C$224,$C120,'TL06'!$J$10:$J$224),0),
IF('TL06'!$B$229=L$3,SUMIF('TL06'!$C$238:$C$451,$C120,'TL06'!$J$238:$J$451),0),
IF('TL07'!$B$3=L$3,SUMIF('TL07'!$C$10:$C$224,$C120,'TL07'!$J$10:$J$224),0),
IF('TL07'!$B$229=L$3,SUMIF('TL07'!$C$238:$C$451,$C120,'TL07'!$J$238:$J$451),0),
IF('TL08'!$B$3=L$3,SUMIF('TL08'!$C$10:$C$224,$C120,'TL08'!$J$10:$J$224),0),
IF('TL08'!$B$229=L$3,SUMIF('TL08'!$C$238:$C$451,$C120,'TL08'!$J$238:$J$451),0),
IF('TL09'!$B$3=L$3,SUMIF('TL09'!$C$10:$C$224,$C120,'TL09'!$J$10:$J$224),0),
IF('TL09'!$B$229=L$3,SUMIF('TL09'!$C$238:$C$451,$C120,'TL09'!$J$238:$J$451),0),
IF('TL10'!$B$3=L$3,SUMIF('TL10'!$C$10:$C$224,$C120,'TL10'!$J$10:$J$224),0),
IF('TL10'!$B$229=L$3,SUMIF('TL10'!$C$238:$C$451,$C120,'TL10'!$J$238:$J$451),0),
IF('TL11'!$B$3=L$3,SUMIF('TL11'!$C$10:$C$224,$C120,'TL11'!$J$10:$J$224),0),
IF('TL11'!$B$229=L$3,SUMIF('TL11'!$C$238:$C$451,$C120,'TL11'!$J$238:$J$451),0),
IF('TL12'!$B$3=L$3,SUMIF('TL12'!$C$10:$C$224,$C120,'TL12'!$J$10:$J$224),0),
IF('TL12'!$B$229=L$3,SUMIF('TL12'!$C$238:$C$451,$C120,'TL12'!$J$238:$J$451),0),
IF('TL13'!$B$3=L$3,SUMIF('TL13'!$C$10:$C$224,$C120,'TL13'!$J$10:$J$224),0),
IF('TL13'!$B$229=L$3,SUMIF('TL13'!$C$238:$C$451,$C120,'TL13'!$J$238:$J$451),0),
IF('TL14'!$B$3=L$3,SUMIF('TL14'!$C$10:$C$224,$C120,'TL14'!$J$10:$J$224),0),
IF('TL14'!$B$229=L$3,SUMIF('TL14'!$C$238:$C$451,$C120,'TL14'!$J$238:$J$451),0),
IF('TL15'!$B$3=L$3,SUMIF('TL15'!$C$10:$C$224,$C120,'TL15'!$J$10:$J$224),0),
IF('TL15'!$B$229=L$3,SUMIF('TL15'!$C$238:$C$451,$C120,'TL15'!$J$238:$J$451),0),
IF('TL16'!$B$3=L$3,SUMIF('TL16'!$C$10:$C$224,$C120,'TL16'!$J$10:$J$224),0),
IF('TL16'!$B$229=L$3,SUMIF('TL16'!$C$238:$C$451,$C120,'TL16'!$J$238:$J$451),0),
IF('TL17'!$B$3=L$3,SUMIF('TL17'!$C$10:$C$224,$C120,'TL17'!$J$10:$J$224),0),
IF('TL17'!$B$229=L$3,SUMIF('TL17'!$C$238:$C$451,$C120,'TL17'!$J$238:$J$451),0),
IF('TL18'!$B$3=L$3,SUMIF('TL18'!$C$10:$C$224,$C120,'TL18'!$J$10:$J$224),0),
IF('TL18'!$B$229=L$3,SUMIF('TL18'!$C$238:$C$451,$C120,'TL18'!$J$238:$J$451),0),
IF('TL19'!$B$3=L$3,SUMIF('TL19'!$C$10:$C$224,$C120,'TL19'!$J$10:$J$224),0),
IF('TL19'!$B$229=L$3,SUMIF('TL19'!$C$238:$C$451,$C120,'TL19'!$J$238:$J$451),0)
),0)</f>
        <v/>
      </c>
      <c r="M120" s="9">
        <f>IFERROR(SUM(
IF('TL01'!$B$3=M$3,SUMIF('TL01'!$C$10:$C$224,$C120,'TL01'!$J$10:$J$224),0),
IF('TL01'!$B$229=M$3,SUMIF('TL01'!$C$238:$C$451,$C120,'TL01'!$J$238:$J$451),0),
IF('TL02'!$B$3=M$3,SUMIF('TL02'!$C$10:$C$224,$C120,'TL02'!$J$10:$J$224),0),
IF('TL02'!$B$229=M$3,SUMIF('TL02'!$C$238:$C$451,$C120,'TL02'!$J$238:$J$451),0),
IF('TL03'!$B$3=M$3,SUMIF('TL03'!$C$10:$C$224,$C120,'TL03'!$J$10:$J$224),0),
IF('TL03'!$B$229=M$3,SUMIF('TL03'!$C$238:$C$451,$C120,'TL03'!$J$238:$J$451),0),
IF('TL04'!$B$3=M$3,SUMIF('TL04'!$C$10:$C$224,$C120,'TL04'!$J$10:$J$224),0),
IF('TL04'!$B$229=M$3,SUMIF('TL04'!$C$238:$C$451,$C120,'TL04'!$J$238:$J$451),0),
IF('TL05'!$B$3=M$3,SUMIF('TL05'!$C$10:$C$224,$C120,'TL05'!$J$10:$J$224),0),
IF('TL05'!$B$229=M$3,SUMIF('TL05'!$C$238:$C$451,$C120,'TL05'!$J$238:$J$451),0),
IF('TL06'!$B$3=M$3,SUMIF('TL06'!$C$10:$C$224,$C120,'TL06'!$J$10:$J$224),0),
IF('TL06'!$B$229=M$3,SUMIF('TL06'!$C$238:$C$451,$C120,'TL06'!$J$238:$J$451),0),
IF('TL07'!$B$3=M$3,SUMIF('TL07'!$C$10:$C$224,$C120,'TL07'!$J$10:$J$224),0),
IF('TL07'!$B$229=M$3,SUMIF('TL07'!$C$238:$C$451,$C120,'TL07'!$J$238:$J$451),0),
IF('TL08'!$B$3=M$3,SUMIF('TL08'!$C$10:$C$224,$C120,'TL08'!$J$10:$J$224),0),
IF('TL08'!$B$229=M$3,SUMIF('TL08'!$C$238:$C$451,$C120,'TL08'!$J$238:$J$451),0),
IF('TL09'!$B$3=M$3,SUMIF('TL09'!$C$10:$C$224,$C120,'TL09'!$J$10:$J$224),0),
IF('TL09'!$B$229=M$3,SUMIF('TL09'!$C$238:$C$451,$C120,'TL09'!$J$238:$J$451),0),
IF('TL10'!$B$3=M$3,SUMIF('TL10'!$C$10:$C$224,$C120,'TL10'!$J$10:$J$224),0),
IF('TL10'!$B$229=M$3,SUMIF('TL10'!$C$238:$C$451,$C120,'TL10'!$J$238:$J$451),0),
IF('TL11'!$B$3=M$3,SUMIF('TL11'!$C$10:$C$224,$C120,'TL11'!$J$10:$J$224),0),
IF('TL11'!$B$229=M$3,SUMIF('TL11'!$C$238:$C$451,$C120,'TL11'!$J$238:$J$451),0),
IF('TL12'!$B$3=M$3,SUMIF('TL12'!$C$10:$C$224,$C120,'TL12'!$J$10:$J$224),0),
IF('TL12'!$B$229=M$3,SUMIF('TL12'!$C$238:$C$451,$C120,'TL12'!$J$238:$J$451),0),
IF('TL13'!$B$3=M$3,SUMIF('TL13'!$C$10:$C$224,$C120,'TL13'!$J$10:$J$224),0),
IF('TL13'!$B$229=M$3,SUMIF('TL13'!$C$238:$C$451,$C120,'TL13'!$J$238:$J$451),0),
IF('TL14'!$B$3=M$3,SUMIF('TL14'!$C$10:$C$224,$C120,'TL14'!$J$10:$J$224),0),
IF('TL14'!$B$229=M$3,SUMIF('TL14'!$C$238:$C$451,$C120,'TL14'!$J$238:$J$451),0),
IF('TL15'!$B$3=M$3,SUMIF('TL15'!$C$10:$C$224,$C120,'TL15'!$J$10:$J$224),0),
IF('TL15'!$B$229=M$3,SUMIF('TL15'!$C$238:$C$451,$C120,'TL15'!$J$238:$J$451),0),
IF('TL16'!$B$3=M$3,SUMIF('TL16'!$C$10:$C$224,$C120,'TL16'!$J$10:$J$224),0),
IF('TL16'!$B$229=M$3,SUMIF('TL16'!$C$238:$C$451,$C120,'TL16'!$J$238:$J$451),0),
IF('TL17'!$B$3=M$3,SUMIF('TL17'!$C$10:$C$224,$C120,'TL17'!$J$10:$J$224),0),
IF('TL17'!$B$229=M$3,SUMIF('TL17'!$C$238:$C$451,$C120,'TL17'!$J$238:$J$451),0),
IF('TL18'!$B$3=M$3,SUMIF('TL18'!$C$10:$C$224,$C120,'TL18'!$J$10:$J$224),0),
IF('TL18'!$B$229=M$3,SUMIF('TL18'!$C$238:$C$451,$C120,'TL18'!$J$238:$J$451),0),
IF('TL19'!$B$3=M$3,SUMIF('TL19'!$C$10:$C$224,$C120,'TL19'!$J$10:$J$224),0),
IF('TL19'!$B$229=M$3,SUMIF('TL19'!$C$238:$C$451,$C120,'TL19'!$J$238:$J$451),0)
),0)</f>
        <v/>
      </c>
      <c r="N120" s="9">
        <f>IFERROR(SUM(
IF('TL01'!$B$3=N$3,SUMIF('TL01'!$C$10:$C$224,$C120,'TL01'!$J$10:$J$224),0),
IF('TL01'!$B$229=N$3,SUMIF('TL01'!$C$238:$C$451,$C120,'TL01'!$J$238:$J$451),0),
IF('TL02'!$B$3=N$3,SUMIF('TL02'!$C$10:$C$224,$C120,'TL02'!$J$10:$J$224),0),
IF('TL02'!$B$229=N$3,SUMIF('TL02'!$C$238:$C$451,$C120,'TL02'!$J$238:$J$451),0),
IF('TL03'!$B$3=N$3,SUMIF('TL03'!$C$10:$C$224,$C120,'TL03'!$J$10:$J$224),0),
IF('TL03'!$B$229=N$3,SUMIF('TL03'!$C$238:$C$451,$C120,'TL03'!$J$238:$J$451),0),
IF('TL04'!$B$3=N$3,SUMIF('TL04'!$C$10:$C$224,$C120,'TL04'!$J$10:$J$224),0),
IF('TL04'!$B$229=N$3,SUMIF('TL04'!$C$238:$C$451,$C120,'TL04'!$J$238:$J$451),0),
IF('TL05'!$B$3=N$3,SUMIF('TL05'!$C$10:$C$224,$C120,'TL05'!$J$10:$J$224),0),
IF('TL05'!$B$229=N$3,SUMIF('TL05'!$C$238:$C$451,$C120,'TL05'!$J$238:$J$451),0),
IF('TL06'!$B$3=N$3,SUMIF('TL06'!$C$10:$C$224,$C120,'TL06'!$J$10:$J$224),0),
IF('TL06'!$B$229=N$3,SUMIF('TL06'!$C$238:$C$451,$C120,'TL06'!$J$238:$J$451),0),
IF('TL07'!$B$3=N$3,SUMIF('TL07'!$C$10:$C$224,$C120,'TL07'!$J$10:$J$224),0),
IF('TL07'!$B$229=N$3,SUMIF('TL07'!$C$238:$C$451,$C120,'TL07'!$J$238:$J$451),0),
IF('TL08'!$B$3=N$3,SUMIF('TL08'!$C$10:$C$224,$C120,'TL08'!$J$10:$J$224),0),
IF('TL08'!$B$229=N$3,SUMIF('TL08'!$C$238:$C$451,$C120,'TL08'!$J$238:$J$451),0),
IF('TL09'!$B$3=N$3,SUMIF('TL09'!$C$10:$C$224,$C120,'TL09'!$J$10:$J$224),0),
IF('TL09'!$B$229=N$3,SUMIF('TL09'!$C$238:$C$451,$C120,'TL09'!$J$238:$J$451),0),
IF('TL10'!$B$3=N$3,SUMIF('TL10'!$C$10:$C$224,$C120,'TL10'!$J$10:$J$224),0),
IF('TL10'!$B$229=N$3,SUMIF('TL10'!$C$238:$C$451,$C120,'TL10'!$J$238:$J$451),0),
IF('TL11'!$B$3=N$3,SUMIF('TL11'!$C$10:$C$224,$C120,'TL11'!$J$10:$J$224),0),
IF('TL11'!$B$229=N$3,SUMIF('TL11'!$C$238:$C$451,$C120,'TL11'!$J$238:$J$451),0),
IF('TL12'!$B$3=N$3,SUMIF('TL12'!$C$10:$C$224,$C120,'TL12'!$J$10:$J$224),0),
IF('TL12'!$B$229=N$3,SUMIF('TL12'!$C$238:$C$451,$C120,'TL12'!$J$238:$J$451),0),
IF('TL13'!$B$3=N$3,SUMIF('TL13'!$C$10:$C$224,$C120,'TL13'!$J$10:$J$224),0),
IF('TL13'!$B$229=N$3,SUMIF('TL13'!$C$238:$C$451,$C120,'TL13'!$J$238:$J$451),0),
IF('TL14'!$B$3=N$3,SUMIF('TL14'!$C$10:$C$224,$C120,'TL14'!$J$10:$J$224),0),
IF('TL14'!$B$229=N$3,SUMIF('TL14'!$C$238:$C$451,$C120,'TL14'!$J$238:$J$451),0),
IF('TL15'!$B$3=N$3,SUMIF('TL15'!$C$10:$C$224,$C120,'TL15'!$J$10:$J$224),0),
IF('TL15'!$B$229=N$3,SUMIF('TL15'!$C$238:$C$451,$C120,'TL15'!$J$238:$J$451),0),
IF('TL16'!$B$3=N$3,SUMIF('TL16'!$C$10:$C$224,$C120,'TL16'!$J$10:$J$224),0),
IF('TL16'!$B$229=N$3,SUMIF('TL16'!$C$238:$C$451,$C120,'TL16'!$J$238:$J$451),0),
IF('TL17'!$B$3=N$3,SUMIF('TL17'!$C$10:$C$224,$C120,'TL17'!$J$10:$J$224),0),
IF('TL17'!$B$229=N$3,SUMIF('TL17'!$C$238:$C$451,$C120,'TL17'!$J$238:$J$451),0),
IF('TL18'!$B$3=N$3,SUMIF('TL18'!$C$10:$C$224,$C120,'TL18'!$J$10:$J$224),0),
IF('TL18'!$B$229=N$3,SUMIF('TL18'!$C$238:$C$451,$C120,'TL18'!$J$238:$J$451),0),
IF('TL19'!$B$3=N$3,SUMIF('TL19'!$C$10:$C$224,$C120,'TL19'!$J$10:$J$224),0),
IF('TL19'!$B$229=N$3,SUMIF('TL19'!$C$238:$C$451,$C120,'TL19'!$J$238:$J$451),0)
),0)</f>
        <v/>
      </c>
      <c r="O120" s="9">
        <f>IFERROR(SUM(
IF('TL01'!$B$3=O$3,SUMIF('TL01'!$C$10:$C$224,$C120,'TL01'!$J$10:$J$224),0),
IF('TL01'!$B$229=O$3,SUMIF('TL01'!$C$238:$C$451,$C120,'TL01'!$J$238:$J$451),0),
IF('TL02'!$B$3=O$3,SUMIF('TL02'!$C$10:$C$224,$C120,'TL02'!$J$10:$J$224),0),
IF('TL02'!$B$229=O$3,SUMIF('TL02'!$C$238:$C$451,$C120,'TL02'!$J$238:$J$451),0),
IF('TL03'!$B$3=O$3,SUMIF('TL03'!$C$10:$C$224,$C120,'TL03'!$J$10:$J$224),0),
IF('TL03'!$B$229=O$3,SUMIF('TL03'!$C$238:$C$451,$C120,'TL03'!$J$238:$J$451),0),
IF('TL04'!$B$3=O$3,SUMIF('TL04'!$C$10:$C$224,$C120,'TL04'!$J$10:$J$224),0),
IF('TL04'!$B$229=O$3,SUMIF('TL04'!$C$238:$C$451,$C120,'TL04'!$J$238:$J$451),0),
IF('TL05'!$B$3=O$3,SUMIF('TL05'!$C$10:$C$224,$C120,'TL05'!$J$10:$J$224),0),
IF('TL05'!$B$229=O$3,SUMIF('TL05'!$C$238:$C$451,$C120,'TL05'!$J$238:$J$451),0),
IF('TL06'!$B$3=O$3,SUMIF('TL06'!$C$10:$C$224,$C120,'TL06'!$J$10:$J$224),0),
IF('TL06'!$B$229=O$3,SUMIF('TL06'!$C$238:$C$451,$C120,'TL06'!$J$238:$J$451),0),
IF('TL07'!$B$3=O$3,SUMIF('TL07'!$C$10:$C$224,$C120,'TL07'!$J$10:$J$224),0),
IF('TL07'!$B$229=O$3,SUMIF('TL07'!$C$238:$C$451,$C120,'TL07'!$J$238:$J$451),0),
IF('TL08'!$B$3=O$3,SUMIF('TL08'!$C$10:$C$224,$C120,'TL08'!$J$10:$J$224),0),
IF('TL08'!$B$229=O$3,SUMIF('TL08'!$C$238:$C$451,$C120,'TL08'!$J$238:$J$451),0),
IF('TL09'!$B$3=O$3,SUMIF('TL09'!$C$10:$C$224,$C120,'TL09'!$J$10:$J$224),0),
IF('TL09'!$B$229=O$3,SUMIF('TL09'!$C$238:$C$451,$C120,'TL09'!$J$238:$J$451),0),
IF('TL10'!$B$3=O$3,SUMIF('TL10'!$C$10:$C$224,$C120,'TL10'!$J$10:$J$224),0),
IF('TL10'!$B$229=O$3,SUMIF('TL10'!$C$238:$C$451,$C120,'TL10'!$J$238:$J$451),0),
IF('TL11'!$B$3=O$3,SUMIF('TL11'!$C$10:$C$224,$C120,'TL11'!$J$10:$J$224),0),
IF('TL11'!$B$229=O$3,SUMIF('TL11'!$C$238:$C$451,$C120,'TL11'!$J$238:$J$451),0),
IF('TL12'!$B$3=O$3,SUMIF('TL12'!$C$10:$C$224,$C120,'TL12'!$J$10:$J$224),0),
IF('TL12'!$B$229=O$3,SUMIF('TL12'!$C$238:$C$451,$C120,'TL12'!$J$238:$J$451),0),
IF('TL13'!$B$3=O$3,SUMIF('TL13'!$C$10:$C$224,$C120,'TL13'!$J$10:$J$224),0),
IF('TL13'!$B$229=O$3,SUMIF('TL13'!$C$238:$C$451,$C120,'TL13'!$J$238:$J$451),0),
IF('TL14'!$B$3=O$3,SUMIF('TL14'!$C$10:$C$224,$C120,'TL14'!$J$10:$J$224),0),
IF('TL14'!$B$229=O$3,SUMIF('TL14'!$C$238:$C$451,$C120,'TL14'!$J$238:$J$451),0),
IF('TL15'!$B$3=O$3,SUMIF('TL15'!$C$10:$C$224,$C120,'TL15'!$J$10:$J$224),0),
IF('TL15'!$B$229=O$3,SUMIF('TL15'!$C$238:$C$451,$C120,'TL15'!$J$238:$J$451),0),
IF('TL16'!$B$3=O$3,SUMIF('TL16'!$C$10:$C$224,$C120,'TL16'!$J$10:$J$224),0),
IF('TL16'!$B$229=O$3,SUMIF('TL16'!$C$238:$C$451,$C120,'TL16'!$J$238:$J$451),0),
IF('TL17'!$B$3=O$3,SUMIF('TL17'!$C$10:$C$224,$C120,'TL17'!$J$10:$J$224),0),
IF('TL17'!$B$229=O$3,SUMIF('TL17'!$C$238:$C$451,$C120,'TL17'!$J$238:$J$451),0),
IF('TL18'!$B$3=O$3,SUMIF('TL18'!$C$10:$C$224,$C120,'TL18'!$J$10:$J$224),0),
IF('TL18'!$B$229=O$3,SUMIF('TL18'!$C$238:$C$451,$C120,'TL18'!$J$238:$J$451),0),
IF('TL19'!$B$3=O$3,SUMIF('TL19'!$C$10:$C$224,$C120,'TL19'!$J$10:$J$224),0),
IF('TL19'!$B$229=O$3,SUMIF('TL19'!$C$238:$C$451,$C120,'TL19'!$J$238:$J$451),0)
),0)</f>
        <v/>
      </c>
      <c r="P120" s="9">
        <f>IFERROR(SUM(
IF('TL01'!$B$3=P$3,SUMIF('TL01'!$C$10:$C$224,$C120,'TL01'!$J$10:$J$224),0),
IF('TL01'!$B$229=P$3,SUMIF('TL01'!$C$238:$C$451,$C120,'TL01'!$J$238:$J$451),0),
IF('TL02'!$B$3=P$3,SUMIF('TL02'!$C$10:$C$224,$C120,'TL02'!$J$10:$J$224),0),
IF('TL02'!$B$229=P$3,SUMIF('TL02'!$C$238:$C$451,$C120,'TL02'!$J$238:$J$451),0),
IF('TL03'!$B$3=P$3,SUMIF('TL03'!$C$10:$C$224,$C120,'TL03'!$J$10:$J$224),0),
IF('TL03'!$B$229=P$3,SUMIF('TL03'!$C$238:$C$451,$C120,'TL03'!$J$238:$J$451),0),
IF('TL04'!$B$3=P$3,SUMIF('TL04'!$C$10:$C$224,$C120,'TL04'!$J$10:$J$224),0),
IF('TL04'!$B$229=P$3,SUMIF('TL04'!$C$238:$C$451,$C120,'TL04'!$J$238:$J$451),0),
IF('TL05'!$B$3=P$3,SUMIF('TL05'!$C$10:$C$224,$C120,'TL05'!$J$10:$J$224),0),
IF('TL05'!$B$229=P$3,SUMIF('TL05'!$C$238:$C$451,$C120,'TL05'!$J$238:$J$451),0),
IF('TL06'!$B$3=P$3,SUMIF('TL06'!$C$10:$C$224,$C120,'TL06'!$J$10:$J$224),0),
IF('TL06'!$B$229=P$3,SUMIF('TL06'!$C$238:$C$451,$C120,'TL06'!$J$238:$J$451),0),
IF('TL07'!$B$3=P$3,SUMIF('TL07'!$C$10:$C$224,$C120,'TL07'!$J$10:$J$224),0),
IF('TL07'!$B$229=P$3,SUMIF('TL07'!$C$238:$C$451,$C120,'TL07'!$J$238:$J$451),0),
IF('TL08'!$B$3=P$3,SUMIF('TL08'!$C$10:$C$224,$C120,'TL08'!$J$10:$J$224),0),
IF('TL08'!$B$229=P$3,SUMIF('TL08'!$C$238:$C$451,$C120,'TL08'!$J$238:$J$451),0),
IF('TL09'!$B$3=P$3,SUMIF('TL09'!$C$10:$C$224,$C120,'TL09'!$J$10:$J$224),0),
IF('TL09'!$B$229=P$3,SUMIF('TL09'!$C$238:$C$451,$C120,'TL09'!$J$238:$J$451),0),
IF('TL10'!$B$3=P$3,SUMIF('TL10'!$C$10:$C$224,$C120,'TL10'!$J$10:$J$224),0),
IF('TL10'!$B$229=P$3,SUMIF('TL10'!$C$238:$C$451,$C120,'TL10'!$J$238:$J$451),0),
IF('TL11'!$B$3=P$3,SUMIF('TL11'!$C$10:$C$224,$C120,'TL11'!$J$10:$J$224),0),
IF('TL11'!$B$229=P$3,SUMIF('TL11'!$C$238:$C$451,$C120,'TL11'!$J$238:$J$451),0),
IF('TL12'!$B$3=P$3,SUMIF('TL12'!$C$10:$C$224,$C120,'TL12'!$J$10:$J$224),0),
IF('TL12'!$B$229=P$3,SUMIF('TL12'!$C$238:$C$451,$C120,'TL12'!$J$238:$J$451),0),
IF('TL13'!$B$3=P$3,SUMIF('TL13'!$C$10:$C$224,$C120,'TL13'!$J$10:$J$224),0),
IF('TL13'!$B$229=P$3,SUMIF('TL13'!$C$238:$C$451,$C120,'TL13'!$J$238:$J$451),0),
IF('TL14'!$B$3=P$3,SUMIF('TL14'!$C$10:$C$224,$C120,'TL14'!$J$10:$J$224),0),
IF('TL14'!$B$229=P$3,SUMIF('TL14'!$C$238:$C$451,$C120,'TL14'!$J$238:$J$451),0),
IF('TL15'!$B$3=P$3,SUMIF('TL15'!$C$10:$C$224,$C120,'TL15'!$J$10:$J$224),0),
IF('TL15'!$B$229=P$3,SUMIF('TL15'!$C$238:$C$451,$C120,'TL15'!$J$238:$J$451),0),
IF('TL16'!$B$3=P$3,SUMIF('TL16'!$C$10:$C$224,$C120,'TL16'!$J$10:$J$224),0),
IF('TL16'!$B$229=P$3,SUMIF('TL16'!$C$238:$C$451,$C120,'TL16'!$J$238:$J$451),0),
IF('TL17'!$B$3=P$3,SUMIF('TL17'!$C$10:$C$224,$C120,'TL17'!$J$10:$J$224),0),
IF('TL17'!$B$229=P$3,SUMIF('TL17'!$C$238:$C$451,$C120,'TL17'!$J$238:$J$451),0),
IF('TL18'!$B$3=P$3,SUMIF('TL18'!$C$10:$C$224,$C120,'TL18'!$J$10:$J$224),0),
IF('TL18'!$B$229=P$3,SUMIF('TL18'!$C$238:$C$451,$C120,'TL18'!$J$238:$J$451),0),
IF('TL19'!$B$3=P$3,SUMIF('TL19'!$C$10:$C$224,$C120,'TL19'!$J$10:$J$224),0),
IF('TL19'!$B$229=P$3,SUMIF('TL19'!$C$238:$C$451,$C120,'TL19'!$J$238:$J$451),0)
),0)</f>
        <v/>
      </c>
      <c r="Q120" s="9">
        <f>IFERROR(SUM(
IF('TL01'!$B$3=Q$3,SUMIF('TL01'!$C$10:$C$224,$C120,'TL01'!$J$10:$J$224),0),
IF('TL01'!$B$229=Q$3,SUMIF('TL01'!$C$238:$C$451,$C120,'TL01'!$J$238:$J$451),0),
IF('TL02'!$B$3=Q$3,SUMIF('TL02'!$C$10:$C$224,$C120,'TL02'!$J$10:$J$224),0),
IF('TL02'!$B$229=Q$3,SUMIF('TL02'!$C$238:$C$451,$C120,'TL02'!$J$238:$J$451),0),
IF('TL03'!$B$3=Q$3,SUMIF('TL03'!$C$10:$C$224,$C120,'TL03'!$J$10:$J$224),0),
IF('TL03'!$B$229=Q$3,SUMIF('TL03'!$C$238:$C$451,$C120,'TL03'!$J$238:$J$451),0),
IF('TL04'!$B$3=Q$3,SUMIF('TL04'!$C$10:$C$224,$C120,'TL04'!$J$10:$J$224),0),
IF('TL04'!$B$229=Q$3,SUMIF('TL04'!$C$238:$C$451,$C120,'TL04'!$J$238:$J$451),0),
IF('TL05'!$B$3=Q$3,SUMIF('TL05'!$C$10:$C$224,$C120,'TL05'!$J$10:$J$224),0),
IF('TL05'!$B$229=Q$3,SUMIF('TL05'!$C$238:$C$451,$C120,'TL05'!$J$238:$J$451),0),
IF('TL06'!$B$3=Q$3,SUMIF('TL06'!$C$10:$C$224,$C120,'TL06'!$J$10:$J$224),0),
IF('TL06'!$B$229=Q$3,SUMIF('TL06'!$C$238:$C$451,$C120,'TL06'!$J$238:$J$451),0),
IF('TL07'!$B$3=Q$3,SUMIF('TL07'!$C$10:$C$224,$C120,'TL07'!$J$10:$J$224),0),
IF('TL07'!$B$229=Q$3,SUMIF('TL07'!$C$238:$C$451,$C120,'TL07'!$J$238:$J$451),0),
IF('TL08'!$B$3=Q$3,SUMIF('TL08'!$C$10:$C$224,$C120,'TL08'!$J$10:$J$224),0),
IF('TL08'!$B$229=Q$3,SUMIF('TL08'!$C$238:$C$451,$C120,'TL08'!$J$238:$J$451),0),
IF('TL09'!$B$3=Q$3,SUMIF('TL09'!$C$10:$C$224,$C120,'TL09'!$J$10:$J$224),0),
IF('TL09'!$B$229=Q$3,SUMIF('TL09'!$C$238:$C$451,$C120,'TL09'!$J$238:$J$451),0),
IF('TL10'!$B$3=Q$3,SUMIF('TL10'!$C$10:$C$224,$C120,'TL10'!$J$10:$J$224),0),
IF('TL10'!$B$229=Q$3,SUMIF('TL10'!$C$238:$C$451,$C120,'TL10'!$J$238:$J$451),0),
IF('TL11'!$B$3=Q$3,SUMIF('TL11'!$C$10:$C$224,$C120,'TL11'!$J$10:$J$224),0),
IF('TL11'!$B$229=Q$3,SUMIF('TL11'!$C$238:$C$451,$C120,'TL11'!$J$238:$J$451),0),
IF('TL12'!$B$3=Q$3,SUMIF('TL12'!$C$10:$C$224,$C120,'TL12'!$J$10:$J$224),0),
IF('TL12'!$B$229=Q$3,SUMIF('TL12'!$C$238:$C$451,$C120,'TL12'!$J$238:$J$451),0),
IF('TL13'!$B$3=Q$3,SUMIF('TL13'!$C$10:$C$224,$C120,'TL13'!$J$10:$J$224),0),
IF('TL13'!$B$229=Q$3,SUMIF('TL13'!$C$238:$C$451,$C120,'TL13'!$J$238:$J$451),0),
IF('TL14'!$B$3=Q$3,SUMIF('TL14'!$C$10:$C$224,$C120,'TL14'!$J$10:$J$224),0),
IF('TL14'!$B$229=Q$3,SUMIF('TL14'!$C$238:$C$451,$C120,'TL14'!$J$238:$J$451),0),
IF('TL15'!$B$3=Q$3,SUMIF('TL15'!$C$10:$C$224,$C120,'TL15'!$J$10:$J$224),0),
IF('TL15'!$B$229=Q$3,SUMIF('TL15'!$C$238:$C$451,$C120,'TL15'!$J$238:$J$451),0),
IF('TL16'!$B$3=Q$3,SUMIF('TL16'!$C$10:$C$224,$C120,'TL16'!$J$10:$J$224),0),
IF('TL16'!$B$229=Q$3,SUMIF('TL16'!$C$238:$C$451,$C120,'TL16'!$J$238:$J$451),0),
IF('TL17'!$B$3=Q$3,SUMIF('TL17'!$C$10:$C$224,$C120,'TL17'!$J$10:$J$224),0),
IF('TL17'!$B$229=Q$3,SUMIF('TL17'!$C$238:$C$451,$C120,'TL17'!$J$238:$J$451),0),
IF('TL18'!$B$3=Q$3,SUMIF('TL18'!$C$10:$C$224,$C120,'TL18'!$J$10:$J$224),0),
IF('TL18'!$B$229=Q$3,SUMIF('TL18'!$C$238:$C$451,$C120,'TL18'!$J$238:$J$451),0),
IF('TL19'!$B$3=Q$3,SUMIF('TL19'!$C$10:$C$224,$C120,'TL19'!$J$10:$J$224),0),
IF('TL19'!$B$229=Q$3,SUMIF('TL19'!$C$238:$C$451,$C120,'TL19'!$J$238:$J$451),0)
),0)</f>
        <v/>
      </c>
      <c r="R120" s="9">
        <f>IFERROR(
SUM(
SUMIF('TL01'!C:C,C120,'TL01'!J:J),
SUMIF('TL02'!C:C,C120,'TL02'!J:J),
SUMIF('TL03'!C:C,C120,'TL03'!J:J),
SUMIF('TL04'!C:C,C120,'TL04'!J:J),
SUMIF('TL05'!C:C,C120,'TL05'!J:J),
SUMIF('TL06'!C:C,C120,'TL06'!J:J),
SUMIF('TL07'!C:C,C120,'TL07'!J:J),
SUMIF('TL08'!C:C,C120,'TL08'!J:J),
SUMIF('TL09'!C:C,C120,'TL09'!J:J),
SUMIF('TL10'!C:C,C120,'TL10'!J:J),
SUMIF('TL11'!C:C,C120,'TL11'!J:J),
SUMIF('TL12'!C:C,C120,'TL12'!J:J),
SUMIF('TL13'!C:C,C120,'TL13'!J:J),
SUMIF('TL14'!C:C,C120,'TL14'!J:J),
SUMIF('TL15'!C:C,C120,'TL15'!J:J),
SUMIF('TL16'!C:C,C120,'TL16'!J:J),
SUMIF('TL17'!C:C,C120,'TL17'!J:J),
SUMIF('TL18'!C:C,C120,'TL18'!J:J),SUMIF('TL19'!C:C,C120,'TL19'!J:J))
,0)</f>
        <v/>
      </c>
      <c r="S120" s="17">
        <f>IFERROR(__xludf.DUMMYFUNCTION("IFERROR(VLOOKUP(C120,
IMPORTRANGE(""1wULbzX32WdYsx-lj2U3uUNBBe2INVIRDtcK0d-Dvl90"",
""26-27!C:G""),
5,
FALSE),
"""")"),390.822)</f>
        <v/>
      </c>
      <c r="T120" s="9" t="n"/>
      <c r="U120" s="92">
        <f>MAX(0,R120-T120)</f>
        <v/>
      </c>
      <c r="V120" s="93">
        <f>U120*S120</f>
        <v/>
      </c>
    </row>
    <row r="121" hidden="1" ht="15.75" customHeight="1" s="297">
      <c r="A121" s="111" t="inlineStr">
        <is>
          <t>CCAB</t>
        </is>
      </c>
      <c r="B121" s="112" t="inlineStr">
        <is>
          <t>HERBICIDA</t>
        </is>
      </c>
      <c r="C121" s="113" t="inlineStr">
        <is>
          <t>2,4-D 806+PICLORAM 64</t>
        </is>
      </c>
      <c r="D121" s="113" t="inlineStr">
        <is>
          <t>2,4-D + PICLORAM</t>
        </is>
      </c>
      <c r="E121" s="113" t="inlineStr">
        <is>
          <t>806 + 64</t>
        </is>
      </c>
      <c r="F121" s="4" t="inlineStr">
        <is>
          <t>L</t>
        </is>
      </c>
      <c r="G121" s="90">
        <f>HYPERLINK("https://www.google.com/search?q=" &amp; C121 &amp; "+bula+agrofit+pdf", "📄 Ver bula")</f>
        <v/>
      </c>
      <c r="H121" s="9">
        <f>IFERROR(__xludf.DUMMYFUNCTION("IFERROR(VLOOKUP(C121,
IMPORTRANGE(""1wULbzX32WdYsx-lj2U3uUNBBe2INVIRDtcK0d-Dvl90"",
""26-27!C:K""),
8,
FALSE),
"""")"),"")</f>
        <v/>
      </c>
      <c r="I121" s="114" t="inlineStr">
        <is>
          <t>1x20</t>
        </is>
      </c>
      <c r="J121" s="9">
        <f>IFERROR(SUM(
IF('TL01'!$B$3=J$3,SUMIF('TL01'!$C$10:$C$224,$C121,'TL01'!$J$10:$J$224),0),
IF('TL01'!$B$229=J$3,SUMIF('TL01'!$C$238:$C$451,$C121,'TL01'!$J$238:$J$451),0),
IF('TL02'!$B$3=J$3,SUMIF('TL02'!$C$10:$C$224,$C121,'TL02'!$J$10:$J$224),0),
IF('TL02'!$B$229=J$3,SUMIF('TL02'!$C$238:$C$451,$C121,'TL02'!$J$238:$J$451),0),
IF('TL03'!$B$3=J$3,SUMIF('TL03'!$C$10:$C$224,$C121,'TL03'!$J$10:$J$224),0),
IF('TL03'!$B$229=J$3,SUMIF('TL03'!$C$238:$C$451,$C121,'TL03'!$J$238:$J$451),0),
IF('TL04'!$B$3=J$3,SUMIF('TL04'!$C$10:$C$224,$C121,'TL04'!$J$10:$J$224),0),
IF('TL04'!$B$229=J$3,SUMIF('TL04'!$C$238:$C$451,$C121,'TL04'!$J$238:$J$451),0),
IF('TL05'!$B$3=J$3,SUMIF('TL05'!$C$10:$C$224,$C121,'TL05'!$J$10:$J$224),0),
IF('TL05'!$B$229=J$3,SUMIF('TL05'!$C$238:$C$451,$C121,'TL05'!$J$238:$J$451),0),
IF('TL06'!$B$3=J$3,SUMIF('TL06'!$C$10:$C$224,$C121,'TL06'!$J$10:$J$224),0),
IF('TL06'!$B$229=J$3,SUMIF('TL06'!$C$238:$C$451,$C121,'TL06'!$J$238:$J$451),0),
IF('TL07'!$B$3=J$3,SUMIF('TL07'!$C$10:$C$224,$C121,'TL07'!$J$10:$J$224),0),
IF('TL07'!$B$229=J$3,SUMIF('TL07'!$C$238:$C$451,$C121,'TL07'!$J$238:$J$451),0),
IF('TL08'!$B$3=J$3,SUMIF('TL08'!$C$10:$C$224,$C121,'TL08'!$J$10:$J$224),0),
IF('TL08'!$B$229=J$3,SUMIF('TL08'!$C$238:$C$451,$C121,'TL08'!$J$238:$J$451),0),
IF('TL09'!$B$3=J$3,SUMIF('TL09'!$C$10:$C$224,$C121,'TL09'!$J$10:$J$224),0),
IF('TL09'!$B$229=J$3,SUMIF('TL09'!$C$238:$C$451,$C121,'TL09'!$J$238:$J$451),0),
IF('TL10'!$B$3=J$3,SUMIF('TL10'!$C$10:$C$224,$C121,'TL10'!$J$10:$J$224),0),
IF('TL10'!$B$229=J$3,SUMIF('TL10'!$C$238:$C$451,$C121,'TL10'!$J$238:$J$451),0),
IF('TL11'!$B$3=J$3,SUMIF('TL11'!$C$10:$C$224,$C121,'TL11'!$J$10:$J$224),0),
IF('TL11'!$B$229=J$3,SUMIF('TL11'!$C$238:$C$451,$C121,'TL11'!$J$238:$J$451),0),
IF('TL12'!$B$3=J$3,SUMIF('TL12'!$C$10:$C$224,$C121,'TL12'!$J$10:$J$224),0),
IF('TL12'!$B$229=J$3,SUMIF('TL12'!$C$238:$C$451,$C121,'TL12'!$J$238:$J$451),0),
IF('TL13'!$B$3=J$3,SUMIF('TL13'!$C$10:$C$224,$C121,'TL13'!$J$10:$J$224),0),
IF('TL13'!$B$229=J$3,SUMIF('TL13'!$C$238:$C$451,$C121,'TL13'!$J$238:$J$451),0),
IF('TL14'!$B$3=J$3,SUMIF('TL14'!$C$10:$C$224,$C121,'TL14'!$J$10:$J$224),0),
IF('TL14'!$B$229=J$3,SUMIF('TL14'!$C$238:$C$451,$C121,'TL14'!$J$238:$J$451),0),
IF('TL15'!$B$3=J$3,SUMIF('TL15'!$C$10:$C$224,$C121,'TL15'!$J$10:$J$224),0),
IF('TL15'!$B$229=J$3,SUMIF('TL15'!$C$238:$C$451,$C121,'TL15'!$J$238:$J$451),0),
IF('TL16'!$B$3=J$3,SUMIF('TL16'!$C$10:$C$224,$C121,'TL16'!$J$10:$J$224),0),
IF('TL16'!$B$229=J$3,SUMIF('TL16'!$C$238:$C$451,$C121,'TL16'!$J$238:$J$451),0),
IF('TL17'!$B$3=J$3,SUMIF('TL17'!$C$10:$C$224,$C121,'TL17'!$J$10:$J$224),0),
IF('TL17'!$B$229=J$3,SUMIF('TL17'!$C$238:$C$451,$C121,'TL17'!$J$238:$J$451),0),
IF('TL18'!$B$3=J$3,SUMIF('TL18'!$C$10:$C$224,$C121,'TL18'!$J$10:$J$224),0),
IF('TL18'!$B$229=J$3,SUMIF('TL18'!$C$238:$C$451,$C121,'TL18'!$J$238:$J$451),0),
IF('TL19'!$B$3=J$3,SUMIF('TL19'!$C$10:$C$224,$C121,'TL19'!$J$10:$J$224),0),
IF('TL19'!$B$229=J$3,SUMIF('TL19'!$C$238:$C$451,$C121,'TL19'!$J$238:$J$451),0)
),0)</f>
        <v/>
      </c>
      <c r="K121" s="9">
        <f>IFERROR(SUM(
IF('TL01'!$B$3=K$3,SUMIF('TL01'!$C$10:$C$224,$C121,'TL01'!$J$10:$J$224),0),
IF('TL01'!$B$229=K$3,SUMIF('TL01'!$C$238:$C$451,$C121,'TL01'!$J$238:$J$451),0),
IF('TL02'!$B$3=K$3,SUMIF('TL02'!$C$10:$C$224,$C121,'TL02'!$J$10:$J$224),0),
IF('TL02'!$B$229=K$3,SUMIF('TL02'!$C$238:$C$451,$C121,'TL02'!$J$238:$J$451),0),
IF('TL03'!$B$3=K$3,SUMIF('TL03'!$C$10:$C$224,$C121,'TL03'!$J$10:$J$224),0),
IF('TL03'!$B$229=K$3,SUMIF('TL03'!$C$238:$C$451,$C121,'TL03'!$J$238:$J$451),0),
IF('TL04'!$B$3=K$3,SUMIF('TL04'!$C$10:$C$224,$C121,'TL04'!$J$10:$J$224),0),
IF('TL04'!$B$229=K$3,SUMIF('TL04'!$C$238:$C$451,$C121,'TL04'!$J$238:$J$451),0),
IF('TL05'!$B$3=K$3,SUMIF('TL05'!$C$10:$C$224,$C121,'TL05'!$J$10:$J$224),0),
IF('TL05'!$B$229=K$3,SUMIF('TL05'!$C$238:$C$451,$C121,'TL05'!$J$238:$J$451),0),
IF('TL06'!$B$3=K$3,SUMIF('TL06'!$C$10:$C$224,$C121,'TL06'!$J$10:$J$224),0),
IF('TL06'!$B$229=K$3,SUMIF('TL06'!$C$238:$C$451,$C121,'TL06'!$J$238:$J$451),0),
IF('TL07'!$B$3=K$3,SUMIF('TL07'!$C$10:$C$224,$C121,'TL07'!$J$10:$J$224),0),
IF('TL07'!$B$229=K$3,SUMIF('TL07'!$C$238:$C$451,$C121,'TL07'!$J$238:$J$451),0),
IF('TL08'!$B$3=K$3,SUMIF('TL08'!$C$10:$C$224,$C121,'TL08'!$J$10:$J$224),0),
IF('TL08'!$B$229=K$3,SUMIF('TL08'!$C$238:$C$451,$C121,'TL08'!$J$238:$J$451),0),
IF('TL09'!$B$3=K$3,SUMIF('TL09'!$C$10:$C$224,$C121,'TL09'!$J$10:$J$224),0),
IF('TL09'!$B$229=K$3,SUMIF('TL09'!$C$238:$C$451,$C121,'TL09'!$J$238:$J$451),0),
IF('TL10'!$B$3=K$3,SUMIF('TL10'!$C$10:$C$224,$C121,'TL10'!$J$10:$J$224),0),
IF('TL10'!$B$229=K$3,SUMIF('TL10'!$C$238:$C$451,$C121,'TL10'!$J$238:$J$451),0),
IF('TL11'!$B$3=K$3,SUMIF('TL11'!$C$10:$C$224,$C121,'TL11'!$J$10:$J$224),0),
IF('TL11'!$B$229=K$3,SUMIF('TL11'!$C$238:$C$451,$C121,'TL11'!$J$238:$J$451),0),
IF('TL12'!$B$3=K$3,SUMIF('TL12'!$C$10:$C$224,$C121,'TL12'!$J$10:$J$224),0),
IF('TL12'!$B$229=K$3,SUMIF('TL12'!$C$238:$C$451,$C121,'TL12'!$J$238:$J$451),0),
IF('TL13'!$B$3=K$3,SUMIF('TL13'!$C$10:$C$224,$C121,'TL13'!$J$10:$J$224),0),
IF('TL13'!$B$229=K$3,SUMIF('TL13'!$C$238:$C$451,$C121,'TL13'!$J$238:$J$451),0),
IF('TL14'!$B$3=K$3,SUMIF('TL14'!$C$10:$C$224,$C121,'TL14'!$J$10:$J$224),0),
IF('TL14'!$B$229=K$3,SUMIF('TL14'!$C$238:$C$451,$C121,'TL14'!$J$238:$J$451),0),
IF('TL15'!$B$3=K$3,SUMIF('TL15'!$C$10:$C$224,$C121,'TL15'!$J$10:$J$224),0),
IF('TL15'!$B$229=K$3,SUMIF('TL15'!$C$238:$C$451,$C121,'TL15'!$J$238:$J$451),0),
IF('TL16'!$B$3=K$3,SUMIF('TL16'!$C$10:$C$224,$C121,'TL16'!$J$10:$J$224),0),
IF('TL16'!$B$229=K$3,SUMIF('TL16'!$C$238:$C$451,$C121,'TL16'!$J$238:$J$451),0),
IF('TL17'!$B$3=K$3,SUMIF('TL17'!$C$10:$C$224,$C121,'TL17'!$J$10:$J$224),0),
IF('TL17'!$B$229=K$3,SUMIF('TL17'!$C$238:$C$451,$C121,'TL17'!$J$238:$J$451),0),
IF('TL18'!$B$3=K$3,SUMIF('TL18'!$C$10:$C$224,$C121,'TL18'!$J$10:$J$224),0),
IF('TL18'!$B$229=K$3,SUMIF('TL18'!$C$238:$C$451,$C121,'TL18'!$J$238:$J$451),0),
IF('TL19'!$B$3=K$3,SUMIF('TL19'!$C$10:$C$224,$C121,'TL19'!$J$10:$J$224),0),
IF('TL19'!$B$229=K$3,SUMIF('TL19'!$C$238:$C$451,$C121,'TL19'!$J$238:$J$451),0)
),0)</f>
        <v/>
      </c>
      <c r="L121" s="9">
        <f>IFERROR(SUM(
IF('TL01'!$B$3=L$3,SUMIF('TL01'!$C$10:$C$224,$C121,'TL01'!$J$10:$J$224),0),
IF('TL01'!$B$229=L$3,SUMIF('TL01'!$C$238:$C$451,$C121,'TL01'!$J$238:$J$451),0),
IF('TL02'!$B$3=L$3,SUMIF('TL02'!$C$10:$C$224,$C121,'TL02'!$J$10:$J$224),0),
IF('TL02'!$B$229=L$3,SUMIF('TL02'!$C$238:$C$451,$C121,'TL02'!$J$238:$J$451),0),
IF('TL03'!$B$3=L$3,SUMIF('TL03'!$C$10:$C$224,$C121,'TL03'!$J$10:$J$224),0),
IF('TL03'!$B$229=L$3,SUMIF('TL03'!$C$238:$C$451,$C121,'TL03'!$J$238:$J$451),0),
IF('TL04'!$B$3=L$3,SUMIF('TL04'!$C$10:$C$224,$C121,'TL04'!$J$10:$J$224),0),
IF('TL04'!$B$229=L$3,SUMIF('TL04'!$C$238:$C$451,$C121,'TL04'!$J$238:$J$451),0),
IF('TL05'!$B$3=L$3,SUMIF('TL05'!$C$10:$C$224,$C121,'TL05'!$J$10:$J$224),0),
IF('TL05'!$B$229=L$3,SUMIF('TL05'!$C$238:$C$451,$C121,'TL05'!$J$238:$J$451),0),
IF('TL06'!$B$3=L$3,SUMIF('TL06'!$C$10:$C$224,$C121,'TL06'!$J$10:$J$224),0),
IF('TL06'!$B$229=L$3,SUMIF('TL06'!$C$238:$C$451,$C121,'TL06'!$J$238:$J$451),0),
IF('TL07'!$B$3=L$3,SUMIF('TL07'!$C$10:$C$224,$C121,'TL07'!$J$10:$J$224),0),
IF('TL07'!$B$229=L$3,SUMIF('TL07'!$C$238:$C$451,$C121,'TL07'!$J$238:$J$451),0),
IF('TL08'!$B$3=L$3,SUMIF('TL08'!$C$10:$C$224,$C121,'TL08'!$J$10:$J$224),0),
IF('TL08'!$B$229=L$3,SUMIF('TL08'!$C$238:$C$451,$C121,'TL08'!$J$238:$J$451),0),
IF('TL09'!$B$3=L$3,SUMIF('TL09'!$C$10:$C$224,$C121,'TL09'!$J$10:$J$224),0),
IF('TL09'!$B$229=L$3,SUMIF('TL09'!$C$238:$C$451,$C121,'TL09'!$J$238:$J$451),0),
IF('TL10'!$B$3=L$3,SUMIF('TL10'!$C$10:$C$224,$C121,'TL10'!$J$10:$J$224),0),
IF('TL10'!$B$229=L$3,SUMIF('TL10'!$C$238:$C$451,$C121,'TL10'!$J$238:$J$451),0),
IF('TL11'!$B$3=L$3,SUMIF('TL11'!$C$10:$C$224,$C121,'TL11'!$J$10:$J$224),0),
IF('TL11'!$B$229=L$3,SUMIF('TL11'!$C$238:$C$451,$C121,'TL11'!$J$238:$J$451),0),
IF('TL12'!$B$3=L$3,SUMIF('TL12'!$C$10:$C$224,$C121,'TL12'!$J$10:$J$224),0),
IF('TL12'!$B$229=L$3,SUMIF('TL12'!$C$238:$C$451,$C121,'TL12'!$J$238:$J$451),0),
IF('TL13'!$B$3=L$3,SUMIF('TL13'!$C$10:$C$224,$C121,'TL13'!$J$10:$J$224),0),
IF('TL13'!$B$229=L$3,SUMIF('TL13'!$C$238:$C$451,$C121,'TL13'!$J$238:$J$451),0),
IF('TL14'!$B$3=L$3,SUMIF('TL14'!$C$10:$C$224,$C121,'TL14'!$J$10:$J$224),0),
IF('TL14'!$B$229=L$3,SUMIF('TL14'!$C$238:$C$451,$C121,'TL14'!$J$238:$J$451),0),
IF('TL15'!$B$3=L$3,SUMIF('TL15'!$C$10:$C$224,$C121,'TL15'!$J$10:$J$224),0),
IF('TL15'!$B$229=L$3,SUMIF('TL15'!$C$238:$C$451,$C121,'TL15'!$J$238:$J$451),0),
IF('TL16'!$B$3=L$3,SUMIF('TL16'!$C$10:$C$224,$C121,'TL16'!$J$10:$J$224),0),
IF('TL16'!$B$229=L$3,SUMIF('TL16'!$C$238:$C$451,$C121,'TL16'!$J$238:$J$451),0),
IF('TL17'!$B$3=L$3,SUMIF('TL17'!$C$10:$C$224,$C121,'TL17'!$J$10:$J$224),0),
IF('TL17'!$B$229=L$3,SUMIF('TL17'!$C$238:$C$451,$C121,'TL17'!$J$238:$J$451),0),
IF('TL18'!$B$3=L$3,SUMIF('TL18'!$C$10:$C$224,$C121,'TL18'!$J$10:$J$224),0),
IF('TL18'!$B$229=L$3,SUMIF('TL18'!$C$238:$C$451,$C121,'TL18'!$J$238:$J$451),0),
IF('TL19'!$B$3=L$3,SUMIF('TL19'!$C$10:$C$224,$C121,'TL19'!$J$10:$J$224),0),
IF('TL19'!$B$229=L$3,SUMIF('TL19'!$C$238:$C$451,$C121,'TL19'!$J$238:$J$451),0)
),0)</f>
        <v/>
      </c>
      <c r="M121" s="9">
        <f>IFERROR(SUM(
IF('TL01'!$B$3=M$3,SUMIF('TL01'!$C$10:$C$224,$C121,'TL01'!$J$10:$J$224),0),
IF('TL01'!$B$229=M$3,SUMIF('TL01'!$C$238:$C$451,$C121,'TL01'!$J$238:$J$451),0),
IF('TL02'!$B$3=M$3,SUMIF('TL02'!$C$10:$C$224,$C121,'TL02'!$J$10:$J$224),0),
IF('TL02'!$B$229=M$3,SUMIF('TL02'!$C$238:$C$451,$C121,'TL02'!$J$238:$J$451),0),
IF('TL03'!$B$3=M$3,SUMIF('TL03'!$C$10:$C$224,$C121,'TL03'!$J$10:$J$224),0),
IF('TL03'!$B$229=M$3,SUMIF('TL03'!$C$238:$C$451,$C121,'TL03'!$J$238:$J$451),0),
IF('TL04'!$B$3=M$3,SUMIF('TL04'!$C$10:$C$224,$C121,'TL04'!$J$10:$J$224),0),
IF('TL04'!$B$229=M$3,SUMIF('TL04'!$C$238:$C$451,$C121,'TL04'!$J$238:$J$451),0),
IF('TL05'!$B$3=M$3,SUMIF('TL05'!$C$10:$C$224,$C121,'TL05'!$J$10:$J$224),0),
IF('TL05'!$B$229=M$3,SUMIF('TL05'!$C$238:$C$451,$C121,'TL05'!$J$238:$J$451),0),
IF('TL06'!$B$3=M$3,SUMIF('TL06'!$C$10:$C$224,$C121,'TL06'!$J$10:$J$224),0),
IF('TL06'!$B$229=M$3,SUMIF('TL06'!$C$238:$C$451,$C121,'TL06'!$J$238:$J$451),0),
IF('TL07'!$B$3=M$3,SUMIF('TL07'!$C$10:$C$224,$C121,'TL07'!$J$10:$J$224),0),
IF('TL07'!$B$229=M$3,SUMIF('TL07'!$C$238:$C$451,$C121,'TL07'!$J$238:$J$451),0),
IF('TL08'!$B$3=M$3,SUMIF('TL08'!$C$10:$C$224,$C121,'TL08'!$J$10:$J$224),0),
IF('TL08'!$B$229=M$3,SUMIF('TL08'!$C$238:$C$451,$C121,'TL08'!$J$238:$J$451),0),
IF('TL09'!$B$3=M$3,SUMIF('TL09'!$C$10:$C$224,$C121,'TL09'!$J$10:$J$224),0),
IF('TL09'!$B$229=M$3,SUMIF('TL09'!$C$238:$C$451,$C121,'TL09'!$J$238:$J$451),0),
IF('TL10'!$B$3=M$3,SUMIF('TL10'!$C$10:$C$224,$C121,'TL10'!$J$10:$J$224),0),
IF('TL10'!$B$229=M$3,SUMIF('TL10'!$C$238:$C$451,$C121,'TL10'!$J$238:$J$451),0),
IF('TL11'!$B$3=M$3,SUMIF('TL11'!$C$10:$C$224,$C121,'TL11'!$J$10:$J$224),0),
IF('TL11'!$B$229=M$3,SUMIF('TL11'!$C$238:$C$451,$C121,'TL11'!$J$238:$J$451),0),
IF('TL12'!$B$3=M$3,SUMIF('TL12'!$C$10:$C$224,$C121,'TL12'!$J$10:$J$224),0),
IF('TL12'!$B$229=M$3,SUMIF('TL12'!$C$238:$C$451,$C121,'TL12'!$J$238:$J$451),0),
IF('TL13'!$B$3=M$3,SUMIF('TL13'!$C$10:$C$224,$C121,'TL13'!$J$10:$J$224),0),
IF('TL13'!$B$229=M$3,SUMIF('TL13'!$C$238:$C$451,$C121,'TL13'!$J$238:$J$451),0),
IF('TL14'!$B$3=M$3,SUMIF('TL14'!$C$10:$C$224,$C121,'TL14'!$J$10:$J$224),0),
IF('TL14'!$B$229=M$3,SUMIF('TL14'!$C$238:$C$451,$C121,'TL14'!$J$238:$J$451),0),
IF('TL15'!$B$3=M$3,SUMIF('TL15'!$C$10:$C$224,$C121,'TL15'!$J$10:$J$224),0),
IF('TL15'!$B$229=M$3,SUMIF('TL15'!$C$238:$C$451,$C121,'TL15'!$J$238:$J$451),0),
IF('TL16'!$B$3=M$3,SUMIF('TL16'!$C$10:$C$224,$C121,'TL16'!$J$10:$J$224),0),
IF('TL16'!$B$229=M$3,SUMIF('TL16'!$C$238:$C$451,$C121,'TL16'!$J$238:$J$451),0),
IF('TL17'!$B$3=M$3,SUMIF('TL17'!$C$10:$C$224,$C121,'TL17'!$J$10:$J$224),0),
IF('TL17'!$B$229=M$3,SUMIF('TL17'!$C$238:$C$451,$C121,'TL17'!$J$238:$J$451),0),
IF('TL18'!$B$3=M$3,SUMIF('TL18'!$C$10:$C$224,$C121,'TL18'!$J$10:$J$224),0),
IF('TL18'!$B$229=M$3,SUMIF('TL18'!$C$238:$C$451,$C121,'TL18'!$J$238:$J$451),0),
IF('TL19'!$B$3=M$3,SUMIF('TL19'!$C$10:$C$224,$C121,'TL19'!$J$10:$J$224),0),
IF('TL19'!$B$229=M$3,SUMIF('TL19'!$C$238:$C$451,$C121,'TL19'!$J$238:$J$451),0)
),0)</f>
        <v/>
      </c>
      <c r="N121" s="9">
        <f>IFERROR(SUM(
IF('TL01'!$B$3=N$3,SUMIF('TL01'!$C$10:$C$224,$C121,'TL01'!$J$10:$J$224),0),
IF('TL01'!$B$229=N$3,SUMIF('TL01'!$C$238:$C$451,$C121,'TL01'!$J$238:$J$451),0),
IF('TL02'!$B$3=N$3,SUMIF('TL02'!$C$10:$C$224,$C121,'TL02'!$J$10:$J$224),0),
IF('TL02'!$B$229=N$3,SUMIF('TL02'!$C$238:$C$451,$C121,'TL02'!$J$238:$J$451),0),
IF('TL03'!$B$3=N$3,SUMIF('TL03'!$C$10:$C$224,$C121,'TL03'!$J$10:$J$224),0),
IF('TL03'!$B$229=N$3,SUMIF('TL03'!$C$238:$C$451,$C121,'TL03'!$J$238:$J$451),0),
IF('TL04'!$B$3=N$3,SUMIF('TL04'!$C$10:$C$224,$C121,'TL04'!$J$10:$J$224),0),
IF('TL04'!$B$229=N$3,SUMIF('TL04'!$C$238:$C$451,$C121,'TL04'!$J$238:$J$451),0),
IF('TL05'!$B$3=N$3,SUMIF('TL05'!$C$10:$C$224,$C121,'TL05'!$J$10:$J$224),0),
IF('TL05'!$B$229=N$3,SUMIF('TL05'!$C$238:$C$451,$C121,'TL05'!$J$238:$J$451),0),
IF('TL06'!$B$3=N$3,SUMIF('TL06'!$C$10:$C$224,$C121,'TL06'!$J$10:$J$224),0),
IF('TL06'!$B$229=N$3,SUMIF('TL06'!$C$238:$C$451,$C121,'TL06'!$J$238:$J$451),0),
IF('TL07'!$B$3=N$3,SUMIF('TL07'!$C$10:$C$224,$C121,'TL07'!$J$10:$J$224),0),
IF('TL07'!$B$229=N$3,SUMIF('TL07'!$C$238:$C$451,$C121,'TL07'!$J$238:$J$451),0),
IF('TL08'!$B$3=N$3,SUMIF('TL08'!$C$10:$C$224,$C121,'TL08'!$J$10:$J$224),0),
IF('TL08'!$B$229=N$3,SUMIF('TL08'!$C$238:$C$451,$C121,'TL08'!$J$238:$J$451),0),
IF('TL09'!$B$3=N$3,SUMIF('TL09'!$C$10:$C$224,$C121,'TL09'!$J$10:$J$224),0),
IF('TL09'!$B$229=N$3,SUMIF('TL09'!$C$238:$C$451,$C121,'TL09'!$J$238:$J$451),0),
IF('TL10'!$B$3=N$3,SUMIF('TL10'!$C$10:$C$224,$C121,'TL10'!$J$10:$J$224),0),
IF('TL10'!$B$229=N$3,SUMIF('TL10'!$C$238:$C$451,$C121,'TL10'!$J$238:$J$451),0),
IF('TL11'!$B$3=N$3,SUMIF('TL11'!$C$10:$C$224,$C121,'TL11'!$J$10:$J$224),0),
IF('TL11'!$B$229=N$3,SUMIF('TL11'!$C$238:$C$451,$C121,'TL11'!$J$238:$J$451),0),
IF('TL12'!$B$3=N$3,SUMIF('TL12'!$C$10:$C$224,$C121,'TL12'!$J$10:$J$224),0),
IF('TL12'!$B$229=N$3,SUMIF('TL12'!$C$238:$C$451,$C121,'TL12'!$J$238:$J$451),0),
IF('TL13'!$B$3=N$3,SUMIF('TL13'!$C$10:$C$224,$C121,'TL13'!$J$10:$J$224),0),
IF('TL13'!$B$229=N$3,SUMIF('TL13'!$C$238:$C$451,$C121,'TL13'!$J$238:$J$451),0),
IF('TL14'!$B$3=N$3,SUMIF('TL14'!$C$10:$C$224,$C121,'TL14'!$J$10:$J$224),0),
IF('TL14'!$B$229=N$3,SUMIF('TL14'!$C$238:$C$451,$C121,'TL14'!$J$238:$J$451),0),
IF('TL15'!$B$3=N$3,SUMIF('TL15'!$C$10:$C$224,$C121,'TL15'!$J$10:$J$224),0),
IF('TL15'!$B$229=N$3,SUMIF('TL15'!$C$238:$C$451,$C121,'TL15'!$J$238:$J$451),0),
IF('TL16'!$B$3=N$3,SUMIF('TL16'!$C$10:$C$224,$C121,'TL16'!$J$10:$J$224),0),
IF('TL16'!$B$229=N$3,SUMIF('TL16'!$C$238:$C$451,$C121,'TL16'!$J$238:$J$451),0),
IF('TL17'!$B$3=N$3,SUMIF('TL17'!$C$10:$C$224,$C121,'TL17'!$J$10:$J$224),0),
IF('TL17'!$B$229=N$3,SUMIF('TL17'!$C$238:$C$451,$C121,'TL17'!$J$238:$J$451),0),
IF('TL18'!$B$3=N$3,SUMIF('TL18'!$C$10:$C$224,$C121,'TL18'!$J$10:$J$224),0),
IF('TL18'!$B$229=N$3,SUMIF('TL18'!$C$238:$C$451,$C121,'TL18'!$J$238:$J$451),0),
IF('TL19'!$B$3=N$3,SUMIF('TL19'!$C$10:$C$224,$C121,'TL19'!$J$10:$J$224),0),
IF('TL19'!$B$229=N$3,SUMIF('TL19'!$C$238:$C$451,$C121,'TL19'!$J$238:$J$451),0)
),0)</f>
        <v/>
      </c>
      <c r="O121" s="9">
        <f>IFERROR(SUM(
IF('TL01'!$B$3=O$3,SUMIF('TL01'!$C$10:$C$224,$C121,'TL01'!$J$10:$J$224),0),
IF('TL01'!$B$229=O$3,SUMIF('TL01'!$C$238:$C$451,$C121,'TL01'!$J$238:$J$451),0),
IF('TL02'!$B$3=O$3,SUMIF('TL02'!$C$10:$C$224,$C121,'TL02'!$J$10:$J$224),0),
IF('TL02'!$B$229=O$3,SUMIF('TL02'!$C$238:$C$451,$C121,'TL02'!$J$238:$J$451),0),
IF('TL03'!$B$3=O$3,SUMIF('TL03'!$C$10:$C$224,$C121,'TL03'!$J$10:$J$224),0),
IF('TL03'!$B$229=O$3,SUMIF('TL03'!$C$238:$C$451,$C121,'TL03'!$J$238:$J$451),0),
IF('TL04'!$B$3=O$3,SUMIF('TL04'!$C$10:$C$224,$C121,'TL04'!$J$10:$J$224),0),
IF('TL04'!$B$229=O$3,SUMIF('TL04'!$C$238:$C$451,$C121,'TL04'!$J$238:$J$451),0),
IF('TL05'!$B$3=O$3,SUMIF('TL05'!$C$10:$C$224,$C121,'TL05'!$J$10:$J$224),0),
IF('TL05'!$B$229=O$3,SUMIF('TL05'!$C$238:$C$451,$C121,'TL05'!$J$238:$J$451),0),
IF('TL06'!$B$3=O$3,SUMIF('TL06'!$C$10:$C$224,$C121,'TL06'!$J$10:$J$224),0),
IF('TL06'!$B$229=O$3,SUMIF('TL06'!$C$238:$C$451,$C121,'TL06'!$J$238:$J$451),0),
IF('TL07'!$B$3=O$3,SUMIF('TL07'!$C$10:$C$224,$C121,'TL07'!$J$10:$J$224),0),
IF('TL07'!$B$229=O$3,SUMIF('TL07'!$C$238:$C$451,$C121,'TL07'!$J$238:$J$451),0),
IF('TL08'!$B$3=O$3,SUMIF('TL08'!$C$10:$C$224,$C121,'TL08'!$J$10:$J$224),0),
IF('TL08'!$B$229=O$3,SUMIF('TL08'!$C$238:$C$451,$C121,'TL08'!$J$238:$J$451),0),
IF('TL09'!$B$3=O$3,SUMIF('TL09'!$C$10:$C$224,$C121,'TL09'!$J$10:$J$224),0),
IF('TL09'!$B$229=O$3,SUMIF('TL09'!$C$238:$C$451,$C121,'TL09'!$J$238:$J$451),0),
IF('TL10'!$B$3=O$3,SUMIF('TL10'!$C$10:$C$224,$C121,'TL10'!$J$10:$J$224),0),
IF('TL10'!$B$229=O$3,SUMIF('TL10'!$C$238:$C$451,$C121,'TL10'!$J$238:$J$451),0),
IF('TL11'!$B$3=O$3,SUMIF('TL11'!$C$10:$C$224,$C121,'TL11'!$J$10:$J$224),0),
IF('TL11'!$B$229=O$3,SUMIF('TL11'!$C$238:$C$451,$C121,'TL11'!$J$238:$J$451),0),
IF('TL12'!$B$3=O$3,SUMIF('TL12'!$C$10:$C$224,$C121,'TL12'!$J$10:$J$224),0),
IF('TL12'!$B$229=O$3,SUMIF('TL12'!$C$238:$C$451,$C121,'TL12'!$J$238:$J$451),0),
IF('TL13'!$B$3=O$3,SUMIF('TL13'!$C$10:$C$224,$C121,'TL13'!$J$10:$J$224),0),
IF('TL13'!$B$229=O$3,SUMIF('TL13'!$C$238:$C$451,$C121,'TL13'!$J$238:$J$451),0),
IF('TL14'!$B$3=O$3,SUMIF('TL14'!$C$10:$C$224,$C121,'TL14'!$J$10:$J$224),0),
IF('TL14'!$B$229=O$3,SUMIF('TL14'!$C$238:$C$451,$C121,'TL14'!$J$238:$J$451),0),
IF('TL15'!$B$3=O$3,SUMIF('TL15'!$C$10:$C$224,$C121,'TL15'!$J$10:$J$224),0),
IF('TL15'!$B$229=O$3,SUMIF('TL15'!$C$238:$C$451,$C121,'TL15'!$J$238:$J$451),0),
IF('TL16'!$B$3=O$3,SUMIF('TL16'!$C$10:$C$224,$C121,'TL16'!$J$10:$J$224),0),
IF('TL16'!$B$229=O$3,SUMIF('TL16'!$C$238:$C$451,$C121,'TL16'!$J$238:$J$451),0),
IF('TL17'!$B$3=O$3,SUMIF('TL17'!$C$10:$C$224,$C121,'TL17'!$J$10:$J$224),0),
IF('TL17'!$B$229=O$3,SUMIF('TL17'!$C$238:$C$451,$C121,'TL17'!$J$238:$J$451),0),
IF('TL18'!$B$3=O$3,SUMIF('TL18'!$C$10:$C$224,$C121,'TL18'!$J$10:$J$224),0),
IF('TL18'!$B$229=O$3,SUMIF('TL18'!$C$238:$C$451,$C121,'TL18'!$J$238:$J$451),0),
IF('TL19'!$B$3=O$3,SUMIF('TL19'!$C$10:$C$224,$C121,'TL19'!$J$10:$J$224),0),
IF('TL19'!$B$229=O$3,SUMIF('TL19'!$C$238:$C$451,$C121,'TL19'!$J$238:$J$451),0)
),0)</f>
        <v/>
      </c>
      <c r="P121" s="9">
        <f>IFERROR(SUM(
IF('TL01'!$B$3=P$3,SUMIF('TL01'!$C$10:$C$224,$C121,'TL01'!$J$10:$J$224),0),
IF('TL01'!$B$229=P$3,SUMIF('TL01'!$C$238:$C$451,$C121,'TL01'!$J$238:$J$451),0),
IF('TL02'!$B$3=P$3,SUMIF('TL02'!$C$10:$C$224,$C121,'TL02'!$J$10:$J$224),0),
IF('TL02'!$B$229=P$3,SUMIF('TL02'!$C$238:$C$451,$C121,'TL02'!$J$238:$J$451),0),
IF('TL03'!$B$3=P$3,SUMIF('TL03'!$C$10:$C$224,$C121,'TL03'!$J$10:$J$224),0),
IF('TL03'!$B$229=P$3,SUMIF('TL03'!$C$238:$C$451,$C121,'TL03'!$J$238:$J$451),0),
IF('TL04'!$B$3=P$3,SUMIF('TL04'!$C$10:$C$224,$C121,'TL04'!$J$10:$J$224),0),
IF('TL04'!$B$229=P$3,SUMIF('TL04'!$C$238:$C$451,$C121,'TL04'!$J$238:$J$451),0),
IF('TL05'!$B$3=P$3,SUMIF('TL05'!$C$10:$C$224,$C121,'TL05'!$J$10:$J$224),0),
IF('TL05'!$B$229=P$3,SUMIF('TL05'!$C$238:$C$451,$C121,'TL05'!$J$238:$J$451),0),
IF('TL06'!$B$3=P$3,SUMIF('TL06'!$C$10:$C$224,$C121,'TL06'!$J$10:$J$224),0),
IF('TL06'!$B$229=P$3,SUMIF('TL06'!$C$238:$C$451,$C121,'TL06'!$J$238:$J$451),0),
IF('TL07'!$B$3=P$3,SUMIF('TL07'!$C$10:$C$224,$C121,'TL07'!$J$10:$J$224),0),
IF('TL07'!$B$229=P$3,SUMIF('TL07'!$C$238:$C$451,$C121,'TL07'!$J$238:$J$451),0),
IF('TL08'!$B$3=P$3,SUMIF('TL08'!$C$10:$C$224,$C121,'TL08'!$J$10:$J$224),0),
IF('TL08'!$B$229=P$3,SUMIF('TL08'!$C$238:$C$451,$C121,'TL08'!$J$238:$J$451),0),
IF('TL09'!$B$3=P$3,SUMIF('TL09'!$C$10:$C$224,$C121,'TL09'!$J$10:$J$224),0),
IF('TL09'!$B$229=P$3,SUMIF('TL09'!$C$238:$C$451,$C121,'TL09'!$J$238:$J$451),0),
IF('TL10'!$B$3=P$3,SUMIF('TL10'!$C$10:$C$224,$C121,'TL10'!$J$10:$J$224),0),
IF('TL10'!$B$229=P$3,SUMIF('TL10'!$C$238:$C$451,$C121,'TL10'!$J$238:$J$451),0),
IF('TL11'!$B$3=P$3,SUMIF('TL11'!$C$10:$C$224,$C121,'TL11'!$J$10:$J$224),0),
IF('TL11'!$B$229=P$3,SUMIF('TL11'!$C$238:$C$451,$C121,'TL11'!$J$238:$J$451),0),
IF('TL12'!$B$3=P$3,SUMIF('TL12'!$C$10:$C$224,$C121,'TL12'!$J$10:$J$224),0),
IF('TL12'!$B$229=P$3,SUMIF('TL12'!$C$238:$C$451,$C121,'TL12'!$J$238:$J$451),0),
IF('TL13'!$B$3=P$3,SUMIF('TL13'!$C$10:$C$224,$C121,'TL13'!$J$10:$J$224),0),
IF('TL13'!$B$229=P$3,SUMIF('TL13'!$C$238:$C$451,$C121,'TL13'!$J$238:$J$451),0),
IF('TL14'!$B$3=P$3,SUMIF('TL14'!$C$10:$C$224,$C121,'TL14'!$J$10:$J$224),0),
IF('TL14'!$B$229=P$3,SUMIF('TL14'!$C$238:$C$451,$C121,'TL14'!$J$238:$J$451),0),
IF('TL15'!$B$3=P$3,SUMIF('TL15'!$C$10:$C$224,$C121,'TL15'!$J$10:$J$224),0),
IF('TL15'!$B$229=P$3,SUMIF('TL15'!$C$238:$C$451,$C121,'TL15'!$J$238:$J$451),0),
IF('TL16'!$B$3=P$3,SUMIF('TL16'!$C$10:$C$224,$C121,'TL16'!$J$10:$J$224),0),
IF('TL16'!$B$229=P$3,SUMIF('TL16'!$C$238:$C$451,$C121,'TL16'!$J$238:$J$451),0),
IF('TL17'!$B$3=P$3,SUMIF('TL17'!$C$10:$C$224,$C121,'TL17'!$J$10:$J$224),0),
IF('TL17'!$B$229=P$3,SUMIF('TL17'!$C$238:$C$451,$C121,'TL17'!$J$238:$J$451),0),
IF('TL18'!$B$3=P$3,SUMIF('TL18'!$C$10:$C$224,$C121,'TL18'!$J$10:$J$224),0),
IF('TL18'!$B$229=P$3,SUMIF('TL18'!$C$238:$C$451,$C121,'TL18'!$J$238:$J$451),0),
IF('TL19'!$B$3=P$3,SUMIF('TL19'!$C$10:$C$224,$C121,'TL19'!$J$10:$J$224),0),
IF('TL19'!$B$229=P$3,SUMIF('TL19'!$C$238:$C$451,$C121,'TL19'!$J$238:$J$451),0)
),0)</f>
        <v/>
      </c>
      <c r="Q121" s="9">
        <f>IFERROR(SUM(
IF('TL01'!$B$3=Q$3,SUMIF('TL01'!$C$10:$C$224,$C121,'TL01'!$J$10:$J$224),0),
IF('TL01'!$B$229=Q$3,SUMIF('TL01'!$C$238:$C$451,$C121,'TL01'!$J$238:$J$451),0),
IF('TL02'!$B$3=Q$3,SUMIF('TL02'!$C$10:$C$224,$C121,'TL02'!$J$10:$J$224),0),
IF('TL02'!$B$229=Q$3,SUMIF('TL02'!$C$238:$C$451,$C121,'TL02'!$J$238:$J$451),0),
IF('TL03'!$B$3=Q$3,SUMIF('TL03'!$C$10:$C$224,$C121,'TL03'!$J$10:$J$224),0),
IF('TL03'!$B$229=Q$3,SUMIF('TL03'!$C$238:$C$451,$C121,'TL03'!$J$238:$J$451),0),
IF('TL04'!$B$3=Q$3,SUMIF('TL04'!$C$10:$C$224,$C121,'TL04'!$J$10:$J$224),0),
IF('TL04'!$B$229=Q$3,SUMIF('TL04'!$C$238:$C$451,$C121,'TL04'!$J$238:$J$451),0),
IF('TL05'!$B$3=Q$3,SUMIF('TL05'!$C$10:$C$224,$C121,'TL05'!$J$10:$J$224),0),
IF('TL05'!$B$229=Q$3,SUMIF('TL05'!$C$238:$C$451,$C121,'TL05'!$J$238:$J$451),0),
IF('TL06'!$B$3=Q$3,SUMIF('TL06'!$C$10:$C$224,$C121,'TL06'!$J$10:$J$224),0),
IF('TL06'!$B$229=Q$3,SUMIF('TL06'!$C$238:$C$451,$C121,'TL06'!$J$238:$J$451),0),
IF('TL07'!$B$3=Q$3,SUMIF('TL07'!$C$10:$C$224,$C121,'TL07'!$J$10:$J$224),0),
IF('TL07'!$B$229=Q$3,SUMIF('TL07'!$C$238:$C$451,$C121,'TL07'!$J$238:$J$451),0),
IF('TL08'!$B$3=Q$3,SUMIF('TL08'!$C$10:$C$224,$C121,'TL08'!$J$10:$J$224),0),
IF('TL08'!$B$229=Q$3,SUMIF('TL08'!$C$238:$C$451,$C121,'TL08'!$J$238:$J$451),0),
IF('TL09'!$B$3=Q$3,SUMIF('TL09'!$C$10:$C$224,$C121,'TL09'!$J$10:$J$224),0),
IF('TL09'!$B$229=Q$3,SUMIF('TL09'!$C$238:$C$451,$C121,'TL09'!$J$238:$J$451),0),
IF('TL10'!$B$3=Q$3,SUMIF('TL10'!$C$10:$C$224,$C121,'TL10'!$J$10:$J$224),0),
IF('TL10'!$B$229=Q$3,SUMIF('TL10'!$C$238:$C$451,$C121,'TL10'!$J$238:$J$451),0),
IF('TL11'!$B$3=Q$3,SUMIF('TL11'!$C$10:$C$224,$C121,'TL11'!$J$10:$J$224),0),
IF('TL11'!$B$229=Q$3,SUMIF('TL11'!$C$238:$C$451,$C121,'TL11'!$J$238:$J$451),0),
IF('TL12'!$B$3=Q$3,SUMIF('TL12'!$C$10:$C$224,$C121,'TL12'!$J$10:$J$224),0),
IF('TL12'!$B$229=Q$3,SUMIF('TL12'!$C$238:$C$451,$C121,'TL12'!$J$238:$J$451),0),
IF('TL13'!$B$3=Q$3,SUMIF('TL13'!$C$10:$C$224,$C121,'TL13'!$J$10:$J$224),0),
IF('TL13'!$B$229=Q$3,SUMIF('TL13'!$C$238:$C$451,$C121,'TL13'!$J$238:$J$451),0),
IF('TL14'!$B$3=Q$3,SUMIF('TL14'!$C$10:$C$224,$C121,'TL14'!$J$10:$J$224),0),
IF('TL14'!$B$229=Q$3,SUMIF('TL14'!$C$238:$C$451,$C121,'TL14'!$J$238:$J$451),0),
IF('TL15'!$B$3=Q$3,SUMIF('TL15'!$C$10:$C$224,$C121,'TL15'!$J$10:$J$224),0),
IF('TL15'!$B$229=Q$3,SUMIF('TL15'!$C$238:$C$451,$C121,'TL15'!$J$238:$J$451),0),
IF('TL16'!$B$3=Q$3,SUMIF('TL16'!$C$10:$C$224,$C121,'TL16'!$J$10:$J$224),0),
IF('TL16'!$B$229=Q$3,SUMIF('TL16'!$C$238:$C$451,$C121,'TL16'!$J$238:$J$451),0),
IF('TL17'!$B$3=Q$3,SUMIF('TL17'!$C$10:$C$224,$C121,'TL17'!$J$10:$J$224),0),
IF('TL17'!$B$229=Q$3,SUMIF('TL17'!$C$238:$C$451,$C121,'TL17'!$J$238:$J$451),0),
IF('TL18'!$B$3=Q$3,SUMIF('TL18'!$C$10:$C$224,$C121,'TL18'!$J$10:$J$224),0),
IF('TL18'!$B$229=Q$3,SUMIF('TL18'!$C$238:$C$451,$C121,'TL18'!$J$238:$J$451),0),
IF('TL19'!$B$3=Q$3,SUMIF('TL19'!$C$10:$C$224,$C121,'TL19'!$J$10:$J$224),0),
IF('TL19'!$B$229=Q$3,SUMIF('TL19'!$C$238:$C$451,$C121,'TL19'!$J$238:$J$451),0)
),0)</f>
        <v/>
      </c>
      <c r="R121" s="9">
        <f>IFERROR(
SUM(
SUMIF('TL01'!C:C,C121,'TL01'!J:J),
SUMIF('TL02'!C:C,C121,'TL02'!J:J),
SUMIF('TL03'!C:C,C121,'TL03'!J:J),
SUMIF('TL04'!C:C,C121,'TL04'!J:J),
SUMIF('TL05'!C:C,C121,'TL05'!J:J),
SUMIF('TL06'!C:C,C121,'TL06'!J:J),
SUMIF('TL07'!C:C,C121,'TL07'!J:J),
SUMIF('TL08'!C:C,C121,'TL08'!J:J),
SUMIF('TL09'!C:C,C121,'TL09'!J:J),
SUMIF('TL10'!C:C,C121,'TL10'!J:J),
SUMIF('TL11'!C:C,C121,'TL11'!J:J),
SUMIF('TL12'!C:C,C121,'TL12'!J:J),
SUMIF('TL13'!C:C,C121,'TL13'!J:J),
SUMIF('TL14'!C:C,C121,'TL14'!J:J),
SUMIF('TL15'!C:C,C121,'TL15'!J:J),
SUMIF('TL16'!C:C,C121,'TL16'!J:J),
SUMIF('TL17'!C:C,C121,'TL17'!J:J),
SUMIF('TL18'!C:C,C121,'TL18'!J:J),SUMIF('TL19'!C:C,C121,'TL19'!J:J))
,0)</f>
        <v/>
      </c>
      <c r="S121" s="17">
        <f>IFERROR(__xludf.DUMMYFUNCTION("IFERROR(VLOOKUP(C121,
IMPORTRANGE(""1wULbzX32WdYsx-lj2U3uUNBBe2INVIRDtcK0d-Dvl90"",
""26-27!C:G""),
5,
FALSE),
"""")"),19.07408)</f>
        <v/>
      </c>
      <c r="T121" s="9" t="n"/>
      <c r="U121" s="92">
        <f>MAX(0,R121-T121)</f>
        <v/>
      </c>
      <c r="V121" s="93">
        <f>U121*S121</f>
        <v/>
      </c>
    </row>
    <row r="122" hidden="1" ht="15.75" customHeight="1" s="297">
      <c r="A122" s="115" t="inlineStr">
        <is>
          <t>CCAB</t>
        </is>
      </c>
      <c r="B122" s="100" t="inlineStr">
        <is>
          <t>HERBICIDA</t>
        </is>
      </c>
      <c r="C122" s="116" t="inlineStr">
        <is>
          <t>FOMESAFEN CCAB 250 SL</t>
        </is>
      </c>
      <c r="D122" s="116" t="inlineStr">
        <is>
          <t>FOMESAFEM</t>
        </is>
      </c>
      <c r="E122" s="116" t="n">
        <v>250</v>
      </c>
      <c r="F122" s="4" t="inlineStr">
        <is>
          <t>L</t>
        </is>
      </c>
      <c r="G122" s="90">
        <f>HYPERLINK("https://www.google.com/search?q=" &amp; C122 &amp; "+bula+agrofit+pdf", "📄 Ver bula")</f>
        <v/>
      </c>
      <c r="H122" s="9">
        <f>IFERROR(__xludf.DUMMYFUNCTION("IFERROR(VLOOKUP(C122,
IMPORTRANGE(""1wULbzX32WdYsx-lj2U3uUNBBe2INVIRDtcK0d-Dvl90"",
""26-27!C:K""),
8,
FALSE),
"""")"),"")</f>
        <v/>
      </c>
      <c r="I122" s="117" t="inlineStr">
        <is>
          <t>1x20</t>
        </is>
      </c>
      <c r="J122" s="9">
        <f>IFERROR(SUM(
IF('TL01'!$B$3=J$3,SUMIF('TL01'!$C$10:$C$224,$C122,'TL01'!$J$10:$J$224),0),
IF('TL01'!$B$229=J$3,SUMIF('TL01'!$C$238:$C$451,$C122,'TL01'!$J$238:$J$451),0),
IF('TL02'!$B$3=J$3,SUMIF('TL02'!$C$10:$C$224,$C122,'TL02'!$J$10:$J$224),0),
IF('TL02'!$B$229=J$3,SUMIF('TL02'!$C$238:$C$451,$C122,'TL02'!$J$238:$J$451),0),
IF('TL03'!$B$3=J$3,SUMIF('TL03'!$C$10:$C$224,$C122,'TL03'!$J$10:$J$224),0),
IF('TL03'!$B$229=J$3,SUMIF('TL03'!$C$238:$C$451,$C122,'TL03'!$J$238:$J$451),0),
IF('TL04'!$B$3=J$3,SUMIF('TL04'!$C$10:$C$224,$C122,'TL04'!$J$10:$J$224),0),
IF('TL04'!$B$229=J$3,SUMIF('TL04'!$C$238:$C$451,$C122,'TL04'!$J$238:$J$451),0),
IF('TL05'!$B$3=J$3,SUMIF('TL05'!$C$10:$C$224,$C122,'TL05'!$J$10:$J$224),0),
IF('TL05'!$B$229=J$3,SUMIF('TL05'!$C$238:$C$451,$C122,'TL05'!$J$238:$J$451),0),
IF('TL06'!$B$3=J$3,SUMIF('TL06'!$C$10:$C$224,$C122,'TL06'!$J$10:$J$224),0),
IF('TL06'!$B$229=J$3,SUMIF('TL06'!$C$238:$C$451,$C122,'TL06'!$J$238:$J$451),0),
IF('TL07'!$B$3=J$3,SUMIF('TL07'!$C$10:$C$224,$C122,'TL07'!$J$10:$J$224),0),
IF('TL07'!$B$229=J$3,SUMIF('TL07'!$C$238:$C$451,$C122,'TL07'!$J$238:$J$451),0),
IF('TL08'!$B$3=J$3,SUMIF('TL08'!$C$10:$C$224,$C122,'TL08'!$J$10:$J$224),0),
IF('TL08'!$B$229=J$3,SUMIF('TL08'!$C$238:$C$451,$C122,'TL08'!$J$238:$J$451),0),
IF('TL09'!$B$3=J$3,SUMIF('TL09'!$C$10:$C$224,$C122,'TL09'!$J$10:$J$224),0),
IF('TL09'!$B$229=J$3,SUMIF('TL09'!$C$238:$C$451,$C122,'TL09'!$J$238:$J$451),0),
IF('TL10'!$B$3=J$3,SUMIF('TL10'!$C$10:$C$224,$C122,'TL10'!$J$10:$J$224),0),
IF('TL10'!$B$229=J$3,SUMIF('TL10'!$C$238:$C$451,$C122,'TL10'!$J$238:$J$451),0),
IF('TL11'!$B$3=J$3,SUMIF('TL11'!$C$10:$C$224,$C122,'TL11'!$J$10:$J$224),0),
IF('TL11'!$B$229=J$3,SUMIF('TL11'!$C$238:$C$451,$C122,'TL11'!$J$238:$J$451),0),
IF('TL12'!$B$3=J$3,SUMIF('TL12'!$C$10:$C$224,$C122,'TL12'!$J$10:$J$224),0),
IF('TL12'!$B$229=J$3,SUMIF('TL12'!$C$238:$C$451,$C122,'TL12'!$J$238:$J$451),0),
IF('TL13'!$B$3=J$3,SUMIF('TL13'!$C$10:$C$224,$C122,'TL13'!$J$10:$J$224),0),
IF('TL13'!$B$229=J$3,SUMIF('TL13'!$C$238:$C$451,$C122,'TL13'!$J$238:$J$451),0),
IF('TL14'!$B$3=J$3,SUMIF('TL14'!$C$10:$C$224,$C122,'TL14'!$J$10:$J$224),0),
IF('TL14'!$B$229=J$3,SUMIF('TL14'!$C$238:$C$451,$C122,'TL14'!$J$238:$J$451),0),
IF('TL15'!$B$3=J$3,SUMIF('TL15'!$C$10:$C$224,$C122,'TL15'!$J$10:$J$224),0),
IF('TL15'!$B$229=J$3,SUMIF('TL15'!$C$238:$C$451,$C122,'TL15'!$J$238:$J$451),0),
IF('TL16'!$B$3=J$3,SUMIF('TL16'!$C$10:$C$224,$C122,'TL16'!$J$10:$J$224),0),
IF('TL16'!$B$229=J$3,SUMIF('TL16'!$C$238:$C$451,$C122,'TL16'!$J$238:$J$451),0),
IF('TL17'!$B$3=J$3,SUMIF('TL17'!$C$10:$C$224,$C122,'TL17'!$J$10:$J$224),0),
IF('TL17'!$B$229=J$3,SUMIF('TL17'!$C$238:$C$451,$C122,'TL17'!$J$238:$J$451),0),
IF('TL18'!$B$3=J$3,SUMIF('TL18'!$C$10:$C$224,$C122,'TL18'!$J$10:$J$224),0),
IF('TL18'!$B$229=J$3,SUMIF('TL18'!$C$238:$C$451,$C122,'TL18'!$J$238:$J$451),0),
IF('TL19'!$B$3=J$3,SUMIF('TL19'!$C$10:$C$224,$C122,'TL19'!$J$10:$J$224),0),
IF('TL19'!$B$229=J$3,SUMIF('TL19'!$C$238:$C$451,$C122,'TL19'!$J$238:$J$451),0)
),0)</f>
        <v/>
      </c>
      <c r="K122" s="9">
        <f>IFERROR(SUM(
IF('TL01'!$B$3=K$3,SUMIF('TL01'!$C$10:$C$224,$C122,'TL01'!$J$10:$J$224),0),
IF('TL01'!$B$229=K$3,SUMIF('TL01'!$C$238:$C$451,$C122,'TL01'!$J$238:$J$451),0),
IF('TL02'!$B$3=K$3,SUMIF('TL02'!$C$10:$C$224,$C122,'TL02'!$J$10:$J$224),0),
IF('TL02'!$B$229=K$3,SUMIF('TL02'!$C$238:$C$451,$C122,'TL02'!$J$238:$J$451),0),
IF('TL03'!$B$3=K$3,SUMIF('TL03'!$C$10:$C$224,$C122,'TL03'!$J$10:$J$224),0),
IF('TL03'!$B$229=K$3,SUMIF('TL03'!$C$238:$C$451,$C122,'TL03'!$J$238:$J$451),0),
IF('TL04'!$B$3=K$3,SUMIF('TL04'!$C$10:$C$224,$C122,'TL04'!$J$10:$J$224),0),
IF('TL04'!$B$229=K$3,SUMIF('TL04'!$C$238:$C$451,$C122,'TL04'!$J$238:$J$451),0),
IF('TL05'!$B$3=K$3,SUMIF('TL05'!$C$10:$C$224,$C122,'TL05'!$J$10:$J$224),0),
IF('TL05'!$B$229=K$3,SUMIF('TL05'!$C$238:$C$451,$C122,'TL05'!$J$238:$J$451),0),
IF('TL06'!$B$3=K$3,SUMIF('TL06'!$C$10:$C$224,$C122,'TL06'!$J$10:$J$224),0),
IF('TL06'!$B$229=K$3,SUMIF('TL06'!$C$238:$C$451,$C122,'TL06'!$J$238:$J$451),0),
IF('TL07'!$B$3=K$3,SUMIF('TL07'!$C$10:$C$224,$C122,'TL07'!$J$10:$J$224),0),
IF('TL07'!$B$229=K$3,SUMIF('TL07'!$C$238:$C$451,$C122,'TL07'!$J$238:$J$451),0),
IF('TL08'!$B$3=K$3,SUMIF('TL08'!$C$10:$C$224,$C122,'TL08'!$J$10:$J$224),0),
IF('TL08'!$B$229=K$3,SUMIF('TL08'!$C$238:$C$451,$C122,'TL08'!$J$238:$J$451),0),
IF('TL09'!$B$3=K$3,SUMIF('TL09'!$C$10:$C$224,$C122,'TL09'!$J$10:$J$224),0),
IF('TL09'!$B$229=K$3,SUMIF('TL09'!$C$238:$C$451,$C122,'TL09'!$J$238:$J$451),0),
IF('TL10'!$B$3=K$3,SUMIF('TL10'!$C$10:$C$224,$C122,'TL10'!$J$10:$J$224),0),
IF('TL10'!$B$229=K$3,SUMIF('TL10'!$C$238:$C$451,$C122,'TL10'!$J$238:$J$451),0),
IF('TL11'!$B$3=K$3,SUMIF('TL11'!$C$10:$C$224,$C122,'TL11'!$J$10:$J$224),0),
IF('TL11'!$B$229=K$3,SUMIF('TL11'!$C$238:$C$451,$C122,'TL11'!$J$238:$J$451),0),
IF('TL12'!$B$3=K$3,SUMIF('TL12'!$C$10:$C$224,$C122,'TL12'!$J$10:$J$224),0),
IF('TL12'!$B$229=K$3,SUMIF('TL12'!$C$238:$C$451,$C122,'TL12'!$J$238:$J$451),0),
IF('TL13'!$B$3=K$3,SUMIF('TL13'!$C$10:$C$224,$C122,'TL13'!$J$10:$J$224),0),
IF('TL13'!$B$229=K$3,SUMIF('TL13'!$C$238:$C$451,$C122,'TL13'!$J$238:$J$451),0),
IF('TL14'!$B$3=K$3,SUMIF('TL14'!$C$10:$C$224,$C122,'TL14'!$J$10:$J$224),0),
IF('TL14'!$B$229=K$3,SUMIF('TL14'!$C$238:$C$451,$C122,'TL14'!$J$238:$J$451),0),
IF('TL15'!$B$3=K$3,SUMIF('TL15'!$C$10:$C$224,$C122,'TL15'!$J$10:$J$224),0),
IF('TL15'!$B$229=K$3,SUMIF('TL15'!$C$238:$C$451,$C122,'TL15'!$J$238:$J$451),0),
IF('TL16'!$B$3=K$3,SUMIF('TL16'!$C$10:$C$224,$C122,'TL16'!$J$10:$J$224),0),
IF('TL16'!$B$229=K$3,SUMIF('TL16'!$C$238:$C$451,$C122,'TL16'!$J$238:$J$451),0),
IF('TL17'!$B$3=K$3,SUMIF('TL17'!$C$10:$C$224,$C122,'TL17'!$J$10:$J$224),0),
IF('TL17'!$B$229=K$3,SUMIF('TL17'!$C$238:$C$451,$C122,'TL17'!$J$238:$J$451),0),
IF('TL18'!$B$3=K$3,SUMIF('TL18'!$C$10:$C$224,$C122,'TL18'!$J$10:$J$224),0),
IF('TL18'!$B$229=K$3,SUMIF('TL18'!$C$238:$C$451,$C122,'TL18'!$J$238:$J$451),0),
IF('TL19'!$B$3=K$3,SUMIF('TL19'!$C$10:$C$224,$C122,'TL19'!$J$10:$J$224),0),
IF('TL19'!$B$229=K$3,SUMIF('TL19'!$C$238:$C$451,$C122,'TL19'!$J$238:$J$451),0)
),0)</f>
        <v/>
      </c>
      <c r="L122" s="9">
        <f>IFERROR(SUM(
IF('TL01'!$B$3=L$3,SUMIF('TL01'!$C$10:$C$224,$C122,'TL01'!$J$10:$J$224),0),
IF('TL01'!$B$229=L$3,SUMIF('TL01'!$C$238:$C$451,$C122,'TL01'!$J$238:$J$451),0),
IF('TL02'!$B$3=L$3,SUMIF('TL02'!$C$10:$C$224,$C122,'TL02'!$J$10:$J$224),0),
IF('TL02'!$B$229=L$3,SUMIF('TL02'!$C$238:$C$451,$C122,'TL02'!$J$238:$J$451),0),
IF('TL03'!$B$3=L$3,SUMIF('TL03'!$C$10:$C$224,$C122,'TL03'!$J$10:$J$224),0),
IF('TL03'!$B$229=L$3,SUMIF('TL03'!$C$238:$C$451,$C122,'TL03'!$J$238:$J$451),0),
IF('TL04'!$B$3=L$3,SUMIF('TL04'!$C$10:$C$224,$C122,'TL04'!$J$10:$J$224),0),
IF('TL04'!$B$229=L$3,SUMIF('TL04'!$C$238:$C$451,$C122,'TL04'!$J$238:$J$451),0),
IF('TL05'!$B$3=L$3,SUMIF('TL05'!$C$10:$C$224,$C122,'TL05'!$J$10:$J$224),0),
IF('TL05'!$B$229=L$3,SUMIF('TL05'!$C$238:$C$451,$C122,'TL05'!$J$238:$J$451),0),
IF('TL06'!$B$3=L$3,SUMIF('TL06'!$C$10:$C$224,$C122,'TL06'!$J$10:$J$224),0),
IF('TL06'!$B$229=L$3,SUMIF('TL06'!$C$238:$C$451,$C122,'TL06'!$J$238:$J$451),0),
IF('TL07'!$B$3=L$3,SUMIF('TL07'!$C$10:$C$224,$C122,'TL07'!$J$10:$J$224),0),
IF('TL07'!$B$229=L$3,SUMIF('TL07'!$C$238:$C$451,$C122,'TL07'!$J$238:$J$451),0),
IF('TL08'!$B$3=L$3,SUMIF('TL08'!$C$10:$C$224,$C122,'TL08'!$J$10:$J$224),0),
IF('TL08'!$B$229=L$3,SUMIF('TL08'!$C$238:$C$451,$C122,'TL08'!$J$238:$J$451),0),
IF('TL09'!$B$3=L$3,SUMIF('TL09'!$C$10:$C$224,$C122,'TL09'!$J$10:$J$224),0),
IF('TL09'!$B$229=L$3,SUMIF('TL09'!$C$238:$C$451,$C122,'TL09'!$J$238:$J$451),0),
IF('TL10'!$B$3=L$3,SUMIF('TL10'!$C$10:$C$224,$C122,'TL10'!$J$10:$J$224),0),
IF('TL10'!$B$229=L$3,SUMIF('TL10'!$C$238:$C$451,$C122,'TL10'!$J$238:$J$451),0),
IF('TL11'!$B$3=L$3,SUMIF('TL11'!$C$10:$C$224,$C122,'TL11'!$J$10:$J$224),0),
IF('TL11'!$B$229=L$3,SUMIF('TL11'!$C$238:$C$451,$C122,'TL11'!$J$238:$J$451),0),
IF('TL12'!$B$3=L$3,SUMIF('TL12'!$C$10:$C$224,$C122,'TL12'!$J$10:$J$224),0),
IF('TL12'!$B$229=L$3,SUMIF('TL12'!$C$238:$C$451,$C122,'TL12'!$J$238:$J$451),0),
IF('TL13'!$B$3=L$3,SUMIF('TL13'!$C$10:$C$224,$C122,'TL13'!$J$10:$J$224),0),
IF('TL13'!$B$229=L$3,SUMIF('TL13'!$C$238:$C$451,$C122,'TL13'!$J$238:$J$451),0),
IF('TL14'!$B$3=L$3,SUMIF('TL14'!$C$10:$C$224,$C122,'TL14'!$J$10:$J$224),0),
IF('TL14'!$B$229=L$3,SUMIF('TL14'!$C$238:$C$451,$C122,'TL14'!$J$238:$J$451),0),
IF('TL15'!$B$3=L$3,SUMIF('TL15'!$C$10:$C$224,$C122,'TL15'!$J$10:$J$224),0),
IF('TL15'!$B$229=L$3,SUMIF('TL15'!$C$238:$C$451,$C122,'TL15'!$J$238:$J$451),0),
IF('TL16'!$B$3=L$3,SUMIF('TL16'!$C$10:$C$224,$C122,'TL16'!$J$10:$J$224),0),
IF('TL16'!$B$229=L$3,SUMIF('TL16'!$C$238:$C$451,$C122,'TL16'!$J$238:$J$451),0),
IF('TL17'!$B$3=L$3,SUMIF('TL17'!$C$10:$C$224,$C122,'TL17'!$J$10:$J$224),0),
IF('TL17'!$B$229=L$3,SUMIF('TL17'!$C$238:$C$451,$C122,'TL17'!$J$238:$J$451),0),
IF('TL18'!$B$3=L$3,SUMIF('TL18'!$C$10:$C$224,$C122,'TL18'!$J$10:$J$224),0),
IF('TL18'!$B$229=L$3,SUMIF('TL18'!$C$238:$C$451,$C122,'TL18'!$J$238:$J$451),0),
IF('TL19'!$B$3=L$3,SUMIF('TL19'!$C$10:$C$224,$C122,'TL19'!$J$10:$J$224),0),
IF('TL19'!$B$229=L$3,SUMIF('TL19'!$C$238:$C$451,$C122,'TL19'!$J$238:$J$451),0)
),0)</f>
        <v/>
      </c>
      <c r="M122" s="9">
        <f>IFERROR(SUM(
IF('TL01'!$B$3=M$3,SUMIF('TL01'!$C$10:$C$224,$C122,'TL01'!$J$10:$J$224),0),
IF('TL01'!$B$229=M$3,SUMIF('TL01'!$C$238:$C$451,$C122,'TL01'!$J$238:$J$451),0),
IF('TL02'!$B$3=M$3,SUMIF('TL02'!$C$10:$C$224,$C122,'TL02'!$J$10:$J$224),0),
IF('TL02'!$B$229=M$3,SUMIF('TL02'!$C$238:$C$451,$C122,'TL02'!$J$238:$J$451),0),
IF('TL03'!$B$3=M$3,SUMIF('TL03'!$C$10:$C$224,$C122,'TL03'!$J$10:$J$224),0),
IF('TL03'!$B$229=M$3,SUMIF('TL03'!$C$238:$C$451,$C122,'TL03'!$J$238:$J$451),0),
IF('TL04'!$B$3=M$3,SUMIF('TL04'!$C$10:$C$224,$C122,'TL04'!$J$10:$J$224),0),
IF('TL04'!$B$229=M$3,SUMIF('TL04'!$C$238:$C$451,$C122,'TL04'!$J$238:$J$451),0),
IF('TL05'!$B$3=M$3,SUMIF('TL05'!$C$10:$C$224,$C122,'TL05'!$J$10:$J$224),0),
IF('TL05'!$B$229=M$3,SUMIF('TL05'!$C$238:$C$451,$C122,'TL05'!$J$238:$J$451),0),
IF('TL06'!$B$3=M$3,SUMIF('TL06'!$C$10:$C$224,$C122,'TL06'!$J$10:$J$224),0),
IF('TL06'!$B$229=M$3,SUMIF('TL06'!$C$238:$C$451,$C122,'TL06'!$J$238:$J$451),0),
IF('TL07'!$B$3=M$3,SUMIF('TL07'!$C$10:$C$224,$C122,'TL07'!$J$10:$J$224),0),
IF('TL07'!$B$229=M$3,SUMIF('TL07'!$C$238:$C$451,$C122,'TL07'!$J$238:$J$451),0),
IF('TL08'!$B$3=M$3,SUMIF('TL08'!$C$10:$C$224,$C122,'TL08'!$J$10:$J$224),0),
IF('TL08'!$B$229=M$3,SUMIF('TL08'!$C$238:$C$451,$C122,'TL08'!$J$238:$J$451),0),
IF('TL09'!$B$3=M$3,SUMIF('TL09'!$C$10:$C$224,$C122,'TL09'!$J$10:$J$224),0),
IF('TL09'!$B$229=M$3,SUMIF('TL09'!$C$238:$C$451,$C122,'TL09'!$J$238:$J$451),0),
IF('TL10'!$B$3=M$3,SUMIF('TL10'!$C$10:$C$224,$C122,'TL10'!$J$10:$J$224),0),
IF('TL10'!$B$229=M$3,SUMIF('TL10'!$C$238:$C$451,$C122,'TL10'!$J$238:$J$451),0),
IF('TL11'!$B$3=M$3,SUMIF('TL11'!$C$10:$C$224,$C122,'TL11'!$J$10:$J$224),0),
IF('TL11'!$B$229=M$3,SUMIF('TL11'!$C$238:$C$451,$C122,'TL11'!$J$238:$J$451),0),
IF('TL12'!$B$3=M$3,SUMIF('TL12'!$C$10:$C$224,$C122,'TL12'!$J$10:$J$224),0),
IF('TL12'!$B$229=M$3,SUMIF('TL12'!$C$238:$C$451,$C122,'TL12'!$J$238:$J$451),0),
IF('TL13'!$B$3=M$3,SUMIF('TL13'!$C$10:$C$224,$C122,'TL13'!$J$10:$J$224),0),
IF('TL13'!$B$229=M$3,SUMIF('TL13'!$C$238:$C$451,$C122,'TL13'!$J$238:$J$451),0),
IF('TL14'!$B$3=M$3,SUMIF('TL14'!$C$10:$C$224,$C122,'TL14'!$J$10:$J$224),0),
IF('TL14'!$B$229=M$3,SUMIF('TL14'!$C$238:$C$451,$C122,'TL14'!$J$238:$J$451),0),
IF('TL15'!$B$3=M$3,SUMIF('TL15'!$C$10:$C$224,$C122,'TL15'!$J$10:$J$224),0),
IF('TL15'!$B$229=M$3,SUMIF('TL15'!$C$238:$C$451,$C122,'TL15'!$J$238:$J$451),0),
IF('TL16'!$B$3=M$3,SUMIF('TL16'!$C$10:$C$224,$C122,'TL16'!$J$10:$J$224),0),
IF('TL16'!$B$229=M$3,SUMIF('TL16'!$C$238:$C$451,$C122,'TL16'!$J$238:$J$451),0),
IF('TL17'!$B$3=M$3,SUMIF('TL17'!$C$10:$C$224,$C122,'TL17'!$J$10:$J$224),0),
IF('TL17'!$B$229=M$3,SUMIF('TL17'!$C$238:$C$451,$C122,'TL17'!$J$238:$J$451),0),
IF('TL18'!$B$3=M$3,SUMIF('TL18'!$C$10:$C$224,$C122,'TL18'!$J$10:$J$224),0),
IF('TL18'!$B$229=M$3,SUMIF('TL18'!$C$238:$C$451,$C122,'TL18'!$J$238:$J$451),0),
IF('TL19'!$B$3=M$3,SUMIF('TL19'!$C$10:$C$224,$C122,'TL19'!$J$10:$J$224),0),
IF('TL19'!$B$229=M$3,SUMIF('TL19'!$C$238:$C$451,$C122,'TL19'!$J$238:$J$451),0)
),0)</f>
        <v/>
      </c>
      <c r="N122" s="9">
        <f>IFERROR(SUM(
IF('TL01'!$B$3=N$3,SUMIF('TL01'!$C$10:$C$224,$C122,'TL01'!$J$10:$J$224),0),
IF('TL01'!$B$229=N$3,SUMIF('TL01'!$C$238:$C$451,$C122,'TL01'!$J$238:$J$451),0),
IF('TL02'!$B$3=N$3,SUMIF('TL02'!$C$10:$C$224,$C122,'TL02'!$J$10:$J$224),0),
IF('TL02'!$B$229=N$3,SUMIF('TL02'!$C$238:$C$451,$C122,'TL02'!$J$238:$J$451),0),
IF('TL03'!$B$3=N$3,SUMIF('TL03'!$C$10:$C$224,$C122,'TL03'!$J$10:$J$224),0),
IF('TL03'!$B$229=N$3,SUMIF('TL03'!$C$238:$C$451,$C122,'TL03'!$J$238:$J$451),0),
IF('TL04'!$B$3=N$3,SUMIF('TL04'!$C$10:$C$224,$C122,'TL04'!$J$10:$J$224),0),
IF('TL04'!$B$229=N$3,SUMIF('TL04'!$C$238:$C$451,$C122,'TL04'!$J$238:$J$451),0),
IF('TL05'!$B$3=N$3,SUMIF('TL05'!$C$10:$C$224,$C122,'TL05'!$J$10:$J$224),0),
IF('TL05'!$B$229=N$3,SUMIF('TL05'!$C$238:$C$451,$C122,'TL05'!$J$238:$J$451),0),
IF('TL06'!$B$3=N$3,SUMIF('TL06'!$C$10:$C$224,$C122,'TL06'!$J$10:$J$224),0),
IF('TL06'!$B$229=N$3,SUMIF('TL06'!$C$238:$C$451,$C122,'TL06'!$J$238:$J$451),0),
IF('TL07'!$B$3=N$3,SUMIF('TL07'!$C$10:$C$224,$C122,'TL07'!$J$10:$J$224),0),
IF('TL07'!$B$229=N$3,SUMIF('TL07'!$C$238:$C$451,$C122,'TL07'!$J$238:$J$451),0),
IF('TL08'!$B$3=N$3,SUMIF('TL08'!$C$10:$C$224,$C122,'TL08'!$J$10:$J$224),0),
IF('TL08'!$B$229=N$3,SUMIF('TL08'!$C$238:$C$451,$C122,'TL08'!$J$238:$J$451),0),
IF('TL09'!$B$3=N$3,SUMIF('TL09'!$C$10:$C$224,$C122,'TL09'!$J$10:$J$224),0),
IF('TL09'!$B$229=N$3,SUMIF('TL09'!$C$238:$C$451,$C122,'TL09'!$J$238:$J$451),0),
IF('TL10'!$B$3=N$3,SUMIF('TL10'!$C$10:$C$224,$C122,'TL10'!$J$10:$J$224),0),
IF('TL10'!$B$229=N$3,SUMIF('TL10'!$C$238:$C$451,$C122,'TL10'!$J$238:$J$451),0),
IF('TL11'!$B$3=N$3,SUMIF('TL11'!$C$10:$C$224,$C122,'TL11'!$J$10:$J$224),0),
IF('TL11'!$B$229=N$3,SUMIF('TL11'!$C$238:$C$451,$C122,'TL11'!$J$238:$J$451),0),
IF('TL12'!$B$3=N$3,SUMIF('TL12'!$C$10:$C$224,$C122,'TL12'!$J$10:$J$224),0),
IF('TL12'!$B$229=N$3,SUMIF('TL12'!$C$238:$C$451,$C122,'TL12'!$J$238:$J$451),0),
IF('TL13'!$B$3=N$3,SUMIF('TL13'!$C$10:$C$224,$C122,'TL13'!$J$10:$J$224),0),
IF('TL13'!$B$229=N$3,SUMIF('TL13'!$C$238:$C$451,$C122,'TL13'!$J$238:$J$451),0),
IF('TL14'!$B$3=N$3,SUMIF('TL14'!$C$10:$C$224,$C122,'TL14'!$J$10:$J$224),0),
IF('TL14'!$B$229=N$3,SUMIF('TL14'!$C$238:$C$451,$C122,'TL14'!$J$238:$J$451),0),
IF('TL15'!$B$3=N$3,SUMIF('TL15'!$C$10:$C$224,$C122,'TL15'!$J$10:$J$224),0),
IF('TL15'!$B$229=N$3,SUMIF('TL15'!$C$238:$C$451,$C122,'TL15'!$J$238:$J$451),0),
IF('TL16'!$B$3=N$3,SUMIF('TL16'!$C$10:$C$224,$C122,'TL16'!$J$10:$J$224),0),
IF('TL16'!$B$229=N$3,SUMIF('TL16'!$C$238:$C$451,$C122,'TL16'!$J$238:$J$451),0),
IF('TL17'!$B$3=N$3,SUMIF('TL17'!$C$10:$C$224,$C122,'TL17'!$J$10:$J$224),0),
IF('TL17'!$B$229=N$3,SUMIF('TL17'!$C$238:$C$451,$C122,'TL17'!$J$238:$J$451),0),
IF('TL18'!$B$3=N$3,SUMIF('TL18'!$C$10:$C$224,$C122,'TL18'!$J$10:$J$224),0),
IF('TL18'!$B$229=N$3,SUMIF('TL18'!$C$238:$C$451,$C122,'TL18'!$J$238:$J$451),0),
IF('TL19'!$B$3=N$3,SUMIF('TL19'!$C$10:$C$224,$C122,'TL19'!$J$10:$J$224),0),
IF('TL19'!$B$229=N$3,SUMIF('TL19'!$C$238:$C$451,$C122,'TL19'!$J$238:$J$451),0)
),0)</f>
        <v/>
      </c>
      <c r="O122" s="9">
        <f>IFERROR(SUM(
IF('TL01'!$B$3=O$3,SUMIF('TL01'!$C$10:$C$224,$C122,'TL01'!$J$10:$J$224),0),
IF('TL01'!$B$229=O$3,SUMIF('TL01'!$C$238:$C$451,$C122,'TL01'!$J$238:$J$451),0),
IF('TL02'!$B$3=O$3,SUMIF('TL02'!$C$10:$C$224,$C122,'TL02'!$J$10:$J$224),0),
IF('TL02'!$B$229=O$3,SUMIF('TL02'!$C$238:$C$451,$C122,'TL02'!$J$238:$J$451),0),
IF('TL03'!$B$3=O$3,SUMIF('TL03'!$C$10:$C$224,$C122,'TL03'!$J$10:$J$224),0),
IF('TL03'!$B$229=O$3,SUMIF('TL03'!$C$238:$C$451,$C122,'TL03'!$J$238:$J$451),0),
IF('TL04'!$B$3=O$3,SUMIF('TL04'!$C$10:$C$224,$C122,'TL04'!$J$10:$J$224),0),
IF('TL04'!$B$229=O$3,SUMIF('TL04'!$C$238:$C$451,$C122,'TL04'!$J$238:$J$451),0),
IF('TL05'!$B$3=O$3,SUMIF('TL05'!$C$10:$C$224,$C122,'TL05'!$J$10:$J$224),0),
IF('TL05'!$B$229=O$3,SUMIF('TL05'!$C$238:$C$451,$C122,'TL05'!$J$238:$J$451),0),
IF('TL06'!$B$3=O$3,SUMIF('TL06'!$C$10:$C$224,$C122,'TL06'!$J$10:$J$224),0),
IF('TL06'!$B$229=O$3,SUMIF('TL06'!$C$238:$C$451,$C122,'TL06'!$J$238:$J$451),0),
IF('TL07'!$B$3=O$3,SUMIF('TL07'!$C$10:$C$224,$C122,'TL07'!$J$10:$J$224),0),
IF('TL07'!$B$229=O$3,SUMIF('TL07'!$C$238:$C$451,$C122,'TL07'!$J$238:$J$451),0),
IF('TL08'!$B$3=O$3,SUMIF('TL08'!$C$10:$C$224,$C122,'TL08'!$J$10:$J$224),0),
IF('TL08'!$B$229=O$3,SUMIF('TL08'!$C$238:$C$451,$C122,'TL08'!$J$238:$J$451),0),
IF('TL09'!$B$3=O$3,SUMIF('TL09'!$C$10:$C$224,$C122,'TL09'!$J$10:$J$224),0),
IF('TL09'!$B$229=O$3,SUMIF('TL09'!$C$238:$C$451,$C122,'TL09'!$J$238:$J$451),0),
IF('TL10'!$B$3=O$3,SUMIF('TL10'!$C$10:$C$224,$C122,'TL10'!$J$10:$J$224),0),
IF('TL10'!$B$229=O$3,SUMIF('TL10'!$C$238:$C$451,$C122,'TL10'!$J$238:$J$451),0),
IF('TL11'!$B$3=O$3,SUMIF('TL11'!$C$10:$C$224,$C122,'TL11'!$J$10:$J$224),0),
IF('TL11'!$B$229=O$3,SUMIF('TL11'!$C$238:$C$451,$C122,'TL11'!$J$238:$J$451),0),
IF('TL12'!$B$3=O$3,SUMIF('TL12'!$C$10:$C$224,$C122,'TL12'!$J$10:$J$224),0),
IF('TL12'!$B$229=O$3,SUMIF('TL12'!$C$238:$C$451,$C122,'TL12'!$J$238:$J$451),0),
IF('TL13'!$B$3=O$3,SUMIF('TL13'!$C$10:$C$224,$C122,'TL13'!$J$10:$J$224),0),
IF('TL13'!$B$229=O$3,SUMIF('TL13'!$C$238:$C$451,$C122,'TL13'!$J$238:$J$451),0),
IF('TL14'!$B$3=O$3,SUMIF('TL14'!$C$10:$C$224,$C122,'TL14'!$J$10:$J$224),0),
IF('TL14'!$B$229=O$3,SUMIF('TL14'!$C$238:$C$451,$C122,'TL14'!$J$238:$J$451),0),
IF('TL15'!$B$3=O$3,SUMIF('TL15'!$C$10:$C$224,$C122,'TL15'!$J$10:$J$224),0),
IF('TL15'!$B$229=O$3,SUMIF('TL15'!$C$238:$C$451,$C122,'TL15'!$J$238:$J$451),0),
IF('TL16'!$B$3=O$3,SUMIF('TL16'!$C$10:$C$224,$C122,'TL16'!$J$10:$J$224),0),
IF('TL16'!$B$229=O$3,SUMIF('TL16'!$C$238:$C$451,$C122,'TL16'!$J$238:$J$451),0),
IF('TL17'!$B$3=O$3,SUMIF('TL17'!$C$10:$C$224,$C122,'TL17'!$J$10:$J$224),0),
IF('TL17'!$B$229=O$3,SUMIF('TL17'!$C$238:$C$451,$C122,'TL17'!$J$238:$J$451),0),
IF('TL18'!$B$3=O$3,SUMIF('TL18'!$C$10:$C$224,$C122,'TL18'!$J$10:$J$224),0),
IF('TL18'!$B$229=O$3,SUMIF('TL18'!$C$238:$C$451,$C122,'TL18'!$J$238:$J$451),0),
IF('TL19'!$B$3=O$3,SUMIF('TL19'!$C$10:$C$224,$C122,'TL19'!$J$10:$J$224),0),
IF('TL19'!$B$229=O$3,SUMIF('TL19'!$C$238:$C$451,$C122,'TL19'!$J$238:$J$451),0)
),0)</f>
        <v/>
      </c>
      <c r="P122" s="9">
        <f>IFERROR(SUM(
IF('TL01'!$B$3=P$3,SUMIF('TL01'!$C$10:$C$224,$C122,'TL01'!$J$10:$J$224),0),
IF('TL01'!$B$229=P$3,SUMIF('TL01'!$C$238:$C$451,$C122,'TL01'!$J$238:$J$451),0),
IF('TL02'!$B$3=P$3,SUMIF('TL02'!$C$10:$C$224,$C122,'TL02'!$J$10:$J$224),0),
IF('TL02'!$B$229=P$3,SUMIF('TL02'!$C$238:$C$451,$C122,'TL02'!$J$238:$J$451),0),
IF('TL03'!$B$3=P$3,SUMIF('TL03'!$C$10:$C$224,$C122,'TL03'!$J$10:$J$224),0),
IF('TL03'!$B$229=P$3,SUMIF('TL03'!$C$238:$C$451,$C122,'TL03'!$J$238:$J$451),0),
IF('TL04'!$B$3=P$3,SUMIF('TL04'!$C$10:$C$224,$C122,'TL04'!$J$10:$J$224),0),
IF('TL04'!$B$229=P$3,SUMIF('TL04'!$C$238:$C$451,$C122,'TL04'!$J$238:$J$451),0),
IF('TL05'!$B$3=P$3,SUMIF('TL05'!$C$10:$C$224,$C122,'TL05'!$J$10:$J$224),0),
IF('TL05'!$B$229=P$3,SUMIF('TL05'!$C$238:$C$451,$C122,'TL05'!$J$238:$J$451),0),
IF('TL06'!$B$3=P$3,SUMIF('TL06'!$C$10:$C$224,$C122,'TL06'!$J$10:$J$224),0),
IF('TL06'!$B$229=P$3,SUMIF('TL06'!$C$238:$C$451,$C122,'TL06'!$J$238:$J$451),0),
IF('TL07'!$B$3=P$3,SUMIF('TL07'!$C$10:$C$224,$C122,'TL07'!$J$10:$J$224),0),
IF('TL07'!$B$229=P$3,SUMIF('TL07'!$C$238:$C$451,$C122,'TL07'!$J$238:$J$451),0),
IF('TL08'!$B$3=P$3,SUMIF('TL08'!$C$10:$C$224,$C122,'TL08'!$J$10:$J$224),0),
IF('TL08'!$B$229=P$3,SUMIF('TL08'!$C$238:$C$451,$C122,'TL08'!$J$238:$J$451),0),
IF('TL09'!$B$3=P$3,SUMIF('TL09'!$C$10:$C$224,$C122,'TL09'!$J$10:$J$224),0),
IF('TL09'!$B$229=P$3,SUMIF('TL09'!$C$238:$C$451,$C122,'TL09'!$J$238:$J$451),0),
IF('TL10'!$B$3=P$3,SUMIF('TL10'!$C$10:$C$224,$C122,'TL10'!$J$10:$J$224),0),
IF('TL10'!$B$229=P$3,SUMIF('TL10'!$C$238:$C$451,$C122,'TL10'!$J$238:$J$451),0),
IF('TL11'!$B$3=P$3,SUMIF('TL11'!$C$10:$C$224,$C122,'TL11'!$J$10:$J$224),0),
IF('TL11'!$B$229=P$3,SUMIF('TL11'!$C$238:$C$451,$C122,'TL11'!$J$238:$J$451),0),
IF('TL12'!$B$3=P$3,SUMIF('TL12'!$C$10:$C$224,$C122,'TL12'!$J$10:$J$224),0),
IF('TL12'!$B$229=P$3,SUMIF('TL12'!$C$238:$C$451,$C122,'TL12'!$J$238:$J$451),0),
IF('TL13'!$B$3=P$3,SUMIF('TL13'!$C$10:$C$224,$C122,'TL13'!$J$10:$J$224),0),
IF('TL13'!$B$229=P$3,SUMIF('TL13'!$C$238:$C$451,$C122,'TL13'!$J$238:$J$451),0),
IF('TL14'!$B$3=P$3,SUMIF('TL14'!$C$10:$C$224,$C122,'TL14'!$J$10:$J$224),0),
IF('TL14'!$B$229=P$3,SUMIF('TL14'!$C$238:$C$451,$C122,'TL14'!$J$238:$J$451),0),
IF('TL15'!$B$3=P$3,SUMIF('TL15'!$C$10:$C$224,$C122,'TL15'!$J$10:$J$224),0),
IF('TL15'!$B$229=P$3,SUMIF('TL15'!$C$238:$C$451,$C122,'TL15'!$J$238:$J$451),0),
IF('TL16'!$B$3=P$3,SUMIF('TL16'!$C$10:$C$224,$C122,'TL16'!$J$10:$J$224),0),
IF('TL16'!$B$229=P$3,SUMIF('TL16'!$C$238:$C$451,$C122,'TL16'!$J$238:$J$451),0),
IF('TL17'!$B$3=P$3,SUMIF('TL17'!$C$10:$C$224,$C122,'TL17'!$J$10:$J$224),0),
IF('TL17'!$B$229=P$3,SUMIF('TL17'!$C$238:$C$451,$C122,'TL17'!$J$238:$J$451),0),
IF('TL18'!$B$3=P$3,SUMIF('TL18'!$C$10:$C$224,$C122,'TL18'!$J$10:$J$224),0),
IF('TL18'!$B$229=P$3,SUMIF('TL18'!$C$238:$C$451,$C122,'TL18'!$J$238:$J$451),0),
IF('TL19'!$B$3=P$3,SUMIF('TL19'!$C$10:$C$224,$C122,'TL19'!$J$10:$J$224),0),
IF('TL19'!$B$229=P$3,SUMIF('TL19'!$C$238:$C$451,$C122,'TL19'!$J$238:$J$451),0)
),0)</f>
        <v/>
      </c>
      <c r="Q122" s="9">
        <f>IFERROR(SUM(
IF('TL01'!$B$3=Q$3,SUMIF('TL01'!$C$10:$C$224,$C122,'TL01'!$J$10:$J$224),0),
IF('TL01'!$B$229=Q$3,SUMIF('TL01'!$C$238:$C$451,$C122,'TL01'!$J$238:$J$451),0),
IF('TL02'!$B$3=Q$3,SUMIF('TL02'!$C$10:$C$224,$C122,'TL02'!$J$10:$J$224),0),
IF('TL02'!$B$229=Q$3,SUMIF('TL02'!$C$238:$C$451,$C122,'TL02'!$J$238:$J$451),0),
IF('TL03'!$B$3=Q$3,SUMIF('TL03'!$C$10:$C$224,$C122,'TL03'!$J$10:$J$224),0),
IF('TL03'!$B$229=Q$3,SUMIF('TL03'!$C$238:$C$451,$C122,'TL03'!$J$238:$J$451),0),
IF('TL04'!$B$3=Q$3,SUMIF('TL04'!$C$10:$C$224,$C122,'TL04'!$J$10:$J$224),0),
IF('TL04'!$B$229=Q$3,SUMIF('TL04'!$C$238:$C$451,$C122,'TL04'!$J$238:$J$451),0),
IF('TL05'!$B$3=Q$3,SUMIF('TL05'!$C$10:$C$224,$C122,'TL05'!$J$10:$J$224),0),
IF('TL05'!$B$229=Q$3,SUMIF('TL05'!$C$238:$C$451,$C122,'TL05'!$J$238:$J$451),0),
IF('TL06'!$B$3=Q$3,SUMIF('TL06'!$C$10:$C$224,$C122,'TL06'!$J$10:$J$224),0),
IF('TL06'!$B$229=Q$3,SUMIF('TL06'!$C$238:$C$451,$C122,'TL06'!$J$238:$J$451),0),
IF('TL07'!$B$3=Q$3,SUMIF('TL07'!$C$10:$C$224,$C122,'TL07'!$J$10:$J$224),0),
IF('TL07'!$B$229=Q$3,SUMIF('TL07'!$C$238:$C$451,$C122,'TL07'!$J$238:$J$451),0),
IF('TL08'!$B$3=Q$3,SUMIF('TL08'!$C$10:$C$224,$C122,'TL08'!$J$10:$J$224),0),
IF('TL08'!$B$229=Q$3,SUMIF('TL08'!$C$238:$C$451,$C122,'TL08'!$J$238:$J$451),0),
IF('TL09'!$B$3=Q$3,SUMIF('TL09'!$C$10:$C$224,$C122,'TL09'!$J$10:$J$224),0),
IF('TL09'!$B$229=Q$3,SUMIF('TL09'!$C$238:$C$451,$C122,'TL09'!$J$238:$J$451),0),
IF('TL10'!$B$3=Q$3,SUMIF('TL10'!$C$10:$C$224,$C122,'TL10'!$J$10:$J$224),0),
IF('TL10'!$B$229=Q$3,SUMIF('TL10'!$C$238:$C$451,$C122,'TL10'!$J$238:$J$451),0),
IF('TL11'!$B$3=Q$3,SUMIF('TL11'!$C$10:$C$224,$C122,'TL11'!$J$10:$J$224),0),
IF('TL11'!$B$229=Q$3,SUMIF('TL11'!$C$238:$C$451,$C122,'TL11'!$J$238:$J$451),0),
IF('TL12'!$B$3=Q$3,SUMIF('TL12'!$C$10:$C$224,$C122,'TL12'!$J$10:$J$224),0),
IF('TL12'!$B$229=Q$3,SUMIF('TL12'!$C$238:$C$451,$C122,'TL12'!$J$238:$J$451),0),
IF('TL13'!$B$3=Q$3,SUMIF('TL13'!$C$10:$C$224,$C122,'TL13'!$J$10:$J$224),0),
IF('TL13'!$B$229=Q$3,SUMIF('TL13'!$C$238:$C$451,$C122,'TL13'!$J$238:$J$451),0),
IF('TL14'!$B$3=Q$3,SUMIF('TL14'!$C$10:$C$224,$C122,'TL14'!$J$10:$J$224),0),
IF('TL14'!$B$229=Q$3,SUMIF('TL14'!$C$238:$C$451,$C122,'TL14'!$J$238:$J$451),0),
IF('TL15'!$B$3=Q$3,SUMIF('TL15'!$C$10:$C$224,$C122,'TL15'!$J$10:$J$224),0),
IF('TL15'!$B$229=Q$3,SUMIF('TL15'!$C$238:$C$451,$C122,'TL15'!$J$238:$J$451),0),
IF('TL16'!$B$3=Q$3,SUMIF('TL16'!$C$10:$C$224,$C122,'TL16'!$J$10:$J$224),0),
IF('TL16'!$B$229=Q$3,SUMIF('TL16'!$C$238:$C$451,$C122,'TL16'!$J$238:$J$451),0),
IF('TL17'!$B$3=Q$3,SUMIF('TL17'!$C$10:$C$224,$C122,'TL17'!$J$10:$J$224),0),
IF('TL17'!$B$229=Q$3,SUMIF('TL17'!$C$238:$C$451,$C122,'TL17'!$J$238:$J$451),0),
IF('TL18'!$B$3=Q$3,SUMIF('TL18'!$C$10:$C$224,$C122,'TL18'!$J$10:$J$224),0),
IF('TL18'!$B$229=Q$3,SUMIF('TL18'!$C$238:$C$451,$C122,'TL18'!$J$238:$J$451),0),
IF('TL19'!$B$3=Q$3,SUMIF('TL19'!$C$10:$C$224,$C122,'TL19'!$J$10:$J$224),0),
IF('TL19'!$B$229=Q$3,SUMIF('TL19'!$C$238:$C$451,$C122,'TL19'!$J$238:$J$451),0)
),0)</f>
        <v/>
      </c>
      <c r="R122" s="9">
        <f>IFERROR(
SUM(
SUMIF('TL01'!C:C,C122,'TL01'!J:J),
SUMIF('TL02'!C:C,C122,'TL02'!J:J),
SUMIF('TL03'!C:C,C122,'TL03'!J:J),
SUMIF('TL04'!C:C,C122,'TL04'!J:J),
SUMIF('TL05'!C:C,C122,'TL05'!J:J),
SUMIF('TL06'!C:C,C122,'TL06'!J:J),
SUMIF('TL07'!C:C,C122,'TL07'!J:J),
SUMIF('TL08'!C:C,C122,'TL08'!J:J),
SUMIF('TL09'!C:C,C122,'TL09'!J:J),
SUMIF('TL10'!C:C,C122,'TL10'!J:J),
SUMIF('TL11'!C:C,C122,'TL11'!J:J),
SUMIF('TL12'!C:C,C122,'TL12'!J:J),
SUMIF('TL13'!C:C,C122,'TL13'!J:J),
SUMIF('TL14'!C:C,C122,'TL14'!J:J),
SUMIF('TL15'!C:C,C122,'TL15'!J:J),
SUMIF('TL16'!C:C,C122,'TL16'!J:J),
SUMIF('TL17'!C:C,C122,'TL17'!J:J),
SUMIF('TL18'!C:C,C122,'TL18'!J:J),SUMIF('TL19'!C:C,C122,'TL19'!J:J))
,0)</f>
        <v/>
      </c>
      <c r="S122" s="17">
        <f>IFERROR(__xludf.DUMMYFUNCTION("IFERROR(VLOOKUP(C122,
IMPORTRANGE(""1wULbzX32WdYsx-lj2U3uUNBBe2INVIRDtcK0d-Dvl90"",
""26-27!C:G""),
5,
FALSE),
"""")"),39.62296)</f>
        <v/>
      </c>
      <c r="T122" s="9" t="n"/>
      <c r="U122" s="92">
        <f>MAX(0,R122-T122)</f>
        <v/>
      </c>
      <c r="V122" s="93">
        <f>U122*S122</f>
        <v/>
      </c>
    </row>
    <row r="123" hidden="1" ht="15.75" customHeight="1" s="297">
      <c r="A123" s="111" t="inlineStr">
        <is>
          <t>CCAB</t>
        </is>
      </c>
      <c r="B123" s="112" t="inlineStr">
        <is>
          <t>HERBICIDA</t>
        </is>
      </c>
      <c r="C123" s="113" t="inlineStr">
        <is>
          <t>GLUFOSINATO CCAB 200 SL</t>
        </is>
      </c>
      <c r="D123" s="113" t="inlineStr">
        <is>
          <t>GLUFOSINATO - SAL DE AMONIO</t>
        </is>
      </c>
      <c r="E123" s="113" t="n">
        <v>200</v>
      </c>
      <c r="F123" s="4" t="inlineStr">
        <is>
          <t>L</t>
        </is>
      </c>
      <c r="G123" s="90">
        <f>HYPERLINK("https://www.google.com/search?q=" &amp; C123 &amp; "+bula+agrofit+pdf", "📄 Ver bula")</f>
        <v/>
      </c>
      <c r="H123" s="9">
        <f>IFERROR(__xludf.DUMMYFUNCTION("IFERROR(VLOOKUP(C123,
IMPORTRANGE(""1wULbzX32WdYsx-lj2U3uUNBBe2INVIRDtcK0d-Dvl90"",
""26-27!C:K""),
8,
FALSE),
"""")"),2.0)</f>
        <v/>
      </c>
      <c r="I123" s="114" t="inlineStr">
        <is>
          <t>1x20</t>
        </is>
      </c>
      <c r="J123" s="9">
        <f>IFERROR(SUM(
IF('TL01'!$B$3=J$3,SUMIF('TL01'!$C$10:$C$224,$C123,'TL01'!$J$10:$J$224),0),
IF('TL01'!$B$229=J$3,SUMIF('TL01'!$C$238:$C$451,$C123,'TL01'!$J$238:$J$451),0),
IF('TL02'!$B$3=J$3,SUMIF('TL02'!$C$10:$C$224,$C123,'TL02'!$J$10:$J$224),0),
IF('TL02'!$B$229=J$3,SUMIF('TL02'!$C$238:$C$451,$C123,'TL02'!$J$238:$J$451),0),
IF('TL03'!$B$3=J$3,SUMIF('TL03'!$C$10:$C$224,$C123,'TL03'!$J$10:$J$224),0),
IF('TL03'!$B$229=J$3,SUMIF('TL03'!$C$238:$C$451,$C123,'TL03'!$J$238:$J$451),0),
IF('TL04'!$B$3=J$3,SUMIF('TL04'!$C$10:$C$224,$C123,'TL04'!$J$10:$J$224),0),
IF('TL04'!$B$229=J$3,SUMIF('TL04'!$C$238:$C$451,$C123,'TL04'!$J$238:$J$451),0),
IF('TL05'!$B$3=J$3,SUMIF('TL05'!$C$10:$C$224,$C123,'TL05'!$J$10:$J$224),0),
IF('TL05'!$B$229=J$3,SUMIF('TL05'!$C$238:$C$451,$C123,'TL05'!$J$238:$J$451),0),
IF('TL06'!$B$3=J$3,SUMIF('TL06'!$C$10:$C$224,$C123,'TL06'!$J$10:$J$224),0),
IF('TL06'!$B$229=J$3,SUMIF('TL06'!$C$238:$C$451,$C123,'TL06'!$J$238:$J$451),0),
IF('TL07'!$B$3=J$3,SUMIF('TL07'!$C$10:$C$224,$C123,'TL07'!$J$10:$J$224),0),
IF('TL07'!$B$229=J$3,SUMIF('TL07'!$C$238:$C$451,$C123,'TL07'!$J$238:$J$451),0),
IF('TL08'!$B$3=J$3,SUMIF('TL08'!$C$10:$C$224,$C123,'TL08'!$J$10:$J$224),0),
IF('TL08'!$B$229=J$3,SUMIF('TL08'!$C$238:$C$451,$C123,'TL08'!$J$238:$J$451),0),
IF('TL09'!$B$3=J$3,SUMIF('TL09'!$C$10:$C$224,$C123,'TL09'!$J$10:$J$224),0),
IF('TL09'!$B$229=J$3,SUMIF('TL09'!$C$238:$C$451,$C123,'TL09'!$J$238:$J$451),0),
IF('TL10'!$B$3=J$3,SUMIF('TL10'!$C$10:$C$224,$C123,'TL10'!$J$10:$J$224),0),
IF('TL10'!$B$229=J$3,SUMIF('TL10'!$C$238:$C$451,$C123,'TL10'!$J$238:$J$451),0),
IF('TL11'!$B$3=J$3,SUMIF('TL11'!$C$10:$C$224,$C123,'TL11'!$J$10:$J$224),0),
IF('TL11'!$B$229=J$3,SUMIF('TL11'!$C$238:$C$451,$C123,'TL11'!$J$238:$J$451),0),
IF('TL12'!$B$3=J$3,SUMIF('TL12'!$C$10:$C$224,$C123,'TL12'!$J$10:$J$224),0),
IF('TL12'!$B$229=J$3,SUMIF('TL12'!$C$238:$C$451,$C123,'TL12'!$J$238:$J$451),0),
IF('TL13'!$B$3=J$3,SUMIF('TL13'!$C$10:$C$224,$C123,'TL13'!$J$10:$J$224),0),
IF('TL13'!$B$229=J$3,SUMIF('TL13'!$C$238:$C$451,$C123,'TL13'!$J$238:$J$451),0),
IF('TL14'!$B$3=J$3,SUMIF('TL14'!$C$10:$C$224,$C123,'TL14'!$J$10:$J$224),0),
IF('TL14'!$B$229=J$3,SUMIF('TL14'!$C$238:$C$451,$C123,'TL14'!$J$238:$J$451),0),
IF('TL15'!$B$3=J$3,SUMIF('TL15'!$C$10:$C$224,$C123,'TL15'!$J$10:$J$224),0),
IF('TL15'!$B$229=J$3,SUMIF('TL15'!$C$238:$C$451,$C123,'TL15'!$J$238:$J$451),0),
IF('TL16'!$B$3=J$3,SUMIF('TL16'!$C$10:$C$224,$C123,'TL16'!$J$10:$J$224),0),
IF('TL16'!$B$229=J$3,SUMIF('TL16'!$C$238:$C$451,$C123,'TL16'!$J$238:$J$451),0),
IF('TL17'!$B$3=J$3,SUMIF('TL17'!$C$10:$C$224,$C123,'TL17'!$J$10:$J$224),0),
IF('TL17'!$B$229=J$3,SUMIF('TL17'!$C$238:$C$451,$C123,'TL17'!$J$238:$J$451),0),
IF('TL18'!$B$3=J$3,SUMIF('TL18'!$C$10:$C$224,$C123,'TL18'!$J$10:$J$224),0),
IF('TL18'!$B$229=J$3,SUMIF('TL18'!$C$238:$C$451,$C123,'TL18'!$J$238:$J$451),0),
IF('TL19'!$B$3=J$3,SUMIF('TL19'!$C$10:$C$224,$C123,'TL19'!$J$10:$J$224),0),
IF('TL19'!$B$229=J$3,SUMIF('TL19'!$C$238:$C$451,$C123,'TL19'!$J$238:$J$451),0)
),0)</f>
        <v/>
      </c>
      <c r="K123" s="9">
        <f>IFERROR(SUM(
IF('TL01'!$B$3=K$3,SUMIF('TL01'!$C$10:$C$224,$C123,'TL01'!$J$10:$J$224),0),
IF('TL01'!$B$229=K$3,SUMIF('TL01'!$C$238:$C$451,$C123,'TL01'!$J$238:$J$451),0),
IF('TL02'!$B$3=K$3,SUMIF('TL02'!$C$10:$C$224,$C123,'TL02'!$J$10:$J$224),0),
IF('TL02'!$B$229=K$3,SUMIF('TL02'!$C$238:$C$451,$C123,'TL02'!$J$238:$J$451),0),
IF('TL03'!$B$3=K$3,SUMIF('TL03'!$C$10:$C$224,$C123,'TL03'!$J$10:$J$224),0),
IF('TL03'!$B$229=K$3,SUMIF('TL03'!$C$238:$C$451,$C123,'TL03'!$J$238:$J$451),0),
IF('TL04'!$B$3=K$3,SUMIF('TL04'!$C$10:$C$224,$C123,'TL04'!$J$10:$J$224),0),
IF('TL04'!$B$229=K$3,SUMIF('TL04'!$C$238:$C$451,$C123,'TL04'!$J$238:$J$451),0),
IF('TL05'!$B$3=K$3,SUMIF('TL05'!$C$10:$C$224,$C123,'TL05'!$J$10:$J$224),0),
IF('TL05'!$B$229=K$3,SUMIF('TL05'!$C$238:$C$451,$C123,'TL05'!$J$238:$J$451),0),
IF('TL06'!$B$3=K$3,SUMIF('TL06'!$C$10:$C$224,$C123,'TL06'!$J$10:$J$224),0),
IF('TL06'!$B$229=K$3,SUMIF('TL06'!$C$238:$C$451,$C123,'TL06'!$J$238:$J$451),0),
IF('TL07'!$B$3=K$3,SUMIF('TL07'!$C$10:$C$224,$C123,'TL07'!$J$10:$J$224),0),
IF('TL07'!$B$229=K$3,SUMIF('TL07'!$C$238:$C$451,$C123,'TL07'!$J$238:$J$451),0),
IF('TL08'!$B$3=K$3,SUMIF('TL08'!$C$10:$C$224,$C123,'TL08'!$J$10:$J$224),0),
IF('TL08'!$B$229=K$3,SUMIF('TL08'!$C$238:$C$451,$C123,'TL08'!$J$238:$J$451),0),
IF('TL09'!$B$3=K$3,SUMIF('TL09'!$C$10:$C$224,$C123,'TL09'!$J$10:$J$224),0),
IF('TL09'!$B$229=K$3,SUMIF('TL09'!$C$238:$C$451,$C123,'TL09'!$J$238:$J$451),0),
IF('TL10'!$B$3=K$3,SUMIF('TL10'!$C$10:$C$224,$C123,'TL10'!$J$10:$J$224),0),
IF('TL10'!$B$229=K$3,SUMIF('TL10'!$C$238:$C$451,$C123,'TL10'!$J$238:$J$451),0),
IF('TL11'!$B$3=K$3,SUMIF('TL11'!$C$10:$C$224,$C123,'TL11'!$J$10:$J$224),0),
IF('TL11'!$B$229=K$3,SUMIF('TL11'!$C$238:$C$451,$C123,'TL11'!$J$238:$J$451),0),
IF('TL12'!$B$3=K$3,SUMIF('TL12'!$C$10:$C$224,$C123,'TL12'!$J$10:$J$224),0),
IF('TL12'!$B$229=K$3,SUMIF('TL12'!$C$238:$C$451,$C123,'TL12'!$J$238:$J$451),0),
IF('TL13'!$B$3=K$3,SUMIF('TL13'!$C$10:$C$224,$C123,'TL13'!$J$10:$J$224),0),
IF('TL13'!$B$229=K$3,SUMIF('TL13'!$C$238:$C$451,$C123,'TL13'!$J$238:$J$451),0),
IF('TL14'!$B$3=K$3,SUMIF('TL14'!$C$10:$C$224,$C123,'TL14'!$J$10:$J$224),0),
IF('TL14'!$B$229=K$3,SUMIF('TL14'!$C$238:$C$451,$C123,'TL14'!$J$238:$J$451),0),
IF('TL15'!$B$3=K$3,SUMIF('TL15'!$C$10:$C$224,$C123,'TL15'!$J$10:$J$224),0),
IF('TL15'!$B$229=K$3,SUMIF('TL15'!$C$238:$C$451,$C123,'TL15'!$J$238:$J$451),0),
IF('TL16'!$B$3=K$3,SUMIF('TL16'!$C$10:$C$224,$C123,'TL16'!$J$10:$J$224),0),
IF('TL16'!$B$229=K$3,SUMIF('TL16'!$C$238:$C$451,$C123,'TL16'!$J$238:$J$451),0),
IF('TL17'!$B$3=K$3,SUMIF('TL17'!$C$10:$C$224,$C123,'TL17'!$J$10:$J$224),0),
IF('TL17'!$B$229=K$3,SUMIF('TL17'!$C$238:$C$451,$C123,'TL17'!$J$238:$J$451),0),
IF('TL18'!$B$3=K$3,SUMIF('TL18'!$C$10:$C$224,$C123,'TL18'!$J$10:$J$224),0),
IF('TL18'!$B$229=K$3,SUMIF('TL18'!$C$238:$C$451,$C123,'TL18'!$J$238:$J$451),0),
IF('TL19'!$B$3=K$3,SUMIF('TL19'!$C$10:$C$224,$C123,'TL19'!$J$10:$J$224),0),
IF('TL19'!$B$229=K$3,SUMIF('TL19'!$C$238:$C$451,$C123,'TL19'!$J$238:$J$451),0)
),0)</f>
        <v/>
      </c>
      <c r="L123" s="9">
        <f>IFERROR(SUM(
IF('TL01'!$B$3=L$3,SUMIF('TL01'!$C$10:$C$224,$C123,'TL01'!$J$10:$J$224),0),
IF('TL01'!$B$229=L$3,SUMIF('TL01'!$C$238:$C$451,$C123,'TL01'!$J$238:$J$451),0),
IF('TL02'!$B$3=L$3,SUMIF('TL02'!$C$10:$C$224,$C123,'TL02'!$J$10:$J$224),0),
IF('TL02'!$B$229=L$3,SUMIF('TL02'!$C$238:$C$451,$C123,'TL02'!$J$238:$J$451),0),
IF('TL03'!$B$3=L$3,SUMIF('TL03'!$C$10:$C$224,$C123,'TL03'!$J$10:$J$224),0),
IF('TL03'!$B$229=L$3,SUMIF('TL03'!$C$238:$C$451,$C123,'TL03'!$J$238:$J$451),0),
IF('TL04'!$B$3=L$3,SUMIF('TL04'!$C$10:$C$224,$C123,'TL04'!$J$10:$J$224),0),
IF('TL04'!$B$229=L$3,SUMIF('TL04'!$C$238:$C$451,$C123,'TL04'!$J$238:$J$451),0),
IF('TL05'!$B$3=L$3,SUMIF('TL05'!$C$10:$C$224,$C123,'TL05'!$J$10:$J$224),0),
IF('TL05'!$B$229=L$3,SUMIF('TL05'!$C$238:$C$451,$C123,'TL05'!$J$238:$J$451),0),
IF('TL06'!$B$3=L$3,SUMIF('TL06'!$C$10:$C$224,$C123,'TL06'!$J$10:$J$224),0),
IF('TL06'!$B$229=L$3,SUMIF('TL06'!$C$238:$C$451,$C123,'TL06'!$J$238:$J$451),0),
IF('TL07'!$B$3=L$3,SUMIF('TL07'!$C$10:$C$224,$C123,'TL07'!$J$10:$J$224),0),
IF('TL07'!$B$229=L$3,SUMIF('TL07'!$C$238:$C$451,$C123,'TL07'!$J$238:$J$451),0),
IF('TL08'!$B$3=L$3,SUMIF('TL08'!$C$10:$C$224,$C123,'TL08'!$J$10:$J$224),0),
IF('TL08'!$B$229=L$3,SUMIF('TL08'!$C$238:$C$451,$C123,'TL08'!$J$238:$J$451),0),
IF('TL09'!$B$3=L$3,SUMIF('TL09'!$C$10:$C$224,$C123,'TL09'!$J$10:$J$224),0),
IF('TL09'!$B$229=L$3,SUMIF('TL09'!$C$238:$C$451,$C123,'TL09'!$J$238:$J$451),0),
IF('TL10'!$B$3=L$3,SUMIF('TL10'!$C$10:$C$224,$C123,'TL10'!$J$10:$J$224),0),
IF('TL10'!$B$229=L$3,SUMIF('TL10'!$C$238:$C$451,$C123,'TL10'!$J$238:$J$451),0),
IF('TL11'!$B$3=L$3,SUMIF('TL11'!$C$10:$C$224,$C123,'TL11'!$J$10:$J$224),0),
IF('TL11'!$B$229=L$3,SUMIF('TL11'!$C$238:$C$451,$C123,'TL11'!$J$238:$J$451),0),
IF('TL12'!$B$3=L$3,SUMIF('TL12'!$C$10:$C$224,$C123,'TL12'!$J$10:$J$224),0),
IF('TL12'!$B$229=L$3,SUMIF('TL12'!$C$238:$C$451,$C123,'TL12'!$J$238:$J$451),0),
IF('TL13'!$B$3=L$3,SUMIF('TL13'!$C$10:$C$224,$C123,'TL13'!$J$10:$J$224),0),
IF('TL13'!$B$229=L$3,SUMIF('TL13'!$C$238:$C$451,$C123,'TL13'!$J$238:$J$451),0),
IF('TL14'!$B$3=L$3,SUMIF('TL14'!$C$10:$C$224,$C123,'TL14'!$J$10:$J$224),0),
IF('TL14'!$B$229=L$3,SUMIF('TL14'!$C$238:$C$451,$C123,'TL14'!$J$238:$J$451),0),
IF('TL15'!$B$3=L$3,SUMIF('TL15'!$C$10:$C$224,$C123,'TL15'!$J$10:$J$224),0),
IF('TL15'!$B$229=L$3,SUMIF('TL15'!$C$238:$C$451,$C123,'TL15'!$J$238:$J$451),0),
IF('TL16'!$B$3=L$3,SUMIF('TL16'!$C$10:$C$224,$C123,'TL16'!$J$10:$J$224),0),
IF('TL16'!$B$229=L$3,SUMIF('TL16'!$C$238:$C$451,$C123,'TL16'!$J$238:$J$451),0),
IF('TL17'!$B$3=L$3,SUMIF('TL17'!$C$10:$C$224,$C123,'TL17'!$J$10:$J$224),0),
IF('TL17'!$B$229=L$3,SUMIF('TL17'!$C$238:$C$451,$C123,'TL17'!$J$238:$J$451),0),
IF('TL18'!$B$3=L$3,SUMIF('TL18'!$C$10:$C$224,$C123,'TL18'!$J$10:$J$224),0),
IF('TL18'!$B$229=L$3,SUMIF('TL18'!$C$238:$C$451,$C123,'TL18'!$J$238:$J$451),0),
IF('TL19'!$B$3=L$3,SUMIF('TL19'!$C$10:$C$224,$C123,'TL19'!$J$10:$J$224),0),
IF('TL19'!$B$229=L$3,SUMIF('TL19'!$C$238:$C$451,$C123,'TL19'!$J$238:$J$451),0)
),0)</f>
        <v/>
      </c>
      <c r="M123" s="9">
        <f>IFERROR(SUM(
IF('TL01'!$B$3=M$3,SUMIF('TL01'!$C$10:$C$224,$C123,'TL01'!$J$10:$J$224),0),
IF('TL01'!$B$229=M$3,SUMIF('TL01'!$C$238:$C$451,$C123,'TL01'!$J$238:$J$451),0),
IF('TL02'!$B$3=M$3,SUMIF('TL02'!$C$10:$C$224,$C123,'TL02'!$J$10:$J$224),0),
IF('TL02'!$B$229=M$3,SUMIF('TL02'!$C$238:$C$451,$C123,'TL02'!$J$238:$J$451),0),
IF('TL03'!$B$3=M$3,SUMIF('TL03'!$C$10:$C$224,$C123,'TL03'!$J$10:$J$224),0),
IF('TL03'!$B$229=M$3,SUMIF('TL03'!$C$238:$C$451,$C123,'TL03'!$J$238:$J$451),0),
IF('TL04'!$B$3=M$3,SUMIF('TL04'!$C$10:$C$224,$C123,'TL04'!$J$10:$J$224),0),
IF('TL04'!$B$229=M$3,SUMIF('TL04'!$C$238:$C$451,$C123,'TL04'!$J$238:$J$451),0),
IF('TL05'!$B$3=M$3,SUMIF('TL05'!$C$10:$C$224,$C123,'TL05'!$J$10:$J$224),0),
IF('TL05'!$B$229=M$3,SUMIF('TL05'!$C$238:$C$451,$C123,'TL05'!$J$238:$J$451),0),
IF('TL06'!$B$3=M$3,SUMIF('TL06'!$C$10:$C$224,$C123,'TL06'!$J$10:$J$224),0),
IF('TL06'!$B$229=M$3,SUMIF('TL06'!$C$238:$C$451,$C123,'TL06'!$J$238:$J$451),0),
IF('TL07'!$B$3=M$3,SUMIF('TL07'!$C$10:$C$224,$C123,'TL07'!$J$10:$J$224),0),
IF('TL07'!$B$229=M$3,SUMIF('TL07'!$C$238:$C$451,$C123,'TL07'!$J$238:$J$451),0),
IF('TL08'!$B$3=M$3,SUMIF('TL08'!$C$10:$C$224,$C123,'TL08'!$J$10:$J$224),0),
IF('TL08'!$B$229=M$3,SUMIF('TL08'!$C$238:$C$451,$C123,'TL08'!$J$238:$J$451),0),
IF('TL09'!$B$3=M$3,SUMIF('TL09'!$C$10:$C$224,$C123,'TL09'!$J$10:$J$224),0),
IF('TL09'!$B$229=M$3,SUMIF('TL09'!$C$238:$C$451,$C123,'TL09'!$J$238:$J$451),0),
IF('TL10'!$B$3=M$3,SUMIF('TL10'!$C$10:$C$224,$C123,'TL10'!$J$10:$J$224),0),
IF('TL10'!$B$229=M$3,SUMIF('TL10'!$C$238:$C$451,$C123,'TL10'!$J$238:$J$451),0),
IF('TL11'!$B$3=M$3,SUMIF('TL11'!$C$10:$C$224,$C123,'TL11'!$J$10:$J$224),0),
IF('TL11'!$B$229=M$3,SUMIF('TL11'!$C$238:$C$451,$C123,'TL11'!$J$238:$J$451),0),
IF('TL12'!$B$3=M$3,SUMIF('TL12'!$C$10:$C$224,$C123,'TL12'!$J$10:$J$224),0),
IF('TL12'!$B$229=M$3,SUMIF('TL12'!$C$238:$C$451,$C123,'TL12'!$J$238:$J$451),0),
IF('TL13'!$B$3=M$3,SUMIF('TL13'!$C$10:$C$224,$C123,'TL13'!$J$10:$J$224),0),
IF('TL13'!$B$229=M$3,SUMIF('TL13'!$C$238:$C$451,$C123,'TL13'!$J$238:$J$451),0),
IF('TL14'!$B$3=M$3,SUMIF('TL14'!$C$10:$C$224,$C123,'TL14'!$J$10:$J$224),0),
IF('TL14'!$B$229=M$3,SUMIF('TL14'!$C$238:$C$451,$C123,'TL14'!$J$238:$J$451),0),
IF('TL15'!$B$3=M$3,SUMIF('TL15'!$C$10:$C$224,$C123,'TL15'!$J$10:$J$224),0),
IF('TL15'!$B$229=M$3,SUMIF('TL15'!$C$238:$C$451,$C123,'TL15'!$J$238:$J$451),0),
IF('TL16'!$B$3=M$3,SUMIF('TL16'!$C$10:$C$224,$C123,'TL16'!$J$10:$J$224),0),
IF('TL16'!$B$229=M$3,SUMIF('TL16'!$C$238:$C$451,$C123,'TL16'!$J$238:$J$451),0),
IF('TL17'!$B$3=M$3,SUMIF('TL17'!$C$10:$C$224,$C123,'TL17'!$J$10:$J$224),0),
IF('TL17'!$B$229=M$3,SUMIF('TL17'!$C$238:$C$451,$C123,'TL17'!$J$238:$J$451),0),
IF('TL18'!$B$3=M$3,SUMIF('TL18'!$C$10:$C$224,$C123,'TL18'!$J$10:$J$224),0),
IF('TL18'!$B$229=M$3,SUMIF('TL18'!$C$238:$C$451,$C123,'TL18'!$J$238:$J$451),0),
IF('TL19'!$B$3=M$3,SUMIF('TL19'!$C$10:$C$224,$C123,'TL19'!$J$10:$J$224),0),
IF('TL19'!$B$229=M$3,SUMIF('TL19'!$C$238:$C$451,$C123,'TL19'!$J$238:$J$451),0)
),0)</f>
        <v/>
      </c>
      <c r="N123" s="9">
        <f>IFERROR(SUM(
IF('TL01'!$B$3=N$3,SUMIF('TL01'!$C$10:$C$224,$C123,'TL01'!$J$10:$J$224),0),
IF('TL01'!$B$229=N$3,SUMIF('TL01'!$C$238:$C$451,$C123,'TL01'!$J$238:$J$451),0),
IF('TL02'!$B$3=N$3,SUMIF('TL02'!$C$10:$C$224,$C123,'TL02'!$J$10:$J$224),0),
IF('TL02'!$B$229=N$3,SUMIF('TL02'!$C$238:$C$451,$C123,'TL02'!$J$238:$J$451),0),
IF('TL03'!$B$3=N$3,SUMIF('TL03'!$C$10:$C$224,$C123,'TL03'!$J$10:$J$224),0),
IF('TL03'!$B$229=N$3,SUMIF('TL03'!$C$238:$C$451,$C123,'TL03'!$J$238:$J$451),0),
IF('TL04'!$B$3=N$3,SUMIF('TL04'!$C$10:$C$224,$C123,'TL04'!$J$10:$J$224),0),
IF('TL04'!$B$229=N$3,SUMIF('TL04'!$C$238:$C$451,$C123,'TL04'!$J$238:$J$451),0),
IF('TL05'!$B$3=N$3,SUMIF('TL05'!$C$10:$C$224,$C123,'TL05'!$J$10:$J$224),0),
IF('TL05'!$B$229=N$3,SUMIF('TL05'!$C$238:$C$451,$C123,'TL05'!$J$238:$J$451),0),
IF('TL06'!$B$3=N$3,SUMIF('TL06'!$C$10:$C$224,$C123,'TL06'!$J$10:$J$224),0),
IF('TL06'!$B$229=N$3,SUMIF('TL06'!$C$238:$C$451,$C123,'TL06'!$J$238:$J$451),0),
IF('TL07'!$B$3=N$3,SUMIF('TL07'!$C$10:$C$224,$C123,'TL07'!$J$10:$J$224),0),
IF('TL07'!$B$229=N$3,SUMIF('TL07'!$C$238:$C$451,$C123,'TL07'!$J$238:$J$451),0),
IF('TL08'!$B$3=N$3,SUMIF('TL08'!$C$10:$C$224,$C123,'TL08'!$J$10:$J$224),0),
IF('TL08'!$B$229=N$3,SUMIF('TL08'!$C$238:$C$451,$C123,'TL08'!$J$238:$J$451),0),
IF('TL09'!$B$3=N$3,SUMIF('TL09'!$C$10:$C$224,$C123,'TL09'!$J$10:$J$224),0),
IF('TL09'!$B$229=N$3,SUMIF('TL09'!$C$238:$C$451,$C123,'TL09'!$J$238:$J$451),0),
IF('TL10'!$B$3=N$3,SUMIF('TL10'!$C$10:$C$224,$C123,'TL10'!$J$10:$J$224),0),
IF('TL10'!$B$229=N$3,SUMIF('TL10'!$C$238:$C$451,$C123,'TL10'!$J$238:$J$451),0),
IF('TL11'!$B$3=N$3,SUMIF('TL11'!$C$10:$C$224,$C123,'TL11'!$J$10:$J$224),0),
IF('TL11'!$B$229=N$3,SUMIF('TL11'!$C$238:$C$451,$C123,'TL11'!$J$238:$J$451),0),
IF('TL12'!$B$3=N$3,SUMIF('TL12'!$C$10:$C$224,$C123,'TL12'!$J$10:$J$224),0),
IF('TL12'!$B$229=N$3,SUMIF('TL12'!$C$238:$C$451,$C123,'TL12'!$J$238:$J$451),0),
IF('TL13'!$B$3=N$3,SUMIF('TL13'!$C$10:$C$224,$C123,'TL13'!$J$10:$J$224),0),
IF('TL13'!$B$229=N$3,SUMIF('TL13'!$C$238:$C$451,$C123,'TL13'!$J$238:$J$451),0),
IF('TL14'!$B$3=N$3,SUMIF('TL14'!$C$10:$C$224,$C123,'TL14'!$J$10:$J$224),0),
IF('TL14'!$B$229=N$3,SUMIF('TL14'!$C$238:$C$451,$C123,'TL14'!$J$238:$J$451),0),
IF('TL15'!$B$3=N$3,SUMIF('TL15'!$C$10:$C$224,$C123,'TL15'!$J$10:$J$224),0),
IF('TL15'!$B$229=N$3,SUMIF('TL15'!$C$238:$C$451,$C123,'TL15'!$J$238:$J$451),0),
IF('TL16'!$B$3=N$3,SUMIF('TL16'!$C$10:$C$224,$C123,'TL16'!$J$10:$J$224),0),
IF('TL16'!$B$229=N$3,SUMIF('TL16'!$C$238:$C$451,$C123,'TL16'!$J$238:$J$451),0),
IF('TL17'!$B$3=N$3,SUMIF('TL17'!$C$10:$C$224,$C123,'TL17'!$J$10:$J$224),0),
IF('TL17'!$B$229=N$3,SUMIF('TL17'!$C$238:$C$451,$C123,'TL17'!$J$238:$J$451),0),
IF('TL18'!$B$3=N$3,SUMIF('TL18'!$C$10:$C$224,$C123,'TL18'!$J$10:$J$224),0),
IF('TL18'!$B$229=N$3,SUMIF('TL18'!$C$238:$C$451,$C123,'TL18'!$J$238:$J$451),0),
IF('TL19'!$B$3=N$3,SUMIF('TL19'!$C$10:$C$224,$C123,'TL19'!$J$10:$J$224),0),
IF('TL19'!$B$229=N$3,SUMIF('TL19'!$C$238:$C$451,$C123,'TL19'!$J$238:$J$451),0)
),0)</f>
        <v/>
      </c>
      <c r="O123" s="9">
        <f>IFERROR(SUM(
IF('TL01'!$B$3=O$3,SUMIF('TL01'!$C$10:$C$224,$C123,'TL01'!$J$10:$J$224),0),
IF('TL01'!$B$229=O$3,SUMIF('TL01'!$C$238:$C$451,$C123,'TL01'!$J$238:$J$451),0),
IF('TL02'!$B$3=O$3,SUMIF('TL02'!$C$10:$C$224,$C123,'TL02'!$J$10:$J$224),0),
IF('TL02'!$B$229=O$3,SUMIF('TL02'!$C$238:$C$451,$C123,'TL02'!$J$238:$J$451),0),
IF('TL03'!$B$3=O$3,SUMIF('TL03'!$C$10:$C$224,$C123,'TL03'!$J$10:$J$224),0),
IF('TL03'!$B$229=O$3,SUMIF('TL03'!$C$238:$C$451,$C123,'TL03'!$J$238:$J$451),0),
IF('TL04'!$B$3=O$3,SUMIF('TL04'!$C$10:$C$224,$C123,'TL04'!$J$10:$J$224),0),
IF('TL04'!$B$229=O$3,SUMIF('TL04'!$C$238:$C$451,$C123,'TL04'!$J$238:$J$451),0),
IF('TL05'!$B$3=O$3,SUMIF('TL05'!$C$10:$C$224,$C123,'TL05'!$J$10:$J$224),0),
IF('TL05'!$B$229=O$3,SUMIF('TL05'!$C$238:$C$451,$C123,'TL05'!$J$238:$J$451),0),
IF('TL06'!$B$3=O$3,SUMIF('TL06'!$C$10:$C$224,$C123,'TL06'!$J$10:$J$224),0),
IF('TL06'!$B$229=O$3,SUMIF('TL06'!$C$238:$C$451,$C123,'TL06'!$J$238:$J$451),0),
IF('TL07'!$B$3=O$3,SUMIF('TL07'!$C$10:$C$224,$C123,'TL07'!$J$10:$J$224),0),
IF('TL07'!$B$229=O$3,SUMIF('TL07'!$C$238:$C$451,$C123,'TL07'!$J$238:$J$451),0),
IF('TL08'!$B$3=O$3,SUMIF('TL08'!$C$10:$C$224,$C123,'TL08'!$J$10:$J$224),0),
IF('TL08'!$B$229=O$3,SUMIF('TL08'!$C$238:$C$451,$C123,'TL08'!$J$238:$J$451),0),
IF('TL09'!$B$3=O$3,SUMIF('TL09'!$C$10:$C$224,$C123,'TL09'!$J$10:$J$224),0),
IF('TL09'!$B$229=O$3,SUMIF('TL09'!$C$238:$C$451,$C123,'TL09'!$J$238:$J$451),0),
IF('TL10'!$B$3=O$3,SUMIF('TL10'!$C$10:$C$224,$C123,'TL10'!$J$10:$J$224),0),
IF('TL10'!$B$229=O$3,SUMIF('TL10'!$C$238:$C$451,$C123,'TL10'!$J$238:$J$451),0),
IF('TL11'!$B$3=O$3,SUMIF('TL11'!$C$10:$C$224,$C123,'TL11'!$J$10:$J$224),0),
IF('TL11'!$B$229=O$3,SUMIF('TL11'!$C$238:$C$451,$C123,'TL11'!$J$238:$J$451),0),
IF('TL12'!$B$3=O$3,SUMIF('TL12'!$C$10:$C$224,$C123,'TL12'!$J$10:$J$224),0),
IF('TL12'!$B$229=O$3,SUMIF('TL12'!$C$238:$C$451,$C123,'TL12'!$J$238:$J$451),0),
IF('TL13'!$B$3=O$3,SUMIF('TL13'!$C$10:$C$224,$C123,'TL13'!$J$10:$J$224),0),
IF('TL13'!$B$229=O$3,SUMIF('TL13'!$C$238:$C$451,$C123,'TL13'!$J$238:$J$451),0),
IF('TL14'!$B$3=O$3,SUMIF('TL14'!$C$10:$C$224,$C123,'TL14'!$J$10:$J$224),0),
IF('TL14'!$B$229=O$3,SUMIF('TL14'!$C$238:$C$451,$C123,'TL14'!$J$238:$J$451),0),
IF('TL15'!$B$3=O$3,SUMIF('TL15'!$C$10:$C$224,$C123,'TL15'!$J$10:$J$224),0),
IF('TL15'!$B$229=O$3,SUMIF('TL15'!$C$238:$C$451,$C123,'TL15'!$J$238:$J$451),0),
IF('TL16'!$B$3=O$3,SUMIF('TL16'!$C$10:$C$224,$C123,'TL16'!$J$10:$J$224),0),
IF('TL16'!$B$229=O$3,SUMIF('TL16'!$C$238:$C$451,$C123,'TL16'!$J$238:$J$451),0),
IF('TL17'!$B$3=O$3,SUMIF('TL17'!$C$10:$C$224,$C123,'TL17'!$J$10:$J$224),0),
IF('TL17'!$B$229=O$3,SUMIF('TL17'!$C$238:$C$451,$C123,'TL17'!$J$238:$J$451),0),
IF('TL18'!$B$3=O$3,SUMIF('TL18'!$C$10:$C$224,$C123,'TL18'!$J$10:$J$224),0),
IF('TL18'!$B$229=O$3,SUMIF('TL18'!$C$238:$C$451,$C123,'TL18'!$J$238:$J$451),0),
IF('TL19'!$B$3=O$3,SUMIF('TL19'!$C$10:$C$224,$C123,'TL19'!$J$10:$J$224),0),
IF('TL19'!$B$229=O$3,SUMIF('TL19'!$C$238:$C$451,$C123,'TL19'!$J$238:$J$451),0)
),0)</f>
        <v/>
      </c>
      <c r="P123" s="9">
        <f>IFERROR(SUM(
IF('TL01'!$B$3=P$3,SUMIF('TL01'!$C$10:$C$224,$C123,'TL01'!$J$10:$J$224),0),
IF('TL01'!$B$229=P$3,SUMIF('TL01'!$C$238:$C$451,$C123,'TL01'!$J$238:$J$451),0),
IF('TL02'!$B$3=P$3,SUMIF('TL02'!$C$10:$C$224,$C123,'TL02'!$J$10:$J$224),0),
IF('TL02'!$B$229=P$3,SUMIF('TL02'!$C$238:$C$451,$C123,'TL02'!$J$238:$J$451),0),
IF('TL03'!$B$3=P$3,SUMIF('TL03'!$C$10:$C$224,$C123,'TL03'!$J$10:$J$224),0),
IF('TL03'!$B$229=P$3,SUMIF('TL03'!$C$238:$C$451,$C123,'TL03'!$J$238:$J$451),0),
IF('TL04'!$B$3=P$3,SUMIF('TL04'!$C$10:$C$224,$C123,'TL04'!$J$10:$J$224),0),
IF('TL04'!$B$229=P$3,SUMIF('TL04'!$C$238:$C$451,$C123,'TL04'!$J$238:$J$451),0),
IF('TL05'!$B$3=P$3,SUMIF('TL05'!$C$10:$C$224,$C123,'TL05'!$J$10:$J$224),0),
IF('TL05'!$B$229=P$3,SUMIF('TL05'!$C$238:$C$451,$C123,'TL05'!$J$238:$J$451),0),
IF('TL06'!$B$3=P$3,SUMIF('TL06'!$C$10:$C$224,$C123,'TL06'!$J$10:$J$224),0),
IF('TL06'!$B$229=P$3,SUMIF('TL06'!$C$238:$C$451,$C123,'TL06'!$J$238:$J$451),0),
IF('TL07'!$B$3=P$3,SUMIF('TL07'!$C$10:$C$224,$C123,'TL07'!$J$10:$J$224),0),
IF('TL07'!$B$229=P$3,SUMIF('TL07'!$C$238:$C$451,$C123,'TL07'!$J$238:$J$451),0),
IF('TL08'!$B$3=P$3,SUMIF('TL08'!$C$10:$C$224,$C123,'TL08'!$J$10:$J$224),0),
IF('TL08'!$B$229=P$3,SUMIF('TL08'!$C$238:$C$451,$C123,'TL08'!$J$238:$J$451),0),
IF('TL09'!$B$3=P$3,SUMIF('TL09'!$C$10:$C$224,$C123,'TL09'!$J$10:$J$224),0),
IF('TL09'!$B$229=P$3,SUMIF('TL09'!$C$238:$C$451,$C123,'TL09'!$J$238:$J$451),0),
IF('TL10'!$B$3=P$3,SUMIF('TL10'!$C$10:$C$224,$C123,'TL10'!$J$10:$J$224),0),
IF('TL10'!$B$229=P$3,SUMIF('TL10'!$C$238:$C$451,$C123,'TL10'!$J$238:$J$451),0),
IF('TL11'!$B$3=P$3,SUMIF('TL11'!$C$10:$C$224,$C123,'TL11'!$J$10:$J$224),0),
IF('TL11'!$B$229=P$3,SUMIF('TL11'!$C$238:$C$451,$C123,'TL11'!$J$238:$J$451),0),
IF('TL12'!$B$3=P$3,SUMIF('TL12'!$C$10:$C$224,$C123,'TL12'!$J$10:$J$224),0),
IF('TL12'!$B$229=P$3,SUMIF('TL12'!$C$238:$C$451,$C123,'TL12'!$J$238:$J$451),0),
IF('TL13'!$B$3=P$3,SUMIF('TL13'!$C$10:$C$224,$C123,'TL13'!$J$10:$J$224),0),
IF('TL13'!$B$229=P$3,SUMIF('TL13'!$C$238:$C$451,$C123,'TL13'!$J$238:$J$451),0),
IF('TL14'!$B$3=P$3,SUMIF('TL14'!$C$10:$C$224,$C123,'TL14'!$J$10:$J$224),0),
IF('TL14'!$B$229=P$3,SUMIF('TL14'!$C$238:$C$451,$C123,'TL14'!$J$238:$J$451),0),
IF('TL15'!$B$3=P$3,SUMIF('TL15'!$C$10:$C$224,$C123,'TL15'!$J$10:$J$224),0),
IF('TL15'!$B$229=P$3,SUMIF('TL15'!$C$238:$C$451,$C123,'TL15'!$J$238:$J$451),0),
IF('TL16'!$B$3=P$3,SUMIF('TL16'!$C$10:$C$224,$C123,'TL16'!$J$10:$J$224),0),
IF('TL16'!$B$229=P$3,SUMIF('TL16'!$C$238:$C$451,$C123,'TL16'!$J$238:$J$451),0),
IF('TL17'!$B$3=P$3,SUMIF('TL17'!$C$10:$C$224,$C123,'TL17'!$J$10:$J$224),0),
IF('TL17'!$B$229=P$3,SUMIF('TL17'!$C$238:$C$451,$C123,'TL17'!$J$238:$J$451),0),
IF('TL18'!$B$3=P$3,SUMIF('TL18'!$C$10:$C$224,$C123,'TL18'!$J$10:$J$224),0),
IF('TL18'!$B$229=P$3,SUMIF('TL18'!$C$238:$C$451,$C123,'TL18'!$J$238:$J$451),0),
IF('TL19'!$B$3=P$3,SUMIF('TL19'!$C$10:$C$224,$C123,'TL19'!$J$10:$J$224),0),
IF('TL19'!$B$229=P$3,SUMIF('TL19'!$C$238:$C$451,$C123,'TL19'!$J$238:$J$451),0)
),0)</f>
        <v/>
      </c>
      <c r="Q123" s="9">
        <f>IFERROR(SUM(
IF('TL01'!$B$3=Q$3,SUMIF('TL01'!$C$10:$C$224,$C123,'TL01'!$J$10:$J$224),0),
IF('TL01'!$B$229=Q$3,SUMIF('TL01'!$C$238:$C$451,$C123,'TL01'!$J$238:$J$451),0),
IF('TL02'!$B$3=Q$3,SUMIF('TL02'!$C$10:$C$224,$C123,'TL02'!$J$10:$J$224),0),
IF('TL02'!$B$229=Q$3,SUMIF('TL02'!$C$238:$C$451,$C123,'TL02'!$J$238:$J$451),0),
IF('TL03'!$B$3=Q$3,SUMIF('TL03'!$C$10:$C$224,$C123,'TL03'!$J$10:$J$224),0),
IF('TL03'!$B$229=Q$3,SUMIF('TL03'!$C$238:$C$451,$C123,'TL03'!$J$238:$J$451),0),
IF('TL04'!$B$3=Q$3,SUMIF('TL04'!$C$10:$C$224,$C123,'TL04'!$J$10:$J$224),0),
IF('TL04'!$B$229=Q$3,SUMIF('TL04'!$C$238:$C$451,$C123,'TL04'!$J$238:$J$451),0),
IF('TL05'!$B$3=Q$3,SUMIF('TL05'!$C$10:$C$224,$C123,'TL05'!$J$10:$J$224),0),
IF('TL05'!$B$229=Q$3,SUMIF('TL05'!$C$238:$C$451,$C123,'TL05'!$J$238:$J$451),0),
IF('TL06'!$B$3=Q$3,SUMIF('TL06'!$C$10:$C$224,$C123,'TL06'!$J$10:$J$224),0),
IF('TL06'!$B$229=Q$3,SUMIF('TL06'!$C$238:$C$451,$C123,'TL06'!$J$238:$J$451),0),
IF('TL07'!$B$3=Q$3,SUMIF('TL07'!$C$10:$C$224,$C123,'TL07'!$J$10:$J$224),0),
IF('TL07'!$B$229=Q$3,SUMIF('TL07'!$C$238:$C$451,$C123,'TL07'!$J$238:$J$451),0),
IF('TL08'!$B$3=Q$3,SUMIF('TL08'!$C$10:$C$224,$C123,'TL08'!$J$10:$J$224),0),
IF('TL08'!$B$229=Q$3,SUMIF('TL08'!$C$238:$C$451,$C123,'TL08'!$J$238:$J$451),0),
IF('TL09'!$B$3=Q$3,SUMIF('TL09'!$C$10:$C$224,$C123,'TL09'!$J$10:$J$224),0),
IF('TL09'!$B$229=Q$3,SUMIF('TL09'!$C$238:$C$451,$C123,'TL09'!$J$238:$J$451),0),
IF('TL10'!$B$3=Q$3,SUMIF('TL10'!$C$10:$C$224,$C123,'TL10'!$J$10:$J$224),0),
IF('TL10'!$B$229=Q$3,SUMIF('TL10'!$C$238:$C$451,$C123,'TL10'!$J$238:$J$451),0),
IF('TL11'!$B$3=Q$3,SUMIF('TL11'!$C$10:$C$224,$C123,'TL11'!$J$10:$J$224),0),
IF('TL11'!$B$229=Q$3,SUMIF('TL11'!$C$238:$C$451,$C123,'TL11'!$J$238:$J$451),0),
IF('TL12'!$B$3=Q$3,SUMIF('TL12'!$C$10:$C$224,$C123,'TL12'!$J$10:$J$224),0),
IF('TL12'!$B$229=Q$3,SUMIF('TL12'!$C$238:$C$451,$C123,'TL12'!$J$238:$J$451),0),
IF('TL13'!$B$3=Q$3,SUMIF('TL13'!$C$10:$C$224,$C123,'TL13'!$J$10:$J$224),0),
IF('TL13'!$B$229=Q$3,SUMIF('TL13'!$C$238:$C$451,$C123,'TL13'!$J$238:$J$451),0),
IF('TL14'!$B$3=Q$3,SUMIF('TL14'!$C$10:$C$224,$C123,'TL14'!$J$10:$J$224),0),
IF('TL14'!$B$229=Q$3,SUMIF('TL14'!$C$238:$C$451,$C123,'TL14'!$J$238:$J$451),0),
IF('TL15'!$B$3=Q$3,SUMIF('TL15'!$C$10:$C$224,$C123,'TL15'!$J$10:$J$224),0),
IF('TL15'!$B$229=Q$3,SUMIF('TL15'!$C$238:$C$451,$C123,'TL15'!$J$238:$J$451),0),
IF('TL16'!$B$3=Q$3,SUMIF('TL16'!$C$10:$C$224,$C123,'TL16'!$J$10:$J$224),0),
IF('TL16'!$B$229=Q$3,SUMIF('TL16'!$C$238:$C$451,$C123,'TL16'!$J$238:$J$451),0),
IF('TL17'!$B$3=Q$3,SUMIF('TL17'!$C$10:$C$224,$C123,'TL17'!$J$10:$J$224),0),
IF('TL17'!$B$229=Q$3,SUMIF('TL17'!$C$238:$C$451,$C123,'TL17'!$J$238:$J$451),0),
IF('TL18'!$B$3=Q$3,SUMIF('TL18'!$C$10:$C$224,$C123,'TL18'!$J$10:$J$224),0),
IF('TL18'!$B$229=Q$3,SUMIF('TL18'!$C$238:$C$451,$C123,'TL18'!$J$238:$J$451),0),
IF('TL19'!$B$3=Q$3,SUMIF('TL19'!$C$10:$C$224,$C123,'TL19'!$J$10:$J$224),0),
IF('TL19'!$B$229=Q$3,SUMIF('TL19'!$C$238:$C$451,$C123,'TL19'!$J$238:$J$451),0)
),0)</f>
        <v/>
      </c>
      <c r="R123" s="9">
        <f>IFERROR(
SUM(
SUMIF('TL01'!C:C,C123,'TL01'!J:J),
SUMIF('TL02'!C:C,C123,'TL02'!J:J),
SUMIF('TL03'!C:C,C123,'TL03'!J:J),
SUMIF('TL04'!C:C,C123,'TL04'!J:J),
SUMIF('TL05'!C:C,C123,'TL05'!J:J),
SUMIF('TL06'!C:C,C123,'TL06'!J:J),
SUMIF('TL07'!C:C,C123,'TL07'!J:J),
SUMIF('TL08'!C:C,C123,'TL08'!J:J),
SUMIF('TL09'!C:C,C123,'TL09'!J:J),
SUMIF('TL10'!C:C,C123,'TL10'!J:J),
SUMIF('TL11'!C:C,C123,'TL11'!J:J),
SUMIF('TL12'!C:C,C123,'TL12'!J:J),
SUMIF('TL13'!C:C,C123,'TL13'!J:J),
SUMIF('TL14'!C:C,C123,'TL14'!J:J),
SUMIF('TL15'!C:C,C123,'TL15'!J:J),
SUMIF('TL16'!C:C,C123,'TL16'!J:J),
SUMIF('TL17'!C:C,C123,'TL17'!J:J),
SUMIF('TL18'!C:C,C123,'TL18'!J:J),SUMIF('TL19'!C:C,C123,'TL19'!J:J))
,0)</f>
        <v/>
      </c>
      <c r="S123" s="17">
        <f>IFERROR(__xludf.DUMMYFUNCTION("IFERROR(VLOOKUP(C123,
IMPORTRANGE(""1wULbzX32WdYsx-lj2U3uUNBBe2INVIRDtcK0d-Dvl90"",
""26-27!C:G""),
5,
FALSE),
"""")"),14.649679999999998)</f>
        <v/>
      </c>
      <c r="T123" s="9" t="n"/>
      <c r="U123" s="92">
        <f>MAX(0,R123-T123)</f>
        <v/>
      </c>
      <c r="V123" s="93">
        <f>U123*S123</f>
        <v/>
      </c>
    </row>
    <row r="124" hidden="1" ht="15.75" customHeight="1" s="297">
      <c r="A124" s="115" t="inlineStr">
        <is>
          <t>CCAB</t>
        </is>
      </c>
      <c r="B124" s="100" t="inlineStr">
        <is>
          <t>HERBICIDA</t>
        </is>
      </c>
      <c r="C124" s="116" t="inlineStr">
        <is>
          <t>MESOTRIONA CCAB 480 SC</t>
        </is>
      </c>
      <c r="D124" s="116" t="inlineStr">
        <is>
          <t>MESOTRIONA</t>
        </is>
      </c>
      <c r="E124" s="116" t="n">
        <v>480</v>
      </c>
      <c r="F124" s="4" t="inlineStr">
        <is>
          <t>L</t>
        </is>
      </c>
      <c r="G124" s="90">
        <f>HYPERLINK("https://www.google.com/search?q=" &amp; C124 &amp; "+bula+agrofit+pdf", "📄 Ver bula")</f>
        <v/>
      </c>
      <c r="H124" s="9">
        <f>IFERROR(__xludf.DUMMYFUNCTION("IFERROR(VLOOKUP(C124,
IMPORTRANGE(""1wULbzX32WdYsx-lj2U3uUNBBe2INVIRDtcK0d-Dvl90"",
""26-27!C:K""),
8,
FALSE),
"""")"),"")</f>
        <v/>
      </c>
      <c r="I124" s="117" t="inlineStr">
        <is>
          <t>1x20</t>
        </is>
      </c>
      <c r="J124" s="9">
        <f>IFERROR(SUM(
IF('TL01'!$B$3=J$3,SUMIF('TL01'!$C$10:$C$224,$C124,'TL01'!$J$10:$J$224),0),
IF('TL01'!$B$229=J$3,SUMIF('TL01'!$C$238:$C$451,$C124,'TL01'!$J$238:$J$451),0),
IF('TL02'!$B$3=J$3,SUMIF('TL02'!$C$10:$C$224,$C124,'TL02'!$J$10:$J$224),0),
IF('TL02'!$B$229=J$3,SUMIF('TL02'!$C$238:$C$451,$C124,'TL02'!$J$238:$J$451),0),
IF('TL03'!$B$3=J$3,SUMIF('TL03'!$C$10:$C$224,$C124,'TL03'!$J$10:$J$224),0),
IF('TL03'!$B$229=J$3,SUMIF('TL03'!$C$238:$C$451,$C124,'TL03'!$J$238:$J$451),0),
IF('TL04'!$B$3=J$3,SUMIF('TL04'!$C$10:$C$224,$C124,'TL04'!$J$10:$J$224),0),
IF('TL04'!$B$229=J$3,SUMIF('TL04'!$C$238:$C$451,$C124,'TL04'!$J$238:$J$451),0),
IF('TL05'!$B$3=J$3,SUMIF('TL05'!$C$10:$C$224,$C124,'TL05'!$J$10:$J$224),0),
IF('TL05'!$B$229=J$3,SUMIF('TL05'!$C$238:$C$451,$C124,'TL05'!$J$238:$J$451),0),
IF('TL06'!$B$3=J$3,SUMIF('TL06'!$C$10:$C$224,$C124,'TL06'!$J$10:$J$224),0),
IF('TL06'!$B$229=J$3,SUMIF('TL06'!$C$238:$C$451,$C124,'TL06'!$J$238:$J$451),0),
IF('TL07'!$B$3=J$3,SUMIF('TL07'!$C$10:$C$224,$C124,'TL07'!$J$10:$J$224),0),
IF('TL07'!$B$229=J$3,SUMIF('TL07'!$C$238:$C$451,$C124,'TL07'!$J$238:$J$451),0),
IF('TL08'!$B$3=J$3,SUMIF('TL08'!$C$10:$C$224,$C124,'TL08'!$J$10:$J$224),0),
IF('TL08'!$B$229=J$3,SUMIF('TL08'!$C$238:$C$451,$C124,'TL08'!$J$238:$J$451),0),
IF('TL09'!$B$3=J$3,SUMIF('TL09'!$C$10:$C$224,$C124,'TL09'!$J$10:$J$224),0),
IF('TL09'!$B$229=J$3,SUMIF('TL09'!$C$238:$C$451,$C124,'TL09'!$J$238:$J$451),0),
IF('TL10'!$B$3=J$3,SUMIF('TL10'!$C$10:$C$224,$C124,'TL10'!$J$10:$J$224),0),
IF('TL10'!$B$229=J$3,SUMIF('TL10'!$C$238:$C$451,$C124,'TL10'!$J$238:$J$451),0),
IF('TL11'!$B$3=J$3,SUMIF('TL11'!$C$10:$C$224,$C124,'TL11'!$J$10:$J$224),0),
IF('TL11'!$B$229=J$3,SUMIF('TL11'!$C$238:$C$451,$C124,'TL11'!$J$238:$J$451),0),
IF('TL12'!$B$3=J$3,SUMIF('TL12'!$C$10:$C$224,$C124,'TL12'!$J$10:$J$224),0),
IF('TL12'!$B$229=J$3,SUMIF('TL12'!$C$238:$C$451,$C124,'TL12'!$J$238:$J$451),0),
IF('TL13'!$B$3=J$3,SUMIF('TL13'!$C$10:$C$224,$C124,'TL13'!$J$10:$J$224),0),
IF('TL13'!$B$229=J$3,SUMIF('TL13'!$C$238:$C$451,$C124,'TL13'!$J$238:$J$451),0),
IF('TL14'!$B$3=J$3,SUMIF('TL14'!$C$10:$C$224,$C124,'TL14'!$J$10:$J$224),0),
IF('TL14'!$B$229=J$3,SUMIF('TL14'!$C$238:$C$451,$C124,'TL14'!$J$238:$J$451),0),
IF('TL15'!$B$3=J$3,SUMIF('TL15'!$C$10:$C$224,$C124,'TL15'!$J$10:$J$224),0),
IF('TL15'!$B$229=J$3,SUMIF('TL15'!$C$238:$C$451,$C124,'TL15'!$J$238:$J$451),0),
IF('TL16'!$B$3=J$3,SUMIF('TL16'!$C$10:$C$224,$C124,'TL16'!$J$10:$J$224),0),
IF('TL16'!$B$229=J$3,SUMIF('TL16'!$C$238:$C$451,$C124,'TL16'!$J$238:$J$451),0),
IF('TL17'!$B$3=J$3,SUMIF('TL17'!$C$10:$C$224,$C124,'TL17'!$J$10:$J$224),0),
IF('TL17'!$B$229=J$3,SUMIF('TL17'!$C$238:$C$451,$C124,'TL17'!$J$238:$J$451),0),
IF('TL18'!$B$3=J$3,SUMIF('TL18'!$C$10:$C$224,$C124,'TL18'!$J$10:$J$224),0),
IF('TL18'!$B$229=J$3,SUMIF('TL18'!$C$238:$C$451,$C124,'TL18'!$J$238:$J$451),0),
IF('TL19'!$B$3=J$3,SUMIF('TL19'!$C$10:$C$224,$C124,'TL19'!$J$10:$J$224),0),
IF('TL19'!$B$229=J$3,SUMIF('TL19'!$C$238:$C$451,$C124,'TL19'!$J$238:$J$451),0)
),0)</f>
        <v/>
      </c>
      <c r="K124" s="9">
        <f>IFERROR(SUM(
IF('TL01'!$B$3=K$3,SUMIF('TL01'!$C$10:$C$224,$C124,'TL01'!$J$10:$J$224),0),
IF('TL01'!$B$229=K$3,SUMIF('TL01'!$C$238:$C$451,$C124,'TL01'!$J$238:$J$451),0),
IF('TL02'!$B$3=K$3,SUMIF('TL02'!$C$10:$C$224,$C124,'TL02'!$J$10:$J$224),0),
IF('TL02'!$B$229=K$3,SUMIF('TL02'!$C$238:$C$451,$C124,'TL02'!$J$238:$J$451),0),
IF('TL03'!$B$3=K$3,SUMIF('TL03'!$C$10:$C$224,$C124,'TL03'!$J$10:$J$224),0),
IF('TL03'!$B$229=K$3,SUMIF('TL03'!$C$238:$C$451,$C124,'TL03'!$J$238:$J$451),0),
IF('TL04'!$B$3=K$3,SUMIF('TL04'!$C$10:$C$224,$C124,'TL04'!$J$10:$J$224),0),
IF('TL04'!$B$229=K$3,SUMIF('TL04'!$C$238:$C$451,$C124,'TL04'!$J$238:$J$451),0),
IF('TL05'!$B$3=K$3,SUMIF('TL05'!$C$10:$C$224,$C124,'TL05'!$J$10:$J$224),0),
IF('TL05'!$B$229=K$3,SUMIF('TL05'!$C$238:$C$451,$C124,'TL05'!$J$238:$J$451),0),
IF('TL06'!$B$3=K$3,SUMIF('TL06'!$C$10:$C$224,$C124,'TL06'!$J$10:$J$224),0),
IF('TL06'!$B$229=K$3,SUMIF('TL06'!$C$238:$C$451,$C124,'TL06'!$J$238:$J$451),0),
IF('TL07'!$B$3=K$3,SUMIF('TL07'!$C$10:$C$224,$C124,'TL07'!$J$10:$J$224),0),
IF('TL07'!$B$229=K$3,SUMIF('TL07'!$C$238:$C$451,$C124,'TL07'!$J$238:$J$451),0),
IF('TL08'!$B$3=K$3,SUMIF('TL08'!$C$10:$C$224,$C124,'TL08'!$J$10:$J$224),0),
IF('TL08'!$B$229=K$3,SUMIF('TL08'!$C$238:$C$451,$C124,'TL08'!$J$238:$J$451),0),
IF('TL09'!$B$3=K$3,SUMIF('TL09'!$C$10:$C$224,$C124,'TL09'!$J$10:$J$224),0),
IF('TL09'!$B$229=K$3,SUMIF('TL09'!$C$238:$C$451,$C124,'TL09'!$J$238:$J$451),0),
IF('TL10'!$B$3=K$3,SUMIF('TL10'!$C$10:$C$224,$C124,'TL10'!$J$10:$J$224),0),
IF('TL10'!$B$229=K$3,SUMIF('TL10'!$C$238:$C$451,$C124,'TL10'!$J$238:$J$451),0),
IF('TL11'!$B$3=K$3,SUMIF('TL11'!$C$10:$C$224,$C124,'TL11'!$J$10:$J$224),0),
IF('TL11'!$B$229=K$3,SUMIF('TL11'!$C$238:$C$451,$C124,'TL11'!$J$238:$J$451),0),
IF('TL12'!$B$3=K$3,SUMIF('TL12'!$C$10:$C$224,$C124,'TL12'!$J$10:$J$224),0),
IF('TL12'!$B$229=K$3,SUMIF('TL12'!$C$238:$C$451,$C124,'TL12'!$J$238:$J$451),0),
IF('TL13'!$B$3=K$3,SUMIF('TL13'!$C$10:$C$224,$C124,'TL13'!$J$10:$J$224),0),
IF('TL13'!$B$229=K$3,SUMIF('TL13'!$C$238:$C$451,$C124,'TL13'!$J$238:$J$451),0),
IF('TL14'!$B$3=K$3,SUMIF('TL14'!$C$10:$C$224,$C124,'TL14'!$J$10:$J$224),0),
IF('TL14'!$B$229=K$3,SUMIF('TL14'!$C$238:$C$451,$C124,'TL14'!$J$238:$J$451),0),
IF('TL15'!$B$3=K$3,SUMIF('TL15'!$C$10:$C$224,$C124,'TL15'!$J$10:$J$224),0),
IF('TL15'!$B$229=K$3,SUMIF('TL15'!$C$238:$C$451,$C124,'TL15'!$J$238:$J$451),0),
IF('TL16'!$B$3=K$3,SUMIF('TL16'!$C$10:$C$224,$C124,'TL16'!$J$10:$J$224),0),
IF('TL16'!$B$229=K$3,SUMIF('TL16'!$C$238:$C$451,$C124,'TL16'!$J$238:$J$451),0),
IF('TL17'!$B$3=K$3,SUMIF('TL17'!$C$10:$C$224,$C124,'TL17'!$J$10:$J$224),0),
IF('TL17'!$B$229=K$3,SUMIF('TL17'!$C$238:$C$451,$C124,'TL17'!$J$238:$J$451),0),
IF('TL18'!$B$3=K$3,SUMIF('TL18'!$C$10:$C$224,$C124,'TL18'!$J$10:$J$224),0),
IF('TL18'!$B$229=K$3,SUMIF('TL18'!$C$238:$C$451,$C124,'TL18'!$J$238:$J$451),0),
IF('TL19'!$B$3=K$3,SUMIF('TL19'!$C$10:$C$224,$C124,'TL19'!$J$10:$J$224),0),
IF('TL19'!$B$229=K$3,SUMIF('TL19'!$C$238:$C$451,$C124,'TL19'!$J$238:$J$451),0)
),0)</f>
        <v/>
      </c>
      <c r="L124" s="9">
        <f>IFERROR(SUM(
IF('TL01'!$B$3=L$3,SUMIF('TL01'!$C$10:$C$224,$C124,'TL01'!$J$10:$J$224),0),
IF('TL01'!$B$229=L$3,SUMIF('TL01'!$C$238:$C$451,$C124,'TL01'!$J$238:$J$451),0),
IF('TL02'!$B$3=L$3,SUMIF('TL02'!$C$10:$C$224,$C124,'TL02'!$J$10:$J$224),0),
IF('TL02'!$B$229=L$3,SUMIF('TL02'!$C$238:$C$451,$C124,'TL02'!$J$238:$J$451),0),
IF('TL03'!$B$3=L$3,SUMIF('TL03'!$C$10:$C$224,$C124,'TL03'!$J$10:$J$224),0),
IF('TL03'!$B$229=L$3,SUMIF('TL03'!$C$238:$C$451,$C124,'TL03'!$J$238:$J$451),0),
IF('TL04'!$B$3=L$3,SUMIF('TL04'!$C$10:$C$224,$C124,'TL04'!$J$10:$J$224),0),
IF('TL04'!$B$229=L$3,SUMIF('TL04'!$C$238:$C$451,$C124,'TL04'!$J$238:$J$451),0),
IF('TL05'!$B$3=L$3,SUMIF('TL05'!$C$10:$C$224,$C124,'TL05'!$J$10:$J$224),0),
IF('TL05'!$B$229=L$3,SUMIF('TL05'!$C$238:$C$451,$C124,'TL05'!$J$238:$J$451),0),
IF('TL06'!$B$3=L$3,SUMIF('TL06'!$C$10:$C$224,$C124,'TL06'!$J$10:$J$224),0),
IF('TL06'!$B$229=L$3,SUMIF('TL06'!$C$238:$C$451,$C124,'TL06'!$J$238:$J$451),0),
IF('TL07'!$B$3=L$3,SUMIF('TL07'!$C$10:$C$224,$C124,'TL07'!$J$10:$J$224),0),
IF('TL07'!$B$229=L$3,SUMIF('TL07'!$C$238:$C$451,$C124,'TL07'!$J$238:$J$451),0),
IF('TL08'!$B$3=L$3,SUMIF('TL08'!$C$10:$C$224,$C124,'TL08'!$J$10:$J$224),0),
IF('TL08'!$B$229=L$3,SUMIF('TL08'!$C$238:$C$451,$C124,'TL08'!$J$238:$J$451),0),
IF('TL09'!$B$3=L$3,SUMIF('TL09'!$C$10:$C$224,$C124,'TL09'!$J$10:$J$224),0),
IF('TL09'!$B$229=L$3,SUMIF('TL09'!$C$238:$C$451,$C124,'TL09'!$J$238:$J$451),0),
IF('TL10'!$B$3=L$3,SUMIF('TL10'!$C$10:$C$224,$C124,'TL10'!$J$10:$J$224),0),
IF('TL10'!$B$229=L$3,SUMIF('TL10'!$C$238:$C$451,$C124,'TL10'!$J$238:$J$451),0),
IF('TL11'!$B$3=L$3,SUMIF('TL11'!$C$10:$C$224,$C124,'TL11'!$J$10:$J$224),0),
IF('TL11'!$B$229=L$3,SUMIF('TL11'!$C$238:$C$451,$C124,'TL11'!$J$238:$J$451),0),
IF('TL12'!$B$3=L$3,SUMIF('TL12'!$C$10:$C$224,$C124,'TL12'!$J$10:$J$224),0),
IF('TL12'!$B$229=L$3,SUMIF('TL12'!$C$238:$C$451,$C124,'TL12'!$J$238:$J$451),0),
IF('TL13'!$B$3=L$3,SUMIF('TL13'!$C$10:$C$224,$C124,'TL13'!$J$10:$J$224),0),
IF('TL13'!$B$229=L$3,SUMIF('TL13'!$C$238:$C$451,$C124,'TL13'!$J$238:$J$451),0),
IF('TL14'!$B$3=L$3,SUMIF('TL14'!$C$10:$C$224,$C124,'TL14'!$J$10:$J$224),0),
IF('TL14'!$B$229=L$3,SUMIF('TL14'!$C$238:$C$451,$C124,'TL14'!$J$238:$J$451),0),
IF('TL15'!$B$3=L$3,SUMIF('TL15'!$C$10:$C$224,$C124,'TL15'!$J$10:$J$224),0),
IF('TL15'!$B$229=L$3,SUMIF('TL15'!$C$238:$C$451,$C124,'TL15'!$J$238:$J$451),0),
IF('TL16'!$B$3=L$3,SUMIF('TL16'!$C$10:$C$224,$C124,'TL16'!$J$10:$J$224),0),
IF('TL16'!$B$229=L$3,SUMIF('TL16'!$C$238:$C$451,$C124,'TL16'!$J$238:$J$451),0),
IF('TL17'!$B$3=L$3,SUMIF('TL17'!$C$10:$C$224,$C124,'TL17'!$J$10:$J$224),0),
IF('TL17'!$B$229=L$3,SUMIF('TL17'!$C$238:$C$451,$C124,'TL17'!$J$238:$J$451),0),
IF('TL18'!$B$3=L$3,SUMIF('TL18'!$C$10:$C$224,$C124,'TL18'!$J$10:$J$224),0),
IF('TL18'!$B$229=L$3,SUMIF('TL18'!$C$238:$C$451,$C124,'TL18'!$J$238:$J$451),0),
IF('TL19'!$B$3=L$3,SUMIF('TL19'!$C$10:$C$224,$C124,'TL19'!$J$10:$J$224),0),
IF('TL19'!$B$229=L$3,SUMIF('TL19'!$C$238:$C$451,$C124,'TL19'!$J$238:$J$451),0)
),0)</f>
        <v/>
      </c>
      <c r="M124" s="9">
        <f>IFERROR(SUM(
IF('TL01'!$B$3=M$3,SUMIF('TL01'!$C$10:$C$224,$C124,'TL01'!$J$10:$J$224),0),
IF('TL01'!$B$229=M$3,SUMIF('TL01'!$C$238:$C$451,$C124,'TL01'!$J$238:$J$451),0),
IF('TL02'!$B$3=M$3,SUMIF('TL02'!$C$10:$C$224,$C124,'TL02'!$J$10:$J$224),0),
IF('TL02'!$B$229=M$3,SUMIF('TL02'!$C$238:$C$451,$C124,'TL02'!$J$238:$J$451),0),
IF('TL03'!$B$3=M$3,SUMIF('TL03'!$C$10:$C$224,$C124,'TL03'!$J$10:$J$224),0),
IF('TL03'!$B$229=M$3,SUMIF('TL03'!$C$238:$C$451,$C124,'TL03'!$J$238:$J$451),0),
IF('TL04'!$B$3=M$3,SUMIF('TL04'!$C$10:$C$224,$C124,'TL04'!$J$10:$J$224),0),
IF('TL04'!$B$229=M$3,SUMIF('TL04'!$C$238:$C$451,$C124,'TL04'!$J$238:$J$451),0),
IF('TL05'!$B$3=M$3,SUMIF('TL05'!$C$10:$C$224,$C124,'TL05'!$J$10:$J$224),0),
IF('TL05'!$B$229=M$3,SUMIF('TL05'!$C$238:$C$451,$C124,'TL05'!$J$238:$J$451),0),
IF('TL06'!$B$3=M$3,SUMIF('TL06'!$C$10:$C$224,$C124,'TL06'!$J$10:$J$224),0),
IF('TL06'!$B$229=M$3,SUMIF('TL06'!$C$238:$C$451,$C124,'TL06'!$J$238:$J$451),0),
IF('TL07'!$B$3=M$3,SUMIF('TL07'!$C$10:$C$224,$C124,'TL07'!$J$10:$J$224),0),
IF('TL07'!$B$229=M$3,SUMIF('TL07'!$C$238:$C$451,$C124,'TL07'!$J$238:$J$451),0),
IF('TL08'!$B$3=M$3,SUMIF('TL08'!$C$10:$C$224,$C124,'TL08'!$J$10:$J$224),0),
IF('TL08'!$B$229=M$3,SUMIF('TL08'!$C$238:$C$451,$C124,'TL08'!$J$238:$J$451),0),
IF('TL09'!$B$3=M$3,SUMIF('TL09'!$C$10:$C$224,$C124,'TL09'!$J$10:$J$224),0),
IF('TL09'!$B$229=M$3,SUMIF('TL09'!$C$238:$C$451,$C124,'TL09'!$J$238:$J$451),0),
IF('TL10'!$B$3=M$3,SUMIF('TL10'!$C$10:$C$224,$C124,'TL10'!$J$10:$J$224),0),
IF('TL10'!$B$229=M$3,SUMIF('TL10'!$C$238:$C$451,$C124,'TL10'!$J$238:$J$451),0),
IF('TL11'!$B$3=M$3,SUMIF('TL11'!$C$10:$C$224,$C124,'TL11'!$J$10:$J$224),0),
IF('TL11'!$B$229=M$3,SUMIF('TL11'!$C$238:$C$451,$C124,'TL11'!$J$238:$J$451),0),
IF('TL12'!$B$3=M$3,SUMIF('TL12'!$C$10:$C$224,$C124,'TL12'!$J$10:$J$224),0),
IF('TL12'!$B$229=M$3,SUMIF('TL12'!$C$238:$C$451,$C124,'TL12'!$J$238:$J$451),0),
IF('TL13'!$B$3=M$3,SUMIF('TL13'!$C$10:$C$224,$C124,'TL13'!$J$10:$J$224),0),
IF('TL13'!$B$229=M$3,SUMIF('TL13'!$C$238:$C$451,$C124,'TL13'!$J$238:$J$451),0),
IF('TL14'!$B$3=M$3,SUMIF('TL14'!$C$10:$C$224,$C124,'TL14'!$J$10:$J$224),0),
IF('TL14'!$B$229=M$3,SUMIF('TL14'!$C$238:$C$451,$C124,'TL14'!$J$238:$J$451),0),
IF('TL15'!$B$3=M$3,SUMIF('TL15'!$C$10:$C$224,$C124,'TL15'!$J$10:$J$224),0),
IF('TL15'!$B$229=M$3,SUMIF('TL15'!$C$238:$C$451,$C124,'TL15'!$J$238:$J$451),0),
IF('TL16'!$B$3=M$3,SUMIF('TL16'!$C$10:$C$224,$C124,'TL16'!$J$10:$J$224),0),
IF('TL16'!$B$229=M$3,SUMIF('TL16'!$C$238:$C$451,$C124,'TL16'!$J$238:$J$451),0),
IF('TL17'!$B$3=M$3,SUMIF('TL17'!$C$10:$C$224,$C124,'TL17'!$J$10:$J$224),0),
IF('TL17'!$B$229=M$3,SUMIF('TL17'!$C$238:$C$451,$C124,'TL17'!$J$238:$J$451),0),
IF('TL18'!$B$3=M$3,SUMIF('TL18'!$C$10:$C$224,$C124,'TL18'!$J$10:$J$224),0),
IF('TL18'!$B$229=M$3,SUMIF('TL18'!$C$238:$C$451,$C124,'TL18'!$J$238:$J$451),0),
IF('TL19'!$B$3=M$3,SUMIF('TL19'!$C$10:$C$224,$C124,'TL19'!$J$10:$J$224),0),
IF('TL19'!$B$229=M$3,SUMIF('TL19'!$C$238:$C$451,$C124,'TL19'!$J$238:$J$451),0)
),0)</f>
        <v/>
      </c>
      <c r="N124" s="9">
        <f>IFERROR(SUM(
IF('TL01'!$B$3=N$3,SUMIF('TL01'!$C$10:$C$224,$C124,'TL01'!$J$10:$J$224),0),
IF('TL01'!$B$229=N$3,SUMIF('TL01'!$C$238:$C$451,$C124,'TL01'!$J$238:$J$451),0),
IF('TL02'!$B$3=N$3,SUMIF('TL02'!$C$10:$C$224,$C124,'TL02'!$J$10:$J$224),0),
IF('TL02'!$B$229=N$3,SUMIF('TL02'!$C$238:$C$451,$C124,'TL02'!$J$238:$J$451),0),
IF('TL03'!$B$3=N$3,SUMIF('TL03'!$C$10:$C$224,$C124,'TL03'!$J$10:$J$224),0),
IF('TL03'!$B$229=N$3,SUMIF('TL03'!$C$238:$C$451,$C124,'TL03'!$J$238:$J$451),0),
IF('TL04'!$B$3=N$3,SUMIF('TL04'!$C$10:$C$224,$C124,'TL04'!$J$10:$J$224),0),
IF('TL04'!$B$229=N$3,SUMIF('TL04'!$C$238:$C$451,$C124,'TL04'!$J$238:$J$451),0),
IF('TL05'!$B$3=N$3,SUMIF('TL05'!$C$10:$C$224,$C124,'TL05'!$J$10:$J$224),0),
IF('TL05'!$B$229=N$3,SUMIF('TL05'!$C$238:$C$451,$C124,'TL05'!$J$238:$J$451),0),
IF('TL06'!$B$3=N$3,SUMIF('TL06'!$C$10:$C$224,$C124,'TL06'!$J$10:$J$224),0),
IF('TL06'!$B$229=N$3,SUMIF('TL06'!$C$238:$C$451,$C124,'TL06'!$J$238:$J$451),0),
IF('TL07'!$B$3=N$3,SUMIF('TL07'!$C$10:$C$224,$C124,'TL07'!$J$10:$J$224),0),
IF('TL07'!$B$229=N$3,SUMIF('TL07'!$C$238:$C$451,$C124,'TL07'!$J$238:$J$451),0),
IF('TL08'!$B$3=N$3,SUMIF('TL08'!$C$10:$C$224,$C124,'TL08'!$J$10:$J$224),0),
IF('TL08'!$B$229=N$3,SUMIF('TL08'!$C$238:$C$451,$C124,'TL08'!$J$238:$J$451),0),
IF('TL09'!$B$3=N$3,SUMIF('TL09'!$C$10:$C$224,$C124,'TL09'!$J$10:$J$224),0),
IF('TL09'!$B$229=N$3,SUMIF('TL09'!$C$238:$C$451,$C124,'TL09'!$J$238:$J$451),0),
IF('TL10'!$B$3=N$3,SUMIF('TL10'!$C$10:$C$224,$C124,'TL10'!$J$10:$J$224),0),
IF('TL10'!$B$229=N$3,SUMIF('TL10'!$C$238:$C$451,$C124,'TL10'!$J$238:$J$451),0),
IF('TL11'!$B$3=N$3,SUMIF('TL11'!$C$10:$C$224,$C124,'TL11'!$J$10:$J$224),0),
IF('TL11'!$B$229=N$3,SUMIF('TL11'!$C$238:$C$451,$C124,'TL11'!$J$238:$J$451),0),
IF('TL12'!$B$3=N$3,SUMIF('TL12'!$C$10:$C$224,$C124,'TL12'!$J$10:$J$224),0),
IF('TL12'!$B$229=N$3,SUMIF('TL12'!$C$238:$C$451,$C124,'TL12'!$J$238:$J$451),0),
IF('TL13'!$B$3=N$3,SUMIF('TL13'!$C$10:$C$224,$C124,'TL13'!$J$10:$J$224),0),
IF('TL13'!$B$229=N$3,SUMIF('TL13'!$C$238:$C$451,$C124,'TL13'!$J$238:$J$451),0),
IF('TL14'!$B$3=N$3,SUMIF('TL14'!$C$10:$C$224,$C124,'TL14'!$J$10:$J$224),0),
IF('TL14'!$B$229=N$3,SUMIF('TL14'!$C$238:$C$451,$C124,'TL14'!$J$238:$J$451),0),
IF('TL15'!$B$3=N$3,SUMIF('TL15'!$C$10:$C$224,$C124,'TL15'!$J$10:$J$224),0),
IF('TL15'!$B$229=N$3,SUMIF('TL15'!$C$238:$C$451,$C124,'TL15'!$J$238:$J$451),0),
IF('TL16'!$B$3=N$3,SUMIF('TL16'!$C$10:$C$224,$C124,'TL16'!$J$10:$J$224),0),
IF('TL16'!$B$229=N$3,SUMIF('TL16'!$C$238:$C$451,$C124,'TL16'!$J$238:$J$451),0),
IF('TL17'!$B$3=N$3,SUMIF('TL17'!$C$10:$C$224,$C124,'TL17'!$J$10:$J$224),0),
IF('TL17'!$B$229=N$3,SUMIF('TL17'!$C$238:$C$451,$C124,'TL17'!$J$238:$J$451),0),
IF('TL18'!$B$3=N$3,SUMIF('TL18'!$C$10:$C$224,$C124,'TL18'!$J$10:$J$224),0),
IF('TL18'!$B$229=N$3,SUMIF('TL18'!$C$238:$C$451,$C124,'TL18'!$J$238:$J$451),0),
IF('TL19'!$B$3=N$3,SUMIF('TL19'!$C$10:$C$224,$C124,'TL19'!$J$10:$J$224),0),
IF('TL19'!$B$229=N$3,SUMIF('TL19'!$C$238:$C$451,$C124,'TL19'!$J$238:$J$451),0)
),0)</f>
        <v/>
      </c>
      <c r="O124" s="9">
        <f>IFERROR(SUM(
IF('TL01'!$B$3=O$3,SUMIF('TL01'!$C$10:$C$224,$C124,'TL01'!$J$10:$J$224),0),
IF('TL01'!$B$229=O$3,SUMIF('TL01'!$C$238:$C$451,$C124,'TL01'!$J$238:$J$451),0),
IF('TL02'!$B$3=O$3,SUMIF('TL02'!$C$10:$C$224,$C124,'TL02'!$J$10:$J$224),0),
IF('TL02'!$B$229=O$3,SUMIF('TL02'!$C$238:$C$451,$C124,'TL02'!$J$238:$J$451),0),
IF('TL03'!$B$3=O$3,SUMIF('TL03'!$C$10:$C$224,$C124,'TL03'!$J$10:$J$224),0),
IF('TL03'!$B$229=O$3,SUMIF('TL03'!$C$238:$C$451,$C124,'TL03'!$J$238:$J$451),0),
IF('TL04'!$B$3=O$3,SUMIF('TL04'!$C$10:$C$224,$C124,'TL04'!$J$10:$J$224),0),
IF('TL04'!$B$229=O$3,SUMIF('TL04'!$C$238:$C$451,$C124,'TL04'!$J$238:$J$451),0),
IF('TL05'!$B$3=O$3,SUMIF('TL05'!$C$10:$C$224,$C124,'TL05'!$J$10:$J$224),0),
IF('TL05'!$B$229=O$3,SUMIF('TL05'!$C$238:$C$451,$C124,'TL05'!$J$238:$J$451),0),
IF('TL06'!$B$3=O$3,SUMIF('TL06'!$C$10:$C$224,$C124,'TL06'!$J$10:$J$224),0),
IF('TL06'!$B$229=O$3,SUMIF('TL06'!$C$238:$C$451,$C124,'TL06'!$J$238:$J$451),0),
IF('TL07'!$B$3=O$3,SUMIF('TL07'!$C$10:$C$224,$C124,'TL07'!$J$10:$J$224),0),
IF('TL07'!$B$229=O$3,SUMIF('TL07'!$C$238:$C$451,$C124,'TL07'!$J$238:$J$451),0),
IF('TL08'!$B$3=O$3,SUMIF('TL08'!$C$10:$C$224,$C124,'TL08'!$J$10:$J$224),0),
IF('TL08'!$B$229=O$3,SUMIF('TL08'!$C$238:$C$451,$C124,'TL08'!$J$238:$J$451),0),
IF('TL09'!$B$3=O$3,SUMIF('TL09'!$C$10:$C$224,$C124,'TL09'!$J$10:$J$224),0),
IF('TL09'!$B$229=O$3,SUMIF('TL09'!$C$238:$C$451,$C124,'TL09'!$J$238:$J$451),0),
IF('TL10'!$B$3=O$3,SUMIF('TL10'!$C$10:$C$224,$C124,'TL10'!$J$10:$J$224),0),
IF('TL10'!$B$229=O$3,SUMIF('TL10'!$C$238:$C$451,$C124,'TL10'!$J$238:$J$451),0),
IF('TL11'!$B$3=O$3,SUMIF('TL11'!$C$10:$C$224,$C124,'TL11'!$J$10:$J$224),0),
IF('TL11'!$B$229=O$3,SUMIF('TL11'!$C$238:$C$451,$C124,'TL11'!$J$238:$J$451),0),
IF('TL12'!$B$3=O$3,SUMIF('TL12'!$C$10:$C$224,$C124,'TL12'!$J$10:$J$224),0),
IF('TL12'!$B$229=O$3,SUMIF('TL12'!$C$238:$C$451,$C124,'TL12'!$J$238:$J$451),0),
IF('TL13'!$B$3=O$3,SUMIF('TL13'!$C$10:$C$224,$C124,'TL13'!$J$10:$J$224),0),
IF('TL13'!$B$229=O$3,SUMIF('TL13'!$C$238:$C$451,$C124,'TL13'!$J$238:$J$451),0),
IF('TL14'!$B$3=O$3,SUMIF('TL14'!$C$10:$C$224,$C124,'TL14'!$J$10:$J$224),0),
IF('TL14'!$B$229=O$3,SUMIF('TL14'!$C$238:$C$451,$C124,'TL14'!$J$238:$J$451),0),
IF('TL15'!$B$3=O$3,SUMIF('TL15'!$C$10:$C$224,$C124,'TL15'!$J$10:$J$224),0),
IF('TL15'!$B$229=O$3,SUMIF('TL15'!$C$238:$C$451,$C124,'TL15'!$J$238:$J$451),0),
IF('TL16'!$B$3=O$3,SUMIF('TL16'!$C$10:$C$224,$C124,'TL16'!$J$10:$J$224),0),
IF('TL16'!$B$229=O$3,SUMIF('TL16'!$C$238:$C$451,$C124,'TL16'!$J$238:$J$451),0),
IF('TL17'!$B$3=O$3,SUMIF('TL17'!$C$10:$C$224,$C124,'TL17'!$J$10:$J$224),0),
IF('TL17'!$B$229=O$3,SUMIF('TL17'!$C$238:$C$451,$C124,'TL17'!$J$238:$J$451),0),
IF('TL18'!$B$3=O$3,SUMIF('TL18'!$C$10:$C$224,$C124,'TL18'!$J$10:$J$224),0),
IF('TL18'!$B$229=O$3,SUMIF('TL18'!$C$238:$C$451,$C124,'TL18'!$J$238:$J$451),0),
IF('TL19'!$B$3=O$3,SUMIF('TL19'!$C$10:$C$224,$C124,'TL19'!$J$10:$J$224),0),
IF('TL19'!$B$229=O$3,SUMIF('TL19'!$C$238:$C$451,$C124,'TL19'!$J$238:$J$451),0)
),0)</f>
        <v/>
      </c>
      <c r="P124" s="9">
        <f>IFERROR(SUM(
IF('TL01'!$B$3=P$3,SUMIF('TL01'!$C$10:$C$224,$C124,'TL01'!$J$10:$J$224),0),
IF('TL01'!$B$229=P$3,SUMIF('TL01'!$C$238:$C$451,$C124,'TL01'!$J$238:$J$451),0),
IF('TL02'!$B$3=P$3,SUMIF('TL02'!$C$10:$C$224,$C124,'TL02'!$J$10:$J$224),0),
IF('TL02'!$B$229=P$3,SUMIF('TL02'!$C$238:$C$451,$C124,'TL02'!$J$238:$J$451),0),
IF('TL03'!$B$3=P$3,SUMIF('TL03'!$C$10:$C$224,$C124,'TL03'!$J$10:$J$224),0),
IF('TL03'!$B$229=P$3,SUMIF('TL03'!$C$238:$C$451,$C124,'TL03'!$J$238:$J$451),0),
IF('TL04'!$B$3=P$3,SUMIF('TL04'!$C$10:$C$224,$C124,'TL04'!$J$10:$J$224),0),
IF('TL04'!$B$229=P$3,SUMIF('TL04'!$C$238:$C$451,$C124,'TL04'!$J$238:$J$451),0),
IF('TL05'!$B$3=P$3,SUMIF('TL05'!$C$10:$C$224,$C124,'TL05'!$J$10:$J$224),0),
IF('TL05'!$B$229=P$3,SUMIF('TL05'!$C$238:$C$451,$C124,'TL05'!$J$238:$J$451),0),
IF('TL06'!$B$3=P$3,SUMIF('TL06'!$C$10:$C$224,$C124,'TL06'!$J$10:$J$224),0),
IF('TL06'!$B$229=P$3,SUMIF('TL06'!$C$238:$C$451,$C124,'TL06'!$J$238:$J$451),0),
IF('TL07'!$B$3=P$3,SUMIF('TL07'!$C$10:$C$224,$C124,'TL07'!$J$10:$J$224),0),
IF('TL07'!$B$229=P$3,SUMIF('TL07'!$C$238:$C$451,$C124,'TL07'!$J$238:$J$451),0),
IF('TL08'!$B$3=P$3,SUMIF('TL08'!$C$10:$C$224,$C124,'TL08'!$J$10:$J$224),0),
IF('TL08'!$B$229=P$3,SUMIF('TL08'!$C$238:$C$451,$C124,'TL08'!$J$238:$J$451),0),
IF('TL09'!$B$3=P$3,SUMIF('TL09'!$C$10:$C$224,$C124,'TL09'!$J$10:$J$224),0),
IF('TL09'!$B$229=P$3,SUMIF('TL09'!$C$238:$C$451,$C124,'TL09'!$J$238:$J$451),0),
IF('TL10'!$B$3=P$3,SUMIF('TL10'!$C$10:$C$224,$C124,'TL10'!$J$10:$J$224),0),
IF('TL10'!$B$229=P$3,SUMIF('TL10'!$C$238:$C$451,$C124,'TL10'!$J$238:$J$451),0),
IF('TL11'!$B$3=P$3,SUMIF('TL11'!$C$10:$C$224,$C124,'TL11'!$J$10:$J$224),0),
IF('TL11'!$B$229=P$3,SUMIF('TL11'!$C$238:$C$451,$C124,'TL11'!$J$238:$J$451),0),
IF('TL12'!$B$3=P$3,SUMIF('TL12'!$C$10:$C$224,$C124,'TL12'!$J$10:$J$224),0),
IF('TL12'!$B$229=P$3,SUMIF('TL12'!$C$238:$C$451,$C124,'TL12'!$J$238:$J$451),0),
IF('TL13'!$B$3=P$3,SUMIF('TL13'!$C$10:$C$224,$C124,'TL13'!$J$10:$J$224),0),
IF('TL13'!$B$229=P$3,SUMIF('TL13'!$C$238:$C$451,$C124,'TL13'!$J$238:$J$451),0),
IF('TL14'!$B$3=P$3,SUMIF('TL14'!$C$10:$C$224,$C124,'TL14'!$J$10:$J$224),0),
IF('TL14'!$B$229=P$3,SUMIF('TL14'!$C$238:$C$451,$C124,'TL14'!$J$238:$J$451),0),
IF('TL15'!$B$3=P$3,SUMIF('TL15'!$C$10:$C$224,$C124,'TL15'!$J$10:$J$224),0),
IF('TL15'!$B$229=P$3,SUMIF('TL15'!$C$238:$C$451,$C124,'TL15'!$J$238:$J$451),0),
IF('TL16'!$B$3=P$3,SUMIF('TL16'!$C$10:$C$224,$C124,'TL16'!$J$10:$J$224),0),
IF('TL16'!$B$229=P$3,SUMIF('TL16'!$C$238:$C$451,$C124,'TL16'!$J$238:$J$451),0),
IF('TL17'!$B$3=P$3,SUMIF('TL17'!$C$10:$C$224,$C124,'TL17'!$J$10:$J$224),0),
IF('TL17'!$B$229=P$3,SUMIF('TL17'!$C$238:$C$451,$C124,'TL17'!$J$238:$J$451),0),
IF('TL18'!$B$3=P$3,SUMIF('TL18'!$C$10:$C$224,$C124,'TL18'!$J$10:$J$224),0),
IF('TL18'!$B$229=P$3,SUMIF('TL18'!$C$238:$C$451,$C124,'TL18'!$J$238:$J$451),0),
IF('TL19'!$B$3=P$3,SUMIF('TL19'!$C$10:$C$224,$C124,'TL19'!$J$10:$J$224),0),
IF('TL19'!$B$229=P$3,SUMIF('TL19'!$C$238:$C$451,$C124,'TL19'!$J$238:$J$451),0)
),0)</f>
        <v/>
      </c>
      <c r="Q124" s="9">
        <f>IFERROR(SUM(
IF('TL01'!$B$3=Q$3,SUMIF('TL01'!$C$10:$C$224,$C124,'TL01'!$J$10:$J$224),0),
IF('TL01'!$B$229=Q$3,SUMIF('TL01'!$C$238:$C$451,$C124,'TL01'!$J$238:$J$451),0),
IF('TL02'!$B$3=Q$3,SUMIF('TL02'!$C$10:$C$224,$C124,'TL02'!$J$10:$J$224),0),
IF('TL02'!$B$229=Q$3,SUMIF('TL02'!$C$238:$C$451,$C124,'TL02'!$J$238:$J$451),0),
IF('TL03'!$B$3=Q$3,SUMIF('TL03'!$C$10:$C$224,$C124,'TL03'!$J$10:$J$224),0),
IF('TL03'!$B$229=Q$3,SUMIF('TL03'!$C$238:$C$451,$C124,'TL03'!$J$238:$J$451),0),
IF('TL04'!$B$3=Q$3,SUMIF('TL04'!$C$10:$C$224,$C124,'TL04'!$J$10:$J$224),0),
IF('TL04'!$B$229=Q$3,SUMIF('TL04'!$C$238:$C$451,$C124,'TL04'!$J$238:$J$451),0),
IF('TL05'!$B$3=Q$3,SUMIF('TL05'!$C$10:$C$224,$C124,'TL05'!$J$10:$J$224),0),
IF('TL05'!$B$229=Q$3,SUMIF('TL05'!$C$238:$C$451,$C124,'TL05'!$J$238:$J$451),0),
IF('TL06'!$B$3=Q$3,SUMIF('TL06'!$C$10:$C$224,$C124,'TL06'!$J$10:$J$224),0),
IF('TL06'!$B$229=Q$3,SUMIF('TL06'!$C$238:$C$451,$C124,'TL06'!$J$238:$J$451),0),
IF('TL07'!$B$3=Q$3,SUMIF('TL07'!$C$10:$C$224,$C124,'TL07'!$J$10:$J$224),0),
IF('TL07'!$B$229=Q$3,SUMIF('TL07'!$C$238:$C$451,$C124,'TL07'!$J$238:$J$451),0),
IF('TL08'!$B$3=Q$3,SUMIF('TL08'!$C$10:$C$224,$C124,'TL08'!$J$10:$J$224),0),
IF('TL08'!$B$229=Q$3,SUMIF('TL08'!$C$238:$C$451,$C124,'TL08'!$J$238:$J$451),0),
IF('TL09'!$B$3=Q$3,SUMIF('TL09'!$C$10:$C$224,$C124,'TL09'!$J$10:$J$224),0),
IF('TL09'!$B$229=Q$3,SUMIF('TL09'!$C$238:$C$451,$C124,'TL09'!$J$238:$J$451),0),
IF('TL10'!$B$3=Q$3,SUMIF('TL10'!$C$10:$C$224,$C124,'TL10'!$J$10:$J$224),0),
IF('TL10'!$B$229=Q$3,SUMIF('TL10'!$C$238:$C$451,$C124,'TL10'!$J$238:$J$451),0),
IF('TL11'!$B$3=Q$3,SUMIF('TL11'!$C$10:$C$224,$C124,'TL11'!$J$10:$J$224),0),
IF('TL11'!$B$229=Q$3,SUMIF('TL11'!$C$238:$C$451,$C124,'TL11'!$J$238:$J$451),0),
IF('TL12'!$B$3=Q$3,SUMIF('TL12'!$C$10:$C$224,$C124,'TL12'!$J$10:$J$224),0),
IF('TL12'!$B$229=Q$3,SUMIF('TL12'!$C$238:$C$451,$C124,'TL12'!$J$238:$J$451),0),
IF('TL13'!$B$3=Q$3,SUMIF('TL13'!$C$10:$C$224,$C124,'TL13'!$J$10:$J$224),0),
IF('TL13'!$B$229=Q$3,SUMIF('TL13'!$C$238:$C$451,$C124,'TL13'!$J$238:$J$451),0),
IF('TL14'!$B$3=Q$3,SUMIF('TL14'!$C$10:$C$224,$C124,'TL14'!$J$10:$J$224),0),
IF('TL14'!$B$229=Q$3,SUMIF('TL14'!$C$238:$C$451,$C124,'TL14'!$J$238:$J$451),0),
IF('TL15'!$B$3=Q$3,SUMIF('TL15'!$C$10:$C$224,$C124,'TL15'!$J$10:$J$224),0),
IF('TL15'!$B$229=Q$3,SUMIF('TL15'!$C$238:$C$451,$C124,'TL15'!$J$238:$J$451),0),
IF('TL16'!$B$3=Q$3,SUMIF('TL16'!$C$10:$C$224,$C124,'TL16'!$J$10:$J$224),0),
IF('TL16'!$B$229=Q$3,SUMIF('TL16'!$C$238:$C$451,$C124,'TL16'!$J$238:$J$451),0),
IF('TL17'!$B$3=Q$3,SUMIF('TL17'!$C$10:$C$224,$C124,'TL17'!$J$10:$J$224),0),
IF('TL17'!$B$229=Q$3,SUMIF('TL17'!$C$238:$C$451,$C124,'TL17'!$J$238:$J$451),0),
IF('TL18'!$B$3=Q$3,SUMIF('TL18'!$C$10:$C$224,$C124,'TL18'!$J$10:$J$224),0),
IF('TL18'!$B$229=Q$3,SUMIF('TL18'!$C$238:$C$451,$C124,'TL18'!$J$238:$J$451),0),
IF('TL19'!$B$3=Q$3,SUMIF('TL19'!$C$10:$C$224,$C124,'TL19'!$J$10:$J$224),0),
IF('TL19'!$B$229=Q$3,SUMIF('TL19'!$C$238:$C$451,$C124,'TL19'!$J$238:$J$451),0)
),0)</f>
        <v/>
      </c>
      <c r="R124" s="9">
        <f>IFERROR(
SUM(
SUMIF('TL01'!C:C,C124,'TL01'!J:J),
SUMIF('TL02'!C:C,C124,'TL02'!J:J),
SUMIF('TL03'!C:C,C124,'TL03'!J:J),
SUMIF('TL04'!C:C,C124,'TL04'!J:J),
SUMIF('TL05'!C:C,C124,'TL05'!J:J),
SUMIF('TL06'!C:C,C124,'TL06'!J:J),
SUMIF('TL07'!C:C,C124,'TL07'!J:J),
SUMIF('TL08'!C:C,C124,'TL08'!J:J),
SUMIF('TL09'!C:C,C124,'TL09'!J:J),
SUMIF('TL10'!C:C,C124,'TL10'!J:J),
SUMIF('TL11'!C:C,C124,'TL11'!J:J),
SUMIF('TL12'!C:C,C124,'TL12'!J:J),
SUMIF('TL13'!C:C,C124,'TL13'!J:J),
SUMIF('TL14'!C:C,C124,'TL14'!J:J),
SUMIF('TL15'!C:C,C124,'TL15'!J:J),
SUMIF('TL16'!C:C,C124,'TL16'!J:J),
SUMIF('TL17'!C:C,C124,'TL17'!J:J),
SUMIF('TL18'!C:C,C124,'TL18'!J:J),SUMIF('TL19'!C:C,C124,'TL19'!J:J))
,0)</f>
        <v/>
      </c>
      <c r="S124" s="17">
        <f>IFERROR(__xludf.DUMMYFUNCTION("IFERROR(VLOOKUP(C124,
IMPORTRANGE(""1wULbzX32WdYsx-lj2U3uUNBBe2INVIRDtcK0d-Dvl90"",
""26-27!C:G""),
5,
FALSE),
"""")"),54.248059999999995)</f>
        <v/>
      </c>
      <c r="T124" s="9" t="n"/>
      <c r="U124" s="92">
        <f>MAX(0,R124-T124)</f>
        <v/>
      </c>
      <c r="V124" s="93">
        <f>U124*S124</f>
        <v/>
      </c>
    </row>
    <row r="125" hidden="1" ht="15.75" customHeight="1" s="297">
      <c r="A125" s="111" t="inlineStr">
        <is>
          <t>CCAB</t>
        </is>
      </c>
      <c r="B125" s="112" t="inlineStr">
        <is>
          <t>HERBICIDA</t>
        </is>
      </c>
      <c r="C125" s="113" t="inlineStr">
        <is>
          <t>TRICLOPIR CCAB 480 EC</t>
        </is>
      </c>
      <c r="D125" s="113" t="inlineStr">
        <is>
          <t>TRICLOPIR-BUTOTÍLICO</t>
        </is>
      </c>
      <c r="E125" s="113" t="n">
        <v>667</v>
      </c>
      <c r="F125" s="4" t="inlineStr">
        <is>
          <t>KG</t>
        </is>
      </c>
      <c r="G125" s="90">
        <f>HYPERLINK("https://www.google.com/search?q=" &amp; C125 &amp; "+bula+agrofit+pdf", "📄 Ver bula")</f>
        <v/>
      </c>
      <c r="H125" s="9">
        <f>IFERROR(__xludf.DUMMYFUNCTION("IFERROR(VLOOKUP(C125,
IMPORTRANGE(""1wULbzX32WdYsx-lj2U3uUNBBe2INVIRDtcK0d-Dvl90"",
""26-27!C:K""),
8,
FALSE),
"""")"),"")</f>
        <v/>
      </c>
      <c r="I125" s="114" t="inlineStr">
        <is>
          <t>1x20</t>
        </is>
      </c>
      <c r="J125" s="9">
        <f>IFERROR(SUM(
IF('TL01'!$B$3=J$3,SUMIF('TL01'!$C$10:$C$224,$C125,'TL01'!$J$10:$J$224),0),
IF('TL01'!$B$229=J$3,SUMIF('TL01'!$C$238:$C$451,$C125,'TL01'!$J$238:$J$451),0),
IF('TL02'!$B$3=J$3,SUMIF('TL02'!$C$10:$C$224,$C125,'TL02'!$J$10:$J$224),0),
IF('TL02'!$B$229=J$3,SUMIF('TL02'!$C$238:$C$451,$C125,'TL02'!$J$238:$J$451),0),
IF('TL03'!$B$3=J$3,SUMIF('TL03'!$C$10:$C$224,$C125,'TL03'!$J$10:$J$224),0),
IF('TL03'!$B$229=J$3,SUMIF('TL03'!$C$238:$C$451,$C125,'TL03'!$J$238:$J$451),0),
IF('TL04'!$B$3=J$3,SUMIF('TL04'!$C$10:$C$224,$C125,'TL04'!$J$10:$J$224),0),
IF('TL04'!$B$229=J$3,SUMIF('TL04'!$C$238:$C$451,$C125,'TL04'!$J$238:$J$451),0),
IF('TL05'!$B$3=J$3,SUMIF('TL05'!$C$10:$C$224,$C125,'TL05'!$J$10:$J$224),0),
IF('TL05'!$B$229=J$3,SUMIF('TL05'!$C$238:$C$451,$C125,'TL05'!$J$238:$J$451),0),
IF('TL06'!$B$3=J$3,SUMIF('TL06'!$C$10:$C$224,$C125,'TL06'!$J$10:$J$224),0),
IF('TL06'!$B$229=J$3,SUMIF('TL06'!$C$238:$C$451,$C125,'TL06'!$J$238:$J$451),0),
IF('TL07'!$B$3=J$3,SUMIF('TL07'!$C$10:$C$224,$C125,'TL07'!$J$10:$J$224),0),
IF('TL07'!$B$229=J$3,SUMIF('TL07'!$C$238:$C$451,$C125,'TL07'!$J$238:$J$451),0),
IF('TL08'!$B$3=J$3,SUMIF('TL08'!$C$10:$C$224,$C125,'TL08'!$J$10:$J$224),0),
IF('TL08'!$B$229=J$3,SUMIF('TL08'!$C$238:$C$451,$C125,'TL08'!$J$238:$J$451),0),
IF('TL09'!$B$3=J$3,SUMIF('TL09'!$C$10:$C$224,$C125,'TL09'!$J$10:$J$224),0),
IF('TL09'!$B$229=J$3,SUMIF('TL09'!$C$238:$C$451,$C125,'TL09'!$J$238:$J$451),0),
IF('TL10'!$B$3=J$3,SUMIF('TL10'!$C$10:$C$224,$C125,'TL10'!$J$10:$J$224),0),
IF('TL10'!$B$229=J$3,SUMIF('TL10'!$C$238:$C$451,$C125,'TL10'!$J$238:$J$451),0),
IF('TL11'!$B$3=J$3,SUMIF('TL11'!$C$10:$C$224,$C125,'TL11'!$J$10:$J$224),0),
IF('TL11'!$B$229=J$3,SUMIF('TL11'!$C$238:$C$451,$C125,'TL11'!$J$238:$J$451),0),
IF('TL12'!$B$3=J$3,SUMIF('TL12'!$C$10:$C$224,$C125,'TL12'!$J$10:$J$224),0),
IF('TL12'!$B$229=J$3,SUMIF('TL12'!$C$238:$C$451,$C125,'TL12'!$J$238:$J$451),0),
IF('TL13'!$B$3=J$3,SUMIF('TL13'!$C$10:$C$224,$C125,'TL13'!$J$10:$J$224),0),
IF('TL13'!$B$229=J$3,SUMIF('TL13'!$C$238:$C$451,$C125,'TL13'!$J$238:$J$451),0),
IF('TL14'!$B$3=J$3,SUMIF('TL14'!$C$10:$C$224,$C125,'TL14'!$J$10:$J$224),0),
IF('TL14'!$B$229=J$3,SUMIF('TL14'!$C$238:$C$451,$C125,'TL14'!$J$238:$J$451),0),
IF('TL15'!$B$3=J$3,SUMIF('TL15'!$C$10:$C$224,$C125,'TL15'!$J$10:$J$224),0),
IF('TL15'!$B$229=J$3,SUMIF('TL15'!$C$238:$C$451,$C125,'TL15'!$J$238:$J$451),0),
IF('TL16'!$B$3=J$3,SUMIF('TL16'!$C$10:$C$224,$C125,'TL16'!$J$10:$J$224),0),
IF('TL16'!$B$229=J$3,SUMIF('TL16'!$C$238:$C$451,$C125,'TL16'!$J$238:$J$451),0),
IF('TL17'!$B$3=J$3,SUMIF('TL17'!$C$10:$C$224,$C125,'TL17'!$J$10:$J$224),0),
IF('TL17'!$B$229=J$3,SUMIF('TL17'!$C$238:$C$451,$C125,'TL17'!$J$238:$J$451),0),
IF('TL18'!$B$3=J$3,SUMIF('TL18'!$C$10:$C$224,$C125,'TL18'!$J$10:$J$224),0),
IF('TL18'!$B$229=J$3,SUMIF('TL18'!$C$238:$C$451,$C125,'TL18'!$J$238:$J$451),0),
IF('TL19'!$B$3=J$3,SUMIF('TL19'!$C$10:$C$224,$C125,'TL19'!$J$10:$J$224),0),
IF('TL19'!$B$229=J$3,SUMIF('TL19'!$C$238:$C$451,$C125,'TL19'!$J$238:$J$451),0)
),0)</f>
        <v/>
      </c>
      <c r="K125" s="9">
        <f>IFERROR(SUM(
IF('TL01'!$B$3=K$3,SUMIF('TL01'!$C$10:$C$224,$C125,'TL01'!$J$10:$J$224),0),
IF('TL01'!$B$229=K$3,SUMIF('TL01'!$C$238:$C$451,$C125,'TL01'!$J$238:$J$451),0),
IF('TL02'!$B$3=K$3,SUMIF('TL02'!$C$10:$C$224,$C125,'TL02'!$J$10:$J$224),0),
IF('TL02'!$B$229=K$3,SUMIF('TL02'!$C$238:$C$451,$C125,'TL02'!$J$238:$J$451),0),
IF('TL03'!$B$3=K$3,SUMIF('TL03'!$C$10:$C$224,$C125,'TL03'!$J$10:$J$224),0),
IF('TL03'!$B$229=K$3,SUMIF('TL03'!$C$238:$C$451,$C125,'TL03'!$J$238:$J$451),0),
IF('TL04'!$B$3=K$3,SUMIF('TL04'!$C$10:$C$224,$C125,'TL04'!$J$10:$J$224),0),
IF('TL04'!$B$229=K$3,SUMIF('TL04'!$C$238:$C$451,$C125,'TL04'!$J$238:$J$451),0),
IF('TL05'!$B$3=K$3,SUMIF('TL05'!$C$10:$C$224,$C125,'TL05'!$J$10:$J$224),0),
IF('TL05'!$B$229=K$3,SUMIF('TL05'!$C$238:$C$451,$C125,'TL05'!$J$238:$J$451),0),
IF('TL06'!$B$3=K$3,SUMIF('TL06'!$C$10:$C$224,$C125,'TL06'!$J$10:$J$224),0),
IF('TL06'!$B$229=K$3,SUMIF('TL06'!$C$238:$C$451,$C125,'TL06'!$J$238:$J$451),0),
IF('TL07'!$B$3=K$3,SUMIF('TL07'!$C$10:$C$224,$C125,'TL07'!$J$10:$J$224),0),
IF('TL07'!$B$229=K$3,SUMIF('TL07'!$C$238:$C$451,$C125,'TL07'!$J$238:$J$451),0),
IF('TL08'!$B$3=K$3,SUMIF('TL08'!$C$10:$C$224,$C125,'TL08'!$J$10:$J$224),0),
IF('TL08'!$B$229=K$3,SUMIF('TL08'!$C$238:$C$451,$C125,'TL08'!$J$238:$J$451),0),
IF('TL09'!$B$3=K$3,SUMIF('TL09'!$C$10:$C$224,$C125,'TL09'!$J$10:$J$224),0),
IF('TL09'!$B$229=K$3,SUMIF('TL09'!$C$238:$C$451,$C125,'TL09'!$J$238:$J$451),0),
IF('TL10'!$B$3=K$3,SUMIF('TL10'!$C$10:$C$224,$C125,'TL10'!$J$10:$J$224),0),
IF('TL10'!$B$229=K$3,SUMIF('TL10'!$C$238:$C$451,$C125,'TL10'!$J$238:$J$451),0),
IF('TL11'!$B$3=K$3,SUMIF('TL11'!$C$10:$C$224,$C125,'TL11'!$J$10:$J$224),0),
IF('TL11'!$B$229=K$3,SUMIF('TL11'!$C$238:$C$451,$C125,'TL11'!$J$238:$J$451),0),
IF('TL12'!$B$3=K$3,SUMIF('TL12'!$C$10:$C$224,$C125,'TL12'!$J$10:$J$224),0),
IF('TL12'!$B$229=K$3,SUMIF('TL12'!$C$238:$C$451,$C125,'TL12'!$J$238:$J$451),0),
IF('TL13'!$B$3=K$3,SUMIF('TL13'!$C$10:$C$224,$C125,'TL13'!$J$10:$J$224),0),
IF('TL13'!$B$229=K$3,SUMIF('TL13'!$C$238:$C$451,$C125,'TL13'!$J$238:$J$451),0),
IF('TL14'!$B$3=K$3,SUMIF('TL14'!$C$10:$C$224,$C125,'TL14'!$J$10:$J$224),0),
IF('TL14'!$B$229=K$3,SUMIF('TL14'!$C$238:$C$451,$C125,'TL14'!$J$238:$J$451),0),
IF('TL15'!$B$3=K$3,SUMIF('TL15'!$C$10:$C$224,$C125,'TL15'!$J$10:$J$224),0),
IF('TL15'!$B$229=K$3,SUMIF('TL15'!$C$238:$C$451,$C125,'TL15'!$J$238:$J$451),0),
IF('TL16'!$B$3=K$3,SUMIF('TL16'!$C$10:$C$224,$C125,'TL16'!$J$10:$J$224),0),
IF('TL16'!$B$229=K$3,SUMIF('TL16'!$C$238:$C$451,$C125,'TL16'!$J$238:$J$451),0),
IF('TL17'!$B$3=K$3,SUMIF('TL17'!$C$10:$C$224,$C125,'TL17'!$J$10:$J$224),0),
IF('TL17'!$B$229=K$3,SUMIF('TL17'!$C$238:$C$451,$C125,'TL17'!$J$238:$J$451),0),
IF('TL18'!$B$3=K$3,SUMIF('TL18'!$C$10:$C$224,$C125,'TL18'!$J$10:$J$224),0),
IF('TL18'!$B$229=K$3,SUMIF('TL18'!$C$238:$C$451,$C125,'TL18'!$J$238:$J$451),0),
IF('TL19'!$B$3=K$3,SUMIF('TL19'!$C$10:$C$224,$C125,'TL19'!$J$10:$J$224),0),
IF('TL19'!$B$229=K$3,SUMIF('TL19'!$C$238:$C$451,$C125,'TL19'!$J$238:$J$451),0)
),0)</f>
        <v/>
      </c>
      <c r="L125" s="9">
        <f>IFERROR(SUM(
IF('TL01'!$B$3=L$3,SUMIF('TL01'!$C$10:$C$224,$C125,'TL01'!$J$10:$J$224),0),
IF('TL01'!$B$229=L$3,SUMIF('TL01'!$C$238:$C$451,$C125,'TL01'!$J$238:$J$451),0),
IF('TL02'!$B$3=L$3,SUMIF('TL02'!$C$10:$C$224,$C125,'TL02'!$J$10:$J$224),0),
IF('TL02'!$B$229=L$3,SUMIF('TL02'!$C$238:$C$451,$C125,'TL02'!$J$238:$J$451),0),
IF('TL03'!$B$3=L$3,SUMIF('TL03'!$C$10:$C$224,$C125,'TL03'!$J$10:$J$224),0),
IF('TL03'!$B$229=L$3,SUMIF('TL03'!$C$238:$C$451,$C125,'TL03'!$J$238:$J$451),0),
IF('TL04'!$B$3=L$3,SUMIF('TL04'!$C$10:$C$224,$C125,'TL04'!$J$10:$J$224),0),
IF('TL04'!$B$229=L$3,SUMIF('TL04'!$C$238:$C$451,$C125,'TL04'!$J$238:$J$451),0),
IF('TL05'!$B$3=L$3,SUMIF('TL05'!$C$10:$C$224,$C125,'TL05'!$J$10:$J$224),0),
IF('TL05'!$B$229=L$3,SUMIF('TL05'!$C$238:$C$451,$C125,'TL05'!$J$238:$J$451),0),
IF('TL06'!$B$3=L$3,SUMIF('TL06'!$C$10:$C$224,$C125,'TL06'!$J$10:$J$224),0),
IF('TL06'!$B$229=L$3,SUMIF('TL06'!$C$238:$C$451,$C125,'TL06'!$J$238:$J$451),0),
IF('TL07'!$B$3=L$3,SUMIF('TL07'!$C$10:$C$224,$C125,'TL07'!$J$10:$J$224),0),
IF('TL07'!$B$229=L$3,SUMIF('TL07'!$C$238:$C$451,$C125,'TL07'!$J$238:$J$451),0),
IF('TL08'!$B$3=L$3,SUMIF('TL08'!$C$10:$C$224,$C125,'TL08'!$J$10:$J$224),0),
IF('TL08'!$B$229=L$3,SUMIF('TL08'!$C$238:$C$451,$C125,'TL08'!$J$238:$J$451),0),
IF('TL09'!$B$3=L$3,SUMIF('TL09'!$C$10:$C$224,$C125,'TL09'!$J$10:$J$224),0),
IF('TL09'!$B$229=L$3,SUMIF('TL09'!$C$238:$C$451,$C125,'TL09'!$J$238:$J$451),0),
IF('TL10'!$B$3=L$3,SUMIF('TL10'!$C$10:$C$224,$C125,'TL10'!$J$10:$J$224),0),
IF('TL10'!$B$229=L$3,SUMIF('TL10'!$C$238:$C$451,$C125,'TL10'!$J$238:$J$451),0),
IF('TL11'!$B$3=L$3,SUMIF('TL11'!$C$10:$C$224,$C125,'TL11'!$J$10:$J$224),0),
IF('TL11'!$B$229=L$3,SUMIF('TL11'!$C$238:$C$451,$C125,'TL11'!$J$238:$J$451),0),
IF('TL12'!$B$3=L$3,SUMIF('TL12'!$C$10:$C$224,$C125,'TL12'!$J$10:$J$224),0),
IF('TL12'!$B$229=L$3,SUMIF('TL12'!$C$238:$C$451,$C125,'TL12'!$J$238:$J$451),0),
IF('TL13'!$B$3=L$3,SUMIF('TL13'!$C$10:$C$224,$C125,'TL13'!$J$10:$J$224),0),
IF('TL13'!$B$229=L$3,SUMIF('TL13'!$C$238:$C$451,$C125,'TL13'!$J$238:$J$451),0),
IF('TL14'!$B$3=L$3,SUMIF('TL14'!$C$10:$C$224,$C125,'TL14'!$J$10:$J$224),0),
IF('TL14'!$B$229=L$3,SUMIF('TL14'!$C$238:$C$451,$C125,'TL14'!$J$238:$J$451),0),
IF('TL15'!$B$3=L$3,SUMIF('TL15'!$C$10:$C$224,$C125,'TL15'!$J$10:$J$224),0),
IF('TL15'!$B$229=L$3,SUMIF('TL15'!$C$238:$C$451,$C125,'TL15'!$J$238:$J$451),0),
IF('TL16'!$B$3=L$3,SUMIF('TL16'!$C$10:$C$224,$C125,'TL16'!$J$10:$J$224),0),
IF('TL16'!$B$229=L$3,SUMIF('TL16'!$C$238:$C$451,$C125,'TL16'!$J$238:$J$451),0),
IF('TL17'!$B$3=L$3,SUMIF('TL17'!$C$10:$C$224,$C125,'TL17'!$J$10:$J$224),0),
IF('TL17'!$B$229=L$3,SUMIF('TL17'!$C$238:$C$451,$C125,'TL17'!$J$238:$J$451),0),
IF('TL18'!$B$3=L$3,SUMIF('TL18'!$C$10:$C$224,$C125,'TL18'!$J$10:$J$224),0),
IF('TL18'!$B$229=L$3,SUMIF('TL18'!$C$238:$C$451,$C125,'TL18'!$J$238:$J$451),0),
IF('TL19'!$B$3=L$3,SUMIF('TL19'!$C$10:$C$224,$C125,'TL19'!$J$10:$J$224),0),
IF('TL19'!$B$229=L$3,SUMIF('TL19'!$C$238:$C$451,$C125,'TL19'!$J$238:$J$451),0)
),0)</f>
        <v/>
      </c>
      <c r="M125" s="9">
        <f>IFERROR(SUM(
IF('TL01'!$B$3=M$3,SUMIF('TL01'!$C$10:$C$224,$C125,'TL01'!$J$10:$J$224),0),
IF('TL01'!$B$229=M$3,SUMIF('TL01'!$C$238:$C$451,$C125,'TL01'!$J$238:$J$451),0),
IF('TL02'!$B$3=M$3,SUMIF('TL02'!$C$10:$C$224,$C125,'TL02'!$J$10:$J$224),0),
IF('TL02'!$B$229=M$3,SUMIF('TL02'!$C$238:$C$451,$C125,'TL02'!$J$238:$J$451),0),
IF('TL03'!$B$3=M$3,SUMIF('TL03'!$C$10:$C$224,$C125,'TL03'!$J$10:$J$224),0),
IF('TL03'!$B$229=M$3,SUMIF('TL03'!$C$238:$C$451,$C125,'TL03'!$J$238:$J$451),0),
IF('TL04'!$B$3=M$3,SUMIF('TL04'!$C$10:$C$224,$C125,'TL04'!$J$10:$J$224),0),
IF('TL04'!$B$229=M$3,SUMIF('TL04'!$C$238:$C$451,$C125,'TL04'!$J$238:$J$451),0),
IF('TL05'!$B$3=M$3,SUMIF('TL05'!$C$10:$C$224,$C125,'TL05'!$J$10:$J$224),0),
IF('TL05'!$B$229=M$3,SUMIF('TL05'!$C$238:$C$451,$C125,'TL05'!$J$238:$J$451),0),
IF('TL06'!$B$3=M$3,SUMIF('TL06'!$C$10:$C$224,$C125,'TL06'!$J$10:$J$224),0),
IF('TL06'!$B$229=M$3,SUMIF('TL06'!$C$238:$C$451,$C125,'TL06'!$J$238:$J$451),0),
IF('TL07'!$B$3=M$3,SUMIF('TL07'!$C$10:$C$224,$C125,'TL07'!$J$10:$J$224),0),
IF('TL07'!$B$229=M$3,SUMIF('TL07'!$C$238:$C$451,$C125,'TL07'!$J$238:$J$451),0),
IF('TL08'!$B$3=M$3,SUMIF('TL08'!$C$10:$C$224,$C125,'TL08'!$J$10:$J$224),0),
IF('TL08'!$B$229=M$3,SUMIF('TL08'!$C$238:$C$451,$C125,'TL08'!$J$238:$J$451),0),
IF('TL09'!$B$3=M$3,SUMIF('TL09'!$C$10:$C$224,$C125,'TL09'!$J$10:$J$224),0),
IF('TL09'!$B$229=M$3,SUMIF('TL09'!$C$238:$C$451,$C125,'TL09'!$J$238:$J$451),0),
IF('TL10'!$B$3=M$3,SUMIF('TL10'!$C$10:$C$224,$C125,'TL10'!$J$10:$J$224),0),
IF('TL10'!$B$229=M$3,SUMIF('TL10'!$C$238:$C$451,$C125,'TL10'!$J$238:$J$451),0),
IF('TL11'!$B$3=M$3,SUMIF('TL11'!$C$10:$C$224,$C125,'TL11'!$J$10:$J$224),0),
IF('TL11'!$B$229=M$3,SUMIF('TL11'!$C$238:$C$451,$C125,'TL11'!$J$238:$J$451),0),
IF('TL12'!$B$3=M$3,SUMIF('TL12'!$C$10:$C$224,$C125,'TL12'!$J$10:$J$224),0),
IF('TL12'!$B$229=M$3,SUMIF('TL12'!$C$238:$C$451,$C125,'TL12'!$J$238:$J$451),0),
IF('TL13'!$B$3=M$3,SUMIF('TL13'!$C$10:$C$224,$C125,'TL13'!$J$10:$J$224),0),
IF('TL13'!$B$229=M$3,SUMIF('TL13'!$C$238:$C$451,$C125,'TL13'!$J$238:$J$451),0),
IF('TL14'!$B$3=M$3,SUMIF('TL14'!$C$10:$C$224,$C125,'TL14'!$J$10:$J$224),0),
IF('TL14'!$B$229=M$3,SUMIF('TL14'!$C$238:$C$451,$C125,'TL14'!$J$238:$J$451),0),
IF('TL15'!$B$3=M$3,SUMIF('TL15'!$C$10:$C$224,$C125,'TL15'!$J$10:$J$224),0),
IF('TL15'!$B$229=M$3,SUMIF('TL15'!$C$238:$C$451,$C125,'TL15'!$J$238:$J$451),0),
IF('TL16'!$B$3=M$3,SUMIF('TL16'!$C$10:$C$224,$C125,'TL16'!$J$10:$J$224),0),
IF('TL16'!$B$229=M$3,SUMIF('TL16'!$C$238:$C$451,$C125,'TL16'!$J$238:$J$451),0),
IF('TL17'!$B$3=M$3,SUMIF('TL17'!$C$10:$C$224,$C125,'TL17'!$J$10:$J$224),0),
IF('TL17'!$B$229=M$3,SUMIF('TL17'!$C$238:$C$451,$C125,'TL17'!$J$238:$J$451),0),
IF('TL18'!$B$3=M$3,SUMIF('TL18'!$C$10:$C$224,$C125,'TL18'!$J$10:$J$224),0),
IF('TL18'!$B$229=M$3,SUMIF('TL18'!$C$238:$C$451,$C125,'TL18'!$J$238:$J$451),0),
IF('TL19'!$B$3=M$3,SUMIF('TL19'!$C$10:$C$224,$C125,'TL19'!$J$10:$J$224),0),
IF('TL19'!$B$229=M$3,SUMIF('TL19'!$C$238:$C$451,$C125,'TL19'!$J$238:$J$451),0)
),0)</f>
        <v/>
      </c>
      <c r="N125" s="9">
        <f>IFERROR(SUM(
IF('TL01'!$B$3=N$3,SUMIF('TL01'!$C$10:$C$224,$C125,'TL01'!$J$10:$J$224),0),
IF('TL01'!$B$229=N$3,SUMIF('TL01'!$C$238:$C$451,$C125,'TL01'!$J$238:$J$451),0),
IF('TL02'!$B$3=N$3,SUMIF('TL02'!$C$10:$C$224,$C125,'TL02'!$J$10:$J$224),0),
IF('TL02'!$B$229=N$3,SUMIF('TL02'!$C$238:$C$451,$C125,'TL02'!$J$238:$J$451),0),
IF('TL03'!$B$3=N$3,SUMIF('TL03'!$C$10:$C$224,$C125,'TL03'!$J$10:$J$224),0),
IF('TL03'!$B$229=N$3,SUMIF('TL03'!$C$238:$C$451,$C125,'TL03'!$J$238:$J$451),0),
IF('TL04'!$B$3=N$3,SUMIF('TL04'!$C$10:$C$224,$C125,'TL04'!$J$10:$J$224),0),
IF('TL04'!$B$229=N$3,SUMIF('TL04'!$C$238:$C$451,$C125,'TL04'!$J$238:$J$451),0),
IF('TL05'!$B$3=N$3,SUMIF('TL05'!$C$10:$C$224,$C125,'TL05'!$J$10:$J$224),0),
IF('TL05'!$B$229=N$3,SUMIF('TL05'!$C$238:$C$451,$C125,'TL05'!$J$238:$J$451),0),
IF('TL06'!$B$3=N$3,SUMIF('TL06'!$C$10:$C$224,$C125,'TL06'!$J$10:$J$224),0),
IF('TL06'!$B$229=N$3,SUMIF('TL06'!$C$238:$C$451,$C125,'TL06'!$J$238:$J$451),0),
IF('TL07'!$B$3=N$3,SUMIF('TL07'!$C$10:$C$224,$C125,'TL07'!$J$10:$J$224),0),
IF('TL07'!$B$229=N$3,SUMIF('TL07'!$C$238:$C$451,$C125,'TL07'!$J$238:$J$451),0),
IF('TL08'!$B$3=N$3,SUMIF('TL08'!$C$10:$C$224,$C125,'TL08'!$J$10:$J$224),0),
IF('TL08'!$B$229=N$3,SUMIF('TL08'!$C$238:$C$451,$C125,'TL08'!$J$238:$J$451),0),
IF('TL09'!$B$3=N$3,SUMIF('TL09'!$C$10:$C$224,$C125,'TL09'!$J$10:$J$224),0),
IF('TL09'!$B$229=N$3,SUMIF('TL09'!$C$238:$C$451,$C125,'TL09'!$J$238:$J$451),0),
IF('TL10'!$B$3=N$3,SUMIF('TL10'!$C$10:$C$224,$C125,'TL10'!$J$10:$J$224),0),
IF('TL10'!$B$229=N$3,SUMIF('TL10'!$C$238:$C$451,$C125,'TL10'!$J$238:$J$451),0),
IF('TL11'!$B$3=N$3,SUMIF('TL11'!$C$10:$C$224,$C125,'TL11'!$J$10:$J$224),0),
IF('TL11'!$B$229=N$3,SUMIF('TL11'!$C$238:$C$451,$C125,'TL11'!$J$238:$J$451),0),
IF('TL12'!$B$3=N$3,SUMIF('TL12'!$C$10:$C$224,$C125,'TL12'!$J$10:$J$224),0),
IF('TL12'!$B$229=N$3,SUMIF('TL12'!$C$238:$C$451,$C125,'TL12'!$J$238:$J$451),0),
IF('TL13'!$B$3=N$3,SUMIF('TL13'!$C$10:$C$224,$C125,'TL13'!$J$10:$J$224),0),
IF('TL13'!$B$229=N$3,SUMIF('TL13'!$C$238:$C$451,$C125,'TL13'!$J$238:$J$451),0),
IF('TL14'!$B$3=N$3,SUMIF('TL14'!$C$10:$C$224,$C125,'TL14'!$J$10:$J$224),0),
IF('TL14'!$B$229=N$3,SUMIF('TL14'!$C$238:$C$451,$C125,'TL14'!$J$238:$J$451),0),
IF('TL15'!$B$3=N$3,SUMIF('TL15'!$C$10:$C$224,$C125,'TL15'!$J$10:$J$224),0),
IF('TL15'!$B$229=N$3,SUMIF('TL15'!$C$238:$C$451,$C125,'TL15'!$J$238:$J$451),0),
IF('TL16'!$B$3=N$3,SUMIF('TL16'!$C$10:$C$224,$C125,'TL16'!$J$10:$J$224),0),
IF('TL16'!$B$229=N$3,SUMIF('TL16'!$C$238:$C$451,$C125,'TL16'!$J$238:$J$451),0),
IF('TL17'!$B$3=N$3,SUMIF('TL17'!$C$10:$C$224,$C125,'TL17'!$J$10:$J$224),0),
IF('TL17'!$B$229=N$3,SUMIF('TL17'!$C$238:$C$451,$C125,'TL17'!$J$238:$J$451),0),
IF('TL18'!$B$3=N$3,SUMIF('TL18'!$C$10:$C$224,$C125,'TL18'!$J$10:$J$224),0),
IF('TL18'!$B$229=N$3,SUMIF('TL18'!$C$238:$C$451,$C125,'TL18'!$J$238:$J$451),0),
IF('TL19'!$B$3=N$3,SUMIF('TL19'!$C$10:$C$224,$C125,'TL19'!$J$10:$J$224),0),
IF('TL19'!$B$229=N$3,SUMIF('TL19'!$C$238:$C$451,$C125,'TL19'!$J$238:$J$451),0)
),0)</f>
        <v/>
      </c>
      <c r="O125" s="9">
        <f>IFERROR(SUM(
IF('TL01'!$B$3=O$3,SUMIF('TL01'!$C$10:$C$224,$C125,'TL01'!$J$10:$J$224),0),
IF('TL01'!$B$229=O$3,SUMIF('TL01'!$C$238:$C$451,$C125,'TL01'!$J$238:$J$451),0),
IF('TL02'!$B$3=O$3,SUMIF('TL02'!$C$10:$C$224,$C125,'TL02'!$J$10:$J$224),0),
IF('TL02'!$B$229=O$3,SUMIF('TL02'!$C$238:$C$451,$C125,'TL02'!$J$238:$J$451),0),
IF('TL03'!$B$3=O$3,SUMIF('TL03'!$C$10:$C$224,$C125,'TL03'!$J$10:$J$224),0),
IF('TL03'!$B$229=O$3,SUMIF('TL03'!$C$238:$C$451,$C125,'TL03'!$J$238:$J$451),0),
IF('TL04'!$B$3=O$3,SUMIF('TL04'!$C$10:$C$224,$C125,'TL04'!$J$10:$J$224),0),
IF('TL04'!$B$229=O$3,SUMIF('TL04'!$C$238:$C$451,$C125,'TL04'!$J$238:$J$451),0),
IF('TL05'!$B$3=O$3,SUMIF('TL05'!$C$10:$C$224,$C125,'TL05'!$J$10:$J$224),0),
IF('TL05'!$B$229=O$3,SUMIF('TL05'!$C$238:$C$451,$C125,'TL05'!$J$238:$J$451),0),
IF('TL06'!$B$3=O$3,SUMIF('TL06'!$C$10:$C$224,$C125,'TL06'!$J$10:$J$224),0),
IF('TL06'!$B$229=O$3,SUMIF('TL06'!$C$238:$C$451,$C125,'TL06'!$J$238:$J$451),0),
IF('TL07'!$B$3=O$3,SUMIF('TL07'!$C$10:$C$224,$C125,'TL07'!$J$10:$J$224),0),
IF('TL07'!$B$229=O$3,SUMIF('TL07'!$C$238:$C$451,$C125,'TL07'!$J$238:$J$451),0),
IF('TL08'!$B$3=O$3,SUMIF('TL08'!$C$10:$C$224,$C125,'TL08'!$J$10:$J$224),0),
IF('TL08'!$B$229=O$3,SUMIF('TL08'!$C$238:$C$451,$C125,'TL08'!$J$238:$J$451),0),
IF('TL09'!$B$3=O$3,SUMIF('TL09'!$C$10:$C$224,$C125,'TL09'!$J$10:$J$224),0),
IF('TL09'!$B$229=O$3,SUMIF('TL09'!$C$238:$C$451,$C125,'TL09'!$J$238:$J$451),0),
IF('TL10'!$B$3=O$3,SUMIF('TL10'!$C$10:$C$224,$C125,'TL10'!$J$10:$J$224),0),
IF('TL10'!$B$229=O$3,SUMIF('TL10'!$C$238:$C$451,$C125,'TL10'!$J$238:$J$451),0),
IF('TL11'!$B$3=O$3,SUMIF('TL11'!$C$10:$C$224,$C125,'TL11'!$J$10:$J$224),0),
IF('TL11'!$B$229=O$3,SUMIF('TL11'!$C$238:$C$451,$C125,'TL11'!$J$238:$J$451),0),
IF('TL12'!$B$3=O$3,SUMIF('TL12'!$C$10:$C$224,$C125,'TL12'!$J$10:$J$224),0),
IF('TL12'!$B$229=O$3,SUMIF('TL12'!$C$238:$C$451,$C125,'TL12'!$J$238:$J$451),0),
IF('TL13'!$B$3=O$3,SUMIF('TL13'!$C$10:$C$224,$C125,'TL13'!$J$10:$J$224),0),
IF('TL13'!$B$229=O$3,SUMIF('TL13'!$C$238:$C$451,$C125,'TL13'!$J$238:$J$451),0),
IF('TL14'!$B$3=O$3,SUMIF('TL14'!$C$10:$C$224,$C125,'TL14'!$J$10:$J$224),0),
IF('TL14'!$B$229=O$3,SUMIF('TL14'!$C$238:$C$451,$C125,'TL14'!$J$238:$J$451),0),
IF('TL15'!$B$3=O$3,SUMIF('TL15'!$C$10:$C$224,$C125,'TL15'!$J$10:$J$224),0),
IF('TL15'!$B$229=O$3,SUMIF('TL15'!$C$238:$C$451,$C125,'TL15'!$J$238:$J$451),0),
IF('TL16'!$B$3=O$3,SUMIF('TL16'!$C$10:$C$224,$C125,'TL16'!$J$10:$J$224),0),
IF('TL16'!$B$229=O$3,SUMIF('TL16'!$C$238:$C$451,$C125,'TL16'!$J$238:$J$451),0),
IF('TL17'!$B$3=O$3,SUMIF('TL17'!$C$10:$C$224,$C125,'TL17'!$J$10:$J$224),0),
IF('TL17'!$B$229=O$3,SUMIF('TL17'!$C$238:$C$451,$C125,'TL17'!$J$238:$J$451),0),
IF('TL18'!$B$3=O$3,SUMIF('TL18'!$C$10:$C$224,$C125,'TL18'!$J$10:$J$224),0),
IF('TL18'!$B$229=O$3,SUMIF('TL18'!$C$238:$C$451,$C125,'TL18'!$J$238:$J$451),0),
IF('TL19'!$B$3=O$3,SUMIF('TL19'!$C$10:$C$224,$C125,'TL19'!$J$10:$J$224),0),
IF('TL19'!$B$229=O$3,SUMIF('TL19'!$C$238:$C$451,$C125,'TL19'!$J$238:$J$451),0)
),0)</f>
        <v/>
      </c>
      <c r="P125" s="9">
        <f>IFERROR(SUM(
IF('TL01'!$B$3=P$3,SUMIF('TL01'!$C$10:$C$224,$C125,'TL01'!$J$10:$J$224),0),
IF('TL01'!$B$229=P$3,SUMIF('TL01'!$C$238:$C$451,$C125,'TL01'!$J$238:$J$451),0),
IF('TL02'!$B$3=P$3,SUMIF('TL02'!$C$10:$C$224,$C125,'TL02'!$J$10:$J$224),0),
IF('TL02'!$B$229=P$3,SUMIF('TL02'!$C$238:$C$451,$C125,'TL02'!$J$238:$J$451),0),
IF('TL03'!$B$3=P$3,SUMIF('TL03'!$C$10:$C$224,$C125,'TL03'!$J$10:$J$224),0),
IF('TL03'!$B$229=P$3,SUMIF('TL03'!$C$238:$C$451,$C125,'TL03'!$J$238:$J$451),0),
IF('TL04'!$B$3=P$3,SUMIF('TL04'!$C$10:$C$224,$C125,'TL04'!$J$10:$J$224),0),
IF('TL04'!$B$229=P$3,SUMIF('TL04'!$C$238:$C$451,$C125,'TL04'!$J$238:$J$451),0),
IF('TL05'!$B$3=P$3,SUMIF('TL05'!$C$10:$C$224,$C125,'TL05'!$J$10:$J$224),0),
IF('TL05'!$B$229=P$3,SUMIF('TL05'!$C$238:$C$451,$C125,'TL05'!$J$238:$J$451),0),
IF('TL06'!$B$3=P$3,SUMIF('TL06'!$C$10:$C$224,$C125,'TL06'!$J$10:$J$224),0),
IF('TL06'!$B$229=P$3,SUMIF('TL06'!$C$238:$C$451,$C125,'TL06'!$J$238:$J$451),0),
IF('TL07'!$B$3=P$3,SUMIF('TL07'!$C$10:$C$224,$C125,'TL07'!$J$10:$J$224),0),
IF('TL07'!$B$229=P$3,SUMIF('TL07'!$C$238:$C$451,$C125,'TL07'!$J$238:$J$451),0),
IF('TL08'!$B$3=P$3,SUMIF('TL08'!$C$10:$C$224,$C125,'TL08'!$J$10:$J$224),0),
IF('TL08'!$B$229=P$3,SUMIF('TL08'!$C$238:$C$451,$C125,'TL08'!$J$238:$J$451),0),
IF('TL09'!$B$3=P$3,SUMIF('TL09'!$C$10:$C$224,$C125,'TL09'!$J$10:$J$224),0),
IF('TL09'!$B$229=P$3,SUMIF('TL09'!$C$238:$C$451,$C125,'TL09'!$J$238:$J$451),0),
IF('TL10'!$B$3=P$3,SUMIF('TL10'!$C$10:$C$224,$C125,'TL10'!$J$10:$J$224),0),
IF('TL10'!$B$229=P$3,SUMIF('TL10'!$C$238:$C$451,$C125,'TL10'!$J$238:$J$451),0),
IF('TL11'!$B$3=P$3,SUMIF('TL11'!$C$10:$C$224,$C125,'TL11'!$J$10:$J$224),0),
IF('TL11'!$B$229=P$3,SUMIF('TL11'!$C$238:$C$451,$C125,'TL11'!$J$238:$J$451),0),
IF('TL12'!$B$3=P$3,SUMIF('TL12'!$C$10:$C$224,$C125,'TL12'!$J$10:$J$224),0),
IF('TL12'!$B$229=P$3,SUMIF('TL12'!$C$238:$C$451,$C125,'TL12'!$J$238:$J$451),0),
IF('TL13'!$B$3=P$3,SUMIF('TL13'!$C$10:$C$224,$C125,'TL13'!$J$10:$J$224),0),
IF('TL13'!$B$229=P$3,SUMIF('TL13'!$C$238:$C$451,$C125,'TL13'!$J$238:$J$451),0),
IF('TL14'!$B$3=P$3,SUMIF('TL14'!$C$10:$C$224,$C125,'TL14'!$J$10:$J$224),0),
IF('TL14'!$B$229=P$3,SUMIF('TL14'!$C$238:$C$451,$C125,'TL14'!$J$238:$J$451),0),
IF('TL15'!$B$3=P$3,SUMIF('TL15'!$C$10:$C$224,$C125,'TL15'!$J$10:$J$224),0),
IF('TL15'!$B$229=P$3,SUMIF('TL15'!$C$238:$C$451,$C125,'TL15'!$J$238:$J$451),0),
IF('TL16'!$B$3=P$3,SUMIF('TL16'!$C$10:$C$224,$C125,'TL16'!$J$10:$J$224),0),
IF('TL16'!$B$229=P$3,SUMIF('TL16'!$C$238:$C$451,$C125,'TL16'!$J$238:$J$451),0),
IF('TL17'!$B$3=P$3,SUMIF('TL17'!$C$10:$C$224,$C125,'TL17'!$J$10:$J$224),0),
IF('TL17'!$B$229=P$3,SUMIF('TL17'!$C$238:$C$451,$C125,'TL17'!$J$238:$J$451),0),
IF('TL18'!$B$3=P$3,SUMIF('TL18'!$C$10:$C$224,$C125,'TL18'!$J$10:$J$224),0),
IF('TL18'!$B$229=P$3,SUMIF('TL18'!$C$238:$C$451,$C125,'TL18'!$J$238:$J$451),0),
IF('TL19'!$B$3=P$3,SUMIF('TL19'!$C$10:$C$224,$C125,'TL19'!$J$10:$J$224),0),
IF('TL19'!$B$229=P$3,SUMIF('TL19'!$C$238:$C$451,$C125,'TL19'!$J$238:$J$451),0)
),0)</f>
        <v/>
      </c>
      <c r="Q125" s="9">
        <f>IFERROR(SUM(
IF('TL01'!$B$3=Q$3,SUMIF('TL01'!$C$10:$C$224,$C125,'TL01'!$J$10:$J$224),0),
IF('TL01'!$B$229=Q$3,SUMIF('TL01'!$C$238:$C$451,$C125,'TL01'!$J$238:$J$451),0),
IF('TL02'!$B$3=Q$3,SUMIF('TL02'!$C$10:$C$224,$C125,'TL02'!$J$10:$J$224),0),
IF('TL02'!$B$229=Q$3,SUMIF('TL02'!$C$238:$C$451,$C125,'TL02'!$J$238:$J$451),0),
IF('TL03'!$B$3=Q$3,SUMIF('TL03'!$C$10:$C$224,$C125,'TL03'!$J$10:$J$224),0),
IF('TL03'!$B$229=Q$3,SUMIF('TL03'!$C$238:$C$451,$C125,'TL03'!$J$238:$J$451),0),
IF('TL04'!$B$3=Q$3,SUMIF('TL04'!$C$10:$C$224,$C125,'TL04'!$J$10:$J$224),0),
IF('TL04'!$B$229=Q$3,SUMIF('TL04'!$C$238:$C$451,$C125,'TL04'!$J$238:$J$451),0),
IF('TL05'!$B$3=Q$3,SUMIF('TL05'!$C$10:$C$224,$C125,'TL05'!$J$10:$J$224),0),
IF('TL05'!$B$229=Q$3,SUMIF('TL05'!$C$238:$C$451,$C125,'TL05'!$J$238:$J$451),0),
IF('TL06'!$B$3=Q$3,SUMIF('TL06'!$C$10:$C$224,$C125,'TL06'!$J$10:$J$224),0),
IF('TL06'!$B$229=Q$3,SUMIF('TL06'!$C$238:$C$451,$C125,'TL06'!$J$238:$J$451),0),
IF('TL07'!$B$3=Q$3,SUMIF('TL07'!$C$10:$C$224,$C125,'TL07'!$J$10:$J$224),0),
IF('TL07'!$B$229=Q$3,SUMIF('TL07'!$C$238:$C$451,$C125,'TL07'!$J$238:$J$451),0),
IF('TL08'!$B$3=Q$3,SUMIF('TL08'!$C$10:$C$224,$C125,'TL08'!$J$10:$J$224),0),
IF('TL08'!$B$229=Q$3,SUMIF('TL08'!$C$238:$C$451,$C125,'TL08'!$J$238:$J$451),0),
IF('TL09'!$B$3=Q$3,SUMIF('TL09'!$C$10:$C$224,$C125,'TL09'!$J$10:$J$224),0),
IF('TL09'!$B$229=Q$3,SUMIF('TL09'!$C$238:$C$451,$C125,'TL09'!$J$238:$J$451),0),
IF('TL10'!$B$3=Q$3,SUMIF('TL10'!$C$10:$C$224,$C125,'TL10'!$J$10:$J$224),0),
IF('TL10'!$B$229=Q$3,SUMIF('TL10'!$C$238:$C$451,$C125,'TL10'!$J$238:$J$451),0),
IF('TL11'!$B$3=Q$3,SUMIF('TL11'!$C$10:$C$224,$C125,'TL11'!$J$10:$J$224),0),
IF('TL11'!$B$229=Q$3,SUMIF('TL11'!$C$238:$C$451,$C125,'TL11'!$J$238:$J$451),0),
IF('TL12'!$B$3=Q$3,SUMIF('TL12'!$C$10:$C$224,$C125,'TL12'!$J$10:$J$224),0),
IF('TL12'!$B$229=Q$3,SUMIF('TL12'!$C$238:$C$451,$C125,'TL12'!$J$238:$J$451),0),
IF('TL13'!$B$3=Q$3,SUMIF('TL13'!$C$10:$C$224,$C125,'TL13'!$J$10:$J$224),0),
IF('TL13'!$B$229=Q$3,SUMIF('TL13'!$C$238:$C$451,$C125,'TL13'!$J$238:$J$451),0),
IF('TL14'!$B$3=Q$3,SUMIF('TL14'!$C$10:$C$224,$C125,'TL14'!$J$10:$J$224),0),
IF('TL14'!$B$229=Q$3,SUMIF('TL14'!$C$238:$C$451,$C125,'TL14'!$J$238:$J$451),0),
IF('TL15'!$B$3=Q$3,SUMIF('TL15'!$C$10:$C$224,$C125,'TL15'!$J$10:$J$224),0),
IF('TL15'!$B$229=Q$3,SUMIF('TL15'!$C$238:$C$451,$C125,'TL15'!$J$238:$J$451),0),
IF('TL16'!$B$3=Q$3,SUMIF('TL16'!$C$10:$C$224,$C125,'TL16'!$J$10:$J$224),0),
IF('TL16'!$B$229=Q$3,SUMIF('TL16'!$C$238:$C$451,$C125,'TL16'!$J$238:$J$451),0),
IF('TL17'!$B$3=Q$3,SUMIF('TL17'!$C$10:$C$224,$C125,'TL17'!$J$10:$J$224),0),
IF('TL17'!$B$229=Q$3,SUMIF('TL17'!$C$238:$C$451,$C125,'TL17'!$J$238:$J$451),0),
IF('TL18'!$B$3=Q$3,SUMIF('TL18'!$C$10:$C$224,$C125,'TL18'!$J$10:$J$224),0),
IF('TL18'!$B$229=Q$3,SUMIF('TL18'!$C$238:$C$451,$C125,'TL18'!$J$238:$J$451),0),
IF('TL19'!$B$3=Q$3,SUMIF('TL19'!$C$10:$C$224,$C125,'TL19'!$J$10:$J$224),0),
IF('TL19'!$B$229=Q$3,SUMIF('TL19'!$C$238:$C$451,$C125,'TL19'!$J$238:$J$451),0)
),0)</f>
        <v/>
      </c>
      <c r="R125" s="9">
        <f>IFERROR(
SUM(
SUMIF('TL01'!C:C,C125,'TL01'!J:J),
SUMIF('TL02'!C:C,C125,'TL02'!J:J),
SUMIF('TL03'!C:C,C125,'TL03'!J:J),
SUMIF('TL04'!C:C,C125,'TL04'!J:J),
SUMIF('TL05'!C:C,C125,'TL05'!J:J),
SUMIF('TL06'!C:C,C125,'TL06'!J:J),
SUMIF('TL07'!C:C,C125,'TL07'!J:J),
SUMIF('TL08'!C:C,C125,'TL08'!J:J),
SUMIF('TL09'!C:C,C125,'TL09'!J:J),
SUMIF('TL10'!C:C,C125,'TL10'!J:J),
SUMIF('TL11'!C:C,C125,'TL11'!J:J),
SUMIF('TL12'!C:C,C125,'TL12'!J:J),
SUMIF('TL13'!C:C,C125,'TL13'!J:J),
SUMIF('TL14'!C:C,C125,'TL14'!J:J),
SUMIF('TL15'!C:C,C125,'TL15'!J:J),
SUMIF('TL16'!C:C,C125,'TL16'!J:J),
SUMIF('TL17'!C:C,C125,'TL17'!J:J),
SUMIF('TL18'!C:C,C125,'TL18'!J:J),SUMIF('TL19'!C:C,C125,'TL19'!J:J))
,0)</f>
        <v/>
      </c>
      <c r="S125" s="17">
        <f>IFERROR(__xludf.DUMMYFUNCTION("IFERROR(VLOOKUP(C125,
IMPORTRANGE(""1wULbzX32WdYsx-lj2U3uUNBBe2INVIRDtcK0d-Dvl90"",
""26-27!C:G""),
5,
FALSE),
"""")"),38.17274)</f>
        <v/>
      </c>
      <c r="T125" s="9" t="n"/>
      <c r="U125" s="92">
        <f>MAX(0,R125-T125)</f>
        <v/>
      </c>
      <c r="V125" s="93">
        <f>U125*S125</f>
        <v/>
      </c>
    </row>
    <row r="126" hidden="1" ht="15.75" customHeight="1" s="297">
      <c r="A126" s="115" t="inlineStr">
        <is>
          <t>CORTEVA</t>
        </is>
      </c>
      <c r="B126" s="100" t="inlineStr">
        <is>
          <t>HERBICIDA</t>
        </is>
      </c>
      <c r="C126" s="116" t="inlineStr">
        <is>
          <t>ACCENT</t>
        </is>
      </c>
      <c r="D126" s="116" t="inlineStr">
        <is>
          <t>NICOSSULFUROM</t>
        </is>
      </c>
      <c r="E126" s="116" t="n">
        <v>750</v>
      </c>
      <c r="F126" s="4" t="inlineStr">
        <is>
          <t>KG</t>
        </is>
      </c>
      <c r="G126" s="90">
        <f>HYPERLINK("https://www.google.com/search?q=" &amp; C126 &amp; "+bula+agrofit+pdf", "📄 Ver bula")</f>
        <v/>
      </c>
      <c r="H126" s="9">
        <f>IFERROR(__xludf.DUMMYFUNCTION("IFERROR(VLOOKUP(C126,
IMPORTRANGE(""1wULbzX32WdYsx-lj2U3uUNBBe2INVIRDtcK0d-Dvl90"",
""26-27!C:K""),
8,
FALSE),
"""")"),"")</f>
        <v/>
      </c>
      <c r="I126" s="117" t="inlineStr">
        <is>
          <t>12X0,300</t>
        </is>
      </c>
      <c r="J126" s="9">
        <f>IFERROR(SUM(
IF('TL01'!$B$3=J$3,SUMIF('TL01'!$C$10:$C$224,$C126,'TL01'!$J$10:$J$224),0),
IF('TL01'!$B$229=J$3,SUMIF('TL01'!$C$238:$C$451,$C126,'TL01'!$J$238:$J$451),0),
IF('TL02'!$B$3=J$3,SUMIF('TL02'!$C$10:$C$224,$C126,'TL02'!$J$10:$J$224),0),
IF('TL02'!$B$229=J$3,SUMIF('TL02'!$C$238:$C$451,$C126,'TL02'!$J$238:$J$451),0),
IF('TL03'!$B$3=J$3,SUMIF('TL03'!$C$10:$C$224,$C126,'TL03'!$J$10:$J$224),0),
IF('TL03'!$B$229=J$3,SUMIF('TL03'!$C$238:$C$451,$C126,'TL03'!$J$238:$J$451),0),
IF('TL04'!$B$3=J$3,SUMIF('TL04'!$C$10:$C$224,$C126,'TL04'!$J$10:$J$224),0),
IF('TL04'!$B$229=J$3,SUMIF('TL04'!$C$238:$C$451,$C126,'TL04'!$J$238:$J$451),0),
IF('TL05'!$B$3=J$3,SUMIF('TL05'!$C$10:$C$224,$C126,'TL05'!$J$10:$J$224),0),
IF('TL05'!$B$229=J$3,SUMIF('TL05'!$C$238:$C$451,$C126,'TL05'!$J$238:$J$451),0),
IF('TL06'!$B$3=J$3,SUMIF('TL06'!$C$10:$C$224,$C126,'TL06'!$J$10:$J$224),0),
IF('TL06'!$B$229=J$3,SUMIF('TL06'!$C$238:$C$451,$C126,'TL06'!$J$238:$J$451),0),
IF('TL07'!$B$3=J$3,SUMIF('TL07'!$C$10:$C$224,$C126,'TL07'!$J$10:$J$224),0),
IF('TL07'!$B$229=J$3,SUMIF('TL07'!$C$238:$C$451,$C126,'TL07'!$J$238:$J$451),0),
IF('TL08'!$B$3=J$3,SUMIF('TL08'!$C$10:$C$224,$C126,'TL08'!$J$10:$J$224),0),
IF('TL08'!$B$229=J$3,SUMIF('TL08'!$C$238:$C$451,$C126,'TL08'!$J$238:$J$451),0),
IF('TL09'!$B$3=J$3,SUMIF('TL09'!$C$10:$C$224,$C126,'TL09'!$J$10:$J$224),0),
IF('TL09'!$B$229=J$3,SUMIF('TL09'!$C$238:$C$451,$C126,'TL09'!$J$238:$J$451),0),
IF('TL10'!$B$3=J$3,SUMIF('TL10'!$C$10:$C$224,$C126,'TL10'!$J$10:$J$224),0),
IF('TL10'!$B$229=J$3,SUMIF('TL10'!$C$238:$C$451,$C126,'TL10'!$J$238:$J$451),0),
IF('TL11'!$B$3=J$3,SUMIF('TL11'!$C$10:$C$224,$C126,'TL11'!$J$10:$J$224),0),
IF('TL11'!$B$229=J$3,SUMIF('TL11'!$C$238:$C$451,$C126,'TL11'!$J$238:$J$451),0),
IF('TL12'!$B$3=J$3,SUMIF('TL12'!$C$10:$C$224,$C126,'TL12'!$J$10:$J$224),0),
IF('TL12'!$B$229=J$3,SUMIF('TL12'!$C$238:$C$451,$C126,'TL12'!$J$238:$J$451),0),
IF('TL13'!$B$3=J$3,SUMIF('TL13'!$C$10:$C$224,$C126,'TL13'!$J$10:$J$224),0),
IF('TL13'!$B$229=J$3,SUMIF('TL13'!$C$238:$C$451,$C126,'TL13'!$J$238:$J$451),0),
IF('TL14'!$B$3=J$3,SUMIF('TL14'!$C$10:$C$224,$C126,'TL14'!$J$10:$J$224),0),
IF('TL14'!$B$229=J$3,SUMIF('TL14'!$C$238:$C$451,$C126,'TL14'!$J$238:$J$451),0),
IF('TL15'!$B$3=J$3,SUMIF('TL15'!$C$10:$C$224,$C126,'TL15'!$J$10:$J$224),0),
IF('TL15'!$B$229=J$3,SUMIF('TL15'!$C$238:$C$451,$C126,'TL15'!$J$238:$J$451),0),
IF('TL16'!$B$3=J$3,SUMIF('TL16'!$C$10:$C$224,$C126,'TL16'!$J$10:$J$224),0),
IF('TL16'!$B$229=J$3,SUMIF('TL16'!$C$238:$C$451,$C126,'TL16'!$J$238:$J$451),0),
IF('TL17'!$B$3=J$3,SUMIF('TL17'!$C$10:$C$224,$C126,'TL17'!$J$10:$J$224),0),
IF('TL17'!$B$229=J$3,SUMIF('TL17'!$C$238:$C$451,$C126,'TL17'!$J$238:$J$451),0),
IF('TL18'!$B$3=J$3,SUMIF('TL18'!$C$10:$C$224,$C126,'TL18'!$J$10:$J$224),0),
IF('TL18'!$B$229=J$3,SUMIF('TL18'!$C$238:$C$451,$C126,'TL18'!$J$238:$J$451),0),
IF('TL19'!$B$3=J$3,SUMIF('TL19'!$C$10:$C$224,$C126,'TL19'!$J$10:$J$224),0),
IF('TL19'!$B$229=J$3,SUMIF('TL19'!$C$238:$C$451,$C126,'TL19'!$J$238:$J$451),0)
),0)</f>
        <v/>
      </c>
      <c r="K126" s="9">
        <f>IFERROR(SUM(
IF('TL01'!$B$3=K$3,SUMIF('TL01'!$C$10:$C$224,$C126,'TL01'!$J$10:$J$224),0),
IF('TL01'!$B$229=K$3,SUMIF('TL01'!$C$238:$C$451,$C126,'TL01'!$J$238:$J$451),0),
IF('TL02'!$B$3=K$3,SUMIF('TL02'!$C$10:$C$224,$C126,'TL02'!$J$10:$J$224),0),
IF('TL02'!$B$229=K$3,SUMIF('TL02'!$C$238:$C$451,$C126,'TL02'!$J$238:$J$451),0),
IF('TL03'!$B$3=K$3,SUMIF('TL03'!$C$10:$C$224,$C126,'TL03'!$J$10:$J$224),0),
IF('TL03'!$B$229=K$3,SUMIF('TL03'!$C$238:$C$451,$C126,'TL03'!$J$238:$J$451),0),
IF('TL04'!$B$3=K$3,SUMIF('TL04'!$C$10:$C$224,$C126,'TL04'!$J$10:$J$224),0),
IF('TL04'!$B$229=K$3,SUMIF('TL04'!$C$238:$C$451,$C126,'TL04'!$J$238:$J$451),0),
IF('TL05'!$B$3=K$3,SUMIF('TL05'!$C$10:$C$224,$C126,'TL05'!$J$10:$J$224),0),
IF('TL05'!$B$229=K$3,SUMIF('TL05'!$C$238:$C$451,$C126,'TL05'!$J$238:$J$451),0),
IF('TL06'!$B$3=K$3,SUMIF('TL06'!$C$10:$C$224,$C126,'TL06'!$J$10:$J$224),0),
IF('TL06'!$B$229=K$3,SUMIF('TL06'!$C$238:$C$451,$C126,'TL06'!$J$238:$J$451),0),
IF('TL07'!$B$3=K$3,SUMIF('TL07'!$C$10:$C$224,$C126,'TL07'!$J$10:$J$224),0),
IF('TL07'!$B$229=K$3,SUMIF('TL07'!$C$238:$C$451,$C126,'TL07'!$J$238:$J$451),0),
IF('TL08'!$B$3=K$3,SUMIF('TL08'!$C$10:$C$224,$C126,'TL08'!$J$10:$J$224),0),
IF('TL08'!$B$229=K$3,SUMIF('TL08'!$C$238:$C$451,$C126,'TL08'!$J$238:$J$451),0),
IF('TL09'!$B$3=K$3,SUMIF('TL09'!$C$10:$C$224,$C126,'TL09'!$J$10:$J$224),0),
IF('TL09'!$B$229=K$3,SUMIF('TL09'!$C$238:$C$451,$C126,'TL09'!$J$238:$J$451),0),
IF('TL10'!$B$3=K$3,SUMIF('TL10'!$C$10:$C$224,$C126,'TL10'!$J$10:$J$224),0),
IF('TL10'!$B$229=K$3,SUMIF('TL10'!$C$238:$C$451,$C126,'TL10'!$J$238:$J$451),0),
IF('TL11'!$B$3=K$3,SUMIF('TL11'!$C$10:$C$224,$C126,'TL11'!$J$10:$J$224),0),
IF('TL11'!$B$229=K$3,SUMIF('TL11'!$C$238:$C$451,$C126,'TL11'!$J$238:$J$451),0),
IF('TL12'!$B$3=K$3,SUMIF('TL12'!$C$10:$C$224,$C126,'TL12'!$J$10:$J$224),0),
IF('TL12'!$B$229=K$3,SUMIF('TL12'!$C$238:$C$451,$C126,'TL12'!$J$238:$J$451),0),
IF('TL13'!$B$3=K$3,SUMIF('TL13'!$C$10:$C$224,$C126,'TL13'!$J$10:$J$224),0),
IF('TL13'!$B$229=K$3,SUMIF('TL13'!$C$238:$C$451,$C126,'TL13'!$J$238:$J$451),0),
IF('TL14'!$B$3=K$3,SUMIF('TL14'!$C$10:$C$224,$C126,'TL14'!$J$10:$J$224),0),
IF('TL14'!$B$229=K$3,SUMIF('TL14'!$C$238:$C$451,$C126,'TL14'!$J$238:$J$451),0),
IF('TL15'!$B$3=K$3,SUMIF('TL15'!$C$10:$C$224,$C126,'TL15'!$J$10:$J$224),0),
IF('TL15'!$B$229=K$3,SUMIF('TL15'!$C$238:$C$451,$C126,'TL15'!$J$238:$J$451),0),
IF('TL16'!$B$3=K$3,SUMIF('TL16'!$C$10:$C$224,$C126,'TL16'!$J$10:$J$224),0),
IF('TL16'!$B$229=K$3,SUMIF('TL16'!$C$238:$C$451,$C126,'TL16'!$J$238:$J$451),0),
IF('TL17'!$B$3=K$3,SUMIF('TL17'!$C$10:$C$224,$C126,'TL17'!$J$10:$J$224),0),
IF('TL17'!$B$229=K$3,SUMIF('TL17'!$C$238:$C$451,$C126,'TL17'!$J$238:$J$451),0),
IF('TL18'!$B$3=K$3,SUMIF('TL18'!$C$10:$C$224,$C126,'TL18'!$J$10:$J$224),0),
IF('TL18'!$B$229=K$3,SUMIF('TL18'!$C$238:$C$451,$C126,'TL18'!$J$238:$J$451),0),
IF('TL19'!$B$3=K$3,SUMIF('TL19'!$C$10:$C$224,$C126,'TL19'!$J$10:$J$224),0),
IF('TL19'!$B$229=K$3,SUMIF('TL19'!$C$238:$C$451,$C126,'TL19'!$J$238:$J$451),0)
),0)</f>
        <v/>
      </c>
      <c r="L126" s="9">
        <f>IFERROR(SUM(
IF('TL01'!$B$3=L$3,SUMIF('TL01'!$C$10:$C$224,$C126,'TL01'!$J$10:$J$224),0),
IF('TL01'!$B$229=L$3,SUMIF('TL01'!$C$238:$C$451,$C126,'TL01'!$J$238:$J$451),0),
IF('TL02'!$B$3=L$3,SUMIF('TL02'!$C$10:$C$224,$C126,'TL02'!$J$10:$J$224),0),
IF('TL02'!$B$229=L$3,SUMIF('TL02'!$C$238:$C$451,$C126,'TL02'!$J$238:$J$451),0),
IF('TL03'!$B$3=L$3,SUMIF('TL03'!$C$10:$C$224,$C126,'TL03'!$J$10:$J$224),0),
IF('TL03'!$B$229=L$3,SUMIF('TL03'!$C$238:$C$451,$C126,'TL03'!$J$238:$J$451),0),
IF('TL04'!$B$3=L$3,SUMIF('TL04'!$C$10:$C$224,$C126,'TL04'!$J$10:$J$224),0),
IF('TL04'!$B$229=L$3,SUMIF('TL04'!$C$238:$C$451,$C126,'TL04'!$J$238:$J$451),0),
IF('TL05'!$B$3=L$3,SUMIF('TL05'!$C$10:$C$224,$C126,'TL05'!$J$10:$J$224),0),
IF('TL05'!$B$229=L$3,SUMIF('TL05'!$C$238:$C$451,$C126,'TL05'!$J$238:$J$451),0),
IF('TL06'!$B$3=L$3,SUMIF('TL06'!$C$10:$C$224,$C126,'TL06'!$J$10:$J$224),0),
IF('TL06'!$B$229=L$3,SUMIF('TL06'!$C$238:$C$451,$C126,'TL06'!$J$238:$J$451),0),
IF('TL07'!$B$3=L$3,SUMIF('TL07'!$C$10:$C$224,$C126,'TL07'!$J$10:$J$224),0),
IF('TL07'!$B$229=L$3,SUMIF('TL07'!$C$238:$C$451,$C126,'TL07'!$J$238:$J$451),0),
IF('TL08'!$B$3=L$3,SUMIF('TL08'!$C$10:$C$224,$C126,'TL08'!$J$10:$J$224),0),
IF('TL08'!$B$229=L$3,SUMIF('TL08'!$C$238:$C$451,$C126,'TL08'!$J$238:$J$451),0),
IF('TL09'!$B$3=L$3,SUMIF('TL09'!$C$10:$C$224,$C126,'TL09'!$J$10:$J$224),0),
IF('TL09'!$B$229=L$3,SUMIF('TL09'!$C$238:$C$451,$C126,'TL09'!$J$238:$J$451),0),
IF('TL10'!$B$3=L$3,SUMIF('TL10'!$C$10:$C$224,$C126,'TL10'!$J$10:$J$224),0),
IF('TL10'!$B$229=L$3,SUMIF('TL10'!$C$238:$C$451,$C126,'TL10'!$J$238:$J$451),0),
IF('TL11'!$B$3=L$3,SUMIF('TL11'!$C$10:$C$224,$C126,'TL11'!$J$10:$J$224),0),
IF('TL11'!$B$229=L$3,SUMIF('TL11'!$C$238:$C$451,$C126,'TL11'!$J$238:$J$451),0),
IF('TL12'!$B$3=L$3,SUMIF('TL12'!$C$10:$C$224,$C126,'TL12'!$J$10:$J$224),0),
IF('TL12'!$B$229=L$3,SUMIF('TL12'!$C$238:$C$451,$C126,'TL12'!$J$238:$J$451),0),
IF('TL13'!$B$3=L$3,SUMIF('TL13'!$C$10:$C$224,$C126,'TL13'!$J$10:$J$224),0),
IF('TL13'!$B$229=L$3,SUMIF('TL13'!$C$238:$C$451,$C126,'TL13'!$J$238:$J$451),0),
IF('TL14'!$B$3=L$3,SUMIF('TL14'!$C$10:$C$224,$C126,'TL14'!$J$10:$J$224),0),
IF('TL14'!$B$229=L$3,SUMIF('TL14'!$C$238:$C$451,$C126,'TL14'!$J$238:$J$451),0),
IF('TL15'!$B$3=L$3,SUMIF('TL15'!$C$10:$C$224,$C126,'TL15'!$J$10:$J$224),0),
IF('TL15'!$B$229=L$3,SUMIF('TL15'!$C$238:$C$451,$C126,'TL15'!$J$238:$J$451),0),
IF('TL16'!$B$3=L$3,SUMIF('TL16'!$C$10:$C$224,$C126,'TL16'!$J$10:$J$224),0),
IF('TL16'!$B$229=L$3,SUMIF('TL16'!$C$238:$C$451,$C126,'TL16'!$J$238:$J$451),0),
IF('TL17'!$B$3=L$3,SUMIF('TL17'!$C$10:$C$224,$C126,'TL17'!$J$10:$J$224),0),
IF('TL17'!$B$229=L$3,SUMIF('TL17'!$C$238:$C$451,$C126,'TL17'!$J$238:$J$451),0),
IF('TL18'!$B$3=L$3,SUMIF('TL18'!$C$10:$C$224,$C126,'TL18'!$J$10:$J$224),0),
IF('TL18'!$B$229=L$3,SUMIF('TL18'!$C$238:$C$451,$C126,'TL18'!$J$238:$J$451),0),
IF('TL19'!$B$3=L$3,SUMIF('TL19'!$C$10:$C$224,$C126,'TL19'!$J$10:$J$224),0),
IF('TL19'!$B$229=L$3,SUMIF('TL19'!$C$238:$C$451,$C126,'TL19'!$J$238:$J$451),0)
),0)</f>
        <v/>
      </c>
      <c r="M126" s="9">
        <f>IFERROR(SUM(
IF('TL01'!$B$3=M$3,SUMIF('TL01'!$C$10:$C$224,$C126,'TL01'!$J$10:$J$224),0),
IF('TL01'!$B$229=M$3,SUMIF('TL01'!$C$238:$C$451,$C126,'TL01'!$J$238:$J$451),0),
IF('TL02'!$B$3=M$3,SUMIF('TL02'!$C$10:$C$224,$C126,'TL02'!$J$10:$J$224),0),
IF('TL02'!$B$229=M$3,SUMIF('TL02'!$C$238:$C$451,$C126,'TL02'!$J$238:$J$451),0),
IF('TL03'!$B$3=M$3,SUMIF('TL03'!$C$10:$C$224,$C126,'TL03'!$J$10:$J$224),0),
IF('TL03'!$B$229=M$3,SUMIF('TL03'!$C$238:$C$451,$C126,'TL03'!$J$238:$J$451),0),
IF('TL04'!$B$3=M$3,SUMIF('TL04'!$C$10:$C$224,$C126,'TL04'!$J$10:$J$224),0),
IF('TL04'!$B$229=M$3,SUMIF('TL04'!$C$238:$C$451,$C126,'TL04'!$J$238:$J$451),0),
IF('TL05'!$B$3=M$3,SUMIF('TL05'!$C$10:$C$224,$C126,'TL05'!$J$10:$J$224),0),
IF('TL05'!$B$229=M$3,SUMIF('TL05'!$C$238:$C$451,$C126,'TL05'!$J$238:$J$451),0),
IF('TL06'!$B$3=M$3,SUMIF('TL06'!$C$10:$C$224,$C126,'TL06'!$J$10:$J$224),0),
IF('TL06'!$B$229=M$3,SUMIF('TL06'!$C$238:$C$451,$C126,'TL06'!$J$238:$J$451),0),
IF('TL07'!$B$3=M$3,SUMIF('TL07'!$C$10:$C$224,$C126,'TL07'!$J$10:$J$224),0),
IF('TL07'!$B$229=M$3,SUMIF('TL07'!$C$238:$C$451,$C126,'TL07'!$J$238:$J$451),0),
IF('TL08'!$B$3=M$3,SUMIF('TL08'!$C$10:$C$224,$C126,'TL08'!$J$10:$J$224),0),
IF('TL08'!$B$229=M$3,SUMIF('TL08'!$C$238:$C$451,$C126,'TL08'!$J$238:$J$451),0),
IF('TL09'!$B$3=M$3,SUMIF('TL09'!$C$10:$C$224,$C126,'TL09'!$J$10:$J$224),0),
IF('TL09'!$B$229=M$3,SUMIF('TL09'!$C$238:$C$451,$C126,'TL09'!$J$238:$J$451),0),
IF('TL10'!$B$3=M$3,SUMIF('TL10'!$C$10:$C$224,$C126,'TL10'!$J$10:$J$224),0),
IF('TL10'!$B$229=M$3,SUMIF('TL10'!$C$238:$C$451,$C126,'TL10'!$J$238:$J$451),0),
IF('TL11'!$B$3=M$3,SUMIF('TL11'!$C$10:$C$224,$C126,'TL11'!$J$10:$J$224),0),
IF('TL11'!$B$229=M$3,SUMIF('TL11'!$C$238:$C$451,$C126,'TL11'!$J$238:$J$451),0),
IF('TL12'!$B$3=M$3,SUMIF('TL12'!$C$10:$C$224,$C126,'TL12'!$J$10:$J$224),0),
IF('TL12'!$B$229=M$3,SUMIF('TL12'!$C$238:$C$451,$C126,'TL12'!$J$238:$J$451),0),
IF('TL13'!$B$3=M$3,SUMIF('TL13'!$C$10:$C$224,$C126,'TL13'!$J$10:$J$224),0),
IF('TL13'!$B$229=M$3,SUMIF('TL13'!$C$238:$C$451,$C126,'TL13'!$J$238:$J$451),0),
IF('TL14'!$B$3=M$3,SUMIF('TL14'!$C$10:$C$224,$C126,'TL14'!$J$10:$J$224),0),
IF('TL14'!$B$229=M$3,SUMIF('TL14'!$C$238:$C$451,$C126,'TL14'!$J$238:$J$451),0),
IF('TL15'!$B$3=M$3,SUMIF('TL15'!$C$10:$C$224,$C126,'TL15'!$J$10:$J$224),0),
IF('TL15'!$B$229=M$3,SUMIF('TL15'!$C$238:$C$451,$C126,'TL15'!$J$238:$J$451),0),
IF('TL16'!$B$3=M$3,SUMIF('TL16'!$C$10:$C$224,$C126,'TL16'!$J$10:$J$224),0),
IF('TL16'!$B$229=M$3,SUMIF('TL16'!$C$238:$C$451,$C126,'TL16'!$J$238:$J$451),0),
IF('TL17'!$B$3=M$3,SUMIF('TL17'!$C$10:$C$224,$C126,'TL17'!$J$10:$J$224),0),
IF('TL17'!$B$229=M$3,SUMIF('TL17'!$C$238:$C$451,$C126,'TL17'!$J$238:$J$451),0),
IF('TL18'!$B$3=M$3,SUMIF('TL18'!$C$10:$C$224,$C126,'TL18'!$J$10:$J$224),0),
IF('TL18'!$B$229=M$3,SUMIF('TL18'!$C$238:$C$451,$C126,'TL18'!$J$238:$J$451),0),
IF('TL19'!$B$3=M$3,SUMIF('TL19'!$C$10:$C$224,$C126,'TL19'!$J$10:$J$224),0),
IF('TL19'!$B$229=M$3,SUMIF('TL19'!$C$238:$C$451,$C126,'TL19'!$J$238:$J$451),0)
),0)</f>
        <v/>
      </c>
      <c r="N126" s="9">
        <f>IFERROR(SUM(
IF('TL01'!$B$3=N$3,SUMIF('TL01'!$C$10:$C$224,$C126,'TL01'!$J$10:$J$224),0),
IF('TL01'!$B$229=N$3,SUMIF('TL01'!$C$238:$C$451,$C126,'TL01'!$J$238:$J$451),0),
IF('TL02'!$B$3=N$3,SUMIF('TL02'!$C$10:$C$224,$C126,'TL02'!$J$10:$J$224),0),
IF('TL02'!$B$229=N$3,SUMIF('TL02'!$C$238:$C$451,$C126,'TL02'!$J$238:$J$451),0),
IF('TL03'!$B$3=N$3,SUMIF('TL03'!$C$10:$C$224,$C126,'TL03'!$J$10:$J$224),0),
IF('TL03'!$B$229=N$3,SUMIF('TL03'!$C$238:$C$451,$C126,'TL03'!$J$238:$J$451),0),
IF('TL04'!$B$3=N$3,SUMIF('TL04'!$C$10:$C$224,$C126,'TL04'!$J$10:$J$224),0),
IF('TL04'!$B$229=N$3,SUMIF('TL04'!$C$238:$C$451,$C126,'TL04'!$J$238:$J$451),0),
IF('TL05'!$B$3=N$3,SUMIF('TL05'!$C$10:$C$224,$C126,'TL05'!$J$10:$J$224),0),
IF('TL05'!$B$229=N$3,SUMIF('TL05'!$C$238:$C$451,$C126,'TL05'!$J$238:$J$451),0),
IF('TL06'!$B$3=N$3,SUMIF('TL06'!$C$10:$C$224,$C126,'TL06'!$J$10:$J$224),0),
IF('TL06'!$B$229=N$3,SUMIF('TL06'!$C$238:$C$451,$C126,'TL06'!$J$238:$J$451),0),
IF('TL07'!$B$3=N$3,SUMIF('TL07'!$C$10:$C$224,$C126,'TL07'!$J$10:$J$224),0),
IF('TL07'!$B$229=N$3,SUMIF('TL07'!$C$238:$C$451,$C126,'TL07'!$J$238:$J$451),0),
IF('TL08'!$B$3=N$3,SUMIF('TL08'!$C$10:$C$224,$C126,'TL08'!$J$10:$J$224),0),
IF('TL08'!$B$229=N$3,SUMIF('TL08'!$C$238:$C$451,$C126,'TL08'!$J$238:$J$451),0),
IF('TL09'!$B$3=N$3,SUMIF('TL09'!$C$10:$C$224,$C126,'TL09'!$J$10:$J$224),0),
IF('TL09'!$B$229=N$3,SUMIF('TL09'!$C$238:$C$451,$C126,'TL09'!$J$238:$J$451),0),
IF('TL10'!$B$3=N$3,SUMIF('TL10'!$C$10:$C$224,$C126,'TL10'!$J$10:$J$224),0),
IF('TL10'!$B$229=N$3,SUMIF('TL10'!$C$238:$C$451,$C126,'TL10'!$J$238:$J$451),0),
IF('TL11'!$B$3=N$3,SUMIF('TL11'!$C$10:$C$224,$C126,'TL11'!$J$10:$J$224),0),
IF('TL11'!$B$229=N$3,SUMIF('TL11'!$C$238:$C$451,$C126,'TL11'!$J$238:$J$451),0),
IF('TL12'!$B$3=N$3,SUMIF('TL12'!$C$10:$C$224,$C126,'TL12'!$J$10:$J$224),0),
IF('TL12'!$B$229=N$3,SUMIF('TL12'!$C$238:$C$451,$C126,'TL12'!$J$238:$J$451),0),
IF('TL13'!$B$3=N$3,SUMIF('TL13'!$C$10:$C$224,$C126,'TL13'!$J$10:$J$224),0),
IF('TL13'!$B$229=N$3,SUMIF('TL13'!$C$238:$C$451,$C126,'TL13'!$J$238:$J$451),0),
IF('TL14'!$B$3=N$3,SUMIF('TL14'!$C$10:$C$224,$C126,'TL14'!$J$10:$J$224),0),
IF('TL14'!$B$229=N$3,SUMIF('TL14'!$C$238:$C$451,$C126,'TL14'!$J$238:$J$451),0),
IF('TL15'!$B$3=N$3,SUMIF('TL15'!$C$10:$C$224,$C126,'TL15'!$J$10:$J$224),0),
IF('TL15'!$B$229=N$3,SUMIF('TL15'!$C$238:$C$451,$C126,'TL15'!$J$238:$J$451),0),
IF('TL16'!$B$3=N$3,SUMIF('TL16'!$C$10:$C$224,$C126,'TL16'!$J$10:$J$224),0),
IF('TL16'!$B$229=N$3,SUMIF('TL16'!$C$238:$C$451,$C126,'TL16'!$J$238:$J$451),0),
IF('TL17'!$B$3=N$3,SUMIF('TL17'!$C$10:$C$224,$C126,'TL17'!$J$10:$J$224),0),
IF('TL17'!$B$229=N$3,SUMIF('TL17'!$C$238:$C$451,$C126,'TL17'!$J$238:$J$451),0),
IF('TL18'!$B$3=N$3,SUMIF('TL18'!$C$10:$C$224,$C126,'TL18'!$J$10:$J$224),0),
IF('TL18'!$B$229=N$3,SUMIF('TL18'!$C$238:$C$451,$C126,'TL18'!$J$238:$J$451),0),
IF('TL19'!$B$3=N$3,SUMIF('TL19'!$C$10:$C$224,$C126,'TL19'!$J$10:$J$224),0),
IF('TL19'!$B$229=N$3,SUMIF('TL19'!$C$238:$C$451,$C126,'TL19'!$J$238:$J$451),0)
),0)</f>
        <v/>
      </c>
      <c r="O126" s="9">
        <f>IFERROR(SUM(
IF('TL01'!$B$3=O$3,SUMIF('TL01'!$C$10:$C$224,$C126,'TL01'!$J$10:$J$224),0),
IF('TL01'!$B$229=O$3,SUMIF('TL01'!$C$238:$C$451,$C126,'TL01'!$J$238:$J$451),0),
IF('TL02'!$B$3=O$3,SUMIF('TL02'!$C$10:$C$224,$C126,'TL02'!$J$10:$J$224),0),
IF('TL02'!$B$229=O$3,SUMIF('TL02'!$C$238:$C$451,$C126,'TL02'!$J$238:$J$451),0),
IF('TL03'!$B$3=O$3,SUMIF('TL03'!$C$10:$C$224,$C126,'TL03'!$J$10:$J$224),0),
IF('TL03'!$B$229=O$3,SUMIF('TL03'!$C$238:$C$451,$C126,'TL03'!$J$238:$J$451),0),
IF('TL04'!$B$3=O$3,SUMIF('TL04'!$C$10:$C$224,$C126,'TL04'!$J$10:$J$224),0),
IF('TL04'!$B$229=O$3,SUMIF('TL04'!$C$238:$C$451,$C126,'TL04'!$J$238:$J$451),0),
IF('TL05'!$B$3=O$3,SUMIF('TL05'!$C$10:$C$224,$C126,'TL05'!$J$10:$J$224),0),
IF('TL05'!$B$229=O$3,SUMIF('TL05'!$C$238:$C$451,$C126,'TL05'!$J$238:$J$451),0),
IF('TL06'!$B$3=O$3,SUMIF('TL06'!$C$10:$C$224,$C126,'TL06'!$J$10:$J$224),0),
IF('TL06'!$B$229=O$3,SUMIF('TL06'!$C$238:$C$451,$C126,'TL06'!$J$238:$J$451),0),
IF('TL07'!$B$3=O$3,SUMIF('TL07'!$C$10:$C$224,$C126,'TL07'!$J$10:$J$224),0),
IF('TL07'!$B$229=O$3,SUMIF('TL07'!$C$238:$C$451,$C126,'TL07'!$J$238:$J$451),0),
IF('TL08'!$B$3=O$3,SUMIF('TL08'!$C$10:$C$224,$C126,'TL08'!$J$10:$J$224),0),
IF('TL08'!$B$229=O$3,SUMIF('TL08'!$C$238:$C$451,$C126,'TL08'!$J$238:$J$451),0),
IF('TL09'!$B$3=O$3,SUMIF('TL09'!$C$10:$C$224,$C126,'TL09'!$J$10:$J$224),0),
IF('TL09'!$B$229=O$3,SUMIF('TL09'!$C$238:$C$451,$C126,'TL09'!$J$238:$J$451),0),
IF('TL10'!$B$3=O$3,SUMIF('TL10'!$C$10:$C$224,$C126,'TL10'!$J$10:$J$224),0),
IF('TL10'!$B$229=O$3,SUMIF('TL10'!$C$238:$C$451,$C126,'TL10'!$J$238:$J$451),0),
IF('TL11'!$B$3=O$3,SUMIF('TL11'!$C$10:$C$224,$C126,'TL11'!$J$10:$J$224),0),
IF('TL11'!$B$229=O$3,SUMIF('TL11'!$C$238:$C$451,$C126,'TL11'!$J$238:$J$451),0),
IF('TL12'!$B$3=O$3,SUMIF('TL12'!$C$10:$C$224,$C126,'TL12'!$J$10:$J$224),0),
IF('TL12'!$B$229=O$3,SUMIF('TL12'!$C$238:$C$451,$C126,'TL12'!$J$238:$J$451),0),
IF('TL13'!$B$3=O$3,SUMIF('TL13'!$C$10:$C$224,$C126,'TL13'!$J$10:$J$224),0),
IF('TL13'!$B$229=O$3,SUMIF('TL13'!$C$238:$C$451,$C126,'TL13'!$J$238:$J$451),0),
IF('TL14'!$B$3=O$3,SUMIF('TL14'!$C$10:$C$224,$C126,'TL14'!$J$10:$J$224),0),
IF('TL14'!$B$229=O$3,SUMIF('TL14'!$C$238:$C$451,$C126,'TL14'!$J$238:$J$451),0),
IF('TL15'!$B$3=O$3,SUMIF('TL15'!$C$10:$C$224,$C126,'TL15'!$J$10:$J$224),0),
IF('TL15'!$B$229=O$3,SUMIF('TL15'!$C$238:$C$451,$C126,'TL15'!$J$238:$J$451),0),
IF('TL16'!$B$3=O$3,SUMIF('TL16'!$C$10:$C$224,$C126,'TL16'!$J$10:$J$224),0),
IF('TL16'!$B$229=O$3,SUMIF('TL16'!$C$238:$C$451,$C126,'TL16'!$J$238:$J$451),0),
IF('TL17'!$B$3=O$3,SUMIF('TL17'!$C$10:$C$224,$C126,'TL17'!$J$10:$J$224),0),
IF('TL17'!$B$229=O$3,SUMIF('TL17'!$C$238:$C$451,$C126,'TL17'!$J$238:$J$451),0),
IF('TL18'!$B$3=O$3,SUMIF('TL18'!$C$10:$C$224,$C126,'TL18'!$J$10:$J$224),0),
IF('TL18'!$B$229=O$3,SUMIF('TL18'!$C$238:$C$451,$C126,'TL18'!$J$238:$J$451),0),
IF('TL19'!$B$3=O$3,SUMIF('TL19'!$C$10:$C$224,$C126,'TL19'!$J$10:$J$224),0),
IF('TL19'!$B$229=O$3,SUMIF('TL19'!$C$238:$C$451,$C126,'TL19'!$J$238:$J$451),0)
),0)</f>
        <v/>
      </c>
      <c r="P126" s="9">
        <f>IFERROR(SUM(
IF('TL01'!$B$3=P$3,SUMIF('TL01'!$C$10:$C$224,$C126,'TL01'!$J$10:$J$224),0),
IF('TL01'!$B$229=P$3,SUMIF('TL01'!$C$238:$C$451,$C126,'TL01'!$J$238:$J$451),0),
IF('TL02'!$B$3=P$3,SUMIF('TL02'!$C$10:$C$224,$C126,'TL02'!$J$10:$J$224),0),
IF('TL02'!$B$229=P$3,SUMIF('TL02'!$C$238:$C$451,$C126,'TL02'!$J$238:$J$451),0),
IF('TL03'!$B$3=P$3,SUMIF('TL03'!$C$10:$C$224,$C126,'TL03'!$J$10:$J$224),0),
IF('TL03'!$B$229=P$3,SUMIF('TL03'!$C$238:$C$451,$C126,'TL03'!$J$238:$J$451),0),
IF('TL04'!$B$3=P$3,SUMIF('TL04'!$C$10:$C$224,$C126,'TL04'!$J$10:$J$224),0),
IF('TL04'!$B$229=P$3,SUMIF('TL04'!$C$238:$C$451,$C126,'TL04'!$J$238:$J$451),0),
IF('TL05'!$B$3=P$3,SUMIF('TL05'!$C$10:$C$224,$C126,'TL05'!$J$10:$J$224),0),
IF('TL05'!$B$229=P$3,SUMIF('TL05'!$C$238:$C$451,$C126,'TL05'!$J$238:$J$451),0),
IF('TL06'!$B$3=P$3,SUMIF('TL06'!$C$10:$C$224,$C126,'TL06'!$J$10:$J$224),0),
IF('TL06'!$B$229=P$3,SUMIF('TL06'!$C$238:$C$451,$C126,'TL06'!$J$238:$J$451),0),
IF('TL07'!$B$3=P$3,SUMIF('TL07'!$C$10:$C$224,$C126,'TL07'!$J$10:$J$224),0),
IF('TL07'!$B$229=P$3,SUMIF('TL07'!$C$238:$C$451,$C126,'TL07'!$J$238:$J$451),0),
IF('TL08'!$B$3=P$3,SUMIF('TL08'!$C$10:$C$224,$C126,'TL08'!$J$10:$J$224),0),
IF('TL08'!$B$229=P$3,SUMIF('TL08'!$C$238:$C$451,$C126,'TL08'!$J$238:$J$451),0),
IF('TL09'!$B$3=P$3,SUMIF('TL09'!$C$10:$C$224,$C126,'TL09'!$J$10:$J$224),0),
IF('TL09'!$B$229=P$3,SUMIF('TL09'!$C$238:$C$451,$C126,'TL09'!$J$238:$J$451),0),
IF('TL10'!$B$3=P$3,SUMIF('TL10'!$C$10:$C$224,$C126,'TL10'!$J$10:$J$224),0),
IF('TL10'!$B$229=P$3,SUMIF('TL10'!$C$238:$C$451,$C126,'TL10'!$J$238:$J$451),0),
IF('TL11'!$B$3=P$3,SUMIF('TL11'!$C$10:$C$224,$C126,'TL11'!$J$10:$J$224),0),
IF('TL11'!$B$229=P$3,SUMIF('TL11'!$C$238:$C$451,$C126,'TL11'!$J$238:$J$451),0),
IF('TL12'!$B$3=P$3,SUMIF('TL12'!$C$10:$C$224,$C126,'TL12'!$J$10:$J$224),0),
IF('TL12'!$B$229=P$3,SUMIF('TL12'!$C$238:$C$451,$C126,'TL12'!$J$238:$J$451),0),
IF('TL13'!$B$3=P$3,SUMIF('TL13'!$C$10:$C$224,$C126,'TL13'!$J$10:$J$224),0),
IF('TL13'!$B$229=P$3,SUMIF('TL13'!$C$238:$C$451,$C126,'TL13'!$J$238:$J$451),0),
IF('TL14'!$B$3=P$3,SUMIF('TL14'!$C$10:$C$224,$C126,'TL14'!$J$10:$J$224),0),
IF('TL14'!$B$229=P$3,SUMIF('TL14'!$C$238:$C$451,$C126,'TL14'!$J$238:$J$451),0),
IF('TL15'!$B$3=P$3,SUMIF('TL15'!$C$10:$C$224,$C126,'TL15'!$J$10:$J$224),0),
IF('TL15'!$B$229=P$3,SUMIF('TL15'!$C$238:$C$451,$C126,'TL15'!$J$238:$J$451),0),
IF('TL16'!$B$3=P$3,SUMIF('TL16'!$C$10:$C$224,$C126,'TL16'!$J$10:$J$224),0),
IF('TL16'!$B$229=P$3,SUMIF('TL16'!$C$238:$C$451,$C126,'TL16'!$J$238:$J$451),0),
IF('TL17'!$B$3=P$3,SUMIF('TL17'!$C$10:$C$224,$C126,'TL17'!$J$10:$J$224),0),
IF('TL17'!$B$229=P$3,SUMIF('TL17'!$C$238:$C$451,$C126,'TL17'!$J$238:$J$451),0),
IF('TL18'!$B$3=P$3,SUMIF('TL18'!$C$10:$C$224,$C126,'TL18'!$J$10:$J$224),0),
IF('TL18'!$B$229=P$3,SUMIF('TL18'!$C$238:$C$451,$C126,'TL18'!$J$238:$J$451),0),
IF('TL19'!$B$3=P$3,SUMIF('TL19'!$C$10:$C$224,$C126,'TL19'!$J$10:$J$224),0),
IF('TL19'!$B$229=P$3,SUMIF('TL19'!$C$238:$C$451,$C126,'TL19'!$J$238:$J$451),0)
),0)</f>
        <v/>
      </c>
      <c r="Q126" s="9">
        <f>IFERROR(SUM(
IF('TL01'!$B$3=Q$3,SUMIF('TL01'!$C$10:$C$224,$C126,'TL01'!$J$10:$J$224),0),
IF('TL01'!$B$229=Q$3,SUMIF('TL01'!$C$238:$C$451,$C126,'TL01'!$J$238:$J$451),0),
IF('TL02'!$B$3=Q$3,SUMIF('TL02'!$C$10:$C$224,$C126,'TL02'!$J$10:$J$224),0),
IF('TL02'!$B$229=Q$3,SUMIF('TL02'!$C$238:$C$451,$C126,'TL02'!$J$238:$J$451),0),
IF('TL03'!$B$3=Q$3,SUMIF('TL03'!$C$10:$C$224,$C126,'TL03'!$J$10:$J$224),0),
IF('TL03'!$B$229=Q$3,SUMIF('TL03'!$C$238:$C$451,$C126,'TL03'!$J$238:$J$451),0),
IF('TL04'!$B$3=Q$3,SUMIF('TL04'!$C$10:$C$224,$C126,'TL04'!$J$10:$J$224),0),
IF('TL04'!$B$229=Q$3,SUMIF('TL04'!$C$238:$C$451,$C126,'TL04'!$J$238:$J$451),0),
IF('TL05'!$B$3=Q$3,SUMIF('TL05'!$C$10:$C$224,$C126,'TL05'!$J$10:$J$224),0),
IF('TL05'!$B$229=Q$3,SUMIF('TL05'!$C$238:$C$451,$C126,'TL05'!$J$238:$J$451),0),
IF('TL06'!$B$3=Q$3,SUMIF('TL06'!$C$10:$C$224,$C126,'TL06'!$J$10:$J$224),0),
IF('TL06'!$B$229=Q$3,SUMIF('TL06'!$C$238:$C$451,$C126,'TL06'!$J$238:$J$451),0),
IF('TL07'!$B$3=Q$3,SUMIF('TL07'!$C$10:$C$224,$C126,'TL07'!$J$10:$J$224),0),
IF('TL07'!$B$229=Q$3,SUMIF('TL07'!$C$238:$C$451,$C126,'TL07'!$J$238:$J$451),0),
IF('TL08'!$B$3=Q$3,SUMIF('TL08'!$C$10:$C$224,$C126,'TL08'!$J$10:$J$224),0),
IF('TL08'!$B$229=Q$3,SUMIF('TL08'!$C$238:$C$451,$C126,'TL08'!$J$238:$J$451),0),
IF('TL09'!$B$3=Q$3,SUMIF('TL09'!$C$10:$C$224,$C126,'TL09'!$J$10:$J$224),0),
IF('TL09'!$B$229=Q$3,SUMIF('TL09'!$C$238:$C$451,$C126,'TL09'!$J$238:$J$451),0),
IF('TL10'!$B$3=Q$3,SUMIF('TL10'!$C$10:$C$224,$C126,'TL10'!$J$10:$J$224),0),
IF('TL10'!$B$229=Q$3,SUMIF('TL10'!$C$238:$C$451,$C126,'TL10'!$J$238:$J$451),0),
IF('TL11'!$B$3=Q$3,SUMIF('TL11'!$C$10:$C$224,$C126,'TL11'!$J$10:$J$224),0),
IF('TL11'!$B$229=Q$3,SUMIF('TL11'!$C$238:$C$451,$C126,'TL11'!$J$238:$J$451),0),
IF('TL12'!$B$3=Q$3,SUMIF('TL12'!$C$10:$C$224,$C126,'TL12'!$J$10:$J$224),0),
IF('TL12'!$B$229=Q$3,SUMIF('TL12'!$C$238:$C$451,$C126,'TL12'!$J$238:$J$451),0),
IF('TL13'!$B$3=Q$3,SUMIF('TL13'!$C$10:$C$224,$C126,'TL13'!$J$10:$J$224),0),
IF('TL13'!$B$229=Q$3,SUMIF('TL13'!$C$238:$C$451,$C126,'TL13'!$J$238:$J$451),0),
IF('TL14'!$B$3=Q$3,SUMIF('TL14'!$C$10:$C$224,$C126,'TL14'!$J$10:$J$224),0),
IF('TL14'!$B$229=Q$3,SUMIF('TL14'!$C$238:$C$451,$C126,'TL14'!$J$238:$J$451),0),
IF('TL15'!$B$3=Q$3,SUMIF('TL15'!$C$10:$C$224,$C126,'TL15'!$J$10:$J$224),0),
IF('TL15'!$B$229=Q$3,SUMIF('TL15'!$C$238:$C$451,$C126,'TL15'!$J$238:$J$451),0),
IF('TL16'!$B$3=Q$3,SUMIF('TL16'!$C$10:$C$224,$C126,'TL16'!$J$10:$J$224),0),
IF('TL16'!$B$229=Q$3,SUMIF('TL16'!$C$238:$C$451,$C126,'TL16'!$J$238:$J$451),0),
IF('TL17'!$B$3=Q$3,SUMIF('TL17'!$C$10:$C$224,$C126,'TL17'!$J$10:$J$224),0),
IF('TL17'!$B$229=Q$3,SUMIF('TL17'!$C$238:$C$451,$C126,'TL17'!$J$238:$J$451),0),
IF('TL18'!$B$3=Q$3,SUMIF('TL18'!$C$10:$C$224,$C126,'TL18'!$J$10:$J$224),0),
IF('TL18'!$B$229=Q$3,SUMIF('TL18'!$C$238:$C$451,$C126,'TL18'!$J$238:$J$451),0),
IF('TL19'!$B$3=Q$3,SUMIF('TL19'!$C$10:$C$224,$C126,'TL19'!$J$10:$J$224),0),
IF('TL19'!$B$229=Q$3,SUMIF('TL19'!$C$238:$C$451,$C126,'TL19'!$J$238:$J$451),0)
),0)</f>
        <v/>
      </c>
      <c r="R126" s="9">
        <f>IFERROR(
SUM(
SUMIF('TL01'!C:C,C126,'TL01'!J:J),
SUMIF('TL02'!C:C,C126,'TL02'!J:J),
SUMIF('TL03'!C:C,C126,'TL03'!J:J),
SUMIF('TL04'!C:C,C126,'TL04'!J:J),
SUMIF('TL05'!C:C,C126,'TL05'!J:J),
SUMIF('TL06'!C:C,C126,'TL06'!J:J),
SUMIF('TL07'!C:C,C126,'TL07'!J:J),
SUMIF('TL08'!C:C,C126,'TL08'!J:J),
SUMIF('TL09'!C:C,C126,'TL09'!J:J),
SUMIF('TL10'!C:C,C126,'TL10'!J:J),
SUMIF('TL11'!C:C,C126,'TL11'!J:J),
SUMIF('TL12'!C:C,C126,'TL12'!J:J),
SUMIF('TL13'!C:C,C126,'TL13'!J:J),
SUMIF('TL14'!C:C,C126,'TL14'!J:J),
SUMIF('TL15'!C:C,C126,'TL15'!J:J),
SUMIF('TL16'!C:C,C126,'TL16'!J:J),
SUMIF('TL17'!C:C,C126,'TL17'!J:J),
SUMIF('TL18'!C:C,C126,'TL18'!J:J),SUMIF('TL19'!C:C,C126,'TL19'!J:J))
,0)</f>
        <v/>
      </c>
      <c r="S126" s="17">
        <f>IFERROR(__xludf.DUMMYFUNCTION("IFERROR(VLOOKUP(C126,
IMPORTRANGE(""1wULbzX32WdYsx-lj2U3uUNBBe2INVIRDtcK0d-Dvl90"",
""26-27!C:G""),
5,
FALSE),
"""")"),1204.71496)</f>
        <v/>
      </c>
      <c r="T126" s="9" t="n"/>
      <c r="U126" s="92">
        <f>MAX(0,R126-T126)</f>
        <v/>
      </c>
      <c r="V126" s="93">
        <f>U126*S126</f>
        <v/>
      </c>
    </row>
    <row r="127" hidden="1" ht="15.75" customHeight="1" s="297">
      <c r="A127" s="111" t="inlineStr">
        <is>
          <t>CORTEVA</t>
        </is>
      </c>
      <c r="B127" s="112" t="inlineStr">
        <is>
          <t>HERBICIDA</t>
        </is>
      </c>
      <c r="C127" s="113" t="inlineStr">
        <is>
          <t>CLASSIC</t>
        </is>
      </c>
      <c r="D127" s="113" t="inlineStr">
        <is>
          <t>CLORIMUROM-ETÍLICO</t>
        </is>
      </c>
      <c r="E127" s="113" t="n">
        <v>250</v>
      </c>
      <c r="F127" s="4" t="inlineStr">
        <is>
          <t>L</t>
        </is>
      </c>
      <c r="G127" s="90">
        <f>HYPERLINK("https://www.google.com/search?q=" &amp; C127 &amp; "+bula+agrofit+pdf", "📄 Ver bula")</f>
        <v/>
      </c>
      <c r="H127" s="9">
        <f>IFERROR(__xludf.DUMMYFUNCTION("IFERROR(VLOOKUP(C127,
IMPORTRANGE(""1wULbzX32WdYsx-lj2U3uUNBBe2INVIRDtcK0d-Dvl90"",
""26-27!C:K""),
8,
FALSE),
"""")"),"")</f>
        <v/>
      </c>
      <c r="I127" s="114" t="inlineStr">
        <is>
          <t>6X1,2</t>
        </is>
      </c>
      <c r="J127" s="9">
        <f>IFERROR(SUM(
IF('TL01'!$B$3=J$3,SUMIF('TL01'!$C$10:$C$224,$C127,'TL01'!$J$10:$J$224),0),
IF('TL01'!$B$229=J$3,SUMIF('TL01'!$C$238:$C$451,$C127,'TL01'!$J$238:$J$451),0),
IF('TL02'!$B$3=J$3,SUMIF('TL02'!$C$10:$C$224,$C127,'TL02'!$J$10:$J$224),0),
IF('TL02'!$B$229=J$3,SUMIF('TL02'!$C$238:$C$451,$C127,'TL02'!$J$238:$J$451),0),
IF('TL03'!$B$3=J$3,SUMIF('TL03'!$C$10:$C$224,$C127,'TL03'!$J$10:$J$224),0),
IF('TL03'!$B$229=J$3,SUMIF('TL03'!$C$238:$C$451,$C127,'TL03'!$J$238:$J$451),0),
IF('TL04'!$B$3=J$3,SUMIF('TL04'!$C$10:$C$224,$C127,'TL04'!$J$10:$J$224),0),
IF('TL04'!$B$229=J$3,SUMIF('TL04'!$C$238:$C$451,$C127,'TL04'!$J$238:$J$451),0),
IF('TL05'!$B$3=J$3,SUMIF('TL05'!$C$10:$C$224,$C127,'TL05'!$J$10:$J$224),0),
IF('TL05'!$B$229=J$3,SUMIF('TL05'!$C$238:$C$451,$C127,'TL05'!$J$238:$J$451),0),
IF('TL06'!$B$3=J$3,SUMIF('TL06'!$C$10:$C$224,$C127,'TL06'!$J$10:$J$224),0),
IF('TL06'!$B$229=J$3,SUMIF('TL06'!$C$238:$C$451,$C127,'TL06'!$J$238:$J$451),0),
IF('TL07'!$B$3=J$3,SUMIF('TL07'!$C$10:$C$224,$C127,'TL07'!$J$10:$J$224),0),
IF('TL07'!$B$229=J$3,SUMIF('TL07'!$C$238:$C$451,$C127,'TL07'!$J$238:$J$451),0),
IF('TL08'!$B$3=J$3,SUMIF('TL08'!$C$10:$C$224,$C127,'TL08'!$J$10:$J$224),0),
IF('TL08'!$B$229=J$3,SUMIF('TL08'!$C$238:$C$451,$C127,'TL08'!$J$238:$J$451),0),
IF('TL09'!$B$3=J$3,SUMIF('TL09'!$C$10:$C$224,$C127,'TL09'!$J$10:$J$224),0),
IF('TL09'!$B$229=J$3,SUMIF('TL09'!$C$238:$C$451,$C127,'TL09'!$J$238:$J$451),0),
IF('TL10'!$B$3=J$3,SUMIF('TL10'!$C$10:$C$224,$C127,'TL10'!$J$10:$J$224),0),
IF('TL10'!$B$229=J$3,SUMIF('TL10'!$C$238:$C$451,$C127,'TL10'!$J$238:$J$451),0),
IF('TL11'!$B$3=J$3,SUMIF('TL11'!$C$10:$C$224,$C127,'TL11'!$J$10:$J$224),0),
IF('TL11'!$B$229=J$3,SUMIF('TL11'!$C$238:$C$451,$C127,'TL11'!$J$238:$J$451),0),
IF('TL12'!$B$3=J$3,SUMIF('TL12'!$C$10:$C$224,$C127,'TL12'!$J$10:$J$224),0),
IF('TL12'!$B$229=J$3,SUMIF('TL12'!$C$238:$C$451,$C127,'TL12'!$J$238:$J$451),0),
IF('TL13'!$B$3=J$3,SUMIF('TL13'!$C$10:$C$224,$C127,'TL13'!$J$10:$J$224),0),
IF('TL13'!$B$229=J$3,SUMIF('TL13'!$C$238:$C$451,$C127,'TL13'!$J$238:$J$451),0),
IF('TL14'!$B$3=J$3,SUMIF('TL14'!$C$10:$C$224,$C127,'TL14'!$J$10:$J$224),0),
IF('TL14'!$B$229=J$3,SUMIF('TL14'!$C$238:$C$451,$C127,'TL14'!$J$238:$J$451),0),
IF('TL15'!$B$3=J$3,SUMIF('TL15'!$C$10:$C$224,$C127,'TL15'!$J$10:$J$224),0),
IF('TL15'!$B$229=J$3,SUMIF('TL15'!$C$238:$C$451,$C127,'TL15'!$J$238:$J$451),0),
IF('TL16'!$B$3=J$3,SUMIF('TL16'!$C$10:$C$224,$C127,'TL16'!$J$10:$J$224),0),
IF('TL16'!$B$229=J$3,SUMIF('TL16'!$C$238:$C$451,$C127,'TL16'!$J$238:$J$451),0),
IF('TL17'!$B$3=J$3,SUMIF('TL17'!$C$10:$C$224,$C127,'TL17'!$J$10:$J$224),0),
IF('TL17'!$B$229=J$3,SUMIF('TL17'!$C$238:$C$451,$C127,'TL17'!$J$238:$J$451),0),
IF('TL18'!$B$3=J$3,SUMIF('TL18'!$C$10:$C$224,$C127,'TL18'!$J$10:$J$224),0),
IF('TL18'!$B$229=J$3,SUMIF('TL18'!$C$238:$C$451,$C127,'TL18'!$J$238:$J$451),0),
IF('TL19'!$B$3=J$3,SUMIF('TL19'!$C$10:$C$224,$C127,'TL19'!$J$10:$J$224),0),
IF('TL19'!$B$229=J$3,SUMIF('TL19'!$C$238:$C$451,$C127,'TL19'!$J$238:$J$451),0)
),0)</f>
        <v/>
      </c>
      <c r="K127" s="9">
        <f>IFERROR(SUM(
IF('TL01'!$B$3=K$3,SUMIF('TL01'!$C$10:$C$224,$C127,'TL01'!$J$10:$J$224),0),
IF('TL01'!$B$229=K$3,SUMIF('TL01'!$C$238:$C$451,$C127,'TL01'!$J$238:$J$451),0),
IF('TL02'!$B$3=K$3,SUMIF('TL02'!$C$10:$C$224,$C127,'TL02'!$J$10:$J$224),0),
IF('TL02'!$B$229=K$3,SUMIF('TL02'!$C$238:$C$451,$C127,'TL02'!$J$238:$J$451),0),
IF('TL03'!$B$3=K$3,SUMIF('TL03'!$C$10:$C$224,$C127,'TL03'!$J$10:$J$224),0),
IF('TL03'!$B$229=K$3,SUMIF('TL03'!$C$238:$C$451,$C127,'TL03'!$J$238:$J$451),0),
IF('TL04'!$B$3=K$3,SUMIF('TL04'!$C$10:$C$224,$C127,'TL04'!$J$10:$J$224),0),
IF('TL04'!$B$229=K$3,SUMIF('TL04'!$C$238:$C$451,$C127,'TL04'!$J$238:$J$451),0),
IF('TL05'!$B$3=K$3,SUMIF('TL05'!$C$10:$C$224,$C127,'TL05'!$J$10:$J$224),0),
IF('TL05'!$B$229=K$3,SUMIF('TL05'!$C$238:$C$451,$C127,'TL05'!$J$238:$J$451),0),
IF('TL06'!$B$3=K$3,SUMIF('TL06'!$C$10:$C$224,$C127,'TL06'!$J$10:$J$224),0),
IF('TL06'!$B$229=K$3,SUMIF('TL06'!$C$238:$C$451,$C127,'TL06'!$J$238:$J$451),0),
IF('TL07'!$B$3=K$3,SUMIF('TL07'!$C$10:$C$224,$C127,'TL07'!$J$10:$J$224),0),
IF('TL07'!$B$229=K$3,SUMIF('TL07'!$C$238:$C$451,$C127,'TL07'!$J$238:$J$451),0),
IF('TL08'!$B$3=K$3,SUMIF('TL08'!$C$10:$C$224,$C127,'TL08'!$J$10:$J$224),0),
IF('TL08'!$B$229=K$3,SUMIF('TL08'!$C$238:$C$451,$C127,'TL08'!$J$238:$J$451),0),
IF('TL09'!$B$3=K$3,SUMIF('TL09'!$C$10:$C$224,$C127,'TL09'!$J$10:$J$224),0),
IF('TL09'!$B$229=K$3,SUMIF('TL09'!$C$238:$C$451,$C127,'TL09'!$J$238:$J$451),0),
IF('TL10'!$B$3=K$3,SUMIF('TL10'!$C$10:$C$224,$C127,'TL10'!$J$10:$J$224),0),
IF('TL10'!$B$229=K$3,SUMIF('TL10'!$C$238:$C$451,$C127,'TL10'!$J$238:$J$451),0),
IF('TL11'!$B$3=K$3,SUMIF('TL11'!$C$10:$C$224,$C127,'TL11'!$J$10:$J$224),0),
IF('TL11'!$B$229=K$3,SUMIF('TL11'!$C$238:$C$451,$C127,'TL11'!$J$238:$J$451),0),
IF('TL12'!$B$3=K$3,SUMIF('TL12'!$C$10:$C$224,$C127,'TL12'!$J$10:$J$224),0),
IF('TL12'!$B$229=K$3,SUMIF('TL12'!$C$238:$C$451,$C127,'TL12'!$J$238:$J$451),0),
IF('TL13'!$B$3=K$3,SUMIF('TL13'!$C$10:$C$224,$C127,'TL13'!$J$10:$J$224),0),
IF('TL13'!$B$229=K$3,SUMIF('TL13'!$C$238:$C$451,$C127,'TL13'!$J$238:$J$451),0),
IF('TL14'!$B$3=K$3,SUMIF('TL14'!$C$10:$C$224,$C127,'TL14'!$J$10:$J$224),0),
IF('TL14'!$B$229=K$3,SUMIF('TL14'!$C$238:$C$451,$C127,'TL14'!$J$238:$J$451),0),
IF('TL15'!$B$3=K$3,SUMIF('TL15'!$C$10:$C$224,$C127,'TL15'!$J$10:$J$224),0),
IF('TL15'!$B$229=K$3,SUMIF('TL15'!$C$238:$C$451,$C127,'TL15'!$J$238:$J$451),0),
IF('TL16'!$B$3=K$3,SUMIF('TL16'!$C$10:$C$224,$C127,'TL16'!$J$10:$J$224),0),
IF('TL16'!$B$229=K$3,SUMIF('TL16'!$C$238:$C$451,$C127,'TL16'!$J$238:$J$451),0),
IF('TL17'!$B$3=K$3,SUMIF('TL17'!$C$10:$C$224,$C127,'TL17'!$J$10:$J$224),0),
IF('TL17'!$B$229=K$3,SUMIF('TL17'!$C$238:$C$451,$C127,'TL17'!$J$238:$J$451),0),
IF('TL18'!$B$3=K$3,SUMIF('TL18'!$C$10:$C$224,$C127,'TL18'!$J$10:$J$224),0),
IF('TL18'!$B$229=K$3,SUMIF('TL18'!$C$238:$C$451,$C127,'TL18'!$J$238:$J$451),0),
IF('TL19'!$B$3=K$3,SUMIF('TL19'!$C$10:$C$224,$C127,'TL19'!$J$10:$J$224),0),
IF('TL19'!$B$229=K$3,SUMIF('TL19'!$C$238:$C$451,$C127,'TL19'!$J$238:$J$451),0)
),0)</f>
        <v/>
      </c>
      <c r="L127" s="9">
        <f>IFERROR(SUM(
IF('TL01'!$B$3=L$3,SUMIF('TL01'!$C$10:$C$224,$C127,'TL01'!$J$10:$J$224),0),
IF('TL01'!$B$229=L$3,SUMIF('TL01'!$C$238:$C$451,$C127,'TL01'!$J$238:$J$451),0),
IF('TL02'!$B$3=L$3,SUMIF('TL02'!$C$10:$C$224,$C127,'TL02'!$J$10:$J$224),0),
IF('TL02'!$B$229=L$3,SUMIF('TL02'!$C$238:$C$451,$C127,'TL02'!$J$238:$J$451),0),
IF('TL03'!$B$3=L$3,SUMIF('TL03'!$C$10:$C$224,$C127,'TL03'!$J$10:$J$224),0),
IF('TL03'!$B$229=L$3,SUMIF('TL03'!$C$238:$C$451,$C127,'TL03'!$J$238:$J$451),0),
IF('TL04'!$B$3=L$3,SUMIF('TL04'!$C$10:$C$224,$C127,'TL04'!$J$10:$J$224),0),
IF('TL04'!$B$229=L$3,SUMIF('TL04'!$C$238:$C$451,$C127,'TL04'!$J$238:$J$451),0),
IF('TL05'!$B$3=L$3,SUMIF('TL05'!$C$10:$C$224,$C127,'TL05'!$J$10:$J$224),0),
IF('TL05'!$B$229=L$3,SUMIF('TL05'!$C$238:$C$451,$C127,'TL05'!$J$238:$J$451),0),
IF('TL06'!$B$3=L$3,SUMIF('TL06'!$C$10:$C$224,$C127,'TL06'!$J$10:$J$224),0),
IF('TL06'!$B$229=L$3,SUMIF('TL06'!$C$238:$C$451,$C127,'TL06'!$J$238:$J$451),0),
IF('TL07'!$B$3=L$3,SUMIF('TL07'!$C$10:$C$224,$C127,'TL07'!$J$10:$J$224),0),
IF('TL07'!$B$229=L$3,SUMIF('TL07'!$C$238:$C$451,$C127,'TL07'!$J$238:$J$451),0),
IF('TL08'!$B$3=L$3,SUMIF('TL08'!$C$10:$C$224,$C127,'TL08'!$J$10:$J$224),0),
IF('TL08'!$B$229=L$3,SUMIF('TL08'!$C$238:$C$451,$C127,'TL08'!$J$238:$J$451),0),
IF('TL09'!$B$3=L$3,SUMIF('TL09'!$C$10:$C$224,$C127,'TL09'!$J$10:$J$224),0),
IF('TL09'!$B$229=L$3,SUMIF('TL09'!$C$238:$C$451,$C127,'TL09'!$J$238:$J$451),0),
IF('TL10'!$B$3=L$3,SUMIF('TL10'!$C$10:$C$224,$C127,'TL10'!$J$10:$J$224),0),
IF('TL10'!$B$229=L$3,SUMIF('TL10'!$C$238:$C$451,$C127,'TL10'!$J$238:$J$451),0),
IF('TL11'!$B$3=L$3,SUMIF('TL11'!$C$10:$C$224,$C127,'TL11'!$J$10:$J$224),0),
IF('TL11'!$B$229=L$3,SUMIF('TL11'!$C$238:$C$451,$C127,'TL11'!$J$238:$J$451),0),
IF('TL12'!$B$3=L$3,SUMIF('TL12'!$C$10:$C$224,$C127,'TL12'!$J$10:$J$224),0),
IF('TL12'!$B$229=L$3,SUMIF('TL12'!$C$238:$C$451,$C127,'TL12'!$J$238:$J$451),0),
IF('TL13'!$B$3=L$3,SUMIF('TL13'!$C$10:$C$224,$C127,'TL13'!$J$10:$J$224),0),
IF('TL13'!$B$229=L$3,SUMIF('TL13'!$C$238:$C$451,$C127,'TL13'!$J$238:$J$451),0),
IF('TL14'!$B$3=L$3,SUMIF('TL14'!$C$10:$C$224,$C127,'TL14'!$J$10:$J$224),0),
IF('TL14'!$B$229=L$3,SUMIF('TL14'!$C$238:$C$451,$C127,'TL14'!$J$238:$J$451),0),
IF('TL15'!$B$3=L$3,SUMIF('TL15'!$C$10:$C$224,$C127,'TL15'!$J$10:$J$224),0),
IF('TL15'!$B$229=L$3,SUMIF('TL15'!$C$238:$C$451,$C127,'TL15'!$J$238:$J$451),0),
IF('TL16'!$B$3=L$3,SUMIF('TL16'!$C$10:$C$224,$C127,'TL16'!$J$10:$J$224),0),
IF('TL16'!$B$229=L$3,SUMIF('TL16'!$C$238:$C$451,$C127,'TL16'!$J$238:$J$451),0),
IF('TL17'!$B$3=L$3,SUMIF('TL17'!$C$10:$C$224,$C127,'TL17'!$J$10:$J$224),0),
IF('TL17'!$B$229=L$3,SUMIF('TL17'!$C$238:$C$451,$C127,'TL17'!$J$238:$J$451),0),
IF('TL18'!$B$3=L$3,SUMIF('TL18'!$C$10:$C$224,$C127,'TL18'!$J$10:$J$224),0),
IF('TL18'!$B$229=L$3,SUMIF('TL18'!$C$238:$C$451,$C127,'TL18'!$J$238:$J$451),0),
IF('TL19'!$B$3=L$3,SUMIF('TL19'!$C$10:$C$224,$C127,'TL19'!$J$10:$J$224),0),
IF('TL19'!$B$229=L$3,SUMIF('TL19'!$C$238:$C$451,$C127,'TL19'!$J$238:$J$451),0)
),0)</f>
        <v/>
      </c>
      <c r="M127" s="9">
        <f>IFERROR(SUM(
IF('TL01'!$B$3=M$3,SUMIF('TL01'!$C$10:$C$224,$C127,'TL01'!$J$10:$J$224),0),
IF('TL01'!$B$229=M$3,SUMIF('TL01'!$C$238:$C$451,$C127,'TL01'!$J$238:$J$451),0),
IF('TL02'!$B$3=M$3,SUMIF('TL02'!$C$10:$C$224,$C127,'TL02'!$J$10:$J$224),0),
IF('TL02'!$B$229=M$3,SUMIF('TL02'!$C$238:$C$451,$C127,'TL02'!$J$238:$J$451),0),
IF('TL03'!$B$3=M$3,SUMIF('TL03'!$C$10:$C$224,$C127,'TL03'!$J$10:$J$224),0),
IF('TL03'!$B$229=M$3,SUMIF('TL03'!$C$238:$C$451,$C127,'TL03'!$J$238:$J$451),0),
IF('TL04'!$B$3=M$3,SUMIF('TL04'!$C$10:$C$224,$C127,'TL04'!$J$10:$J$224),0),
IF('TL04'!$B$229=M$3,SUMIF('TL04'!$C$238:$C$451,$C127,'TL04'!$J$238:$J$451),0),
IF('TL05'!$B$3=M$3,SUMIF('TL05'!$C$10:$C$224,$C127,'TL05'!$J$10:$J$224),0),
IF('TL05'!$B$229=M$3,SUMIF('TL05'!$C$238:$C$451,$C127,'TL05'!$J$238:$J$451),0),
IF('TL06'!$B$3=M$3,SUMIF('TL06'!$C$10:$C$224,$C127,'TL06'!$J$10:$J$224),0),
IF('TL06'!$B$229=M$3,SUMIF('TL06'!$C$238:$C$451,$C127,'TL06'!$J$238:$J$451),0),
IF('TL07'!$B$3=M$3,SUMIF('TL07'!$C$10:$C$224,$C127,'TL07'!$J$10:$J$224),0),
IF('TL07'!$B$229=M$3,SUMIF('TL07'!$C$238:$C$451,$C127,'TL07'!$J$238:$J$451),0),
IF('TL08'!$B$3=M$3,SUMIF('TL08'!$C$10:$C$224,$C127,'TL08'!$J$10:$J$224),0),
IF('TL08'!$B$229=M$3,SUMIF('TL08'!$C$238:$C$451,$C127,'TL08'!$J$238:$J$451),0),
IF('TL09'!$B$3=M$3,SUMIF('TL09'!$C$10:$C$224,$C127,'TL09'!$J$10:$J$224),0),
IF('TL09'!$B$229=M$3,SUMIF('TL09'!$C$238:$C$451,$C127,'TL09'!$J$238:$J$451),0),
IF('TL10'!$B$3=M$3,SUMIF('TL10'!$C$10:$C$224,$C127,'TL10'!$J$10:$J$224),0),
IF('TL10'!$B$229=M$3,SUMIF('TL10'!$C$238:$C$451,$C127,'TL10'!$J$238:$J$451),0),
IF('TL11'!$B$3=M$3,SUMIF('TL11'!$C$10:$C$224,$C127,'TL11'!$J$10:$J$224),0),
IF('TL11'!$B$229=M$3,SUMIF('TL11'!$C$238:$C$451,$C127,'TL11'!$J$238:$J$451),0),
IF('TL12'!$B$3=M$3,SUMIF('TL12'!$C$10:$C$224,$C127,'TL12'!$J$10:$J$224),0),
IF('TL12'!$B$229=M$3,SUMIF('TL12'!$C$238:$C$451,$C127,'TL12'!$J$238:$J$451),0),
IF('TL13'!$B$3=M$3,SUMIF('TL13'!$C$10:$C$224,$C127,'TL13'!$J$10:$J$224),0),
IF('TL13'!$B$229=M$3,SUMIF('TL13'!$C$238:$C$451,$C127,'TL13'!$J$238:$J$451),0),
IF('TL14'!$B$3=M$3,SUMIF('TL14'!$C$10:$C$224,$C127,'TL14'!$J$10:$J$224),0),
IF('TL14'!$B$229=M$3,SUMIF('TL14'!$C$238:$C$451,$C127,'TL14'!$J$238:$J$451),0),
IF('TL15'!$B$3=M$3,SUMIF('TL15'!$C$10:$C$224,$C127,'TL15'!$J$10:$J$224),0),
IF('TL15'!$B$229=M$3,SUMIF('TL15'!$C$238:$C$451,$C127,'TL15'!$J$238:$J$451),0),
IF('TL16'!$B$3=M$3,SUMIF('TL16'!$C$10:$C$224,$C127,'TL16'!$J$10:$J$224),0),
IF('TL16'!$B$229=M$3,SUMIF('TL16'!$C$238:$C$451,$C127,'TL16'!$J$238:$J$451),0),
IF('TL17'!$B$3=M$3,SUMIF('TL17'!$C$10:$C$224,$C127,'TL17'!$J$10:$J$224),0),
IF('TL17'!$B$229=M$3,SUMIF('TL17'!$C$238:$C$451,$C127,'TL17'!$J$238:$J$451),0),
IF('TL18'!$B$3=M$3,SUMIF('TL18'!$C$10:$C$224,$C127,'TL18'!$J$10:$J$224),0),
IF('TL18'!$B$229=M$3,SUMIF('TL18'!$C$238:$C$451,$C127,'TL18'!$J$238:$J$451),0),
IF('TL19'!$B$3=M$3,SUMIF('TL19'!$C$10:$C$224,$C127,'TL19'!$J$10:$J$224),0),
IF('TL19'!$B$229=M$3,SUMIF('TL19'!$C$238:$C$451,$C127,'TL19'!$J$238:$J$451),0)
),0)</f>
        <v/>
      </c>
      <c r="N127" s="9">
        <f>IFERROR(SUM(
IF('TL01'!$B$3=N$3,SUMIF('TL01'!$C$10:$C$224,$C127,'TL01'!$J$10:$J$224),0),
IF('TL01'!$B$229=N$3,SUMIF('TL01'!$C$238:$C$451,$C127,'TL01'!$J$238:$J$451),0),
IF('TL02'!$B$3=N$3,SUMIF('TL02'!$C$10:$C$224,$C127,'TL02'!$J$10:$J$224),0),
IF('TL02'!$B$229=N$3,SUMIF('TL02'!$C$238:$C$451,$C127,'TL02'!$J$238:$J$451),0),
IF('TL03'!$B$3=N$3,SUMIF('TL03'!$C$10:$C$224,$C127,'TL03'!$J$10:$J$224),0),
IF('TL03'!$B$229=N$3,SUMIF('TL03'!$C$238:$C$451,$C127,'TL03'!$J$238:$J$451),0),
IF('TL04'!$B$3=N$3,SUMIF('TL04'!$C$10:$C$224,$C127,'TL04'!$J$10:$J$224),0),
IF('TL04'!$B$229=N$3,SUMIF('TL04'!$C$238:$C$451,$C127,'TL04'!$J$238:$J$451),0),
IF('TL05'!$B$3=N$3,SUMIF('TL05'!$C$10:$C$224,$C127,'TL05'!$J$10:$J$224),0),
IF('TL05'!$B$229=N$3,SUMIF('TL05'!$C$238:$C$451,$C127,'TL05'!$J$238:$J$451),0),
IF('TL06'!$B$3=N$3,SUMIF('TL06'!$C$10:$C$224,$C127,'TL06'!$J$10:$J$224),0),
IF('TL06'!$B$229=N$3,SUMIF('TL06'!$C$238:$C$451,$C127,'TL06'!$J$238:$J$451),0),
IF('TL07'!$B$3=N$3,SUMIF('TL07'!$C$10:$C$224,$C127,'TL07'!$J$10:$J$224),0),
IF('TL07'!$B$229=N$3,SUMIF('TL07'!$C$238:$C$451,$C127,'TL07'!$J$238:$J$451),0),
IF('TL08'!$B$3=N$3,SUMIF('TL08'!$C$10:$C$224,$C127,'TL08'!$J$10:$J$224),0),
IF('TL08'!$B$229=N$3,SUMIF('TL08'!$C$238:$C$451,$C127,'TL08'!$J$238:$J$451),0),
IF('TL09'!$B$3=N$3,SUMIF('TL09'!$C$10:$C$224,$C127,'TL09'!$J$10:$J$224),0),
IF('TL09'!$B$229=N$3,SUMIF('TL09'!$C$238:$C$451,$C127,'TL09'!$J$238:$J$451),0),
IF('TL10'!$B$3=N$3,SUMIF('TL10'!$C$10:$C$224,$C127,'TL10'!$J$10:$J$224),0),
IF('TL10'!$B$229=N$3,SUMIF('TL10'!$C$238:$C$451,$C127,'TL10'!$J$238:$J$451),0),
IF('TL11'!$B$3=N$3,SUMIF('TL11'!$C$10:$C$224,$C127,'TL11'!$J$10:$J$224),0),
IF('TL11'!$B$229=N$3,SUMIF('TL11'!$C$238:$C$451,$C127,'TL11'!$J$238:$J$451),0),
IF('TL12'!$B$3=N$3,SUMIF('TL12'!$C$10:$C$224,$C127,'TL12'!$J$10:$J$224),0),
IF('TL12'!$B$229=N$3,SUMIF('TL12'!$C$238:$C$451,$C127,'TL12'!$J$238:$J$451),0),
IF('TL13'!$B$3=N$3,SUMIF('TL13'!$C$10:$C$224,$C127,'TL13'!$J$10:$J$224),0),
IF('TL13'!$B$229=N$3,SUMIF('TL13'!$C$238:$C$451,$C127,'TL13'!$J$238:$J$451),0),
IF('TL14'!$B$3=N$3,SUMIF('TL14'!$C$10:$C$224,$C127,'TL14'!$J$10:$J$224),0),
IF('TL14'!$B$229=N$3,SUMIF('TL14'!$C$238:$C$451,$C127,'TL14'!$J$238:$J$451),0),
IF('TL15'!$B$3=N$3,SUMIF('TL15'!$C$10:$C$224,$C127,'TL15'!$J$10:$J$224),0),
IF('TL15'!$B$229=N$3,SUMIF('TL15'!$C$238:$C$451,$C127,'TL15'!$J$238:$J$451),0),
IF('TL16'!$B$3=N$3,SUMIF('TL16'!$C$10:$C$224,$C127,'TL16'!$J$10:$J$224),0),
IF('TL16'!$B$229=N$3,SUMIF('TL16'!$C$238:$C$451,$C127,'TL16'!$J$238:$J$451),0),
IF('TL17'!$B$3=N$3,SUMIF('TL17'!$C$10:$C$224,$C127,'TL17'!$J$10:$J$224),0),
IF('TL17'!$B$229=N$3,SUMIF('TL17'!$C$238:$C$451,$C127,'TL17'!$J$238:$J$451),0),
IF('TL18'!$B$3=N$3,SUMIF('TL18'!$C$10:$C$224,$C127,'TL18'!$J$10:$J$224),0),
IF('TL18'!$B$229=N$3,SUMIF('TL18'!$C$238:$C$451,$C127,'TL18'!$J$238:$J$451),0),
IF('TL19'!$B$3=N$3,SUMIF('TL19'!$C$10:$C$224,$C127,'TL19'!$J$10:$J$224),0),
IF('TL19'!$B$229=N$3,SUMIF('TL19'!$C$238:$C$451,$C127,'TL19'!$J$238:$J$451),0)
),0)</f>
        <v/>
      </c>
      <c r="O127" s="9">
        <f>IFERROR(SUM(
IF('TL01'!$B$3=O$3,SUMIF('TL01'!$C$10:$C$224,$C127,'TL01'!$J$10:$J$224),0),
IF('TL01'!$B$229=O$3,SUMIF('TL01'!$C$238:$C$451,$C127,'TL01'!$J$238:$J$451),0),
IF('TL02'!$B$3=O$3,SUMIF('TL02'!$C$10:$C$224,$C127,'TL02'!$J$10:$J$224),0),
IF('TL02'!$B$229=O$3,SUMIF('TL02'!$C$238:$C$451,$C127,'TL02'!$J$238:$J$451),0),
IF('TL03'!$B$3=O$3,SUMIF('TL03'!$C$10:$C$224,$C127,'TL03'!$J$10:$J$224),0),
IF('TL03'!$B$229=O$3,SUMIF('TL03'!$C$238:$C$451,$C127,'TL03'!$J$238:$J$451),0),
IF('TL04'!$B$3=O$3,SUMIF('TL04'!$C$10:$C$224,$C127,'TL04'!$J$10:$J$224),0),
IF('TL04'!$B$229=O$3,SUMIF('TL04'!$C$238:$C$451,$C127,'TL04'!$J$238:$J$451),0),
IF('TL05'!$B$3=O$3,SUMIF('TL05'!$C$10:$C$224,$C127,'TL05'!$J$10:$J$224),0),
IF('TL05'!$B$229=O$3,SUMIF('TL05'!$C$238:$C$451,$C127,'TL05'!$J$238:$J$451),0),
IF('TL06'!$B$3=O$3,SUMIF('TL06'!$C$10:$C$224,$C127,'TL06'!$J$10:$J$224),0),
IF('TL06'!$B$229=O$3,SUMIF('TL06'!$C$238:$C$451,$C127,'TL06'!$J$238:$J$451),0),
IF('TL07'!$B$3=O$3,SUMIF('TL07'!$C$10:$C$224,$C127,'TL07'!$J$10:$J$224),0),
IF('TL07'!$B$229=O$3,SUMIF('TL07'!$C$238:$C$451,$C127,'TL07'!$J$238:$J$451),0),
IF('TL08'!$B$3=O$3,SUMIF('TL08'!$C$10:$C$224,$C127,'TL08'!$J$10:$J$224),0),
IF('TL08'!$B$229=O$3,SUMIF('TL08'!$C$238:$C$451,$C127,'TL08'!$J$238:$J$451),0),
IF('TL09'!$B$3=O$3,SUMIF('TL09'!$C$10:$C$224,$C127,'TL09'!$J$10:$J$224),0),
IF('TL09'!$B$229=O$3,SUMIF('TL09'!$C$238:$C$451,$C127,'TL09'!$J$238:$J$451),0),
IF('TL10'!$B$3=O$3,SUMIF('TL10'!$C$10:$C$224,$C127,'TL10'!$J$10:$J$224),0),
IF('TL10'!$B$229=O$3,SUMIF('TL10'!$C$238:$C$451,$C127,'TL10'!$J$238:$J$451),0),
IF('TL11'!$B$3=O$3,SUMIF('TL11'!$C$10:$C$224,$C127,'TL11'!$J$10:$J$224),0),
IF('TL11'!$B$229=O$3,SUMIF('TL11'!$C$238:$C$451,$C127,'TL11'!$J$238:$J$451),0),
IF('TL12'!$B$3=O$3,SUMIF('TL12'!$C$10:$C$224,$C127,'TL12'!$J$10:$J$224),0),
IF('TL12'!$B$229=O$3,SUMIF('TL12'!$C$238:$C$451,$C127,'TL12'!$J$238:$J$451),0),
IF('TL13'!$B$3=O$3,SUMIF('TL13'!$C$10:$C$224,$C127,'TL13'!$J$10:$J$224),0),
IF('TL13'!$B$229=O$3,SUMIF('TL13'!$C$238:$C$451,$C127,'TL13'!$J$238:$J$451),0),
IF('TL14'!$B$3=O$3,SUMIF('TL14'!$C$10:$C$224,$C127,'TL14'!$J$10:$J$224),0),
IF('TL14'!$B$229=O$3,SUMIF('TL14'!$C$238:$C$451,$C127,'TL14'!$J$238:$J$451),0),
IF('TL15'!$B$3=O$3,SUMIF('TL15'!$C$10:$C$224,$C127,'TL15'!$J$10:$J$224),0),
IF('TL15'!$B$229=O$3,SUMIF('TL15'!$C$238:$C$451,$C127,'TL15'!$J$238:$J$451),0),
IF('TL16'!$B$3=O$3,SUMIF('TL16'!$C$10:$C$224,$C127,'TL16'!$J$10:$J$224),0),
IF('TL16'!$B$229=O$3,SUMIF('TL16'!$C$238:$C$451,$C127,'TL16'!$J$238:$J$451),0),
IF('TL17'!$B$3=O$3,SUMIF('TL17'!$C$10:$C$224,$C127,'TL17'!$J$10:$J$224),0),
IF('TL17'!$B$229=O$3,SUMIF('TL17'!$C$238:$C$451,$C127,'TL17'!$J$238:$J$451),0),
IF('TL18'!$B$3=O$3,SUMIF('TL18'!$C$10:$C$224,$C127,'TL18'!$J$10:$J$224),0),
IF('TL18'!$B$229=O$3,SUMIF('TL18'!$C$238:$C$451,$C127,'TL18'!$J$238:$J$451),0),
IF('TL19'!$B$3=O$3,SUMIF('TL19'!$C$10:$C$224,$C127,'TL19'!$J$10:$J$224),0),
IF('TL19'!$B$229=O$3,SUMIF('TL19'!$C$238:$C$451,$C127,'TL19'!$J$238:$J$451),0)
),0)</f>
        <v/>
      </c>
      <c r="P127" s="9">
        <f>IFERROR(SUM(
IF('TL01'!$B$3=P$3,SUMIF('TL01'!$C$10:$C$224,$C127,'TL01'!$J$10:$J$224),0),
IF('TL01'!$B$229=P$3,SUMIF('TL01'!$C$238:$C$451,$C127,'TL01'!$J$238:$J$451),0),
IF('TL02'!$B$3=P$3,SUMIF('TL02'!$C$10:$C$224,$C127,'TL02'!$J$10:$J$224),0),
IF('TL02'!$B$229=P$3,SUMIF('TL02'!$C$238:$C$451,$C127,'TL02'!$J$238:$J$451),0),
IF('TL03'!$B$3=P$3,SUMIF('TL03'!$C$10:$C$224,$C127,'TL03'!$J$10:$J$224),0),
IF('TL03'!$B$229=P$3,SUMIF('TL03'!$C$238:$C$451,$C127,'TL03'!$J$238:$J$451),0),
IF('TL04'!$B$3=P$3,SUMIF('TL04'!$C$10:$C$224,$C127,'TL04'!$J$10:$J$224),0),
IF('TL04'!$B$229=P$3,SUMIF('TL04'!$C$238:$C$451,$C127,'TL04'!$J$238:$J$451),0),
IF('TL05'!$B$3=P$3,SUMIF('TL05'!$C$10:$C$224,$C127,'TL05'!$J$10:$J$224),0),
IF('TL05'!$B$229=P$3,SUMIF('TL05'!$C$238:$C$451,$C127,'TL05'!$J$238:$J$451),0),
IF('TL06'!$B$3=P$3,SUMIF('TL06'!$C$10:$C$224,$C127,'TL06'!$J$10:$J$224),0),
IF('TL06'!$B$229=P$3,SUMIF('TL06'!$C$238:$C$451,$C127,'TL06'!$J$238:$J$451),0),
IF('TL07'!$B$3=P$3,SUMIF('TL07'!$C$10:$C$224,$C127,'TL07'!$J$10:$J$224),0),
IF('TL07'!$B$229=P$3,SUMIF('TL07'!$C$238:$C$451,$C127,'TL07'!$J$238:$J$451),0),
IF('TL08'!$B$3=P$3,SUMIF('TL08'!$C$10:$C$224,$C127,'TL08'!$J$10:$J$224),0),
IF('TL08'!$B$229=P$3,SUMIF('TL08'!$C$238:$C$451,$C127,'TL08'!$J$238:$J$451),0),
IF('TL09'!$B$3=P$3,SUMIF('TL09'!$C$10:$C$224,$C127,'TL09'!$J$10:$J$224),0),
IF('TL09'!$B$229=P$3,SUMIF('TL09'!$C$238:$C$451,$C127,'TL09'!$J$238:$J$451),0),
IF('TL10'!$B$3=P$3,SUMIF('TL10'!$C$10:$C$224,$C127,'TL10'!$J$10:$J$224),0),
IF('TL10'!$B$229=P$3,SUMIF('TL10'!$C$238:$C$451,$C127,'TL10'!$J$238:$J$451),0),
IF('TL11'!$B$3=P$3,SUMIF('TL11'!$C$10:$C$224,$C127,'TL11'!$J$10:$J$224),0),
IF('TL11'!$B$229=P$3,SUMIF('TL11'!$C$238:$C$451,$C127,'TL11'!$J$238:$J$451),0),
IF('TL12'!$B$3=P$3,SUMIF('TL12'!$C$10:$C$224,$C127,'TL12'!$J$10:$J$224),0),
IF('TL12'!$B$229=P$3,SUMIF('TL12'!$C$238:$C$451,$C127,'TL12'!$J$238:$J$451),0),
IF('TL13'!$B$3=P$3,SUMIF('TL13'!$C$10:$C$224,$C127,'TL13'!$J$10:$J$224),0),
IF('TL13'!$B$229=P$3,SUMIF('TL13'!$C$238:$C$451,$C127,'TL13'!$J$238:$J$451),0),
IF('TL14'!$B$3=P$3,SUMIF('TL14'!$C$10:$C$224,$C127,'TL14'!$J$10:$J$224),0),
IF('TL14'!$B$229=P$3,SUMIF('TL14'!$C$238:$C$451,$C127,'TL14'!$J$238:$J$451),0),
IF('TL15'!$B$3=P$3,SUMIF('TL15'!$C$10:$C$224,$C127,'TL15'!$J$10:$J$224),0),
IF('TL15'!$B$229=P$3,SUMIF('TL15'!$C$238:$C$451,$C127,'TL15'!$J$238:$J$451),0),
IF('TL16'!$B$3=P$3,SUMIF('TL16'!$C$10:$C$224,$C127,'TL16'!$J$10:$J$224),0),
IF('TL16'!$B$229=P$3,SUMIF('TL16'!$C$238:$C$451,$C127,'TL16'!$J$238:$J$451),0),
IF('TL17'!$B$3=P$3,SUMIF('TL17'!$C$10:$C$224,$C127,'TL17'!$J$10:$J$224),0),
IF('TL17'!$B$229=P$3,SUMIF('TL17'!$C$238:$C$451,$C127,'TL17'!$J$238:$J$451),0),
IF('TL18'!$B$3=P$3,SUMIF('TL18'!$C$10:$C$224,$C127,'TL18'!$J$10:$J$224),0),
IF('TL18'!$B$229=P$3,SUMIF('TL18'!$C$238:$C$451,$C127,'TL18'!$J$238:$J$451),0),
IF('TL19'!$B$3=P$3,SUMIF('TL19'!$C$10:$C$224,$C127,'TL19'!$J$10:$J$224),0),
IF('TL19'!$B$229=P$3,SUMIF('TL19'!$C$238:$C$451,$C127,'TL19'!$J$238:$J$451),0)
),0)</f>
        <v/>
      </c>
      <c r="Q127" s="9">
        <f>IFERROR(SUM(
IF('TL01'!$B$3=Q$3,SUMIF('TL01'!$C$10:$C$224,$C127,'TL01'!$J$10:$J$224),0),
IF('TL01'!$B$229=Q$3,SUMIF('TL01'!$C$238:$C$451,$C127,'TL01'!$J$238:$J$451),0),
IF('TL02'!$B$3=Q$3,SUMIF('TL02'!$C$10:$C$224,$C127,'TL02'!$J$10:$J$224),0),
IF('TL02'!$B$229=Q$3,SUMIF('TL02'!$C$238:$C$451,$C127,'TL02'!$J$238:$J$451),0),
IF('TL03'!$B$3=Q$3,SUMIF('TL03'!$C$10:$C$224,$C127,'TL03'!$J$10:$J$224),0),
IF('TL03'!$B$229=Q$3,SUMIF('TL03'!$C$238:$C$451,$C127,'TL03'!$J$238:$J$451),0),
IF('TL04'!$B$3=Q$3,SUMIF('TL04'!$C$10:$C$224,$C127,'TL04'!$J$10:$J$224),0),
IF('TL04'!$B$229=Q$3,SUMIF('TL04'!$C$238:$C$451,$C127,'TL04'!$J$238:$J$451),0),
IF('TL05'!$B$3=Q$3,SUMIF('TL05'!$C$10:$C$224,$C127,'TL05'!$J$10:$J$224),0),
IF('TL05'!$B$229=Q$3,SUMIF('TL05'!$C$238:$C$451,$C127,'TL05'!$J$238:$J$451),0),
IF('TL06'!$B$3=Q$3,SUMIF('TL06'!$C$10:$C$224,$C127,'TL06'!$J$10:$J$224),0),
IF('TL06'!$B$229=Q$3,SUMIF('TL06'!$C$238:$C$451,$C127,'TL06'!$J$238:$J$451),0),
IF('TL07'!$B$3=Q$3,SUMIF('TL07'!$C$10:$C$224,$C127,'TL07'!$J$10:$J$224),0),
IF('TL07'!$B$229=Q$3,SUMIF('TL07'!$C$238:$C$451,$C127,'TL07'!$J$238:$J$451),0),
IF('TL08'!$B$3=Q$3,SUMIF('TL08'!$C$10:$C$224,$C127,'TL08'!$J$10:$J$224),0),
IF('TL08'!$B$229=Q$3,SUMIF('TL08'!$C$238:$C$451,$C127,'TL08'!$J$238:$J$451),0),
IF('TL09'!$B$3=Q$3,SUMIF('TL09'!$C$10:$C$224,$C127,'TL09'!$J$10:$J$224),0),
IF('TL09'!$B$229=Q$3,SUMIF('TL09'!$C$238:$C$451,$C127,'TL09'!$J$238:$J$451),0),
IF('TL10'!$B$3=Q$3,SUMIF('TL10'!$C$10:$C$224,$C127,'TL10'!$J$10:$J$224),0),
IF('TL10'!$B$229=Q$3,SUMIF('TL10'!$C$238:$C$451,$C127,'TL10'!$J$238:$J$451),0),
IF('TL11'!$B$3=Q$3,SUMIF('TL11'!$C$10:$C$224,$C127,'TL11'!$J$10:$J$224),0),
IF('TL11'!$B$229=Q$3,SUMIF('TL11'!$C$238:$C$451,$C127,'TL11'!$J$238:$J$451),0),
IF('TL12'!$B$3=Q$3,SUMIF('TL12'!$C$10:$C$224,$C127,'TL12'!$J$10:$J$224),0),
IF('TL12'!$B$229=Q$3,SUMIF('TL12'!$C$238:$C$451,$C127,'TL12'!$J$238:$J$451),0),
IF('TL13'!$B$3=Q$3,SUMIF('TL13'!$C$10:$C$224,$C127,'TL13'!$J$10:$J$224),0),
IF('TL13'!$B$229=Q$3,SUMIF('TL13'!$C$238:$C$451,$C127,'TL13'!$J$238:$J$451),0),
IF('TL14'!$B$3=Q$3,SUMIF('TL14'!$C$10:$C$224,$C127,'TL14'!$J$10:$J$224),0),
IF('TL14'!$B$229=Q$3,SUMIF('TL14'!$C$238:$C$451,$C127,'TL14'!$J$238:$J$451),0),
IF('TL15'!$B$3=Q$3,SUMIF('TL15'!$C$10:$C$224,$C127,'TL15'!$J$10:$J$224),0),
IF('TL15'!$B$229=Q$3,SUMIF('TL15'!$C$238:$C$451,$C127,'TL15'!$J$238:$J$451),0),
IF('TL16'!$B$3=Q$3,SUMIF('TL16'!$C$10:$C$224,$C127,'TL16'!$J$10:$J$224),0),
IF('TL16'!$B$229=Q$3,SUMIF('TL16'!$C$238:$C$451,$C127,'TL16'!$J$238:$J$451),0),
IF('TL17'!$B$3=Q$3,SUMIF('TL17'!$C$10:$C$224,$C127,'TL17'!$J$10:$J$224),0),
IF('TL17'!$B$229=Q$3,SUMIF('TL17'!$C$238:$C$451,$C127,'TL17'!$J$238:$J$451),0),
IF('TL18'!$B$3=Q$3,SUMIF('TL18'!$C$10:$C$224,$C127,'TL18'!$J$10:$J$224),0),
IF('TL18'!$B$229=Q$3,SUMIF('TL18'!$C$238:$C$451,$C127,'TL18'!$J$238:$J$451),0),
IF('TL19'!$B$3=Q$3,SUMIF('TL19'!$C$10:$C$224,$C127,'TL19'!$J$10:$J$224),0),
IF('TL19'!$B$229=Q$3,SUMIF('TL19'!$C$238:$C$451,$C127,'TL19'!$J$238:$J$451),0)
),0)</f>
        <v/>
      </c>
      <c r="R127" s="9">
        <f>IFERROR(
SUM(
SUMIF('TL01'!C:C,C127,'TL01'!J:J),
SUMIF('TL02'!C:C,C127,'TL02'!J:J),
SUMIF('TL03'!C:C,C127,'TL03'!J:J),
SUMIF('TL04'!C:C,C127,'TL04'!J:J),
SUMIF('TL05'!C:C,C127,'TL05'!J:J),
SUMIF('TL06'!C:C,C127,'TL06'!J:J),
SUMIF('TL07'!C:C,C127,'TL07'!J:J),
SUMIF('TL08'!C:C,C127,'TL08'!J:J),
SUMIF('TL09'!C:C,C127,'TL09'!J:J),
SUMIF('TL10'!C:C,C127,'TL10'!J:J),
SUMIF('TL11'!C:C,C127,'TL11'!J:J),
SUMIF('TL12'!C:C,C127,'TL12'!J:J),
SUMIF('TL13'!C:C,C127,'TL13'!J:J),
SUMIF('TL14'!C:C,C127,'TL14'!J:J),
SUMIF('TL15'!C:C,C127,'TL15'!J:J),
SUMIF('TL16'!C:C,C127,'TL16'!J:J),
SUMIF('TL17'!C:C,C127,'TL17'!J:J),
SUMIF('TL18'!C:C,C127,'TL18'!J:J),SUMIF('TL19'!C:C,C127,'TL19'!J:J))
,0)</f>
        <v/>
      </c>
      <c r="S127" s="17">
        <f>IFERROR(__xludf.DUMMYFUNCTION("IFERROR(VLOOKUP(C127,
IMPORTRANGE(""1wULbzX32WdYsx-lj2U3uUNBBe2INVIRDtcK0d-Dvl90"",
""26-27!C:G""),
5,
FALSE),
"""")"),148.4632)</f>
        <v/>
      </c>
      <c r="T127" s="9" t="n"/>
      <c r="U127" s="92">
        <f>MAX(0,R127-T127)</f>
        <v/>
      </c>
      <c r="V127" s="93">
        <f>U127*S127</f>
        <v/>
      </c>
    </row>
    <row r="128" hidden="1" ht="15.75" customHeight="1" s="297">
      <c r="A128" s="115" t="inlineStr">
        <is>
          <t>CORTEVA</t>
        </is>
      </c>
      <c r="B128" s="100" t="inlineStr">
        <is>
          <t>HERBICIDA</t>
        </is>
      </c>
      <c r="C128" s="116" t="inlineStr">
        <is>
          <t>CLINCHER</t>
        </is>
      </c>
      <c r="D128" s="116" t="inlineStr">
        <is>
          <t>CIALOFOPE-BUTÍLICO</t>
        </is>
      </c>
      <c r="E128" s="116" t="n">
        <v>180</v>
      </c>
      <c r="F128" s="4" t="inlineStr">
        <is>
          <t>KG</t>
        </is>
      </c>
      <c r="G128" s="90">
        <f>HYPERLINK("https://www.google.com/search?q=" &amp; C128 &amp; "+bula+agrofit+pdf", "📄 Ver bula")</f>
        <v/>
      </c>
      <c r="H128" s="9">
        <f>IFERROR(__xludf.DUMMYFUNCTION("IFERROR(VLOOKUP(C128,
IMPORTRANGE(""1wULbzX32WdYsx-lj2U3uUNBBe2INVIRDtcK0d-Dvl90"",
""26-27!C:K""),
8,
FALSE),
"""")"),"")</f>
        <v/>
      </c>
      <c r="I128" s="117" t="inlineStr">
        <is>
          <t>1x20</t>
        </is>
      </c>
      <c r="J128" s="9">
        <f>IFERROR(SUM(
IF('TL01'!$B$3=J$3,SUMIF('TL01'!$C$10:$C$224,$C128,'TL01'!$J$10:$J$224),0),
IF('TL01'!$B$229=J$3,SUMIF('TL01'!$C$238:$C$451,$C128,'TL01'!$J$238:$J$451),0),
IF('TL02'!$B$3=J$3,SUMIF('TL02'!$C$10:$C$224,$C128,'TL02'!$J$10:$J$224),0),
IF('TL02'!$B$229=J$3,SUMIF('TL02'!$C$238:$C$451,$C128,'TL02'!$J$238:$J$451),0),
IF('TL03'!$B$3=J$3,SUMIF('TL03'!$C$10:$C$224,$C128,'TL03'!$J$10:$J$224),0),
IF('TL03'!$B$229=J$3,SUMIF('TL03'!$C$238:$C$451,$C128,'TL03'!$J$238:$J$451),0),
IF('TL04'!$B$3=J$3,SUMIF('TL04'!$C$10:$C$224,$C128,'TL04'!$J$10:$J$224),0),
IF('TL04'!$B$229=J$3,SUMIF('TL04'!$C$238:$C$451,$C128,'TL04'!$J$238:$J$451),0),
IF('TL05'!$B$3=J$3,SUMIF('TL05'!$C$10:$C$224,$C128,'TL05'!$J$10:$J$224),0),
IF('TL05'!$B$229=J$3,SUMIF('TL05'!$C$238:$C$451,$C128,'TL05'!$J$238:$J$451),0),
IF('TL06'!$B$3=J$3,SUMIF('TL06'!$C$10:$C$224,$C128,'TL06'!$J$10:$J$224),0),
IF('TL06'!$B$229=J$3,SUMIF('TL06'!$C$238:$C$451,$C128,'TL06'!$J$238:$J$451),0),
IF('TL07'!$B$3=J$3,SUMIF('TL07'!$C$10:$C$224,$C128,'TL07'!$J$10:$J$224),0),
IF('TL07'!$B$229=J$3,SUMIF('TL07'!$C$238:$C$451,$C128,'TL07'!$J$238:$J$451),0),
IF('TL08'!$B$3=J$3,SUMIF('TL08'!$C$10:$C$224,$C128,'TL08'!$J$10:$J$224),0),
IF('TL08'!$B$229=J$3,SUMIF('TL08'!$C$238:$C$451,$C128,'TL08'!$J$238:$J$451),0),
IF('TL09'!$B$3=J$3,SUMIF('TL09'!$C$10:$C$224,$C128,'TL09'!$J$10:$J$224),0),
IF('TL09'!$B$229=J$3,SUMIF('TL09'!$C$238:$C$451,$C128,'TL09'!$J$238:$J$451),0),
IF('TL10'!$B$3=J$3,SUMIF('TL10'!$C$10:$C$224,$C128,'TL10'!$J$10:$J$224),0),
IF('TL10'!$B$229=J$3,SUMIF('TL10'!$C$238:$C$451,$C128,'TL10'!$J$238:$J$451),0),
IF('TL11'!$B$3=J$3,SUMIF('TL11'!$C$10:$C$224,$C128,'TL11'!$J$10:$J$224),0),
IF('TL11'!$B$229=J$3,SUMIF('TL11'!$C$238:$C$451,$C128,'TL11'!$J$238:$J$451),0),
IF('TL12'!$B$3=J$3,SUMIF('TL12'!$C$10:$C$224,$C128,'TL12'!$J$10:$J$224),0),
IF('TL12'!$B$229=J$3,SUMIF('TL12'!$C$238:$C$451,$C128,'TL12'!$J$238:$J$451),0),
IF('TL13'!$B$3=J$3,SUMIF('TL13'!$C$10:$C$224,$C128,'TL13'!$J$10:$J$224),0),
IF('TL13'!$B$229=J$3,SUMIF('TL13'!$C$238:$C$451,$C128,'TL13'!$J$238:$J$451),0),
IF('TL14'!$B$3=J$3,SUMIF('TL14'!$C$10:$C$224,$C128,'TL14'!$J$10:$J$224),0),
IF('TL14'!$B$229=J$3,SUMIF('TL14'!$C$238:$C$451,$C128,'TL14'!$J$238:$J$451),0),
IF('TL15'!$B$3=J$3,SUMIF('TL15'!$C$10:$C$224,$C128,'TL15'!$J$10:$J$224),0),
IF('TL15'!$B$229=J$3,SUMIF('TL15'!$C$238:$C$451,$C128,'TL15'!$J$238:$J$451),0),
IF('TL16'!$B$3=J$3,SUMIF('TL16'!$C$10:$C$224,$C128,'TL16'!$J$10:$J$224),0),
IF('TL16'!$B$229=J$3,SUMIF('TL16'!$C$238:$C$451,$C128,'TL16'!$J$238:$J$451),0),
IF('TL17'!$B$3=J$3,SUMIF('TL17'!$C$10:$C$224,$C128,'TL17'!$J$10:$J$224),0),
IF('TL17'!$B$229=J$3,SUMIF('TL17'!$C$238:$C$451,$C128,'TL17'!$J$238:$J$451),0),
IF('TL18'!$B$3=J$3,SUMIF('TL18'!$C$10:$C$224,$C128,'TL18'!$J$10:$J$224),0),
IF('TL18'!$B$229=J$3,SUMIF('TL18'!$C$238:$C$451,$C128,'TL18'!$J$238:$J$451),0),
IF('TL19'!$B$3=J$3,SUMIF('TL19'!$C$10:$C$224,$C128,'TL19'!$J$10:$J$224),0),
IF('TL19'!$B$229=J$3,SUMIF('TL19'!$C$238:$C$451,$C128,'TL19'!$J$238:$J$451),0)
),0)</f>
        <v/>
      </c>
      <c r="K128" s="9">
        <f>IFERROR(SUM(
IF('TL01'!$B$3=K$3,SUMIF('TL01'!$C$10:$C$224,$C128,'TL01'!$J$10:$J$224),0),
IF('TL01'!$B$229=K$3,SUMIF('TL01'!$C$238:$C$451,$C128,'TL01'!$J$238:$J$451),0),
IF('TL02'!$B$3=K$3,SUMIF('TL02'!$C$10:$C$224,$C128,'TL02'!$J$10:$J$224),0),
IF('TL02'!$B$229=K$3,SUMIF('TL02'!$C$238:$C$451,$C128,'TL02'!$J$238:$J$451),0),
IF('TL03'!$B$3=K$3,SUMIF('TL03'!$C$10:$C$224,$C128,'TL03'!$J$10:$J$224),0),
IF('TL03'!$B$229=K$3,SUMIF('TL03'!$C$238:$C$451,$C128,'TL03'!$J$238:$J$451),0),
IF('TL04'!$B$3=K$3,SUMIF('TL04'!$C$10:$C$224,$C128,'TL04'!$J$10:$J$224),0),
IF('TL04'!$B$229=K$3,SUMIF('TL04'!$C$238:$C$451,$C128,'TL04'!$J$238:$J$451),0),
IF('TL05'!$B$3=K$3,SUMIF('TL05'!$C$10:$C$224,$C128,'TL05'!$J$10:$J$224),0),
IF('TL05'!$B$229=K$3,SUMIF('TL05'!$C$238:$C$451,$C128,'TL05'!$J$238:$J$451),0),
IF('TL06'!$B$3=K$3,SUMIF('TL06'!$C$10:$C$224,$C128,'TL06'!$J$10:$J$224),0),
IF('TL06'!$B$229=K$3,SUMIF('TL06'!$C$238:$C$451,$C128,'TL06'!$J$238:$J$451),0),
IF('TL07'!$B$3=K$3,SUMIF('TL07'!$C$10:$C$224,$C128,'TL07'!$J$10:$J$224),0),
IF('TL07'!$B$229=K$3,SUMIF('TL07'!$C$238:$C$451,$C128,'TL07'!$J$238:$J$451),0),
IF('TL08'!$B$3=K$3,SUMIF('TL08'!$C$10:$C$224,$C128,'TL08'!$J$10:$J$224),0),
IF('TL08'!$B$229=K$3,SUMIF('TL08'!$C$238:$C$451,$C128,'TL08'!$J$238:$J$451),0),
IF('TL09'!$B$3=K$3,SUMIF('TL09'!$C$10:$C$224,$C128,'TL09'!$J$10:$J$224),0),
IF('TL09'!$B$229=K$3,SUMIF('TL09'!$C$238:$C$451,$C128,'TL09'!$J$238:$J$451),0),
IF('TL10'!$B$3=K$3,SUMIF('TL10'!$C$10:$C$224,$C128,'TL10'!$J$10:$J$224),0),
IF('TL10'!$B$229=K$3,SUMIF('TL10'!$C$238:$C$451,$C128,'TL10'!$J$238:$J$451),0),
IF('TL11'!$B$3=K$3,SUMIF('TL11'!$C$10:$C$224,$C128,'TL11'!$J$10:$J$224),0),
IF('TL11'!$B$229=K$3,SUMIF('TL11'!$C$238:$C$451,$C128,'TL11'!$J$238:$J$451),0),
IF('TL12'!$B$3=K$3,SUMIF('TL12'!$C$10:$C$224,$C128,'TL12'!$J$10:$J$224),0),
IF('TL12'!$B$229=K$3,SUMIF('TL12'!$C$238:$C$451,$C128,'TL12'!$J$238:$J$451),0),
IF('TL13'!$B$3=K$3,SUMIF('TL13'!$C$10:$C$224,$C128,'TL13'!$J$10:$J$224),0),
IF('TL13'!$B$229=K$3,SUMIF('TL13'!$C$238:$C$451,$C128,'TL13'!$J$238:$J$451),0),
IF('TL14'!$B$3=K$3,SUMIF('TL14'!$C$10:$C$224,$C128,'TL14'!$J$10:$J$224),0),
IF('TL14'!$B$229=K$3,SUMIF('TL14'!$C$238:$C$451,$C128,'TL14'!$J$238:$J$451),0),
IF('TL15'!$B$3=K$3,SUMIF('TL15'!$C$10:$C$224,$C128,'TL15'!$J$10:$J$224),0),
IF('TL15'!$B$229=K$3,SUMIF('TL15'!$C$238:$C$451,$C128,'TL15'!$J$238:$J$451),0),
IF('TL16'!$B$3=K$3,SUMIF('TL16'!$C$10:$C$224,$C128,'TL16'!$J$10:$J$224),0),
IF('TL16'!$B$229=K$3,SUMIF('TL16'!$C$238:$C$451,$C128,'TL16'!$J$238:$J$451),0),
IF('TL17'!$B$3=K$3,SUMIF('TL17'!$C$10:$C$224,$C128,'TL17'!$J$10:$J$224),0),
IF('TL17'!$B$229=K$3,SUMIF('TL17'!$C$238:$C$451,$C128,'TL17'!$J$238:$J$451),0),
IF('TL18'!$B$3=K$3,SUMIF('TL18'!$C$10:$C$224,$C128,'TL18'!$J$10:$J$224),0),
IF('TL18'!$B$229=K$3,SUMIF('TL18'!$C$238:$C$451,$C128,'TL18'!$J$238:$J$451),0),
IF('TL19'!$B$3=K$3,SUMIF('TL19'!$C$10:$C$224,$C128,'TL19'!$J$10:$J$224),0),
IF('TL19'!$B$229=K$3,SUMIF('TL19'!$C$238:$C$451,$C128,'TL19'!$J$238:$J$451),0)
),0)</f>
        <v/>
      </c>
      <c r="L128" s="9">
        <f>IFERROR(SUM(
IF('TL01'!$B$3=L$3,SUMIF('TL01'!$C$10:$C$224,$C128,'TL01'!$J$10:$J$224),0),
IF('TL01'!$B$229=L$3,SUMIF('TL01'!$C$238:$C$451,$C128,'TL01'!$J$238:$J$451),0),
IF('TL02'!$B$3=L$3,SUMIF('TL02'!$C$10:$C$224,$C128,'TL02'!$J$10:$J$224),0),
IF('TL02'!$B$229=L$3,SUMIF('TL02'!$C$238:$C$451,$C128,'TL02'!$J$238:$J$451),0),
IF('TL03'!$B$3=L$3,SUMIF('TL03'!$C$10:$C$224,$C128,'TL03'!$J$10:$J$224),0),
IF('TL03'!$B$229=L$3,SUMIF('TL03'!$C$238:$C$451,$C128,'TL03'!$J$238:$J$451),0),
IF('TL04'!$B$3=L$3,SUMIF('TL04'!$C$10:$C$224,$C128,'TL04'!$J$10:$J$224),0),
IF('TL04'!$B$229=L$3,SUMIF('TL04'!$C$238:$C$451,$C128,'TL04'!$J$238:$J$451),0),
IF('TL05'!$B$3=L$3,SUMIF('TL05'!$C$10:$C$224,$C128,'TL05'!$J$10:$J$224),0),
IF('TL05'!$B$229=L$3,SUMIF('TL05'!$C$238:$C$451,$C128,'TL05'!$J$238:$J$451),0),
IF('TL06'!$B$3=L$3,SUMIF('TL06'!$C$10:$C$224,$C128,'TL06'!$J$10:$J$224),0),
IF('TL06'!$B$229=L$3,SUMIF('TL06'!$C$238:$C$451,$C128,'TL06'!$J$238:$J$451),0),
IF('TL07'!$B$3=L$3,SUMIF('TL07'!$C$10:$C$224,$C128,'TL07'!$J$10:$J$224),0),
IF('TL07'!$B$229=L$3,SUMIF('TL07'!$C$238:$C$451,$C128,'TL07'!$J$238:$J$451),0),
IF('TL08'!$B$3=L$3,SUMIF('TL08'!$C$10:$C$224,$C128,'TL08'!$J$10:$J$224),0),
IF('TL08'!$B$229=L$3,SUMIF('TL08'!$C$238:$C$451,$C128,'TL08'!$J$238:$J$451),0),
IF('TL09'!$B$3=L$3,SUMIF('TL09'!$C$10:$C$224,$C128,'TL09'!$J$10:$J$224),0),
IF('TL09'!$B$229=L$3,SUMIF('TL09'!$C$238:$C$451,$C128,'TL09'!$J$238:$J$451),0),
IF('TL10'!$B$3=L$3,SUMIF('TL10'!$C$10:$C$224,$C128,'TL10'!$J$10:$J$224),0),
IF('TL10'!$B$229=L$3,SUMIF('TL10'!$C$238:$C$451,$C128,'TL10'!$J$238:$J$451),0),
IF('TL11'!$B$3=L$3,SUMIF('TL11'!$C$10:$C$224,$C128,'TL11'!$J$10:$J$224),0),
IF('TL11'!$B$229=L$3,SUMIF('TL11'!$C$238:$C$451,$C128,'TL11'!$J$238:$J$451),0),
IF('TL12'!$B$3=L$3,SUMIF('TL12'!$C$10:$C$224,$C128,'TL12'!$J$10:$J$224),0),
IF('TL12'!$B$229=L$3,SUMIF('TL12'!$C$238:$C$451,$C128,'TL12'!$J$238:$J$451),0),
IF('TL13'!$B$3=L$3,SUMIF('TL13'!$C$10:$C$224,$C128,'TL13'!$J$10:$J$224),0),
IF('TL13'!$B$229=L$3,SUMIF('TL13'!$C$238:$C$451,$C128,'TL13'!$J$238:$J$451),0),
IF('TL14'!$B$3=L$3,SUMIF('TL14'!$C$10:$C$224,$C128,'TL14'!$J$10:$J$224),0),
IF('TL14'!$B$229=L$3,SUMIF('TL14'!$C$238:$C$451,$C128,'TL14'!$J$238:$J$451),0),
IF('TL15'!$B$3=L$3,SUMIF('TL15'!$C$10:$C$224,$C128,'TL15'!$J$10:$J$224),0),
IF('TL15'!$B$229=L$3,SUMIF('TL15'!$C$238:$C$451,$C128,'TL15'!$J$238:$J$451),0),
IF('TL16'!$B$3=L$3,SUMIF('TL16'!$C$10:$C$224,$C128,'TL16'!$J$10:$J$224),0),
IF('TL16'!$B$229=L$3,SUMIF('TL16'!$C$238:$C$451,$C128,'TL16'!$J$238:$J$451),0),
IF('TL17'!$B$3=L$3,SUMIF('TL17'!$C$10:$C$224,$C128,'TL17'!$J$10:$J$224),0),
IF('TL17'!$B$229=L$3,SUMIF('TL17'!$C$238:$C$451,$C128,'TL17'!$J$238:$J$451),0),
IF('TL18'!$B$3=L$3,SUMIF('TL18'!$C$10:$C$224,$C128,'TL18'!$J$10:$J$224),0),
IF('TL18'!$B$229=L$3,SUMIF('TL18'!$C$238:$C$451,$C128,'TL18'!$J$238:$J$451),0),
IF('TL19'!$B$3=L$3,SUMIF('TL19'!$C$10:$C$224,$C128,'TL19'!$J$10:$J$224),0),
IF('TL19'!$B$229=L$3,SUMIF('TL19'!$C$238:$C$451,$C128,'TL19'!$J$238:$J$451),0)
),0)</f>
        <v/>
      </c>
      <c r="M128" s="9">
        <f>IFERROR(SUM(
IF('TL01'!$B$3=M$3,SUMIF('TL01'!$C$10:$C$224,$C128,'TL01'!$J$10:$J$224),0),
IF('TL01'!$B$229=M$3,SUMIF('TL01'!$C$238:$C$451,$C128,'TL01'!$J$238:$J$451),0),
IF('TL02'!$B$3=M$3,SUMIF('TL02'!$C$10:$C$224,$C128,'TL02'!$J$10:$J$224),0),
IF('TL02'!$B$229=M$3,SUMIF('TL02'!$C$238:$C$451,$C128,'TL02'!$J$238:$J$451),0),
IF('TL03'!$B$3=M$3,SUMIF('TL03'!$C$10:$C$224,$C128,'TL03'!$J$10:$J$224),0),
IF('TL03'!$B$229=M$3,SUMIF('TL03'!$C$238:$C$451,$C128,'TL03'!$J$238:$J$451),0),
IF('TL04'!$B$3=M$3,SUMIF('TL04'!$C$10:$C$224,$C128,'TL04'!$J$10:$J$224),0),
IF('TL04'!$B$229=M$3,SUMIF('TL04'!$C$238:$C$451,$C128,'TL04'!$J$238:$J$451),0),
IF('TL05'!$B$3=M$3,SUMIF('TL05'!$C$10:$C$224,$C128,'TL05'!$J$10:$J$224),0),
IF('TL05'!$B$229=M$3,SUMIF('TL05'!$C$238:$C$451,$C128,'TL05'!$J$238:$J$451),0),
IF('TL06'!$B$3=M$3,SUMIF('TL06'!$C$10:$C$224,$C128,'TL06'!$J$10:$J$224),0),
IF('TL06'!$B$229=M$3,SUMIF('TL06'!$C$238:$C$451,$C128,'TL06'!$J$238:$J$451),0),
IF('TL07'!$B$3=M$3,SUMIF('TL07'!$C$10:$C$224,$C128,'TL07'!$J$10:$J$224),0),
IF('TL07'!$B$229=M$3,SUMIF('TL07'!$C$238:$C$451,$C128,'TL07'!$J$238:$J$451),0),
IF('TL08'!$B$3=M$3,SUMIF('TL08'!$C$10:$C$224,$C128,'TL08'!$J$10:$J$224),0),
IF('TL08'!$B$229=M$3,SUMIF('TL08'!$C$238:$C$451,$C128,'TL08'!$J$238:$J$451),0),
IF('TL09'!$B$3=M$3,SUMIF('TL09'!$C$10:$C$224,$C128,'TL09'!$J$10:$J$224),0),
IF('TL09'!$B$229=M$3,SUMIF('TL09'!$C$238:$C$451,$C128,'TL09'!$J$238:$J$451),0),
IF('TL10'!$B$3=M$3,SUMIF('TL10'!$C$10:$C$224,$C128,'TL10'!$J$10:$J$224),0),
IF('TL10'!$B$229=M$3,SUMIF('TL10'!$C$238:$C$451,$C128,'TL10'!$J$238:$J$451),0),
IF('TL11'!$B$3=M$3,SUMIF('TL11'!$C$10:$C$224,$C128,'TL11'!$J$10:$J$224),0),
IF('TL11'!$B$229=M$3,SUMIF('TL11'!$C$238:$C$451,$C128,'TL11'!$J$238:$J$451),0),
IF('TL12'!$B$3=M$3,SUMIF('TL12'!$C$10:$C$224,$C128,'TL12'!$J$10:$J$224),0),
IF('TL12'!$B$229=M$3,SUMIF('TL12'!$C$238:$C$451,$C128,'TL12'!$J$238:$J$451),0),
IF('TL13'!$B$3=M$3,SUMIF('TL13'!$C$10:$C$224,$C128,'TL13'!$J$10:$J$224),0),
IF('TL13'!$B$229=M$3,SUMIF('TL13'!$C$238:$C$451,$C128,'TL13'!$J$238:$J$451),0),
IF('TL14'!$B$3=M$3,SUMIF('TL14'!$C$10:$C$224,$C128,'TL14'!$J$10:$J$224),0),
IF('TL14'!$B$229=M$3,SUMIF('TL14'!$C$238:$C$451,$C128,'TL14'!$J$238:$J$451),0),
IF('TL15'!$B$3=M$3,SUMIF('TL15'!$C$10:$C$224,$C128,'TL15'!$J$10:$J$224),0),
IF('TL15'!$B$229=M$3,SUMIF('TL15'!$C$238:$C$451,$C128,'TL15'!$J$238:$J$451),0),
IF('TL16'!$B$3=M$3,SUMIF('TL16'!$C$10:$C$224,$C128,'TL16'!$J$10:$J$224),0),
IF('TL16'!$B$229=M$3,SUMIF('TL16'!$C$238:$C$451,$C128,'TL16'!$J$238:$J$451),0),
IF('TL17'!$B$3=M$3,SUMIF('TL17'!$C$10:$C$224,$C128,'TL17'!$J$10:$J$224),0),
IF('TL17'!$B$229=M$3,SUMIF('TL17'!$C$238:$C$451,$C128,'TL17'!$J$238:$J$451),0),
IF('TL18'!$B$3=M$3,SUMIF('TL18'!$C$10:$C$224,$C128,'TL18'!$J$10:$J$224),0),
IF('TL18'!$B$229=M$3,SUMIF('TL18'!$C$238:$C$451,$C128,'TL18'!$J$238:$J$451),0),
IF('TL19'!$B$3=M$3,SUMIF('TL19'!$C$10:$C$224,$C128,'TL19'!$J$10:$J$224),0),
IF('TL19'!$B$229=M$3,SUMIF('TL19'!$C$238:$C$451,$C128,'TL19'!$J$238:$J$451),0)
),0)</f>
        <v/>
      </c>
      <c r="N128" s="9">
        <f>IFERROR(SUM(
IF('TL01'!$B$3=N$3,SUMIF('TL01'!$C$10:$C$224,$C128,'TL01'!$J$10:$J$224),0),
IF('TL01'!$B$229=N$3,SUMIF('TL01'!$C$238:$C$451,$C128,'TL01'!$J$238:$J$451),0),
IF('TL02'!$B$3=N$3,SUMIF('TL02'!$C$10:$C$224,$C128,'TL02'!$J$10:$J$224),0),
IF('TL02'!$B$229=N$3,SUMIF('TL02'!$C$238:$C$451,$C128,'TL02'!$J$238:$J$451),0),
IF('TL03'!$B$3=N$3,SUMIF('TL03'!$C$10:$C$224,$C128,'TL03'!$J$10:$J$224),0),
IF('TL03'!$B$229=N$3,SUMIF('TL03'!$C$238:$C$451,$C128,'TL03'!$J$238:$J$451),0),
IF('TL04'!$B$3=N$3,SUMIF('TL04'!$C$10:$C$224,$C128,'TL04'!$J$10:$J$224),0),
IF('TL04'!$B$229=N$3,SUMIF('TL04'!$C$238:$C$451,$C128,'TL04'!$J$238:$J$451),0),
IF('TL05'!$B$3=N$3,SUMIF('TL05'!$C$10:$C$224,$C128,'TL05'!$J$10:$J$224),0),
IF('TL05'!$B$229=N$3,SUMIF('TL05'!$C$238:$C$451,$C128,'TL05'!$J$238:$J$451),0),
IF('TL06'!$B$3=N$3,SUMIF('TL06'!$C$10:$C$224,$C128,'TL06'!$J$10:$J$224),0),
IF('TL06'!$B$229=N$3,SUMIF('TL06'!$C$238:$C$451,$C128,'TL06'!$J$238:$J$451),0),
IF('TL07'!$B$3=N$3,SUMIF('TL07'!$C$10:$C$224,$C128,'TL07'!$J$10:$J$224),0),
IF('TL07'!$B$229=N$3,SUMIF('TL07'!$C$238:$C$451,$C128,'TL07'!$J$238:$J$451),0),
IF('TL08'!$B$3=N$3,SUMIF('TL08'!$C$10:$C$224,$C128,'TL08'!$J$10:$J$224),0),
IF('TL08'!$B$229=N$3,SUMIF('TL08'!$C$238:$C$451,$C128,'TL08'!$J$238:$J$451),0),
IF('TL09'!$B$3=N$3,SUMIF('TL09'!$C$10:$C$224,$C128,'TL09'!$J$10:$J$224),0),
IF('TL09'!$B$229=N$3,SUMIF('TL09'!$C$238:$C$451,$C128,'TL09'!$J$238:$J$451),0),
IF('TL10'!$B$3=N$3,SUMIF('TL10'!$C$10:$C$224,$C128,'TL10'!$J$10:$J$224),0),
IF('TL10'!$B$229=N$3,SUMIF('TL10'!$C$238:$C$451,$C128,'TL10'!$J$238:$J$451),0),
IF('TL11'!$B$3=N$3,SUMIF('TL11'!$C$10:$C$224,$C128,'TL11'!$J$10:$J$224),0),
IF('TL11'!$B$229=N$3,SUMIF('TL11'!$C$238:$C$451,$C128,'TL11'!$J$238:$J$451),0),
IF('TL12'!$B$3=N$3,SUMIF('TL12'!$C$10:$C$224,$C128,'TL12'!$J$10:$J$224),0),
IF('TL12'!$B$229=N$3,SUMIF('TL12'!$C$238:$C$451,$C128,'TL12'!$J$238:$J$451),0),
IF('TL13'!$B$3=N$3,SUMIF('TL13'!$C$10:$C$224,$C128,'TL13'!$J$10:$J$224),0),
IF('TL13'!$B$229=N$3,SUMIF('TL13'!$C$238:$C$451,$C128,'TL13'!$J$238:$J$451),0),
IF('TL14'!$B$3=N$3,SUMIF('TL14'!$C$10:$C$224,$C128,'TL14'!$J$10:$J$224),0),
IF('TL14'!$B$229=N$3,SUMIF('TL14'!$C$238:$C$451,$C128,'TL14'!$J$238:$J$451),0),
IF('TL15'!$B$3=N$3,SUMIF('TL15'!$C$10:$C$224,$C128,'TL15'!$J$10:$J$224),0),
IF('TL15'!$B$229=N$3,SUMIF('TL15'!$C$238:$C$451,$C128,'TL15'!$J$238:$J$451),0),
IF('TL16'!$B$3=N$3,SUMIF('TL16'!$C$10:$C$224,$C128,'TL16'!$J$10:$J$224),0),
IF('TL16'!$B$229=N$3,SUMIF('TL16'!$C$238:$C$451,$C128,'TL16'!$J$238:$J$451),0),
IF('TL17'!$B$3=N$3,SUMIF('TL17'!$C$10:$C$224,$C128,'TL17'!$J$10:$J$224),0),
IF('TL17'!$B$229=N$3,SUMIF('TL17'!$C$238:$C$451,$C128,'TL17'!$J$238:$J$451),0),
IF('TL18'!$B$3=N$3,SUMIF('TL18'!$C$10:$C$224,$C128,'TL18'!$J$10:$J$224),0),
IF('TL18'!$B$229=N$3,SUMIF('TL18'!$C$238:$C$451,$C128,'TL18'!$J$238:$J$451),0),
IF('TL19'!$B$3=N$3,SUMIF('TL19'!$C$10:$C$224,$C128,'TL19'!$J$10:$J$224),0),
IF('TL19'!$B$229=N$3,SUMIF('TL19'!$C$238:$C$451,$C128,'TL19'!$J$238:$J$451),0)
),0)</f>
        <v/>
      </c>
      <c r="O128" s="9">
        <f>IFERROR(SUM(
IF('TL01'!$B$3=O$3,SUMIF('TL01'!$C$10:$C$224,$C128,'TL01'!$J$10:$J$224),0),
IF('TL01'!$B$229=O$3,SUMIF('TL01'!$C$238:$C$451,$C128,'TL01'!$J$238:$J$451),0),
IF('TL02'!$B$3=O$3,SUMIF('TL02'!$C$10:$C$224,$C128,'TL02'!$J$10:$J$224),0),
IF('TL02'!$B$229=O$3,SUMIF('TL02'!$C$238:$C$451,$C128,'TL02'!$J$238:$J$451),0),
IF('TL03'!$B$3=O$3,SUMIF('TL03'!$C$10:$C$224,$C128,'TL03'!$J$10:$J$224),0),
IF('TL03'!$B$229=O$3,SUMIF('TL03'!$C$238:$C$451,$C128,'TL03'!$J$238:$J$451),0),
IF('TL04'!$B$3=O$3,SUMIF('TL04'!$C$10:$C$224,$C128,'TL04'!$J$10:$J$224),0),
IF('TL04'!$B$229=O$3,SUMIF('TL04'!$C$238:$C$451,$C128,'TL04'!$J$238:$J$451),0),
IF('TL05'!$B$3=O$3,SUMIF('TL05'!$C$10:$C$224,$C128,'TL05'!$J$10:$J$224),0),
IF('TL05'!$B$229=O$3,SUMIF('TL05'!$C$238:$C$451,$C128,'TL05'!$J$238:$J$451),0),
IF('TL06'!$B$3=O$3,SUMIF('TL06'!$C$10:$C$224,$C128,'TL06'!$J$10:$J$224),0),
IF('TL06'!$B$229=O$3,SUMIF('TL06'!$C$238:$C$451,$C128,'TL06'!$J$238:$J$451),0),
IF('TL07'!$B$3=O$3,SUMIF('TL07'!$C$10:$C$224,$C128,'TL07'!$J$10:$J$224),0),
IF('TL07'!$B$229=O$3,SUMIF('TL07'!$C$238:$C$451,$C128,'TL07'!$J$238:$J$451),0),
IF('TL08'!$B$3=O$3,SUMIF('TL08'!$C$10:$C$224,$C128,'TL08'!$J$10:$J$224),0),
IF('TL08'!$B$229=O$3,SUMIF('TL08'!$C$238:$C$451,$C128,'TL08'!$J$238:$J$451),0),
IF('TL09'!$B$3=O$3,SUMIF('TL09'!$C$10:$C$224,$C128,'TL09'!$J$10:$J$224),0),
IF('TL09'!$B$229=O$3,SUMIF('TL09'!$C$238:$C$451,$C128,'TL09'!$J$238:$J$451),0),
IF('TL10'!$B$3=O$3,SUMIF('TL10'!$C$10:$C$224,$C128,'TL10'!$J$10:$J$224),0),
IF('TL10'!$B$229=O$3,SUMIF('TL10'!$C$238:$C$451,$C128,'TL10'!$J$238:$J$451),0),
IF('TL11'!$B$3=O$3,SUMIF('TL11'!$C$10:$C$224,$C128,'TL11'!$J$10:$J$224),0),
IF('TL11'!$B$229=O$3,SUMIF('TL11'!$C$238:$C$451,$C128,'TL11'!$J$238:$J$451),0),
IF('TL12'!$B$3=O$3,SUMIF('TL12'!$C$10:$C$224,$C128,'TL12'!$J$10:$J$224),0),
IF('TL12'!$B$229=O$3,SUMIF('TL12'!$C$238:$C$451,$C128,'TL12'!$J$238:$J$451),0),
IF('TL13'!$B$3=O$3,SUMIF('TL13'!$C$10:$C$224,$C128,'TL13'!$J$10:$J$224),0),
IF('TL13'!$B$229=O$3,SUMIF('TL13'!$C$238:$C$451,$C128,'TL13'!$J$238:$J$451),0),
IF('TL14'!$B$3=O$3,SUMIF('TL14'!$C$10:$C$224,$C128,'TL14'!$J$10:$J$224),0),
IF('TL14'!$B$229=O$3,SUMIF('TL14'!$C$238:$C$451,$C128,'TL14'!$J$238:$J$451),0),
IF('TL15'!$B$3=O$3,SUMIF('TL15'!$C$10:$C$224,$C128,'TL15'!$J$10:$J$224),0),
IF('TL15'!$B$229=O$3,SUMIF('TL15'!$C$238:$C$451,$C128,'TL15'!$J$238:$J$451),0),
IF('TL16'!$B$3=O$3,SUMIF('TL16'!$C$10:$C$224,$C128,'TL16'!$J$10:$J$224),0),
IF('TL16'!$B$229=O$3,SUMIF('TL16'!$C$238:$C$451,$C128,'TL16'!$J$238:$J$451),0),
IF('TL17'!$B$3=O$3,SUMIF('TL17'!$C$10:$C$224,$C128,'TL17'!$J$10:$J$224),0),
IF('TL17'!$B$229=O$3,SUMIF('TL17'!$C$238:$C$451,$C128,'TL17'!$J$238:$J$451),0),
IF('TL18'!$B$3=O$3,SUMIF('TL18'!$C$10:$C$224,$C128,'TL18'!$J$10:$J$224),0),
IF('TL18'!$B$229=O$3,SUMIF('TL18'!$C$238:$C$451,$C128,'TL18'!$J$238:$J$451),0),
IF('TL19'!$B$3=O$3,SUMIF('TL19'!$C$10:$C$224,$C128,'TL19'!$J$10:$J$224),0),
IF('TL19'!$B$229=O$3,SUMIF('TL19'!$C$238:$C$451,$C128,'TL19'!$J$238:$J$451),0)
),0)</f>
        <v/>
      </c>
      <c r="P128" s="9">
        <f>IFERROR(SUM(
IF('TL01'!$B$3=P$3,SUMIF('TL01'!$C$10:$C$224,$C128,'TL01'!$J$10:$J$224),0),
IF('TL01'!$B$229=P$3,SUMIF('TL01'!$C$238:$C$451,$C128,'TL01'!$J$238:$J$451),0),
IF('TL02'!$B$3=P$3,SUMIF('TL02'!$C$10:$C$224,$C128,'TL02'!$J$10:$J$224),0),
IF('TL02'!$B$229=P$3,SUMIF('TL02'!$C$238:$C$451,$C128,'TL02'!$J$238:$J$451),0),
IF('TL03'!$B$3=P$3,SUMIF('TL03'!$C$10:$C$224,$C128,'TL03'!$J$10:$J$224),0),
IF('TL03'!$B$229=P$3,SUMIF('TL03'!$C$238:$C$451,$C128,'TL03'!$J$238:$J$451),0),
IF('TL04'!$B$3=P$3,SUMIF('TL04'!$C$10:$C$224,$C128,'TL04'!$J$10:$J$224),0),
IF('TL04'!$B$229=P$3,SUMIF('TL04'!$C$238:$C$451,$C128,'TL04'!$J$238:$J$451),0),
IF('TL05'!$B$3=P$3,SUMIF('TL05'!$C$10:$C$224,$C128,'TL05'!$J$10:$J$224),0),
IF('TL05'!$B$229=P$3,SUMIF('TL05'!$C$238:$C$451,$C128,'TL05'!$J$238:$J$451),0),
IF('TL06'!$B$3=P$3,SUMIF('TL06'!$C$10:$C$224,$C128,'TL06'!$J$10:$J$224),0),
IF('TL06'!$B$229=P$3,SUMIF('TL06'!$C$238:$C$451,$C128,'TL06'!$J$238:$J$451),0),
IF('TL07'!$B$3=P$3,SUMIF('TL07'!$C$10:$C$224,$C128,'TL07'!$J$10:$J$224),0),
IF('TL07'!$B$229=P$3,SUMIF('TL07'!$C$238:$C$451,$C128,'TL07'!$J$238:$J$451),0),
IF('TL08'!$B$3=P$3,SUMIF('TL08'!$C$10:$C$224,$C128,'TL08'!$J$10:$J$224),0),
IF('TL08'!$B$229=P$3,SUMIF('TL08'!$C$238:$C$451,$C128,'TL08'!$J$238:$J$451),0),
IF('TL09'!$B$3=P$3,SUMIF('TL09'!$C$10:$C$224,$C128,'TL09'!$J$10:$J$224),0),
IF('TL09'!$B$229=P$3,SUMIF('TL09'!$C$238:$C$451,$C128,'TL09'!$J$238:$J$451),0),
IF('TL10'!$B$3=P$3,SUMIF('TL10'!$C$10:$C$224,$C128,'TL10'!$J$10:$J$224),0),
IF('TL10'!$B$229=P$3,SUMIF('TL10'!$C$238:$C$451,$C128,'TL10'!$J$238:$J$451),0),
IF('TL11'!$B$3=P$3,SUMIF('TL11'!$C$10:$C$224,$C128,'TL11'!$J$10:$J$224),0),
IF('TL11'!$B$229=P$3,SUMIF('TL11'!$C$238:$C$451,$C128,'TL11'!$J$238:$J$451),0),
IF('TL12'!$B$3=P$3,SUMIF('TL12'!$C$10:$C$224,$C128,'TL12'!$J$10:$J$224),0),
IF('TL12'!$B$229=P$3,SUMIF('TL12'!$C$238:$C$451,$C128,'TL12'!$J$238:$J$451),0),
IF('TL13'!$B$3=P$3,SUMIF('TL13'!$C$10:$C$224,$C128,'TL13'!$J$10:$J$224),0),
IF('TL13'!$B$229=P$3,SUMIF('TL13'!$C$238:$C$451,$C128,'TL13'!$J$238:$J$451),0),
IF('TL14'!$B$3=P$3,SUMIF('TL14'!$C$10:$C$224,$C128,'TL14'!$J$10:$J$224),0),
IF('TL14'!$B$229=P$3,SUMIF('TL14'!$C$238:$C$451,$C128,'TL14'!$J$238:$J$451),0),
IF('TL15'!$B$3=P$3,SUMIF('TL15'!$C$10:$C$224,$C128,'TL15'!$J$10:$J$224),0),
IF('TL15'!$B$229=P$3,SUMIF('TL15'!$C$238:$C$451,$C128,'TL15'!$J$238:$J$451),0),
IF('TL16'!$B$3=P$3,SUMIF('TL16'!$C$10:$C$224,$C128,'TL16'!$J$10:$J$224),0),
IF('TL16'!$B$229=P$3,SUMIF('TL16'!$C$238:$C$451,$C128,'TL16'!$J$238:$J$451),0),
IF('TL17'!$B$3=P$3,SUMIF('TL17'!$C$10:$C$224,$C128,'TL17'!$J$10:$J$224),0),
IF('TL17'!$B$229=P$3,SUMIF('TL17'!$C$238:$C$451,$C128,'TL17'!$J$238:$J$451),0),
IF('TL18'!$B$3=P$3,SUMIF('TL18'!$C$10:$C$224,$C128,'TL18'!$J$10:$J$224),0),
IF('TL18'!$B$229=P$3,SUMIF('TL18'!$C$238:$C$451,$C128,'TL18'!$J$238:$J$451),0),
IF('TL19'!$B$3=P$3,SUMIF('TL19'!$C$10:$C$224,$C128,'TL19'!$J$10:$J$224),0),
IF('TL19'!$B$229=P$3,SUMIF('TL19'!$C$238:$C$451,$C128,'TL19'!$J$238:$J$451),0)
),0)</f>
        <v/>
      </c>
      <c r="Q128" s="9">
        <f>IFERROR(SUM(
IF('TL01'!$B$3=Q$3,SUMIF('TL01'!$C$10:$C$224,$C128,'TL01'!$J$10:$J$224),0),
IF('TL01'!$B$229=Q$3,SUMIF('TL01'!$C$238:$C$451,$C128,'TL01'!$J$238:$J$451),0),
IF('TL02'!$B$3=Q$3,SUMIF('TL02'!$C$10:$C$224,$C128,'TL02'!$J$10:$J$224),0),
IF('TL02'!$B$229=Q$3,SUMIF('TL02'!$C$238:$C$451,$C128,'TL02'!$J$238:$J$451),0),
IF('TL03'!$B$3=Q$3,SUMIF('TL03'!$C$10:$C$224,$C128,'TL03'!$J$10:$J$224),0),
IF('TL03'!$B$229=Q$3,SUMIF('TL03'!$C$238:$C$451,$C128,'TL03'!$J$238:$J$451),0),
IF('TL04'!$B$3=Q$3,SUMIF('TL04'!$C$10:$C$224,$C128,'TL04'!$J$10:$J$224),0),
IF('TL04'!$B$229=Q$3,SUMIF('TL04'!$C$238:$C$451,$C128,'TL04'!$J$238:$J$451),0),
IF('TL05'!$B$3=Q$3,SUMIF('TL05'!$C$10:$C$224,$C128,'TL05'!$J$10:$J$224),0),
IF('TL05'!$B$229=Q$3,SUMIF('TL05'!$C$238:$C$451,$C128,'TL05'!$J$238:$J$451),0),
IF('TL06'!$B$3=Q$3,SUMIF('TL06'!$C$10:$C$224,$C128,'TL06'!$J$10:$J$224),0),
IF('TL06'!$B$229=Q$3,SUMIF('TL06'!$C$238:$C$451,$C128,'TL06'!$J$238:$J$451),0),
IF('TL07'!$B$3=Q$3,SUMIF('TL07'!$C$10:$C$224,$C128,'TL07'!$J$10:$J$224),0),
IF('TL07'!$B$229=Q$3,SUMIF('TL07'!$C$238:$C$451,$C128,'TL07'!$J$238:$J$451),0),
IF('TL08'!$B$3=Q$3,SUMIF('TL08'!$C$10:$C$224,$C128,'TL08'!$J$10:$J$224),0),
IF('TL08'!$B$229=Q$3,SUMIF('TL08'!$C$238:$C$451,$C128,'TL08'!$J$238:$J$451),0),
IF('TL09'!$B$3=Q$3,SUMIF('TL09'!$C$10:$C$224,$C128,'TL09'!$J$10:$J$224),0),
IF('TL09'!$B$229=Q$3,SUMIF('TL09'!$C$238:$C$451,$C128,'TL09'!$J$238:$J$451),0),
IF('TL10'!$B$3=Q$3,SUMIF('TL10'!$C$10:$C$224,$C128,'TL10'!$J$10:$J$224),0),
IF('TL10'!$B$229=Q$3,SUMIF('TL10'!$C$238:$C$451,$C128,'TL10'!$J$238:$J$451),0),
IF('TL11'!$B$3=Q$3,SUMIF('TL11'!$C$10:$C$224,$C128,'TL11'!$J$10:$J$224),0),
IF('TL11'!$B$229=Q$3,SUMIF('TL11'!$C$238:$C$451,$C128,'TL11'!$J$238:$J$451),0),
IF('TL12'!$B$3=Q$3,SUMIF('TL12'!$C$10:$C$224,$C128,'TL12'!$J$10:$J$224),0),
IF('TL12'!$B$229=Q$3,SUMIF('TL12'!$C$238:$C$451,$C128,'TL12'!$J$238:$J$451),0),
IF('TL13'!$B$3=Q$3,SUMIF('TL13'!$C$10:$C$224,$C128,'TL13'!$J$10:$J$224),0),
IF('TL13'!$B$229=Q$3,SUMIF('TL13'!$C$238:$C$451,$C128,'TL13'!$J$238:$J$451),0),
IF('TL14'!$B$3=Q$3,SUMIF('TL14'!$C$10:$C$224,$C128,'TL14'!$J$10:$J$224),0),
IF('TL14'!$B$229=Q$3,SUMIF('TL14'!$C$238:$C$451,$C128,'TL14'!$J$238:$J$451),0),
IF('TL15'!$B$3=Q$3,SUMIF('TL15'!$C$10:$C$224,$C128,'TL15'!$J$10:$J$224),0),
IF('TL15'!$B$229=Q$3,SUMIF('TL15'!$C$238:$C$451,$C128,'TL15'!$J$238:$J$451),0),
IF('TL16'!$B$3=Q$3,SUMIF('TL16'!$C$10:$C$224,$C128,'TL16'!$J$10:$J$224),0),
IF('TL16'!$B$229=Q$3,SUMIF('TL16'!$C$238:$C$451,$C128,'TL16'!$J$238:$J$451),0),
IF('TL17'!$B$3=Q$3,SUMIF('TL17'!$C$10:$C$224,$C128,'TL17'!$J$10:$J$224),0),
IF('TL17'!$B$229=Q$3,SUMIF('TL17'!$C$238:$C$451,$C128,'TL17'!$J$238:$J$451),0),
IF('TL18'!$B$3=Q$3,SUMIF('TL18'!$C$10:$C$224,$C128,'TL18'!$J$10:$J$224),0),
IF('TL18'!$B$229=Q$3,SUMIF('TL18'!$C$238:$C$451,$C128,'TL18'!$J$238:$J$451),0),
IF('TL19'!$B$3=Q$3,SUMIF('TL19'!$C$10:$C$224,$C128,'TL19'!$J$10:$J$224),0),
IF('TL19'!$B$229=Q$3,SUMIF('TL19'!$C$238:$C$451,$C128,'TL19'!$J$238:$J$451),0)
),0)</f>
        <v/>
      </c>
      <c r="R128" s="9">
        <f>IFERROR(
SUM(
SUMIF('TL01'!C:C,C128,'TL01'!J:J),
SUMIF('TL02'!C:C,C128,'TL02'!J:J),
SUMIF('TL03'!C:C,C128,'TL03'!J:J),
SUMIF('TL04'!C:C,C128,'TL04'!J:J),
SUMIF('TL05'!C:C,C128,'TL05'!J:J),
SUMIF('TL06'!C:C,C128,'TL06'!J:J),
SUMIF('TL07'!C:C,C128,'TL07'!J:J),
SUMIF('TL08'!C:C,C128,'TL08'!J:J),
SUMIF('TL09'!C:C,C128,'TL09'!J:J),
SUMIF('TL10'!C:C,C128,'TL10'!J:J),
SUMIF('TL11'!C:C,C128,'TL11'!J:J),
SUMIF('TL12'!C:C,C128,'TL12'!J:J),
SUMIF('TL13'!C:C,C128,'TL13'!J:J),
SUMIF('TL14'!C:C,C128,'TL14'!J:J),
SUMIF('TL15'!C:C,C128,'TL15'!J:J),
SUMIF('TL16'!C:C,C128,'TL16'!J:J),
SUMIF('TL17'!C:C,C128,'TL17'!J:J),
SUMIF('TL18'!C:C,C128,'TL18'!J:J),SUMIF('TL19'!C:C,C128,'TL19'!J:J))
,0)</f>
        <v/>
      </c>
      <c r="S128" s="17">
        <f>IFERROR(__xludf.DUMMYFUNCTION("IFERROR(VLOOKUP(C128,
IMPORTRANGE(""1wULbzX32WdYsx-lj2U3uUNBBe2INVIRDtcK0d-Dvl90"",
""26-27!C:G""),
5,
FALSE),
"""")"),144.35834)</f>
        <v/>
      </c>
      <c r="T128" s="9" t="n"/>
      <c r="U128" s="92">
        <f>MAX(0,R128-T128)</f>
        <v/>
      </c>
      <c r="V128" s="93">
        <f>U128*S128</f>
        <v/>
      </c>
    </row>
    <row r="129" hidden="1" ht="15.75" customHeight="1" s="297">
      <c r="A129" s="111" t="inlineStr">
        <is>
          <t>CORTEVA</t>
        </is>
      </c>
      <c r="B129" s="112" t="inlineStr">
        <is>
          <t>HERBICIDA</t>
        </is>
      </c>
      <c r="C129" s="113" t="inlineStr">
        <is>
          <t>ELEVORE</t>
        </is>
      </c>
      <c r="D129" s="113" t="inlineStr">
        <is>
          <t>HALAUXIFEN-METIL</t>
        </is>
      </c>
      <c r="E129" s="113" t="inlineStr">
        <is>
          <t>71.4</t>
        </is>
      </c>
      <c r="F129" s="4" t="inlineStr">
        <is>
          <t>L</t>
        </is>
      </c>
      <c r="G129" s="90">
        <f>HYPERLINK("https://www.google.com/search?q=" &amp; C129 &amp; "+bula+agrofit+pdf", "📄 Ver bula")</f>
        <v/>
      </c>
      <c r="H129" s="9">
        <f>IFERROR(__xludf.DUMMYFUNCTION("IFERROR(VLOOKUP(C129,
IMPORTRANGE(""1wULbzX32WdYsx-lj2U3uUNBBe2INVIRDtcK0d-Dvl90"",
""26-27!C:K""),
8,
FALSE),
"""")"),"")</f>
        <v/>
      </c>
      <c r="I129" s="114" t="inlineStr">
        <is>
          <t>12X1</t>
        </is>
      </c>
      <c r="J129" s="9">
        <f>IFERROR(SUM(
IF('TL01'!$B$3=J$3,SUMIF('TL01'!$C$10:$C$224,$C129,'TL01'!$J$10:$J$224),0),
IF('TL01'!$B$229=J$3,SUMIF('TL01'!$C$238:$C$451,$C129,'TL01'!$J$238:$J$451),0),
IF('TL02'!$B$3=J$3,SUMIF('TL02'!$C$10:$C$224,$C129,'TL02'!$J$10:$J$224),0),
IF('TL02'!$B$229=J$3,SUMIF('TL02'!$C$238:$C$451,$C129,'TL02'!$J$238:$J$451),0),
IF('TL03'!$B$3=J$3,SUMIF('TL03'!$C$10:$C$224,$C129,'TL03'!$J$10:$J$224),0),
IF('TL03'!$B$229=J$3,SUMIF('TL03'!$C$238:$C$451,$C129,'TL03'!$J$238:$J$451),0),
IF('TL04'!$B$3=J$3,SUMIF('TL04'!$C$10:$C$224,$C129,'TL04'!$J$10:$J$224),0),
IF('TL04'!$B$229=J$3,SUMIF('TL04'!$C$238:$C$451,$C129,'TL04'!$J$238:$J$451),0),
IF('TL05'!$B$3=J$3,SUMIF('TL05'!$C$10:$C$224,$C129,'TL05'!$J$10:$J$224),0),
IF('TL05'!$B$229=J$3,SUMIF('TL05'!$C$238:$C$451,$C129,'TL05'!$J$238:$J$451),0),
IF('TL06'!$B$3=J$3,SUMIF('TL06'!$C$10:$C$224,$C129,'TL06'!$J$10:$J$224),0),
IF('TL06'!$B$229=J$3,SUMIF('TL06'!$C$238:$C$451,$C129,'TL06'!$J$238:$J$451),0),
IF('TL07'!$B$3=J$3,SUMIF('TL07'!$C$10:$C$224,$C129,'TL07'!$J$10:$J$224),0),
IF('TL07'!$B$229=J$3,SUMIF('TL07'!$C$238:$C$451,$C129,'TL07'!$J$238:$J$451),0),
IF('TL08'!$B$3=J$3,SUMIF('TL08'!$C$10:$C$224,$C129,'TL08'!$J$10:$J$224),0),
IF('TL08'!$B$229=J$3,SUMIF('TL08'!$C$238:$C$451,$C129,'TL08'!$J$238:$J$451),0),
IF('TL09'!$B$3=J$3,SUMIF('TL09'!$C$10:$C$224,$C129,'TL09'!$J$10:$J$224),0),
IF('TL09'!$B$229=J$3,SUMIF('TL09'!$C$238:$C$451,$C129,'TL09'!$J$238:$J$451),0),
IF('TL10'!$B$3=J$3,SUMIF('TL10'!$C$10:$C$224,$C129,'TL10'!$J$10:$J$224),0),
IF('TL10'!$B$229=J$3,SUMIF('TL10'!$C$238:$C$451,$C129,'TL10'!$J$238:$J$451),0),
IF('TL11'!$B$3=J$3,SUMIF('TL11'!$C$10:$C$224,$C129,'TL11'!$J$10:$J$224),0),
IF('TL11'!$B$229=J$3,SUMIF('TL11'!$C$238:$C$451,$C129,'TL11'!$J$238:$J$451),0),
IF('TL12'!$B$3=J$3,SUMIF('TL12'!$C$10:$C$224,$C129,'TL12'!$J$10:$J$224),0),
IF('TL12'!$B$229=J$3,SUMIF('TL12'!$C$238:$C$451,$C129,'TL12'!$J$238:$J$451),0),
IF('TL13'!$B$3=J$3,SUMIF('TL13'!$C$10:$C$224,$C129,'TL13'!$J$10:$J$224),0),
IF('TL13'!$B$229=J$3,SUMIF('TL13'!$C$238:$C$451,$C129,'TL13'!$J$238:$J$451),0),
IF('TL14'!$B$3=J$3,SUMIF('TL14'!$C$10:$C$224,$C129,'TL14'!$J$10:$J$224),0),
IF('TL14'!$B$229=J$3,SUMIF('TL14'!$C$238:$C$451,$C129,'TL14'!$J$238:$J$451),0),
IF('TL15'!$B$3=J$3,SUMIF('TL15'!$C$10:$C$224,$C129,'TL15'!$J$10:$J$224),0),
IF('TL15'!$B$229=J$3,SUMIF('TL15'!$C$238:$C$451,$C129,'TL15'!$J$238:$J$451),0),
IF('TL16'!$B$3=J$3,SUMIF('TL16'!$C$10:$C$224,$C129,'TL16'!$J$10:$J$224),0),
IF('TL16'!$B$229=J$3,SUMIF('TL16'!$C$238:$C$451,$C129,'TL16'!$J$238:$J$451),0),
IF('TL17'!$B$3=J$3,SUMIF('TL17'!$C$10:$C$224,$C129,'TL17'!$J$10:$J$224),0),
IF('TL17'!$B$229=J$3,SUMIF('TL17'!$C$238:$C$451,$C129,'TL17'!$J$238:$J$451),0),
IF('TL18'!$B$3=J$3,SUMIF('TL18'!$C$10:$C$224,$C129,'TL18'!$J$10:$J$224),0),
IF('TL18'!$B$229=J$3,SUMIF('TL18'!$C$238:$C$451,$C129,'TL18'!$J$238:$J$451),0),
IF('TL19'!$B$3=J$3,SUMIF('TL19'!$C$10:$C$224,$C129,'TL19'!$J$10:$J$224),0),
IF('TL19'!$B$229=J$3,SUMIF('TL19'!$C$238:$C$451,$C129,'TL19'!$J$238:$J$451),0)
),0)</f>
        <v/>
      </c>
      <c r="K129" s="9">
        <f>IFERROR(SUM(
IF('TL01'!$B$3=K$3,SUMIF('TL01'!$C$10:$C$224,$C129,'TL01'!$J$10:$J$224),0),
IF('TL01'!$B$229=K$3,SUMIF('TL01'!$C$238:$C$451,$C129,'TL01'!$J$238:$J$451),0),
IF('TL02'!$B$3=K$3,SUMIF('TL02'!$C$10:$C$224,$C129,'TL02'!$J$10:$J$224),0),
IF('TL02'!$B$229=K$3,SUMIF('TL02'!$C$238:$C$451,$C129,'TL02'!$J$238:$J$451),0),
IF('TL03'!$B$3=K$3,SUMIF('TL03'!$C$10:$C$224,$C129,'TL03'!$J$10:$J$224),0),
IF('TL03'!$B$229=K$3,SUMIF('TL03'!$C$238:$C$451,$C129,'TL03'!$J$238:$J$451),0),
IF('TL04'!$B$3=K$3,SUMIF('TL04'!$C$10:$C$224,$C129,'TL04'!$J$10:$J$224),0),
IF('TL04'!$B$229=K$3,SUMIF('TL04'!$C$238:$C$451,$C129,'TL04'!$J$238:$J$451),0),
IF('TL05'!$B$3=K$3,SUMIF('TL05'!$C$10:$C$224,$C129,'TL05'!$J$10:$J$224),0),
IF('TL05'!$B$229=K$3,SUMIF('TL05'!$C$238:$C$451,$C129,'TL05'!$J$238:$J$451),0),
IF('TL06'!$B$3=K$3,SUMIF('TL06'!$C$10:$C$224,$C129,'TL06'!$J$10:$J$224),0),
IF('TL06'!$B$229=K$3,SUMIF('TL06'!$C$238:$C$451,$C129,'TL06'!$J$238:$J$451),0),
IF('TL07'!$B$3=K$3,SUMIF('TL07'!$C$10:$C$224,$C129,'TL07'!$J$10:$J$224),0),
IF('TL07'!$B$229=K$3,SUMIF('TL07'!$C$238:$C$451,$C129,'TL07'!$J$238:$J$451),0),
IF('TL08'!$B$3=K$3,SUMIF('TL08'!$C$10:$C$224,$C129,'TL08'!$J$10:$J$224),0),
IF('TL08'!$B$229=K$3,SUMIF('TL08'!$C$238:$C$451,$C129,'TL08'!$J$238:$J$451),0),
IF('TL09'!$B$3=K$3,SUMIF('TL09'!$C$10:$C$224,$C129,'TL09'!$J$10:$J$224),0),
IF('TL09'!$B$229=K$3,SUMIF('TL09'!$C$238:$C$451,$C129,'TL09'!$J$238:$J$451),0),
IF('TL10'!$B$3=K$3,SUMIF('TL10'!$C$10:$C$224,$C129,'TL10'!$J$10:$J$224),0),
IF('TL10'!$B$229=K$3,SUMIF('TL10'!$C$238:$C$451,$C129,'TL10'!$J$238:$J$451),0),
IF('TL11'!$B$3=K$3,SUMIF('TL11'!$C$10:$C$224,$C129,'TL11'!$J$10:$J$224),0),
IF('TL11'!$B$229=K$3,SUMIF('TL11'!$C$238:$C$451,$C129,'TL11'!$J$238:$J$451),0),
IF('TL12'!$B$3=K$3,SUMIF('TL12'!$C$10:$C$224,$C129,'TL12'!$J$10:$J$224),0),
IF('TL12'!$B$229=K$3,SUMIF('TL12'!$C$238:$C$451,$C129,'TL12'!$J$238:$J$451),0),
IF('TL13'!$B$3=K$3,SUMIF('TL13'!$C$10:$C$224,$C129,'TL13'!$J$10:$J$224),0),
IF('TL13'!$B$229=K$3,SUMIF('TL13'!$C$238:$C$451,$C129,'TL13'!$J$238:$J$451),0),
IF('TL14'!$B$3=K$3,SUMIF('TL14'!$C$10:$C$224,$C129,'TL14'!$J$10:$J$224),0),
IF('TL14'!$B$229=K$3,SUMIF('TL14'!$C$238:$C$451,$C129,'TL14'!$J$238:$J$451),0),
IF('TL15'!$B$3=K$3,SUMIF('TL15'!$C$10:$C$224,$C129,'TL15'!$J$10:$J$224),0),
IF('TL15'!$B$229=K$3,SUMIF('TL15'!$C$238:$C$451,$C129,'TL15'!$J$238:$J$451),0),
IF('TL16'!$B$3=K$3,SUMIF('TL16'!$C$10:$C$224,$C129,'TL16'!$J$10:$J$224),0),
IF('TL16'!$B$229=K$3,SUMIF('TL16'!$C$238:$C$451,$C129,'TL16'!$J$238:$J$451),0),
IF('TL17'!$B$3=K$3,SUMIF('TL17'!$C$10:$C$224,$C129,'TL17'!$J$10:$J$224),0),
IF('TL17'!$B$229=K$3,SUMIF('TL17'!$C$238:$C$451,$C129,'TL17'!$J$238:$J$451),0),
IF('TL18'!$B$3=K$3,SUMIF('TL18'!$C$10:$C$224,$C129,'TL18'!$J$10:$J$224),0),
IF('TL18'!$B$229=K$3,SUMIF('TL18'!$C$238:$C$451,$C129,'TL18'!$J$238:$J$451),0),
IF('TL19'!$B$3=K$3,SUMIF('TL19'!$C$10:$C$224,$C129,'TL19'!$J$10:$J$224),0),
IF('TL19'!$B$229=K$3,SUMIF('TL19'!$C$238:$C$451,$C129,'TL19'!$J$238:$J$451),0)
),0)</f>
        <v/>
      </c>
      <c r="L129" s="9">
        <f>IFERROR(SUM(
IF('TL01'!$B$3=L$3,SUMIF('TL01'!$C$10:$C$224,$C129,'TL01'!$J$10:$J$224),0),
IF('TL01'!$B$229=L$3,SUMIF('TL01'!$C$238:$C$451,$C129,'TL01'!$J$238:$J$451),0),
IF('TL02'!$B$3=L$3,SUMIF('TL02'!$C$10:$C$224,$C129,'TL02'!$J$10:$J$224),0),
IF('TL02'!$B$229=L$3,SUMIF('TL02'!$C$238:$C$451,$C129,'TL02'!$J$238:$J$451),0),
IF('TL03'!$B$3=L$3,SUMIF('TL03'!$C$10:$C$224,$C129,'TL03'!$J$10:$J$224),0),
IF('TL03'!$B$229=L$3,SUMIF('TL03'!$C$238:$C$451,$C129,'TL03'!$J$238:$J$451),0),
IF('TL04'!$B$3=L$3,SUMIF('TL04'!$C$10:$C$224,$C129,'TL04'!$J$10:$J$224),0),
IF('TL04'!$B$229=L$3,SUMIF('TL04'!$C$238:$C$451,$C129,'TL04'!$J$238:$J$451),0),
IF('TL05'!$B$3=L$3,SUMIF('TL05'!$C$10:$C$224,$C129,'TL05'!$J$10:$J$224),0),
IF('TL05'!$B$229=L$3,SUMIF('TL05'!$C$238:$C$451,$C129,'TL05'!$J$238:$J$451),0),
IF('TL06'!$B$3=L$3,SUMIF('TL06'!$C$10:$C$224,$C129,'TL06'!$J$10:$J$224),0),
IF('TL06'!$B$229=L$3,SUMIF('TL06'!$C$238:$C$451,$C129,'TL06'!$J$238:$J$451),0),
IF('TL07'!$B$3=L$3,SUMIF('TL07'!$C$10:$C$224,$C129,'TL07'!$J$10:$J$224),0),
IF('TL07'!$B$229=L$3,SUMIF('TL07'!$C$238:$C$451,$C129,'TL07'!$J$238:$J$451),0),
IF('TL08'!$B$3=L$3,SUMIF('TL08'!$C$10:$C$224,$C129,'TL08'!$J$10:$J$224),0),
IF('TL08'!$B$229=L$3,SUMIF('TL08'!$C$238:$C$451,$C129,'TL08'!$J$238:$J$451),0),
IF('TL09'!$B$3=L$3,SUMIF('TL09'!$C$10:$C$224,$C129,'TL09'!$J$10:$J$224),0),
IF('TL09'!$B$229=L$3,SUMIF('TL09'!$C$238:$C$451,$C129,'TL09'!$J$238:$J$451),0),
IF('TL10'!$B$3=L$3,SUMIF('TL10'!$C$10:$C$224,$C129,'TL10'!$J$10:$J$224),0),
IF('TL10'!$B$229=L$3,SUMIF('TL10'!$C$238:$C$451,$C129,'TL10'!$J$238:$J$451),0),
IF('TL11'!$B$3=L$3,SUMIF('TL11'!$C$10:$C$224,$C129,'TL11'!$J$10:$J$224),0),
IF('TL11'!$B$229=L$3,SUMIF('TL11'!$C$238:$C$451,$C129,'TL11'!$J$238:$J$451),0),
IF('TL12'!$B$3=L$3,SUMIF('TL12'!$C$10:$C$224,$C129,'TL12'!$J$10:$J$224),0),
IF('TL12'!$B$229=L$3,SUMIF('TL12'!$C$238:$C$451,$C129,'TL12'!$J$238:$J$451),0),
IF('TL13'!$B$3=L$3,SUMIF('TL13'!$C$10:$C$224,$C129,'TL13'!$J$10:$J$224),0),
IF('TL13'!$B$229=L$3,SUMIF('TL13'!$C$238:$C$451,$C129,'TL13'!$J$238:$J$451),0),
IF('TL14'!$B$3=L$3,SUMIF('TL14'!$C$10:$C$224,$C129,'TL14'!$J$10:$J$224),0),
IF('TL14'!$B$229=L$3,SUMIF('TL14'!$C$238:$C$451,$C129,'TL14'!$J$238:$J$451),0),
IF('TL15'!$B$3=L$3,SUMIF('TL15'!$C$10:$C$224,$C129,'TL15'!$J$10:$J$224),0),
IF('TL15'!$B$229=L$3,SUMIF('TL15'!$C$238:$C$451,$C129,'TL15'!$J$238:$J$451),0),
IF('TL16'!$B$3=L$3,SUMIF('TL16'!$C$10:$C$224,$C129,'TL16'!$J$10:$J$224),0),
IF('TL16'!$B$229=L$3,SUMIF('TL16'!$C$238:$C$451,$C129,'TL16'!$J$238:$J$451),0),
IF('TL17'!$B$3=L$3,SUMIF('TL17'!$C$10:$C$224,$C129,'TL17'!$J$10:$J$224),0),
IF('TL17'!$B$229=L$3,SUMIF('TL17'!$C$238:$C$451,$C129,'TL17'!$J$238:$J$451),0),
IF('TL18'!$B$3=L$3,SUMIF('TL18'!$C$10:$C$224,$C129,'TL18'!$J$10:$J$224),0),
IF('TL18'!$B$229=L$3,SUMIF('TL18'!$C$238:$C$451,$C129,'TL18'!$J$238:$J$451),0),
IF('TL19'!$B$3=L$3,SUMIF('TL19'!$C$10:$C$224,$C129,'TL19'!$J$10:$J$224),0),
IF('TL19'!$B$229=L$3,SUMIF('TL19'!$C$238:$C$451,$C129,'TL19'!$J$238:$J$451),0)
),0)</f>
        <v/>
      </c>
      <c r="M129" s="9">
        <f>IFERROR(SUM(
IF('TL01'!$B$3=M$3,SUMIF('TL01'!$C$10:$C$224,$C129,'TL01'!$J$10:$J$224),0),
IF('TL01'!$B$229=M$3,SUMIF('TL01'!$C$238:$C$451,$C129,'TL01'!$J$238:$J$451),0),
IF('TL02'!$B$3=M$3,SUMIF('TL02'!$C$10:$C$224,$C129,'TL02'!$J$10:$J$224),0),
IF('TL02'!$B$229=M$3,SUMIF('TL02'!$C$238:$C$451,$C129,'TL02'!$J$238:$J$451),0),
IF('TL03'!$B$3=M$3,SUMIF('TL03'!$C$10:$C$224,$C129,'TL03'!$J$10:$J$224),0),
IF('TL03'!$B$229=M$3,SUMIF('TL03'!$C$238:$C$451,$C129,'TL03'!$J$238:$J$451),0),
IF('TL04'!$B$3=M$3,SUMIF('TL04'!$C$10:$C$224,$C129,'TL04'!$J$10:$J$224),0),
IF('TL04'!$B$229=M$3,SUMIF('TL04'!$C$238:$C$451,$C129,'TL04'!$J$238:$J$451),0),
IF('TL05'!$B$3=M$3,SUMIF('TL05'!$C$10:$C$224,$C129,'TL05'!$J$10:$J$224),0),
IF('TL05'!$B$229=M$3,SUMIF('TL05'!$C$238:$C$451,$C129,'TL05'!$J$238:$J$451),0),
IF('TL06'!$B$3=M$3,SUMIF('TL06'!$C$10:$C$224,$C129,'TL06'!$J$10:$J$224),0),
IF('TL06'!$B$229=M$3,SUMIF('TL06'!$C$238:$C$451,$C129,'TL06'!$J$238:$J$451),0),
IF('TL07'!$B$3=M$3,SUMIF('TL07'!$C$10:$C$224,$C129,'TL07'!$J$10:$J$224),0),
IF('TL07'!$B$229=M$3,SUMIF('TL07'!$C$238:$C$451,$C129,'TL07'!$J$238:$J$451),0),
IF('TL08'!$B$3=M$3,SUMIF('TL08'!$C$10:$C$224,$C129,'TL08'!$J$10:$J$224),0),
IF('TL08'!$B$229=M$3,SUMIF('TL08'!$C$238:$C$451,$C129,'TL08'!$J$238:$J$451),0),
IF('TL09'!$B$3=M$3,SUMIF('TL09'!$C$10:$C$224,$C129,'TL09'!$J$10:$J$224),0),
IF('TL09'!$B$229=M$3,SUMIF('TL09'!$C$238:$C$451,$C129,'TL09'!$J$238:$J$451),0),
IF('TL10'!$B$3=M$3,SUMIF('TL10'!$C$10:$C$224,$C129,'TL10'!$J$10:$J$224),0),
IF('TL10'!$B$229=M$3,SUMIF('TL10'!$C$238:$C$451,$C129,'TL10'!$J$238:$J$451),0),
IF('TL11'!$B$3=M$3,SUMIF('TL11'!$C$10:$C$224,$C129,'TL11'!$J$10:$J$224),0),
IF('TL11'!$B$229=M$3,SUMIF('TL11'!$C$238:$C$451,$C129,'TL11'!$J$238:$J$451),0),
IF('TL12'!$B$3=M$3,SUMIF('TL12'!$C$10:$C$224,$C129,'TL12'!$J$10:$J$224),0),
IF('TL12'!$B$229=M$3,SUMIF('TL12'!$C$238:$C$451,$C129,'TL12'!$J$238:$J$451),0),
IF('TL13'!$B$3=M$3,SUMIF('TL13'!$C$10:$C$224,$C129,'TL13'!$J$10:$J$224),0),
IF('TL13'!$B$229=M$3,SUMIF('TL13'!$C$238:$C$451,$C129,'TL13'!$J$238:$J$451),0),
IF('TL14'!$B$3=M$3,SUMIF('TL14'!$C$10:$C$224,$C129,'TL14'!$J$10:$J$224),0),
IF('TL14'!$B$229=M$3,SUMIF('TL14'!$C$238:$C$451,$C129,'TL14'!$J$238:$J$451),0),
IF('TL15'!$B$3=M$3,SUMIF('TL15'!$C$10:$C$224,$C129,'TL15'!$J$10:$J$224),0),
IF('TL15'!$B$229=M$3,SUMIF('TL15'!$C$238:$C$451,$C129,'TL15'!$J$238:$J$451),0),
IF('TL16'!$B$3=M$3,SUMIF('TL16'!$C$10:$C$224,$C129,'TL16'!$J$10:$J$224),0),
IF('TL16'!$B$229=M$3,SUMIF('TL16'!$C$238:$C$451,$C129,'TL16'!$J$238:$J$451),0),
IF('TL17'!$B$3=M$3,SUMIF('TL17'!$C$10:$C$224,$C129,'TL17'!$J$10:$J$224),0),
IF('TL17'!$B$229=M$3,SUMIF('TL17'!$C$238:$C$451,$C129,'TL17'!$J$238:$J$451),0),
IF('TL18'!$B$3=M$3,SUMIF('TL18'!$C$10:$C$224,$C129,'TL18'!$J$10:$J$224),0),
IF('TL18'!$B$229=M$3,SUMIF('TL18'!$C$238:$C$451,$C129,'TL18'!$J$238:$J$451),0),
IF('TL19'!$B$3=M$3,SUMIF('TL19'!$C$10:$C$224,$C129,'TL19'!$J$10:$J$224),0),
IF('TL19'!$B$229=M$3,SUMIF('TL19'!$C$238:$C$451,$C129,'TL19'!$J$238:$J$451),0)
),0)</f>
        <v/>
      </c>
      <c r="N129" s="9">
        <f>IFERROR(SUM(
IF('TL01'!$B$3=N$3,SUMIF('TL01'!$C$10:$C$224,$C129,'TL01'!$J$10:$J$224),0),
IF('TL01'!$B$229=N$3,SUMIF('TL01'!$C$238:$C$451,$C129,'TL01'!$J$238:$J$451),0),
IF('TL02'!$B$3=N$3,SUMIF('TL02'!$C$10:$C$224,$C129,'TL02'!$J$10:$J$224),0),
IF('TL02'!$B$229=N$3,SUMIF('TL02'!$C$238:$C$451,$C129,'TL02'!$J$238:$J$451),0),
IF('TL03'!$B$3=N$3,SUMIF('TL03'!$C$10:$C$224,$C129,'TL03'!$J$10:$J$224),0),
IF('TL03'!$B$229=N$3,SUMIF('TL03'!$C$238:$C$451,$C129,'TL03'!$J$238:$J$451),0),
IF('TL04'!$B$3=N$3,SUMIF('TL04'!$C$10:$C$224,$C129,'TL04'!$J$10:$J$224),0),
IF('TL04'!$B$229=N$3,SUMIF('TL04'!$C$238:$C$451,$C129,'TL04'!$J$238:$J$451),0),
IF('TL05'!$B$3=N$3,SUMIF('TL05'!$C$10:$C$224,$C129,'TL05'!$J$10:$J$224),0),
IF('TL05'!$B$229=N$3,SUMIF('TL05'!$C$238:$C$451,$C129,'TL05'!$J$238:$J$451),0),
IF('TL06'!$B$3=N$3,SUMIF('TL06'!$C$10:$C$224,$C129,'TL06'!$J$10:$J$224),0),
IF('TL06'!$B$229=N$3,SUMIF('TL06'!$C$238:$C$451,$C129,'TL06'!$J$238:$J$451),0),
IF('TL07'!$B$3=N$3,SUMIF('TL07'!$C$10:$C$224,$C129,'TL07'!$J$10:$J$224),0),
IF('TL07'!$B$229=N$3,SUMIF('TL07'!$C$238:$C$451,$C129,'TL07'!$J$238:$J$451),0),
IF('TL08'!$B$3=N$3,SUMIF('TL08'!$C$10:$C$224,$C129,'TL08'!$J$10:$J$224),0),
IF('TL08'!$B$229=N$3,SUMIF('TL08'!$C$238:$C$451,$C129,'TL08'!$J$238:$J$451),0),
IF('TL09'!$B$3=N$3,SUMIF('TL09'!$C$10:$C$224,$C129,'TL09'!$J$10:$J$224),0),
IF('TL09'!$B$229=N$3,SUMIF('TL09'!$C$238:$C$451,$C129,'TL09'!$J$238:$J$451),0),
IF('TL10'!$B$3=N$3,SUMIF('TL10'!$C$10:$C$224,$C129,'TL10'!$J$10:$J$224),0),
IF('TL10'!$B$229=N$3,SUMIF('TL10'!$C$238:$C$451,$C129,'TL10'!$J$238:$J$451),0),
IF('TL11'!$B$3=N$3,SUMIF('TL11'!$C$10:$C$224,$C129,'TL11'!$J$10:$J$224),0),
IF('TL11'!$B$229=N$3,SUMIF('TL11'!$C$238:$C$451,$C129,'TL11'!$J$238:$J$451),0),
IF('TL12'!$B$3=N$3,SUMIF('TL12'!$C$10:$C$224,$C129,'TL12'!$J$10:$J$224),0),
IF('TL12'!$B$229=N$3,SUMIF('TL12'!$C$238:$C$451,$C129,'TL12'!$J$238:$J$451),0),
IF('TL13'!$B$3=N$3,SUMIF('TL13'!$C$10:$C$224,$C129,'TL13'!$J$10:$J$224),0),
IF('TL13'!$B$229=N$3,SUMIF('TL13'!$C$238:$C$451,$C129,'TL13'!$J$238:$J$451),0),
IF('TL14'!$B$3=N$3,SUMIF('TL14'!$C$10:$C$224,$C129,'TL14'!$J$10:$J$224),0),
IF('TL14'!$B$229=N$3,SUMIF('TL14'!$C$238:$C$451,$C129,'TL14'!$J$238:$J$451),0),
IF('TL15'!$B$3=N$3,SUMIF('TL15'!$C$10:$C$224,$C129,'TL15'!$J$10:$J$224),0),
IF('TL15'!$B$229=N$3,SUMIF('TL15'!$C$238:$C$451,$C129,'TL15'!$J$238:$J$451),0),
IF('TL16'!$B$3=N$3,SUMIF('TL16'!$C$10:$C$224,$C129,'TL16'!$J$10:$J$224),0),
IF('TL16'!$B$229=N$3,SUMIF('TL16'!$C$238:$C$451,$C129,'TL16'!$J$238:$J$451),0),
IF('TL17'!$B$3=N$3,SUMIF('TL17'!$C$10:$C$224,$C129,'TL17'!$J$10:$J$224),0),
IF('TL17'!$B$229=N$3,SUMIF('TL17'!$C$238:$C$451,$C129,'TL17'!$J$238:$J$451),0),
IF('TL18'!$B$3=N$3,SUMIF('TL18'!$C$10:$C$224,$C129,'TL18'!$J$10:$J$224),0),
IF('TL18'!$B$229=N$3,SUMIF('TL18'!$C$238:$C$451,$C129,'TL18'!$J$238:$J$451),0),
IF('TL19'!$B$3=N$3,SUMIF('TL19'!$C$10:$C$224,$C129,'TL19'!$J$10:$J$224),0),
IF('TL19'!$B$229=N$3,SUMIF('TL19'!$C$238:$C$451,$C129,'TL19'!$J$238:$J$451),0)
),0)</f>
        <v/>
      </c>
      <c r="O129" s="9">
        <f>IFERROR(SUM(
IF('TL01'!$B$3=O$3,SUMIF('TL01'!$C$10:$C$224,$C129,'TL01'!$J$10:$J$224),0),
IF('TL01'!$B$229=O$3,SUMIF('TL01'!$C$238:$C$451,$C129,'TL01'!$J$238:$J$451),0),
IF('TL02'!$B$3=O$3,SUMIF('TL02'!$C$10:$C$224,$C129,'TL02'!$J$10:$J$224),0),
IF('TL02'!$B$229=O$3,SUMIF('TL02'!$C$238:$C$451,$C129,'TL02'!$J$238:$J$451),0),
IF('TL03'!$B$3=O$3,SUMIF('TL03'!$C$10:$C$224,$C129,'TL03'!$J$10:$J$224),0),
IF('TL03'!$B$229=O$3,SUMIF('TL03'!$C$238:$C$451,$C129,'TL03'!$J$238:$J$451),0),
IF('TL04'!$B$3=O$3,SUMIF('TL04'!$C$10:$C$224,$C129,'TL04'!$J$10:$J$224),0),
IF('TL04'!$B$229=O$3,SUMIF('TL04'!$C$238:$C$451,$C129,'TL04'!$J$238:$J$451),0),
IF('TL05'!$B$3=O$3,SUMIF('TL05'!$C$10:$C$224,$C129,'TL05'!$J$10:$J$224),0),
IF('TL05'!$B$229=O$3,SUMIF('TL05'!$C$238:$C$451,$C129,'TL05'!$J$238:$J$451),0),
IF('TL06'!$B$3=O$3,SUMIF('TL06'!$C$10:$C$224,$C129,'TL06'!$J$10:$J$224),0),
IF('TL06'!$B$229=O$3,SUMIF('TL06'!$C$238:$C$451,$C129,'TL06'!$J$238:$J$451),0),
IF('TL07'!$B$3=O$3,SUMIF('TL07'!$C$10:$C$224,$C129,'TL07'!$J$10:$J$224),0),
IF('TL07'!$B$229=O$3,SUMIF('TL07'!$C$238:$C$451,$C129,'TL07'!$J$238:$J$451),0),
IF('TL08'!$B$3=O$3,SUMIF('TL08'!$C$10:$C$224,$C129,'TL08'!$J$10:$J$224),0),
IF('TL08'!$B$229=O$3,SUMIF('TL08'!$C$238:$C$451,$C129,'TL08'!$J$238:$J$451),0),
IF('TL09'!$B$3=O$3,SUMIF('TL09'!$C$10:$C$224,$C129,'TL09'!$J$10:$J$224),0),
IF('TL09'!$B$229=O$3,SUMIF('TL09'!$C$238:$C$451,$C129,'TL09'!$J$238:$J$451),0),
IF('TL10'!$B$3=O$3,SUMIF('TL10'!$C$10:$C$224,$C129,'TL10'!$J$10:$J$224),0),
IF('TL10'!$B$229=O$3,SUMIF('TL10'!$C$238:$C$451,$C129,'TL10'!$J$238:$J$451),0),
IF('TL11'!$B$3=O$3,SUMIF('TL11'!$C$10:$C$224,$C129,'TL11'!$J$10:$J$224),0),
IF('TL11'!$B$229=O$3,SUMIF('TL11'!$C$238:$C$451,$C129,'TL11'!$J$238:$J$451),0),
IF('TL12'!$B$3=O$3,SUMIF('TL12'!$C$10:$C$224,$C129,'TL12'!$J$10:$J$224),0),
IF('TL12'!$B$229=O$3,SUMIF('TL12'!$C$238:$C$451,$C129,'TL12'!$J$238:$J$451),0),
IF('TL13'!$B$3=O$3,SUMIF('TL13'!$C$10:$C$224,$C129,'TL13'!$J$10:$J$224),0),
IF('TL13'!$B$229=O$3,SUMIF('TL13'!$C$238:$C$451,$C129,'TL13'!$J$238:$J$451),0),
IF('TL14'!$B$3=O$3,SUMIF('TL14'!$C$10:$C$224,$C129,'TL14'!$J$10:$J$224),0),
IF('TL14'!$B$229=O$3,SUMIF('TL14'!$C$238:$C$451,$C129,'TL14'!$J$238:$J$451),0),
IF('TL15'!$B$3=O$3,SUMIF('TL15'!$C$10:$C$224,$C129,'TL15'!$J$10:$J$224),0),
IF('TL15'!$B$229=O$3,SUMIF('TL15'!$C$238:$C$451,$C129,'TL15'!$J$238:$J$451),0),
IF('TL16'!$B$3=O$3,SUMIF('TL16'!$C$10:$C$224,$C129,'TL16'!$J$10:$J$224),0),
IF('TL16'!$B$229=O$3,SUMIF('TL16'!$C$238:$C$451,$C129,'TL16'!$J$238:$J$451),0),
IF('TL17'!$B$3=O$3,SUMIF('TL17'!$C$10:$C$224,$C129,'TL17'!$J$10:$J$224),0),
IF('TL17'!$B$229=O$3,SUMIF('TL17'!$C$238:$C$451,$C129,'TL17'!$J$238:$J$451),0),
IF('TL18'!$B$3=O$3,SUMIF('TL18'!$C$10:$C$224,$C129,'TL18'!$J$10:$J$224),0),
IF('TL18'!$B$229=O$3,SUMIF('TL18'!$C$238:$C$451,$C129,'TL18'!$J$238:$J$451),0),
IF('TL19'!$B$3=O$3,SUMIF('TL19'!$C$10:$C$224,$C129,'TL19'!$J$10:$J$224),0),
IF('TL19'!$B$229=O$3,SUMIF('TL19'!$C$238:$C$451,$C129,'TL19'!$J$238:$J$451),0)
),0)</f>
        <v/>
      </c>
      <c r="P129" s="9">
        <f>IFERROR(SUM(
IF('TL01'!$B$3=P$3,SUMIF('TL01'!$C$10:$C$224,$C129,'TL01'!$J$10:$J$224),0),
IF('TL01'!$B$229=P$3,SUMIF('TL01'!$C$238:$C$451,$C129,'TL01'!$J$238:$J$451),0),
IF('TL02'!$B$3=P$3,SUMIF('TL02'!$C$10:$C$224,$C129,'TL02'!$J$10:$J$224),0),
IF('TL02'!$B$229=P$3,SUMIF('TL02'!$C$238:$C$451,$C129,'TL02'!$J$238:$J$451),0),
IF('TL03'!$B$3=P$3,SUMIF('TL03'!$C$10:$C$224,$C129,'TL03'!$J$10:$J$224),0),
IF('TL03'!$B$229=P$3,SUMIF('TL03'!$C$238:$C$451,$C129,'TL03'!$J$238:$J$451),0),
IF('TL04'!$B$3=P$3,SUMIF('TL04'!$C$10:$C$224,$C129,'TL04'!$J$10:$J$224),0),
IF('TL04'!$B$229=P$3,SUMIF('TL04'!$C$238:$C$451,$C129,'TL04'!$J$238:$J$451),0),
IF('TL05'!$B$3=P$3,SUMIF('TL05'!$C$10:$C$224,$C129,'TL05'!$J$10:$J$224),0),
IF('TL05'!$B$229=P$3,SUMIF('TL05'!$C$238:$C$451,$C129,'TL05'!$J$238:$J$451),0),
IF('TL06'!$B$3=P$3,SUMIF('TL06'!$C$10:$C$224,$C129,'TL06'!$J$10:$J$224),0),
IF('TL06'!$B$229=P$3,SUMIF('TL06'!$C$238:$C$451,$C129,'TL06'!$J$238:$J$451),0),
IF('TL07'!$B$3=P$3,SUMIF('TL07'!$C$10:$C$224,$C129,'TL07'!$J$10:$J$224),0),
IF('TL07'!$B$229=P$3,SUMIF('TL07'!$C$238:$C$451,$C129,'TL07'!$J$238:$J$451),0),
IF('TL08'!$B$3=P$3,SUMIF('TL08'!$C$10:$C$224,$C129,'TL08'!$J$10:$J$224),0),
IF('TL08'!$B$229=P$3,SUMIF('TL08'!$C$238:$C$451,$C129,'TL08'!$J$238:$J$451),0),
IF('TL09'!$B$3=P$3,SUMIF('TL09'!$C$10:$C$224,$C129,'TL09'!$J$10:$J$224),0),
IF('TL09'!$B$229=P$3,SUMIF('TL09'!$C$238:$C$451,$C129,'TL09'!$J$238:$J$451),0),
IF('TL10'!$B$3=P$3,SUMIF('TL10'!$C$10:$C$224,$C129,'TL10'!$J$10:$J$224),0),
IF('TL10'!$B$229=P$3,SUMIF('TL10'!$C$238:$C$451,$C129,'TL10'!$J$238:$J$451),0),
IF('TL11'!$B$3=P$3,SUMIF('TL11'!$C$10:$C$224,$C129,'TL11'!$J$10:$J$224),0),
IF('TL11'!$B$229=P$3,SUMIF('TL11'!$C$238:$C$451,$C129,'TL11'!$J$238:$J$451),0),
IF('TL12'!$B$3=P$3,SUMIF('TL12'!$C$10:$C$224,$C129,'TL12'!$J$10:$J$224),0),
IF('TL12'!$B$229=P$3,SUMIF('TL12'!$C$238:$C$451,$C129,'TL12'!$J$238:$J$451),0),
IF('TL13'!$B$3=P$3,SUMIF('TL13'!$C$10:$C$224,$C129,'TL13'!$J$10:$J$224),0),
IF('TL13'!$B$229=P$3,SUMIF('TL13'!$C$238:$C$451,$C129,'TL13'!$J$238:$J$451),0),
IF('TL14'!$B$3=P$3,SUMIF('TL14'!$C$10:$C$224,$C129,'TL14'!$J$10:$J$224),0),
IF('TL14'!$B$229=P$3,SUMIF('TL14'!$C$238:$C$451,$C129,'TL14'!$J$238:$J$451),0),
IF('TL15'!$B$3=P$3,SUMIF('TL15'!$C$10:$C$224,$C129,'TL15'!$J$10:$J$224),0),
IF('TL15'!$B$229=P$3,SUMIF('TL15'!$C$238:$C$451,$C129,'TL15'!$J$238:$J$451),0),
IF('TL16'!$B$3=P$3,SUMIF('TL16'!$C$10:$C$224,$C129,'TL16'!$J$10:$J$224),0),
IF('TL16'!$B$229=P$3,SUMIF('TL16'!$C$238:$C$451,$C129,'TL16'!$J$238:$J$451),0),
IF('TL17'!$B$3=P$3,SUMIF('TL17'!$C$10:$C$224,$C129,'TL17'!$J$10:$J$224),0),
IF('TL17'!$B$229=P$3,SUMIF('TL17'!$C$238:$C$451,$C129,'TL17'!$J$238:$J$451),0),
IF('TL18'!$B$3=P$3,SUMIF('TL18'!$C$10:$C$224,$C129,'TL18'!$J$10:$J$224),0),
IF('TL18'!$B$229=P$3,SUMIF('TL18'!$C$238:$C$451,$C129,'TL18'!$J$238:$J$451),0),
IF('TL19'!$B$3=P$3,SUMIF('TL19'!$C$10:$C$224,$C129,'TL19'!$J$10:$J$224),0),
IF('TL19'!$B$229=P$3,SUMIF('TL19'!$C$238:$C$451,$C129,'TL19'!$J$238:$J$451),0)
),0)</f>
        <v/>
      </c>
      <c r="Q129" s="9">
        <f>IFERROR(SUM(
IF('TL01'!$B$3=Q$3,SUMIF('TL01'!$C$10:$C$224,$C129,'TL01'!$J$10:$J$224),0),
IF('TL01'!$B$229=Q$3,SUMIF('TL01'!$C$238:$C$451,$C129,'TL01'!$J$238:$J$451),0),
IF('TL02'!$B$3=Q$3,SUMIF('TL02'!$C$10:$C$224,$C129,'TL02'!$J$10:$J$224),0),
IF('TL02'!$B$229=Q$3,SUMIF('TL02'!$C$238:$C$451,$C129,'TL02'!$J$238:$J$451),0),
IF('TL03'!$B$3=Q$3,SUMIF('TL03'!$C$10:$C$224,$C129,'TL03'!$J$10:$J$224),0),
IF('TL03'!$B$229=Q$3,SUMIF('TL03'!$C$238:$C$451,$C129,'TL03'!$J$238:$J$451),0),
IF('TL04'!$B$3=Q$3,SUMIF('TL04'!$C$10:$C$224,$C129,'TL04'!$J$10:$J$224),0),
IF('TL04'!$B$229=Q$3,SUMIF('TL04'!$C$238:$C$451,$C129,'TL04'!$J$238:$J$451),0),
IF('TL05'!$B$3=Q$3,SUMIF('TL05'!$C$10:$C$224,$C129,'TL05'!$J$10:$J$224),0),
IF('TL05'!$B$229=Q$3,SUMIF('TL05'!$C$238:$C$451,$C129,'TL05'!$J$238:$J$451),0),
IF('TL06'!$B$3=Q$3,SUMIF('TL06'!$C$10:$C$224,$C129,'TL06'!$J$10:$J$224),0),
IF('TL06'!$B$229=Q$3,SUMIF('TL06'!$C$238:$C$451,$C129,'TL06'!$J$238:$J$451),0),
IF('TL07'!$B$3=Q$3,SUMIF('TL07'!$C$10:$C$224,$C129,'TL07'!$J$10:$J$224),0),
IF('TL07'!$B$229=Q$3,SUMIF('TL07'!$C$238:$C$451,$C129,'TL07'!$J$238:$J$451),0),
IF('TL08'!$B$3=Q$3,SUMIF('TL08'!$C$10:$C$224,$C129,'TL08'!$J$10:$J$224),0),
IF('TL08'!$B$229=Q$3,SUMIF('TL08'!$C$238:$C$451,$C129,'TL08'!$J$238:$J$451),0),
IF('TL09'!$B$3=Q$3,SUMIF('TL09'!$C$10:$C$224,$C129,'TL09'!$J$10:$J$224),0),
IF('TL09'!$B$229=Q$3,SUMIF('TL09'!$C$238:$C$451,$C129,'TL09'!$J$238:$J$451),0),
IF('TL10'!$B$3=Q$3,SUMIF('TL10'!$C$10:$C$224,$C129,'TL10'!$J$10:$J$224),0),
IF('TL10'!$B$229=Q$3,SUMIF('TL10'!$C$238:$C$451,$C129,'TL10'!$J$238:$J$451),0),
IF('TL11'!$B$3=Q$3,SUMIF('TL11'!$C$10:$C$224,$C129,'TL11'!$J$10:$J$224),0),
IF('TL11'!$B$229=Q$3,SUMIF('TL11'!$C$238:$C$451,$C129,'TL11'!$J$238:$J$451),0),
IF('TL12'!$B$3=Q$3,SUMIF('TL12'!$C$10:$C$224,$C129,'TL12'!$J$10:$J$224),0),
IF('TL12'!$B$229=Q$3,SUMIF('TL12'!$C$238:$C$451,$C129,'TL12'!$J$238:$J$451),0),
IF('TL13'!$B$3=Q$3,SUMIF('TL13'!$C$10:$C$224,$C129,'TL13'!$J$10:$J$224),0),
IF('TL13'!$B$229=Q$3,SUMIF('TL13'!$C$238:$C$451,$C129,'TL13'!$J$238:$J$451),0),
IF('TL14'!$B$3=Q$3,SUMIF('TL14'!$C$10:$C$224,$C129,'TL14'!$J$10:$J$224),0),
IF('TL14'!$B$229=Q$3,SUMIF('TL14'!$C$238:$C$451,$C129,'TL14'!$J$238:$J$451),0),
IF('TL15'!$B$3=Q$3,SUMIF('TL15'!$C$10:$C$224,$C129,'TL15'!$J$10:$J$224),0),
IF('TL15'!$B$229=Q$3,SUMIF('TL15'!$C$238:$C$451,$C129,'TL15'!$J$238:$J$451),0),
IF('TL16'!$B$3=Q$3,SUMIF('TL16'!$C$10:$C$224,$C129,'TL16'!$J$10:$J$224),0),
IF('TL16'!$B$229=Q$3,SUMIF('TL16'!$C$238:$C$451,$C129,'TL16'!$J$238:$J$451),0),
IF('TL17'!$B$3=Q$3,SUMIF('TL17'!$C$10:$C$224,$C129,'TL17'!$J$10:$J$224),0),
IF('TL17'!$B$229=Q$3,SUMIF('TL17'!$C$238:$C$451,$C129,'TL17'!$J$238:$J$451),0),
IF('TL18'!$B$3=Q$3,SUMIF('TL18'!$C$10:$C$224,$C129,'TL18'!$J$10:$J$224),0),
IF('TL18'!$B$229=Q$3,SUMIF('TL18'!$C$238:$C$451,$C129,'TL18'!$J$238:$J$451),0),
IF('TL19'!$B$3=Q$3,SUMIF('TL19'!$C$10:$C$224,$C129,'TL19'!$J$10:$J$224),0),
IF('TL19'!$B$229=Q$3,SUMIF('TL19'!$C$238:$C$451,$C129,'TL19'!$J$238:$J$451),0)
),0)</f>
        <v/>
      </c>
      <c r="R129" s="9">
        <f>IFERROR(
SUM(
SUMIF('TL01'!C:C,C129,'TL01'!J:J),
SUMIF('TL02'!C:C,C129,'TL02'!J:J),
SUMIF('TL03'!C:C,C129,'TL03'!J:J),
SUMIF('TL04'!C:C,C129,'TL04'!J:J),
SUMIF('TL05'!C:C,C129,'TL05'!J:J),
SUMIF('TL06'!C:C,C129,'TL06'!J:J),
SUMIF('TL07'!C:C,C129,'TL07'!J:J),
SUMIF('TL08'!C:C,C129,'TL08'!J:J),
SUMIF('TL09'!C:C,C129,'TL09'!J:J),
SUMIF('TL10'!C:C,C129,'TL10'!J:J),
SUMIF('TL11'!C:C,C129,'TL11'!J:J),
SUMIF('TL12'!C:C,C129,'TL12'!J:J),
SUMIF('TL13'!C:C,C129,'TL13'!J:J),
SUMIF('TL14'!C:C,C129,'TL14'!J:J),
SUMIF('TL15'!C:C,C129,'TL15'!J:J),
SUMIF('TL16'!C:C,C129,'TL16'!J:J),
SUMIF('TL17'!C:C,C129,'TL17'!J:J),
SUMIF('TL18'!C:C,C129,'TL18'!J:J),SUMIF('TL19'!C:C,C129,'TL19'!J:J))
,0)</f>
        <v/>
      </c>
      <c r="S129" s="17">
        <f>IFERROR(__xludf.DUMMYFUNCTION("IFERROR(VLOOKUP(C129,
IMPORTRANGE(""1wULbzX32WdYsx-lj2U3uUNBBe2INVIRDtcK0d-Dvl90"",
""26-27!C:G""),
5,
FALSE),
"""")"),585.4218599999999)</f>
        <v/>
      </c>
      <c r="T129" s="9" t="n"/>
      <c r="U129" s="92">
        <f>MAX(0,R129-T129)</f>
        <v/>
      </c>
      <c r="V129" s="93">
        <f>U129*S129</f>
        <v/>
      </c>
    </row>
    <row r="130" hidden="1" ht="15.75" customHeight="1" s="297">
      <c r="A130" s="115" t="inlineStr">
        <is>
          <t>CORTEVA</t>
        </is>
      </c>
      <c r="B130" s="100" t="inlineStr">
        <is>
          <t>HERBICIDA</t>
        </is>
      </c>
      <c r="C130" s="116" t="inlineStr">
        <is>
          <t>ENLIST COLEX-D</t>
        </is>
      </c>
      <c r="D130" s="116" t="inlineStr">
        <is>
          <t>2,4-D SAL DE COLINA + EQUIVALENTE ACIDO 2.4D</t>
        </is>
      </c>
      <c r="E130" s="116" t="inlineStr">
        <is>
          <t>668,62 + 456</t>
        </is>
      </c>
      <c r="F130" s="4" t="inlineStr">
        <is>
          <t>L</t>
        </is>
      </c>
      <c r="G130" s="90">
        <f>HYPERLINK("https://www.google.com/search?q=" &amp; C130 &amp; "+bula+agrofit+pdf", "📄 Ver bula")</f>
        <v/>
      </c>
      <c r="H130" s="9">
        <f>IFERROR(__xludf.DUMMYFUNCTION("IFERROR(VLOOKUP(C130,
IMPORTRANGE(""1wULbzX32WdYsx-lj2U3uUNBBe2INVIRDtcK0d-Dvl90"",
""26-27!C:K""),
8,
FALSE),
"""")"),"")</f>
        <v/>
      </c>
      <c r="I130" s="117" t="inlineStr">
        <is>
          <t>1x20</t>
        </is>
      </c>
      <c r="J130" s="9">
        <f>IFERROR(SUM(
IF('TL01'!$B$3=J$3,SUMIF('TL01'!$C$10:$C$224,$C130,'TL01'!$J$10:$J$224),0),
IF('TL01'!$B$229=J$3,SUMIF('TL01'!$C$238:$C$451,$C130,'TL01'!$J$238:$J$451),0),
IF('TL02'!$B$3=J$3,SUMIF('TL02'!$C$10:$C$224,$C130,'TL02'!$J$10:$J$224),0),
IF('TL02'!$B$229=J$3,SUMIF('TL02'!$C$238:$C$451,$C130,'TL02'!$J$238:$J$451),0),
IF('TL03'!$B$3=J$3,SUMIF('TL03'!$C$10:$C$224,$C130,'TL03'!$J$10:$J$224),0),
IF('TL03'!$B$229=J$3,SUMIF('TL03'!$C$238:$C$451,$C130,'TL03'!$J$238:$J$451),0),
IF('TL04'!$B$3=J$3,SUMIF('TL04'!$C$10:$C$224,$C130,'TL04'!$J$10:$J$224),0),
IF('TL04'!$B$229=J$3,SUMIF('TL04'!$C$238:$C$451,$C130,'TL04'!$J$238:$J$451),0),
IF('TL05'!$B$3=J$3,SUMIF('TL05'!$C$10:$C$224,$C130,'TL05'!$J$10:$J$224),0),
IF('TL05'!$B$229=J$3,SUMIF('TL05'!$C$238:$C$451,$C130,'TL05'!$J$238:$J$451),0),
IF('TL06'!$B$3=J$3,SUMIF('TL06'!$C$10:$C$224,$C130,'TL06'!$J$10:$J$224),0),
IF('TL06'!$B$229=J$3,SUMIF('TL06'!$C$238:$C$451,$C130,'TL06'!$J$238:$J$451),0),
IF('TL07'!$B$3=J$3,SUMIF('TL07'!$C$10:$C$224,$C130,'TL07'!$J$10:$J$224),0),
IF('TL07'!$B$229=J$3,SUMIF('TL07'!$C$238:$C$451,$C130,'TL07'!$J$238:$J$451),0),
IF('TL08'!$B$3=J$3,SUMIF('TL08'!$C$10:$C$224,$C130,'TL08'!$J$10:$J$224),0),
IF('TL08'!$B$229=J$3,SUMIF('TL08'!$C$238:$C$451,$C130,'TL08'!$J$238:$J$451),0),
IF('TL09'!$B$3=J$3,SUMIF('TL09'!$C$10:$C$224,$C130,'TL09'!$J$10:$J$224),0),
IF('TL09'!$B$229=J$3,SUMIF('TL09'!$C$238:$C$451,$C130,'TL09'!$J$238:$J$451),0),
IF('TL10'!$B$3=J$3,SUMIF('TL10'!$C$10:$C$224,$C130,'TL10'!$J$10:$J$224),0),
IF('TL10'!$B$229=J$3,SUMIF('TL10'!$C$238:$C$451,$C130,'TL10'!$J$238:$J$451),0),
IF('TL11'!$B$3=J$3,SUMIF('TL11'!$C$10:$C$224,$C130,'TL11'!$J$10:$J$224),0),
IF('TL11'!$B$229=J$3,SUMIF('TL11'!$C$238:$C$451,$C130,'TL11'!$J$238:$J$451),0),
IF('TL12'!$B$3=J$3,SUMIF('TL12'!$C$10:$C$224,$C130,'TL12'!$J$10:$J$224),0),
IF('TL12'!$B$229=J$3,SUMIF('TL12'!$C$238:$C$451,$C130,'TL12'!$J$238:$J$451),0),
IF('TL13'!$B$3=J$3,SUMIF('TL13'!$C$10:$C$224,$C130,'TL13'!$J$10:$J$224),0),
IF('TL13'!$B$229=J$3,SUMIF('TL13'!$C$238:$C$451,$C130,'TL13'!$J$238:$J$451),0),
IF('TL14'!$B$3=J$3,SUMIF('TL14'!$C$10:$C$224,$C130,'TL14'!$J$10:$J$224),0),
IF('TL14'!$B$229=J$3,SUMIF('TL14'!$C$238:$C$451,$C130,'TL14'!$J$238:$J$451),0),
IF('TL15'!$B$3=J$3,SUMIF('TL15'!$C$10:$C$224,$C130,'TL15'!$J$10:$J$224),0),
IF('TL15'!$B$229=J$3,SUMIF('TL15'!$C$238:$C$451,$C130,'TL15'!$J$238:$J$451),0),
IF('TL16'!$B$3=J$3,SUMIF('TL16'!$C$10:$C$224,$C130,'TL16'!$J$10:$J$224),0),
IF('TL16'!$B$229=J$3,SUMIF('TL16'!$C$238:$C$451,$C130,'TL16'!$J$238:$J$451),0),
IF('TL17'!$B$3=J$3,SUMIF('TL17'!$C$10:$C$224,$C130,'TL17'!$J$10:$J$224),0),
IF('TL17'!$B$229=J$3,SUMIF('TL17'!$C$238:$C$451,$C130,'TL17'!$J$238:$J$451),0),
IF('TL18'!$B$3=J$3,SUMIF('TL18'!$C$10:$C$224,$C130,'TL18'!$J$10:$J$224),0),
IF('TL18'!$B$229=J$3,SUMIF('TL18'!$C$238:$C$451,$C130,'TL18'!$J$238:$J$451),0),
IF('TL19'!$B$3=J$3,SUMIF('TL19'!$C$10:$C$224,$C130,'TL19'!$J$10:$J$224),0),
IF('TL19'!$B$229=J$3,SUMIF('TL19'!$C$238:$C$451,$C130,'TL19'!$J$238:$J$451),0)
),0)</f>
        <v/>
      </c>
      <c r="K130" s="9">
        <f>IFERROR(SUM(
IF('TL01'!$B$3=K$3,SUMIF('TL01'!$C$10:$C$224,$C130,'TL01'!$J$10:$J$224),0),
IF('TL01'!$B$229=K$3,SUMIF('TL01'!$C$238:$C$451,$C130,'TL01'!$J$238:$J$451),0),
IF('TL02'!$B$3=K$3,SUMIF('TL02'!$C$10:$C$224,$C130,'TL02'!$J$10:$J$224),0),
IF('TL02'!$B$229=K$3,SUMIF('TL02'!$C$238:$C$451,$C130,'TL02'!$J$238:$J$451),0),
IF('TL03'!$B$3=K$3,SUMIF('TL03'!$C$10:$C$224,$C130,'TL03'!$J$10:$J$224),0),
IF('TL03'!$B$229=K$3,SUMIF('TL03'!$C$238:$C$451,$C130,'TL03'!$J$238:$J$451),0),
IF('TL04'!$B$3=K$3,SUMIF('TL04'!$C$10:$C$224,$C130,'TL04'!$J$10:$J$224),0),
IF('TL04'!$B$229=K$3,SUMIF('TL04'!$C$238:$C$451,$C130,'TL04'!$J$238:$J$451),0),
IF('TL05'!$B$3=K$3,SUMIF('TL05'!$C$10:$C$224,$C130,'TL05'!$J$10:$J$224),0),
IF('TL05'!$B$229=K$3,SUMIF('TL05'!$C$238:$C$451,$C130,'TL05'!$J$238:$J$451),0),
IF('TL06'!$B$3=K$3,SUMIF('TL06'!$C$10:$C$224,$C130,'TL06'!$J$10:$J$224),0),
IF('TL06'!$B$229=K$3,SUMIF('TL06'!$C$238:$C$451,$C130,'TL06'!$J$238:$J$451),0),
IF('TL07'!$B$3=K$3,SUMIF('TL07'!$C$10:$C$224,$C130,'TL07'!$J$10:$J$224),0),
IF('TL07'!$B$229=K$3,SUMIF('TL07'!$C$238:$C$451,$C130,'TL07'!$J$238:$J$451),0),
IF('TL08'!$B$3=K$3,SUMIF('TL08'!$C$10:$C$224,$C130,'TL08'!$J$10:$J$224),0),
IF('TL08'!$B$229=K$3,SUMIF('TL08'!$C$238:$C$451,$C130,'TL08'!$J$238:$J$451),0),
IF('TL09'!$B$3=K$3,SUMIF('TL09'!$C$10:$C$224,$C130,'TL09'!$J$10:$J$224),0),
IF('TL09'!$B$229=K$3,SUMIF('TL09'!$C$238:$C$451,$C130,'TL09'!$J$238:$J$451),0),
IF('TL10'!$B$3=K$3,SUMIF('TL10'!$C$10:$C$224,$C130,'TL10'!$J$10:$J$224),0),
IF('TL10'!$B$229=K$3,SUMIF('TL10'!$C$238:$C$451,$C130,'TL10'!$J$238:$J$451),0),
IF('TL11'!$B$3=K$3,SUMIF('TL11'!$C$10:$C$224,$C130,'TL11'!$J$10:$J$224),0),
IF('TL11'!$B$229=K$3,SUMIF('TL11'!$C$238:$C$451,$C130,'TL11'!$J$238:$J$451),0),
IF('TL12'!$B$3=K$3,SUMIF('TL12'!$C$10:$C$224,$C130,'TL12'!$J$10:$J$224),0),
IF('TL12'!$B$229=K$3,SUMIF('TL12'!$C$238:$C$451,$C130,'TL12'!$J$238:$J$451),0),
IF('TL13'!$B$3=K$3,SUMIF('TL13'!$C$10:$C$224,$C130,'TL13'!$J$10:$J$224),0),
IF('TL13'!$B$229=K$3,SUMIF('TL13'!$C$238:$C$451,$C130,'TL13'!$J$238:$J$451),0),
IF('TL14'!$B$3=K$3,SUMIF('TL14'!$C$10:$C$224,$C130,'TL14'!$J$10:$J$224),0),
IF('TL14'!$B$229=K$3,SUMIF('TL14'!$C$238:$C$451,$C130,'TL14'!$J$238:$J$451),0),
IF('TL15'!$B$3=K$3,SUMIF('TL15'!$C$10:$C$224,$C130,'TL15'!$J$10:$J$224),0),
IF('TL15'!$B$229=K$3,SUMIF('TL15'!$C$238:$C$451,$C130,'TL15'!$J$238:$J$451),0),
IF('TL16'!$B$3=K$3,SUMIF('TL16'!$C$10:$C$224,$C130,'TL16'!$J$10:$J$224),0),
IF('TL16'!$B$229=K$3,SUMIF('TL16'!$C$238:$C$451,$C130,'TL16'!$J$238:$J$451),0),
IF('TL17'!$B$3=K$3,SUMIF('TL17'!$C$10:$C$224,$C130,'TL17'!$J$10:$J$224),0),
IF('TL17'!$B$229=K$3,SUMIF('TL17'!$C$238:$C$451,$C130,'TL17'!$J$238:$J$451),0),
IF('TL18'!$B$3=K$3,SUMIF('TL18'!$C$10:$C$224,$C130,'TL18'!$J$10:$J$224),0),
IF('TL18'!$B$229=K$3,SUMIF('TL18'!$C$238:$C$451,$C130,'TL18'!$J$238:$J$451),0),
IF('TL19'!$B$3=K$3,SUMIF('TL19'!$C$10:$C$224,$C130,'TL19'!$J$10:$J$224),0),
IF('TL19'!$B$229=K$3,SUMIF('TL19'!$C$238:$C$451,$C130,'TL19'!$J$238:$J$451),0)
),0)</f>
        <v/>
      </c>
      <c r="L130" s="9">
        <f>IFERROR(SUM(
IF('TL01'!$B$3=L$3,SUMIF('TL01'!$C$10:$C$224,$C130,'TL01'!$J$10:$J$224),0),
IF('TL01'!$B$229=L$3,SUMIF('TL01'!$C$238:$C$451,$C130,'TL01'!$J$238:$J$451),0),
IF('TL02'!$B$3=L$3,SUMIF('TL02'!$C$10:$C$224,$C130,'TL02'!$J$10:$J$224),0),
IF('TL02'!$B$229=L$3,SUMIF('TL02'!$C$238:$C$451,$C130,'TL02'!$J$238:$J$451),0),
IF('TL03'!$B$3=L$3,SUMIF('TL03'!$C$10:$C$224,$C130,'TL03'!$J$10:$J$224),0),
IF('TL03'!$B$229=L$3,SUMIF('TL03'!$C$238:$C$451,$C130,'TL03'!$J$238:$J$451),0),
IF('TL04'!$B$3=L$3,SUMIF('TL04'!$C$10:$C$224,$C130,'TL04'!$J$10:$J$224),0),
IF('TL04'!$B$229=L$3,SUMIF('TL04'!$C$238:$C$451,$C130,'TL04'!$J$238:$J$451),0),
IF('TL05'!$B$3=L$3,SUMIF('TL05'!$C$10:$C$224,$C130,'TL05'!$J$10:$J$224),0),
IF('TL05'!$B$229=L$3,SUMIF('TL05'!$C$238:$C$451,$C130,'TL05'!$J$238:$J$451),0),
IF('TL06'!$B$3=L$3,SUMIF('TL06'!$C$10:$C$224,$C130,'TL06'!$J$10:$J$224),0),
IF('TL06'!$B$229=L$3,SUMIF('TL06'!$C$238:$C$451,$C130,'TL06'!$J$238:$J$451),0),
IF('TL07'!$B$3=L$3,SUMIF('TL07'!$C$10:$C$224,$C130,'TL07'!$J$10:$J$224),0),
IF('TL07'!$B$229=L$3,SUMIF('TL07'!$C$238:$C$451,$C130,'TL07'!$J$238:$J$451),0),
IF('TL08'!$B$3=L$3,SUMIF('TL08'!$C$10:$C$224,$C130,'TL08'!$J$10:$J$224),0),
IF('TL08'!$B$229=L$3,SUMIF('TL08'!$C$238:$C$451,$C130,'TL08'!$J$238:$J$451),0),
IF('TL09'!$B$3=L$3,SUMIF('TL09'!$C$10:$C$224,$C130,'TL09'!$J$10:$J$224),0),
IF('TL09'!$B$229=L$3,SUMIF('TL09'!$C$238:$C$451,$C130,'TL09'!$J$238:$J$451),0),
IF('TL10'!$B$3=L$3,SUMIF('TL10'!$C$10:$C$224,$C130,'TL10'!$J$10:$J$224),0),
IF('TL10'!$B$229=L$3,SUMIF('TL10'!$C$238:$C$451,$C130,'TL10'!$J$238:$J$451),0),
IF('TL11'!$B$3=L$3,SUMIF('TL11'!$C$10:$C$224,$C130,'TL11'!$J$10:$J$224),0),
IF('TL11'!$B$229=L$3,SUMIF('TL11'!$C$238:$C$451,$C130,'TL11'!$J$238:$J$451),0),
IF('TL12'!$B$3=L$3,SUMIF('TL12'!$C$10:$C$224,$C130,'TL12'!$J$10:$J$224),0),
IF('TL12'!$B$229=L$3,SUMIF('TL12'!$C$238:$C$451,$C130,'TL12'!$J$238:$J$451),0),
IF('TL13'!$B$3=L$3,SUMIF('TL13'!$C$10:$C$224,$C130,'TL13'!$J$10:$J$224),0),
IF('TL13'!$B$229=L$3,SUMIF('TL13'!$C$238:$C$451,$C130,'TL13'!$J$238:$J$451),0),
IF('TL14'!$B$3=L$3,SUMIF('TL14'!$C$10:$C$224,$C130,'TL14'!$J$10:$J$224),0),
IF('TL14'!$B$229=L$3,SUMIF('TL14'!$C$238:$C$451,$C130,'TL14'!$J$238:$J$451),0),
IF('TL15'!$B$3=L$3,SUMIF('TL15'!$C$10:$C$224,$C130,'TL15'!$J$10:$J$224),0),
IF('TL15'!$B$229=L$3,SUMIF('TL15'!$C$238:$C$451,$C130,'TL15'!$J$238:$J$451),0),
IF('TL16'!$B$3=L$3,SUMIF('TL16'!$C$10:$C$224,$C130,'TL16'!$J$10:$J$224),0),
IF('TL16'!$B$229=L$3,SUMIF('TL16'!$C$238:$C$451,$C130,'TL16'!$J$238:$J$451),0),
IF('TL17'!$B$3=L$3,SUMIF('TL17'!$C$10:$C$224,$C130,'TL17'!$J$10:$J$224),0),
IF('TL17'!$B$229=L$3,SUMIF('TL17'!$C$238:$C$451,$C130,'TL17'!$J$238:$J$451),0),
IF('TL18'!$B$3=L$3,SUMIF('TL18'!$C$10:$C$224,$C130,'TL18'!$J$10:$J$224),0),
IF('TL18'!$B$229=L$3,SUMIF('TL18'!$C$238:$C$451,$C130,'TL18'!$J$238:$J$451),0),
IF('TL19'!$B$3=L$3,SUMIF('TL19'!$C$10:$C$224,$C130,'TL19'!$J$10:$J$224),0),
IF('TL19'!$B$229=L$3,SUMIF('TL19'!$C$238:$C$451,$C130,'TL19'!$J$238:$J$451),0)
),0)</f>
        <v/>
      </c>
      <c r="M130" s="9">
        <f>IFERROR(SUM(
IF('TL01'!$B$3=M$3,SUMIF('TL01'!$C$10:$C$224,$C130,'TL01'!$J$10:$J$224),0),
IF('TL01'!$B$229=M$3,SUMIF('TL01'!$C$238:$C$451,$C130,'TL01'!$J$238:$J$451),0),
IF('TL02'!$B$3=M$3,SUMIF('TL02'!$C$10:$C$224,$C130,'TL02'!$J$10:$J$224),0),
IF('TL02'!$B$229=M$3,SUMIF('TL02'!$C$238:$C$451,$C130,'TL02'!$J$238:$J$451),0),
IF('TL03'!$B$3=M$3,SUMIF('TL03'!$C$10:$C$224,$C130,'TL03'!$J$10:$J$224),0),
IF('TL03'!$B$229=M$3,SUMIF('TL03'!$C$238:$C$451,$C130,'TL03'!$J$238:$J$451),0),
IF('TL04'!$B$3=M$3,SUMIF('TL04'!$C$10:$C$224,$C130,'TL04'!$J$10:$J$224),0),
IF('TL04'!$B$229=M$3,SUMIF('TL04'!$C$238:$C$451,$C130,'TL04'!$J$238:$J$451),0),
IF('TL05'!$B$3=M$3,SUMIF('TL05'!$C$10:$C$224,$C130,'TL05'!$J$10:$J$224),0),
IF('TL05'!$B$229=M$3,SUMIF('TL05'!$C$238:$C$451,$C130,'TL05'!$J$238:$J$451),0),
IF('TL06'!$B$3=M$3,SUMIF('TL06'!$C$10:$C$224,$C130,'TL06'!$J$10:$J$224),0),
IF('TL06'!$B$229=M$3,SUMIF('TL06'!$C$238:$C$451,$C130,'TL06'!$J$238:$J$451),0),
IF('TL07'!$B$3=M$3,SUMIF('TL07'!$C$10:$C$224,$C130,'TL07'!$J$10:$J$224),0),
IF('TL07'!$B$229=M$3,SUMIF('TL07'!$C$238:$C$451,$C130,'TL07'!$J$238:$J$451),0),
IF('TL08'!$B$3=M$3,SUMIF('TL08'!$C$10:$C$224,$C130,'TL08'!$J$10:$J$224),0),
IF('TL08'!$B$229=M$3,SUMIF('TL08'!$C$238:$C$451,$C130,'TL08'!$J$238:$J$451),0),
IF('TL09'!$B$3=M$3,SUMIF('TL09'!$C$10:$C$224,$C130,'TL09'!$J$10:$J$224),0),
IF('TL09'!$B$229=M$3,SUMIF('TL09'!$C$238:$C$451,$C130,'TL09'!$J$238:$J$451),0),
IF('TL10'!$B$3=M$3,SUMIF('TL10'!$C$10:$C$224,$C130,'TL10'!$J$10:$J$224),0),
IF('TL10'!$B$229=M$3,SUMIF('TL10'!$C$238:$C$451,$C130,'TL10'!$J$238:$J$451),0),
IF('TL11'!$B$3=M$3,SUMIF('TL11'!$C$10:$C$224,$C130,'TL11'!$J$10:$J$224),0),
IF('TL11'!$B$229=M$3,SUMIF('TL11'!$C$238:$C$451,$C130,'TL11'!$J$238:$J$451),0),
IF('TL12'!$B$3=M$3,SUMIF('TL12'!$C$10:$C$224,$C130,'TL12'!$J$10:$J$224),0),
IF('TL12'!$B$229=M$3,SUMIF('TL12'!$C$238:$C$451,$C130,'TL12'!$J$238:$J$451),0),
IF('TL13'!$B$3=M$3,SUMIF('TL13'!$C$10:$C$224,$C130,'TL13'!$J$10:$J$224),0),
IF('TL13'!$B$229=M$3,SUMIF('TL13'!$C$238:$C$451,$C130,'TL13'!$J$238:$J$451),0),
IF('TL14'!$B$3=M$3,SUMIF('TL14'!$C$10:$C$224,$C130,'TL14'!$J$10:$J$224),0),
IF('TL14'!$B$229=M$3,SUMIF('TL14'!$C$238:$C$451,$C130,'TL14'!$J$238:$J$451),0),
IF('TL15'!$B$3=M$3,SUMIF('TL15'!$C$10:$C$224,$C130,'TL15'!$J$10:$J$224),0),
IF('TL15'!$B$229=M$3,SUMIF('TL15'!$C$238:$C$451,$C130,'TL15'!$J$238:$J$451),0),
IF('TL16'!$B$3=M$3,SUMIF('TL16'!$C$10:$C$224,$C130,'TL16'!$J$10:$J$224),0),
IF('TL16'!$B$229=M$3,SUMIF('TL16'!$C$238:$C$451,$C130,'TL16'!$J$238:$J$451),0),
IF('TL17'!$B$3=M$3,SUMIF('TL17'!$C$10:$C$224,$C130,'TL17'!$J$10:$J$224),0),
IF('TL17'!$B$229=M$3,SUMIF('TL17'!$C$238:$C$451,$C130,'TL17'!$J$238:$J$451),0),
IF('TL18'!$B$3=M$3,SUMIF('TL18'!$C$10:$C$224,$C130,'TL18'!$J$10:$J$224),0),
IF('TL18'!$B$229=M$3,SUMIF('TL18'!$C$238:$C$451,$C130,'TL18'!$J$238:$J$451),0),
IF('TL19'!$B$3=M$3,SUMIF('TL19'!$C$10:$C$224,$C130,'TL19'!$J$10:$J$224),0),
IF('TL19'!$B$229=M$3,SUMIF('TL19'!$C$238:$C$451,$C130,'TL19'!$J$238:$J$451),0)
),0)</f>
        <v/>
      </c>
      <c r="N130" s="9">
        <f>IFERROR(SUM(
IF('TL01'!$B$3=N$3,SUMIF('TL01'!$C$10:$C$224,$C130,'TL01'!$J$10:$J$224),0),
IF('TL01'!$B$229=N$3,SUMIF('TL01'!$C$238:$C$451,$C130,'TL01'!$J$238:$J$451),0),
IF('TL02'!$B$3=N$3,SUMIF('TL02'!$C$10:$C$224,$C130,'TL02'!$J$10:$J$224),0),
IF('TL02'!$B$229=N$3,SUMIF('TL02'!$C$238:$C$451,$C130,'TL02'!$J$238:$J$451),0),
IF('TL03'!$B$3=N$3,SUMIF('TL03'!$C$10:$C$224,$C130,'TL03'!$J$10:$J$224),0),
IF('TL03'!$B$229=N$3,SUMIF('TL03'!$C$238:$C$451,$C130,'TL03'!$J$238:$J$451),0),
IF('TL04'!$B$3=N$3,SUMIF('TL04'!$C$10:$C$224,$C130,'TL04'!$J$10:$J$224),0),
IF('TL04'!$B$229=N$3,SUMIF('TL04'!$C$238:$C$451,$C130,'TL04'!$J$238:$J$451),0),
IF('TL05'!$B$3=N$3,SUMIF('TL05'!$C$10:$C$224,$C130,'TL05'!$J$10:$J$224),0),
IF('TL05'!$B$229=N$3,SUMIF('TL05'!$C$238:$C$451,$C130,'TL05'!$J$238:$J$451),0),
IF('TL06'!$B$3=N$3,SUMIF('TL06'!$C$10:$C$224,$C130,'TL06'!$J$10:$J$224),0),
IF('TL06'!$B$229=N$3,SUMIF('TL06'!$C$238:$C$451,$C130,'TL06'!$J$238:$J$451),0),
IF('TL07'!$B$3=N$3,SUMIF('TL07'!$C$10:$C$224,$C130,'TL07'!$J$10:$J$224),0),
IF('TL07'!$B$229=N$3,SUMIF('TL07'!$C$238:$C$451,$C130,'TL07'!$J$238:$J$451),0),
IF('TL08'!$B$3=N$3,SUMIF('TL08'!$C$10:$C$224,$C130,'TL08'!$J$10:$J$224),0),
IF('TL08'!$B$229=N$3,SUMIF('TL08'!$C$238:$C$451,$C130,'TL08'!$J$238:$J$451),0),
IF('TL09'!$B$3=N$3,SUMIF('TL09'!$C$10:$C$224,$C130,'TL09'!$J$10:$J$224),0),
IF('TL09'!$B$229=N$3,SUMIF('TL09'!$C$238:$C$451,$C130,'TL09'!$J$238:$J$451),0),
IF('TL10'!$B$3=N$3,SUMIF('TL10'!$C$10:$C$224,$C130,'TL10'!$J$10:$J$224),0),
IF('TL10'!$B$229=N$3,SUMIF('TL10'!$C$238:$C$451,$C130,'TL10'!$J$238:$J$451),0),
IF('TL11'!$B$3=N$3,SUMIF('TL11'!$C$10:$C$224,$C130,'TL11'!$J$10:$J$224),0),
IF('TL11'!$B$229=N$3,SUMIF('TL11'!$C$238:$C$451,$C130,'TL11'!$J$238:$J$451),0),
IF('TL12'!$B$3=N$3,SUMIF('TL12'!$C$10:$C$224,$C130,'TL12'!$J$10:$J$224),0),
IF('TL12'!$B$229=N$3,SUMIF('TL12'!$C$238:$C$451,$C130,'TL12'!$J$238:$J$451),0),
IF('TL13'!$B$3=N$3,SUMIF('TL13'!$C$10:$C$224,$C130,'TL13'!$J$10:$J$224),0),
IF('TL13'!$B$229=N$3,SUMIF('TL13'!$C$238:$C$451,$C130,'TL13'!$J$238:$J$451),0),
IF('TL14'!$B$3=N$3,SUMIF('TL14'!$C$10:$C$224,$C130,'TL14'!$J$10:$J$224),0),
IF('TL14'!$B$229=N$3,SUMIF('TL14'!$C$238:$C$451,$C130,'TL14'!$J$238:$J$451),0),
IF('TL15'!$B$3=N$3,SUMIF('TL15'!$C$10:$C$224,$C130,'TL15'!$J$10:$J$224),0),
IF('TL15'!$B$229=N$3,SUMIF('TL15'!$C$238:$C$451,$C130,'TL15'!$J$238:$J$451),0),
IF('TL16'!$B$3=N$3,SUMIF('TL16'!$C$10:$C$224,$C130,'TL16'!$J$10:$J$224),0),
IF('TL16'!$B$229=N$3,SUMIF('TL16'!$C$238:$C$451,$C130,'TL16'!$J$238:$J$451),0),
IF('TL17'!$B$3=N$3,SUMIF('TL17'!$C$10:$C$224,$C130,'TL17'!$J$10:$J$224),0),
IF('TL17'!$B$229=N$3,SUMIF('TL17'!$C$238:$C$451,$C130,'TL17'!$J$238:$J$451),0),
IF('TL18'!$B$3=N$3,SUMIF('TL18'!$C$10:$C$224,$C130,'TL18'!$J$10:$J$224),0),
IF('TL18'!$B$229=N$3,SUMIF('TL18'!$C$238:$C$451,$C130,'TL18'!$J$238:$J$451),0),
IF('TL19'!$B$3=N$3,SUMIF('TL19'!$C$10:$C$224,$C130,'TL19'!$J$10:$J$224),0),
IF('TL19'!$B$229=N$3,SUMIF('TL19'!$C$238:$C$451,$C130,'TL19'!$J$238:$J$451),0)
),0)</f>
        <v/>
      </c>
      <c r="O130" s="9">
        <f>IFERROR(SUM(
IF('TL01'!$B$3=O$3,SUMIF('TL01'!$C$10:$C$224,$C130,'TL01'!$J$10:$J$224),0),
IF('TL01'!$B$229=O$3,SUMIF('TL01'!$C$238:$C$451,$C130,'TL01'!$J$238:$J$451),0),
IF('TL02'!$B$3=O$3,SUMIF('TL02'!$C$10:$C$224,$C130,'TL02'!$J$10:$J$224),0),
IF('TL02'!$B$229=O$3,SUMIF('TL02'!$C$238:$C$451,$C130,'TL02'!$J$238:$J$451),0),
IF('TL03'!$B$3=O$3,SUMIF('TL03'!$C$10:$C$224,$C130,'TL03'!$J$10:$J$224),0),
IF('TL03'!$B$229=O$3,SUMIF('TL03'!$C$238:$C$451,$C130,'TL03'!$J$238:$J$451),0),
IF('TL04'!$B$3=O$3,SUMIF('TL04'!$C$10:$C$224,$C130,'TL04'!$J$10:$J$224),0),
IF('TL04'!$B$229=O$3,SUMIF('TL04'!$C$238:$C$451,$C130,'TL04'!$J$238:$J$451),0),
IF('TL05'!$B$3=O$3,SUMIF('TL05'!$C$10:$C$224,$C130,'TL05'!$J$10:$J$224),0),
IF('TL05'!$B$229=O$3,SUMIF('TL05'!$C$238:$C$451,$C130,'TL05'!$J$238:$J$451),0),
IF('TL06'!$B$3=O$3,SUMIF('TL06'!$C$10:$C$224,$C130,'TL06'!$J$10:$J$224),0),
IF('TL06'!$B$229=O$3,SUMIF('TL06'!$C$238:$C$451,$C130,'TL06'!$J$238:$J$451),0),
IF('TL07'!$B$3=O$3,SUMIF('TL07'!$C$10:$C$224,$C130,'TL07'!$J$10:$J$224),0),
IF('TL07'!$B$229=O$3,SUMIF('TL07'!$C$238:$C$451,$C130,'TL07'!$J$238:$J$451),0),
IF('TL08'!$B$3=O$3,SUMIF('TL08'!$C$10:$C$224,$C130,'TL08'!$J$10:$J$224),0),
IF('TL08'!$B$229=O$3,SUMIF('TL08'!$C$238:$C$451,$C130,'TL08'!$J$238:$J$451),0),
IF('TL09'!$B$3=O$3,SUMIF('TL09'!$C$10:$C$224,$C130,'TL09'!$J$10:$J$224),0),
IF('TL09'!$B$229=O$3,SUMIF('TL09'!$C$238:$C$451,$C130,'TL09'!$J$238:$J$451),0),
IF('TL10'!$B$3=O$3,SUMIF('TL10'!$C$10:$C$224,$C130,'TL10'!$J$10:$J$224),0),
IF('TL10'!$B$229=O$3,SUMIF('TL10'!$C$238:$C$451,$C130,'TL10'!$J$238:$J$451),0),
IF('TL11'!$B$3=O$3,SUMIF('TL11'!$C$10:$C$224,$C130,'TL11'!$J$10:$J$224),0),
IF('TL11'!$B$229=O$3,SUMIF('TL11'!$C$238:$C$451,$C130,'TL11'!$J$238:$J$451),0),
IF('TL12'!$B$3=O$3,SUMIF('TL12'!$C$10:$C$224,$C130,'TL12'!$J$10:$J$224),0),
IF('TL12'!$B$229=O$3,SUMIF('TL12'!$C$238:$C$451,$C130,'TL12'!$J$238:$J$451),0),
IF('TL13'!$B$3=O$3,SUMIF('TL13'!$C$10:$C$224,$C130,'TL13'!$J$10:$J$224),0),
IF('TL13'!$B$229=O$3,SUMIF('TL13'!$C$238:$C$451,$C130,'TL13'!$J$238:$J$451),0),
IF('TL14'!$B$3=O$3,SUMIF('TL14'!$C$10:$C$224,$C130,'TL14'!$J$10:$J$224),0),
IF('TL14'!$B$229=O$3,SUMIF('TL14'!$C$238:$C$451,$C130,'TL14'!$J$238:$J$451),0),
IF('TL15'!$B$3=O$3,SUMIF('TL15'!$C$10:$C$224,$C130,'TL15'!$J$10:$J$224),0),
IF('TL15'!$B$229=O$3,SUMIF('TL15'!$C$238:$C$451,$C130,'TL15'!$J$238:$J$451),0),
IF('TL16'!$B$3=O$3,SUMIF('TL16'!$C$10:$C$224,$C130,'TL16'!$J$10:$J$224),0),
IF('TL16'!$B$229=O$3,SUMIF('TL16'!$C$238:$C$451,$C130,'TL16'!$J$238:$J$451),0),
IF('TL17'!$B$3=O$3,SUMIF('TL17'!$C$10:$C$224,$C130,'TL17'!$J$10:$J$224),0),
IF('TL17'!$B$229=O$3,SUMIF('TL17'!$C$238:$C$451,$C130,'TL17'!$J$238:$J$451),0),
IF('TL18'!$B$3=O$3,SUMIF('TL18'!$C$10:$C$224,$C130,'TL18'!$J$10:$J$224),0),
IF('TL18'!$B$229=O$3,SUMIF('TL18'!$C$238:$C$451,$C130,'TL18'!$J$238:$J$451),0),
IF('TL19'!$B$3=O$3,SUMIF('TL19'!$C$10:$C$224,$C130,'TL19'!$J$10:$J$224),0),
IF('TL19'!$B$229=O$3,SUMIF('TL19'!$C$238:$C$451,$C130,'TL19'!$J$238:$J$451),0)
),0)</f>
        <v/>
      </c>
      <c r="P130" s="9">
        <f>IFERROR(SUM(
IF('TL01'!$B$3=P$3,SUMIF('TL01'!$C$10:$C$224,$C130,'TL01'!$J$10:$J$224),0),
IF('TL01'!$B$229=P$3,SUMIF('TL01'!$C$238:$C$451,$C130,'TL01'!$J$238:$J$451),0),
IF('TL02'!$B$3=P$3,SUMIF('TL02'!$C$10:$C$224,$C130,'TL02'!$J$10:$J$224),0),
IF('TL02'!$B$229=P$3,SUMIF('TL02'!$C$238:$C$451,$C130,'TL02'!$J$238:$J$451),0),
IF('TL03'!$B$3=P$3,SUMIF('TL03'!$C$10:$C$224,$C130,'TL03'!$J$10:$J$224),0),
IF('TL03'!$B$229=P$3,SUMIF('TL03'!$C$238:$C$451,$C130,'TL03'!$J$238:$J$451),0),
IF('TL04'!$B$3=P$3,SUMIF('TL04'!$C$10:$C$224,$C130,'TL04'!$J$10:$J$224),0),
IF('TL04'!$B$229=P$3,SUMIF('TL04'!$C$238:$C$451,$C130,'TL04'!$J$238:$J$451),0),
IF('TL05'!$B$3=P$3,SUMIF('TL05'!$C$10:$C$224,$C130,'TL05'!$J$10:$J$224),0),
IF('TL05'!$B$229=P$3,SUMIF('TL05'!$C$238:$C$451,$C130,'TL05'!$J$238:$J$451),0),
IF('TL06'!$B$3=P$3,SUMIF('TL06'!$C$10:$C$224,$C130,'TL06'!$J$10:$J$224),0),
IF('TL06'!$B$229=P$3,SUMIF('TL06'!$C$238:$C$451,$C130,'TL06'!$J$238:$J$451),0),
IF('TL07'!$B$3=P$3,SUMIF('TL07'!$C$10:$C$224,$C130,'TL07'!$J$10:$J$224),0),
IF('TL07'!$B$229=P$3,SUMIF('TL07'!$C$238:$C$451,$C130,'TL07'!$J$238:$J$451),0),
IF('TL08'!$B$3=P$3,SUMIF('TL08'!$C$10:$C$224,$C130,'TL08'!$J$10:$J$224),0),
IF('TL08'!$B$229=P$3,SUMIF('TL08'!$C$238:$C$451,$C130,'TL08'!$J$238:$J$451),0),
IF('TL09'!$B$3=P$3,SUMIF('TL09'!$C$10:$C$224,$C130,'TL09'!$J$10:$J$224),0),
IF('TL09'!$B$229=P$3,SUMIF('TL09'!$C$238:$C$451,$C130,'TL09'!$J$238:$J$451),0),
IF('TL10'!$B$3=P$3,SUMIF('TL10'!$C$10:$C$224,$C130,'TL10'!$J$10:$J$224),0),
IF('TL10'!$B$229=P$3,SUMIF('TL10'!$C$238:$C$451,$C130,'TL10'!$J$238:$J$451),0),
IF('TL11'!$B$3=P$3,SUMIF('TL11'!$C$10:$C$224,$C130,'TL11'!$J$10:$J$224),0),
IF('TL11'!$B$229=P$3,SUMIF('TL11'!$C$238:$C$451,$C130,'TL11'!$J$238:$J$451),0),
IF('TL12'!$B$3=P$3,SUMIF('TL12'!$C$10:$C$224,$C130,'TL12'!$J$10:$J$224),0),
IF('TL12'!$B$229=P$3,SUMIF('TL12'!$C$238:$C$451,$C130,'TL12'!$J$238:$J$451),0),
IF('TL13'!$B$3=P$3,SUMIF('TL13'!$C$10:$C$224,$C130,'TL13'!$J$10:$J$224),0),
IF('TL13'!$B$229=P$3,SUMIF('TL13'!$C$238:$C$451,$C130,'TL13'!$J$238:$J$451),0),
IF('TL14'!$B$3=P$3,SUMIF('TL14'!$C$10:$C$224,$C130,'TL14'!$J$10:$J$224),0),
IF('TL14'!$B$229=P$3,SUMIF('TL14'!$C$238:$C$451,$C130,'TL14'!$J$238:$J$451),0),
IF('TL15'!$B$3=P$3,SUMIF('TL15'!$C$10:$C$224,$C130,'TL15'!$J$10:$J$224),0),
IF('TL15'!$B$229=P$3,SUMIF('TL15'!$C$238:$C$451,$C130,'TL15'!$J$238:$J$451),0),
IF('TL16'!$B$3=P$3,SUMIF('TL16'!$C$10:$C$224,$C130,'TL16'!$J$10:$J$224),0),
IF('TL16'!$B$229=P$3,SUMIF('TL16'!$C$238:$C$451,$C130,'TL16'!$J$238:$J$451),0),
IF('TL17'!$B$3=P$3,SUMIF('TL17'!$C$10:$C$224,$C130,'TL17'!$J$10:$J$224),0),
IF('TL17'!$B$229=P$3,SUMIF('TL17'!$C$238:$C$451,$C130,'TL17'!$J$238:$J$451),0),
IF('TL18'!$B$3=P$3,SUMIF('TL18'!$C$10:$C$224,$C130,'TL18'!$J$10:$J$224),0),
IF('TL18'!$B$229=P$3,SUMIF('TL18'!$C$238:$C$451,$C130,'TL18'!$J$238:$J$451),0),
IF('TL19'!$B$3=P$3,SUMIF('TL19'!$C$10:$C$224,$C130,'TL19'!$J$10:$J$224),0),
IF('TL19'!$B$229=P$3,SUMIF('TL19'!$C$238:$C$451,$C130,'TL19'!$J$238:$J$451),0)
),0)</f>
        <v/>
      </c>
      <c r="Q130" s="9">
        <f>IFERROR(SUM(
IF('TL01'!$B$3=Q$3,SUMIF('TL01'!$C$10:$C$224,$C130,'TL01'!$J$10:$J$224),0),
IF('TL01'!$B$229=Q$3,SUMIF('TL01'!$C$238:$C$451,$C130,'TL01'!$J$238:$J$451),0),
IF('TL02'!$B$3=Q$3,SUMIF('TL02'!$C$10:$C$224,$C130,'TL02'!$J$10:$J$224),0),
IF('TL02'!$B$229=Q$3,SUMIF('TL02'!$C$238:$C$451,$C130,'TL02'!$J$238:$J$451),0),
IF('TL03'!$B$3=Q$3,SUMIF('TL03'!$C$10:$C$224,$C130,'TL03'!$J$10:$J$224),0),
IF('TL03'!$B$229=Q$3,SUMIF('TL03'!$C$238:$C$451,$C130,'TL03'!$J$238:$J$451),0),
IF('TL04'!$B$3=Q$3,SUMIF('TL04'!$C$10:$C$224,$C130,'TL04'!$J$10:$J$224),0),
IF('TL04'!$B$229=Q$3,SUMIF('TL04'!$C$238:$C$451,$C130,'TL04'!$J$238:$J$451),0),
IF('TL05'!$B$3=Q$3,SUMIF('TL05'!$C$10:$C$224,$C130,'TL05'!$J$10:$J$224),0),
IF('TL05'!$B$229=Q$3,SUMIF('TL05'!$C$238:$C$451,$C130,'TL05'!$J$238:$J$451),0),
IF('TL06'!$B$3=Q$3,SUMIF('TL06'!$C$10:$C$224,$C130,'TL06'!$J$10:$J$224),0),
IF('TL06'!$B$229=Q$3,SUMIF('TL06'!$C$238:$C$451,$C130,'TL06'!$J$238:$J$451),0),
IF('TL07'!$B$3=Q$3,SUMIF('TL07'!$C$10:$C$224,$C130,'TL07'!$J$10:$J$224),0),
IF('TL07'!$B$229=Q$3,SUMIF('TL07'!$C$238:$C$451,$C130,'TL07'!$J$238:$J$451),0),
IF('TL08'!$B$3=Q$3,SUMIF('TL08'!$C$10:$C$224,$C130,'TL08'!$J$10:$J$224),0),
IF('TL08'!$B$229=Q$3,SUMIF('TL08'!$C$238:$C$451,$C130,'TL08'!$J$238:$J$451),0),
IF('TL09'!$B$3=Q$3,SUMIF('TL09'!$C$10:$C$224,$C130,'TL09'!$J$10:$J$224),0),
IF('TL09'!$B$229=Q$3,SUMIF('TL09'!$C$238:$C$451,$C130,'TL09'!$J$238:$J$451),0),
IF('TL10'!$B$3=Q$3,SUMIF('TL10'!$C$10:$C$224,$C130,'TL10'!$J$10:$J$224),0),
IF('TL10'!$B$229=Q$3,SUMIF('TL10'!$C$238:$C$451,$C130,'TL10'!$J$238:$J$451),0),
IF('TL11'!$B$3=Q$3,SUMIF('TL11'!$C$10:$C$224,$C130,'TL11'!$J$10:$J$224),0),
IF('TL11'!$B$229=Q$3,SUMIF('TL11'!$C$238:$C$451,$C130,'TL11'!$J$238:$J$451),0),
IF('TL12'!$B$3=Q$3,SUMIF('TL12'!$C$10:$C$224,$C130,'TL12'!$J$10:$J$224),0),
IF('TL12'!$B$229=Q$3,SUMIF('TL12'!$C$238:$C$451,$C130,'TL12'!$J$238:$J$451),0),
IF('TL13'!$B$3=Q$3,SUMIF('TL13'!$C$10:$C$224,$C130,'TL13'!$J$10:$J$224),0),
IF('TL13'!$B$229=Q$3,SUMIF('TL13'!$C$238:$C$451,$C130,'TL13'!$J$238:$J$451),0),
IF('TL14'!$B$3=Q$3,SUMIF('TL14'!$C$10:$C$224,$C130,'TL14'!$J$10:$J$224),0),
IF('TL14'!$B$229=Q$3,SUMIF('TL14'!$C$238:$C$451,$C130,'TL14'!$J$238:$J$451),0),
IF('TL15'!$B$3=Q$3,SUMIF('TL15'!$C$10:$C$224,$C130,'TL15'!$J$10:$J$224),0),
IF('TL15'!$B$229=Q$3,SUMIF('TL15'!$C$238:$C$451,$C130,'TL15'!$J$238:$J$451),0),
IF('TL16'!$B$3=Q$3,SUMIF('TL16'!$C$10:$C$224,$C130,'TL16'!$J$10:$J$224),0),
IF('TL16'!$B$229=Q$3,SUMIF('TL16'!$C$238:$C$451,$C130,'TL16'!$J$238:$J$451),0),
IF('TL17'!$B$3=Q$3,SUMIF('TL17'!$C$10:$C$224,$C130,'TL17'!$J$10:$J$224),0),
IF('TL17'!$B$229=Q$3,SUMIF('TL17'!$C$238:$C$451,$C130,'TL17'!$J$238:$J$451),0),
IF('TL18'!$B$3=Q$3,SUMIF('TL18'!$C$10:$C$224,$C130,'TL18'!$J$10:$J$224),0),
IF('TL18'!$B$229=Q$3,SUMIF('TL18'!$C$238:$C$451,$C130,'TL18'!$J$238:$J$451),0),
IF('TL19'!$B$3=Q$3,SUMIF('TL19'!$C$10:$C$224,$C130,'TL19'!$J$10:$J$224),0),
IF('TL19'!$B$229=Q$3,SUMIF('TL19'!$C$238:$C$451,$C130,'TL19'!$J$238:$J$451),0)
),0)</f>
        <v/>
      </c>
      <c r="R130" s="9">
        <f>IFERROR(
SUM(
SUMIF('TL01'!C:C,C130,'TL01'!J:J),
SUMIF('TL02'!C:C,C130,'TL02'!J:J),
SUMIF('TL03'!C:C,C130,'TL03'!J:J),
SUMIF('TL04'!C:C,C130,'TL04'!J:J),
SUMIF('TL05'!C:C,C130,'TL05'!J:J),
SUMIF('TL06'!C:C,C130,'TL06'!J:J),
SUMIF('TL07'!C:C,C130,'TL07'!J:J),
SUMIF('TL08'!C:C,C130,'TL08'!J:J),
SUMIF('TL09'!C:C,C130,'TL09'!J:J),
SUMIF('TL10'!C:C,C130,'TL10'!J:J),
SUMIF('TL11'!C:C,C130,'TL11'!J:J),
SUMIF('TL12'!C:C,C130,'TL12'!J:J),
SUMIF('TL13'!C:C,C130,'TL13'!J:J),
SUMIF('TL14'!C:C,C130,'TL14'!J:J),
SUMIF('TL15'!C:C,C130,'TL15'!J:J),
SUMIF('TL16'!C:C,C130,'TL16'!J:J),
SUMIF('TL17'!C:C,C130,'TL17'!J:J),
SUMIF('TL18'!C:C,C130,'TL18'!J:J),SUMIF('TL19'!C:C,C130,'TL19'!J:J))
,0)</f>
        <v/>
      </c>
      <c r="S130" s="17">
        <f>IFERROR(__xludf.DUMMYFUNCTION("IFERROR(VLOOKUP(C130,
IMPORTRANGE(""1wULbzX32WdYsx-lj2U3uUNBBe2INVIRDtcK0d-Dvl90"",
""26-27!C:G""),
5,
FALSE),
"""")"),30.15966)</f>
        <v/>
      </c>
      <c r="T130" s="9" t="n"/>
      <c r="U130" s="92">
        <f>MAX(0,R130-T130)</f>
        <v/>
      </c>
      <c r="V130" s="93">
        <f>U130*S130</f>
        <v/>
      </c>
    </row>
    <row r="131" hidden="1" ht="15.75" customHeight="1" s="297">
      <c r="A131" s="111" t="inlineStr">
        <is>
          <t>CORTEVA</t>
        </is>
      </c>
      <c r="B131" s="112" t="inlineStr">
        <is>
          <t>HERBICIDA</t>
        </is>
      </c>
      <c r="C131" s="113" t="inlineStr">
        <is>
          <t>GAPPER</t>
        </is>
      </c>
      <c r="D131" s="113" t="inlineStr">
        <is>
          <t>FLORPIRAUXIFEN-BENZIL</t>
        </is>
      </c>
      <c r="E131" s="113" t="n">
        <v>25</v>
      </c>
      <c r="F131" s="4" t="inlineStr">
        <is>
          <t>L</t>
        </is>
      </c>
      <c r="G131" s="90">
        <f>HYPERLINK("https://www.google.com/search?q=" &amp; C131 &amp; "+bula+agrofit+pdf", "📄 Ver bula")</f>
        <v/>
      </c>
      <c r="H131" s="9">
        <f>IFERROR(__xludf.DUMMYFUNCTION("IFERROR(VLOOKUP(C131,
IMPORTRANGE(""1wULbzX32WdYsx-lj2U3uUNBBe2INVIRDtcK0d-Dvl90"",
""26-27!C:K""),
8,
FALSE),
"""")"),0.3)</f>
        <v/>
      </c>
      <c r="I131" s="114" t="inlineStr">
        <is>
          <t>12X1</t>
        </is>
      </c>
      <c r="J131" s="9">
        <f>IFERROR(SUM(
IF('TL01'!$B$3=J$3,SUMIF('TL01'!$C$10:$C$224,$C131,'TL01'!$J$10:$J$224),0),
IF('TL01'!$B$229=J$3,SUMIF('TL01'!$C$238:$C$451,$C131,'TL01'!$J$238:$J$451),0),
IF('TL02'!$B$3=J$3,SUMIF('TL02'!$C$10:$C$224,$C131,'TL02'!$J$10:$J$224),0),
IF('TL02'!$B$229=J$3,SUMIF('TL02'!$C$238:$C$451,$C131,'TL02'!$J$238:$J$451),0),
IF('TL03'!$B$3=J$3,SUMIF('TL03'!$C$10:$C$224,$C131,'TL03'!$J$10:$J$224),0),
IF('TL03'!$B$229=J$3,SUMIF('TL03'!$C$238:$C$451,$C131,'TL03'!$J$238:$J$451),0),
IF('TL04'!$B$3=J$3,SUMIF('TL04'!$C$10:$C$224,$C131,'TL04'!$J$10:$J$224),0),
IF('TL04'!$B$229=J$3,SUMIF('TL04'!$C$238:$C$451,$C131,'TL04'!$J$238:$J$451),0),
IF('TL05'!$B$3=J$3,SUMIF('TL05'!$C$10:$C$224,$C131,'TL05'!$J$10:$J$224),0),
IF('TL05'!$B$229=J$3,SUMIF('TL05'!$C$238:$C$451,$C131,'TL05'!$J$238:$J$451),0),
IF('TL06'!$B$3=J$3,SUMIF('TL06'!$C$10:$C$224,$C131,'TL06'!$J$10:$J$224),0),
IF('TL06'!$B$229=J$3,SUMIF('TL06'!$C$238:$C$451,$C131,'TL06'!$J$238:$J$451),0),
IF('TL07'!$B$3=J$3,SUMIF('TL07'!$C$10:$C$224,$C131,'TL07'!$J$10:$J$224),0),
IF('TL07'!$B$229=J$3,SUMIF('TL07'!$C$238:$C$451,$C131,'TL07'!$J$238:$J$451),0),
IF('TL08'!$B$3=J$3,SUMIF('TL08'!$C$10:$C$224,$C131,'TL08'!$J$10:$J$224),0),
IF('TL08'!$B$229=J$3,SUMIF('TL08'!$C$238:$C$451,$C131,'TL08'!$J$238:$J$451),0),
IF('TL09'!$B$3=J$3,SUMIF('TL09'!$C$10:$C$224,$C131,'TL09'!$J$10:$J$224),0),
IF('TL09'!$B$229=J$3,SUMIF('TL09'!$C$238:$C$451,$C131,'TL09'!$J$238:$J$451),0),
IF('TL10'!$B$3=J$3,SUMIF('TL10'!$C$10:$C$224,$C131,'TL10'!$J$10:$J$224),0),
IF('TL10'!$B$229=J$3,SUMIF('TL10'!$C$238:$C$451,$C131,'TL10'!$J$238:$J$451),0),
IF('TL11'!$B$3=J$3,SUMIF('TL11'!$C$10:$C$224,$C131,'TL11'!$J$10:$J$224),0),
IF('TL11'!$B$229=J$3,SUMIF('TL11'!$C$238:$C$451,$C131,'TL11'!$J$238:$J$451),0),
IF('TL12'!$B$3=J$3,SUMIF('TL12'!$C$10:$C$224,$C131,'TL12'!$J$10:$J$224),0),
IF('TL12'!$B$229=J$3,SUMIF('TL12'!$C$238:$C$451,$C131,'TL12'!$J$238:$J$451),0),
IF('TL13'!$B$3=J$3,SUMIF('TL13'!$C$10:$C$224,$C131,'TL13'!$J$10:$J$224),0),
IF('TL13'!$B$229=J$3,SUMIF('TL13'!$C$238:$C$451,$C131,'TL13'!$J$238:$J$451),0),
IF('TL14'!$B$3=J$3,SUMIF('TL14'!$C$10:$C$224,$C131,'TL14'!$J$10:$J$224),0),
IF('TL14'!$B$229=J$3,SUMIF('TL14'!$C$238:$C$451,$C131,'TL14'!$J$238:$J$451),0),
IF('TL15'!$B$3=J$3,SUMIF('TL15'!$C$10:$C$224,$C131,'TL15'!$J$10:$J$224),0),
IF('TL15'!$B$229=J$3,SUMIF('TL15'!$C$238:$C$451,$C131,'TL15'!$J$238:$J$451),0),
IF('TL16'!$B$3=J$3,SUMIF('TL16'!$C$10:$C$224,$C131,'TL16'!$J$10:$J$224),0),
IF('TL16'!$B$229=J$3,SUMIF('TL16'!$C$238:$C$451,$C131,'TL16'!$J$238:$J$451),0),
IF('TL17'!$B$3=J$3,SUMIF('TL17'!$C$10:$C$224,$C131,'TL17'!$J$10:$J$224),0),
IF('TL17'!$B$229=J$3,SUMIF('TL17'!$C$238:$C$451,$C131,'TL17'!$J$238:$J$451),0),
IF('TL18'!$B$3=J$3,SUMIF('TL18'!$C$10:$C$224,$C131,'TL18'!$J$10:$J$224),0),
IF('TL18'!$B$229=J$3,SUMIF('TL18'!$C$238:$C$451,$C131,'TL18'!$J$238:$J$451),0),
IF('TL19'!$B$3=J$3,SUMIF('TL19'!$C$10:$C$224,$C131,'TL19'!$J$10:$J$224),0),
IF('TL19'!$B$229=J$3,SUMIF('TL19'!$C$238:$C$451,$C131,'TL19'!$J$238:$J$451),0)
),0)</f>
        <v/>
      </c>
      <c r="K131" s="9">
        <f>IFERROR(SUM(
IF('TL01'!$B$3=K$3,SUMIF('TL01'!$C$10:$C$224,$C131,'TL01'!$J$10:$J$224),0),
IF('TL01'!$B$229=K$3,SUMIF('TL01'!$C$238:$C$451,$C131,'TL01'!$J$238:$J$451),0),
IF('TL02'!$B$3=K$3,SUMIF('TL02'!$C$10:$C$224,$C131,'TL02'!$J$10:$J$224),0),
IF('TL02'!$B$229=K$3,SUMIF('TL02'!$C$238:$C$451,$C131,'TL02'!$J$238:$J$451),0),
IF('TL03'!$B$3=K$3,SUMIF('TL03'!$C$10:$C$224,$C131,'TL03'!$J$10:$J$224),0),
IF('TL03'!$B$229=K$3,SUMIF('TL03'!$C$238:$C$451,$C131,'TL03'!$J$238:$J$451),0),
IF('TL04'!$B$3=K$3,SUMIF('TL04'!$C$10:$C$224,$C131,'TL04'!$J$10:$J$224),0),
IF('TL04'!$B$229=K$3,SUMIF('TL04'!$C$238:$C$451,$C131,'TL04'!$J$238:$J$451),0),
IF('TL05'!$B$3=K$3,SUMIF('TL05'!$C$10:$C$224,$C131,'TL05'!$J$10:$J$224),0),
IF('TL05'!$B$229=K$3,SUMIF('TL05'!$C$238:$C$451,$C131,'TL05'!$J$238:$J$451),0),
IF('TL06'!$B$3=K$3,SUMIF('TL06'!$C$10:$C$224,$C131,'TL06'!$J$10:$J$224),0),
IF('TL06'!$B$229=K$3,SUMIF('TL06'!$C$238:$C$451,$C131,'TL06'!$J$238:$J$451),0),
IF('TL07'!$B$3=K$3,SUMIF('TL07'!$C$10:$C$224,$C131,'TL07'!$J$10:$J$224),0),
IF('TL07'!$B$229=K$3,SUMIF('TL07'!$C$238:$C$451,$C131,'TL07'!$J$238:$J$451),0),
IF('TL08'!$B$3=K$3,SUMIF('TL08'!$C$10:$C$224,$C131,'TL08'!$J$10:$J$224),0),
IF('TL08'!$B$229=K$3,SUMIF('TL08'!$C$238:$C$451,$C131,'TL08'!$J$238:$J$451),0),
IF('TL09'!$B$3=K$3,SUMIF('TL09'!$C$10:$C$224,$C131,'TL09'!$J$10:$J$224),0),
IF('TL09'!$B$229=K$3,SUMIF('TL09'!$C$238:$C$451,$C131,'TL09'!$J$238:$J$451),0),
IF('TL10'!$B$3=K$3,SUMIF('TL10'!$C$10:$C$224,$C131,'TL10'!$J$10:$J$224),0),
IF('TL10'!$B$229=K$3,SUMIF('TL10'!$C$238:$C$451,$C131,'TL10'!$J$238:$J$451),0),
IF('TL11'!$B$3=K$3,SUMIF('TL11'!$C$10:$C$224,$C131,'TL11'!$J$10:$J$224),0),
IF('TL11'!$B$229=K$3,SUMIF('TL11'!$C$238:$C$451,$C131,'TL11'!$J$238:$J$451),0),
IF('TL12'!$B$3=K$3,SUMIF('TL12'!$C$10:$C$224,$C131,'TL12'!$J$10:$J$224),0),
IF('TL12'!$B$229=K$3,SUMIF('TL12'!$C$238:$C$451,$C131,'TL12'!$J$238:$J$451),0),
IF('TL13'!$B$3=K$3,SUMIF('TL13'!$C$10:$C$224,$C131,'TL13'!$J$10:$J$224),0),
IF('TL13'!$B$229=K$3,SUMIF('TL13'!$C$238:$C$451,$C131,'TL13'!$J$238:$J$451),0),
IF('TL14'!$B$3=K$3,SUMIF('TL14'!$C$10:$C$224,$C131,'TL14'!$J$10:$J$224),0),
IF('TL14'!$B$229=K$3,SUMIF('TL14'!$C$238:$C$451,$C131,'TL14'!$J$238:$J$451),0),
IF('TL15'!$B$3=K$3,SUMIF('TL15'!$C$10:$C$224,$C131,'TL15'!$J$10:$J$224),0),
IF('TL15'!$B$229=K$3,SUMIF('TL15'!$C$238:$C$451,$C131,'TL15'!$J$238:$J$451),0),
IF('TL16'!$B$3=K$3,SUMIF('TL16'!$C$10:$C$224,$C131,'TL16'!$J$10:$J$224),0),
IF('TL16'!$B$229=K$3,SUMIF('TL16'!$C$238:$C$451,$C131,'TL16'!$J$238:$J$451),0),
IF('TL17'!$B$3=K$3,SUMIF('TL17'!$C$10:$C$224,$C131,'TL17'!$J$10:$J$224),0),
IF('TL17'!$B$229=K$3,SUMIF('TL17'!$C$238:$C$451,$C131,'TL17'!$J$238:$J$451),0),
IF('TL18'!$B$3=K$3,SUMIF('TL18'!$C$10:$C$224,$C131,'TL18'!$J$10:$J$224),0),
IF('TL18'!$B$229=K$3,SUMIF('TL18'!$C$238:$C$451,$C131,'TL18'!$J$238:$J$451),0),
IF('TL19'!$B$3=K$3,SUMIF('TL19'!$C$10:$C$224,$C131,'TL19'!$J$10:$J$224),0),
IF('TL19'!$B$229=K$3,SUMIF('TL19'!$C$238:$C$451,$C131,'TL19'!$J$238:$J$451),0)
),0)</f>
        <v/>
      </c>
      <c r="L131" s="9">
        <f>IFERROR(SUM(
IF('TL01'!$B$3=L$3,SUMIF('TL01'!$C$10:$C$224,$C131,'TL01'!$J$10:$J$224),0),
IF('TL01'!$B$229=L$3,SUMIF('TL01'!$C$238:$C$451,$C131,'TL01'!$J$238:$J$451),0),
IF('TL02'!$B$3=L$3,SUMIF('TL02'!$C$10:$C$224,$C131,'TL02'!$J$10:$J$224),0),
IF('TL02'!$B$229=L$3,SUMIF('TL02'!$C$238:$C$451,$C131,'TL02'!$J$238:$J$451),0),
IF('TL03'!$B$3=L$3,SUMIF('TL03'!$C$10:$C$224,$C131,'TL03'!$J$10:$J$224),0),
IF('TL03'!$B$229=L$3,SUMIF('TL03'!$C$238:$C$451,$C131,'TL03'!$J$238:$J$451),0),
IF('TL04'!$B$3=L$3,SUMIF('TL04'!$C$10:$C$224,$C131,'TL04'!$J$10:$J$224),0),
IF('TL04'!$B$229=L$3,SUMIF('TL04'!$C$238:$C$451,$C131,'TL04'!$J$238:$J$451),0),
IF('TL05'!$B$3=L$3,SUMIF('TL05'!$C$10:$C$224,$C131,'TL05'!$J$10:$J$224),0),
IF('TL05'!$B$229=L$3,SUMIF('TL05'!$C$238:$C$451,$C131,'TL05'!$J$238:$J$451),0),
IF('TL06'!$B$3=L$3,SUMIF('TL06'!$C$10:$C$224,$C131,'TL06'!$J$10:$J$224),0),
IF('TL06'!$B$229=L$3,SUMIF('TL06'!$C$238:$C$451,$C131,'TL06'!$J$238:$J$451),0),
IF('TL07'!$B$3=L$3,SUMIF('TL07'!$C$10:$C$224,$C131,'TL07'!$J$10:$J$224),0),
IF('TL07'!$B$229=L$3,SUMIF('TL07'!$C$238:$C$451,$C131,'TL07'!$J$238:$J$451),0),
IF('TL08'!$B$3=L$3,SUMIF('TL08'!$C$10:$C$224,$C131,'TL08'!$J$10:$J$224),0),
IF('TL08'!$B$229=L$3,SUMIF('TL08'!$C$238:$C$451,$C131,'TL08'!$J$238:$J$451),0),
IF('TL09'!$B$3=L$3,SUMIF('TL09'!$C$10:$C$224,$C131,'TL09'!$J$10:$J$224),0),
IF('TL09'!$B$229=L$3,SUMIF('TL09'!$C$238:$C$451,$C131,'TL09'!$J$238:$J$451),0),
IF('TL10'!$B$3=L$3,SUMIF('TL10'!$C$10:$C$224,$C131,'TL10'!$J$10:$J$224),0),
IF('TL10'!$B$229=L$3,SUMIF('TL10'!$C$238:$C$451,$C131,'TL10'!$J$238:$J$451),0),
IF('TL11'!$B$3=L$3,SUMIF('TL11'!$C$10:$C$224,$C131,'TL11'!$J$10:$J$224),0),
IF('TL11'!$B$229=L$3,SUMIF('TL11'!$C$238:$C$451,$C131,'TL11'!$J$238:$J$451),0),
IF('TL12'!$B$3=L$3,SUMIF('TL12'!$C$10:$C$224,$C131,'TL12'!$J$10:$J$224),0),
IF('TL12'!$B$229=L$3,SUMIF('TL12'!$C$238:$C$451,$C131,'TL12'!$J$238:$J$451),0),
IF('TL13'!$B$3=L$3,SUMIF('TL13'!$C$10:$C$224,$C131,'TL13'!$J$10:$J$224),0),
IF('TL13'!$B$229=L$3,SUMIF('TL13'!$C$238:$C$451,$C131,'TL13'!$J$238:$J$451),0),
IF('TL14'!$B$3=L$3,SUMIF('TL14'!$C$10:$C$224,$C131,'TL14'!$J$10:$J$224),0),
IF('TL14'!$B$229=L$3,SUMIF('TL14'!$C$238:$C$451,$C131,'TL14'!$J$238:$J$451),0),
IF('TL15'!$B$3=L$3,SUMIF('TL15'!$C$10:$C$224,$C131,'TL15'!$J$10:$J$224),0),
IF('TL15'!$B$229=L$3,SUMIF('TL15'!$C$238:$C$451,$C131,'TL15'!$J$238:$J$451),0),
IF('TL16'!$B$3=L$3,SUMIF('TL16'!$C$10:$C$224,$C131,'TL16'!$J$10:$J$224),0),
IF('TL16'!$B$229=L$3,SUMIF('TL16'!$C$238:$C$451,$C131,'TL16'!$J$238:$J$451),0),
IF('TL17'!$B$3=L$3,SUMIF('TL17'!$C$10:$C$224,$C131,'TL17'!$J$10:$J$224),0),
IF('TL17'!$B$229=L$3,SUMIF('TL17'!$C$238:$C$451,$C131,'TL17'!$J$238:$J$451),0),
IF('TL18'!$B$3=L$3,SUMIF('TL18'!$C$10:$C$224,$C131,'TL18'!$J$10:$J$224),0),
IF('TL18'!$B$229=L$3,SUMIF('TL18'!$C$238:$C$451,$C131,'TL18'!$J$238:$J$451),0),
IF('TL19'!$B$3=L$3,SUMIF('TL19'!$C$10:$C$224,$C131,'TL19'!$J$10:$J$224),0),
IF('TL19'!$B$229=L$3,SUMIF('TL19'!$C$238:$C$451,$C131,'TL19'!$J$238:$J$451),0)
),0)</f>
        <v/>
      </c>
      <c r="M131" s="9">
        <f>IFERROR(SUM(
IF('TL01'!$B$3=M$3,SUMIF('TL01'!$C$10:$C$224,$C131,'TL01'!$J$10:$J$224),0),
IF('TL01'!$B$229=M$3,SUMIF('TL01'!$C$238:$C$451,$C131,'TL01'!$J$238:$J$451),0),
IF('TL02'!$B$3=M$3,SUMIF('TL02'!$C$10:$C$224,$C131,'TL02'!$J$10:$J$224),0),
IF('TL02'!$B$229=M$3,SUMIF('TL02'!$C$238:$C$451,$C131,'TL02'!$J$238:$J$451),0),
IF('TL03'!$B$3=M$3,SUMIF('TL03'!$C$10:$C$224,$C131,'TL03'!$J$10:$J$224),0),
IF('TL03'!$B$229=M$3,SUMIF('TL03'!$C$238:$C$451,$C131,'TL03'!$J$238:$J$451),0),
IF('TL04'!$B$3=M$3,SUMIF('TL04'!$C$10:$C$224,$C131,'TL04'!$J$10:$J$224),0),
IF('TL04'!$B$229=M$3,SUMIF('TL04'!$C$238:$C$451,$C131,'TL04'!$J$238:$J$451),0),
IF('TL05'!$B$3=M$3,SUMIF('TL05'!$C$10:$C$224,$C131,'TL05'!$J$10:$J$224),0),
IF('TL05'!$B$229=M$3,SUMIF('TL05'!$C$238:$C$451,$C131,'TL05'!$J$238:$J$451),0),
IF('TL06'!$B$3=M$3,SUMIF('TL06'!$C$10:$C$224,$C131,'TL06'!$J$10:$J$224),0),
IF('TL06'!$B$229=M$3,SUMIF('TL06'!$C$238:$C$451,$C131,'TL06'!$J$238:$J$451),0),
IF('TL07'!$B$3=M$3,SUMIF('TL07'!$C$10:$C$224,$C131,'TL07'!$J$10:$J$224),0),
IF('TL07'!$B$229=M$3,SUMIF('TL07'!$C$238:$C$451,$C131,'TL07'!$J$238:$J$451),0),
IF('TL08'!$B$3=M$3,SUMIF('TL08'!$C$10:$C$224,$C131,'TL08'!$J$10:$J$224),0),
IF('TL08'!$B$229=M$3,SUMIF('TL08'!$C$238:$C$451,$C131,'TL08'!$J$238:$J$451),0),
IF('TL09'!$B$3=M$3,SUMIF('TL09'!$C$10:$C$224,$C131,'TL09'!$J$10:$J$224),0),
IF('TL09'!$B$229=M$3,SUMIF('TL09'!$C$238:$C$451,$C131,'TL09'!$J$238:$J$451),0),
IF('TL10'!$B$3=M$3,SUMIF('TL10'!$C$10:$C$224,$C131,'TL10'!$J$10:$J$224),0),
IF('TL10'!$B$229=M$3,SUMIF('TL10'!$C$238:$C$451,$C131,'TL10'!$J$238:$J$451),0),
IF('TL11'!$B$3=M$3,SUMIF('TL11'!$C$10:$C$224,$C131,'TL11'!$J$10:$J$224),0),
IF('TL11'!$B$229=M$3,SUMIF('TL11'!$C$238:$C$451,$C131,'TL11'!$J$238:$J$451),0),
IF('TL12'!$B$3=M$3,SUMIF('TL12'!$C$10:$C$224,$C131,'TL12'!$J$10:$J$224),0),
IF('TL12'!$B$229=M$3,SUMIF('TL12'!$C$238:$C$451,$C131,'TL12'!$J$238:$J$451),0),
IF('TL13'!$B$3=M$3,SUMIF('TL13'!$C$10:$C$224,$C131,'TL13'!$J$10:$J$224),0),
IF('TL13'!$B$229=M$3,SUMIF('TL13'!$C$238:$C$451,$C131,'TL13'!$J$238:$J$451),0),
IF('TL14'!$B$3=M$3,SUMIF('TL14'!$C$10:$C$224,$C131,'TL14'!$J$10:$J$224),0),
IF('TL14'!$B$229=M$3,SUMIF('TL14'!$C$238:$C$451,$C131,'TL14'!$J$238:$J$451),0),
IF('TL15'!$B$3=M$3,SUMIF('TL15'!$C$10:$C$224,$C131,'TL15'!$J$10:$J$224),0),
IF('TL15'!$B$229=M$3,SUMIF('TL15'!$C$238:$C$451,$C131,'TL15'!$J$238:$J$451),0),
IF('TL16'!$B$3=M$3,SUMIF('TL16'!$C$10:$C$224,$C131,'TL16'!$J$10:$J$224),0),
IF('TL16'!$B$229=M$3,SUMIF('TL16'!$C$238:$C$451,$C131,'TL16'!$J$238:$J$451),0),
IF('TL17'!$B$3=M$3,SUMIF('TL17'!$C$10:$C$224,$C131,'TL17'!$J$10:$J$224),0),
IF('TL17'!$B$229=M$3,SUMIF('TL17'!$C$238:$C$451,$C131,'TL17'!$J$238:$J$451),0),
IF('TL18'!$B$3=M$3,SUMIF('TL18'!$C$10:$C$224,$C131,'TL18'!$J$10:$J$224),0),
IF('TL18'!$B$229=M$3,SUMIF('TL18'!$C$238:$C$451,$C131,'TL18'!$J$238:$J$451),0),
IF('TL19'!$B$3=M$3,SUMIF('TL19'!$C$10:$C$224,$C131,'TL19'!$J$10:$J$224),0),
IF('TL19'!$B$229=M$3,SUMIF('TL19'!$C$238:$C$451,$C131,'TL19'!$J$238:$J$451),0)
),0)</f>
        <v/>
      </c>
      <c r="N131" s="9">
        <f>IFERROR(SUM(
IF('TL01'!$B$3=N$3,SUMIF('TL01'!$C$10:$C$224,$C131,'TL01'!$J$10:$J$224),0),
IF('TL01'!$B$229=N$3,SUMIF('TL01'!$C$238:$C$451,$C131,'TL01'!$J$238:$J$451),0),
IF('TL02'!$B$3=N$3,SUMIF('TL02'!$C$10:$C$224,$C131,'TL02'!$J$10:$J$224),0),
IF('TL02'!$B$229=N$3,SUMIF('TL02'!$C$238:$C$451,$C131,'TL02'!$J$238:$J$451),0),
IF('TL03'!$B$3=N$3,SUMIF('TL03'!$C$10:$C$224,$C131,'TL03'!$J$10:$J$224),0),
IF('TL03'!$B$229=N$3,SUMIF('TL03'!$C$238:$C$451,$C131,'TL03'!$J$238:$J$451),0),
IF('TL04'!$B$3=N$3,SUMIF('TL04'!$C$10:$C$224,$C131,'TL04'!$J$10:$J$224),0),
IF('TL04'!$B$229=N$3,SUMIF('TL04'!$C$238:$C$451,$C131,'TL04'!$J$238:$J$451),0),
IF('TL05'!$B$3=N$3,SUMIF('TL05'!$C$10:$C$224,$C131,'TL05'!$J$10:$J$224),0),
IF('TL05'!$B$229=N$3,SUMIF('TL05'!$C$238:$C$451,$C131,'TL05'!$J$238:$J$451),0),
IF('TL06'!$B$3=N$3,SUMIF('TL06'!$C$10:$C$224,$C131,'TL06'!$J$10:$J$224),0),
IF('TL06'!$B$229=N$3,SUMIF('TL06'!$C$238:$C$451,$C131,'TL06'!$J$238:$J$451),0),
IF('TL07'!$B$3=N$3,SUMIF('TL07'!$C$10:$C$224,$C131,'TL07'!$J$10:$J$224),0),
IF('TL07'!$B$229=N$3,SUMIF('TL07'!$C$238:$C$451,$C131,'TL07'!$J$238:$J$451),0),
IF('TL08'!$B$3=N$3,SUMIF('TL08'!$C$10:$C$224,$C131,'TL08'!$J$10:$J$224),0),
IF('TL08'!$B$229=N$3,SUMIF('TL08'!$C$238:$C$451,$C131,'TL08'!$J$238:$J$451),0),
IF('TL09'!$B$3=N$3,SUMIF('TL09'!$C$10:$C$224,$C131,'TL09'!$J$10:$J$224),0),
IF('TL09'!$B$229=N$3,SUMIF('TL09'!$C$238:$C$451,$C131,'TL09'!$J$238:$J$451),0),
IF('TL10'!$B$3=N$3,SUMIF('TL10'!$C$10:$C$224,$C131,'TL10'!$J$10:$J$224),0),
IF('TL10'!$B$229=N$3,SUMIF('TL10'!$C$238:$C$451,$C131,'TL10'!$J$238:$J$451),0),
IF('TL11'!$B$3=N$3,SUMIF('TL11'!$C$10:$C$224,$C131,'TL11'!$J$10:$J$224),0),
IF('TL11'!$B$229=N$3,SUMIF('TL11'!$C$238:$C$451,$C131,'TL11'!$J$238:$J$451),0),
IF('TL12'!$B$3=N$3,SUMIF('TL12'!$C$10:$C$224,$C131,'TL12'!$J$10:$J$224),0),
IF('TL12'!$B$229=N$3,SUMIF('TL12'!$C$238:$C$451,$C131,'TL12'!$J$238:$J$451),0),
IF('TL13'!$B$3=N$3,SUMIF('TL13'!$C$10:$C$224,$C131,'TL13'!$J$10:$J$224),0),
IF('TL13'!$B$229=N$3,SUMIF('TL13'!$C$238:$C$451,$C131,'TL13'!$J$238:$J$451),0),
IF('TL14'!$B$3=N$3,SUMIF('TL14'!$C$10:$C$224,$C131,'TL14'!$J$10:$J$224),0),
IF('TL14'!$B$229=N$3,SUMIF('TL14'!$C$238:$C$451,$C131,'TL14'!$J$238:$J$451),0),
IF('TL15'!$B$3=N$3,SUMIF('TL15'!$C$10:$C$224,$C131,'TL15'!$J$10:$J$224),0),
IF('TL15'!$B$229=N$3,SUMIF('TL15'!$C$238:$C$451,$C131,'TL15'!$J$238:$J$451),0),
IF('TL16'!$B$3=N$3,SUMIF('TL16'!$C$10:$C$224,$C131,'TL16'!$J$10:$J$224),0),
IF('TL16'!$B$229=N$3,SUMIF('TL16'!$C$238:$C$451,$C131,'TL16'!$J$238:$J$451),0),
IF('TL17'!$B$3=N$3,SUMIF('TL17'!$C$10:$C$224,$C131,'TL17'!$J$10:$J$224),0),
IF('TL17'!$B$229=N$3,SUMIF('TL17'!$C$238:$C$451,$C131,'TL17'!$J$238:$J$451),0),
IF('TL18'!$B$3=N$3,SUMIF('TL18'!$C$10:$C$224,$C131,'TL18'!$J$10:$J$224),0),
IF('TL18'!$B$229=N$3,SUMIF('TL18'!$C$238:$C$451,$C131,'TL18'!$J$238:$J$451),0),
IF('TL19'!$B$3=N$3,SUMIF('TL19'!$C$10:$C$224,$C131,'TL19'!$J$10:$J$224),0),
IF('TL19'!$B$229=N$3,SUMIF('TL19'!$C$238:$C$451,$C131,'TL19'!$J$238:$J$451),0)
),0)</f>
        <v/>
      </c>
      <c r="O131" s="9">
        <f>IFERROR(SUM(
IF('TL01'!$B$3=O$3,SUMIF('TL01'!$C$10:$C$224,$C131,'TL01'!$J$10:$J$224),0),
IF('TL01'!$B$229=O$3,SUMIF('TL01'!$C$238:$C$451,$C131,'TL01'!$J$238:$J$451),0),
IF('TL02'!$B$3=O$3,SUMIF('TL02'!$C$10:$C$224,$C131,'TL02'!$J$10:$J$224),0),
IF('TL02'!$B$229=O$3,SUMIF('TL02'!$C$238:$C$451,$C131,'TL02'!$J$238:$J$451),0),
IF('TL03'!$B$3=O$3,SUMIF('TL03'!$C$10:$C$224,$C131,'TL03'!$J$10:$J$224),0),
IF('TL03'!$B$229=O$3,SUMIF('TL03'!$C$238:$C$451,$C131,'TL03'!$J$238:$J$451),0),
IF('TL04'!$B$3=O$3,SUMIF('TL04'!$C$10:$C$224,$C131,'TL04'!$J$10:$J$224),0),
IF('TL04'!$B$229=O$3,SUMIF('TL04'!$C$238:$C$451,$C131,'TL04'!$J$238:$J$451),0),
IF('TL05'!$B$3=O$3,SUMIF('TL05'!$C$10:$C$224,$C131,'TL05'!$J$10:$J$224),0),
IF('TL05'!$B$229=O$3,SUMIF('TL05'!$C$238:$C$451,$C131,'TL05'!$J$238:$J$451),0),
IF('TL06'!$B$3=O$3,SUMIF('TL06'!$C$10:$C$224,$C131,'TL06'!$J$10:$J$224),0),
IF('TL06'!$B$229=O$3,SUMIF('TL06'!$C$238:$C$451,$C131,'TL06'!$J$238:$J$451),0),
IF('TL07'!$B$3=O$3,SUMIF('TL07'!$C$10:$C$224,$C131,'TL07'!$J$10:$J$224),0),
IF('TL07'!$B$229=O$3,SUMIF('TL07'!$C$238:$C$451,$C131,'TL07'!$J$238:$J$451),0),
IF('TL08'!$B$3=O$3,SUMIF('TL08'!$C$10:$C$224,$C131,'TL08'!$J$10:$J$224),0),
IF('TL08'!$B$229=O$3,SUMIF('TL08'!$C$238:$C$451,$C131,'TL08'!$J$238:$J$451),0),
IF('TL09'!$B$3=O$3,SUMIF('TL09'!$C$10:$C$224,$C131,'TL09'!$J$10:$J$224),0),
IF('TL09'!$B$229=O$3,SUMIF('TL09'!$C$238:$C$451,$C131,'TL09'!$J$238:$J$451),0),
IF('TL10'!$B$3=O$3,SUMIF('TL10'!$C$10:$C$224,$C131,'TL10'!$J$10:$J$224),0),
IF('TL10'!$B$229=O$3,SUMIF('TL10'!$C$238:$C$451,$C131,'TL10'!$J$238:$J$451),0),
IF('TL11'!$B$3=O$3,SUMIF('TL11'!$C$10:$C$224,$C131,'TL11'!$J$10:$J$224),0),
IF('TL11'!$B$229=O$3,SUMIF('TL11'!$C$238:$C$451,$C131,'TL11'!$J$238:$J$451),0),
IF('TL12'!$B$3=O$3,SUMIF('TL12'!$C$10:$C$224,$C131,'TL12'!$J$10:$J$224),0),
IF('TL12'!$B$229=O$3,SUMIF('TL12'!$C$238:$C$451,$C131,'TL12'!$J$238:$J$451),0),
IF('TL13'!$B$3=O$3,SUMIF('TL13'!$C$10:$C$224,$C131,'TL13'!$J$10:$J$224),0),
IF('TL13'!$B$229=O$3,SUMIF('TL13'!$C$238:$C$451,$C131,'TL13'!$J$238:$J$451),0),
IF('TL14'!$B$3=O$3,SUMIF('TL14'!$C$10:$C$224,$C131,'TL14'!$J$10:$J$224),0),
IF('TL14'!$B$229=O$3,SUMIF('TL14'!$C$238:$C$451,$C131,'TL14'!$J$238:$J$451),0),
IF('TL15'!$B$3=O$3,SUMIF('TL15'!$C$10:$C$224,$C131,'TL15'!$J$10:$J$224),0),
IF('TL15'!$B$229=O$3,SUMIF('TL15'!$C$238:$C$451,$C131,'TL15'!$J$238:$J$451),0),
IF('TL16'!$B$3=O$3,SUMIF('TL16'!$C$10:$C$224,$C131,'TL16'!$J$10:$J$224),0),
IF('TL16'!$B$229=O$3,SUMIF('TL16'!$C$238:$C$451,$C131,'TL16'!$J$238:$J$451),0),
IF('TL17'!$B$3=O$3,SUMIF('TL17'!$C$10:$C$224,$C131,'TL17'!$J$10:$J$224),0),
IF('TL17'!$B$229=O$3,SUMIF('TL17'!$C$238:$C$451,$C131,'TL17'!$J$238:$J$451),0),
IF('TL18'!$B$3=O$3,SUMIF('TL18'!$C$10:$C$224,$C131,'TL18'!$J$10:$J$224),0),
IF('TL18'!$B$229=O$3,SUMIF('TL18'!$C$238:$C$451,$C131,'TL18'!$J$238:$J$451),0),
IF('TL19'!$B$3=O$3,SUMIF('TL19'!$C$10:$C$224,$C131,'TL19'!$J$10:$J$224),0),
IF('TL19'!$B$229=O$3,SUMIF('TL19'!$C$238:$C$451,$C131,'TL19'!$J$238:$J$451),0)
),0)</f>
        <v/>
      </c>
      <c r="P131" s="9">
        <f>IFERROR(SUM(
IF('TL01'!$B$3=P$3,SUMIF('TL01'!$C$10:$C$224,$C131,'TL01'!$J$10:$J$224),0),
IF('TL01'!$B$229=P$3,SUMIF('TL01'!$C$238:$C$451,$C131,'TL01'!$J$238:$J$451),0),
IF('TL02'!$B$3=P$3,SUMIF('TL02'!$C$10:$C$224,$C131,'TL02'!$J$10:$J$224),0),
IF('TL02'!$B$229=P$3,SUMIF('TL02'!$C$238:$C$451,$C131,'TL02'!$J$238:$J$451),0),
IF('TL03'!$B$3=P$3,SUMIF('TL03'!$C$10:$C$224,$C131,'TL03'!$J$10:$J$224),0),
IF('TL03'!$B$229=P$3,SUMIF('TL03'!$C$238:$C$451,$C131,'TL03'!$J$238:$J$451),0),
IF('TL04'!$B$3=P$3,SUMIF('TL04'!$C$10:$C$224,$C131,'TL04'!$J$10:$J$224),0),
IF('TL04'!$B$229=P$3,SUMIF('TL04'!$C$238:$C$451,$C131,'TL04'!$J$238:$J$451),0),
IF('TL05'!$B$3=P$3,SUMIF('TL05'!$C$10:$C$224,$C131,'TL05'!$J$10:$J$224),0),
IF('TL05'!$B$229=P$3,SUMIF('TL05'!$C$238:$C$451,$C131,'TL05'!$J$238:$J$451),0),
IF('TL06'!$B$3=P$3,SUMIF('TL06'!$C$10:$C$224,$C131,'TL06'!$J$10:$J$224),0),
IF('TL06'!$B$229=P$3,SUMIF('TL06'!$C$238:$C$451,$C131,'TL06'!$J$238:$J$451),0),
IF('TL07'!$B$3=P$3,SUMIF('TL07'!$C$10:$C$224,$C131,'TL07'!$J$10:$J$224),0),
IF('TL07'!$B$229=P$3,SUMIF('TL07'!$C$238:$C$451,$C131,'TL07'!$J$238:$J$451),0),
IF('TL08'!$B$3=P$3,SUMIF('TL08'!$C$10:$C$224,$C131,'TL08'!$J$10:$J$224),0),
IF('TL08'!$B$229=P$3,SUMIF('TL08'!$C$238:$C$451,$C131,'TL08'!$J$238:$J$451),0),
IF('TL09'!$B$3=P$3,SUMIF('TL09'!$C$10:$C$224,$C131,'TL09'!$J$10:$J$224),0),
IF('TL09'!$B$229=P$3,SUMIF('TL09'!$C$238:$C$451,$C131,'TL09'!$J$238:$J$451),0),
IF('TL10'!$B$3=P$3,SUMIF('TL10'!$C$10:$C$224,$C131,'TL10'!$J$10:$J$224),0),
IF('TL10'!$B$229=P$3,SUMIF('TL10'!$C$238:$C$451,$C131,'TL10'!$J$238:$J$451),0),
IF('TL11'!$B$3=P$3,SUMIF('TL11'!$C$10:$C$224,$C131,'TL11'!$J$10:$J$224),0),
IF('TL11'!$B$229=P$3,SUMIF('TL11'!$C$238:$C$451,$C131,'TL11'!$J$238:$J$451),0),
IF('TL12'!$B$3=P$3,SUMIF('TL12'!$C$10:$C$224,$C131,'TL12'!$J$10:$J$224),0),
IF('TL12'!$B$229=P$3,SUMIF('TL12'!$C$238:$C$451,$C131,'TL12'!$J$238:$J$451),0),
IF('TL13'!$B$3=P$3,SUMIF('TL13'!$C$10:$C$224,$C131,'TL13'!$J$10:$J$224),0),
IF('TL13'!$B$229=P$3,SUMIF('TL13'!$C$238:$C$451,$C131,'TL13'!$J$238:$J$451),0),
IF('TL14'!$B$3=P$3,SUMIF('TL14'!$C$10:$C$224,$C131,'TL14'!$J$10:$J$224),0),
IF('TL14'!$B$229=P$3,SUMIF('TL14'!$C$238:$C$451,$C131,'TL14'!$J$238:$J$451),0),
IF('TL15'!$B$3=P$3,SUMIF('TL15'!$C$10:$C$224,$C131,'TL15'!$J$10:$J$224),0),
IF('TL15'!$B$229=P$3,SUMIF('TL15'!$C$238:$C$451,$C131,'TL15'!$J$238:$J$451),0),
IF('TL16'!$B$3=P$3,SUMIF('TL16'!$C$10:$C$224,$C131,'TL16'!$J$10:$J$224),0),
IF('TL16'!$B$229=P$3,SUMIF('TL16'!$C$238:$C$451,$C131,'TL16'!$J$238:$J$451),0),
IF('TL17'!$B$3=P$3,SUMIF('TL17'!$C$10:$C$224,$C131,'TL17'!$J$10:$J$224),0),
IF('TL17'!$B$229=P$3,SUMIF('TL17'!$C$238:$C$451,$C131,'TL17'!$J$238:$J$451),0),
IF('TL18'!$B$3=P$3,SUMIF('TL18'!$C$10:$C$224,$C131,'TL18'!$J$10:$J$224),0),
IF('TL18'!$B$229=P$3,SUMIF('TL18'!$C$238:$C$451,$C131,'TL18'!$J$238:$J$451),0),
IF('TL19'!$B$3=P$3,SUMIF('TL19'!$C$10:$C$224,$C131,'TL19'!$J$10:$J$224),0),
IF('TL19'!$B$229=P$3,SUMIF('TL19'!$C$238:$C$451,$C131,'TL19'!$J$238:$J$451),0)
),0)</f>
        <v/>
      </c>
      <c r="Q131" s="9">
        <f>IFERROR(SUM(
IF('TL01'!$B$3=Q$3,SUMIF('TL01'!$C$10:$C$224,$C131,'TL01'!$J$10:$J$224),0),
IF('TL01'!$B$229=Q$3,SUMIF('TL01'!$C$238:$C$451,$C131,'TL01'!$J$238:$J$451),0),
IF('TL02'!$B$3=Q$3,SUMIF('TL02'!$C$10:$C$224,$C131,'TL02'!$J$10:$J$224),0),
IF('TL02'!$B$229=Q$3,SUMIF('TL02'!$C$238:$C$451,$C131,'TL02'!$J$238:$J$451),0),
IF('TL03'!$B$3=Q$3,SUMIF('TL03'!$C$10:$C$224,$C131,'TL03'!$J$10:$J$224),0),
IF('TL03'!$B$229=Q$3,SUMIF('TL03'!$C$238:$C$451,$C131,'TL03'!$J$238:$J$451),0),
IF('TL04'!$B$3=Q$3,SUMIF('TL04'!$C$10:$C$224,$C131,'TL04'!$J$10:$J$224),0),
IF('TL04'!$B$229=Q$3,SUMIF('TL04'!$C$238:$C$451,$C131,'TL04'!$J$238:$J$451),0),
IF('TL05'!$B$3=Q$3,SUMIF('TL05'!$C$10:$C$224,$C131,'TL05'!$J$10:$J$224),0),
IF('TL05'!$B$229=Q$3,SUMIF('TL05'!$C$238:$C$451,$C131,'TL05'!$J$238:$J$451),0),
IF('TL06'!$B$3=Q$3,SUMIF('TL06'!$C$10:$C$224,$C131,'TL06'!$J$10:$J$224),0),
IF('TL06'!$B$229=Q$3,SUMIF('TL06'!$C$238:$C$451,$C131,'TL06'!$J$238:$J$451),0),
IF('TL07'!$B$3=Q$3,SUMIF('TL07'!$C$10:$C$224,$C131,'TL07'!$J$10:$J$224),0),
IF('TL07'!$B$229=Q$3,SUMIF('TL07'!$C$238:$C$451,$C131,'TL07'!$J$238:$J$451),0),
IF('TL08'!$B$3=Q$3,SUMIF('TL08'!$C$10:$C$224,$C131,'TL08'!$J$10:$J$224),0),
IF('TL08'!$B$229=Q$3,SUMIF('TL08'!$C$238:$C$451,$C131,'TL08'!$J$238:$J$451),0),
IF('TL09'!$B$3=Q$3,SUMIF('TL09'!$C$10:$C$224,$C131,'TL09'!$J$10:$J$224),0),
IF('TL09'!$B$229=Q$3,SUMIF('TL09'!$C$238:$C$451,$C131,'TL09'!$J$238:$J$451),0),
IF('TL10'!$B$3=Q$3,SUMIF('TL10'!$C$10:$C$224,$C131,'TL10'!$J$10:$J$224),0),
IF('TL10'!$B$229=Q$3,SUMIF('TL10'!$C$238:$C$451,$C131,'TL10'!$J$238:$J$451),0),
IF('TL11'!$B$3=Q$3,SUMIF('TL11'!$C$10:$C$224,$C131,'TL11'!$J$10:$J$224),0),
IF('TL11'!$B$229=Q$3,SUMIF('TL11'!$C$238:$C$451,$C131,'TL11'!$J$238:$J$451),0),
IF('TL12'!$B$3=Q$3,SUMIF('TL12'!$C$10:$C$224,$C131,'TL12'!$J$10:$J$224),0),
IF('TL12'!$B$229=Q$3,SUMIF('TL12'!$C$238:$C$451,$C131,'TL12'!$J$238:$J$451),0),
IF('TL13'!$B$3=Q$3,SUMIF('TL13'!$C$10:$C$224,$C131,'TL13'!$J$10:$J$224),0),
IF('TL13'!$B$229=Q$3,SUMIF('TL13'!$C$238:$C$451,$C131,'TL13'!$J$238:$J$451),0),
IF('TL14'!$B$3=Q$3,SUMIF('TL14'!$C$10:$C$224,$C131,'TL14'!$J$10:$J$224),0),
IF('TL14'!$B$229=Q$3,SUMIF('TL14'!$C$238:$C$451,$C131,'TL14'!$J$238:$J$451),0),
IF('TL15'!$B$3=Q$3,SUMIF('TL15'!$C$10:$C$224,$C131,'TL15'!$J$10:$J$224),0),
IF('TL15'!$B$229=Q$3,SUMIF('TL15'!$C$238:$C$451,$C131,'TL15'!$J$238:$J$451),0),
IF('TL16'!$B$3=Q$3,SUMIF('TL16'!$C$10:$C$224,$C131,'TL16'!$J$10:$J$224),0),
IF('TL16'!$B$229=Q$3,SUMIF('TL16'!$C$238:$C$451,$C131,'TL16'!$J$238:$J$451),0),
IF('TL17'!$B$3=Q$3,SUMIF('TL17'!$C$10:$C$224,$C131,'TL17'!$J$10:$J$224),0),
IF('TL17'!$B$229=Q$3,SUMIF('TL17'!$C$238:$C$451,$C131,'TL17'!$J$238:$J$451),0),
IF('TL18'!$B$3=Q$3,SUMIF('TL18'!$C$10:$C$224,$C131,'TL18'!$J$10:$J$224),0),
IF('TL18'!$B$229=Q$3,SUMIF('TL18'!$C$238:$C$451,$C131,'TL18'!$J$238:$J$451),0),
IF('TL19'!$B$3=Q$3,SUMIF('TL19'!$C$10:$C$224,$C131,'TL19'!$J$10:$J$224),0),
IF('TL19'!$B$229=Q$3,SUMIF('TL19'!$C$238:$C$451,$C131,'TL19'!$J$238:$J$451),0)
),0)</f>
        <v/>
      </c>
      <c r="R131" s="9">
        <f>IFERROR(
SUM(
SUMIF('TL01'!C:C,C131,'TL01'!J:J),
SUMIF('TL02'!C:C,C131,'TL02'!J:J),
SUMIF('TL03'!C:C,C131,'TL03'!J:J),
SUMIF('TL04'!C:C,C131,'TL04'!J:J),
SUMIF('TL05'!C:C,C131,'TL05'!J:J),
SUMIF('TL06'!C:C,C131,'TL06'!J:J),
SUMIF('TL07'!C:C,C131,'TL07'!J:J),
SUMIF('TL08'!C:C,C131,'TL08'!J:J),
SUMIF('TL09'!C:C,C131,'TL09'!J:J),
SUMIF('TL10'!C:C,C131,'TL10'!J:J),
SUMIF('TL11'!C:C,C131,'TL11'!J:J),
SUMIF('TL12'!C:C,C131,'TL12'!J:J),
SUMIF('TL13'!C:C,C131,'TL13'!J:J),
SUMIF('TL14'!C:C,C131,'TL14'!J:J),
SUMIF('TL15'!C:C,C131,'TL15'!J:J),
SUMIF('TL16'!C:C,C131,'TL16'!J:J),
SUMIF('TL17'!C:C,C131,'TL17'!J:J),
SUMIF('TL18'!C:C,C131,'TL18'!J:J),SUMIF('TL19'!C:C,C131,'TL19'!J:J))
,0)</f>
        <v/>
      </c>
      <c r="S131" s="17">
        <f>IFERROR(__xludf.DUMMYFUNCTION("IFERROR(VLOOKUP(C131,
IMPORTRANGE(""1wULbzX32WdYsx-lj2U3uUNBBe2INVIRDtcK0d-Dvl90"",
""26-27!C:G""),
5,
FALSE),
"""")"),275.27142)</f>
        <v/>
      </c>
      <c r="T131" s="9" t="n"/>
      <c r="U131" s="92">
        <f>MAX(0,R131-T131)</f>
        <v/>
      </c>
      <c r="V131" s="93">
        <f>U131*S131</f>
        <v/>
      </c>
    </row>
    <row r="132" hidden="1" ht="15.75" customHeight="1" s="297">
      <c r="A132" s="115" t="inlineStr">
        <is>
          <t>CORTEVA</t>
        </is>
      </c>
      <c r="B132" s="100" t="inlineStr">
        <is>
          <t>HERBICIDA</t>
        </is>
      </c>
      <c r="C132" s="116" t="inlineStr">
        <is>
          <t>PACTO</t>
        </is>
      </c>
      <c r="D132" s="116" t="inlineStr">
        <is>
          <t>CLORANSULAM-METÍLICO</t>
        </is>
      </c>
      <c r="E132" s="116" t="n">
        <v>840</v>
      </c>
      <c r="F132" s="4" t="inlineStr">
        <is>
          <t>L</t>
        </is>
      </c>
      <c r="G132" s="90">
        <f>HYPERLINK("https://www.google.com/search?q=" &amp; C132 &amp; "+bula+agrofit+pdf", "📄 Ver bula")</f>
        <v/>
      </c>
      <c r="H132" s="9">
        <f>IFERROR(__xludf.DUMMYFUNCTION("IFERROR(VLOOKUP(C132,
IMPORTRANGE(""1wULbzX32WdYsx-lj2U3uUNBBe2INVIRDtcK0d-Dvl90"",
""26-27!C:K""),
8,
FALSE),
"""")"),"")</f>
        <v/>
      </c>
      <c r="I132" s="117" t="inlineStr">
        <is>
          <t>12x0,480</t>
        </is>
      </c>
      <c r="J132" s="9">
        <f>IFERROR(SUM(
IF('TL01'!$B$3=J$3,SUMIF('TL01'!$C$10:$C$224,$C132,'TL01'!$J$10:$J$224),0),
IF('TL01'!$B$229=J$3,SUMIF('TL01'!$C$238:$C$451,$C132,'TL01'!$J$238:$J$451),0),
IF('TL02'!$B$3=J$3,SUMIF('TL02'!$C$10:$C$224,$C132,'TL02'!$J$10:$J$224),0),
IF('TL02'!$B$229=J$3,SUMIF('TL02'!$C$238:$C$451,$C132,'TL02'!$J$238:$J$451),0),
IF('TL03'!$B$3=J$3,SUMIF('TL03'!$C$10:$C$224,$C132,'TL03'!$J$10:$J$224),0),
IF('TL03'!$B$229=J$3,SUMIF('TL03'!$C$238:$C$451,$C132,'TL03'!$J$238:$J$451),0),
IF('TL04'!$B$3=J$3,SUMIF('TL04'!$C$10:$C$224,$C132,'TL04'!$J$10:$J$224),0),
IF('TL04'!$B$229=J$3,SUMIF('TL04'!$C$238:$C$451,$C132,'TL04'!$J$238:$J$451),0),
IF('TL05'!$B$3=J$3,SUMIF('TL05'!$C$10:$C$224,$C132,'TL05'!$J$10:$J$224),0),
IF('TL05'!$B$229=J$3,SUMIF('TL05'!$C$238:$C$451,$C132,'TL05'!$J$238:$J$451),0),
IF('TL06'!$B$3=J$3,SUMIF('TL06'!$C$10:$C$224,$C132,'TL06'!$J$10:$J$224),0),
IF('TL06'!$B$229=J$3,SUMIF('TL06'!$C$238:$C$451,$C132,'TL06'!$J$238:$J$451),0),
IF('TL07'!$B$3=J$3,SUMIF('TL07'!$C$10:$C$224,$C132,'TL07'!$J$10:$J$224),0),
IF('TL07'!$B$229=J$3,SUMIF('TL07'!$C$238:$C$451,$C132,'TL07'!$J$238:$J$451),0),
IF('TL08'!$B$3=J$3,SUMIF('TL08'!$C$10:$C$224,$C132,'TL08'!$J$10:$J$224),0),
IF('TL08'!$B$229=J$3,SUMIF('TL08'!$C$238:$C$451,$C132,'TL08'!$J$238:$J$451),0),
IF('TL09'!$B$3=J$3,SUMIF('TL09'!$C$10:$C$224,$C132,'TL09'!$J$10:$J$224),0),
IF('TL09'!$B$229=J$3,SUMIF('TL09'!$C$238:$C$451,$C132,'TL09'!$J$238:$J$451),0),
IF('TL10'!$B$3=J$3,SUMIF('TL10'!$C$10:$C$224,$C132,'TL10'!$J$10:$J$224),0),
IF('TL10'!$B$229=J$3,SUMIF('TL10'!$C$238:$C$451,$C132,'TL10'!$J$238:$J$451),0),
IF('TL11'!$B$3=J$3,SUMIF('TL11'!$C$10:$C$224,$C132,'TL11'!$J$10:$J$224),0),
IF('TL11'!$B$229=J$3,SUMIF('TL11'!$C$238:$C$451,$C132,'TL11'!$J$238:$J$451),0),
IF('TL12'!$B$3=J$3,SUMIF('TL12'!$C$10:$C$224,$C132,'TL12'!$J$10:$J$224),0),
IF('TL12'!$B$229=J$3,SUMIF('TL12'!$C$238:$C$451,$C132,'TL12'!$J$238:$J$451),0),
IF('TL13'!$B$3=J$3,SUMIF('TL13'!$C$10:$C$224,$C132,'TL13'!$J$10:$J$224),0),
IF('TL13'!$B$229=J$3,SUMIF('TL13'!$C$238:$C$451,$C132,'TL13'!$J$238:$J$451),0),
IF('TL14'!$B$3=J$3,SUMIF('TL14'!$C$10:$C$224,$C132,'TL14'!$J$10:$J$224),0),
IF('TL14'!$B$229=J$3,SUMIF('TL14'!$C$238:$C$451,$C132,'TL14'!$J$238:$J$451),0),
IF('TL15'!$B$3=J$3,SUMIF('TL15'!$C$10:$C$224,$C132,'TL15'!$J$10:$J$224),0),
IF('TL15'!$B$229=J$3,SUMIF('TL15'!$C$238:$C$451,$C132,'TL15'!$J$238:$J$451),0),
IF('TL16'!$B$3=J$3,SUMIF('TL16'!$C$10:$C$224,$C132,'TL16'!$J$10:$J$224),0),
IF('TL16'!$B$229=J$3,SUMIF('TL16'!$C$238:$C$451,$C132,'TL16'!$J$238:$J$451),0),
IF('TL17'!$B$3=J$3,SUMIF('TL17'!$C$10:$C$224,$C132,'TL17'!$J$10:$J$224),0),
IF('TL17'!$B$229=J$3,SUMIF('TL17'!$C$238:$C$451,$C132,'TL17'!$J$238:$J$451),0),
IF('TL18'!$B$3=J$3,SUMIF('TL18'!$C$10:$C$224,$C132,'TL18'!$J$10:$J$224),0),
IF('TL18'!$B$229=J$3,SUMIF('TL18'!$C$238:$C$451,$C132,'TL18'!$J$238:$J$451),0),
IF('TL19'!$B$3=J$3,SUMIF('TL19'!$C$10:$C$224,$C132,'TL19'!$J$10:$J$224),0),
IF('TL19'!$B$229=J$3,SUMIF('TL19'!$C$238:$C$451,$C132,'TL19'!$J$238:$J$451),0)
),0)</f>
        <v/>
      </c>
      <c r="K132" s="9">
        <f>IFERROR(SUM(
IF('TL01'!$B$3=K$3,SUMIF('TL01'!$C$10:$C$224,$C132,'TL01'!$J$10:$J$224),0),
IF('TL01'!$B$229=K$3,SUMIF('TL01'!$C$238:$C$451,$C132,'TL01'!$J$238:$J$451),0),
IF('TL02'!$B$3=K$3,SUMIF('TL02'!$C$10:$C$224,$C132,'TL02'!$J$10:$J$224),0),
IF('TL02'!$B$229=K$3,SUMIF('TL02'!$C$238:$C$451,$C132,'TL02'!$J$238:$J$451),0),
IF('TL03'!$B$3=K$3,SUMIF('TL03'!$C$10:$C$224,$C132,'TL03'!$J$10:$J$224),0),
IF('TL03'!$B$229=K$3,SUMIF('TL03'!$C$238:$C$451,$C132,'TL03'!$J$238:$J$451),0),
IF('TL04'!$B$3=K$3,SUMIF('TL04'!$C$10:$C$224,$C132,'TL04'!$J$10:$J$224),0),
IF('TL04'!$B$229=K$3,SUMIF('TL04'!$C$238:$C$451,$C132,'TL04'!$J$238:$J$451),0),
IF('TL05'!$B$3=K$3,SUMIF('TL05'!$C$10:$C$224,$C132,'TL05'!$J$10:$J$224),0),
IF('TL05'!$B$229=K$3,SUMIF('TL05'!$C$238:$C$451,$C132,'TL05'!$J$238:$J$451),0),
IF('TL06'!$B$3=K$3,SUMIF('TL06'!$C$10:$C$224,$C132,'TL06'!$J$10:$J$224),0),
IF('TL06'!$B$229=K$3,SUMIF('TL06'!$C$238:$C$451,$C132,'TL06'!$J$238:$J$451),0),
IF('TL07'!$B$3=K$3,SUMIF('TL07'!$C$10:$C$224,$C132,'TL07'!$J$10:$J$224),0),
IF('TL07'!$B$229=K$3,SUMIF('TL07'!$C$238:$C$451,$C132,'TL07'!$J$238:$J$451),0),
IF('TL08'!$B$3=K$3,SUMIF('TL08'!$C$10:$C$224,$C132,'TL08'!$J$10:$J$224),0),
IF('TL08'!$B$229=K$3,SUMIF('TL08'!$C$238:$C$451,$C132,'TL08'!$J$238:$J$451),0),
IF('TL09'!$B$3=K$3,SUMIF('TL09'!$C$10:$C$224,$C132,'TL09'!$J$10:$J$224),0),
IF('TL09'!$B$229=K$3,SUMIF('TL09'!$C$238:$C$451,$C132,'TL09'!$J$238:$J$451),0),
IF('TL10'!$B$3=K$3,SUMIF('TL10'!$C$10:$C$224,$C132,'TL10'!$J$10:$J$224),0),
IF('TL10'!$B$229=K$3,SUMIF('TL10'!$C$238:$C$451,$C132,'TL10'!$J$238:$J$451),0),
IF('TL11'!$B$3=K$3,SUMIF('TL11'!$C$10:$C$224,$C132,'TL11'!$J$10:$J$224),0),
IF('TL11'!$B$229=K$3,SUMIF('TL11'!$C$238:$C$451,$C132,'TL11'!$J$238:$J$451),0),
IF('TL12'!$B$3=K$3,SUMIF('TL12'!$C$10:$C$224,$C132,'TL12'!$J$10:$J$224),0),
IF('TL12'!$B$229=K$3,SUMIF('TL12'!$C$238:$C$451,$C132,'TL12'!$J$238:$J$451),0),
IF('TL13'!$B$3=K$3,SUMIF('TL13'!$C$10:$C$224,$C132,'TL13'!$J$10:$J$224),0),
IF('TL13'!$B$229=K$3,SUMIF('TL13'!$C$238:$C$451,$C132,'TL13'!$J$238:$J$451),0),
IF('TL14'!$B$3=K$3,SUMIF('TL14'!$C$10:$C$224,$C132,'TL14'!$J$10:$J$224),0),
IF('TL14'!$B$229=K$3,SUMIF('TL14'!$C$238:$C$451,$C132,'TL14'!$J$238:$J$451),0),
IF('TL15'!$B$3=K$3,SUMIF('TL15'!$C$10:$C$224,$C132,'TL15'!$J$10:$J$224),0),
IF('TL15'!$B$229=K$3,SUMIF('TL15'!$C$238:$C$451,$C132,'TL15'!$J$238:$J$451),0),
IF('TL16'!$B$3=K$3,SUMIF('TL16'!$C$10:$C$224,$C132,'TL16'!$J$10:$J$224),0),
IF('TL16'!$B$229=K$3,SUMIF('TL16'!$C$238:$C$451,$C132,'TL16'!$J$238:$J$451),0),
IF('TL17'!$B$3=K$3,SUMIF('TL17'!$C$10:$C$224,$C132,'TL17'!$J$10:$J$224),0),
IF('TL17'!$B$229=K$3,SUMIF('TL17'!$C$238:$C$451,$C132,'TL17'!$J$238:$J$451),0),
IF('TL18'!$B$3=K$3,SUMIF('TL18'!$C$10:$C$224,$C132,'TL18'!$J$10:$J$224),0),
IF('TL18'!$B$229=K$3,SUMIF('TL18'!$C$238:$C$451,$C132,'TL18'!$J$238:$J$451),0),
IF('TL19'!$B$3=K$3,SUMIF('TL19'!$C$10:$C$224,$C132,'TL19'!$J$10:$J$224),0),
IF('TL19'!$B$229=K$3,SUMIF('TL19'!$C$238:$C$451,$C132,'TL19'!$J$238:$J$451),0)
),0)</f>
        <v/>
      </c>
      <c r="L132" s="9">
        <f>IFERROR(SUM(
IF('TL01'!$B$3=L$3,SUMIF('TL01'!$C$10:$C$224,$C132,'TL01'!$J$10:$J$224),0),
IF('TL01'!$B$229=L$3,SUMIF('TL01'!$C$238:$C$451,$C132,'TL01'!$J$238:$J$451),0),
IF('TL02'!$B$3=L$3,SUMIF('TL02'!$C$10:$C$224,$C132,'TL02'!$J$10:$J$224),0),
IF('TL02'!$B$229=L$3,SUMIF('TL02'!$C$238:$C$451,$C132,'TL02'!$J$238:$J$451),0),
IF('TL03'!$B$3=L$3,SUMIF('TL03'!$C$10:$C$224,$C132,'TL03'!$J$10:$J$224),0),
IF('TL03'!$B$229=L$3,SUMIF('TL03'!$C$238:$C$451,$C132,'TL03'!$J$238:$J$451),0),
IF('TL04'!$B$3=L$3,SUMIF('TL04'!$C$10:$C$224,$C132,'TL04'!$J$10:$J$224),0),
IF('TL04'!$B$229=L$3,SUMIF('TL04'!$C$238:$C$451,$C132,'TL04'!$J$238:$J$451),0),
IF('TL05'!$B$3=L$3,SUMIF('TL05'!$C$10:$C$224,$C132,'TL05'!$J$10:$J$224),0),
IF('TL05'!$B$229=L$3,SUMIF('TL05'!$C$238:$C$451,$C132,'TL05'!$J$238:$J$451),0),
IF('TL06'!$B$3=L$3,SUMIF('TL06'!$C$10:$C$224,$C132,'TL06'!$J$10:$J$224),0),
IF('TL06'!$B$229=L$3,SUMIF('TL06'!$C$238:$C$451,$C132,'TL06'!$J$238:$J$451),0),
IF('TL07'!$B$3=L$3,SUMIF('TL07'!$C$10:$C$224,$C132,'TL07'!$J$10:$J$224),0),
IF('TL07'!$B$229=L$3,SUMIF('TL07'!$C$238:$C$451,$C132,'TL07'!$J$238:$J$451),0),
IF('TL08'!$B$3=L$3,SUMIF('TL08'!$C$10:$C$224,$C132,'TL08'!$J$10:$J$224),0),
IF('TL08'!$B$229=L$3,SUMIF('TL08'!$C$238:$C$451,$C132,'TL08'!$J$238:$J$451),0),
IF('TL09'!$B$3=L$3,SUMIF('TL09'!$C$10:$C$224,$C132,'TL09'!$J$10:$J$224),0),
IF('TL09'!$B$229=L$3,SUMIF('TL09'!$C$238:$C$451,$C132,'TL09'!$J$238:$J$451),0),
IF('TL10'!$B$3=L$3,SUMIF('TL10'!$C$10:$C$224,$C132,'TL10'!$J$10:$J$224),0),
IF('TL10'!$B$229=L$3,SUMIF('TL10'!$C$238:$C$451,$C132,'TL10'!$J$238:$J$451),0),
IF('TL11'!$B$3=L$3,SUMIF('TL11'!$C$10:$C$224,$C132,'TL11'!$J$10:$J$224),0),
IF('TL11'!$B$229=L$3,SUMIF('TL11'!$C$238:$C$451,$C132,'TL11'!$J$238:$J$451),0),
IF('TL12'!$B$3=L$3,SUMIF('TL12'!$C$10:$C$224,$C132,'TL12'!$J$10:$J$224),0),
IF('TL12'!$B$229=L$3,SUMIF('TL12'!$C$238:$C$451,$C132,'TL12'!$J$238:$J$451),0),
IF('TL13'!$B$3=L$3,SUMIF('TL13'!$C$10:$C$224,$C132,'TL13'!$J$10:$J$224),0),
IF('TL13'!$B$229=L$3,SUMIF('TL13'!$C$238:$C$451,$C132,'TL13'!$J$238:$J$451),0),
IF('TL14'!$B$3=L$3,SUMIF('TL14'!$C$10:$C$224,$C132,'TL14'!$J$10:$J$224),0),
IF('TL14'!$B$229=L$3,SUMIF('TL14'!$C$238:$C$451,$C132,'TL14'!$J$238:$J$451),0),
IF('TL15'!$B$3=L$3,SUMIF('TL15'!$C$10:$C$224,$C132,'TL15'!$J$10:$J$224),0),
IF('TL15'!$B$229=L$3,SUMIF('TL15'!$C$238:$C$451,$C132,'TL15'!$J$238:$J$451),0),
IF('TL16'!$B$3=L$3,SUMIF('TL16'!$C$10:$C$224,$C132,'TL16'!$J$10:$J$224),0),
IF('TL16'!$B$229=L$3,SUMIF('TL16'!$C$238:$C$451,$C132,'TL16'!$J$238:$J$451),0),
IF('TL17'!$B$3=L$3,SUMIF('TL17'!$C$10:$C$224,$C132,'TL17'!$J$10:$J$224),0),
IF('TL17'!$B$229=L$3,SUMIF('TL17'!$C$238:$C$451,$C132,'TL17'!$J$238:$J$451),0),
IF('TL18'!$B$3=L$3,SUMIF('TL18'!$C$10:$C$224,$C132,'TL18'!$J$10:$J$224),0),
IF('TL18'!$B$229=L$3,SUMIF('TL18'!$C$238:$C$451,$C132,'TL18'!$J$238:$J$451),0),
IF('TL19'!$B$3=L$3,SUMIF('TL19'!$C$10:$C$224,$C132,'TL19'!$J$10:$J$224),0),
IF('TL19'!$B$229=L$3,SUMIF('TL19'!$C$238:$C$451,$C132,'TL19'!$J$238:$J$451),0)
),0)</f>
        <v/>
      </c>
      <c r="M132" s="9">
        <f>IFERROR(SUM(
IF('TL01'!$B$3=M$3,SUMIF('TL01'!$C$10:$C$224,$C132,'TL01'!$J$10:$J$224),0),
IF('TL01'!$B$229=M$3,SUMIF('TL01'!$C$238:$C$451,$C132,'TL01'!$J$238:$J$451),0),
IF('TL02'!$B$3=M$3,SUMIF('TL02'!$C$10:$C$224,$C132,'TL02'!$J$10:$J$224),0),
IF('TL02'!$B$229=M$3,SUMIF('TL02'!$C$238:$C$451,$C132,'TL02'!$J$238:$J$451),0),
IF('TL03'!$B$3=M$3,SUMIF('TL03'!$C$10:$C$224,$C132,'TL03'!$J$10:$J$224),0),
IF('TL03'!$B$229=M$3,SUMIF('TL03'!$C$238:$C$451,$C132,'TL03'!$J$238:$J$451),0),
IF('TL04'!$B$3=M$3,SUMIF('TL04'!$C$10:$C$224,$C132,'TL04'!$J$10:$J$224),0),
IF('TL04'!$B$229=M$3,SUMIF('TL04'!$C$238:$C$451,$C132,'TL04'!$J$238:$J$451),0),
IF('TL05'!$B$3=M$3,SUMIF('TL05'!$C$10:$C$224,$C132,'TL05'!$J$10:$J$224),0),
IF('TL05'!$B$229=M$3,SUMIF('TL05'!$C$238:$C$451,$C132,'TL05'!$J$238:$J$451),0),
IF('TL06'!$B$3=M$3,SUMIF('TL06'!$C$10:$C$224,$C132,'TL06'!$J$10:$J$224),0),
IF('TL06'!$B$229=M$3,SUMIF('TL06'!$C$238:$C$451,$C132,'TL06'!$J$238:$J$451),0),
IF('TL07'!$B$3=M$3,SUMIF('TL07'!$C$10:$C$224,$C132,'TL07'!$J$10:$J$224),0),
IF('TL07'!$B$229=M$3,SUMIF('TL07'!$C$238:$C$451,$C132,'TL07'!$J$238:$J$451),0),
IF('TL08'!$B$3=M$3,SUMIF('TL08'!$C$10:$C$224,$C132,'TL08'!$J$10:$J$224),0),
IF('TL08'!$B$229=M$3,SUMIF('TL08'!$C$238:$C$451,$C132,'TL08'!$J$238:$J$451),0),
IF('TL09'!$B$3=M$3,SUMIF('TL09'!$C$10:$C$224,$C132,'TL09'!$J$10:$J$224),0),
IF('TL09'!$B$229=M$3,SUMIF('TL09'!$C$238:$C$451,$C132,'TL09'!$J$238:$J$451),0),
IF('TL10'!$B$3=M$3,SUMIF('TL10'!$C$10:$C$224,$C132,'TL10'!$J$10:$J$224),0),
IF('TL10'!$B$229=M$3,SUMIF('TL10'!$C$238:$C$451,$C132,'TL10'!$J$238:$J$451),0),
IF('TL11'!$B$3=M$3,SUMIF('TL11'!$C$10:$C$224,$C132,'TL11'!$J$10:$J$224),0),
IF('TL11'!$B$229=M$3,SUMIF('TL11'!$C$238:$C$451,$C132,'TL11'!$J$238:$J$451),0),
IF('TL12'!$B$3=M$3,SUMIF('TL12'!$C$10:$C$224,$C132,'TL12'!$J$10:$J$224),0),
IF('TL12'!$B$229=M$3,SUMIF('TL12'!$C$238:$C$451,$C132,'TL12'!$J$238:$J$451),0),
IF('TL13'!$B$3=M$3,SUMIF('TL13'!$C$10:$C$224,$C132,'TL13'!$J$10:$J$224),0),
IF('TL13'!$B$229=M$3,SUMIF('TL13'!$C$238:$C$451,$C132,'TL13'!$J$238:$J$451),0),
IF('TL14'!$B$3=M$3,SUMIF('TL14'!$C$10:$C$224,$C132,'TL14'!$J$10:$J$224),0),
IF('TL14'!$B$229=M$3,SUMIF('TL14'!$C$238:$C$451,$C132,'TL14'!$J$238:$J$451),0),
IF('TL15'!$B$3=M$3,SUMIF('TL15'!$C$10:$C$224,$C132,'TL15'!$J$10:$J$224),0),
IF('TL15'!$B$229=M$3,SUMIF('TL15'!$C$238:$C$451,$C132,'TL15'!$J$238:$J$451),0),
IF('TL16'!$B$3=M$3,SUMIF('TL16'!$C$10:$C$224,$C132,'TL16'!$J$10:$J$224),0),
IF('TL16'!$B$229=M$3,SUMIF('TL16'!$C$238:$C$451,$C132,'TL16'!$J$238:$J$451),0),
IF('TL17'!$B$3=M$3,SUMIF('TL17'!$C$10:$C$224,$C132,'TL17'!$J$10:$J$224),0),
IF('TL17'!$B$229=M$3,SUMIF('TL17'!$C$238:$C$451,$C132,'TL17'!$J$238:$J$451),0),
IF('TL18'!$B$3=M$3,SUMIF('TL18'!$C$10:$C$224,$C132,'TL18'!$J$10:$J$224),0),
IF('TL18'!$B$229=M$3,SUMIF('TL18'!$C$238:$C$451,$C132,'TL18'!$J$238:$J$451),0),
IF('TL19'!$B$3=M$3,SUMIF('TL19'!$C$10:$C$224,$C132,'TL19'!$J$10:$J$224),0),
IF('TL19'!$B$229=M$3,SUMIF('TL19'!$C$238:$C$451,$C132,'TL19'!$J$238:$J$451),0)
),0)</f>
        <v/>
      </c>
      <c r="N132" s="9">
        <f>IFERROR(SUM(
IF('TL01'!$B$3=N$3,SUMIF('TL01'!$C$10:$C$224,$C132,'TL01'!$J$10:$J$224),0),
IF('TL01'!$B$229=N$3,SUMIF('TL01'!$C$238:$C$451,$C132,'TL01'!$J$238:$J$451),0),
IF('TL02'!$B$3=N$3,SUMIF('TL02'!$C$10:$C$224,$C132,'TL02'!$J$10:$J$224),0),
IF('TL02'!$B$229=N$3,SUMIF('TL02'!$C$238:$C$451,$C132,'TL02'!$J$238:$J$451),0),
IF('TL03'!$B$3=N$3,SUMIF('TL03'!$C$10:$C$224,$C132,'TL03'!$J$10:$J$224),0),
IF('TL03'!$B$229=N$3,SUMIF('TL03'!$C$238:$C$451,$C132,'TL03'!$J$238:$J$451),0),
IF('TL04'!$B$3=N$3,SUMIF('TL04'!$C$10:$C$224,$C132,'TL04'!$J$10:$J$224),0),
IF('TL04'!$B$229=N$3,SUMIF('TL04'!$C$238:$C$451,$C132,'TL04'!$J$238:$J$451),0),
IF('TL05'!$B$3=N$3,SUMIF('TL05'!$C$10:$C$224,$C132,'TL05'!$J$10:$J$224),0),
IF('TL05'!$B$229=N$3,SUMIF('TL05'!$C$238:$C$451,$C132,'TL05'!$J$238:$J$451),0),
IF('TL06'!$B$3=N$3,SUMIF('TL06'!$C$10:$C$224,$C132,'TL06'!$J$10:$J$224),0),
IF('TL06'!$B$229=N$3,SUMIF('TL06'!$C$238:$C$451,$C132,'TL06'!$J$238:$J$451),0),
IF('TL07'!$B$3=N$3,SUMIF('TL07'!$C$10:$C$224,$C132,'TL07'!$J$10:$J$224),0),
IF('TL07'!$B$229=N$3,SUMIF('TL07'!$C$238:$C$451,$C132,'TL07'!$J$238:$J$451),0),
IF('TL08'!$B$3=N$3,SUMIF('TL08'!$C$10:$C$224,$C132,'TL08'!$J$10:$J$224),0),
IF('TL08'!$B$229=N$3,SUMIF('TL08'!$C$238:$C$451,$C132,'TL08'!$J$238:$J$451),0),
IF('TL09'!$B$3=N$3,SUMIF('TL09'!$C$10:$C$224,$C132,'TL09'!$J$10:$J$224),0),
IF('TL09'!$B$229=N$3,SUMIF('TL09'!$C$238:$C$451,$C132,'TL09'!$J$238:$J$451),0),
IF('TL10'!$B$3=N$3,SUMIF('TL10'!$C$10:$C$224,$C132,'TL10'!$J$10:$J$224),0),
IF('TL10'!$B$229=N$3,SUMIF('TL10'!$C$238:$C$451,$C132,'TL10'!$J$238:$J$451),0),
IF('TL11'!$B$3=N$3,SUMIF('TL11'!$C$10:$C$224,$C132,'TL11'!$J$10:$J$224),0),
IF('TL11'!$B$229=N$3,SUMIF('TL11'!$C$238:$C$451,$C132,'TL11'!$J$238:$J$451),0),
IF('TL12'!$B$3=N$3,SUMIF('TL12'!$C$10:$C$224,$C132,'TL12'!$J$10:$J$224),0),
IF('TL12'!$B$229=N$3,SUMIF('TL12'!$C$238:$C$451,$C132,'TL12'!$J$238:$J$451),0),
IF('TL13'!$B$3=N$3,SUMIF('TL13'!$C$10:$C$224,$C132,'TL13'!$J$10:$J$224),0),
IF('TL13'!$B$229=N$3,SUMIF('TL13'!$C$238:$C$451,$C132,'TL13'!$J$238:$J$451),0),
IF('TL14'!$B$3=N$3,SUMIF('TL14'!$C$10:$C$224,$C132,'TL14'!$J$10:$J$224),0),
IF('TL14'!$B$229=N$3,SUMIF('TL14'!$C$238:$C$451,$C132,'TL14'!$J$238:$J$451),0),
IF('TL15'!$B$3=N$3,SUMIF('TL15'!$C$10:$C$224,$C132,'TL15'!$J$10:$J$224),0),
IF('TL15'!$B$229=N$3,SUMIF('TL15'!$C$238:$C$451,$C132,'TL15'!$J$238:$J$451),0),
IF('TL16'!$B$3=N$3,SUMIF('TL16'!$C$10:$C$224,$C132,'TL16'!$J$10:$J$224),0),
IF('TL16'!$B$229=N$3,SUMIF('TL16'!$C$238:$C$451,$C132,'TL16'!$J$238:$J$451),0),
IF('TL17'!$B$3=N$3,SUMIF('TL17'!$C$10:$C$224,$C132,'TL17'!$J$10:$J$224),0),
IF('TL17'!$B$229=N$3,SUMIF('TL17'!$C$238:$C$451,$C132,'TL17'!$J$238:$J$451),0),
IF('TL18'!$B$3=N$3,SUMIF('TL18'!$C$10:$C$224,$C132,'TL18'!$J$10:$J$224),0),
IF('TL18'!$B$229=N$3,SUMIF('TL18'!$C$238:$C$451,$C132,'TL18'!$J$238:$J$451),0),
IF('TL19'!$B$3=N$3,SUMIF('TL19'!$C$10:$C$224,$C132,'TL19'!$J$10:$J$224),0),
IF('TL19'!$B$229=N$3,SUMIF('TL19'!$C$238:$C$451,$C132,'TL19'!$J$238:$J$451),0)
),0)</f>
        <v/>
      </c>
      <c r="O132" s="9">
        <f>IFERROR(SUM(
IF('TL01'!$B$3=O$3,SUMIF('TL01'!$C$10:$C$224,$C132,'TL01'!$J$10:$J$224),0),
IF('TL01'!$B$229=O$3,SUMIF('TL01'!$C$238:$C$451,$C132,'TL01'!$J$238:$J$451),0),
IF('TL02'!$B$3=O$3,SUMIF('TL02'!$C$10:$C$224,$C132,'TL02'!$J$10:$J$224),0),
IF('TL02'!$B$229=O$3,SUMIF('TL02'!$C$238:$C$451,$C132,'TL02'!$J$238:$J$451),0),
IF('TL03'!$B$3=O$3,SUMIF('TL03'!$C$10:$C$224,$C132,'TL03'!$J$10:$J$224),0),
IF('TL03'!$B$229=O$3,SUMIF('TL03'!$C$238:$C$451,$C132,'TL03'!$J$238:$J$451),0),
IF('TL04'!$B$3=O$3,SUMIF('TL04'!$C$10:$C$224,$C132,'TL04'!$J$10:$J$224),0),
IF('TL04'!$B$229=O$3,SUMIF('TL04'!$C$238:$C$451,$C132,'TL04'!$J$238:$J$451),0),
IF('TL05'!$B$3=O$3,SUMIF('TL05'!$C$10:$C$224,$C132,'TL05'!$J$10:$J$224),0),
IF('TL05'!$B$229=O$3,SUMIF('TL05'!$C$238:$C$451,$C132,'TL05'!$J$238:$J$451),0),
IF('TL06'!$B$3=O$3,SUMIF('TL06'!$C$10:$C$224,$C132,'TL06'!$J$10:$J$224),0),
IF('TL06'!$B$229=O$3,SUMIF('TL06'!$C$238:$C$451,$C132,'TL06'!$J$238:$J$451),0),
IF('TL07'!$B$3=O$3,SUMIF('TL07'!$C$10:$C$224,$C132,'TL07'!$J$10:$J$224),0),
IF('TL07'!$B$229=O$3,SUMIF('TL07'!$C$238:$C$451,$C132,'TL07'!$J$238:$J$451),0),
IF('TL08'!$B$3=O$3,SUMIF('TL08'!$C$10:$C$224,$C132,'TL08'!$J$10:$J$224),0),
IF('TL08'!$B$229=O$3,SUMIF('TL08'!$C$238:$C$451,$C132,'TL08'!$J$238:$J$451),0),
IF('TL09'!$B$3=O$3,SUMIF('TL09'!$C$10:$C$224,$C132,'TL09'!$J$10:$J$224),0),
IF('TL09'!$B$229=O$3,SUMIF('TL09'!$C$238:$C$451,$C132,'TL09'!$J$238:$J$451),0),
IF('TL10'!$B$3=O$3,SUMIF('TL10'!$C$10:$C$224,$C132,'TL10'!$J$10:$J$224),0),
IF('TL10'!$B$229=O$3,SUMIF('TL10'!$C$238:$C$451,$C132,'TL10'!$J$238:$J$451),0),
IF('TL11'!$B$3=O$3,SUMIF('TL11'!$C$10:$C$224,$C132,'TL11'!$J$10:$J$224),0),
IF('TL11'!$B$229=O$3,SUMIF('TL11'!$C$238:$C$451,$C132,'TL11'!$J$238:$J$451),0),
IF('TL12'!$B$3=O$3,SUMIF('TL12'!$C$10:$C$224,$C132,'TL12'!$J$10:$J$224),0),
IF('TL12'!$B$229=O$3,SUMIF('TL12'!$C$238:$C$451,$C132,'TL12'!$J$238:$J$451),0),
IF('TL13'!$B$3=O$3,SUMIF('TL13'!$C$10:$C$224,$C132,'TL13'!$J$10:$J$224),0),
IF('TL13'!$B$229=O$3,SUMIF('TL13'!$C$238:$C$451,$C132,'TL13'!$J$238:$J$451),0),
IF('TL14'!$B$3=O$3,SUMIF('TL14'!$C$10:$C$224,$C132,'TL14'!$J$10:$J$224),0),
IF('TL14'!$B$229=O$3,SUMIF('TL14'!$C$238:$C$451,$C132,'TL14'!$J$238:$J$451),0),
IF('TL15'!$B$3=O$3,SUMIF('TL15'!$C$10:$C$224,$C132,'TL15'!$J$10:$J$224),0),
IF('TL15'!$B$229=O$3,SUMIF('TL15'!$C$238:$C$451,$C132,'TL15'!$J$238:$J$451),0),
IF('TL16'!$B$3=O$3,SUMIF('TL16'!$C$10:$C$224,$C132,'TL16'!$J$10:$J$224),0),
IF('TL16'!$B$229=O$3,SUMIF('TL16'!$C$238:$C$451,$C132,'TL16'!$J$238:$J$451),0),
IF('TL17'!$B$3=O$3,SUMIF('TL17'!$C$10:$C$224,$C132,'TL17'!$J$10:$J$224),0),
IF('TL17'!$B$229=O$3,SUMIF('TL17'!$C$238:$C$451,$C132,'TL17'!$J$238:$J$451),0),
IF('TL18'!$B$3=O$3,SUMIF('TL18'!$C$10:$C$224,$C132,'TL18'!$J$10:$J$224),0),
IF('TL18'!$B$229=O$3,SUMIF('TL18'!$C$238:$C$451,$C132,'TL18'!$J$238:$J$451),0),
IF('TL19'!$B$3=O$3,SUMIF('TL19'!$C$10:$C$224,$C132,'TL19'!$J$10:$J$224),0),
IF('TL19'!$B$229=O$3,SUMIF('TL19'!$C$238:$C$451,$C132,'TL19'!$J$238:$J$451),0)
),0)</f>
        <v/>
      </c>
      <c r="P132" s="9">
        <f>IFERROR(SUM(
IF('TL01'!$B$3=P$3,SUMIF('TL01'!$C$10:$C$224,$C132,'TL01'!$J$10:$J$224),0),
IF('TL01'!$B$229=P$3,SUMIF('TL01'!$C$238:$C$451,$C132,'TL01'!$J$238:$J$451),0),
IF('TL02'!$B$3=P$3,SUMIF('TL02'!$C$10:$C$224,$C132,'TL02'!$J$10:$J$224),0),
IF('TL02'!$B$229=P$3,SUMIF('TL02'!$C$238:$C$451,$C132,'TL02'!$J$238:$J$451),0),
IF('TL03'!$B$3=P$3,SUMIF('TL03'!$C$10:$C$224,$C132,'TL03'!$J$10:$J$224),0),
IF('TL03'!$B$229=P$3,SUMIF('TL03'!$C$238:$C$451,$C132,'TL03'!$J$238:$J$451),0),
IF('TL04'!$B$3=P$3,SUMIF('TL04'!$C$10:$C$224,$C132,'TL04'!$J$10:$J$224),0),
IF('TL04'!$B$229=P$3,SUMIF('TL04'!$C$238:$C$451,$C132,'TL04'!$J$238:$J$451),0),
IF('TL05'!$B$3=P$3,SUMIF('TL05'!$C$10:$C$224,$C132,'TL05'!$J$10:$J$224),0),
IF('TL05'!$B$229=P$3,SUMIF('TL05'!$C$238:$C$451,$C132,'TL05'!$J$238:$J$451),0),
IF('TL06'!$B$3=P$3,SUMIF('TL06'!$C$10:$C$224,$C132,'TL06'!$J$10:$J$224),0),
IF('TL06'!$B$229=P$3,SUMIF('TL06'!$C$238:$C$451,$C132,'TL06'!$J$238:$J$451),0),
IF('TL07'!$B$3=P$3,SUMIF('TL07'!$C$10:$C$224,$C132,'TL07'!$J$10:$J$224),0),
IF('TL07'!$B$229=P$3,SUMIF('TL07'!$C$238:$C$451,$C132,'TL07'!$J$238:$J$451),0),
IF('TL08'!$B$3=P$3,SUMIF('TL08'!$C$10:$C$224,$C132,'TL08'!$J$10:$J$224),0),
IF('TL08'!$B$229=P$3,SUMIF('TL08'!$C$238:$C$451,$C132,'TL08'!$J$238:$J$451),0),
IF('TL09'!$B$3=P$3,SUMIF('TL09'!$C$10:$C$224,$C132,'TL09'!$J$10:$J$224),0),
IF('TL09'!$B$229=P$3,SUMIF('TL09'!$C$238:$C$451,$C132,'TL09'!$J$238:$J$451),0),
IF('TL10'!$B$3=P$3,SUMIF('TL10'!$C$10:$C$224,$C132,'TL10'!$J$10:$J$224),0),
IF('TL10'!$B$229=P$3,SUMIF('TL10'!$C$238:$C$451,$C132,'TL10'!$J$238:$J$451),0),
IF('TL11'!$B$3=P$3,SUMIF('TL11'!$C$10:$C$224,$C132,'TL11'!$J$10:$J$224),0),
IF('TL11'!$B$229=P$3,SUMIF('TL11'!$C$238:$C$451,$C132,'TL11'!$J$238:$J$451),0),
IF('TL12'!$B$3=P$3,SUMIF('TL12'!$C$10:$C$224,$C132,'TL12'!$J$10:$J$224),0),
IF('TL12'!$B$229=P$3,SUMIF('TL12'!$C$238:$C$451,$C132,'TL12'!$J$238:$J$451),0),
IF('TL13'!$B$3=P$3,SUMIF('TL13'!$C$10:$C$224,$C132,'TL13'!$J$10:$J$224),0),
IF('TL13'!$B$229=P$3,SUMIF('TL13'!$C$238:$C$451,$C132,'TL13'!$J$238:$J$451),0),
IF('TL14'!$B$3=P$3,SUMIF('TL14'!$C$10:$C$224,$C132,'TL14'!$J$10:$J$224),0),
IF('TL14'!$B$229=P$3,SUMIF('TL14'!$C$238:$C$451,$C132,'TL14'!$J$238:$J$451),0),
IF('TL15'!$B$3=P$3,SUMIF('TL15'!$C$10:$C$224,$C132,'TL15'!$J$10:$J$224),0),
IF('TL15'!$B$229=P$3,SUMIF('TL15'!$C$238:$C$451,$C132,'TL15'!$J$238:$J$451),0),
IF('TL16'!$B$3=P$3,SUMIF('TL16'!$C$10:$C$224,$C132,'TL16'!$J$10:$J$224),0),
IF('TL16'!$B$229=P$3,SUMIF('TL16'!$C$238:$C$451,$C132,'TL16'!$J$238:$J$451),0),
IF('TL17'!$B$3=P$3,SUMIF('TL17'!$C$10:$C$224,$C132,'TL17'!$J$10:$J$224),0),
IF('TL17'!$B$229=P$3,SUMIF('TL17'!$C$238:$C$451,$C132,'TL17'!$J$238:$J$451),0),
IF('TL18'!$B$3=P$3,SUMIF('TL18'!$C$10:$C$224,$C132,'TL18'!$J$10:$J$224),0),
IF('TL18'!$B$229=P$3,SUMIF('TL18'!$C$238:$C$451,$C132,'TL18'!$J$238:$J$451),0),
IF('TL19'!$B$3=P$3,SUMIF('TL19'!$C$10:$C$224,$C132,'TL19'!$J$10:$J$224),0),
IF('TL19'!$B$229=P$3,SUMIF('TL19'!$C$238:$C$451,$C132,'TL19'!$J$238:$J$451),0)
),0)</f>
        <v/>
      </c>
      <c r="Q132" s="9">
        <f>IFERROR(SUM(
IF('TL01'!$B$3=Q$3,SUMIF('TL01'!$C$10:$C$224,$C132,'TL01'!$J$10:$J$224),0),
IF('TL01'!$B$229=Q$3,SUMIF('TL01'!$C$238:$C$451,$C132,'TL01'!$J$238:$J$451),0),
IF('TL02'!$B$3=Q$3,SUMIF('TL02'!$C$10:$C$224,$C132,'TL02'!$J$10:$J$224),0),
IF('TL02'!$B$229=Q$3,SUMIF('TL02'!$C$238:$C$451,$C132,'TL02'!$J$238:$J$451),0),
IF('TL03'!$B$3=Q$3,SUMIF('TL03'!$C$10:$C$224,$C132,'TL03'!$J$10:$J$224),0),
IF('TL03'!$B$229=Q$3,SUMIF('TL03'!$C$238:$C$451,$C132,'TL03'!$J$238:$J$451),0),
IF('TL04'!$B$3=Q$3,SUMIF('TL04'!$C$10:$C$224,$C132,'TL04'!$J$10:$J$224),0),
IF('TL04'!$B$229=Q$3,SUMIF('TL04'!$C$238:$C$451,$C132,'TL04'!$J$238:$J$451),0),
IF('TL05'!$B$3=Q$3,SUMIF('TL05'!$C$10:$C$224,$C132,'TL05'!$J$10:$J$224),0),
IF('TL05'!$B$229=Q$3,SUMIF('TL05'!$C$238:$C$451,$C132,'TL05'!$J$238:$J$451),0),
IF('TL06'!$B$3=Q$3,SUMIF('TL06'!$C$10:$C$224,$C132,'TL06'!$J$10:$J$224),0),
IF('TL06'!$B$229=Q$3,SUMIF('TL06'!$C$238:$C$451,$C132,'TL06'!$J$238:$J$451),0),
IF('TL07'!$B$3=Q$3,SUMIF('TL07'!$C$10:$C$224,$C132,'TL07'!$J$10:$J$224),0),
IF('TL07'!$B$229=Q$3,SUMIF('TL07'!$C$238:$C$451,$C132,'TL07'!$J$238:$J$451),0),
IF('TL08'!$B$3=Q$3,SUMIF('TL08'!$C$10:$C$224,$C132,'TL08'!$J$10:$J$224),0),
IF('TL08'!$B$229=Q$3,SUMIF('TL08'!$C$238:$C$451,$C132,'TL08'!$J$238:$J$451),0),
IF('TL09'!$B$3=Q$3,SUMIF('TL09'!$C$10:$C$224,$C132,'TL09'!$J$10:$J$224),0),
IF('TL09'!$B$229=Q$3,SUMIF('TL09'!$C$238:$C$451,$C132,'TL09'!$J$238:$J$451),0),
IF('TL10'!$B$3=Q$3,SUMIF('TL10'!$C$10:$C$224,$C132,'TL10'!$J$10:$J$224),0),
IF('TL10'!$B$229=Q$3,SUMIF('TL10'!$C$238:$C$451,$C132,'TL10'!$J$238:$J$451),0),
IF('TL11'!$B$3=Q$3,SUMIF('TL11'!$C$10:$C$224,$C132,'TL11'!$J$10:$J$224),0),
IF('TL11'!$B$229=Q$3,SUMIF('TL11'!$C$238:$C$451,$C132,'TL11'!$J$238:$J$451),0),
IF('TL12'!$B$3=Q$3,SUMIF('TL12'!$C$10:$C$224,$C132,'TL12'!$J$10:$J$224),0),
IF('TL12'!$B$229=Q$3,SUMIF('TL12'!$C$238:$C$451,$C132,'TL12'!$J$238:$J$451),0),
IF('TL13'!$B$3=Q$3,SUMIF('TL13'!$C$10:$C$224,$C132,'TL13'!$J$10:$J$224),0),
IF('TL13'!$B$229=Q$3,SUMIF('TL13'!$C$238:$C$451,$C132,'TL13'!$J$238:$J$451),0),
IF('TL14'!$B$3=Q$3,SUMIF('TL14'!$C$10:$C$224,$C132,'TL14'!$J$10:$J$224),0),
IF('TL14'!$B$229=Q$3,SUMIF('TL14'!$C$238:$C$451,$C132,'TL14'!$J$238:$J$451),0),
IF('TL15'!$B$3=Q$3,SUMIF('TL15'!$C$10:$C$224,$C132,'TL15'!$J$10:$J$224),0),
IF('TL15'!$B$229=Q$3,SUMIF('TL15'!$C$238:$C$451,$C132,'TL15'!$J$238:$J$451),0),
IF('TL16'!$B$3=Q$3,SUMIF('TL16'!$C$10:$C$224,$C132,'TL16'!$J$10:$J$224),0),
IF('TL16'!$B$229=Q$3,SUMIF('TL16'!$C$238:$C$451,$C132,'TL16'!$J$238:$J$451),0),
IF('TL17'!$B$3=Q$3,SUMIF('TL17'!$C$10:$C$224,$C132,'TL17'!$J$10:$J$224),0),
IF('TL17'!$B$229=Q$3,SUMIF('TL17'!$C$238:$C$451,$C132,'TL17'!$J$238:$J$451),0),
IF('TL18'!$B$3=Q$3,SUMIF('TL18'!$C$10:$C$224,$C132,'TL18'!$J$10:$J$224),0),
IF('TL18'!$B$229=Q$3,SUMIF('TL18'!$C$238:$C$451,$C132,'TL18'!$J$238:$J$451),0),
IF('TL19'!$B$3=Q$3,SUMIF('TL19'!$C$10:$C$224,$C132,'TL19'!$J$10:$J$224),0),
IF('TL19'!$B$229=Q$3,SUMIF('TL19'!$C$238:$C$451,$C132,'TL19'!$J$238:$J$451),0)
),0)</f>
        <v/>
      </c>
      <c r="R132" s="9">
        <f>IFERROR(
SUM(
SUMIF('TL01'!C:C,C132,'TL01'!J:J),
SUMIF('TL02'!C:C,C132,'TL02'!J:J),
SUMIF('TL03'!C:C,C132,'TL03'!J:J),
SUMIF('TL04'!C:C,C132,'TL04'!J:J),
SUMIF('TL05'!C:C,C132,'TL05'!J:J),
SUMIF('TL06'!C:C,C132,'TL06'!J:J),
SUMIF('TL07'!C:C,C132,'TL07'!J:J),
SUMIF('TL08'!C:C,C132,'TL08'!J:J),
SUMIF('TL09'!C:C,C132,'TL09'!J:J),
SUMIF('TL10'!C:C,C132,'TL10'!J:J),
SUMIF('TL11'!C:C,C132,'TL11'!J:J),
SUMIF('TL12'!C:C,C132,'TL12'!J:J),
SUMIF('TL13'!C:C,C132,'TL13'!J:J),
SUMIF('TL14'!C:C,C132,'TL14'!J:J),
SUMIF('TL15'!C:C,C132,'TL15'!J:J),
SUMIF('TL16'!C:C,C132,'TL16'!J:J),
SUMIF('TL17'!C:C,C132,'TL17'!J:J),
SUMIF('TL18'!C:C,C132,'TL18'!J:J),SUMIF('TL19'!C:C,C132,'TL19'!J:J))
,0)</f>
        <v/>
      </c>
      <c r="S132" s="17">
        <f>IFERROR(__xludf.DUMMYFUNCTION("IFERROR(VLOOKUP(C132,
IMPORTRANGE(""1wULbzX32WdYsx-lj2U3uUNBBe2INVIRDtcK0d-Dvl90"",
""26-27!C:G""),
5,
FALSE),
"""")"),1522.5097799999999)</f>
        <v/>
      </c>
      <c r="T132" s="9" t="n"/>
      <c r="U132" s="92">
        <f>MAX(0,R132-T132)</f>
        <v/>
      </c>
      <c r="V132" s="93">
        <f>U132*S132</f>
        <v/>
      </c>
    </row>
    <row r="133" hidden="1" ht="15.75" customHeight="1" s="297">
      <c r="A133" s="111" t="inlineStr">
        <is>
          <t>CORTEVA</t>
        </is>
      </c>
      <c r="B133" s="112" t="inlineStr">
        <is>
          <t>HERBICIDA</t>
        </is>
      </c>
      <c r="C133" s="113" t="inlineStr">
        <is>
          <t>PAXEO</t>
        </is>
      </c>
      <c r="D133" s="113" t="inlineStr">
        <is>
          <t>DICLOSULAM + HALAUXIFEN-METIL</t>
        </is>
      </c>
      <c r="E133" s="113" t="inlineStr">
        <is>
          <t>580 + 115</t>
        </is>
      </c>
      <c r="F133" s="4" t="inlineStr">
        <is>
          <t>L</t>
        </is>
      </c>
      <c r="G133" s="90">
        <f>HYPERLINK("https://www.google.com/search?q=" &amp; C133 &amp; "+bula+agrofit+pdf", "📄 Ver bula")</f>
        <v/>
      </c>
      <c r="H133" s="9">
        <f>IFERROR(__xludf.DUMMYFUNCTION("IFERROR(VLOOKUP(C133,
IMPORTRANGE(""1wULbzX32WdYsx-lj2U3uUNBBe2INVIRDtcK0d-Dvl90"",
""26-27!C:K""),
8,
FALSE),
"""")"),"")</f>
        <v/>
      </c>
      <c r="I133" s="114" t="inlineStr">
        <is>
          <t>12x0,220</t>
        </is>
      </c>
      <c r="J133" s="9">
        <f>IFERROR(SUM(
IF('TL01'!$B$3=J$3,SUMIF('TL01'!$C$10:$C$224,$C133,'TL01'!$J$10:$J$224),0),
IF('TL01'!$B$229=J$3,SUMIF('TL01'!$C$238:$C$451,$C133,'TL01'!$J$238:$J$451),0),
IF('TL02'!$B$3=J$3,SUMIF('TL02'!$C$10:$C$224,$C133,'TL02'!$J$10:$J$224),0),
IF('TL02'!$B$229=J$3,SUMIF('TL02'!$C$238:$C$451,$C133,'TL02'!$J$238:$J$451),0),
IF('TL03'!$B$3=J$3,SUMIF('TL03'!$C$10:$C$224,$C133,'TL03'!$J$10:$J$224),0),
IF('TL03'!$B$229=J$3,SUMIF('TL03'!$C$238:$C$451,$C133,'TL03'!$J$238:$J$451),0),
IF('TL04'!$B$3=J$3,SUMIF('TL04'!$C$10:$C$224,$C133,'TL04'!$J$10:$J$224),0),
IF('TL04'!$B$229=J$3,SUMIF('TL04'!$C$238:$C$451,$C133,'TL04'!$J$238:$J$451),0),
IF('TL05'!$B$3=J$3,SUMIF('TL05'!$C$10:$C$224,$C133,'TL05'!$J$10:$J$224),0),
IF('TL05'!$B$229=J$3,SUMIF('TL05'!$C$238:$C$451,$C133,'TL05'!$J$238:$J$451),0),
IF('TL06'!$B$3=J$3,SUMIF('TL06'!$C$10:$C$224,$C133,'TL06'!$J$10:$J$224),0),
IF('TL06'!$B$229=J$3,SUMIF('TL06'!$C$238:$C$451,$C133,'TL06'!$J$238:$J$451),0),
IF('TL07'!$B$3=J$3,SUMIF('TL07'!$C$10:$C$224,$C133,'TL07'!$J$10:$J$224),0),
IF('TL07'!$B$229=J$3,SUMIF('TL07'!$C$238:$C$451,$C133,'TL07'!$J$238:$J$451),0),
IF('TL08'!$B$3=J$3,SUMIF('TL08'!$C$10:$C$224,$C133,'TL08'!$J$10:$J$224),0),
IF('TL08'!$B$229=J$3,SUMIF('TL08'!$C$238:$C$451,$C133,'TL08'!$J$238:$J$451),0),
IF('TL09'!$B$3=J$3,SUMIF('TL09'!$C$10:$C$224,$C133,'TL09'!$J$10:$J$224),0),
IF('TL09'!$B$229=J$3,SUMIF('TL09'!$C$238:$C$451,$C133,'TL09'!$J$238:$J$451),0),
IF('TL10'!$B$3=J$3,SUMIF('TL10'!$C$10:$C$224,$C133,'TL10'!$J$10:$J$224),0),
IF('TL10'!$B$229=J$3,SUMIF('TL10'!$C$238:$C$451,$C133,'TL10'!$J$238:$J$451),0),
IF('TL11'!$B$3=J$3,SUMIF('TL11'!$C$10:$C$224,$C133,'TL11'!$J$10:$J$224),0),
IF('TL11'!$B$229=J$3,SUMIF('TL11'!$C$238:$C$451,$C133,'TL11'!$J$238:$J$451),0),
IF('TL12'!$B$3=J$3,SUMIF('TL12'!$C$10:$C$224,$C133,'TL12'!$J$10:$J$224),0),
IF('TL12'!$B$229=J$3,SUMIF('TL12'!$C$238:$C$451,$C133,'TL12'!$J$238:$J$451),0),
IF('TL13'!$B$3=J$3,SUMIF('TL13'!$C$10:$C$224,$C133,'TL13'!$J$10:$J$224),0),
IF('TL13'!$B$229=J$3,SUMIF('TL13'!$C$238:$C$451,$C133,'TL13'!$J$238:$J$451),0),
IF('TL14'!$B$3=J$3,SUMIF('TL14'!$C$10:$C$224,$C133,'TL14'!$J$10:$J$224),0),
IF('TL14'!$B$229=J$3,SUMIF('TL14'!$C$238:$C$451,$C133,'TL14'!$J$238:$J$451),0),
IF('TL15'!$B$3=J$3,SUMIF('TL15'!$C$10:$C$224,$C133,'TL15'!$J$10:$J$224),0),
IF('TL15'!$B$229=J$3,SUMIF('TL15'!$C$238:$C$451,$C133,'TL15'!$J$238:$J$451),0),
IF('TL16'!$B$3=J$3,SUMIF('TL16'!$C$10:$C$224,$C133,'TL16'!$J$10:$J$224),0),
IF('TL16'!$B$229=J$3,SUMIF('TL16'!$C$238:$C$451,$C133,'TL16'!$J$238:$J$451),0),
IF('TL17'!$B$3=J$3,SUMIF('TL17'!$C$10:$C$224,$C133,'TL17'!$J$10:$J$224),0),
IF('TL17'!$B$229=J$3,SUMIF('TL17'!$C$238:$C$451,$C133,'TL17'!$J$238:$J$451),0),
IF('TL18'!$B$3=J$3,SUMIF('TL18'!$C$10:$C$224,$C133,'TL18'!$J$10:$J$224),0),
IF('TL18'!$B$229=J$3,SUMIF('TL18'!$C$238:$C$451,$C133,'TL18'!$J$238:$J$451),0),
IF('TL19'!$B$3=J$3,SUMIF('TL19'!$C$10:$C$224,$C133,'TL19'!$J$10:$J$224),0),
IF('TL19'!$B$229=J$3,SUMIF('TL19'!$C$238:$C$451,$C133,'TL19'!$J$238:$J$451),0)
),0)</f>
        <v/>
      </c>
      <c r="K133" s="9">
        <f>IFERROR(SUM(
IF('TL01'!$B$3=K$3,SUMIF('TL01'!$C$10:$C$224,$C133,'TL01'!$J$10:$J$224),0),
IF('TL01'!$B$229=K$3,SUMIF('TL01'!$C$238:$C$451,$C133,'TL01'!$J$238:$J$451),0),
IF('TL02'!$B$3=K$3,SUMIF('TL02'!$C$10:$C$224,$C133,'TL02'!$J$10:$J$224),0),
IF('TL02'!$B$229=K$3,SUMIF('TL02'!$C$238:$C$451,$C133,'TL02'!$J$238:$J$451),0),
IF('TL03'!$B$3=K$3,SUMIF('TL03'!$C$10:$C$224,$C133,'TL03'!$J$10:$J$224),0),
IF('TL03'!$B$229=K$3,SUMIF('TL03'!$C$238:$C$451,$C133,'TL03'!$J$238:$J$451),0),
IF('TL04'!$B$3=K$3,SUMIF('TL04'!$C$10:$C$224,$C133,'TL04'!$J$10:$J$224),0),
IF('TL04'!$B$229=K$3,SUMIF('TL04'!$C$238:$C$451,$C133,'TL04'!$J$238:$J$451),0),
IF('TL05'!$B$3=K$3,SUMIF('TL05'!$C$10:$C$224,$C133,'TL05'!$J$10:$J$224),0),
IF('TL05'!$B$229=K$3,SUMIF('TL05'!$C$238:$C$451,$C133,'TL05'!$J$238:$J$451),0),
IF('TL06'!$B$3=K$3,SUMIF('TL06'!$C$10:$C$224,$C133,'TL06'!$J$10:$J$224),0),
IF('TL06'!$B$229=K$3,SUMIF('TL06'!$C$238:$C$451,$C133,'TL06'!$J$238:$J$451),0),
IF('TL07'!$B$3=K$3,SUMIF('TL07'!$C$10:$C$224,$C133,'TL07'!$J$10:$J$224),0),
IF('TL07'!$B$229=K$3,SUMIF('TL07'!$C$238:$C$451,$C133,'TL07'!$J$238:$J$451),0),
IF('TL08'!$B$3=K$3,SUMIF('TL08'!$C$10:$C$224,$C133,'TL08'!$J$10:$J$224),0),
IF('TL08'!$B$229=K$3,SUMIF('TL08'!$C$238:$C$451,$C133,'TL08'!$J$238:$J$451),0),
IF('TL09'!$B$3=K$3,SUMIF('TL09'!$C$10:$C$224,$C133,'TL09'!$J$10:$J$224),0),
IF('TL09'!$B$229=K$3,SUMIF('TL09'!$C$238:$C$451,$C133,'TL09'!$J$238:$J$451),0),
IF('TL10'!$B$3=K$3,SUMIF('TL10'!$C$10:$C$224,$C133,'TL10'!$J$10:$J$224),0),
IF('TL10'!$B$229=K$3,SUMIF('TL10'!$C$238:$C$451,$C133,'TL10'!$J$238:$J$451),0),
IF('TL11'!$B$3=K$3,SUMIF('TL11'!$C$10:$C$224,$C133,'TL11'!$J$10:$J$224),0),
IF('TL11'!$B$229=K$3,SUMIF('TL11'!$C$238:$C$451,$C133,'TL11'!$J$238:$J$451),0),
IF('TL12'!$B$3=K$3,SUMIF('TL12'!$C$10:$C$224,$C133,'TL12'!$J$10:$J$224),0),
IF('TL12'!$B$229=K$3,SUMIF('TL12'!$C$238:$C$451,$C133,'TL12'!$J$238:$J$451),0),
IF('TL13'!$B$3=K$3,SUMIF('TL13'!$C$10:$C$224,$C133,'TL13'!$J$10:$J$224),0),
IF('TL13'!$B$229=K$3,SUMIF('TL13'!$C$238:$C$451,$C133,'TL13'!$J$238:$J$451),0),
IF('TL14'!$B$3=K$3,SUMIF('TL14'!$C$10:$C$224,$C133,'TL14'!$J$10:$J$224),0),
IF('TL14'!$B$229=K$3,SUMIF('TL14'!$C$238:$C$451,$C133,'TL14'!$J$238:$J$451),0),
IF('TL15'!$B$3=K$3,SUMIF('TL15'!$C$10:$C$224,$C133,'TL15'!$J$10:$J$224),0),
IF('TL15'!$B$229=K$3,SUMIF('TL15'!$C$238:$C$451,$C133,'TL15'!$J$238:$J$451),0),
IF('TL16'!$B$3=K$3,SUMIF('TL16'!$C$10:$C$224,$C133,'TL16'!$J$10:$J$224),0),
IF('TL16'!$B$229=K$3,SUMIF('TL16'!$C$238:$C$451,$C133,'TL16'!$J$238:$J$451),0),
IF('TL17'!$B$3=K$3,SUMIF('TL17'!$C$10:$C$224,$C133,'TL17'!$J$10:$J$224),0),
IF('TL17'!$B$229=K$3,SUMIF('TL17'!$C$238:$C$451,$C133,'TL17'!$J$238:$J$451),0),
IF('TL18'!$B$3=K$3,SUMIF('TL18'!$C$10:$C$224,$C133,'TL18'!$J$10:$J$224),0),
IF('TL18'!$B$229=K$3,SUMIF('TL18'!$C$238:$C$451,$C133,'TL18'!$J$238:$J$451),0),
IF('TL19'!$B$3=K$3,SUMIF('TL19'!$C$10:$C$224,$C133,'TL19'!$J$10:$J$224),0),
IF('TL19'!$B$229=K$3,SUMIF('TL19'!$C$238:$C$451,$C133,'TL19'!$J$238:$J$451),0)
),0)</f>
        <v/>
      </c>
      <c r="L133" s="9">
        <f>IFERROR(SUM(
IF('TL01'!$B$3=L$3,SUMIF('TL01'!$C$10:$C$224,$C133,'TL01'!$J$10:$J$224),0),
IF('TL01'!$B$229=L$3,SUMIF('TL01'!$C$238:$C$451,$C133,'TL01'!$J$238:$J$451),0),
IF('TL02'!$B$3=L$3,SUMIF('TL02'!$C$10:$C$224,$C133,'TL02'!$J$10:$J$224),0),
IF('TL02'!$B$229=L$3,SUMIF('TL02'!$C$238:$C$451,$C133,'TL02'!$J$238:$J$451),0),
IF('TL03'!$B$3=L$3,SUMIF('TL03'!$C$10:$C$224,$C133,'TL03'!$J$10:$J$224),0),
IF('TL03'!$B$229=L$3,SUMIF('TL03'!$C$238:$C$451,$C133,'TL03'!$J$238:$J$451),0),
IF('TL04'!$B$3=L$3,SUMIF('TL04'!$C$10:$C$224,$C133,'TL04'!$J$10:$J$224),0),
IF('TL04'!$B$229=L$3,SUMIF('TL04'!$C$238:$C$451,$C133,'TL04'!$J$238:$J$451),0),
IF('TL05'!$B$3=L$3,SUMIF('TL05'!$C$10:$C$224,$C133,'TL05'!$J$10:$J$224),0),
IF('TL05'!$B$229=L$3,SUMIF('TL05'!$C$238:$C$451,$C133,'TL05'!$J$238:$J$451),0),
IF('TL06'!$B$3=L$3,SUMIF('TL06'!$C$10:$C$224,$C133,'TL06'!$J$10:$J$224),0),
IF('TL06'!$B$229=L$3,SUMIF('TL06'!$C$238:$C$451,$C133,'TL06'!$J$238:$J$451),0),
IF('TL07'!$B$3=L$3,SUMIF('TL07'!$C$10:$C$224,$C133,'TL07'!$J$10:$J$224),0),
IF('TL07'!$B$229=L$3,SUMIF('TL07'!$C$238:$C$451,$C133,'TL07'!$J$238:$J$451),0),
IF('TL08'!$B$3=L$3,SUMIF('TL08'!$C$10:$C$224,$C133,'TL08'!$J$10:$J$224),0),
IF('TL08'!$B$229=L$3,SUMIF('TL08'!$C$238:$C$451,$C133,'TL08'!$J$238:$J$451),0),
IF('TL09'!$B$3=L$3,SUMIF('TL09'!$C$10:$C$224,$C133,'TL09'!$J$10:$J$224),0),
IF('TL09'!$B$229=L$3,SUMIF('TL09'!$C$238:$C$451,$C133,'TL09'!$J$238:$J$451),0),
IF('TL10'!$B$3=L$3,SUMIF('TL10'!$C$10:$C$224,$C133,'TL10'!$J$10:$J$224),0),
IF('TL10'!$B$229=L$3,SUMIF('TL10'!$C$238:$C$451,$C133,'TL10'!$J$238:$J$451),0),
IF('TL11'!$B$3=L$3,SUMIF('TL11'!$C$10:$C$224,$C133,'TL11'!$J$10:$J$224),0),
IF('TL11'!$B$229=L$3,SUMIF('TL11'!$C$238:$C$451,$C133,'TL11'!$J$238:$J$451),0),
IF('TL12'!$B$3=L$3,SUMIF('TL12'!$C$10:$C$224,$C133,'TL12'!$J$10:$J$224),0),
IF('TL12'!$B$229=L$3,SUMIF('TL12'!$C$238:$C$451,$C133,'TL12'!$J$238:$J$451),0),
IF('TL13'!$B$3=L$3,SUMIF('TL13'!$C$10:$C$224,$C133,'TL13'!$J$10:$J$224),0),
IF('TL13'!$B$229=L$3,SUMIF('TL13'!$C$238:$C$451,$C133,'TL13'!$J$238:$J$451),0),
IF('TL14'!$B$3=L$3,SUMIF('TL14'!$C$10:$C$224,$C133,'TL14'!$J$10:$J$224),0),
IF('TL14'!$B$229=L$3,SUMIF('TL14'!$C$238:$C$451,$C133,'TL14'!$J$238:$J$451),0),
IF('TL15'!$B$3=L$3,SUMIF('TL15'!$C$10:$C$224,$C133,'TL15'!$J$10:$J$224),0),
IF('TL15'!$B$229=L$3,SUMIF('TL15'!$C$238:$C$451,$C133,'TL15'!$J$238:$J$451),0),
IF('TL16'!$B$3=L$3,SUMIF('TL16'!$C$10:$C$224,$C133,'TL16'!$J$10:$J$224),0),
IF('TL16'!$B$229=L$3,SUMIF('TL16'!$C$238:$C$451,$C133,'TL16'!$J$238:$J$451),0),
IF('TL17'!$B$3=L$3,SUMIF('TL17'!$C$10:$C$224,$C133,'TL17'!$J$10:$J$224),0),
IF('TL17'!$B$229=L$3,SUMIF('TL17'!$C$238:$C$451,$C133,'TL17'!$J$238:$J$451),0),
IF('TL18'!$B$3=L$3,SUMIF('TL18'!$C$10:$C$224,$C133,'TL18'!$J$10:$J$224),0),
IF('TL18'!$B$229=L$3,SUMIF('TL18'!$C$238:$C$451,$C133,'TL18'!$J$238:$J$451),0),
IF('TL19'!$B$3=L$3,SUMIF('TL19'!$C$10:$C$224,$C133,'TL19'!$J$10:$J$224),0),
IF('TL19'!$B$229=L$3,SUMIF('TL19'!$C$238:$C$451,$C133,'TL19'!$J$238:$J$451),0)
),0)</f>
        <v/>
      </c>
      <c r="M133" s="9">
        <f>IFERROR(SUM(
IF('TL01'!$B$3=M$3,SUMIF('TL01'!$C$10:$C$224,$C133,'TL01'!$J$10:$J$224),0),
IF('TL01'!$B$229=M$3,SUMIF('TL01'!$C$238:$C$451,$C133,'TL01'!$J$238:$J$451),0),
IF('TL02'!$B$3=M$3,SUMIF('TL02'!$C$10:$C$224,$C133,'TL02'!$J$10:$J$224),0),
IF('TL02'!$B$229=M$3,SUMIF('TL02'!$C$238:$C$451,$C133,'TL02'!$J$238:$J$451),0),
IF('TL03'!$B$3=M$3,SUMIF('TL03'!$C$10:$C$224,$C133,'TL03'!$J$10:$J$224),0),
IF('TL03'!$B$229=M$3,SUMIF('TL03'!$C$238:$C$451,$C133,'TL03'!$J$238:$J$451),0),
IF('TL04'!$B$3=M$3,SUMIF('TL04'!$C$10:$C$224,$C133,'TL04'!$J$10:$J$224),0),
IF('TL04'!$B$229=M$3,SUMIF('TL04'!$C$238:$C$451,$C133,'TL04'!$J$238:$J$451),0),
IF('TL05'!$B$3=M$3,SUMIF('TL05'!$C$10:$C$224,$C133,'TL05'!$J$10:$J$224),0),
IF('TL05'!$B$229=M$3,SUMIF('TL05'!$C$238:$C$451,$C133,'TL05'!$J$238:$J$451),0),
IF('TL06'!$B$3=M$3,SUMIF('TL06'!$C$10:$C$224,$C133,'TL06'!$J$10:$J$224),0),
IF('TL06'!$B$229=M$3,SUMIF('TL06'!$C$238:$C$451,$C133,'TL06'!$J$238:$J$451),0),
IF('TL07'!$B$3=M$3,SUMIF('TL07'!$C$10:$C$224,$C133,'TL07'!$J$10:$J$224),0),
IF('TL07'!$B$229=M$3,SUMIF('TL07'!$C$238:$C$451,$C133,'TL07'!$J$238:$J$451),0),
IF('TL08'!$B$3=M$3,SUMIF('TL08'!$C$10:$C$224,$C133,'TL08'!$J$10:$J$224),0),
IF('TL08'!$B$229=M$3,SUMIF('TL08'!$C$238:$C$451,$C133,'TL08'!$J$238:$J$451),0),
IF('TL09'!$B$3=M$3,SUMIF('TL09'!$C$10:$C$224,$C133,'TL09'!$J$10:$J$224),0),
IF('TL09'!$B$229=M$3,SUMIF('TL09'!$C$238:$C$451,$C133,'TL09'!$J$238:$J$451),0),
IF('TL10'!$B$3=M$3,SUMIF('TL10'!$C$10:$C$224,$C133,'TL10'!$J$10:$J$224),0),
IF('TL10'!$B$229=M$3,SUMIF('TL10'!$C$238:$C$451,$C133,'TL10'!$J$238:$J$451),0),
IF('TL11'!$B$3=M$3,SUMIF('TL11'!$C$10:$C$224,$C133,'TL11'!$J$10:$J$224),0),
IF('TL11'!$B$229=M$3,SUMIF('TL11'!$C$238:$C$451,$C133,'TL11'!$J$238:$J$451),0),
IF('TL12'!$B$3=M$3,SUMIF('TL12'!$C$10:$C$224,$C133,'TL12'!$J$10:$J$224),0),
IF('TL12'!$B$229=M$3,SUMIF('TL12'!$C$238:$C$451,$C133,'TL12'!$J$238:$J$451),0),
IF('TL13'!$B$3=M$3,SUMIF('TL13'!$C$10:$C$224,$C133,'TL13'!$J$10:$J$224),0),
IF('TL13'!$B$229=M$3,SUMIF('TL13'!$C$238:$C$451,$C133,'TL13'!$J$238:$J$451),0),
IF('TL14'!$B$3=M$3,SUMIF('TL14'!$C$10:$C$224,$C133,'TL14'!$J$10:$J$224),0),
IF('TL14'!$B$229=M$3,SUMIF('TL14'!$C$238:$C$451,$C133,'TL14'!$J$238:$J$451),0),
IF('TL15'!$B$3=M$3,SUMIF('TL15'!$C$10:$C$224,$C133,'TL15'!$J$10:$J$224),0),
IF('TL15'!$B$229=M$3,SUMIF('TL15'!$C$238:$C$451,$C133,'TL15'!$J$238:$J$451),0),
IF('TL16'!$B$3=M$3,SUMIF('TL16'!$C$10:$C$224,$C133,'TL16'!$J$10:$J$224),0),
IF('TL16'!$B$229=M$3,SUMIF('TL16'!$C$238:$C$451,$C133,'TL16'!$J$238:$J$451),0),
IF('TL17'!$B$3=M$3,SUMIF('TL17'!$C$10:$C$224,$C133,'TL17'!$J$10:$J$224),0),
IF('TL17'!$B$229=M$3,SUMIF('TL17'!$C$238:$C$451,$C133,'TL17'!$J$238:$J$451),0),
IF('TL18'!$B$3=M$3,SUMIF('TL18'!$C$10:$C$224,$C133,'TL18'!$J$10:$J$224),0),
IF('TL18'!$B$229=M$3,SUMIF('TL18'!$C$238:$C$451,$C133,'TL18'!$J$238:$J$451),0),
IF('TL19'!$B$3=M$3,SUMIF('TL19'!$C$10:$C$224,$C133,'TL19'!$J$10:$J$224),0),
IF('TL19'!$B$229=M$3,SUMIF('TL19'!$C$238:$C$451,$C133,'TL19'!$J$238:$J$451),0)
),0)</f>
        <v/>
      </c>
      <c r="N133" s="9">
        <f>IFERROR(SUM(
IF('TL01'!$B$3=N$3,SUMIF('TL01'!$C$10:$C$224,$C133,'TL01'!$J$10:$J$224),0),
IF('TL01'!$B$229=N$3,SUMIF('TL01'!$C$238:$C$451,$C133,'TL01'!$J$238:$J$451),0),
IF('TL02'!$B$3=N$3,SUMIF('TL02'!$C$10:$C$224,$C133,'TL02'!$J$10:$J$224),0),
IF('TL02'!$B$229=N$3,SUMIF('TL02'!$C$238:$C$451,$C133,'TL02'!$J$238:$J$451),0),
IF('TL03'!$B$3=N$3,SUMIF('TL03'!$C$10:$C$224,$C133,'TL03'!$J$10:$J$224),0),
IF('TL03'!$B$229=N$3,SUMIF('TL03'!$C$238:$C$451,$C133,'TL03'!$J$238:$J$451),0),
IF('TL04'!$B$3=N$3,SUMIF('TL04'!$C$10:$C$224,$C133,'TL04'!$J$10:$J$224),0),
IF('TL04'!$B$229=N$3,SUMIF('TL04'!$C$238:$C$451,$C133,'TL04'!$J$238:$J$451),0),
IF('TL05'!$B$3=N$3,SUMIF('TL05'!$C$10:$C$224,$C133,'TL05'!$J$10:$J$224),0),
IF('TL05'!$B$229=N$3,SUMIF('TL05'!$C$238:$C$451,$C133,'TL05'!$J$238:$J$451),0),
IF('TL06'!$B$3=N$3,SUMIF('TL06'!$C$10:$C$224,$C133,'TL06'!$J$10:$J$224),0),
IF('TL06'!$B$229=N$3,SUMIF('TL06'!$C$238:$C$451,$C133,'TL06'!$J$238:$J$451),0),
IF('TL07'!$B$3=N$3,SUMIF('TL07'!$C$10:$C$224,$C133,'TL07'!$J$10:$J$224),0),
IF('TL07'!$B$229=N$3,SUMIF('TL07'!$C$238:$C$451,$C133,'TL07'!$J$238:$J$451),0),
IF('TL08'!$B$3=N$3,SUMIF('TL08'!$C$10:$C$224,$C133,'TL08'!$J$10:$J$224),0),
IF('TL08'!$B$229=N$3,SUMIF('TL08'!$C$238:$C$451,$C133,'TL08'!$J$238:$J$451),0),
IF('TL09'!$B$3=N$3,SUMIF('TL09'!$C$10:$C$224,$C133,'TL09'!$J$10:$J$224),0),
IF('TL09'!$B$229=N$3,SUMIF('TL09'!$C$238:$C$451,$C133,'TL09'!$J$238:$J$451),0),
IF('TL10'!$B$3=N$3,SUMIF('TL10'!$C$10:$C$224,$C133,'TL10'!$J$10:$J$224),0),
IF('TL10'!$B$229=N$3,SUMIF('TL10'!$C$238:$C$451,$C133,'TL10'!$J$238:$J$451),0),
IF('TL11'!$B$3=N$3,SUMIF('TL11'!$C$10:$C$224,$C133,'TL11'!$J$10:$J$224),0),
IF('TL11'!$B$229=N$3,SUMIF('TL11'!$C$238:$C$451,$C133,'TL11'!$J$238:$J$451),0),
IF('TL12'!$B$3=N$3,SUMIF('TL12'!$C$10:$C$224,$C133,'TL12'!$J$10:$J$224),0),
IF('TL12'!$B$229=N$3,SUMIF('TL12'!$C$238:$C$451,$C133,'TL12'!$J$238:$J$451),0),
IF('TL13'!$B$3=N$3,SUMIF('TL13'!$C$10:$C$224,$C133,'TL13'!$J$10:$J$224),0),
IF('TL13'!$B$229=N$3,SUMIF('TL13'!$C$238:$C$451,$C133,'TL13'!$J$238:$J$451),0),
IF('TL14'!$B$3=N$3,SUMIF('TL14'!$C$10:$C$224,$C133,'TL14'!$J$10:$J$224),0),
IF('TL14'!$B$229=N$3,SUMIF('TL14'!$C$238:$C$451,$C133,'TL14'!$J$238:$J$451),0),
IF('TL15'!$B$3=N$3,SUMIF('TL15'!$C$10:$C$224,$C133,'TL15'!$J$10:$J$224),0),
IF('TL15'!$B$229=N$3,SUMIF('TL15'!$C$238:$C$451,$C133,'TL15'!$J$238:$J$451),0),
IF('TL16'!$B$3=N$3,SUMIF('TL16'!$C$10:$C$224,$C133,'TL16'!$J$10:$J$224),0),
IF('TL16'!$B$229=N$3,SUMIF('TL16'!$C$238:$C$451,$C133,'TL16'!$J$238:$J$451),0),
IF('TL17'!$B$3=N$3,SUMIF('TL17'!$C$10:$C$224,$C133,'TL17'!$J$10:$J$224),0),
IF('TL17'!$B$229=N$3,SUMIF('TL17'!$C$238:$C$451,$C133,'TL17'!$J$238:$J$451),0),
IF('TL18'!$B$3=N$3,SUMIF('TL18'!$C$10:$C$224,$C133,'TL18'!$J$10:$J$224),0),
IF('TL18'!$B$229=N$3,SUMIF('TL18'!$C$238:$C$451,$C133,'TL18'!$J$238:$J$451),0),
IF('TL19'!$B$3=N$3,SUMIF('TL19'!$C$10:$C$224,$C133,'TL19'!$J$10:$J$224),0),
IF('TL19'!$B$229=N$3,SUMIF('TL19'!$C$238:$C$451,$C133,'TL19'!$J$238:$J$451),0)
),0)</f>
        <v/>
      </c>
      <c r="O133" s="9">
        <f>IFERROR(SUM(
IF('TL01'!$B$3=O$3,SUMIF('TL01'!$C$10:$C$224,$C133,'TL01'!$J$10:$J$224),0),
IF('TL01'!$B$229=O$3,SUMIF('TL01'!$C$238:$C$451,$C133,'TL01'!$J$238:$J$451),0),
IF('TL02'!$B$3=O$3,SUMIF('TL02'!$C$10:$C$224,$C133,'TL02'!$J$10:$J$224),0),
IF('TL02'!$B$229=O$3,SUMIF('TL02'!$C$238:$C$451,$C133,'TL02'!$J$238:$J$451),0),
IF('TL03'!$B$3=O$3,SUMIF('TL03'!$C$10:$C$224,$C133,'TL03'!$J$10:$J$224),0),
IF('TL03'!$B$229=O$3,SUMIF('TL03'!$C$238:$C$451,$C133,'TL03'!$J$238:$J$451),0),
IF('TL04'!$B$3=O$3,SUMIF('TL04'!$C$10:$C$224,$C133,'TL04'!$J$10:$J$224),0),
IF('TL04'!$B$229=O$3,SUMIF('TL04'!$C$238:$C$451,$C133,'TL04'!$J$238:$J$451),0),
IF('TL05'!$B$3=O$3,SUMIF('TL05'!$C$10:$C$224,$C133,'TL05'!$J$10:$J$224),0),
IF('TL05'!$B$229=O$3,SUMIF('TL05'!$C$238:$C$451,$C133,'TL05'!$J$238:$J$451),0),
IF('TL06'!$B$3=O$3,SUMIF('TL06'!$C$10:$C$224,$C133,'TL06'!$J$10:$J$224),0),
IF('TL06'!$B$229=O$3,SUMIF('TL06'!$C$238:$C$451,$C133,'TL06'!$J$238:$J$451),0),
IF('TL07'!$B$3=O$3,SUMIF('TL07'!$C$10:$C$224,$C133,'TL07'!$J$10:$J$224),0),
IF('TL07'!$B$229=O$3,SUMIF('TL07'!$C$238:$C$451,$C133,'TL07'!$J$238:$J$451),0),
IF('TL08'!$B$3=O$3,SUMIF('TL08'!$C$10:$C$224,$C133,'TL08'!$J$10:$J$224),0),
IF('TL08'!$B$229=O$3,SUMIF('TL08'!$C$238:$C$451,$C133,'TL08'!$J$238:$J$451),0),
IF('TL09'!$B$3=O$3,SUMIF('TL09'!$C$10:$C$224,$C133,'TL09'!$J$10:$J$224),0),
IF('TL09'!$B$229=O$3,SUMIF('TL09'!$C$238:$C$451,$C133,'TL09'!$J$238:$J$451),0),
IF('TL10'!$B$3=O$3,SUMIF('TL10'!$C$10:$C$224,$C133,'TL10'!$J$10:$J$224),0),
IF('TL10'!$B$229=O$3,SUMIF('TL10'!$C$238:$C$451,$C133,'TL10'!$J$238:$J$451),0),
IF('TL11'!$B$3=O$3,SUMIF('TL11'!$C$10:$C$224,$C133,'TL11'!$J$10:$J$224),0),
IF('TL11'!$B$229=O$3,SUMIF('TL11'!$C$238:$C$451,$C133,'TL11'!$J$238:$J$451),0),
IF('TL12'!$B$3=O$3,SUMIF('TL12'!$C$10:$C$224,$C133,'TL12'!$J$10:$J$224),0),
IF('TL12'!$B$229=O$3,SUMIF('TL12'!$C$238:$C$451,$C133,'TL12'!$J$238:$J$451),0),
IF('TL13'!$B$3=O$3,SUMIF('TL13'!$C$10:$C$224,$C133,'TL13'!$J$10:$J$224),0),
IF('TL13'!$B$229=O$3,SUMIF('TL13'!$C$238:$C$451,$C133,'TL13'!$J$238:$J$451),0),
IF('TL14'!$B$3=O$3,SUMIF('TL14'!$C$10:$C$224,$C133,'TL14'!$J$10:$J$224),0),
IF('TL14'!$B$229=O$3,SUMIF('TL14'!$C$238:$C$451,$C133,'TL14'!$J$238:$J$451),0),
IF('TL15'!$B$3=O$3,SUMIF('TL15'!$C$10:$C$224,$C133,'TL15'!$J$10:$J$224),0),
IF('TL15'!$B$229=O$3,SUMIF('TL15'!$C$238:$C$451,$C133,'TL15'!$J$238:$J$451),0),
IF('TL16'!$B$3=O$3,SUMIF('TL16'!$C$10:$C$224,$C133,'TL16'!$J$10:$J$224),0),
IF('TL16'!$B$229=O$3,SUMIF('TL16'!$C$238:$C$451,$C133,'TL16'!$J$238:$J$451),0),
IF('TL17'!$B$3=O$3,SUMIF('TL17'!$C$10:$C$224,$C133,'TL17'!$J$10:$J$224),0),
IF('TL17'!$B$229=O$3,SUMIF('TL17'!$C$238:$C$451,$C133,'TL17'!$J$238:$J$451),0),
IF('TL18'!$B$3=O$3,SUMIF('TL18'!$C$10:$C$224,$C133,'TL18'!$J$10:$J$224),0),
IF('TL18'!$B$229=O$3,SUMIF('TL18'!$C$238:$C$451,$C133,'TL18'!$J$238:$J$451),0),
IF('TL19'!$B$3=O$3,SUMIF('TL19'!$C$10:$C$224,$C133,'TL19'!$J$10:$J$224),0),
IF('TL19'!$B$229=O$3,SUMIF('TL19'!$C$238:$C$451,$C133,'TL19'!$J$238:$J$451),0)
),0)</f>
        <v/>
      </c>
      <c r="P133" s="9">
        <f>IFERROR(SUM(
IF('TL01'!$B$3=P$3,SUMIF('TL01'!$C$10:$C$224,$C133,'TL01'!$J$10:$J$224),0),
IF('TL01'!$B$229=P$3,SUMIF('TL01'!$C$238:$C$451,$C133,'TL01'!$J$238:$J$451),0),
IF('TL02'!$B$3=P$3,SUMIF('TL02'!$C$10:$C$224,$C133,'TL02'!$J$10:$J$224),0),
IF('TL02'!$B$229=P$3,SUMIF('TL02'!$C$238:$C$451,$C133,'TL02'!$J$238:$J$451),0),
IF('TL03'!$B$3=P$3,SUMIF('TL03'!$C$10:$C$224,$C133,'TL03'!$J$10:$J$224),0),
IF('TL03'!$B$229=P$3,SUMIF('TL03'!$C$238:$C$451,$C133,'TL03'!$J$238:$J$451),0),
IF('TL04'!$B$3=P$3,SUMIF('TL04'!$C$10:$C$224,$C133,'TL04'!$J$10:$J$224),0),
IF('TL04'!$B$229=P$3,SUMIF('TL04'!$C$238:$C$451,$C133,'TL04'!$J$238:$J$451),0),
IF('TL05'!$B$3=P$3,SUMIF('TL05'!$C$10:$C$224,$C133,'TL05'!$J$10:$J$224),0),
IF('TL05'!$B$229=P$3,SUMIF('TL05'!$C$238:$C$451,$C133,'TL05'!$J$238:$J$451),0),
IF('TL06'!$B$3=P$3,SUMIF('TL06'!$C$10:$C$224,$C133,'TL06'!$J$10:$J$224),0),
IF('TL06'!$B$229=P$3,SUMIF('TL06'!$C$238:$C$451,$C133,'TL06'!$J$238:$J$451),0),
IF('TL07'!$B$3=P$3,SUMIF('TL07'!$C$10:$C$224,$C133,'TL07'!$J$10:$J$224),0),
IF('TL07'!$B$229=P$3,SUMIF('TL07'!$C$238:$C$451,$C133,'TL07'!$J$238:$J$451),0),
IF('TL08'!$B$3=P$3,SUMIF('TL08'!$C$10:$C$224,$C133,'TL08'!$J$10:$J$224),0),
IF('TL08'!$B$229=P$3,SUMIF('TL08'!$C$238:$C$451,$C133,'TL08'!$J$238:$J$451),0),
IF('TL09'!$B$3=P$3,SUMIF('TL09'!$C$10:$C$224,$C133,'TL09'!$J$10:$J$224),0),
IF('TL09'!$B$229=P$3,SUMIF('TL09'!$C$238:$C$451,$C133,'TL09'!$J$238:$J$451),0),
IF('TL10'!$B$3=P$3,SUMIF('TL10'!$C$10:$C$224,$C133,'TL10'!$J$10:$J$224),0),
IF('TL10'!$B$229=P$3,SUMIF('TL10'!$C$238:$C$451,$C133,'TL10'!$J$238:$J$451),0),
IF('TL11'!$B$3=P$3,SUMIF('TL11'!$C$10:$C$224,$C133,'TL11'!$J$10:$J$224),0),
IF('TL11'!$B$229=P$3,SUMIF('TL11'!$C$238:$C$451,$C133,'TL11'!$J$238:$J$451),0),
IF('TL12'!$B$3=P$3,SUMIF('TL12'!$C$10:$C$224,$C133,'TL12'!$J$10:$J$224),0),
IF('TL12'!$B$229=P$3,SUMIF('TL12'!$C$238:$C$451,$C133,'TL12'!$J$238:$J$451),0),
IF('TL13'!$B$3=P$3,SUMIF('TL13'!$C$10:$C$224,$C133,'TL13'!$J$10:$J$224),0),
IF('TL13'!$B$229=P$3,SUMIF('TL13'!$C$238:$C$451,$C133,'TL13'!$J$238:$J$451),0),
IF('TL14'!$B$3=P$3,SUMIF('TL14'!$C$10:$C$224,$C133,'TL14'!$J$10:$J$224),0),
IF('TL14'!$B$229=P$3,SUMIF('TL14'!$C$238:$C$451,$C133,'TL14'!$J$238:$J$451),0),
IF('TL15'!$B$3=P$3,SUMIF('TL15'!$C$10:$C$224,$C133,'TL15'!$J$10:$J$224),0),
IF('TL15'!$B$229=P$3,SUMIF('TL15'!$C$238:$C$451,$C133,'TL15'!$J$238:$J$451),0),
IF('TL16'!$B$3=P$3,SUMIF('TL16'!$C$10:$C$224,$C133,'TL16'!$J$10:$J$224),0),
IF('TL16'!$B$229=P$3,SUMIF('TL16'!$C$238:$C$451,$C133,'TL16'!$J$238:$J$451),0),
IF('TL17'!$B$3=P$3,SUMIF('TL17'!$C$10:$C$224,$C133,'TL17'!$J$10:$J$224),0),
IF('TL17'!$B$229=P$3,SUMIF('TL17'!$C$238:$C$451,$C133,'TL17'!$J$238:$J$451),0),
IF('TL18'!$B$3=P$3,SUMIF('TL18'!$C$10:$C$224,$C133,'TL18'!$J$10:$J$224),0),
IF('TL18'!$B$229=P$3,SUMIF('TL18'!$C$238:$C$451,$C133,'TL18'!$J$238:$J$451),0),
IF('TL19'!$B$3=P$3,SUMIF('TL19'!$C$10:$C$224,$C133,'TL19'!$J$10:$J$224),0),
IF('TL19'!$B$229=P$3,SUMIF('TL19'!$C$238:$C$451,$C133,'TL19'!$J$238:$J$451),0)
),0)</f>
        <v/>
      </c>
      <c r="Q133" s="9">
        <f>IFERROR(SUM(
IF('TL01'!$B$3=Q$3,SUMIF('TL01'!$C$10:$C$224,$C133,'TL01'!$J$10:$J$224),0),
IF('TL01'!$B$229=Q$3,SUMIF('TL01'!$C$238:$C$451,$C133,'TL01'!$J$238:$J$451),0),
IF('TL02'!$B$3=Q$3,SUMIF('TL02'!$C$10:$C$224,$C133,'TL02'!$J$10:$J$224),0),
IF('TL02'!$B$229=Q$3,SUMIF('TL02'!$C$238:$C$451,$C133,'TL02'!$J$238:$J$451),0),
IF('TL03'!$B$3=Q$3,SUMIF('TL03'!$C$10:$C$224,$C133,'TL03'!$J$10:$J$224),0),
IF('TL03'!$B$229=Q$3,SUMIF('TL03'!$C$238:$C$451,$C133,'TL03'!$J$238:$J$451),0),
IF('TL04'!$B$3=Q$3,SUMIF('TL04'!$C$10:$C$224,$C133,'TL04'!$J$10:$J$224),0),
IF('TL04'!$B$229=Q$3,SUMIF('TL04'!$C$238:$C$451,$C133,'TL04'!$J$238:$J$451),0),
IF('TL05'!$B$3=Q$3,SUMIF('TL05'!$C$10:$C$224,$C133,'TL05'!$J$10:$J$224),0),
IF('TL05'!$B$229=Q$3,SUMIF('TL05'!$C$238:$C$451,$C133,'TL05'!$J$238:$J$451),0),
IF('TL06'!$B$3=Q$3,SUMIF('TL06'!$C$10:$C$224,$C133,'TL06'!$J$10:$J$224),0),
IF('TL06'!$B$229=Q$3,SUMIF('TL06'!$C$238:$C$451,$C133,'TL06'!$J$238:$J$451),0),
IF('TL07'!$B$3=Q$3,SUMIF('TL07'!$C$10:$C$224,$C133,'TL07'!$J$10:$J$224),0),
IF('TL07'!$B$229=Q$3,SUMIF('TL07'!$C$238:$C$451,$C133,'TL07'!$J$238:$J$451),0),
IF('TL08'!$B$3=Q$3,SUMIF('TL08'!$C$10:$C$224,$C133,'TL08'!$J$10:$J$224),0),
IF('TL08'!$B$229=Q$3,SUMIF('TL08'!$C$238:$C$451,$C133,'TL08'!$J$238:$J$451),0),
IF('TL09'!$B$3=Q$3,SUMIF('TL09'!$C$10:$C$224,$C133,'TL09'!$J$10:$J$224),0),
IF('TL09'!$B$229=Q$3,SUMIF('TL09'!$C$238:$C$451,$C133,'TL09'!$J$238:$J$451),0),
IF('TL10'!$B$3=Q$3,SUMIF('TL10'!$C$10:$C$224,$C133,'TL10'!$J$10:$J$224),0),
IF('TL10'!$B$229=Q$3,SUMIF('TL10'!$C$238:$C$451,$C133,'TL10'!$J$238:$J$451),0),
IF('TL11'!$B$3=Q$3,SUMIF('TL11'!$C$10:$C$224,$C133,'TL11'!$J$10:$J$224),0),
IF('TL11'!$B$229=Q$3,SUMIF('TL11'!$C$238:$C$451,$C133,'TL11'!$J$238:$J$451),0),
IF('TL12'!$B$3=Q$3,SUMIF('TL12'!$C$10:$C$224,$C133,'TL12'!$J$10:$J$224),0),
IF('TL12'!$B$229=Q$3,SUMIF('TL12'!$C$238:$C$451,$C133,'TL12'!$J$238:$J$451),0),
IF('TL13'!$B$3=Q$3,SUMIF('TL13'!$C$10:$C$224,$C133,'TL13'!$J$10:$J$224),0),
IF('TL13'!$B$229=Q$3,SUMIF('TL13'!$C$238:$C$451,$C133,'TL13'!$J$238:$J$451),0),
IF('TL14'!$B$3=Q$3,SUMIF('TL14'!$C$10:$C$224,$C133,'TL14'!$J$10:$J$224),0),
IF('TL14'!$B$229=Q$3,SUMIF('TL14'!$C$238:$C$451,$C133,'TL14'!$J$238:$J$451),0),
IF('TL15'!$B$3=Q$3,SUMIF('TL15'!$C$10:$C$224,$C133,'TL15'!$J$10:$J$224),0),
IF('TL15'!$B$229=Q$3,SUMIF('TL15'!$C$238:$C$451,$C133,'TL15'!$J$238:$J$451),0),
IF('TL16'!$B$3=Q$3,SUMIF('TL16'!$C$10:$C$224,$C133,'TL16'!$J$10:$J$224),0),
IF('TL16'!$B$229=Q$3,SUMIF('TL16'!$C$238:$C$451,$C133,'TL16'!$J$238:$J$451),0),
IF('TL17'!$B$3=Q$3,SUMIF('TL17'!$C$10:$C$224,$C133,'TL17'!$J$10:$J$224),0),
IF('TL17'!$B$229=Q$3,SUMIF('TL17'!$C$238:$C$451,$C133,'TL17'!$J$238:$J$451),0),
IF('TL18'!$B$3=Q$3,SUMIF('TL18'!$C$10:$C$224,$C133,'TL18'!$J$10:$J$224),0),
IF('TL18'!$B$229=Q$3,SUMIF('TL18'!$C$238:$C$451,$C133,'TL18'!$J$238:$J$451),0),
IF('TL19'!$B$3=Q$3,SUMIF('TL19'!$C$10:$C$224,$C133,'TL19'!$J$10:$J$224),0),
IF('TL19'!$B$229=Q$3,SUMIF('TL19'!$C$238:$C$451,$C133,'TL19'!$J$238:$J$451),0)
),0)</f>
        <v/>
      </c>
      <c r="R133" s="9">
        <f>IFERROR(
SUM(
SUMIF('TL01'!C:C,C133,'TL01'!J:J),
SUMIF('TL02'!C:C,C133,'TL02'!J:J),
SUMIF('TL03'!C:C,C133,'TL03'!J:J),
SUMIF('TL04'!C:C,C133,'TL04'!J:J),
SUMIF('TL05'!C:C,C133,'TL05'!J:J),
SUMIF('TL06'!C:C,C133,'TL06'!J:J),
SUMIF('TL07'!C:C,C133,'TL07'!J:J),
SUMIF('TL08'!C:C,C133,'TL08'!J:J),
SUMIF('TL09'!C:C,C133,'TL09'!J:J),
SUMIF('TL10'!C:C,C133,'TL10'!J:J),
SUMIF('TL11'!C:C,C133,'TL11'!J:J),
SUMIF('TL12'!C:C,C133,'TL12'!J:J),
SUMIF('TL13'!C:C,C133,'TL13'!J:J),
SUMIF('TL14'!C:C,C133,'TL14'!J:J),
SUMIF('TL15'!C:C,C133,'TL15'!J:J),
SUMIF('TL16'!C:C,C133,'TL16'!J:J),
SUMIF('TL17'!C:C,C133,'TL17'!J:J),
SUMIF('TL18'!C:C,C133,'TL18'!J:J),SUMIF('TL19'!C:C,C133,'TL19'!J:J))
,0)</f>
        <v/>
      </c>
      <c r="S133" s="17">
        <f>IFERROR(__xludf.DUMMYFUNCTION("IFERROR(VLOOKUP(C133,
IMPORTRANGE(""1wULbzX32WdYsx-lj2U3uUNBBe2INVIRDtcK0d-Dvl90"",
""26-27!C:G""),
5,
FALSE),
"""")"),1630.4651399999998)</f>
        <v/>
      </c>
      <c r="T133" s="9" t="n"/>
      <c r="U133" s="92">
        <f>MAX(0,R133-T133)</f>
        <v/>
      </c>
      <c r="V133" s="93">
        <f>U133*S133</f>
        <v/>
      </c>
    </row>
    <row r="134" hidden="1" ht="15.75" customHeight="1" s="297">
      <c r="A134" s="115" t="inlineStr">
        <is>
          <t>CORTEVA</t>
        </is>
      </c>
      <c r="B134" s="100" t="inlineStr">
        <is>
          <t>HERBICIDA</t>
        </is>
      </c>
      <c r="C134" s="116" t="inlineStr">
        <is>
          <t>SPIDER 840 WG</t>
        </is>
      </c>
      <c r="D134" s="116" t="inlineStr">
        <is>
          <t>DICLOSULAM</t>
        </is>
      </c>
      <c r="E134" s="116" t="n">
        <v>840</v>
      </c>
      <c r="F134" s="4" t="inlineStr">
        <is>
          <t>L</t>
        </is>
      </c>
      <c r="G134" s="90">
        <f>HYPERLINK("https://www.google.com/search?q=" &amp; C134 &amp; "+bula+agrofit+pdf", "📄 Ver bula")</f>
        <v/>
      </c>
      <c r="H134" s="9">
        <f>IFERROR(__xludf.DUMMYFUNCTION("IFERROR(VLOOKUP(C134,
IMPORTRANGE(""1wULbzX32WdYsx-lj2U3uUNBBe2INVIRDtcK0d-Dvl90"",
""26-27!C:K""),
8,
FALSE),
"""")"),"")</f>
        <v/>
      </c>
      <c r="I134" s="117" t="inlineStr">
        <is>
          <t>12x0,420</t>
        </is>
      </c>
      <c r="J134" s="9">
        <f>IFERROR(SUM(
IF('TL01'!$B$3=J$3,SUMIF('TL01'!$C$10:$C$224,$C134,'TL01'!$J$10:$J$224),0),
IF('TL01'!$B$229=J$3,SUMIF('TL01'!$C$238:$C$451,$C134,'TL01'!$J$238:$J$451),0),
IF('TL02'!$B$3=J$3,SUMIF('TL02'!$C$10:$C$224,$C134,'TL02'!$J$10:$J$224),0),
IF('TL02'!$B$229=J$3,SUMIF('TL02'!$C$238:$C$451,$C134,'TL02'!$J$238:$J$451),0),
IF('TL03'!$B$3=J$3,SUMIF('TL03'!$C$10:$C$224,$C134,'TL03'!$J$10:$J$224),0),
IF('TL03'!$B$229=J$3,SUMIF('TL03'!$C$238:$C$451,$C134,'TL03'!$J$238:$J$451),0),
IF('TL04'!$B$3=J$3,SUMIF('TL04'!$C$10:$C$224,$C134,'TL04'!$J$10:$J$224),0),
IF('TL04'!$B$229=J$3,SUMIF('TL04'!$C$238:$C$451,$C134,'TL04'!$J$238:$J$451),0),
IF('TL05'!$B$3=J$3,SUMIF('TL05'!$C$10:$C$224,$C134,'TL05'!$J$10:$J$224),0),
IF('TL05'!$B$229=J$3,SUMIF('TL05'!$C$238:$C$451,$C134,'TL05'!$J$238:$J$451),0),
IF('TL06'!$B$3=J$3,SUMIF('TL06'!$C$10:$C$224,$C134,'TL06'!$J$10:$J$224),0),
IF('TL06'!$B$229=J$3,SUMIF('TL06'!$C$238:$C$451,$C134,'TL06'!$J$238:$J$451),0),
IF('TL07'!$B$3=J$3,SUMIF('TL07'!$C$10:$C$224,$C134,'TL07'!$J$10:$J$224),0),
IF('TL07'!$B$229=J$3,SUMIF('TL07'!$C$238:$C$451,$C134,'TL07'!$J$238:$J$451),0),
IF('TL08'!$B$3=J$3,SUMIF('TL08'!$C$10:$C$224,$C134,'TL08'!$J$10:$J$224),0),
IF('TL08'!$B$229=J$3,SUMIF('TL08'!$C$238:$C$451,$C134,'TL08'!$J$238:$J$451),0),
IF('TL09'!$B$3=J$3,SUMIF('TL09'!$C$10:$C$224,$C134,'TL09'!$J$10:$J$224),0),
IF('TL09'!$B$229=J$3,SUMIF('TL09'!$C$238:$C$451,$C134,'TL09'!$J$238:$J$451),0),
IF('TL10'!$B$3=J$3,SUMIF('TL10'!$C$10:$C$224,$C134,'TL10'!$J$10:$J$224),0),
IF('TL10'!$B$229=J$3,SUMIF('TL10'!$C$238:$C$451,$C134,'TL10'!$J$238:$J$451),0),
IF('TL11'!$B$3=J$3,SUMIF('TL11'!$C$10:$C$224,$C134,'TL11'!$J$10:$J$224),0),
IF('TL11'!$B$229=J$3,SUMIF('TL11'!$C$238:$C$451,$C134,'TL11'!$J$238:$J$451),0),
IF('TL12'!$B$3=J$3,SUMIF('TL12'!$C$10:$C$224,$C134,'TL12'!$J$10:$J$224),0),
IF('TL12'!$B$229=J$3,SUMIF('TL12'!$C$238:$C$451,$C134,'TL12'!$J$238:$J$451),0),
IF('TL13'!$B$3=J$3,SUMIF('TL13'!$C$10:$C$224,$C134,'TL13'!$J$10:$J$224),0),
IF('TL13'!$B$229=J$3,SUMIF('TL13'!$C$238:$C$451,$C134,'TL13'!$J$238:$J$451),0),
IF('TL14'!$B$3=J$3,SUMIF('TL14'!$C$10:$C$224,$C134,'TL14'!$J$10:$J$224),0),
IF('TL14'!$B$229=J$3,SUMIF('TL14'!$C$238:$C$451,$C134,'TL14'!$J$238:$J$451),0),
IF('TL15'!$B$3=J$3,SUMIF('TL15'!$C$10:$C$224,$C134,'TL15'!$J$10:$J$224),0),
IF('TL15'!$B$229=J$3,SUMIF('TL15'!$C$238:$C$451,$C134,'TL15'!$J$238:$J$451),0),
IF('TL16'!$B$3=J$3,SUMIF('TL16'!$C$10:$C$224,$C134,'TL16'!$J$10:$J$224),0),
IF('TL16'!$B$229=J$3,SUMIF('TL16'!$C$238:$C$451,$C134,'TL16'!$J$238:$J$451),0),
IF('TL17'!$B$3=J$3,SUMIF('TL17'!$C$10:$C$224,$C134,'TL17'!$J$10:$J$224),0),
IF('TL17'!$B$229=J$3,SUMIF('TL17'!$C$238:$C$451,$C134,'TL17'!$J$238:$J$451),0),
IF('TL18'!$B$3=J$3,SUMIF('TL18'!$C$10:$C$224,$C134,'TL18'!$J$10:$J$224),0),
IF('TL18'!$B$229=J$3,SUMIF('TL18'!$C$238:$C$451,$C134,'TL18'!$J$238:$J$451),0),
IF('TL19'!$B$3=J$3,SUMIF('TL19'!$C$10:$C$224,$C134,'TL19'!$J$10:$J$224),0),
IF('TL19'!$B$229=J$3,SUMIF('TL19'!$C$238:$C$451,$C134,'TL19'!$J$238:$J$451),0)
),0)</f>
        <v/>
      </c>
      <c r="K134" s="9">
        <f>IFERROR(SUM(
IF('TL01'!$B$3=K$3,SUMIF('TL01'!$C$10:$C$224,$C134,'TL01'!$J$10:$J$224),0),
IF('TL01'!$B$229=K$3,SUMIF('TL01'!$C$238:$C$451,$C134,'TL01'!$J$238:$J$451),0),
IF('TL02'!$B$3=K$3,SUMIF('TL02'!$C$10:$C$224,$C134,'TL02'!$J$10:$J$224),0),
IF('TL02'!$B$229=K$3,SUMIF('TL02'!$C$238:$C$451,$C134,'TL02'!$J$238:$J$451),0),
IF('TL03'!$B$3=K$3,SUMIF('TL03'!$C$10:$C$224,$C134,'TL03'!$J$10:$J$224),0),
IF('TL03'!$B$229=K$3,SUMIF('TL03'!$C$238:$C$451,$C134,'TL03'!$J$238:$J$451),0),
IF('TL04'!$B$3=K$3,SUMIF('TL04'!$C$10:$C$224,$C134,'TL04'!$J$10:$J$224),0),
IF('TL04'!$B$229=K$3,SUMIF('TL04'!$C$238:$C$451,$C134,'TL04'!$J$238:$J$451),0),
IF('TL05'!$B$3=K$3,SUMIF('TL05'!$C$10:$C$224,$C134,'TL05'!$J$10:$J$224),0),
IF('TL05'!$B$229=K$3,SUMIF('TL05'!$C$238:$C$451,$C134,'TL05'!$J$238:$J$451),0),
IF('TL06'!$B$3=K$3,SUMIF('TL06'!$C$10:$C$224,$C134,'TL06'!$J$10:$J$224),0),
IF('TL06'!$B$229=K$3,SUMIF('TL06'!$C$238:$C$451,$C134,'TL06'!$J$238:$J$451),0),
IF('TL07'!$B$3=K$3,SUMIF('TL07'!$C$10:$C$224,$C134,'TL07'!$J$10:$J$224),0),
IF('TL07'!$B$229=K$3,SUMIF('TL07'!$C$238:$C$451,$C134,'TL07'!$J$238:$J$451),0),
IF('TL08'!$B$3=K$3,SUMIF('TL08'!$C$10:$C$224,$C134,'TL08'!$J$10:$J$224),0),
IF('TL08'!$B$229=K$3,SUMIF('TL08'!$C$238:$C$451,$C134,'TL08'!$J$238:$J$451),0),
IF('TL09'!$B$3=K$3,SUMIF('TL09'!$C$10:$C$224,$C134,'TL09'!$J$10:$J$224),0),
IF('TL09'!$B$229=K$3,SUMIF('TL09'!$C$238:$C$451,$C134,'TL09'!$J$238:$J$451),0),
IF('TL10'!$B$3=K$3,SUMIF('TL10'!$C$10:$C$224,$C134,'TL10'!$J$10:$J$224),0),
IF('TL10'!$B$229=K$3,SUMIF('TL10'!$C$238:$C$451,$C134,'TL10'!$J$238:$J$451),0),
IF('TL11'!$B$3=K$3,SUMIF('TL11'!$C$10:$C$224,$C134,'TL11'!$J$10:$J$224),0),
IF('TL11'!$B$229=K$3,SUMIF('TL11'!$C$238:$C$451,$C134,'TL11'!$J$238:$J$451),0),
IF('TL12'!$B$3=K$3,SUMIF('TL12'!$C$10:$C$224,$C134,'TL12'!$J$10:$J$224),0),
IF('TL12'!$B$229=K$3,SUMIF('TL12'!$C$238:$C$451,$C134,'TL12'!$J$238:$J$451),0),
IF('TL13'!$B$3=K$3,SUMIF('TL13'!$C$10:$C$224,$C134,'TL13'!$J$10:$J$224),0),
IF('TL13'!$B$229=K$3,SUMIF('TL13'!$C$238:$C$451,$C134,'TL13'!$J$238:$J$451),0),
IF('TL14'!$B$3=K$3,SUMIF('TL14'!$C$10:$C$224,$C134,'TL14'!$J$10:$J$224),0),
IF('TL14'!$B$229=K$3,SUMIF('TL14'!$C$238:$C$451,$C134,'TL14'!$J$238:$J$451),0),
IF('TL15'!$B$3=K$3,SUMIF('TL15'!$C$10:$C$224,$C134,'TL15'!$J$10:$J$224),0),
IF('TL15'!$B$229=K$3,SUMIF('TL15'!$C$238:$C$451,$C134,'TL15'!$J$238:$J$451),0),
IF('TL16'!$B$3=K$3,SUMIF('TL16'!$C$10:$C$224,$C134,'TL16'!$J$10:$J$224),0),
IF('TL16'!$B$229=K$3,SUMIF('TL16'!$C$238:$C$451,$C134,'TL16'!$J$238:$J$451),0),
IF('TL17'!$B$3=K$3,SUMIF('TL17'!$C$10:$C$224,$C134,'TL17'!$J$10:$J$224),0),
IF('TL17'!$B$229=K$3,SUMIF('TL17'!$C$238:$C$451,$C134,'TL17'!$J$238:$J$451),0),
IF('TL18'!$B$3=K$3,SUMIF('TL18'!$C$10:$C$224,$C134,'TL18'!$J$10:$J$224),0),
IF('TL18'!$B$229=K$3,SUMIF('TL18'!$C$238:$C$451,$C134,'TL18'!$J$238:$J$451),0),
IF('TL19'!$B$3=K$3,SUMIF('TL19'!$C$10:$C$224,$C134,'TL19'!$J$10:$J$224),0),
IF('TL19'!$B$229=K$3,SUMIF('TL19'!$C$238:$C$451,$C134,'TL19'!$J$238:$J$451),0)
),0)</f>
        <v/>
      </c>
      <c r="L134" s="9">
        <f>IFERROR(SUM(
IF('TL01'!$B$3=L$3,SUMIF('TL01'!$C$10:$C$224,$C134,'TL01'!$J$10:$J$224),0),
IF('TL01'!$B$229=L$3,SUMIF('TL01'!$C$238:$C$451,$C134,'TL01'!$J$238:$J$451),0),
IF('TL02'!$B$3=L$3,SUMIF('TL02'!$C$10:$C$224,$C134,'TL02'!$J$10:$J$224),0),
IF('TL02'!$B$229=L$3,SUMIF('TL02'!$C$238:$C$451,$C134,'TL02'!$J$238:$J$451),0),
IF('TL03'!$B$3=L$3,SUMIF('TL03'!$C$10:$C$224,$C134,'TL03'!$J$10:$J$224),0),
IF('TL03'!$B$229=L$3,SUMIF('TL03'!$C$238:$C$451,$C134,'TL03'!$J$238:$J$451),0),
IF('TL04'!$B$3=L$3,SUMIF('TL04'!$C$10:$C$224,$C134,'TL04'!$J$10:$J$224),0),
IF('TL04'!$B$229=L$3,SUMIF('TL04'!$C$238:$C$451,$C134,'TL04'!$J$238:$J$451),0),
IF('TL05'!$B$3=L$3,SUMIF('TL05'!$C$10:$C$224,$C134,'TL05'!$J$10:$J$224),0),
IF('TL05'!$B$229=L$3,SUMIF('TL05'!$C$238:$C$451,$C134,'TL05'!$J$238:$J$451),0),
IF('TL06'!$B$3=L$3,SUMIF('TL06'!$C$10:$C$224,$C134,'TL06'!$J$10:$J$224),0),
IF('TL06'!$B$229=L$3,SUMIF('TL06'!$C$238:$C$451,$C134,'TL06'!$J$238:$J$451),0),
IF('TL07'!$B$3=L$3,SUMIF('TL07'!$C$10:$C$224,$C134,'TL07'!$J$10:$J$224),0),
IF('TL07'!$B$229=L$3,SUMIF('TL07'!$C$238:$C$451,$C134,'TL07'!$J$238:$J$451),0),
IF('TL08'!$B$3=L$3,SUMIF('TL08'!$C$10:$C$224,$C134,'TL08'!$J$10:$J$224),0),
IF('TL08'!$B$229=L$3,SUMIF('TL08'!$C$238:$C$451,$C134,'TL08'!$J$238:$J$451),0),
IF('TL09'!$B$3=L$3,SUMIF('TL09'!$C$10:$C$224,$C134,'TL09'!$J$10:$J$224),0),
IF('TL09'!$B$229=L$3,SUMIF('TL09'!$C$238:$C$451,$C134,'TL09'!$J$238:$J$451),0),
IF('TL10'!$B$3=L$3,SUMIF('TL10'!$C$10:$C$224,$C134,'TL10'!$J$10:$J$224),0),
IF('TL10'!$B$229=L$3,SUMIF('TL10'!$C$238:$C$451,$C134,'TL10'!$J$238:$J$451),0),
IF('TL11'!$B$3=L$3,SUMIF('TL11'!$C$10:$C$224,$C134,'TL11'!$J$10:$J$224),0),
IF('TL11'!$B$229=L$3,SUMIF('TL11'!$C$238:$C$451,$C134,'TL11'!$J$238:$J$451),0),
IF('TL12'!$B$3=L$3,SUMIF('TL12'!$C$10:$C$224,$C134,'TL12'!$J$10:$J$224),0),
IF('TL12'!$B$229=L$3,SUMIF('TL12'!$C$238:$C$451,$C134,'TL12'!$J$238:$J$451),0),
IF('TL13'!$B$3=L$3,SUMIF('TL13'!$C$10:$C$224,$C134,'TL13'!$J$10:$J$224),0),
IF('TL13'!$B$229=L$3,SUMIF('TL13'!$C$238:$C$451,$C134,'TL13'!$J$238:$J$451),0),
IF('TL14'!$B$3=L$3,SUMIF('TL14'!$C$10:$C$224,$C134,'TL14'!$J$10:$J$224),0),
IF('TL14'!$B$229=L$3,SUMIF('TL14'!$C$238:$C$451,$C134,'TL14'!$J$238:$J$451),0),
IF('TL15'!$B$3=L$3,SUMIF('TL15'!$C$10:$C$224,$C134,'TL15'!$J$10:$J$224),0),
IF('TL15'!$B$229=L$3,SUMIF('TL15'!$C$238:$C$451,$C134,'TL15'!$J$238:$J$451),0),
IF('TL16'!$B$3=L$3,SUMIF('TL16'!$C$10:$C$224,$C134,'TL16'!$J$10:$J$224),0),
IF('TL16'!$B$229=L$3,SUMIF('TL16'!$C$238:$C$451,$C134,'TL16'!$J$238:$J$451),0),
IF('TL17'!$B$3=L$3,SUMIF('TL17'!$C$10:$C$224,$C134,'TL17'!$J$10:$J$224),0),
IF('TL17'!$B$229=L$3,SUMIF('TL17'!$C$238:$C$451,$C134,'TL17'!$J$238:$J$451),0),
IF('TL18'!$B$3=L$3,SUMIF('TL18'!$C$10:$C$224,$C134,'TL18'!$J$10:$J$224),0),
IF('TL18'!$B$229=L$3,SUMIF('TL18'!$C$238:$C$451,$C134,'TL18'!$J$238:$J$451),0),
IF('TL19'!$B$3=L$3,SUMIF('TL19'!$C$10:$C$224,$C134,'TL19'!$J$10:$J$224),0),
IF('TL19'!$B$229=L$3,SUMIF('TL19'!$C$238:$C$451,$C134,'TL19'!$J$238:$J$451),0)
),0)</f>
        <v/>
      </c>
      <c r="M134" s="9">
        <f>IFERROR(SUM(
IF('TL01'!$B$3=M$3,SUMIF('TL01'!$C$10:$C$224,$C134,'TL01'!$J$10:$J$224),0),
IF('TL01'!$B$229=M$3,SUMIF('TL01'!$C$238:$C$451,$C134,'TL01'!$J$238:$J$451),0),
IF('TL02'!$B$3=M$3,SUMIF('TL02'!$C$10:$C$224,$C134,'TL02'!$J$10:$J$224),0),
IF('TL02'!$B$229=M$3,SUMIF('TL02'!$C$238:$C$451,$C134,'TL02'!$J$238:$J$451),0),
IF('TL03'!$B$3=M$3,SUMIF('TL03'!$C$10:$C$224,$C134,'TL03'!$J$10:$J$224),0),
IF('TL03'!$B$229=M$3,SUMIF('TL03'!$C$238:$C$451,$C134,'TL03'!$J$238:$J$451),0),
IF('TL04'!$B$3=M$3,SUMIF('TL04'!$C$10:$C$224,$C134,'TL04'!$J$10:$J$224),0),
IF('TL04'!$B$229=M$3,SUMIF('TL04'!$C$238:$C$451,$C134,'TL04'!$J$238:$J$451),0),
IF('TL05'!$B$3=M$3,SUMIF('TL05'!$C$10:$C$224,$C134,'TL05'!$J$10:$J$224),0),
IF('TL05'!$B$229=M$3,SUMIF('TL05'!$C$238:$C$451,$C134,'TL05'!$J$238:$J$451),0),
IF('TL06'!$B$3=M$3,SUMIF('TL06'!$C$10:$C$224,$C134,'TL06'!$J$10:$J$224),0),
IF('TL06'!$B$229=M$3,SUMIF('TL06'!$C$238:$C$451,$C134,'TL06'!$J$238:$J$451),0),
IF('TL07'!$B$3=M$3,SUMIF('TL07'!$C$10:$C$224,$C134,'TL07'!$J$10:$J$224),0),
IF('TL07'!$B$229=M$3,SUMIF('TL07'!$C$238:$C$451,$C134,'TL07'!$J$238:$J$451),0),
IF('TL08'!$B$3=M$3,SUMIF('TL08'!$C$10:$C$224,$C134,'TL08'!$J$10:$J$224),0),
IF('TL08'!$B$229=M$3,SUMIF('TL08'!$C$238:$C$451,$C134,'TL08'!$J$238:$J$451),0),
IF('TL09'!$B$3=M$3,SUMIF('TL09'!$C$10:$C$224,$C134,'TL09'!$J$10:$J$224),0),
IF('TL09'!$B$229=M$3,SUMIF('TL09'!$C$238:$C$451,$C134,'TL09'!$J$238:$J$451),0),
IF('TL10'!$B$3=M$3,SUMIF('TL10'!$C$10:$C$224,$C134,'TL10'!$J$10:$J$224),0),
IF('TL10'!$B$229=M$3,SUMIF('TL10'!$C$238:$C$451,$C134,'TL10'!$J$238:$J$451),0),
IF('TL11'!$B$3=M$3,SUMIF('TL11'!$C$10:$C$224,$C134,'TL11'!$J$10:$J$224),0),
IF('TL11'!$B$229=M$3,SUMIF('TL11'!$C$238:$C$451,$C134,'TL11'!$J$238:$J$451),0),
IF('TL12'!$B$3=M$3,SUMIF('TL12'!$C$10:$C$224,$C134,'TL12'!$J$10:$J$224),0),
IF('TL12'!$B$229=M$3,SUMIF('TL12'!$C$238:$C$451,$C134,'TL12'!$J$238:$J$451),0),
IF('TL13'!$B$3=M$3,SUMIF('TL13'!$C$10:$C$224,$C134,'TL13'!$J$10:$J$224),0),
IF('TL13'!$B$229=M$3,SUMIF('TL13'!$C$238:$C$451,$C134,'TL13'!$J$238:$J$451),0),
IF('TL14'!$B$3=M$3,SUMIF('TL14'!$C$10:$C$224,$C134,'TL14'!$J$10:$J$224),0),
IF('TL14'!$B$229=M$3,SUMIF('TL14'!$C$238:$C$451,$C134,'TL14'!$J$238:$J$451),0),
IF('TL15'!$B$3=M$3,SUMIF('TL15'!$C$10:$C$224,$C134,'TL15'!$J$10:$J$224),0),
IF('TL15'!$B$229=M$3,SUMIF('TL15'!$C$238:$C$451,$C134,'TL15'!$J$238:$J$451),0),
IF('TL16'!$B$3=M$3,SUMIF('TL16'!$C$10:$C$224,$C134,'TL16'!$J$10:$J$224),0),
IF('TL16'!$B$229=M$3,SUMIF('TL16'!$C$238:$C$451,$C134,'TL16'!$J$238:$J$451),0),
IF('TL17'!$B$3=M$3,SUMIF('TL17'!$C$10:$C$224,$C134,'TL17'!$J$10:$J$224),0),
IF('TL17'!$B$229=M$3,SUMIF('TL17'!$C$238:$C$451,$C134,'TL17'!$J$238:$J$451),0),
IF('TL18'!$B$3=M$3,SUMIF('TL18'!$C$10:$C$224,$C134,'TL18'!$J$10:$J$224),0),
IF('TL18'!$B$229=M$3,SUMIF('TL18'!$C$238:$C$451,$C134,'TL18'!$J$238:$J$451),0),
IF('TL19'!$B$3=M$3,SUMIF('TL19'!$C$10:$C$224,$C134,'TL19'!$J$10:$J$224),0),
IF('TL19'!$B$229=M$3,SUMIF('TL19'!$C$238:$C$451,$C134,'TL19'!$J$238:$J$451),0)
),0)</f>
        <v/>
      </c>
      <c r="N134" s="9">
        <f>IFERROR(SUM(
IF('TL01'!$B$3=N$3,SUMIF('TL01'!$C$10:$C$224,$C134,'TL01'!$J$10:$J$224),0),
IF('TL01'!$B$229=N$3,SUMIF('TL01'!$C$238:$C$451,$C134,'TL01'!$J$238:$J$451),0),
IF('TL02'!$B$3=N$3,SUMIF('TL02'!$C$10:$C$224,$C134,'TL02'!$J$10:$J$224),0),
IF('TL02'!$B$229=N$3,SUMIF('TL02'!$C$238:$C$451,$C134,'TL02'!$J$238:$J$451),0),
IF('TL03'!$B$3=N$3,SUMIF('TL03'!$C$10:$C$224,$C134,'TL03'!$J$10:$J$224),0),
IF('TL03'!$B$229=N$3,SUMIF('TL03'!$C$238:$C$451,$C134,'TL03'!$J$238:$J$451),0),
IF('TL04'!$B$3=N$3,SUMIF('TL04'!$C$10:$C$224,$C134,'TL04'!$J$10:$J$224),0),
IF('TL04'!$B$229=N$3,SUMIF('TL04'!$C$238:$C$451,$C134,'TL04'!$J$238:$J$451),0),
IF('TL05'!$B$3=N$3,SUMIF('TL05'!$C$10:$C$224,$C134,'TL05'!$J$10:$J$224),0),
IF('TL05'!$B$229=N$3,SUMIF('TL05'!$C$238:$C$451,$C134,'TL05'!$J$238:$J$451),0),
IF('TL06'!$B$3=N$3,SUMIF('TL06'!$C$10:$C$224,$C134,'TL06'!$J$10:$J$224),0),
IF('TL06'!$B$229=N$3,SUMIF('TL06'!$C$238:$C$451,$C134,'TL06'!$J$238:$J$451),0),
IF('TL07'!$B$3=N$3,SUMIF('TL07'!$C$10:$C$224,$C134,'TL07'!$J$10:$J$224),0),
IF('TL07'!$B$229=N$3,SUMIF('TL07'!$C$238:$C$451,$C134,'TL07'!$J$238:$J$451),0),
IF('TL08'!$B$3=N$3,SUMIF('TL08'!$C$10:$C$224,$C134,'TL08'!$J$10:$J$224),0),
IF('TL08'!$B$229=N$3,SUMIF('TL08'!$C$238:$C$451,$C134,'TL08'!$J$238:$J$451),0),
IF('TL09'!$B$3=N$3,SUMIF('TL09'!$C$10:$C$224,$C134,'TL09'!$J$10:$J$224),0),
IF('TL09'!$B$229=N$3,SUMIF('TL09'!$C$238:$C$451,$C134,'TL09'!$J$238:$J$451),0),
IF('TL10'!$B$3=N$3,SUMIF('TL10'!$C$10:$C$224,$C134,'TL10'!$J$10:$J$224),0),
IF('TL10'!$B$229=N$3,SUMIF('TL10'!$C$238:$C$451,$C134,'TL10'!$J$238:$J$451),0),
IF('TL11'!$B$3=N$3,SUMIF('TL11'!$C$10:$C$224,$C134,'TL11'!$J$10:$J$224),0),
IF('TL11'!$B$229=N$3,SUMIF('TL11'!$C$238:$C$451,$C134,'TL11'!$J$238:$J$451),0),
IF('TL12'!$B$3=N$3,SUMIF('TL12'!$C$10:$C$224,$C134,'TL12'!$J$10:$J$224),0),
IF('TL12'!$B$229=N$3,SUMIF('TL12'!$C$238:$C$451,$C134,'TL12'!$J$238:$J$451),0),
IF('TL13'!$B$3=N$3,SUMIF('TL13'!$C$10:$C$224,$C134,'TL13'!$J$10:$J$224),0),
IF('TL13'!$B$229=N$3,SUMIF('TL13'!$C$238:$C$451,$C134,'TL13'!$J$238:$J$451),0),
IF('TL14'!$B$3=N$3,SUMIF('TL14'!$C$10:$C$224,$C134,'TL14'!$J$10:$J$224),0),
IF('TL14'!$B$229=N$3,SUMIF('TL14'!$C$238:$C$451,$C134,'TL14'!$J$238:$J$451),0),
IF('TL15'!$B$3=N$3,SUMIF('TL15'!$C$10:$C$224,$C134,'TL15'!$J$10:$J$224),0),
IF('TL15'!$B$229=N$3,SUMIF('TL15'!$C$238:$C$451,$C134,'TL15'!$J$238:$J$451),0),
IF('TL16'!$B$3=N$3,SUMIF('TL16'!$C$10:$C$224,$C134,'TL16'!$J$10:$J$224),0),
IF('TL16'!$B$229=N$3,SUMIF('TL16'!$C$238:$C$451,$C134,'TL16'!$J$238:$J$451),0),
IF('TL17'!$B$3=N$3,SUMIF('TL17'!$C$10:$C$224,$C134,'TL17'!$J$10:$J$224),0),
IF('TL17'!$B$229=N$3,SUMIF('TL17'!$C$238:$C$451,$C134,'TL17'!$J$238:$J$451),0),
IF('TL18'!$B$3=N$3,SUMIF('TL18'!$C$10:$C$224,$C134,'TL18'!$J$10:$J$224),0),
IF('TL18'!$B$229=N$3,SUMIF('TL18'!$C$238:$C$451,$C134,'TL18'!$J$238:$J$451),0),
IF('TL19'!$B$3=N$3,SUMIF('TL19'!$C$10:$C$224,$C134,'TL19'!$J$10:$J$224),0),
IF('TL19'!$B$229=N$3,SUMIF('TL19'!$C$238:$C$451,$C134,'TL19'!$J$238:$J$451),0)
),0)</f>
        <v/>
      </c>
      <c r="O134" s="9">
        <f>IFERROR(SUM(
IF('TL01'!$B$3=O$3,SUMIF('TL01'!$C$10:$C$224,$C134,'TL01'!$J$10:$J$224),0),
IF('TL01'!$B$229=O$3,SUMIF('TL01'!$C$238:$C$451,$C134,'TL01'!$J$238:$J$451),0),
IF('TL02'!$B$3=O$3,SUMIF('TL02'!$C$10:$C$224,$C134,'TL02'!$J$10:$J$224),0),
IF('TL02'!$B$229=O$3,SUMIF('TL02'!$C$238:$C$451,$C134,'TL02'!$J$238:$J$451),0),
IF('TL03'!$B$3=O$3,SUMIF('TL03'!$C$10:$C$224,$C134,'TL03'!$J$10:$J$224),0),
IF('TL03'!$B$229=O$3,SUMIF('TL03'!$C$238:$C$451,$C134,'TL03'!$J$238:$J$451),0),
IF('TL04'!$B$3=O$3,SUMIF('TL04'!$C$10:$C$224,$C134,'TL04'!$J$10:$J$224),0),
IF('TL04'!$B$229=O$3,SUMIF('TL04'!$C$238:$C$451,$C134,'TL04'!$J$238:$J$451),0),
IF('TL05'!$B$3=O$3,SUMIF('TL05'!$C$10:$C$224,$C134,'TL05'!$J$10:$J$224),0),
IF('TL05'!$B$229=O$3,SUMIF('TL05'!$C$238:$C$451,$C134,'TL05'!$J$238:$J$451),0),
IF('TL06'!$B$3=O$3,SUMIF('TL06'!$C$10:$C$224,$C134,'TL06'!$J$10:$J$224),0),
IF('TL06'!$B$229=O$3,SUMIF('TL06'!$C$238:$C$451,$C134,'TL06'!$J$238:$J$451),0),
IF('TL07'!$B$3=O$3,SUMIF('TL07'!$C$10:$C$224,$C134,'TL07'!$J$10:$J$224),0),
IF('TL07'!$B$229=O$3,SUMIF('TL07'!$C$238:$C$451,$C134,'TL07'!$J$238:$J$451),0),
IF('TL08'!$B$3=O$3,SUMIF('TL08'!$C$10:$C$224,$C134,'TL08'!$J$10:$J$224),0),
IF('TL08'!$B$229=O$3,SUMIF('TL08'!$C$238:$C$451,$C134,'TL08'!$J$238:$J$451),0),
IF('TL09'!$B$3=O$3,SUMIF('TL09'!$C$10:$C$224,$C134,'TL09'!$J$10:$J$224),0),
IF('TL09'!$B$229=O$3,SUMIF('TL09'!$C$238:$C$451,$C134,'TL09'!$J$238:$J$451),0),
IF('TL10'!$B$3=O$3,SUMIF('TL10'!$C$10:$C$224,$C134,'TL10'!$J$10:$J$224),0),
IF('TL10'!$B$229=O$3,SUMIF('TL10'!$C$238:$C$451,$C134,'TL10'!$J$238:$J$451),0),
IF('TL11'!$B$3=O$3,SUMIF('TL11'!$C$10:$C$224,$C134,'TL11'!$J$10:$J$224),0),
IF('TL11'!$B$229=O$3,SUMIF('TL11'!$C$238:$C$451,$C134,'TL11'!$J$238:$J$451),0),
IF('TL12'!$B$3=O$3,SUMIF('TL12'!$C$10:$C$224,$C134,'TL12'!$J$10:$J$224),0),
IF('TL12'!$B$229=O$3,SUMIF('TL12'!$C$238:$C$451,$C134,'TL12'!$J$238:$J$451),0),
IF('TL13'!$B$3=O$3,SUMIF('TL13'!$C$10:$C$224,$C134,'TL13'!$J$10:$J$224),0),
IF('TL13'!$B$229=O$3,SUMIF('TL13'!$C$238:$C$451,$C134,'TL13'!$J$238:$J$451),0),
IF('TL14'!$B$3=O$3,SUMIF('TL14'!$C$10:$C$224,$C134,'TL14'!$J$10:$J$224),0),
IF('TL14'!$B$229=O$3,SUMIF('TL14'!$C$238:$C$451,$C134,'TL14'!$J$238:$J$451),0),
IF('TL15'!$B$3=O$3,SUMIF('TL15'!$C$10:$C$224,$C134,'TL15'!$J$10:$J$224),0),
IF('TL15'!$B$229=O$3,SUMIF('TL15'!$C$238:$C$451,$C134,'TL15'!$J$238:$J$451),0),
IF('TL16'!$B$3=O$3,SUMIF('TL16'!$C$10:$C$224,$C134,'TL16'!$J$10:$J$224),0),
IF('TL16'!$B$229=O$3,SUMIF('TL16'!$C$238:$C$451,$C134,'TL16'!$J$238:$J$451),0),
IF('TL17'!$B$3=O$3,SUMIF('TL17'!$C$10:$C$224,$C134,'TL17'!$J$10:$J$224),0),
IF('TL17'!$B$229=O$3,SUMIF('TL17'!$C$238:$C$451,$C134,'TL17'!$J$238:$J$451),0),
IF('TL18'!$B$3=O$3,SUMIF('TL18'!$C$10:$C$224,$C134,'TL18'!$J$10:$J$224),0),
IF('TL18'!$B$229=O$3,SUMIF('TL18'!$C$238:$C$451,$C134,'TL18'!$J$238:$J$451),0),
IF('TL19'!$B$3=O$3,SUMIF('TL19'!$C$10:$C$224,$C134,'TL19'!$J$10:$J$224),0),
IF('TL19'!$B$229=O$3,SUMIF('TL19'!$C$238:$C$451,$C134,'TL19'!$J$238:$J$451),0)
),0)</f>
        <v/>
      </c>
      <c r="P134" s="9">
        <f>IFERROR(SUM(
IF('TL01'!$B$3=P$3,SUMIF('TL01'!$C$10:$C$224,$C134,'TL01'!$J$10:$J$224),0),
IF('TL01'!$B$229=P$3,SUMIF('TL01'!$C$238:$C$451,$C134,'TL01'!$J$238:$J$451),0),
IF('TL02'!$B$3=P$3,SUMIF('TL02'!$C$10:$C$224,$C134,'TL02'!$J$10:$J$224),0),
IF('TL02'!$B$229=P$3,SUMIF('TL02'!$C$238:$C$451,$C134,'TL02'!$J$238:$J$451),0),
IF('TL03'!$B$3=P$3,SUMIF('TL03'!$C$10:$C$224,$C134,'TL03'!$J$10:$J$224),0),
IF('TL03'!$B$229=P$3,SUMIF('TL03'!$C$238:$C$451,$C134,'TL03'!$J$238:$J$451),0),
IF('TL04'!$B$3=P$3,SUMIF('TL04'!$C$10:$C$224,$C134,'TL04'!$J$10:$J$224),0),
IF('TL04'!$B$229=P$3,SUMIF('TL04'!$C$238:$C$451,$C134,'TL04'!$J$238:$J$451),0),
IF('TL05'!$B$3=P$3,SUMIF('TL05'!$C$10:$C$224,$C134,'TL05'!$J$10:$J$224),0),
IF('TL05'!$B$229=P$3,SUMIF('TL05'!$C$238:$C$451,$C134,'TL05'!$J$238:$J$451),0),
IF('TL06'!$B$3=P$3,SUMIF('TL06'!$C$10:$C$224,$C134,'TL06'!$J$10:$J$224),0),
IF('TL06'!$B$229=P$3,SUMIF('TL06'!$C$238:$C$451,$C134,'TL06'!$J$238:$J$451),0),
IF('TL07'!$B$3=P$3,SUMIF('TL07'!$C$10:$C$224,$C134,'TL07'!$J$10:$J$224),0),
IF('TL07'!$B$229=P$3,SUMIF('TL07'!$C$238:$C$451,$C134,'TL07'!$J$238:$J$451),0),
IF('TL08'!$B$3=P$3,SUMIF('TL08'!$C$10:$C$224,$C134,'TL08'!$J$10:$J$224),0),
IF('TL08'!$B$229=P$3,SUMIF('TL08'!$C$238:$C$451,$C134,'TL08'!$J$238:$J$451),0),
IF('TL09'!$B$3=P$3,SUMIF('TL09'!$C$10:$C$224,$C134,'TL09'!$J$10:$J$224),0),
IF('TL09'!$B$229=P$3,SUMIF('TL09'!$C$238:$C$451,$C134,'TL09'!$J$238:$J$451),0),
IF('TL10'!$B$3=P$3,SUMIF('TL10'!$C$10:$C$224,$C134,'TL10'!$J$10:$J$224),0),
IF('TL10'!$B$229=P$3,SUMIF('TL10'!$C$238:$C$451,$C134,'TL10'!$J$238:$J$451),0),
IF('TL11'!$B$3=P$3,SUMIF('TL11'!$C$10:$C$224,$C134,'TL11'!$J$10:$J$224),0),
IF('TL11'!$B$229=P$3,SUMIF('TL11'!$C$238:$C$451,$C134,'TL11'!$J$238:$J$451),0),
IF('TL12'!$B$3=P$3,SUMIF('TL12'!$C$10:$C$224,$C134,'TL12'!$J$10:$J$224),0),
IF('TL12'!$B$229=P$3,SUMIF('TL12'!$C$238:$C$451,$C134,'TL12'!$J$238:$J$451),0),
IF('TL13'!$B$3=P$3,SUMIF('TL13'!$C$10:$C$224,$C134,'TL13'!$J$10:$J$224),0),
IF('TL13'!$B$229=P$3,SUMIF('TL13'!$C$238:$C$451,$C134,'TL13'!$J$238:$J$451),0),
IF('TL14'!$B$3=P$3,SUMIF('TL14'!$C$10:$C$224,$C134,'TL14'!$J$10:$J$224),0),
IF('TL14'!$B$229=P$3,SUMIF('TL14'!$C$238:$C$451,$C134,'TL14'!$J$238:$J$451),0),
IF('TL15'!$B$3=P$3,SUMIF('TL15'!$C$10:$C$224,$C134,'TL15'!$J$10:$J$224),0),
IF('TL15'!$B$229=P$3,SUMIF('TL15'!$C$238:$C$451,$C134,'TL15'!$J$238:$J$451),0),
IF('TL16'!$B$3=P$3,SUMIF('TL16'!$C$10:$C$224,$C134,'TL16'!$J$10:$J$224),0),
IF('TL16'!$B$229=P$3,SUMIF('TL16'!$C$238:$C$451,$C134,'TL16'!$J$238:$J$451),0),
IF('TL17'!$B$3=P$3,SUMIF('TL17'!$C$10:$C$224,$C134,'TL17'!$J$10:$J$224),0),
IF('TL17'!$B$229=P$3,SUMIF('TL17'!$C$238:$C$451,$C134,'TL17'!$J$238:$J$451),0),
IF('TL18'!$B$3=P$3,SUMIF('TL18'!$C$10:$C$224,$C134,'TL18'!$J$10:$J$224),0),
IF('TL18'!$B$229=P$3,SUMIF('TL18'!$C$238:$C$451,$C134,'TL18'!$J$238:$J$451),0),
IF('TL19'!$B$3=P$3,SUMIF('TL19'!$C$10:$C$224,$C134,'TL19'!$J$10:$J$224),0),
IF('TL19'!$B$229=P$3,SUMIF('TL19'!$C$238:$C$451,$C134,'TL19'!$J$238:$J$451),0)
),0)</f>
        <v/>
      </c>
      <c r="Q134" s="9">
        <f>IFERROR(SUM(
IF('TL01'!$B$3=Q$3,SUMIF('TL01'!$C$10:$C$224,$C134,'TL01'!$J$10:$J$224),0),
IF('TL01'!$B$229=Q$3,SUMIF('TL01'!$C$238:$C$451,$C134,'TL01'!$J$238:$J$451),0),
IF('TL02'!$B$3=Q$3,SUMIF('TL02'!$C$10:$C$224,$C134,'TL02'!$J$10:$J$224),0),
IF('TL02'!$B$229=Q$3,SUMIF('TL02'!$C$238:$C$451,$C134,'TL02'!$J$238:$J$451),0),
IF('TL03'!$B$3=Q$3,SUMIF('TL03'!$C$10:$C$224,$C134,'TL03'!$J$10:$J$224),0),
IF('TL03'!$B$229=Q$3,SUMIF('TL03'!$C$238:$C$451,$C134,'TL03'!$J$238:$J$451),0),
IF('TL04'!$B$3=Q$3,SUMIF('TL04'!$C$10:$C$224,$C134,'TL04'!$J$10:$J$224),0),
IF('TL04'!$B$229=Q$3,SUMIF('TL04'!$C$238:$C$451,$C134,'TL04'!$J$238:$J$451),0),
IF('TL05'!$B$3=Q$3,SUMIF('TL05'!$C$10:$C$224,$C134,'TL05'!$J$10:$J$224),0),
IF('TL05'!$B$229=Q$3,SUMIF('TL05'!$C$238:$C$451,$C134,'TL05'!$J$238:$J$451),0),
IF('TL06'!$B$3=Q$3,SUMIF('TL06'!$C$10:$C$224,$C134,'TL06'!$J$10:$J$224),0),
IF('TL06'!$B$229=Q$3,SUMIF('TL06'!$C$238:$C$451,$C134,'TL06'!$J$238:$J$451),0),
IF('TL07'!$B$3=Q$3,SUMIF('TL07'!$C$10:$C$224,$C134,'TL07'!$J$10:$J$224),0),
IF('TL07'!$B$229=Q$3,SUMIF('TL07'!$C$238:$C$451,$C134,'TL07'!$J$238:$J$451),0),
IF('TL08'!$B$3=Q$3,SUMIF('TL08'!$C$10:$C$224,$C134,'TL08'!$J$10:$J$224),0),
IF('TL08'!$B$229=Q$3,SUMIF('TL08'!$C$238:$C$451,$C134,'TL08'!$J$238:$J$451),0),
IF('TL09'!$B$3=Q$3,SUMIF('TL09'!$C$10:$C$224,$C134,'TL09'!$J$10:$J$224),0),
IF('TL09'!$B$229=Q$3,SUMIF('TL09'!$C$238:$C$451,$C134,'TL09'!$J$238:$J$451),0),
IF('TL10'!$B$3=Q$3,SUMIF('TL10'!$C$10:$C$224,$C134,'TL10'!$J$10:$J$224),0),
IF('TL10'!$B$229=Q$3,SUMIF('TL10'!$C$238:$C$451,$C134,'TL10'!$J$238:$J$451),0),
IF('TL11'!$B$3=Q$3,SUMIF('TL11'!$C$10:$C$224,$C134,'TL11'!$J$10:$J$224),0),
IF('TL11'!$B$229=Q$3,SUMIF('TL11'!$C$238:$C$451,$C134,'TL11'!$J$238:$J$451),0),
IF('TL12'!$B$3=Q$3,SUMIF('TL12'!$C$10:$C$224,$C134,'TL12'!$J$10:$J$224),0),
IF('TL12'!$B$229=Q$3,SUMIF('TL12'!$C$238:$C$451,$C134,'TL12'!$J$238:$J$451),0),
IF('TL13'!$B$3=Q$3,SUMIF('TL13'!$C$10:$C$224,$C134,'TL13'!$J$10:$J$224),0),
IF('TL13'!$B$229=Q$3,SUMIF('TL13'!$C$238:$C$451,$C134,'TL13'!$J$238:$J$451),0),
IF('TL14'!$B$3=Q$3,SUMIF('TL14'!$C$10:$C$224,$C134,'TL14'!$J$10:$J$224),0),
IF('TL14'!$B$229=Q$3,SUMIF('TL14'!$C$238:$C$451,$C134,'TL14'!$J$238:$J$451),0),
IF('TL15'!$B$3=Q$3,SUMIF('TL15'!$C$10:$C$224,$C134,'TL15'!$J$10:$J$224),0),
IF('TL15'!$B$229=Q$3,SUMIF('TL15'!$C$238:$C$451,$C134,'TL15'!$J$238:$J$451),0),
IF('TL16'!$B$3=Q$3,SUMIF('TL16'!$C$10:$C$224,$C134,'TL16'!$J$10:$J$224),0),
IF('TL16'!$B$229=Q$3,SUMIF('TL16'!$C$238:$C$451,$C134,'TL16'!$J$238:$J$451),0),
IF('TL17'!$B$3=Q$3,SUMIF('TL17'!$C$10:$C$224,$C134,'TL17'!$J$10:$J$224),0),
IF('TL17'!$B$229=Q$3,SUMIF('TL17'!$C$238:$C$451,$C134,'TL17'!$J$238:$J$451),0),
IF('TL18'!$B$3=Q$3,SUMIF('TL18'!$C$10:$C$224,$C134,'TL18'!$J$10:$J$224),0),
IF('TL18'!$B$229=Q$3,SUMIF('TL18'!$C$238:$C$451,$C134,'TL18'!$J$238:$J$451),0),
IF('TL19'!$B$3=Q$3,SUMIF('TL19'!$C$10:$C$224,$C134,'TL19'!$J$10:$J$224),0),
IF('TL19'!$B$229=Q$3,SUMIF('TL19'!$C$238:$C$451,$C134,'TL19'!$J$238:$J$451),0)
),0)</f>
        <v/>
      </c>
      <c r="R134" s="9">
        <f>IFERROR(
SUM(
SUMIF('TL01'!C:C,C134,'TL01'!J:J),
SUMIF('TL02'!C:C,C134,'TL02'!J:J),
SUMIF('TL03'!C:C,C134,'TL03'!J:J),
SUMIF('TL04'!C:C,C134,'TL04'!J:J),
SUMIF('TL05'!C:C,C134,'TL05'!J:J),
SUMIF('TL06'!C:C,C134,'TL06'!J:J),
SUMIF('TL07'!C:C,C134,'TL07'!J:J),
SUMIF('TL08'!C:C,C134,'TL08'!J:J),
SUMIF('TL09'!C:C,C134,'TL09'!J:J),
SUMIF('TL10'!C:C,C134,'TL10'!J:J),
SUMIF('TL11'!C:C,C134,'TL11'!J:J),
SUMIF('TL12'!C:C,C134,'TL12'!J:J),
SUMIF('TL13'!C:C,C134,'TL13'!J:J),
SUMIF('TL14'!C:C,C134,'TL14'!J:J),
SUMIF('TL15'!C:C,C134,'TL15'!J:J),
SUMIF('TL16'!C:C,C134,'TL16'!J:J),
SUMIF('TL17'!C:C,C134,'TL17'!J:J),
SUMIF('TL18'!C:C,C134,'TL18'!J:J),SUMIF('TL19'!C:C,C134,'TL19'!J:J))
,0)</f>
        <v/>
      </c>
      <c r="S134" s="17">
        <f>IFERROR(__xludf.DUMMYFUNCTION("IFERROR(VLOOKUP(C134,
IMPORTRANGE(""1wULbzX32WdYsx-lj2U3uUNBBe2INVIRDtcK0d-Dvl90"",
""26-27!C:G""),
5,
FALSE),
"""")"),1251.19574)</f>
        <v/>
      </c>
      <c r="T134" s="9" t="n"/>
      <c r="U134" s="92">
        <f>MAX(0,R134-T134)</f>
        <v/>
      </c>
      <c r="V134" s="93">
        <f>U134*S134</f>
        <v/>
      </c>
    </row>
    <row r="135" hidden="1" ht="15.75" customHeight="1" s="297">
      <c r="A135" s="111" t="inlineStr">
        <is>
          <t>CORTEVA</t>
        </is>
      </c>
      <c r="B135" s="112" t="inlineStr">
        <is>
          <t>HERBICIDA</t>
        </is>
      </c>
      <c r="C135" s="113" t="inlineStr">
        <is>
          <t>VERDICT ULTRA</t>
        </is>
      </c>
      <c r="D135" s="113" t="inlineStr">
        <is>
          <t>HALOXIFOPE-P-METÍLICO</t>
        </is>
      </c>
      <c r="E135" s="113" t="n">
        <v>934.58</v>
      </c>
      <c r="F135" s="4" t="inlineStr">
        <is>
          <t>L</t>
        </is>
      </c>
      <c r="G135" s="90">
        <f>HYPERLINK("https://www.google.com/search?q=" &amp; C135 &amp; "+bula+agrofit+pdf", "📄 Ver bula")</f>
        <v/>
      </c>
      <c r="H135" s="9">
        <f>IFERROR(__xludf.DUMMYFUNCTION("IFERROR(VLOOKUP(C135,
IMPORTRANGE(""1wULbzX32WdYsx-lj2U3uUNBBe2INVIRDtcK0d-Dvl90"",
""26-27!C:K""),
8,
FALSE),
"""")"),"")</f>
        <v/>
      </c>
      <c r="I135" s="114" t="inlineStr">
        <is>
          <t>4X5</t>
        </is>
      </c>
      <c r="J135" s="9">
        <f>IFERROR(SUM(
IF('TL01'!$B$3=J$3,SUMIF('TL01'!$C$10:$C$224,$C135,'TL01'!$J$10:$J$224),0),
IF('TL01'!$B$229=J$3,SUMIF('TL01'!$C$238:$C$451,$C135,'TL01'!$J$238:$J$451),0),
IF('TL02'!$B$3=J$3,SUMIF('TL02'!$C$10:$C$224,$C135,'TL02'!$J$10:$J$224),0),
IF('TL02'!$B$229=J$3,SUMIF('TL02'!$C$238:$C$451,$C135,'TL02'!$J$238:$J$451),0),
IF('TL03'!$B$3=J$3,SUMIF('TL03'!$C$10:$C$224,$C135,'TL03'!$J$10:$J$224),0),
IF('TL03'!$B$229=J$3,SUMIF('TL03'!$C$238:$C$451,$C135,'TL03'!$J$238:$J$451),0),
IF('TL04'!$B$3=J$3,SUMIF('TL04'!$C$10:$C$224,$C135,'TL04'!$J$10:$J$224),0),
IF('TL04'!$B$229=J$3,SUMIF('TL04'!$C$238:$C$451,$C135,'TL04'!$J$238:$J$451),0),
IF('TL05'!$B$3=J$3,SUMIF('TL05'!$C$10:$C$224,$C135,'TL05'!$J$10:$J$224),0),
IF('TL05'!$B$229=J$3,SUMIF('TL05'!$C$238:$C$451,$C135,'TL05'!$J$238:$J$451),0),
IF('TL06'!$B$3=J$3,SUMIF('TL06'!$C$10:$C$224,$C135,'TL06'!$J$10:$J$224),0),
IF('TL06'!$B$229=J$3,SUMIF('TL06'!$C$238:$C$451,$C135,'TL06'!$J$238:$J$451),0),
IF('TL07'!$B$3=J$3,SUMIF('TL07'!$C$10:$C$224,$C135,'TL07'!$J$10:$J$224),0),
IF('TL07'!$B$229=J$3,SUMIF('TL07'!$C$238:$C$451,$C135,'TL07'!$J$238:$J$451),0),
IF('TL08'!$B$3=J$3,SUMIF('TL08'!$C$10:$C$224,$C135,'TL08'!$J$10:$J$224),0),
IF('TL08'!$B$229=J$3,SUMIF('TL08'!$C$238:$C$451,$C135,'TL08'!$J$238:$J$451),0),
IF('TL09'!$B$3=J$3,SUMIF('TL09'!$C$10:$C$224,$C135,'TL09'!$J$10:$J$224),0),
IF('TL09'!$B$229=J$3,SUMIF('TL09'!$C$238:$C$451,$C135,'TL09'!$J$238:$J$451),0),
IF('TL10'!$B$3=J$3,SUMIF('TL10'!$C$10:$C$224,$C135,'TL10'!$J$10:$J$224),0),
IF('TL10'!$B$229=J$3,SUMIF('TL10'!$C$238:$C$451,$C135,'TL10'!$J$238:$J$451),0),
IF('TL11'!$B$3=J$3,SUMIF('TL11'!$C$10:$C$224,$C135,'TL11'!$J$10:$J$224),0),
IF('TL11'!$B$229=J$3,SUMIF('TL11'!$C$238:$C$451,$C135,'TL11'!$J$238:$J$451),0),
IF('TL12'!$B$3=J$3,SUMIF('TL12'!$C$10:$C$224,$C135,'TL12'!$J$10:$J$224),0),
IF('TL12'!$B$229=J$3,SUMIF('TL12'!$C$238:$C$451,$C135,'TL12'!$J$238:$J$451),0),
IF('TL13'!$B$3=J$3,SUMIF('TL13'!$C$10:$C$224,$C135,'TL13'!$J$10:$J$224),0),
IF('TL13'!$B$229=J$3,SUMIF('TL13'!$C$238:$C$451,$C135,'TL13'!$J$238:$J$451),0),
IF('TL14'!$B$3=J$3,SUMIF('TL14'!$C$10:$C$224,$C135,'TL14'!$J$10:$J$224),0),
IF('TL14'!$B$229=J$3,SUMIF('TL14'!$C$238:$C$451,$C135,'TL14'!$J$238:$J$451),0),
IF('TL15'!$B$3=J$3,SUMIF('TL15'!$C$10:$C$224,$C135,'TL15'!$J$10:$J$224),0),
IF('TL15'!$B$229=J$3,SUMIF('TL15'!$C$238:$C$451,$C135,'TL15'!$J$238:$J$451),0),
IF('TL16'!$B$3=J$3,SUMIF('TL16'!$C$10:$C$224,$C135,'TL16'!$J$10:$J$224),0),
IF('TL16'!$B$229=J$3,SUMIF('TL16'!$C$238:$C$451,$C135,'TL16'!$J$238:$J$451),0),
IF('TL17'!$B$3=J$3,SUMIF('TL17'!$C$10:$C$224,$C135,'TL17'!$J$10:$J$224),0),
IF('TL17'!$B$229=J$3,SUMIF('TL17'!$C$238:$C$451,$C135,'TL17'!$J$238:$J$451),0),
IF('TL18'!$B$3=J$3,SUMIF('TL18'!$C$10:$C$224,$C135,'TL18'!$J$10:$J$224),0),
IF('TL18'!$B$229=J$3,SUMIF('TL18'!$C$238:$C$451,$C135,'TL18'!$J$238:$J$451),0),
IF('TL19'!$B$3=J$3,SUMIF('TL19'!$C$10:$C$224,$C135,'TL19'!$J$10:$J$224),0),
IF('TL19'!$B$229=J$3,SUMIF('TL19'!$C$238:$C$451,$C135,'TL19'!$J$238:$J$451),0)
),0)</f>
        <v/>
      </c>
      <c r="K135" s="9">
        <f>IFERROR(SUM(
IF('TL01'!$B$3=K$3,SUMIF('TL01'!$C$10:$C$224,$C135,'TL01'!$J$10:$J$224),0),
IF('TL01'!$B$229=K$3,SUMIF('TL01'!$C$238:$C$451,$C135,'TL01'!$J$238:$J$451),0),
IF('TL02'!$B$3=K$3,SUMIF('TL02'!$C$10:$C$224,$C135,'TL02'!$J$10:$J$224),0),
IF('TL02'!$B$229=K$3,SUMIF('TL02'!$C$238:$C$451,$C135,'TL02'!$J$238:$J$451),0),
IF('TL03'!$B$3=K$3,SUMIF('TL03'!$C$10:$C$224,$C135,'TL03'!$J$10:$J$224),0),
IF('TL03'!$B$229=K$3,SUMIF('TL03'!$C$238:$C$451,$C135,'TL03'!$J$238:$J$451),0),
IF('TL04'!$B$3=K$3,SUMIF('TL04'!$C$10:$C$224,$C135,'TL04'!$J$10:$J$224),0),
IF('TL04'!$B$229=K$3,SUMIF('TL04'!$C$238:$C$451,$C135,'TL04'!$J$238:$J$451),0),
IF('TL05'!$B$3=K$3,SUMIF('TL05'!$C$10:$C$224,$C135,'TL05'!$J$10:$J$224),0),
IF('TL05'!$B$229=K$3,SUMIF('TL05'!$C$238:$C$451,$C135,'TL05'!$J$238:$J$451),0),
IF('TL06'!$B$3=K$3,SUMIF('TL06'!$C$10:$C$224,$C135,'TL06'!$J$10:$J$224),0),
IF('TL06'!$B$229=K$3,SUMIF('TL06'!$C$238:$C$451,$C135,'TL06'!$J$238:$J$451),0),
IF('TL07'!$B$3=K$3,SUMIF('TL07'!$C$10:$C$224,$C135,'TL07'!$J$10:$J$224),0),
IF('TL07'!$B$229=K$3,SUMIF('TL07'!$C$238:$C$451,$C135,'TL07'!$J$238:$J$451),0),
IF('TL08'!$B$3=K$3,SUMIF('TL08'!$C$10:$C$224,$C135,'TL08'!$J$10:$J$224),0),
IF('TL08'!$B$229=K$3,SUMIF('TL08'!$C$238:$C$451,$C135,'TL08'!$J$238:$J$451),0),
IF('TL09'!$B$3=K$3,SUMIF('TL09'!$C$10:$C$224,$C135,'TL09'!$J$10:$J$224),0),
IF('TL09'!$B$229=K$3,SUMIF('TL09'!$C$238:$C$451,$C135,'TL09'!$J$238:$J$451),0),
IF('TL10'!$B$3=K$3,SUMIF('TL10'!$C$10:$C$224,$C135,'TL10'!$J$10:$J$224),0),
IF('TL10'!$B$229=K$3,SUMIF('TL10'!$C$238:$C$451,$C135,'TL10'!$J$238:$J$451),0),
IF('TL11'!$B$3=K$3,SUMIF('TL11'!$C$10:$C$224,$C135,'TL11'!$J$10:$J$224),0),
IF('TL11'!$B$229=K$3,SUMIF('TL11'!$C$238:$C$451,$C135,'TL11'!$J$238:$J$451),0),
IF('TL12'!$B$3=K$3,SUMIF('TL12'!$C$10:$C$224,$C135,'TL12'!$J$10:$J$224),0),
IF('TL12'!$B$229=K$3,SUMIF('TL12'!$C$238:$C$451,$C135,'TL12'!$J$238:$J$451),0),
IF('TL13'!$B$3=K$3,SUMIF('TL13'!$C$10:$C$224,$C135,'TL13'!$J$10:$J$224),0),
IF('TL13'!$B$229=K$3,SUMIF('TL13'!$C$238:$C$451,$C135,'TL13'!$J$238:$J$451),0),
IF('TL14'!$B$3=K$3,SUMIF('TL14'!$C$10:$C$224,$C135,'TL14'!$J$10:$J$224),0),
IF('TL14'!$B$229=K$3,SUMIF('TL14'!$C$238:$C$451,$C135,'TL14'!$J$238:$J$451),0),
IF('TL15'!$B$3=K$3,SUMIF('TL15'!$C$10:$C$224,$C135,'TL15'!$J$10:$J$224),0),
IF('TL15'!$B$229=K$3,SUMIF('TL15'!$C$238:$C$451,$C135,'TL15'!$J$238:$J$451),0),
IF('TL16'!$B$3=K$3,SUMIF('TL16'!$C$10:$C$224,$C135,'TL16'!$J$10:$J$224),0),
IF('TL16'!$B$229=K$3,SUMIF('TL16'!$C$238:$C$451,$C135,'TL16'!$J$238:$J$451),0),
IF('TL17'!$B$3=K$3,SUMIF('TL17'!$C$10:$C$224,$C135,'TL17'!$J$10:$J$224),0),
IF('TL17'!$B$229=K$3,SUMIF('TL17'!$C$238:$C$451,$C135,'TL17'!$J$238:$J$451),0),
IF('TL18'!$B$3=K$3,SUMIF('TL18'!$C$10:$C$224,$C135,'TL18'!$J$10:$J$224),0),
IF('TL18'!$B$229=K$3,SUMIF('TL18'!$C$238:$C$451,$C135,'TL18'!$J$238:$J$451),0),
IF('TL19'!$B$3=K$3,SUMIF('TL19'!$C$10:$C$224,$C135,'TL19'!$J$10:$J$224),0),
IF('TL19'!$B$229=K$3,SUMIF('TL19'!$C$238:$C$451,$C135,'TL19'!$J$238:$J$451),0)
),0)</f>
        <v/>
      </c>
      <c r="L135" s="9">
        <f>IFERROR(SUM(
IF('TL01'!$B$3=L$3,SUMIF('TL01'!$C$10:$C$224,$C135,'TL01'!$J$10:$J$224),0),
IF('TL01'!$B$229=L$3,SUMIF('TL01'!$C$238:$C$451,$C135,'TL01'!$J$238:$J$451),0),
IF('TL02'!$B$3=L$3,SUMIF('TL02'!$C$10:$C$224,$C135,'TL02'!$J$10:$J$224),0),
IF('TL02'!$B$229=L$3,SUMIF('TL02'!$C$238:$C$451,$C135,'TL02'!$J$238:$J$451),0),
IF('TL03'!$B$3=L$3,SUMIF('TL03'!$C$10:$C$224,$C135,'TL03'!$J$10:$J$224),0),
IF('TL03'!$B$229=L$3,SUMIF('TL03'!$C$238:$C$451,$C135,'TL03'!$J$238:$J$451),0),
IF('TL04'!$B$3=L$3,SUMIF('TL04'!$C$10:$C$224,$C135,'TL04'!$J$10:$J$224),0),
IF('TL04'!$B$229=L$3,SUMIF('TL04'!$C$238:$C$451,$C135,'TL04'!$J$238:$J$451),0),
IF('TL05'!$B$3=L$3,SUMIF('TL05'!$C$10:$C$224,$C135,'TL05'!$J$10:$J$224),0),
IF('TL05'!$B$229=L$3,SUMIF('TL05'!$C$238:$C$451,$C135,'TL05'!$J$238:$J$451),0),
IF('TL06'!$B$3=L$3,SUMIF('TL06'!$C$10:$C$224,$C135,'TL06'!$J$10:$J$224),0),
IF('TL06'!$B$229=L$3,SUMIF('TL06'!$C$238:$C$451,$C135,'TL06'!$J$238:$J$451),0),
IF('TL07'!$B$3=L$3,SUMIF('TL07'!$C$10:$C$224,$C135,'TL07'!$J$10:$J$224),0),
IF('TL07'!$B$229=L$3,SUMIF('TL07'!$C$238:$C$451,$C135,'TL07'!$J$238:$J$451),0),
IF('TL08'!$B$3=L$3,SUMIF('TL08'!$C$10:$C$224,$C135,'TL08'!$J$10:$J$224),0),
IF('TL08'!$B$229=L$3,SUMIF('TL08'!$C$238:$C$451,$C135,'TL08'!$J$238:$J$451),0),
IF('TL09'!$B$3=L$3,SUMIF('TL09'!$C$10:$C$224,$C135,'TL09'!$J$10:$J$224),0),
IF('TL09'!$B$229=L$3,SUMIF('TL09'!$C$238:$C$451,$C135,'TL09'!$J$238:$J$451),0),
IF('TL10'!$B$3=L$3,SUMIF('TL10'!$C$10:$C$224,$C135,'TL10'!$J$10:$J$224),0),
IF('TL10'!$B$229=L$3,SUMIF('TL10'!$C$238:$C$451,$C135,'TL10'!$J$238:$J$451),0),
IF('TL11'!$B$3=L$3,SUMIF('TL11'!$C$10:$C$224,$C135,'TL11'!$J$10:$J$224),0),
IF('TL11'!$B$229=L$3,SUMIF('TL11'!$C$238:$C$451,$C135,'TL11'!$J$238:$J$451),0),
IF('TL12'!$B$3=L$3,SUMIF('TL12'!$C$10:$C$224,$C135,'TL12'!$J$10:$J$224),0),
IF('TL12'!$B$229=L$3,SUMIF('TL12'!$C$238:$C$451,$C135,'TL12'!$J$238:$J$451),0),
IF('TL13'!$B$3=L$3,SUMIF('TL13'!$C$10:$C$224,$C135,'TL13'!$J$10:$J$224),0),
IF('TL13'!$B$229=L$3,SUMIF('TL13'!$C$238:$C$451,$C135,'TL13'!$J$238:$J$451),0),
IF('TL14'!$B$3=L$3,SUMIF('TL14'!$C$10:$C$224,$C135,'TL14'!$J$10:$J$224),0),
IF('TL14'!$B$229=L$3,SUMIF('TL14'!$C$238:$C$451,$C135,'TL14'!$J$238:$J$451),0),
IF('TL15'!$B$3=L$3,SUMIF('TL15'!$C$10:$C$224,$C135,'TL15'!$J$10:$J$224),0),
IF('TL15'!$B$229=L$3,SUMIF('TL15'!$C$238:$C$451,$C135,'TL15'!$J$238:$J$451),0),
IF('TL16'!$B$3=L$3,SUMIF('TL16'!$C$10:$C$224,$C135,'TL16'!$J$10:$J$224),0),
IF('TL16'!$B$229=L$3,SUMIF('TL16'!$C$238:$C$451,$C135,'TL16'!$J$238:$J$451),0),
IF('TL17'!$B$3=L$3,SUMIF('TL17'!$C$10:$C$224,$C135,'TL17'!$J$10:$J$224),0),
IF('TL17'!$B$229=L$3,SUMIF('TL17'!$C$238:$C$451,$C135,'TL17'!$J$238:$J$451),0),
IF('TL18'!$B$3=L$3,SUMIF('TL18'!$C$10:$C$224,$C135,'TL18'!$J$10:$J$224),0),
IF('TL18'!$B$229=L$3,SUMIF('TL18'!$C$238:$C$451,$C135,'TL18'!$J$238:$J$451),0),
IF('TL19'!$B$3=L$3,SUMIF('TL19'!$C$10:$C$224,$C135,'TL19'!$J$10:$J$224),0),
IF('TL19'!$B$229=L$3,SUMIF('TL19'!$C$238:$C$451,$C135,'TL19'!$J$238:$J$451),0)
),0)</f>
        <v/>
      </c>
      <c r="M135" s="9">
        <f>IFERROR(SUM(
IF('TL01'!$B$3=M$3,SUMIF('TL01'!$C$10:$C$224,$C135,'TL01'!$J$10:$J$224),0),
IF('TL01'!$B$229=M$3,SUMIF('TL01'!$C$238:$C$451,$C135,'TL01'!$J$238:$J$451),0),
IF('TL02'!$B$3=M$3,SUMIF('TL02'!$C$10:$C$224,$C135,'TL02'!$J$10:$J$224),0),
IF('TL02'!$B$229=M$3,SUMIF('TL02'!$C$238:$C$451,$C135,'TL02'!$J$238:$J$451),0),
IF('TL03'!$B$3=M$3,SUMIF('TL03'!$C$10:$C$224,$C135,'TL03'!$J$10:$J$224),0),
IF('TL03'!$B$229=M$3,SUMIF('TL03'!$C$238:$C$451,$C135,'TL03'!$J$238:$J$451),0),
IF('TL04'!$B$3=M$3,SUMIF('TL04'!$C$10:$C$224,$C135,'TL04'!$J$10:$J$224),0),
IF('TL04'!$B$229=M$3,SUMIF('TL04'!$C$238:$C$451,$C135,'TL04'!$J$238:$J$451),0),
IF('TL05'!$B$3=M$3,SUMIF('TL05'!$C$10:$C$224,$C135,'TL05'!$J$10:$J$224),0),
IF('TL05'!$B$229=M$3,SUMIF('TL05'!$C$238:$C$451,$C135,'TL05'!$J$238:$J$451),0),
IF('TL06'!$B$3=M$3,SUMIF('TL06'!$C$10:$C$224,$C135,'TL06'!$J$10:$J$224),0),
IF('TL06'!$B$229=M$3,SUMIF('TL06'!$C$238:$C$451,$C135,'TL06'!$J$238:$J$451),0),
IF('TL07'!$B$3=M$3,SUMIF('TL07'!$C$10:$C$224,$C135,'TL07'!$J$10:$J$224),0),
IF('TL07'!$B$229=M$3,SUMIF('TL07'!$C$238:$C$451,$C135,'TL07'!$J$238:$J$451),0),
IF('TL08'!$B$3=M$3,SUMIF('TL08'!$C$10:$C$224,$C135,'TL08'!$J$10:$J$224),0),
IF('TL08'!$B$229=M$3,SUMIF('TL08'!$C$238:$C$451,$C135,'TL08'!$J$238:$J$451),0),
IF('TL09'!$B$3=M$3,SUMIF('TL09'!$C$10:$C$224,$C135,'TL09'!$J$10:$J$224),0),
IF('TL09'!$B$229=M$3,SUMIF('TL09'!$C$238:$C$451,$C135,'TL09'!$J$238:$J$451),0),
IF('TL10'!$B$3=M$3,SUMIF('TL10'!$C$10:$C$224,$C135,'TL10'!$J$10:$J$224),0),
IF('TL10'!$B$229=M$3,SUMIF('TL10'!$C$238:$C$451,$C135,'TL10'!$J$238:$J$451),0),
IF('TL11'!$B$3=M$3,SUMIF('TL11'!$C$10:$C$224,$C135,'TL11'!$J$10:$J$224),0),
IF('TL11'!$B$229=M$3,SUMIF('TL11'!$C$238:$C$451,$C135,'TL11'!$J$238:$J$451),0),
IF('TL12'!$B$3=M$3,SUMIF('TL12'!$C$10:$C$224,$C135,'TL12'!$J$10:$J$224),0),
IF('TL12'!$B$229=M$3,SUMIF('TL12'!$C$238:$C$451,$C135,'TL12'!$J$238:$J$451),0),
IF('TL13'!$B$3=M$3,SUMIF('TL13'!$C$10:$C$224,$C135,'TL13'!$J$10:$J$224),0),
IF('TL13'!$B$229=M$3,SUMIF('TL13'!$C$238:$C$451,$C135,'TL13'!$J$238:$J$451),0),
IF('TL14'!$B$3=M$3,SUMIF('TL14'!$C$10:$C$224,$C135,'TL14'!$J$10:$J$224),0),
IF('TL14'!$B$229=M$3,SUMIF('TL14'!$C$238:$C$451,$C135,'TL14'!$J$238:$J$451),0),
IF('TL15'!$B$3=M$3,SUMIF('TL15'!$C$10:$C$224,$C135,'TL15'!$J$10:$J$224),0),
IF('TL15'!$B$229=M$3,SUMIF('TL15'!$C$238:$C$451,$C135,'TL15'!$J$238:$J$451),0),
IF('TL16'!$B$3=M$3,SUMIF('TL16'!$C$10:$C$224,$C135,'TL16'!$J$10:$J$224),0),
IF('TL16'!$B$229=M$3,SUMIF('TL16'!$C$238:$C$451,$C135,'TL16'!$J$238:$J$451),0),
IF('TL17'!$B$3=M$3,SUMIF('TL17'!$C$10:$C$224,$C135,'TL17'!$J$10:$J$224),0),
IF('TL17'!$B$229=M$3,SUMIF('TL17'!$C$238:$C$451,$C135,'TL17'!$J$238:$J$451),0),
IF('TL18'!$B$3=M$3,SUMIF('TL18'!$C$10:$C$224,$C135,'TL18'!$J$10:$J$224),0),
IF('TL18'!$B$229=M$3,SUMIF('TL18'!$C$238:$C$451,$C135,'TL18'!$J$238:$J$451),0),
IF('TL19'!$B$3=M$3,SUMIF('TL19'!$C$10:$C$224,$C135,'TL19'!$J$10:$J$224),0),
IF('TL19'!$B$229=M$3,SUMIF('TL19'!$C$238:$C$451,$C135,'TL19'!$J$238:$J$451),0)
),0)</f>
        <v/>
      </c>
      <c r="N135" s="9">
        <f>IFERROR(SUM(
IF('TL01'!$B$3=N$3,SUMIF('TL01'!$C$10:$C$224,$C135,'TL01'!$J$10:$J$224),0),
IF('TL01'!$B$229=N$3,SUMIF('TL01'!$C$238:$C$451,$C135,'TL01'!$J$238:$J$451),0),
IF('TL02'!$B$3=N$3,SUMIF('TL02'!$C$10:$C$224,$C135,'TL02'!$J$10:$J$224),0),
IF('TL02'!$B$229=N$3,SUMIF('TL02'!$C$238:$C$451,$C135,'TL02'!$J$238:$J$451),0),
IF('TL03'!$B$3=N$3,SUMIF('TL03'!$C$10:$C$224,$C135,'TL03'!$J$10:$J$224),0),
IF('TL03'!$B$229=N$3,SUMIF('TL03'!$C$238:$C$451,$C135,'TL03'!$J$238:$J$451),0),
IF('TL04'!$B$3=N$3,SUMIF('TL04'!$C$10:$C$224,$C135,'TL04'!$J$10:$J$224),0),
IF('TL04'!$B$229=N$3,SUMIF('TL04'!$C$238:$C$451,$C135,'TL04'!$J$238:$J$451),0),
IF('TL05'!$B$3=N$3,SUMIF('TL05'!$C$10:$C$224,$C135,'TL05'!$J$10:$J$224),0),
IF('TL05'!$B$229=N$3,SUMIF('TL05'!$C$238:$C$451,$C135,'TL05'!$J$238:$J$451),0),
IF('TL06'!$B$3=N$3,SUMIF('TL06'!$C$10:$C$224,$C135,'TL06'!$J$10:$J$224),0),
IF('TL06'!$B$229=N$3,SUMIF('TL06'!$C$238:$C$451,$C135,'TL06'!$J$238:$J$451),0),
IF('TL07'!$B$3=N$3,SUMIF('TL07'!$C$10:$C$224,$C135,'TL07'!$J$10:$J$224),0),
IF('TL07'!$B$229=N$3,SUMIF('TL07'!$C$238:$C$451,$C135,'TL07'!$J$238:$J$451),0),
IF('TL08'!$B$3=N$3,SUMIF('TL08'!$C$10:$C$224,$C135,'TL08'!$J$10:$J$224),0),
IF('TL08'!$B$229=N$3,SUMIF('TL08'!$C$238:$C$451,$C135,'TL08'!$J$238:$J$451),0),
IF('TL09'!$B$3=N$3,SUMIF('TL09'!$C$10:$C$224,$C135,'TL09'!$J$10:$J$224),0),
IF('TL09'!$B$229=N$3,SUMIF('TL09'!$C$238:$C$451,$C135,'TL09'!$J$238:$J$451),0),
IF('TL10'!$B$3=N$3,SUMIF('TL10'!$C$10:$C$224,$C135,'TL10'!$J$10:$J$224),0),
IF('TL10'!$B$229=N$3,SUMIF('TL10'!$C$238:$C$451,$C135,'TL10'!$J$238:$J$451),0),
IF('TL11'!$B$3=N$3,SUMIF('TL11'!$C$10:$C$224,$C135,'TL11'!$J$10:$J$224),0),
IF('TL11'!$B$229=N$3,SUMIF('TL11'!$C$238:$C$451,$C135,'TL11'!$J$238:$J$451),0),
IF('TL12'!$B$3=N$3,SUMIF('TL12'!$C$10:$C$224,$C135,'TL12'!$J$10:$J$224),0),
IF('TL12'!$B$229=N$3,SUMIF('TL12'!$C$238:$C$451,$C135,'TL12'!$J$238:$J$451),0),
IF('TL13'!$B$3=N$3,SUMIF('TL13'!$C$10:$C$224,$C135,'TL13'!$J$10:$J$224),0),
IF('TL13'!$B$229=N$3,SUMIF('TL13'!$C$238:$C$451,$C135,'TL13'!$J$238:$J$451),0),
IF('TL14'!$B$3=N$3,SUMIF('TL14'!$C$10:$C$224,$C135,'TL14'!$J$10:$J$224),0),
IF('TL14'!$B$229=N$3,SUMIF('TL14'!$C$238:$C$451,$C135,'TL14'!$J$238:$J$451),0),
IF('TL15'!$B$3=N$3,SUMIF('TL15'!$C$10:$C$224,$C135,'TL15'!$J$10:$J$224),0),
IF('TL15'!$B$229=N$3,SUMIF('TL15'!$C$238:$C$451,$C135,'TL15'!$J$238:$J$451),0),
IF('TL16'!$B$3=N$3,SUMIF('TL16'!$C$10:$C$224,$C135,'TL16'!$J$10:$J$224),0),
IF('TL16'!$B$229=N$3,SUMIF('TL16'!$C$238:$C$451,$C135,'TL16'!$J$238:$J$451),0),
IF('TL17'!$B$3=N$3,SUMIF('TL17'!$C$10:$C$224,$C135,'TL17'!$J$10:$J$224),0),
IF('TL17'!$B$229=N$3,SUMIF('TL17'!$C$238:$C$451,$C135,'TL17'!$J$238:$J$451),0),
IF('TL18'!$B$3=N$3,SUMIF('TL18'!$C$10:$C$224,$C135,'TL18'!$J$10:$J$224),0),
IF('TL18'!$B$229=N$3,SUMIF('TL18'!$C$238:$C$451,$C135,'TL18'!$J$238:$J$451),0),
IF('TL19'!$B$3=N$3,SUMIF('TL19'!$C$10:$C$224,$C135,'TL19'!$J$10:$J$224),0),
IF('TL19'!$B$229=N$3,SUMIF('TL19'!$C$238:$C$451,$C135,'TL19'!$J$238:$J$451),0)
),0)</f>
        <v/>
      </c>
      <c r="O135" s="9">
        <f>IFERROR(SUM(
IF('TL01'!$B$3=O$3,SUMIF('TL01'!$C$10:$C$224,$C135,'TL01'!$J$10:$J$224),0),
IF('TL01'!$B$229=O$3,SUMIF('TL01'!$C$238:$C$451,$C135,'TL01'!$J$238:$J$451),0),
IF('TL02'!$B$3=O$3,SUMIF('TL02'!$C$10:$C$224,$C135,'TL02'!$J$10:$J$224),0),
IF('TL02'!$B$229=O$3,SUMIF('TL02'!$C$238:$C$451,$C135,'TL02'!$J$238:$J$451),0),
IF('TL03'!$B$3=O$3,SUMIF('TL03'!$C$10:$C$224,$C135,'TL03'!$J$10:$J$224),0),
IF('TL03'!$B$229=O$3,SUMIF('TL03'!$C$238:$C$451,$C135,'TL03'!$J$238:$J$451),0),
IF('TL04'!$B$3=O$3,SUMIF('TL04'!$C$10:$C$224,$C135,'TL04'!$J$10:$J$224),0),
IF('TL04'!$B$229=O$3,SUMIF('TL04'!$C$238:$C$451,$C135,'TL04'!$J$238:$J$451),0),
IF('TL05'!$B$3=O$3,SUMIF('TL05'!$C$10:$C$224,$C135,'TL05'!$J$10:$J$224),0),
IF('TL05'!$B$229=O$3,SUMIF('TL05'!$C$238:$C$451,$C135,'TL05'!$J$238:$J$451),0),
IF('TL06'!$B$3=O$3,SUMIF('TL06'!$C$10:$C$224,$C135,'TL06'!$J$10:$J$224),0),
IF('TL06'!$B$229=O$3,SUMIF('TL06'!$C$238:$C$451,$C135,'TL06'!$J$238:$J$451),0),
IF('TL07'!$B$3=O$3,SUMIF('TL07'!$C$10:$C$224,$C135,'TL07'!$J$10:$J$224),0),
IF('TL07'!$B$229=O$3,SUMIF('TL07'!$C$238:$C$451,$C135,'TL07'!$J$238:$J$451),0),
IF('TL08'!$B$3=O$3,SUMIF('TL08'!$C$10:$C$224,$C135,'TL08'!$J$10:$J$224),0),
IF('TL08'!$B$229=O$3,SUMIF('TL08'!$C$238:$C$451,$C135,'TL08'!$J$238:$J$451),0),
IF('TL09'!$B$3=O$3,SUMIF('TL09'!$C$10:$C$224,$C135,'TL09'!$J$10:$J$224),0),
IF('TL09'!$B$229=O$3,SUMIF('TL09'!$C$238:$C$451,$C135,'TL09'!$J$238:$J$451),0),
IF('TL10'!$B$3=O$3,SUMIF('TL10'!$C$10:$C$224,$C135,'TL10'!$J$10:$J$224),0),
IF('TL10'!$B$229=O$3,SUMIF('TL10'!$C$238:$C$451,$C135,'TL10'!$J$238:$J$451),0),
IF('TL11'!$B$3=O$3,SUMIF('TL11'!$C$10:$C$224,$C135,'TL11'!$J$10:$J$224),0),
IF('TL11'!$B$229=O$3,SUMIF('TL11'!$C$238:$C$451,$C135,'TL11'!$J$238:$J$451),0),
IF('TL12'!$B$3=O$3,SUMIF('TL12'!$C$10:$C$224,$C135,'TL12'!$J$10:$J$224),0),
IF('TL12'!$B$229=O$3,SUMIF('TL12'!$C$238:$C$451,$C135,'TL12'!$J$238:$J$451),0),
IF('TL13'!$B$3=O$3,SUMIF('TL13'!$C$10:$C$224,$C135,'TL13'!$J$10:$J$224),0),
IF('TL13'!$B$229=O$3,SUMIF('TL13'!$C$238:$C$451,$C135,'TL13'!$J$238:$J$451),0),
IF('TL14'!$B$3=O$3,SUMIF('TL14'!$C$10:$C$224,$C135,'TL14'!$J$10:$J$224),0),
IF('TL14'!$B$229=O$3,SUMIF('TL14'!$C$238:$C$451,$C135,'TL14'!$J$238:$J$451),0),
IF('TL15'!$B$3=O$3,SUMIF('TL15'!$C$10:$C$224,$C135,'TL15'!$J$10:$J$224),0),
IF('TL15'!$B$229=O$3,SUMIF('TL15'!$C$238:$C$451,$C135,'TL15'!$J$238:$J$451),0),
IF('TL16'!$B$3=O$3,SUMIF('TL16'!$C$10:$C$224,$C135,'TL16'!$J$10:$J$224),0),
IF('TL16'!$B$229=O$3,SUMIF('TL16'!$C$238:$C$451,$C135,'TL16'!$J$238:$J$451),0),
IF('TL17'!$B$3=O$3,SUMIF('TL17'!$C$10:$C$224,$C135,'TL17'!$J$10:$J$224),0),
IF('TL17'!$B$229=O$3,SUMIF('TL17'!$C$238:$C$451,$C135,'TL17'!$J$238:$J$451),0),
IF('TL18'!$B$3=O$3,SUMIF('TL18'!$C$10:$C$224,$C135,'TL18'!$J$10:$J$224),0),
IF('TL18'!$B$229=O$3,SUMIF('TL18'!$C$238:$C$451,$C135,'TL18'!$J$238:$J$451),0),
IF('TL19'!$B$3=O$3,SUMIF('TL19'!$C$10:$C$224,$C135,'TL19'!$J$10:$J$224),0),
IF('TL19'!$B$229=O$3,SUMIF('TL19'!$C$238:$C$451,$C135,'TL19'!$J$238:$J$451),0)
),0)</f>
        <v/>
      </c>
      <c r="P135" s="9">
        <f>IFERROR(SUM(
IF('TL01'!$B$3=P$3,SUMIF('TL01'!$C$10:$C$224,$C135,'TL01'!$J$10:$J$224),0),
IF('TL01'!$B$229=P$3,SUMIF('TL01'!$C$238:$C$451,$C135,'TL01'!$J$238:$J$451),0),
IF('TL02'!$B$3=P$3,SUMIF('TL02'!$C$10:$C$224,$C135,'TL02'!$J$10:$J$224),0),
IF('TL02'!$B$229=P$3,SUMIF('TL02'!$C$238:$C$451,$C135,'TL02'!$J$238:$J$451),0),
IF('TL03'!$B$3=P$3,SUMIF('TL03'!$C$10:$C$224,$C135,'TL03'!$J$10:$J$224),0),
IF('TL03'!$B$229=P$3,SUMIF('TL03'!$C$238:$C$451,$C135,'TL03'!$J$238:$J$451),0),
IF('TL04'!$B$3=P$3,SUMIF('TL04'!$C$10:$C$224,$C135,'TL04'!$J$10:$J$224),0),
IF('TL04'!$B$229=P$3,SUMIF('TL04'!$C$238:$C$451,$C135,'TL04'!$J$238:$J$451),0),
IF('TL05'!$B$3=P$3,SUMIF('TL05'!$C$10:$C$224,$C135,'TL05'!$J$10:$J$224),0),
IF('TL05'!$B$229=P$3,SUMIF('TL05'!$C$238:$C$451,$C135,'TL05'!$J$238:$J$451),0),
IF('TL06'!$B$3=P$3,SUMIF('TL06'!$C$10:$C$224,$C135,'TL06'!$J$10:$J$224),0),
IF('TL06'!$B$229=P$3,SUMIF('TL06'!$C$238:$C$451,$C135,'TL06'!$J$238:$J$451),0),
IF('TL07'!$B$3=P$3,SUMIF('TL07'!$C$10:$C$224,$C135,'TL07'!$J$10:$J$224),0),
IF('TL07'!$B$229=P$3,SUMIF('TL07'!$C$238:$C$451,$C135,'TL07'!$J$238:$J$451),0),
IF('TL08'!$B$3=P$3,SUMIF('TL08'!$C$10:$C$224,$C135,'TL08'!$J$10:$J$224),0),
IF('TL08'!$B$229=P$3,SUMIF('TL08'!$C$238:$C$451,$C135,'TL08'!$J$238:$J$451),0),
IF('TL09'!$B$3=P$3,SUMIF('TL09'!$C$10:$C$224,$C135,'TL09'!$J$10:$J$224),0),
IF('TL09'!$B$229=P$3,SUMIF('TL09'!$C$238:$C$451,$C135,'TL09'!$J$238:$J$451),0),
IF('TL10'!$B$3=P$3,SUMIF('TL10'!$C$10:$C$224,$C135,'TL10'!$J$10:$J$224),0),
IF('TL10'!$B$229=P$3,SUMIF('TL10'!$C$238:$C$451,$C135,'TL10'!$J$238:$J$451),0),
IF('TL11'!$B$3=P$3,SUMIF('TL11'!$C$10:$C$224,$C135,'TL11'!$J$10:$J$224),0),
IF('TL11'!$B$229=P$3,SUMIF('TL11'!$C$238:$C$451,$C135,'TL11'!$J$238:$J$451),0),
IF('TL12'!$B$3=P$3,SUMIF('TL12'!$C$10:$C$224,$C135,'TL12'!$J$10:$J$224),0),
IF('TL12'!$B$229=P$3,SUMIF('TL12'!$C$238:$C$451,$C135,'TL12'!$J$238:$J$451),0),
IF('TL13'!$B$3=P$3,SUMIF('TL13'!$C$10:$C$224,$C135,'TL13'!$J$10:$J$224),0),
IF('TL13'!$B$229=P$3,SUMIF('TL13'!$C$238:$C$451,$C135,'TL13'!$J$238:$J$451),0),
IF('TL14'!$B$3=P$3,SUMIF('TL14'!$C$10:$C$224,$C135,'TL14'!$J$10:$J$224),0),
IF('TL14'!$B$229=P$3,SUMIF('TL14'!$C$238:$C$451,$C135,'TL14'!$J$238:$J$451),0),
IF('TL15'!$B$3=P$3,SUMIF('TL15'!$C$10:$C$224,$C135,'TL15'!$J$10:$J$224),0),
IF('TL15'!$B$229=P$3,SUMIF('TL15'!$C$238:$C$451,$C135,'TL15'!$J$238:$J$451),0),
IF('TL16'!$B$3=P$3,SUMIF('TL16'!$C$10:$C$224,$C135,'TL16'!$J$10:$J$224),0),
IF('TL16'!$B$229=P$3,SUMIF('TL16'!$C$238:$C$451,$C135,'TL16'!$J$238:$J$451),0),
IF('TL17'!$B$3=P$3,SUMIF('TL17'!$C$10:$C$224,$C135,'TL17'!$J$10:$J$224),0),
IF('TL17'!$B$229=P$3,SUMIF('TL17'!$C$238:$C$451,$C135,'TL17'!$J$238:$J$451),0),
IF('TL18'!$B$3=P$3,SUMIF('TL18'!$C$10:$C$224,$C135,'TL18'!$J$10:$J$224),0),
IF('TL18'!$B$229=P$3,SUMIF('TL18'!$C$238:$C$451,$C135,'TL18'!$J$238:$J$451),0),
IF('TL19'!$B$3=P$3,SUMIF('TL19'!$C$10:$C$224,$C135,'TL19'!$J$10:$J$224),0),
IF('TL19'!$B$229=P$3,SUMIF('TL19'!$C$238:$C$451,$C135,'TL19'!$J$238:$J$451),0)
),0)</f>
        <v/>
      </c>
      <c r="Q135" s="9">
        <f>IFERROR(SUM(
IF('TL01'!$B$3=Q$3,SUMIF('TL01'!$C$10:$C$224,$C135,'TL01'!$J$10:$J$224),0),
IF('TL01'!$B$229=Q$3,SUMIF('TL01'!$C$238:$C$451,$C135,'TL01'!$J$238:$J$451),0),
IF('TL02'!$B$3=Q$3,SUMIF('TL02'!$C$10:$C$224,$C135,'TL02'!$J$10:$J$224),0),
IF('TL02'!$B$229=Q$3,SUMIF('TL02'!$C$238:$C$451,$C135,'TL02'!$J$238:$J$451),0),
IF('TL03'!$B$3=Q$3,SUMIF('TL03'!$C$10:$C$224,$C135,'TL03'!$J$10:$J$224),0),
IF('TL03'!$B$229=Q$3,SUMIF('TL03'!$C$238:$C$451,$C135,'TL03'!$J$238:$J$451),0),
IF('TL04'!$B$3=Q$3,SUMIF('TL04'!$C$10:$C$224,$C135,'TL04'!$J$10:$J$224),0),
IF('TL04'!$B$229=Q$3,SUMIF('TL04'!$C$238:$C$451,$C135,'TL04'!$J$238:$J$451),0),
IF('TL05'!$B$3=Q$3,SUMIF('TL05'!$C$10:$C$224,$C135,'TL05'!$J$10:$J$224),0),
IF('TL05'!$B$229=Q$3,SUMIF('TL05'!$C$238:$C$451,$C135,'TL05'!$J$238:$J$451),0),
IF('TL06'!$B$3=Q$3,SUMIF('TL06'!$C$10:$C$224,$C135,'TL06'!$J$10:$J$224),0),
IF('TL06'!$B$229=Q$3,SUMIF('TL06'!$C$238:$C$451,$C135,'TL06'!$J$238:$J$451),0),
IF('TL07'!$B$3=Q$3,SUMIF('TL07'!$C$10:$C$224,$C135,'TL07'!$J$10:$J$224),0),
IF('TL07'!$B$229=Q$3,SUMIF('TL07'!$C$238:$C$451,$C135,'TL07'!$J$238:$J$451),0),
IF('TL08'!$B$3=Q$3,SUMIF('TL08'!$C$10:$C$224,$C135,'TL08'!$J$10:$J$224),0),
IF('TL08'!$B$229=Q$3,SUMIF('TL08'!$C$238:$C$451,$C135,'TL08'!$J$238:$J$451),0),
IF('TL09'!$B$3=Q$3,SUMIF('TL09'!$C$10:$C$224,$C135,'TL09'!$J$10:$J$224),0),
IF('TL09'!$B$229=Q$3,SUMIF('TL09'!$C$238:$C$451,$C135,'TL09'!$J$238:$J$451),0),
IF('TL10'!$B$3=Q$3,SUMIF('TL10'!$C$10:$C$224,$C135,'TL10'!$J$10:$J$224),0),
IF('TL10'!$B$229=Q$3,SUMIF('TL10'!$C$238:$C$451,$C135,'TL10'!$J$238:$J$451),0),
IF('TL11'!$B$3=Q$3,SUMIF('TL11'!$C$10:$C$224,$C135,'TL11'!$J$10:$J$224),0),
IF('TL11'!$B$229=Q$3,SUMIF('TL11'!$C$238:$C$451,$C135,'TL11'!$J$238:$J$451),0),
IF('TL12'!$B$3=Q$3,SUMIF('TL12'!$C$10:$C$224,$C135,'TL12'!$J$10:$J$224),0),
IF('TL12'!$B$229=Q$3,SUMIF('TL12'!$C$238:$C$451,$C135,'TL12'!$J$238:$J$451),0),
IF('TL13'!$B$3=Q$3,SUMIF('TL13'!$C$10:$C$224,$C135,'TL13'!$J$10:$J$224),0),
IF('TL13'!$B$229=Q$3,SUMIF('TL13'!$C$238:$C$451,$C135,'TL13'!$J$238:$J$451),0),
IF('TL14'!$B$3=Q$3,SUMIF('TL14'!$C$10:$C$224,$C135,'TL14'!$J$10:$J$224),0),
IF('TL14'!$B$229=Q$3,SUMIF('TL14'!$C$238:$C$451,$C135,'TL14'!$J$238:$J$451),0),
IF('TL15'!$B$3=Q$3,SUMIF('TL15'!$C$10:$C$224,$C135,'TL15'!$J$10:$J$224),0),
IF('TL15'!$B$229=Q$3,SUMIF('TL15'!$C$238:$C$451,$C135,'TL15'!$J$238:$J$451),0),
IF('TL16'!$B$3=Q$3,SUMIF('TL16'!$C$10:$C$224,$C135,'TL16'!$J$10:$J$224),0),
IF('TL16'!$B$229=Q$3,SUMIF('TL16'!$C$238:$C$451,$C135,'TL16'!$J$238:$J$451),0),
IF('TL17'!$B$3=Q$3,SUMIF('TL17'!$C$10:$C$224,$C135,'TL17'!$J$10:$J$224),0),
IF('TL17'!$B$229=Q$3,SUMIF('TL17'!$C$238:$C$451,$C135,'TL17'!$J$238:$J$451),0),
IF('TL18'!$B$3=Q$3,SUMIF('TL18'!$C$10:$C$224,$C135,'TL18'!$J$10:$J$224),0),
IF('TL18'!$B$229=Q$3,SUMIF('TL18'!$C$238:$C$451,$C135,'TL18'!$J$238:$J$451),0),
IF('TL19'!$B$3=Q$3,SUMIF('TL19'!$C$10:$C$224,$C135,'TL19'!$J$10:$J$224),0),
IF('TL19'!$B$229=Q$3,SUMIF('TL19'!$C$238:$C$451,$C135,'TL19'!$J$238:$J$451),0)
),0)</f>
        <v/>
      </c>
      <c r="R135" s="9">
        <f>IFERROR(
SUM(
SUMIF('TL01'!C:C,C135,'TL01'!J:J),
SUMIF('TL02'!C:C,C135,'TL02'!J:J),
SUMIF('TL03'!C:C,C135,'TL03'!J:J),
SUMIF('TL04'!C:C,C135,'TL04'!J:J),
SUMIF('TL05'!C:C,C135,'TL05'!J:J),
SUMIF('TL06'!C:C,C135,'TL06'!J:J),
SUMIF('TL07'!C:C,C135,'TL07'!J:J),
SUMIF('TL08'!C:C,C135,'TL08'!J:J),
SUMIF('TL09'!C:C,C135,'TL09'!J:J),
SUMIF('TL10'!C:C,C135,'TL10'!J:J),
SUMIF('TL11'!C:C,C135,'TL11'!J:J),
SUMIF('TL12'!C:C,C135,'TL12'!J:J),
SUMIF('TL13'!C:C,C135,'TL13'!J:J),
SUMIF('TL14'!C:C,C135,'TL14'!J:J),
SUMIF('TL15'!C:C,C135,'TL15'!J:J),
SUMIF('TL16'!C:C,C135,'TL16'!J:J),
SUMIF('TL17'!C:C,C135,'TL17'!J:J),
SUMIF('TL18'!C:C,C135,'TL18'!J:J),SUMIF('TL19'!C:C,C135,'TL19'!J:J))
,0)</f>
        <v/>
      </c>
      <c r="S135" s="17">
        <f>IFERROR(__xludf.DUMMYFUNCTION("IFERROR(VLOOKUP(C135,
IMPORTRANGE(""1wULbzX32WdYsx-lj2U3uUNBBe2INVIRDtcK0d-Dvl90"",
""26-27!C:G""),
5,
FALSE),
"""")"),164.12066)</f>
        <v/>
      </c>
      <c r="T135" s="9" t="n"/>
      <c r="U135" s="92">
        <f>MAX(0,R135-T135)</f>
        <v/>
      </c>
      <c r="V135" s="93">
        <f>U135*S135</f>
        <v/>
      </c>
    </row>
    <row r="136" hidden="1" ht="15.75" customHeight="1" s="297">
      <c r="A136" s="115" t="inlineStr">
        <is>
          <t>CORTEVA/SOMAX</t>
        </is>
      </c>
      <c r="B136" s="100" t="inlineStr">
        <is>
          <t>HERBICIDA</t>
        </is>
      </c>
      <c r="C136" s="116" t="inlineStr">
        <is>
          <t>BLOWOUT</t>
        </is>
      </c>
      <c r="D136" s="116" t="inlineStr">
        <is>
          <t>DIBROMETO DE DIQUATE</t>
        </is>
      </c>
      <c r="E136" s="116" t="n">
        <v>200</v>
      </c>
      <c r="F136" s="4" t="inlineStr">
        <is>
          <t>L</t>
        </is>
      </c>
      <c r="G136" s="90">
        <f>HYPERLINK("https://www.google.com/search?q=" &amp; C136 &amp; "+bula+agrofit+pdf", "📄 Ver bula")</f>
        <v/>
      </c>
      <c r="H136" s="9">
        <f>IFERROR(__xludf.DUMMYFUNCTION("IFERROR(VLOOKUP(C136,
IMPORTRANGE(""1wULbzX32WdYsx-lj2U3uUNBBe2INVIRDtcK0d-Dvl90"",
""26-27!C:K""),
8,
FALSE),
"""")"),"")</f>
        <v/>
      </c>
      <c r="I136" s="117" t="inlineStr">
        <is>
          <t>1x20</t>
        </is>
      </c>
      <c r="J136" s="9">
        <f>IFERROR(SUM(
IF('TL01'!$B$3=J$3,SUMIF('TL01'!$C$10:$C$224,$C136,'TL01'!$J$10:$J$224),0),
IF('TL01'!$B$229=J$3,SUMIF('TL01'!$C$238:$C$451,$C136,'TL01'!$J$238:$J$451),0),
IF('TL02'!$B$3=J$3,SUMIF('TL02'!$C$10:$C$224,$C136,'TL02'!$J$10:$J$224),0),
IF('TL02'!$B$229=J$3,SUMIF('TL02'!$C$238:$C$451,$C136,'TL02'!$J$238:$J$451),0),
IF('TL03'!$B$3=J$3,SUMIF('TL03'!$C$10:$C$224,$C136,'TL03'!$J$10:$J$224),0),
IF('TL03'!$B$229=J$3,SUMIF('TL03'!$C$238:$C$451,$C136,'TL03'!$J$238:$J$451),0),
IF('TL04'!$B$3=J$3,SUMIF('TL04'!$C$10:$C$224,$C136,'TL04'!$J$10:$J$224),0),
IF('TL04'!$B$229=J$3,SUMIF('TL04'!$C$238:$C$451,$C136,'TL04'!$J$238:$J$451),0),
IF('TL05'!$B$3=J$3,SUMIF('TL05'!$C$10:$C$224,$C136,'TL05'!$J$10:$J$224),0),
IF('TL05'!$B$229=J$3,SUMIF('TL05'!$C$238:$C$451,$C136,'TL05'!$J$238:$J$451),0),
IF('TL06'!$B$3=J$3,SUMIF('TL06'!$C$10:$C$224,$C136,'TL06'!$J$10:$J$224),0),
IF('TL06'!$B$229=J$3,SUMIF('TL06'!$C$238:$C$451,$C136,'TL06'!$J$238:$J$451),0),
IF('TL07'!$B$3=J$3,SUMIF('TL07'!$C$10:$C$224,$C136,'TL07'!$J$10:$J$224),0),
IF('TL07'!$B$229=J$3,SUMIF('TL07'!$C$238:$C$451,$C136,'TL07'!$J$238:$J$451),0),
IF('TL08'!$B$3=J$3,SUMIF('TL08'!$C$10:$C$224,$C136,'TL08'!$J$10:$J$224),0),
IF('TL08'!$B$229=J$3,SUMIF('TL08'!$C$238:$C$451,$C136,'TL08'!$J$238:$J$451),0),
IF('TL09'!$B$3=J$3,SUMIF('TL09'!$C$10:$C$224,$C136,'TL09'!$J$10:$J$224),0),
IF('TL09'!$B$229=J$3,SUMIF('TL09'!$C$238:$C$451,$C136,'TL09'!$J$238:$J$451),0),
IF('TL10'!$B$3=J$3,SUMIF('TL10'!$C$10:$C$224,$C136,'TL10'!$J$10:$J$224),0),
IF('TL10'!$B$229=J$3,SUMIF('TL10'!$C$238:$C$451,$C136,'TL10'!$J$238:$J$451),0),
IF('TL11'!$B$3=J$3,SUMIF('TL11'!$C$10:$C$224,$C136,'TL11'!$J$10:$J$224),0),
IF('TL11'!$B$229=J$3,SUMIF('TL11'!$C$238:$C$451,$C136,'TL11'!$J$238:$J$451),0),
IF('TL12'!$B$3=J$3,SUMIF('TL12'!$C$10:$C$224,$C136,'TL12'!$J$10:$J$224),0),
IF('TL12'!$B$229=J$3,SUMIF('TL12'!$C$238:$C$451,$C136,'TL12'!$J$238:$J$451),0),
IF('TL13'!$B$3=J$3,SUMIF('TL13'!$C$10:$C$224,$C136,'TL13'!$J$10:$J$224),0),
IF('TL13'!$B$229=J$3,SUMIF('TL13'!$C$238:$C$451,$C136,'TL13'!$J$238:$J$451),0),
IF('TL14'!$B$3=J$3,SUMIF('TL14'!$C$10:$C$224,$C136,'TL14'!$J$10:$J$224),0),
IF('TL14'!$B$229=J$3,SUMIF('TL14'!$C$238:$C$451,$C136,'TL14'!$J$238:$J$451),0),
IF('TL15'!$B$3=J$3,SUMIF('TL15'!$C$10:$C$224,$C136,'TL15'!$J$10:$J$224),0),
IF('TL15'!$B$229=J$3,SUMIF('TL15'!$C$238:$C$451,$C136,'TL15'!$J$238:$J$451),0),
IF('TL16'!$B$3=J$3,SUMIF('TL16'!$C$10:$C$224,$C136,'TL16'!$J$10:$J$224),0),
IF('TL16'!$B$229=J$3,SUMIF('TL16'!$C$238:$C$451,$C136,'TL16'!$J$238:$J$451),0),
IF('TL17'!$B$3=J$3,SUMIF('TL17'!$C$10:$C$224,$C136,'TL17'!$J$10:$J$224),0),
IF('TL17'!$B$229=J$3,SUMIF('TL17'!$C$238:$C$451,$C136,'TL17'!$J$238:$J$451),0),
IF('TL18'!$B$3=J$3,SUMIF('TL18'!$C$10:$C$224,$C136,'TL18'!$J$10:$J$224),0),
IF('TL18'!$B$229=J$3,SUMIF('TL18'!$C$238:$C$451,$C136,'TL18'!$J$238:$J$451),0),
IF('TL19'!$B$3=J$3,SUMIF('TL19'!$C$10:$C$224,$C136,'TL19'!$J$10:$J$224),0),
IF('TL19'!$B$229=J$3,SUMIF('TL19'!$C$238:$C$451,$C136,'TL19'!$J$238:$J$451),0)
),0)</f>
        <v/>
      </c>
      <c r="K136" s="9">
        <f>IFERROR(SUM(
IF('TL01'!$B$3=K$3,SUMIF('TL01'!$C$10:$C$224,$C136,'TL01'!$J$10:$J$224),0),
IF('TL01'!$B$229=K$3,SUMIF('TL01'!$C$238:$C$451,$C136,'TL01'!$J$238:$J$451),0),
IF('TL02'!$B$3=K$3,SUMIF('TL02'!$C$10:$C$224,$C136,'TL02'!$J$10:$J$224),0),
IF('TL02'!$B$229=K$3,SUMIF('TL02'!$C$238:$C$451,$C136,'TL02'!$J$238:$J$451),0),
IF('TL03'!$B$3=K$3,SUMIF('TL03'!$C$10:$C$224,$C136,'TL03'!$J$10:$J$224),0),
IF('TL03'!$B$229=K$3,SUMIF('TL03'!$C$238:$C$451,$C136,'TL03'!$J$238:$J$451),0),
IF('TL04'!$B$3=K$3,SUMIF('TL04'!$C$10:$C$224,$C136,'TL04'!$J$10:$J$224),0),
IF('TL04'!$B$229=K$3,SUMIF('TL04'!$C$238:$C$451,$C136,'TL04'!$J$238:$J$451),0),
IF('TL05'!$B$3=K$3,SUMIF('TL05'!$C$10:$C$224,$C136,'TL05'!$J$10:$J$224),0),
IF('TL05'!$B$229=K$3,SUMIF('TL05'!$C$238:$C$451,$C136,'TL05'!$J$238:$J$451),0),
IF('TL06'!$B$3=K$3,SUMIF('TL06'!$C$10:$C$224,$C136,'TL06'!$J$10:$J$224),0),
IF('TL06'!$B$229=K$3,SUMIF('TL06'!$C$238:$C$451,$C136,'TL06'!$J$238:$J$451),0),
IF('TL07'!$B$3=K$3,SUMIF('TL07'!$C$10:$C$224,$C136,'TL07'!$J$10:$J$224),0),
IF('TL07'!$B$229=K$3,SUMIF('TL07'!$C$238:$C$451,$C136,'TL07'!$J$238:$J$451),0),
IF('TL08'!$B$3=K$3,SUMIF('TL08'!$C$10:$C$224,$C136,'TL08'!$J$10:$J$224),0),
IF('TL08'!$B$229=K$3,SUMIF('TL08'!$C$238:$C$451,$C136,'TL08'!$J$238:$J$451),0),
IF('TL09'!$B$3=K$3,SUMIF('TL09'!$C$10:$C$224,$C136,'TL09'!$J$10:$J$224),0),
IF('TL09'!$B$229=K$3,SUMIF('TL09'!$C$238:$C$451,$C136,'TL09'!$J$238:$J$451),0),
IF('TL10'!$B$3=K$3,SUMIF('TL10'!$C$10:$C$224,$C136,'TL10'!$J$10:$J$224),0),
IF('TL10'!$B$229=K$3,SUMIF('TL10'!$C$238:$C$451,$C136,'TL10'!$J$238:$J$451),0),
IF('TL11'!$B$3=K$3,SUMIF('TL11'!$C$10:$C$224,$C136,'TL11'!$J$10:$J$224),0),
IF('TL11'!$B$229=K$3,SUMIF('TL11'!$C$238:$C$451,$C136,'TL11'!$J$238:$J$451),0),
IF('TL12'!$B$3=K$3,SUMIF('TL12'!$C$10:$C$224,$C136,'TL12'!$J$10:$J$224),0),
IF('TL12'!$B$229=K$3,SUMIF('TL12'!$C$238:$C$451,$C136,'TL12'!$J$238:$J$451),0),
IF('TL13'!$B$3=K$3,SUMIF('TL13'!$C$10:$C$224,$C136,'TL13'!$J$10:$J$224),0),
IF('TL13'!$B$229=K$3,SUMIF('TL13'!$C$238:$C$451,$C136,'TL13'!$J$238:$J$451),0),
IF('TL14'!$B$3=K$3,SUMIF('TL14'!$C$10:$C$224,$C136,'TL14'!$J$10:$J$224),0),
IF('TL14'!$B$229=K$3,SUMIF('TL14'!$C$238:$C$451,$C136,'TL14'!$J$238:$J$451),0),
IF('TL15'!$B$3=K$3,SUMIF('TL15'!$C$10:$C$224,$C136,'TL15'!$J$10:$J$224),0),
IF('TL15'!$B$229=K$3,SUMIF('TL15'!$C$238:$C$451,$C136,'TL15'!$J$238:$J$451),0),
IF('TL16'!$B$3=K$3,SUMIF('TL16'!$C$10:$C$224,$C136,'TL16'!$J$10:$J$224),0),
IF('TL16'!$B$229=K$3,SUMIF('TL16'!$C$238:$C$451,$C136,'TL16'!$J$238:$J$451),0),
IF('TL17'!$B$3=K$3,SUMIF('TL17'!$C$10:$C$224,$C136,'TL17'!$J$10:$J$224),0),
IF('TL17'!$B$229=K$3,SUMIF('TL17'!$C$238:$C$451,$C136,'TL17'!$J$238:$J$451),0),
IF('TL18'!$B$3=K$3,SUMIF('TL18'!$C$10:$C$224,$C136,'TL18'!$J$10:$J$224),0),
IF('TL18'!$B$229=K$3,SUMIF('TL18'!$C$238:$C$451,$C136,'TL18'!$J$238:$J$451),0),
IF('TL19'!$B$3=K$3,SUMIF('TL19'!$C$10:$C$224,$C136,'TL19'!$J$10:$J$224),0),
IF('TL19'!$B$229=K$3,SUMIF('TL19'!$C$238:$C$451,$C136,'TL19'!$J$238:$J$451),0)
),0)</f>
        <v/>
      </c>
      <c r="L136" s="9">
        <f>IFERROR(SUM(
IF('TL01'!$B$3=L$3,SUMIF('TL01'!$C$10:$C$224,$C136,'TL01'!$J$10:$J$224),0),
IF('TL01'!$B$229=L$3,SUMIF('TL01'!$C$238:$C$451,$C136,'TL01'!$J$238:$J$451),0),
IF('TL02'!$B$3=L$3,SUMIF('TL02'!$C$10:$C$224,$C136,'TL02'!$J$10:$J$224),0),
IF('TL02'!$B$229=L$3,SUMIF('TL02'!$C$238:$C$451,$C136,'TL02'!$J$238:$J$451),0),
IF('TL03'!$B$3=L$3,SUMIF('TL03'!$C$10:$C$224,$C136,'TL03'!$J$10:$J$224),0),
IF('TL03'!$B$229=L$3,SUMIF('TL03'!$C$238:$C$451,$C136,'TL03'!$J$238:$J$451),0),
IF('TL04'!$B$3=L$3,SUMIF('TL04'!$C$10:$C$224,$C136,'TL04'!$J$10:$J$224),0),
IF('TL04'!$B$229=L$3,SUMIF('TL04'!$C$238:$C$451,$C136,'TL04'!$J$238:$J$451),0),
IF('TL05'!$B$3=L$3,SUMIF('TL05'!$C$10:$C$224,$C136,'TL05'!$J$10:$J$224),0),
IF('TL05'!$B$229=L$3,SUMIF('TL05'!$C$238:$C$451,$C136,'TL05'!$J$238:$J$451),0),
IF('TL06'!$B$3=L$3,SUMIF('TL06'!$C$10:$C$224,$C136,'TL06'!$J$10:$J$224),0),
IF('TL06'!$B$229=L$3,SUMIF('TL06'!$C$238:$C$451,$C136,'TL06'!$J$238:$J$451),0),
IF('TL07'!$B$3=L$3,SUMIF('TL07'!$C$10:$C$224,$C136,'TL07'!$J$10:$J$224),0),
IF('TL07'!$B$229=L$3,SUMIF('TL07'!$C$238:$C$451,$C136,'TL07'!$J$238:$J$451),0),
IF('TL08'!$B$3=L$3,SUMIF('TL08'!$C$10:$C$224,$C136,'TL08'!$J$10:$J$224),0),
IF('TL08'!$B$229=L$3,SUMIF('TL08'!$C$238:$C$451,$C136,'TL08'!$J$238:$J$451),0),
IF('TL09'!$B$3=L$3,SUMIF('TL09'!$C$10:$C$224,$C136,'TL09'!$J$10:$J$224),0),
IF('TL09'!$B$229=L$3,SUMIF('TL09'!$C$238:$C$451,$C136,'TL09'!$J$238:$J$451),0),
IF('TL10'!$B$3=L$3,SUMIF('TL10'!$C$10:$C$224,$C136,'TL10'!$J$10:$J$224),0),
IF('TL10'!$B$229=L$3,SUMIF('TL10'!$C$238:$C$451,$C136,'TL10'!$J$238:$J$451),0),
IF('TL11'!$B$3=L$3,SUMIF('TL11'!$C$10:$C$224,$C136,'TL11'!$J$10:$J$224),0),
IF('TL11'!$B$229=L$3,SUMIF('TL11'!$C$238:$C$451,$C136,'TL11'!$J$238:$J$451),0),
IF('TL12'!$B$3=L$3,SUMIF('TL12'!$C$10:$C$224,$C136,'TL12'!$J$10:$J$224),0),
IF('TL12'!$B$229=L$3,SUMIF('TL12'!$C$238:$C$451,$C136,'TL12'!$J$238:$J$451),0),
IF('TL13'!$B$3=L$3,SUMIF('TL13'!$C$10:$C$224,$C136,'TL13'!$J$10:$J$224),0),
IF('TL13'!$B$229=L$3,SUMIF('TL13'!$C$238:$C$451,$C136,'TL13'!$J$238:$J$451),0),
IF('TL14'!$B$3=L$3,SUMIF('TL14'!$C$10:$C$224,$C136,'TL14'!$J$10:$J$224),0),
IF('TL14'!$B$229=L$3,SUMIF('TL14'!$C$238:$C$451,$C136,'TL14'!$J$238:$J$451),0),
IF('TL15'!$B$3=L$3,SUMIF('TL15'!$C$10:$C$224,$C136,'TL15'!$J$10:$J$224),0),
IF('TL15'!$B$229=L$3,SUMIF('TL15'!$C$238:$C$451,$C136,'TL15'!$J$238:$J$451),0),
IF('TL16'!$B$3=L$3,SUMIF('TL16'!$C$10:$C$224,$C136,'TL16'!$J$10:$J$224),0),
IF('TL16'!$B$229=L$3,SUMIF('TL16'!$C$238:$C$451,$C136,'TL16'!$J$238:$J$451),0),
IF('TL17'!$B$3=L$3,SUMIF('TL17'!$C$10:$C$224,$C136,'TL17'!$J$10:$J$224),0),
IF('TL17'!$B$229=L$3,SUMIF('TL17'!$C$238:$C$451,$C136,'TL17'!$J$238:$J$451),0),
IF('TL18'!$B$3=L$3,SUMIF('TL18'!$C$10:$C$224,$C136,'TL18'!$J$10:$J$224),0),
IF('TL18'!$B$229=L$3,SUMIF('TL18'!$C$238:$C$451,$C136,'TL18'!$J$238:$J$451),0),
IF('TL19'!$B$3=L$3,SUMIF('TL19'!$C$10:$C$224,$C136,'TL19'!$J$10:$J$224),0),
IF('TL19'!$B$229=L$3,SUMIF('TL19'!$C$238:$C$451,$C136,'TL19'!$J$238:$J$451),0)
),0)</f>
        <v/>
      </c>
      <c r="M136" s="9">
        <f>IFERROR(SUM(
IF('TL01'!$B$3=M$3,SUMIF('TL01'!$C$10:$C$224,$C136,'TL01'!$J$10:$J$224),0),
IF('TL01'!$B$229=M$3,SUMIF('TL01'!$C$238:$C$451,$C136,'TL01'!$J$238:$J$451),0),
IF('TL02'!$B$3=M$3,SUMIF('TL02'!$C$10:$C$224,$C136,'TL02'!$J$10:$J$224),0),
IF('TL02'!$B$229=M$3,SUMIF('TL02'!$C$238:$C$451,$C136,'TL02'!$J$238:$J$451),0),
IF('TL03'!$B$3=M$3,SUMIF('TL03'!$C$10:$C$224,$C136,'TL03'!$J$10:$J$224),0),
IF('TL03'!$B$229=M$3,SUMIF('TL03'!$C$238:$C$451,$C136,'TL03'!$J$238:$J$451),0),
IF('TL04'!$B$3=M$3,SUMIF('TL04'!$C$10:$C$224,$C136,'TL04'!$J$10:$J$224),0),
IF('TL04'!$B$229=M$3,SUMIF('TL04'!$C$238:$C$451,$C136,'TL04'!$J$238:$J$451),0),
IF('TL05'!$B$3=M$3,SUMIF('TL05'!$C$10:$C$224,$C136,'TL05'!$J$10:$J$224),0),
IF('TL05'!$B$229=M$3,SUMIF('TL05'!$C$238:$C$451,$C136,'TL05'!$J$238:$J$451),0),
IF('TL06'!$B$3=M$3,SUMIF('TL06'!$C$10:$C$224,$C136,'TL06'!$J$10:$J$224),0),
IF('TL06'!$B$229=M$3,SUMIF('TL06'!$C$238:$C$451,$C136,'TL06'!$J$238:$J$451),0),
IF('TL07'!$B$3=M$3,SUMIF('TL07'!$C$10:$C$224,$C136,'TL07'!$J$10:$J$224),0),
IF('TL07'!$B$229=M$3,SUMIF('TL07'!$C$238:$C$451,$C136,'TL07'!$J$238:$J$451),0),
IF('TL08'!$B$3=M$3,SUMIF('TL08'!$C$10:$C$224,$C136,'TL08'!$J$10:$J$224),0),
IF('TL08'!$B$229=M$3,SUMIF('TL08'!$C$238:$C$451,$C136,'TL08'!$J$238:$J$451),0),
IF('TL09'!$B$3=M$3,SUMIF('TL09'!$C$10:$C$224,$C136,'TL09'!$J$10:$J$224),0),
IF('TL09'!$B$229=M$3,SUMIF('TL09'!$C$238:$C$451,$C136,'TL09'!$J$238:$J$451),0),
IF('TL10'!$B$3=M$3,SUMIF('TL10'!$C$10:$C$224,$C136,'TL10'!$J$10:$J$224),0),
IF('TL10'!$B$229=M$3,SUMIF('TL10'!$C$238:$C$451,$C136,'TL10'!$J$238:$J$451),0),
IF('TL11'!$B$3=M$3,SUMIF('TL11'!$C$10:$C$224,$C136,'TL11'!$J$10:$J$224),0),
IF('TL11'!$B$229=M$3,SUMIF('TL11'!$C$238:$C$451,$C136,'TL11'!$J$238:$J$451),0),
IF('TL12'!$B$3=M$3,SUMIF('TL12'!$C$10:$C$224,$C136,'TL12'!$J$10:$J$224),0),
IF('TL12'!$B$229=M$3,SUMIF('TL12'!$C$238:$C$451,$C136,'TL12'!$J$238:$J$451),0),
IF('TL13'!$B$3=M$3,SUMIF('TL13'!$C$10:$C$224,$C136,'TL13'!$J$10:$J$224),0),
IF('TL13'!$B$229=M$3,SUMIF('TL13'!$C$238:$C$451,$C136,'TL13'!$J$238:$J$451),0),
IF('TL14'!$B$3=M$3,SUMIF('TL14'!$C$10:$C$224,$C136,'TL14'!$J$10:$J$224),0),
IF('TL14'!$B$229=M$3,SUMIF('TL14'!$C$238:$C$451,$C136,'TL14'!$J$238:$J$451),0),
IF('TL15'!$B$3=M$3,SUMIF('TL15'!$C$10:$C$224,$C136,'TL15'!$J$10:$J$224),0),
IF('TL15'!$B$229=M$3,SUMIF('TL15'!$C$238:$C$451,$C136,'TL15'!$J$238:$J$451),0),
IF('TL16'!$B$3=M$3,SUMIF('TL16'!$C$10:$C$224,$C136,'TL16'!$J$10:$J$224),0),
IF('TL16'!$B$229=M$3,SUMIF('TL16'!$C$238:$C$451,$C136,'TL16'!$J$238:$J$451),0),
IF('TL17'!$B$3=M$3,SUMIF('TL17'!$C$10:$C$224,$C136,'TL17'!$J$10:$J$224),0),
IF('TL17'!$B$229=M$3,SUMIF('TL17'!$C$238:$C$451,$C136,'TL17'!$J$238:$J$451),0),
IF('TL18'!$B$3=M$3,SUMIF('TL18'!$C$10:$C$224,$C136,'TL18'!$J$10:$J$224),0),
IF('TL18'!$B$229=M$3,SUMIF('TL18'!$C$238:$C$451,$C136,'TL18'!$J$238:$J$451),0),
IF('TL19'!$B$3=M$3,SUMIF('TL19'!$C$10:$C$224,$C136,'TL19'!$J$10:$J$224),0),
IF('TL19'!$B$229=M$3,SUMIF('TL19'!$C$238:$C$451,$C136,'TL19'!$J$238:$J$451),0)
),0)</f>
        <v/>
      </c>
      <c r="N136" s="9">
        <f>IFERROR(SUM(
IF('TL01'!$B$3=N$3,SUMIF('TL01'!$C$10:$C$224,$C136,'TL01'!$J$10:$J$224),0),
IF('TL01'!$B$229=N$3,SUMIF('TL01'!$C$238:$C$451,$C136,'TL01'!$J$238:$J$451),0),
IF('TL02'!$B$3=N$3,SUMIF('TL02'!$C$10:$C$224,$C136,'TL02'!$J$10:$J$224),0),
IF('TL02'!$B$229=N$3,SUMIF('TL02'!$C$238:$C$451,$C136,'TL02'!$J$238:$J$451),0),
IF('TL03'!$B$3=N$3,SUMIF('TL03'!$C$10:$C$224,$C136,'TL03'!$J$10:$J$224),0),
IF('TL03'!$B$229=N$3,SUMIF('TL03'!$C$238:$C$451,$C136,'TL03'!$J$238:$J$451),0),
IF('TL04'!$B$3=N$3,SUMIF('TL04'!$C$10:$C$224,$C136,'TL04'!$J$10:$J$224),0),
IF('TL04'!$B$229=N$3,SUMIF('TL04'!$C$238:$C$451,$C136,'TL04'!$J$238:$J$451),0),
IF('TL05'!$B$3=N$3,SUMIF('TL05'!$C$10:$C$224,$C136,'TL05'!$J$10:$J$224),0),
IF('TL05'!$B$229=N$3,SUMIF('TL05'!$C$238:$C$451,$C136,'TL05'!$J$238:$J$451),0),
IF('TL06'!$B$3=N$3,SUMIF('TL06'!$C$10:$C$224,$C136,'TL06'!$J$10:$J$224),0),
IF('TL06'!$B$229=N$3,SUMIF('TL06'!$C$238:$C$451,$C136,'TL06'!$J$238:$J$451),0),
IF('TL07'!$B$3=N$3,SUMIF('TL07'!$C$10:$C$224,$C136,'TL07'!$J$10:$J$224),0),
IF('TL07'!$B$229=N$3,SUMIF('TL07'!$C$238:$C$451,$C136,'TL07'!$J$238:$J$451),0),
IF('TL08'!$B$3=N$3,SUMIF('TL08'!$C$10:$C$224,$C136,'TL08'!$J$10:$J$224),0),
IF('TL08'!$B$229=N$3,SUMIF('TL08'!$C$238:$C$451,$C136,'TL08'!$J$238:$J$451),0),
IF('TL09'!$B$3=N$3,SUMIF('TL09'!$C$10:$C$224,$C136,'TL09'!$J$10:$J$224),0),
IF('TL09'!$B$229=N$3,SUMIF('TL09'!$C$238:$C$451,$C136,'TL09'!$J$238:$J$451),0),
IF('TL10'!$B$3=N$3,SUMIF('TL10'!$C$10:$C$224,$C136,'TL10'!$J$10:$J$224),0),
IF('TL10'!$B$229=N$3,SUMIF('TL10'!$C$238:$C$451,$C136,'TL10'!$J$238:$J$451),0),
IF('TL11'!$B$3=N$3,SUMIF('TL11'!$C$10:$C$224,$C136,'TL11'!$J$10:$J$224),0),
IF('TL11'!$B$229=N$3,SUMIF('TL11'!$C$238:$C$451,$C136,'TL11'!$J$238:$J$451),0),
IF('TL12'!$B$3=N$3,SUMIF('TL12'!$C$10:$C$224,$C136,'TL12'!$J$10:$J$224),0),
IF('TL12'!$B$229=N$3,SUMIF('TL12'!$C$238:$C$451,$C136,'TL12'!$J$238:$J$451),0),
IF('TL13'!$B$3=N$3,SUMIF('TL13'!$C$10:$C$224,$C136,'TL13'!$J$10:$J$224),0),
IF('TL13'!$B$229=N$3,SUMIF('TL13'!$C$238:$C$451,$C136,'TL13'!$J$238:$J$451),0),
IF('TL14'!$B$3=N$3,SUMIF('TL14'!$C$10:$C$224,$C136,'TL14'!$J$10:$J$224),0),
IF('TL14'!$B$229=N$3,SUMIF('TL14'!$C$238:$C$451,$C136,'TL14'!$J$238:$J$451),0),
IF('TL15'!$B$3=N$3,SUMIF('TL15'!$C$10:$C$224,$C136,'TL15'!$J$10:$J$224),0),
IF('TL15'!$B$229=N$3,SUMIF('TL15'!$C$238:$C$451,$C136,'TL15'!$J$238:$J$451),0),
IF('TL16'!$B$3=N$3,SUMIF('TL16'!$C$10:$C$224,$C136,'TL16'!$J$10:$J$224),0),
IF('TL16'!$B$229=N$3,SUMIF('TL16'!$C$238:$C$451,$C136,'TL16'!$J$238:$J$451),0),
IF('TL17'!$B$3=N$3,SUMIF('TL17'!$C$10:$C$224,$C136,'TL17'!$J$10:$J$224),0),
IF('TL17'!$B$229=N$3,SUMIF('TL17'!$C$238:$C$451,$C136,'TL17'!$J$238:$J$451),0),
IF('TL18'!$B$3=N$3,SUMIF('TL18'!$C$10:$C$224,$C136,'TL18'!$J$10:$J$224),0),
IF('TL18'!$B$229=N$3,SUMIF('TL18'!$C$238:$C$451,$C136,'TL18'!$J$238:$J$451),0),
IF('TL19'!$B$3=N$3,SUMIF('TL19'!$C$10:$C$224,$C136,'TL19'!$J$10:$J$224),0),
IF('TL19'!$B$229=N$3,SUMIF('TL19'!$C$238:$C$451,$C136,'TL19'!$J$238:$J$451),0)
),0)</f>
        <v/>
      </c>
      <c r="O136" s="9">
        <f>IFERROR(SUM(
IF('TL01'!$B$3=O$3,SUMIF('TL01'!$C$10:$C$224,$C136,'TL01'!$J$10:$J$224),0),
IF('TL01'!$B$229=O$3,SUMIF('TL01'!$C$238:$C$451,$C136,'TL01'!$J$238:$J$451),0),
IF('TL02'!$B$3=O$3,SUMIF('TL02'!$C$10:$C$224,$C136,'TL02'!$J$10:$J$224),0),
IF('TL02'!$B$229=O$3,SUMIF('TL02'!$C$238:$C$451,$C136,'TL02'!$J$238:$J$451),0),
IF('TL03'!$B$3=O$3,SUMIF('TL03'!$C$10:$C$224,$C136,'TL03'!$J$10:$J$224),0),
IF('TL03'!$B$229=O$3,SUMIF('TL03'!$C$238:$C$451,$C136,'TL03'!$J$238:$J$451),0),
IF('TL04'!$B$3=O$3,SUMIF('TL04'!$C$10:$C$224,$C136,'TL04'!$J$10:$J$224),0),
IF('TL04'!$B$229=O$3,SUMIF('TL04'!$C$238:$C$451,$C136,'TL04'!$J$238:$J$451),0),
IF('TL05'!$B$3=O$3,SUMIF('TL05'!$C$10:$C$224,$C136,'TL05'!$J$10:$J$224),0),
IF('TL05'!$B$229=O$3,SUMIF('TL05'!$C$238:$C$451,$C136,'TL05'!$J$238:$J$451),0),
IF('TL06'!$B$3=O$3,SUMIF('TL06'!$C$10:$C$224,$C136,'TL06'!$J$10:$J$224),0),
IF('TL06'!$B$229=O$3,SUMIF('TL06'!$C$238:$C$451,$C136,'TL06'!$J$238:$J$451),0),
IF('TL07'!$B$3=O$3,SUMIF('TL07'!$C$10:$C$224,$C136,'TL07'!$J$10:$J$224),0),
IF('TL07'!$B$229=O$3,SUMIF('TL07'!$C$238:$C$451,$C136,'TL07'!$J$238:$J$451),0),
IF('TL08'!$B$3=O$3,SUMIF('TL08'!$C$10:$C$224,$C136,'TL08'!$J$10:$J$224),0),
IF('TL08'!$B$229=O$3,SUMIF('TL08'!$C$238:$C$451,$C136,'TL08'!$J$238:$J$451),0),
IF('TL09'!$B$3=O$3,SUMIF('TL09'!$C$10:$C$224,$C136,'TL09'!$J$10:$J$224),0),
IF('TL09'!$B$229=O$3,SUMIF('TL09'!$C$238:$C$451,$C136,'TL09'!$J$238:$J$451),0),
IF('TL10'!$B$3=O$3,SUMIF('TL10'!$C$10:$C$224,$C136,'TL10'!$J$10:$J$224),0),
IF('TL10'!$B$229=O$3,SUMIF('TL10'!$C$238:$C$451,$C136,'TL10'!$J$238:$J$451),0),
IF('TL11'!$B$3=O$3,SUMIF('TL11'!$C$10:$C$224,$C136,'TL11'!$J$10:$J$224),0),
IF('TL11'!$B$229=O$3,SUMIF('TL11'!$C$238:$C$451,$C136,'TL11'!$J$238:$J$451),0),
IF('TL12'!$B$3=O$3,SUMIF('TL12'!$C$10:$C$224,$C136,'TL12'!$J$10:$J$224),0),
IF('TL12'!$B$229=O$3,SUMIF('TL12'!$C$238:$C$451,$C136,'TL12'!$J$238:$J$451),0),
IF('TL13'!$B$3=O$3,SUMIF('TL13'!$C$10:$C$224,$C136,'TL13'!$J$10:$J$224),0),
IF('TL13'!$B$229=O$3,SUMIF('TL13'!$C$238:$C$451,$C136,'TL13'!$J$238:$J$451),0),
IF('TL14'!$B$3=O$3,SUMIF('TL14'!$C$10:$C$224,$C136,'TL14'!$J$10:$J$224),0),
IF('TL14'!$B$229=O$3,SUMIF('TL14'!$C$238:$C$451,$C136,'TL14'!$J$238:$J$451),0),
IF('TL15'!$B$3=O$3,SUMIF('TL15'!$C$10:$C$224,$C136,'TL15'!$J$10:$J$224),0),
IF('TL15'!$B$229=O$3,SUMIF('TL15'!$C$238:$C$451,$C136,'TL15'!$J$238:$J$451),0),
IF('TL16'!$B$3=O$3,SUMIF('TL16'!$C$10:$C$224,$C136,'TL16'!$J$10:$J$224),0),
IF('TL16'!$B$229=O$3,SUMIF('TL16'!$C$238:$C$451,$C136,'TL16'!$J$238:$J$451),0),
IF('TL17'!$B$3=O$3,SUMIF('TL17'!$C$10:$C$224,$C136,'TL17'!$J$10:$J$224),0),
IF('TL17'!$B$229=O$3,SUMIF('TL17'!$C$238:$C$451,$C136,'TL17'!$J$238:$J$451),0),
IF('TL18'!$B$3=O$3,SUMIF('TL18'!$C$10:$C$224,$C136,'TL18'!$J$10:$J$224),0),
IF('TL18'!$B$229=O$3,SUMIF('TL18'!$C$238:$C$451,$C136,'TL18'!$J$238:$J$451),0),
IF('TL19'!$B$3=O$3,SUMIF('TL19'!$C$10:$C$224,$C136,'TL19'!$J$10:$J$224),0),
IF('TL19'!$B$229=O$3,SUMIF('TL19'!$C$238:$C$451,$C136,'TL19'!$J$238:$J$451),0)
),0)</f>
        <v/>
      </c>
      <c r="P136" s="9">
        <f>IFERROR(SUM(
IF('TL01'!$B$3=P$3,SUMIF('TL01'!$C$10:$C$224,$C136,'TL01'!$J$10:$J$224),0),
IF('TL01'!$B$229=P$3,SUMIF('TL01'!$C$238:$C$451,$C136,'TL01'!$J$238:$J$451),0),
IF('TL02'!$B$3=P$3,SUMIF('TL02'!$C$10:$C$224,$C136,'TL02'!$J$10:$J$224),0),
IF('TL02'!$B$229=P$3,SUMIF('TL02'!$C$238:$C$451,$C136,'TL02'!$J$238:$J$451),0),
IF('TL03'!$B$3=P$3,SUMIF('TL03'!$C$10:$C$224,$C136,'TL03'!$J$10:$J$224),0),
IF('TL03'!$B$229=P$3,SUMIF('TL03'!$C$238:$C$451,$C136,'TL03'!$J$238:$J$451),0),
IF('TL04'!$B$3=P$3,SUMIF('TL04'!$C$10:$C$224,$C136,'TL04'!$J$10:$J$224),0),
IF('TL04'!$B$229=P$3,SUMIF('TL04'!$C$238:$C$451,$C136,'TL04'!$J$238:$J$451),0),
IF('TL05'!$B$3=P$3,SUMIF('TL05'!$C$10:$C$224,$C136,'TL05'!$J$10:$J$224),0),
IF('TL05'!$B$229=P$3,SUMIF('TL05'!$C$238:$C$451,$C136,'TL05'!$J$238:$J$451),0),
IF('TL06'!$B$3=P$3,SUMIF('TL06'!$C$10:$C$224,$C136,'TL06'!$J$10:$J$224),0),
IF('TL06'!$B$229=P$3,SUMIF('TL06'!$C$238:$C$451,$C136,'TL06'!$J$238:$J$451),0),
IF('TL07'!$B$3=P$3,SUMIF('TL07'!$C$10:$C$224,$C136,'TL07'!$J$10:$J$224),0),
IF('TL07'!$B$229=P$3,SUMIF('TL07'!$C$238:$C$451,$C136,'TL07'!$J$238:$J$451),0),
IF('TL08'!$B$3=P$3,SUMIF('TL08'!$C$10:$C$224,$C136,'TL08'!$J$10:$J$224),0),
IF('TL08'!$B$229=P$3,SUMIF('TL08'!$C$238:$C$451,$C136,'TL08'!$J$238:$J$451),0),
IF('TL09'!$B$3=P$3,SUMIF('TL09'!$C$10:$C$224,$C136,'TL09'!$J$10:$J$224),0),
IF('TL09'!$B$229=P$3,SUMIF('TL09'!$C$238:$C$451,$C136,'TL09'!$J$238:$J$451),0),
IF('TL10'!$B$3=P$3,SUMIF('TL10'!$C$10:$C$224,$C136,'TL10'!$J$10:$J$224),0),
IF('TL10'!$B$229=P$3,SUMIF('TL10'!$C$238:$C$451,$C136,'TL10'!$J$238:$J$451),0),
IF('TL11'!$B$3=P$3,SUMIF('TL11'!$C$10:$C$224,$C136,'TL11'!$J$10:$J$224),0),
IF('TL11'!$B$229=P$3,SUMIF('TL11'!$C$238:$C$451,$C136,'TL11'!$J$238:$J$451),0),
IF('TL12'!$B$3=P$3,SUMIF('TL12'!$C$10:$C$224,$C136,'TL12'!$J$10:$J$224),0),
IF('TL12'!$B$229=P$3,SUMIF('TL12'!$C$238:$C$451,$C136,'TL12'!$J$238:$J$451),0),
IF('TL13'!$B$3=P$3,SUMIF('TL13'!$C$10:$C$224,$C136,'TL13'!$J$10:$J$224),0),
IF('TL13'!$B$229=P$3,SUMIF('TL13'!$C$238:$C$451,$C136,'TL13'!$J$238:$J$451),0),
IF('TL14'!$B$3=P$3,SUMIF('TL14'!$C$10:$C$224,$C136,'TL14'!$J$10:$J$224),0),
IF('TL14'!$B$229=P$3,SUMIF('TL14'!$C$238:$C$451,$C136,'TL14'!$J$238:$J$451),0),
IF('TL15'!$B$3=P$3,SUMIF('TL15'!$C$10:$C$224,$C136,'TL15'!$J$10:$J$224),0),
IF('TL15'!$B$229=P$3,SUMIF('TL15'!$C$238:$C$451,$C136,'TL15'!$J$238:$J$451),0),
IF('TL16'!$B$3=P$3,SUMIF('TL16'!$C$10:$C$224,$C136,'TL16'!$J$10:$J$224),0),
IF('TL16'!$B$229=P$3,SUMIF('TL16'!$C$238:$C$451,$C136,'TL16'!$J$238:$J$451),0),
IF('TL17'!$B$3=P$3,SUMIF('TL17'!$C$10:$C$224,$C136,'TL17'!$J$10:$J$224),0),
IF('TL17'!$B$229=P$3,SUMIF('TL17'!$C$238:$C$451,$C136,'TL17'!$J$238:$J$451),0),
IF('TL18'!$B$3=P$3,SUMIF('TL18'!$C$10:$C$224,$C136,'TL18'!$J$10:$J$224),0),
IF('TL18'!$B$229=P$3,SUMIF('TL18'!$C$238:$C$451,$C136,'TL18'!$J$238:$J$451),0),
IF('TL19'!$B$3=P$3,SUMIF('TL19'!$C$10:$C$224,$C136,'TL19'!$J$10:$J$224),0),
IF('TL19'!$B$229=P$3,SUMIF('TL19'!$C$238:$C$451,$C136,'TL19'!$J$238:$J$451),0)
),0)</f>
        <v/>
      </c>
      <c r="Q136" s="9">
        <f>IFERROR(SUM(
IF('TL01'!$B$3=Q$3,SUMIF('TL01'!$C$10:$C$224,$C136,'TL01'!$J$10:$J$224),0),
IF('TL01'!$B$229=Q$3,SUMIF('TL01'!$C$238:$C$451,$C136,'TL01'!$J$238:$J$451),0),
IF('TL02'!$B$3=Q$3,SUMIF('TL02'!$C$10:$C$224,$C136,'TL02'!$J$10:$J$224),0),
IF('TL02'!$B$229=Q$3,SUMIF('TL02'!$C$238:$C$451,$C136,'TL02'!$J$238:$J$451),0),
IF('TL03'!$B$3=Q$3,SUMIF('TL03'!$C$10:$C$224,$C136,'TL03'!$J$10:$J$224),0),
IF('TL03'!$B$229=Q$3,SUMIF('TL03'!$C$238:$C$451,$C136,'TL03'!$J$238:$J$451),0),
IF('TL04'!$B$3=Q$3,SUMIF('TL04'!$C$10:$C$224,$C136,'TL04'!$J$10:$J$224),0),
IF('TL04'!$B$229=Q$3,SUMIF('TL04'!$C$238:$C$451,$C136,'TL04'!$J$238:$J$451),0),
IF('TL05'!$B$3=Q$3,SUMIF('TL05'!$C$10:$C$224,$C136,'TL05'!$J$10:$J$224),0),
IF('TL05'!$B$229=Q$3,SUMIF('TL05'!$C$238:$C$451,$C136,'TL05'!$J$238:$J$451),0),
IF('TL06'!$B$3=Q$3,SUMIF('TL06'!$C$10:$C$224,$C136,'TL06'!$J$10:$J$224),0),
IF('TL06'!$B$229=Q$3,SUMIF('TL06'!$C$238:$C$451,$C136,'TL06'!$J$238:$J$451),0),
IF('TL07'!$B$3=Q$3,SUMIF('TL07'!$C$10:$C$224,$C136,'TL07'!$J$10:$J$224),0),
IF('TL07'!$B$229=Q$3,SUMIF('TL07'!$C$238:$C$451,$C136,'TL07'!$J$238:$J$451),0),
IF('TL08'!$B$3=Q$3,SUMIF('TL08'!$C$10:$C$224,$C136,'TL08'!$J$10:$J$224),0),
IF('TL08'!$B$229=Q$3,SUMIF('TL08'!$C$238:$C$451,$C136,'TL08'!$J$238:$J$451),0),
IF('TL09'!$B$3=Q$3,SUMIF('TL09'!$C$10:$C$224,$C136,'TL09'!$J$10:$J$224),0),
IF('TL09'!$B$229=Q$3,SUMIF('TL09'!$C$238:$C$451,$C136,'TL09'!$J$238:$J$451),0),
IF('TL10'!$B$3=Q$3,SUMIF('TL10'!$C$10:$C$224,$C136,'TL10'!$J$10:$J$224),0),
IF('TL10'!$B$229=Q$3,SUMIF('TL10'!$C$238:$C$451,$C136,'TL10'!$J$238:$J$451),0),
IF('TL11'!$B$3=Q$3,SUMIF('TL11'!$C$10:$C$224,$C136,'TL11'!$J$10:$J$224),0),
IF('TL11'!$B$229=Q$3,SUMIF('TL11'!$C$238:$C$451,$C136,'TL11'!$J$238:$J$451),0),
IF('TL12'!$B$3=Q$3,SUMIF('TL12'!$C$10:$C$224,$C136,'TL12'!$J$10:$J$224),0),
IF('TL12'!$B$229=Q$3,SUMIF('TL12'!$C$238:$C$451,$C136,'TL12'!$J$238:$J$451),0),
IF('TL13'!$B$3=Q$3,SUMIF('TL13'!$C$10:$C$224,$C136,'TL13'!$J$10:$J$224),0),
IF('TL13'!$B$229=Q$3,SUMIF('TL13'!$C$238:$C$451,$C136,'TL13'!$J$238:$J$451),0),
IF('TL14'!$B$3=Q$3,SUMIF('TL14'!$C$10:$C$224,$C136,'TL14'!$J$10:$J$224),0),
IF('TL14'!$B$229=Q$3,SUMIF('TL14'!$C$238:$C$451,$C136,'TL14'!$J$238:$J$451),0),
IF('TL15'!$B$3=Q$3,SUMIF('TL15'!$C$10:$C$224,$C136,'TL15'!$J$10:$J$224),0),
IF('TL15'!$B$229=Q$3,SUMIF('TL15'!$C$238:$C$451,$C136,'TL15'!$J$238:$J$451),0),
IF('TL16'!$B$3=Q$3,SUMIF('TL16'!$C$10:$C$224,$C136,'TL16'!$J$10:$J$224),0),
IF('TL16'!$B$229=Q$3,SUMIF('TL16'!$C$238:$C$451,$C136,'TL16'!$J$238:$J$451),0),
IF('TL17'!$B$3=Q$3,SUMIF('TL17'!$C$10:$C$224,$C136,'TL17'!$J$10:$J$224),0),
IF('TL17'!$B$229=Q$3,SUMIF('TL17'!$C$238:$C$451,$C136,'TL17'!$J$238:$J$451),0),
IF('TL18'!$B$3=Q$3,SUMIF('TL18'!$C$10:$C$224,$C136,'TL18'!$J$10:$J$224),0),
IF('TL18'!$B$229=Q$3,SUMIF('TL18'!$C$238:$C$451,$C136,'TL18'!$J$238:$J$451),0),
IF('TL19'!$B$3=Q$3,SUMIF('TL19'!$C$10:$C$224,$C136,'TL19'!$J$10:$J$224),0),
IF('TL19'!$B$229=Q$3,SUMIF('TL19'!$C$238:$C$451,$C136,'TL19'!$J$238:$J$451),0)
),0)</f>
        <v/>
      </c>
      <c r="R136" s="9">
        <f>IFERROR(
SUM(
SUMIF('TL01'!C:C,C136,'TL01'!J:J),
SUMIF('TL02'!C:C,C136,'TL02'!J:J),
SUMIF('TL03'!C:C,C136,'TL03'!J:J),
SUMIF('TL04'!C:C,C136,'TL04'!J:J),
SUMIF('TL05'!C:C,C136,'TL05'!J:J),
SUMIF('TL06'!C:C,C136,'TL06'!J:J),
SUMIF('TL07'!C:C,C136,'TL07'!J:J),
SUMIF('TL08'!C:C,C136,'TL08'!J:J),
SUMIF('TL09'!C:C,C136,'TL09'!J:J),
SUMIF('TL10'!C:C,C136,'TL10'!J:J),
SUMIF('TL11'!C:C,C136,'TL11'!J:J),
SUMIF('TL12'!C:C,C136,'TL12'!J:J),
SUMIF('TL13'!C:C,C136,'TL13'!J:J),
SUMIF('TL14'!C:C,C136,'TL14'!J:J),
SUMIF('TL15'!C:C,C136,'TL15'!J:J),
SUMIF('TL16'!C:C,C136,'TL16'!J:J),
SUMIF('TL17'!C:C,C136,'TL17'!J:J),
SUMIF('TL18'!C:C,C136,'TL18'!J:J),SUMIF('TL19'!C:C,C136,'TL19'!J:J))
,0)</f>
        <v/>
      </c>
      <c r="S136" s="17">
        <f>IFERROR(__xludf.DUMMYFUNCTION("IFERROR(VLOOKUP(C136,
IMPORTRANGE(""1wULbzX32WdYsx-lj2U3uUNBBe2INVIRDtcK0d-Dvl90"",
""26-27!C:G""),
5,
FALSE),
"""")"),30.52836)</f>
        <v/>
      </c>
      <c r="T136" s="9" t="n"/>
      <c r="U136" s="92">
        <f>MAX(0,R136-T136)</f>
        <v/>
      </c>
      <c r="V136" s="93">
        <f>U136*S136</f>
        <v/>
      </c>
    </row>
    <row r="137" hidden="1" ht="15.75" customHeight="1" s="297">
      <c r="A137" s="111" t="inlineStr">
        <is>
          <t>CORTEVA/SOMAX</t>
        </is>
      </c>
      <c r="B137" s="112" t="inlineStr">
        <is>
          <t>HERBICIDA</t>
        </is>
      </c>
      <c r="C137" s="113" t="inlineStr">
        <is>
          <t>CLETODIM 240 EC BRILLIANCE</t>
        </is>
      </c>
      <c r="D137" s="113" t="inlineStr">
        <is>
          <t>CLETODIM</t>
        </is>
      </c>
      <c r="E137" s="113" t="n">
        <v>240</v>
      </c>
      <c r="F137" s="4" t="inlineStr">
        <is>
          <t>L</t>
        </is>
      </c>
      <c r="G137" s="90">
        <f>HYPERLINK("https://www.google.com/search?q=" &amp; C137 &amp; "+bula+agrofit+pdf", "📄 Ver bula")</f>
        <v/>
      </c>
      <c r="H137" s="9" t="n">
        <v>0.4</v>
      </c>
      <c r="I137" s="114" t="inlineStr">
        <is>
          <t>1x20</t>
        </is>
      </c>
      <c r="J137" s="9">
        <f>IFERROR(SUM(
IF('TL01'!$B$3=J$3,SUMIF('TL01'!$C$10:$C$224,$C137,'TL01'!$J$10:$J$224),0),
IF('TL01'!$B$229=J$3,SUMIF('TL01'!$C$238:$C$451,$C137,'TL01'!$J$238:$J$451),0),
IF('TL02'!$B$3=J$3,SUMIF('TL02'!$C$10:$C$224,$C137,'TL02'!$J$10:$J$224),0),
IF('TL02'!$B$229=J$3,SUMIF('TL02'!$C$238:$C$451,$C137,'TL02'!$J$238:$J$451),0),
IF('TL03'!$B$3=J$3,SUMIF('TL03'!$C$10:$C$224,$C137,'TL03'!$J$10:$J$224),0),
IF('TL03'!$B$229=J$3,SUMIF('TL03'!$C$238:$C$451,$C137,'TL03'!$J$238:$J$451),0),
IF('TL04'!$B$3=J$3,SUMIF('TL04'!$C$10:$C$224,$C137,'TL04'!$J$10:$J$224),0),
IF('TL04'!$B$229=J$3,SUMIF('TL04'!$C$238:$C$451,$C137,'TL04'!$J$238:$J$451),0),
IF('TL05'!$B$3=J$3,SUMIF('TL05'!$C$10:$C$224,$C137,'TL05'!$J$10:$J$224),0),
IF('TL05'!$B$229=J$3,SUMIF('TL05'!$C$238:$C$451,$C137,'TL05'!$J$238:$J$451),0),
IF('TL06'!$B$3=J$3,SUMIF('TL06'!$C$10:$C$224,$C137,'TL06'!$J$10:$J$224),0),
IF('TL06'!$B$229=J$3,SUMIF('TL06'!$C$238:$C$451,$C137,'TL06'!$J$238:$J$451),0),
IF('TL07'!$B$3=J$3,SUMIF('TL07'!$C$10:$C$224,$C137,'TL07'!$J$10:$J$224),0),
IF('TL07'!$B$229=J$3,SUMIF('TL07'!$C$238:$C$451,$C137,'TL07'!$J$238:$J$451),0),
IF('TL08'!$B$3=J$3,SUMIF('TL08'!$C$10:$C$224,$C137,'TL08'!$J$10:$J$224),0),
IF('TL08'!$B$229=J$3,SUMIF('TL08'!$C$238:$C$451,$C137,'TL08'!$J$238:$J$451),0),
IF('TL09'!$B$3=J$3,SUMIF('TL09'!$C$10:$C$224,$C137,'TL09'!$J$10:$J$224),0),
IF('TL09'!$B$229=J$3,SUMIF('TL09'!$C$238:$C$451,$C137,'TL09'!$J$238:$J$451),0),
IF('TL10'!$B$3=J$3,SUMIF('TL10'!$C$10:$C$224,$C137,'TL10'!$J$10:$J$224),0),
IF('TL10'!$B$229=J$3,SUMIF('TL10'!$C$238:$C$451,$C137,'TL10'!$J$238:$J$451),0),
IF('TL11'!$B$3=J$3,SUMIF('TL11'!$C$10:$C$224,$C137,'TL11'!$J$10:$J$224),0),
IF('TL11'!$B$229=J$3,SUMIF('TL11'!$C$238:$C$451,$C137,'TL11'!$J$238:$J$451),0),
IF('TL12'!$B$3=J$3,SUMIF('TL12'!$C$10:$C$224,$C137,'TL12'!$J$10:$J$224),0),
IF('TL12'!$B$229=J$3,SUMIF('TL12'!$C$238:$C$451,$C137,'TL12'!$J$238:$J$451),0),
IF('TL13'!$B$3=J$3,SUMIF('TL13'!$C$10:$C$224,$C137,'TL13'!$J$10:$J$224),0),
IF('TL13'!$B$229=J$3,SUMIF('TL13'!$C$238:$C$451,$C137,'TL13'!$J$238:$J$451),0),
IF('TL14'!$B$3=J$3,SUMIF('TL14'!$C$10:$C$224,$C137,'TL14'!$J$10:$J$224),0),
IF('TL14'!$B$229=J$3,SUMIF('TL14'!$C$238:$C$451,$C137,'TL14'!$J$238:$J$451),0),
IF('TL15'!$B$3=J$3,SUMIF('TL15'!$C$10:$C$224,$C137,'TL15'!$J$10:$J$224),0),
IF('TL15'!$B$229=J$3,SUMIF('TL15'!$C$238:$C$451,$C137,'TL15'!$J$238:$J$451),0),
IF('TL16'!$B$3=J$3,SUMIF('TL16'!$C$10:$C$224,$C137,'TL16'!$J$10:$J$224),0),
IF('TL16'!$B$229=J$3,SUMIF('TL16'!$C$238:$C$451,$C137,'TL16'!$J$238:$J$451),0),
IF('TL17'!$B$3=J$3,SUMIF('TL17'!$C$10:$C$224,$C137,'TL17'!$J$10:$J$224),0),
IF('TL17'!$B$229=J$3,SUMIF('TL17'!$C$238:$C$451,$C137,'TL17'!$J$238:$J$451),0),
IF('TL18'!$B$3=J$3,SUMIF('TL18'!$C$10:$C$224,$C137,'TL18'!$J$10:$J$224),0),
IF('TL18'!$B$229=J$3,SUMIF('TL18'!$C$238:$C$451,$C137,'TL18'!$J$238:$J$451),0),
IF('TL19'!$B$3=J$3,SUMIF('TL19'!$C$10:$C$224,$C137,'TL19'!$J$10:$J$224),0),
IF('TL19'!$B$229=J$3,SUMIF('TL19'!$C$238:$C$451,$C137,'TL19'!$J$238:$J$451),0)
),0)</f>
        <v/>
      </c>
      <c r="K137" s="9">
        <f>IFERROR(SUM(
IF('TL01'!$B$3=K$3,SUMIF('TL01'!$C$10:$C$224,$C137,'TL01'!$J$10:$J$224),0),
IF('TL01'!$B$229=K$3,SUMIF('TL01'!$C$238:$C$451,$C137,'TL01'!$J$238:$J$451),0),
IF('TL02'!$B$3=K$3,SUMIF('TL02'!$C$10:$C$224,$C137,'TL02'!$J$10:$J$224),0),
IF('TL02'!$B$229=K$3,SUMIF('TL02'!$C$238:$C$451,$C137,'TL02'!$J$238:$J$451),0),
IF('TL03'!$B$3=K$3,SUMIF('TL03'!$C$10:$C$224,$C137,'TL03'!$J$10:$J$224),0),
IF('TL03'!$B$229=K$3,SUMIF('TL03'!$C$238:$C$451,$C137,'TL03'!$J$238:$J$451),0),
IF('TL04'!$B$3=K$3,SUMIF('TL04'!$C$10:$C$224,$C137,'TL04'!$J$10:$J$224),0),
IF('TL04'!$B$229=K$3,SUMIF('TL04'!$C$238:$C$451,$C137,'TL04'!$J$238:$J$451),0),
IF('TL05'!$B$3=K$3,SUMIF('TL05'!$C$10:$C$224,$C137,'TL05'!$J$10:$J$224),0),
IF('TL05'!$B$229=K$3,SUMIF('TL05'!$C$238:$C$451,$C137,'TL05'!$J$238:$J$451),0),
IF('TL06'!$B$3=K$3,SUMIF('TL06'!$C$10:$C$224,$C137,'TL06'!$J$10:$J$224),0),
IF('TL06'!$B$229=K$3,SUMIF('TL06'!$C$238:$C$451,$C137,'TL06'!$J$238:$J$451),0),
IF('TL07'!$B$3=K$3,SUMIF('TL07'!$C$10:$C$224,$C137,'TL07'!$J$10:$J$224),0),
IF('TL07'!$B$229=K$3,SUMIF('TL07'!$C$238:$C$451,$C137,'TL07'!$J$238:$J$451),0),
IF('TL08'!$B$3=K$3,SUMIF('TL08'!$C$10:$C$224,$C137,'TL08'!$J$10:$J$224),0),
IF('TL08'!$B$229=K$3,SUMIF('TL08'!$C$238:$C$451,$C137,'TL08'!$J$238:$J$451),0),
IF('TL09'!$B$3=K$3,SUMIF('TL09'!$C$10:$C$224,$C137,'TL09'!$J$10:$J$224),0),
IF('TL09'!$B$229=K$3,SUMIF('TL09'!$C$238:$C$451,$C137,'TL09'!$J$238:$J$451),0),
IF('TL10'!$B$3=K$3,SUMIF('TL10'!$C$10:$C$224,$C137,'TL10'!$J$10:$J$224),0),
IF('TL10'!$B$229=K$3,SUMIF('TL10'!$C$238:$C$451,$C137,'TL10'!$J$238:$J$451),0),
IF('TL11'!$B$3=K$3,SUMIF('TL11'!$C$10:$C$224,$C137,'TL11'!$J$10:$J$224),0),
IF('TL11'!$B$229=K$3,SUMIF('TL11'!$C$238:$C$451,$C137,'TL11'!$J$238:$J$451),0),
IF('TL12'!$B$3=K$3,SUMIF('TL12'!$C$10:$C$224,$C137,'TL12'!$J$10:$J$224),0),
IF('TL12'!$B$229=K$3,SUMIF('TL12'!$C$238:$C$451,$C137,'TL12'!$J$238:$J$451),0),
IF('TL13'!$B$3=K$3,SUMIF('TL13'!$C$10:$C$224,$C137,'TL13'!$J$10:$J$224),0),
IF('TL13'!$B$229=K$3,SUMIF('TL13'!$C$238:$C$451,$C137,'TL13'!$J$238:$J$451),0),
IF('TL14'!$B$3=K$3,SUMIF('TL14'!$C$10:$C$224,$C137,'TL14'!$J$10:$J$224),0),
IF('TL14'!$B$229=K$3,SUMIF('TL14'!$C$238:$C$451,$C137,'TL14'!$J$238:$J$451),0),
IF('TL15'!$B$3=K$3,SUMIF('TL15'!$C$10:$C$224,$C137,'TL15'!$J$10:$J$224),0),
IF('TL15'!$B$229=K$3,SUMIF('TL15'!$C$238:$C$451,$C137,'TL15'!$J$238:$J$451),0),
IF('TL16'!$B$3=K$3,SUMIF('TL16'!$C$10:$C$224,$C137,'TL16'!$J$10:$J$224),0),
IF('TL16'!$B$229=K$3,SUMIF('TL16'!$C$238:$C$451,$C137,'TL16'!$J$238:$J$451),0),
IF('TL17'!$B$3=K$3,SUMIF('TL17'!$C$10:$C$224,$C137,'TL17'!$J$10:$J$224),0),
IF('TL17'!$B$229=K$3,SUMIF('TL17'!$C$238:$C$451,$C137,'TL17'!$J$238:$J$451),0),
IF('TL18'!$B$3=K$3,SUMIF('TL18'!$C$10:$C$224,$C137,'TL18'!$J$10:$J$224),0),
IF('TL18'!$B$229=K$3,SUMIF('TL18'!$C$238:$C$451,$C137,'TL18'!$J$238:$J$451),0),
IF('TL19'!$B$3=K$3,SUMIF('TL19'!$C$10:$C$224,$C137,'TL19'!$J$10:$J$224),0),
IF('TL19'!$B$229=K$3,SUMIF('TL19'!$C$238:$C$451,$C137,'TL19'!$J$238:$J$451),0)
),0)</f>
        <v/>
      </c>
      <c r="L137" s="9">
        <f>IFERROR(SUM(
IF('TL01'!$B$3=L$3,SUMIF('TL01'!$C$10:$C$224,$C137,'TL01'!$J$10:$J$224),0),
IF('TL01'!$B$229=L$3,SUMIF('TL01'!$C$238:$C$451,$C137,'TL01'!$J$238:$J$451),0),
IF('TL02'!$B$3=L$3,SUMIF('TL02'!$C$10:$C$224,$C137,'TL02'!$J$10:$J$224),0),
IF('TL02'!$B$229=L$3,SUMIF('TL02'!$C$238:$C$451,$C137,'TL02'!$J$238:$J$451),0),
IF('TL03'!$B$3=L$3,SUMIF('TL03'!$C$10:$C$224,$C137,'TL03'!$J$10:$J$224),0),
IF('TL03'!$B$229=L$3,SUMIF('TL03'!$C$238:$C$451,$C137,'TL03'!$J$238:$J$451),0),
IF('TL04'!$B$3=L$3,SUMIF('TL04'!$C$10:$C$224,$C137,'TL04'!$J$10:$J$224),0),
IF('TL04'!$B$229=L$3,SUMIF('TL04'!$C$238:$C$451,$C137,'TL04'!$J$238:$J$451),0),
IF('TL05'!$B$3=L$3,SUMIF('TL05'!$C$10:$C$224,$C137,'TL05'!$J$10:$J$224),0),
IF('TL05'!$B$229=L$3,SUMIF('TL05'!$C$238:$C$451,$C137,'TL05'!$J$238:$J$451),0),
IF('TL06'!$B$3=L$3,SUMIF('TL06'!$C$10:$C$224,$C137,'TL06'!$J$10:$J$224),0),
IF('TL06'!$B$229=L$3,SUMIF('TL06'!$C$238:$C$451,$C137,'TL06'!$J$238:$J$451),0),
IF('TL07'!$B$3=L$3,SUMIF('TL07'!$C$10:$C$224,$C137,'TL07'!$J$10:$J$224),0),
IF('TL07'!$B$229=L$3,SUMIF('TL07'!$C$238:$C$451,$C137,'TL07'!$J$238:$J$451),0),
IF('TL08'!$B$3=L$3,SUMIF('TL08'!$C$10:$C$224,$C137,'TL08'!$J$10:$J$224),0),
IF('TL08'!$B$229=L$3,SUMIF('TL08'!$C$238:$C$451,$C137,'TL08'!$J$238:$J$451),0),
IF('TL09'!$B$3=L$3,SUMIF('TL09'!$C$10:$C$224,$C137,'TL09'!$J$10:$J$224),0),
IF('TL09'!$B$229=L$3,SUMIF('TL09'!$C$238:$C$451,$C137,'TL09'!$J$238:$J$451),0),
IF('TL10'!$B$3=L$3,SUMIF('TL10'!$C$10:$C$224,$C137,'TL10'!$J$10:$J$224),0),
IF('TL10'!$B$229=L$3,SUMIF('TL10'!$C$238:$C$451,$C137,'TL10'!$J$238:$J$451),0),
IF('TL11'!$B$3=L$3,SUMIF('TL11'!$C$10:$C$224,$C137,'TL11'!$J$10:$J$224),0),
IF('TL11'!$B$229=L$3,SUMIF('TL11'!$C$238:$C$451,$C137,'TL11'!$J$238:$J$451),0),
IF('TL12'!$B$3=L$3,SUMIF('TL12'!$C$10:$C$224,$C137,'TL12'!$J$10:$J$224),0),
IF('TL12'!$B$229=L$3,SUMIF('TL12'!$C$238:$C$451,$C137,'TL12'!$J$238:$J$451),0),
IF('TL13'!$B$3=L$3,SUMIF('TL13'!$C$10:$C$224,$C137,'TL13'!$J$10:$J$224),0),
IF('TL13'!$B$229=L$3,SUMIF('TL13'!$C$238:$C$451,$C137,'TL13'!$J$238:$J$451),0),
IF('TL14'!$B$3=L$3,SUMIF('TL14'!$C$10:$C$224,$C137,'TL14'!$J$10:$J$224),0),
IF('TL14'!$B$229=L$3,SUMIF('TL14'!$C$238:$C$451,$C137,'TL14'!$J$238:$J$451),0),
IF('TL15'!$B$3=L$3,SUMIF('TL15'!$C$10:$C$224,$C137,'TL15'!$J$10:$J$224),0),
IF('TL15'!$B$229=L$3,SUMIF('TL15'!$C$238:$C$451,$C137,'TL15'!$J$238:$J$451),0),
IF('TL16'!$B$3=L$3,SUMIF('TL16'!$C$10:$C$224,$C137,'TL16'!$J$10:$J$224),0),
IF('TL16'!$B$229=L$3,SUMIF('TL16'!$C$238:$C$451,$C137,'TL16'!$J$238:$J$451),0),
IF('TL17'!$B$3=L$3,SUMIF('TL17'!$C$10:$C$224,$C137,'TL17'!$J$10:$J$224),0),
IF('TL17'!$B$229=L$3,SUMIF('TL17'!$C$238:$C$451,$C137,'TL17'!$J$238:$J$451),0),
IF('TL18'!$B$3=L$3,SUMIF('TL18'!$C$10:$C$224,$C137,'TL18'!$J$10:$J$224),0),
IF('TL18'!$B$229=L$3,SUMIF('TL18'!$C$238:$C$451,$C137,'TL18'!$J$238:$J$451),0),
IF('TL19'!$B$3=L$3,SUMIF('TL19'!$C$10:$C$224,$C137,'TL19'!$J$10:$J$224),0),
IF('TL19'!$B$229=L$3,SUMIF('TL19'!$C$238:$C$451,$C137,'TL19'!$J$238:$J$451),0)
),0)</f>
        <v/>
      </c>
      <c r="M137" s="9">
        <f>IFERROR(SUM(
IF('TL01'!$B$3=M$3,SUMIF('TL01'!$C$10:$C$224,$C137,'TL01'!$J$10:$J$224),0),
IF('TL01'!$B$229=M$3,SUMIF('TL01'!$C$238:$C$451,$C137,'TL01'!$J$238:$J$451),0),
IF('TL02'!$B$3=M$3,SUMIF('TL02'!$C$10:$C$224,$C137,'TL02'!$J$10:$J$224),0),
IF('TL02'!$B$229=M$3,SUMIF('TL02'!$C$238:$C$451,$C137,'TL02'!$J$238:$J$451),0),
IF('TL03'!$B$3=M$3,SUMIF('TL03'!$C$10:$C$224,$C137,'TL03'!$J$10:$J$224),0),
IF('TL03'!$B$229=M$3,SUMIF('TL03'!$C$238:$C$451,$C137,'TL03'!$J$238:$J$451),0),
IF('TL04'!$B$3=M$3,SUMIF('TL04'!$C$10:$C$224,$C137,'TL04'!$J$10:$J$224),0),
IF('TL04'!$B$229=M$3,SUMIF('TL04'!$C$238:$C$451,$C137,'TL04'!$J$238:$J$451),0),
IF('TL05'!$B$3=M$3,SUMIF('TL05'!$C$10:$C$224,$C137,'TL05'!$J$10:$J$224),0),
IF('TL05'!$B$229=M$3,SUMIF('TL05'!$C$238:$C$451,$C137,'TL05'!$J$238:$J$451),0),
IF('TL06'!$B$3=M$3,SUMIF('TL06'!$C$10:$C$224,$C137,'TL06'!$J$10:$J$224),0),
IF('TL06'!$B$229=M$3,SUMIF('TL06'!$C$238:$C$451,$C137,'TL06'!$J$238:$J$451),0),
IF('TL07'!$B$3=M$3,SUMIF('TL07'!$C$10:$C$224,$C137,'TL07'!$J$10:$J$224),0),
IF('TL07'!$B$229=M$3,SUMIF('TL07'!$C$238:$C$451,$C137,'TL07'!$J$238:$J$451),0),
IF('TL08'!$B$3=M$3,SUMIF('TL08'!$C$10:$C$224,$C137,'TL08'!$J$10:$J$224),0),
IF('TL08'!$B$229=M$3,SUMIF('TL08'!$C$238:$C$451,$C137,'TL08'!$J$238:$J$451),0),
IF('TL09'!$B$3=M$3,SUMIF('TL09'!$C$10:$C$224,$C137,'TL09'!$J$10:$J$224),0),
IF('TL09'!$B$229=M$3,SUMIF('TL09'!$C$238:$C$451,$C137,'TL09'!$J$238:$J$451),0),
IF('TL10'!$B$3=M$3,SUMIF('TL10'!$C$10:$C$224,$C137,'TL10'!$J$10:$J$224),0),
IF('TL10'!$B$229=M$3,SUMIF('TL10'!$C$238:$C$451,$C137,'TL10'!$J$238:$J$451),0),
IF('TL11'!$B$3=M$3,SUMIF('TL11'!$C$10:$C$224,$C137,'TL11'!$J$10:$J$224),0),
IF('TL11'!$B$229=M$3,SUMIF('TL11'!$C$238:$C$451,$C137,'TL11'!$J$238:$J$451),0),
IF('TL12'!$B$3=M$3,SUMIF('TL12'!$C$10:$C$224,$C137,'TL12'!$J$10:$J$224),0),
IF('TL12'!$B$229=M$3,SUMIF('TL12'!$C$238:$C$451,$C137,'TL12'!$J$238:$J$451),0),
IF('TL13'!$B$3=M$3,SUMIF('TL13'!$C$10:$C$224,$C137,'TL13'!$J$10:$J$224),0),
IF('TL13'!$B$229=M$3,SUMIF('TL13'!$C$238:$C$451,$C137,'TL13'!$J$238:$J$451),0),
IF('TL14'!$B$3=M$3,SUMIF('TL14'!$C$10:$C$224,$C137,'TL14'!$J$10:$J$224),0),
IF('TL14'!$B$229=M$3,SUMIF('TL14'!$C$238:$C$451,$C137,'TL14'!$J$238:$J$451),0),
IF('TL15'!$B$3=M$3,SUMIF('TL15'!$C$10:$C$224,$C137,'TL15'!$J$10:$J$224),0),
IF('TL15'!$B$229=M$3,SUMIF('TL15'!$C$238:$C$451,$C137,'TL15'!$J$238:$J$451),0),
IF('TL16'!$B$3=M$3,SUMIF('TL16'!$C$10:$C$224,$C137,'TL16'!$J$10:$J$224),0),
IF('TL16'!$B$229=M$3,SUMIF('TL16'!$C$238:$C$451,$C137,'TL16'!$J$238:$J$451),0),
IF('TL17'!$B$3=M$3,SUMIF('TL17'!$C$10:$C$224,$C137,'TL17'!$J$10:$J$224),0),
IF('TL17'!$B$229=M$3,SUMIF('TL17'!$C$238:$C$451,$C137,'TL17'!$J$238:$J$451),0),
IF('TL18'!$B$3=M$3,SUMIF('TL18'!$C$10:$C$224,$C137,'TL18'!$J$10:$J$224),0),
IF('TL18'!$B$229=M$3,SUMIF('TL18'!$C$238:$C$451,$C137,'TL18'!$J$238:$J$451),0),
IF('TL19'!$B$3=M$3,SUMIF('TL19'!$C$10:$C$224,$C137,'TL19'!$J$10:$J$224),0),
IF('TL19'!$B$229=M$3,SUMIF('TL19'!$C$238:$C$451,$C137,'TL19'!$J$238:$J$451),0)
),0)</f>
        <v/>
      </c>
      <c r="N137" s="9">
        <f>IFERROR(SUM(
IF('TL01'!$B$3=N$3,SUMIF('TL01'!$C$10:$C$224,$C137,'TL01'!$J$10:$J$224),0),
IF('TL01'!$B$229=N$3,SUMIF('TL01'!$C$238:$C$451,$C137,'TL01'!$J$238:$J$451),0),
IF('TL02'!$B$3=N$3,SUMIF('TL02'!$C$10:$C$224,$C137,'TL02'!$J$10:$J$224),0),
IF('TL02'!$B$229=N$3,SUMIF('TL02'!$C$238:$C$451,$C137,'TL02'!$J$238:$J$451),0),
IF('TL03'!$B$3=N$3,SUMIF('TL03'!$C$10:$C$224,$C137,'TL03'!$J$10:$J$224),0),
IF('TL03'!$B$229=N$3,SUMIF('TL03'!$C$238:$C$451,$C137,'TL03'!$J$238:$J$451),0),
IF('TL04'!$B$3=N$3,SUMIF('TL04'!$C$10:$C$224,$C137,'TL04'!$J$10:$J$224),0),
IF('TL04'!$B$229=N$3,SUMIF('TL04'!$C$238:$C$451,$C137,'TL04'!$J$238:$J$451),0),
IF('TL05'!$B$3=N$3,SUMIF('TL05'!$C$10:$C$224,$C137,'TL05'!$J$10:$J$224),0),
IF('TL05'!$B$229=N$3,SUMIF('TL05'!$C$238:$C$451,$C137,'TL05'!$J$238:$J$451),0),
IF('TL06'!$B$3=N$3,SUMIF('TL06'!$C$10:$C$224,$C137,'TL06'!$J$10:$J$224),0),
IF('TL06'!$B$229=N$3,SUMIF('TL06'!$C$238:$C$451,$C137,'TL06'!$J$238:$J$451),0),
IF('TL07'!$B$3=N$3,SUMIF('TL07'!$C$10:$C$224,$C137,'TL07'!$J$10:$J$224),0),
IF('TL07'!$B$229=N$3,SUMIF('TL07'!$C$238:$C$451,$C137,'TL07'!$J$238:$J$451),0),
IF('TL08'!$B$3=N$3,SUMIF('TL08'!$C$10:$C$224,$C137,'TL08'!$J$10:$J$224),0),
IF('TL08'!$B$229=N$3,SUMIF('TL08'!$C$238:$C$451,$C137,'TL08'!$J$238:$J$451),0),
IF('TL09'!$B$3=N$3,SUMIF('TL09'!$C$10:$C$224,$C137,'TL09'!$J$10:$J$224),0),
IF('TL09'!$B$229=N$3,SUMIF('TL09'!$C$238:$C$451,$C137,'TL09'!$J$238:$J$451),0),
IF('TL10'!$B$3=N$3,SUMIF('TL10'!$C$10:$C$224,$C137,'TL10'!$J$10:$J$224),0),
IF('TL10'!$B$229=N$3,SUMIF('TL10'!$C$238:$C$451,$C137,'TL10'!$J$238:$J$451),0),
IF('TL11'!$B$3=N$3,SUMIF('TL11'!$C$10:$C$224,$C137,'TL11'!$J$10:$J$224),0),
IF('TL11'!$B$229=N$3,SUMIF('TL11'!$C$238:$C$451,$C137,'TL11'!$J$238:$J$451),0),
IF('TL12'!$B$3=N$3,SUMIF('TL12'!$C$10:$C$224,$C137,'TL12'!$J$10:$J$224),0),
IF('TL12'!$B$229=N$3,SUMIF('TL12'!$C$238:$C$451,$C137,'TL12'!$J$238:$J$451),0),
IF('TL13'!$B$3=N$3,SUMIF('TL13'!$C$10:$C$224,$C137,'TL13'!$J$10:$J$224),0),
IF('TL13'!$B$229=N$3,SUMIF('TL13'!$C$238:$C$451,$C137,'TL13'!$J$238:$J$451),0),
IF('TL14'!$B$3=N$3,SUMIF('TL14'!$C$10:$C$224,$C137,'TL14'!$J$10:$J$224),0),
IF('TL14'!$B$229=N$3,SUMIF('TL14'!$C$238:$C$451,$C137,'TL14'!$J$238:$J$451),0),
IF('TL15'!$B$3=N$3,SUMIF('TL15'!$C$10:$C$224,$C137,'TL15'!$J$10:$J$224),0),
IF('TL15'!$B$229=N$3,SUMIF('TL15'!$C$238:$C$451,$C137,'TL15'!$J$238:$J$451),0),
IF('TL16'!$B$3=N$3,SUMIF('TL16'!$C$10:$C$224,$C137,'TL16'!$J$10:$J$224),0),
IF('TL16'!$B$229=N$3,SUMIF('TL16'!$C$238:$C$451,$C137,'TL16'!$J$238:$J$451),0),
IF('TL17'!$B$3=N$3,SUMIF('TL17'!$C$10:$C$224,$C137,'TL17'!$J$10:$J$224),0),
IF('TL17'!$B$229=N$3,SUMIF('TL17'!$C$238:$C$451,$C137,'TL17'!$J$238:$J$451),0),
IF('TL18'!$B$3=N$3,SUMIF('TL18'!$C$10:$C$224,$C137,'TL18'!$J$10:$J$224),0),
IF('TL18'!$B$229=N$3,SUMIF('TL18'!$C$238:$C$451,$C137,'TL18'!$J$238:$J$451),0),
IF('TL19'!$B$3=N$3,SUMIF('TL19'!$C$10:$C$224,$C137,'TL19'!$J$10:$J$224),0),
IF('TL19'!$B$229=N$3,SUMIF('TL19'!$C$238:$C$451,$C137,'TL19'!$J$238:$J$451),0)
),0)</f>
        <v/>
      </c>
      <c r="O137" s="9">
        <f>IFERROR(SUM(
IF('TL01'!$B$3=O$3,SUMIF('TL01'!$C$10:$C$224,$C137,'TL01'!$J$10:$J$224),0),
IF('TL01'!$B$229=O$3,SUMIF('TL01'!$C$238:$C$451,$C137,'TL01'!$J$238:$J$451),0),
IF('TL02'!$B$3=O$3,SUMIF('TL02'!$C$10:$C$224,$C137,'TL02'!$J$10:$J$224),0),
IF('TL02'!$B$229=O$3,SUMIF('TL02'!$C$238:$C$451,$C137,'TL02'!$J$238:$J$451),0),
IF('TL03'!$B$3=O$3,SUMIF('TL03'!$C$10:$C$224,$C137,'TL03'!$J$10:$J$224),0),
IF('TL03'!$B$229=O$3,SUMIF('TL03'!$C$238:$C$451,$C137,'TL03'!$J$238:$J$451),0),
IF('TL04'!$B$3=O$3,SUMIF('TL04'!$C$10:$C$224,$C137,'TL04'!$J$10:$J$224),0),
IF('TL04'!$B$229=O$3,SUMIF('TL04'!$C$238:$C$451,$C137,'TL04'!$J$238:$J$451),0),
IF('TL05'!$B$3=O$3,SUMIF('TL05'!$C$10:$C$224,$C137,'TL05'!$J$10:$J$224),0),
IF('TL05'!$B$229=O$3,SUMIF('TL05'!$C$238:$C$451,$C137,'TL05'!$J$238:$J$451),0),
IF('TL06'!$B$3=O$3,SUMIF('TL06'!$C$10:$C$224,$C137,'TL06'!$J$10:$J$224),0),
IF('TL06'!$B$229=O$3,SUMIF('TL06'!$C$238:$C$451,$C137,'TL06'!$J$238:$J$451),0),
IF('TL07'!$B$3=O$3,SUMIF('TL07'!$C$10:$C$224,$C137,'TL07'!$J$10:$J$224),0),
IF('TL07'!$B$229=O$3,SUMIF('TL07'!$C$238:$C$451,$C137,'TL07'!$J$238:$J$451),0),
IF('TL08'!$B$3=O$3,SUMIF('TL08'!$C$10:$C$224,$C137,'TL08'!$J$10:$J$224),0),
IF('TL08'!$B$229=O$3,SUMIF('TL08'!$C$238:$C$451,$C137,'TL08'!$J$238:$J$451),0),
IF('TL09'!$B$3=O$3,SUMIF('TL09'!$C$10:$C$224,$C137,'TL09'!$J$10:$J$224),0),
IF('TL09'!$B$229=O$3,SUMIF('TL09'!$C$238:$C$451,$C137,'TL09'!$J$238:$J$451),0),
IF('TL10'!$B$3=O$3,SUMIF('TL10'!$C$10:$C$224,$C137,'TL10'!$J$10:$J$224),0),
IF('TL10'!$B$229=O$3,SUMIF('TL10'!$C$238:$C$451,$C137,'TL10'!$J$238:$J$451),0),
IF('TL11'!$B$3=O$3,SUMIF('TL11'!$C$10:$C$224,$C137,'TL11'!$J$10:$J$224),0),
IF('TL11'!$B$229=O$3,SUMIF('TL11'!$C$238:$C$451,$C137,'TL11'!$J$238:$J$451),0),
IF('TL12'!$B$3=O$3,SUMIF('TL12'!$C$10:$C$224,$C137,'TL12'!$J$10:$J$224),0),
IF('TL12'!$B$229=O$3,SUMIF('TL12'!$C$238:$C$451,$C137,'TL12'!$J$238:$J$451),0),
IF('TL13'!$B$3=O$3,SUMIF('TL13'!$C$10:$C$224,$C137,'TL13'!$J$10:$J$224),0),
IF('TL13'!$B$229=O$3,SUMIF('TL13'!$C$238:$C$451,$C137,'TL13'!$J$238:$J$451),0),
IF('TL14'!$B$3=O$3,SUMIF('TL14'!$C$10:$C$224,$C137,'TL14'!$J$10:$J$224),0),
IF('TL14'!$B$229=O$3,SUMIF('TL14'!$C$238:$C$451,$C137,'TL14'!$J$238:$J$451),0),
IF('TL15'!$B$3=O$3,SUMIF('TL15'!$C$10:$C$224,$C137,'TL15'!$J$10:$J$224),0),
IF('TL15'!$B$229=O$3,SUMIF('TL15'!$C$238:$C$451,$C137,'TL15'!$J$238:$J$451),0),
IF('TL16'!$B$3=O$3,SUMIF('TL16'!$C$10:$C$224,$C137,'TL16'!$J$10:$J$224),0),
IF('TL16'!$B$229=O$3,SUMIF('TL16'!$C$238:$C$451,$C137,'TL16'!$J$238:$J$451),0),
IF('TL17'!$B$3=O$3,SUMIF('TL17'!$C$10:$C$224,$C137,'TL17'!$J$10:$J$224),0),
IF('TL17'!$B$229=O$3,SUMIF('TL17'!$C$238:$C$451,$C137,'TL17'!$J$238:$J$451),0),
IF('TL18'!$B$3=O$3,SUMIF('TL18'!$C$10:$C$224,$C137,'TL18'!$J$10:$J$224),0),
IF('TL18'!$B$229=O$3,SUMIF('TL18'!$C$238:$C$451,$C137,'TL18'!$J$238:$J$451),0),
IF('TL19'!$B$3=O$3,SUMIF('TL19'!$C$10:$C$224,$C137,'TL19'!$J$10:$J$224),0),
IF('TL19'!$B$229=O$3,SUMIF('TL19'!$C$238:$C$451,$C137,'TL19'!$J$238:$J$451),0)
),0)</f>
        <v/>
      </c>
      <c r="P137" s="9">
        <f>IFERROR(SUM(
IF('TL01'!$B$3=P$3,SUMIF('TL01'!$C$10:$C$224,$C137,'TL01'!$J$10:$J$224),0),
IF('TL01'!$B$229=P$3,SUMIF('TL01'!$C$238:$C$451,$C137,'TL01'!$J$238:$J$451),0),
IF('TL02'!$B$3=P$3,SUMIF('TL02'!$C$10:$C$224,$C137,'TL02'!$J$10:$J$224),0),
IF('TL02'!$B$229=P$3,SUMIF('TL02'!$C$238:$C$451,$C137,'TL02'!$J$238:$J$451),0),
IF('TL03'!$B$3=P$3,SUMIF('TL03'!$C$10:$C$224,$C137,'TL03'!$J$10:$J$224),0),
IF('TL03'!$B$229=P$3,SUMIF('TL03'!$C$238:$C$451,$C137,'TL03'!$J$238:$J$451),0),
IF('TL04'!$B$3=P$3,SUMIF('TL04'!$C$10:$C$224,$C137,'TL04'!$J$10:$J$224),0),
IF('TL04'!$B$229=P$3,SUMIF('TL04'!$C$238:$C$451,$C137,'TL04'!$J$238:$J$451),0),
IF('TL05'!$B$3=P$3,SUMIF('TL05'!$C$10:$C$224,$C137,'TL05'!$J$10:$J$224),0),
IF('TL05'!$B$229=P$3,SUMIF('TL05'!$C$238:$C$451,$C137,'TL05'!$J$238:$J$451),0),
IF('TL06'!$B$3=P$3,SUMIF('TL06'!$C$10:$C$224,$C137,'TL06'!$J$10:$J$224),0),
IF('TL06'!$B$229=P$3,SUMIF('TL06'!$C$238:$C$451,$C137,'TL06'!$J$238:$J$451),0),
IF('TL07'!$B$3=P$3,SUMIF('TL07'!$C$10:$C$224,$C137,'TL07'!$J$10:$J$224),0),
IF('TL07'!$B$229=P$3,SUMIF('TL07'!$C$238:$C$451,$C137,'TL07'!$J$238:$J$451),0),
IF('TL08'!$B$3=P$3,SUMIF('TL08'!$C$10:$C$224,$C137,'TL08'!$J$10:$J$224),0),
IF('TL08'!$B$229=P$3,SUMIF('TL08'!$C$238:$C$451,$C137,'TL08'!$J$238:$J$451),0),
IF('TL09'!$B$3=P$3,SUMIF('TL09'!$C$10:$C$224,$C137,'TL09'!$J$10:$J$224),0),
IF('TL09'!$B$229=P$3,SUMIF('TL09'!$C$238:$C$451,$C137,'TL09'!$J$238:$J$451),0),
IF('TL10'!$B$3=P$3,SUMIF('TL10'!$C$10:$C$224,$C137,'TL10'!$J$10:$J$224),0),
IF('TL10'!$B$229=P$3,SUMIF('TL10'!$C$238:$C$451,$C137,'TL10'!$J$238:$J$451),0),
IF('TL11'!$B$3=P$3,SUMIF('TL11'!$C$10:$C$224,$C137,'TL11'!$J$10:$J$224),0),
IF('TL11'!$B$229=P$3,SUMIF('TL11'!$C$238:$C$451,$C137,'TL11'!$J$238:$J$451),0),
IF('TL12'!$B$3=P$3,SUMIF('TL12'!$C$10:$C$224,$C137,'TL12'!$J$10:$J$224),0),
IF('TL12'!$B$229=P$3,SUMIF('TL12'!$C$238:$C$451,$C137,'TL12'!$J$238:$J$451),0),
IF('TL13'!$B$3=P$3,SUMIF('TL13'!$C$10:$C$224,$C137,'TL13'!$J$10:$J$224),0),
IF('TL13'!$B$229=P$3,SUMIF('TL13'!$C$238:$C$451,$C137,'TL13'!$J$238:$J$451),0),
IF('TL14'!$B$3=P$3,SUMIF('TL14'!$C$10:$C$224,$C137,'TL14'!$J$10:$J$224),0),
IF('TL14'!$B$229=P$3,SUMIF('TL14'!$C$238:$C$451,$C137,'TL14'!$J$238:$J$451),0),
IF('TL15'!$B$3=P$3,SUMIF('TL15'!$C$10:$C$224,$C137,'TL15'!$J$10:$J$224),0),
IF('TL15'!$B$229=P$3,SUMIF('TL15'!$C$238:$C$451,$C137,'TL15'!$J$238:$J$451),0),
IF('TL16'!$B$3=P$3,SUMIF('TL16'!$C$10:$C$224,$C137,'TL16'!$J$10:$J$224),0),
IF('TL16'!$B$229=P$3,SUMIF('TL16'!$C$238:$C$451,$C137,'TL16'!$J$238:$J$451),0),
IF('TL17'!$B$3=P$3,SUMIF('TL17'!$C$10:$C$224,$C137,'TL17'!$J$10:$J$224),0),
IF('TL17'!$B$229=P$3,SUMIF('TL17'!$C$238:$C$451,$C137,'TL17'!$J$238:$J$451),0),
IF('TL18'!$B$3=P$3,SUMIF('TL18'!$C$10:$C$224,$C137,'TL18'!$J$10:$J$224),0),
IF('TL18'!$B$229=P$3,SUMIF('TL18'!$C$238:$C$451,$C137,'TL18'!$J$238:$J$451),0),
IF('TL19'!$B$3=P$3,SUMIF('TL19'!$C$10:$C$224,$C137,'TL19'!$J$10:$J$224),0),
IF('TL19'!$B$229=P$3,SUMIF('TL19'!$C$238:$C$451,$C137,'TL19'!$J$238:$J$451),0)
),0)</f>
        <v/>
      </c>
      <c r="Q137" s="9">
        <f>IFERROR(SUM(
IF('TL01'!$B$3=Q$3,SUMIF('TL01'!$C$10:$C$224,$C137,'TL01'!$J$10:$J$224),0),
IF('TL01'!$B$229=Q$3,SUMIF('TL01'!$C$238:$C$451,$C137,'TL01'!$J$238:$J$451),0),
IF('TL02'!$B$3=Q$3,SUMIF('TL02'!$C$10:$C$224,$C137,'TL02'!$J$10:$J$224),0),
IF('TL02'!$B$229=Q$3,SUMIF('TL02'!$C$238:$C$451,$C137,'TL02'!$J$238:$J$451),0),
IF('TL03'!$B$3=Q$3,SUMIF('TL03'!$C$10:$C$224,$C137,'TL03'!$J$10:$J$224),0),
IF('TL03'!$B$229=Q$3,SUMIF('TL03'!$C$238:$C$451,$C137,'TL03'!$J$238:$J$451),0),
IF('TL04'!$B$3=Q$3,SUMIF('TL04'!$C$10:$C$224,$C137,'TL04'!$J$10:$J$224),0),
IF('TL04'!$B$229=Q$3,SUMIF('TL04'!$C$238:$C$451,$C137,'TL04'!$J$238:$J$451),0),
IF('TL05'!$B$3=Q$3,SUMIF('TL05'!$C$10:$C$224,$C137,'TL05'!$J$10:$J$224),0),
IF('TL05'!$B$229=Q$3,SUMIF('TL05'!$C$238:$C$451,$C137,'TL05'!$J$238:$J$451),0),
IF('TL06'!$B$3=Q$3,SUMIF('TL06'!$C$10:$C$224,$C137,'TL06'!$J$10:$J$224),0),
IF('TL06'!$B$229=Q$3,SUMIF('TL06'!$C$238:$C$451,$C137,'TL06'!$J$238:$J$451),0),
IF('TL07'!$B$3=Q$3,SUMIF('TL07'!$C$10:$C$224,$C137,'TL07'!$J$10:$J$224),0),
IF('TL07'!$B$229=Q$3,SUMIF('TL07'!$C$238:$C$451,$C137,'TL07'!$J$238:$J$451),0),
IF('TL08'!$B$3=Q$3,SUMIF('TL08'!$C$10:$C$224,$C137,'TL08'!$J$10:$J$224),0),
IF('TL08'!$B$229=Q$3,SUMIF('TL08'!$C$238:$C$451,$C137,'TL08'!$J$238:$J$451),0),
IF('TL09'!$B$3=Q$3,SUMIF('TL09'!$C$10:$C$224,$C137,'TL09'!$J$10:$J$224),0),
IF('TL09'!$B$229=Q$3,SUMIF('TL09'!$C$238:$C$451,$C137,'TL09'!$J$238:$J$451),0),
IF('TL10'!$B$3=Q$3,SUMIF('TL10'!$C$10:$C$224,$C137,'TL10'!$J$10:$J$224),0),
IF('TL10'!$B$229=Q$3,SUMIF('TL10'!$C$238:$C$451,$C137,'TL10'!$J$238:$J$451),0),
IF('TL11'!$B$3=Q$3,SUMIF('TL11'!$C$10:$C$224,$C137,'TL11'!$J$10:$J$224),0),
IF('TL11'!$B$229=Q$3,SUMIF('TL11'!$C$238:$C$451,$C137,'TL11'!$J$238:$J$451),0),
IF('TL12'!$B$3=Q$3,SUMIF('TL12'!$C$10:$C$224,$C137,'TL12'!$J$10:$J$224),0),
IF('TL12'!$B$229=Q$3,SUMIF('TL12'!$C$238:$C$451,$C137,'TL12'!$J$238:$J$451),0),
IF('TL13'!$B$3=Q$3,SUMIF('TL13'!$C$10:$C$224,$C137,'TL13'!$J$10:$J$224),0),
IF('TL13'!$B$229=Q$3,SUMIF('TL13'!$C$238:$C$451,$C137,'TL13'!$J$238:$J$451),0),
IF('TL14'!$B$3=Q$3,SUMIF('TL14'!$C$10:$C$224,$C137,'TL14'!$J$10:$J$224),0),
IF('TL14'!$B$229=Q$3,SUMIF('TL14'!$C$238:$C$451,$C137,'TL14'!$J$238:$J$451),0),
IF('TL15'!$B$3=Q$3,SUMIF('TL15'!$C$10:$C$224,$C137,'TL15'!$J$10:$J$224),0),
IF('TL15'!$B$229=Q$3,SUMIF('TL15'!$C$238:$C$451,$C137,'TL15'!$J$238:$J$451),0),
IF('TL16'!$B$3=Q$3,SUMIF('TL16'!$C$10:$C$224,$C137,'TL16'!$J$10:$J$224),0),
IF('TL16'!$B$229=Q$3,SUMIF('TL16'!$C$238:$C$451,$C137,'TL16'!$J$238:$J$451),0),
IF('TL17'!$B$3=Q$3,SUMIF('TL17'!$C$10:$C$224,$C137,'TL17'!$J$10:$J$224),0),
IF('TL17'!$B$229=Q$3,SUMIF('TL17'!$C$238:$C$451,$C137,'TL17'!$J$238:$J$451),0),
IF('TL18'!$B$3=Q$3,SUMIF('TL18'!$C$10:$C$224,$C137,'TL18'!$J$10:$J$224),0),
IF('TL18'!$B$229=Q$3,SUMIF('TL18'!$C$238:$C$451,$C137,'TL18'!$J$238:$J$451),0),
IF('TL19'!$B$3=Q$3,SUMIF('TL19'!$C$10:$C$224,$C137,'TL19'!$J$10:$J$224),0),
IF('TL19'!$B$229=Q$3,SUMIF('TL19'!$C$238:$C$451,$C137,'TL19'!$J$238:$J$451),0)
),0)</f>
        <v/>
      </c>
      <c r="R137" s="9">
        <f>IFERROR(
SUM(
SUMIF('TL01'!C:C,C137,'TL01'!J:J),
SUMIF('TL02'!C:C,C137,'TL02'!J:J),
SUMIF('TL03'!C:C,C137,'TL03'!J:J),
SUMIF('TL04'!C:C,C137,'TL04'!J:J),
SUMIF('TL05'!C:C,C137,'TL05'!J:J),
SUMIF('TL06'!C:C,C137,'TL06'!J:J),
SUMIF('TL07'!C:C,C137,'TL07'!J:J),
SUMIF('TL08'!C:C,C137,'TL08'!J:J),
SUMIF('TL09'!C:C,C137,'TL09'!J:J),
SUMIF('TL10'!C:C,C137,'TL10'!J:J),
SUMIF('TL11'!C:C,C137,'TL11'!J:J),
SUMIF('TL12'!C:C,C137,'TL12'!J:J),
SUMIF('TL13'!C:C,C137,'TL13'!J:J),
SUMIF('TL14'!C:C,C137,'TL14'!J:J),
SUMIF('TL15'!C:C,C137,'TL15'!J:J),
SUMIF('TL16'!C:C,C137,'TL16'!J:J),
SUMIF('TL17'!C:C,C137,'TL17'!J:J),
SUMIF('TL18'!C:C,C137,'TL18'!J:J),SUMIF('TL19'!C:C,C137,'TL19'!J:J))
,0)</f>
        <v/>
      </c>
      <c r="S137" s="17">
        <f>IFERROR(__xludf.DUMMYFUNCTION("IFERROR(VLOOKUP(C137,
IMPORTRANGE(""1wULbzX32WdYsx-lj2U3uUNBBe2INVIRDtcK0d-Dvl90"",
""26-27!C:G""),
5,
FALSE),
"""")"),30.847899999999996)</f>
        <v/>
      </c>
      <c r="T137" s="9" t="n"/>
      <c r="U137" s="92">
        <f>MAX(0,R137-T137)</f>
        <v/>
      </c>
      <c r="V137" s="93">
        <f>U137*S137</f>
        <v/>
      </c>
    </row>
    <row r="138" hidden="1" ht="15.75" customHeight="1" s="297">
      <c r="A138" s="115" t="inlineStr">
        <is>
          <t>CORTEVA/SOMAX</t>
        </is>
      </c>
      <c r="B138" s="100" t="inlineStr">
        <is>
          <t>HERBICIDA</t>
        </is>
      </c>
      <c r="C138" s="116" t="inlineStr">
        <is>
          <t>GLUFOS-WYN 880</t>
        </is>
      </c>
      <c r="D138" s="116" t="inlineStr">
        <is>
          <t>GLUFOSINATO - SAL DE AMONIO</t>
        </is>
      </c>
      <c r="E138" s="116" t="n">
        <v>880</v>
      </c>
      <c r="F138" s="4" t="inlineStr">
        <is>
          <t>L</t>
        </is>
      </c>
      <c r="G138" s="90">
        <f>HYPERLINK("https://www.google.com/search?q=" &amp; C138 &amp; "+bula+agrofit+pdf", "📄 Ver bula")</f>
        <v/>
      </c>
      <c r="H138" s="9">
        <f>IFERROR(__xludf.DUMMYFUNCTION("IFERROR(VLOOKUP(C138,
IMPORTRANGE(""1wULbzX32WdYsx-lj2U3uUNBBe2INVIRDtcK0d-Dvl90"",
""26-27!C:K""),
8,
FALSE),
"""")"),0.5)</f>
        <v/>
      </c>
      <c r="I138" s="117" t="inlineStr">
        <is>
          <t>1x10</t>
        </is>
      </c>
      <c r="J138" s="9">
        <f>IFERROR(SUM(
IF('TL01'!$B$3=J$3,SUMIF('TL01'!$C$10:$C$224,$C138,'TL01'!$J$10:$J$224),0),
IF('TL01'!$B$229=J$3,SUMIF('TL01'!$C$238:$C$451,$C138,'TL01'!$J$238:$J$451),0),
IF('TL02'!$B$3=J$3,SUMIF('TL02'!$C$10:$C$224,$C138,'TL02'!$J$10:$J$224),0),
IF('TL02'!$B$229=J$3,SUMIF('TL02'!$C$238:$C$451,$C138,'TL02'!$J$238:$J$451),0),
IF('TL03'!$B$3=J$3,SUMIF('TL03'!$C$10:$C$224,$C138,'TL03'!$J$10:$J$224),0),
IF('TL03'!$B$229=J$3,SUMIF('TL03'!$C$238:$C$451,$C138,'TL03'!$J$238:$J$451),0),
IF('TL04'!$B$3=J$3,SUMIF('TL04'!$C$10:$C$224,$C138,'TL04'!$J$10:$J$224),0),
IF('TL04'!$B$229=J$3,SUMIF('TL04'!$C$238:$C$451,$C138,'TL04'!$J$238:$J$451),0),
IF('TL05'!$B$3=J$3,SUMIF('TL05'!$C$10:$C$224,$C138,'TL05'!$J$10:$J$224),0),
IF('TL05'!$B$229=J$3,SUMIF('TL05'!$C$238:$C$451,$C138,'TL05'!$J$238:$J$451),0),
IF('TL06'!$B$3=J$3,SUMIF('TL06'!$C$10:$C$224,$C138,'TL06'!$J$10:$J$224),0),
IF('TL06'!$B$229=J$3,SUMIF('TL06'!$C$238:$C$451,$C138,'TL06'!$J$238:$J$451),0),
IF('TL07'!$B$3=J$3,SUMIF('TL07'!$C$10:$C$224,$C138,'TL07'!$J$10:$J$224),0),
IF('TL07'!$B$229=J$3,SUMIF('TL07'!$C$238:$C$451,$C138,'TL07'!$J$238:$J$451),0),
IF('TL08'!$B$3=J$3,SUMIF('TL08'!$C$10:$C$224,$C138,'TL08'!$J$10:$J$224),0),
IF('TL08'!$B$229=J$3,SUMIF('TL08'!$C$238:$C$451,$C138,'TL08'!$J$238:$J$451),0),
IF('TL09'!$B$3=J$3,SUMIF('TL09'!$C$10:$C$224,$C138,'TL09'!$J$10:$J$224),0),
IF('TL09'!$B$229=J$3,SUMIF('TL09'!$C$238:$C$451,$C138,'TL09'!$J$238:$J$451),0),
IF('TL10'!$B$3=J$3,SUMIF('TL10'!$C$10:$C$224,$C138,'TL10'!$J$10:$J$224),0),
IF('TL10'!$B$229=J$3,SUMIF('TL10'!$C$238:$C$451,$C138,'TL10'!$J$238:$J$451),0),
IF('TL11'!$B$3=J$3,SUMIF('TL11'!$C$10:$C$224,$C138,'TL11'!$J$10:$J$224),0),
IF('TL11'!$B$229=J$3,SUMIF('TL11'!$C$238:$C$451,$C138,'TL11'!$J$238:$J$451),0),
IF('TL12'!$B$3=J$3,SUMIF('TL12'!$C$10:$C$224,$C138,'TL12'!$J$10:$J$224),0),
IF('TL12'!$B$229=J$3,SUMIF('TL12'!$C$238:$C$451,$C138,'TL12'!$J$238:$J$451),0),
IF('TL13'!$B$3=J$3,SUMIF('TL13'!$C$10:$C$224,$C138,'TL13'!$J$10:$J$224),0),
IF('TL13'!$B$229=J$3,SUMIF('TL13'!$C$238:$C$451,$C138,'TL13'!$J$238:$J$451),0),
IF('TL14'!$B$3=J$3,SUMIF('TL14'!$C$10:$C$224,$C138,'TL14'!$J$10:$J$224),0),
IF('TL14'!$B$229=J$3,SUMIF('TL14'!$C$238:$C$451,$C138,'TL14'!$J$238:$J$451),0),
IF('TL15'!$B$3=J$3,SUMIF('TL15'!$C$10:$C$224,$C138,'TL15'!$J$10:$J$224),0),
IF('TL15'!$B$229=J$3,SUMIF('TL15'!$C$238:$C$451,$C138,'TL15'!$J$238:$J$451),0),
IF('TL16'!$B$3=J$3,SUMIF('TL16'!$C$10:$C$224,$C138,'TL16'!$J$10:$J$224),0),
IF('TL16'!$B$229=J$3,SUMIF('TL16'!$C$238:$C$451,$C138,'TL16'!$J$238:$J$451),0),
IF('TL17'!$B$3=J$3,SUMIF('TL17'!$C$10:$C$224,$C138,'TL17'!$J$10:$J$224),0),
IF('TL17'!$B$229=J$3,SUMIF('TL17'!$C$238:$C$451,$C138,'TL17'!$J$238:$J$451),0),
IF('TL18'!$B$3=J$3,SUMIF('TL18'!$C$10:$C$224,$C138,'TL18'!$J$10:$J$224),0),
IF('TL18'!$B$229=J$3,SUMIF('TL18'!$C$238:$C$451,$C138,'TL18'!$J$238:$J$451),0),
IF('TL19'!$B$3=J$3,SUMIF('TL19'!$C$10:$C$224,$C138,'TL19'!$J$10:$J$224),0),
IF('TL19'!$B$229=J$3,SUMIF('TL19'!$C$238:$C$451,$C138,'TL19'!$J$238:$J$451),0)
),0)</f>
        <v/>
      </c>
      <c r="K138" s="9">
        <f>IFERROR(SUM(
IF('TL01'!$B$3=K$3,SUMIF('TL01'!$C$10:$C$224,$C138,'TL01'!$J$10:$J$224),0),
IF('TL01'!$B$229=K$3,SUMIF('TL01'!$C$238:$C$451,$C138,'TL01'!$J$238:$J$451),0),
IF('TL02'!$B$3=K$3,SUMIF('TL02'!$C$10:$C$224,$C138,'TL02'!$J$10:$J$224),0),
IF('TL02'!$B$229=K$3,SUMIF('TL02'!$C$238:$C$451,$C138,'TL02'!$J$238:$J$451),0),
IF('TL03'!$B$3=K$3,SUMIF('TL03'!$C$10:$C$224,$C138,'TL03'!$J$10:$J$224),0),
IF('TL03'!$B$229=K$3,SUMIF('TL03'!$C$238:$C$451,$C138,'TL03'!$J$238:$J$451),0),
IF('TL04'!$B$3=K$3,SUMIF('TL04'!$C$10:$C$224,$C138,'TL04'!$J$10:$J$224),0),
IF('TL04'!$B$229=K$3,SUMIF('TL04'!$C$238:$C$451,$C138,'TL04'!$J$238:$J$451),0),
IF('TL05'!$B$3=K$3,SUMIF('TL05'!$C$10:$C$224,$C138,'TL05'!$J$10:$J$224),0),
IF('TL05'!$B$229=K$3,SUMIF('TL05'!$C$238:$C$451,$C138,'TL05'!$J$238:$J$451),0),
IF('TL06'!$B$3=K$3,SUMIF('TL06'!$C$10:$C$224,$C138,'TL06'!$J$10:$J$224),0),
IF('TL06'!$B$229=K$3,SUMIF('TL06'!$C$238:$C$451,$C138,'TL06'!$J$238:$J$451),0),
IF('TL07'!$B$3=K$3,SUMIF('TL07'!$C$10:$C$224,$C138,'TL07'!$J$10:$J$224),0),
IF('TL07'!$B$229=K$3,SUMIF('TL07'!$C$238:$C$451,$C138,'TL07'!$J$238:$J$451),0),
IF('TL08'!$B$3=K$3,SUMIF('TL08'!$C$10:$C$224,$C138,'TL08'!$J$10:$J$224),0),
IF('TL08'!$B$229=K$3,SUMIF('TL08'!$C$238:$C$451,$C138,'TL08'!$J$238:$J$451),0),
IF('TL09'!$B$3=K$3,SUMIF('TL09'!$C$10:$C$224,$C138,'TL09'!$J$10:$J$224),0),
IF('TL09'!$B$229=K$3,SUMIF('TL09'!$C$238:$C$451,$C138,'TL09'!$J$238:$J$451),0),
IF('TL10'!$B$3=K$3,SUMIF('TL10'!$C$10:$C$224,$C138,'TL10'!$J$10:$J$224),0),
IF('TL10'!$B$229=K$3,SUMIF('TL10'!$C$238:$C$451,$C138,'TL10'!$J$238:$J$451),0),
IF('TL11'!$B$3=K$3,SUMIF('TL11'!$C$10:$C$224,$C138,'TL11'!$J$10:$J$224),0),
IF('TL11'!$B$229=K$3,SUMIF('TL11'!$C$238:$C$451,$C138,'TL11'!$J$238:$J$451),0),
IF('TL12'!$B$3=K$3,SUMIF('TL12'!$C$10:$C$224,$C138,'TL12'!$J$10:$J$224),0),
IF('TL12'!$B$229=K$3,SUMIF('TL12'!$C$238:$C$451,$C138,'TL12'!$J$238:$J$451),0),
IF('TL13'!$B$3=K$3,SUMIF('TL13'!$C$10:$C$224,$C138,'TL13'!$J$10:$J$224),0),
IF('TL13'!$B$229=K$3,SUMIF('TL13'!$C$238:$C$451,$C138,'TL13'!$J$238:$J$451),0),
IF('TL14'!$B$3=K$3,SUMIF('TL14'!$C$10:$C$224,$C138,'TL14'!$J$10:$J$224),0),
IF('TL14'!$B$229=K$3,SUMIF('TL14'!$C$238:$C$451,$C138,'TL14'!$J$238:$J$451),0),
IF('TL15'!$B$3=K$3,SUMIF('TL15'!$C$10:$C$224,$C138,'TL15'!$J$10:$J$224),0),
IF('TL15'!$B$229=K$3,SUMIF('TL15'!$C$238:$C$451,$C138,'TL15'!$J$238:$J$451),0),
IF('TL16'!$B$3=K$3,SUMIF('TL16'!$C$10:$C$224,$C138,'TL16'!$J$10:$J$224),0),
IF('TL16'!$B$229=K$3,SUMIF('TL16'!$C$238:$C$451,$C138,'TL16'!$J$238:$J$451),0),
IF('TL17'!$B$3=K$3,SUMIF('TL17'!$C$10:$C$224,$C138,'TL17'!$J$10:$J$224),0),
IF('TL17'!$B$229=K$3,SUMIF('TL17'!$C$238:$C$451,$C138,'TL17'!$J$238:$J$451),0),
IF('TL18'!$B$3=K$3,SUMIF('TL18'!$C$10:$C$224,$C138,'TL18'!$J$10:$J$224),0),
IF('TL18'!$B$229=K$3,SUMIF('TL18'!$C$238:$C$451,$C138,'TL18'!$J$238:$J$451),0),
IF('TL19'!$B$3=K$3,SUMIF('TL19'!$C$10:$C$224,$C138,'TL19'!$J$10:$J$224),0),
IF('TL19'!$B$229=K$3,SUMIF('TL19'!$C$238:$C$451,$C138,'TL19'!$J$238:$J$451),0)
),0)</f>
        <v/>
      </c>
      <c r="L138" s="9">
        <f>IFERROR(SUM(
IF('TL01'!$B$3=L$3,SUMIF('TL01'!$C$10:$C$224,$C138,'TL01'!$J$10:$J$224),0),
IF('TL01'!$B$229=L$3,SUMIF('TL01'!$C$238:$C$451,$C138,'TL01'!$J$238:$J$451),0),
IF('TL02'!$B$3=L$3,SUMIF('TL02'!$C$10:$C$224,$C138,'TL02'!$J$10:$J$224),0),
IF('TL02'!$B$229=L$3,SUMIF('TL02'!$C$238:$C$451,$C138,'TL02'!$J$238:$J$451),0),
IF('TL03'!$B$3=L$3,SUMIF('TL03'!$C$10:$C$224,$C138,'TL03'!$J$10:$J$224),0),
IF('TL03'!$B$229=L$3,SUMIF('TL03'!$C$238:$C$451,$C138,'TL03'!$J$238:$J$451),0),
IF('TL04'!$B$3=L$3,SUMIF('TL04'!$C$10:$C$224,$C138,'TL04'!$J$10:$J$224),0),
IF('TL04'!$B$229=L$3,SUMIF('TL04'!$C$238:$C$451,$C138,'TL04'!$J$238:$J$451),0),
IF('TL05'!$B$3=L$3,SUMIF('TL05'!$C$10:$C$224,$C138,'TL05'!$J$10:$J$224),0),
IF('TL05'!$B$229=L$3,SUMIF('TL05'!$C$238:$C$451,$C138,'TL05'!$J$238:$J$451),0),
IF('TL06'!$B$3=L$3,SUMIF('TL06'!$C$10:$C$224,$C138,'TL06'!$J$10:$J$224),0),
IF('TL06'!$B$229=L$3,SUMIF('TL06'!$C$238:$C$451,$C138,'TL06'!$J$238:$J$451),0),
IF('TL07'!$B$3=L$3,SUMIF('TL07'!$C$10:$C$224,$C138,'TL07'!$J$10:$J$224),0),
IF('TL07'!$B$229=L$3,SUMIF('TL07'!$C$238:$C$451,$C138,'TL07'!$J$238:$J$451),0),
IF('TL08'!$B$3=L$3,SUMIF('TL08'!$C$10:$C$224,$C138,'TL08'!$J$10:$J$224),0),
IF('TL08'!$B$229=L$3,SUMIF('TL08'!$C$238:$C$451,$C138,'TL08'!$J$238:$J$451),0),
IF('TL09'!$B$3=L$3,SUMIF('TL09'!$C$10:$C$224,$C138,'TL09'!$J$10:$J$224),0),
IF('TL09'!$B$229=L$3,SUMIF('TL09'!$C$238:$C$451,$C138,'TL09'!$J$238:$J$451),0),
IF('TL10'!$B$3=L$3,SUMIF('TL10'!$C$10:$C$224,$C138,'TL10'!$J$10:$J$224),0),
IF('TL10'!$B$229=L$3,SUMIF('TL10'!$C$238:$C$451,$C138,'TL10'!$J$238:$J$451),0),
IF('TL11'!$B$3=L$3,SUMIF('TL11'!$C$10:$C$224,$C138,'TL11'!$J$10:$J$224),0),
IF('TL11'!$B$229=L$3,SUMIF('TL11'!$C$238:$C$451,$C138,'TL11'!$J$238:$J$451),0),
IF('TL12'!$B$3=L$3,SUMIF('TL12'!$C$10:$C$224,$C138,'TL12'!$J$10:$J$224),0),
IF('TL12'!$B$229=L$3,SUMIF('TL12'!$C$238:$C$451,$C138,'TL12'!$J$238:$J$451),0),
IF('TL13'!$B$3=L$3,SUMIF('TL13'!$C$10:$C$224,$C138,'TL13'!$J$10:$J$224),0),
IF('TL13'!$B$229=L$3,SUMIF('TL13'!$C$238:$C$451,$C138,'TL13'!$J$238:$J$451),0),
IF('TL14'!$B$3=L$3,SUMIF('TL14'!$C$10:$C$224,$C138,'TL14'!$J$10:$J$224),0),
IF('TL14'!$B$229=L$3,SUMIF('TL14'!$C$238:$C$451,$C138,'TL14'!$J$238:$J$451),0),
IF('TL15'!$B$3=L$3,SUMIF('TL15'!$C$10:$C$224,$C138,'TL15'!$J$10:$J$224),0),
IF('TL15'!$B$229=L$3,SUMIF('TL15'!$C$238:$C$451,$C138,'TL15'!$J$238:$J$451),0),
IF('TL16'!$B$3=L$3,SUMIF('TL16'!$C$10:$C$224,$C138,'TL16'!$J$10:$J$224),0),
IF('TL16'!$B$229=L$3,SUMIF('TL16'!$C$238:$C$451,$C138,'TL16'!$J$238:$J$451),0),
IF('TL17'!$B$3=L$3,SUMIF('TL17'!$C$10:$C$224,$C138,'TL17'!$J$10:$J$224),0),
IF('TL17'!$B$229=L$3,SUMIF('TL17'!$C$238:$C$451,$C138,'TL17'!$J$238:$J$451),0),
IF('TL18'!$B$3=L$3,SUMIF('TL18'!$C$10:$C$224,$C138,'TL18'!$J$10:$J$224),0),
IF('TL18'!$B$229=L$3,SUMIF('TL18'!$C$238:$C$451,$C138,'TL18'!$J$238:$J$451),0),
IF('TL19'!$B$3=L$3,SUMIF('TL19'!$C$10:$C$224,$C138,'TL19'!$J$10:$J$224),0),
IF('TL19'!$B$229=L$3,SUMIF('TL19'!$C$238:$C$451,$C138,'TL19'!$J$238:$J$451),0)
),0)</f>
        <v/>
      </c>
      <c r="M138" s="9">
        <f>IFERROR(SUM(
IF('TL01'!$B$3=M$3,SUMIF('TL01'!$C$10:$C$224,$C138,'TL01'!$J$10:$J$224),0),
IF('TL01'!$B$229=M$3,SUMIF('TL01'!$C$238:$C$451,$C138,'TL01'!$J$238:$J$451),0),
IF('TL02'!$B$3=M$3,SUMIF('TL02'!$C$10:$C$224,$C138,'TL02'!$J$10:$J$224),0),
IF('TL02'!$B$229=M$3,SUMIF('TL02'!$C$238:$C$451,$C138,'TL02'!$J$238:$J$451),0),
IF('TL03'!$B$3=M$3,SUMIF('TL03'!$C$10:$C$224,$C138,'TL03'!$J$10:$J$224),0),
IF('TL03'!$B$229=M$3,SUMIF('TL03'!$C$238:$C$451,$C138,'TL03'!$J$238:$J$451),0),
IF('TL04'!$B$3=M$3,SUMIF('TL04'!$C$10:$C$224,$C138,'TL04'!$J$10:$J$224),0),
IF('TL04'!$B$229=M$3,SUMIF('TL04'!$C$238:$C$451,$C138,'TL04'!$J$238:$J$451),0),
IF('TL05'!$B$3=M$3,SUMIF('TL05'!$C$10:$C$224,$C138,'TL05'!$J$10:$J$224),0),
IF('TL05'!$B$229=M$3,SUMIF('TL05'!$C$238:$C$451,$C138,'TL05'!$J$238:$J$451),0),
IF('TL06'!$B$3=M$3,SUMIF('TL06'!$C$10:$C$224,$C138,'TL06'!$J$10:$J$224),0),
IF('TL06'!$B$229=M$3,SUMIF('TL06'!$C$238:$C$451,$C138,'TL06'!$J$238:$J$451),0),
IF('TL07'!$B$3=M$3,SUMIF('TL07'!$C$10:$C$224,$C138,'TL07'!$J$10:$J$224),0),
IF('TL07'!$B$229=M$3,SUMIF('TL07'!$C$238:$C$451,$C138,'TL07'!$J$238:$J$451),0),
IF('TL08'!$B$3=M$3,SUMIF('TL08'!$C$10:$C$224,$C138,'TL08'!$J$10:$J$224),0),
IF('TL08'!$B$229=M$3,SUMIF('TL08'!$C$238:$C$451,$C138,'TL08'!$J$238:$J$451),0),
IF('TL09'!$B$3=M$3,SUMIF('TL09'!$C$10:$C$224,$C138,'TL09'!$J$10:$J$224),0),
IF('TL09'!$B$229=M$3,SUMIF('TL09'!$C$238:$C$451,$C138,'TL09'!$J$238:$J$451),0),
IF('TL10'!$B$3=M$3,SUMIF('TL10'!$C$10:$C$224,$C138,'TL10'!$J$10:$J$224),0),
IF('TL10'!$B$229=M$3,SUMIF('TL10'!$C$238:$C$451,$C138,'TL10'!$J$238:$J$451),0),
IF('TL11'!$B$3=M$3,SUMIF('TL11'!$C$10:$C$224,$C138,'TL11'!$J$10:$J$224),0),
IF('TL11'!$B$229=M$3,SUMIF('TL11'!$C$238:$C$451,$C138,'TL11'!$J$238:$J$451),0),
IF('TL12'!$B$3=M$3,SUMIF('TL12'!$C$10:$C$224,$C138,'TL12'!$J$10:$J$224),0),
IF('TL12'!$B$229=M$3,SUMIF('TL12'!$C$238:$C$451,$C138,'TL12'!$J$238:$J$451),0),
IF('TL13'!$B$3=M$3,SUMIF('TL13'!$C$10:$C$224,$C138,'TL13'!$J$10:$J$224),0),
IF('TL13'!$B$229=M$3,SUMIF('TL13'!$C$238:$C$451,$C138,'TL13'!$J$238:$J$451),0),
IF('TL14'!$B$3=M$3,SUMIF('TL14'!$C$10:$C$224,$C138,'TL14'!$J$10:$J$224),0),
IF('TL14'!$B$229=M$3,SUMIF('TL14'!$C$238:$C$451,$C138,'TL14'!$J$238:$J$451),0),
IF('TL15'!$B$3=M$3,SUMIF('TL15'!$C$10:$C$224,$C138,'TL15'!$J$10:$J$224),0),
IF('TL15'!$B$229=M$3,SUMIF('TL15'!$C$238:$C$451,$C138,'TL15'!$J$238:$J$451),0),
IF('TL16'!$B$3=M$3,SUMIF('TL16'!$C$10:$C$224,$C138,'TL16'!$J$10:$J$224),0),
IF('TL16'!$B$229=M$3,SUMIF('TL16'!$C$238:$C$451,$C138,'TL16'!$J$238:$J$451),0),
IF('TL17'!$B$3=M$3,SUMIF('TL17'!$C$10:$C$224,$C138,'TL17'!$J$10:$J$224),0),
IF('TL17'!$B$229=M$3,SUMIF('TL17'!$C$238:$C$451,$C138,'TL17'!$J$238:$J$451),0),
IF('TL18'!$B$3=M$3,SUMIF('TL18'!$C$10:$C$224,$C138,'TL18'!$J$10:$J$224),0),
IF('TL18'!$B$229=M$3,SUMIF('TL18'!$C$238:$C$451,$C138,'TL18'!$J$238:$J$451),0),
IF('TL19'!$B$3=M$3,SUMIF('TL19'!$C$10:$C$224,$C138,'TL19'!$J$10:$J$224),0),
IF('TL19'!$B$229=M$3,SUMIF('TL19'!$C$238:$C$451,$C138,'TL19'!$J$238:$J$451),0)
),0)</f>
        <v/>
      </c>
      <c r="N138" s="9">
        <f>IFERROR(SUM(
IF('TL01'!$B$3=N$3,SUMIF('TL01'!$C$10:$C$224,$C138,'TL01'!$J$10:$J$224),0),
IF('TL01'!$B$229=N$3,SUMIF('TL01'!$C$238:$C$451,$C138,'TL01'!$J$238:$J$451),0),
IF('TL02'!$B$3=N$3,SUMIF('TL02'!$C$10:$C$224,$C138,'TL02'!$J$10:$J$224),0),
IF('TL02'!$B$229=N$3,SUMIF('TL02'!$C$238:$C$451,$C138,'TL02'!$J$238:$J$451),0),
IF('TL03'!$B$3=N$3,SUMIF('TL03'!$C$10:$C$224,$C138,'TL03'!$J$10:$J$224),0),
IF('TL03'!$B$229=N$3,SUMIF('TL03'!$C$238:$C$451,$C138,'TL03'!$J$238:$J$451),0),
IF('TL04'!$B$3=N$3,SUMIF('TL04'!$C$10:$C$224,$C138,'TL04'!$J$10:$J$224),0),
IF('TL04'!$B$229=N$3,SUMIF('TL04'!$C$238:$C$451,$C138,'TL04'!$J$238:$J$451),0),
IF('TL05'!$B$3=N$3,SUMIF('TL05'!$C$10:$C$224,$C138,'TL05'!$J$10:$J$224),0),
IF('TL05'!$B$229=N$3,SUMIF('TL05'!$C$238:$C$451,$C138,'TL05'!$J$238:$J$451),0),
IF('TL06'!$B$3=N$3,SUMIF('TL06'!$C$10:$C$224,$C138,'TL06'!$J$10:$J$224),0),
IF('TL06'!$B$229=N$3,SUMIF('TL06'!$C$238:$C$451,$C138,'TL06'!$J$238:$J$451),0),
IF('TL07'!$B$3=N$3,SUMIF('TL07'!$C$10:$C$224,$C138,'TL07'!$J$10:$J$224),0),
IF('TL07'!$B$229=N$3,SUMIF('TL07'!$C$238:$C$451,$C138,'TL07'!$J$238:$J$451),0),
IF('TL08'!$B$3=N$3,SUMIF('TL08'!$C$10:$C$224,$C138,'TL08'!$J$10:$J$224),0),
IF('TL08'!$B$229=N$3,SUMIF('TL08'!$C$238:$C$451,$C138,'TL08'!$J$238:$J$451),0),
IF('TL09'!$B$3=N$3,SUMIF('TL09'!$C$10:$C$224,$C138,'TL09'!$J$10:$J$224),0),
IF('TL09'!$B$229=N$3,SUMIF('TL09'!$C$238:$C$451,$C138,'TL09'!$J$238:$J$451),0),
IF('TL10'!$B$3=N$3,SUMIF('TL10'!$C$10:$C$224,$C138,'TL10'!$J$10:$J$224),0),
IF('TL10'!$B$229=N$3,SUMIF('TL10'!$C$238:$C$451,$C138,'TL10'!$J$238:$J$451),0),
IF('TL11'!$B$3=N$3,SUMIF('TL11'!$C$10:$C$224,$C138,'TL11'!$J$10:$J$224),0),
IF('TL11'!$B$229=N$3,SUMIF('TL11'!$C$238:$C$451,$C138,'TL11'!$J$238:$J$451),0),
IF('TL12'!$B$3=N$3,SUMIF('TL12'!$C$10:$C$224,$C138,'TL12'!$J$10:$J$224),0),
IF('TL12'!$B$229=N$3,SUMIF('TL12'!$C$238:$C$451,$C138,'TL12'!$J$238:$J$451),0),
IF('TL13'!$B$3=N$3,SUMIF('TL13'!$C$10:$C$224,$C138,'TL13'!$J$10:$J$224),0),
IF('TL13'!$B$229=N$3,SUMIF('TL13'!$C$238:$C$451,$C138,'TL13'!$J$238:$J$451),0),
IF('TL14'!$B$3=N$3,SUMIF('TL14'!$C$10:$C$224,$C138,'TL14'!$J$10:$J$224),0),
IF('TL14'!$B$229=N$3,SUMIF('TL14'!$C$238:$C$451,$C138,'TL14'!$J$238:$J$451),0),
IF('TL15'!$B$3=N$3,SUMIF('TL15'!$C$10:$C$224,$C138,'TL15'!$J$10:$J$224),0),
IF('TL15'!$B$229=N$3,SUMIF('TL15'!$C$238:$C$451,$C138,'TL15'!$J$238:$J$451),0),
IF('TL16'!$B$3=N$3,SUMIF('TL16'!$C$10:$C$224,$C138,'TL16'!$J$10:$J$224),0),
IF('TL16'!$B$229=N$3,SUMIF('TL16'!$C$238:$C$451,$C138,'TL16'!$J$238:$J$451),0),
IF('TL17'!$B$3=N$3,SUMIF('TL17'!$C$10:$C$224,$C138,'TL17'!$J$10:$J$224),0),
IF('TL17'!$B$229=N$3,SUMIF('TL17'!$C$238:$C$451,$C138,'TL17'!$J$238:$J$451),0),
IF('TL18'!$B$3=N$3,SUMIF('TL18'!$C$10:$C$224,$C138,'TL18'!$J$10:$J$224),0),
IF('TL18'!$B$229=N$3,SUMIF('TL18'!$C$238:$C$451,$C138,'TL18'!$J$238:$J$451),0),
IF('TL19'!$B$3=N$3,SUMIF('TL19'!$C$10:$C$224,$C138,'TL19'!$J$10:$J$224),0),
IF('TL19'!$B$229=N$3,SUMIF('TL19'!$C$238:$C$451,$C138,'TL19'!$J$238:$J$451),0)
),0)</f>
        <v/>
      </c>
      <c r="O138" s="9">
        <f>IFERROR(SUM(
IF('TL01'!$B$3=O$3,SUMIF('TL01'!$C$10:$C$224,$C138,'TL01'!$J$10:$J$224),0),
IF('TL01'!$B$229=O$3,SUMIF('TL01'!$C$238:$C$451,$C138,'TL01'!$J$238:$J$451),0),
IF('TL02'!$B$3=O$3,SUMIF('TL02'!$C$10:$C$224,$C138,'TL02'!$J$10:$J$224),0),
IF('TL02'!$B$229=O$3,SUMIF('TL02'!$C$238:$C$451,$C138,'TL02'!$J$238:$J$451),0),
IF('TL03'!$B$3=O$3,SUMIF('TL03'!$C$10:$C$224,$C138,'TL03'!$J$10:$J$224),0),
IF('TL03'!$B$229=O$3,SUMIF('TL03'!$C$238:$C$451,$C138,'TL03'!$J$238:$J$451),0),
IF('TL04'!$B$3=O$3,SUMIF('TL04'!$C$10:$C$224,$C138,'TL04'!$J$10:$J$224),0),
IF('TL04'!$B$229=O$3,SUMIF('TL04'!$C$238:$C$451,$C138,'TL04'!$J$238:$J$451),0),
IF('TL05'!$B$3=O$3,SUMIF('TL05'!$C$10:$C$224,$C138,'TL05'!$J$10:$J$224),0),
IF('TL05'!$B$229=O$3,SUMIF('TL05'!$C$238:$C$451,$C138,'TL05'!$J$238:$J$451),0),
IF('TL06'!$B$3=O$3,SUMIF('TL06'!$C$10:$C$224,$C138,'TL06'!$J$10:$J$224),0),
IF('TL06'!$B$229=O$3,SUMIF('TL06'!$C$238:$C$451,$C138,'TL06'!$J$238:$J$451),0),
IF('TL07'!$B$3=O$3,SUMIF('TL07'!$C$10:$C$224,$C138,'TL07'!$J$10:$J$224),0),
IF('TL07'!$B$229=O$3,SUMIF('TL07'!$C$238:$C$451,$C138,'TL07'!$J$238:$J$451),0),
IF('TL08'!$B$3=O$3,SUMIF('TL08'!$C$10:$C$224,$C138,'TL08'!$J$10:$J$224),0),
IF('TL08'!$B$229=O$3,SUMIF('TL08'!$C$238:$C$451,$C138,'TL08'!$J$238:$J$451),0),
IF('TL09'!$B$3=O$3,SUMIF('TL09'!$C$10:$C$224,$C138,'TL09'!$J$10:$J$224),0),
IF('TL09'!$B$229=O$3,SUMIF('TL09'!$C$238:$C$451,$C138,'TL09'!$J$238:$J$451),0),
IF('TL10'!$B$3=O$3,SUMIF('TL10'!$C$10:$C$224,$C138,'TL10'!$J$10:$J$224),0),
IF('TL10'!$B$229=O$3,SUMIF('TL10'!$C$238:$C$451,$C138,'TL10'!$J$238:$J$451),0),
IF('TL11'!$B$3=O$3,SUMIF('TL11'!$C$10:$C$224,$C138,'TL11'!$J$10:$J$224),0),
IF('TL11'!$B$229=O$3,SUMIF('TL11'!$C$238:$C$451,$C138,'TL11'!$J$238:$J$451),0),
IF('TL12'!$B$3=O$3,SUMIF('TL12'!$C$10:$C$224,$C138,'TL12'!$J$10:$J$224),0),
IF('TL12'!$B$229=O$3,SUMIF('TL12'!$C$238:$C$451,$C138,'TL12'!$J$238:$J$451),0),
IF('TL13'!$B$3=O$3,SUMIF('TL13'!$C$10:$C$224,$C138,'TL13'!$J$10:$J$224),0),
IF('TL13'!$B$229=O$3,SUMIF('TL13'!$C$238:$C$451,$C138,'TL13'!$J$238:$J$451),0),
IF('TL14'!$B$3=O$3,SUMIF('TL14'!$C$10:$C$224,$C138,'TL14'!$J$10:$J$224),0),
IF('TL14'!$B$229=O$3,SUMIF('TL14'!$C$238:$C$451,$C138,'TL14'!$J$238:$J$451),0),
IF('TL15'!$B$3=O$3,SUMIF('TL15'!$C$10:$C$224,$C138,'TL15'!$J$10:$J$224),0),
IF('TL15'!$B$229=O$3,SUMIF('TL15'!$C$238:$C$451,$C138,'TL15'!$J$238:$J$451),0),
IF('TL16'!$B$3=O$3,SUMIF('TL16'!$C$10:$C$224,$C138,'TL16'!$J$10:$J$224),0),
IF('TL16'!$B$229=O$3,SUMIF('TL16'!$C$238:$C$451,$C138,'TL16'!$J$238:$J$451),0),
IF('TL17'!$B$3=O$3,SUMIF('TL17'!$C$10:$C$224,$C138,'TL17'!$J$10:$J$224),0),
IF('TL17'!$B$229=O$3,SUMIF('TL17'!$C$238:$C$451,$C138,'TL17'!$J$238:$J$451),0),
IF('TL18'!$B$3=O$3,SUMIF('TL18'!$C$10:$C$224,$C138,'TL18'!$J$10:$J$224),0),
IF('TL18'!$B$229=O$3,SUMIF('TL18'!$C$238:$C$451,$C138,'TL18'!$J$238:$J$451),0),
IF('TL19'!$B$3=O$3,SUMIF('TL19'!$C$10:$C$224,$C138,'TL19'!$J$10:$J$224),0),
IF('TL19'!$B$229=O$3,SUMIF('TL19'!$C$238:$C$451,$C138,'TL19'!$J$238:$J$451),0)
),0)</f>
        <v/>
      </c>
      <c r="P138" s="9">
        <f>IFERROR(SUM(
IF('TL01'!$B$3=P$3,SUMIF('TL01'!$C$10:$C$224,$C138,'TL01'!$J$10:$J$224),0),
IF('TL01'!$B$229=P$3,SUMIF('TL01'!$C$238:$C$451,$C138,'TL01'!$J$238:$J$451),0),
IF('TL02'!$B$3=P$3,SUMIF('TL02'!$C$10:$C$224,$C138,'TL02'!$J$10:$J$224),0),
IF('TL02'!$B$229=P$3,SUMIF('TL02'!$C$238:$C$451,$C138,'TL02'!$J$238:$J$451),0),
IF('TL03'!$B$3=P$3,SUMIF('TL03'!$C$10:$C$224,$C138,'TL03'!$J$10:$J$224),0),
IF('TL03'!$B$229=P$3,SUMIF('TL03'!$C$238:$C$451,$C138,'TL03'!$J$238:$J$451),0),
IF('TL04'!$B$3=P$3,SUMIF('TL04'!$C$10:$C$224,$C138,'TL04'!$J$10:$J$224),0),
IF('TL04'!$B$229=P$3,SUMIF('TL04'!$C$238:$C$451,$C138,'TL04'!$J$238:$J$451),0),
IF('TL05'!$B$3=P$3,SUMIF('TL05'!$C$10:$C$224,$C138,'TL05'!$J$10:$J$224),0),
IF('TL05'!$B$229=P$3,SUMIF('TL05'!$C$238:$C$451,$C138,'TL05'!$J$238:$J$451),0),
IF('TL06'!$B$3=P$3,SUMIF('TL06'!$C$10:$C$224,$C138,'TL06'!$J$10:$J$224),0),
IF('TL06'!$B$229=P$3,SUMIF('TL06'!$C$238:$C$451,$C138,'TL06'!$J$238:$J$451),0),
IF('TL07'!$B$3=P$3,SUMIF('TL07'!$C$10:$C$224,$C138,'TL07'!$J$10:$J$224),0),
IF('TL07'!$B$229=P$3,SUMIF('TL07'!$C$238:$C$451,$C138,'TL07'!$J$238:$J$451),0),
IF('TL08'!$B$3=P$3,SUMIF('TL08'!$C$10:$C$224,$C138,'TL08'!$J$10:$J$224),0),
IF('TL08'!$B$229=P$3,SUMIF('TL08'!$C$238:$C$451,$C138,'TL08'!$J$238:$J$451),0),
IF('TL09'!$B$3=P$3,SUMIF('TL09'!$C$10:$C$224,$C138,'TL09'!$J$10:$J$224),0),
IF('TL09'!$B$229=P$3,SUMIF('TL09'!$C$238:$C$451,$C138,'TL09'!$J$238:$J$451),0),
IF('TL10'!$B$3=P$3,SUMIF('TL10'!$C$10:$C$224,$C138,'TL10'!$J$10:$J$224),0),
IF('TL10'!$B$229=P$3,SUMIF('TL10'!$C$238:$C$451,$C138,'TL10'!$J$238:$J$451),0),
IF('TL11'!$B$3=P$3,SUMIF('TL11'!$C$10:$C$224,$C138,'TL11'!$J$10:$J$224),0),
IF('TL11'!$B$229=P$3,SUMIF('TL11'!$C$238:$C$451,$C138,'TL11'!$J$238:$J$451),0),
IF('TL12'!$B$3=P$3,SUMIF('TL12'!$C$10:$C$224,$C138,'TL12'!$J$10:$J$224),0),
IF('TL12'!$B$229=P$3,SUMIF('TL12'!$C$238:$C$451,$C138,'TL12'!$J$238:$J$451),0),
IF('TL13'!$B$3=P$3,SUMIF('TL13'!$C$10:$C$224,$C138,'TL13'!$J$10:$J$224),0),
IF('TL13'!$B$229=P$3,SUMIF('TL13'!$C$238:$C$451,$C138,'TL13'!$J$238:$J$451),0),
IF('TL14'!$B$3=P$3,SUMIF('TL14'!$C$10:$C$224,$C138,'TL14'!$J$10:$J$224),0),
IF('TL14'!$B$229=P$3,SUMIF('TL14'!$C$238:$C$451,$C138,'TL14'!$J$238:$J$451),0),
IF('TL15'!$B$3=P$3,SUMIF('TL15'!$C$10:$C$224,$C138,'TL15'!$J$10:$J$224),0),
IF('TL15'!$B$229=P$3,SUMIF('TL15'!$C$238:$C$451,$C138,'TL15'!$J$238:$J$451),0),
IF('TL16'!$B$3=P$3,SUMIF('TL16'!$C$10:$C$224,$C138,'TL16'!$J$10:$J$224),0),
IF('TL16'!$B$229=P$3,SUMIF('TL16'!$C$238:$C$451,$C138,'TL16'!$J$238:$J$451),0),
IF('TL17'!$B$3=P$3,SUMIF('TL17'!$C$10:$C$224,$C138,'TL17'!$J$10:$J$224),0),
IF('TL17'!$B$229=P$3,SUMIF('TL17'!$C$238:$C$451,$C138,'TL17'!$J$238:$J$451),0),
IF('TL18'!$B$3=P$3,SUMIF('TL18'!$C$10:$C$224,$C138,'TL18'!$J$10:$J$224),0),
IF('TL18'!$B$229=P$3,SUMIF('TL18'!$C$238:$C$451,$C138,'TL18'!$J$238:$J$451),0),
IF('TL19'!$B$3=P$3,SUMIF('TL19'!$C$10:$C$224,$C138,'TL19'!$J$10:$J$224),0),
IF('TL19'!$B$229=P$3,SUMIF('TL19'!$C$238:$C$451,$C138,'TL19'!$J$238:$J$451),0)
),0)</f>
        <v/>
      </c>
      <c r="Q138" s="9">
        <f>IFERROR(SUM(
IF('TL01'!$B$3=Q$3,SUMIF('TL01'!$C$10:$C$224,$C138,'TL01'!$J$10:$J$224),0),
IF('TL01'!$B$229=Q$3,SUMIF('TL01'!$C$238:$C$451,$C138,'TL01'!$J$238:$J$451),0),
IF('TL02'!$B$3=Q$3,SUMIF('TL02'!$C$10:$C$224,$C138,'TL02'!$J$10:$J$224),0),
IF('TL02'!$B$229=Q$3,SUMIF('TL02'!$C$238:$C$451,$C138,'TL02'!$J$238:$J$451),0),
IF('TL03'!$B$3=Q$3,SUMIF('TL03'!$C$10:$C$224,$C138,'TL03'!$J$10:$J$224),0),
IF('TL03'!$B$229=Q$3,SUMIF('TL03'!$C$238:$C$451,$C138,'TL03'!$J$238:$J$451),0),
IF('TL04'!$B$3=Q$3,SUMIF('TL04'!$C$10:$C$224,$C138,'TL04'!$J$10:$J$224),0),
IF('TL04'!$B$229=Q$3,SUMIF('TL04'!$C$238:$C$451,$C138,'TL04'!$J$238:$J$451),0),
IF('TL05'!$B$3=Q$3,SUMIF('TL05'!$C$10:$C$224,$C138,'TL05'!$J$10:$J$224),0),
IF('TL05'!$B$229=Q$3,SUMIF('TL05'!$C$238:$C$451,$C138,'TL05'!$J$238:$J$451),0),
IF('TL06'!$B$3=Q$3,SUMIF('TL06'!$C$10:$C$224,$C138,'TL06'!$J$10:$J$224),0),
IF('TL06'!$B$229=Q$3,SUMIF('TL06'!$C$238:$C$451,$C138,'TL06'!$J$238:$J$451),0),
IF('TL07'!$B$3=Q$3,SUMIF('TL07'!$C$10:$C$224,$C138,'TL07'!$J$10:$J$224),0),
IF('TL07'!$B$229=Q$3,SUMIF('TL07'!$C$238:$C$451,$C138,'TL07'!$J$238:$J$451),0),
IF('TL08'!$B$3=Q$3,SUMIF('TL08'!$C$10:$C$224,$C138,'TL08'!$J$10:$J$224),0),
IF('TL08'!$B$229=Q$3,SUMIF('TL08'!$C$238:$C$451,$C138,'TL08'!$J$238:$J$451),0),
IF('TL09'!$B$3=Q$3,SUMIF('TL09'!$C$10:$C$224,$C138,'TL09'!$J$10:$J$224),0),
IF('TL09'!$B$229=Q$3,SUMIF('TL09'!$C$238:$C$451,$C138,'TL09'!$J$238:$J$451),0),
IF('TL10'!$B$3=Q$3,SUMIF('TL10'!$C$10:$C$224,$C138,'TL10'!$J$10:$J$224),0),
IF('TL10'!$B$229=Q$3,SUMIF('TL10'!$C$238:$C$451,$C138,'TL10'!$J$238:$J$451),0),
IF('TL11'!$B$3=Q$3,SUMIF('TL11'!$C$10:$C$224,$C138,'TL11'!$J$10:$J$224),0),
IF('TL11'!$B$229=Q$3,SUMIF('TL11'!$C$238:$C$451,$C138,'TL11'!$J$238:$J$451),0),
IF('TL12'!$B$3=Q$3,SUMIF('TL12'!$C$10:$C$224,$C138,'TL12'!$J$10:$J$224),0),
IF('TL12'!$B$229=Q$3,SUMIF('TL12'!$C$238:$C$451,$C138,'TL12'!$J$238:$J$451),0),
IF('TL13'!$B$3=Q$3,SUMIF('TL13'!$C$10:$C$224,$C138,'TL13'!$J$10:$J$224),0),
IF('TL13'!$B$229=Q$3,SUMIF('TL13'!$C$238:$C$451,$C138,'TL13'!$J$238:$J$451),0),
IF('TL14'!$B$3=Q$3,SUMIF('TL14'!$C$10:$C$224,$C138,'TL14'!$J$10:$J$224),0),
IF('TL14'!$B$229=Q$3,SUMIF('TL14'!$C$238:$C$451,$C138,'TL14'!$J$238:$J$451),0),
IF('TL15'!$B$3=Q$3,SUMIF('TL15'!$C$10:$C$224,$C138,'TL15'!$J$10:$J$224),0),
IF('TL15'!$B$229=Q$3,SUMIF('TL15'!$C$238:$C$451,$C138,'TL15'!$J$238:$J$451),0),
IF('TL16'!$B$3=Q$3,SUMIF('TL16'!$C$10:$C$224,$C138,'TL16'!$J$10:$J$224),0),
IF('TL16'!$B$229=Q$3,SUMIF('TL16'!$C$238:$C$451,$C138,'TL16'!$J$238:$J$451),0),
IF('TL17'!$B$3=Q$3,SUMIF('TL17'!$C$10:$C$224,$C138,'TL17'!$J$10:$J$224),0),
IF('TL17'!$B$229=Q$3,SUMIF('TL17'!$C$238:$C$451,$C138,'TL17'!$J$238:$J$451),0),
IF('TL18'!$B$3=Q$3,SUMIF('TL18'!$C$10:$C$224,$C138,'TL18'!$J$10:$J$224),0),
IF('TL18'!$B$229=Q$3,SUMIF('TL18'!$C$238:$C$451,$C138,'TL18'!$J$238:$J$451),0),
IF('TL19'!$B$3=Q$3,SUMIF('TL19'!$C$10:$C$224,$C138,'TL19'!$J$10:$J$224),0),
IF('TL19'!$B$229=Q$3,SUMIF('TL19'!$C$238:$C$451,$C138,'TL19'!$J$238:$J$451),0)
),0)</f>
        <v/>
      </c>
      <c r="R138" s="9">
        <f>IFERROR(
SUM(
SUMIF('TL01'!C:C,C138,'TL01'!J:J),
SUMIF('TL02'!C:C,C138,'TL02'!J:J),
SUMIF('TL03'!C:C,C138,'TL03'!J:J),
SUMIF('TL04'!C:C,C138,'TL04'!J:J),
SUMIF('TL05'!C:C,C138,'TL05'!J:J),
SUMIF('TL06'!C:C,C138,'TL06'!J:J),
SUMIF('TL07'!C:C,C138,'TL07'!J:J),
SUMIF('TL08'!C:C,C138,'TL08'!J:J),
SUMIF('TL09'!C:C,C138,'TL09'!J:J),
SUMIF('TL10'!C:C,C138,'TL10'!J:J),
SUMIF('TL11'!C:C,C138,'TL11'!J:J),
SUMIF('TL12'!C:C,C138,'TL12'!J:J),
SUMIF('TL13'!C:C,C138,'TL13'!J:J),
SUMIF('TL14'!C:C,C138,'TL14'!J:J),
SUMIF('TL15'!C:C,C138,'TL15'!J:J),
SUMIF('TL16'!C:C,C138,'TL16'!J:J),
SUMIF('TL17'!C:C,C138,'TL17'!J:J),
SUMIF('TL18'!C:C,C138,'TL18'!J:J),SUMIF('TL19'!C:C,C138,'TL19'!J:J))
,0)</f>
        <v/>
      </c>
      <c r="S138" s="17">
        <f>IFERROR(__xludf.DUMMYFUNCTION("IFERROR(VLOOKUP(C138,
IMPORTRANGE(""1wULbzX32WdYsx-lj2U3uUNBBe2INVIRDtcK0d-Dvl90"",
""26-27!C:G""),
5,
FALSE),
"""")"),46.03834)</f>
        <v/>
      </c>
      <c r="T138" s="9" t="n"/>
      <c r="U138" s="92">
        <f>MAX(0,R138-T138)</f>
        <v/>
      </c>
      <c r="V138" s="93">
        <f>U138*S138</f>
        <v/>
      </c>
    </row>
    <row r="139" hidden="1" ht="15.75" customHeight="1" s="297">
      <c r="A139" s="111" t="inlineStr">
        <is>
          <t>CROPCHEM</t>
        </is>
      </c>
      <c r="B139" s="112" t="inlineStr">
        <is>
          <t>HERBICIDA</t>
        </is>
      </c>
      <c r="C139" s="113" t="inlineStr">
        <is>
          <t>GINETE 212 SL</t>
        </is>
      </c>
      <c r="D139" s="113" t="inlineStr">
        <is>
          <t>IMAZETAPIR</t>
        </is>
      </c>
      <c r="E139" s="113" t="n">
        <v>212</v>
      </c>
      <c r="F139" s="4" t="inlineStr">
        <is>
          <t>KG</t>
        </is>
      </c>
      <c r="G139" s="90">
        <f>HYPERLINK("https://www.google.com/search?q=" &amp; C139 &amp; "+bula+agrofit+pdf", "📄 Ver bula")</f>
        <v/>
      </c>
      <c r="H139" s="9">
        <f>IFERROR(__xludf.DUMMYFUNCTION("IFERROR(VLOOKUP(C139,
IMPORTRANGE(""1wULbzX32WdYsx-lj2U3uUNBBe2INVIRDtcK0d-Dvl90"",
""26-27!C:K""),
8,
FALSE),
"""")"),"")</f>
        <v/>
      </c>
      <c r="I139" s="114" t="inlineStr">
        <is>
          <t>1x20</t>
        </is>
      </c>
      <c r="J139" s="9">
        <f>IFERROR(SUM(
IF('TL01'!$B$3=J$3,SUMIF('TL01'!$C$10:$C$224,$C139,'TL01'!$J$10:$J$224),0),
IF('TL01'!$B$229=J$3,SUMIF('TL01'!$C$238:$C$451,$C139,'TL01'!$J$238:$J$451),0),
IF('TL02'!$B$3=J$3,SUMIF('TL02'!$C$10:$C$224,$C139,'TL02'!$J$10:$J$224),0),
IF('TL02'!$B$229=J$3,SUMIF('TL02'!$C$238:$C$451,$C139,'TL02'!$J$238:$J$451),0),
IF('TL03'!$B$3=J$3,SUMIF('TL03'!$C$10:$C$224,$C139,'TL03'!$J$10:$J$224),0),
IF('TL03'!$B$229=J$3,SUMIF('TL03'!$C$238:$C$451,$C139,'TL03'!$J$238:$J$451),0),
IF('TL04'!$B$3=J$3,SUMIF('TL04'!$C$10:$C$224,$C139,'TL04'!$J$10:$J$224),0),
IF('TL04'!$B$229=J$3,SUMIF('TL04'!$C$238:$C$451,$C139,'TL04'!$J$238:$J$451),0),
IF('TL05'!$B$3=J$3,SUMIF('TL05'!$C$10:$C$224,$C139,'TL05'!$J$10:$J$224),0),
IF('TL05'!$B$229=J$3,SUMIF('TL05'!$C$238:$C$451,$C139,'TL05'!$J$238:$J$451),0),
IF('TL06'!$B$3=J$3,SUMIF('TL06'!$C$10:$C$224,$C139,'TL06'!$J$10:$J$224),0),
IF('TL06'!$B$229=J$3,SUMIF('TL06'!$C$238:$C$451,$C139,'TL06'!$J$238:$J$451),0),
IF('TL07'!$B$3=J$3,SUMIF('TL07'!$C$10:$C$224,$C139,'TL07'!$J$10:$J$224),0),
IF('TL07'!$B$229=J$3,SUMIF('TL07'!$C$238:$C$451,$C139,'TL07'!$J$238:$J$451),0),
IF('TL08'!$B$3=J$3,SUMIF('TL08'!$C$10:$C$224,$C139,'TL08'!$J$10:$J$224),0),
IF('TL08'!$B$229=J$3,SUMIF('TL08'!$C$238:$C$451,$C139,'TL08'!$J$238:$J$451),0),
IF('TL09'!$B$3=J$3,SUMIF('TL09'!$C$10:$C$224,$C139,'TL09'!$J$10:$J$224),0),
IF('TL09'!$B$229=J$3,SUMIF('TL09'!$C$238:$C$451,$C139,'TL09'!$J$238:$J$451),0),
IF('TL10'!$B$3=J$3,SUMIF('TL10'!$C$10:$C$224,$C139,'TL10'!$J$10:$J$224),0),
IF('TL10'!$B$229=J$3,SUMIF('TL10'!$C$238:$C$451,$C139,'TL10'!$J$238:$J$451),0),
IF('TL11'!$B$3=J$3,SUMIF('TL11'!$C$10:$C$224,$C139,'TL11'!$J$10:$J$224),0),
IF('TL11'!$B$229=J$3,SUMIF('TL11'!$C$238:$C$451,$C139,'TL11'!$J$238:$J$451),0),
IF('TL12'!$B$3=J$3,SUMIF('TL12'!$C$10:$C$224,$C139,'TL12'!$J$10:$J$224),0),
IF('TL12'!$B$229=J$3,SUMIF('TL12'!$C$238:$C$451,$C139,'TL12'!$J$238:$J$451),0),
IF('TL13'!$B$3=J$3,SUMIF('TL13'!$C$10:$C$224,$C139,'TL13'!$J$10:$J$224),0),
IF('TL13'!$B$229=J$3,SUMIF('TL13'!$C$238:$C$451,$C139,'TL13'!$J$238:$J$451),0),
IF('TL14'!$B$3=J$3,SUMIF('TL14'!$C$10:$C$224,$C139,'TL14'!$J$10:$J$224),0),
IF('TL14'!$B$229=J$3,SUMIF('TL14'!$C$238:$C$451,$C139,'TL14'!$J$238:$J$451),0),
IF('TL15'!$B$3=J$3,SUMIF('TL15'!$C$10:$C$224,$C139,'TL15'!$J$10:$J$224),0),
IF('TL15'!$B$229=J$3,SUMIF('TL15'!$C$238:$C$451,$C139,'TL15'!$J$238:$J$451),0),
IF('TL16'!$B$3=J$3,SUMIF('TL16'!$C$10:$C$224,$C139,'TL16'!$J$10:$J$224),0),
IF('TL16'!$B$229=J$3,SUMIF('TL16'!$C$238:$C$451,$C139,'TL16'!$J$238:$J$451),0),
IF('TL17'!$B$3=J$3,SUMIF('TL17'!$C$10:$C$224,$C139,'TL17'!$J$10:$J$224),0),
IF('TL17'!$B$229=J$3,SUMIF('TL17'!$C$238:$C$451,$C139,'TL17'!$J$238:$J$451),0),
IF('TL18'!$B$3=J$3,SUMIF('TL18'!$C$10:$C$224,$C139,'TL18'!$J$10:$J$224),0),
IF('TL18'!$B$229=J$3,SUMIF('TL18'!$C$238:$C$451,$C139,'TL18'!$J$238:$J$451),0),
IF('TL19'!$B$3=J$3,SUMIF('TL19'!$C$10:$C$224,$C139,'TL19'!$J$10:$J$224),0),
IF('TL19'!$B$229=J$3,SUMIF('TL19'!$C$238:$C$451,$C139,'TL19'!$J$238:$J$451),0)
),0)</f>
        <v/>
      </c>
      <c r="K139" s="9">
        <f>IFERROR(SUM(
IF('TL01'!$B$3=K$3,SUMIF('TL01'!$C$10:$C$224,$C139,'TL01'!$J$10:$J$224),0),
IF('TL01'!$B$229=K$3,SUMIF('TL01'!$C$238:$C$451,$C139,'TL01'!$J$238:$J$451),0),
IF('TL02'!$B$3=K$3,SUMIF('TL02'!$C$10:$C$224,$C139,'TL02'!$J$10:$J$224),0),
IF('TL02'!$B$229=K$3,SUMIF('TL02'!$C$238:$C$451,$C139,'TL02'!$J$238:$J$451),0),
IF('TL03'!$B$3=K$3,SUMIF('TL03'!$C$10:$C$224,$C139,'TL03'!$J$10:$J$224),0),
IF('TL03'!$B$229=K$3,SUMIF('TL03'!$C$238:$C$451,$C139,'TL03'!$J$238:$J$451),0),
IF('TL04'!$B$3=K$3,SUMIF('TL04'!$C$10:$C$224,$C139,'TL04'!$J$10:$J$224),0),
IF('TL04'!$B$229=K$3,SUMIF('TL04'!$C$238:$C$451,$C139,'TL04'!$J$238:$J$451),0),
IF('TL05'!$B$3=K$3,SUMIF('TL05'!$C$10:$C$224,$C139,'TL05'!$J$10:$J$224),0),
IF('TL05'!$B$229=K$3,SUMIF('TL05'!$C$238:$C$451,$C139,'TL05'!$J$238:$J$451),0),
IF('TL06'!$B$3=K$3,SUMIF('TL06'!$C$10:$C$224,$C139,'TL06'!$J$10:$J$224),0),
IF('TL06'!$B$229=K$3,SUMIF('TL06'!$C$238:$C$451,$C139,'TL06'!$J$238:$J$451),0),
IF('TL07'!$B$3=K$3,SUMIF('TL07'!$C$10:$C$224,$C139,'TL07'!$J$10:$J$224),0),
IF('TL07'!$B$229=K$3,SUMIF('TL07'!$C$238:$C$451,$C139,'TL07'!$J$238:$J$451),0),
IF('TL08'!$B$3=K$3,SUMIF('TL08'!$C$10:$C$224,$C139,'TL08'!$J$10:$J$224),0),
IF('TL08'!$B$229=K$3,SUMIF('TL08'!$C$238:$C$451,$C139,'TL08'!$J$238:$J$451),0),
IF('TL09'!$B$3=K$3,SUMIF('TL09'!$C$10:$C$224,$C139,'TL09'!$J$10:$J$224),0),
IF('TL09'!$B$229=K$3,SUMIF('TL09'!$C$238:$C$451,$C139,'TL09'!$J$238:$J$451),0),
IF('TL10'!$B$3=K$3,SUMIF('TL10'!$C$10:$C$224,$C139,'TL10'!$J$10:$J$224),0),
IF('TL10'!$B$229=K$3,SUMIF('TL10'!$C$238:$C$451,$C139,'TL10'!$J$238:$J$451),0),
IF('TL11'!$B$3=K$3,SUMIF('TL11'!$C$10:$C$224,$C139,'TL11'!$J$10:$J$224),0),
IF('TL11'!$B$229=K$3,SUMIF('TL11'!$C$238:$C$451,$C139,'TL11'!$J$238:$J$451),0),
IF('TL12'!$B$3=K$3,SUMIF('TL12'!$C$10:$C$224,$C139,'TL12'!$J$10:$J$224),0),
IF('TL12'!$B$229=K$3,SUMIF('TL12'!$C$238:$C$451,$C139,'TL12'!$J$238:$J$451),0),
IF('TL13'!$B$3=K$3,SUMIF('TL13'!$C$10:$C$224,$C139,'TL13'!$J$10:$J$224),0),
IF('TL13'!$B$229=K$3,SUMIF('TL13'!$C$238:$C$451,$C139,'TL13'!$J$238:$J$451),0),
IF('TL14'!$B$3=K$3,SUMIF('TL14'!$C$10:$C$224,$C139,'TL14'!$J$10:$J$224),0),
IF('TL14'!$B$229=K$3,SUMIF('TL14'!$C$238:$C$451,$C139,'TL14'!$J$238:$J$451),0),
IF('TL15'!$B$3=K$3,SUMIF('TL15'!$C$10:$C$224,$C139,'TL15'!$J$10:$J$224),0),
IF('TL15'!$B$229=K$3,SUMIF('TL15'!$C$238:$C$451,$C139,'TL15'!$J$238:$J$451),0),
IF('TL16'!$B$3=K$3,SUMIF('TL16'!$C$10:$C$224,$C139,'TL16'!$J$10:$J$224),0),
IF('TL16'!$B$229=K$3,SUMIF('TL16'!$C$238:$C$451,$C139,'TL16'!$J$238:$J$451),0),
IF('TL17'!$B$3=K$3,SUMIF('TL17'!$C$10:$C$224,$C139,'TL17'!$J$10:$J$224),0),
IF('TL17'!$B$229=K$3,SUMIF('TL17'!$C$238:$C$451,$C139,'TL17'!$J$238:$J$451),0),
IF('TL18'!$B$3=K$3,SUMIF('TL18'!$C$10:$C$224,$C139,'TL18'!$J$10:$J$224),0),
IF('TL18'!$B$229=K$3,SUMIF('TL18'!$C$238:$C$451,$C139,'TL18'!$J$238:$J$451),0),
IF('TL19'!$B$3=K$3,SUMIF('TL19'!$C$10:$C$224,$C139,'TL19'!$J$10:$J$224),0),
IF('TL19'!$B$229=K$3,SUMIF('TL19'!$C$238:$C$451,$C139,'TL19'!$J$238:$J$451),0)
),0)</f>
        <v/>
      </c>
      <c r="L139" s="9">
        <f>IFERROR(SUM(
IF('TL01'!$B$3=L$3,SUMIF('TL01'!$C$10:$C$224,$C139,'TL01'!$J$10:$J$224),0),
IF('TL01'!$B$229=L$3,SUMIF('TL01'!$C$238:$C$451,$C139,'TL01'!$J$238:$J$451),0),
IF('TL02'!$B$3=L$3,SUMIF('TL02'!$C$10:$C$224,$C139,'TL02'!$J$10:$J$224),0),
IF('TL02'!$B$229=L$3,SUMIF('TL02'!$C$238:$C$451,$C139,'TL02'!$J$238:$J$451),0),
IF('TL03'!$B$3=L$3,SUMIF('TL03'!$C$10:$C$224,$C139,'TL03'!$J$10:$J$224),0),
IF('TL03'!$B$229=L$3,SUMIF('TL03'!$C$238:$C$451,$C139,'TL03'!$J$238:$J$451),0),
IF('TL04'!$B$3=L$3,SUMIF('TL04'!$C$10:$C$224,$C139,'TL04'!$J$10:$J$224),0),
IF('TL04'!$B$229=L$3,SUMIF('TL04'!$C$238:$C$451,$C139,'TL04'!$J$238:$J$451),0),
IF('TL05'!$B$3=L$3,SUMIF('TL05'!$C$10:$C$224,$C139,'TL05'!$J$10:$J$224),0),
IF('TL05'!$B$229=L$3,SUMIF('TL05'!$C$238:$C$451,$C139,'TL05'!$J$238:$J$451),0),
IF('TL06'!$B$3=L$3,SUMIF('TL06'!$C$10:$C$224,$C139,'TL06'!$J$10:$J$224),0),
IF('TL06'!$B$229=L$3,SUMIF('TL06'!$C$238:$C$451,$C139,'TL06'!$J$238:$J$451),0),
IF('TL07'!$B$3=L$3,SUMIF('TL07'!$C$10:$C$224,$C139,'TL07'!$J$10:$J$224),0),
IF('TL07'!$B$229=L$3,SUMIF('TL07'!$C$238:$C$451,$C139,'TL07'!$J$238:$J$451),0),
IF('TL08'!$B$3=L$3,SUMIF('TL08'!$C$10:$C$224,$C139,'TL08'!$J$10:$J$224),0),
IF('TL08'!$B$229=L$3,SUMIF('TL08'!$C$238:$C$451,$C139,'TL08'!$J$238:$J$451),0),
IF('TL09'!$B$3=L$3,SUMIF('TL09'!$C$10:$C$224,$C139,'TL09'!$J$10:$J$224),0),
IF('TL09'!$B$229=L$3,SUMIF('TL09'!$C$238:$C$451,$C139,'TL09'!$J$238:$J$451),0),
IF('TL10'!$B$3=L$3,SUMIF('TL10'!$C$10:$C$224,$C139,'TL10'!$J$10:$J$224),0),
IF('TL10'!$B$229=L$3,SUMIF('TL10'!$C$238:$C$451,$C139,'TL10'!$J$238:$J$451),0),
IF('TL11'!$B$3=L$3,SUMIF('TL11'!$C$10:$C$224,$C139,'TL11'!$J$10:$J$224),0),
IF('TL11'!$B$229=L$3,SUMIF('TL11'!$C$238:$C$451,$C139,'TL11'!$J$238:$J$451),0),
IF('TL12'!$B$3=L$3,SUMIF('TL12'!$C$10:$C$224,$C139,'TL12'!$J$10:$J$224),0),
IF('TL12'!$B$229=L$3,SUMIF('TL12'!$C$238:$C$451,$C139,'TL12'!$J$238:$J$451),0),
IF('TL13'!$B$3=L$3,SUMIF('TL13'!$C$10:$C$224,$C139,'TL13'!$J$10:$J$224),0),
IF('TL13'!$B$229=L$3,SUMIF('TL13'!$C$238:$C$451,$C139,'TL13'!$J$238:$J$451),0),
IF('TL14'!$B$3=L$3,SUMIF('TL14'!$C$10:$C$224,$C139,'TL14'!$J$10:$J$224),0),
IF('TL14'!$B$229=L$3,SUMIF('TL14'!$C$238:$C$451,$C139,'TL14'!$J$238:$J$451),0),
IF('TL15'!$B$3=L$3,SUMIF('TL15'!$C$10:$C$224,$C139,'TL15'!$J$10:$J$224),0),
IF('TL15'!$B$229=L$3,SUMIF('TL15'!$C$238:$C$451,$C139,'TL15'!$J$238:$J$451),0),
IF('TL16'!$B$3=L$3,SUMIF('TL16'!$C$10:$C$224,$C139,'TL16'!$J$10:$J$224),0),
IF('TL16'!$B$229=L$3,SUMIF('TL16'!$C$238:$C$451,$C139,'TL16'!$J$238:$J$451),0),
IF('TL17'!$B$3=L$3,SUMIF('TL17'!$C$10:$C$224,$C139,'TL17'!$J$10:$J$224),0),
IF('TL17'!$B$229=L$3,SUMIF('TL17'!$C$238:$C$451,$C139,'TL17'!$J$238:$J$451),0),
IF('TL18'!$B$3=L$3,SUMIF('TL18'!$C$10:$C$224,$C139,'TL18'!$J$10:$J$224),0),
IF('TL18'!$B$229=L$3,SUMIF('TL18'!$C$238:$C$451,$C139,'TL18'!$J$238:$J$451),0),
IF('TL19'!$B$3=L$3,SUMIF('TL19'!$C$10:$C$224,$C139,'TL19'!$J$10:$J$224),0),
IF('TL19'!$B$229=L$3,SUMIF('TL19'!$C$238:$C$451,$C139,'TL19'!$J$238:$J$451),0)
),0)</f>
        <v/>
      </c>
      <c r="M139" s="9">
        <f>IFERROR(SUM(
IF('TL01'!$B$3=M$3,SUMIF('TL01'!$C$10:$C$224,$C139,'TL01'!$J$10:$J$224),0),
IF('TL01'!$B$229=M$3,SUMIF('TL01'!$C$238:$C$451,$C139,'TL01'!$J$238:$J$451),0),
IF('TL02'!$B$3=M$3,SUMIF('TL02'!$C$10:$C$224,$C139,'TL02'!$J$10:$J$224),0),
IF('TL02'!$B$229=M$3,SUMIF('TL02'!$C$238:$C$451,$C139,'TL02'!$J$238:$J$451),0),
IF('TL03'!$B$3=M$3,SUMIF('TL03'!$C$10:$C$224,$C139,'TL03'!$J$10:$J$224),0),
IF('TL03'!$B$229=M$3,SUMIF('TL03'!$C$238:$C$451,$C139,'TL03'!$J$238:$J$451),0),
IF('TL04'!$B$3=M$3,SUMIF('TL04'!$C$10:$C$224,$C139,'TL04'!$J$10:$J$224),0),
IF('TL04'!$B$229=M$3,SUMIF('TL04'!$C$238:$C$451,$C139,'TL04'!$J$238:$J$451),0),
IF('TL05'!$B$3=M$3,SUMIF('TL05'!$C$10:$C$224,$C139,'TL05'!$J$10:$J$224),0),
IF('TL05'!$B$229=M$3,SUMIF('TL05'!$C$238:$C$451,$C139,'TL05'!$J$238:$J$451),0),
IF('TL06'!$B$3=M$3,SUMIF('TL06'!$C$10:$C$224,$C139,'TL06'!$J$10:$J$224),0),
IF('TL06'!$B$229=M$3,SUMIF('TL06'!$C$238:$C$451,$C139,'TL06'!$J$238:$J$451),0),
IF('TL07'!$B$3=M$3,SUMIF('TL07'!$C$10:$C$224,$C139,'TL07'!$J$10:$J$224),0),
IF('TL07'!$B$229=M$3,SUMIF('TL07'!$C$238:$C$451,$C139,'TL07'!$J$238:$J$451),0),
IF('TL08'!$B$3=M$3,SUMIF('TL08'!$C$10:$C$224,$C139,'TL08'!$J$10:$J$224),0),
IF('TL08'!$B$229=M$3,SUMIF('TL08'!$C$238:$C$451,$C139,'TL08'!$J$238:$J$451),0),
IF('TL09'!$B$3=M$3,SUMIF('TL09'!$C$10:$C$224,$C139,'TL09'!$J$10:$J$224),0),
IF('TL09'!$B$229=M$3,SUMIF('TL09'!$C$238:$C$451,$C139,'TL09'!$J$238:$J$451),0),
IF('TL10'!$B$3=M$3,SUMIF('TL10'!$C$10:$C$224,$C139,'TL10'!$J$10:$J$224),0),
IF('TL10'!$B$229=M$3,SUMIF('TL10'!$C$238:$C$451,$C139,'TL10'!$J$238:$J$451),0),
IF('TL11'!$B$3=M$3,SUMIF('TL11'!$C$10:$C$224,$C139,'TL11'!$J$10:$J$224),0),
IF('TL11'!$B$229=M$3,SUMIF('TL11'!$C$238:$C$451,$C139,'TL11'!$J$238:$J$451),0),
IF('TL12'!$B$3=M$3,SUMIF('TL12'!$C$10:$C$224,$C139,'TL12'!$J$10:$J$224),0),
IF('TL12'!$B$229=M$3,SUMIF('TL12'!$C$238:$C$451,$C139,'TL12'!$J$238:$J$451),0),
IF('TL13'!$B$3=M$3,SUMIF('TL13'!$C$10:$C$224,$C139,'TL13'!$J$10:$J$224),0),
IF('TL13'!$B$229=M$3,SUMIF('TL13'!$C$238:$C$451,$C139,'TL13'!$J$238:$J$451),0),
IF('TL14'!$B$3=M$3,SUMIF('TL14'!$C$10:$C$224,$C139,'TL14'!$J$10:$J$224),0),
IF('TL14'!$B$229=M$3,SUMIF('TL14'!$C$238:$C$451,$C139,'TL14'!$J$238:$J$451),0),
IF('TL15'!$B$3=M$3,SUMIF('TL15'!$C$10:$C$224,$C139,'TL15'!$J$10:$J$224),0),
IF('TL15'!$B$229=M$3,SUMIF('TL15'!$C$238:$C$451,$C139,'TL15'!$J$238:$J$451),0),
IF('TL16'!$B$3=M$3,SUMIF('TL16'!$C$10:$C$224,$C139,'TL16'!$J$10:$J$224),0),
IF('TL16'!$B$229=M$3,SUMIF('TL16'!$C$238:$C$451,$C139,'TL16'!$J$238:$J$451),0),
IF('TL17'!$B$3=M$3,SUMIF('TL17'!$C$10:$C$224,$C139,'TL17'!$J$10:$J$224),0),
IF('TL17'!$B$229=M$3,SUMIF('TL17'!$C$238:$C$451,$C139,'TL17'!$J$238:$J$451),0),
IF('TL18'!$B$3=M$3,SUMIF('TL18'!$C$10:$C$224,$C139,'TL18'!$J$10:$J$224),0),
IF('TL18'!$B$229=M$3,SUMIF('TL18'!$C$238:$C$451,$C139,'TL18'!$J$238:$J$451),0),
IF('TL19'!$B$3=M$3,SUMIF('TL19'!$C$10:$C$224,$C139,'TL19'!$J$10:$J$224),0),
IF('TL19'!$B$229=M$3,SUMIF('TL19'!$C$238:$C$451,$C139,'TL19'!$J$238:$J$451),0)
),0)</f>
        <v/>
      </c>
      <c r="N139" s="9">
        <f>IFERROR(SUM(
IF('TL01'!$B$3=N$3,SUMIF('TL01'!$C$10:$C$224,$C139,'TL01'!$J$10:$J$224),0),
IF('TL01'!$B$229=N$3,SUMIF('TL01'!$C$238:$C$451,$C139,'TL01'!$J$238:$J$451),0),
IF('TL02'!$B$3=N$3,SUMIF('TL02'!$C$10:$C$224,$C139,'TL02'!$J$10:$J$224),0),
IF('TL02'!$B$229=N$3,SUMIF('TL02'!$C$238:$C$451,$C139,'TL02'!$J$238:$J$451),0),
IF('TL03'!$B$3=N$3,SUMIF('TL03'!$C$10:$C$224,$C139,'TL03'!$J$10:$J$224),0),
IF('TL03'!$B$229=N$3,SUMIF('TL03'!$C$238:$C$451,$C139,'TL03'!$J$238:$J$451),0),
IF('TL04'!$B$3=N$3,SUMIF('TL04'!$C$10:$C$224,$C139,'TL04'!$J$10:$J$224),0),
IF('TL04'!$B$229=N$3,SUMIF('TL04'!$C$238:$C$451,$C139,'TL04'!$J$238:$J$451),0),
IF('TL05'!$B$3=N$3,SUMIF('TL05'!$C$10:$C$224,$C139,'TL05'!$J$10:$J$224),0),
IF('TL05'!$B$229=N$3,SUMIF('TL05'!$C$238:$C$451,$C139,'TL05'!$J$238:$J$451),0),
IF('TL06'!$B$3=N$3,SUMIF('TL06'!$C$10:$C$224,$C139,'TL06'!$J$10:$J$224),0),
IF('TL06'!$B$229=N$3,SUMIF('TL06'!$C$238:$C$451,$C139,'TL06'!$J$238:$J$451),0),
IF('TL07'!$B$3=N$3,SUMIF('TL07'!$C$10:$C$224,$C139,'TL07'!$J$10:$J$224),0),
IF('TL07'!$B$229=N$3,SUMIF('TL07'!$C$238:$C$451,$C139,'TL07'!$J$238:$J$451),0),
IF('TL08'!$B$3=N$3,SUMIF('TL08'!$C$10:$C$224,$C139,'TL08'!$J$10:$J$224),0),
IF('TL08'!$B$229=N$3,SUMIF('TL08'!$C$238:$C$451,$C139,'TL08'!$J$238:$J$451),0),
IF('TL09'!$B$3=N$3,SUMIF('TL09'!$C$10:$C$224,$C139,'TL09'!$J$10:$J$224),0),
IF('TL09'!$B$229=N$3,SUMIF('TL09'!$C$238:$C$451,$C139,'TL09'!$J$238:$J$451),0),
IF('TL10'!$B$3=N$3,SUMIF('TL10'!$C$10:$C$224,$C139,'TL10'!$J$10:$J$224),0),
IF('TL10'!$B$229=N$3,SUMIF('TL10'!$C$238:$C$451,$C139,'TL10'!$J$238:$J$451),0),
IF('TL11'!$B$3=N$3,SUMIF('TL11'!$C$10:$C$224,$C139,'TL11'!$J$10:$J$224),0),
IF('TL11'!$B$229=N$3,SUMIF('TL11'!$C$238:$C$451,$C139,'TL11'!$J$238:$J$451),0),
IF('TL12'!$B$3=N$3,SUMIF('TL12'!$C$10:$C$224,$C139,'TL12'!$J$10:$J$224),0),
IF('TL12'!$B$229=N$3,SUMIF('TL12'!$C$238:$C$451,$C139,'TL12'!$J$238:$J$451),0),
IF('TL13'!$B$3=N$3,SUMIF('TL13'!$C$10:$C$224,$C139,'TL13'!$J$10:$J$224),0),
IF('TL13'!$B$229=N$3,SUMIF('TL13'!$C$238:$C$451,$C139,'TL13'!$J$238:$J$451),0),
IF('TL14'!$B$3=N$3,SUMIF('TL14'!$C$10:$C$224,$C139,'TL14'!$J$10:$J$224),0),
IF('TL14'!$B$229=N$3,SUMIF('TL14'!$C$238:$C$451,$C139,'TL14'!$J$238:$J$451),0),
IF('TL15'!$B$3=N$3,SUMIF('TL15'!$C$10:$C$224,$C139,'TL15'!$J$10:$J$224),0),
IF('TL15'!$B$229=N$3,SUMIF('TL15'!$C$238:$C$451,$C139,'TL15'!$J$238:$J$451),0),
IF('TL16'!$B$3=N$3,SUMIF('TL16'!$C$10:$C$224,$C139,'TL16'!$J$10:$J$224),0),
IF('TL16'!$B$229=N$3,SUMIF('TL16'!$C$238:$C$451,$C139,'TL16'!$J$238:$J$451),0),
IF('TL17'!$B$3=N$3,SUMIF('TL17'!$C$10:$C$224,$C139,'TL17'!$J$10:$J$224),0),
IF('TL17'!$B$229=N$3,SUMIF('TL17'!$C$238:$C$451,$C139,'TL17'!$J$238:$J$451),0),
IF('TL18'!$B$3=N$3,SUMIF('TL18'!$C$10:$C$224,$C139,'TL18'!$J$10:$J$224),0),
IF('TL18'!$B$229=N$3,SUMIF('TL18'!$C$238:$C$451,$C139,'TL18'!$J$238:$J$451),0),
IF('TL19'!$B$3=N$3,SUMIF('TL19'!$C$10:$C$224,$C139,'TL19'!$J$10:$J$224),0),
IF('TL19'!$B$229=N$3,SUMIF('TL19'!$C$238:$C$451,$C139,'TL19'!$J$238:$J$451),0)
),0)</f>
        <v/>
      </c>
      <c r="O139" s="9">
        <f>IFERROR(SUM(
IF('TL01'!$B$3=O$3,SUMIF('TL01'!$C$10:$C$224,$C139,'TL01'!$J$10:$J$224),0),
IF('TL01'!$B$229=O$3,SUMIF('TL01'!$C$238:$C$451,$C139,'TL01'!$J$238:$J$451),0),
IF('TL02'!$B$3=O$3,SUMIF('TL02'!$C$10:$C$224,$C139,'TL02'!$J$10:$J$224),0),
IF('TL02'!$B$229=O$3,SUMIF('TL02'!$C$238:$C$451,$C139,'TL02'!$J$238:$J$451),0),
IF('TL03'!$B$3=O$3,SUMIF('TL03'!$C$10:$C$224,$C139,'TL03'!$J$10:$J$224),0),
IF('TL03'!$B$229=O$3,SUMIF('TL03'!$C$238:$C$451,$C139,'TL03'!$J$238:$J$451),0),
IF('TL04'!$B$3=O$3,SUMIF('TL04'!$C$10:$C$224,$C139,'TL04'!$J$10:$J$224),0),
IF('TL04'!$B$229=O$3,SUMIF('TL04'!$C$238:$C$451,$C139,'TL04'!$J$238:$J$451),0),
IF('TL05'!$B$3=O$3,SUMIF('TL05'!$C$10:$C$224,$C139,'TL05'!$J$10:$J$224),0),
IF('TL05'!$B$229=O$3,SUMIF('TL05'!$C$238:$C$451,$C139,'TL05'!$J$238:$J$451),0),
IF('TL06'!$B$3=O$3,SUMIF('TL06'!$C$10:$C$224,$C139,'TL06'!$J$10:$J$224),0),
IF('TL06'!$B$229=O$3,SUMIF('TL06'!$C$238:$C$451,$C139,'TL06'!$J$238:$J$451),0),
IF('TL07'!$B$3=O$3,SUMIF('TL07'!$C$10:$C$224,$C139,'TL07'!$J$10:$J$224),0),
IF('TL07'!$B$229=O$3,SUMIF('TL07'!$C$238:$C$451,$C139,'TL07'!$J$238:$J$451),0),
IF('TL08'!$B$3=O$3,SUMIF('TL08'!$C$10:$C$224,$C139,'TL08'!$J$10:$J$224),0),
IF('TL08'!$B$229=O$3,SUMIF('TL08'!$C$238:$C$451,$C139,'TL08'!$J$238:$J$451),0),
IF('TL09'!$B$3=O$3,SUMIF('TL09'!$C$10:$C$224,$C139,'TL09'!$J$10:$J$224),0),
IF('TL09'!$B$229=O$3,SUMIF('TL09'!$C$238:$C$451,$C139,'TL09'!$J$238:$J$451),0),
IF('TL10'!$B$3=O$3,SUMIF('TL10'!$C$10:$C$224,$C139,'TL10'!$J$10:$J$224),0),
IF('TL10'!$B$229=O$3,SUMIF('TL10'!$C$238:$C$451,$C139,'TL10'!$J$238:$J$451),0),
IF('TL11'!$B$3=O$3,SUMIF('TL11'!$C$10:$C$224,$C139,'TL11'!$J$10:$J$224),0),
IF('TL11'!$B$229=O$3,SUMIF('TL11'!$C$238:$C$451,$C139,'TL11'!$J$238:$J$451),0),
IF('TL12'!$B$3=O$3,SUMIF('TL12'!$C$10:$C$224,$C139,'TL12'!$J$10:$J$224),0),
IF('TL12'!$B$229=O$3,SUMIF('TL12'!$C$238:$C$451,$C139,'TL12'!$J$238:$J$451),0),
IF('TL13'!$B$3=O$3,SUMIF('TL13'!$C$10:$C$224,$C139,'TL13'!$J$10:$J$224),0),
IF('TL13'!$B$229=O$3,SUMIF('TL13'!$C$238:$C$451,$C139,'TL13'!$J$238:$J$451),0),
IF('TL14'!$B$3=O$3,SUMIF('TL14'!$C$10:$C$224,$C139,'TL14'!$J$10:$J$224),0),
IF('TL14'!$B$229=O$3,SUMIF('TL14'!$C$238:$C$451,$C139,'TL14'!$J$238:$J$451),0),
IF('TL15'!$B$3=O$3,SUMIF('TL15'!$C$10:$C$224,$C139,'TL15'!$J$10:$J$224),0),
IF('TL15'!$B$229=O$3,SUMIF('TL15'!$C$238:$C$451,$C139,'TL15'!$J$238:$J$451),0),
IF('TL16'!$B$3=O$3,SUMIF('TL16'!$C$10:$C$224,$C139,'TL16'!$J$10:$J$224),0),
IF('TL16'!$B$229=O$3,SUMIF('TL16'!$C$238:$C$451,$C139,'TL16'!$J$238:$J$451),0),
IF('TL17'!$B$3=O$3,SUMIF('TL17'!$C$10:$C$224,$C139,'TL17'!$J$10:$J$224),0),
IF('TL17'!$B$229=O$3,SUMIF('TL17'!$C$238:$C$451,$C139,'TL17'!$J$238:$J$451),0),
IF('TL18'!$B$3=O$3,SUMIF('TL18'!$C$10:$C$224,$C139,'TL18'!$J$10:$J$224),0),
IF('TL18'!$B$229=O$3,SUMIF('TL18'!$C$238:$C$451,$C139,'TL18'!$J$238:$J$451),0),
IF('TL19'!$B$3=O$3,SUMIF('TL19'!$C$10:$C$224,$C139,'TL19'!$J$10:$J$224),0),
IF('TL19'!$B$229=O$3,SUMIF('TL19'!$C$238:$C$451,$C139,'TL19'!$J$238:$J$451),0)
),0)</f>
        <v/>
      </c>
      <c r="P139" s="9">
        <f>IFERROR(SUM(
IF('TL01'!$B$3=P$3,SUMIF('TL01'!$C$10:$C$224,$C139,'TL01'!$J$10:$J$224),0),
IF('TL01'!$B$229=P$3,SUMIF('TL01'!$C$238:$C$451,$C139,'TL01'!$J$238:$J$451),0),
IF('TL02'!$B$3=P$3,SUMIF('TL02'!$C$10:$C$224,$C139,'TL02'!$J$10:$J$224),0),
IF('TL02'!$B$229=P$3,SUMIF('TL02'!$C$238:$C$451,$C139,'TL02'!$J$238:$J$451),0),
IF('TL03'!$B$3=P$3,SUMIF('TL03'!$C$10:$C$224,$C139,'TL03'!$J$10:$J$224),0),
IF('TL03'!$B$229=P$3,SUMIF('TL03'!$C$238:$C$451,$C139,'TL03'!$J$238:$J$451),0),
IF('TL04'!$B$3=P$3,SUMIF('TL04'!$C$10:$C$224,$C139,'TL04'!$J$10:$J$224),0),
IF('TL04'!$B$229=P$3,SUMIF('TL04'!$C$238:$C$451,$C139,'TL04'!$J$238:$J$451),0),
IF('TL05'!$B$3=P$3,SUMIF('TL05'!$C$10:$C$224,$C139,'TL05'!$J$10:$J$224),0),
IF('TL05'!$B$229=P$3,SUMIF('TL05'!$C$238:$C$451,$C139,'TL05'!$J$238:$J$451),0),
IF('TL06'!$B$3=P$3,SUMIF('TL06'!$C$10:$C$224,$C139,'TL06'!$J$10:$J$224),0),
IF('TL06'!$B$229=P$3,SUMIF('TL06'!$C$238:$C$451,$C139,'TL06'!$J$238:$J$451),0),
IF('TL07'!$B$3=P$3,SUMIF('TL07'!$C$10:$C$224,$C139,'TL07'!$J$10:$J$224),0),
IF('TL07'!$B$229=P$3,SUMIF('TL07'!$C$238:$C$451,$C139,'TL07'!$J$238:$J$451),0),
IF('TL08'!$B$3=P$3,SUMIF('TL08'!$C$10:$C$224,$C139,'TL08'!$J$10:$J$224),0),
IF('TL08'!$B$229=P$3,SUMIF('TL08'!$C$238:$C$451,$C139,'TL08'!$J$238:$J$451),0),
IF('TL09'!$B$3=P$3,SUMIF('TL09'!$C$10:$C$224,$C139,'TL09'!$J$10:$J$224),0),
IF('TL09'!$B$229=P$3,SUMIF('TL09'!$C$238:$C$451,$C139,'TL09'!$J$238:$J$451),0),
IF('TL10'!$B$3=P$3,SUMIF('TL10'!$C$10:$C$224,$C139,'TL10'!$J$10:$J$224),0),
IF('TL10'!$B$229=P$3,SUMIF('TL10'!$C$238:$C$451,$C139,'TL10'!$J$238:$J$451),0),
IF('TL11'!$B$3=P$3,SUMIF('TL11'!$C$10:$C$224,$C139,'TL11'!$J$10:$J$224),0),
IF('TL11'!$B$229=P$3,SUMIF('TL11'!$C$238:$C$451,$C139,'TL11'!$J$238:$J$451),0),
IF('TL12'!$B$3=P$3,SUMIF('TL12'!$C$10:$C$224,$C139,'TL12'!$J$10:$J$224),0),
IF('TL12'!$B$229=P$3,SUMIF('TL12'!$C$238:$C$451,$C139,'TL12'!$J$238:$J$451),0),
IF('TL13'!$B$3=P$3,SUMIF('TL13'!$C$10:$C$224,$C139,'TL13'!$J$10:$J$224),0),
IF('TL13'!$B$229=P$3,SUMIF('TL13'!$C$238:$C$451,$C139,'TL13'!$J$238:$J$451),0),
IF('TL14'!$B$3=P$3,SUMIF('TL14'!$C$10:$C$224,$C139,'TL14'!$J$10:$J$224),0),
IF('TL14'!$B$229=P$3,SUMIF('TL14'!$C$238:$C$451,$C139,'TL14'!$J$238:$J$451),0),
IF('TL15'!$B$3=P$3,SUMIF('TL15'!$C$10:$C$224,$C139,'TL15'!$J$10:$J$224),0),
IF('TL15'!$B$229=P$3,SUMIF('TL15'!$C$238:$C$451,$C139,'TL15'!$J$238:$J$451),0),
IF('TL16'!$B$3=P$3,SUMIF('TL16'!$C$10:$C$224,$C139,'TL16'!$J$10:$J$224),0),
IF('TL16'!$B$229=P$3,SUMIF('TL16'!$C$238:$C$451,$C139,'TL16'!$J$238:$J$451),0),
IF('TL17'!$B$3=P$3,SUMIF('TL17'!$C$10:$C$224,$C139,'TL17'!$J$10:$J$224),0),
IF('TL17'!$B$229=P$3,SUMIF('TL17'!$C$238:$C$451,$C139,'TL17'!$J$238:$J$451),0),
IF('TL18'!$B$3=P$3,SUMIF('TL18'!$C$10:$C$224,$C139,'TL18'!$J$10:$J$224),0),
IF('TL18'!$B$229=P$3,SUMIF('TL18'!$C$238:$C$451,$C139,'TL18'!$J$238:$J$451),0),
IF('TL19'!$B$3=P$3,SUMIF('TL19'!$C$10:$C$224,$C139,'TL19'!$J$10:$J$224),0),
IF('TL19'!$B$229=P$3,SUMIF('TL19'!$C$238:$C$451,$C139,'TL19'!$J$238:$J$451),0)
),0)</f>
        <v/>
      </c>
      <c r="Q139" s="9">
        <f>IFERROR(SUM(
IF('TL01'!$B$3=Q$3,SUMIF('TL01'!$C$10:$C$224,$C139,'TL01'!$J$10:$J$224),0),
IF('TL01'!$B$229=Q$3,SUMIF('TL01'!$C$238:$C$451,$C139,'TL01'!$J$238:$J$451),0),
IF('TL02'!$B$3=Q$3,SUMIF('TL02'!$C$10:$C$224,$C139,'TL02'!$J$10:$J$224),0),
IF('TL02'!$B$229=Q$3,SUMIF('TL02'!$C$238:$C$451,$C139,'TL02'!$J$238:$J$451),0),
IF('TL03'!$B$3=Q$3,SUMIF('TL03'!$C$10:$C$224,$C139,'TL03'!$J$10:$J$224),0),
IF('TL03'!$B$229=Q$3,SUMIF('TL03'!$C$238:$C$451,$C139,'TL03'!$J$238:$J$451),0),
IF('TL04'!$B$3=Q$3,SUMIF('TL04'!$C$10:$C$224,$C139,'TL04'!$J$10:$J$224),0),
IF('TL04'!$B$229=Q$3,SUMIF('TL04'!$C$238:$C$451,$C139,'TL04'!$J$238:$J$451),0),
IF('TL05'!$B$3=Q$3,SUMIF('TL05'!$C$10:$C$224,$C139,'TL05'!$J$10:$J$224),0),
IF('TL05'!$B$229=Q$3,SUMIF('TL05'!$C$238:$C$451,$C139,'TL05'!$J$238:$J$451),0),
IF('TL06'!$B$3=Q$3,SUMIF('TL06'!$C$10:$C$224,$C139,'TL06'!$J$10:$J$224),0),
IF('TL06'!$B$229=Q$3,SUMIF('TL06'!$C$238:$C$451,$C139,'TL06'!$J$238:$J$451),0),
IF('TL07'!$B$3=Q$3,SUMIF('TL07'!$C$10:$C$224,$C139,'TL07'!$J$10:$J$224),0),
IF('TL07'!$B$229=Q$3,SUMIF('TL07'!$C$238:$C$451,$C139,'TL07'!$J$238:$J$451),0),
IF('TL08'!$B$3=Q$3,SUMIF('TL08'!$C$10:$C$224,$C139,'TL08'!$J$10:$J$224),0),
IF('TL08'!$B$229=Q$3,SUMIF('TL08'!$C$238:$C$451,$C139,'TL08'!$J$238:$J$451),0),
IF('TL09'!$B$3=Q$3,SUMIF('TL09'!$C$10:$C$224,$C139,'TL09'!$J$10:$J$224),0),
IF('TL09'!$B$229=Q$3,SUMIF('TL09'!$C$238:$C$451,$C139,'TL09'!$J$238:$J$451),0),
IF('TL10'!$B$3=Q$3,SUMIF('TL10'!$C$10:$C$224,$C139,'TL10'!$J$10:$J$224),0),
IF('TL10'!$B$229=Q$3,SUMIF('TL10'!$C$238:$C$451,$C139,'TL10'!$J$238:$J$451),0),
IF('TL11'!$B$3=Q$3,SUMIF('TL11'!$C$10:$C$224,$C139,'TL11'!$J$10:$J$224),0),
IF('TL11'!$B$229=Q$3,SUMIF('TL11'!$C$238:$C$451,$C139,'TL11'!$J$238:$J$451),0),
IF('TL12'!$B$3=Q$3,SUMIF('TL12'!$C$10:$C$224,$C139,'TL12'!$J$10:$J$224),0),
IF('TL12'!$B$229=Q$3,SUMIF('TL12'!$C$238:$C$451,$C139,'TL12'!$J$238:$J$451),0),
IF('TL13'!$B$3=Q$3,SUMIF('TL13'!$C$10:$C$224,$C139,'TL13'!$J$10:$J$224),0),
IF('TL13'!$B$229=Q$3,SUMIF('TL13'!$C$238:$C$451,$C139,'TL13'!$J$238:$J$451),0),
IF('TL14'!$B$3=Q$3,SUMIF('TL14'!$C$10:$C$224,$C139,'TL14'!$J$10:$J$224),0),
IF('TL14'!$B$229=Q$3,SUMIF('TL14'!$C$238:$C$451,$C139,'TL14'!$J$238:$J$451),0),
IF('TL15'!$B$3=Q$3,SUMIF('TL15'!$C$10:$C$224,$C139,'TL15'!$J$10:$J$224),0),
IF('TL15'!$B$229=Q$3,SUMIF('TL15'!$C$238:$C$451,$C139,'TL15'!$J$238:$J$451),0),
IF('TL16'!$B$3=Q$3,SUMIF('TL16'!$C$10:$C$224,$C139,'TL16'!$J$10:$J$224),0),
IF('TL16'!$B$229=Q$3,SUMIF('TL16'!$C$238:$C$451,$C139,'TL16'!$J$238:$J$451),0),
IF('TL17'!$B$3=Q$3,SUMIF('TL17'!$C$10:$C$224,$C139,'TL17'!$J$10:$J$224),0),
IF('TL17'!$B$229=Q$3,SUMIF('TL17'!$C$238:$C$451,$C139,'TL17'!$J$238:$J$451),0),
IF('TL18'!$B$3=Q$3,SUMIF('TL18'!$C$10:$C$224,$C139,'TL18'!$J$10:$J$224),0),
IF('TL18'!$B$229=Q$3,SUMIF('TL18'!$C$238:$C$451,$C139,'TL18'!$J$238:$J$451),0),
IF('TL19'!$B$3=Q$3,SUMIF('TL19'!$C$10:$C$224,$C139,'TL19'!$J$10:$J$224),0),
IF('TL19'!$B$229=Q$3,SUMIF('TL19'!$C$238:$C$451,$C139,'TL19'!$J$238:$J$451),0)
),0)</f>
        <v/>
      </c>
      <c r="R139" s="9">
        <f>IFERROR(
SUM(
SUMIF('TL01'!C:C,C139,'TL01'!J:J),
SUMIF('TL02'!C:C,C139,'TL02'!J:J),
SUMIF('TL03'!C:C,C139,'TL03'!J:J),
SUMIF('TL04'!C:C,C139,'TL04'!J:J),
SUMIF('TL05'!C:C,C139,'TL05'!J:J),
SUMIF('TL06'!C:C,C139,'TL06'!J:J),
SUMIF('TL07'!C:C,C139,'TL07'!J:J),
SUMIF('TL08'!C:C,C139,'TL08'!J:J),
SUMIF('TL09'!C:C,C139,'TL09'!J:J),
SUMIF('TL10'!C:C,C139,'TL10'!J:J),
SUMIF('TL11'!C:C,C139,'TL11'!J:J),
SUMIF('TL12'!C:C,C139,'TL12'!J:J),
SUMIF('TL13'!C:C,C139,'TL13'!J:J),
SUMIF('TL14'!C:C,C139,'TL14'!J:J),
SUMIF('TL15'!C:C,C139,'TL15'!J:J),
SUMIF('TL16'!C:C,C139,'TL16'!J:J),
SUMIF('TL17'!C:C,C139,'TL17'!J:J),
SUMIF('TL18'!C:C,C139,'TL18'!J:J),SUMIF('TL19'!C:C,C139,'TL19'!J:J))
,0)</f>
        <v/>
      </c>
      <c r="S139" s="17">
        <f>IFERROR(__xludf.DUMMYFUNCTION("IFERROR(VLOOKUP(C139,
IMPORTRANGE(""1wULbzX32WdYsx-lj2U3uUNBBe2INVIRDtcK0d-Dvl90"",
""26-27!C:G""),
5,
FALSE),
"""")"),47.21818)</f>
        <v/>
      </c>
      <c r="T139" s="9" t="n"/>
      <c r="U139" s="92">
        <f>MAX(0,R139-T139)</f>
        <v/>
      </c>
      <c r="V139" s="93">
        <f>U139*S139</f>
        <v/>
      </c>
    </row>
    <row r="140" hidden="1" ht="15.75" customHeight="1" s="297">
      <c r="A140" s="115" t="inlineStr">
        <is>
          <t>FMC</t>
        </is>
      </c>
      <c r="B140" s="100" t="inlineStr">
        <is>
          <t>HERBICIDA</t>
        </is>
      </c>
      <c r="C140" s="116" t="inlineStr">
        <is>
          <t>AURORA 400 EC</t>
        </is>
      </c>
      <c r="D140" s="116" t="inlineStr">
        <is>
          <t>CARFENTRAZONA-ETÍLICA</t>
        </is>
      </c>
      <c r="E140" s="116" t="n">
        <v>400</v>
      </c>
      <c r="F140" s="4" t="inlineStr">
        <is>
          <t>L</t>
        </is>
      </c>
      <c r="G140" s="90">
        <f>HYPERLINK("https://www.google.com/search?q=" &amp; C140 &amp; "+bula+agrofit+pdf", "📄 Ver bula")</f>
        <v/>
      </c>
      <c r="H140" s="9">
        <f>IFERROR(__xludf.DUMMYFUNCTION("IFERROR(VLOOKUP(C140,
IMPORTRANGE(""1wULbzX32WdYsx-lj2U3uUNBBe2INVIRDtcK0d-Dvl90"",
""26-27!C:K""),
8,
FALSE),
"""")"),0.075)</f>
        <v/>
      </c>
      <c r="I140" s="117" t="inlineStr">
        <is>
          <t>4x5</t>
        </is>
      </c>
      <c r="J140" s="9">
        <f>IFERROR(SUM(
IF('TL01'!$B$3=J$3,SUMIF('TL01'!$C$10:$C$224,$C140,'TL01'!$J$10:$J$224),0),
IF('TL01'!$B$229=J$3,SUMIF('TL01'!$C$238:$C$451,$C140,'TL01'!$J$238:$J$451),0),
IF('TL02'!$B$3=J$3,SUMIF('TL02'!$C$10:$C$224,$C140,'TL02'!$J$10:$J$224),0),
IF('TL02'!$B$229=J$3,SUMIF('TL02'!$C$238:$C$451,$C140,'TL02'!$J$238:$J$451),0),
IF('TL03'!$B$3=J$3,SUMIF('TL03'!$C$10:$C$224,$C140,'TL03'!$J$10:$J$224),0),
IF('TL03'!$B$229=J$3,SUMIF('TL03'!$C$238:$C$451,$C140,'TL03'!$J$238:$J$451),0),
IF('TL04'!$B$3=J$3,SUMIF('TL04'!$C$10:$C$224,$C140,'TL04'!$J$10:$J$224),0),
IF('TL04'!$B$229=J$3,SUMIF('TL04'!$C$238:$C$451,$C140,'TL04'!$J$238:$J$451),0),
IF('TL05'!$B$3=J$3,SUMIF('TL05'!$C$10:$C$224,$C140,'TL05'!$J$10:$J$224),0),
IF('TL05'!$B$229=J$3,SUMIF('TL05'!$C$238:$C$451,$C140,'TL05'!$J$238:$J$451),0),
IF('TL06'!$B$3=J$3,SUMIF('TL06'!$C$10:$C$224,$C140,'TL06'!$J$10:$J$224),0),
IF('TL06'!$B$229=J$3,SUMIF('TL06'!$C$238:$C$451,$C140,'TL06'!$J$238:$J$451),0),
IF('TL07'!$B$3=J$3,SUMIF('TL07'!$C$10:$C$224,$C140,'TL07'!$J$10:$J$224),0),
IF('TL07'!$B$229=J$3,SUMIF('TL07'!$C$238:$C$451,$C140,'TL07'!$J$238:$J$451),0),
IF('TL08'!$B$3=J$3,SUMIF('TL08'!$C$10:$C$224,$C140,'TL08'!$J$10:$J$224),0),
IF('TL08'!$B$229=J$3,SUMIF('TL08'!$C$238:$C$451,$C140,'TL08'!$J$238:$J$451),0),
IF('TL09'!$B$3=J$3,SUMIF('TL09'!$C$10:$C$224,$C140,'TL09'!$J$10:$J$224),0),
IF('TL09'!$B$229=J$3,SUMIF('TL09'!$C$238:$C$451,$C140,'TL09'!$J$238:$J$451),0),
IF('TL10'!$B$3=J$3,SUMIF('TL10'!$C$10:$C$224,$C140,'TL10'!$J$10:$J$224),0),
IF('TL10'!$B$229=J$3,SUMIF('TL10'!$C$238:$C$451,$C140,'TL10'!$J$238:$J$451),0),
IF('TL11'!$B$3=J$3,SUMIF('TL11'!$C$10:$C$224,$C140,'TL11'!$J$10:$J$224),0),
IF('TL11'!$B$229=J$3,SUMIF('TL11'!$C$238:$C$451,$C140,'TL11'!$J$238:$J$451),0),
IF('TL12'!$B$3=J$3,SUMIF('TL12'!$C$10:$C$224,$C140,'TL12'!$J$10:$J$224),0),
IF('TL12'!$B$229=J$3,SUMIF('TL12'!$C$238:$C$451,$C140,'TL12'!$J$238:$J$451),0),
IF('TL13'!$B$3=J$3,SUMIF('TL13'!$C$10:$C$224,$C140,'TL13'!$J$10:$J$224),0),
IF('TL13'!$B$229=J$3,SUMIF('TL13'!$C$238:$C$451,$C140,'TL13'!$J$238:$J$451),0),
IF('TL14'!$B$3=J$3,SUMIF('TL14'!$C$10:$C$224,$C140,'TL14'!$J$10:$J$224),0),
IF('TL14'!$B$229=J$3,SUMIF('TL14'!$C$238:$C$451,$C140,'TL14'!$J$238:$J$451),0),
IF('TL15'!$B$3=J$3,SUMIF('TL15'!$C$10:$C$224,$C140,'TL15'!$J$10:$J$224),0),
IF('TL15'!$B$229=J$3,SUMIF('TL15'!$C$238:$C$451,$C140,'TL15'!$J$238:$J$451),0),
IF('TL16'!$B$3=J$3,SUMIF('TL16'!$C$10:$C$224,$C140,'TL16'!$J$10:$J$224),0),
IF('TL16'!$B$229=J$3,SUMIF('TL16'!$C$238:$C$451,$C140,'TL16'!$J$238:$J$451),0),
IF('TL17'!$B$3=J$3,SUMIF('TL17'!$C$10:$C$224,$C140,'TL17'!$J$10:$J$224),0),
IF('TL17'!$B$229=J$3,SUMIF('TL17'!$C$238:$C$451,$C140,'TL17'!$J$238:$J$451),0),
IF('TL18'!$B$3=J$3,SUMIF('TL18'!$C$10:$C$224,$C140,'TL18'!$J$10:$J$224),0),
IF('TL18'!$B$229=J$3,SUMIF('TL18'!$C$238:$C$451,$C140,'TL18'!$J$238:$J$451),0),
IF('TL19'!$B$3=J$3,SUMIF('TL19'!$C$10:$C$224,$C140,'TL19'!$J$10:$J$224),0),
IF('TL19'!$B$229=J$3,SUMIF('TL19'!$C$238:$C$451,$C140,'TL19'!$J$238:$J$451),0)
),0)</f>
        <v/>
      </c>
      <c r="K140" s="9">
        <f>IFERROR(SUM(
IF('TL01'!$B$3=K$3,SUMIF('TL01'!$C$10:$C$224,$C140,'TL01'!$J$10:$J$224),0),
IF('TL01'!$B$229=K$3,SUMIF('TL01'!$C$238:$C$451,$C140,'TL01'!$J$238:$J$451),0),
IF('TL02'!$B$3=K$3,SUMIF('TL02'!$C$10:$C$224,$C140,'TL02'!$J$10:$J$224),0),
IF('TL02'!$B$229=K$3,SUMIF('TL02'!$C$238:$C$451,$C140,'TL02'!$J$238:$J$451),0),
IF('TL03'!$B$3=K$3,SUMIF('TL03'!$C$10:$C$224,$C140,'TL03'!$J$10:$J$224),0),
IF('TL03'!$B$229=K$3,SUMIF('TL03'!$C$238:$C$451,$C140,'TL03'!$J$238:$J$451),0),
IF('TL04'!$B$3=K$3,SUMIF('TL04'!$C$10:$C$224,$C140,'TL04'!$J$10:$J$224),0),
IF('TL04'!$B$229=K$3,SUMIF('TL04'!$C$238:$C$451,$C140,'TL04'!$J$238:$J$451),0),
IF('TL05'!$B$3=K$3,SUMIF('TL05'!$C$10:$C$224,$C140,'TL05'!$J$10:$J$224),0),
IF('TL05'!$B$229=K$3,SUMIF('TL05'!$C$238:$C$451,$C140,'TL05'!$J$238:$J$451),0),
IF('TL06'!$B$3=K$3,SUMIF('TL06'!$C$10:$C$224,$C140,'TL06'!$J$10:$J$224),0),
IF('TL06'!$B$229=K$3,SUMIF('TL06'!$C$238:$C$451,$C140,'TL06'!$J$238:$J$451),0),
IF('TL07'!$B$3=K$3,SUMIF('TL07'!$C$10:$C$224,$C140,'TL07'!$J$10:$J$224),0),
IF('TL07'!$B$229=K$3,SUMIF('TL07'!$C$238:$C$451,$C140,'TL07'!$J$238:$J$451),0),
IF('TL08'!$B$3=K$3,SUMIF('TL08'!$C$10:$C$224,$C140,'TL08'!$J$10:$J$224),0),
IF('TL08'!$B$229=K$3,SUMIF('TL08'!$C$238:$C$451,$C140,'TL08'!$J$238:$J$451),0),
IF('TL09'!$B$3=K$3,SUMIF('TL09'!$C$10:$C$224,$C140,'TL09'!$J$10:$J$224),0),
IF('TL09'!$B$229=K$3,SUMIF('TL09'!$C$238:$C$451,$C140,'TL09'!$J$238:$J$451),0),
IF('TL10'!$B$3=K$3,SUMIF('TL10'!$C$10:$C$224,$C140,'TL10'!$J$10:$J$224),0),
IF('TL10'!$B$229=K$3,SUMIF('TL10'!$C$238:$C$451,$C140,'TL10'!$J$238:$J$451),0),
IF('TL11'!$B$3=K$3,SUMIF('TL11'!$C$10:$C$224,$C140,'TL11'!$J$10:$J$224),0),
IF('TL11'!$B$229=K$3,SUMIF('TL11'!$C$238:$C$451,$C140,'TL11'!$J$238:$J$451),0),
IF('TL12'!$B$3=K$3,SUMIF('TL12'!$C$10:$C$224,$C140,'TL12'!$J$10:$J$224),0),
IF('TL12'!$B$229=K$3,SUMIF('TL12'!$C$238:$C$451,$C140,'TL12'!$J$238:$J$451),0),
IF('TL13'!$B$3=K$3,SUMIF('TL13'!$C$10:$C$224,$C140,'TL13'!$J$10:$J$224),0),
IF('TL13'!$B$229=K$3,SUMIF('TL13'!$C$238:$C$451,$C140,'TL13'!$J$238:$J$451),0),
IF('TL14'!$B$3=K$3,SUMIF('TL14'!$C$10:$C$224,$C140,'TL14'!$J$10:$J$224),0),
IF('TL14'!$B$229=K$3,SUMIF('TL14'!$C$238:$C$451,$C140,'TL14'!$J$238:$J$451),0),
IF('TL15'!$B$3=K$3,SUMIF('TL15'!$C$10:$C$224,$C140,'TL15'!$J$10:$J$224),0),
IF('TL15'!$B$229=K$3,SUMIF('TL15'!$C$238:$C$451,$C140,'TL15'!$J$238:$J$451),0),
IF('TL16'!$B$3=K$3,SUMIF('TL16'!$C$10:$C$224,$C140,'TL16'!$J$10:$J$224),0),
IF('TL16'!$B$229=K$3,SUMIF('TL16'!$C$238:$C$451,$C140,'TL16'!$J$238:$J$451),0),
IF('TL17'!$B$3=K$3,SUMIF('TL17'!$C$10:$C$224,$C140,'TL17'!$J$10:$J$224),0),
IF('TL17'!$B$229=K$3,SUMIF('TL17'!$C$238:$C$451,$C140,'TL17'!$J$238:$J$451),0),
IF('TL18'!$B$3=K$3,SUMIF('TL18'!$C$10:$C$224,$C140,'TL18'!$J$10:$J$224),0),
IF('TL18'!$B$229=K$3,SUMIF('TL18'!$C$238:$C$451,$C140,'TL18'!$J$238:$J$451),0),
IF('TL19'!$B$3=K$3,SUMIF('TL19'!$C$10:$C$224,$C140,'TL19'!$J$10:$J$224),0),
IF('TL19'!$B$229=K$3,SUMIF('TL19'!$C$238:$C$451,$C140,'TL19'!$J$238:$J$451),0)
),0)</f>
        <v/>
      </c>
      <c r="L140" s="9">
        <f>IFERROR(SUM(
IF('TL01'!$B$3=L$3,SUMIF('TL01'!$C$10:$C$224,$C140,'TL01'!$J$10:$J$224),0),
IF('TL01'!$B$229=L$3,SUMIF('TL01'!$C$238:$C$451,$C140,'TL01'!$J$238:$J$451),0),
IF('TL02'!$B$3=L$3,SUMIF('TL02'!$C$10:$C$224,$C140,'TL02'!$J$10:$J$224),0),
IF('TL02'!$B$229=L$3,SUMIF('TL02'!$C$238:$C$451,$C140,'TL02'!$J$238:$J$451),0),
IF('TL03'!$B$3=L$3,SUMIF('TL03'!$C$10:$C$224,$C140,'TL03'!$J$10:$J$224),0),
IF('TL03'!$B$229=L$3,SUMIF('TL03'!$C$238:$C$451,$C140,'TL03'!$J$238:$J$451),0),
IF('TL04'!$B$3=L$3,SUMIF('TL04'!$C$10:$C$224,$C140,'TL04'!$J$10:$J$224),0),
IF('TL04'!$B$229=L$3,SUMIF('TL04'!$C$238:$C$451,$C140,'TL04'!$J$238:$J$451),0),
IF('TL05'!$B$3=L$3,SUMIF('TL05'!$C$10:$C$224,$C140,'TL05'!$J$10:$J$224),0),
IF('TL05'!$B$229=L$3,SUMIF('TL05'!$C$238:$C$451,$C140,'TL05'!$J$238:$J$451),0),
IF('TL06'!$B$3=L$3,SUMIF('TL06'!$C$10:$C$224,$C140,'TL06'!$J$10:$J$224),0),
IF('TL06'!$B$229=L$3,SUMIF('TL06'!$C$238:$C$451,$C140,'TL06'!$J$238:$J$451),0),
IF('TL07'!$B$3=L$3,SUMIF('TL07'!$C$10:$C$224,$C140,'TL07'!$J$10:$J$224),0),
IF('TL07'!$B$229=L$3,SUMIF('TL07'!$C$238:$C$451,$C140,'TL07'!$J$238:$J$451),0),
IF('TL08'!$B$3=L$3,SUMIF('TL08'!$C$10:$C$224,$C140,'TL08'!$J$10:$J$224),0),
IF('TL08'!$B$229=L$3,SUMIF('TL08'!$C$238:$C$451,$C140,'TL08'!$J$238:$J$451),0),
IF('TL09'!$B$3=L$3,SUMIF('TL09'!$C$10:$C$224,$C140,'TL09'!$J$10:$J$224),0),
IF('TL09'!$B$229=L$3,SUMIF('TL09'!$C$238:$C$451,$C140,'TL09'!$J$238:$J$451),0),
IF('TL10'!$B$3=L$3,SUMIF('TL10'!$C$10:$C$224,$C140,'TL10'!$J$10:$J$224),0),
IF('TL10'!$B$229=L$3,SUMIF('TL10'!$C$238:$C$451,$C140,'TL10'!$J$238:$J$451),0),
IF('TL11'!$B$3=L$3,SUMIF('TL11'!$C$10:$C$224,$C140,'TL11'!$J$10:$J$224),0),
IF('TL11'!$B$229=L$3,SUMIF('TL11'!$C$238:$C$451,$C140,'TL11'!$J$238:$J$451),0),
IF('TL12'!$B$3=L$3,SUMIF('TL12'!$C$10:$C$224,$C140,'TL12'!$J$10:$J$224),0),
IF('TL12'!$B$229=L$3,SUMIF('TL12'!$C$238:$C$451,$C140,'TL12'!$J$238:$J$451),0),
IF('TL13'!$B$3=L$3,SUMIF('TL13'!$C$10:$C$224,$C140,'TL13'!$J$10:$J$224),0),
IF('TL13'!$B$229=L$3,SUMIF('TL13'!$C$238:$C$451,$C140,'TL13'!$J$238:$J$451),0),
IF('TL14'!$B$3=L$3,SUMIF('TL14'!$C$10:$C$224,$C140,'TL14'!$J$10:$J$224),0),
IF('TL14'!$B$229=L$3,SUMIF('TL14'!$C$238:$C$451,$C140,'TL14'!$J$238:$J$451),0),
IF('TL15'!$B$3=L$3,SUMIF('TL15'!$C$10:$C$224,$C140,'TL15'!$J$10:$J$224),0),
IF('TL15'!$B$229=L$3,SUMIF('TL15'!$C$238:$C$451,$C140,'TL15'!$J$238:$J$451),0),
IF('TL16'!$B$3=L$3,SUMIF('TL16'!$C$10:$C$224,$C140,'TL16'!$J$10:$J$224),0),
IF('TL16'!$B$229=L$3,SUMIF('TL16'!$C$238:$C$451,$C140,'TL16'!$J$238:$J$451),0),
IF('TL17'!$B$3=L$3,SUMIF('TL17'!$C$10:$C$224,$C140,'TL17'!$J$10:$J$224),0),
IF('TL17'!$B$229=L$3,SUMIF('TL17'!$C$238:$C$451,$C140,'TL17'!$J$238:$J$451),0),
IF('TL18'!$B$3=L$3,SUMIF('TL18'!$C$10:$C$224,$C140,'TL18'!$J$10:$J$224),0),
IF('TL18'!$B$229=L$3,SUMIF('TL18'!$C$238:$C$451,$C140,'TL18'!$J$238:$J$451),0),
IF('TL19'!$B$3=L$3,SUMIF('TL19'!$C$10:$C$224,$C140,'TL19'!$J$10:$J$224),0),
IF('TL19'!$B$229=L$3,SUMIF('TL19'!$C$238:$C$451,$C140,'TL19'!$J$238:$J$451),0)
),0)</f>
        <v/>
      </c>
      <c r="M140" s="9">
        <f>IFERROR(SUM(
IF('TL01'!$B$3=M$3,SUMIF('TL01'!$C$10:$C$224,$C140,'TL01'!$J$10:$J$224),0),
IF('TL01'!$B$229=M$3,SUMIF('TL01'!$C$238:$C$451,$C140,'TL01'!$J$238:$J$451),0),
IF('TL02'!$B$3=M$3,SUMIF('TL02'!$C$10:$C$224,$C140,'TL02'!$J$10:$J$224),0),
IF('TL02'!$B$229=M$3,SUMIF('TL02'!$C$238:$C$451,$C140,'TL02'!$J$238:$J$451),0),
IF('TL03'!$B$3=M$3,SUMIF('TL03'!$C$10:$C$224,$C140,'TL03'!$J$10:$J$224),0),
IF('TL03'!$B$229=M$3,SUMIF('TL03'!$C$238:$C$451,$C140,'TL03'!$J$238:$J$451),0),
IF('TL04'!$B$3=M$3,SUMIF('TL04'!$C$10:$C$224,$C140,'TL04'!$J$10:$J$224),0),
IF('TL04'!$B$229=M$3,SUMIF('TL04'!$C$238:$C$451,$C140,'TL04'!$J$238:$J$451),0),
IF('TL05'!$B$3=M$3,SUMIF('TL05'!$C$10:$C$224,$C140,'TL05'!$J$10:$J$224),0),
IF('TL05'!$B$229=M$3,SUMIF('TL05'!$C$238:$C$451,$C140,'TL05'!$J$238:$J$451),0),
IF('TL06'!$B$3=M$3,SUMIF('TL06'!$C$10:$C$224,$C140,'TL06'!$J$10:$J$224),0),
IF('TL06'!$B$229=M$3,SUMIF('TL06'!$C$238:$C$451,$C140,'TL06'!$J$238:$J$451),0),
IF('TL07'!$B$3=M$3,SUMIF('TL07'!$C$10:$C$224,$C140,'TL07'!$J$10:$J$224),0),
IF('TL07'!$B$229=M$3,SUMIF('TL07'!$C$238:$C$451,$C140,'TL07'!$J$238:$J$451),0),
IF('TL08'!$B$3=M$3,SUMIF('TL08'!$C$10:$C$224,$C140,'TL08'!$J$10:$J$224),0),
IF('TL08'!$B$229=M$3,SUMIF('TL08'!$C$238:$C$451,$C140,'TL08'!$J$238:$J$451),0),
IF('TL09'!$B$3=M$3,SUMIF('TL09'!$C$10:$C$224,$C140,'TL09'!$J$10:$J$224),0),
IF('TL09'!$B$229=M$3,SUMIF('TL09'!$C$238:$C$451,$C140,'TL09'!$J$238:$J$451),0),
IF('TL10'!$B$3=M$3,SUMIF('TL10'!$C$10:$C$224,$C140,'TL10'!$J$10:$J$224),0),
IF('TL10'!$B$229=M$3,SUMIF('TL10'!$C$238:$C$451,$C140,'TL10'!$J$238:$J$451),0),
IF('TL11'!$B$3=M$3,SUMIF('TL11'!$C$10:$C$224,$C140,'TL11'!$J$10:$J$224),0),
IF('TL11'!$B$229=M$3,SUMIF('TL11'!$C$238:$C$451,$C140,'TL11'!$J$238:$J$451),0),
IF('TL12'!$B$3=M$3,SUMIF('TL12'!$C$10:$C$224,$C140,'TL12'!$J$10:$J$224),0),
IF('TL12'!$B$229=M$3,SUMIF('TL12'!$C$238:$C$451,$C140,'TL12'!$J$238:$J$451),0),
IF('TL13'!$B$3=M$3,SUMIF('TL13'!$C$10:$C$224,$C140,'TL13'!$J$10:$J$224),0),
IF('TL13'!$B$229=M$3,SUMIF('TL13'!$C$238:$C$451,$C140,'TL13'!$J$238:$J$451),0),
IF('TL14'!$B$3=M$3,SUMIF('TL14'!$C$10:$C$224,$C140,'TL14'!$J$10:$J$224),0),
IF('TL14'!$B$229=M$3,SUMIF('TL14'!$C$238:$C$451,$C140,'TL14'!$J$238:$J$451),0),
IF('TL15'!$B$3=M$3,SUMIF('TL15'!$C$10:$C$224,$C140,'TL15'!$J$10:$J$224),0),
IF('TL15'!$B$229=M$3,SUMIF('TL15'!$C$238:$C$451,$C140,'TL15'!$J$238:$J$451),0),
IF('TL16'!$B$3=M$3,SUMIF('TL16'!$C$10:$C$224,$C140,'TL16'!$J$10:$J$224),0),
IF('TL16'!$B$229=M$3,SUMIF('TL16'!$C$238:$C$451,$C140,'TL16'!$J$238:$J$451),0),
IF('TL17'!$B$3=M$3,SUMIF('TL17'!$C$10:$C$224,$C140,'TL17'!$J$10:$J$224),0),
IF('TL17'!$B$229=M$3,SUMIF('TL17'!$C$238:$C$451,$C140,'TL17'!$J$238:$J$451),0),
IF('TL18'!$B$3=M$3,SUMIF('TL18'!$C$10:$C$224,$C140,'TL18'!$J$10:$J$224),0),
IF('TL18'!$B$229=M$3,SUMIF('TL18'!$C$238:$C$451,$C140,'TL18'!$J$238:$J$451),0),
IF('TL19'!$B$3=M$3,SUMIF('TL19'!$C$10:$C$224,$C140,'TL19'!$J$10:$J$224),0),
IF('TL19'!$B$229=M$3,SUMIF('TL19'!$C$238:$C$451,$C140,'TL19'!$J$238:$J$451),0)
),0)</f>
        <v/>
      </c>
      <c r="N140" s="9">
        <f>IFERROR(SUM(
IF('TL01'!$B$3=N$3,SUMIF('TL01'!$C$10:$C$224,$C140,'TL01'!$J$10:$J$224),0),
IF('TL01'!$B$229=N$3,SUMIF('TL01'!$C$238:$C$451,$C140,'TL01'!$J$238:$J$451),0),
IF('TL02'!$B$3=N$3,SUMIF('TL02'!$C$10:$C$224,$C140,'TL02'!$J$10:$J$224),0),
IF('TL02'!$B$229=N$3,SUMIF('TL02'!$C$238:$C$451,$C140,'TL02'!$J$238:$J$451),0),
IF('TL03'!$B$3=N$3,SUMIF('TL03'!$C$10:$C$224,$C140,'TL03'!$J$10:$J$224),0),
IF('TL03'!$B$229=N$3,SUMIF('TL03'!$C$238:$C$451,$C140,'TL03'!$J$238:$J$451),0),
IF('TL04'!$B$3=N$3,SUMIF('TL04'!$C$10:$C$224,$C140,'TL04'!$J$10:$J$224),0),
IF('TL04'!$B$229=N$3,SUMIF('TL04'!$C$238:$C$451,$C140,'TL04'!$J$238:$J$451),0),
IF('TL05'!$B$3=N$3,SUMIF('TL05'!$C$10:$C$224,$C140,'TL05'!$J$10:$J$224),0),
IF('TL05'!$B$229=N$3,SUMIF('TL05'!$C$238:$C$451,$C140,'TL05'!$J$238:$J$451),0),
IF('TL06'!$B$3=N$3,SUMIF('TL06'!$C$10:$C$224,$C140,'TL06'!$J$10:$J$224),0),
IF('TL06'!$B$229=N$3,SUMIF('TL06'!$C$238:$C$451,$C140,'TL06'!$J$238:$J$451),0),
IF('TL07'!$B$3=N$3,SUMIF('TL07'!$C$10:$C$224,$C140,'TL07'!$J$10:$J$224),0),
IF('TL07'!$B$229=N$3,SUMIF('TL07'!$C$238:$C$451,$C140,'TL07'!$J$238:$J$451),0),
IF('TL08'!$B$3=N$3,SUMIF('TL08'!$C$10:$C$224,$C140,'TL08'!$J$10:$J$224),0),
IF('TL08'!$B$229=N$3,SUMIF('TL08'!$C$238:$C$451,$C140,'TL08'!$J$238:$J$451),0),
IF('TL09'!$B$3=N$3,SUMIF('TL09'!$C$10:$C$224,$C140,'TL09'!$J$10:$J$224),0),
IF('TL09'!$B$229=N$3,SUMIF('TL09'!$C$238:$C$451,$C140,'TL09'!$J$238:$J$451),0),
IF('TL10'!$B$3=N$3,SUMIF('TL10'!$C$10:$C$224,$C140,'TL10'!$J$10:$J$224),0),
IF('TL10'!$B$229=N$3,SUMIF('TL10'!$C$238:$C$451,$C140,'TL10'!$J$238:$J$451),0),
IF('TL11'!$B$3=N$3,SUMIF('TL11'!$C$10:$C$224,$C140,'TL11'!$J$10:$J$224),0),
IF('TL11'!$B$229=N$3,SUMIF('TL11'!$C$238:$C$451,$C140,'TL11'!$J$238:$J$451),0),
IF('TL12'!$B$3=N$3,SUMIF('TL12'!$C$10:$C$224,$C140,'TL12'!$J$10:$J$224),0),
IF('TL12'!$B$229=N$3,SUMIF('TL12'!$C$238:$C$451,$C140,'TL12'!$J$238:$J$451),0),
IF('TL13'!$B$3=N$3,SUMIF('TL13'!$C$10:$C$224,$C140,'TL13'!$J$10:$J$224),0),
IF('TL13'!$B$229=N$3,SUMIF('TL13'!$C$238:$C$451,$C140,'TL13'!$J$238:$J$451),0),
IF('TL14'!$B$3=N$3,SUMIF('TL14'!$C$10:$C$224,$C140,'TL14'!$J$10:$J$224),0),
IF('TL14'!$B$229=N$3,SUMIF('TL14'!$C$238:$C$451,$C140,'TL14'!$J$238:$J$451),0),
IF('TL15'!$B$3=N$3,SUMIF('TL15'!$C$10:$C$224,$C140,'TL15'!$J$10:$J$224),0),
IF('TL15'!$B$229=N$3,SUMIF('TL15'!$C$238:$C$451,$C140,'TL15'!$J$238:$J$451),0),
IF('TL16'!$B$3=N$3,SUMIF('TL16'!$C$10:$C$224,$C140,'TL16'!$J$10:$J$224),0),
IF('TL16'!$B$229=N$3,SUMIF('TL16'!$C$238:$C$451,$C140,'TL16'!$J$238:$J$451),0),
IF('TL17'!$B$3=N$3,SUMIF('TL17'!$C$10:$C$224,$C140,'TL17'!$J$10:$J$224),0),
IF('TL17'!$B$229=N$3,SUMIF('TL17'!$C$238:$C$451,$C140,'TL17'!$J$238:$J$451),0),
IF('TL18'!$B$3=N$3,SUMIF('TL18'!$C$10:$C$224,$C140,'TL18'!$J$10:$J$224),0),
IF('TL18'!$B$229=N$3,SUMIF('TL18'!$C$238:$C$451,$C140,'TL18'!$J$238:$J$451),0),
IF('TL19'!$B$3=N$3,SUMIF('TL19'!$C$10:$C$224,$C140,'TL19'!$J$10:$J$224),0),
IF('TL19'!$B$229=N$3,SUMIF('TL19'!$C$238:$C$451,$C140,'TL19'!$J$238:$J$451),0)
),0)</f>
        <v/>
      </c>
      <c r="O140" s="9">
        <f>IFERROR(SUM(
IF('TL01'!$B$3=O$3,SUMIF('TL01'!$C$10:$C$224,$C140,'TL01'!$J$10:$J$224),0),
IF('TL01'!$B$229=O$3,SUMIF('TL01'!$C$238:$C$451,$C140,'TL01'!$J$238:$J$451),0),
IF('TL02'!$B$3=O$3,SUMIF('TL02'!$C$10:$C$224,$C140,'TL02'!$J$10:$J$224),0),
IF('TL02'!$B$229=O$3,SUMIF('TL02'!$C$238:$C$451,$C140,'TL02'!$J$238:$J$451),0),
IF('TL03'!$B$3=O$3,SUMIF('TL03'!$C$10:$C$224,$C140,'TL03'!$J$10:$J$224),0),
IF('TL03'!$B$229=O$3,SUMIF('TL03'!$C$238:$C$451,$C140,'TL03'!$J$238:$J$451),0),
IF('TL04'!$B$3=O$3,SUMIF('TL04'!$C$10:$C$224,$C140,'TL04'!$J$10:$J$224),0),
IF('TL04'!$B$229=O$3,SUMIF('TL04'!$C$238:$C$451,$C140,'TL04'!$J$238:$J$451),0),
IF('TL05'!$B$3=O$3,SUMIF('TL05'!$C$10:$C$224,$C140,'TL05'!$J$10:$J$224),0),
IF('TL05'!$B$229=O$3,SUMIF('TL05'!$C$238:$C$451,$C140,'TL05'!$J$238:$J$451),0),
IF('TL06'!$B$3=O$3,SUMIF('TL06'!$C$10:$C$224,$C140,'TL06'!$J$10:$J$224),0),
IF('TL06'!$B$229=O$3,SUMIF('TL06'!$C$238:$C$451,$C140,'TL06'!$J$238:$J$451),0),
IF('TL07'!$B$3=O$3,SUMIF('TL07'!$C$10:$C$224,$C140,'TL07'!$J$10:$J$224),0),
IF('TL07'!$B$229=O$3,SUMIF('TL07'!$C$238:$C$451,$C140,'TL07'!$J$238:$J$451),0),
IF('TL08'!$B$3=O$3,SUMIF('TL08'!$C$10:$C$224,$C140,'TL08'!$J$10:$J$224),0),
IF('TL08'!$B$229=O$3,SUMIF('TL08'!$C$238:$C$451,$C140,'TL08'!$J$238:$J$451),0),
IF('TL09'!$B$3=O$3,SUMIF('TL09'!$C$10:$C$224,$C140,'TL09'!$J$10:$J$224),0),
IF('TL09'!$B$229=O$3,SUMIF('TL09'!$C$238:$C$451,$C140,'TL09'!$J$238:$J$451),0),
IF('TL10'!$B$3=O$3,SUMIF('TL10'!$C$10:$C$224,$C140,'TL10'!$J$10:$J$224),0),
IF('TL10'!$B$229=O$3,SUMIF('TL10'!$C$238:$C$451,$C140,'TL10'!$J$238:$J$451),0),
IF('TL11'!$B$3=O$3,SUMIF('TL11'!$C$10:$C$224,$C140,'TL11'!$J$10:$J$224),0),
IF('TL11'!$B$229=O$3,SUMIF('TL11'!$C$238:$C$451,$C140,'TL11'!$J$238:$J$451),0),
IF('TL12'!$B$3=O$3,SUMIF('TL12'!$C$10:$C$224,$C140,'TL12'!$J$10:$J$224),0),
IF('TL12'!$B$229=O$3,SUMIF('TL12'!$C$238:$C$451,$C140,'TL12'!$J$238:$J$451),0),
IF('TL13'!$B$3=O$3,SUMIF('TL13'!$C$10:$C$224,$C140,'TL13'!$J$10:$J$224),0),
IF('TL13'!$B$229=O$3,SUMIF('TL13'!$C$238:$C$451,$C140,'TL13'!$J$238:$J$451),0),
IF('TL14'!$B$3=O$3,SUMIF('TL14'!$C$10:$C$224,$C140,'TL14'!$J$10:$J$224),0),
IF('TL14'!$B$229=O$3,SUMIF('TL14'!$C$238:$C$451,$C140,'TL14'!$J$238:$J$451),0),
IF('TL15'!$B$3=O$3,SUMIF('TL15'!$C$10:$C$224,$C140,'TL15'!$J$10:$J$224),0),
IF('TL15'!$B$229=O$3,SUMIF('TL15'!$C$238:$C$451,$C140,'TL15'!$J$238:$J$451),0),
IF('TL16'!$B$3=O$3,SUMIF('TL16'!$C$10:$C$224,$C140,'TL16'!$J$10:$J$224),0),
IF('TL16'!$B$229=O$3,SUMIF('TL16'!$C$238:$C$451,$C140,'TL16'!$J$238:$J$451),0),
IF('TL17'!$B$3=O$3,SUMIF('TL17'!$C$10:$C$224,$C140,'TL17'!$J$10:$J$224),0),
IF('TL17'!$B$229=O$3,SUMIF('TL17'!$C$238:$C$451,$C140,'TL17'!$J$238:$J$451),0),
IF('TL18'!$B$3=O$3,SUMIF('TL18'!$C$10:$C$224,$C140,'TL18'!$J$10:$J$224),0),
IF('TL18'!$B$229=O$3,SUMIF('TL18'!$C$238:$C$451,$C140,'TL18'!$J$238:$J$451),0),
IF('TL19'!$B$3=O$3,SUMIF('TL19'!$C$10:$C$224,$C140,'TL19'!$J$10:$J$224),0),
IF('TL19'!$B$229=O$3,SUMIF('TL19'!$C$238:$C$451,$C140,'TL19'!$J$238:$J$451),0)
),0)</f>
        <v/>
      </c>
      <c r="P140" s="9">
        <f>IFERROR(SUM(
IF('TL01'!$B$3=P$3,SUMIF('TL01'!$C$10:$C$224,$C140,'TL01'!$J$10:$J$224),0),
IF('TL01'!$B$229=P$3,SUMIF('TL01'!$C$238:$C$451,$C140,'TL01'!$J$238:$J$451),0),
IF('TL02'!$B$3=P$3,SUMIF('TL02'!$C$10:$C$224,$C140,'TL02'!$J$10:$J$224),0),
IF('TL02'!$B$229=P$3,SUMIF('TL02'!$C$238:$C$451,$C140,'TL02'!$J$238:$J$451),0),
IF('TL03'!$B$3=P$3,SUMIF('TL03'!$C$10:$C$224,$C140,'TL03'!$J$10:$J$224),0),
IF('TL03'!$B$229=P$3,SUMIF('TL03'!$C$238:$C$451,$C140,'TL03'!$J$238:$J$451),0),
IF('TL04'!$B$3=P$3,SUMIF('TL04'!$C$10:$C$224,$C140,'TL04'!$J$10:$J$224),0),
IF('TL04'!$B$229=P$3,SUMIF('TL04'!$C$238:$C$451,$C140,'TL04'!$J$238:$J$451),0),
IF('TL05'!$B$3=P$3,SUMIF('TL05'!$C$10:$C$224,$C140,'TL05'!$J$10:$J$224),0),
IF('TL05'!$B$229=P$3,SUMIF('TL05'!$C$238:$C$451,$C140,'TL05'!$J$238:$J$451),0),
IF('TL06'!$B$3=P$3,SUMIF('TL06'!$C$10:$C$224,$C140,'TL06'!$J$10:$J$224),0),
IF('TL06'!$B$229=P$3,SUMIF('TL06'!$C$238:$C$451,$C140,'TL06'!$J$238:$J$451),0),
IF('TL07'!$B$3=P$3,SUMIF('TL07'!$C$10:$C$224,$C140,'TL07'!$J$10:$J$224),0),
IF('TL07'!$B$229=P$3,SUMIF('TL07'!$C$238:$C$451,$C140,'TL07'!$J$238:$J$451),0),
IF('TL08'!$B$3=P$3,SUMIF('TL08'!$C$10:$C$224,$C140,'TL08'!$J$10:$J$224),0),
IF('TL08'!$B$229=P$3,SUMIF('TL08'!$C$238:$C$451,$C140,'TL08'!$J$238:$J$451),0),
IF('TL09'!$B$3=P$3,SUMIF('TL09'!$C$10:$C$224,$C140,'TL09'!$J$10:$J$224),0),
IF('TL09'!$B$229=P$3,SUMIF('TL09'!$C$238:$C$451,$C140,'TL09'!$J$238:$J$451),0),
IF('TL10'!$B$3=P$3,SUMIF('TL10'!$C$10:$C$224,$C140,'TL10'!$J$10:$J$224),0),
IF('TL10'!$B$229=P$3,SUMIF('TL10'!$C$238:$C$451,$C140,'TL10'!$J$238:$J$451),0),
IF('TL11'!$B$3=P$3,SUMIF('TL11'!$C$10:$C$224,$C140,'TL11'!$J$10:$J$224),0),
IF('TL11'!$B$229=P$3,SUMIF('TL11'!$C$238:$C$451,$C140,'TL11'!$J$238:$J$451),0),
IF('TL12'!$B$3=P$3,SUMIF('TL12'!$C$10:$C$224,$C140,'TL12'!$J$10:$J$224),0),
IF('TL12'!$B$229=P$3,SUMIF('TL12'!$C$238:$C$451,$C140,'TL12'!$J$238:$J$451),0),
IF('TL13'!$B$3=P$3,SUMIF('TL13'!$C$10:$C$224,$C140,'TL13'!$J$10:$J$224),0),
IF('TL13'!$B$229=P$3,SUMIF('TL13'!$C$238:$C$451,$C140,'TL13'!$J$238:$J$451),0),
IF('TL14'!$B$3=P$3,SUMIF('TL14'!$C$10:$C$224,$C140,'TL14'!$J$10:$J$224),0),
IF('TL14'!$B$229=P$3,SUMIF('TL14'!$C$238:$C$451,$C140,'TL14'!$J$238:$J$451),0),
IF('TL15'!$B$3=P$3,SUMIF('TL15'!$C$10:$C$224,$C140,'TL15'!$J$10:$J$224),0),
IF('TL15'!$B$229=P$3,SUMIF('TL15'!$C$238:$C$451,$C140,'TL15'!$J$238:$J$451),0),
IF('TL16'!$B$3=P$3,SUMIF('TL16'!$C$10:$C$224,$C140,'TL16'!$J$10:$J$224),0),
IF('TL16'!$B$229=P$3,SUMIF('TL16'!$C$238:$C$451,$C140,'TL16'!$J$238:$J$451),0),
IF('TL17'!$B$3=P$3,SUMIF('TL17'!$C$10:$C$224,$C140,'TL17'!$J$10:$J$224),0),
IF('TL17'!$B$229=P$3,SUMIF('TL17'!$C$238:$C$451,$C140,'TL17'!$J$238:$J$451),0),
IF('TL18'!$B$3=P$3,SUMIF('TL18'!$C$10:$C$224,$C140,'TL18'!$J$10:$J$224),0),
IF('TL18'!$B$229=P$3,SUMIF('TL18'!$C$238:$C$451,$C140,'TL18'!$J$238:$J$451),0),
IF('TL19'!$B$3=P$3,SUMIF('TL19'!$C$10:$C$224,$C140,'TL19'!$J$10:$J$224),0),
IF('TL19'!$B$229=P$3,SUMIF('TL19'!$C$238:$C$451,$C140,'TL19'!$J$238:$J$451),0)
),0)</f>
        <v/>
      </c>
      <c r="Q140" s="9">
        <f>IFERROR(SUM(
IF('TL01'!$B$3=Q$3,SUMIF('TL01'!$C$10:$C$224,$C140,'TL01'!$J$10:$J$224),0),
IF('TL01'!$B$229=Q$3,SUMIF('TL01'!$C$238:$C$451,$C140,'TL01'!$J$238:$J$451),0),
IF('TL02'!$B$3=Q$3,SUMIF('TL02'!$C$10:$C$224,$C140,'TL02'!$J$10:$J$224),0),
IF('TL02'!$B$229=Q$3,SUMIF('TL02'!$C$238:$C$451,$C140,'TL02'!$J$238:$J$451),0),
IF('TL03'!$B$3=Q$3,SUMIF('TL03'!$C$10:$C$224,$C140,'TL03'!$J$10:$J$224),0),
IF('TL03'!$B$229=Q$3,SUMIF('TL03'!$C$238:$C$451,$C140,'TL03'!$J$238:$J$451),0),
IF('TL04'!$B$3=Q$3,SUMIF('TL04'!$C$10:$C$224,$C140,'TL04'!$J$10:$J$224),0),
IF('TL04'!$B$229=Q$3,SUMIF('TL04'!$C$238:$C$451,$C140,'TL04'!$J$238:$J$451),0),
IF('TL05'!$B$3=Q$3,SUMIF('TL05'!$C$10:$C$224,$C140,'TL05'!$J$10:$J$224),0),
IF('TL05'!$B$229=Q$3,SUMIF('TL05'!$C$238:$C$451,$C140,'TL05'!$J$238:$J$451),0),
IF('TL06'!$B$3=Q$3,SUMIF('TL06'!$C$10:$C$224,$C140,'TL06'!$J$10:$J$224),0),
IF('TL06'!$B$229=Q$3,SUMIF('TL06'!$C$238:$C$451,$C140,'TL06'!$J$238:$J$451),0),
IF('TL07'!$B$3=Q$3,SUMIF('TL07'!$C$10:$C$224,$C140,'TL07'!$J$10:$J$224),0),
IF('TL07'!$B$229=Q$3,SUMIF('TL07'!$C$238:$C$451,$C140,'TL07'!$J$238:$J$451),0),
IF('TL08'!$B$3=Q$3,SUMIF('TL08'!$C$10:$C$224,$C140,'TL08'!$J$10:$J$224),0),
IF('TL08'!$B$229=Q$3,SUMIF('TL08'!$C$238:$C$451,$C140,'TL08'!$J$238:$J$451),0),
IF('TL09'!$B$3=Q$3,SUMIF('TL09'!$C$10:$C$224,$C140,'TL09'!$J$10:$J$224),0),
IF('TL09'!$B$229=Q$3,SUMIF('TL09'!$C$238:$C$451,$C140,'TL09'!$J$238:$J$451),0),
IF('TL10'!$B$3=Q$3,SUMIF('TL10'!$C$10:$C$224,$C140,'TL10'!$J$10:$J$224),0),
IF('TL10'!$B$229=Q$3,SUMIF('TL10'!$C$238:$C$451,$C140,'TL10'!$J$238:$J$451),0),
IF('TL11'!$B$3=Q$3,SUMIF('TL11'!$C$10:$C$224,$C140,'TL11'!$J$10:$J$224),0),
IF('TL11'!$B$229=Q$3,SUMIF('TL11'!$C$238:$C$451,$C140,'TL11'!$J$238:$J$451),0),
IF('TL12'!$B$3=Q$3,SUMIF('TL12'!$C$10:$C$224,$C140,'TL12'!$J$10:$J$224),0),
IF('TL12'!$B$229=Q$3,SUMIF('TL12'!$C$238:$C$451,$C140,'TL12'!$J$238:$J$451),0),
IF('TL13'!$B$3=Q$3,SUMIF('TL13'!$C$10:$C$224,$C140,'TL13'!$J$10:$J$224),0),
IF('TL13'!$B$229=Q$3,SUMIF('TL13'!$C$238:$C$451,$C140,'TL13'!$J$238:$J$451),0),
IF('TL14'!$B$3=Q$3,SUMIF('TL14'!$C$10:$C$224,$C140,'TL14'!$J$10:$J$224),0),
IF('TL14'!$B$229=Q$3,SUMIF('TL14'!$C$238:$C$451,$C140,'TL14'!$J$238:$J$451),0),
IF('TL15'!$B$3=Q$3,SUMIF('TL15'!$C$10:$C$224,$C140,'TL15'!$J$10:$J$224),0),
IF('TL15'!$B$229=Q$3,SUMIF('TL15'!$C$238:$C$451,$C140,'TL15'!$J$238:$J$451),0),
IF('TL16'!$B$3=Q$3,SUMIF('TL16'!$C$10:$C$224,$C140,'TL16'!$J$10:$J$224),0),
IF('TL16'!$B$229=Q$3,SUMIF('TL16'!$C$238:$C$451,$C140,'TL16'!$J$238:$J$451),0),
IF('TL17'!$B$3=Q$3,SUMIF('TL17'!$C$10:$C$224,$C140,'TL17'!$J$10:$J$224),0),
IF('TL17'!$B$229=Q$3,SUMIF('TL17'!$C$238:$C$451,$C140,'TL17'!$J$238:$J$451),0),
IF('TL18'!$B$3=Q$3,SUMIF('TL18'!$C$10:$C$224,$C140,'TL18'!$J$10:$J$224),0),
IF('TL18'!$B$229=Q$3,SUMIF('TL18'!$C$238:$C$451,$C140,'TL18'!$J$238:$J$451),0),
IF('TL19'!$B$3=Q$3,SUMIF('TL19'!$C$10:$C$224,$C140,'TL19'!$J$10:$J$224),0),
IF('TL19'!$B$229=Q$3,SUMIF('TL19'!$C$238:$C$451,$C140,'TL19'!$J$238:$J$451),0)
),0)</f>
        <v/>
      </c>
      <c r="R140" s="9">
        <f>IFERROR(
SUM(
SUMIF('TL01'!C:C,C140,'TL01'!J:J),
SUMIF('TL02'!C:C,C140,'TL02'!J:J),
SUMIF('TL03'!C:C,C140,'TL03'!J:J),
SUMIF('TL04'!C:C,C140,'TL04'!J:J),
SUMIF('TL05'!C:C,C140,'TL05'!J:J),
SUMIF('TL06'!C:C,C140,'TL06'!J:J),
SUMIF('TL07'!C:C,C140,'TL07'!J:J),
SUMIF('TL08'!C:C,C140,'TL08'!J:J),
SUMIF('TL09'!C:C,C140,'TL09'!J:J),
SUMIF('TL10'!C:C,C140,'TL10'!J:J),
SUMIF('TL11'!C:C,C140,'TL11'!J:J),
SUMIF('TL12'!C:C,C140,'TL12'!J:J),
SUMIF('TL13'!C:C,C140,'TL13'!J:J),
SUMIF('TL14'!C:C,C140,'TL14'!J:J),
SUMIF('TL15'!C:C,C140,'TL15'!J:J),
SUMIF('TL16'!C:C,C140,'TL16'!J:J),
SUMIF('TL17'!C:C,C140,'TL17'!J:J),
SUMIF('TL18'!C:C,C140,'TL18'!J:J),SUMIF('TL19'!C:C,C140,'TL19'!J:J))
,0)</f>
        <v/>
      </c>
      <c r="S140" s="17">
        <f>IFERROR(__xludf.DUMMYFUNCTION("IFERROR(VLOOKUP(C140,
IMPORTRANGE(""1wULbzX32WdYsx-lj2U3uUNBBe2INVIRDtcK0d-Dvl90"",
""26-27!C:G""),
5,
FALSE),
"""")"),256.00069999999994)</f>
        <v/>
      </c>
      <c r="T140" s="9" t="n"/>
      <c r="U140" s="92">
        <f>MAX(0,R140-T140)</f>
        <v/>
      </c>
      <c r="V140" s="93">
        <f>U140*S140</f>
        <v/>
      </c>
    </row>
    <row r="141" hidden="1" ht="15.75" customHeight="1" s="297">
      <c r="A141" s="111" t="inlineStr">
        <is>
          <t>FMC</t>
        </is>
      </c>
      <c r="B141" s="112" t="inlineStr">
        <is>
          <t>HERBICIDA</t>
        </is>
      </c>
      <c r="C141" s="113" t="inlineStr">
        <is>
          <t>AZUGRO</t>
        </is>
      </c>
      <c r="D141" s="113" t="inlineStr">
        <is>
          <t>BIXLOZONA + IMAZETAPIR</t>
        </is>
      </c>
      <c r="E141" s="113" t="inlineStr">
        <is>
          <t>400 + 31,77</t>
        </is>
      </c>
      <c r="F141" s="4" t="inlineStr">
        <is>
          <t>L</t>
        </is>
      </c>
      <c r="G141" s="90">
        <f>HYPERLINK("https://www.google.com/search?q=" &amp; C141 &amp; "+bula+agrofit+pdf", "📄 Ver bula")</f>
        <v/>
      </c>
      <c r="H141" s="9">
        <f>IFERROR(__xludf.DUMMYFUNCTION("IFERROR(VLOOKUP(C141,
IMPORTRANGE(""1wULbzX32WdYsx-lj2U3uUNBBe2INVIRDtcK0d-Dvl90"",
""26-27!C:K""),
8,
FALSE),
"""")"),"")</f>
        <v/>
      </c>
      <c r="I141" s="114" t="inlineStr">
        <is>
          <t>1x20</t>
        </is>
      </c>
      <c r="J141" s="9">
        <f>IFERROR(SUM(
IF('TL01'!$B$3=J$3,SUMIF('TL01'!$C$10:$C$224,$C141,'TL01'!$J$10:$J$224),0),
IF('TL01'!$B$229=J$3,SUMIF('TL01'!$C$238:$C$451,$C141,'TL01'!$J$238:$J$451),0),
IF('TL02'!$B$3=J$3,SUMIF('TL02'!$C$10:$C$224,$C141,'TL02'!$J$10:$J$224),0),
IF('TL02'!$B$229=J$3,SUMIF('TL02'!$C$238:$C$451,$C141,'TL02'!$J$238:$J$451),0),
IF('TL03'!$B$3=J$3,SUMIF('TL03'!$C$10:$C$224,$C141,'TL03'!$J$10:$J$224),0),
IF('TL03'!$B$229=J$3,SUMIF('TL03'!$C$238:$C$451,$C141,'TL03'!$J$238:$J$451),0),
IF('TL04'!$B$3=J$3,SUMIF('TL04'!$C$10:$C$224,$C141,'TL04'!$J$10:$J$224),0),
IF('TL04'!$B$229=J$3,SUMIF('TL04'!$C$238:$C$451,$C141,'TL04'!$J$238:$J$451),0),
IF('TL05'!$B$3=J$3,SUMIF('TL05'!$C$10:$C$224,$C141,'TL05'!$J$10:$J$224),0),
IF('TL05'!$B$229=J$3,SUMIF('TL05'!$C$238:$C$451,$C141,'TL05'!$J$238:$J$451),0),
IF('TL06'!$B$3=J$3,SUMIF('TL06'!$C$10:$C$224,$C141,'TL06'!$J$10:$J$224),0),
IF('TL06'!$B$229=J$3,SUMIF('TL06'!$C$238:$C$451,$C141,'TL06'!$J$238:$J$451),0),
IF('TL07'!$B$3=J$3,SUMIF('TL07'!$C$10:$C$224,$C141,'TL07'!$J$10:$J$224),0),
IF('TL07'!$B$229=J$3,SUMIF('TL07'!$C$238:$C$451,$C141,'TL07'!$J$238:$J$451),0),
IF('TL08'!$B$3=J$3,SUMIF('TL08'!$C$10:$C$224,$C141,'TL08'!$J$10:$J$224),0),
IF('TL08'!$B$229=J$3,SUMIF('TL08'!$C$238:$C$451,$C141,'TL08'!$J$238:$J$451),0),
IF('TL09'!$B$3=J$3,SUMIF('TL09'!$C$10:$C$224,$C141,'TL09'!$J$10:$J$224),0),
IF('TL09'!$B$229=J$3,SUMIF('TL09'!$C$238:$C$451,$C141,'TL09'!$J$238:$J$451),0),
IF('TL10'!$B$3=J$3,SUMIF('TL10'!$C$10:$C$224,$C141,'TL10'!$J$10:$J$224),0),
IF('TL10'!$B$229=J$3,SUMIF('TL10'!$C$238:$C$451,$C141,'TL10'!$J$238:$J$451),0),
IF('TL11'!$B$3=J$3,SUMIF('TL11'!$C$10:$C$224,$C141,'TL11'!$J$10:$J$224),0),
IF('TL11'!$B$229=J$3,SUMIF('TL11'!$C$238:$C$451,$C141,'TL11'!$J$238:$J$451),0),
IF('TL12'!$B$3=J$3,SUMIF('TL12'!$C$10:$C$224,$C141,'TL12'!$J$10:$J$224),0),
IF('TL12'!$B$229=J$3,SUMIF('TL12'!$C$238:$C$451,$C141,'TL12'!$J$238:$J$451),0),
IF('TL13'!$B$3=J$3,SUMIF('TL13'!$C$10:$C$224,$C141,'TL13'!$J$10:$J$224),0),
IF('TL13'!$B$229=J$3,SUMIF('TL13'!$C$238:$C$451,$C141,'TL13'!$J$238:$J$451),0),
IF('TL14'!$B$3=J$3,SUMIF('TL14'!$C$10:$C$224,$C141,'TL14'!$J$10:$J$224),0),
IF('TL14'!$B$229=J$3,SUMIF('TL14'!$C$238:$C$451,$C141,'TL14'!$J$238:$J$451),0),
IF('TL15'!$B$3=J$3,SUMIF('TL15'!$C$10:$C$224,$C141,'TL15'!$J$10:$J$224),0),
IF('TL15'!$B$229=J$3,SUMIF('TL15'!$C$238:$C$451,$C141,'TL15'!$J$238:$J$451),0),
IF('TL16'!$B$3=J$3,SUMIF('TL16'!$C$10:$C$224,$C141,'TL16'!$J$10:$J$224),0),
IF('TL16'!$B$229=J$3,SUMIF('TL16'!$C$238:$C$451,$C141,'TL16'!$J$238:$J$451),0),
IF('TL17'!$B$3=J$3,SUMIF('TL17'!$C$10:$C$224,$C141,'TL17'!$J$10:$J$224),0),
IF('TL17'!$B$229=J$3,SUMIF('TL17'!$C$238:$C$451,$C141,'TL17'!$J$238:$J$451),0),
IF('TL18'!$B$3=J$3,SUMIF('TL18'!$C$10:$C$224,$C141,'TL18'!$J$10:$J$224),0),
IF('TL18'!$B$229=J$3,SUMIF('TL18'!$C$238:$C$451,$C141,'TL18'!$J$238:$J$451),0),
IF('TL19'!$B$3=J$3,SUMIF('TL19'!$C$10:$C$224,$C141,'TL19'!$J$10:$J$224),0),
IF('TL19'!$B$229=J$3,SUMIF('TL19'!$C$238:$C$451,$C141,'TL19'!$J$238:$J$451),0)
),0)</f>
        <v/>
      </c>
      <c r="K141" s="9">
        <f>IFERROR(SUM(
IF('TL01'!$B$3=K$3,SUMIF('TL01'!$C$10:$C$224,$C141,'TL01'!$J$10:$J$224),0),
IF('TL01'!$B$229=K$3,SUMIF('TL01'!$C$238:$C$451,$C141,'TL01'!$J$238:$J$451),0),
IF('TL02'!$B$3=K$3,SUMIF('TL02'!$C$10:$C$224,$C141,'TL02'!$J$10:$J$224),0),
IF('TL02'!$B$229=K$3,SUMIF('TL02'!$C$238:$C$451,$C141,'TL02'!$J$238:$J$451),0),
IF('TL03'!$B$3=K$3,SUMIF('TL03'!$C$10:$C$224,$C141,'TL03'!$J$10:$J$224),0),
IF('TL03'!$B$229=K$3,SUMIF('TL03'!$C$238:$C$451,$C141,'TL03'!$J$238:$J$451),0),
IF('TL04'!$B$3=K$3,SUMIF('TL04'!$C$10:$C$224,$C141,'TL04'!$J$10:$J$224),0),
IF('TL04'!$B$229=K$3,SUMIF('TL04'!$C$238:$C$451,$C141,'TL04'!$J$238:$J$451),0),
IF('TL05'!$B$3=K$3,SUMIF('TL05'!$C$10:$C$224,$C141,'TL05'!$J$10:$J$224),0),
IF('TL05'!$B$229=K$3,SUMIF('TL05'!$C$238:$C$451,$C141,'TL05'!$J$238:$J$451),0),
IF('TL06'!$B$3=K$3,SUMIF('TL06'!$C$10:$C$224,$C141,'TL06'!$J$10:$J$224),0),
IF('TL06'!$B$229=K$3,SUMIF('TL06'!$C$238:$C$451,$C141,'TL06'!$J$238:$J$451),0),
IF('TL07'!$B$3=K$3,SUMIF('TL07'!$C$10:$C$224,$C141,'TL07'!$J$10:$J$224),0),
IF('TL07'!$B$229=K$3,SUMIF('TL07'!$C$238:$C$451,$C141,'TL07'!$J$238:$J$451),0),
IF('TL08'!$B$3=K$3,SUMIF('TL08'!$C$10:$C$224,$C141,'TL08'!$J$10:$J$224),0),
IF('TL08'!$B$229=K$3,SUMIF('TL08'!$C$238:$C$451,$C141,'TL08'!$J$238:$J$451),0),
IF('TL09'!$B$3=K$3,SUMIF('TL09'!$C$10:$C$224,$C141,'TL09'!$J$10:$J$224),0),
IF('TL09'!$B$229=K$3,SUMIF('TL09'!$C$238:$C$451,$C141,'TL09'!$J$238:$J$451),0),
IF('TL10'!$B$3=K$3,SUMIF('TL10'!$C$10:$C$224,$C141,'TL10'!$J$10:$J$224),0),
IF('TL10'!$B$229=K$3,SUMIF('TL10'!$C$238:$C$451,$C141,'TL10'!$J$238:$J$451),0),
IF('TL11'!$B$3=K$3,SUMIF('TL11'!$C$10:$C$224,$C141,'TL11'!$J$10:$J$224),0),
IF('TL11'!$B$229=K$3,SUMIF('TL11'!$C$238:$C$451,$C141,'TL11'!$J$238:$J$451),0),
IF('TL12'!$B$3=K$3,SUMIF('TL12'!$C$10:$C$224,$C141,'TL12'!$J$10:$J$224),0),
IF('TL12'!$B$229=K$3,SUMIF('TL12'!$C$238:$C$451,$C141,'TL12'!$J$238:$J$451),0),
IF('TL13'!$B$3=K$3,SUMIF('TL13'!$C$10:$C$224,$C141,'TL13'!$J$10:$J$224),0),
IF('TL13'!$B$229=K$3,SUMIF('TL13'!$C$238:$C$451,$C141,'TL13'!$J$238:$J$451),0),
IF('TL14'!$B$3=K$3,SUMIF('TL14'!$C$10:$C$224,$C141,'TL14'!$J$10:$J$224),0),
IF('TL14'!$B$229=K$3,SUMIF('TL14'!$C$238:$C$451,$C141,'TL14'!$J$238:$J$451),0),
IF('TL15'!$B$3=K$3,SUMIF('TL15'!$C$10:$C$224,$C141,'TL15'!$J$10:$J$224),0),
IF('TL15'!$B$229=K$3,SUMIF('TL15'!$C$238:$C$451,$C141,'TL15'!$J$238:$J$451),0),
IF('TL16'!$B$3=K$3,SUMIF('TL16'!$C$10:$C$224,$C141,'TL16'!$J$10:$J$224),0),
IF('TL16'!$B$229=K$3,SUMIF('TL16'!$C$238:$C$451,$C141,'TL16'!$J$238:$J$451),0),
IF('TL17'!$B$3=K$3,SUMIF('TL17'!$C$10:$C$224,$C141,'TL17'!$J$10:$J$224),0),
IF('TL17'!$B$229=K$3,SUMIF('TL17'!$C$238:$C$451,$C141,'TL17'!$J$238:$J$451),0),
IF('TL18'!$B$3=K$3,SUMIF('TL18'!$C$10:$C$224,$C141,'TL18'!$J$10:$J$224),0),
IF('TL18'!$B$229=K$3,SUMIF('TL18'!$C$238:$C$451,$C141,'TL18'!$J$238:$J$451),0),
IF('TL19'!$B$3=K$3,SUMIF('TL19'!$C$10:$C$224,$C141,'TL19'!$J$10:$J$224),0),
IF('TL19'!$B$229=K$3,SUMIF('TL19'!$C$238:$C$451,$C141,'TL19'!$J$238:$J$451),0)
),0)</f>
        <v/>
      </c>
      <c r="L141" s="9">
        <f>IFERROR(SUM(
IF('TL01'!$B$3=L$3,SUMIF('TL01'!$C$10:$C$224,$C141,'TL01'!$J$10:$J$224),0),
IF('TL01'!$B$229=L$3,SUMIF('TL01'!$C$238:$C$451,$C141,'TL01'!$J$238:$J$451),0),
IF('TL02'!$B$3=L$3,SUMIF('TL02'!$C$10:$C$224,$C141,'TL02'!$J$10:$J$224),0),
IF('TL02'!$B$229=L$3,SUMIF('TL02'!$C$238:$C$451,$C141,'TL02'!$J$238:$J$451),0),
IF('TL03'!$B$3=L$3,SUMIF('TL03'!$C$10:$C$224,$C141,'TL03'!$J$10:$J$224),0),
IF('TL03'!$B$229=L$3,SUMIF('TL03'!$C$238:$C$451,$C141,'TL03'!$J$238:$J$451),0),
IF('TL04'!$B$3=L$3,SUMIF('TL04'!$C$10:$C$224,$C141,'TL04'!$J$10:$J$224),0),
IF('TL04'!$B$229=L$3,SUMIF('TL04'!$C$238:$C$451,$C141,'TL04'!$J$238:$J$451),0),
IF('TL05'!$B$3=L$3,SUMIF('TL05'!$C$10:$C$224,$C141,'TL05'!$J$10:$J$224),0),
IF('TL05'!$B$229=L$3,SUMIF('TL05'!$C$238:$C$451,$C141,'TL05'!$J$238:$J$451),0),
IF('TL06'!$B$3=L$3,SUMIF('TL06'!$C$10:$C$224,$C141,'TL06'!$J$10:$J$224),0),
IF('TL06'!$B$229=L$3,SUMIF('TL06'!$C$238:$C$451,$C141,'TL06'!$J$238:$J$451),0),
IF('TL07'!$B$3=L$3,SUMIF('TL07'!$C$10:$C$224,$C141,'TL07'!$J$10:$J$224),0),
IF('TL07'!$B$229=L$3,SUMIF('TL07'!$C$238:$C$451,$C141,'TL07'!$J$238:$J$451),0),
IF('TL08'!$B$3=L$3,SUMIF('TL08'!$C$10:$C$224,$C141,'TL08'!$J$10:$J$224),0),
IF('TL08'!$B$229=L$3,SUMIF('TL08'!$C$238:$C$451,$C141,'TL08'!$J$238:$J$451),0),
IF('TL09'!$B$3=L$3,SUMIF('TL09'!$C$10:$C$224,$C141,'TL09'!$J$10:$J$224),0),
IF('TL09'!$B$229=L$3,SUMIF('TL09'!$C$238:$C$451,$C141,'TL09'!$J$238:$J$451),0),
IF('TL10'!$B$3=L$3,SUMIF('TL10'!$C$10:$C$224,$C141,'TL10'!$J$10:$J$224),0),
IF('TL10'!$B$229=L$3,SUMIF('TL10'!$C$238:$C$451,$C141,'TL10'!$J$238:$J$451),0),
IF('TL11'!$B$3=L$3,SUMIF('TL11'!$C$10:$C$224,$C141,'TL11'!$J$10:$J$224),0),
IF('TL11'!$B$229=L$3,SUMIF('TL11'!$C$238:$C$451,$C141,'TL11'!$J$238:$J$451),0),
IF('TL12'!$B$3=L$3,SUMIF('TL12'!$C$10:$C$224,$C141,'TL12'!$J$10:$J$224),0),
IF('TL12'!$B$229=L$3,SUMIF('TL12'!$C$238:$C$451,$C141,'TL12'!$J$238:$J$451),0),
IF('TL13'!$B$3=L$3,SUMIF('TL13'!$C$10:$C$224,$C141,'TL13'!$J$10:$J$224),0),
IF('TL13'!$B$229=L$3,SUMIF('TL13'!$C$238:$C$451,$C141,'TL13'!$J$238:$J$451),0),
IF('TL14'!$B$3=L$3,SUMIF('TL14'!$C$10:$C$224,$C141,'TL14'!$J$10:$J$224),0),
IF('TL14'!$B$229=L$3,SUMIF('TL14'!$C$238:$C$451,$C141,'TL14'!$J$238:$J$451),0),
IF('TL15'!$B$3=L$3,SUMIF('TL15'!$C$10:$C$224,$C141,'TL15'!$J$10:$J$224),0),
IF('TL15'!$B$229=L$3,SUMIF('TL15'!$C$238:$C$451,$C141,'TL15'!$J$238:$J$451),0),
IF('TL16'!$B$3=L$3,SUMIF('TL16'!$C$10:$C$224,$C141,'TL16'!$J$10:$J$224),0),
IF('TL16'!$B$229=L$3,SUMIF('TL16'!$C$238:$C$451,$C141,'TL16'!$J$238:$J$451),0),
IF('TL17'!$B$3=L$3,SUMIF('TL17'!$C$10:$C$224,$C141,'TL17'!$J$10:$J$224),0),
IF('TL17'!$B$229=L$3,SUMIF('TL17'!$C$238:$C$451,$C141,'TL17'!$J$238:$J$451),0),
IF('TL18'!$B$3=L$3,SUMIF('TL18'!$C$10:$C$224,$C141,'TL18'!$J$10:$J$224),0),
IF('TL18'!$B$229=L$3,SUMIF('TL18'!$C$238:$C$451,$C141,'TL18'!$J$238:$J$451),0),
IF('TL19'!$B$3=L$3,SUMIF('TL19'!$C$10:$C$224,$C141,'TL19'!$J$10:$J$224),0),
IF('TL19'!$B$229=L$3,SUMIF('TL19'!$C$238:$C$451,$C141,'TL19'!$J$238:$J$451),0)
),0)</f>
        <v/>
      </c>
      <c r="M141" s="9">
        <f>IFERROR(SUM(
IF('TL01'!$B$3=M$3,SUMIF('TL01'!$C$10:$C$224,$C141,'TL01'!$J$10:$J$224),0),
IF('TL01'!$B$229=M$3,SUMIF('TL01'!$C$238:$C$451,$C141,'TL01'!$J$238:$J$451),0),
IF('TL02'!$B$3=M$3,SUMIF('TL02'!$C$10:$C$224,$C141,'TL02'!$J$10:$J$224),0),
IF('TL02'!$B$229=M$3,SUMIF('TL02'!$C$238:$C$451,$C141,'TL02'!$J$238:$J$451),0),
IF('TL03'!$B$3=M$3,SUMIF('TL03'!$C$10:$C$224,$C141,'TL03'!$J$10:$J$224),0),
IF('TL03'!$B$229=M$3,SUMIF('TL03'!$C$238:$C$451,$C141,'TL03'!$J$238:$J$451),0),
IF('TL04'!$B$3=M$3,SUMIF('TL04'!$C$10:$C$224,$C141,'TL04'!$J$10:$J$224),0),
IF('TL04'!$B$229=M$3,SUMIF('TL04'!$C$238:$C$451,$C141,'TL04'!$J$238:$J$451),0),
IF('TL05'!$B$3=M$3,SUMIF('TL05'!$C$10:$C$224,$C141,'TL05'!$J$10:$J$224),0),
IF('TL05'!$B$229=M$3,SUMIF('TL05'!$C$238:$C$451,$C141,'TL05'!$J$238:$J$451),0),
IF('TL06'!$B$3=M$3,SUMIF('TL06'!$C$10:$C$224,$C141,'TL06'!$J$10:$J$224),0),
IF('TL06'!$B$229=M$3,SUMIF('TL06'!$C$238:$C$451,$C141,'TL06'!$J$238:$J$451),0),
IF('TL07'!$B$3=M$3,SUMIF('TL07'!$C$10:$C$224,$C141,'TL07'!$J$10:$J$224),0),
IF('TL07'!$B$229=M$3,SUMIF('TL07'!$C$238:$C$451,$C141,'TL07'!$J$238:$J$451),0),
IF('TL08'!$B$3=M$3,SUMIF('TL08'!$C$10:$C$224,$C141,'TL08'!$J$10:$J$224),0),
IF('TL08'!$B$229=M$3,SUMIF('TL08'!$C$238:$C$451,$C141,'TL08'!$J$238:$J$451),0),
IF('TL09'!$B$3=M$3,SUMIF('TL09'!$C$10:$C$224,$C141,'TL09'!$J$10:$J$224),0),
IF('TL09'!$B$229=M$3,SUMIF('TL09'!$C$238:$C$451,$C141,'TL09'!$J$238:$J$451),0),
IF('TL10'!$B$3=M$3,SUMIF('TL10'!$C$10:$C$224,$C141,'TL10'!$J$10:$J$224),0),
IF('TL10'!$B$229=M$3,SUMIF('TL10'!$C$238:$C$451,$C141,'TL10'!$J$238:$J$451),0),
IF('TL11'!$B$3=M$3,SUMIF('TL11'!$C$10:$C$224,$C141,'TL11'!$J$10:$J$224),0),
IF('TL11'!$B$229=M$3,SUMIF('TL11'!$C$238:$C$451,$C141,'TL11'!$J$238:$J$451),0),
IF('TL12'!$B$3=M$3,SUMIF('TL12'!$C$10:$C$224,$C141,'TL12'!$J$10:$J$224),0),
IF('TL12'!$B$229=M$3,SUMIF('TL12'!$C$238:$C$451,$C141,'TL12'!$J$238:$J$451),0),
IF('TL13'!$B$3=M$3,SUMIF('TL13'!$C$10:$C$224,$C141,'TL13'!$J$10:$J$224),0),
IF('TL13'!$B$229=M$3,SUMIF('TL13'!$C$238:$C$451,$C141,'TL13'!$J$238:$J$451),0),
IF('TL14'!$B$3=M$3,SUMIF('TL14'!$C$10:$C$224,$C141,'TL14'!$J$10:$J$224),0),
IF('TL14'!$B$229=M$3,SUMIF('TL14'!$C$238:$C$451,$C141,'TL14'!$J$238:$J$451),0),
IF('TL15'!$B$3=M$3,SUMIF('TL15'!$C$10:$C$224,$C141,'TL15'!$J$10:$J$224),0),
IF('TL15'!$B$229=M$3,SUMIF('TL15'!$C$238:$C$451,$C141,'TL15'!$J$238:$J$451),0),
IF('TL16'!$B$3=M$3,SUMIF('TL16'!$C$10:$C$224,$C141,'TL16'!$J$10:$J$224),0),
IF('TL16'!$B$229=M$3,SUMIF('TL16'!$C$238:$C$451,$C141,'TL16'!$J$238:$J$451),0),
IF('TL17'!$B$3=M$3,SUMIF('TL17'!$C$10:$C$224,$C141,'TL17'!$J$10:$J$224),0),
IF('TL17'!$B$229=M$3,SUMIF('TL17'!$C$238:$C$451,$C141,'TL17'!$J$238:$J$451),0),
IF('TL18'!$B$3=M$3,SUMIF('TL18'!$C$10:$C$224,$C141,'TL18'!$J$10:$J$224),0),
IF('TL18'!$B$229=M$3,SUMIF('TL18'!$C$238:$C$451,$C141,'TL18'!$J$238:$J$451),0),
IF('TL19'!$B$3=M$3,SUMIF('TL19'!$C$10:$C$224,$C141,'TL19'!$J$10:$J$224),0),
IF('TL19'!$B$229=M$3,SUMIF('TL19'!$C$238:$C$451,$C141,'TL19'!$J$238:$J$451),0)
),0)</f>
        <v/>
      </c>
      <c r="N141" s="9">
        <f>IFERROR(SUM(
IF('TL01'!$B$3=N$3,SUMIF('TL01'!$C$10:$C$224,$C141,'TL01'!$J$10:$J$224),0),
IF('TL01'!$B$229=N$3,SUMIF('TL01'!$C$238:$C$451,$C141,'TL01'!$J$238:$J$451),0),
IF('TL02'!$B$3=N$3,SUMIF('TL02'!$C$10:$C$224,$C141,'TL02'!$J$10:$J$224),0),
IF('TL02'!$B$229=N$3,SUMIF('TL02'!$C$238:$C$451,$C141,'TL02'!$J$238:$J$451),0),
IF('TL03'!$B$3=N$3,SUMIF('TL03'!$C$10:$C$224,$C141,'TL03'!$J$10:$J$224),0),
IF('TL03'!$B$229=N$3,SUMIF('TL03'!$C$238:$C$451,$C141,'TL03'!$J$238:$J$451),0),
IF('TL04'!$B$3=N$3,SUMIF('TL04'!$C$10:$C$224,$C141,'TL04'!$J$10:$J$224),0),
IF('TL04'!$B$229=N$3,SUMIF('TL04'!$C$238:$C$451,$C141,'TL04'!$J$238:$J$451),0),
IF('TL05'!$B$3=N$3,SUMIF('TL05'!$C$10:$C$224,$C141,'TL05'!$J$10:$J$224),0),
IF('TL05'!$B$229=N$3,SUMIF('TL05'!$C$238:$C$451,$C141,'TL05'!$J$238:$J$451),0),
IF('TL06'!$B$3=N$3,SUMIF('TL06'!$C$10:$C$224,$C141,'TL06'!$J$10:$J$224),0),
IF('TL06'!$B$229=N$3,SUMIF('TL06'!$C$238:$C$451,$C141,'TL06'!$J$238:$J$451),0),
IF('TL07'!$B$3=N$3,SUMIF('TL07'!$C$10:$C$224,$C141,'TL07'!$J$10:$J$224),0),
IF('TL07'!$B$229=N$3,SUMIF('TL07'!$C$238:$C$451,$C141,'TL07'!$J$238:$J$451),0),
IF('TL08'!$B$3=N$3,SUMIF('TL08'!$C$10:$C$224,$C141,'TL08'!$J$10:$J$224),0),
IF('TL08'!$B$229=N$3,SUMIF('TL08'!$C$238:$C$451,$C141,'TL08'!$J$238:$J$451),0),
IF('TL09'!$B$3=N$3,SUMIF('TL09'!$C$10:$C$224,$C141,'TL09'!$J$10:$J$224),0),
IF('TL09'!$B$229=N$3,SUMIF('TL09'!$C$238:$C$451,$C141,'TL09'!$J$238:$J$451),0),
IF('TL10'!$B$3=N$3,SUMIF('TL10'!$C$10:$C$224,$C141,'TL10'!$J$10:$J$224),0),
IF('TL10'!$B$229=N$3,SUMIF('TL10'!$C$238:$C$451,$C141,'TL10'!$J$238:$J$451),0),
IF('TL11'!$B$3=N$3,SUMIF('TL11'!$C$10:$C$224,$C141,'TL11'!$J$10:$J$224),0),
IF('TL11'!$B$229=N$3,SUMIF('TL11'!$C$238:$C$451,$C141,'TL11'!$J$238:$J$451),0),
IF('TL12'!$B$3=N$3,SUMIF('TL12'!$C$10:$C$224,$C141,'TL12'!$J$10:$J$224),0),
IF('TL12'!$B$229=N$3,SUMIF('TL12'!$C$238:$C$451,$C141,'TL12'!$J$238:$J$451),0),
IF('TL13'!$B$3=N$3,SUMIF('TL13'!$C$10:$C$224,$C141,'TL13'!$J$10:$J$224),0),
IF('TL13'!$B$229=N$3,SUMIF('TL13'!$C$238:$C$451,$C141,'TL13'!$J$238:$J$451),0),
IF('TL14'!$B$3=N$3,SUMIF('TL14'!$C$10:$C$224,$C141,'TL14'!$J$10:$J$224),0),
IF('TL14'!$B$229=N$3,SUMIF('TL14'!$C$238:$C$451,$C141,'TL14'!$J$238:$J$451),0),
IF('TL15'!$B$3=N$3,SUMIF('TL15'!$C$10:$C$224,$C141,'TL15'!$J$10:$J$224),0),
IF('TL15'!$B$229=N$3,SUMIF('TL15'!$C$238:$C$451,$C141,'TL15'!$J$238:$J$451),0),
IF('TL16'!$B$3=N$3,SUMIF('TL16'!$C$10:$C$224,$C141,'TL16'!$J$10:$J$224),0),
IF('TL16'!$B$229=N$3,SUMIF('TL16'!$C$238:$C$451,$C141,'TL16'!$J$238:$J$451),0),
IF('TL17'!$B$3=N$3,SUMIF('TL17'!$C$10:$C$224,$C141,'TL17'!$J$10:$J$224),0),
IF('TL17'!$B$229=N$3,SUMIF('TL17'!$C$238:$C$451,$C141,'TL17'!$J$238:$J$451),0),
IF('TL18'!$B$3=N$3,SUMIF('TL18'!$C$10:$C$224,$C141,'TL18'!$J$10:$J$224),0),
IF('TL18'!$B$229=N$3,SUMIF('TL18'!$C$238:$C$451,$C141,'TL18'!$J$238:$J$451),0),
IF('TL19'!$B$3=N$3,SUMIF('TL19'!$C$10:$C$224,$C141,'TL19'!$J$10:$J$224),0),
IF('TL19'!$B$229=N$3,SUMIF('TL19'!$C$238:$C$451,$C141,'TL19'!$J$238:$J$451),0)
),0)</f>
        <v/>
      </c>
      <c r="O141" s="9">
        <f>IFERROR(SUM(
IF('TL01'!$B$3=O$3,SUMIF('TL01'!$C$10:$C$224,$C141,'TL01'!$J$10:$J$224),0),
IF('TL01'!$B$229=O$3,SUMIF('TL01'!$C$238:$C$451,$C141,'TL01'!$J$238:$J$451),0),
IF('TL02'!$B$3=O$3,SUMIF('TL02'!$C$10:$C$224,$C141,'TL02'!$J$10:$J$224),0),
IF('TL02'!$B$229=O$3,SUMIF('TL02'!$C$238:$C$451,$C141,'TL02'!$J$238:$J$451),0),
IF('TL03'!$B$3=O$3,SUMIF('TL03'!$C$10:$C$224,$C141,'TL03'!$J$10:$J$224),0),
IF('TL03'!$B$229=O$3,SUMIF('TL03'!$C$238:$C$451,$C141,'TL03'!$J$238:$J$451),0),
IF('TL04'!$B$3=O$3,SUMIF('TL04'!$C$10:$C$224,$C141,'TL04'!$J$10:$J$224),0),
IF('TL04'!$B$229=O$3,SUMIF('TL04'!$C$238:$C$451,$C141,'TL04'!$J$238:$J$451),0),
IF('TL05'!$B$3=O$3,SUMIF('TL05'!$C$10:$C$224,$C141,'TL05'!$J$10:$J$224),0),
IF('TL05'!$B$229=O$3,SUMIF('TL05'!$C$238:$C$451,$C141,'TL05'!$J$238:$J$451),0),
IF('TL06'!$B$3=O$3,SUMIF('TL06'!$C$10:$C$224,$C141,'TL06'!$J$10:$J$224),0),
IF('TL06'!$B$229=O$3,SUMIF('TL06'!$C$238:$C$451,$C141,'TL06'!$J$238:$J$451),0),
IF('TL07'!$B$3=O$3,SUMIF('TL07'!$C$10:$C$224,$C141,'TL07'!$J$10:$J$224),0),
IF('TL07'!$B$229=O$3,SUMIF('TL07'!$C$238:$C$451,$C141,'TL07'!$J$238:$J$451),0),
IF('TL08'!$B$3=O$3,SUMIF('TL08'!$C$10:$C$224,$C141,'TL08'!$J$10:$J$224),0),
IF('TL08'!$B$229=O$3,SUMIF('TL08'!$C$238:$C$451,$C141,'TL08'!$J$238:$J$451),0),
IF('TL09'!$B$3=O$3,SUMIF('TL09'!$C$10:$C$224,$C141,'TL09'!$J$10:$J$224),0),
IF('TL09'!$B$229=O$3,SUMIF('TL09'!$C$238:$C$451,$C141,'TL09'!$J$238:$J$451),0),
IF('TL10'!$B$3=O$3,SUMIF('TL10'!$C$10:$C$224,$C141,'TL10'!$J$10:$J$224),0),
IF('TL10'!$B$229=O$3,SUMIF('TL10'!$C$238:$C$451,$C141,'TL10'!$J$238:$J$451),0),
IF('TL11'!$B$3=O$3,SUMIF('TL11'!$C$10:$C$224,$C141,'TL11'!$J$10:$J$224),0),
IF('TL11'!$B$229=O$3,SUMIF('TL11'!$C$238:$C$451,$C141,'TL11'!$J$238:$J$451),0),
IF('TL12'!$B$3=O$3,SUMIF('TL12'!$C$10:$C$224,$C141,'TL12'!$J$10:$J$224),0),
IF('TL12'!$B$229=O$3,SUMIF('TL12'!$C$238:$C$451,$C141,'TL12'!$J$238:$J$451),0),
IF('TL13'!$B$3=O$3,SUMIF('TL13'!$C$10:$C$224,$C141,'TL13'!$J$10:$J$224),0),
IF('TL13'!$B$229=O$3,SUMIF('TL13'!$C$238:$C$451,$C141,'TL13'!$J$238:$J$451),0),
IF('TL14'!$B$3=O$3,SUMIF('TL14'!$C$10:$C$224,$C141,'TL14'!$J$10:$J$224),0),
IF('TL14'!$B$229=O$3,SUMIF('TL14'!$C$238:$C$451,$C141,'TL14'!$J$238:$J$451),0),
IF('TL15'!$B$3=O$3,SUMIF('TL15'!$C$10:$C$224,$C141,'TL15'!$J$10:$J$224),0),
IF('TL15'!$B$229=O$3,SUMIF('TL15'!$C$238:$C$451,$C141,'TL15'!$J$238:$J$451),0),
IF('TL16'!$B$3=O$3,SUMIF('TL16'!$C$10:$C$224,$C141,'TL16'!$J$10:$J$224),0),
IF('TL16'!$B$229=O$3,SUMIF('TL16'!$C$238:$C$451,$C141,'TL16'!$J$238:$J$451),0),
IF('TL17'!$B$3=O$3,SUMIF('TL17'!$C$10:$C$224,$C141,'TL17'!$J$10:$J$224),0),
IF('TL17'!$B$229=O$3,SUMIF('TL17'!$C$238:$C$451,$C141,'TL17'!$J$238:$J$451),0),
IF('TL18'!$B$3=O$3,SUMIF('TL18'!$C$10:$C$224,$C141,'TL18'!$J$10:$J$224),0),
IF('TL18'!$B$229=O$3,SUMIF('TL18'!$C$238:$C$451,$C141,'TL18'!$J$238:$J$451),0),
IF('TL19'!$B$3=O$3,SUMIF('TL19'!$C$10:$C$224,$C141,'TL19'!$J$10:$J$224),0),
IF('TL19'!$B$229=O$3,SUMIF('TL19'!$C$238:$C$451,$C141,'TL19'!$J$238:$J$451),0)
),0)</f>
        <v/>
      </c>
      <c r="P141" s="9">
        <f>IFERROR(SUM(
IF('TL01'!$B$3=P$3,SUMIF('TL01'!$C$10:$C$224,$C141,'TL01'!$J$10:$J$224),0),
IF('TL01'!$B$229=P$3,SUMIF('TL01'!$C$238:$C$451,$C141,'TL01'!$J$238:$J$451),0),
IF('TL02'!$B$3=P$3,SUMIF('TL02'!$C$10:$C$224,$C141,'TL02'!$J$10:$J$224),0),
IF('TL02'!$B$229=P$3,SUMIF('TL02'!$C$238:$C$451,$C141,'TL02'!$J$238:$J$451),0),
IF('TL03'!$B$3=P$3,SUMIF('TL03'!$C$10:$C$224,$C141,'TL03'!$J$10:$J$224),0),
IF('TL03'!$B$229=P$3,SUMIF('TL03'!$C$238:$C$451,$C141,'TL03'!$J$238:$J$451),0),
IF('TL04'!$B$3=P$3,SUMIF('TL04'!$C$10:$C$224,$C141,'TL04'!$J$10:$J$224),0),
IF('TL04'!$B$229=P$3,SUMIF('TL04'!$C$238:$C$451,$C141,'TL04'!$J$238:$J$451),0),
IF('TL05'!$B$3=P$3,SUMIF('TL05'!$C$10:$C$224,$C141,'TL05'!$J$10:$J$224),0),
IF('TL05'!$B$229=P$3,SUMIF('TL05'!$C$238:$C$451,$C141,'TL05'!$J$238:$J$451),0),
IF('TL06'!$B$3=P$3,SUMIF('TL06'!$C$10:$C$224,$C141,'TL06'!$J$10:$J$224),0),
IF('TL06'!$B$229=P$3,SUMIF('TL06'!$C$238:$C$451,$C141,'TL06'!$J$238:$J$451),0),
IF('TL07'!$B$3=P$3,SUMIF('TL07'!$C$10:$C$224,$C141,'TL07'!$J$10:$J$224),0),
IF('TL07'!$B$229=P$3,SUMIF('TL07'!$C$238:$C$451,$C141,'TL07'!$J$238:$J$451),0),
IF('TL08'!$B$3=P$3,SUMIF('TL08'!$C$10:$C$224,$C141,'TL08'!$J$10:$J$224),0),
IF('TL08'!$B$229=P$3,SUMIF('TL08'!$C$238:$C$451,$C141,'TL08'!$J$238:$J$451),0),
IF('TL09'!$B$3=P$3,SUMIF('TL09'!$C$10:$C$224,$C141,'TL09'!$J$10:$J$224),0),
IF('TL09'!$B$229=P$3,SUMIF('TL09'!$C$238:$C$451,$C141,'TL09'!$J$238:$J$451),0),
IF('TL10'!$B$3=P$3,SUMIF('TL10'!$C$10:$C$224,$C141,'TL10'!$J$10:$J$224),0),
IF('TL10'!$B$229=P$3,SUMIF('TL10'!$C$238:$C$451,$C141,'TL10'!$J$238:$J$451),0),
IF('TL11'!$B$3=P$3,SUMIF('TL11'!$C$10:$C$224,$C141,'TL11'!$J$10:$J$224),0),
IF('TL11'!$B$229=P$3,SUMIF('TL11'!$C$238:$C$451,$C141,'TL11'!$J$238:$J$451),0),
IF('TL12'!$B$3=P$3,SUMIF('TL12'!$C$10:$C$224,$C141,'TL12'!$J$10:$J$224),0),
IF('TL12'!$B$229=P$3,SUMIF('TL12'!$C$238:$C$451,$C141,'TL12'!$J$238:$J$451),0),
IF('TL13'!$B$3=P$3,SUMIF('TL13'!$C$10:$C$224,$C141,'TL13'!$J$10:$J$224),0),
IF('TL13'!$B$229=P$3,SUMIF('TL13'!$C$238:$C$451,$C141,'TL13'!$J$238:$J$451),0),
IF('TL14'!$B$3=P$3,SUMIF('TL14'!$C$10:$C$224,$C141,'TL14'!$J$10:$J$224),0),
IF('TL14'!$B$229=P$3,SUMIF('TL14'!$C$238:$C$451,$C141,'TL14'!$J$238:$J$451),0),
IF('TL15'!$B$3=P$3,SUMIF('TL15'!$C$10:$C$224,$C141,'TL15'!$J$10:$J$224),0),
IF('TL15'!$B$229=P$3,SUMIF('TL15'!$C$238:$C$451,$C141,'TL15'!$J$238:$J$451),0),
IF('TL16'!$B$3=P$3,SUMIF('TL16'!$C$10:$C$224,$C141,'TL16'!$J$10:$J$224),0),
IF('TL16'!$B$229=P$3,SUMIF('TL16'!$C$238:$C$451,$C141,'TL16'!$J$238:$J$451),0),
IF('TL17'!$B$3=P$3,SUMIF('TL17'!$C$10:$C$224,$C141,'TL17'!$J$10:$J$224),0),
IF('TL17'!$B$229=P$3,SUMIF('TL17'!$C$238:$C$451,$C141,'TL17'!$J$238:$J$451),0),
IF('TL18'!$B$3=P$3,SUMIF('TL18'!$C$10:$C$224,$C141,'TL18'!$J$10:$J$224),0),
IF('TL18'!$B$229=P$3,SUMIF('TL18'!$C$238:$C$451,$C141,'TL18'!$J$238:$J$451),0),
IF('TL19'!$B$3=P$3,SUMIF('TL19'!$C$10:$C$224,$C141,'TL19'!$J$10:$J$224),0),
IF('TL19'!$B$229=P$3,SUMIF('TL19'!$C$238:$C$451,$C141,'TL19'!$J$238:$J$451),0)
),0)</f>
        <v/>
      </c>
      <c r="Q141" s="9">
        <f>IFERROR(SUM(
IF('TL01'!$B$3=Q$3,SUMIF('TL01'!$C$10:$C$224,$C141,'TL01'!$J$10:$J$224),0),
IF('TL01'!$B$229=Q$3,SUMIF('TL01'!$C$238:$C$451,$C141,'TL01'!$J$238:$J$451),0),
IF('TL02'!$B$3=Q$3,SUMIF('TL02'!$C$10:$C$224,$C141,'TL02'!$J$10:$J$224),0),
IF('TL02'!$B$229=Q$3,SUMIF('TL02'!$C$238:$C$451,$C141,'TL02'!$J$238:$J$451),0),
IF('TL03'!$B$3=Q$3,SUMIF('TL03'!$C$10:$C$224,$C141,'TL03'!$J$10:$J$224),0),
IF('TL03'!$B$229=Q$3,SUMIF('TL03'!$C$238:$C$451,$C141,'TL03'!$J$238:$J$451),0),
IF('TL04'!$B$3=Q$3,SUMIF('TL04'!$C$10:$C$224,$C141,'TL04'!$J$10:$J$224),0),
IF('TL04'!$B$229=Q$3,SUMIF('TL04'!$C$238:$C$451,$C141,'TL04'!$J$238:$J$451),0),
IF('TL05'!$B$3=Q$3,SUMIF('TL05'!$C$10:$C$224,$C141,'TL05'!$J$10:$J$224),0),
IF('TL05'!$B$229=Q$3,SUMIF('TL05'!$C$238:$C$451,$C141,'TL05'!$J$238:$J$451),0),
IF('TL06'!$B$3=Q$3,SUMIF('TL06'!$C$10:$C$224,$C141,'TL06'!$J$10:$J$224),0),
IF('TL06'!$B$229=Q$3,SUMIF('TL06'!$C$238:$C$451,$C141,'TL06'!$J$238:$J$451),0),
IF('TL07'!$B$3=Q$3,SUMIF('TL07'!$C$10:$C$224,$C141,'TL07'!$J$10:$J$224),0),
IF('TL07'!$B$229=Q$3,SUMIF('TL07'!$C$238:$C$451,$C141,'TL07'!$J$238:$J$451),0),
IF('TL08'!$B$3=Q$3,SUMIF('TL08'!$C$10:$C$224,$C141,'TL08'!$J$10:$J$224),0),
IF('TL08'!$B$229=Q$3,SUMIF('TL08'!$C$238:$C$451,$C141,'TL08'!$J$238:$J$451),0),
IF('TL09'!$B$3=Q$3,SUMIF('TL09'!$C$10:$C$224,$C141,'TL09'!$J$10:$J$224),0),
IF('TL09'!$B$229=Q$3,SUMIF('TL09'!$C$238:$C$451,$C141,'TL09'!$J$238:$J$451),0),
IF('TL10'!$B$3=Q$3,SUMIF('TL10'!$C$10:$C$224,$C141,'TL10'!$J$10:$J$224),0),
IF('TL10'!$B$229=Q$3,SUMIF('TL10'!$C$238:$C$451,$C141,'TL10'!$J$238:$J$451),0),
IF('TL11'!$B$3=Q$3,SUMIF('TL11'!$C$10:$C$224,$C141,'TL11'!$J$10:$J$224),0),
IF('TL11'!$B$229=Q$3,SUMIF('TL11'!$C$238:$C$451,$C141,'TL11'!$J$238:$J$451),0),
IF('TL12'!$B$3=Q$3,SUMIF('TL12'!$C$10:$C$224,$C141,'TL12'!$J$10:$J$224),0),
IF('TL12'!$B$229=Q$3,SUMIF('TL12'!$C$238:$C$451,$C141,'TL12'!$J$238:$J$451),0),
IF('TL13'!$B$3=Q$3,SUMIF('TL13'!$C$10:$C$224,$C141,'TL13'!$J$10:$J$224),0),
IF('TL13'!$B$229=Q$3,SUMIF('TL13'!$C$238:$C$451,$C141,'TL13'!$J$238:$J$451),0),
IF('TL14'!$B$3=Q$3,SUMIF('TL14'!$C$10:$C$224,$C141,'TL14'!$J$10:$J$224),0),
IF('TL14'!$B$229=Q$3,SUMIF('TL14'!$C$238:$C$451,$C141,'TL14'!$J$238:$J$451),0),
IF('TL15'!$B$3=Q$3,SUMIF('TL15'!$C$10:$C$224,$C141,'TL15'!$J$10:$J$224),0),
IF('TL15'!$B$229=Q$3,SUMIF('TL15'!$C$238:$C$451,$C141,'TL15'!$J$238:$J$451),0),
IF('TL16'!$B$3=Q$3,SUMIF('TL16'!$C$10:$C$224,$C141,'TL16'!$J$10:$J$224),0),
IF('TL16'!$B$229=Q$3,SUMIF('TL16'!$C$238:$C$451,$C141,'TL16'!$J$238:$J$451),0),
IF('TL17'!$B$3=Q$3,SUMIF('TL17'!$C$10:$C$224,$C141,'TL17'!$J$10:$J$224),0),
IF('TL17'!$B$229=Q$3,SUMIF('TL17'!$C$238:$C$451,$C141,'TL17'!$J$238:$J$451),0),
IF('TL18'!$B$3=Q$3,SUMIF('TL18'!$C$10:$C$224,$C141,'TL18'!$J$10:$J$224),0),
IF('TL18'!$B$229=Q$3,SUMIF('TL18'!$C$238:$C$451,$C141,'TL18'!$J$238:$J$451),0),
IF('TL19'!$B$3=Q$3,SUMIF('TL19'!$C$10:$C$224,$C141,'TL19'!$J$10:$J$224),0),
IF('TL19'!$B$229=Q$3,SUMIF('TL19'!$C$238:$C$451,$C141,'TL19'!$J$238:$J$451),0)
),0)</f>
        <v/>
      </c>
      <c r="R141" s="9">
        <f>IFERROR(
SUM(
SUMIF('TL01'!C:C,C141,'TL01'!J:J),
SUMIF('TL02'!C:C,C141,'TL02'!J:J),
SUMIF('TL03'!C:C,C141,'TL03'!J:J),
SUMIF('TL04'!C:C,C141,'TL04'!J:J),
SUMIF('TL05'!C:C,C141,'TL05'!J:J),
SUMIF('TL06'!C:C,C141,'TL06'!J:J),
SUMIF('TL07'!C:C,C141,'TL07'!J:J),
SUMIF('TL08'!C:C,C141,'TL08'!J:J),
SUMIF('TL09'!C:C,C141,'TL09'!J:J),
SUMIF('TL10'!C:C,C141,'TL10'!J:J),
SUMIF('TL11'!C:C,C141,'TL11'!J:J),
SUMIF('TL12'!C:C,C141,'TL12'!J:J),
SUMIF('TL13'!C:C,C141,'TL13'!J:J),
SUMIF('TL14'!C:C,C141,'TL14'!J:J),
SUMIF('TL15'!C:C,C141,'TL15'!J:J),
SUMIF('TL16'!C:C,C141,'TL16'!J:J),
SUMIF('TL17'!C:C,C141,'TL17'!J:J),
SUMIF('TL18'!C:C,C141,'TL18'!J:J),SUMIF('TL19'!C:C,C141,'TL19'!J:J))
,0)</f>
        <v/>
      </c>
      <c r="S141" s="17">
        <f>IFERROR(__xludf.DUMMYFUNCTION("IFERROR(VLOOKUP(C141,
IMPORTRANGE(""1wULbzX32WdYsx-lj2U3uUNBBe2INVIRDtcK0d-Dvl90"",
""26-27!C:G""),
5,
FALSE),
"""")"),108.98772)</f>
        <v/>
      </c>
      <c r="T141" s="9" t="n"/>
      <c r="U141" s="92">
        <f>MAX(0,R141-T141)</f>
        <v/>
      </c>
      <c r="V141" s="93">
        <f>U141*S141</f>
        <v/>
      </c>
    </row>
    <row r="142" hidden="1" ht="15.75" customHeight="1" s="297">
      <c r="A142" s="115" t="inlineStr">
        <is>
          <t>FMC</t>
        </is>
      </c>
      <c r="B142" s="100" t="inlineStr">
        <is>
          <t>HERBICIDA</t>
        </is>
      </c>
      <c r="C142" s="116" t="inlineStr">
        <is>
          <t>BORAL</t>
        </is>
      </c>
      <c r="D142" s="116" t="inlineStr">
        <is>
          <t>SULFENTRAZONA</t>
        </is>
      </c>
      <c r="E142" s="116" t="n">
        <v>500</v>
      </c>
      <c r="F142" s="4" t="inlineStr">
        <is>
          <t>L</t>
        </is>
      </c>
      <c r="G142" s="90">
        <f>HYPERLINK("https://www.google.com/search?q=" &amp; C142 &amp; "+bula+agrofit+pdf", "📄 Ver bula")</f>
        <v/>
      </c>
      <c r="H142" s="9">
        <f>IFERROR(__xludf.DUMMYFUNCTION("IFERROR(VLOOKUP(C142,
IMPORTRANGE(""1wULbzX32WdYsx-lj2U3uUNBBe2INVIRDtcK0d-Dvl90"",
""26-27!C:K""),
8,
FALSE),
"""")"),"")</f>
        <v/>
      </c>
      <c r="I142" s="117" t="inlineStr">
        <is>
          <t>4X5</t>
        </is>
      </c>
      <c r="J142" s="9">
        <f>IFERROR(SUM(
IF('TL01'!$B$3=J$3,SUMIF('TL01'!$C$10:$C$224,$C142,'TL01'!$J$10:$J$224),0),
IF('TL01'!$B$229=J$3,SUMIF('TL01'!$C$238:$C$451,$C142,'TL01'!$J$238:$J$451),0),
IF('TL02'!$B$3=J$3,SUMIF('TL02'!$C$10:$C$224,$C142,'TL02'!$J$10:$J$224),0),
IF('TL02'!$B$229=J$3,SUMIF('TL02'!$C$238:$C$451,$C142,'TL02'!$J$238:$J$451),0),
IF('TL03'!$B$3=J$3,SUMIF('TL03'!$C$10:$C$224,$C142,'TL03'!$J$10:$J$224),0),
IF('TL03'!$B$229=J$3,SUMIF('TL03'!$C$238:$C$451,$C142,'TL03'!$J$238:$J$451),0),
IF('TL04'!$B$3=J$3,SUMIF('TL04'!$C$10:$C$224,$C142,'TL04'!$J$10:$J$224),0),
IF('TL04'!$B$229=J$3,SUMIF('TL04'!$C$238:$C$451,$C142,'TL04'!$J$238:$J$451),0),
IF('TL05'!$B$3=J$3,SUMIF('TL05'!$C$10:$C$224,$C142,'TL05'!$J$10:$J$224),0),
IF('TL05'!$B$229=J$3,SUMIF('TL05'!$C$238:$C$451,$C142,'TL05'!$J$238:$J$451),0),
IF('TL06'!$B$3=J$3,SUMIF('TL06'!$C$10:$C$224,$C142,'TL06'!$J$10:$J$224),0),
IF('TL06'!$B$229=J$3,SUMIF('TL06'!$C$238:$C$451,$C142,'TL06'!$J$238:$J$451),0),
IF('TL07'!$B$3=J$3,SUMIF('TL07'!$C$10:$C$224,$C142,'TL07'!$J$10:$J$224),0),
IF('TL07'!$B$229=J$3,SUMIF('TL07'!$C$238:$C$451,$C142,'TL07'!$J$238:$J$451),0),
IF('TL08'!$B$3=J$3,SUMIF('TL08'!$C$10:$C$224,$C142,'TL08'!$J$10:$J$224),0),
IF('TL08'!$B$229=J$3,SUMIF('TL08'!$C$238:$C$451,$C142,'TL08'!$J$238:$J$451),0),
IF('TL09'!$B$3=J$3,SUMIF('TL09'!$C$10:$C$224,$C142,'TL09'!$J$10:$J$224),0),
IF('TL09'!$B$229=J$3,SUMIF('TL09'!$C$238:$C$451,$C142,'TL09'!$J$238:$J$451),0),
IF('TL10'!$B$3=J$3,SUMIF('TL10'!$C$10:$C$224,$C142,'TL10'!$J$10:$J$224),0),
IF('TL10'!$B$229=J$3,SUMIF('TL10'!$C$238:$C$451,$C142,'TL10'!$J$238:$J$451),0),
IF('TL11'!$B$3=J$3,SUMIF('TL11'!$C$10:$C$224,$C142,'TL11'!$J$10:$J$224),0),
IF('TL11'!$B$229=J$3,SUMIF('TL11'!$C$238:$C$451,$C142,'TL11'!$J$238:$J$451),0),
IF('TL12'!$B$3=J$3,SUMIF('TL12'!$C$10:$C$224,$C142,'TL12'!$J$10:$J$224),0),
IF('TL12'!$B$229=J$3,SUMIF('TL12'!$C$238:$C$451,$C142,'TL12'!$J$238:$J$451),0),
IF('TL13'!$B$3=J$3,SUMIF('TL13'!$C$10:$C$224,$C142,'TL13'!$J$10:$J$224),0),
IF('TL13'!$B$229=J$3,SUMIF('TL13'!$C$238:$C$451,$C142,'TL13'!$J$238:$J$451),0),
IF('TL14'!$B$3=J$3,SUMIF('TL14'!$C$10:$C$224,$C142,'TL14'!$J$10:$J$224),0),
IF('TL14'!$B$229=J$3,SUMIF('TL14'!$C$238:$C$451,$C142,'TL14'!$J$238:$J$451),0),
IF('TL15'!$B$3=J$3,SUMIF('TL15'!$C$10:$C$224,$C142,'TL15'!$J$10:$J$224),0),
IF('TL15'!$B$229=J$3,SUMIF('TL15'!$C$238:$C$451,$C142,'TL15'!$J$238:$J$451),0),
IF('TL16'!$B$3=J$3,SUMIF('TL16'!$C$10:$C$224,$C142,'TL16'!$J$10:$J$224),0),
IF('TL16'!$B$229=J$3,SUMIF('TL16'!$C$238:$C$451,$C142,'TL16'!$J$238:$J$451),0),
IF('TL17'!$B$3=J$3,SUMIF('TL17'!$C$10:$C$224,$C142,'TL17'!$J$10:$J$224),0),
IF('TL17'!$B$229=J$3,SUMIF('TL17'!$C$238:$C$451,$C142,'TL17'!$J$238:$J$451),0),
IF('TL18'!$B$3=J$3,SUMIF('TL18'!$C$10:$C$224,$C142,'TL18'!$J$10:$J$224),0),
IF('TL18'!$B$229=J$3,SUMIF('TL18'!$C$238:$C$451,$C142,'TL18'!$J$238:$J$451),0),
IF('TL19'!$B$3=J$3,SUMIF('TL19'!$C$10:$C$224,$C142,'TL19'!$J$10:$J$224),0),
IF('TL19'!$B$229=J$3,SUMIF('TL19'!$C$238:$C$451,$C142,'TL19'!$J$238:$J$451),0)
),0)</f>
        <v/>
      </c>
      <c r="K142" s="9">
        <f>IFERROR(SUM(
IF('TL01'!$B$3=K$3,SUMIF('TL01'!$C$10:$C$224,$C142,'TL01'!$J$10:$J$224),0),
IF('TL01'!$B$229=K$3,SUMIF('TL01'!$C$238:$C$451,$C142,'TL01'!$J$238:$J$451),0),
IF('TL02'!$B$3=K$3,SUMIF('TL02'!$C$10:$C$224,$C142,'TL02'!$J$10:$J$224),0),
IF('TL02'!$B$229=K$3,SUMIF('TL02'!$C$238:$C$451,$C142,'TL02'!$J$238:$J$451),0),
IF('TL03'!$B$3=K$3,SUMIF('TL03'!$C$10:$C$224,$C142,'TL03'!$J$10:$J$224),0),
IF('TL03'!$B$229=K$3,SUMIF('TL03'!$C$238:$C$451,$C142,'TL03'!$J$238:$J$451),0),
IF('TL04'!$B$3=K$3,SUMIF('TL04'!$C$10:$C$224,$C142,'TL04'!$J$10:$J$224),0),
IF('TL04'!$B$229=K$3,SUMIF('TL04'!$C$238:$C$451,$C142,'TL04'!$J$238:$J$451),0),
IF('TL05'!$B$3=K$3,SUMIF('TL05'!$C$10:$C$224,$C142,'TL05'!$J$10:$J$224),0),
IF('TL05'!$B$229=K$3,SUMIF('TL05'!$C$238:$C$451,$C142,'TL05'!$J$238:$J$451),0),
IF('TL06'!$B$3=K$3,SUMIF('TL06'!$C$10:$C$224,$C142,'TL06'!$J$10:$J$224),0),
IF('TL06'!$B$229=K$3,SUMIF('TL06'!$C$238:$C$451,$C142,'TL06'!$J$238:$J$451),0),
IF('TL07'!$B$3=K$3,SUMIF('TL07'!$C$10:$C$224,$C142,'TL07'!$J$10:$J$224),0),
IF('TL07'!$B$229=K$3,SUMIF('TL07'!$C$238:$C$451,$C142,'TL07'!$J$238:$J$451),0),
IF('TL08'!$B$3=K$3,SUMIF('TL08'!$C$10:$C$224,$C142,'TL08'!$J$10:$J$224),0),
IF('TL08'!$B$229=K$3,SUMIF('TL08'!$C$238:$C$451,$C142,'TL08'!$J$238:$J$451),0),
IF('TL09'!$B$3=K$3,SUMIF('TL09'!$C$10:$C$224,$C142,'TL09'!$J$10:$J$224),0),
IF('TL09'!$B$229=K$3,SUMIF('TL09'!$C$238:$C$451,$C142,'TL09'!$J$238:$J$451),0),
IF('TL10'!$B$3=K$3,SUMIF('TL10'!$C$10:$C$224,$C142,'TL10'!$J$10:$J$224),0),
IF('TL10'!$B$229=K$3,SUMIF('TL10'!$C$238:$C$451,$C142,'TL10'!$J$238:$J$451),0),
IF('TL11'!$B$3=K$3,SUMIF('TL11'!$C$10:$C$224,$C142,'TL11'!$J$10:$J$224),0),
IF('TL11'!$B$229=K$3,SUMIF('TL11'!$C$238:$C$451,$C142,'TL11'!$J$238:$J$451),0),
IF('TL12'!$B$3=K$3,SUMIF('TL12'!$C$10:$C$224,$C142,'TL12'!$J$10:$J$224),0),
IF('TL12'!$B$229=K$3,SUMIF('TL12'!$C$238:$C$451,$C142,'TL12'!$J$238:$J$451),0),
IF('TL13'!$B$3=K$3,SUMIF('TL13'!$C$10:$C$224,$C142,'TL13'!$J$10:$J$224),0),
IF('TL13'!$B$229=K$3,SUMIF('TL13'!$C$238:$C$451,$C142,'TL13'!$J$238:$J$451),0),
IF('TL14'!$B$3=K$3,SUMIF('TL14'!$C$10:$C$224,$C142,'TL14'!$J$10:$J$224),0),
IF('TL14'!$B$229=K$3,SUMIF('TL14'!$C$238:$C$451,$C142,'TL14'!$J$238:$J$451),0),
IF('TL15'!$B$3=K$3,SUMIF('TL15'!$C$10:$C$224,$C142,'TL15'!$J$10:$J$224),0),
IF('TL15'!$B$229=K$3,SUMIF('TL15'!$C$238:$C$451,$C142,'TL15'!$J$238:$J$451),0),
IF('TL16'!$B$3=K$3,SUMIF('TL16'!$C$10:$C$224,$C142,'TL16'!$J$10:$J$224),0),
IF('TL16'!$B$229=K$3,SUMIF('TL16'!$C$238:$C$451,$C142,'TL16'!$J$238:$J$451),0),
IF('TL17'!$B$3=K$3,SUMIF('TL17'!$C$10:$C$224,$C142,'TL17'!$J$10:$J$224),0),
IF('TL17'!$B$229=K$3,SUMIF('TL17'!$C$238:$C$451,$C142,'TL17'!$J$238:$J$451),0),
IF('TL18'!$B$3=K$3,SUMIF('TL18'!$C$10:$C$224,$C142,'TL18'!$J$10:$J$224),0),
IF('TL18'!$B$229=K$3,SUMIF('TL18'!$C$238:$C$451,$C142,'TL18'!$J$238:$J$451),0),
IF('TL19'!$B$3=K$3,SUMIF('TL19'!$C$10:$C$224,$C142,'TL19'!$J$10:$J$224),0),
IF('TL19'!$B$229=K$3,SUMIF('TL19'!$C$238:$C$451,$C142,'TL19'!$J$238:$J$451),0)
),0)</f>
        <v/>
      </c>
      <c r="L142" s="9">
        <f>IFERROR(SUM(
IF('TL01'!$B$3=L$3,SUMIF('TL01'!$C$10:$C$224,$C142,'TL01'!$J$10:$J$224),0),
IF('TL01'!$B$229=L$3,SUMIF('TL01'!$C$238:$C$451,$C142,'TL01'!$J$238:$J$451),0),
IF('TL02'!$B$3=L$3,SUMIF('TL02'!$C$10:$C$224,$C142,'TL02'!$J$10:$J$224),0),
IF('TL02'!$B$229=L$3,SUMIF('TL02'!$C$238:$C$451,$C142,'TL02'!$J$238:$J$451),0),
IF('TL03'!$B$3=L$3,SUMIF('TL03'!$C$10:$C$224,$C142,'TL03'!$J$10:$J$224),0),
IF('TL03'!$B$229=L$3,SUMIF('TL03'!$C$238:$C$451,$C142,'TL03'!$J$238:$J$451),0),
IF('TL04'!$B$3=L$3,SUMIF('TL04'!$C$10:$C$224,$C142,'TL04'!$J$10:$J$224),0),
IF('TL04'!$B$229=L$3,SUMIF('TL04'!$C$238:$C$451,$C142,'TL04'!$J$238:$J$451),0),
IF('TL05'!$B$3=L$3,SUMIF('TL05'!$C$10:$C$224,$C142,'TL05'!$J$10:$J$224),0),
IF('TL05'!$B$229=L$3,SUMIF('TL05'!$C$238:$C$451,$C142,'TL05'!$J$238:$J$451),0),
IF('TL06'!$B$3=L$3,SUMIF('TL06'!$C$10:$C$224,$C142,'TL06'!$J$10:$J$224),0),
IF('TL06'!$B$229=L$3,SUMIF('TL06'!$C$238:$C$451,$C142,'TL06'!$J$238:$J$451),0),
IF('TL07'!$B$3=L$3,SUMIF('TL07'!$C$10:$C$224,$C142,'TL07'!$J$10:$J$224),0),
IF('TL07'!$B$229=L$3,SUMIF('TL07'!$C$238:$C$451,$C142,'TL07'!$J$238:$J$451),0),
IF('TL08'!$B$3=L$3,SUMIF('TL08'!$C$10:$C$224,$C142,'TL08'!$J$10:$J$224),0),
IF('TL08'!$B$229=L$3,SUMIF('TL08'!$C$238:$C$451,$C142,'TL08'!$J$238:$J$451),0),
IF('TL09'!$B$3=L$3,SUMIF('TL09'!$C$10:$C$224,$C142,'TL09'!$J$10:$J$224),0),
IF('TL09'!$B$229=L$3,SUMIF('TL09'!$C$238:$C$451,$C142,'TL09'!$J$238:$J$451),0),
IF('TL10'!$B$3=L$3,SUMIF('TL10'!$C$10:$C$224,$C142,'TL10'!$J$10:$J$224),0),
IF('TL10'!$B$229=L$3,SUMIF('TL10'!$C$238:$C$451,$C142,'TL10'!$J$238:$J$451),0),
IF('TL11'!$B$3=L$3,SUMIF('TL11'!$C$10:$C$224,$C142,'TL11'!$J$10:$J$224),0),
IF('TL11'!$B$229=L$3,SUMIF('TL11'!$C$238:$C$451,$C142,'TL11'!$J$238:$J$451),0),
IF('TL12'!$B$3=L$3,SUMIF('TL12'!$C$10:$C$224,$C142,'TL12'!$J$10:$J$224),0),
IF('TL12'!$B$229=L$3,SUMIF('TL12'!$C$238:$C$451,$C142,'TL12'!$J$238:$J$451),0),
IF('TL13'!$B$3=L$3,SUMIF('TL13'!$C$10:$C$224,$C142,'TL13'!$J$10:$J$224),0),
IF('TL13'!$B$229=L$3,SUMIF('TL13'!$C$238:$C$451,$C142,'TL13'!$J$238:$J$451),0),
IF('TL14'!$B$3=L$3,SUMIF('TL14'!$C$10:$C$224,$C142,'TL14'!$J$10:$J$224),0),
IF('TL14'!$B$229=L$3,SUMIF('TL14'!$C$238:$C$451,$C142,'TL14'!$J$238:$J$451),0),
IF('TL15'!$B$3=L$3,SUMIF('TL15'!$C$10:$C$224,$C142,'TL15'!$J$10:$J$224),0),
IF('TL15'!$B$229=L$3,SUMIF('TL15'!$C$238:$C$451,$C142,'TL15'!$J$238:$J$451),0),
IF('TL16'!$B$3=L$3,SUMIF('TL16'!$C$10:$C$224,$C142,'TL16'!$J$10:$J$224),0),
IF('TL16'!$B$229=L$3,SUMIF('TL16'!$C$238:$C$451,$C142,'TL16'!$J$238:$J$451),0),
IF('TL17'!$B$3=L$3,SUMIF('TL17'!$C$10:$C$224,$C142,'TL17'!$J$10:$J$224),0),
IF('TL17'!$B$229=L$3,SUMIF('TL17'!$C$238:$C$451,$C142,'TL17'!$J$238:$J$451),0),
IF('TL18'!$B$3=L$3,SUMIF('TL18'!$C$10:$C$224,$C142,'TL18'!$J$10:$J$224),0),
IF('TL18'!$B$229=L$3,SUMIF('TL18'!$C$238:$C$451,$C142,'TL18'!$J$238:$J$451),0),
IF('TL19'!$B$3=L$3,SUMIF('TL19'!$C$10:$C$224,$C142,'TL19'!$J$10:$J$224),0),
IF('TL19'!$B$229=L$3,SUMIF('TL19'!$C$238:$C$451,$C142,'TL19'!$J$238:$J$451),0)
),0)</f>
        <v/>
      </c>
      <c r="M142" s="9">
        <f>IFERROR(SUM(
IF('TL01'!$B$3=M$3,SUMIF('TL01'!$C$10:$C$224,$C142,'TL01'!$J$10:$J$224),0),
IF('TL01'!$B$229=M$3,SUMIF('TL01'!$C$238:$C$451,$C142,'TL01'!$J$238:$J$451),0),
IF('TL02'!$B$3=M$3,SUMIF('TL02'!$C$10:$C$224,$C142,'TL02'!$J$10:$J$224),0),
IF('TL02'!$B$229=M$3,SUMIF('TL02'!$C$238:$C$451,$C142,'TL02'!$J$238:$J$451),0),
IF('TL03'!$B$3=M$3,SUMIF('TL03'!$C$10:$C$224,$C142,'TL03'!$J$10:$J$224),0),
IF('TL03'!$B$229=M$3,SUMIF('TL03'!$C$238:$C$451,$C142,'TL03'!$J$238:$J$451),0),
IF('TL04'!$B$3=M$3,SUMIF('TL04'!$C$10:$C$224,$C142,'TL04'!$J$10:$J$224),0),
IF('TL04'!$B$229=M$3,SUMIF('TL04'!$C$238:$C$451,$C142,'TL04'!$J$238:$J$451),0),
IF('TL05'!$B$3=M$3,SUMIF('TL05'!$C$10:$C$224,$C142,'TL05'!$J$10:$J$224),0),
IF('TL05'!$B$229=M$3,SUMIF('TL05'!$C$238:$C$451,$C142,'TL05'!$J$238:$J$451),0),
IF('TL06'!$B$3=M$3,SUMIF('TL06'!$C$10:$C$224,$C142,'TL06'!$J$10:$J$224),0),
IF('TL06'!$B$229=M$3,SUMIF('TL06'!$C$238:$C$451,$C142,'TL06'!$J$238:$J$451),0),
IF('TL07'!$B$3=M$3,SUMIF('TL07'!$C$10:$C$224,$C142,'TL07'!$J$10:$J$224),0),
IF('TL07'!$B$229=M$3,SUMIF('TL07'!$C$238:$C$451,$C142,'TL07'!$J$238:$J$451),0),
IF('TL08'!$B$3=M$3,SUMIF('TL08'!$C$10:$C$224,$C142,'TL08'!$J$10:$J$224),0),
IF('TL08'!$B$229=M$3,SUMIF('TL08'!$C$238:$C$451,$C142,'TL08'!$J$238:$J$451),0),
IF('TL09'!$B$3=M$3,SUMIF('TL09'!$C$10:$C$224,$C142,'TL09'!$J$10:$J$224),0),
IF('TL09'!$B$229=M$3,SUMIF('TL09'!$C$238:$C$451,$C142,'TL09'!$J$238:$J$451),0),
IF('TL10'!$B$3=M$3,SUMIF('TL10'!$C$10:$C$224,$C142,'TL10'!$J$10:$J$224),0),
IF('TL10'!$B$229=M$3,SUMIF('TL10'!$C$238:$C$451,$C142,'TL10'!$J$238:$J$451),0),
IF('TL11'!$B$3=M$3,SUMIF('TL11'!$C$10:$C$224,$C142,'TL11'!$J$10:$J$224),0),
IF('TL11'!$B$229=M$3,SUMIF('TL11'!$C$238:$C$451,$C142,'TL11'!$J$238:$J$451),0),
IF('TL12'!$B$3=M$3,SUMIF('TL12'!$C$10:$C$224,$C142,'TL12'!$J$10:$J$224),0),
IF('TL12'!$B$229=M$3,SUMIF('TL12'!$C$238:$C$451,$C142,'TL12'!$J$238:$J$451),0),
IF('TL13'!$B$3=M$3,SUMIF('TL13'!$C$10:$C$224,$C142,'TL13'!$J$10:$J$224),0),
IF('TL13'!$B$229=M$3,SUMIF('TL13'!$C$238:$C$451,$C142,'TL13'!$J$238:$J$451),0),
IF('TL14'!$B$3=M$3,SUMIF('TL14'!$C$10:$C$224,$C142,'TL14'!$J$10:$J$224),0),
IF('TL14'!$B$229=M$3,SUMIF('TL14'!$C$238:$C$451,$C142,'TL14'!$J$238:$J$451),0),
IF('TL15'!$B$3=M$3,SUMIF('TL15'!$C$10:$C$224,$C142,'TL15'!$J$10:$J$224),0),
IF('TL15'!$B$229=M$3,SUMIF('TL15'!$C$238:$C$451,$C142,'TL15'!$J$238:$J$451),0),
IF('TL16'!$B$3=M$3,SUMIF('TL16'!$C$10:$C$224,$C142,'TL16'!$J$10:$J$224),0),
IF('TL16'!$B$229=M$3,SUMIF('TL16'!$C$238:$C$451,$C142,'TL16'!$J$238:$J$451),0),
IF('TL17'!$B$3=M$3,SUMIF('TL17'!$C$10:$C$224,$C142,'TL17'!$J$10:$J$224),0),
IF('TL17'!$B$229=M$3,SUMIF('TL17'!$C$238:$C$451,$C142,'TL17'!$J$238:$J$451),0),
IF('TL18'!$B$3=M$3,SUMIF('TL18'!$C$10:$C$224,$C142,'TL18'!$J$10:$J$224),0),
IF('TL18'!$B$229=M$3,SUMIF('TL18'!$C$238:$C$451,$C142,'TL18'!$J$238:$J$451),0),
IF('TL19'!$B$3=M$3,SUMIF('TL19'!$C$10:$C$224,$C142,'TL19'!$J$10:$J$224),0),
IF('TL19'!$B$229=M$3,SUMIF('TL19'!$C$238:$C$451,$C142,'TL19'!$J$238:$J$451),0)
),0)</f>
        <v/>
      </c>
      <c r="N142" s="9">
        <f>IFERROR(SUM(
IF('TL01'!$B$3=N$3,SUMIF('TL01'!$C$10:$C$224,$C142,'TL01'!$J$10:$J$224),0),
IF('TL01'!$B$229=N$3,SUMIF('TL01'!$C$238:$C$451,$C142,'TL01'!$J$238:$J$451),0),
IF('TL02'!$B$3=N$3,SUMIF('TL02'!$C$10:$C$224,$C142,'TL02'!$J$10:$J$224),0),
IF('TL02'!$B$229=N$3,SUMIF('TL02'!$C$238:$C$451,$C142,'TL02'!$J$238:$J$451),0),
IF('TL03'!$B$3=N$3,SUMIF('TL03'!$C$10:$C$224,$C142,'TL03'!$J$10:$J$224),0),
IF('TL03'!$B$229=N$3,SUMIF('TL03'!$C$238:$C$451,$C142,'TL03'!$J$238:$J$451),0),
IF('TL04'!$B$3=N$3,SUMIF('TL04'!$C$10:$C$224,$C142,'TL04'!$J$10:$J$224),0),
IF('TL04'!$B$229=N$3,SUMIF('TL04'!$C$238:$C$451,$C142,'TL04'!$J$238:$J$451),0),
IF('TL05'!$B$3=N$3,SUMIF('TL05'!$C$10:$C$224,$C142,'TL05'!$J$10:$J$224),0),
IF('TL05'!$B$229=N$3,SUMIF('TL05'!$C$238:$C$451,$C142,'TL05'!$J$238:$J$451),0),
IF('TL06'!$B$3=N$3,SUMIF('TL06'!$C$10:$C$224,$C142,'TL06'!$J$10:$J$224),0),
IF('TL06'!$B$229=N$3,SUMIF('TL06'!$C$238:$C$451,$C142,'TL06'!$J$238:$J$451),0),
IF('TL07'!$B$3=N$3,SUMIF('TL07'!$C$10:$C$224,$C142,'TL07'!$J$10:$J$224),0),
IF('TL07'!$B$229=N$3,SUMIF('TL07'!$C$238:$C$451,$C142,'TL07'!$J$238:$J$451),0),
IF('TL08'!$B$3=N$3,SUMIF('TL08'!$C$10:$C$224,$C142,'TL08'!$J$10:$J$224),0),
IF('TL08'!$B$229=N$3,SUMIF('TL08'!$C$238:$C$451,$C142,'TL08'!$J$238:$J$451),0),
IF('TL09'!$B$3=N$3,SUMIF('TL09'!$C$10:$C$224,$C142,'TL09'!$J$10:$J$224),0),
IF('TL09'!$B$229=N$3,SUMIF('TL09'!$C$238:$C$451,$C142,'TL09'!$J$238:$J$451),0),
IF('TL10'!$B$3=N$3,SUMIF('TL10'!$C$10:$C$224,$C142,'TL10'!$J$10:$J$224),0),
IF('TL10'!$B$229=N$3,SUMIF('TL10'!$C$238:$C$451,$C142,'TL10'!$J$238:$J$451),0),
IF('TL11'!$B$3=N$3,SUMIF('TL11'!$C$10:$C$224,$C142,'TL11'!$J$10:$J$224),0),
IF('TL11'!$B$229=N$3,SUMIF('TL11'!$C$238:$C$451,$C142,'TL11'!$J$238:$J$451),0),
IF('TL12'!$B$3=N$3,SUMIF('TL12'!$C$10:$C$224,$C142,'TL12'!$J$10:$J$224),0),
IF('TL12'!$B$229=N$3,SUMIF('TL12'!$C$238:$C$451,$C142,'TL12'!$J$238:$J$451),0),
IF('TL13'!$B$3=N$3,SUMIF('TL13'!$C$10:$C$224,$C142,'TL13'!$J$10:$J$224),0),
IF('TL13'!$B$229=N$3,SUMIF('TL13'!$C$238:$C$451,$C142,'TL13'!$J$238:$J$451),0),
IF('TL14'!$B$3=N$3,SUMIF('TL14'!$C$10:$C$224,$C142,'TL14'!$J$10:$J$224),0),
IF('TL14'!$B$229=N$3,SUMIF('TL14'!$C$238:$C$451,$C142,'TL14'!$J$238:$J$451),0),
IF('TL15'!$B$3=N$3,SUMIF('TL15'!$C$10:$C$224,$C142,'TL15'!$J$10:$J$224),0),
IF('TL15'!$B$229=N$3,SUMIF('TL15'!$C$238:$C$451,$C142,'TL15'!$J$238:$J$451),0),
IF('TL16'!$B$3=N$3,SUMIF('TL16'!$C$10:$C$224,$C142,'TL16'!$J$10:$J$224),0),
IF('TL16'!$B$229=N$3,SUMIF('TL16'!$C$238:$C$451,$C142,'TL16'!$J$238:$J$451),0),
IF('TL17'!$B$3=N$3,SUMIF('TL17'!$C$10:$C$224,$C142,'TL17'!$J$10:$J$224),0),
IF('TL17'!$B$229=N$3,SUMIF('TL17'!$C$238:$C$451,$C142,'TL17'!$J$238:$J$451),0),
IF('TL18'!$B$3=N$3,SUMIF('TL18'!$C$10:$C$224,$C142,'TL18'!$J$10:$J$224),0),
IF('TL18'!$B$229=N$3,SUMIF('TL18'!$C$238:$C$451,$C142,'TL18'!$J$238:$J$451),0),
IF('TL19'!$B$3=N$3,SUMIF('TL19'!$C$10:$C$224,$C142,'TL19'!$J$10:$J$224),0),
IF('TL19'!$B$229=N$3,SUMIF('TL19'!$C$238:$C$451,$C142,'TL19'!$J$238:$J$451),0)
),0)</f>
        <v/>
      </c>
      <c r="O142" s="9">
        <f>IFERROR(SUM(
IF('TL01'!$B$3=O$3,SUMIF('TL01'!$C$10:$C$224,$C142,'TL01'!$J$10:$J$224),0),
IF('TL01'!$B$229=O$3,SUMIF('TL01'!$C$238:$C$451,$C142,'TL01'!$J$238:$J$451),0),
IF('TL02'!$B$3=O$3,SUMIF('TL02'!$C$10:$C$224,$C142,'TL02'!$J$10:$J$224),0),
IF('TL02'!$B$229=O$3,SUMIF('TL02'!$C$238:$C$451,$C142,'TL02'!$J$238:$J$451),0),
IF('TL03'!$B$3=O$3,SUMIF('TL03'!$C$10:$C$224,$C142,'TL03'!$J$10:$J$224),0),
IF('TL03'!$B$229=O$3,SUMIF('TL03'!$C$238:$C$451,$C142,'TL03'!$J$238:$J$451),0),
IF('TL04'!$B$3=O$3,SUMIF('TL04'!$C$10:$C$224,$C142,'TL04'!$J$10:$J$224),0),
IF('TL04'!$B$229=O$3,SUMIF('TL04'!$C$238:$C$451,$C142,'TL04'!$J$238:$J$451),0),
IF('TL05'!$B$3=O$3,SUMIF('TL05'!$C$10:$C$224,$C142,'TL05'!$J$10:$J$224),0),
IF('TL05'!$B$229=O$3,SUMIF('TL05'!$C$238:$C$451,$C142,'TL05'!$J$238:$J$451),0),
IF('TL06'!$B$3=O$3,SUMIF('TL06'!$C$10:$C$224,$C142,'TL06'!$J$10:$J$224),0),
IF('TL06'!$B$229=O$3,SUMIF('TL06'!$C$238:$C$451,$C142,'TL06'!$J$238:$J$451),0),
IF('TL07'!$B$3=O$3,SUMIF('TL07'!$C$10:$C$224,$C142,'TL07'!$J$10:$J$224),0),
IF('TL07'!$B$229=O$3,SUMIF('TL07'!$C$238:$C$451,$C142,'TL07'!$J$238:$J$451),0),
IF('TL08'!$B$3=O$3,SUMIF('TL08'!$C$10:$C$224,$C142,'TL08'!$J$10:$J$224),0),
IF('TL08'!$B$229=O$3,SUMIF('TL08'!$C$238:$C$451,$C142,'TL08'!$J$238:$J$451),0),
IF('TL09'!$B$3=O$3,SUMIF('TL09'!$C$10:$C$224,$C142,'TL09'!$J$10:$J$224),0),
IF('TL09'!$B$229=O$3,SUMIF('TL09'!$C$238:$C$451,$C142,'TL09'!$J$238:$J$451),0),
IF('TL10'!$B$3=O$3,SUMIF('TL10'!$C$10:$C$224,$C142,'TL10'!$J$10:$J$224),0),
IF('TL10'!$B$229=O$3,SUMIF('TL10'!$C$238:$C$451,$C142,'TL10'!$J$238:$J$451),0),
IF('TL11'!$B$3=O$3,SUMIF('TL11'!$C$10:$C$224,$C142,'TL11'!$J$10:$J$224),0),
IF('TL11'!$B$229=O$3,SUMIF('TL11'!$C$238:$C$451,$C142,'TL11'!$J$238:$J$451),0),
IF('TL12'!$B$3=O$3,SUMIF('TL12'!$C$10:$C$224,$C142,'TL12'!$J$10:$J$224),0),
IF('TL12'!$B$229=O$3,SUMIF('TL12'!$C$238:$C$451,$C142,'TL12'!$J$238:$J$451),0),
IF('TL13'!$B$3=O$3,SUMIF('TL13'!$C$10:$C$224,$C142,'TL13'!$J$10:$J$224),0),
IF('TL13'!$B$229=O$3,SUMIF('TL13'!$C$238:$C$451,$C142,'TL13'!$J$238:$J$451),0),
IF('TL14'!$B$3=O$3,SUMIF('TL14'!$C$10:$C$224,$C142,'TL14'!$J$10:$J$224),0),
IF('TL14'!$B$229=O$3,SUMIF('TL14'!$C$238:$C$451,$C142,'TL14'!$J$238:$J$451),0),
IF('TL15'!$B$3=O$3,SUMIF('TL15'!$C$10:$C$224,$C142,'TL15'!$J$10:$J$224),0),
IF('TL15'!$B$229=O$3,SUMIF('TL15'!$C$238:$C$451,$C142,'TL15'!$J$238:$J$451),0),
IF('TL16'!$B$3=O$3,SUMIF('TL16'!$C$10:$C$224,$C142,'TL16'!$J$10:$J$224),0),
IF('TL16'!$B$229=O$3,SUMIF('TL16'!$C$238:$C$451,$C142,'TL16'!$J$238:$J$451),0),
IF('TL17'!$B$3=O$3,SUMIF('TL17'!$C$10:$C$224,$C142,'TL17'!$J$10:$J$224),0),
IF('TL17'!$B$229=O$3,SUMIF('TL17'!$C$238:$C$451,$C142,'TL17'!$J$238:$J$451),0),
IF('TL18'!$B$3=O$3,SUMIF('TL18'!$C$10:$C$224,$C142,'TL18'!$J$10:$J$224),0),
IF('TL18'!$B$229=O$3,SUMIF('TL18'!$C$238:$C$451,$C142,'TL18'!$J$238:$J$451),0),
IF('TL19'!$B$3=O$3,SUMIF('TL19'!$C$10:$C$224,$C142,'TL19'!$J$10:$J$224),0),
IF('TL19'!$B$229=O$3,SUMIF('TL19'!$C$238:$C$451,$C142,'TL19'!$J$238:$J$451),0)
),0)</f>
        <v/>
      </c>
      <c r="P142" s="9">
        <f>IFERROR(SUM(
IF('TL01'!$B$3=P$3,SUMIF('TL01'!$C$10:$C$224,$C142,'TL01'!$J$10:$J$224),0),
IF('TL01'!$B$229=P$3,SUMIF('TL01'!$C$238:$C$451,$C142,'TL01'!$J$238:$J$451),0),
IF('TL02'!$B$3=P$3,SUMIF('TL02'!$C$10:$C$224,$C142,'TL02'!$J$10:$J$224),0),
IF('TL02'!$B$229=P$3,SUMIF('TL02'!$C$238:$C$451,$C142,'TL02'!$J$238:$J$451),0),
IF('TL03'!$B$3=P$3,SUMIF('TL03'!$C$10:$C$224,$C142,'TL03'!$J$10:$J$224),0),
IF('TL03'!$B$229=P$3,SUMIF('TL03'!$C$238:$C$451,$C142,'TL03'!$J$238:$J$451),0),
IF('TL04'!$B$3=P$3,SUMIF('TL04'!$C$10:$C$224,$C142,'TL04'!$J$10:$J$224),0),
IF('TL04'!$B$229=P$3,SUMIF('TL04'!$C$238:$C$451,$C142,'TL04'!$J$238:$J$451),0),
IF('TL05'!$B$3=P$3,SUMIF('TL05'!$C$10:$C$224,$C142,'TL05'!$J$10:$J$224),0),
IF('TL05'!$B$229=P$3,SUMIF('TL05'!$C$238:$C$451,$C142,'TL05'!$J$238:$J$451),0),
IF('TL06'!$B$3=P$3,SUMIF('TL06'!$C$10:$C$224,$C142,'TL06'!$J$10:$J$224),0),
IF('TL06'!$B$229=P$3,SUMIF('TL06'!$C$238:$C$451,$C142,'TL06'!$J$238:$J$451),0),
IF('TL07'!$B$3=P$3,SUMIF('TL07'!$C$10:$C$224,$C142,'TL07'!$J$10:$J$224),0),
IF('TL07'!$B$229=P$3,SUMIF('TL07'!$C$238:$C$451,$C142,'TL07'!$J$238:$J$451),0),
IF('TL08'!$B$3=P$3,SUMIF('TL08'!$C$10:$C$224,$C142,'TL08'!$J$10:$J$224),0),
IF('TL08'!$B$229=P$3,SUMIF('TL08'!$C$238:$C$451,$C142,'TL08'!$J$238:$J$451),0),
IF('TL09'!$B$3=P$3,SUMIF('TL09'!$C$10:$C$224,$C142,'TL09'!$J$10:$J$224),0),
IF('TL09'!$B$229=P$3,SUMIF('TL09'!$C$238:$C$451,$C142,'TL09'!$J$238:$J$451),0),
IF('TL10'!$B$3=P$3,SUMIF('TL10'!$C$10:$C$224,$C142,'TL10'!$J$10:$J$224),0),
IF('TL10'!$B$229=P$3,SUMIF('TL10'!$C$238:$C$451,$C142,'TL10'!$J$238:$J$451),0),
IF('TL11'!$B$3=P$3,SUMIF('TL11'!$C$10:$C$224,$C142,'TL11'!$J$10:$J$224),0),
IF('TL11'!$B$229=P$3,SUMIF('TL11'!$C$238:$C$451,$C142,'TL11'!$J$238:$J$451),0),
IF('TL12'!$B$3=P$3,SUMIF('TL12'!$C$10:$C$224,$C142,'TL12'!$J$10:$J$224),0),
IF('TL12'!$B$229=P$3,SUMIF('TL12'!$C$238:$C$451,$C142,'TL12'!$J$238:$J$451),0),
IF('TL13'!$B$3=P$3,SUMIF('TL13'!$C$10:$C$224,$C142,'TL13'!$J$10:$J$224),0),
IF('TL13'!$B$229=P$3,SUMIF('TL13'!$C$238:$C$451,$C142,'TL13'!$J$238:$J$451),0),
IF('TL14'!$B$3=P$3,SUMIF('TL14'!$C$10:$C$224,$C142,'TL14'!$J$10:$J$224),0),
IF('TL14'!$B$229=P$3,SUMIF('TL14'!$C$238:$C$451,$C142,'TL14'!$J$238:$J$451),0),
IF('TL15'!$B$3=P$3,SUMIF('TL15'!$C$10:$C$224,$C142,'TL15'!$J$10:$J$224),0),
IF('TL15'!$B$229=P$3,SUMIF('TL15'!$C$238:$C$451,$C142,'TL15'!$J$238:$J$451),0),
IF('TL16'!$B$3=P$3,SUMIF('TL16'!$C$10:$C$224,$C142,'TL16'!$J$10:$J$224),0),
IF('TL16'!$B$229=P$3,SUMIF('TL16'!$C$238:$C$451,$C142,'TL16'!$J$238:$J$451),0),
IF('TL17'!$B$3=P$3,SUMIF('TL17'!$C$10:$C$224,$C142,'TL17'!$J$10:$J$224),0),
IF('TL17'!$B$229=P$3,SUMIF('TL17'!$C$238:$C$451,$C142,'TL17'!$J$238:$J$451),0),
IF('TL18'!$B$3=P$3,SUMIF('TL18'!$C$10:$C$224,$C142,'TL18'!$J$10:$J$224),0),
IF('TL18'!$B$229=P$3,SUMIF('TL18'!$C$238:$C$451,$C142,'TL18'!$J$238:$J$451),0),
IF('TL19'!$B$3=P$3,SUMIF('TL19'!$C$10:$C$224,$C142,'TL19'!$J$10:$J$224),0),
IF('TL19'!$B$229=P$3,SUMIF('TL19'!$C$238:$C$451,$C142,'TL19'!$J$238:$J$451),0)
),0)</f>
        <v/>
      </c>
      <c r="Q142" s="9">
        <f>IFERROR(SUM(
IF('TL01'!$B$3=Q$3,SUMIF('TL01'!$C$10:$C$224,$C142,'TL01'!$J$10:$J$224),0),
IF('TL01'!$B$229=Q$3,SUMIF('TL01'!$C$238:$C$451,$C142,'TL01'!$J$238:$J$451),0),
IF('TL02'!$B$3=Q$3,SUMIF('TL02'!$C$10:$C$224,$C142,'TL02'!$J$10:$J$224),0),
IF('TL02'!$B$229=Q$3,SUMIF('TL02'!$C$238:$C$451,$C142,'TL02'!$J$238:$J$451),0),
IF('TL03'!$B$3=Q$3,SUMIF('TL03'!$C$10:$C$224,$C142,'TL03'!$J$10:$J$224),0),
IF('TL03'!$B$229=Q$3,SUMIF('TL03'!$C$238:$C$451,$C142,'TL03'!$J$238:$J$451),0),
IF('TL04'!$B$3=Q$3,SUMIF('TL04'!$C$10:$C$224,$C142,'TL04'!$J$10:$J$224),0),
IF('TL04'!$B$229=Q$3,SUMIF('TL04'!$C$238:$C$451,$C142,'TL04'!$J$238:$J$451),0),
IF('TL05'!$B$3=Q$3,SUMIF('TL05'!$C$10:$C$224,$C142,'TL05'!$J$10:$J$224),0),
IF('TL05'!$B$229=Q$3,SUMIF('TL05'!$C$238:$C$451,$C142,'TL05'!$J$238:$J$451),0),
IF('TL06'!$B$3=Q$3,SUMIF('TL06'!$C$10:$C$224,$C142,'TL06'!$J$10:$J$224),0),
IF('TL06'!$B$229=Q$3,SUMIF('TL06'!$C$238:$C$451,$C142,'TL06'!$J$238:$J$451),0),
IF('TL07'!$B$3=Q$3,SUMIF('TL07'!$C$10:$C$224,$C142,'TL07'!$J$10:$J$224),0),
IF('TL07'!$B$229=Q$3,SUMIF('TL07'!$C$238:$C$451,$C142,'TL07'!$J$238:$J$451),0),
IF('TL08'!$B$3=Q$3,SUMIF('TL08'!$C$10:$C$224,$C142,'TL08'!$J$10:$J$224),0),
IF('TL08'!$B$229=Q$3,SUMIF('TL08'!$C$238:$C$451,$C142,'TL08'!$J$238:$J$451),0),
IF('TL09'!$B$3=Q$3,SUMIF('TL09'!$C$10:$C$224,$C142,'TL09'!$J$10:$J$224),0),
IF('TL09'!$B$229=Q$3,SUMIF('TL09'!$C$238:$C$451,$C142,'TL09'!$J$238:$J$451),0),
IF('TL10'!$B$3=Q$3,SUMIF('TL10'!$C$10:$C$224,$C142,'TL10'!$J$10:$J$224),0),
IF('TL10'!$B$229=Q$3,SUMIF('TL10'!$C$238:$C$451,$C142,'TL10'!$J$238:$J$451),0),
IF('TL11'!$B$3=Q$3,SUMIF('TL11'!$C$10:$C$224,$C142,'TL11'!$J$10:$J$224),0),
IF('TL11'!$B$229=Q$3,SUMIF('TL11'!$C$238:$C$451,$C142,'TL11'!$J$238:$J$451),0),
IF('TL12'!$B$3=Q$3,SUMIF('TL12'!$C$10:$C$224,$C142,'TL12'!$J$10:$J$224),0),
IF('TL12'!$B$229=Q$3,SUMIF('TL12'!$C$238:$C$451,$C142,'TL12'!$J$238:$J$451),0),
IF('TL13'!$B$3=Q$3,SUMIF('TL13'!$C$10:$C$224,$C142,'TL13'!$J$10:$J$224),0),
IF('TL13'!$B$229=Q$3,SUMIF('TL13'!$C$238:$C$451,$C142,'TL13'!$J$238:$J$451),0),
IF('TL14'!$B$3=Q$3,SUMIF('TL14'!$C$10:$C$224,$C142,'TL14'!$J$10:$J$224),0),
IF('TL14'!$B$229=Q$3,SUMIF('TL14'!$C$238:$C$451,$C142,'TL14'!$J$238:$J$451),0),
IF('TL15'!$B$3=Q$3,SUMIF('TL15'!$C$10:$C$224,$C142,'TL15'!$J$10:$J$224),0),
IF('TL15'!$B$229=Q$3,SUMIF('TL15'!$C$238:$C$451,$C142,'TL15'!$J$238:$J$451),0),
IF('TL16'!$B$3=Q$3,SUMIF('TL16'!$C$10:$C$224,$C142,'TL16'!$J$10:$J$224),0),
IF('TL16'!$B$229=Q$3,SUMIF('TL16'!$C$238:$C$451,$C142,'TL16'!$J$238:$J$451),0),
IF('TL17'!$B$3=Q$3,SUMIF('TL17'!$C$10:$C$224,$C142,'TL17'!$J$10:$J$224),0),
IF('TL17'!$B$229=Q$3,SUMIF('TL17'!$C$238:$C$451,$C142,'TL17'!$J$238:$J$451),0),
IF('TL18'!$B$3=Q$3,SUMIF('TL18'!$C$10:$C$224,$C142,'TL18'!$J$10:$J$224),0),
IF('TL18'!$B$229=Q$3,SUMIF('TL18'!$C$238:$C$451,$C142,'TL18'!$J$238:$J$451),0),
IF('TL19'!$B$3=Q$3,SUMIF('TL19'!$C$10:$C$224,$C142,'TL19'!$J$10:$J$224),0),
IF('TL19'!$B$229=Q$3,SUMIF('TL19'!$C$238:$C$451,$C142,'TL19'!$J$238:$J$451),0)
),0)</f>
        <v/>
      </c>
      <c r="R142" s="9">
        <f>IFERROR(
SUM(
SUMIF('TL01'!C:C,C142,'TL01'!J:J),
SUMIF('TL02'!C:C,C142,'TL02'!J:J),
SUMIF('TL03'!C:C,C142,'TL03'!J:J),
SUMIF('TL04'!C:C,C142,'TL04'!J:J),
SUMIF('TL05'!C:C,C142,'TL05'!J:J),
SUMIF('TL06'!C:C,C142,'TL06'!J:J),
SUMIF('TL07'!C:C,C142,'TL07'!J:J),
SUMIF('TL08'!C:C,C142,'TL08'!J:J),
SUMIF('TL09'!C:C,C142,'TL09'!J:J),
SUMIF('TL10'!C:C,C142,'TL10'!J:J),
SUMIF('TL11'!C:C,C142,'TL11'!J:J),
SUMIF('TL12'!C:C,C142,'TL12'!J:J),
SUMIF('TL13'!C:C,C142,'TL13'!J:J),
SUMIF('TL14'!C:C,C142,'TL14'!J:J),
SUMIF('TL15'!C:C,C142,'TL15'!J:J),
SUMIF('TL16'!C:C,C142,'TL16'!J:J),
SUMIF('TL17'!C:C,C142,'TL17'!J:J),
SUMIF('TL18'!C:C,C142,'TL18'!J:J),SUMIF('TL19'!C:C,C142,'TL19'!J:J))
,0)</f>
        <v/>
      </c>
      <c r="S142" s="17">
        <f>IFERROR(__xludf.DUMMYFUNCTION("IFERROR(VLOOKUP(C142,
IMPORTRANGE(""1wULbzX32WdYsx-lj2U3uUNBBe2INVIRDtcK0d-Dvl90"",
""26-27!C:G""),
5,
FALSE),
"""")"),93.55148)</f>
        <v/>
      </c>
      <c r="T142" s="9" t="n"/>
      <c r="U142" s="92">
        <f>MAX(0,R142-T142)</f>
        <v/>
      </c>
      <c r="V142" s="93">
        <f>U142*S142</f>
        <v/>
      </c>
    </row>
    <row r="143" hidden="1" ht="15.75" customHeight="1" s="297">
      <c r="A143" s="111" t="inlineStr">
        <is>
          <t>FMC</t>
        </is>
      </c>
      <c r="B143" s="112" t="inlineStr">
        <is>
          <t>HERBICIDA</t>
        </is>
      </c>
      <c r="C143" s="113" t="inlineStr">
        <is>
          <t>REATOR 360 CS</t>
        </is>
      </c>
      <c r="D143" s="113" t="inlineStr">
        <is>
          <t>CLOMAZONA</t>
        </is>
      </c>
      <c r="E143" s="113" t="n">
        <v>360</v>
      </c>
      <c r="F143" s="4" t="inlineStr">
        <is>
          <t>L</t>
        </is>
      </c>
      <c r="G143" s="90">
        <f>HYPERLINK("https://www.google.com/search?q=" &amp; C143 &amp; "+bula+agrofit+pdf", "📄 Ver bula")</f>
        <v/>
      </c>
      <c r="H143" s="9">
        <f>IFERROR(__xludf.DUMMYFUNCTION("IFERROR(VLOOKUP(C143,
IMPORTRANGE(""1wULbzX32WdYsx-lj2U3uUNBBe2INVIRDtcK0d-Dvl90"",
""26-27!C:K""),
8,
FALSE),
"""")"),1.0)</f>
        <v/>
      </c>
      <c r="I143" s="114" t="inlineStr">
        <is>
          <t>1x20</t>
        </is>
      </c>
      <c r="J143" s="9">
        <f>IFERROR(SUM(
IF('TL01'!$B$3=J$3,SUMIF('TL01'!$C$10:$C$224,$C143,'TL01'!$J$10:$J$224),0),
IF('TL01'!$B$229=J$3,SUMIF('TL01'!$C$238:$C$451,$C143,'TL01'!$J$238:$J$451),0),
IF('TL02'!$B$3=J$3,SUMIF('TL02'!$C$10:$C$224,$C143,'TL02'!$J$10:$J$224),0),
IF('TL02'!$B$229=J$3,SUMIF('TL02'!$C$238:$C$451,$C143,'TL02'!$J$238:$J$451),0),
IF('TL03'!$B$3=J$3,SUMIF('TL03'!$C$10:$C$224,$C143,'TL03'!$J$10:$J$224),0),
IF('TL03'!$B$229=J$3,SUMIF('TL03'!$C$238:$C$451,$C143,'TL03'!$J$238:$J$451),0),
IF('TL04'!$B$3=J$3,SUMIF('TL04'!$C$10:$C$224,$C143,'TL04'!$J$10:$J$224),0),
IF('TL04'!$B$229=J$3,SUMIF('TL04'!$C$238:$C$451,$C143,'TL04'!$J$238:$J$451),0),
IF('TL05'!$B$3=J$3,SUMIF('TL05'!$C$10:$C$224,$C143,'TL05'!$J$10:$J$224),0),
IF('TL05'!$B$229=J$3,SUMIF('TL05'!$C$238:$C$451,$C143,'TL05'!$J$238:$J$451),0),
IF('TL06'!$B$3=J$3,SUMIF('TL06'!$C$10:$C$224,$C143,'TL06'!$J$10:$J$224),0),
IF('TL06'!$B$229=J$3,SUMIF('TL06'!$C$238:$C$451,$C143,'TL06'!$J$238:$J$451),0),
IF('TL07'!$B$3=J$3,SUMIF('TL07'!$C$10:$C$224,$C143,'TL07'!$J$10:$J$224),0),
IF('TL07'!$B$229=J$3,SUMIF('TL07'!$C$238:$C$451,$C143,'TL07'!$J$238:$J$451),0),
IF('TL08'!$B$3=J$3,SUMIF('TL08'!$C$10:$C$224,$C143,'TL08'!$J$10:$J$224),0),
IF('TL08'!$B$229=J$3,SUMIF('TL08'!$C$238:$C$451,$C143,'TL08'!$J$238:$J$451),0),
IF('TL09'!$B$3=J$3,SUMIF('TL09'!$C$10:$C$224,$C143,'TL09'!$J$10:$J$224),0),
IF('TL09'!$B$229=J$3,SUMIF('TL09'!$C$238:$C$451,$C143,'TL09'!$J$238:$J$451),0),
IF('TL10'!$B$3=J$3,SUMIF('TL10'!$C$10:$C$224,$C143,'TL10'!$J$10:$J$224),0),
IF('TL10'!$B$229=J$3,SUMIF('TL10'!$C$238:$C$451,$C143,'TL10'!$J$238:$J$451),0),
IF('TL11'!$B$3=J$3,SUMIF('TL11'!$C$10:$C$224,$C143,'TL11'!$J$10:$J$224),0),
IF('TL11'!$B$229=J$3,SUMIF('TL11'!$C$238:$C$451,$C143,'TL11'!$J$238:$J$451),0),
IF('TL12'!$B$3=J$3,SUMIF('TL12'!$C$10:$C$224,$C143,'TL12'!$J$10:$J$224),0),
IF('TL12'!$B$229=J$3,SUMIF('TL12'!$C$238:$C$451,$C143,'TL12'!$J$238:$J$451),0),
IF('TL13'!$B$3=J$3,SUMIF('TL13'!$C$10:$C$224,$C143,'TL13'!$J$10:$J$224),0),
IF('TL13'!$B$229=J$3,SUMIF('TL13'!$C$238:$C$451,$C143,'TL13'!$J$238:$J$451),0),
IF('TL14'!$B$3=J$3,SUMIF('TL14'!$C$10:$C$224,$C143,'TL14'!$J$10:$J$224),0),
IF('TL14'!$B$229=J$3,SUMIF('TL14'!$C$238:$C$451,$C143,'TL14'!$J$238:$J$451),0),
IF('TL15'!$B$3=J$3,SUMIF('TL15'!$C$10:$C$224,$C143,'TL15'!$J$10:$J$224),0),
IF('TL15'!$B$229=J$3,SUMIF('TL15'!$C$238:$C$451,$C143,'TL15'!$J$238:$J$451),0),
IF('TL16'!$B$3=J$3,SUMIF('TL16'!$C$10:$C$224,$C143,'TL16'!$J$10:$J$224),0),
IF('TL16'!$B$229=J$3,SUMIF('TL16'!$C$238:$C$451,$C143,'TL16'!$J$238:$J$451),0),
IF('TL17'!$B$3=J$3,SUMIF('TL17'!$C$10:$C$224,$C143,'TL17'!$J$10:$J$224),0),
IF('TL17'!$B$229=J$3,SUMIF('TL17'!$C$238:$C$451,$C143,'TL17'!$J$238:$J$451),0),
IF('TL18'!$B$3=J$3,SUMIF('TL18'!$C$10:$C$224,$C143,'TL18'!$J$10:$J$224),0),
IF('TL18'!$B$229=J$3,SUMIF('TL18'!$C$238:$C$451,$C143,'TL18'!$J$238:$J$451),0),
IF('TL19'!$B$3=J$3,SUMIF('TL19'!$C$10:$C$224,$C143,'TL19'!$J$10:$J$224),0),
IF('TL19'!$B$229=J$3,SUMIF('TL19'!$C$238:$C$451,$C143,'TL19'!$J$238:$J$451),0)
),0)</f>
        <v/>
      </c>
      <c r="K143" s="9">
        <f>IFERROR(SUM(
IF('TL01'!$B$3=K$3,SUMIF('TL01'!$C$10:$C$224,$C143,'TL01'!$J$10:$J$224),0),
IF('TL01'!$B$229=K$3,SUMIF('TL01'!$C$238:$C$451,$C143,'TL01'!$J$238:$J$451),0),
IF('TL02'!$B$3=K$3,SUMIF('TL02'!$C$10:$C$224,$C143,'TL02'!$J$10:$J$224),0),
IF('TL02'!$B$229=K$3,SUMIF('TL02'!$C$238:$C$451,$C143,'TL02'!$J$238:$J$451),0),
IF('TL03'!$B$3=K$3,SUMIF('TL03'!$C$10:$C$224,$C143,'TL03'!$J$10:$J$224),0),
IF('TL03'!$B$229=K$3,SUMIF('TL03'!$C$238:$C$451,$C143,'TL03'!$J$238:$J$451),0),
IF('TL04'!$B$3=K$3,SUMIF('TL04'!$C$10:$C$224,$C143,'TL04'!$J$10:$J$224),0),
IF('TL04'!$B$229=K$3,SUMIF('TL04'!$C$238:$C$451,$C143,'TL04'!$J$238:$J$451),0),
IF('TL05'!$B$3=K$3,SUMIF('TL05'!$C$10:$C$224,$C143,'TL05'!$J$10:$J$224),0),
IF('TL05'!$B$229=K$3,SUMIF('TL05'!$C$238:$C$451,$C143,'TL05'!$J$238:$J$451),0),
IF('TL06'!$B$3=K$3,SUMIF('TL06'!$C$10:$C$224,$C143,'TL06'!$J$10:$J$224),0),
IF('TL06'!$B$229=K$3,SUMIF('TL06'!$C$238:$C$451,$C143,'TL06'!$J$238:$J$451),0),
IF('TL07'!$B$3=K$3,SUMIF('TL07'!$C$10:$C$224,$C143,'TL07'!$J$10:$J$224),0),
IF('TL07'!$B$229=K$3,SUMIF('TL07'!$C$238:$C$451,$C143,'TL07'!$J$238:$J$451),0),
IF('TL08'!$B$3=K$3,SUMIF('TL08'!$C$10:$C$224,$C143,'TL08'!$J$10:$J$224),0),
IF('TL08'!$B$229=K$3,SUMIF('TL08'!$C$238:$C$451,$C143,'TL08'!$J$238:$J$451),0),
IF('TL09'!$B$3=K$3,SUMIF('TL09'!$C$10:$C$224,$C143,'TL09'!$J$10:$J$224),0),
IF('TL09'!$B$229=K$3,SUMIF('TL09'!$C$238:$C$451,$C143,'TL09'!$J$238:$J$451),0),
IF('TL10'!$B$3=K$3,SUMIF('TL10'!$C$10:$C$224,$C143,'TL10'!$J$10:$J$224),0),
IF('TL10'!$B$229=K$3,SUMIF('TL10'!$C$238:$C$451,$C143,'TL10'!$J$238:$J$451),0),
IF('TL11'!$B$3=K$3,SUMIF('TL11'!$C$10:$C$224,$C143,'TL11'!$J$10:$J$224),0),
IF('TL11'!$B$229=K$3,SUMIF('TL11'!$C$238:$C$451,$C143,'TL11'!$J$238:$J$451),0),
IF('TL12'!$B$3=K$3,SUMIF('TL12'!$C$10:$C$224,$C143,'TL12'!$J$10:$J$224),0),
IF('TL12'!$B$229=K$3,SUMIF('TL12'!$C$238:$C$451,$C143,'TL12'!$J$238:$J$451),0),
IF('TL13'!$B$3=K$3,SUMIF('TL13'!$C$10:$C$224,$C143,'TL13'!$J$10:$J$224),0),
IF('TL13'!$B$229=K$3,SUMIF('TL13'!$C$238:$C$451,$C143,'TL13'!$J$238:$J$451),0),
IF('TL14'!$B$3=K$3,SUMIF('TL14'!$C$10:$C$224,$C143,'TL14'!$J$10:$J$224),0),
IF('TL14'!$B$229=K$3,SUMIF('TL14'!$C$238:$C$451,$C143,'TL14'!$J$238:$J$451),0),
IF('TL15'!$B$3=K$3,SUMIF('TL15'!$C$10:$C$224,$C143,'TL15'!$J$10:$J$224),0),
IF('TL15'!$B$229=K$3,SUMIF('TL15'!$C$238:$C$451,$C143,'TL15'!$J$238:$J$451),0),
IF('TL16'!$B$3=K$3,SUMIF('TL16'!$C$10:$C$224,$C143,'TL16'!$J$10:$J$224),0),
IF('TL16'!$B$229=K$3,SUMIF('TL16'!$C$238:$C$451,$C143,'TL16'!$J$238:$J$451),0),
IF('TL17'!$B$3=K$3,SUMIF('TL17'!$C$10:$C$224,$C143,'TL17'!$J$10:$J$224),0),
IF('TL17'!$B$229=K$3,SUMIF('TL17'!$C$238:$C$451,$C143,'TL17'!$J$238:$J$451),0),
IF('TL18'!$B$3=K$3,SUMIF('TL18'!$C$10:$C$224,$C143,'TL18'!$J$10:$J$224),0),
IF('TL18'!$B$229=K$3,SUMIF('TL18'!$C$238:$C$451,$C143,'TL18'!$J$238:$J$451),0),
IF('TL19'!$B$3=K$3,SUMIF('TL19'!$C$10:$C$224,$C143,'TL19'!$J$10:$J$224),0),
IF('TL19'!$B$229=K$3,SUMIF('TL19'!$C$238:$C$451,$C143,'TL19'!$J$238:$J$451),0)
),0)</f>
        <v/>
      </c>
      <c r="L143" s="9">
        <f>IFERROR(SUM(
IF('TL01'!$B$3=L$3,SUMIF('TL01'!$C$10:$C$224,$C143,'TL01'!$J$10:$J$224),0),
IF('TL01'!$B$229=L$3,SUMIF('TL01'!$C$238:$C$451,$C143,'TL01'!$J$238:$J$451),0),
IF('TL02'!$B$3=L$3,SUMIF('TL02'!$C$10:$C$224,$C143,'TL02'!$J$10:$J$224),0),
IF('TL02'!$B$229=L$3,SUMIF('TL02'!$C$238:$C$451,$C143,'TL02'!$J$238:$J$451),0),
IF('TL03'!$B$3=L$3,SUMIF('TL03'!$C$10:$C$224,$C143,'TL03'!$J$10:$J$224),0),
IF('TL03'!$B$229=L$3,SUMIF('TL03'!$C$238:$C$451,$C143,'TL03'!$J$238:$J$451),0),
IF('TL04'!$B$3=L$3,SUMIF('TL04'!$C$10:$C$224,$C143,'TL04'!$J$10:$J$224),0),
IF('TL04'!$B$229=L$3,SUMIF('TL04'!$C$238:$C$451,$C143,'TL04'!$J$238:$J$451),0),
IF('TL05'!$B$3=L$3,SUMIF('TL05'!$C$10:$C$224,$C143,'TL05'!$J$10:$J$224),0),
IF('TL05'!$B$229=L$3,SUMIF('TL05'!$C$238:$C$451,$C143,'TL05'!$J$238:$J$451),0),
IF('TL06'!$B$3=L$3,SUMIF('TL06'!$C$10:$C$224,$C143,'TL06'!$J$10:$J$224),0),
IF('TL06'!$B$229=L$3,SUMIF('TL06'!$C$238:$C$451,$C143,'TL06'!$J$238:$J$451),0),
IF('TL07'!$B$3=L$3,SUMIF('TL07'!$C$10:$C$224,$C143,'TL07'!$J$10:$J$224),0),
IF('TL07'!$B$229=L$3,SUMIF('TL07'!$C$238:$C$451,$C143,'TL07'!$J$238:$J$451),0),
IF('TL08'!$B$3=L$3,SUMIF('TL08'!$C$10:$C$224,$C143,'TL08'!$J$10:$J$224),0),
IF('TL08'!$B$229=L$3,SUMIF('TL08'!$C$238:$C$451,$C143,'TL08'!$J$238:$J$451),0),
IF('TL09'!$B$3=L$3,SUMIF('TL09'!$C$10:$C$224,$C143,'TL09'!$J$10:$J$224),0),
IF('TL09'!$B$229=L$3,SUMIF('TL09'!$C$238:$C$451,$C143,'TL09'!$J$238:$J$451),0),
IF('TL10'!$B$3=L$3,SUMIF('TL10'!$C$10:$C$224,$C143,'TL10'!$J$10:$J$224),0),
IF('TL10'!$B$229=L$3,SUMIF('TL10'!$C$238:$C$451,$C143,'TL10'!$J$238:$J$451),0),
IF('TL11'!$B$3=L$3,SUMIF('TL11'!$C$10:$C$224,$C143,'TL11'!$J$10:$J$224),0),
IF('TL11'!$B$229=L$3,SUMIF('TL11'!$C$238:$C$451,$C143,'TL11'!$J$238:$J$451),0),
IF('TL12'!$B$3=L$3,SUMIF('TL12'!$C$10:$C$224,$C143,'TL12'!$J$10:$J$224),0),
IF('TL12'!$B$229=L$3,SUMIF('TL12'!$C$238:$C$451,$C143,'TL12'!$J$238:$J$451),0),
IF('TL13'!$B$3=L$3,SUMIF('TL13'!$C$10:$C$224,$C143,'TL13'!$J$10:$J$224),0),
IF('TL13'!$B$229=L$3,SUMIF('TL13'!$C$238:$C$451,$C143,'TL13'!$J$238:$J$451),0),
IF('TL14'!$B$3=L$3,SUMIF('TL14'!$C$10:$C$224,$C143,'TL14'!$J$10:$J$224),0),
IF('TL14'!$B$229=L$3,SUMIF('TL14'!$C$238:$C$451,$C143,'TL14'!$J$238:$J$451),0),
IF('TL15'!$B$3=L$3,SUMIF('TL15'!$C$10:$C$224,$C143,'TL15'!$J$10:$J$224),0),
IF('TL15'!$B$229=L$3,SUMIF('TL15'!$C$238:$C$451,$C143,'TL15'!$J$238:$J$451),0),
IF('TL16'!$B$3=L$3,SUMIF('TL16'!$C$10:$C$224,$C143,'TL16'!$J$10:$J$224),0),
IF('TL16'!$B$229=L$3,SUMIF('TL16'!$C$238:$C$451,$C143,'TL16'!$J$238:$J$451),0),
IF('TL17'!$B$3=L$3,SUMIF('TL17'!$C$10:$C$224,$C143,'TL17'!$J$10:$J$224),0),
IF('TL17'!$B$229=L$3,SUMIF('TL17'!$C$238:$C$451,$C143,'TL17'!$J$238:$J$451),0),
IF('TL18'!$B$3=L$3,SUMIF('TL18'!$C$10:$C$224,$C143,'TL18'!$J$10:$J$224),0),
IF('TL18'!$B$229=L$3,SUMIF('TL18'!$C$238:$C$451,$C143,'TL18'!$J$238:$J$451),0),
IF('TL19'!$B$3=L$3,SUMIF('TL19'!$C$10:$C$224,$C143,'TL19'!$J$10:$J$224),0),
IF('TL19'!$B$229=L$3,SUMIF('TL19'!$C$238:$C$451,$C143,'TL19'!$J$238:$J$451),0)
),0)</f>
        <v/>
      </c>
      <c r="M143" s="9">
        <f>IFERROR(SUM(
IF('TL01'!$B$3=M$3,SUMIF('TL01'!$C$10:$C$224,$C143,'TL01'!$J$10:$J$224),0),
IF('TL01'!$B$229=M$3,SUMIF('TL01'!$C$238:$C$451,$C143,'TL01'!$J$238:$J$451),0),
IF('TL02'!$B$3=M$3,SUMIF('TL02'!$C$10:$C$224,$C143,'TL02'!$J$10:$J$224),0),
IF('TL02'!$B$229=M$3,SUMIF('TL02'!$C$238:$C$451,$C143,'TL02'!$J$238:$J$451),0),
IF('TL03'!$B$3=M$3,SUMIF('TL03'!$C$10:$C$224,$C143,'TL03'!$J$10:$J$224),0),
IF('TL03'!$B$229=M$3,SUMIF('TL03'!$C$238:$C$451,$C143,'TL03'!$J$238:$J$451),0),
IF('TL04'!$B$3=M$3,SUMIF('TL04'!$C$10:$C$224,$C143,'TL04'!$J$10:$J$224),0),
IF('TL04'!$B$229=M$3,SUMIF('TL04'!$C$238:$C$451,$C143,'TL04'!$J$238:$J$451),0),
IF('TL05'!$B$3=M$3,SUMIF('TL05'!$C$10:$C$224,$C143,'TL05'!$J$10:$J$224),0),
IF('TL05'!$B$229=M$3,SUMIF('TL05'!$C$238:$C$451,$C143,'TL05'!$J$238:$J$451),0),
IF('TL06'!$B$3=M$3,SUMIF('TL06'!$C$10:$C$224,$C143,'TL06'!$J$10:$J$224),0),
IF('TL06'!$B$229=M$3,SUMIF('TL06'!$C$238:$C$451,$C143,'TL06'!$J$238:$J$451),0),
IF('TL07'!$B$3=M$3,SUMIF('TL07'!$C$10:$C$224,$C143,'TL07'!$J$10:$J$224),0),
IF('TL07'!$B$229=M$3,SUMIF('TL07'!$C$238:$C$451,$C143,'TL07'!$J$238:$J$451),0),
IF('TL08'!$B$3=M$3,SUMIF('TL08'!$C$10:$C$224,$C143,'TL08'!$J$10:$J$224),0),
IF('TL08'!$B$229=M$3,SUMIF('TL08'!$C$238:$C$451,$C143,'TL08'!$J$238:$J$451),0),
IF('TL09'!$B$3=M$3,SUMIF('TL09'!$C$10:$C$224,$C143,'TL09'!$J$10:$J$224),0),
IF('TL09'!$B$229=M$3,SUMIF('TL09'!$C$238:$C$451,$C143,'TL09'!$J$238:$J$451),0),
IF('TL10'!$B$3=M$3,SUMIF('TL10'!$C$10:$C$224,$C143,'TL10'!$J$10:$J$224),0),
IF('TL10'!$B$229=M$3,SUMIF('TL10'!$C$238:$C$451,$C143,'TL10'!$J$238:$J$451),0),
IF('TL11'!$B$3=M$3,SUMIF('TL11'!$C$10:$C$224,$C143,'TL11'!$J$10:$J$224),0),
IF('TL11'!$B$229=M$3,SUMIF('TL11'!$C$238:$C$451,$C143,'TL11'!$J$238:$J$451),0),
IF('TL12'!$B$3=M$3,SUMIF('TL12'!$C$10:$C$224,$C143,'TL12'!$J$10:$J$224),0),
IF('TL12'!$B$229=M$3,SUMIF('TL12'!$C$238:$C$451,$C143,'TL12'!$J$238:$J$451),0),
IF('TL13'!$B$3=M$3,SUMIF('TL13'!$C$10:$C$224,$C143,'TL13'!$J$10:$J$224),0),
IF('TL13'!$B$229=M$3,SUMIF('TL13'!$C$238:$C$451,$C143,'TL13'!$J$238:$J$451),0),
IF('TL14'!$B$3=M$3,SUMIF('TL14'!$C$10:$C$224,$C143,'TL14'!$J$10:$J$224),0),
IF('TL14'!$B$229=M$3,SUMIF('TL14'!$C$238:$C$451,$C143,'TL14'!$J$238:$J$451),0),
IF('TL15'!$B$3=M$3,SUMIF('TL15'!$C$10:$C$224,$C143,'TL15'!$J$10:$J$224),0),
IF('TL15'!$B$229=M$3,SUMIF('TL15'!$C$238:$C$451,$C143,'TL15'!$J$238:$J$451),0),
IF('TL16'!$B$3=M$3,SUMIF('TL16'!$C$10:$C$224,$C143,'TL16'!$J$10:$J$224),0),
IF('TL16'!$B$229=M$3,SUMIF('TL16'!$C$238:$C$451,$C143,'TL16'!$J$238:$J$451),0),
IF('TL17'!$B$3=M$3,SUMIF('TL17'!$C$10:$C$224,$C143,'TL17'!$J$10:$J$224),0),
IF('TL17'!$B$229=M$3,SUMIF('TL17'!$C$238:$C$451,$C143,'TL17'!$J$238:$J$451),0),
IF('TL18'!$B$3=M$3,SUMIF('TL18'!$C$10:$C$224,$C143,'TL18'!$J$10:$J$224),0),
IF('TL18'!$B$229=M$3,SUMIF('TL18'!$C$238:$C$451,$C143,'TL18'!$J$238:$J$451),0),
IF('TL19'!$B$3=M$3,SUMIF('TL19'!$C$10:$C$224,$C143,'TL19'!$J$10:$J$224),0),
IF('TL19'!$B$229=M$3,SUMIF('TL19'!$C$238:$C$451,$C143,'TL19'!$J$238:$J$451),0)
),0)</f>
        <v/>
      </c>
      <c r="N143" s="9">
        <f>IFERROR(SUM(
IF('TL01'!$B$3=N$3,SUMIF('TL01'!$C$10:$C$224,$C143,'TL01'!$J$10:$J$224),0),
IF('TL01'!$B$229=N$3,SUMIF('TL01'!$C$238:$C$451,$C143,'TL01'!$J$238:$J$451),0),
IF('TL02'!$B$3=N$3,SUMIF('TL02'!$C$10:$C$224,$C143,'TL02'!$J$10:$J$224),0),
IF('TL02'!$B$229=N$3,SUMIF('TL02'!$C$238:$C$451,$C143,'TL02'!$J$238:$J$451),0),
IF('TL03'!$B$3=N$3,SUMIF('TL03'!$C$10:$C$224,$C143,'TL03'!$J$10:$J$224),0),
IF('TL03'!$B$229=N$3,SUMIF('TL03'!$C$238:$C$451,$C143,'TL03'!$J$238:$J$451),0),
IF('TL04'!$B$3=N$3,SUMIF('TL04'!$C$10:$C$224,$C143,'TL04'!$J$10:$J$224),0),
IF('TL04'!$B$229=N$3,SUMIF('TL04'!$C$238:$C$451,$C143,'TL04'!$J$238:$J$451),0),
IF('TL05'!$B$3=N$3,SUMIF('TL05'!$C$10:$C$224,$C143,'TL05'!$J$10:$J$224),0),
IF('TL05'!$B$229=N$3,SUMIF('TL05'!$C$238:$C$451,$C143,'TL05'!$J$238:$J$451),0),
IF('TL06'!$B$3=N$3,SUMIF('TL06'!$C$10:$C$224,$C143,'TL06'!$J$10:$J$224),0),
IF('TL06'!$B$229=N$3,SUMIF('TL06'!$C$238:$C$451,$C143,'TL06'!$J$238:$J$451),0),
IF('TL07'!$B$3=N$3,SUMIF('TL07'!$C$10:$C$224,$C143,'TL07'!$J$10:$J$224),0),
IF('TL07'!$B$229=N$3,SUMIF('TL07'!$C$238:$C$451,$C143,'TL07'!$J$238:$J$451),0),
IF('TL08'!$B$3=N$3,SUMIF('TL08'!$C$10:$C$224,$C143,'TL08'!$J$10:$J$224),0),
IF('TL08'!$B$229=N$3,SUMIF('TL08'!$C$238:$C$451,$C143,'TL08'!$J$238:$J$451),0),
IF('TL09'!$B$3=N$3,SUMIF('TL09'!$C$10:$C$224,$C143,'TL09'!$J$10:$J$224),0),
IF('TL09'!$B$229=N$3,SUMIF('TL09'!$C$238:$C$451,$C143,'TL09'!$J$238:$J$451),0),
IF('TL10'!$B$3=N$3,SUMIF('TL10'!$C$10:$C$224,$C143,'TL10'!$J$10:$J$224),0),
IF('TL10'!$B$229=N$3,SUMIF('TL10'!$C$238:$C$451,$C143,'TL10'!$J$238:$J$451),0),
IF('TL11'!$B$3=N$3,SUMIF('TL11'!$C$10:$C$224,$C143,'TL11'!$J$10:$J$224),0),
IF('TL11'!$B$229=N$3,SUMIF('TL11'!$C$238:$C$451,$C143,'TL11'!$J$238:$J$451),0),
IF('TL12'!$B$3=N$3,SUMIF('TL12'!$C$10:$C$224,$C143,'TL12'!$J$10:$J$224),0),
IF('TL12'!$B$229=N$3,SUMIF('TL12'!$C$238:$C$451,$C143,'TL12'!$J$238:$J$451),0),
IF('TL13'!$B$3=N$3,SUMIF('TL13'!$C$10:$C$224,$C143,'TL13'!$J$10:$J$224),0),
IF('TL13'!$B$229=N$3,SUMIF('TL13'!$C$238:$C$451,$C143,'TL13'!$J$238:$J$451),0),
IF('TL14'!$B$3=N$3,SUMIF('TL14'!$C$10:$C$224,$C143,'TL14'!$J$10:$J$224),0),
IF('TL14'!$B$229=N$3,SUMIF('TL14'!$C$238:$C$451,$C143,'TL14'!$J$238:$J$451),0),
IF('TL15'!$B$3=N$3,SUMIF('TL15'!$C$10:$C$224,$C143,'TL15'!$J$10:$J$224),0),
IF('TL15'!$B$229=N$3,SUMIF('TL15'!$C$238:$C$451,$C143,'TL15'!$J$238:$J$451),0),
IF('TL16'!$B$3=N$3,SUMIF('TL16'!$C$10:$C$224,$C143,'TL16'!$J$10:$J$224),0),
IF('TL16'!$B$229=N$3,SUMIF('TL16'!$C$238:$C$451,$C143,'TL16'!$J$238:$J$451),0),
IF('TL17'!$B$3=N$3,SUMIF('TL17'!$C$10:$C$224,$C143,'TL17'!$J$10:$J$224),0),
IF('TL17'!$B$229=N$3,SUMIF('TL17'!$C$238:$C$451,$C143,'TL17'!$J$238:$J$451),0),
IF('TL18'!$B$3=N$3,SUMIF('TL18'!$C$10:$C$224,$C143,'TL18'!$J$10:$J$224),0),
IF('TL18'!$B$229=N$3,SUMIF('TL18'!$C$238:$C$451,$C143,'TL18'!$J$238:$J$451),0),
IF('TL19'!$B$3=N$3,SUMIF('TL19'!$C$10:$C$224,$C143,'TL19'!$J$10:$J$224),0),
IF('TL19'!$B$229=N$3,SUMIF('TL19'!$C$238:$C$451,$C143,'TL19'!$J$238:$J$451),0)
),0)</f>
        <v/>
      </c>
      <c r="O143" s="9">
        <f>IFERROR(SUM(
IF('TL01'!$B$3=O$3,SUMIF('TL01'!$C$10:$C$224,$C143,'TL01'!$J$10:$J$224),0),
IF('TL01'!$B$229=O$3,SUMIF('TL01'!$C$238:$C$451,$C143,'TL01'!$J$238:$J$451),0),
IF('TL02'!$B$3=O$3,SUMIF('TL02'!$C$10:$C$224,$C143,'TL02'!$J$10:$J$224),0),
IF('TL02'!$B$229=O$3,SUMIF('TL02'!$C$238:$C$451,$C143,'TL02'!$J$238:$J$451),0),
IF('TL03'!$B$3=O$3,SUMIF('TL03'!$C$10:$C$224,$C143,'TL03'!$J$10:$J$224),0),
IF('TL03'!$B$229=O$3,SUMIF('TL03'!$C$238:$C$451,$C143,'TL03'!$J$238:$J$451),0),
IF('TL04'!$B$3=O$3,SUMIF('TL04'!$C$10:$C$224,$C143,'TL04'!$J$10:$J$224),0),
IF('TL04'!$B$229=O$3,SUMIF('TL04'!$C$238:$C$451,$C143,'TL04'!$J$238:$J$451),0),
IF('TL05'!$B$3=O$3,SUMIF('TL05'!$C$10:$C$224,$C143,'TL05'!$J$10:$J$224),0),
IF('TL05'!$B$229=O$3,SUMIF('TL05'!$C$238:$C$451,$C143,'TL05'!$J$238:$J$451),0),
IF('TL06'!$B$3=O$3,SUMIF('TL06'!$C$10:$C$224,$C143,'TL06'!$J$10:$J$224),0),
IF('TL06'!$B$229=O$3,SUMIF('TL06'!$C$238:$C$451,$C143,'TL06'!$J$238:$J$451),0),
IF('TL07'!$B$3=O$3,SUMIF('TL07'!$C$10:$C$224,$C143,'TL07'!$J$10:$J$224),0),
IF('TL07'!$B$229=O$3,SUMIF('TL07'!$C$238:$C$451,$C143,'TL07'!$J$238:$J$451),0),
IF('TL08'!$B$3=O$3,SUMIF('TL08'!$C$10:$C$224,$C143,'TL08'!$J$10:$J$224),0),
IF('TL08'!$B$229=O$3,SUMIF('TL08'!$C$238:$C$451,$C143,'TL08'!$J$238:$J$451),0),
IF('TL09'!$B$3=O$3,SUMIF('TL09'!$C$10:$C$224,$C143,'TL09'!$J$10:$J$224),0),
IF('TL09'!$B$229=O$3,SUMIF('TL09'!$C$238:$C$451,$C143,'TL09'!$J$238:$J$451),0),
IF('TL10'!$B$3=O$3,SUMIF('TL10'!$C$10:$C$224,$C143,'TL10'!$J$10:$J$224),0),
IF('TL10'!$B$229=O$3,SUMIF('TL10'!$C$238:$C$451,$C143,'TL10'!$J$238:$J$451),0),
IF('TL11'!$B$3=O$3,SUMIF('TL11'!$C$10:$C$224,$C143,'TL11'!$J$10:$J$224),0),
IF('TL11'!$B$229=O$3,SUMIF('TL11'!$C$238:$C$451,$C143,'TL11'!$J$238:$J$451),0),
IF('TL12'!$B$3=O$3,SUMIF('TL12'!$C$10:$C$224,$C143,'TL12'!$J$10:$J$224),0),
IF('TL12'!$B$229=O$3,SUMIF('TL12'!$C$238:$C$451,$C143,'TL12'!$J$238:$J$451),0),
IF('TL13'!$B$3=O$3,SUMIF('TL13'!$C$10:$C$224,$C143,'TL13'!$J$10:$J$224),0),
IF('TL13'!$B$229=O$3,SUMIF('TL13'!$C$238:$C$451,$C143,'TL13'!$J$238:$J$451),0),
IF('TL14'!$B$3=O$3,SUMIF('TL14'!$C$10:$C$224,$C143,'TL14'!$J$10:$J$224),0),
IF('TL14'!$B$229=O$3,SUMIF('TL14'!$C$238:$C$451,$C143,'TL14'!$J$238:$J$451),0),
IF('TL15'!$B$3=O$3,SUMIF('TL15'!$C$10:$C$224,$C143,'TL15'!$J$10:$J$224),0),
IF('TL15'!$B$229=O$3,SUMIF('TL15'!$C$238:$C$451,$C143,'TL15'!$J$238:$J$451),0),
IF('TL16'!$B$3=O$3,SUMIF('TL16'!$C$10:$C$224,$C143,'TL16'!$J$10:$J$224),0),
IF('TL16'!$B$229=O$3,SUMIF('TL16'!$C$238:$C$451,$C143,'TL16'!$J$238:$J$451),0),
IF('TL17'!$B$3=O$3,SUMIF('TL17'!$C$10:$C$224,$C143,'TL17'!$J$10:$J$224),0),
IF('TL17'!$B$229=O$3,SUMIF('TL17'!$C$238:$C$451,$C143,'TL17'!$J$238:$J$451),0),
IF('TL18'!$B$3=O$3,SUMIF('TL18'!$C$10:$C$224,$C143,'TL18'!$J$10:$J$224),0),
IF('TL18'!$B$229=O$3,SUMIF('TL18'!$C$238:$C$451,$C143,'TL18'!$J$238:$J$451),0),
IF('TL19'!$B$3=O$3,SUMIF('TL19'!$C$10:$C$224,$C143,'TL19'!$J$10:$J$224),0),
IF('TL19'!$B$229=O$3,SUMIF('TL19'!$C$238:$C$451,$C143,'TL19'!$J$238:$J$451),0)
),0)</f>
        <v/>
      </c>
      <c r="P143" s="9">
        <f>IFERROR(SUM(
IF('TL01'!$B$3=P$3,SUMIF('TL01'!$C$10:$C$224,$C143,'TL01'!$J$10:$J$224),0),
IF('TL01'!$B$229=P$3,SUMIF('TL01'!$C$238:$C$451,$C143,'TL01'!$J$238:$J$451),0),
IF('TL02'!$B$3=P$3,SUMIF('TL02'!$C$10:$C$224,$C143,'TL02'!$J$10:$J$224),0),
IF('TL02'!$B$229=P$3,SUMIF('TL02'!$C$238:$C$451,$C143,'TL02'!$J$238:$J$451),0),
IF('TL03'!$B$3=P$3,SUMIF('TL03'!$C$10:$C$224,$C143,'TL03'!$J$10:$J$224),0),
IF('TL03'!$B$229=P$3,SUMIF('TL03'!$C$238:$C$451,$C143,'TL03'!$J$238:$J$451),0),
IF('TL04'!$B$3=P$3,SUMIF('TL04'!$C$10:$C$224,$C143,'TL04'!$J$10:$J$224),0),
IF('TL04'!$B$229=P$3,SUMIF('TL04'!$C$238:$C$451,$C143,'TL04'!$J$238:$J$451),0),
IF('TL05'!$B$3=P$3,SUMIF('TL05'!$C$10:$C$224,$C143,'TL05'!$J$10:$J$224),0),
IF('TL05'!$B$229=P$3,SUMIF('TL05'!$C$238:$C$451,$C143,'TL05'!$J$238:$J$451),0),
IF('TL06'!$B$3=P$3,SUMIF('TL06'!$C$10:$C$224,$C143,'TL06'!$J$10:$J$224),0),
IF('TL06'!$B$229=P$3,SUMIF('TL06'!$C$238:$C$451,$C143,'TL06'!$J$238:$J$451),0),
IF('TL07'!$B$3=P$3,SUMIF('TL07'!$C$10:$C$224,$C143,'TL07'!$J$10:$J$224),0),
IF('TL07'!$B$229=P$3,SUMIF('TL07'!$C$238:$C$451,$C143,'TL07'!$J$238:$J$451),0),
IF('TL08'!$B$3=P$3,SUMIF('TL08'!$C$10:$C$224,$C143,'TL08'!$J$10:$J$224),0),
IF('TL08'!$B$229=P$3,SUMIF('TL08'!$C$238:$C$451,$C143,'TL08'!$J$238:$J$451),0),
IF('TL09'!$B$3=P$3,SUMIF('TL09'!$C$10:$C$224,$C143,'TL09'!$J$10:$J$224),0),
IF('TL09'!$B$229=P$3,SUMIF('TL09'!$C$238:$C$451,$C143,'TL09'!$J$238:$J$451),0),
IF('TL10'!$B$3=P$3,SUMIF('TL10'!$C$10:$C$224,$C143,'TL10'!$J$10:$J$224),0),
IF('TL10'!$B$229=P$3,SUMIF('TL10'!$C$238:$C$451,$C143,'TL10'!$J$238:$J$451),0),
IF('TL11'!$B$3=P$3,SUMIF('TL11'!$C$10:$C$224,$C143,'TL11'!$J$10:$J$224),0),
IF('TL11'!$B$229=P$3,SUMIF('TL11'!$C$238:$C$451,$C143,'TL11'!$J$238:$J$451),0),
IF('TL12'!$B$3=P$3,SUMIF('TL12'!$C$10:$C$224,$C143,'TL12'!$J$10:$J$224),0),
IF('TL12'!$B$229=P$3,SUMIF('TL12'!$C$238:$C$451,$C143,'TL12'!$J$238:$J$451),0),
IF('TL13'!$B$3=P$3,SUMIF('TL13'!$C$10:$C$224,$C143,'TL13'!$J$10:$J$224),0),
IF('TL13'!$B$229=P$3,SUMIF('TL13'!$C$238:$C$451,$C143,'TL13'!$J$238:$J$451),0),
IF('TL14'!$B$3=P$3,SUMIF('TL14'!$C$10:$C$224,$C143,'TL14'!$J$10:$J$224),0),
IF('TL14'!$B$229=P$3,SUMIF('TL14'!$C$238:$C$451,$C143,'TL14'!$J$238:$J$451),0),
IF('TL15'!$B$3=P$3,SUMIF('TL15'!$C$10:$C$224,$C143,'TL15'!$J$10:$J$224),0),
IF('TL15'!$B$229=P$3,SUMIF('TL15'!$C$238:$C$451,$C143,'TL15'!$J$238:$J$451),0),
IF('TL16'!$B$3=P$3,SUMIF('TL16'!$C$10:$C$224,$C143,'TL16'!$J$10:$J$224),0),
IF('TL16'!$B$229=P$3,SUMIF('TL16'!$C$238:$C$451,$C143,'TL16'!$J$238:$J$451),0),
IF('TL17'!$B$3=P$3,SUMIF('TL17'!$C$10:$C$224,$C143,'TL17'!$J$10:$J$224),0),
IF('TL17'!$B$229=P$3,SUMIF('TL17'!$C$238:$C$451,$C143,'TL17'!$J$238:$J$451),0),
IF('TL18'!$B$3=P$3,SUMIF('TL18'!$C$10:$C$224,$C143,'TL18'!$J$10:$J$224),0),
IF('TL18'!$B$229=P$3,SUMIF('TL18'!$C$238:$C$451,$C143,'TL18'!$J$238:$J$451),0),
IF('TL19'!$B$3=P$3,SUMIF('TL19'!$C$10:$C$224,$C143,'TL19'!$J$10:$J$224),0),
IF('TL19'!$B$229=P$3,SUMIF('TL19'!$C$238:$C$451,$C143,'TL19'!$J$238:$J$451),0)
),0)</f>
        <v/>
      </c>
      <c r="Q143" s="9">
        <f>IFERROR(SUM(
IF('TL01'!$B$3=Q$3,SUMIF('TL01'!$C$10:$C$224,$C143,'TL01'!$J$10:$J$224),0),
IF('TL01'!$B$229=Q$3,SUMIF('TL01'!$C$238:$C$451,$C143,'TL01'!$J$238:$J$451),0),
IF('TL02'!$B$3=Q$3,SUMIF('TL02'!$C$10:$C$224,$C143,'TL02'!$J$10:$J$224),0),
IF('TL02'!$B$229=Q$3,SUMIF('TL02'!$C$238:$C$451,$C143,'TL02'!$J$238:$J$451),0),
IF('TL03'!$B$3=Q$3,SUMIF('TL03'!$C$10:$C$224,$C143,'TL03'!$J$10:$J$224),0),
IF('TL03'!$B$229=Q$3,SUMIF('TL03'!$C$238:$C$451,$C143,'TL03'!$J$238:$J$451),0),
IF('TL04'!$B$3=Q$3,SUMIF('TL04'!$C$10:$C$224,$C143,'TL04'!$J$10:$J$224),0),
IF('TL04'!$B$229=Q$3,SUMIF('TL04'!$C$238:$C$451,$C143,'TL04'!$J$238:$J$451),0),
IF('TL05'!$B$3=Q$3,SUMIF('TL05'!$C$10:$C$224,$C143,'TL05'!$J$10:$J$224),0),
IF('TL05'!$B$229=Q$3,SUMIF('TL05'!$C$238:$C$451,$C143,'TL05'!$J$238:$J$451),0),
IF('TL06'!$B$3=Q$3,SUMIF('TL06'!$C$10:$C$224,$C143,'TL06'!$J$10:$J$224),0),
IF('TL06'!$B$229=Q$3,SUMIF('TL06'!$C$238:$C$451,$C143,'TL06'!$J$238:$J$451),0),
IF('TL07'!$B$3=Q$3,SUMIF('TL07'!$C$10:$C$224,$C143,'TL07'!$J$10:$J$224),0),
IF('TL07'!$B$229=Q$3,SUMIF('TL07'!$C$238:$C$451,$C143,'TL07'!$J$238:$J$451),0),
IF('TL08'!$B$3=Q$3,SUMIF('TL08'!$C$10:$C$224,$C143,'TL08'!$J$10:$J$224),0),
IF('TL08'!$B$229=Q$3,SUMIF('TL08'!$C$238:$C$451,$C143,'TL08'!$J$238:$J$451),0),
IF('TL09'!$B$3=Q$3,SUMIF('TL09'!$C$10:$C$224,$C143,'TL09'!$J$10:$J$224),0),
IF('TL09'!$B$229=Q$3,SUMIF('TL09'!$C$238:$C$451,$C143,'TL09'!$J$238:$J$451),0),
IF('TL10'!$B$3=Q$3,SUMIF('TL10'!$C$10:$C$224,$C143,'TL10'!$J$10:$J$224),0),
IF('TL10'!$B$229=Q$3,SUMIF('TL10'!$C$238:$C$451,$C143,'TL10'!$J$238:$J$451),0),
IF('TL11'!$B$3=Q$3,SUMIF('TL11'!$C$10:$C$224,$C143,'TL11'!$J$10:$J$224),0),
IF('TL11'!$B$229=Q$3,SUMIF('TL11'!$C$238:$C$451,$C143,'TL11'!$J$238:$J$451),0),
IF('TL12'!$B$3=Q$3,SUMIF('TL12'!$C$10:$C$224,$C143,'TL12'!$J$10:$J$224),0),
IF('TL12'!$B$229=Q$3,SUMIF('TL12'!$C$238:$C$451,$C143,'TL12'!$J$238:$J$451),0),
IF('TL13'!$B$3=Q$3,SUMIF('TL13'!$C$10:$C$224,$C143,'TL13'!$J$10:$J$224),0),
IF('TL13'!$B$229=Q$3,SUMIF('TL13'!$C$238:$C$451,$C143,'TL13'!$J$238:$J$451),0),
IF('TL14'!$B$3=Q$3,SUMIF('TL14'!$C$10:$C$224,$C143,'TL14'!$J$10:$J$224),0),
IF('TL14'!$B$229=Q$3,SUMIF('TL14'!$C$238:$C$451,$C143,'TL14'!$J$238:$J$451),0),
IF('TL15'!$B$3=Q$3,SUMIF('TL15'!$C$10:$C$224,$C143,'TL15'!$J$10:$J$224),0),
IF('TL15'!$B$229=Q$3,SUMIF('TL15'!$C$238:$C$451,$C143,'TL15'!$J$238:$J$451),0),
IF('TL16'!$B$3=Q$3,SUMIF('TL16'!$C$10:$C$224,$C143,'TL16'!$J$10:$J$224),0),
IF('TL16'!$B$229=Q$3,SUMIF('TL16'!$C$238:$C$451,$C143,'TL16'!$J$238:$J$451),0),
IF('TL17'!$B$3=Q$3,SUMIF('TL17'!$C$10:$C$224,$C143,'TL17'!$J$10:$J$224),0),
IF('TL17'!$B$229=Q$3,SUMIF('TL17'!$C$238:$C$451,$C143,'TL17'!$J$238:$J$451),0),
IF('TL18'!$B$3=Q$3,SUMIF('TL18'!$C$10:$C$224,$C143,'TL18'!$J$10:$J$224),0),
IF('TL18'!$B$229=Q$3,SUMIF('TL18'!$C$238:$C$451,$C143,'TL18'!$J$238:$J$451),0),
IF('TL19'!$B$3=Q$3,SUMIF('TL19'!$C$10:$C$224,$C143,'TL19'!$J$10:$J$224),0),
IF('TL19'!$B$229=Q$3,SUMIF('TL19'!$C$238:$C$451,$C143,'TL19'!$J$238:$J$451),0)
),0)</f>
        <v/>
      </c>
      <c r="R143" s="9">
        <f>IFERROR(
SUM(
SUMIF('TL01'!C:C,C143,'TL01'!J:J),
SUMIF('TL02'!C:C,C143,'TL02'!J:J),
SUMIF('TL03'!C:C,C143,'TL03'!J:J),
SUMIF('TL04'!C:C,C143,'TL04'!J:J),
SUMIF('TL05'!C:C,C143,'TL05'!J:J),
SUMIF('TL06'!C:C,C143,'TL06'!J:J),
SUMIF('TL07'!C:C,C143,'TL07'!J:J),
SUMIF('TL08'!C:C,C143,'TL08'!J:J),
SUMIF('TL09'!C:C,C143,'TL09'!J:J),
SUMIF('TL10'!C:C,C143,'TL10'!J:J),
SUMIF('TL11'!C:C,C143,'TL11'!J:J),
SUMIF('TL12'!C:C,C143,'TL12'!J:J),
SUMIF('TL13'!C:C,C143,'TL13'!J:J),
SUMIF('TL14'!C:C,C143,'TL14'!J:J),
SUMIF('TL15'!C:C,C143,'TL15'!J:J),
SUMIF('TL16'!C:C,C143,'TL16'!J:J),
SUMIF('TL17'!C:C,C143,'TL17'!J:J),
SUMIF('TL18'!C:C,C143,'TL18'!J:J),SUMIF('TL19'!C:C,C143,'TL19'!J:J))
,0)</f>
        <v/>
      </c>
      <c r="S143" s="17">
        <f>IFERROR(__xludf.DUMMYFUNCTION("IFERROR(VLOOKUP(C143,
IMPORTRANGE(""1wULbzX32WdYsx-lj2U3uUNBBe2INVIRDtcK0d-Dvl90"",
""26-27!C:G""),
5,
FALSE),
"""")"),43.801559999999995)</f>
        <v/>
      </c>
      <c r="T143" s="9" t="n"/>
      <c r="U143" s="92">
        <f>MAX(0,R143-T143)</f>
        <v/>
      </c>
      <c r="V143" s="93">
        <f>U143*S143</f>
        <v/>
      </c>
    </row>
    <row r="144" hidden="1" ht="15.75" customHeight="1" s="297">
      <c r="A144" s="115" t="inlineStr">
        <is>
          <t>FMC</t>
        </is>
      </c>
      <c r="B144" s="100" t="inlineStr">
        <is>
          <t>HERBICIDA</t>
        </is>
      </c>
      <c r="C144" s="116" t="inlineStr">
        <is>
          <t>STONE</t>
        </is>
      </c>
      <c r="D144" s="116" t="inlineStr">
        <is>
          <t>DIUROM + SULFENTRAZONA</t>
        </is>
      </c>
      <c r="E144" s="116" t="inlineStr">
        <is>
          <t>350 + 175</t>
        </is>
      </c>
      <c r="F144" s="4" t="inlineStr">
        <is>
          <t>L</t>
        </is>
      </c>
      <c r="G144" s="90">
        <f>HYPERLINK("https://www.google.com/search?q=" &amp; C144 &amp; "+bula+agrofit+pdf", "📄 Ver bula")</f>
        <v/>
      </c>
      <c r="H144" s="9">
        <f>IFERROR(__xludf.DUMMYFUNCTION("IFERROR(VLOOKUP(C144,
IMPORTRANGE(""1wULbzX32WdYsx-lj2U3uUNBBe2INVIRDtcK0d-Dvl90"",
""26-27!C:K""),
8,
FALSE),
"""")"),"")</f>
        <v/>
      </c>
      <c r="I144" s="117" t="inlineStr">
        <is>
          <t>1x20</t>
        </is>
      </c>
      <c r="J144" s="9">
        <f>IFERROR(SUM(
IF('TL01'!$B$3=J$3,SUMIF('TL01'!$C$10:$C$224,$C144,'TL01'!$J$10:$J$224),0),
IF('TL01'!$B$229=J$3,SUMIF('TL01'!$C$238:$C$451,$C144,'TL01'!$J$238:$J$451),0),
IF('TL02'!$B$3=J$3,SUMIF('TL02'!$C$10:$C$224,$C144,'TL02'!$J$10:$J$224),0),
IF('TL02'!$B$229=J$3,SUMIF('TL02'!$C$238:$C$451,$C144,'TL02'!$J$238:$J$451),0),
IF('TL03'!$B$3=J$3,SUMIF('TL03'!$C$10:$C$224,$C144,'TL03'!$J$10:$J$224),0),
IF('TL03'!$B$229=J$3,SUMIF('TL03'!$C$238:$C$451,$C144,'TL03'!$J$238:$J$451),0),
IF('TL04'!$B$3=J$3,SUMIF('TL04'!$C$10:$C$224,$C144,'TL04'!$J$10:$J$224),0),
IF('TL04'!$B$229=J$3,SUMIF('TL04'!$C$238:$C$451,$C144,'TL04'!$J$238:$J$451),0),
IF('TL05'!$B$3=J$3,SUMIF('TL05'!$C$10:$C$224,$C144,'TL05'!$J$10:$J$224),0),
IF('TL05'!$B$229=J$3,SUMIF('TL05'!$C$238:$C$451,$C144,'TL05'!$J$238:$J$451),0),
IF('TL06'!$B$3=J$3,SUMIF('TL06'!$C$10:$C$224,$C144,'TL06'!$J$10:$J$224),0),
IF('TL06'!$B$229=J$3,SUMIF('TL06'!$C$238:$C$451,$C144,'TL06'!$J$238:$J$451),0),
IF('TL07'!$B$3=J$3,SUMIF('TL07'!$C$10:$C$224,$C144,'TL07'!$J$10:$J$224),0),
IF('TL07'!$B$229=J$3,SUMIF('TL07'!$C$238:$C$451,$C144,'TL07'!$J$238:$J$451),0),
IF('TL08'!$B$3=J$3,SUMIF('TL08'!$C$10:$C$224,$C144,'TL08'!$J$10:$J$224),0),
IF('TL08'!$B$229=J$3,SUMIF('TL08'!$C$238:$C$451,$C144,'TL08'!$J$238:$J$451),0),
IF('TL09'!$B$3=J$3,SUMIF('TL09'!$C$10:$C$224,$C144,'TL09'!$J$10:$J$224),0),
IF('TL09'!$B$229=J$3,SUMIF('TL09'!$C$238:$C$451,$C144,'TL09'!$J$238:$J$451),0),
IF('TL10'!$B$3=J$3,SUMIF('TL10'!$C$10:$C$224,$C144,'TL10'!$J$10:$J$224),0),
IF('TL10'!$B$229=J$3,SUMIF('TL10'!$C$238:$C$451,$C144,'TL10'!$J$238:$J$451),0),
IF('TL11'!$B$3=J$3,SUMIF('TL11'!$C$10:$C$224,$C144,'TL11'!$J$10:$J$224),0),
IF('TL11'!$B$229=J$3,SUMIF('TL11'!$C$238:$C$451,$C144,'TL11'!$J$238:$J$451),0),
IF('TL12'!$B$3=J$3,SUMIF('TL12'!$C$10:$C$224,$C144,'TL12'!$J$10:$J$224),0),
IF('TL12'!$B$229=J$3,SUMIF('TL12'!$C$238:$C$451,$C144,'TL12'!$J$238:$J$451),0),
IF('TL13'!$B$3=J$3,SUMIF('TL13'!$C$10:$C$224,$C144,'TL13'!$J$10:$J$224),0),
IF('TL13'!$B$229=J$3,SUMIF('TL13'!$C$238:$C$451,$C144,'TL13'!$J$238:$J$451),0),
IF('TL14'!$B$3=J$3,SUMIF('TL14'!$C$10:$C$224,$C144,'TL14'!$J$10:$J$224),0),
IF('TL14'!$B$229=J$3,SUMIF('TL14'!$C$238:$C$451,$C144,'TL14'!$J$238:$J$451),0),
IF('TL15'!$B$3=J$3,SUMIF('TL15'!$C$10:$C$224,$C144,'TL15'!$J$10:$J$224),0),
IF('TL15'!$B$229=J$3,SUMIF('TL15'!$C$238:$C$451,$C144,'TL15'!$J$238:$J$451),0),
IF('TL16'!$B$3=J$3,SUMIF('TL16'!$C$10:$C$224,$C144,'TL16'!$J$10:$J$224),0),
IF('TL16'!$B$229=J$3,SUMIF('TL16'!$C$238:$C$451,$C144,'TL16'!$J$238:$J$451),0),
IF('TL17'!$B$3=J$3,SUMIF('TL17'!$C$10:$C$224,$C144,'TL17'!$J$10:$J$224),0),
IF('TL17'!$B$229=J$3,SUMIF('TL17'!$C$238:$C$451,$C144,'TL17'!$J$238:$J$451),0),
IF('TL18'!$B$3=J$3,SUMIF('TL18'!$C$10:$C$224,$C144,'TL18'!$J$10:$J$224),0),
IF('TL18'!$B$229=J$3,SUMIF('TL18'!$C$238:$C$451,$C144,'TL18'!$J$238:$J$451),0),
IF('TL19'!$B$3=J$3,SUMIF('TL19'!$C$10:$C$224,$C144,'TL19'!$J$10:$J$224),0),
IF('TL19'!$B$229=J$3,SUMIF('TL19'!$C$238:$C$451,$C144,'TL19'!$J$238:$J$451),0)
),0)</f>
        <v/>
      </c>
      <c r="K144" s="9">
        <f>IFERROR(SUM(
IF('TL01'!$B$3=K$3,SUMIF('TL01'!$C$10:$C$224,$C144,'TL01'!$J$10:$J$224),0),
IF('TL01'!$B$229=K$3,SUMIF('TL01'!$C$238:$C$451,$C144,'TL01'!$J$238:$J$451),0),
IF('TL02'!$B$3=K$3,SUMIF('TL02'!$C$10:$C$224,$C144,'TL02'!$J$10:$J$224),0),
IF('TL02'!$B$229=K$3,SUMIF('TL02'!$C$238:$C$451,$C144,'TL02'!$J$238:$J$451),0),
IF('TL03'!$B$3=K$3,SUMIF('TL03'!$C$10:$C$224,$C144,'TL03'!$J$10:$J$224),0),
IF('TL03'!$B$229=K$3,SUMIF('TL03'!$C$238:$C$451,$C144,'TL03'!$J$238:$J$451),0),
IF('TL04'!$B$3=K$3,SUMIF('TL04'!$C$10:$C$224,$C144,'TL04'!$J$10:$J$224),0),
IF('TL04'!$B$229=K$3,SUMIF('TL04'!$C$238:$C$451,$C144,'TL04'!$J$238:$J$451),0),
IF('TL05'!$B$3=K$3,SUMIF('TL05'!$C$10:$C$224,$C144,'TL05'!$J$10:$J$224),0),
IF('TL05'!$B$229=K$3,SUMIF('TL05'!$C$238:$C$451,$C144,'TL05'!$J$238:$J$451),0),
IF('TL06'!$B$3=K$3,SUMIF('TL06'!$C$10:$C$224,$C144,'TL06'!$J$10:$J$224),0),
IF('TL06'!$B$229=K$3,SUMIF('TL06'!$C$238:$C$451,$C144,'TL06'!$J$238:$J$451),0),
IF('TL07'!$B$3=K$3,SUMIF('TL07'!$C$10:$C$224,$C144,'TL07'!$J$10:$J$224),0),
IF('TL07'!$B$229=K$3,SUMIF('TL07'!$C$238:$C$451,$C144,'TL07'!$J$238:$J$451),0),
IF('TL08'!$B$3=K$3,SUMIF('TL08'!$C$10:$C$224,$C144,'TL08'!$J$10:$J$224),0),
IF('TL08'!$B$229=K$3,SUMIF('TL08'!$C$238:$C$451,$C144,'TL08'!$J$238:$J$451),0),
IF('TL09'!$B$3=K$3,SUMIF('TL09'!$C$10:$C$224,$C144,'TL09'!$J$10:$J$224),0),
IF('TL09'!$B$229=K$3,SUMIF('TL09'!$C$238:$C$451,$C144,'TL09'!$J$238:$J$451),0),
IF('TL10'!$B$3=K$3,SUMIF('TL10'!$C$10:$C$224,$C144,'TL10'!$J$10:$J$224),0),
IF('TL10'!$B$229=K$3,SUMIF('TL10'!$C$238:$C$451,$C144,'TL10'!$J$238:$J$451),0),
IF('TL11'!$B$3=K$3,SUMIF('TL11'!$C$10:$C$224,$C144,'TL11'!$J$10:$J$224),0),
IF('TL11'!$B$229=K$3,SUMIF('TL11'!$C$238:$C$451,$C144,'TL11'!$J$238:$J$451),0),
IF('TL12'!$B$3=K$3,SUMIF('TL12'!$C$10:$C$224,$C144,'TL12'!$J$10:$J$224),0),
IF('TL12'!$B$229=K$3,SUMIF('TL12'!$C$238:$C$451,$C144,'TL12'!$J$238:$J$451),0),
IF('TL13'!$B$3=K$3,SUMIF('TL13'!$C$10:$C$224,$C144,'TL13'!$J$10:$J$224),0),
IF('TL13'!$B$229=K$3,SUMIF('TL13'!$C$238:$C$451,$C144,'TL13'!$J$238:$J$451),0),
IF('TL14'!$B$3=K$3,SUMIF('TL14'!$C$10:$C$224,$C144,'TL14'!$J$10:$J$224),0),
IF('TL14'!$B$229=K$3,SUMIF('TL14'!$C$238:$C$451,$C144,'TL14'!$J$238:$J$451),0),
IF('TL15'!$B$3=K$3,SUMIF('TL15'!$C$10:$C$224,$C144,'TL15'!$J$10:$J$224),0),
IF('TL15'!$B$229=K$3,SUMIF('TL15'!$C$238:$C$451,$C144,'TL15'!$J$238:$J$451),0),
IF('TL16'!$B$3=K$3,SUMIF('TL16'!$C$10:$C$224,$C144,'TL16'!$J$10:$J$224),0),
IF('TL16'!$B$229=K$3,SUMIF('TL16'!$C$238:$C$451,$C144,'TL16'!$J$238:$J$451),0),
IF('TL17'!$B$3=K$3,SUMIF('TL17'!$C$10:$C$224,$C144,'TL17'!$J$10:$J$224),0),
IF('TL17'!$B$229=K$3,SUMIF('TL17'!$C$238:$C$451,$C144,'TL17'!$J$238:$J$451),0),
IF('TL18'!$B$3=K$3,SUMIF('TL18'!$C$10:$C$224,$C144,'TL18'!$J$10:$J$224),0),
IF('TL18'!$B$229=K$3,SUMIF('TL18'!$C$238:$C$451,$C144,'TL18'!$J$238:$J$451),0),
IF('TL19'!$B$3=K$3,SUMIF('TL19'!$C$10:$C$224,$C144,'TL19'!$J$10:$J$224),0),
IF('TL19'!$B$229=K$3,SUMIF('TL19'!$C$238:$C$451,$C144,'TL19'!$J$238:$J$451),0)
),0)</f>
        <v/>
      </c>
      <c r="L144" s="9">
        <f>IFERROR(SUM(
IF('TL01'!$B$3=L$3,SUMIF('TL01'!$C$10:$C$224,$C144,'TL01'!$J$10:$J$224),0),
IF('TL01'!$B$229=L$3,SUMIF('TL01'!$C$238:$C$451,$C144,'TL01'!$J$238:$J$451),0),
IF('TL02'!$B$3=L$3,SUMIF('TL02'!$C$10:$C$224,$C144,'TL02'!$J$10:$J$224),0),
IF('TL02'!$B$229=L$3,SUMIF('TL02'!$C$238:$C$451,$C144,'TL02'!$J$238:$J$451),0),
IF('TL03'!$B$3=L$3,SUMIF('TL03'!$C$10:$C$224,$C144,'TL03'!$J$10:$J$224),0),
IF('TL03'!$B$229=L$3,SUMIF('TL03'!$C$238:$C$451,$C144,'TL03'!$J$238:$J$451),0),
IF('TL04'!$B$3=L$3,SUMIF('TL04'!$C$10:$C$224,$C144,'TL04'!$J$10:$J$224),0),
IF('TL04'!$B$229=L$3,SUMIF('TL04'!$C$238:$C$451,$C144,'TL04'!$J$238:$J$451),0),
IF('TL05'!$B$3=L$3,SUMIF('TL05'!$C$10:$C$224,$C144,'TL05'!$J$10:$J$224),0),
IF('TL05'!$B$229=L$3,SUMIF('TL05'!$C$238:$C$451,$C144,'TL05'!$J$238:$J$451),0),
IF('TL06'!$B$3=L$3,SUMIF('TL06'!$C$10:$C$224,$C144,'TL06'!$J$10:$J$224),0),
IF('TL06'!$B$229=L$3,SUMIF('TL06'!$C$238:$C$451,$C144,'TL06'!$J$238:$J$451),0),
IF('TL07'!$B$3=L$3,SUMIF('TL07'!$C$10:$C$224,$C144,'TL07'!$J$10:$J$224),0),
IF('TL07'!$B$229=L$3,SUMIF('TL07'!$C$238:$C$451,$C144,'TL07'!$J$238:$J$451),0),
IF('TL08'!$B$3=L$3,SUMIF('TL08'!$C$10:$C$224,$C144,'TL08'!$J$10:$J$224),0),
IF('TL08'!$B$229=L$3,SUMIF('TL08'!$C$238:$C$451,$C144,'TL08'!$J$238:$J$451),0),
IF('TL09'!$B$3=L$3,SUMIF('TL09'!$C$10:$C$224,$C144,'TL09'!$J$10:$J$224),0),
IF('TL09'!$B$229=L$3,SUMIF('TL09'!$C$238:$C$451,$C144,'TL09'!$J$238:$J$451),0),
IF('TL10'!$B$3=L$3,SUMIF('TL10'!$C$10:$C$224,$C144,'TL10'!$J$10:$J$224),0),
IF('TL10'!$B$229=L$3,SUMIF('TL10'!$C$238:$C$451,$C144,'TL10'!$J$238:$J$451),0),
IF('TL11'!$B$3=L$3,SUMIF('TL11'!$C$10:$C$224,$C144,'TL11'!$J$10:$J$224),0),
IF('TL11'!$B$229=L$3,SUMIF('TL11'!$C$238:$C$451,$C144,'TL11'!$J$238:$J$451),0),
IF('TL12'!$B$3=L$3,SUMIF('TL12'!$C$10:$C$224,$C144,'TL12'!$J$10:$J$224),0),
IF('TL12'!$B$229=L$3,SUMIF('TL12'!$C$238:$C$451,$C144,'TL12'!$J$238:$J$451),0),
IF('TL13'!$B$3=L$3,SUMIF('TL13'!$C$10:$C$224,$C144,'TL13'!$J$10:$J$224),0),
IF('TL13'!$B$229=L$3,SUMIF('TL13'!$C$238:$C$451,$C144,'TL13'!$J$238:$J$451),0),
IF('TL14'!$B$3=L$3,SUMIF('TL14'!$C$10:$C$224,$C144,'TL14'!$J$10:$J$224),0),
IF('TL14'!$B$229=L$3,SUMIF('TL14'!$C$238:$C$451,$C144,'TL14'!$J$238:$J$451),0),
IF('TL15'!$B$3=L$3,SUMIF('TL15'!$C$10:$C$224,$C144,'TL15'!$J$10:$J$224),0),
IF('TL15'!$B$229=L$3,SUMIF('TL15'!$C$238:$C$451,$C144,'TL15'!$J$238:$J$451),0),
IF('TL16'!$B$3=L$3,SUMIF('TL16'!$C$10:$C$224,$C144,'TL16'!$J$10:$J$224),0),
IF('TL16'!$B$229=L$3,SUMIF('TL16'!$C$238:$C$451,$C144,'TL16'!$J$238:$J$451),0),
IF('TL17'!$B$3=L$3,SUMIF('TL17'!$C$10:$C$224,$C144,'TL17'!$J$10:$J$224),0),
IF('TL17'!$B$229=L$3,SUMIF('TL17'!$C$238:$C$451,$C144,'TL17'!$J$238:$J$451),0),
IF('TL18'!$B$3=L$3,SUMIF('TL18'!$C$10:$C$224,$C144,'TL18'!$J$10:$J$224),0),
IF('TL18'!$B$229=L$3,SUMIF('TL18'!$C$238:$C$451,$C144,'TL18'!$J$238:$J$451),0),
IF('TL19'!$B$3=L$3,SUMIF('TL19'!$C$10:$C$224,$C144,'TL19'!$J$10:$J$224),0),
IF('TL19'!$B$229=L$3,SUMIF('TL19'!$C$238:$C$451,$C144,'TL19'!$J$238:$J$451),0)
),0)</f>
        <v/>
      </c>
      <c r="M144" s="9">
        <f>IFERROR(SUM(
IF('TL01'!$B$3=M$3,SUMIF('TL01'!$C$10:$C$224,$C144,'TL01'!$J$10:$J$224),0),
IF('TL01'!$B$229=M$3,SUMIF('TL01'!$C$238:$C$451,$C144,'TL01'!$J$238:$J$451),0),
IF('TL02'!$B$3=M$3,SUMIF('TL02'!$C$10:$C$224,$C144,'TL02'!$J$10:$J$224),0),
IF('TL02'!$B$229=M$3,SUMIF('TL02'!$C$238:$C$451,$C144,'TL02'!$J$238:$J$451),0),
IF('TL03'!$B$3=M$3,SUMIF('TL03'!$C$10:$C$224,$C144,'TL03'!$J$10:$J$224),0),
IF('TL03'!$B$229=M$3,SUMIF('TL03'!$C$238:$C$451,$C144,'TL03'!$J$238:$J$451),0),
IF('TL04'!$B$3=M$3,SUMIF('TL04'!$C$10:$C$224,$C144,'TL04'!$J$10:$J$224),0),
IF('TL04'!$B$229=M$3,SUMIF('TL04'!$C$238:$C$451,$C144,'TL04'!$J$238:$J$451),0),
IF('TL05'!$B$3=M$3,SUMIF('TL05'!$C$10:$C$224,$C144,'TL05'!$J$10:$J$224),0),
IF('TL05'!$B$229=M$3,SUMIF('TL05'!$C$238:$C$451,$C144,'TL05'!$J$238:$J$451),0),
IF('TL06'!$B$3=M$3,SUMIF('TL06'!$C$10:$C$224,$C144,'TL06'!$J$10:$J$224),0),
IF('TL06'!$B$229=M$3,SUMIF('TL06'!$C$238:$C$451,$C144,'TL06'!$J$238:$J$451),0),
IF('TL07'!$B$3=M$3,SUMIF('TL07'!$C$10:$C$224,$C144,'TL07'!$J$10:$J$224),0),
IF('TL07'!$B$229=M$3,SUMIF('TL07'!$C$238:$C$451,$C144,'TL07'!$J$238:$J$451),0),
IF('TL08'!$B$3=M$3,SUMIF('TL08'!$C$10:$C$224,$C144,'TL08'!$J$10:$J$224),0),
IF('TL08'!$B$229=M$3,SUMIF('TL08'!$C$238:$C$451,$C144,'TL08'!$J$238:$J$451),0),
IF('TL09'!$B$3=M$3,SUMIF('TL09'!$C$10:$C$224,$C144,'TL09'!$J$10:$J$224),0),
IF('TL09'!$B$229=M$3,SUMIF('TL09'!$C$238:$C$451,$C144,'TL09'!$J$238:$J$451),0),
IF('TL10'!$B$3=M$3,SUMIF('TL10'!$C$10:$C$224,$C144,'TL10'!$J$10:$J$224),0),
IF('TL10'!$B$229=M$3,SUMIF('TL10'!$C$238:$C$451,$C144,'TL10'!$J$238:$J$451),0),
IF('TL11'!$B$3=M$3,SUMIF('TL11'!$C$10:$C$224,$C144,'TL11'!$J$10:$J$224),0),
IF('TL11'!$B$229=M$3,SUMIF('TL11'!$C$238:$C$451,$C144,'TL11'!$J$238:$J$451),0),
IF('TL12'!$B$3=M$3,SUMIF('TL12'!$C$10:$C$224,$C144,'TL12'!$J$10:$J$224),0),
IF('TL12'!$B$229=M$3,SUMIF('TL12'!$C$238:$C$451,$C144,'TL12'!$J$238:$J$451),0),
IF('TL13'!$B$3=M$3,SUMIF('TL13'!$C$10:$C$224,$C144,'TL13'!$J$10:$J$224),0),
IF('TL13'!$B$229=M$3,SUMIF('TL13'!$C$238:$C$451,$C144,'TL13'!$J$238:$J$451),0),
IF('TL14'!$B$3=M$3,SUMIF('TL14'!$C$10:$C$224,$C144,'TL14'!$J$10:$J$224),0),
IF('TL14'!$B$229=M$3,SUMIF('TL14'!$C$238:$C$451,$C144,'TL14'!$J$238:$J$451),0),
IF('TL15'!$B$3=M$3,SUMIF('TL15'!$C$10:$C$224,$C144,'TL15'!$J$10:$J$224),0),
IF('TL15'!$B$229=M$3,SUMIF('TL15'!$C$238:$C$451,$C144,'TL15'!$J$238:$J$451),0),
IF('TL16'!$B$3=M$3,SUMIF('TL16'!$C$10:$C$224,$C144,'TL16'!$J$10:$J$224),0),
IF('TL16'!$B$229=M$3,SUMIF('TL16'!$C$238:$C$451,$C144,'TL16'!$J$238:$J$451),0),
IF('TL17'!$B$3=M$3,SUMIF('TL17'!$C$10:$C$224,$C144,'TL17'!$J$10:$J$224),0),
IF('TL17'!$B$229=M$3,SUMIF('TL17'!$C$238:$C$451,$C144,'TL17'!$J$238:$J$451),0),
IF('TL18'!$B$3=M$3,SUMIF('TL18'!$C$10:$C$224,$C144,'TL18'!$J$10:$J$224),0),
IF('TL18'!$B$229=M$3,SUMIF('TL18'!$C$238:$C$451,$C144,'TL18'!$J$238:$J$451),0),
IF('TL19'!$B$3=M$3,SUMIF('TL19'!$C$10:$C$224,$C144,'TL19'!$J$10:$J$224),0),
IF('TL19'!$B$229=M$3,SUMIF('TL19'!$C$238:$C$451,$C144,'TL19'!$J$238:$J$451),0)
),0)</f>
        <v/>
      </c>
      <c r="N144" s="9">
        <f>IFERROR(SUM(
IF('TL01'!$B$3=N$3,SUMIF('TL01'!$C$10:$C$224,$C144,'TL01'!$J$10:$J$224),0),
IF('TL01'!$B$229=N$3,SUMIF('TL01'!$C$238:$C$451,$C144,'TL01'!$J$238:$J$451),0),
IF('TL02'!$B$3=N$3,SUMIF('TL02'!$C$10:$C$224,$C144,'TL02'!$J$10:$J$224),0),
IF('TL02'!$B$229=N$3,SUMIF('TL02'!$C$238:$C$451,$C144,'TL02'!$J$238:$J$451),0),
IF('TL03'!$B$3=N$3,SUMIF('TL03'!$C$10:$C$224,$C144,'TL03'!$J$10:$J$224),0),
IF('TL03'!$B$229=N$3,SUMIF('TL03'!$C$238:$C$451,$C144,'TL03'!$J$238:$J$451),0),
IF('TL04'!$B$3=N$3,SUMIF('TL04'!$C$10:$C$224,$C144,'TL04'!$J$10:$J$224),0),
IF('TL04'!$B$229=N$3,SUMIF('TL04'!$C$238:$C$451,$C144,'TL04'!$J$238:$J$451),0),
IF('TL05'!$B$3=N$3,SUMIF('TL05'!$C$10:$C$224,$C144,'TL05'!$J$10:$J$224),0),
IF('TL05'!$B$229=N$3,SUMIF('TL05'!$C$238:$C$451,$C144,'TL05'!$J$238:$J$451),0),
IF('TL06'!$B$3=N$3,SUMIF('TL06'!$C$10:$C$224,$C144,'TL06'!$J$10:$J$224),0),
IF('TL06'!$B$229=N$3,SUMIF('TL06'!$C$238:$C$451,$C144,'TL06'!$J$238:$J$451),0),
IF('TL07'!$B$3=N$3,SUMIF('TL07'!$C$10:$C$224,$C144,'TL07'!$J$10:$J$224),0),
IF('TL07'!$B$229=N$3,SUMIF('TL07'!$C$238:$C$451,$C144,'TL07'!$J$238:$J$451),0),
IF('TL08'!$B$3=N$3,SUMIF('TL08'!$C$10:$C$224,$C144,'TL08'!$J$10:$J$224),0),
IF('TL08'!$B$229=N$3,SUMIF('TL08'!$C$238:$C$451,$C144,'TL08'!$J$238:$J$451),0),
IF('TL09'!$B$3=N$3,SUMIF('TL09'!$C$10:$C$224,$C144,'TL09'!$J$10:$J$224),0),
IF('TL09'!$B$229=N$3,SUMIF('TL09'!$C$238:$C$451,$C144,'TL09'!$J$238:$J$451),0),
IF('TL10'!$B$3=N$3,SUMIF('TL10'!$C$10:$C$224,$C144,'TL10'!$J$10:$J$224),0),
IF('TL10'!$B$229=N$3,SUMIF('TL10'!$C$238:$C$451,$C144,'TL10'!$J$238:$J$451),0),
IF('TL11'!$B$3=N$3,SUMIF('TL11'!$C$10:$C$224,$C144,'TL11'!$J$10:$J$224),0),
IF('TL11'!$B$229=N$3,SUMIF('TL11'!$C$238:$C$451,$C144,'TL11'!$J$238:$J$451),0),
IF('TL12'!$B$3=N$3,SUMIF('TL12'!$C$10:$C$224,$C144,'TL12'!$J$10:$J$224),0),
IF('TL12'!$B$229=N$3,SUMIF('TL12'!$C$238:$C$451,$C144,'TL12'!$J$238:$J$451),0),
IF('TL13'!$B$3=N$3,SUMIF('TL13'!$C$10:$C$224,$C144,'TL13'!$J$10:$J$224),0),
IF('TL13'!$B$229=N$3,SUMIF('TL13'!$C$238:$C$451,$C144,'TL13'!$J$238:$J$451),0),
IF('TL14'!$B$3=N$3,SUMIF('TL14'!$C$10:$C$224,$C144,'TL14'!$J$10:$J$224),0),
IF('TL14'!$B$229=N$3,SUMIF('TL14'!$C$238:$C$451,$C144,'TL14'!$J$238:$J$451),0),
IF('TL15'!$B$3=N$3,SUMIF('TL15'!$C$10:$C$224,$C144,'TL15'!$J$10:$J$224),0),
IF('TL15'!$B$229=N$3,SUMIF('TL15'!$C$238:$C$451,$C144,'TL15'!$J$238:$J$451),0),
IF('TL16'!$B$3=N$3,SUMIF('TL16'!$C$10:$C$224,$C144,'TL16'!$J$10:$J$224),0),
IF('TL16'!$B$229=N$3,SUMIF('TL16'!$C$238:$C$451,$C144,'TL16'!$J$238:$J$451),0),
IF('TL17'!$B$3=N$3,SUMIF('TL17'!$C$10:$C$224,$C144,'TL17'!$J$10:$J$224),0),
IF('TL17'!$B$229=N$3,SUMIF('TL17'!$C$238:$C$451,$C144,'TL17'!$J$238:$J$451),0),
IF('TL18'!$B$3=N$3,SUMIF('TL18'!$C$10:$C$224,$C144,'TL18'!$J$10:$J$224),0),
IF('TL18'!$B$229=N$3,SUMIF('TL18'!$C$238:$C$451,$C144,'TL18'!$J$238:$J$451),0),
IF('TL19'!$B$3=N$3,SUMIF('TL19'!$C$10:$C$224,$C144,'TL19'!$J$10:$J$224),0),
IF('TL19'!$B$229=N$3,SUMIF('TL19'!$C$238:$C$451,$C144,'TL19'!$J$238:$J$451),0)
),0)</f>
        <v/>
      </c>
      <c r="O144" s="9">
        <f>IFERROR(SUM(
IF('TL01'!$B$3=O$3,SUMIF('TL01'!$C$10:$C$224,$C144,'TL01'!$J$10:$J$224),0),
IF('TL01'!$B$229=O$3,SUMIF('TL01'!$C$238:$C$451,$C144,'TL01'!$J$238:$J$451),0),
IF('TL02'!$B$3=O$3,SUMIF('TL02'!$C$10:$C$224,$C144,'TL02'!$J$10:$J$224),0),
IF('TL02'!$B$229=O$3,SUMIF('TL02'!$C$238:$C$451,$C144,'TL02'!$J$238:$J$451),0),
IF('TL03'!$B$3=O$3,SUMIF('TL03'!$C$10:$C$224,$C144,'TL03'!$J$10:$J$224),0),
IF('TL03'!$B$229=O$3,SUMIF('TL03'!$C$238:$C$451,$C144,'TL03'!$J$238:$J$451),0),
IF('TL04'!$B$3=O$3,SUMIF('TL04'!$C$10:$C$224,$C144,'TL04'!$J$10:$J$224),0),
IF('TL04'!$B$229=O$3,SUMIF('TL04'!$C$238:$C$451,$C144,'TL04'!$J$238:$J$451),0),
IF('TL05'!$B$3=O$3,SUMIF('TL05'!$C$10:$C$224,$C144,'TL05'!$J$10:$J$224),0),
IF('TL05'!$B$229=O$3,SUMIF('TL05'!$C$238:$C$451,$C144,'TL05'!$J$238:$J$451),0),
IF('TL06'!$B$3=O$3,SUMIF('TL06'!$C$10:$C$224,$C144,'TL06'!$J$10:$J$224),0),
IF('TL06'!$B$229=O$3,SUMIF('TL06'!$C$238:$C$451,$C144,'TL06'!$J$238:$J$451),0),
IF('TL07'!$B$3=O$3,SUMIF('TL07'!$C$10:$C$224,$C144,'TL07'!$J$10:$J$224),0),
IF('TL07'!$B$229=O$3,SUMIF('TL07'!$C$238:$C$451,$C144,'TL07'!$J$238:$J$451),0),
IF('TL08'!$B$3=O$3,SUMIF('TL08'!$C$10:$C$224,$C144,'TL08'!$J$10:$J$224),0),
IF('TL08'!$B$229=O$3,SUMIF('TL08'!$C$238:$C$451,$C144,'TL08'!$J$238:$J$451),0),
IF('TL09'!$B$3=O$3,SUMIF('TL09'!$C$10:$C$224,$C144,'TL09'!$J$10:$J$224),0),
IF('TL09'!$B$229=O$3,SUMIF('TL09'!$C$238:$C$451,$C144,'TL09'!$J$238:$J$451),0),
IF('TL10'!$B$3=O$3,SUMIF('TL10'!$C$10:$C$224,$C144,'TL10'!$J$10:$J$224),0),
IF('TL10'!$B$229=O$3,SUMIF('TL10'!$C$238:$C$451,$C144,'TL10'!$J$238:$J$451),0),
IF('TL11'!$B$3=O$3,SUMIF('TL11'!$C$10:$C$224,$C144,'TL11'!$J$10:$J$224),0),
IF('TL11'!$B$229=O$3,SUMIF('TL11'!$C$238:$C$451,$C144,'TL11'!$J$238:$J$451),0),
IF('TL12'!$B$3=O$3,SUMIF('TL12'!$C$10:$C$224,$C144,'TL12'!$J$10:$J$224),0),
IF('TL12'!$B$229=O$3,SUMIF('TL12'!$C$238:$C$451,$C144,'TL12'!$J$238:$J$451),0),
IF('TL13'!$B$3=O$3,SUMIF('TL13'!$C$10:$C$224,$C144,'TL13'!$J$10:$J$224),0),
IF('TL13'!$B$229=O$3,SUMIF('TL13'!$C$238:$C$451,$C144,'TL13'!$J$238:$J$451),0),
IF('TL14'!$B$3=O$3,SUMIF('TL14'!$C$10:$C$224,$C144,'TL14'!$J$10:$J$224),0),
IF('TL14'!$B$229=O$3,SUMIF('TL14'!$C$238:$C$451,$C144,'TL14'!$J$238:$J$451),0),
IF('TL15'!$B$3=O$3,SUMIF('TL15'!$C$10:$C$224,$C144,'TL15'!$J$10:$J$224),0),
IF('TL15'!$B$229=O$3,SUMIF('TL15'!$C$238:$C$451,$C144,'TL15'!$J$238:$J$451),0),
IF('TL16'!$B$3=O$3,SUMIF('TL16'!$C$10:$C$224,$C144,'TL16'!$J$10:$J$224),0),
IF('TL16'!$B$229=O$3,SUMIF('TL16'!$C$238:$C$451,$C144,'TL16'!$J$238:$J$451),0),
IF('TL17'!$B$3=O$3,SUMIF('TL17'!$C$10:$C$224,$C144,'TL17'!$J$10:$J$224),0),
IF('TL17'!$B$229=O$3,SUMIF('TL17'!$C$238:$C$451,$C144,'TL17'!$J$238:$J$451),0),
IF('TL18'!$B$3=O$3,SUMIF('TL18'!$C$10:$C$224,$C144,'TL18'!$J$10:$J$224),0),
IF('TL18'!$B$229=O$3,SUMIF('TL18'!$C$238:$C$451,$C144,'TL18'!$J$238:$J$451),0),
IF('TL19'!$B$3=O$3,SUMIF('TL19'!$C$10:$C$224,$C144,'TL19'!$J$10:$J$224),0),
IF('TL19'!$B$229=O$3,SUMIF('TL19'!$C$238:$C$451,$C144,'TL19'!$J$238:$J$451),0)
),0)</f>
        <v/>
      </c>
      <c r="P144" s="9">
        <f>IFERROR(SUM(
IF('TL01'!$B$3=P$3,SUMIF('TL01'!$C$10:$C$224,$C144,'TL01'!$J$10:$J$224),0),
IF('TL01'!$B$229=P$3,SUMIF('TL01'!$C$238:$C$451,$C144,'TL01'!$J$238:$J$451),0),
IF('TL02'!$B$3=P$3,SUMIF('TL02'!$C$10:$C$224,$C144,'TL02'!$J$10:$J$224),0),
IF('TL02'!$B$229=P$3,SUMIF('TL02'!$C$238:$C$451,$C144,'TL02'!$J$238:$J$451),0),
IF('TL03'!$B$3=P$3,SUMIF('TL03'!$C$10:$C$224,$C144,'TL03'!$J$10:$J$224),0),
IF('TL03'!$B$229=P$3,SUMIF('TL03'!$C$238:$C$451,$C144,'TL03'!$J$238:$J$451),0),
IF('TL04'!$B$3=P$3,SUMIF('TL04'!$C$10:$C$224,$C144,'TL04'!$J$10:$J$224),0),
IF('TL04'!$B$229=P$3,SUMIF('TL04'!$C$238:$C$451,$C144,'TL04'!$J$238:$J$451),0),
IF('TL05'!$B$3=P$3,SUMIF('TL05'!$C$10:$C$224,$C144,'TL05'!$J$10:$J$224),0),
IF('TL05'!$B$229=P$3,SUMIF('TL05'!$C$238:$C$451,$C144,'TL05'!$J$238:$J$451),0),
IF('TL06'!$B$3=P$3,SUMIF('TL06'!$C$10:$C$224,$C144,'TL06'!$J$10:$J$224),0),
IF('TL06'!$B$229=P$3,SUMIF('TL06'!$C$238:$C$451,$C144,'TL06'!$J$238:$J$451),0),
IF('TL07'!$B$3=P$3,SUMIF('TL07'!$C$10:$C$224,$C144,'TL07'!$J$10:$J$224),0),
IF('TL07'!$B$229=P$3,SUMIF('TL07'!$C$238:$C$451,$C144,'TL07'!$J$238:$J$451),0),
IF('TL08'!$B$3=P$3,SUMIF('TL08'!$C$10:$C$224,$C144,'TL08'!$J$10:$J$224),0),
IF('TL08'!$B$229=P$3,SUMIF('TL08'!$C$238:$C$451,$C144,'TL08'!$J$238:$J$451),0),
IF('TL09'!$B$3=P$3,SUMIF('TL09'!$C$10:$C$224,$C144,'TL09'!$J$10:$J$224),0),
IF('TL09'!$B$229=P$3,SUMIF('TL09'!$C$238:$C$451,$C144,'TL09'!$J$238:$J$451),0),
IF('TL10'!$B$3=P$3,SUMIF('TL10'!$C$10:$C$224,$C144,'TL10'!$J$10:$J$224),0),
IF('TL10'!$B$229=P$3,SUMIF('TL10'!$C$238:$C$451,$C144,'TL10'!$J$238:$J$451),0),
IF('TL11'!$B$3=P$3,SUMIF('TL11'!$C$10:$C$224,$C144,'TL11'!$J$10:$J$224),0),
IF('TL11'!$B$229=P$3,SUMIF('TL11'!$C$238:$C$451,$C144,'TL11'!$J$238:$J$451),0),
IF('TL12'!$B$3=P$3,SUMIF('TL12'!$C$10:$C$224,$C144,'TL12'!$J$10:$J$224),0),
IF('TL12'!$B$229=P$3,SUMIF('TL12'!$C$238:$C$451,$C144,'TL12'!$J$238:$J$451),0),
IF('TL13'!$B$3=P$3,SUMIF('TL13'!$C$10:$C$224,$C144,'TL13'!$J$10:$J$224),0),
IF('TL13'!$B$229=P$3,SUMIF('TL13'!$C$238:$C$451,$C144,'TL13'!$J$238:$J$451),0),
IF('TL14'!$B$3=P$3,SUMIF('TL14'!$C$10:$C$224,$C144,'TL14'!$J$10:$J$224),0),
IF('TL14'!$B$229=P$3,SUMIF('TL14'!$C$238:$C$451,$C144,'TL14'!$J$238:$J$451),0),
IF('TL15'!$B$3=P$3,SUMIF('TL15'!$C$10:$C$224,$C144,'TL15'!$J$10:$J$224),0),
IF('TL15'!$B$229=P$3,SUMIF('TL15'!$C$238:$C$451,$C144,'TL15'!$J$238:$J$451),0),
IF('TL16'!$B$3=P$3,SUMIF('TL16'!$C$10:$C$224,$C144,'TL16'!$J$10:$J$224),0),
IF('TL16'!$B$229=P$3,SUMIF('TL16'!$C$238:$C$451,$C144,'TL16'!$J$238:$J$451),0),
IF('TL17'!$B$3=P$3,SUMIF('TL17'!$C$10:$C$224,$C144,'TL17'!$J$10:$J$224),0),
IF('TL17'!$B$229=P$3,SUMIF('TL17'!$C$238:$C$451,$C144,'TL17'!$J$238:$J$451),0),
IF('TL18'!$B$3=P$3,SUMIF('TL18'!$C$10:$C$224,$C144,'TL18'!$J$10:$J$224),0),
IF('TL18'!$B$229=P$3,SUMIF('TL18'!$C$238:$C$451,$C144,'TL18'!$J$238:$J$451),0),
IF('TL19'!$B$3=P$3,SUMIF('TL19'!$C$10:$C$224,$C144,'TL19'!$J$10:$J$224),0),
IF('TL19'!$B$229=P$3,SUMIF('TL19'!$C$238:$C$451,$C144,'TL19'!$J$238:$J$451),0)
),0)</f>
        <v/>
      </c>
      <c r="Q144" s="9">
        <f>IFERROR(SUM(
IF('TL01'!$B$3=Q$3,SUMIF('TL01'!$C$10:$C$224,$C144,'TL01'!$J$10:$J$224),0),
IF('TL01'!$B$229=Q$3,SUMIF('TL01'!$C$238:$C$451,$C144,'TL01'!$J$238:$J$451),0),
IF('TL02'!$B$3=Q$3,SUMIF('TL02'!$C$10:$C$224,$C144,'TL02'!$J$10:$J$224),0),
IF('TL02'!$B$229=Q$3,SUMIF('TL02'!$C$238:$C$451,$C144,'TL02'!$J$238:$J$451),0),
IF('TL03'!$B$3=Q$3,SUMIF('TL03'!$C$10:$C$224,$C144,'TL03'!$J$10:$J$224),0),
IF('TL03'!$B$229=Q$3,SUMIF('TL03'!$C$238:$C$451,$C144,'TL03'!$J$238:$J$451),0),
IF('TL04'!$B$3=Q$3,SUMIF('TL04'!$C$10:$C$224,$C144,'TL04'!$J$10:$J$224),0),
IF('TL04'!$B$229=Q$3,SUMIF('TL04'!$C$238:$C$451,$C144,'TL04'!$J$238:$J$451),0),
IF('TL05'!$B$3=Q$3,SUMIF('TL05'!$C$10:$C$224,$C144,'TL05'!$J$10:$J$224),0),
IF('TL05'!$B$229=Q$3,SUMIF('TL05'!$C$238:$C$451,$C144,'TL05'!$J$238:$J$451),0),
IF('TL06'!$B$3=Q$3,SUMIF('TL06'!$C$10:$C$224,$C144,'TL06'!$J$10:$J$224),0),
IF('TL06'!$B$229=Q$3,SUMIF('TL06'!$C$238:$C$451,$C144,'TL06'!$J$238:$J$451),0),
IF('TL07'!$B$3=Q$3,SUMIF('TL07'!$C$10:$C$224,$C144,'TL07'!$J$10:$J$224),0),
IF('TL07'!$B$229=Q$3,SUMIF('TL07'!$C$238:$C$451,$C144,'TL07'!$J$238:$J$451),0),
IF('TL08'!$B$3=Q$3,SUMIF('TL08'!$C$10:$C$224,$C144,'TL08'!$J$10:$J$224),0),
IF('TL08'!$B$229=Q$3,SUMIF('TL08'!$C$238:$C$451,$C144,'TL08'!$J$238:$J$451),0),
IF('TL09'!$B$3=Q$3,SUMIF('TL09'!$C$10:$C$224,$C144,'TL09'!$J$10:$J$224),0),
IF('TL09'!$B$229=Q$3,SUMIF('TL09'!$C$238:$C$451,$C144,'TL09'!$J$238:$J$451),0),
IF('TL10'!$B$3=Q$3,SUMIF('TL10'!$C$10:$C$224,$C144,'TL10'!$J$10:$J$224),0),
IF('TL10'!$B$229=Q$3,SUMIF('TL10'!$C$238:$C$451,$C144,'TL10'!$J$238:$J$451),0),
IF('TL11'!$B$3=Q$3,SUMIF('TL11'!$C$10:$C$224,$C144,'TL11'!$J$10:$J$224),0),
IF('TL11'!$B$229=Q$3,SUMIF('TL11'!$C$238:$C$451,$C144,'TL11'!$J$238:$J$451),0),
IF('TL12'!$B$3=Q$3,SUMIF('TL12'!$C$10:$C$224,$C144,'TL12'!$J$10:$J$224),0),
IF('TL12'!$B$229=Q$3,SUMIF('TL12'!$C$238:$C$451,$C144,'TL12'!$J$238:$J$451),0),
IF('TL13'!$B$3=Q$3,SUMIF('TL13'!$C$10:$C$224,$C144,'TL13'!$J$10:$J$224),0),
IF('TL13'!$B$229=Q$3,SUMIF('TL13'!$C$238:$C$451,$C144,'TL13'!$J$238:$J$451),0),
IF('TL14'!$B$3=Q$3,SUMIF('TL14'!$C$10:$C$224,$C144,'TL14'!$J$10:$J$224),0),
IF('TL14'!$B$229=Q$3,SUMIF('TL14'!$C$238:$C$451,$C144,'TL14'!$J$238:$J$451),0),
IF('TL15'!$B$3=Q$3,SUMIF('TL15'!$C$10:$C$224,$C144,'TL15'!$J$10:$J$224),0),
IF('TL15'!$B$229=Q$3,SUMIF('TL15'!$C$238:$C$451,$C144,'TL15'!$J$238:$J$451),0),
IF('TL16'!$B$3=Q$3,SUMIF('TL16'!$C$10:$C$224,$C144,'TL16'!$J$10:$J$224),0),
IF('TL16'!$B$229=Q$3,SUMIF('TL16'!$C$238:$C$451,$C144,'TL16'!$J$238:$J$451),0),
IF('TL17'!$B$3=Q$3,SUMIF('TL17'!$C$10:$C$224,$C144,'TL17'!$J$10:$J$224),0),
IF('TL17'!$B$229=Q$3,SUMIF('TL17'!$C$238:$C$451,$C144,'TL17'!$J$238:$J$451),0),
IF('TL18'!$B$3=Q$3,SUMIF('TL18'!$C$10:$C$224,$C144,'TL18'!$J$10:$J$224),0),
IF('TL18'!$B$229=Q$3,SUMIF('TL18'!$C$238:$C$451,$C144,'TL18'!$J$238:$J$451),0),
IF('TL19'!$B$3=Q$3,SUMIF('TL19'!$C$10:$C$224,$C144,'TL19'!$J$10:$J$224),0),
IF('TL19'!$B$229=Q$3,SUMIF('TL19'!$C$238:$C$451,$C144,'TL19'!$J$238:$J$451),0)
),0)</f>
        <v/>
      </c>
      <c r="R144" s="9">
        <f>IFERROR(
SUM(
SUMIF('TL01'!C:C,C144,'TL01'!J:J),
SUMIF('TL02'!C:C,C144,'TL02'!J:J),
SUMIF('TL03'!C:C,C144,'TL03'!J:J),
SUMIF('TL04'!C:C,C144,'TL04'!J:J),
SUMIF('TL05'!C:C,C144,'TL05'!J:J),
SUMIF('TL06'!C:C,C144,'TL06'!J:J),
SUMIF('TL07'!C:C,C144,'TL07'!J:J),
SUMIF('TL08'!C:C,C144,'TL08'!J:J),
SUMIF('TL09'!C:C,C144,'TL09'!J:J),
SUMIF('TL10'!C:C,C144,'TL10'!J:J),
SUMIF('TL11'!C:C,C144,'TL11'!J:J),
SUMIF('TL12'!C:C,C144,'TL12'!J:J),
SUMIF('TL13'!C:C,C144,'TL13'!J:J),
SUMIF('TL14'!C:C,C144,'TL14'!J:J),
SUMIF('TL15'!C:C,C144,'TL15'!J:J),
SUMIF('TL16'!C:C,C144,'TL16'!J:J),
SUMIF('TL17'!C:C,C144,'TL17'!J:J),
SUMIF('TL18'!C:C,C144,'TL18'!J:J),SUMIF('TL19'!C:C,C144,'TL19'!J:J))
,0)</f>
        <v/>
      </c>
      <c r="S144" s="17">
        <f>IFERROR(__xludf.DUMMYFUNCTION("IFERROR(VLOOKUP(C144,
IMPORTRANGE(""1wULbzX32WdYsx-lj2U3uUNBBe2INVIRDtcK0d-Dvl90"",
""26-27!C:G""),
5,
FALSE),
"""")"),68.11117999999999)</f>
        <v/>
      </c>
      <c r="T144" s="118" t="n">
        <v>390</v>
      </c>
      <c r="U144" s="92">
        <f>MAX(0,R144-T144)</f>
        <v/>
      </c>
      <c r="V144" s="93">
        <f>U144*S144</f>
        <v/>
      </c>
    </row>
    <row r="145" hidden="1" ht="15.75" customHeight="1" s="297">
      <c r="A145" s="111" t="inlineStr">
        <is>
          <t>NORTOX</t>
        </is>
      </c>
      <c r="B145" s="112" t="inlineStr">
        <is>
          <t>HERBICIDA</t>
        </is>
      </c>
      <c r="C145" s="113" t="inlineStr">
        <is>
          <t>ARKEIRO NORTOX</t>
        </is>
      </c>
      <c r="D145" s="113" t="inlineStr">
        <is>
          <t>CLORIMUROM-ETÍLICO + FLUMIOXAZINA + IMAZETAPIR</t>
        </is>
      </c>
      <c r="E145" s="113" t="inlineStr">
        <is>
          <t>100 + 200 + 400</t>
        </is>
      </c>
      <c r="F145" s="4" t="inlineStr">
        <is>
          <t>L</t>
        </is>
      </c>
      <c r="G145" s="90">
        <f>HYPERLINK("https://www.google.com/search?q=" &amp; C145 &amp; "+bula+agrofit+pdf", "📄 Ver bula")</f>
        <v/>
      </c>
      <c r="H145" s="9">
        <f>IFERROR(__xludf.DUMMYFUNCTION("IFERROR(VLOOKUP(C145,
IMPORTRANGE(""1wULbzX32WdYsx-lj2U3uUNBBe2INVIRDtcK0d-Dvl90"",
""26-27!C:K""),
8,
FALSE),
"""")"),"")</f>
        <v/>
      </c>
      <c r="I145" s="114" t="inlineStr">
        <is>
          <t>4X5</t>
        </is>
      </c>
      <c r="J145" s="9">
        <f>IFERROR(SUM(
IF('TL01'!$B$3=J$3,SUMIF('TL01'!$C$10:$C$224,$C145,'TL01'!$J$10:$J$224),0),
IF('TL01'!$B$229=J$3,SUMIF('TL01'!$C$238:$C$451,$C145,'TL01'!$J$238:$J$451),0),
IF('TL02'!$B$3=J$3,SUMIF('TL02'!$C$10:$C$224,$C145,'TL02'!$J$10:$J$224),0),
IF('TL02'!$B$229=J$3,SUMIF('TL02'!$C$238:$C$451,$C145,'TL02'!$J$238:$J$451),0),
IF('TL03'!$B$3=J$3,SUMIF('TL03'!$C$10:$C$224,$C145,'TL03'!$J$10:$J$224),0),
IF('TL03'!$B$229=J$3,SUMIF('TL03'!$C$238:$C$451,$C145,'TL03'!$J$238:$J$451),0),
IF('TL04'!$B$3=J$3,SUMIF('TL04'!$C$10:$C$224,$C145,'TL04'!$J$10:$J$224),0),
IF('TL04'!$B$229=J$3,SUMIF('TL04'!$C$238:$C$451,$C145,'TL04'!$J$238:$J$451),0),
IF('TL05'!$B$3=J$3,SUMIF('TL05'!$C$10:$C$224,$C145,'TL05'!$J$10:$J$224),0),
IF('TL05'!$B$229=J$3,SUMIF('TL05'!$C$238:$C$451,$C145,'TL05'!$J$238:$J$451),0),
IF('TL06'!$B$3=J$3,SUMIF('TL06'!$C$10:$C$224,$C145,'TL06'!$J$10:$J$224),0),
IF('TL06'!$B$229=J$3,SUMIF('TL06'!$C$238:$C$451,$C145,'TL06'!$J$238:$J$451),0),
IF('TL07'!$B$3=J$3,SUMIF('TL07'!$C$10:$C$224,$C145,'TL07'!$J$10:$J$224),0),
IF('TL07'!$B$229=J$3,SUMIF('TL07'!$C$238:$C$451,$C145,'TL07'!$J$238:$J$451),0),
IF('TL08'!$B$3=J$3,SUMIF('TL08'!$C$10:$C$224,$C145,'TL08'!$J$10:$J$224),0),
IF('TL08'!$B$229=J$3,SUMIF('TL08'!$C$238:$C$451,$C145,'TL08'!$J$238:$J$451),0),
IF('TL09'!$B$3=J$3,SUMIF('TL09'!$C$10:$C$224,$C145,'TL09'!$J$10:$J$224),0),
IF('TL09'!$B$229=J$3,SUMIF('TL09'!$C$238:$C$451,$C145,'TL09'!$J$238:$J$451),0),
IF('TL10'!$B$3=J$3,SUMIF('TL10'!$C$10:$C$224,$C145,'TL10'!$J$10:$J$224),0),
IF('TL10'!$B$229=J$3,SUMIF('TL10'!$C$238:$C$451,$C145,'TL10'!$J$238:$J$451),0),
IF('TL11'!$B$3=J$3,SUMIF('TL11'!$C$10:$C$224,$C145,'TL11'!$J$10:$J$224),0),
IF('TL11'!$B$229=J$3,SUMIF('TL11'!$C$238:$C$451,$C145,'TL11'!$J$238:$J$451),0),
IF('TL12'!$B$3=J$3,SUMIF('TL12'!$C$10:$C$224,$C145,'TL12'!$J$10:$J$224),0),
IF('TL12'!$B$229=J$3,SUMIF('TL12'!$C$238:$C$451,$C145,'TL12'!$J$238:$J$451),0),
IF('TL13'!$B$3=J$3,SUMIF('TL13'!$C$10:$C$224,$C145,'TL13'!$J$10:$J$224),0),
IF('TL13'!$B$229=J$3,SUMIF('TL13'!$C$238:$C$451,$C145,'TL13'!$J$238:$J$451),0),
IF('TL14'!$B$3=J$3,SUMIF('TL14'!$C$10:$C$224,$C145,'TL14'!$J$10:$J$224),0),
IF('TL14'!$B$229=J$3,SUMIF('TL14'!$C$238:$C$451,$C145,'TL14'!$J$238:$J$451),0),
IF('TL15'!$B$3=J$3,SUMIF('TL15'!$C$10:$C$224,$C145,'TL15'!$J$10:$J$224),0),
IF('TL15'!$B$229=J$3,SUMIF('TL15'!$C$238:$C$451,$C145,'TL15'!$J$238:$J$451),0),
IF('TL16'!$B$3=J$3,SUMIF('TL16'!$C$10:$C$224,$C145,'TL16'!$J$10:$J$224),0),
IF('TL16'!$B$229=J$3,SUMIF('TL16'!$C$238:$C$451,$C145,'TL16'!$J$238:$J$451),0),
IF('TL17'!$B$3=J$3,SUMIF('TL17'!$C$10:$C$224,$C145,'TL17'!$J$10:$J$224),0),
IF('TL17'!$B$229=J$3,SUMIF('TL17'!$C$238:$C$451,$C145,'TL17'!$J$238:$J$451),0),
IF('TL18'!$B$3=J$3,SUMIF('TL18'!$C$10:$C$224,$C145,'TL18'!$J$10:$J$224),0),
IF('TL18'!$B$229=J$3,SUMIF('TL18'!$C$238:$C$451,$C145,'TL18'!$J$238:$J$451),0),
IF('TL19'!$B$3=J$3,SUMIF('TL19'!$C$10:$C$224,$C145,'TL19'!$J$10:$J$224),0),
IF('TL19'!$B$229=J$3,SUMIF('TL19'!$C$238:$C$451,$C145,'TL19'!$J$238:$J$451),0)
),0)</f>
        <v/>
      </c>
      <c r="K145" s="9">
        <f>IFERROR(SUM(
IF('TL01'!$B$3=K$3,SUMIF('TL01'!$C$10:$C$224,$C145,'TL01'!$J$10:$J$224),0),
IF('TL01'!$B$229=K$3,SUMIF('TL01'!$C$238:$C$451,$C145,'TL01'!$J$238:$J$451),0),
IF('TL02'!$B$3=K$3,SUMIF('TL02'!$C$10:$C$224,$C145,'TL02'!$J$10:$J$224),0),
IF('TL02'!$B$229=K$3,SUMIF('TL02'!$C$238:$C$451,$C145,'TL02'!$J$238:$J$451),0),
IF('TL03'!$B$3=K$3,SUMIF('TL03'!$C$10:$C$224,$C145,'TL03'!$J$10:$J$224),0),
IF('TL03'!$B$229=K$3,SUMIF('TL03'!$C$238:$C$451,$C145,'TL03'!$J$238:$J$451),0),
IF('TL04'!$B$3=K$3,SUMIF('TL04'!$C$10:$C$224,$C145,'TL04'!$J$10:$J$224),0),
IF('TL04'!$B$229=K$3,SUMIF('TL04'!$C$238:$C$451,$C145,'TL04'!$J$238:$J$451),0),
IF('TL05'!$B$3=K$3,SUMIF('TL05'!$C$10:$C$224,$C145,'TL05'!$J$10:$J$224),0),
IF('TL05'!$B$229=K$3,SUMIF('TL05'!$C$238:$C$451,$C145,'TL05'!$J$238:$J$451),0),
IF('TL06'!$B$3=K$3,SUMIF('TL06'!$C$10:$C$224,$C145,'TL06'!$J$10:$J$224),0),
IF('TL06'!$B$229=K$3,SUMIF('TL06'!$C$238:$C$451,$C145,'TL06'!$J$238:$J$451),0),
IF('TL07'!$B$3=K$3,SUMIF('TL07'!$C$10:$C$224,$C145,'TL07'!$J$10:$J$224),0),
IF('TL07'!$B$229=K$3,SUMIF('TL07'!$C$238:$C$451,$C145,'TL07'!$J$238:$J$451),0),
IF('TL08'!$B$3=K$3,SUMIF('TL08'!$C$10:$C$224,$C145,'TL08'!$J$10:$J$224),0),
IF('TL08'!$B$229=K$3,SUMIF('TL08'!$C$238:$C$451,$C145,'TL08'!$J$238:$J$451),0),
IF('TL09'!$B$3=K$3,SUMIF('TL09'!$C$10:$C$224,$C145,'TL09'!$J$10:$J$224),0),
IF('TL09'!$B$229=K$3,SUMIF('TL09'!$C$238:$C$451,$C145,'TL09'!$J$238:$J$451),0),
IF('TL10'!$B$3=K$3,SUMIF('TL10'!$C$10:$C$224,$C145,'TL10'!$J$10:$J$224),0),
IF('TL10'!$B$229=K$3,SUMIF('TL10'!$C$238:$C$451,$C145,'TL10'!$J$238:$J$451),0),
IF('TL11'!$B$3=K$3,SUMIF('TL11'!$C$10:$C$224,$C145,'TL11'!$J$10:$J$224),0),
IF('TL11'!$B$229=K$3,SUMIF('TL11'!$C$238:$C$451,$C145,'TL11'!$J$238:$J$451),0),
IF('TL12'!$B$3=K$3,SUMIF('TL12'!$C$10:$C$224,$C145,'TL12'!$J$10:$J$224),0),
IF('TL12'!$B$229=K$3,SUMIF('TL12'!$C$238:$C$451,$C145,'TL12'!$J$238:$J$451),0),
IF('TL13'!$B$3=K$3,SUMIF('TL13'!$C$10:$C$224,$C145,'TL13'!$J$10:$J$224),0),
IF('TL13'!$B$229=K$3,SUMIF('TL13'!$C$238:$C$451,$C145,'TL13'!$J$238:$J$451),0),
IF('TL14'!$B$3=K$3,SUMIF('TL14'!$C$10:$C$224,$C145,'TL14'!$J$10:$J$224),0),
IF('TL14'!$B$229=K$3,SUMIF('TL14'!$C$238:$C$451,$C145,'TL14'!$J$238:$J$451),0),
IF('TL15'!$B$3=K$3,SUMIF('TL15'!$C$10:$C$224,$C145,'TL15'!$J$10:$J$224),0),
IF('TL15'!$B$229=K$3,SUMIF('TL15'!$C$238:$C$451,$C145,'TL15'!$J$238:$J$451),0),
IF('TL16'!$B$3=K$3,SUMIF('TL16'!$C$10:$C$224,$C145,'TL16'!$J$10:$J$224),0),
IF('TL16'!$B$229=K$3,SUMIF('TL16'!$C$238:$C$451,$C145,'TL16'!$J$238:$J$451),0),
IF('TL17'!$B$3=K$3,SUMIF('TL17'!$C$10:$C$224,$C145,'TL17'!$J$10:$J$224),0),
IF('TL17'!$B$229=K$3,SUMIF('TL17'!$C$238:$C$451,$C145,'TL17'!$J$238:$J$451),0),
IF('TL18'!$B$3=K$3,SUMIF('TL18'!$C$10:$C$224,$C145,'TL18'!$J$10:$J$224),0),
IF('TL18'!$B$229=K$3,SUMIF('TL18'!$C$238:$C$451,$C145,'TL18'!$J$238:$J$451),0),
IF('TL19'!$B$3=K$3,SUMIF('TL19'!$C$10:$C$224,$C145,'TL19'!$J$10:$J$224),0),
IF('TL19'!$B$229=K$3,SUMIF('TL19'!$C$238:$C$451,$C145,'TL19'!$J$238:$J$451),0)
),0)</f>
        <v/>
      </c>
      <c r="L145" s="9">
        <f>IFERROR(SUM(
IF('TL01'!$B$3=L$3,SUMIF('TL01'!$C$10:$C$224,$C145,'TL01'!$J$10:$J$224),0),
IF('TL01'!$B$229=L$3,SUMIF('TL01'!$C$238:$C$451,$C145,'TL01'!$J$238:$J$451),0),
IF('TL02'!$B$3=L$3,SUMIF('TL02'!$C$10:$C$224,$C145,'TL02'!$J$10:$J$224),0),
IF('TL02'!$B$229=L$3,SUMIF('TL02'!$C$238:$C$451,$C145,'TL02'!$J$238:$J$451),0),
IF('TL03'!$B$3=L$3,SUMIF('TL03'!$C$10:$C$224,$C145,'TL03'!$J$10:$J$224),0),
IF('TL03'!$B$229=L$3,SUMIF('TL03'!$C$238:$C$451,$C145,'TL03'!$J$238:$J$451),0),
IF('TL04'!$B$3=L$3,SUMIF('TL04'!$C$10:$C$224,$C145,'TL04'!$J$10:$J$224),0),
IF('TL04'!$B$229=L$3,SUMIF('TL04'!$C$238:$C$451,$C145,'TL04'!$J$238:$J$451),0),
IF('TL05'!$B$3=L$3,SUMIF('TL05'!$C$10:$C$224,$C145,'TL05'!$J$10:$J$224),0),
IF('TL05'!$B$229=L$3,SUMIF('TL05'!$C$238:$C$451,$C145,'TL05'!$J$238:$J$451),0),
IF('TL06'!$B$3=L$3,SUMIF('TL06'!$C$10:$C$224,$C145,'TL06'!$J$10:$J$224),0),
IF('TL06'!$B$229=L$3,SUMIF('TL06'!$C$238:$C$451,$C145,'TL06'!$J$238:$J$451),0),
IF('TL07'!$B$3=L$3,SUMIF('TL07'!$C$10:$C$224,$C145,'TL07'!$J$10:$J$224),0),
IF('TL07'!$B$229=L$3,SUMIF('TL07'!$C$238:$C$451,$C145,'TL07'!$J$238:$J$451),0),
IF('TL08'!$B$3=L$3,SUMIF('TL08'!$C$10:$C$224,$C145,'TL08'!$J$10:$J$224),0),
IF('TL08'!$B$229=L$3,SUMIF('TL08'!$C$238:$C$451,$C145,'TL08'!$J$238:$J$451),0),
IF('TL09'!$B$3=L$3,SUMIF('TL09'!$C$10:$C$224,$C145,'TL09'!$J$10:$J$224),0),
IF('TL09'!$B$229=L$3,SUMIF('TL09'!$C$238:$C$451,$C145,'TL09'!$J$238:$J$451),0),
IF('TL10'!$B$3=L$3,SUMIF('TL10'!$C$10:$C$224,$C145,'TL10'!$J$10:$J$224),0),
IF('TL10'!$B$229=L$3,SUMIF('TL10'!$C$238:$C$451,$C145,'TL10'!$J$238:$J$451),0),
IF('TL11'!$B$3=L$3,SUMIF('TL11'!$C$10:$C$224,$C145,'TL11'!$J$10:$J$224),0),
IF('TL11'!$B$229=L$3,SUMIF('TL11'!$C$238:$C$451,$C145,'TL11'!$J$238:$J$451),0),
IF('TL12'!$B$3=L$3,SUMIF('TL12'!$C$10:$C$224,$C145,'TL12'!$J$10:$J$224),0),
IF('TL12'!$B$229=L$3,SUMIF('TL12'!$C$238:$C$451,$C145,'TL12'!$J$238:$J$451),0),
IF('TL13'!$B$3=L$3,SUMIF('TL13'!$C$10:$C$224,$C145,'TL13'!$J$10:$J$224),0),
IF('TL13'!$B$229=L$3,SUMIF('TL13'!$C$238:$C$451,$C145,'TL13'!$J$238:$J$451),0),
IF('TL14'!$B$3=L$3,SUMIF('TL14'!$C$10:$C$224,$C145,'TL14'!$J$10:$J$224),0),
IF('TL14'!$B$229=L$3,SUMIF('TL14'!$C$238:$C$451,$C145,'TL14'!$J$238:$J$451),0),
IF('TL15'!$B$3=L$3,SUMIF('TL15'!$C$10:$C$224,$C145,'TL15'!$J$10:$J$224),0),
IF('TL15'!$B$229=L$3,SUMIF('TL15'!$C$238:$C$451,$C145,'TL15'!$J$238:$J$451),0),
IF('TL16'!$B$3=L$3,SUMIF('TL16'!$C$10:$C$224,$C145,'TL16'!$J$10:$J$224),0),
IF('TL16'!$B$229=L$3,SUMIF('TL16'!$C$238:$C$451,$C145,'TL16'!$J$238:$J$451),0),
IF('TL17'!$B$3=L$3,SUMIF('TL17'!$C$10:$C$224,$C145,'TL17'!$J$10:$J$224),0),
IF('TL17'!$B$229=L$3,SUMIF('TL17'!$C$238:$C$451,$C145,'TL17'!$J$238:$J$451),0),
IF('TL18'!$B$3=L$3,SUMIF('TL18'!$C$10:$C$224,$C145,'TL18'!$J$10:$J$224),0),
IF('TL18'!$B$229=L$3,SUMIF('TL18'!$C$238:$C$451,$C145,'TL18'!$J$238:$J$451),0),
IF('TL19'!$B$3=L$3,SUMIF('TL19'!$C$10:$C$224,$C145,'TL19'!$J$10:$J$224),0),
IF('TL19'!$B$229=L$3,SUMIF('TL19'!$C$238:$C$451,$C145,'TL19'!$J$238:$J$451),0)
),0)</f>
        <v/>
      </c>
      <c r="M145" s="9">
        <f>IFERROR(SUM(
IF('TL01'!$B$3=M$3,SUMIF('TL01'!$C$10:$C$224,$C145,'TL01'!$J$10:$J$224),0),
IF('TL01'!$B$229=M$3,SUMIF('TL01'!$C$238:$C$451,$C145,'TL01'!$J$238:$J$451),0),
IF('TL02'!$B$3=M$3,SUMIF('TL02'!$C$10:$C$224,$C145,'TL02'!$J$10:$J$224),0),
IF('TL02'!$B$229=M$3,SUMIF('TL02'!$C$238:$C$451,$C145,'TL02'!$J$238:$J$451),0),
IF('TL03'!$B$3=M$3,SUMIF('TL03'!$C$10:$C$224,$C145,'TL03'!$J$10:$J$224),0),
IF('TL03'!$B$229=M$3,SUMIF('TL03'!$C$238:$C$451,$C145,'TL03'!$J$238:$J$451),0),
IF('TL04'!$B$3=M$3,SUMIF('TL04'!$C$10:$C$224,$C145,'TL04'!$J$10:$J$224),0),
IF('TL04'!$B$229=M$3,SUMIF('TL04'!$C$238:$C$451,$C145,'TL04'!$J$238:$J$451),0),
IF('TL05'!$B$3=M$3,SUMIF('TL05'!$C$10:$C$224,$C145,'TL05'!$J$10:$J$224),0),
IF('TL05'!$B$229=M$3,SUMIF('TL05'!$C$238:$C$451,$C145,'TL05'!$J$238:$J$451),0),
IF('TL06'!$B$3=M$3,SUMIF('TL06'!$C$10:$C$224,$C145,'TL06'!$J$10:$J$224),0),
IF('TL06'!$B$229=M$3,SUMIF('TL06'!$C$238:$C$451,$C145,'TL06'!$J$238:$J$451),0),
IF('TL07'!$B$3=M$3,SUMIF('TL07'!$C$10:$C$224,$C145,'TL07'!$J$10:$J$224),0),
IF('TL07'!$B$229=M$3,SUMIF('TL07'!$C$238:$C$451,$C145,'TL07'!$J$238:$J$451),0),
IF('TL08'!$B$3=M$3,SUMIF('TL08'!$C$10:$C$224,$C145,'TL08'!$J$10:$J$224),0),
IF('TL08'!$B$229=M$3,SUMIF('TL08'!$C$238:$C$451,$C145,'TL08'!$J$238:$J$451),0),
IF('TL09'!$B$3=M$3,SUMIF('TL09'!$C$10:$C$224,$C145,'TL09'!$J$10:$J$224),0),
IF('TL09'!$B$229=M$3,SUMIF('TL09'!$C$238:$C$451,$C145,'TL09'!$J$238:$J$451),0),
IF('TL10'!$B$3=M$3,SUMIF('TL10'!$C$10:$C$224,$C145,'TL10'!$J$10:$J$224),0),
IF('TL10'!$B$229=M$3,SUMIF('TL10'!$C$238:$C$451,$C145,'TL10'!$J$238:$J$451),0),
IF('TL11'!$B$3=M$3,SUMIF('TL11'!$C$10:$C$224,$C145,'TL11'!$J$10:$J$224),0),
IF('TL11'!$B$229=M$3,SUMIF('TL11'!$C$238:$C$451,$C145,'TL11'!$J$238:$J$451),0),
IF('TL12'!$B$3=M$3,SUMIF('TL12'!$C$10:$C$224,$C145,'TL12'!$J$10:$J$224),0),
IF('TL12'!$B$229=M$3,SUMIF('TL12'!$C$238:$C$451,$C145,'TL12'!$J$238:$J$451),0),
IF('TL13'!$B$3=M$3,SUMIF('TL13'!$C$10:$C$224,$C145,'TL13'!$J$10:$J$224),0),
IF('TL13'!$B$229=M$3,SUMIF('TL13'!$C$238:$C$451,$C145,'TL13'!$J$238:$J$451),0),
IF('TL14'!$B$3=M$3,SUMIF('TL14'!$C$10:$C$224,$C145,'TL14'!$J$10:$J$224),0),
IF('TL14'!$B$229=M$3,SUMIF('TL14'!$C$238:$C$451,$C145,'TL14'!$J$238:$J$451),0),
IF('TL15'!$B$3=M$3,SUMIF('TL15'!$C$10:$C$224,$C145,'TL15'!$J$10:$J$224),0),
IF('TL15'!$B$229=M$3,SUMIF('TL15'!$C$238:$C$451,$C145,'TL15'!$J$238:$J$451),0),
IF('TL16'!$B$3=M$3,SUMIF('TL16'!$C$10:$C$224,$C145,'TL16'!$J$10:$J$224),0),
IF('TL16'!$B$229=M$3,SUMIF('TL16'!$C$238:$C$451,$C145,'TL16'!$J$238:$J$451),0),
IF('TL17'!$B$3=M$3,SUMIF('TL17'!$C$10:$C$224,$C145,'TL17'!$J$10:$J$224),0),
IF('TL17'!$B$229=M$3,SUMIF('TL17'!$C$238:$C$451,$C145,'TL17'!$J$238:$J$451),0),
IF('TL18'!$B$3=M$3,SUMIF('TL18'!$C$10:$C$224,$C145,'TL18'!$J$10:$J$224),0),
IF('TL18'!$B$229=M$3,SUMIF('TL18'!$C$238:$C$451,$C145,'TL18'!$J$238:$J$451),0),
IF('TL19'!$B$3=M$3,SUMIF('TL19'!$C$10:$C$224,$C145,'TL19'!$J$10:$J$224),0),
IF('TL19'!$B$229=M$3,SUMIF('TL19'!$C$238:$C$451,$C145,'TL19'!$J$238:$J$451),0)
),0)</f>
        <v/>
      </c>
      <c r="N145" s="9">
        <f>IFERROR(SUM(
IF('TL01'!$B$3=N$3,SUMIF('TL01'!$C$10:$C$224,$C145,'TL01'!$J$10:$J$224),0),
IF('TL01'!$B$229=N$3,SUMIF('TL01'!$C$238:$C$451,$C145,'TL01'!$J$238:$J$451),0),
IF('TL02'!$B$3=N$3,SUMIF('TL02'!$C$10:$C$224,$C145,'TL02'!$J$10:$J$224),0),
IF('TL02'!$B$229=N$3,SUMIF('TL02'!$C$238:$C$451,$C145,'TL02'!$J$238:$J$451),0),
IF('TL03'!$B$3=N$3,SUMIF('TL03'!$C$10:$C$224,$C145,'TL03'!$J$10:$J$224),0),
IF('TL03'!$B$229=N$3,SUMIF('TL03'!$C$238:$C$451,$C145,'TL03'!$J$238:$J$451),0),
IF('TL04'!$B$3=N$3,SUMIF('TL04'!$C$10:$C$224,$C145,'TL04'!$J$10:$J$224),0),
IF('TL04'!$B$229=N$3,SUMIF('TL04'!$C$238:$C$451,$C145,'TL04'!$J$238:$J$451),0),
IF('TL05'!$B$3=N$3,SUMIF('TL05'!$C$10:$C$224,$C145,'TL05'!$J$10:$J$224),0),
IF('TL05'!$B$229=N$3,SUMIF('TL05'!$C$238:$C$451,$C145,'TL05'!$J$238:$J$451),0),
IF('TL06'!$B$3=N$3,SUMIF('TL06'!$C$10:$C$224,$C145,'TL06'!$J$10:$J$224),0),
IF('TL06'!$B$229=N$3,SUMIF('TL06'!$C$238:$C$451,$C145,'TL06'!$J$238:$J$451),0),
IF('TL07'!$B$3=N$3,SUMIF('TL07'!$C$10:$C$224,$C145,'TL07'!$J$10:$J$224),0),
IF('TL07'!$B$229=N$3,SUMIF('TL07'!$C$238:$C$451,$C145,'TL07'!$J$238:$J$451),0),
IF('TL08'!$B$3=N$3,SUMIF('TL08'!$C$10:$C$224,$C145,'TL08'!$J$10:$J$224),0),
IF('TL08'!$B$229=N$3,SUMIF('TL08'!$C$238:$C$451,$C145,'TL08'!$J$238:$J$451),0),
IF('TL09'!$B$3=N$3,SUMIF('TL09'!$C$10:$C$224,$C145,'TL09'!$J$10:$J$224),0),
IF('TL09'!$B$229=N$3,SUMIF('TL09'!$C$238:$C$451,$C145,'TL09'!$J$238:$J$451),0),
IF('TL10'!$B$3=N$3,SUMIF('TL10'!$C$10:$C$224,$C145,'TL10'!$J$10:$J$224),0),
IF('TL10'!$B$229=N$3,SUMIF('TL10'!$C$238:$C$451,$C145,'TL10'!$J$238:$J$451),0),
IF('TL11'!$B$3=N$3,SUMIF('TL11'!$C$10:$C$224,$C145,'TL11'!$J$10:$J$224),0),
IF('TL11'!$B$229=N$3,SUMIF('TL11'!$C$238:$C$451,$C145,'TL11'!$J$238:$J$451),0),
IF('TL12'!$B$3=N$3,SUMIF('TL12'!$C$10:$C$224,$C145,'TL12'!$J$10:$J$224),0),
IF('TL12'!$B$229=N$3,SUMIF('TL12'!$C$238:$C$451,$C145,'TL12'!$J$238:$J$451),0),
IF('TL13'!$B$3=N$3,SUMIF('TL13'!$C$10:$C$224,$C145,'TL13'!$J$10:$J$224),0),
IF('TL13'!$B$229=N$3,SUMIF('TL13'!$C$238:$C$451,$C145,'TL13'!$J$238:$J$451),0),
IF('TL14'!$B$3=N$3,SUMIF('TL14'!$C$10:$C$224,$C145,'TL14'!$J$10:$J$224),0),
IF('TL14'!$B$229=N$3,SUMIF('TL14'!$C$238:$C$451,$C145,'TL14'!$J$238:$J$451),0),
IF('TL15'!$B$3=N$3,SUMIF('TL15'!$C$10:$C$224,$C145,'TL15'!$J$10:$J$224),0),
IF('TL15'!$B$229=N$3,SUMIF('TL15'!$C$238:$C$451,$C145,'TL15'!$J$238:$J$451),0),
IF('TL16'!$B$3=N$3,SUMIF('TL16'!$C$10:$C$224,$C145,'TL16'!$J$10:$J$224),0),
IF('TL16'!$B$229=N$3,SUMIF('TL16'!$C$238:$C$451,$C145,'TL16'!$J$238:$J$451),0),
IF('TL17'!$B$3=N$3,SUMIF('TL17'!$C$10:$C$224,$C145,'TL17'!$J$10:$J$224),0),
IF('TL17'!$B$229=N$3,SUMIF('TL17'!$C$238:$C$451,$C145,'TL17'!$J$238:$J$451),0),
IF('TL18'!$B$3=N$3,SUMIF('TL18'!$C$10:$C$224,$C145,'TL18'!$J$10:$J$224),0),
IF('TL18'!$B$229=N$3,SUMIF('TL18'!$C$238:$C$451,$C145,'TL18'!$J$238:$J$451),0),
IF('TL19'!$B$3=N$3,SUMIF('TL19'!$C$10:$C$224,$C145,'TL19'!$J$10:$J$224),0),
IF('TL19'!$B$229=N$3,SUMIF('TL19'!$C$238:$C$451,$C145,'TL19'!$J$238:$J$451),0)
),0)</f>
        <v/>
      </c>
      <c r="O145" s="9">
        <f>IFERROR(SUM(
IF('TL01'!$B$3=O$3,SUMIF('TL01'!$C$10:$C$224,$C145,'TL01'!$J$10:$J$224),0),
IF('TL01'!$B$229=O$3,SUMIF('TL01'!$C$238:$C$451,$C145,'TL01'!$J$238:$J$451),0),
IF('TL02'!$B$3=O$3,SUMIF('TL02'!$C$10:$C$224,$C145,'TL02'!$J$10:$J$224),0),
IF('TL02'!$B$229=O$3,SUMIF('TL02'!$C$238:$C$451,$C145,'TL02'!$J$238:$J$451),0),
IF('TL03'!$B$3=O$3,SUMIF('TL03'!$C$10:$C$224,$C145,'TL03'!$J$10:$J$224),0),
IF('TL03'!$B$229=O$3,SUMIF('TL03'!$C$238:$C$451,$C145,'TL03'!$J$238:$J$451),0),
IF('TL04'!$B$3=O$3,SUMIF('TL04'!$C$10:$C$224,$C145,'TL04'!$J$10:$J$224),0),
IF('TL04'!$B$229=O$3,SUMIF('TL04'!$C$238:$C$451,$C145,'TL04'!$J$238:$J$451),0),
IF('TL05'!$B$3=O$3,SUMIF('TL05'!$C$10:$C$224,$C145,'TL05'!$J$10:$J$224),0),
IF('TL05'!$B$229=O$3,SUMIF('TL05'!$C$238:$C$451,$C145,'TL05'!$J$238:$J$451),0),
IF('TL06'!$B$3=O$3,SUMIF('TL06'!$C$10:$C$224,$C145,'TL06'!$J$10:$J$224),0),
IF('TL06'!$B$229=O$3,SUMIF('TL06'!$C$238:$C$451,$C145,'TL06'!$J$238:$J$451),0),
IF('TL07'!$B$3=O$3,SUMIF('TL07'!$C$10:$C$224,$C145,'TL07'!$J$10:$J$224),0),
IF('TL07'!$B$229=O$3,SUMIF('TL07'!$C$238:$C$451,$C145,'TL07'!$J$238:$J$451),0),
IF('TL08'!$B$3=O$3,SUMIF('TL08'!$C$10:$C$224,$C145,'TL08'!$J$10:$J$224),0),
IF('TL08'!$B$229=O$3,SUMIF('TL08'!$C$238:$C$451,$C145,'TL08'!$J$238:$J$451),0),
IF('TL09'!$B$3=O$3,SUMIF('TL09'!$C$10:$C$224,$C145,'TL09'!$J$10:$J$224),0),
IF('TL09'!$B$229=O$3,SUMIF('TL09'!$C$238:$C$451,$C145,'TL09'!$J$238:$J$451),0),
IF('TL10'!$B$3=O$3,SUMIF('TL10'!$C$10:$C$224,$C145,'TL10'!$J$10:$J$224),0),
IF('TL10'!$B$229=O$3,SUMIF('TL10'!$C$238:$C$451,$C145,'TL10'!$J$238:$J$451),0),
IF('TL11'!$B$3=O$3,SUMIF('TL11'!$C$10:$C$224,$C145,'TL11'!$J$10:$J$224),0),
IF('TL11'!$B$229=O$3,SUMIF('TL11'!$C$238:$C$451,$C145,'TL11'!$J$238:$J$451),0),
IF('TL12'!$B$3=O$3,SUMIF('TL12'!$C$10:$C$224,$C145,'TL12'!$J$10:$J$224),0),
IF('TL12'!$B$229=O$3,SUMIF('TL12'!$C$238:$C$451,$C145,'TL12'!$J$238:$J$451),0),
IF('TL13'!$B$3=O$3,SUMIF('TL13'!$C$10:$C$224,$C145,'TL13'!$J$10:$J$224),0),
IF('TL13'!$B$229=O$3,SUMIF('TL13'!$C$238:$C$451,$C145,'TL13'!$J$238:$J$451),0),
IF('TL14'!$B$3=O$3,SUMIF('TL14'!$C$10:$C$224,$C145,'TL14'!$J$10:$J$224),0),
IF('TL14'!$B$229=O$3,SUMIF('TL14'!$C$238:$C$451,$C145,'TL14'!$J$238:$J$451),0),
IF('TL15'!$B$3=O$3,SUMIF('TL15'!$C$10:$C$224,$C145,'TL15'!$J$10:$J$224),0),
IF('TL15'!$B$229=O$3,SUMIF('TL15'!$C$238:$C$451,$C145,'TL15'!$J$238:$J$451),0),
IF('TL16'!$B$3=O$3,SUMIF('TL16'!$C$10:$C$224,$C145,'TL16'!$J$10:$J$224),0),
IF('TL16'!$B$229=O$3,SUMIF('TL16'!$C$238:$C$451,$C145,'TL16'!$J$238:$J$451),0),
IF('TL17'!$B$3=O$3,SUMIF('TL17'!$C$10:$C$224,$C145,'TL17'!$J$10:$J$224),0),
IF('TL17'!$B$229=O$3,SUMIF('TL17'!$C$238:$C$451,$C145,'TL17'!$J$238:$J$451),0),
IF('TL18'!$B$3=O$3,SUMIF('TL18'!$C$10:$C$224,$C145,'TL18'!$J$10:$J$224),0),
IF('TL18'!$B$229=O$3,SUMIF('TL18'!$C$238:$C$451,$C145,'TL18'!$J$238:$J$451),0),
IF('TL19'!$B$3=O$3,SUMIF('TL19'!$C$10:$C$224,$C145,'TL19'!$J$10:$J$224),0),
IF('TL19'!$B$229=O$3,SUMIF('TL19'!$C$238:$C$451,$C145,'TL19'!$J$238:$J$451),0)
),0)</f>
        <v/>
      </c>
      <c r="P145" s="9">
        <f>IFERROR(SUM(
IF('TL01'!$B$3=P$3,SUMIF('TL01'!$C$10:$C$224,$C145,'TL01'!$J$10:$J$224),0),
IF('TL01'!$B$229=P$3,SUMIF('TL01'!$C$238:$C$451,$C145,'TL01'!$J$238:$J$451),0),
IF('TL02'!$B$3=P$3,SUMIF('TL02'!$C$10:$C$224,$C145,'TL02'!$J$10:$J$224),0),
IF('TL02'!$B$229=P$3,SUMIF('TL02'!$C$238:$C$451,$C145,'TL02'!$J$238:$J$451),0),
IF('TL03'!$B$3=P$3,SUMIF('TL03'!$C$10:$C$224,$C145,'TL03'!$J$10:$J$224),0),
IF('TL03'!$B$229=P$3,SUMIF('TL03'!$C$238:$C$451,$C145,'TL03'!$J$238:$J$451),0),
IF('TL04'!$B$3=P$3,SUMIF('TL04'!$C$10:$C$224,$C145,'TL04'!$J$10:$J$224),0),
IF('TL04'!$B$229=P$3,SUMIF('TL04'!$C$238:$C$451,$C145,'TL04'!$J$238:$J$451),0),
IF('TL05'!$B$3=P$3,SUMIF('TL05'!$C$10:$C$224,$C145,'TL05'!$J$10:$J$224),0),
IF('TL05'!$B$229=P$3,SUMIF('TL05'!$C$238:$C$451,$C145,'TL05'!$J$238:$J$451),0),
IF('TL06'!$B$3=P$3,SUMIF('TL06'!$C$10:$C$224,$C145,'TL06'!$J$10:$J$224),0),
IF('TL06'!$B$229=P$3,SUMIF('TL06'!$C$238:$C$451,$C145,'TL06'!$J$238:$J$451),0),
IF('TL07'!$B$3=P$3,SUMIF('TL07'!$C$10:$C$224,$C145,'TL07'!$J$10:$J$224),0),
IF('TL07'!$B$229=P$3,SUMIF('TL07'!$C$238:$C$451,$C145,'TL07'!$J$238:$J$451),0),
IF('TL08'!$B$3=P$3,SUMIF('TL08'!$C$10:$C$224,$C145,'TL08'!$J$10:$J$224),0),
IF('TL08'!$B$229=P$3,SUMIF('TL08'!$C$238:$C$451,$C145,'TL08'!$J$238:$J$451),0),
IF('TL09'!$B$3=P$3,SUMIF('TL09'!$C$10:$C$224,$C145,'TL09'!$J$10:$J$224),0),
IF('TL09'!$B$229=P$3,SUMIF('TL09'!$C$238:$C$451,$C145,'TL09'!$J$238:$J$451),0),
IF('TL10'!$B$3=P$3,SUMIF('TL10'!$C$10:$C$224,$C145,'TL10'!$J$10:$J$224),0),
IF('TL10'!$B$229=P$3,SUMIF('TL10'!$C$238:$C$451,$C145,'TL10'!$J$238:$J$451),0),
IF('TL11'!$B$3=P$3,SUMIF('TL11'!$C$10:$C$224,$C145,'TL11'!$J$10:$J$224),0),
IF('TL11'!$B$229=P$3,SUMIF('TL11'!$C$238:$C$451,$C145,'TL11'!$J$238:$J$451),0),
IF('TL12'!$B$3=P$3,SUMIF('TL12'!$C$10:$C$224,$C145,'TL12'!$J$10:$J$224),0),
IF('TL12'!$B$229=P$3,SUMIF('TL12'!$C$238:$C$451,$C145,'TL12'!$J$238:$J$451),0),
IF('TL13'!$B$3=P$3,SUMIF('TL13'!$C$10:$C$224,$C145,'TL13'!$J$10:$J$224),0),
IF('TL13'!$B$229=P$3,SUMIF('TL13'!$C$238:$C$451,$C145,'TL13'!$J$238:$J$451),0),
IF('TL14'!$B$3=P$3,SUMIF('TL14'!$C$10:$C$224,$C145,'TL14'!$J$10:$J$224),0),
IF('TL14'!$B$229=P$3,SUMIF('TL14'!$C$238:$C$451,$C145,'TL14'!$J$238:$J$451),0),
IF('TL15'!$B$3=P$3,SUMIF('TL15'!$C$10:$C$224,$C145,'TL15'!$J$10:$J$224),0),
IF('TL15'!$B$229=P$3,SUMIF('TL15'!$C$238:$C$451,$C145,'TL15'!$J$238:$J$451),0),
IF('TL16'!$B$3=P$3,SUMIF('TL16'!$C$10:$C$224,$C145,'TL16'!$J$10:$J$224),0),
IF('TL16'!$B$229=P$3,SUMIF('TL16'!$C$238:$C$451,$C145,'TL16'!$J$238:$J$451),0),
IF('TL17'!$B$3=P$3,SUMIF('TL17'!$C$10:$C$224,$C145,'TL17'!$J$10:$J$224),0),
IF('TL17'!$B$229=P$3,SUMIF('TL17'!$C$238:$C$451,$C145,'TL17'!$J$238:$J$451),0),
IF('TL18'!$B$3=P$3,SUMIF('TL18'!$C$10:$C$224,$C145,'TL18'!$J$10:$J$224),0),
IF('TL18'!$B$229=P$3,SUMIF('TL18'!$C$238:$C$451,$C145,'TL18'!$J$238:$J$451),0),
IF('TL19'!$B$3=P$3,SUMIF('TL19'!$C$10:$C$224,$C145,'TL19'!$J$10:$J$224),0),
IF('TL19'!$B$229=P$3,SUMIF('TL19'!$C$238:$C$451,$C145,'TL19'!$J$238:$J$451),0)
),0)</f>
        <v/>
      </c>
      <c r="Q145" s="9">
        <f>IFERROR(SUM(
IF('TL01'!$B$3=Q$3,SUMIF('TL01'!$C$10:$C$224,$C145,'TL01'!$J$10:$J$224),0),
IF('TL01'!$B$229=Q$3,SUMIF('TL01'!$C$238:$C$451,$C145,'TL01'!$J$238:$J$451),0),
IF('TL02'!$B$3=Q$3,SUMIF('TL02'!$C$10:$C$224,$C145,'TL02'!$J$10:$J$224),0),
IF('TL02'!$B$229=Q$3,SUMIF('TL02'!$C$238:$C$451,$C145,'TL02'!$J$238:$J$451),0),
IF('TL03'!$B$3=Q$3,SUMIF('TL03'!$C$10:$C$224,$C145,'TL03'!$J$10:$J$224),0),
IF('TL03'!$B$229=Q$3,SUMIF('TL03'!$C$238:$C$451,$C145,'TL03'!$J$238:$J$451),0),
IF('TL04'!$B$3=Q$3,SUMIF('TL04'!$C$10:$C$224,$C145,'TL04'!$J$10:$J$224),0),
IF('TL04'!$B$229=Q$3,SUMIF('TL04'!$C$238:$C$451,$C145,'TL04'!$J$238:$J$451),0),
IF('TL05'!$B$3=Q$3,SUMIF('TL05'!$C$10:$C$224,$C145,'TL05'!$J$10:$J$224),0),
IF('TL05'!$B$229=Q$3,SUMIF('TL05'!$C$238:$C$451,$C145,'TL05'!$J$238:$J$451),0),
IF('TL06'!$B$3=Q$3,SUMIF('TL06'!$C$10:$C$224,$C145,'TL06'!$J$10:$J$224),0),
IF('TL06'!$B$229=Q$3,SUMIF('TL06'!$C$238:$C$451,$C145,'TL06'!$J$238:$J$451),0),
IF('TL07'!$B$3=Q$3,SUMIF('TL07'!$C$10:$C$224,$C145,'TL07'!$J$10:$J$224),0),
IF('TL07'!$B$229=Q$3,SUMIF('TL07'!$C$238:$C$451,$C145,'TL07'!$J$238:$J$451),0),
IF('TL08'!$B$3=Q$3,SUMIF('TL08'!$C$10:$C$224,$C145,'TL08'!$J$10:$J$224),0),
IF('TL08'!$B$229=Q$3,SUMIF('TL08'!$C$238:$C$451,$C145,'TL08'!$J$238:$J$451),0),
IF('TL09'!$B$3=Q$3,SUMIF('TL09'!$C$10:$C$224,$C145,'TL09'!$J$10:$J$224),0),
IF('TL09'!$B$229=Q$3,SUMIF('TL09'!$C$238:$C$451,$C145,'TL09'!$J$238:$J$451),0),
IF('TL10'!$B$3=Q$3,SUMIF('TL10'!$C$10:$C$224,$C145,'TL10'!$J$10:$J$224),0),
IF('TL10'!$B$229=Q$3,SUMIF('TL10'!$C$238:$C$451,$C145,'TL10'!$J$238:$J$451),0),
IF('TL11'!$B$3=Q$3,SUMIF('TL11'!$C$10:$C$224,$C145,'TL11'!$J$10:$J$224),0),
IF('TL11'!$B$229=Q$3,SUMIF('TL11'!$C$238:$C$451,$C145,'TL11'!$J$238:$J$451),0),
IF('TL12'!$B$3=Q$3,SUMIF('TL12'!$C$10:$C$224,$C145,'TL12'!$J$10:$J$224),0),
IF('TL12'!$B$229=Q$3,SUMIF('TL12'!$C$238:$C$451,$C145,'TL12'!$J$238:$J$451),0),
IF('TL13'!$B$3=Q$3,SUMIF('TL13'!$C$10:$C$224,$C145,'TL13'!$J$10:$J$224),0),
IF('TL13'!$B$229=Q$3,SUMIF('TL13'!$C$238:$C$451,$C145,'TL13'!$J$238:$J$451),0),
IF('TL14'!$B$3=Q$3,SUMIF('TL14'!$C$10:$C$224,$C145,'TL14'!$J$10:$J$224),0),
IF('TL14'!$B$229=Q$3,SUMIF('TL14'!$C$238:$C$451,$C145,'TL14'!$J$238:$J$451),0),
IF('TL15'!$B$3=Q$3,SUMIF('TL15'!$C$10:$C$224,$C145,'TL15'!$J$10:$J$224),0),
IF('TL15'!$B$229=Q$3,SUMIF('TL15'!$C$238:$C$451,$C145,'TL15'!$J$238:$J$451),0),
IF('TL16'!$B$3=Q$3,SUMIF('TL16'!$C$10:$C$224,$C145,'TL16'!$J$10:$J$224),0),
IF('TL16'!$B$229=Q$3,SUMIF('TL16'!$C$238:$C$451,$C145,'TL16'!$J$238:$J$451),0),
IF('TL17'!$B$3=Q$3,SUMIF('TL17'!$C$10:$C$224,$C145,'TL17'!$J$10:$J$224),0),
IF('TL17'!$B$229=Q$3,SUMIF('TL17'!$C$238:$C$451,$C145,'TL17'!$J$238:$J$451),0),
IF('TL18'!$B$3=Q$3,SUMIF('TL18'!$C$10:$C$224,$C145,'TL18'!$J$10:$J$224),0),
IF('TL18'!$B$229=Q$3,SUMIF('TL18'!$C$238:$C$451,$C145,'TL18'!$J$238:$J$451),0),
IF('TL19'!$B$3=Q$3,SUMIF('TL19'!$C$10:$C$224,$C145,'TL19'!$J$10:$J$224),0),
IF('TL19'!$B$229=Q$3,SUMIF('TL19'!$C$238:$C$451,$C145,'TL19'!$J$238:$J$451),0)
),0)</f>
        <v/>
      </c>
      <c r="R145" s="9">
        <f>IFERROR(
SUM(
SUMIF('TL01'!C:C,C145,'TL01'!J:J),
SUMIF('TL02'!C:C,C145,'TL02'!J:J),
SUMIF('TL03'!C:C,C145,'TL03'!J:J),
SUMIF('TL04'!C:C,C145,'TL04'!J:J),
SUMIF('TL05'!C:C,C145,'TL05'!J:J),
SUMIF('TL06'!C:C,C145,'TL06'!J:J),
SUMIF('TL07'!C:C,C145,'TL07'!J:J),
SUMIF('TL08'!C:C,C145,'TL08'!J:J),
SUMIF('TL09'!C:C,C145,'TL09'!J:J),
SUMIF('TL10'!C:C,C145,'TL10'!J:J),
SUMIF('TL11'!C:C,C145,'TL11'!J:J),
SUMIF('TL12'!C:C,C145,'TL12'!J:J),
SUMIF('TL13'!C:C,C145,'TL13'!J:J),
SUMIF('TL14'!C:C,C145,'TL14'!J:J),
SUMIF('TL15'!C:C,C145,'TL15'!J:J),
SUMIF('TL16'!C:C,C145,'TL16'!J:J),
SUMIF('TL17'!C:C,C145,'TL17'!J:J),
SUMIF('TL18'!C:C,C145,'TL18'!J:J),SUMIF('TL19'!C:C,C145,'TL19'!J:J))
,0)</f>
        <v/>
      </c>
      <c r="S145" s="17">
        <f>IFERROR(__xludf.DUMMYFUNCTION("IFERROR(VLOOKUP(C145,
IMPORTRANGE(""1wULbzX32WdYsx-lj2U3uUNBBe2INVIRDtcK0d-Dvl90"",
""26-27!C:G""),
5,
FALSE),
"""")"),202.09676000000002)</f>
        <v/>
      </c>
      <c r="T145" s="9" t="n"/>
      <c r="U145" s="92">
        <f>MAX(0,R145-T145)</f>
        <v/>
      </c>
      <c r="V145" s="93">
        <f>U145*S145</f>
        <v/>
      </c>
    </row>
    <row r="146" hidden="1" ht="15.75" customHeight="1" s="297">
      <c r="A146" s="115" t="inlineStr">
        <is>
          <t>NORTOX</t>
        </is>
      </c>
      <c r="B146" s="100" t="inlineStr">
        <is>
          <t>HERBICIDA</t>
        </is>
      </c>
      <c r="C146" s="116" t="inlineStr">
        <is>
          <t>CLETODIM OLEUM NORTOX</t>
        </is>
      </c>
      <c r="D146" s="116" t="inlineStr">
        <is>
          <t>CLETODIM</t>
        </is>
      </c>
      <c r="E146" s="116" t="n">
        <v>240</v>
      </c>
      <c r="F146" s="4" t="inlineStr">
        <is>
          <t>L</t>
        </is>
      </c>
      <c r="G146" s="90">
        <f>HYPERLINK("https://www.google.com/search?q=" &amp; C146 &amp; "+bula+agrofit+pdf", "📄 Ver bula")</f>
        <v/>
      </c>
      <c r="H146" s="9">
        <f>IFERROR(__xludf.DUMMYFUNCTION("IFERROR(VLOOKUP(C146,
IMPORTRANGE(""1wULbzX32WdYsx-lj2U3uUNBBe2INVIRDtcK0d-Dvl90"",
""26-27!C:K""),
8,
FALSE),
"""")"),0.4)</f>
        <v/>
      </c>
      <c r="I146" s="117" t="inlineStr">
        <is>
          <t>1x20</t>
        </is>
      </c>
      <c r="J146" s="9">
        <f>IFERROR(SUM(
IF('TL01'!$B$3=J$3,SUMIF('TL01'!$C$10:$C$224,$C146,'TL01'!$J$10:$J$224),0),
IF('TL01'!$B$229=J$3,SUMIF('TL01'!$C$238:$C$451,$C146,'TL01'!$J$238:$J$451),0),
IF('TL02'!$B$3=J$3,SUMIF('TL02'!$C$10:$C$224,$C146,'TL02'!$J$10:$J$224),0),
IF('TL02'!$B$229=J$3,SUMIF('TL02'!$C$238:$C$451,$C146,'TL02'!$J$238:$J$451),0),
IF('TL03'!$B$3=J$3,SUMIF('TL03'!$C$10:$C$224,$C146,'TL03'!$J$10:$J$224),0),
IF('TL03'!$B$229=J$3,SUMIF('TL03'!$C$238:$C$451,$C146,'TL03'!$J$238:$J$451),0),
IF('TL04'!$B$3=J$3,SUMIF('TL04'!$C$10:$C$224,$C146,'TL04'!$J$10:$J$224),0),
IF('TL04'!$B$229=J$3,SUMIF('TL04'!$C$238:$C$451,$C146,'TL04'!$J$238:$J$451),0),
IF('TL05'!$B$3=J$3,SUMIF('TL05'!$C$10:$C$224,$C146,'TL05'!$J$10:$J$224),0),
IF('TL05'!$B$229=J$3,SUMIF('TL05'!$C$238:$C$451,$C146,'TL05'!$J$238:$J$451),0),
IF('TL06'!$B$3=J$3,SUMIF('TL06'!$C$10:$C$224,$C146,'TL06'!$J$10:$J$224),0),
IF('TL06'!$B$229=J$3,SUMIF('TL06'!$C$238:$C$451,$C146,'TL06'!$J$238:$J$451),0),
IF('TL07'!$B$3=J$3,SUMIF('TL07'!$C$10:$C$224,$C146,'TL07'!$J$10:$J$224),0),
IF('TL07'!$B$229=J$3,SUMIF('TL07'!$C$238:$C$451,$C146,'TL07'!$J$238:$J$451),0),
IF('TL08'!$B$3=J$3,SUMIF('TL08'!$C$10:$C$224,$C146,'TL08'!$J$10:$J$224),0),
IF('TL08'!$B$229=J$3,SUMIF('TL08'!$C$238:$C$451,$C146,'TL08'!$J$238:$J$451),0),
IF('TL09'!$B$3=J$3,SUMIF('TL09'!$C$10:$C$224,$C146,'TL09'!$J$10:$J$224),0),
IF('TL09'!$B$229=J$3,SUMIF('TL09'!$C$238:$C$451,$C146,'TL09'!$J$238:$J$451),0),
IF('TL10'!$B$3=J$3,SUMIF('TL10'!$C$10:$C$224,$C146,'TL10'!$J$10:$J$224),0),
IF('TL10'!$B$229=J$3,SUMIF('TL10'!$C$238:$C$451,$C146,'TL10'!$J$238:$J$451),0),
IF('TL11'!$B$3=J$3,SUMIF('TL11'!$C$10:$C$224,$C146,'TL11'!$J$10:$J$224),0),
IF('TL11'!$B$229=J$3,SUMIF('TL11'!$C$238:$C$451,$C146,'TL11'!$J$238:$J$451),0),
IF('TL12'!$B$3=J$3,SUMIF('TL12'!$C$10:$C$224,$C146,'TL12'!$J$10:$J$224),0),
IF('TL12'!$B$229=J$3,SUMIF('TL12'!$C$238:$C$451,$C146,'TL12'!$J$238:$J$451),0),
IF('TL13'!$B$3=J$3,SUMIF('TL13'!$C$10:$C$224,$C146,'TL13'!$J$10:$J$224),0),
IF('TL13'!$B$229=J$3,SUMIF('TL13'!$C$238:$C$451,$C146,'TL13'!$J$238:$J$451),0),
IF('TL14'!$B$3=J$3,SUMIF('TL14'!$C$10:$C$224,$C146,'TL14'!$J$10:$J$224),0),
IF('TL14'!$B$229=J$3,SUMIF('TL14'!$C$238:$C$451,$C146,'TL14'!$J$238:$J$451),0),
IF('TL15'!$B$3=J$3,SUMIF('TL15'!$C$10:$C$224,$C146,'TL15'!$J$10:$J$224),0),
IF('TL15'!$B$229=J$3,SUMIF('TL15'!$C$238:$C$451,$C146,'TL15'!$J$238:$J$451),0),
IF('TL16'!$B$3=J$3,SUMIF('TL16'!$C$10:$C$224,$C146,'TL16'!$J$10:$J$224),0),
IF('TL16'!$B$229=J$3,SUMIF('TL16'!$C$238:$C$451,$C146,'TL16'!$J$238:$J$451),0),
IF('TL17'!$B$3=J$3,SUMIF('TL17'!$C$10:$C$224,$C146,'TL17'!$J$10:$J$224),0),
IF('TL17'!$B$229=J$3,SUMIF('TL17'!$C$238:$C$451,$C146,'TL17'!$J$238:$J$451),0),
IF('TL18'!$B$3=J$3,SUMIF('TL18'!$C$10:$C$224,$C146,'TL18'!$J$10:$J$224),0),
IF('TL18'!$B$229=J$3,SUMIF('TL18'!$C$238:$C$451,$C146,'TL18'!$J$238:$J$451),0),
IF('TL19'!$B$3=J$3,SUMIF('TL19'!$C$10:$C$224,$C146,'TL19'!$J$10:$J$224),0),
IF('TL19'!$B$229=J$3,SUMIF('TL19'!$C$238:$C$451,$C146,'TL19'!$J$238:$J$451),0)
),0)</f>
        <v/>
      </c>
      <c r="K146" s="9">
        <f>IFERROR(SUM(
IF('TL01'!$B$3=K$3,SUMIF('TL01'!$C$10:$C$224,$C146,'TL01'!$J$10:$J$224),0),
IF('TL01'!$B$229=K$3,SUMIF('TL01'!$C$238:$C$451,$C146,'TL01'!$J$238:$J$451),0),
IF('TL02'!$B$3=K$3,SUMIF('TL02'!$C$10:$C$224,$C146,'TL02'!$J$10:$J$224),0),
IF('TL02'!$B$229=K$3,SUMIF('TL02'!$C$238:$C$451,$C146,'TL02'!$J$238:$J$451),0),
IF('TL03'!$B$3=K$3,SUMIF('TL03'!$C$10:$C$224,$C146,'TL03'!$J$10:$J$224),0),
IF('TL03'!$B$229=K$3,SUMIF('TL03'!$C$238:$C$451,$C146,'TL03'!$J$238:$J$451),0),
IF('TL04'!$B$3=K$3,SUMIF('TL04'!$C$10:$C$224,$C146,'TL04'!$J$10:$J$224),0),
IF('TL04'!$B$229=K$3,SUMIF('TL04'!$C$238:$C$451,$C146,'TL04'!$J$238:$J$451),0),
IF('TL05'!$B$3=K$3,SUMIF('TL05'!$C$10:$C$224,$C146,'TL05'!$J$10:$J$224),0),
IF('TL05'!$B$229=K$3,SUMIF('TL05'!$C$238:$C$451,$C146,'TL05'!$J$238:$J$451),0),
IF('TL06'!$B$3=K$3,SUMIF('TL06'!$C$10:$C$224,$C146,'TL06'!$J$10:$J$224),0),
IF('TL06'!$B$229=K$3,SUMIF('TL06'!$C$238:$C$451,$C146,'TL06'!$J$238:$J$451),0),
IF('TL07'!$B$3=K$3,SUMIF('TL07'!$C$10:$C$224,$C146,'TL07'!$J$10:$J$224),0),
IF('TL07'!$B$229=K$3,SUMIF('TL07'!$C$238:$C$451,$C146,'TL07'!$J$238:$J$451),0),
IF('TL08'!$B$3=K$3,SUMIF('TL08'!$C$10:$C$224,$C146,'TL08'!$J$10:$J$224),0),
IF('TL08'!$B$229=K$3,SUMIF('TL08'!$C$238:$C$451,$C146,'TL08'!$J$238:$J$451),0),
IF('TL09'!$B$3=K$3,SUMIF('TL09'!$C$10:$C$224,$C146,'TL09'!$J$10:$J$224),0),
IF('TL09'!$B$229=K$3,SUMIF('TL09'!$C$238:$C$451,$C146,'TL09'!$J$238:$J$451),0),
IF('TL10'!$B$3=K$3,SUMIF('TL10'!$C$10:$C$224,$C146,'TL10'!$J$10:$J$224),0),
IF('TL10'!$B$229=K$3,SUMIF('TL10'!$C$238:$C$451,$C146,'TL10'!$J$238:$J$451),0),
IF('TL11'!$B$3=K$3,SUMIF('TL11'!$C$10:$C$224,$C146,'TL11'!$J$10:$J$224),0),
IF('TL11'!$B$229=K$3,SUMIF('TL11'!$C$238:$C$451,$C146,'TL11'!$J$238:$J$451),0),
IF('TL12'!$B$3=K$3,SUMIF('TL12'!$C$10:$C$224,$C146,'TL12'!$J$10:$J$224),0),
IF('TL12'!$B$229=K$3,SUMIF('TL12'!$C$238:$C$451,$C146,'TL12'!$J$238:$J$451),0),
IF('TL13'!$B$3=K$3,SUMIF('TL13'!$C$10:$C$224,$C146,'TL13'!$J$10:$J$224),0),
IF('TL13'!$B$229=K$3,SUMIF('TL13'!$C$238:$C$451,$C146,'TL13'!$J$238:$J$451),0),
IF('TL14'!$B$3=K$3,SUMIF('TL14'!$C$10:$C$224,$C146,'TL14'!$J$10:$J$224),0),
IF('TL14'!$B$229=K$3,SUMIF('TL14'!$C$238:$C$451,$C146,'TL14'!$J$238:$J$451),0),
IF('TL15'!$B$3=K$3,SUMIF('TL15'!$C$10:$C$224,$C146,'TL15'!$J$10:$J$224),0),
IF('TL15'!$B$229=K$3,SUMIF('TL15'!$C$238:$C$451,$C146,'TL15'!$J$238:$J$451),0),
IF('TL16'!$B$3=K$3,SUMIF('TL16'!$C$10:$C$224,$C146,'TL16'!$J$10:$J$224),0),
IF('TL16'!$B$229=K$3,SUMIF('TL16'!$C$238:$C$451,$C146,'TL16'!$J$238:$J$451),0),
IF('TL17'!$B$3=K$3,SUMIF('TL17'!$C$10:$C$224,$C146,'TL17'!$J$10:$J$224),0),
IF('TL17'!$B$229=K$3,SUMIF('TL17'!$C$238:$C$451,$C146,'TL17'!$J$238:$J$451),0),
IF('TL18'!$B$3=K$3,SUMIF('TL18'!$C$10:$C$224,$C146,'TL18'!$J$10:$J$224),0),
IF('TL18'!$B$229=K$3,SUMIF('TL18'!$C$238:$C$451,$C146,'TL18'!$J$238:$J$451),0),
IF('TL19'!$B$3=K$3,SUMIF('TL19'!$C$10:$C$224,$C146,'TL19'!$J$10:$J$224),0),
IF('TL19'!$B$229=K$3,SUMIF('TL19'!$C$238:$C$451,$C146,'TL19'!$J$238:$J$451),0)
),0)</f>
        <v/>
      </c>
      <c r="L146" s="9">
        <f>IFERROR(SUM(
IF('TL01'!$B$3=L$3,SUMIF('TL01'!$C$10:$C$224,$C146,'TL01'!$J$10:$J$224),0),
IF('TL01'!$B$229=L$3,SUMIF('TL01'!$C$238:$C$451,$C146,'TL01'!$J$238:$J$451),0),
IF('TL02'!$B$3=L$3,SUMIF('TL02'!$C$10:$C$224,$C146,'TL02'!$J$10:$J$224),0),
IF('TL02'!$B$229=L$3,SUMIF('TL02'!$C$238:$C$451,$C146,'TL02'!$J$238:$J$451),0),
IF('TL03'!$B$3=L$3,SUMIF('TL03'!$C$10:$C$224,$C146,'TL03'!$J$10:$J$224),0),
IF('TL03'!$B$229=L$3,SUMIF('TL03'!$C$238:$C$451,$C146,'TL03'!$J$238:$J$451),0),
IF('TL04'!$B$3=L$3,SUMIF('TL04'!$C$10:$C$224,$C146,'TL04'!$J$10:$J$224),0),
IF('TL04'!$B$229=L$3,SUMIF('TL04'!$C$238:$C$451,$C146,'TL04'!$J$238:$J$451),0),
IF('TL05'!$B$3=L$3,SUMIF('TL05'!$C$10:$C$224,$C146,'TL05'!$J$10:$J$224),0),
IF('TL05'!$B$229=L$3,SUMIF('TL05'!$C$238:$C$451,$C146,'TL05'!$J$238:$J$451),0),
IF('TL06'!$B$3=L$3,SUMIF('TL06'!$C$10:$C$224,$C146,'TL06'!$J$10:$J$224),0),
IF('TL06'!$B$229=L$3,SUMIF('TL06'!$C$238:$C$451,$C146,'TL06'!$J$238:$J$451),0),
IF('TL07'!$B$3=L$3,SUMIF('TL07'!$C$10:$C$224,$C146,'TL07'!$J$10:$J$224),0),
IF('TL07'!$B$229=L$3,SUMIF('TL07'!$C$238:$C$451,$C146,'TL07'!$J$238:$J$451),0),
IF('TL08'!$B$3=L$3,SUMIF('TL08'!$C$10:$C$224,$C146,'TL08'!$J$10:$J$224),0),
IF('TL08'!$B$229=L$3,SUMIF('TL08'!$C$238:$C$451,$C146,'TL08'!$J$238:$J$451),0),
IF('TL09'!$B$3=L$3,SUMIF('TL09'!$C$10:$C$224,$C146,'TL09'!$J$10:$J$224),0),
IF('TL09'!$B$229=L$3,SUMIF('TL09'!$C$238:$C$451,$C146,'TL09'!$J$238:$J$451),0),
IF('TL10'!$B$3=L$3,SUMIF('TL10'!$C$10:$C$224,$C146,'TL10'!$J$10:$J$224),0),
IF('TL10'!$B$229=L$3,SUMIF('TL10'!$C$238:$C$451,$C146,'TL10'!$J$238:$J$451),0),
IF('TL11'!$B$3=L$3,SUMIF('TL11'!$C$10:$C$224,$C146,'TL11'!$J$10:$J$224),0),
IF('TL11'!$B$229=L$3,SUMIF('TL11'!$C$238:$C$451,$C146,'TL11'!$J$238:$J$451),0),
IF('TL12'!$B$3=L$3,SUMIF('TL12'!$C$10:$C$224,$C146,'TL12'!$J$10:$J$224),0),
IF('TL12'!$B$229=L$3,SUMIF('TL12'!$C$238:$C$451,$C146,'TL12'!$J$238:$J$451),0),
IF('TL13'!$B$3=L$3,SUMIF('TL13'!$C$10:$C$224,$C146,'TL13'!$J$10:$J$224),0),
IF('TL13'!$B$229=L$3,SUMIF('TL13'!$C$238:$C$451,$C146,'TL13'!$J$238:$J$451),0),
IF('TL14'!$B$3=L$3,SUMIF('TL14'!$C$10:$C$224,$C146,'TL14'!$J$10:$J$224),0),
IF('TL14'!$B$229=L$3,SUMIF('TL14'!$C$238:$C$451,$C146,'TL14'!$J$238:$J$451),0),
IF('TL15'!$B$3=L$3,SUMIF('TL15'!$C$10:$C$224,$C146,'TL15'!$J$10:$J$224),0),
IF('TL15'!$B$229=L$3,SUMIF('TL15'!$C$238:$C$451,$C146,'TL15'!$J$238:$J$451),0),
IF('TL16'!$B$3=L$3,SUMIF('TL16'!$C$10:$C$224,$C146,'TL16'!$J$10:$J$224),0),
IF('TL16'!$B$229=L$3,SUMIF('TL16'!$C$238:$C$451,$C146,'TL16'!$J$238:$J$451),0),
IF('TL17'!$B$3=L$3,SUMIF('TL17'!$C$10:$C$224,$C146,'TL17'!$J$10:$J$224),0),
IF('TL17'!$B$229=L$3,SUMIF('TL17'!$C$238:$C$451,$C146,'TL17'!$J$238:$J$451),0),
IF('TL18'!$B$3=L$3,SUMIF('TL18'!$C$10:$C$224,$C146,'TL18'!$J$10:$J$224),0),
IF('TL18'!$B$229=L$3,SUMIF('TL18'!$C$238:$C$451,$C146,'TL18'!$J$238:$J$451),0),
IF('TL19'!$B$3=L$3,SUMIF('TL19'!$C$10:$C$224,$C146,'TL19'!$J$10:$J$224),0),
IF('TL19'!$B$229=L$3,SUMIF('TL19'!$C$238:$C$451,$C146,'TL19'!$J$238:$J$451),0)
),0)</f>
        <v/>
      </c>
      <c r="M146" s="9">
        <f>IFERROR(SUM(
IF('TL01'!$B$3=M$3,SUMIF('TL01'!$C$10:$C$224,$C146,'TL01'!$J$10:$J$224),0),
IF('TL01'!$B$229=M$3,SUMIF('TL01'!$C$238:$C$451,$C146,'TL01'!$J$238:$J$451),0),
IF('TL02'!$B$3=M$3,SUMIF('TL02'!$C$10:$C$224,$C146,'TL02'!$J$10:$J$224),0),
IF('TL02'!$B$229=M$3,SUMIF('TL02'!$C$238:$C$451,$C146,'TL02'!$J$238:$J$451),0),
IF('TL03'!$B$3=M$3,SUMIF('TL03'!$C$10:$C$224,$C146,'TL03'!$J$10:$J$224),0),
IF('TL03'!$B$229=M$3,SUMIF('TL03'!$C$238:$C$451,$C146,'TL03'!$J$238:$J$451),0),
IF('TL04'!$B$3=M$3,SUMIF('TL04'!$C$10:$C$224,$C146,'TL04'!$J$10:$J$224),0),
IF('TL04'!$B$229=M$3,SUMIF('TL04'!$C$238:$C$451,$C146,'TL04'!$J$238:$J$451),0),
IF('TL05'!$B$3=M$3,SUMIF('TL05'!$C$10:$C$224,$C146,'TL05'!$J$10:$J$224),0),
IF('TL05'!$B$229=M$3,SUMIF('TL05'!$C$238:$C$451,$C146,'TL05'!$J$238:$J$451),0),
IF('TL06'!$B$3=M$3,SUMIF('TL06'!$C$10:$C$224,$C146,'TL06'!$J$10:$J$224),0),
IF('TL06'!$B$229=M$3,SUMIF('TL06'!$C$238:$C$451,$C146,'TL06'!$J$238:$J$451),0),
IF('TL07'!$B$3=M$3,SUMIF('TL07'!$C$10:$C$224,$C146,'TL07'!$J$10:$J$224),0),
IF('TL07'!$B$229=M$3,SUMIF('TL07'!$C$238:$C$451,$C146,'TL07'!$J$238:$J$451),0),
IF('TL08'!$B$3=M$3,SUMIF('TL08'!$C$10:$C$224,$C146,'TL08'!$J$10:$J$224),0),
IF('TL08'!$B$229=M$3,SUMIF('TL08'!$C$238:$C$451,$C146,'TL08'!$J$238:$J$451),0),
IF('TL09'!$B$3=M$3,SUMIF('TL09'!$C$10:$C$224,$C146,'TL09'!$J$10:$J$224),0),
IF('TL09'!$B$229=M$3,SUMIF('TL09'!$C$238:$C$451,$C146,'TL09'!$J$238:$J$451),0),
IF('TL10'!$B$3=M$3,SUMIF('TL10'!$C$10:$C$224,$C146,'TL10'!$J$10:$J$224),0),
IF('TL10'!$B$229=M$3,SUMIF('TL10'!$C$238:$C$451,$C146,'TL10'!$J$238:$J$451),0),
IF('TL11'!$B$3=M$3,SUMIF('TL11'!$C$10:$C$224,$C146,'TL11'!$J$10:$J$224),0),
IF('TL11'!$B$229=M$3,SUMIF('TL11'!$C$238:$C$451,$C146,'TL11'!$J$238:$J$451),0),
IF('TL12'!$B$3=M$3,SUMIF('TL12'!$C$10:$C$224,$C146,'TL12'!$J$10:$J$224),0),
IF('TL12'!$B$229=M$3,SUMIF('TL12'!$C$238:$C$451,$C146,'TL12'!$J$238:$J$451),0),
IF('TL13'!$B$3=M$3,SUMIF('TL13'!$C$10:$C$224,$C146,'TL13'!$J$10:$J$224),0),
IF('TL13'!$B$229=M$3,SUMIF('TL13'!$C$238:$C$451,$C146,'TL13'!$J$238:$J$451),0),
IF('TL14'!$B$3=M$3,SUMIF('TL14'!$C$10:$C$224,$C146,'TL14'!$J$10:$J$224),0),
IF('TL14'!$B$229=M$3,SUMIF('TL14'!$C$238:$C$451,$C146,'TL14'!$J$238:$J$451),0),
IF('TL15'!$B$3=M$3,SUMIF('TL15'!$C$10:$C$224,$C146,'TL15'!$J$10:$J$224),0),
IF('TL15'!$B$229=M$3,SUMIF('TL15'!$C$238:$C$451,$C146,'TL15'!$J$238:$J$451),0),
IF('TL16'!$B$3=M$3,SUMIF('TL16'!$C$10:$C$224,$C146,'TL16'!$J$10:$J$224),0),
IF('TL16'!$B$229=M$3,SUMIF('TL16'!$C$238:$C$451,$C146,'TL16'!$J$238:$J$451),0),
IF('TL17'!$B$3=M$3,SUMIF('TL17'!$C$10:$C$224,$C146,'TL17'!$J$10:$J$224),0),
IF('TL17'!$B$229=M$3,SUMIF('TL17'!$C$238:$C$451,$C146,'TL17'!$J$238:$J$451),0),
IF('TL18'!$B$3=M$3,SUMIF('TL18'!$C$10:$C$224,$C146,'TL18'!$J$10:$J$224),0),
IF('TL18'!$B$229=M$3,SUMIF('TL18'!$C$238:$C$451,$C146,'TL18'!$J$238:$J$451),0),
IF('TL19'!$B$3=M$3,SUMIF('TL19'!$C$10:$C$224,$C146,'TL19'!$J$10:$J$224),0),
IF('TL19'!$B$229=M$3,SUMIF('TL19'!$C$238:$C$451,$C146,'TL19'!$J$238:$J$451),0)
),0)</f>
        <v/>
      </c>
      <c r="N146" s="9">
        <f>IFERROR(SUM(
IF('TL01'!$B$3=N$3,SUMIF('TL01'!$C$10:$C$224,$C146,'TL01'!$J$10:$J$224),0),
IF('TL01'!$B$229=N$3,SUMIF('TL01'!$C$238:$C$451,$C146,'TL01'!$J$238:$J$451),0),
IF('TL02'!$B$3=N$3,SUMIF('TL02'!$C$10:$C$224,$C146,'TL02'!$J$10:$J$224),0),
IF('TL02'!$B$229=N$3,SUMIF('TL02'!$C$238:$C$451,$C146,'TL02'!$J$238:$J$451),0),
IF('TL03'!$B$3=N$3,SUMIF('TL03'!$C$10:$C$224,$C146,'TL03'!$J$10:$J$224),0),
IF('TL03'!$B$229=N$3,SUMIF('TL03'!$C$238:$C$451,$C146,'TL03'!$J$238:$J$451),0),
IF('TL04'!$B$3=N$3,SUMIF('TL04'!$C$10:$C$224,$C146,'TL04'!$J$10:$J$224),0),
IF('TL04'!$B$229=N$3,SUMIF('TL04'!$C$238:$C$451,$C146,'TL04'!$J$238:$J$451),0),
IF('TL05'!$B$3=N$3,SUMIF('TL05'!$C$10:$C$224,$C146,'TL05'!$J$10:$J$224),0),
IF('TL05'!$B$229=N$3,SUMIF('TL05'!$C$238:$C$451,$C146,'TL05'!$J$238:$J$451),0),
IF('TL06'!$B$3=N$3,SUMIF('TL06'!$C$10:$C$224,$C146,'TL06'!$J$10:$J$224),0),
IF('TL06'!$B$229=N$3,SUMIF('TL06'!$C$238:$C$451,$C146,'TL06'!$J$238:$J$451),0),
IF('TL07'!$B$3=N$3,SUMIF('TL07'!$C$10:$C$224,$C146,'TL07'!$J$10:$J$224),0),
IF('TL07'!$B$229=N$3,SUMIF('TL07'!$C$238:$C$451,$C146,'TL07'!$J$238:$J$451),0),
IF('TL08'!$B$3=N$3,SUMIF('TL08'!$C$10:$C$224,$C146,'TL08'!$J$10:$J$224),0),
IF('TL08'!$B$229=N$3,SUMIF('TL08'!$C$238:$C$451,$C146,'TL08'!$J$238:$J$451),0),
IF('TL09'!$B$3=N$3,SUMIF('TL09'!$C$10:$C$224,$C146,'TL09'!$J$10:$J$224),0),
IF('TL09'!$B$229=N$3,SUMIF('TL09'!$C$238:$C$451,$C146,'TL09'!$J$238:$J$451),0),
IF('TL10'!$B$3=N$3,SUMIF('TL10'!$C$10:$C$224,$C146,'TL10'!$J$10:$J$224),0),
IF('TL10'!$B$229=N$3,SUMIF('TL10'!$C$238:$C$451,$C146,'TL10'!$J$238:$J$451),0),
IF('TL11'!$B$3=N$3,SUMIF('TL11'!$C$10:$C$224,$C146,'TL11'!$J$10:$J$224),0),
IF('TL11'!$B$229=N$3,SUMIF('TL11'!$C$238:$C$451,$C146,'TL11'!$J$238:$J$451),0),
IF('TL12'!$B$3=N$3,SUMIF('TL12'!$C$10:$C$224,$C146,'TL12'!$J$10:$J$224),0),
IF('TL12'!$B$229=N$3,SUMIF('TL12'!$C$238:$C$451,$C146,'TL12'!$J$238:$J$451),0),
IF('TL13'!$B$3=N$3,SUMIF('TL13'!$C$10:$C$224,$C146,'TL13'!$J$10:$J$224),0),
IF('TL13'!$B$229=N$3,SUMIF('TL13'!$C$238:$C$451,$C146,'TL13'!$J$238:$J$451),0),
IF('TL14'!$B$3=N$3,SUMIF('TL14'!$C$10:$C$224,$C146,'TL14'!$J$10:$J$224),0),
IF('TL14'!$B$229=N$3,SUMIF('TL14'!$C$238:$C$451,$C146,'TL14'!$J$238:$J$451),0),
IF('TL15'!$B$3=N$3,SUMIF('TL15'!$C$10:$C$224,$C146,'TL15'!$J$10:$J$224),0),
IF('TL15'!$B$229=N$3,SUMIF('TL15'!$C$238:$C$451,$C146,'TL15'!$J$238:$J$451),0),
IF('TL16'!$B$3=N$3,SUMIF('TL16'!$C$10:$C$224,$C146,'TL16'!$J$10:$J$224),0),
IF('TL16'!$B$229=N$3,SUMIF('TL16'!$C$238:$C$451,$C146,'TL16'!$J$238:$J$451),0),
IF('TL17'!$B$3=N$3,SUMIF('TL17'!$C$10:$C$224,$C146,'TL17'!$J$10:$J$224),0),
IF('TL17'!$B$229=N$3,SUMIF('TL17'!$C$238:$C$451,$C146,'TL17'!$J$238:$J$451),0),
IF('TL18'!$B$3=N$3,SUMIF('TL18'!$C$10:$C$224,$C146,'TL18'!$J$10:$J$224),0),
IF('TL18'!$B$229=N$3,SUMIF('TL18'!$C$238:$C$451,$C146,'TL18'!$J$238:$J$451),0),
IF('TL19'!$B$3=N$3,SUMIF('TL19'!$C$10:$C$224,$C146,'TL19'!$J$10:$J$224),0),
IF('TL19'!$B$229=N$3,SUMIF('TL19'!$C$238:$C$451,$C146,'TL19'!$J$238:$J$451),0)
),0)</f>
        <v/>
      </c>
      <c r="O146" s="9">
        <f>IFERROR(SUM(
IF('TL01'!$B$3=O$3,SUMIF('TL01'!$C$10:$C$224,$C146,'TL01'!$J$10:$J$224),0),
IF('TL01'!$B$229=O$3,SUMIF('TL01'!$C$238:$C$451,$C146,'TL01'!$J$238:$J$451),0),
IF('TL02'!$B$3=O$3,SUMIF('TL02'!$C$10:$C$224,$C146,'TL02'!$J$10:$J$224),0),
IF('TL02'!$B$229=O$3,SUMIF('TL02'!$C$238:$C$451,$C146,'TL02'!$J$238:$J$451),0),
IF('TL03'!$B$3=O$3,SUMIF('TL03'!$C$10:$C$224,$C146,'TL03'!$J$10:$J$224),0),
IF('TL03'!$B$229=O$3,SUMIF('TL03'!$C$238:$C$451,$C146,'TL03'!$J$238:$J$451),0),
IF('TL04'!$B$3=O$3,SUMIF('TL04'!$C$10:$C$224,$C146,'TL04'!$J$10:$J$224),0),
IF('TL04'!$B$229=O$3,SUMIF('TL04'!$C$238:$C$451,$C146,'TL04'!$J$238:$J$451),0),
IF('TL05'!$B$3=O$3,SUMIF('TL05'!$C$10:$C$224,$C146,'TL05'!$J$10:$J$224),0),
IF('TL05'!$B$229=O$3,SUMIF('TL05'!$C$238:$C$451,$C146,'TL05'!$J$238:$J$451),0),
IF('TL06'!$B$3=O$3,SUMIF('TL06'!$C$10:$C$224,$C146,'TL06'!$J$10:$J$224),0),
IF('TL06'!$B$229=O$3,SUMIF('TL06'!$C$238:$C$451,$C146,'TL06'!$J$238:$J$451),0),
IF('TL07'!$B$3=O$3,SUMIF('TL07'!$C$10:$C$224,$C146,'TL07'!$J$10:$J$224),0),
IF('TL07'!$B$229=O$3,SUMIF('TL07'!$C$238:$C$451,$C146,'TL07'!$J$238:$J$451),0),
IF('TL08'!$B$3=O$3,SUMIF('TL08'!$C$10:$C$224,$C146,'TL08'!$J$10:$J$224),0),
IF('TL08'!$B$229=O$3,SUMIF('TL08'!$C$238:$C$451,$C146,'TL08'!$J$238:$J$451),0),
IF('TL09'!$B$3=O$3,SUMIF('TL09'!$C$10:$C$224,$C146,'TL09'!$J$10:$J$224),0),
IF('TL09'!$B$229=O$3,SUMIF('TL09'!$C$238:$C$451,$C146,'TL09'!$J$238:$J$451),0),
IF('TL10'!$B$3=O$3,SUMIF('TL10'!$C$10:$C$224,$C146,'TL10'!$J$10:$J$224),0),
IF('TL10'!$B$229=O$3,SUMIF('TL10'!$C$238:$C$451,$C146,'TL10'!$J$238:$J$451),0),
IF('TL11'!$B$3=O$3,SUMIF('TL11'!$C$10:$C$224,$C146,'TL11'!$J$10:$J$224),0),
IF('TL11'!$B$229=O$3,SUMIF('TL11'!$C$238:$C$451,$C146,'TL11'!$J$238:$J$451),0),
IF('TL12'!$B$3=O$3,SUMIF('TL12'!$C$10:$C$224,$C146,'TL12'!$J$10:$J$224),0),
IF('TL12'!$B$229=O$3,SUMIF('TL12'!$C$238:$C$451,$C146,'TL12'!$J$238:$J$451),0),
IF('TL13'!$B$3=O$3,SUMIF('TL13'!$C$10:$C$224,$C146,'TL13'!$J$10:$J$224),0),
IF('TL13'!$B$229=O$3,SUMIF('TL13'!$C$238:$C$451,$C146,'TL13'!$J$238:$J$451),0),
IF('TL14'!$B$3=O$3,SUMIF('TL14'!$C$10:$C$224,$C146,'TL14'!$J$10:$J$224),0),
IF('TL14'!$B$229=O$3,SUMIF('TL14'!$C$238:$C$451,$C146,'TL14'!$J$238:$J$451),0),
IF('TL15'!$B$3=O$3,SUMIF('TL15'!$C$10:$C$224,$C146,'TL15'!$J$10:$J$224),0),
IF('TL15'!$B$229=O$3,SUMIF('TL15'!$C$238:$C$451,$C146,'TL15'!$J$238:$J$451),0),
IF('TL16'!$B$3=O$3,SUMIF('TL16'!$C$10:$C$224,$C146,'TL16'!$J$10:$J$224),0),
IF('TL16'!$B$229=O$3,SUMIF('TL16'!$C$238:$C$451,$C146,'TL16'!$J$238:$J$451),0),
IF('TL17'!$B$3=O$3,SUMIF('TL17'!$C$10:$C$224,$C146,'TL17'!$J$10:$J$224),0),
IF('TL17'!$B$229=O$3,SUMIF('TL17'!$C$238:$C$451,$C146,'TL17'!$J$238:$J$451),0),
IF('TL18'!$B$3=O$3,SUMIF('TL18'!$C$10:$C$224,$C146,'TL18'!$J$10:$J$224),0),
IF('TL18'!$B$229=O$3,SUMIF('TL18'!$C$238:$C$451,$C146,'TL18'!$J$238:$J$451),0),
IF('TL19'!$B$3=O$3,SUMIF('TL19'!$C$10:$C$224,$C146,'TL19'!$J$10:$J$224),0),
IF('TL19'!$B$229=O$3,SUMIF('TL19'!$C$238:$C$451,$C146,'TL19'!$J$238:$J$451),0)
),0)</f>
        <v/>
      </c>
      <c r="P146" s="9">
        <f>IFERROR(SUM(
IF('TL01'!$B$3=P$3,SUMIF('TL01'!$C$10:$C$224,$C146,'TL01'!$J$10:$J$224),0),
IF('TL01'!$B$229=P$3,SUMIF('TL01'!$C$238:$C$451,$C146,'TL01'!$J$238:$J$451),0),
IF('TL02'!$B$3=P$3,SUMIF('TL02'!$C$10:$C$224,$C146,'TL02'!$J$10:$J$224),0),
IF('TL02'!$B$229=P$3,SUMIF('TL02'!$C$238:$C$451,$C146,'TL02'!$J$238:$J$451),0),
IF('TL03'!$B$3=P$3,SUMIF('TL03'!$C$10:$C$224,$C146,'TL03'!$J$10:$J$224),0),
IF('TL03'!$B$229=P$3,SUMIF('TL03'!$C$238:$C$451,$C146,'TL03'!$J$238:$J$451),0),
IF('TL04'!$B$3=P$3,SUMIF('TL04'!$C$10:$C$224,$C146,'TL04'!$J$10:$J$224),0),
IF('TL04'!$B$229=P$3,SUMIF('TL04'!$C$238:$C$451,$C146,'TL04'!$J$238:$J$451),0),
IF('TL05'!$B$3=P$3,SUMIF('TL05'!$C$10:$C$224,$C146,'TL05'!$J$10:$J$224),0),
IF('TL05'!$B$229=P$3,SUMIF('TL05'!$C$238:$C$451,$C146,'TL05'!$J$238:$J$451),0),
IF('TL06'!$B$3=P$3,SUMIF('TL06'!$C$10:$C$224,$C146,'TL06'!$J$10:$J$224),0),
IF('TL06'!$B$229=P$3,SUMIF('TL06'!$C$238:$C$451,$C146,'TL06'!$J$238:$J$451),0),
IF('TL07'!$B$3=P$3,SUMIF('TL07'!$C$10:$C$224,$C146,'TL07'!$J$10:$J$224),0),
IF('TL07'!$B$229=P$3,SUMIF('TL07'!$C$238:$C$451,$C146,'TL07'!$J$238:$J$451),0),
IF('TL08'!$B$3=P$3,SUMIF('TL08'!$C$10:$C$224,$C146,'TL08'!$J$10:$J$224),0),
IF('TL08'!$B$229=P$3,SUMIF('TL08'!$C$238:$C$451,$C146,'TL08'!$J$238:$J$451),0),
IF('TL09'!$B$3=P$3,SUMIF('TL09'!$C$10:$C$224,$C146,'TL09'!$J$10:$J$224),0),
IF('TL09'!$B$229=P$3,SUMIF('TL09'!$C$238:$C$451,$C146,'TL09'!$J$238:$J$451),0),
IF('TL10'!$B$3=P$3,SUMIF('TL10'!$C$10:$C$224,$C146,'TL10'!$J$10:$J$224),0),
IF('TL10'!$B$229=P$3,SUMIF('TL10'!$C$238:$C$451,$C146,'TL10'!$J$238:$J$451),0),
IF('TL11'!$B$3=P$3,SUMIF('TL11'!$C$10:$C$224,$C146,'TL11'!$J$10:$J$224),0),
IF('TL11'!$B$229=P$3,SUMIF('TL11'!$C$238:$C$451,$C146,'TL11'!$J$238:$J$451),0),
IF('TL12'!$B$3=P$3,SUMIF('TL12'!$C$10:$C$224,$C146,'TL12'!$J$10:$J$224),0),
IF('TL12'!$B$229=P$3,SUMIF('TL12'!$C$238:$C$451,$C146,'TL12'!$J$238:$J$451),0),
IF('TL13'!$B$3=P$3,SUMIF('TL13'!$C$10:$C$224,$C146,'TL13'!$J$10:$J$224),0),
IF('TL13'!$B$229=P$3,SUMIF('TL13'!$C$238:$C$451,$C146,'TL13'!$J$238:$J$451),0),
IF('TL14'!$B$3=P$3,SUMIF('TL14'!$C$10:$C$224,$C146,'TL14'!$J$10:$J$224),0),
IF('TL14'!$B$229=P$3,SUMIF('TL14'!$C$238:$C$451,$C146,'TL14'!$J$238:$J$451),0),
IF('TL15'!$B$3=P$3,SUMIF('TL15'!$C$10:$C$224,$C146,'TL15'!$J$10:$J$224),0),
IF('TL15'!$B$229=P$3,SUMIF('TL15'!$C$238:$C$451,$C146,'TL15'!$J$238:$J$451),0),
IF('TL16'!$B$3=P$3,SUMIF('TL16'!$C$10:$C$224,$C146,'TL16'!$J$10:$J$224),0),
IF('TL16'!$B$229=P$3,SUMIF('TL16'!$C$238:$C$451,$C146,'TL16'!$J$238:$J$451),0),
IF('TL17'!$B$3=P$3,SUMIF('TL17'!$C$10:$C$224,$C146,'TL17'!$J$10:$J$224),0),
IF('TL17'!$B$229=P$3,SUMIF('TL17'!$C$238:$C$451,$C146,'TL17'!$J$238:$J$451),0),
IF('TL18'!$B$3=P$3,SUMIF('TL18'!$C$10:$C$224,$C146,'TL18'!$J$10:$J$224),0),
IF('TL18'!$B$229=P$3,SUMIF('TL18'!$C$238:$C$451,$C146,'TL18'!$J$238:$J$451),0),
IF('TL19'!$B$3=P$3,SUMIF('TL19'!$C$10:$C$224,$C146,'TL19'!$J$10:$J$224),0),
IF('TL19'!$B$229=P$3,SUMIF('TL19'!$C$238:$C$451,$C146,'TL19'!$J$238:$J$451),0)
),0)</f>
        <v/>
      </c>
      <c r="Q146" s="9">
        <f>IFERROR(SUM(
IF('TL01'!$B$3=Q$3,SUMIF('TL01'!$C$10:$C$224,$C146,'TL01'!$J$10:$J$224),0),
IF('TL01'!$B$229=Q$3,SUMIF('TL01'!$C$238:$C$451,$C146,'TL01'!$J$238:$J$451),0),
IF('TL02'!$B$3=Q$3,SUMIF('TL02'!$C$10:$C$224,$C146,'TL02'!$J$10:$J$224),0),
IF('TL02'!$B$229=Q$3,SUMIF('TL02'!$C$238:$C$451,$C146,'TL02'!$J$238:$J$451),0),
IF('TL03'!$B$3=Q$3,SUMIF('TL03'!$C$10:$C$224,$C146,'TL03'!$J$10:$J$224),0),
IF('TL03'!$B$229=Q$3,SUMIF('TL03'!$C$238:$C$451,$C146,'TL03'!$J$238:$J$451),0),
IF('TL04'!$B$3=Q$3,SUMIF('TL04'!$C$10:$C$224,$C146,'TL04'!$J$10:$J$224),0),
IF('TL04'!$B$229=Q$3,SUMIF('TL04'!$C$238:$C$451,$C146,'TL04'!$J$238:$J$451),0),
IF('TL05'!$B$3=Q$3,SUMIF('TL05'!$C$10:$C$224,$C146,'TL05'!$J$10:$J$224),0),
IF('TL05'!$B$229=Q$3,SUMIF('TL05'!$C$238:$C$451,$C146,'TL05'!$J$238:$J$451),0),
IF('TL06'!$B$3=Q$3,SUMIF('TL06'!$C$10:$C$224,$C146,'TL06'!$J$10:$J$224),0),
IF('TL06'!$B$229=Q$3,SUMIF('TL06'!$C$238:$C$451,$C146,'TL06'!$J$238:$J$451),0),
IF('TL07'!$B$3=Q$3,SUMIF('TL07'!$C$10:$C$224,$C146,'TL07'!$J$10:$J$224),0),
IF('TL07'!$B$229=Q$3,SUMIF('TL07'!$C$238:$C$451,$C146,'TL07'!$J$238:$J$451),0),
IF('TL08'!$B$3=Q$3,SUMIF('TL08'!$C$10:$C$224,$C146,'TL08'!$J$10:$J$224),0),
IF('TL08'!$B$229=Q$3,SUMIF('TL08'!$C$238:$C$451,$C146,'TL08'!$J$238:$J$451),0),
IF('TL09'!$B$3=Q$3,SUMIF('TL09'!$C$10:$C$224,$C146,'TL09'!$J$10:$J$224),0),
IF('TL09'!$B$229=Q$3,SUMIF('TL09'!$C$238:$C$451,$C146,'TL09'!$J$238:$J$451),0),
IF('TL10'!$B$3=Q$3,SUMIF('TL10'!$C$10:$C$224,$C146,'TL10'!$J$10:$J$224),0),
IF('TL10'!$B$229=Q$3,SUMIF('TL10'!$C$238:$C$451,$C146,'TL10'!$J$238:$J$451),0),
IF('TL11'!$B$3=Q$3,SUMIF('TL11'!$C$10:$C$224,$C146,'TL11'!$J$10:$J$224),0),
IF('TL11'!$B$229=Q$3,SUMIF('TL11'!$C$238:$C$451,$C146,'TL11'!$J$238:$J$451),0),
IF('TL12'!$B$3=Q$3,SUMIF('TL12'!$C$10:$C$224,$C146,'TL12'!$J$10:$J$224),0),
IF('TL12'!$B$229=Q$3,SUMIF('TL12'!$C$238:$C$451,$C146,'TL12'!$J$238:$J$451),0),
IF('TL13'!$B$3=Q$3,SUMIF('TL13'!$C$10:$C$224,$C146,'TL13'!$J$10:$J$224),0),
IF('TL13'!$B$229=Q$3,SUMIF('TL13'!$C$238:$C$451,$C146,'TL13'!$J$238:$J$451),0),
IF('TL14'!$B$3=Q$3,SUMIF('TL14'!$C$10:$C$224,$C146,'TL14'!$J$10:$J$224),0),
IF('TL14'!$B$229=Q$3,SUMIF('TL14'!$C$238:$C$451,$C146,'TL14'!$J$238:$J$451),0),
IF('TL15'!$B$3=Q$3,SUMIF('TL15'!$C$10:$C$224,$C146,'TL15'!$J$10:$J$224),0),
IF('TL15'!$B$229=Q$3,SUMIF('TL15'!$C$238:$C$451,$C146,'TL15'!$J$238:$J$451),0),
IF('TL16'!$B$3=Q$3,SUMIF('TL16'!$C$10:$C$224,$C146,'TL16'!$J$10:$J$224),0),
IF('TL16'!$B$229=Q$3,SUMIF('TL16'!$C$238:$C$451,$C146,'TL16'!$J$238:$J$451),0),
IF('TL17'!$B$3=Q$3,SUMIF('TL17'!$C$10:$C$224,$C146,'TL17'!$J$10:$J$224),0),
IF('TL17'!$B$229=Q$3,SUMIF('TL17'!$C$238:$C$451,$C146,'TL17'!$J$238:$J$451),0),
IF('TL18'!$B$3=Q$3,SUMIF('TL18'!$C$10:$C$224,$C146,'TL18'!$J$10:$J$224),0),
IF('TL18'!$B$229=Q$3,SUMIF('TL18'!$C$238:$C$451,$C146,'TL18'!$J$238:$J$451),0),
IF('TL19'!$B$3=Q$3,SUMIF('TL19'!$C$10:$C$224,$C146,'TL19'!$J$10:$J$224),0),
IF('TL19'!$B$229=Q$3,SUMIF('TL19'!$C$238:$C$451,$C146,'TL19'!$J$238:$J$451),0)
),0)</f>
        <v/>
      </c>
      <c r="R146" s="9">
        <f>IFERROR(
SUM(
SUMIF('TL01'!C:C,C146,'TL01'!J:J),
SUMIF('TL02'!C:C,C146,'TL02'!J:J),
SUMIF('TL03'!C:C,C146,'TL03'!J:J),
SUMIF('TL04'!C:C,C146,'TL04'!J:J),
SUMIF('TL05'!C:C,C146,'TL05'!J:J),
SUMIF('TL06'!C:C,C146,'TL06'!J:J),
SUMIF('TL07'!C:C,C146,'TL07'!J:J),
SUMIF('TL08'!C:C,C146,'TL08'!J:J),
SUMIF('TL09'!C:C,C146,'TL09'!J:J),
SUMIF('TL10'!C:C,C146,'TL10'!J:J),
SUMIF('TL11'!C:C,C146,'TL11'!J:J),
SUMIF('TL12'!C:C,C146,'TL12'!J:J),
SUMIF('TL13'!C:C,C146,'TL13'!J:J),
SUMIF('TL14'!C:C,C146,'TL14'!J:J),
SUMIF('TL15'!C:C,C146,'TL15'!J:J),
SUMIF('TL16'!C:C,C146,'TL16'!J:J),
SUMIF('TL17'!C:C,C146,'TL17'!J:J),
SUMIF('TL18'!C:C,C146,'TL18'!J:J),SUMIF('TL19'!C:C,C146,'TL19'!J:J))
,0)</f>
        <v/>
      </c>
      <c r="S146" s="17">
        <f>IFERROR(__xludf.DUMMYFUNCTION("IFERROR(VLOOKUP(C146,
IMPORTRANGE(""1wULbzX32WdYsx-lj2U3uUNBBe2INVIRDtcK0d-Dvl90"",
""26-27!C:G""),
5,
FALSE),
"""")"),32.88804)</f>
        <v/>
      </c>
      <c r="T146" s="9" t="n"/>
      <c r="U146" s="92">
        <f>MAX(0,R146-T146)</f>
        <v/>
      </c>
      <c r="V146" s="93">
        <f>U146*S146</f>
        <v/>
      </c>
    </row>
    <row r="147" hidden="1" ht="15.75" customHeight="1" s="297">
      <c r="A147" s="111" t="inlineStr">
        <is>
          <t>NORTOX</t>
        </is>
      </c>
      <c r="B147" s="112" t="inlineStr">
        <is>
          <t>HERBICIDA</t>
        </is>
      </c>
      <c r="C147" s="113" t="inlineStr">
        <is>
          <t>CLORIMUROM MAX NORTOX</t>
        </is>
      </c>
      <c r="D147" s="113" t="inlineStr">
        <is>
          <t>CLORIMUROM-ETÍLICO</t>
        </is>
      </c>
      <c r="E147" s="113" t="n">
        <v>750</v>
      </c>
      <c r="F147" s="4" t="inlineStr">
        <is>
          <t>L</t>
        </is>
      </c>
      <c r="G147" s="90">
        <f>HYPERLINK("https://www.google.com/search?q=" &amp; C147 &amp; "+bula+agrofit+pdf", "📄 Ver bula")</f>
        <v/>
      </c>
      <c r="H147" s="9">
        <f>IFERROR(__xludf.DUMMYFUNCTION("IFERROR(VLOOKUP(C147,
IMPORTRANGE(""1wULbzX32WdYsx-lj2U3uUNBBe2INVIRDtcK0d-Dvl90"",
""26-27!C:K""),
8,
FALSE),
"""")"),"")</f>
        <v/>
      </c>
      <c r="I147" s="114" t="inlineStr">
        <is>
          <t>2X0,500</t>
        </is>
      </c>
      <c r="J147" s="9">
        <f>IFERROR(SUM(
IF('TL01'!$B$3=J$3,SUMIF('TL01'!$C$10:$C$224,$C147,'TL01'!$J$10:$J$224),0),
IF('TL01'!$B$229=J$3,SUMIF('TL01'!$C$238:$C$451,$C147,'TL01'!$J$238:$J$451),0),
IF('TL02'!$B$3=J$3,SUMIF('TL02'!$C$10:$C$224,$C147,'TL02'!$J$10:$J$224),0),
IF('TL02'!$B$229=J$3,SUMIF('TL02'!$C$238:$C$451,$C147,'TL02'!$J$238:$J$451),0),
IF('TL03'!$B$3=J$3,SUMIF('TL03'!$C$10:$C$224,$C147,'TL03'!$J$10:$J$224),0),
IF('TL03'!$B$229=J$3,SUMIF('TL03'!$C$238:$C$451,$C147,'TL03'!$J$238:$J$451),0),
IF('TL04'!$B$3=J$3,SUMIF('TL04'!$C$10:$C$224,$C147,'TL04'!$J$10:$J$224),0),
IF('TL04'!$B$229=J$3,SUMIF('TL04'!$C$238:$C$451,$C147,'TL04'!$J$238:$J$451),0),
IF('TL05'!$B$3=J$3,SUMIF('TL05'!$C$10:$C$224,$C147,'TL05'!$J$10:$J$224),0),
IF('TL05'!$B$229=J$3,SUMIF('TL05'!$C$238:$C$451,$C147,'TL05'!$J$238:$J$451),0),
IF('TL06'!$B$3=J$3,SUMIF('TL06'!$C$10:$C$224,$C147,'TL06'!$J$10:$J$224),0),
IF('TL06'!$B$229=J$3,SUMIF('TL06'!$C$238:$C$451,$C147,'TL06'!$J$238:$J$451),0),
IF('TL07'!$B$3=J$3,SUMIF('TL07'!$C$10:$C$224,$C147,'TL07'!$J$10:$J$224),0),
IF('TL07'!$B$229=J$3,SUMIF('TL07'!$C$238:$C$451,$C147,'TL07'!$J$238:$J$451),0),
IF('TL08'!$B$3=J$3,SUMIF('TL08'!$C$10:$C$224,$C147,'TL08'!$J$10:$J$224),0),
IF('TL08'!$B$229=J$3,SUMIF('TL08'!$C$238:$C$451,$C147,'TL08'!$J$238:$J$451),0),
IF('TL09'!$B$3=J$3,SUMIF('TL09'!$C$10:$C$224,$C147,'TL09'!$J$10:$J$224),0),
IF('TL09'!$B$229=J$3,SUMIF('TL09'!$C$238:$C$451,$C147,'TL09'!$J$238:$J$451),0),
IF('TL10'!$B$3=J$3,SUMIF('TL10'!$C$10:$C$224,$C147,'TL10'!$J$10:$J$224),0),
IF('TL10'!$B$229=J$3,SUMIF('TL10'!$C$238:$C$451,$C147,'TL10'!$J$238:$J$451),0),
IF('TL11'!$B$3=J$3,SUMIF('TL11'!$C$10:$C$224,$C147,'TL11'!$J$10:$J$224),0),
IF('TL11'!$B$229=J$3,SUMIF('TL11'!$C$238:$C$451,$C147,'TL11'!$J$238:$J$451),0),
IF('TL12'!$B$3=J$3,SUMIF('TL12'!$C$10:$C$224,$C147,'TL12'!$J$10:$J$224),0),
IF('TL12'!$B$229=J$3,SUMIF('TL12'!$C$238:$C$451,$C147,'TL12'!$J$238:$J$451),0),
IF('TL13'!$B$3=J$3,SUMIF('TL13'!$C$10:$C$224,$C147,'TL13'!$J$10:$J$224),0),
IF('TL13'!$B$229=J$3,SUMIF('TL13'!$C$238:$C$451,$C147,'TL13'!$J$238:$J$451),0),
IF('TL14'!$B$3=J$3,SUMIF('TL14'!$C$10:$C$224,$C147,'TL14'!$J$10:$J$224),0),
IF('TL14'!$B$229=J$3,SUMIF('TL14'!$C$238:$C$451,$C147,'TL14'!$J$238:$J$451),0),
IF('TL15'!$B$3=J$3,SUMIF('TL15'!$C$10:$C$224,$C147,'TL15'!$J$10:$J$224),0),
IF('TL15'!$B$229=J$3,SUMIF('TL15'!$C$238:$C$451,$C147,'TL15'!$J$238:$J$451),0),
IF('TL16'!$B$3=J$3,SUMIF('TL16'!$C$10:$C$224,$C147,'TL16'!$J$10:$J$224),0),
IF('TL16'!$B$229=J$3,SUMIF('TL16'!$C$238:$C$451,$C147,'TL16'!$J$238:$J$451),0),
IF('TL17'!$B$3=J$3,SUMIF('TL17'!$C$10:$C$224,$C147,'TL17'!$J$10:$J$224),0),
IF('TL17'!$B$229=J$3,SUMIF('TL17'!$C$238:$C$451,$C147,'TL17'!$J$238:$J$451),0),
IF('TL18'!$B$3=J$3,SUMIF('TL18'!$C$10:$C$224,$C147,'TL18'!$J$10:$J$224),0),
IF('TL18'!$B$229=J$3,SUMIF('TL18'!$C$238:$C$451,$C147,'TL18'!$J$238:$J$451),0),
IF('TL19'!$B$3=J$3,SUMIF('TL19'!$C$10:$C$224,$C147,'TL19'!$J$10:$J$224),0),
IF('TL19'!$B$229=J$3,SUMIF('TL19'!$C$238:$C$451,$C147,'TL19'!$J$238:$J$451),0)
),0)</f>
        <v/>
      </c>
      <c r="K147" s="9">
        <f>IFERROR(SUM(
IF('TL01'!$B$3=K$3,SUMIF('TL01'!$C$10:$C$224,$C147,'TL01'!$J$10:$J$224),0),
IF('TL01'!$B$229=K$3,SUMIF('TL01'!$C$238:$C$451,$C147,'TL01'!$J$238:$J$451),0),
IF('TL02'!$B$3=K$3,SUMIF('TL02'!$C$10:$C$224,$C147,'TL02'!$J$10:$J$224),0),
IF('TL02'!$B$229=K$3,SUMIF('TL02'!$C$238:$C$451,$C147,'TL02'!$J$238:$J$451),0),
IF('TL03'!$B$3=K$3,SUMIF('TL03'!$C$10:$C$224,$C147,'TL03'!$J$10:$J$224),0),
IF('TL03'!$B$229=K$3,SUMIF('TL03'!$C$238:$C$451,$C147,'TL03'!$J$238:$J$451),0),
IF('TL04'!$B$3=K$3,SUMIF('TL04'!$C$10:$C$224,$C147,'TL04'!$J$10:$J$224),0),
IF('TL04'!$B$229=K$3,SUMIF('TL04'!$C$238:$C$451,$C147,'TL04'!$J$238:$J$451),0),
IF('TL05'!$B$3=K$3,SUMIF('TL05'!$C$10:$C$224,$C147,'TL05'!$J$10:$J$224),0),
IF('TL05'!$B$229=K$3,SUMIF('TL05'!$C$238:$C$451,$C147,'TL05'!$J$238:$J$451),0),
IF('TL06'!$B$3=K$3,SUMIF('TL06'!$C$10:$C$224,$C147,'TL06'!$J$10:$J$224),0),
IF('TL06'!$B$229=K$3,SUMIF('TL06'!$C$238:$C$451,$C147,'TL06'!$J$238:$J$451),0),
IF('TL07'!$B$3=K$3,SUMIF('TL07'!$C$10:$C$224,$C147,'TL07'!$J$10:$J$224),0),
IF('TL07'!$B$229=K$3,SUMIF('TL07'!$C$238:$C$451,$C147,'TL07'!$J$238:$J$451),0),
IF('TL08'!$B$3=K$3,SUMIF('TL08'!$C$10:$C$224,$C147,'TL08'!$J$10:$J$224),0),
IF('TL08'!$B$229=K$3,SUMIF('TL08'!$C$238:$C$451,$C147,'TL08'!$J$238:$J$451),0),
IF('TL09'!$B$3=K$3,SUMIF('TL09'!$C$10:$C$224,$C147,'TL09'!$J$10:$J$224),0),
IF('TL09'!$B$229=K$3,SUMIF('TL09'!$C$238:$C$451,$C147,'TL09'!$J$238:$J$451),0),
IF('TL10'!$B$3=K$3,SUMIF('TL10'!$C$10:$C$224,$C147,'TL10'!$J$10:$J$224),0),
IF('TL10'!$B$229=K$3,SUMIF('TL10'!$C$238:$C$451,$C147,'TL10'!$J$238:$J$451),0),
IF('TL11'!$B$3=K$3,SUMIF('TL11'!$C$10:$C$224,$C147,'TL11'!$J$10:$J$224),0),
IF('TL11'!$B$229=K$3,SUMIF('TL11'!$C$238:$C$451,$C147,'TL11'!$J$238:$J$451),0),
IF('TL12'!$B$3=K$3,SUMIF('TL12'!$C$10:$C$224,$C147,'TL12'!$J$10:$J$224),0),
IF('TL12'!$B$229=K$3,SUMIF('TL12'!$C$238:$C$451,$C147,'TL12'!$J$238:$J$451),0),
IF('TL13'!$B$3=K$3,SUMIF('TL13'!$C$10:$C$224,$C147,'TL13'!$J$10:$J$224),0),
IF('TL13'!$B$229=K$3,SUMIF('TL13'!$C$238:$C$451,$C147,'TL13'!$J$238:$J$451),0),
IF('TL14'!$B$3=K$3,SUMIF('TL14'!$C$10:$C$224,$C147,'TL14'!$J$10:$J$224),0),
IF('TL14'!$B$229=K$3,SUMIF('TL14'!$C$238:$C$451,$C147,'TL14'!$J$238:$J$451),0),
IF('TL15'!$B$3=K$3,SUMIF('TL15'!$C$10:$C$224,$C147,'TL15'!$J$10:$J$224),0),
IF('TL15'!$B$229=K$3,SUMIF('TL15'!$C$238:$C$451,$C147,'TL15'!$J$238:$J$451),0),
IF('TL16'!$B$3=K$3,SUMIF('TL16'!$C$10:$C$224,$C147,'TL16'!$J$10:$J$224),0),
IF('TL16'!$B$229=K$3,SUMIF('TL16'!$C$238:$C$451,$C147,'TL16'!$J$238:$J$451),0),
IF('TL17'!$B$3=K$3,SUMIF('TL17'!$C$10:$C$224,$C147,'TL17'!$J$10:$J$224),0),
IF('TL17'!$B$229=K$3,SUMIF('TL17'!$C$238:$C$451,$C147,'TL17'!$J$238:$J$451),0),
IF('TL18'!$B$3=K$3,SUMIF('TL18'!$C$10:$C$224,$C147,'TL18'!$J$10:$J$224),0),
IF('TL18'!$B$229=K$3,SUMIF('TL18'!$C$238:$C$451,$C147,'TL18'!$J$238:$J$451),0),
IF('TL19'!$B$3=K$3,SUMIF('TL19'!$C$10:$C$224,$C147,'TL19'!$J$10:$J$224),0),
IF('TL19'!$B$229=K$3,SUMIF('TL19'!$C$238:$C$451,$C147,'TL19'!$J$238:$J$451),0)
),0)</f>
        <v/>
      </c>
      <c r="L147" s="9">
        <f>IFERROR(SUM(
IF('TL01'!$B$3=L$3,SUMIF('TL01'!$C$10:$C$224,$C147,'TL01'!$J$10:$J$224),0),
IF('TL01'!$B$229=L$3,SUMIF('TL01'!$C$238:$C$451,$C147,'TL01'!$J$238:$J$451),0),
IF('TL02'!$B$3=L$3,SUMIF('TL02'!$C$10:$C$224,$C147,'TL02'!$J$10:$J$224),0),
IF('TL02'!$B$229=L$3,SUMIF('TL02'!$C$238:$C$451,$C147,'TL02'!$J$238:$J$451),0),
IF('TL03'!$B$3=L$3,SUMIF('TL03'!$C$10:$C$224,$C147,'TL03'!$J$10:$J$224),0),
IF('TL03'!$B$229=L$3,SUMIF('TL03'!$C$238:$C$451,$C147,'TL03'!$J$238:$J$451),0),
IF('TL04'!$B$3=L$3,SUMIF('TL04'!$C$10:$C$224,$C147,'TL04'!$J$10:$J$224),0),
IF('TL04'!$B$229=L$3,SUMIF('TL04'!$C$238:$C$451,$C147,'TL04'!$J$238:$J$451),0),
IF('TL05'!$B$3=L$3,SUMIF('TL05'!$C$10:$C$224,$C147,'TL05'!$J$10:$J$224),0),
IF('TL05'!$B$229=L$3,SUMIF('TL05'!$C$238:$C$451,$C147,'TL05'!$J$238:$J$451),0),
IF('TL06'!$B$3=L$3,SUMIF('TL06'!$C$10:$C$224,$C147,'TL06'!$J$10:$J$224),0),
IF('TL06'!$B$229=L$3,SUMIF('TL06'!$C$238:$C$451,$C147,'TL06'!$J$238:$J$451),0),
IF('TL07'!$B$3=L$3,SUMIF('TL07'!$C$10:$C$224,$C147,'TL07'!$J$10:$J$224),0),
IF('TL07'!$B$229=L$3,SUMIF('TL07'!$C$238:$C$451,$C147,'TL07'!$J$238:$J$451),0),
IF('TL08'!$B$3=L$3,SUMIF('TL08'!$C$10:$C$224,$C147,'TL08'!$J$10:$J$224),0),
IF('TL08'!$B$229=L$3,SUMIF('TL08'!$C$238:$C$451,$C147,'TL08'!$J$238:$J$451),0),
IF('TL09'!$B$3=L$3,SUMIF('TL09'!$C$10:$C$224,$C147,'TL09'!$J$10:$J$224),0),
IF('TL09'!$B$229=L$3,SUMIF('TL09'!$C$238:$C$451,$C147,'TL09'!$J$238:$J$451),0),
IF('TL10'!$B$3=L$3,SUMIF('TL10'!$C$10:$C$224,$C147,'TL10'!$J$10:$J$224),0),
IF('TL10'!$B$229=L$3,SUMIF('TL10'!$C$238:$C$451,$C147,'TL10'!$J$238:$J$451),0),
IF('TL11'!$B$3=L$3,SUMIF('TL11'!$C$10:$C$224,$C147,'TL11'!$J$10:$J$224),0),
IF('TL11'!$B$229=L$3,SUMIF('TL11'!$C$238:$C$451,$C147,'TL11'!$J$238:$J$451),0),
IF('TL12'!$B$3=L$3,SUMIF('TL12'!$C$10:$C$224,$C147,'TL12'!$J$10:$J$224),0),
IF('TL12'!$B$229=L$3,SUMIF('TL12'!$C$238:$C$451,$C147,'TL12'!$J$238:$J$451),0),
IF('TL13'!$B$3=L$3,SUMIF('TL13'!$C$10:$C$224,$C147,'TL13'!$J$10:$J$224),0),
IF('TL13'!$B$229=L$3,SUMIF('TL13'!$C$238:$C$451,$C147,'TL13'!$J$238:$J$451),0),
IF('TL14'!$B$3=L$3,SUMIF('TL14'!$C$10:$C$224,$C147,'TL14'!$J$10:$J$224),0),
IF('TL14'!$B$229=L$3,SUMIF('TL14'!$C$238:$C$451,$C147,'TL14'!$J$238:$J$451),0),
IF('TL15'!$B$3=L$3,SUMIF('TL15'!$C$10:$C$224,$C147,'TL15'!$J$10:$J$224),0),
IF('TL15'!$B$229=L$3,SUMIF('TL15'!$C$238:$C$451,$C147,'TL15'!$J$238:$J$451),0),
IF('TL16'!$B$3=L$3,SUMIF('TL16'!$C$10:$C$224,$C147,'TL16'!$J$10:$J$224),0),
IF('TL16'!$B$229=L$3,SUMIF('TL16'!$C$238:$C$451,$C147,'TL16'!$J$238:$J$451),0),
IF('TL17'!$B$3=L$3,SUMIF('TL17'!$C$10:$C$224,$C147,'TL17'!$J$10:$J$224),0),
IF('TL17'!$B$229=L$3,SUMIF('TL17'!$C$238:$C$451,$C147,'TL17'!$J$238:$J$451),0),
IF('TL18'!$B$3=L$3,SUMIF('TL18'!$C$10:$C$224,$C147,'TL18'!$J$10:$J$224),0),
IF('TL18'!$B$229=L$3,SUMIF('TL18'!$C$238:$C$451,$C147,'TL18'!$J$238:$J$451),0),
IF('TL19'!$B$3=L$3,SUMIF('TL19'!$C$10:$C$224,$C147,'TL19'!$J$10:$J$224),0),
IF('TL19'!$B$229=L$3,SUMIF('TL19'!$C$238:$C$451,$C147,'TL19'!$J$238:$J$451),0)
),0)</f>
        <v/>
      </c>
      <c r="M147" s="9">
        <f>IFERROR(SUM(
IF('TL01'!$B$3=M$3,SUMIF('TL01'!$C$10:$C$224,$C147,'TL01'!$J$10:$J$224),0),
IF('TL01'!$B$229=M$3,SUMIF('TL01'!$C$238:$C$451,$C147,'TL01'!$J$238:$J$451),0),
IF('TL02'!$B$3=M$3,SUMIF('TL02'!$C$10:$C$224,$C147,'TL02'!$J$10:$J$224),0),
IF('TL02'!$B$229=M$3,SUMIF('TL02'!$C$238:$C$451,$C147,'TL02'!$J$238:$J$451),0),
IF('TL03'!$B$3=M$3,SUMIF('TL03'!$C$10:$C$224,$C147,'TL03'!$J$10:$J$224),0),
IF('TL03'!$B$229=M$3,SUMIF('TL03'!$C$238:$C$451,$C147,'TL03'!$J$238:$J$451),0),
IF('TL04'!$B$3=M$3,SUMIF('TL04'!$C$10:$C$224,$C147,'TL04'!$J$10:$J$224),0),
IF('TL04'!$B$229=M$3,SUMIF('TL04'!$C$238:$C$451,$C147,'TL04'!$J$238:$J$451),0),
IF('TL05'!$B$3=M$3,SUMIF('TL05'!$C$10:$C$224,$C147,'TL05'!$J$10:$J$224),0),
IF('TL05'!$B$229=M$3,SUMIF('TL05'!$C$238:$C$451,$C147,'TL05'!$J$238:$J$451),0),
IF('TL06'!$B$3=M$3,SUMIF('TL06'!$C$10:$C$224,$C147,'TL06'!$J$10:$J$224),0),
IF('TL06'!$B$229=M$3,SUMIF('TL06'!$C$238:$C$451,$C147,'TL06'!$J$238:$J$451),0),
IF('TL07'!$B$3=M$3,SUMIF('TL07'!$C$10:$C$224,$C147,'TL07'!$J$10:$J$224),0),
IF('TL07'!$B$229=M$3,SUMIF('TL07'!$C$238:$C$451,$C147,'TL07'!$J$238:$J$451),0),
IF('TL08'!$B$3=M$3,SUMIF('TL08'!$C$10:$C$224,$C147,'TL08'!$J$10:$J$224),0),
IF('TL08'!$B$229=M$3,SUMIF('TL08'!$C$238:$C$451,$C147,'TL08'!$J$238:$J$451),0),
IF('TL09'!$B$3=M$3,SUMIF('TL09'!$C$10:$C$224,$C147,'TL09'!$J$10:$J$224),0),
IF('TL09'!$B$229=M$3,SUMIF('TL09'!$C$238:$C$451,$C147,'TL09'!$J$238:$J$451),0),
IF('TL10'!$B$3=M$3,SUMIF('TL10'!$C$10:$C$224,$C147,'TL10'!$J$10:$J$224),0),
IF('TL10'!$B$229=M$3,SUMIF('TL10'!$C$238:$C$451,$C147,'TL10'!$J$238:$J$451),0),
IF('TL11'!$B$3=M$3,SUMIF('TL11'!$C$10:$C$224,$C147,'TL11'!$J$10:$J$224),0),
IF('TL11'!$B$229=M$3,SUMIF('TL11'!$C$238:$C$451,$C147,'TL11'!$J$238:$J$451),0),
IF('TL12'!$B$3=M$3,SUMIF('TL12'!$C$10:$C$224,$C147,'TL12'!$J$10:$J$224),0),
IF('TL12'!$B$229=M$3,SUMIF('TL12'!$C$238:$C$451,$C147,'TL12'!$J$238:$J$451),0),
IF('TL13'!$B$3=M$3,SUMIF('TL13'!$C$10:$C$224,$C147,'TL13'!$J$10:$J$224),0),
IF('TL13'!$B$229=M$3,SUMIF('TL13'!$C$238:$C$451,$C147,'TL13'!$J$238:$J$451),0),
IF('TL14'!$B$3=M$3,SUMIF('TL14'!$C$10:$C$224,$C147,'TL14'!$J$10:$J$224),0),
IF('TL14'!$B$229=M$3,SUMIF('TL14'!$C$238:$C$451,$C147,'TL14'!$J$238:$J$451),0),
IF('TL15'!$B$3=M$3,SUMIF('TL15'!$C$10:$C$224,$C147,'TL15'!$J$10:$J$224),0),
IF('TL15'!$B$229=M$3,SUMIF('TL15'!$C$238:$C$451,$C147,'TL15'!$J$238:$J$451),0),
IF('TL16'!$B$3=M$3,SUMIF('TL16'!$C$10:$C$224,$C147,'TL16'!$J$10:$J$224),0),
IF('TL16'!$B$229=M$3,SUMIF('TL16'!$C$238:$C$451,$C147,'TL16'!$J$238:$J$451),0),
IF('TL17'!$B$3=M$3,SUMIF('TL17'!$C$10:$C$224,$C147,'TL17'!$J$10:$J$224),0),
IF('TL17'!$B$229=M$3,SUMIF('TL17'!$C$238:$C$451,$C147,'TL17'!$J$238:$J$451),0),
IF('TL18'!$B$3=M$3,SUMIF('TL18'!$C$10:$C$224,$C147,'TL18'!$J$10:$J$224),0),
IF('TL18'!$B$229=M$3,SUMIF('TL18'!$C$238:$C$451,$C147,'TL18'!$J$238:$J$451),0),
IF('TL19'!$B$3=M$3,SUMIF('TL19'!$C$10:$C$224,$C147,'TL19'!$J$10:$J$224),0),
IF('TL19'!$B$229=M$3,SUMIF('TL19'!$C$238:$C$451,$C147,'TL19'!$J$238:$J$451),0)
),0)</f>
        <v/>
      </c>
      <c r="N147" s="9">
        <f>IFERROR(SUM(
IF('TL01'!$B$3=N$3,SUMIF('TL01'!$C$10:$C$224,$C147,'TL01'!$J$10:$J$224),0),
IF('TL01'!$B$229=N$3,SUMIF('TL01'!$C$238:$C$451,$C147,'TL01'!$J$238:$J$451),0),
IF('TL02'!$B$3=N$3,SUMIF('TL02'!$C$10:$C$224,$C147,'TL02'!$J$10:$J$224),0),
IF('TL02'!$B$229=N$3,SUMIF('TL02'!$C$238:$C$451,$C147,'TL02'!$J$238:$J$451),0),
IF('TL03'!$B$3=N$3,SUMIF('TL03'!$C$10:$C$224,$C147,'TL03'!$J$10:$J$224),0),
IF('TL03'!$B$229=N$3,SUMIF('TL03'!$C$238:$C$451,$C147,'TL03'!$J$238:$J$451),0),
IF('TL04'!$B$3=N$3,SUMIF('TL04'!$C$10:$C$224,$C147,'TL04'!$J$10:$J$224),0),
IF('TL04'!$B$229=N$3,SUMIF('TL04'!$C$238:$C$451,$C147,'TL04'!$J$238:$J$451),0),
IF('TL05'!$B$3=N$3,SUMIF('TL05'!$C$10:$C$224,$C147,'TL05'!$J$10:$J$224),0),
IF('TL05'!$B$229=N$3,SUMIF('TL05'!$C$238:$C$451,$C147,'TL05'!$J$238:$J$451),0),
IF('TL06'!$B$3=N$3,SUMIF('TL06'!$C$10:$C$224,$C147,'TL06'!$J$10:$J$224),0),
IF('TL06'!$B$229=N$3,SUMIF('TL06'!$C$238:$C$451,$C147,'TL06'!$J$238:$J$451),0),
IF('TL07'!$B$3=N$3,SUMIF('TL07'!$C$10:$C$224,$C147,'TL07'!$J$10:$J$224),0),
IF('TL07'!$B$229=N$3,SUMIF('TL07'!$C$238:$C$451,$C147,'TL07'!$J$238:$J$451),0),
IF('TL08'!$B$3=N$3,SUMIF('TL08'!$C$10:$C$224,$C147,'TL08'!$J$10:$J$224),0),
IF('TL08'!$B$229=N$3,SUMIF('TL08'!$C$238:$C$451,$C147,'TL08'!$J$238:$J$451),0),
IF('TL09'!$B$3=N$3,SUMIF('TL09'!$C$10:$C$224,$C147,'TL09'!$J$10:$J$224),0),
IF('TL09'!$B$229=N$3,SUMIF('TL09'!$C$238:$C$451,$C147,'TL09'!$J$238:$J$451),0),
IF('TL10'!$B$3=N$3,SUMIF('TL10'!$C$10:$C$224,$C147,'TL10'!$J$10:$J$224),0),
IF('TL10'!$B$229=N$3,SUMIF('TL10'!$C$238:$C$451,$C147,'TL10'!$J$238:$J$451),0),
IF('TL11'!$B$3=N$3,SUMIF('TL11'!$C$10:$C$224,$C147,'TL11'!$J$10:$J$224),0),
IF('TL11'!$B$229=N$3,SUMIF('TL11'!$C$238:$C$451,$C147,'TL11'!$J$238:$J$451),0),
IF('TL12'!$B$3=N$3,SUMIF('TL12'!$C$10:$C$224,$C147,'TL12'!$J$10:$J$224),0),
IF('TL12'!$B$229=N$3,SUMIF('TL12'!$C$238:$C$451,$C147,'TL12'!$J$238:$J$451),0),
IF('TL13'!$B$3=N$3,SUMIF('TL13'!$C$10:$C$224,$C147,'TL13'!$J$10:$J$224),0),
IF('TL13'!$B$229=N$3,SUMIF('TL13'!$C$238:$C$451,$C147,'TL13'!$J$238:$J$451),0),
IF('TL14'!$B$3=N$3,SUMIF('TL14'!$C$10:$C$224,$C147,'TL14'!$J$10:$J$224),0),
IF('TL14'!$B$229=N$3,SUMIF('TL14'!$C$238:$C$451,$C147,'TL14'!$J$238:$J$451),0),
IF('TL15'!$B$3=N$3,SUMIF('TL15'!$C$10:$C$224,$C147,'TL15'!$J$10:$J$224),0),
IF('TL15'!$B$229=N$3,SUMIF('TL15'!$C$238:$C$451,$C147,'TL15'!$J$238:$J$451),0),
IF('TL16'!$B$3=N$3,SUMIF('TL16'!$C$10:$C$224,$C147,'TL16'!$J$10:$J$224),0),
IF('TL16'!$B$229=N$3,SUMIF('TL16'!$C$238:$C$451,$C147,'TL16'!$J$238:$J$451),0),
IF('TL17'!$B$3=N$3,SUMIF('TL17'!$C$10:$C$224,$C147,'TL17'!$J$10:$J$224),0),
IF('TL17'!$B$229=N$3,SUMIF('TL17'!$C$238:$C$451,$C147,'TL17'!$J$238:$J$451),0),
IF('TL18'!$B$3=N$3,SUMIF('TL18'!$C$10:$C$224,$C147,'TL18'!$J$10:$J$224),0),
IF('TL18'!$B$229=N$3,SUMIF('TL18'!$C$238:$C$451,$C147,'TL18'!$J$238:$J$451),0),
IF('TL19'!$B$3=N$3,SUMIF('TL19'!$C$10:$C$224,$C147,'TL19'!$J$10:$J$224),0),
IF('TL19'!$B$229=N$3,SUMIF('TL19'!$C$238:$C$451,$C147,'TL19'!$J$238:$J$451),0)
),0)</f>
        <v/>
      </c>
      <c r="O147" s="9">
        <f>IFERROR(SUM(
IF('TL01'!$B$3=O$3,SUMIF('TL01'!$C$10:$C$224,$C147,'TL01'!$J$10:$J$224),0),
IF('TL01'!$B$229=O$3,SUMIF('TL01'!$C$238:$C$451,$C147,'TL01'!$J$238:$J$451),0),
IF('TL02'!$B$3=O$3,SUMIF('TL02'!$C$10:$C$224,$C147,'TL02'!$J$10:$J$224),0),
IF('TL02'!$B$229=O$3,SUMIF('TL02'!$C$238:$C$451,$C147,'TL02'!$J$238:$J$451),0),
IF('TL03'!$B$3=O$3,SUMIF('TL03'!$C$10:$C$224,$C147,'TL03'!$J$10:$J$224),0),
IF('TL03'!$B$229=O$3,SUMIF('TL03'!$C$238:$C$451,$C147,'TL03'!$J$238:$J$451),0),
IF('TL04'!$B$3=O$3,SUMIF('TL04'!$C$10:$C$224,$C147,'TL04'!$J$10:$J$224),0),
IF('TL04'!$B$229=O$3,SUMIF('TL04'!$C$238:$C$451,$C147,'TL04'!$J$238:$J$451),0),
IF('TL05'!$B$3=O$3,SUMIF('TL05'!$C$10:$C$224,$C147,'TL05'!$J$10:$J$224),0),
IF('TL05'!$B$229=O$3,SUMIF('TL05'!$C$238:$C$451,$C147,'TL05'!$J$238:$J$451),0),
IF('TL06'!$B$3=O$3,SUMIF('TL06'!$C$10:$C$224,$C147,'TL06'!$J$10:$J$224),0),
IF('TL06'!$B$229=O$3,SUMIF('TL06'!$C$238:$C$451,$C147,'TL06'!$J$238:$J$451),0),
IF('TL07'!$B$3=O$3,SUMIF('TL07'!$C$10:$C$224,$C147,'TL07'!$J$10:$J$224),0),
IF('TL07'!$B$229=O$3,SUMIF('TL07'!$C$238:$C$451,$C147,'TL07'!$J$238:$J$451),0),
IF('TL08'!$B$3=O$3,SUMIF('TL08'!$C$10:$C$224,$C147,'TL08'!$J$10:$J$224),0),
IF('TL08'!$B$229=O$3,SUMIF('TL08'!$C$238:$C$451,$C147,'TL08'!$J$238:$J$451),0),
IF('TL09'!$B$3=O$3,SUMIF('TL09'!$C$10:$C$224,$C147,'TL09'!$J$10:$J$224),0),
IF('TL09'!$B$229=O$3,SUMIF('TL09'!$C$238:$C$451,$C147,'TL09'!$J$238:$J$451),0),
IF('TL10'!$B$3=O$3,SUMIF('TL10'!$C$10:$C$224,$C147,'TL10'!$J$10:$J$224),0),
IF('TL10'!$B$229=O$3,SUMIF('TL10'!$C$238:$C$451,$C147,'TL10'!$J$238:$J$451),0),
IF('TL11'!$B$3=O$3,SUMIF('TL11'!$C$10:$C$224,$C147,'TL11'!$J$10:$J$224),0),
IF('TL11'!$B$229=O$3,SUMIF('TL11'!$C$238:$C$451,$C147,'TL11'!$J$238:$J$451),0),
IF('TL12'!$B$3=O$3,SUMIF('TL12'!$C$10:$C$224,$C147,'TL12'!$J$10:$J$224),0),
IF('TL12'!$B$229=O$3,SUMIF('TL12'!$C$238:$C$451,$C147,'TL12'!$J$238:$J$451),0),
IF('TL13'!$B$3=O$3,SUMIF('TL13'!$C$10:$C$224,$C147,'TL13'!$J$10:$J$224),0),
IF('TL13'!$B$229=O$3,SUMIF('TL13'!$C$238:$C$451,$C147,'TL13'!$J$238:$J$451),0),
IF('TL14'!$B$3=O$3,SUMIF('TL14'!$C$10:$C$224,$C147,'TL14'!$J$10:$J$224),0),
IF('TL14'!$B$229=O$3,SUMIF('TL14'!$C$238:$C$451,$C147,'TL14'!$J$238:$J$451),0),
IF('TL15'!$B$3=O$3,SUMIF('TL15'!$C$10:$C$224,$C147,'TL15'!$J$10:$J$224),0),
IF('TL15'!$B$229=O$3,SUMIF('TL15'!$C$238:$C$451,$C147,'TL15'!$J$238:$J$451),0),
IF('TL16'!$B$3=O$3,SUMIF('TL16'!$C$10:$C$224,$C147,'TL16'!$J$10:$J$224),0),
IF('TL16'!$B$229=O$3,SUMIF('TL16'!$C$238:$C$451,$C147,'TL16'!$J$238:$J$451),0),
IF('TL17'!$B$3=O$3,SUMIF('TL17'!$C$10:$C$224,$C147,'TL17'!$J$10:$J$224),0),
IF('TL17'!$B$229=O$3,SUMIF('TL17'!$C$238:$C$451,$C147,'TL17'!$J$238:$J$451),0),
IF('TL18'!$B$3=O$3,SUMIF('TL18'!$C$10:$C$224,$C147,'TL18'!$J$10:$J$224),0),
IF('TL18'!$B$229=O$3,SUMIF('TL18'!$C$238:$C$451,$C147,'TL18'!$J$238:$J$451),0),
IF('TL19'!$B$3=O$3,SUMIF('TL19'!$C$10:$C$224,$C147,'TL19'!$J$10:$J$224),0),
IF('TL19'!$B$229=O$3,SUMIF('TL19'!$C$238:$C$451,$C147,'TL19'!$J$238:$J$451),0)
),0)</f>
        <v/>
      </c>
      <c r="P147" s="9">
        <f>IFERROR(SUM(
IF('TL01'!$B$3=P$3,SUMIF('TL01'!$C$10:$C$224,$C147,'TL01'!$J$10:$J$224),0),
IF('TL01'!$B$229=P$3,SUMIF('TL01'!$C$238:$C$451,$C147,'TL01'!$J$238:$J$451),0),
IF('TL02'!$B$3=P$3,SUMIF('TL02'!$C$10:$C$224,$C147,'TL02'!$J$10:$J$224),0),
IF('TL02'!$B$229=P$3,SUMIF('TL02'!$C$238:$C$451,$C147,'TL02'!$J$238:$J$451),0),
IF('TL03'!$B$3=P$3,SUMIF('TL03'!$C$10:$C$224,$C147,'TL03'!$J$10:$J$224),0),
IF('TL03'!$B$229=P$3,SUMIF('TL03'!$C$238:$C$451,$C147,'TL03'!$J$238:$J$451),0),
IF('TL04'!$B$3=P$3,SUMIF('TL04'!$C$10:$C$224,$C147,'TL04'!$J$10:$J$224),0),
IF('TL04'!$B$229=P$3,SUMIF('TL04'!$C$238:$C$451,$C147,'TL04'!$J$238:$J$451),0),
IF('TL05'!$B$3=P$3,SUMIF('TL05'!$C$10:$C$224,$C147,'TL05'!$J$10:$J$224),0),
IF('TL05'!$B$229=P$3,SUMIF('TL05'!$C$238:$C$451,$C147,'TL05'!$J$238:$J$451),0),
IF('TL06'!$B$3=P$3,SUMIF('TL06'!$C$10:$C$224,$C147,'TL06'!$J$10:$J$224),0),
IF('TL06'!$B$229=P$3,SUMIF('TL06'!$C$238:$C$451,$C147,'TL06'!$J$238:$J$451),0),
IF('TL07'!$B$3=P$3,SUMIF('TL07'!$C$10:$C$224,$C147,'TL07'!$J$10:$J$224),0),
IF('TL07'!$B$229=P$3,SUMIF('TL07'!$C$238:$C$451,$C147,'TL07'!$J$238:$J$451),0),
IF('TL08'!$B$3=P$3,SUMIF('TL08'!$C$10:$C$224,$C147,'TL08'!$J$10:$J$224),0),
IF('TL08'!$B$229=P$3,SUMIF('TL08'!$C$238:$C$451,$C147,'TL08'!$J$238:$J$451),0),
IF('TL09'!$B$3=P$3,SUMIF('TL09'!$C$10:$C$224,$C147,'TL09'!$J$10:$J$224),0),
IF('TL09'!$B$229=P$3,SUMIF('TL09'!$C$238:$C$451,$C147,'TL09'!$J$238:$J$451),0),
IF('TL10'!$B$3=P$3,SUMIF('TL10'!$C$10:$C$224,$C147,'TL10'!$J$10:$J$224),0),
IF('TL10'!$B$229=P$3,SUMIF('TL10'!$C$238:$C$451,$C147,'TL10'!$J$238:$J$451),0),
IF('TL11'!$B$3=P$3,SUMIF('TL11'!$C$10:$C$224,$C147,'TL11'!$J$10:$J$224),0),
IF('TL11'!$B$229=P$3,SUMIF('TL11'!$C$238:$C$451,$C147,'TL11'!$J$238:$J$451),0),
IF('TL12'!$B$3=P$3,SUMIF('TL12'!$C$10:$C$224,$C147,'TL12'!$J$10:$J$224),0),
IF('TL12'!$B$229=P$3,SUMIF('TL12'!$C$238:$C$451,$C147,'TL12'!$J$238:$J$451),0),
IF('TL13'!$B$3=P$3,SUMIF('TL13'!$C$10:$C$224,$C147,'TL13'!$J$10:$J$224),0),
IF('TL13'!$B$229=P$3,SUMIF('TL13'!$C$238:$C$451,$C147,'TL13'!$J$238:$J$451),0),
IF('TL14'!$B$3=P$3,SUMIF('TL14'!$C$10:$C$224,$C147,'TL14'!$J$10:$J$224),0),
IF('TL14'!$B$229=P$3,SUMIF('TL14'!$C$238:$C$451,$C147,'TL14'!$J$238:$J$451),0),
IF('TL15'!$B$3=P$3,SUMIF('TL15'!$C$10:$C$224,$C147,'TL15'!$J$10:$J$224),0),
IF('TL15'!$B$229=P$3,SUMIF('TL15'!$C$238:$C$451,$C147,'TL15'!$J$238:$J$451),0),
IF('TL16'!$B$3=P$3,SUMIF('TL16'!$C$10:$C$224,$C147,'TL16'!$J$10:$J$224),0),
IF('TL16'!$B$229=P$3,SUMIF('TL16'!$C$238:$C$451,$C147,'TL16'!$J$238:$J$451),0),
IF('TL17'!$B$3=P$3,SUMIF('TL17'!$C$10:$C$224,$C147,'TL17'!$J$10:$J$224),0),
IF('TL17'!$B$229=P$3,SUMIF('TL17'!$C$238:$C$451,$C147,'TL17'!$J$238:$J$451),0),
IF('TL18'!$B$3=P$3,SUMIF('TL18'!$C$10:$C$224,$C147,'TL18'!$J$10:$J$224),0),
IF('TL18'!$B$229=P$3,SUMIF('TL18'!$C$238:$C$451,$C147,'TL18'!$J$238:$J$451),0),
IF('TL19'!$B$3=P$3,SUMIF('TL19'!$C$10:$C$224,$C147,'TL19'!$J$10:$J$224),0),
IF('TL19'!$B$229=P$3,SUMIF('TL19'!$C$238:$C$451,$C147,'TL19'!$J$238:$J$451),0)
),0)</f>
        <v/>
      </c>
      <c r="Q147" s="9">
        <f>IFERROR(SUM(
IF('TL01'!$B$3=Q$3,SUMIF('TL01'!$C$10:$C$224,$C147,'TL01'!$J$10:$J$224),0),
IF('TL01'!$B$229=Q$3,SUMIF('TL01'!$C$238:$C$451,$C147,'TL01'!$J$238:$J$451),0),
IF('TL02'!$B$3=Q$3,SUMIF('TL02'!$C$10:$C$224,$C147,'TL02'!$J$10:$J$224),0),
IF('TL02'!$B$229=Q$3,SUMIF('TL02'!$C$238:$C$451,$C147,'TL02'!$J$238:$J$451),0),
IF('TL03'!$B$3=Q$3,SUMIF('TL03'!$C$10:$C$224,$C147,'TL03'!$J$10:$J$224),0),
IF('TL03'!$B$229=Q$3,SUMIF('TL03'!$C$238:$C$451,$C147,'TL03'!$J$238:$J$451),0),
IF('TL04'!$B$3=Q$3,SUMIF('TL04'!$C$10:$C$224,$C147,'TL04'!$J$10:$J$224),0),
IF('TL04'!$B$229=Q$3,SUMIF('TL04'!$C$238:$C$451,$C147,'TL04'!$J$238:$J$451),0),
IF('TL05'!$B$3=Q$3,SUMIF('TL05'!$C$10:$C$224,$C147,'TL05'!$J$10:$J$224),0),
IF('TL05'!$B$229=Q$3,SUMIF('TL05'!$C$238:$C$451,$C147,'TL05'!$J$238:$J$451),0),
IF('TL06'!$B$3=Q$3,SUMIF('TL06'!$C$10:$C$224,$C147,'TL06'!$J$10:$J$224),0),
IF('TL06'!$B$229=Q$3,SUMIF('TL06'!$C$238:$C$451,$C147,'TL06'!$J$238:$J$451),0),
IF('TL07'!$B$3=Q$3,SUMIF('TL07'!$C$10:$C$224,$C147,'TL07'!$J$10:$J$224),0),
IF('TL07'!$B$229=Q$3,SUMIF('TL07'!$C$238:$C$451,$C147,'TL07'!$J$238:$J$451),0),
IF('TL08'!$B$3=Q$3,SUMIF('TL08'!$C$10:$C$224,$C147,'TL08'!$J$10:$J$224),0),
IF('TL08'!$B$229=Q$3,SUMIF('TL08'!$C$238:$C$451,$C147,'TL08'!$J$238:$J$451),0),
IF('TL09'!$B$3=Q$3,SUMIF('TL09'!$C$10:$C$224,$C147,'TL09'!$J$10:$J$224),0),
IF('TL09'!$B$229=Q$3,SUMIF('TL09'!$C$238:$C$451,$C147,'TL09'!$J$238:$J$451),0),
IF('TL10'!$B$3=Q$3,SUMIF('TL10'!$C$10:$C$224,$C147,'TL10'!$J$10:$J$224),0),
IF('TL10'!$B$229=Q$3,SUMIF('TL10'!$C$238:$C$451,$C147,'TL10'!$J$238:$J$451),0),
IF('TL11'!$B$3=Q$3,SUMIF('TL11'!$C$10:$C$224,$C147,'TL11'!$J$10:$J$224),0),
IF('TL11'!$B$229=Q$3,SUMIF('TL11'!$C$238:$C$451,$C147,'TL11'!$J$238:$J$451),0),
IF('TL12'!$B$3=Q$3,SUMIF('TL12'!$C$10:$C$224,$C147,'TL12'!$J$10:$J$224),0),
IF('TL12'!$B$229=Q$3,SUMIF('TL12'!$C$238:$C$451,$C147,'TL12'!$J$238:$J$451),0),
IF('TL13'!$B$3=Q$3,SUMIF('TL13'!$C$10:$C$224,$C147,'TL13'!$J$10:$J$224),0),
IF('TL13'!$B$229=Q$3,SUMIF('TL13'!$C$238:$C$451,$C147,'TL13'!$J$238:$J$451),0),
IF('TL14'!$B$3=Q$3,SUMIF('TL14'!$C$10:$C$224,$C147,'TL14'!$J$10:$J$224),0),
IF('TL14'!$B$229=Q$3,SUMIF('TL14'!$C$238:$C$451,$C147,'TL14'!$J$238:$J$451),0),
IF('TL15'!$B$3=Q$3,SUMIF('TL15'!$C$10:$C$224,$C147,'TL15'!$J$10:$J$224),0),
IF('TL15'!$B$229=Q$3,SUMIF('TL15'!$C$238:$C$451,$C147,'TL15'!$J$238:$J$451),0),
IF('TL16'!$B$3=Q$3,SUMIF('TL16'!$C$10:$C$224,$C147,'TL16'!$J$10:$J$224),0),
IF('TL16'!$B$229=Q$3,SUMIF('TL16'!$C$238:$C$451,$C147,'TL16'!$J$238:$J$451),0),
IF('TL17'!$B$3=Q$3,SUMIF('TL17'!$C$10:$C$224,$C147,'TL17'!$J$10:$J$224),0),
IF('TL17'!$B$229=Q$3,SUMIF('TL17'!$C$238:$C$451,$C147,'TL17'!$J$238:$J$451),0),
IF('TL18'!$B$3=Q$3,SUMIF('TL18'!$C$10:$C$224,$C147,'TL18'!$J$10:$J$224),0),
IF('TL18'!$B$229=Q$3,SUMIF('TL18'!$C$238:$C$451,$C147,'TL18'!$J$238:$J$451),0),
IF('TL19'!$B$3=Q$3,SUMIF('TL19'!$C$10:$C$224,$C147,'TL19'!$J$10:$J$224),0),
IF('TL19'!$B$229=Q$3,SUMIF('TL19'!$C$238:$C$451,$C147,'TL19'!$J$238:$J$451),0)
),0)</f>
        <v/>
      </c>
      <c r="R147" s="9">
        <f>IFERROR(
SUM(
SUMIF('TL01'!C:C,C147,'TL01'!J:J),
SUMIF('TL02'!C:C,C147,'TL02'!J:J),
SUMIF('TL03'!C:C,C147,'TL03'!J:J),
SUMIF('TL04'!C:C,C147,'TL04'!J:J),
SUMIF('TL05'!C:C,C147,'TL05'!J:J),
SUMIF('TL06'!C:C,C147,'TL06'!J:J),
SUMIF('TL07'!C:C,C147,'TL07'!J:J),
SUMIF('TL08'!C:C,C147,'TL08'!J:J),
SUMIF('TL09'!C:C,C147,'TL09'!J:J),
SUMIF('TL10'!C:C,C147,'TL10'!J:J),
SUMIF('TL11'!C:C,C147,'TL11'!J:J),
SUMIF('TL12'!C:C,C147,'TL12'!J:J),
SUMIF('TL13'!C:C,C147,'TL13'!J:J),
SUMIF('TL14'!C:C,C147,'TL14'!J:J),
SUMIF('TL15'!C:C,C147,'TL15'!J:J),
SUMIF('TL16'!C:C,C147,'TL16'!J:J),
SUMIF('TL17'!C:C,C147,'TL17'!J:J),
SUMIF('TL18'!C:C,C147,'TL18'!J:J),SUMIF('TL19'!C:C,C147,'TL19'!J:J))
,0)</f>
        <v/>
      </c>
      <c r="S147" s="17">
        <f>IFERROR(__xludf.DUMMYFUNCTION("IFERROR(VLOOKUP(C147,
IMPORTRANGE(""1wULbzX32WdYsx-lj2U3uUNBBe2INVIRDtcK0d-Dvl90"",
""26-27!C:G""),
5,
FALSE),
"""")"),131.60132)</f>
        <v/>
      </c>
      <c r="T147" s="9" t="n"/>
      <c r="U147" s="92">
        <f>MAX(0,R147-T147)</f>
        <v/>
      </c>
      <c r="V147" s="93">
        <f>U147*S147</f>
        <v/>
      </c>
    </row>
    <row r="148" hidden="1" ht="15.75" customHeight="1" s="297">
      <c r="A148" s="115" t="inlineStr">
        <is>
          <t>NORTOX</t>
        </is>
      </c>
      <c r="B148" s="100" t="inlineStr">
        <is>
          <t>HERBICIDA</t>
        </is>
      </c>
      <c r="C148" s="116" t="inlineStr">
        <is>
          <t>FLUROXIPIR NORTOX</t>
        </is>
      </c>
      <c r="D148" s="116" t="inlineStr">
        <is>
          <t>FLUROXIPIR-MEPTÍLICO</t>
        </is>
      </c>
      <c r="E148" s="116" t="n">
        <v>287.9</v>
      </c>
      <c r="F148" s="4" t="inlineStr">
        <is>
          <t>L</t>
        </is>
      </c>
      <c r="G148" s="90">
        <f>HYPERLINK("https://www.google.com/search?q=" &amp; C148 &amp; "+bula+agrofit+pdf", "📄 Ver bula")</f>
        <v/>
      </c>
      <c r="H148" s="9">
        <f>IFERROR(__xludf.DUMMYFUNCTION("IFERROR(VLOOKUP(C148,
IMPORTRANGE(""1wULbzX32WdYsx-lj2U3uUNBBe2INVIRDtcK0d-Dvl90"",
""26-27!C:K""),
8,
FALSE),
"""")"),"")</f>
        <v/>
      </c>
      <c r="I148" s="117" t="inlineStr">
        <is>
          <t>1x20</t>
        </is>
      </c>
      <c r="J148" s="9">
        <f>IFERROR(SUM(
IF('TL01'!$B$3=J$3,SUMIF('TL01'!$C$10:$C$224,$C148,'TL01'!$J$10:$J$224),0),
IF('TL01'!$B$229=J$3,SUMIF('TL01'!$C$238:$C$451,$C148,'TL01'!$J$238:$J$451),0),
IF('TL02'!$B$3=J$3,SUMIF('TL02'!$C$10:$C$224,$C148,'TL02'!$J$10:$J$224),0),
IF('TL02'!$B$229=J$3,SUMIF('TL02'!$C$238:$C$451,$C148,'TL02'!$J$238:$J$451),0),
IF('TL03'!$B$3=J$3,SUMIF('TL03'!$C$10:$C$224,$C148,'TL03'!$J$10:$J$224),0),
IF('TL03'!$B$229=J$3,SUMIF('TL03'!$C$238:$C$451,$C148,'TL03'!$J$238:$J$451),0),
IF('TL04'!$B$3=J$3,SUMIF('TL04'!$C$10:$C$224,$C148,'TL04'!$J$10:$J$224),0),
IF('TL04'!$B$229=J$3,SUMIF('TL04'!$C$238:$C$451,$C148,'TL04'!$J$238:$J$451),0),
IF('TL05'!$B$3=J$3,SUMIF('TL05'!$C$10:$C$224,$C148,'TL05'!$J$10:$J$224),0),
IF('TL05'!$B$229=J$3,SUMIF('TL05'!$C$238:$C$451,$C148,'TL05'!$J$238:$J$451),0),
IF('TL06'!$B$3=J$3,SUMIF('TL06'!$C$10:$C$224,$C148,'TL06'!$J$10:$J$224),0),
IF('TL06'!$B$229=J$3,SUMIF('TL06'!$C$238:$C$451,$C148,'TL06'!$J$238:$J$451),0),
IF('TL07'!$B$3=J$3,SUMIF('TL07'!$C$10:$C$224,$C148,'TL07'!$J$10:$J$224),0),
IF('TL07'!$B$229=J$3,SUMIF('TL07'!$C$238:$C$451,$C148,'TL07'!$J$238:$J$451),0),
IF('TL08'!$B$3=J$3,SUMIF('TL08'!$C$10:$C$224,$C148,'TL08'!$J$10:$J$224),0),
IF('TL08'!$B$229=J$3,SUMIF('TL08'!$C$238:$C$451,$C148,'TL08'!$J$238:$J$451),0),
IF('TL09'!$B$3=J$3,SUMIF('TL09'!$C$10:$C$224,$C148,'TL09'!$J$10:$J$224),0),
IF('TL09'!$B$229=J$3,SUMIF('TL09'!$C$238:$C$451,$C148,'TL09'!$J$238:$J$451),0),
IF('TL10'!$B$3=J$3,SUMIF('TL10'!$C$10:$C$224,$C148,'TL10'!$J$10:$J$224),0),
IF('TL10'!$B$229=J$3,SUMIF('TL10'!$C$238:$C$451,$C148,'TL10'!$J$238:$J$451),0),
IF('TL11'!$B$3=J$3,SUMIF('TL11'!$C$10:$C$224,$C148,'TL11'!$J$10:$J$224),0),
IF('TL11'!$B$229=J$3,SUMIF('TL11'!$C$238:$C$451,$C148,'TL11'!$J$238:$J$451),0),
IF('TL12'!$B$3=J$3,SUMIF('TL12'!$C$10:$C$224,$C148,'TL12'!$J$10:$J$224),0),
IF('TL12'!$B$229=J$3,SUMIF('TL12'!$C$238:$C$451,$C148,'TL12'!$J$238:$J$451),0),
IF('TL13'!$B$3=J$3,SUMIF('TL13'!$C$10:$C$224,$C148,'TL13'!$J$10:$J$224),0),
IF('TL13'!$B$229=J$3,SUMIF('TL13'!$C$238:$C$451,$C148,'TL13'!$J$238:$J$451),0),
IF('TL14'!$B$3=J$3,SUMIF('TL14'!$C$10:$C$224,$C148,'TL14'!$J$10:$J$224),0),
IF('TL14'!$B$229=J$3,SUMIF('TL14'!$C$238:$C$451,$C148,'TL14'!$J$238:$J$451),0),
IF('TL15'!$B$3=J$3,SUMIF('TL15'!$C$10:$C$224,$C148,'TL15'!$J$10:$J$224),0),
IF('TL15'!$B$229=J$3,SUMIF('TL15'!$C$238:$C$451,$C148,'TL15'!$J$238:$J$451),0),
IF('TL16'!$B$3=J$3,SUMIF('TL16'!$C$10:$C$224,$C148,'TL16'!$J$10:$J$224),0),
IF('TL16'!$B$229=J$3,SUMIF('TL16'!$C$238:$C$451,$C148,'TL16'!$J$238:$J$451),0),
IF('TL17'!$B$3=J$3,SUMIF('TL17'!$C$10:$C$224,$C148,'TL17'!$J$10:$J$224),0),
IF('TL17'!$B$229=J$3,SUMIF('TL17'!$C$238:$C$451,$C148,'TL17'!$J$238:$J$451),0),
IF('TL18'!$B$3=J$3,SUMIF('TL18'!$C$10:$C$224,$C148,'TL18'!$J$10:$J$224),0),
IF('TL18'!$B$229=J$3,SUMIF('TL18'!$C$238:$C$451,$C148,'TL18'!$J$238:$J$451),0),
IF('TL19'!$B$3=J$3,SUMIF('TL19'!$C$10:$C$224,$C148,'TL19'!$J$10:$J$224),0),
IF('TL19'!$B$229=J$3,SUMIF('TL19'!$C$238:$C$451,$C148,'TL19'!$J$238:$J$451),0)
),0)</f>
        <v/>
      </c>
      <c r="K148" s="9">
        <f>IFERROR(SUM(
IF('TL01'!$B$3=K$3,SUMIF('TL01'!$C$10:$C$224,$C148,'TL01'!$J$10:$J$224),0),
IF('TL01'!$B$229=K$3,SUMIF('TL01'!$C$238:$C$451,$C148,'TL01'!$J$238:$J$451),0),
IF('TL02'!$B$3=K$3,SUMIF('TL02'!$C$10:$C$224,$C148,'TL02'!$J$10:$J$224),0),
IF('TL02'!$B$229=K$3,SUMIF('TL02'!$C$238:$C$451,$C148,'TL02'!$J$238:$J$451),0),
IF('TL03'!$B$3=K$3,SUMIF('TL03'!$C$10:$C$224,$C148,'TL03'!$J$10:$J$224),0),
IF('TL03'!$B$229=K$3,SUMIF('TL03'!$C$238:$C$451,$C148,'TL03'!$J$238:$J$451),0),
IF('TL04'!$B$3=K$3,SUMIF('TL04'!$C$10:$C$224,$C148,'TL04'!$J$10:$J$224),0),
IF('TL04'!$B$229=K$3,SUMIF('TL04'!$C$238:$C$451,$C148,'TL04'!$J$238:$J$451),0),
IF('TL05'!$B$3=K$3,SUMIF('TL05'!$C$10:$C$224,$C148,'TL05'!$J$10:$J$224),0),
IF('TL05'!$B$229=K$3,SUMIF('TL05'!$C$238:$C$451,$C148,'TL05'!$J$238:$J$451),0),
IF('TL06'!$B$3=K$3,SUMIF('TL06'!$C$10:$C$224,$C148,'TL06'!$J$10:$J$224),0),
IF('TL06'!$B$229=K$3,SUMIF('TL06'!$C$238:$C$451,$C148,'TL06'!$J$238:$J$451),0),
IF('TL07'!$B$3=K$3,SUMIF('TL07'!$C$10:$C$224,$C148,'TL07'!$J$10:$J$224),0),
IF('TL07'!$B$229=K$3,SUMIF('TL07'!$C$238:$C$451,$C148,'TL07'!$J$238:$J$451),0),
IF('TL08'!$B$3=K$3,SUMIF('TL08'!$C$10:$C$224,$C148,'TL08'!$J$10:$J$224),0),
IF('TL08'!$B$229=K$3,SUMIF('TL08'!$C$238:$C$451,$C148,'TL08'!$J$238:$J$451),0),
IF('TL09'!$B$3=K$3,SUMIF('TL09'!$C$10:$C$224,$C148,'TL09'!$J$10:$J$224),0),
IF('TL09'!$B$229=K$3,SUMIF('TL09'!$C$238:$C$451,$C148,'TL09'!$J$238:$J$451),0),
IF('TL10'!$B$3=K$3,SUMIF('TL10'!$C$10:$C$224,$C148,'TL10'!$J$10:$J$224),0),
IF('TL10'!$B$229=K$3,SUMIF('TL10'!$C$238:$C$451,$C148,'TL10'!$J$238:$J$451),0),
IF('TL11'!$B$3=K$3,SUMIF('TL11'!$C$10:$C$224,$C148,'TL11'!$J$10:$J$224),0),
IF('TL11'!$B$229=K$3,SUMIF('TL11'!$C$238:$C$451,$C148,'TL11'!$J$238:$J$451),0),
IF('TL12'!$B$3=K$3,SUMIF('TL12'!$C$10:$C$224,$C148,'TL12'!$J$10:$J$224),0),
IF('TL12'!$B$229=K$3,SUMIF('TL12'!$C$238:$C$451,$C148,'TL12'!$J$238:$J$451),0),
IF('TL13'!$B$3=K$3,SUMIF('TL13'!$C$10:$C$224,$C148,'TL13'!$J$10:$J$224),0),
IF('TL13'!$B$229=K$3,SUMIF('TL13'!$C$238:$C$451,$C148,'TL13'!$J$238:$J$451),0),
IF('TL14'!$B$3=K$3,SUMIF('TL14'!$C$10:$C$224,$C148,'TL14'!$J$10:$J$224),0),
IF('TL14'!$B$229=K$3,SUMIF('TL14'!$C$238:$C$451,$C148,'TL14'!$J$238:$J$451),0),
IF('TL15'!$B$3=K$3,SUMIF('TL15'!$C$10:$C$224,$C148,'TL15'!$J$10:$J$224),0),
IF('TL15'!$B$229=K$3,SUMIF('TL15'!$C$238:$C$451,$C148,'TL15'!$J$238:$J$451),0),
IF('TL16'!$B$3=K$3,SUMIF('TL16'!$C$10:$C$224,$C148,'TL16'!$J$10:$J$224),0),
IF('TL16'!$B$229=K$3,SUMIF('TL16'!$C$238:$C$451,$C148,'TL16'!$J$238:$J$451),0),
IF('TL17'!$B$3=K$3,SUMIF('TL17'!$C$10:$C$224,$C148,'TL17'!$J$10:$J$224),0),
IF('TL17'!$B$229=K$3,SUMIF('TL17'!$C$238:$C$451,$C148,'TL17'!$J$238:$J$451),0),
IF('TL18'!$B$3=K$3,SUMIF('TL18'!$C$10:$C$224,$C148,'TL18'!$J$10:$J$224),0),
IF('TL18'!$B$229=K$3,SUMIF('TL18'!$C$238:$C$451,$C148,'TL18'!$J$238:$J$451),0),
IF('TL19'!$B$3=K$3,SUMIF('TL19'!$C$10:$C$224,$C148,'TL19'!$J$10:$J$224),0),
IF('TL19'!$B$229=K$3,SUMIF('TL19'!$C$238:$C$451,$C148,'TL19'!$J$238:$J$451),0)
),0)</f>
        <v/>
      </c>
      <c r="L148" s="9">
        <f>IFERROR(SUM(
IF('TL01'!$B$3=L$3,SUMIF('TL01'!$C$10:$C$224,$C148,'TL01'!$J$10:$J$224),0),
IF('TL01'!$B$229=L$3,SUMIF('TL01'!$C$238:$C$451,$C148,'TL01'!$J$238:$J$451),0),
IF('TL02'!$B$3=L$3,SUMIF('TL02'!$C$10:$C$224,$C148,'TL02'!$J$10:$J$224),0),
IF('TL02'!$B$229=L$3,SUMIF('TL02'!$C$238:$C$451,$C148,'TL02'!$J$238:$J$451),0),
IF('TL03'!$B$3=L$3,SUMIF('TL03'!$C$10:$C$224,$C148,'TL03'!$J$10:$J$224),0),
IF('TL03'!$B$229=L$3,SUMIF('TL03'!$C$238:$C$451,$C148,'TL03'!$J$238:$J$451),0),
IF('TL04'!$B$3=L$3,SUMIF('TL04'!$C$10:$C$224,$C148,'TL04'!$J$10:$J$224),0),
IF('TL04'!$B$229=L$3,SUMIF('TL04'!$C$238:$C$451,$C148,'TL04'!$J$238:$J$451),0),
IF('TL05'!$B$3=L$3,SUMIF('TL05'!$C$10:$C$224,$C148,'TL05'!$J$10:$J$224),0),
IF('TL05'!$B$229=L$3,SUMIF('TL05'!$C$238:$C$451,$C148,'TL05'!$J$238:$J$451),0),
IF('TL06'!$B$3=L$3,SUMIF('TL06'!$C$10:$C$224,$C148,'TL06'!$J$10:$J$224),0),
IF('TL06'!$B$229=L$3,SUMIF('TL06'!$C$238:$C$451,$C148,'TL06'!$J$238:$J$451),0),
IF('TL07'!$B$3=L$3,SUMIF('TL07'!$C$10:$C$224,$C148,'TL07'!$J$10:$J$224),0),
IF('TL07'!$B$229=L$3,SUMIF('TL07'!$C$238:$C$451,$C148,'TL07'!$J$238:$J$451),0),
IF('TL08'!$B$3=L$3,SUMIF('TL08'!$C$10:$C$224,$C148,'TL08'!$J$10:$J$224),0),
IF('TL08'!$B$229=L$3,SUMIF('TL08'!$C$238:$C$451,$C148,'TL08'!$J$238:$J$451),0),
IF('TL09'!$B$3=L$3,SUMIF('TL09'!$C$10:$C$224,$C148,'TL09'!$J$10:$J$224),0),
IF('TL09'!$B$229=L$3,SUMIF('TL09'!$C$238:$C$451,$C148,'TL09'!$J$238:$J$451),0),
IF('TL10'!$B$3=L$3,SUMIF('TL10'!$C$10:$C$224,$C148,'TL10'!$J$10:$J$224),0),
IF('TL10'!$B$229=L$3,SUMIF('TL10'!$C$238:$C$451,$C148,'TL10'!$J$238:$J$451),0),
IF('TL11'!$B$3=L$3,SUMIF('TL11'!$C$10:$C$224,$C148,'TL11'!$J$10:$J$224),0),
IF('TL11'!$B$229=L$3,SUMIF('TL11'!$C$238:$C$451,$C148,'TL11'!$J$238:$J$451),0),
IF('TL12'!$B$3=L$3,SUMIF('TL12'!$C$10:$C$224,$C148,'TL12'!$J$10:$J$224),0),
IF('TL12'!$B$229=L$3,SUMIF('TL12'!$C$238:$C$451,$C148,'TL12'!$J$238:$J$451),0),
IF('TL13'!$B$3=L$3,SUMIF('TL13'!$C$10:$C$224,$C148,'TL13'!$J$10:$J$224),0),
IF('TL13'!$B$229=L$3,SUMIF('TL13'!$C$238:$C$451,$C148,'TL13'!$J$238:$J$451),0),
IF('TL14'!$B$3=L$3,SUMIF('TL14'!$C$10:$C$224,$C148,'TL14'!$J$10:$J$224),0),
IF('TL14'!$B$229=L$3,SUMIF('TL14'!$C$238:$C$451,$C148,'TL14'!$J$238:$J$451),0),
IF('TL15'!$B$3=L$3,SUMIF('TL15'!$C$10:$C$224,$C148,'TL15'!$J$10:$J$224),0),
IF('TL15'!$B$229=L$3,SUMIF('TL15'!$C$238:$C$451,$C148,'TL15'!$J$238:$J$451),0),
IF('TL16'!$B$3=L$3,SUMIF('TL16'!$C$10:$C$224,$C148,'TL16'!$J$10:$J$224),0),
IF('TL16'!$B$229=L$3,SUMIF('TL16'!$C$238:$C$451,$C148,'TL16'!$J$238:$J$451),0),
IF('TL17'!$B$3=L$3,SUMIF('TL17'!$C$10:$C$224,$C148,'TL17'!$J$10:$J$224),0),
IF('TL17'!$B$229=L$3,SUMIF('TL17'!$C$238:$C$451,$C148,'TL17'!$J$238:$J$451),0),
IF('TL18'!$B$3=L$3,SUMIF('TL18'!$C$10:$C$224,$C148,'TL18'!$J$10:$J$224),0),
IF('TL18'!$B$229=L$3,SUMIF('TL18'!$C$238:$C$451,$C148,'TL18'!$J$238:$J$451),0),
IF('TL19'!$B$3=L$3,SUMIF('TL19'!$C$10:$C$224,$C148,'TL19'!$J$10:$J$224),0),
IF('TL19'!$B$229=L$3,SUMIF('TL19'!$C$238:$C$451,$C148,'TL19'!$J$238:$J$451),0)
),0)</f>
        <v/>
      </c>
      <c r="M148" s="9">
        <f>IFERROR(SUM(
IF('TL01'!$B$3=M$3,SUMIF('TL01'!$C$10:$C$224,$C148,'TL01'!$J$10:$J$224),0),
IF('TL01'!$B$229=M$3,SUMIF('TL01'!$C$238:$C$451,$C148,'TL01'!$J$238:$J$451),0),
IF('TL02'!$B$3=M$3,SUMIF('TL02'!$C$10:$C$224,$C148,'TL02'!$J$10:$J$224),0),
IF('TL02'!$B$229=M$3,SUMIF('TL02'!$C$238:$C$451,$C148,'TL02'!$J$238:$J$451),0),
IF('TL03'!$B$3=M$3,SUMIF('TL03'!$C$10:$C$224,$C148,'TL03'!$J$10:$J$224),0),
IF('TL03'!$B$229=M$3,SUMIF('TL03'!$C$238:$C$451,$C148,'TL03'!$J$238:$J$451),0),
IF('TL04'!$B$3=M$3,SUMIF('TL04'!$C$10:$C$224,$C148,'TL04'!$J$10:$J$224),0),
IF('TL04'!$B$229=M$3,SUMIF('TL04'!$C$238:$C$451,$C148,'TL04'!$J$238:$J$451),0),
IF('TL05'!$B$3=M$3,SUMIF('TL05'!$C$10:$C$224,$C148,'TL05'!$J$10:$J$224),0),
IF('TL05'!$B$229=M$3,SUMIF('TL05'!$C$238:$C$451,$C148,'TL05'!$J$238:$J$451),0),
IF('TL06'!$B$3=M$3,SUMIF('TL06'!$C$10:$C$224,$C148,'TL06'!$J$10:$J$224),0),
IF('TL06'!$B$229=M$3,SUMIF('TL06'!$C$238:$C$451,$C148,'TL06'!$J$238:$J$451),0),
IF('TL07'!$B$3=M$3,SUMIF('TL07'!$C$10:$C$224,$C148,'TL07'!$J$10:$J$224),0),
IF('TL07'!$B$229=M$3,SUMIF('TL07'!$C$238:$C$451,$C148,'TL07'!$J$238:$J$451),0),
IF('TL08'!$B$3=M$3,SUMIF('TL08'!$C$10:$C$224,$C148,'TL08'!$J$10:$J$224),0),
IF('TL08'!$B$229=M$3,SUMIF('TL08'!$C$238:$C$451,$C148,'TL08'!$J$238:$J$451),0),
IF('TL09'!$B$3=M$3,SUMIF('TL09'!$C$10:$C$224,$C148,'TL09'!$J$10:$J$224),0),
IF('TL09'!$B$229=M$3,SUMIF('TL09'!$C$238:$C$451,$C148,'TL09'!$J$238:$J$451),0),
IF('TL10'!$B$3=M$3,SUMIF('TL10'!$C$10:$C$224,$C148,'TL10'!$J$10:$J$224),0),
IF('TL10'!$B$229=M$3,SUMIF('TL10'!$C$238:$C$451,$C148,'TL10'!$J$238:$J$451),0),
IF('TL11'!$B$3=M$3,SUMIF('TL11'!$C$10:$C$224,$C148,'TL11'!$J$10:$J$224),0),
IF('TL11'!$B$229=M$3,SUMIF('TL11'!$C$238:$C$451,$C148,'TL11'!$J$238:$J$451),0),
IF('TL12'!$B$3=M$3,SUMIF('TL12'!$C$10:$C$224,$C148,'TL12'!$J$10:$J$224),0),
IF('TL12'!$B$229=M$3,SUMIF('TL12'!$C$238:$C$451,$C148,'TL12'!$J$238:$J$451),0),
IF('TL13'!$B$3=M$3,SUMIF('TL13'!$C$10:$C$224,$C148,'TL13'!$J$10:$J$224),0),
IF('TL13'!$B$229=M$3,SUMIF('TL13'!$C$238:$C$451,$C148,'TL13'!$J$238:$J$451),0),
IF('TL14'!$B$3=M$3,SUMIF('TL14'!$C$10:$C$224,$C148,'TL14'!$J$10:$J$224),0),
IF('TL14'!$B$229=M$3,SUMIF('TL14'!$C$238:$C$451,$C148,'TL14'!$J$238:$J$451),0),
IF('TL15'!$B$3=M$3,SUMIF('TL15'!$C$10:$C$224,$C148,'TL15'!$J$10:$J$224),0),
IF('TL15'!$B$229=M$3,SUMIF('TL15'!$C$238:$C$451,$C148,'TL15'!$J$238:$J$451),0),
IF('TL16'!$B$3=M$3,SUMIF('TL16'!$C$10:$C$224,$C148,'TL16'!$J$10:$J$224),0),
IF('TL16'!$B$229=M$3,SUMIF('TL16'!$C$238:$C$451,$C148,'TL16'!$J$238:$J$451),0),
IF('TL17'!$B$3=M$3,SUMIF('TL17'!$C$10:$C$224,$C148,'TL17'!$J$10:$J$224),0),
IF('TL17'!$B$229=M$3,SUMIF('TL17'!$C$238:$C$451,$C148,'TL17'!$J$238:$J$451),0),
IF('TL18'!$B$3=M$3,SUMIF('TL18'!$C$10:$C$224,$C148,'TL18'!$J$10:$J$224),0),
IF('TL18'!$B$229=M$3,SUMIF('TL18'!$C$238:$C$451,$C148,'TL18'!$J$238:$J$451),0),
IF('TL19'!$B$3=M$3,SUMIF('TL19'!$C$10:$C$224,$C148,'TL19'!$J$10:$J$224),0),
IF('TL19'!$B$229=M$3,SUMIF('TL19'!$C$238:$C$451,$C148,'TL19'!$J$238:$J$451),0)
),0)</f>
        <v/>
      </c>
      <c r="N148" s="9">
        <f>IFERROR(SUM(
IF('TL01'!$B$3=N$3,SUMIF('TL01'!$C$10:$C$224,$C148,'TL01'!$J$10:$J$224),0),
IF('TL01'!$B$229=N$3,SUMIF('TL01'!$C$238:$C$451,$C148,'TL01'!$J$238:$J$451),0),
IF('TL02'!$B$3=N$3,SUMIF('TL02'!$C$10:$C$224,$C148,'TL02'!$J$10:$J$224),0),
IF('TL02'!$B$229=N$3,SUMIF('TL02'!$C$238:$C$451,$C148,'TL02'!$J$238:$J$451),0),
IF('TL03'!$B$3=N$3,SUMIF('TL03'!$C$10:$C$224,$C148,'TL03'!$J$10:$J$224),0),
IF('TL03'!$B$229=N$3,SUMIF('TL03'!$C$238:$C$451,$C148,'TL03'!$J$238:$J$451),0),
IF('TL04'!$B$3=N$3,SUMIF('TL04'!$C$10:$C$224,$C148,'TL04'!$J$10:$J$224),0),
IF('TL04'!$B$229=N$3,SUMIF('TL04'!$C$238:$C$451,$C148,'TL04'!$J$238:$J$451),0),
IF('TL05'!$B$3=N$3,SUMIF('TL05'!$C$10:$C$224,$C148,'TL05'!$J$10:$J$224),0),
IF('TL05'!$B$229=N$3,SUMIF('TL05'!$C$238:$C$451,$C148,'TL05'!$J$238:$J$451),0),
IF('TL06'!$B$3=N$3,SUMIF('TL06'!$C$10:$C$224,$C148,'TL06'!$J$10:$J$224),0),
IF('TL06'!$B$229=N$3,SUMIF('TL06'!$C$238:$C$451,$C148,'TL06'!$J$238:$J$451),0),
IF('TL07'!$B$3=N$3,SUMIF('TL07'!$C$10:$C$224,$C148,'TL07'!$J$10:$J$224),0),
IF('TL07'!$B$229=N$3,SUMIF('TL07'!$C$238:$C$451,$C148,'TL07'!$J$238:$J$451),0),
IF('TL08'!$B$3=N$3,SUMIF('TL08'!$C$10:$C$224,$C148,'TL08'!$J$10:$J$224),0),
IF('TL08'!$B$229=N$3,SUMIF('TL08'!$C$238:$C$451,$C148,'TL08'!$J$238:$J$451),0),
IF('TL09'!$B$3=N$3,SUMIF('TL09'!$C$10:$C$224,$C148,'TL09'!$J$10:$J$224),0),
IF('TL09'!$B$229=N$3,SUMIF('TL09'!$C$238:$C$451,$C148,'TL09'!$J$238:$J$451),0),
IF('TL10'!$B$3=N$3,SUMIF('TL10'!$C$10:$C$224,$C148,'TL10'!$J$10:$J$224),0),
IF('TL10'!$B$229=N$3,SUMIF('TL10'!$C$238:$C$451,$C148,'TL10'!$J$238:$J$451),0),
IF('TL11'!$B$3=N$3,SUMIF('TL11'!$C$10:$C$224,$C148,'TL11'!$J$10:$J$224),0),
IF('TL11'!$B$229=N$3,SUMIF('TL11'!$C$238:$C$451,$C148,'TL11'!$J$238:$J$451),0),
IF('TL12'!$B$3=N$3,SUMIF('TL12'!$C$10:$C$224,$C148,'TL12'!$J$10:$J$224),0),
IF('TL12'!$B$229=N$3,SUMIF('TL12'!$C$238:$C$451,$C148,'TL12'!$J$238:$J$451),0),
IF('TL13'!$B$3=N$3,SUMIF('TL13'!$C$10:$C$224,$C148,'TL13'!$J$10:$J$224),0),
IF('TL13'!$B$229=N$3,SUMIF('TL13'!$C$238:$C$451,$C148,'TL13'!$J$238:$J$451),0),
IF('TL14'!$B$3=N$3,SUMIF('TL14'!$C$10:$C$224,$C148,'TL14'!$J$10:$J$224),0),
IF('TL14'!$B$229=N$3,SUMIF('TL14'!$C$238:$C$451,$C148,'TL14'!$J$238:$J$451),0),
IF('TL15'!$B$3=N$3,SUMIF('TL15'!$C$10:$C$224,$C148,'TL15'!$J$10:$J$224),0),
IF('TL15'!$B$229=N$3,SUMIF('TL15'!$C$238:$C$451,$C148,'TL15'!$J$238:$J$451),0),
IF('TL16'!$B$3=N$3,SUMIF('TL16'!$C$10:$C$224,$C148,'TL16'!$J$10:$J$224),0),
IF('TL16'!$B$229=N$3,SUMIF('TL16'!$C$238:$C$451,$C148,'TL16'!$J$238:$J$451),0),
IF('TL17'!$B$3=N$3,SUMIF('TL17'!$C$10:$C$224,$C148,'TL17'!$J$10:$J$224),0),
IF('TL17'!$B$229=N$3,SUMIF('TL17'!$C$238:$C$451,$C148,'TL17'!$J$238:$J$451),0),
IF('TL18'!$B$3=N$3,SUMIF('TL18'!$C$10:$C$224,$C148,'TL18'!$J$10:$J$224),0),
IF('TL18'!$B$229=N$3,SUMIF('TL18'!$C$238:$C$451,$C148,'TL18'!$J$238:$J$451),0),
IF('TL19'!$B$3=N$3,SUMIF('TL19'!$C$10:$C$224,$C148,'TL19'!$J$10:$J$224),0),
IF('TL19'!$B$229=N$3,SUMIF('TL19'!$C$238:$C$451,$C148,'TL19'!$J$238:$J$451),0)
),0)</f>
        <v/>
      </c>
      <c r="O148" s="9">
        <f>IFERROR(SUM(
IF('TL01'!$B$3=O$3,SUMIF('TL01'!$C$10:$C$224,$C148,'TL01'!$J$10:$J$224),0),
IF('TL01'!$B$229=O$3,SUMIF('TL01'!$C$238:$C$451,$C148,'TL01'!$J$238:$J$451),0),
IF('TL02'!$B$3=O$3,SUMIF('TL02'!$C$10:$C$224,$C148,'TL02'!$J$10:$J$224),0),
IF('TL02'!$B$229=O$3,SUMIF('TL02'!$C$238:$C$451,$C148,'TL02'!$J$238:$J$451),0),
IF('TL03'!$B$3=O$3,SUMIF('TL03'!$C$10:$C$224,$C148,'TL03'!$J$10:$J$224),0),
IF('TL03'!$B$229=O$3,SUMIF('TL03'!$C$238:$C$451,$C148,'TL03'!$J$238:$J$451),0),
IF('TL04'!$B$3=O$3,SUMIF('TL04'!$C$10:$C$224,$C148,'TL04'!$J$10:$J$224),0),
IF('TL04'!$B$229=O$3,SUMIF('TL04'!$C$238:$C$451,$C148,'TL04'!$J$238:$J$451),0),
IF('TL05'!$B$3=O$3,SUMIF('TL05'!$C$10:$C$224,$C148,'TL05'!$J$10:$J$224),0),
IF('TL05'!$B$229=O$3,SUMIF('TL05'!$C$238:$C$451,$C148,'TL05'!$J$238:$J$451),0),
IF('TL06'!$B$3=O$3,SUMIF('TL06'!$C$10:$C$224,$C148,'TL06'!$J$10:$J$224),0),
IF('TL06'!$B$229=O$3,SUMIF('TL06'!$C$238:$C$451,$C148,'TL06'!$J$238:$J$451),0),
IF('TL07'!$B$3=O$3,SUMIF('TL07'!$C$10:$C$224,$C148,'TL07'!$J$10:$J$224),0),
IF('TL07'!$B$229=O$3,SUMIF('TL07'!$C$238:$C$451,$C148,'TL07'!$J$238:$J$451),0),
IF('TL08'!$B$3=O$3,SUMIF('TL08'!$C$10:$C$224,$C148,'TL08'!$J$10:$J$224),0),
IF('TL08'!$B$229=O$3,SUMIF('TL08'!$C$238:$C$451,$C148,'TL08'!$J$238:$J$451),0),
IF('TL09'!$B$3=O$3,SUMIF('TL09'!$C$10:$C$224,$C148,'TL09'!$J$10:$J$224),0),
IF('TL09'!$B$229=O$3,SUMIF('TL09'!$C$238:$C$451,$C148,'TL09'!$J$238:$J$451),0),
IF('TL10'!$B$3=O$3,SUMIF('TL10'!$C$10:$C$224,$C148,'TL10'!$J$10:$J$224),0),
IF('TL10'!$B$229=O$3,SUMIF('TL10'!$C$238:$C$451,$C148,'TL10'!$J$238:$J$451),0),
IF('TL11'!$B$3=O$3,SUMIF('TL11'!$C$10:$C$224,$C148,'TL11'!$J$10:$J$224),0),
IF('TL11'!$B$229=O$3,SUMIF('TL11'!$C$238:$C$451,$C148,'TL11'!$J$238:$J$451),0),
IF('TL12'!$B$3=O$3,SUMIF('TL12'!$C$10:$C$224,$C148,'TL12'!$J$10:$J$224),0),
IF('TL12'!$B$229=O$3,SUMIF('TL12'!$C$238:$C$451,$C148,'TL12'!$J$238:$J$451),0),
IF('TL13'!$B$3=O$3,SUMIF('TL13'!$C$10:$C$224,$C148,'TL13'!$J$10:$J$224),0),
IF('TL13'!$B$229=O$3,SUMIF('TL13'!$C$238:$C$451,$C148,'TL13'!$J$238:$J$451),0),
IF('TL14'!$B$3=O$3,SUMIF('TL14'!$C$10:$C$224,$C148,'TL14'!$J$10:$J$224),0),
IF('TL14'!$B$229=O$3,SUMIF('TL14'!$C$238:$C$451,$C148,'TL14'!$J$238:$J$451),0),
IF('TL15'!$B$3=O$3,SUMIF('TL15'!$C$10:$C$224,$C148,'TL15'!$J$10:$J$224),0),
IF('TL15'!$B$229=O$3,SUMIF('TL15'!$C$238:$C$451,$C148,'TL15'!$J$238:$J$451),0),
IF('TL16'!$B$3=O$3,SUMIF('TL16'!$C$10:$C$224,$C148,'TL16'!$J$10:$J$224),0),
IF('TL16'!$B$229=O$3,SUMIF('TL16'!$C$238:$C$451,$C148,'TL16'!$J$238:$J$451),0),
IF('TL17'!$B$3=O$3,SUMIF('TL17'!$C$10:$C$224,$C148,'TL17'!$J$10:$J$224),0),
IF('TL17'!$B$229=O$3,SUMIF('TL17'!$C$238:$C$451,$C148,'TL17'!$J$238:$J$451),0),
IF('TL18'!$B$3=O$3,SUMIF('TL18'!$C$10:$C$224,$C148,'TL18'!$J$10:$J$224),0),
IF('TL18'!$B$229=O$3,SUMIF('TL18'!$C$238:$C$451,$C148,'TL18'!$J$238:$J$451),0),
IF('TL19'!$B$3=O$3,SUMIF('TL19'!$C$10:$C$224,$C148,'TL19'!$J$10:$J$224),0),
IF('TL19'!$B$229=O$3,SUMIF('TL19'!$C$238:$C$451,$C148,'TL19'!$J$238:$J$451),0)
),0)</f>
        <v/>
      </c>
      <c r="P148" s="9">
        <f>IFERROR(SUM(
IF('TL01'!$B$3=P$3,SUMIF('TL01'!$C$10:$C$224,$C148,'TL01'!$J$10:$J$224),0),
IF('TL01'!$B$229=P$3,SUMIF('TL01'!$C$238:$C$451,$C148,'TL01'!$J$238:$J$451),0),
IF('TL02'!$B$3=P$3,SUMIF('TL02'!$C$10:$C$224,$C148,'TL02'!$J$10:$J$224),0),
IF('TL02'!$B$229=P$3,SUMIF('TL02'!$C$238:$C$451,$C148,'TL02'!$J$238:$J$451),0),
IF('TL03'!$B$3=P$3,SUMIF('TL03'!$C$10:$C$224,$C148,'TL03'!$J$10:$J$224),0),
IF('TL03'!$B$229=P$3,SUMIF('TL03'!$C$238:$C$451,$C148,'TL03'!$J$238:$J$451),0),
IF('TL04'!$B$3=P$3,SUMIF('TL04'!$C$10:$C$224,$C148,'TL04'!$J$10:$J$224),0),
IF('TL04'!$B$229=P$3,SUMIF('TL04'!$C$238:$C$451,$C148,'TL04'!$J$238:$J$451),0),
IF('TL05'!$B$3=P$3,SUMIF('TL05'!$C$10:$C$224,$C148,'TL05'!$J$10:$J$224),0),
IF('TL05'!$B$229=P$3,SUMIF('TL05'!$C$238:$C$451,$C148,'TL05'!$J$238:$J$451),0),
IF('TL06'!$B$3=P$3,SUMIF('TL06'!$C$10:$C$224,$C148,'TL06'!$J$10:$J$224),0),
IF('TL06'!$B$229=P$3,SUMIF('TL06'!$C$238:$C$451,$C148,'TL06'!$J$238:$J$451),0),
IF('TL07'!$B$3=P$3,SUMIF('TL07'!$C$10:$C$224,$C148,'TL07'!$J$10:$J$224),0),
IF('TL07'!$B$229=P$3,SUMIF('TL07'!$C$238:$C$451,$C148,'TL07'!$J$238:$J$451),0),
IF('TL08'!$B$3=P$3,SUMIF('TL08'!$C$10:$C$224,$C148,'TL08'!$J$10:$J$224),0),
IF('TL08'!$B$229=P$3,SUMIF('TL08'!$C$238:$C$451,$C148,'TL08'!$J$238:$J$451),0),
IF('TL09'!$B$3=P$3,SUMIF('TL09'!$C$10:$C$224,$C148,'TL09'!$J$10:$J$224),0),
IF('TL09'!$B$229=P$3,SUMIF('TL09'!$C$238:$C$451,$C148,'TL09'!$J$238:$J$451),0),
IF('TL10'!$B$3=P$3,SUMIF('TL10'!$C$10:$C$224,$C148,'TL10'!$J$10:$J$224),0),
IF('TL10'!$B$229=P$3,SUMIF('TL10'!$C$238:$C$451,$C148,'TL10'!$J$238:$J$451),0),
IF('TL11'!$B$3=P$3,SUMIF('TL11'!$C$10:$C$224,$C148,'TL11'!$J$10:$J$224),0),
IF('TL11'!$B$229=P$3,SUMIF('TL11'!$C$238:$C$451,$C148,'TL11'!$J$238:$J$451),0),
IF('TL12'!$B$3=P$3,SUMIF('TL12'!$C$10:$C$224,$C148,'TL12'!$J$10:$J$224),0),
IF('TL12'!$B$229=P$3,SUMIF('TL12'!$C$238:$C$451,$C148,'TL12'!$J$238:$J$451),0),
IF('TL13'!$B$3=P$3,SUMIF('TL13'!$C$10:$C$224,$C148,'TL13'!$J$10:$J$224),0),
IF('TL13'!$B$229=P$3,SUMIF('TL13'!$C$238:$C$451,$C148,'TL13'!$J$238:$J$451),0),
IF('TL14'!$B$3=P$3,SUMIF('TL14'!$C$10:$C$224,$C148,'TL14'!$J$10:$J$224),0),
IF('TL14'!$B$229=P$3,SUMIF('TL14'!$C$238:$C$451,$C148,'TL14'!$J$238:$J$451),0),
IF('TL15'!$B$3=P$3,SUMIF('TL15'!$C$10:$C$224,$C148,'TL15'!$J$10:$J$224),0),
IF('TL15'!$B$229=P$3,SUMIF('TL15'!$C$238:$C$451,$C148,'TL15'!$J$238:$J$451),0),
IF('TL16'!$B$3=P$3,SUMIF('TL16'!$C$10:$C$224,$C148,'TL16'!$J$10:$J$224),0),
IF('TL16'!$B$229=P$3,SUMIF('TL16'!$C$238:$C$451,$C148,'TL16'!$J$238:$J$451),0),
IF('TL17'!$B$3=P$3,SUMIF('TL17'!$C$10:$C$224,$C148,'TL17'!$J$10:$J$224),0),
IF('TL17'!$B$229=P$3,SUMIF('TL17'!$C$238:$C$451,$C148,'TL17'!$J$238:$J$451),0),
IF('TL18'!$B$3=P$3,SUMIF('TL18'!$C$10:$C$224,$C148,'TL18'!$J$10:$J$224),0),
IF('TL18'!$B$229=P$3,SUMIF('TL18'!$C$238:$C$451,$C148,'TL18'!$J$238:$J$451),0),
IF('TL19'!$B$3=P$3,SUMIF('TL19'!$C$10:$C$224,$C148,'TL19'!$J$10:$J$224),0),
IF('TL19'!$B$229=P$3,SUMIF('TL19'!$C$238:$C$451,$C148,'TL19'!$J$238:$J$451),0)
),0)</f>
        <v/>
      </c>
      <c r="Q148" s="9">
        <f>IFERROR(SUM(
IF('TL01'!$B$3=Q$3,SUMIF('TL01'!$C$10:$C$224,$C148,'TL01'!$J$10:$J$224),0),
IF('TL01'!$B$229=Q$3,SUMIF('TL01'!$C$238:$C$451,$C148,'TL01'!$J$238:$J$451),0),
IF('TL02'!$B$3=Q$3,SUMIF('TL02'!$C$10:$C$224,$C148,'TL02'!$J$10:$J$224),0),
IF('TL02'!$B$229=Q$3,SUMIF('TL02'!$C$238:$C$451,$C148,'TL02'!$J$238:$J$451),0),
IF('TL03'!$B$3=Q$3,SUMIF('TL03'!$C$10:$C$224,$C148,'TL03'!$J$10:$J$224),0),
IF('TL03'!$B$229=Q$3,SUMIF('TL03'!$C$238:$C$451,$C148,'TL03'!$J$238:$J$451),0),
IF('TL04'!$B$3=Q$3,SUMIF('TL04'!$C$10:$C$224,$C148,'TL04'!$J$10:$J$224),0),
IF('TL04'!$B$229=Q$3,SUMIF('TL04'!$C$238:$C$451,$C148,'TL04'!$J$238:$J$451),0),
IF('TL05'!$B$3=Q$3,SUMIF('TL05'!$C$10:$C$224,$C148,'TL05'!$J$10:$J$224),0),
IF('TL05'!$B$229=Q$3,SUMIF('TL05'!$C$238:$C$451,$C148,'TL05'!$J$238:$J$451),0),
IF('TL06'!$B$3=Q$3,SUMIF('TL06'!$C$10:$C$224,$C148,'TL06'!$J$10:$J$224),0),
IF('TL06'!$B$229=Q$3,SUMIF('TL06'!$C$238:$C$451,$C148,'TL06'!$J$238:$J$451),0),
IF('TL07'!$B$3=Q$3,SUMIF('TL07'!$C$10:$C$224,$C148,'TL07'!$J$10:$J$224),0),
IF('TL07'!$B$229=Q$3,SUMIF('TL07'!$C$238:$C$451,$C148,'TL07'!$J$238:$J$451),0),
IF('TL08'!$B$3=Q$3,SUMIF('TL08'!$C$10:$C$224,$C148,'TL08'!$J$10:$J$224),0),
IF('TL08'!$B$229=Q$3,SUMIF('TL08'!$C$238:$C$451,$C148,'TL08'!$J$238:$J$451),0),
IF('TL09'!$B$3=Q$3,SUMIF('TL09'!$C$10:$C$224,$C148,'TL09'!$J$10:$J$224),0),
IF('TL09'!$B$229=Q$3,SUMIF('TL09'!$C$238:$C$451,$C148,'TL09'!$J$238:$J$451),0),
IF('TL10'!$B$3=Q$3,SUMIF('TL10'!$C$10:$C$224,$C148,'TL10'!$J$10:$J$224),0),
IF('TL10'!$B$229=Q$3,SUMIF('TL10'!$C$238:$C$451,$C148,'TL10'!$J$238:$J$451),0),
IF('TL11'!$B$3=Q$3,SUMIF('TL11'!$C$10:$C$224,$C148,'TL11'!$J$10:$J$224),0),
IF('TL11'!$B$229=Q$3,SUMIF('TL11'!$C$238:$C$451,$C148,'TL11'!$J$238:$J$451),0),
IF('TL12'!$B$3=Q$3,SUMIF('TL12'!$C$10:$C$224,$C148,'TL12'!$J$10:$J$224),0),
IF('TL12'!$B$229=Q$3,SUMIF('TL12'!$C$238:$C$451,$C148,'TL12'!$J$238:$J$451),0),
IF('TL13'!$B$3=Q$3,SUMIF('TL13'!$C$10:$C$224,$C148,'TL13'!$J$10:$J$224),0),
IF('TL13'!$B$229=Q$3,SUMIF('TL13'!$C$238:$C$451,$C148,'TL13'!$J$238:$J$451),0),
IF('TL14'!$B$3=Q$3,SUMIF('TL14'!$C$10:$C$224,$C148,'TL14'!$J$10:$J$224),0),
IF('TL14'!$B$229=Q$3,SUMIF('TL14'!$C$238:$C$451,$C148,'TL14'!$J$238:$J$451),0),
IF('TL15'!$B$3=Q$3,SUMIF('TL15'!$C$10:$C$224,$C148,'TL15'!$J$10:$J$224),0),
IF('TL15'!$B$229=Q$3,SUMIF('TL15'!$C$238:$C$451,$C148,'TL15'!$J$238:$J$451),0),
IF('TL16'!$B$3=Q$3,SUMIF('TL16'!$C$10:$C$224,$C148,'TL16'!$J$10:$J$224),0),
IF('TL16'!$B$229=Q$3,SUMIF('TL16'!$C$238:$C$451,$C148,'TL16'!$J$238:$J$451),0),
IF('TL17'!$B$3=Q$3,SUMIF('TL17'!$C$10:$C$224,$C148,'TL17'!$J$10:$J$224),0),
IF('TL17'!$B$229=Q$3,SUMIF('TL17'!$C$238:$C$451,$C148,'TL17'!$J$238:$J$451),0),
IF('TL18'!$B$3=Q$3,SUMIF('TL18'!$C$10:$C$224,$C148,'TL18'!$J$10:$J$224),0),
IF('TL18'!$B$229=Q$3,SUMIF('TL18'!$C$238:$C$451,$C148,'TL18'!$J$238:$J$451),0),
IF('TL19'!$B$3=Q$3,SUMIF('TL19'!$C$10:$C$224,$C148,'TL19'!$J$10:$J$224),0),
IF('TL19'!$B$229=Q$3,SUMIF('TL19'!$C$238:$C$451,$C148,'TL19'!$J$238:$J$451),0)
),0)</f>
        <v/>
      </c>
      <c r="R148" s="9">
        <f>IFERROR(
SUM(
SUMIF('TL01'!C:C,C148,'TL01'!J:J),
SUMIF('TL02'!C:C,C148,'TL02'!J:J),
SUMIF('TL03'!C:C,C148,'TL03'!J:J),
SUMIF('TL04'!C:C,C148,'TL04'!J:J),
SUMIF('TL05'!C:C,C148,'TL05'!J:J),
SUMIF('TL06'!C:C,C148,'TL06'!J:J),
SUMIF('TL07'!C:C,C148,'TL07'!J:J),
SUMIF('TL08'!C:C,C148,'TL08'!J:J),
SUMIF('TL09'!C:C,C148,'TL09'!J:J),
SUMIF('TL10'!C:C,C148,'TL10'!J:J),
SUMIF('TL11'!C:C,C148,'TL11'!J:J),
SUMIF('TL12'!C:C,C148,'TL12'!J:J),
SUMIF('TL13'!C:C,C148,'TL13'!J:J),
SUMIF('TL14'!C:C,C148,'TL14'!J:J),
SUMIF('TL15'!C:C,C148,'TL15'!J:J),
SUMIF('TL16'!C:C,C148,'TL16'!J:J),
SUMIF('TL17'!C:C,C148,'TL17'!J:J),
SUMIF('TL18'!C:C,C148,'TL18'!J:J),SUMIF('TL19'!C:C,C148,'TL19'!J:J))
,0)</f>
        <v/>
      </c>
      <c r="S148" s="17">
        <f>IFERROR(__xludf.DUMMYFUNCTION("IFERROR(VLOOKUP(C148,
IMPORTRANGE(""1wULbzX32WdYsx-lj2U3uUNBBe2INVIRDtcK0d-Dvl90"",
""26-27!C:G""),
5,
FALSE),
"""")"),39.47548)</f>
        <v/>
      </c>
      <c r="T148" s="9" t="n"/>
      <c r="U148" s="92">
        <f>MAX(0,R148-T148)</f>
        <v/>
      </c>
      <c r="V148" s="93">
        <f>U148*S148</f>
        <v/>
      </c>
    </row>
    <row r="149" hidden="1" ht="15.75" customHeight="1" s="297">
      <c r="A149" s="111" t="inlineStr">
        <is>
          <t>NORTOX</t>
        </is>
      </c>
      <c r="B149" s="112" t="inlineStr">
        <is>
          <t>HERBICIDA</t>
        </is>
      </c>
      <c r="C149" s="113" t="inlineStr">
        <is>
          <t>GLUFOSINATO NORTOX 880 SG</t>
        </is>
      </c>
      <c r="D149" s="113" t="inlineStr">
        <is>
          <t>GLUFOSINATO - SAL DE AMONIO</t>
        </is>
      </c>
      <c r="E149" s="113" t="n">
        <v>880</v>
      </c>
      <c r="F149" s="4" t="inlineStr">
        <is>
          <t>L</t>
        </is>
      </c>
      <c r="G149" s="90">
        <f>HYPERLINK("https://www.google.com/search?q=" &amp; C149 &amp; "+bula+agrofit+pdf", "📄 Ver bula")</f>
        <v/>
      </c>
      <c r="H149" s="9">
        <f>IFERROR(__xludf.DUMMYFUNCTION("IFERROR(VLOOKUP(C149,
IMPORTRANGE(""1wULbzX32WdYsx-lj2U3uUNBBe2INVIRDtcK0d-Dvl90"",
""26-27!C:K""),
8,
FALSE),
"""")"),0.5)</f>
        <v/>
      </c>
      <c r="I149" s="114" t="inlineStr">
        <is>
          <t>4X5</t>
        </is>
      </c>
      <c r="J149" s="9">
        <f>IFERROR(SUM(
IF('TL01'!$B$3=J$3,SUMIF('TL01'!$C$10:$C$224,$C149,'TL01'!$J$10:$J$224),0),
IF('TL01'!$B$229=J$3,SUMIF('TL01'!$C$238:$C$451,$C149,'TL01'!$J$238:$J$451),0),
IF('TL02'!$B$3=J$3,SUMIF('TL02'!$C$10:$C$224,$C149,'TL02'!$J$10:$J$224),0),
IF('TL02'!$B$229=J$3,SUMIF('TL02'!$C$238:$C$451,$C149,'TL02'!$J$238:$J$451),0),
IF('TL03'!$B$3=J$3,SUMIF('TL03'!$C$10:$C$224,$C149,'TL03'!$J$10:$J$224),0),
IF('TL03'!$B$229=J$3,SUMIF('TL03'!$C$238:$C$451,$C149,'TL03'!$J$238:$J$451),0),
IF('TL04'!$B$3=J$3,SUMIF('TL04'!$C$10:$C$224,$C149,'TL04'!$J$10:$J$224),0),
IF('TL04'!$B$229=J$3,SUMIF('TL04'!$C$238:$C$451,$C149,'TL04'!$J$238:$J$451),0),
IF('TL05'!$B$3=J$3,SUMIF('TL05'!$C$10:$C$224,$C149,'TL05'!$J$10:$J$224),0),
IF('TL05'!$B$229=J$3,SUMIF('TL05'!$C$238:$C$451,$C149,'TL05'!$J$238:$J$451),0),
IF('TL06'!$B$3=J$3,SUMIF('TL06'!$C$10:$C$224,$C149,'TL06'!$J$10:$J$224),0),
IF('TL06'!$B$229=J$3,SUMIF('TL06'!$C$238:$C$451,$C149,'TL06'!$J$238:$J$451),0),
IF('TL07'!$B$3=J$3,SUMIF('TL07'!$C$10:$C$224,$C149,'TL07'!$J$10:$J$224),0),
IF('TL07'!$B$229=J$3,SUMIF('TL07'!$C$238:$C$451,$C149,'TL07'!$J$238:$J$451),0),
IF('TL08'!$B$3=J$3,SUMIF('TL08'!$C$10:$C$224,$C149,'TL08'!$J$10:$J$224),0),
IF('TL08'!$B$229=J$3,SUMIF('TL08'!$C$238:$C$451,$C149,'TL08'!$J$238:$J$451),0),
IF('TL09'!$B$3=J$3,SUMIF('TL09'!$C$10:$C$224,$C149,'TL09'!$J$10:$J$224),0),
IF('TL09'!$B$229=J$3,SUMIF('TL09'!$C$238:$C$451,$C149,'TL09'!$J$238:$J$451),0),
IF('TL10'!$B$3=J$3,SUMIF('TL10'!$C$10:$C$224,$C149,'TL10'!$J$10:$J$224),0),
IF('TL10'!$B$229=J$3,SUMIF('TL10'!$C$238:$C$451,$C149,'TL10'!$J$238:$J$451),0),
IF('TL11'!$B$3=J$3,SUMIF('TL11'!$C$10:$C$224,$C149,'TL11'!$J$10:$J$224),0),
IF('TL11'!$B$229=J$3,SUMIF('TL11'!$C$238:$C$451,$C149,'TL11'!$J$238:$J$451),0),
IF('TL12'!$B$3=J$3,SUMIF('TL12'!$C$10:$C$224,$C149,'TL12'!$J$10:$J$224),0),
IF('TL12'!$B$229=J$3,SUMIF('TL12'!$C$238:$C$451,$C149,'TL12'!$J$238:$J$451),0),
IF('TL13'!$B$3=J$3,SUMIF('TL13'!$C$10:$C$224,$C149,'TL13'!$J$10:$J$224),0),
IF('TL13'!$B$229=J$3,SUMIF('TL13'!$C$238:$C$451,$C149,'TL13'!$J$238:$J$451),0),
IF('TL14'!$B$3=J$3,SUMIF('TL14'!$C$10:$C$224,$C149,'TL14'!$J$10:$J$224),0),
IF('TL14'!$B$229=J$3,SUMIF('TL14'!$C$238:$C$451,$C149,'TL14'!$J$238:$J$451),0),
IF('TL15'!$B$3=J$3,SUMIF('TL15'!$C$10:$C$224,$C149,'TL15'!$J$10:$J$224),0),
IF('TL15'!$B$229=J$3,SUMIF('TL15'!$C$238:$C$451,$C149,'TL15'!$J$238:$J$451),0),
IF('TL16'!$B$3=J$3,SUMIF('TL16'!$C$10:$C$224,$C149,'TL16'!$J$10:$J$224),0),
IF('TL16'!$B$229=J$3,SUMIF('TL16'!$C$238:$C$451,$C149,'TL16'!$J$238:$J$451),0),
IF('TL17'!$B$3=J$3,SUMIF('TL17'!$C$10:$C$224,$C149,'TL17'!$J$10:$J$224),0),
IF('TL17'!$B$229=J$3,SUMIF('TL17'!$C$238:$C$451,$C149,'TL17'!$J$238:$J$451),0),
IF('TL18'!$B$3=J$3,SUMIF('TL18'!$C$10:$C$224,$C149,'TL18'!$J$10:$J$224),0),
IF('TL18'!$B$229=J$3,SUMIF('TL18'!$C$238:$C$451,$C149,'TL18'!$J$238:$J$451),0),
IF('TL19'!$B$3=J$3,SUMIF('TL19'!$C$10:$C$224,$C149,'TL19'!$J$10:$J$224),0),
IF('TL19'!$B$229=J$3,SUMIF('TL19'!$C$238:$C$451,$C149,'TL19'!$J$238:$J$451),0)
),0)</f>
        <v/>
      </c>
      <c r="K149" s="9">
        <f>IFERROR(SUM(
IF('TL01'!$B$3=K$3,SUMIF('TL01'!$C$10:$C$224,$C149,'TL01'!$J$10:$J$224),0),
IF('TL01'!$B$229=K$3,SUMIF('TL01'!$C$238:$C$451,$C149,'TL01'!$J$238:$J$451),0),
IF('TL02'!$B$3=K$3,SUMIF('TL02'!$C$10:$C$224,$C149,'TL02'!$J$10:$J$224),0),
IF('TL02'!$B$229=K$3,SUMIF('TL02'!$C$238:$C$451,$C149,'TL02'!$J$238:$J$451),0),
IF('TL03'!$B$3=K$3,SUMIF('TL03'!$C$10:$C$224,$C149,'TL03'!$J$10:$J$224),0),
IF('TL03'!$B$229=K$3,SUMIF('TL03'!$C$238:$C$451,$C149,'TL03'!$J$238:$J$451),0),
IF('TL04'!$B$3=K$3,SUMIF('TL04'!$C$10:$C$224,$C149,'TL04'!$J$10:$J$224),0),
IF('TL04'!$B$229=K$3,SUMIF('TL04'!$C$238:$C$451,$C149,'TL04'!$J$238:$J$451),0),
IF('TL05'!$B$3=K$3,SUMIF('TL05'!$C$10:$C$224,$C149,'TL05'!$J$10:$J$224),0),
IF('TL05'!$B$229=K$3,SUMIF('TL05'!$C$238:$C$451,$C149,'TL05'!$J$238:$J$451),0),
IF('TL06'!$B$3=K$3,SUMIF('TL06'!$C$10:$C$224,$C149,'TL06'!$J$10:$J$224),0),
IF('TL06'!$B$229=K$3,SUMIF('TL06'!$C$238:$C$451,$C149,'TL06'!$J$238:$J$451),0),
IF('TL07'!$B$3=K$3,SUMIF('TL07'!$C$10:$C$224,$C149,'TL07'!$J$10:$J$224),0),
IF('TL07'!$B$229=K$3,SUMIF('TL07'!$C$238:$C$451,$C149,'TL07'!$J$238:$J$451),0),
IF('TL08'!$B$3=K$3,SUMIF('TL08'!$C$10:$C$224,$C149,'TL08'!$J$10:$J$224),0),
IF('TL08'!$B$229=K$3,SUMIF('TL08'!$C$238:$C$451,$C149,'TL08'!$J$238:$J$451),0),
IF('TL09'!$B$3=K$3,SUMIF('TL09'!$C$10:$C$224,$C149,'TL09'!$J$10:$J$224),0),
IF('TL09'!$B$229=K$3,SUMIF('TL09'!$C$238:$C$451,$C149,'TL09'!$J$238:$J$451),0),
IF('TL10'!$B$3=K$3,SUMIF('TL10'!$C$10:$C$224,$C149,'TL10'!$J$10:$J$224),0),
IF('TL10'!$B$229=K$3,SUMIF('TL10'!$C$238:$C$451,$C149,'TL10'!$J$238:$J$451),0),
IF('TL11'!$B$3=K$3,SUMIF('TL11'!$C$10:$C$224,$C149,'TL11'!$J$10:$J$224),0),
IF('TL11'!$B$229=K$3,SUMIF('TL11'!$C$238:$C$451,$C149,'TL11'!$J$238:$J$451),0),
IF('TL12'!$B$3=K$3,SUMIF('TL12'!$C$10:$C$224,$C149,'TL12'!$J$10:$J$224),0),
IF('TL12'!$B$229=K$3,SUMIF('TL12'!$C$238:$C$451,$C149,'TL12'!$J$238:$J$451),0),
IF('TL13'!$B$3=K$3,SUMIF('TL13'!$C$10:$C$224,$C149,'TL13'!$J$10:$J$224),0),
IF('TL13'!$B$229=K$3,SUMIF('TL13'!$C$238:$C$451,$C149,'TL13'!$J$238:$J$451),0),
IF('TL14'!$B$3=K$3,SUMIF('TL14'!$C$10:$C$224,$C149,'TL14'!$J$10:$J$224),0),
IF('TL14'!$B$229=K$3,SUMIF('TL14'!$C$238:$C$451,$C149,'TL14'!$J$238:$J$451),0),
IF('TL15'!$B$3=K$3,SUMIF('TL15'!$C$10:$C$224,$C149,'TL15'!$J$10:$J$224),0),
IF('TL15'!$B$229=K$3,SUMIF('TL15'!$C$238:$C$451,$C149,'TL15'!$J$238:$J$451),0),
IF('TL16'!$B$3=K$3,SUMIF('TL16'!$C$10:$C$224,$C149,'TL16'!$J$10:$J$224),0),
IF('TL16'!$B$229=K$3,SUMIF('TL16'!$C$238:$C$451,$C149,'TL16'!$J$238:$J$451),0),
IF('TL17'!$B$3=K$3,SUMIF('TL17'!$C$10:$C$224,$C149,'TL17'!$J$10:$J$224),0),
IF('TL17'!$B$229=K$3,SUMIF('TL17'!$C$238:$C$451,$C149,'TL17'!$J$238:$J$451),0),
IF('TL18'!$B$3=K$3,SUMIF('TL18'!$C$10:$C$224,$C149,'TL18'!$J$10:$J$224),0),
IF('TL18'!$B$229=K$3,SUMIF('TL18'!$C$238:$C$451,$C149,'TL18'!$J$238:$J$451),0),
IF('TL19'!$B$3=K$3,SUMIF('TL19'!$C$10:$C$224,$C149,'TL19'!$J$10:$J$224),0),
IF('TL19'!$B$229=K$3,SUMIF('TL19'!$C$238:$C$451,$C149,'TL19'!$J$238:$J$451),0)
),0)</f>
        <v/>
      </c>
      <c r="L149" s="9">
        <f>IFERROR(SUM(
IF('TL01'!$B$3=L$3,SUMIF('TL01'!$C$10:$C$224,$C149,'TL01'!$J$10:$J$224),0),
IF('TL01'!$B$229=L$3,SUMIF('TL01'!$C$238:$C$451,$C149,'TL01'!$J$238:$J$451),0),
IF('TL02'!$B$3=L$3,SUMIF('TL02'!$C$10:$C$224,$C149,'TL02'!$J$10:$J$224),0),
IF('TL02'!$B$229=L$3,SUMIF('TL02'!$C$238:$C$451,$C149,'TL02'!$J$238:$J$451),0),
IF('TL03'!$B$3=L$3,SUMIF('TL03'!$C$10:$C$224,$C149,'TL03'!$J$10:$J$224),0),
IF('TL03'!$B$229=L$3,SUMIF('TL03'!$C$238:$C$451,$C149,'TL03'!$J$238:$J$451),0),
IF('TL04'!$B$3=L$3,SUMIF('TL04'!$C$10:$C$224,$C149,'TL04'!$J$10:$J$224),0),
IF('TL04'!$B$229=L$3,SUMIF('TL04'!$C$238:$C$451,$C149,'TL04'!$J$238:$J$451),0),
IF('TL05'!$B$3=L$3,SUMIF('TL05'!$C$10:$C$224,$C149,'TL05'!$J$10:$J$224),0),
IF('TL05'!$B$229=L$3,SUMIF('TL05'!$C$238:$C$451,$C149,'TL05'!$J$238:$J$451),0),
IF('TL06'!$B$3=L$3,SUMIF('TL06'!$C$10:$C$224,$C149,'TL06'!$J$10:$J$224),0),
IF('TL06'!$B$229=L$3,SUMIF('TL06'!$C$238:$C$451,$C149,'TL06'!$J$238:$J$451),0),
IF('TL07'!$B$3=L$3,SUMIF('TL07'!$C$10:$C$224,$C149,'TL07'!$J$10:$J$224),0),
IF('TL07'!$B$229=L$3,SUMIF('TL07'!$C$238:$C$451,$C149,'TL07'!$J$238:$J$451),0),
IF('TL08'!$B$3=L$3,SUMIF('TL08'!$C$10:$C$224,$C149,'TL08'!$J$10:$J$224),0),
IF('TL08'!$B$229=L$3,SUMIF('TL08'!$C$238:$C$451,$C149,'TL08'!$J$238:$J$451),0),
IF('TL09'!$B$3=L$3,SUMIF('TL09'!$C$10:$C$224,$C149,'TL09'!$J$10:$J$224),0),
IF('TL09'!$B$229=L$3,SUMIF('TL09'!$C$238:$C$451,$C149,'TL09'!$J$238:$J$451),0),
IF('TL10'!$B$3=L$3,SUMIF('TL10'!$C$10:$C$224,$C149,'TL10'!$J$10:$J$224),0),
IF('TL10'!$B$229=L$3,SUMIF('TL10'!$C$238:$C$451,$C149,'TL10'!$J$238:$J$451),0),
IF('TL11'!$B$3=L$3,SUMIF('TL11'!$C$10:$C$224,$C149,'TL11'!$J$10:$J$224),0),
IF('TL11'!$B$229=L$3,SUMIF('TL11'!$C$238:$C$451,$C149,'TL11'!$J$238:$J$451),0),
IF('TL12'!$B$3=L$3,SUMIF('TL12'!$C$10:$C$224,$C149,'TL12'!$J$10:$J$224),0),
IF('TL12'!$B$229=L$3,SUMIF('TL12'!$C$238:$C$451,$C149,'TL12'!$J$238:$J$451),0),
IF('TL13'!$B$3=L$3,SUMIF('TL13'!$C$10:$C$224,$C149,'TL13'!$J$10:$J$224),0),
IF('TL13'!$B$229=L$3,SUMIF('TL13'!$C$238:$C$451,$C149,'TL13'!$J$238:$J$451),0),
IF('TL14'!$B$3=L$3,SUMIF('TL14'!$C$10:$C$224,$C149,'TL14'!$J$10:$J$224),0),
IF('TL14'!$B$229=L$3,SUMIF('TL14'!$C$238:$C$451,$C149,'TL14'!$J$238:$J$451),0),
IF('TL15'!$B$3=L$3,SUMIF('TL15'!$C$10:$C$224,$C149,'TL15'!$J$10:$J$224),0),
IF('TL15'!$B$229=L$3,SUMIF('TL15'!$C$238:$C$451,$C149,'TL15'!$J$238:$J$451),0),
IF('TL16'!$B$3=L$3,SUMIF('TL16'!$C$10:$C$224,$C149,'TL16'!$J$10:$J$224),0),
IF('TL16'!$B$229=L$3,SUMIF('TL16'!$C$238:$C$451,$C149,'TL16'!$J$238:$J$451),0),
IF('TL17'!$B$3=L$3,SUMIF('TL17'!$C$10:$C$224,$C149,'TL17'!$J$10:$J$224),0),
IF('TL17'!$B$229=L$3,SUMIF('TL17'!$C$238:$C$451,$C149,'TL17'!$J$238:$J$451),0),
IF('TL18'!$B$3=L$3,SUMIF('TL18'!$C$10:$C$224,$C149,'TL18'!$J$10:$J$224),0),
IF('TL18'!$B$229=L$3,SUMIF('TL18'!$C$238:$C$451,$C149,'TL18'!$J$238:$J$451),0),
IF('TL19'!$B$3=L$3,SUMIF('TL19'!$C$10:$C$224,$C149,'TL19'!$J$10:$J$224),0),
IF('TL19'!$B$229=L$3,SUMIF('TL19'!$C$238:$C$451,$C149,'TL19'!$J$238:$J$451),0)
),0)</f>
        <v/>
      </c>
      <c r="M149" s="9">
        <f>IFERROR(SUM(
IF('TL01'!$B$3=M$3,SUMIF('TL01'!$C$10:$C$224,$C149,'TL01'!$J$10:$J$224),0),
IF('TL01'!$B$229=M$3,SUMIF('TL01'!$C$238:$C$451,$C149,'TL01'!$J$238:$J$451),0),
IF('TL02'!$B$3=M$3,SUMIF('TL02'!$C$10:$C$224,$C149,'TL02'!$J$10:$J$224),0),
IF('TL02'!$B$229=M$3,SUMIF('TL02'!$C$238:$C$451,$C149,'TL02'!$J$238:$J$451),0),
IF('TL03'!$B$3=M$3,SUMIF('TL03'!$C$10:$C$224,$C149,'TL03'!$J$10:$J$224),0),
IF('TL03'!$B$229=M$3,SUMIF('TL03'!$C$238:$C$451,$C149,'TL03'!$J$238:$J$451),0),
IF('TL04'!$B$3=M$3,SUMIF('TL04'!$C$10:$C$224,$C149,'TL04'!$J$10:$J$224),0),
IF('TL04'!$B$229=M$3,SUMIF('TL04'!$C$238:$C$451,$C149,'TL04'!$J$238:$J$451),0),
IF('TL05'!$B$3=M$3,SUMIF('TL05'!$C$10:$C$224,$C149,'TL05'!$J$10:$J$224),0),
IF('TL05'!$B$229=M$3,SUMIF('TL05'!$C$238:$C$451,$C149,'TL05'!$J$238:$J$451),0),
IF('TL06'!$B$3=M$3,SUMIF('TL06'!$C$10:$C$224,$C149,'TL06'!$J$10:$J$224),0),
IF('TL06'!$B$229=M$3,SUMIF('TL06'!$C$238:$C$451,$C149,'TL06'!$J$238:$J$451),0),
IF('TL07'!$B$3=M$3,SUMIF('TL07'!$C$10:$C$224,$C149,'TL07'!$J$10:$J$224),0),
IF('TL07'!$B$229=M$3,SUMIF('TL07'!$C$238:$C$451,$C149,'TL07'!$J$238:$J$451),0),
IF('TL08'!$B$3=M$3,SUMIF('TL08'!$C$10:$C$224,$C149,'TL08'!$J$10:$J$224),0),
IF('TL08'!$B$229=M$3,SUMIF('TL08'!$C$238:$C$451,$C149,'TL08'!$J$238:$J$451),0),
IF('TL09'!$B$3=M$3,SUMIF('TL09'!$C$10:$C$224,$C149,'TL09'!$J$10:$J$224),0),
IF('TL09'!$B$229=M$3,SUMIF('TL09'!$C$238:$C$451,$C149,'TL09'!$J$238:$J$451),0),
IF('TL10'!$B$3=M$3,SUMIF('TL10'!$C$10:$C$224,$C149,'TL10'!$J$10:$J$224),0),
IF('TL10'!$B$229=M$3,SUMIF('TL10'!$C$238:$C$451,$C149,'TL10'!$J$238:$J$451),0),
IF('TL11'!$B$3=M$3,SUMIF('TL11'!$C$10:$C$224,$C149,'TL11'!$J$10:$J$224),0),
IF('TL11'!$B$229=M$3,SUMIF('TL11'!$C$238:$C$451,$C149,'TL11'!$J$238:$J$451),0),
IF('TL12'!$B$3=M$3,SUMIF('TL12'!$C$10:$C$224,$C149,'TL12'!$J$10:$J$224),0),
IF('TL12'!$B$229=M$3,SUMIF('TL12'!$C$238:$C$451,$C149,'TL12'!$J$238:$J$451),0),
IF('TL13'!$B$3=M$3,SUMIF('TL13'!$C$10:$C$224,$C149,'TL13'!$J$10:$J$224),0),
IF('TL13'!$B$229=M$3,SUMIF('TL13'!$C$238:$C$451,$C149,'TL13'!$J$238:$J$451),0),
IF('TL14'!$B$3=M$3,SUMIF('TL14'!$C$10:$C$224,$C149,'TL14'!$J$10:$J$224),0),
IF('TL14'!$B$229=M$3,SUMIF('TL14'!$C$238:$C$451,$C149,'TL14'!$J$238:$J$451),0),
IF('TL15'!$B$3=M$3,SUMIF('TL15'!$C$10:$C$224,$C149,'TL15'!$J$10:$J$224),0),
IF('TL15'!$B$229=M$3,SUMIF('TL15'!$C$238:$C$451,$C149,'TL15'!$J$238:$J$451),0),
IF('TL16'!$B$3=M$3,SUMIF('TL16'!$C$10:$C$224,$C149,'TL16'!$J$10:$J$224),0),
IF('TL16'!$B$229=M$3,SUMIF('TL16'!$C$238:$C$451,$C149,'TL16'!$J$238:$J$451),0),
IF('TL17'!$B$3=M$3,SUMIF('TL17'!$C$10:$C$224,$C149,'TL17'!$J$10:$J$224),0),
IF('TL17'!$B$229=M$3,SUMIF('TL17'!$C$238:$C$451,$C149,'TL17'!$J$238:$J$451),0),
IF('TL18'!$B$3=M$3,SUMIF('TL18'!$C$10:$C$224,$C149,'TL18'!$J$10:$J$224),0),
IF('TL18'!$B$229=M$3,SUMIF('TL18'!$C$238:$C$451,$C149,'TL18'!$J$238:$J$451),0),
IF('TL19'!$B$3=M$3,SUMIF('TL19'!$C$10:$C$224,$C149,'TL19'!$J$10:$J$224),0),
IF('TL19'!$B$229=M$3,SUMIF('TL19'!$C$238:$C$451,$C149,'TL19'!$J$238:$J$451),0)
),0)</f>
        <v/>
      </c>
      <c r="N149" s="9">
        <f>IFERROR(SUM(
IF('TL01'!$B$3=N$3,SUMIF('TL01'!$C$10:$C$224,$C149,'TL01'!$J$10:$J$224),0),
IF('TL01'!$B$229=N$3,SUMIF('TL01'!$C$238:$C$451,$C149,'TL01'!$J$238:$J$451),0),
IF('TL02'!$B$3=N$3,SUMIF('TL02'!$C$10:$C$224,$C149,'TL02'!$J$10:$J$224),0),
IF('TL02'!$B$229=N$3,SUMIF('TL02'!$C$238:$C$451,$C149,'TL02'!$J$238:$J$451),0),
IF('TL03'!$B$3=N$3,SUMIF('TL03'!$C$10:$C$224,$C149,'TL03'!$J$10:$J$224),0),
IF('TL03'!$B$229=N$3,SUMIF('TL03'!$C$238:$C$451,$C149,'TL03'!$J$238:$J$451),0),
IF('TL04'!$B$3=N$3,SUMIF('TL04'!$C$10:$C$224,$C149,'TL04'!$J$10:$J$224),0),
IF('TL04'!$B$229=N$3,SUMIF('TL04'!$C$238:$C$451,$C149,'TL04'!$J$238:$J$451),0),
IF('TL05'!$B$3=N$3,SUMIF('TL05'!$C$10:$C$224,$C149,'TL05'!$J$10:$J$224),0),
IF('TL05'!$B$229=N$3,SUMIF('TL05'!$C$238:$C$451,$C149,'TL05'!$J$238:$J$451),0),
IF('TL06'!$B$3=N$3,SUMIF('TL06'!$C$10:$C$224,$C149,'TL06'!$J$10:$J$224),0),
IF('TL06'!$B$229=N$3,SUMIF('TL06'!$C$238:$C$451,$C149,'TL06'!$J$238:$J$451),0),
IF('TL07'!$B$3=N$3,SUMIF('TL07'!$C$10:$C$224,$C149,'TL07'!$J$10:$J$224),0),
IF('TL07'!$B$229=N$3,SUMIF('TL07'!$C$238:$C$451,$C149,'TL07'!$J$238:$J$451),0),
IF('TL08'!$B$3=N$3,SUMIF('TL08'!$C$10:$C$224,$C149,'TL08'!$J$10:$J$224),0),
IF('TL08'!$B$229=N$3,SUMIF('TL08'!$C$238:$C$451,$C149,'TL08'!$J$238:$J$451),0),
IF('TL09'!$B$3=N$3,SUMIF('TL09'!$C$10:$C$224,$C149,'TL09'!$J$10:$J$224),0),
IF('TL09'!$B$229=N$3,SUMIF('TL09'!$C$238:$C$451,$C149,'TL09'!$J$238:$J$451),0),
IF('TL10'!$B$3=N$3,SUMIF('TL10'!$C$10:$C$224,$C149,'TL10'!$J$10:$J$224),0),
IF('TL10'!$B$229=N$3,SUMIF('TL10'!$C$238:$C$451,$C149,'TL10'!$J$238:$J$451),0),
IF('TL11'!$B$3=N$3,SUMIF('TL11'!$C$10:$C$224,$C149,'TL11'!$J$10:$J$224),0),
IF('TL11'!$B$229=N$3,SUMIF('TL11'!$C$238:$C$451,$C149,'TL11'!$J$238:$J$451),0),
IF('TL12'!$B$3=N$3,SUMIF('TL12'!$C$10:$C$224,$C149,'TL12'!$J$10:$J$224),0),
IF('TL12'!$B$229=N$3,SUMIF('TL12'!$C$238:$C$451,$C149,'TL12'!$J$238:$J$451),0),
IF('TL13'!$B$3=N$3,SUMIF('TL13'!$C$10:$C$224,$C149,'TL13'!$J$10:$J$224),0),
IF('TL13'!$B$229=N$3,SUMIF('TL13'!$C$238:$C$451,$C149,'TL13'!$J$238:$J$451),0),
IF('TL14'!$B$3=N$3,SUMIF('TL14'!$C$10:$C$224,$C149,'TL14'!$J$10:$J$224),0),
IF('TL14'!$B$229=N$3,SUMIF('TL14'!$C$238:$C$451,$C149,'TL14'!$J$238:$J$451),0),
IF('TL15'!$B$3=N$3,SUMIF('TL15'!$C$10:$C$224,$C149,'TL15'!$J$10:$J$224),0),
IF('TL15'!$B$229=N$3,SUMIF('TL15'!$C$238:$C$451,$C149,'TL15'!$J$238:$J$451),0),
IF('TL16'!$B$3=N$3,SUMIF('TL16'!$C$10:$C$224,$C149,'TL16'!$J$10:$J$224),0),
IF('TL16'!$B$229=N$3,SUMIF('TL16'!$C$238:$C$451,$C149,'TL16'!$J$238:$J$451),0),
IF('TL17'!$B$3=N$3,SUMIF('TL17'!$C$10:$C$224,$C149,'TL17'!$J$10:$J$224),0),
IF('TL17'!$B$229=N$3,SUMIF('TL17'!$C$238:$C$451,$C149,'TL17'!$J$238:$J$451),0),
IF('TL18'!$B$3=N$3,SUMIF('TL18'!$C$10:$C$224,$C149,'TL18'!$J$10:$J$224),0),
IF('TL18'!$B$229=N$3,SUMIF('TL18'!$C$238:$C$451,$C149,'TL18'!$J$238:$J$451),0),
IF('TL19'!$B$3=N$3,SUMIF('TL19'!$C$10:$C$224,$C149,'TL19'!$J$10:$J$224),0),
IF('TL19'!$B$229=N$3,SUMIF('TL19'!$C$238:$C$451,$C149,'TL19'!$J$238:$J$451),0)
),0)</f>
        <v/>
      </c>
      <c r="O149" s="9">
        <f>IFERROR(SUM(
IF('TL01'!$B$3=O$3,SUMIF('TL01'!$C$10:$C$224,$C149,'TL01'!$J$10:$J$224),0),
IF('TL01'!$B$229=O$3,SUMIF('TL01'!$C$238:$C$451,$C149,'TL01'!$J$238:$J$451),0),
IF('TL02'!$B$3=O$3,SUMIF('TL02'!$C$10:$C$224,$C149,'TL02'!$J$10:$J$224),0),
IF('TL02'!$B$229=O$3,SUMIF('TL02'!$C$238:$C$451,$C149,'TL02'!$J$238:$J$451),0),
IF('TL03'!$B$3=O$3,SUMIF('TL03'!$C$10:$C$224,$C149,'TL03'!$J$10:$J$224),0),
IF('TL03'!$B$229=O$3,SUMIF('TL03'!$C$238:$C$451,$C149,'TL03'!$J$238:$J$451),0),
IF('TL04'!$B$3=O$3,SUMIF('TL04'!$C$10:$C$224,$C149,'TL04'!$J$10:$J$224),0),
IF('TL04'!$B$229=O$3,SUMIF('TL04'!$C$238:$C$451,$C149,'TL04'!$J$238:$J$451),0),
IF('TL05'!$B$3=O$3,SUMIF('TL05'!$C$10:$C$224,$C149,'TL05'!$J$10:$J$224),0),
IF('TL05'!$B$229=O$3,SUMIF('TL05'!$C$238:$C$451,$C149,'TL05'!$J$238:$J$451),0),
IF('TL06'!$B$3=O$3,SUMIF('TL06'!$C$10:$C$224,$C149,'TL06'!$J$10:$J$224),0),
IF('TL06'!$B$229=O$3,SUMIF('TL06'!$C$238:$C$451,$C149,'TL06'!$J$238:$J$451),0),
IF('TL07'!$B$3=O$3,SUMIF('TL07'!$C$10:$C$224,$C149,'TL07'!$J$10:$J$224),0),
IF('TL07'!$B$229=O$3,SUMIF('TL07'!$C$238:$C$451,$C149,'TL07'!$J$238:$J$451),0),
IF('TL08'!$B$3=O$3,SUMIF('TL08'!$C$10:$C$224,$C149,'TL08'!$J$10:$J$224),0),
IF('TL08'!$B$229=O$3,SUMIF('TL08'!$C$238:$C$451,$C149,'TL08'!$J$238:$J$451),0),
IF('TL09'!$B$3=O$3,SUMIF('TL09'!$C$10:$C$224,$C149,'TL09'!$J$10:$J$224),0),
IF('TL09'!$B$229=O$3,SUMIF('TL09'!$C$238:$C$451,$C149,'TL09'!$J$238:$J$451),0),
IF('TL10'!$B$3=O$3,SUMIF('TL10'!$C$10:$C$224,$C149,'TL10'!$J$10:$J$224),0),
IF('TL10'!$B$229=O$3,SUMIF('TL10'!$C$238:$C$451,$C149,'TL10'!$J$238:$J$451),0),
IF('TL11'!$B$3=O$3,SUMIF('TL11'!$C$10:$C$224,$C149,'TL11'!$J$10:$J$224),0),
IF('TL11'!$B$229=O$3,SUMIF('TL11'!$C$238:$C$451,$C149,'TL11'!$J$238:$J$451),0),
IF('TL12'!$B$3=O$3,SUMIF('TL12'!$C$10:$C$224,$C149,'TL12'!$J$10:$J$224),0),
IF('TL12'!$B$229=O$3,SUMIF('TL12'!$C$238:$C$451,$C149,'TL12'!$J$238:$J$451),0),
IF('TL13'!$B$3=O$3,SUMIF('TL13'!$C$10:$C$224,$C149,'TL13'!$J$10:$J$224),0),
IF('TL13'!$B$229=O$3,SUMIF('TL13'!$C$238:$C$451,$C149,'TL13'!$J$238:$J$451),0),
IF('TL14'!$B$3=O$3,SUMIF('TL14'!$C$10:$C$224,$C149,'TL14'!$J$10:$J$224),0),
IF('TL14'!$B$229=O$3,SUMIF('TL14'!$C$238:$C$451,$C149,'TL14'!$J$238:$J$451),0),
IF('TL15'!$B$3=O$3,SUMIF('TL15'!$C$10:$C$224,$C149,'TL15'!$J$10:$J$224),0),
IF('TL15'!$B$229=O$3,SUMIF('TL15'!$C$238:$C$451,$C149,'TL15'!$J$238:$J$451),0),
IF('TL16'!$B$3=O$3,SUMIF('TL16'!$C$10:$C$224,$C149,'TL16'!$J$10:$J$224),0),
IF('TL16'!$B$229=O$3,SUMIF('TL16'!$C$238:$C$451,$C149,'TL16'!$J$238:$J$451),0),
IF('TL17'!$B$3=O$3,SUMIF('TL17'!$C$10:$C$224,$C149,'TL17'!$J$10:$J$224),0),
IF('TL17'!$B$229=O$3,SUMIF('TL17'!$C$238:$C$451,$C149,'TL17'!$J$238:$J$451),0),
IF('TL18'!$B$3=O$3,SUMIF('TL18'!$C$10:$C$224,$C149,'TL18'!$J$10:$J$224),0),
IF('TL18'!$B$229=O$3,SUMIF('TL18'!$C$238:$C$451,$C149,'TL18'!$J$238:$J$451),0),
IF('TL19'!$B$3=O$3,SUMIF('TL19'!$C$10:$C$224,$C149,'TL19'!$J$10:$J$224),0),
IF('TL19'!$B$229=O$3,SUMIF('TL19'!$C$238:$C$451,$C149,'TL19'!$J$238:$J$451),0)
),0)</f>
        <v/>
      </c>
      <c r="P149" s="9">
        <f>IFERROR(SUM(
IF('TL01'!$B$3=P$3,SUMIF('TL01'!$C$10:$C$224,$C149,'TL01'!$J$10:$J$224),0),
IF('TL01'!$B$229=P$3,SUMIF('TL01'!$C$238:$C$451,$C149,'TL01'!$J$238:$J$451),0),
IF('TL02'!$B$3=P$3,SUMIF('TL02'!$C$10:$C$224,$C149,'TL02'!$J$10:$J$224),0),
IF('TL02'!$B$229=P$3,SUMIF('TL02'!$C$238:$C$451,$C149,'TL02'!$J$238:$J$451),0),
IF('TL03'!$B$3=P$3,SUMIF('TL03'!$C$10:$C$224,$C149,'TL03'!$J$10:$J$224),0),
IF('TL03'!$B$229=P$3,SUMIF('TL03'!$C$238:$C$451,$C149,'TL03'!$J$238:$J$451),0),
IF('TL04'!$B$3=P$3,SUMIF('TL04'!$C$10:$C$224,$C149,'TL04'!$J$10:$J$224),0),
IF('TL04'!$B$229=P$3,SUMIF('TL04'!$C$238:$C$451,$C149,'TL04'!$J$238:$J$451),0),
IF('TL05'!$B$3=P$3,SUMIF('TL05'!$C$10:$C$224,$C149,'TL05'!$J$10:$J$224),0),
IF('TL05'!$B$229=P$3,SUMIF('TL05'!$C$238:$C$451,$C149,'TL05'!$J$238:$J$451),0),
IF('TL06'!$B$3=P$3,SUMIF('TL06'!$C$10:$C$224,$C149,'TL06'!$J$10:$J$224),0),
IF('TL06'!$B$229=P$3,SUMIF('TL06'!$C$238:$C$451,$C149,'TL06'!$J$238:$J$451),0),
IF('TL07'!$B$3=P$3,SUMIF('TL07'!$C$10:$C$224,$C149,'TL07'!$J$10:$J$224),0),
IF('TL07'!$B$229=P$3,SUMIF('TL07'!$C$238:$C$451,$C149,'TL07'!$J$238:$J$451),0),
IF('TL08'!$B$3=P$3,SUMIF('TL08'!$C$10:$C$224,$C149,'TL08'!$J$10:$J$224),0),
IF('TL08'!$B$229=P$3,SUMIF('TL08'!$C$238:$C$451,$C149,'TL08'!$J$238:$J$451),0),
IF('TL09'!$B$3=P$3,SUMIF('TL09'!$C$10:$C$224,$C149,'TL09'!$J$10:$J$224),0),
IF('TL09'!$B$229=P$3,SUMIF('TL09'!$C$238:$C$451,$C149,'TL09'!$J$238:$J$451),0),
IF('TL10'!$B$3=P$3,SUMIF('TL10'!$C$10:$C$224,$C149,'TL10'!$J$10:$J$224),0),
IF('TL10'!$B$229=P$3,SUMIF('TL10'!$C$238:$C$451,$C149,'TL10'!$J$238:$J$451),0),
IF('TL11'!$B$3=P$3,SUMIF('TL11'!$C$10:$C$224,$C149,'TL11'!$J$10:$J$224),0),
IF('TL11'!$B$229=P$3,SUMIF('TL11'!$C$238:$C$451,$C149,'TL11'!$J$238:$J$451),0),
IF('TL12'!$B$3=P$3,SUMIF('TL12'!$C$10:$C$224,$C149,'TL12'!$J$10:$J$224),0),
IF('TL12'!$B$229=P$3,SUMIF('TL12'!$C$238:$C$451,$C149,'TL12'!$J$238:$J$451),0),
IF('TL13'!$B$3=P$3,SUMIF('TL13'!$C$10:$C$224,$C149,'TL13'!$J$10:$J$224),0),
IF('TL13'!$B$229=P$3,SUMIF('TL13'!$C$238:$C$451,$C149,'TL13'!$J$238:$J$451),0),
IF('TL14'!$B$3=P$3,SUMIF('TL14'!$C$10:$C$224,$C149,'TL14'!$J$10:$J$224),0),
IF('TL14'!$B$229=P$3,SUMIF('TL14'!$C$238:$C$451,$C149,'TL14'!$J$238:$J$451),0),
IF('TL15'!$B$3=P$3,SUMIF('TL15'!$C$10:$C$224,$C149,'TL15'!$J$10:$J$224),0),
IF('TL15'!$B$229=P$3,SUMIF('TL15'!$C$238:$C$451,$C149,'TL15'!$J$238:$J$451),0),
IF('TL16'!$B$3=P$3,SUMIF('TL16'!$C$10:$C$224,$C149,'TL16'!$J$10:$J$224),0),
IF('TL16'!$B$229=P$3,SUMIF('TL16'!$C$238:$C$451,$C149,'TL16'!$J$238:$J$451),0),
IF('TL17'!$B$3=P$3,SUMIF('TL17'!$C$10:$C$224,$C149,'TL17'!$J$10:$J$224),0),
IF('TL17'!$B$229=P$3,SUMIF('TL17'!$C$238:$C$451,$C149,'TL17'!$J$238:$J$451),0),
IF('TL18'!$B$3=P$3,SUMIF('TL18'!$C$10:$C$224,$C149,'TL18'!$J$10:$J$224),0),
IF('TL18'!$B$229=P$3,SUMIF('TL18'!$C$238:$C$451,$C149,'TL18'!$J$238:$J$451),0),
IF('TL19'!$B$3=P$3,SUMIF('TL19'!$C$10:$C$224,$C149,'TL19'!$J$10:$J$224),0),
IF('TL19'!$B$229=P$3,SUMIF('TL19'!$C$238:$C$451,$C149,'TL19'!$J$238:$J$451),0)
),0)</f>
        <v/>
      </c>
      <c r="Q149" s="9">
        <f>IFERROR(SUM(
IF('TL01'!$B$3=Q$3,SUMIF('TL01'!$C$10:$C$224,$C149,'TL01'!$J$10:$J$224),0),
IF('TL01'!$B$229=Q$3,SUMIF('TL01'!$C$238:$C$451,$C149,'TL01'!$J$238:$J$451),0),
IF('TL02'!$B$3=Q$3,SUMIF('TL02'!$C$10:$C$224,$C149,'TL02'!$J$10:$J$224),0),
IF('TL02'!$B$229=Q$3,SUMIF('TL02'!$C$238:$C$451,$C149,'TL02'!$J$238:$J$451),0),
IF('TL03'!$B$3=Q$3,SUMIF('TL03'!$C$10:$C$224,$C149,'TL03'!$J$10:$J$224),0),
IF('TL03'!$B$229=Q$3,SUMIF('TL03'!$C$238:$C$451,$C149,'TL03'!$J$238:$J$451),0),
IF('TL04'!$B$3=Q$3,SUMIF('TL04'!$C$10:$C$224,$C149,'TL04'!$J$10:$J$224),0),
IF('TL04'!$B$229=Q$3,SUMIF('TL04'!$C$238:$C$451,$C149,'TL04'!$J$238:$J$451),0),
IF('TL05'!$B$3=Q$3,SUMIF('TL05'!$C$10:$C$224,$C149,'TL05'!$J$10:$J$224),0),
IF('TL05'!$B$229=Q$3,SUMIF('TL05'!$C$238:$C$451,$C149,'TL05'!$J$238:$J$451),0),
IF('TL06'!$B$3=Q$3,SUMIF('TL06'!$C$10:$C$224,$C149,'TL06'!$J$10:$J$224),0),
IF('TL06'!$B$229=Q$3,SUMIF('TL06'!$C$238:$C$451,$C149,'TL06'!$J$238:$J$451),0),
IF('TL07'!$B$3=Q$3,SUMIF('TL07'!$C$10:$C$224,$C149,'TL07'!$J$10:$J$224),0),
IF('TL07'!$B$229=Q$3,SUMIF('TL07'!$C$238:$C$451,$C149,'TL07'!$J$238:$J$451),0),
IF('TL08'!$B$3=Q$3,SUMIF('TL08'!$C$10:$C$224,$C149,'TL08'!$J$10:$J$224),0),
IF('TL08'!$B$229=Q$3,SUMIF('TL08'!$C$238:$C$451,$C149,'TL08'!$J$238:$J$451),0),
IF('TL09'!$B$3=Q$3,SUMIF('TL09'!$C$10:$C$224,$C149,'TL09'!$J$10:$J$224),0),
IF('TL09'!$B$229=Q$3,SUMIF('TL09'!$C$238:$C$451,$C149,'TL09'!$J$238:$J$451),0),
IF('TL10'!$B$3=Q$3,SUMIF('TL10'!$C$10:$C$224,$C149,'TL10'!$J$10:$J$224),0),
IF('TL10'!$B$229=Q$3,SUMIF('TL10'!$C$238:$C$451,$C149,'TL10'!$J$238:$J$451),0),
IF('TL11'!$B$3=Q$3,SUMIF('TL11'!$C$10:$C$224,$C149,'TL11'!$J$10:$J$224),0),
IF('TL11'!$B$229=Q$3,SUMIF('TL11'!$C$238:$C$451,$C149,'TL11'!$J$238:$J$451),0),
IF('TL12'!$B$3=Q$3,SUMIF('TL12'!$C$10:$C$224,$C149,'TL12'!$J$10:$J$224),0),
IF('TL12'!$B$229=Q$3,SUMIF('TL12'!$C$238:$C$451,$C149,'TL12'!$J$238:$J$451),0),
IF('TL13'!$B$3=Q$3,SUMIF('TL13'!$C$10:$C$224,$C149,'TL13'!$J$10:$J$224),0),
IF('TL13'!$B$229=Q$3,SUMIF('TL13'!$C$238:$C$451,$C149,'TL13'!$J$238:$J$451),0),
IF('TL14'!$B$3=Q$3,SUMIF('TL14'!$C$10:$C$224,$C149,'TL14'!$J$10:$J$224),0),
IF('TL14'!$B$229=Q$3,SUMIF('TL14'!$C$238:$C$451,$C149,'TL14'!$J$238:$J$451),0),
IF('TL15'!$B$3=Q$3,SUMIF('TL15'!$C$10:$C$224,$C149,'TL15'!$J$10:$J$224),0),
IF('TL15'!$B$229=Q$3,SUMIF('TL15'!$C$238:$C$451,$C149,'TL15'!$J$238:$J$451),0),
IF('TL16'!$B$3=Q$3,SUMIF('TL16'!$C$10:$C$224,$C149,'TL16'!$J$10:$J$224),0),
IF('TL16'!$B$229=Q$3,SUMIF('TL16'!$C$238:$C$451,$C149,'TL16'!$J$238:$J$451),0),
IF('TL17'!$B$3=Q$3,SUMIF('TL17'!$C$10:$C$224,$C149,'TL17'!$J$10:$J$224),0),
IF('TL17'!$B$229=Q$3,SUMIF('TL17'!$C$238:$C$451,$C149,'TL17'!$J$238:$J$451),0),
IF('TL18'!$B$3=Q$3,SUMIF('TL18'!$C$10:$C$224,$C149,'TL18'!$J$10:$J$224),0),
IF('TL18'!$B$229=Q$3,SUMIF('TL18'!$C$238:$C$451,$C149,'TL18'!$J$238:$J$451),0),
IF('TL19'!$B$3=Q$3,SUMIF('TL19'!$C$10:$C$224,$C149,'TL19'!$J$10:$J$224),0),
IF('TL19'!$B$229=Q$3,SUMIF('TL19'!$C$238:$C$451,$C149,'TL19'!$J$238:$J$451),0)
),0)</f>
        <v/>
      </c>
      <c r="R149" s="9">
        <f>IFERROR(
SUM(
SUMIF('TL01'!C:C,C149,'TL01'!J:J),
SUMIF('TL02'!C:C,C149,'TL02'!J:J),
SUMIF('TL03'!C:C,C149,'TL03'!J:J),
SUMIF('TL04'!C:C,C149,'TL04'!J:J),
SUMIF('TL05'!C:C,C149,'TL05'!J:J),
SUMIF('TL06'!C:C,C149,'TL06'!J:J),
SUMIF('TL07'!C:C,C149,'TL07'!J:J),
SUMIF('TL08'!C:C,C149,'TL08'!J:J),
SUMIF('TL09'!C:C,C149,'TL09'!J:J),
SUMIF('TL10'!C:C,C149,'TL10'!J:J),
SUMIF('TL11'!C:C,C149,'TL11'!J:J),
SUMIF('TL12'!C:C,C149,'TL12'!J:J),
SUMIF('TL13'!C:C,C149,'TL13'!J:J),
SUMIF('TL14'!C:C,C149,'TL14'!J:J),
SUMIF('TL15'!C:C,C149,'TL15'!J:J),
SUMIF('TL16'!C:C,C149,'TL16'!J:J),
SUMIF('TL17'!C:C,C149,'TL17'!J:J),
SUMIF('TL18'!C:C,C149,'TL18'!J:J),SUMIF('TL19'!C:C,C149,'TL19'!J:J))
,0)</f>
        <v/>
      </c>
      <c r="S149" s="17">
        <f>IFERROR(__xludf.DUMMYFUNCTION("IFERROR(VLOOKUP(C149,
IMPORTRANGE(""1wULbzX32WdYsx-lj2U3uUNBBe2INVIRDtcK0d-Dvl90"",
""26-27!C:G""),
5,
FALSE),
"""")"),46.996959999999994)</f>
        <v/>
      </c>
      <c r="T149" s="9" t="n"/>
      <c r="U149" s="92">
        <f>MAX(0,R149-T149)</f>
        <v/>
      </c>
      <c r="V149" s="93">
        <f>U149*S149</f>
        <v/>
      </c>
    </row>
    <row r="150" hidden="1" ht="15.75" customHeight="1" s="297">
      <c r="A150" s="115" t="inlineStr">
        <is>
          <t>NORTOX</t>
        </is>
      </c>
      <c r="B150" s="100" t="inlineStr">
        <is>
          <t>HERBICIDA</t>
        </is>
      </c>
      <c r="C150" s="116" t="inlineStr">
        <is>
          <t>IMAZETAPIR NORTOX</t>
        </is>
      </c>
      <c r="D150" s="116" t="inlineStr">
        <is>
          <t>IMAZETAPIR</t>
        </is>
      </c>
      <c r="E150" s="116" t="n">
        <v>212</v>
      </c>
      <c r="F150" s="4" t="inlineStr">
        <is>
          <t>L</t>
        </is>
      </c>
      <c r="G150" s="90">
        <f>HYPERLINK("https://www.google.com/search?q=" &amp; C150 &amp; "+bula+agrofit+pdf", "📄 Ver bula")</f>
        <v/>
      </c>
      <c r="H150" s="9">
        <f>IFERROR(__xludf.DUMMYFUNCTION("IFERROR(VLOOKUP(C150,
IMPORTRANGE(""1wULbzX32WdYsx-lj2U3uUNBBe2INVIRDtcK0d-Dvl90"",
""26-27!C:K""),
8,
FALSE),
"""")"),1.0)</f>
        <v/>
      </c>
      <c r="I150" s="117" t="inlineStr">
        <is>
          <t>1x20</t>
        </is>
      </c>
      <c r="J150" s="9">
        <f>IFERROR(SUM(
IF('TL01'!$B$3=J$3,SUMIF('TL01'!$C$10:$C$224,$C150,'TL01'!$J$10:$J$224),0),
IF('TL01'!$B$229=J$3,SUMIF('TL01'!$C$238:$C$451,$C150,'TL01'!$J$238:$J$451),0),
IF('TL02'!$B$3=J$3,SUMIF('TL02'!$C$10:$C$224,$C150,'TL02'!$J$10:$J$224),0),
IF('TL02'!$B$229=J$3,SUMIF('TL02'!$C$238:$C$451,$C150,'TL02'!$J$238:$J$451),0),
IF('TL03'!$B$3=J$3,SUMIF('TL03'!$C$10:$C$224,$C150,'TL03'!$J$10:$J$224),0),
IF('TL03'!$B$229=J$3,SUMIF('TL03'!$C$238:$C$451,$C150,'TL03'!$J$238:$J$451),0),
IF('TL04'!$B$3=J$3,SUMIF('TL04'!$C$10:$C$224,$C150,'TL04'!$J$10:$J$224),0),
IF('TL04'!$B$229=J$3,SUMIF('TL04'!$C$238:$C$451,$C150,'TL04'!$J$238:$J$451),0),
IF('TL05'!$B$3=J$3,SUMIF('TL05'!$C$10:$C$224,$C150,'TL05'!$J$10:$J$224),0),
IF('TL05'!$B$229=J$3,SUMIF('TL05'!$C$238:$C$451,$C150,'TL05'!$J$238:$J$451),0),
IF('TL06'!$B$3=J$3,SUMIF('TL06'!$C$10:$C$224,$C150,'TL06'!$J$10:$J$224),0),
IF('TL06'!$B$229=J$3,SUMIF('TL06'!$C$238:$C$451,$C150,'TL06'!$J$238:$J$451),0),
IF('TL07'!$B$3=J$3,SUMIF('TL07'!$C$10:$C$224,$C150,'TL07'!$J$10:$J$224),0),
IF('TL07'!$B$229=J$3,SUMIF('TL07'!$C$238:$C$451,$C150,'TL07'!$J$238:$J$451),0),
IF('TL08'!$B$3=J$3,SUMIF('TL08'!$C$10:$C$224,$C150,'TL08'!$J$10:$J$224),0),
IF('TL08'!$B$229=J$3,SUMIF('TL08'!$C$238:$C$451,$C150,'TL08'!$J$238:$J$451),0),
IF('TL09'!$B$3=J$3,SUMIF('TL09'!$C$10:$C$224,$C150,'TL09'!$J$10:$J$224),0),
IF('TL09'!$B$229=J$3,SUMIF('TL09'!$C$238:$C$451,$C150,'TL09'!$J$238:$J$451),0),
IF('TL10'!$B$3=J$3,SUMIF('TL10'!$C$10:$C$224,$C150,'TL10'!$J$10:$J$224),0),
IF('TL10'!$B$229=J$3,SUMIF('TL10'!$C$238:$C$451,$C150,'TL10'!$J$238:$J$451),0),
IF('TL11'!$B$3=J$3,SUMIF('TL11'!$C$10:$C$224,$C150,'TL11'!$J$10:$J$224),0),
IF('TL11'!$B$229=J$3,SUMIF('TL11'!$C$238:$C$451,$C150,'TL11'!$J$238:$J$451),0),
IF('TL12'!$B$3=J$3,SUMIF('TL12'!$C$10:$C$224,$C150,'TL12'!$J$10:$J$224),0),
IF('TL12'!$B$229=J$3,SUMIF('TL12'!$C$238:$C$451,$C150,'TL12'!$J$238:$J$451),0),
IF('TL13'!$B$3=J$3,SUMIF('TL13'!$C$10:$C$224,$C150,'TL13'!$J$10:$J$224),0),
IF('TL13'!$B$229=J$3,SUMIF('TL13'!$C$238:$C$451,$C150,'TL13'!$J$238:$J$451),0),
IF('TL14'!$B$3=J$3,SUMIF('TL14'!$C$10:$C$224,$C150,'TL14'!$J$10:$J$224),0),
IF('TL14'!$B$229=J$3,SUMIF('TL14'!$C$238:$C$451,$C150,'TL14'!$J$238:$J$451),0),
IF('TL15'!$B$3=J$3,SUMIF('TL15'!$C$10:$C$224,$C150,'TL15'!$J$10:$J$224),0),
IF('TL15'!$B$229=J$3,SUMIF('TL15'!$C$238:$C$451,$C150,'TL15'!$J$238:$J$451),0),
IF('TL16'!$B$3=J$3,SUMIF('TL16'!$C$10:$C$224,$C150,'TL16'!$J$10:$J$224),0),
IF('TL16'!$B$229=J$3,SUMIF('TL16'!$C$238:$C$451,$C150,'TL16'!$J$238:$J$451),0),
IF('TL17'!$B$3=J$3,SUMIF('TL17'!$C$10:$C$224,$C150,'TL17'!$J$10:$J$224),0),
IF('TL17'!$B$229=J$3,SUMIF('TL17'!$C$238:$C$451,$C150,'TL17'!$J$238:$J$451),0),
IF('TL18'!$B$3=J$3,SUMIF('TL18'!$C$10:$C$224,$C150,'TL18'!$J$10:$J$224),0),
IF('TL18'!$B$229=J$3,SUMIF('TL18'!$C$238:$C$451,$C150,'TL18'!$J$238:$J$451),0),
IF('TL19'!$B$3=J$3,SUMIF('TL19'!$C$10:$C$224,$C150,'TL19'!$J$10:$J$224),0),
IF('TL19'!$B$229=J$3,SUMIF('TL19'!$C$238:$C$451,$C150,'TL19'!$J$238:$J$451),0)
),0)</f>
        <v/>
      </c>
      <c r="K150" s="9">
        <f>IFERROR(SUM(
IF('TL01'!$B$3=K$3,SUMIF('TL01'!$C$10:$C$224,$C150,'TL01'!$J$10:$J$224),0),
IF('TL01'!$B$229=K$3,SUMIF('TL01'!$C$238:$C$451,$C150,'TL01'!$J$238:$J$451),0),
IF('TL02'!$B$3=K$3,SUMIF('TL02'!$C$10:$C$224,$C150,'TL02'!$J$10:$J$224),0),
IF('TL02'!$B$229=K$3,SUMIF('TL02'!$C$238:$C$451,$C150,'TL02'!$J$238:$J$451),0),
IF('TL03'!$B$3=K$3,SUMIF('TL03'!$C$10:$C$224,$C150,'TL03'!$J$10:$J$224),0),
IF('TL03'!$B$229=K$3,SUMIF('TL03'!$C$238:$C$451,$C150,'TL03'!$J$238:$J$451),0),
IF('TL04'!$B$3=K$3,SUMIF('TL04'!$C$10:$C$224,$C150,'TL04'!$J$10:$J$224),0),
IF('TL04'!$B$229=K$3,SUMIF('TL04'!$C$238:$C$451,$C150,'TL04'!$J$238:$J$451),0),
IF('TL05'!$B$3=K$3,SUMIF('TL05'!$C$10:$C$224,$C150,'TL05'!$J$10:$J$224),0),
IF('TL05'!$B$229=K$3,SUMIF('TL05'!$C$238:$C$451,$C150,'TL05'!$J$238:$J$451),0),
IF('TL06'!$B$3=K$3,SUMIF('TL06'!$C$10:$C$224,$C150,'TL06'!$J$10:$J$224),0),
IF('TL06'!$B$229=K$3,SUMIF('TL06'!$C$238:$C$451,$C150,'TL06'!$J$238:$J$451),0),
IF('TL07'!$B$3=K$3,SUMIF('TL07'!$C$10:$C$224,$C150,'TL07'!$J$10:$J$224),0),
IF('TL07'!$B$229=K$3,SUMIF('TL07'!$C$238:$C$451,$C150,'TL07'!$J$238:$J$451),0),
IF('TL08'!$B$3=K$3,SUMIF('TL08'!$C$10:$C$224,$C150,'TL08'!$J$10:$J$224),0),
IF('TL08'!$B$229=K$3,SUMIF('TL08'!$C$238:$C$451,$C150,'TL08'!$J$238:$J$451),0),
IF('TL09'!$B$3=K$3,SUMIF('TL09'!$C$10:$C$224,$C150,'TL09'!$J$10:$J$224),0),
IF('TL09'!$B$229=K$3,SUMIF('TL09'!$C$238:$C$451,$C150,'TL09'!$J$238:$J$451),0),
IF('TL10'!$B$3=K$3,SUMIF('TL10'!$C$10:$C$224,$C150,'TL10'!$J$10:$J$224),0),
IF('TL10'!$B$229=K$3,SUMIF('TL10'!$C$238:$C$451,$C150,'TL10'!$J$238:$J$451),0),
IF('TL11'!$B$3=K$3,SUMIF('TL11'!$C$10:$C$224,$C150,'TL11'!$J$10:$J$224),0),
IF('TL11'!$B$229=K$3,SUMIF('TL11'!$C$238:$C$451,$C150,'TL11'!$J$238:$J$451),0),
IF('TL12'!$B$3=K$3,SUMIF('TL12'!$C$10:$C$224,$C150,'TL12'!$J$10:$J$224),0),
IF('TL12'!$B$229=K$3,SUMIF('TL12'!$C$238:$C$451,$C150,'TL12'!$J$238:$J$451),0),
IF('TL13'!$B$3=K$3,SUMIF('TL13'!$C$10:$C$224,$C150,'TL13'!$J$10:$J$224),0),
IF('TL13'!$B$229=K$3,SUMIF('TL13'!$C$238:$C$451,$C150,'TL13'!$J$238:$J$451),0),
IF('TL14'!$B$3=K$3,SUMIF('TL14'!$C$10:$C$224,$C150,'TL14'!$J$10:$J$224),0),
IF('TL14'!$B$229=K$3,SUMIF('TL14'!$C$238:$C$451,$C150,'TL14'!$J$238:$J$451),0),
IF('TL15'!$B$3=K$3,SUMIF('TL15'!$C$10:$C$224,$C150,'TL15'!$J$10:$J$224),0),
IF('TL15'!$B$229=K$3,SUMIF('TL15'!$C$238:$C$451,$C150,'TL15'!$J$238:$J$451),0),
IF('TL16'!$B$3=K$3,SUMIF('TL16'!$C$10:$C$224,$C150,'TL16'!$J$10:$J$224),0),
IF('TL16'!$B$229=K$3,SUMIF('TL16'!$C$238:$C$451,$C150,'TL16'!$J$238:$J$451),0),
IF('TL17'!$B$3=K$3,SUMIF('TL17'!$C$10:$C$224,$C150,'TL17'!$J$10:$J$224),0),
IF('TL17'!$B$229=K$3,SUMIF('TL17'!$C$238:$C$451,$C150,'TL17'!$J$238:$J$451),0),
IF('TL18'!$B$3=K$3,SUMIF('TL18'!$C$10:$C$224,$C150,'TL18'!$J$10:$J$224),0),
IF('TL18'!$B$229=K$3,SUMIF('TL18'!$C$238:$C$451,$C150,'TL18'!$J$238:$J$451),0),
IF('TL19'!$B$3=K$3,SUMIF('TL19'!$C$10:$C$224,$C150,'TL19'!$J$10:$J$224),0),
IF('TL19'!$B$229=K$3,SUMIF('TL19'!$C$238:$C$451,$C150,'TL19'!$J$238:$J$451),0)
),0)</f>
        <v/>
      </c>
      <c r="L150" s="9">
        <f>IFERROR(SUM(
IF('TL01'!$B$3=L$3,SUMIF('TL01'!$C$10:$C$224,$C150,'TL01'!$J$10:$J$224),0),
IF('TL01'!$B$229=L$3,SUMIF('TL01'!$C$238:$C$451,$C150,'TL01'!$J$238:$J$451),0),
IF('TL02'!$B$3=L$3,SUMIF('TL02'!$C$10:$C$224,$C150,'TL02'!$J$10:$J$224),0),
IF('TL02'!$B$229=L$3,SUMIF('TL02'!$C$238:$C$451,$C150,'TL02'!$J$238:$J$451),0),
IF('TL03'!$B$3=L$3,SUMIF('TL03'!$C$10:$C$224,$C150,'TL03'!$J$10:$J$224),0),
IF('TL03'!$B$229=L$3,SUMIF('TL03'!$C$238:$C$451,$C150,'TL03'!$J$238:$J$451),0),
IF('TL04'!$B$3=L$3,SUMIF('TL04'!$C$10:$C$224,$C150,'TL04'!$J$10:$J$224),0),
IF('TL04'!$B$229=L$3,SUMIF('TL04'!$C$238:$C$451,$C150,'TL04'!$J$238:$J$451),0),
IF('TL05'!$B$3=L$3,SUMIF('TL05'!$C$10:$C$224,$C150,'TL05'!$J$10:$J$224),0),
IF('TL05'!$B$229=L$3,SUMIF('TL05'!$C$238:$C$451,$C150,'TL05'!$J$238:$J$451),0),
IF('TL06'!$B$3=L$3,SUMIF('TL06'!$C$10:$C$224,$C150,'TL06'!$J$10:$J$224),0),
IF('TL06'!$B$229=L$3,SUMIF('TL06'!$C$238:$C$451,$C150,'TL06'!$J$238:$J$451),0),
IF('TL07'!$B$3=L$3,SUMIF('TL07'!$C$10:$C$224,$C150,'TL07'!$J$10:$J$224),0),
IF('TL07'!$B$229=L$3,SUMIF('TL07'!$C$238:$C$451,$C150,'TL07'!$J$238:$J$451),0),
IF('TL08'!$B$3=L$3,SUMIF('TL08'!$C$10:$C$224,$C150,'TL08'!$J$10:$J$224),0),
IF('TL08'!$B$229=L$3,SUMIF('TL08'!$C$238:$C$451,$C150,'TL08'!$J$238:$J$451),0),
IF('TL09'!$B$3=L$3,SUMIF('TL09'!$C$10:$C$224,$C150,'TL09'!$J$10:$J$224),0),
IF('TL09'!$B$229=L$3,SUMIF('TL09'!$C$238:$C$451,$C150,'TL09'!$J$238:$J$451),0),
IF('TL10'!$B$3=L$3,SUMIF('TL10'!$C$10:$C$224,$C150,'TL10'!$J$10:$J$224),0),
IF('TL10'!$B$229=L$3,SUMIF('TL10'!$C$238:$C$451,$C150,'TL10'!$J$238:$J$451),0),
IF('TL11'!$B$3=L$3,SUMIF('TL11'!$C$10:$C$224,$C150,'TL11'!$J$10:$J$224),0),
IF('TL11'!$B$229=L$3,SUMIF('TL11'!$C$238:$C$451,$C150,'TL11'!$J$238:$J$451),0),
IF('TL12'!$B$3=L$3,SUMIF('TL12'!$C$10:$C$224,$C150,'TL12'!$J$10:$J$224),0),
IF('TL12'!$B$229=L$3,SUMIF('TL12'!$C$238:$C$451,$C150,'TL12'!$J$238:$J$451),0),
IF('TL13'!$B$3=L$3,SUMIF('TL13'!$C$10:$C$224,$C150,'TL13'!$J$10:$J$224),0),
IF('TL13'!$B$229=L$3,SUMIF('TL13'!$C$238:$C$451,$C150,'TL13'!$J$238:$J$451),0),
IF('TL14'!$B$3=L$3,SUMIF('TL14'!$C$10:$C$224,$C150,'TL14'!$J$10:$J$224),0),
IF('TL14'!$B$229=L$3,SUMIF('TL14'!$C$238:$C$451,$C150,'TL14'!$J$238:$J$451),0),
IF('TL15'!$B$3=L$3,SUMIF('TL15'!$C$10:$C$224,$C150,'TL15'!$J$10:$J$224),0),
IF('TL15'!$B$229=L$3,SUMIF('TL15'!$C$238:$C$451,$C150,'TL15'!$J$238:$J$451),0),
IF('TL16'!$B$3=L$3,SUMIF('TL16'!$C$10:$C$224,$C150,'TL16'!$J$10:$J$224),0),
IF('TL16'!$B$229=L$3,SUMIF('TL16'!$C$238:$C$451,$C150,'TL16'!$J$238:$J$451),0),
IF('TL17'!$B$3=L$3,SUMIF('TL17'!$C$10:$C$224,$C150,'TL17'!$J$10:$J$224),0),
IF('TL17'!$B$229=L$3,SUMIF('TL17'!$C$238:$C$451,$C150,'TL17'!$J$238:$J$451),0),
IF('TL18'!$B$3=L$3,SUMIF('TL18'!$C$10:$C$224,$C150,'TL18'!$J$10:$J$224),0),
IF('TL18'!$B$229=L$3,SUMIF('TL18'!$C$238:$C$451,$C150,'TL18'!$J$238:$J$451),0),
IF('TL19'!$B$3=L$3,SUMIF('TL19'!$C$10:$C$224,$C150,'TL19'!$J$10:$J$224),0),
IF('TL19'!$B$229=L$3,SUMIF('TL19'!$C$238:$C$451,$C150,'TL19'!$J$238:$J$451),0)
),0)</f>
        <v/>
      </c>
      <c r="M150" s="9">
        <f>IFERROR(SUM(
IF('TL01'!$B$3=M$3,SUMIF('TL01'!$C$10:$C$224,$C150,'TL01'!$J$10:$J$224),0),
IF('TL01'!$B$229=M$3,SUMIF('TL01'!$C$238:$C$451,$C150,'TL01'!$J$238:$J$451),0),
IF('TL02'!$B$3=M$3,SUMIF('TL02'!$C$10:$C$224,$C150,'TL02'!$J$10:$J$224),0),
IF('TL02'!$B$229=M$3,SUMIF('TL02'!$C$238:$C$451,$C150,'TL02'!$J$238:$J$451),0),
IF('TL03'!$B$3=M$3,SUMIF('TL03'!$C$10:$C$224,$C150,'TL03'!$J$10:$J$224),0),
IF('TL03'!$B$229=M$3,SUMIF('TL03'!$C$238:$C$451,$C150,'TL03'!$J$238:$J$451),0),
IF('TL04'!$B$3=M$3,SUMIF('TL04'!$C$10:$C$224,$C150,'TL04'!$J$10:$J$224),0),
IF('TL04'!$B$229=M$3,SUMIF('TL04'!$C$238:$C$451,$C150,'TL04'!$J$238:$J$451),0),
IF('TL05'!$B$3=M$3,SUMIF('TL05'!$C$10:$C$224,$C150,'TL05'!$J$10:$J$224),0),
IF('TL05'!$B$229=M$3,SUMIF('TL05'!$C$238:$C$451,$C150,'TL05'!$J$238:$J$451),0),
IF('TL06'!$B$3=M$3,SUMIF('TL06'!$C$10:$C$224,$C150,'TL06'!$J$10:$J$224),0),
IF('TL06'!$B$229=M$3,SUMIF('TL06'!$C$238:$C$451,$C150,'TL06'!$J$238:$J$451),0),
IF('TL07'!$B$3=M$3,SUMIF('TL07'!$C$10:$C$224,$C150,'TL07'!$J$10:$J$224),0),
IF('TL07'!$B$229=M$3,SUMIF('TL07'!$C$238:$C$451,$C150,'TL07'!$J$238:$J$451),0),
IF('TL08'!$B$3=M$3,SUMIF('TL08'!$C$10:$C$224,$C150,'TL08'!$J$10:$J$224),0),
IF('TL08'!$B$229=M$3,SUMIF('TL08'!$C$238:$C$451,$C150,'TL08'!$J$238:$J$451),0),
IF('TL09'!$B$3=M$3,SUMIF('TL09'!$C$10:$C$224,$C150,'TL09'!$J$10:$J$224),0),
IF('TL09'!$B$229=M$3,SUMIF('TL09'!$C$238:$C$451,$C150,'TL09'!$J$238:$J$451),0),
IF('TL10'!$B$3=M$3,SUMIF('TL10'!$C$10:$C$224,$C150,'TL10'!$J$10:$J$224),0),
IF('TL10'!$B$229=M$3,SUMIF('TL10'!$C$238:$C$451,$C150,'TL10'!$J$238:$J$451),0),
IF('TL11'!$B$3=M$3,SUMIF('TL11'!$C$10:$C$224,$C150,'TL11'!$J$10:$J$224),0),
IF('TL11'!$B$229=M$3,SUMIF('TL11'!$C$238:$C$451,$C150,'TL11'!$J$238:$J$451),0),
IF('TL12'!$B$3=M$3,SUMIF('TL12'!$C$10:$C$224,$C150,'TL12'!$J$10:$J$224),0),
IF('TL12'!$B$229=M$3,SUMIF('TL12'!$C$238:$C$451,$C150,'TL12'!$J$238:$J$451),0),
IF('TL13'!$B$3=M$3,SUMIF('TL13'!$C$10:$C$224,$C150,'TL13'!$J$10:$J$224),0),
IF('TL13'!$B$229=M$3,SUMIF('TL13'!$C$238:$C$451,$C150,'TL13'!$J$238:$J$451),0),
IF('TL14'!$B$3=M$3,SUMIF('TL14'!$C$10:$C$224,$C150,'TL14'!$J$10:$J$224),0),
IF('TL14'!$B$229=M$3,SUMIF('TL14'!$C$238:$C$451,$C150,'TL14'!$J$238:$J$451),0),
IF('TL15'!$B$3=M$3,SUMIF('TL15'!$C$10:$C$224,$C150,'TL15'!$J$10:$J$224),0),
IF('TL15'!$B$229=M$3,SUMIF('TL15'!$C$238:$C$451,$C150,'TL15'!$J$238:$J$451),0),
IF('TL16'!$B$3=M$3,SUMIF('TL16'!$C$10:$C$224,$C150,'TL16'!$J$10:$J$224),0),
IF('TL16'!$B$229=M$3,SUMIF('TL16'!$C$238:$C$451,$C150,'TL16'!$J$238:$J$451),0),
IF('TL17'!$B$3=M$3,SUMIF('TL17'!$C$10:$C$224,$C150,'TL17'!$J$10:$J$224),0),
IF('TL17'!$B$229=M$3,SUMIF('TL17'!$C$238:$C$451,$C150,'TL17'!$J$238:$J$451),0),
IF('TL18'!$B$3=M$3,SUMIF('TL18'!$C$10:$C$224,$C150,'TL18'!$J$10:$J$224),0),
IF('TL18'!$B$229=M$3,SUMIF('TL18'!$C$238:$C$451,$C150,'TL18'!$J$238:$J$451),0),
IF('TL19'!$B$3=M$3,SUMIF('TL19'!$C$10:$C$224,$C150,'TL19'!$J$10:$J$224),0),
IF('TL19'!$B$229=M$3,SUMIF('TL19'!$C$238:$C$451,$C150,'TL19'!$J$238:$J$451),0)
),0)</f>
        <v/>
      </c>
      <c r="N150" s="9">
        <f>IFERROR(SUM(
IF('TL01'!$B$3=N$3,SUMIF('TL01'!$C$10:$C$224,$C150,'TL01'!$J$10:$J$224),0),
IF('TL01'!$B$229=N$3,SUMIF('TL01'!$C$238:$C$451,$C150,'TL01'!$J$238:$J$451),0),
IF('TL02'!$B$3=N$3,SUMIF('TL02'!$C$10:$C$224,$C150,'TL02'!$J$10:$J$224),0),
IF('TL02'!$B$229=N$3,SUMIF('TL02'!$C$238:$C$451,$C150,'TL02'!$J$238:$J$451),0),
IF('TL03'!$B$3=N$3,SUMIF('TL03'!$C$10:$C$224,$C150,'TL03'!$J$10:$J$224),0),
IF('TL03'!$B$229=N$3,SUMIF('TL03'!$C$238:$C$451,$C150,'TL03'!$J$238:$J$451),0),
IF('TL04'!$B$3=N$3,SUMIF('TL04'!$C$10:$C$224,$C150,'TL04'!$J$10:$J$224),0),
IF('TL04'!$B$229=N$3,SUMIF('TL04'!$C$238:$C$451,$C150,'TL04'!$J$238:$J$451),0),
IF('TL05'!$B$3=N$3,SUMIF('TL05'!$C$10:$C$224,$C150,'TL05'!$J$10:$J$224),0),
IF('TL05'!$B$229=N$3,SUMIF('TL05'!$C$238:$C$451,$C150,'TL05'!$J$238:$J$451),0),
IF('TL06'!$B$3=N$3,SUMIF('TL06'!$C$10:$C$224,$C150,'TL06'!$J$10:$J$224),0),
IF('TL06'!$B$229=N$3,SUMIF('TL06'!$C$238:$C$451,$C150,'TL06'!$J$238:$J$451),0),
IF('TL07'!$B$3=N$3,SUMIF('TL07'!$C$10:$C$224,$C150,'TL07'!$J$10:$J$224),0),
IF('TL07'!$B$229=N$3,SUMIF('TL07'!$C$238:$C$451,$C150,'TL07'!$J$238:$J$451),0),
IF('TL08'!$B$3=N$3,SUMIF('TL08'!$C$10:$C$224,$C150,'TL08'!$J$10:$J$224),0),
IF('TL08'!$B$229=N$3,SUMIF('TL08'!$C$238:$C$451,$C150,'TL08'!$J$238:$J$451),0),
IF('TL09'!$B$3=N$3,SUMIF('TL09'!$C$10:$C$224,$C150,'TL09'!$J$10:$J$224),0),
IF('TL09'!$B$229=N$3,SUMIF('TL09'!$C$238:$C$451,$C150,'TL09'!$J$238:$J$451),0),
IF('TL10'!$B$3=N$3,SUMIF('TL10'!$C$10:$C$224,$C150,'TL10'!$J$10:$J$224),0),
IF('TL10'!$B$229=N$3,SUMIF('TL10'!$C$238:$C$451,$C150,'TL10'!$J$238:$J$451),0),
IF('TL11'!$B$3=N$3,SUMIF('TL11'!$C$10:$C$224,$C150,'TL11'!$J$10:$J$224),0),
IF('TL11'!$B$229=N$3,SUMIF('TL11'!$C$238:$C$451,$C150,'TL11'!$J$238:$J$451),0),
IF('TL12'!$B$3=N$3,SUMIF('TL12'!$C$10:$C$224,$C150,'TL12'!$J$10:$J$224),0),
IF('TL12'!$B$229=N$3,SUMIF('TL12'!$C$238:$C$451,$C150,'TL12'!$J$238:$J$451),0),
IF('TL13'!$B$3=N$3,SUMIF('TL13'!$C$10:$C$224,$C150,'TL13'!$J$10:$J$224),0),
IF('TL13'!$B$229=N$3,SUMIF('TL13'!$C$238:$C$451,$C150,'TL13'!$J$238:$J$451),0),
IF('TL14'!$B$3=N$3,SUMIF('TL14'!$C$10:$C$224,$C150,'TL14'!$J$10:$J$224),0),
IF('TL14'!$B$229=N$3,SUMIF('TL14'!$C$238:$C$451,$C150,'TL14'!$J$238:$J$451),0),
IF('TL15'!$B$3=N$3,SUMIF('TL15'!$C$10:$C$224,$C150,'TL15'!$J$10:$J$224),0),
IF('TL15'!$B$229=N$3,SUMIF('TL15'!$C$238:$C$451,$C150,'TL15'!$J$238:$J$451),0),
IF('TL16'!$B$3=N$3,SUMIF('TL16'!$C$10:$C$224,$C150,'TL16'!$J$10:$J$224),0),
IF('TL16'!$B$229=N$3,SUMIF('TL16'!$C$238:$C$451,$C150,'TL16'!$J$238:$J$451),0),
IF('TL17'!$B$3=N$3,SUMIF('TL17'!$C$10:$C$224,$C150,'TL17'!$J$10:$J$224),0),
IF('TL17'!$B$229=N$3,SUMIF('TL17'!$C$238:$C$451,$C150,'TL17'!$J$238:$J$451),0),
IF('TL18'!$B$3=N$3,SUMIF('TL18'!$C$10:$C$224,$C150,'TL18'!$J$10:$J$224),0),
IF('TL18'!$B$229=N$3,SUMIF('TL18'!$C$238:$C$451,$C150,'TL18'!$J$238:$J$451),0),
IF('TL19'!$B$3=N$3,SUMIF('TL19'!$C$10:$C$224,$C150,'TL19'!$J$10:$J$224),0),
IF('TL19'!$B$229=N$3,SUMIF('TL19'!$C$238:$C$451,$C150,'TL19'!$J$238:$J$451),0)
),0)</f>
        <v/>
      </c>
      <c r="O150" s="9">
        <f>IFERROR(SUM(
IF('TL01'!$B$3=O$3,SUMIF('TL01'!$C$10:$C$224,$C150,'TL01'!$J$10:$J$224),0),
IF('TL01'!$B$229=O$3,SUMIF('TL01'!$C$238:$C$451,$C150,'TL01'!$J$238:$J$451),0),
IF('TL02'!$B$3=O$3,SUMIF('TL02'!$C$10:$C$224,$C150,'TL02'!$J$10:$J$224),0),
IF('TL02'!$B$229=O$3,SUMIF('TL02'!$C$238:$C$451,$C150,'TL02'!$J$238:$J$451),0),
IF('TL03'!$B$3=O$3,SUMIF('TL03'!$C$10:$C$224,$C150,'TL03'!$J$10:$J$224),0),
IF('TL03'!$B$229=O$3,SUMIF('TL03'!$C$238:$C$451,$C150,'TL03'!$J$238:$J$451),0),
IF('TL04'!$B$3=O$3,SUMIF('TL04'!$C$10:$C$224,$C150,'TL04'!$J$10:$J$224),0),
IF('TL04'!$B$229=O$3,SUMIF('TL04'!$C$238:$C$451,$C150,'TL04'!$J$238:$J$451),0),
IF('TL05'!$B$3=O$3,SUMIF('TL05'!$C$10:$C$224,$C150,'TL05'!$J$10:$J$224),0),
IF('TL05'!$B$229=O$3,SUMIF('TL05'!$C$238:$C$451,$C150,'TL05'!$J$238:$J$451),0),
IF('TL06'!$B$3=O$3,SUMIF('TL06'!$C$10:$C$224,$C150,'TL06'!$J$10:$J$224),0),
IF('TL06'!$B$229=O$3,SUMIF('TL06'!$C$238:$C$451,$C150,'TL06'!$J$238:$J$451),0),
IF('TL07'!$B$3=O$3,SUMIF('TL07'!$C$10:$C$224,$C150,'TL07'!$J$10:$J$224),0),
IF('TL07'!$B$229=O$3,SUMIF('TL07'!$C$238:$C$451,$C150,'TL07'!$J$238:$J$451),0),
IF('TL08'!$B$3=O$3,SUMIF('TL08'!$C$10:$C$224,$C150,'TL08'!$J$10:$J$224),0),
IF('TL08'!$B$229=O$3,SUMIF('TL08'!$C$238:$C$451,$C150,'TL08'!$J$238:$J$451),0),
IF('TL09'!$B$3=O$3,SUMIF('TL09'!$C$10:$C$224,$C150,'TL09'!$J$10:$J$224),0),
IF('TL09'!$B$229=O$3,SUMIF('TL09'!$C$238:$C$451,$C150,'TL09'!$J$238:$J$451),0),
IF('TL10'!$B$3=O$3,SUMIF('TL10'!$C$10:$C$224,$C150,'TL10'!$J$10:$J$224),0),
IF('TL10'!$B$229=O$3,SUMIF('TL10'!$C$238:$C$451,$C150,'TL10'!$J$238:$J$451),0),
IF('TL11'!$B$3=O$3,SUMIF('TL11'!$C$10:$C$224,$C150,'TL11'!$J$10:$J$224),0),
IF('TL11'!$B$229=O$3,SUMIF('TL11'!$C$238:$C$451,$C150,'TL11'!$J$238:$J$451),0),
IF('TL12'!$B$3=O$3,SUMIF('TL12'!$C$10:$C$224,$C150,'TL12'!$J$10:$J$224),0),
IF('TL12'!$B$229=O$3,SUMIF('TL12'!$C$238:$C$451,$C150,'TL12'!$J$238:$J$451),0),
IF('TL13'!$B$3=O$3,SUMIF('TL13'!$C$10:$C$224,$C150,'TL13'!$J$10:$J$224),0),
IF('TL13'!$B$229=O$3,SUMIF('TL13'!$C$238:$C$451,$C150,'TL13'!$J$238:$J$451),0),
IF('TL14'!$B$3=O$3,SUMIF('TL14'!$C$10:$C$224,$C150,'TL14'!$J$10:$J$224),0),
IF('TL14'!$B$229=O$3,SUMIF('TL14'!$C$238:$C$451,$C150,'TL14'!$J$238:$J$451),0),
IF('TL15'!$B$3=O$3,SUMIF('TL15'!$C$10:$C$224,$C150,'TL15'!$J$10:$J$224),0),
IF('TL15'!$B$229=O$3,SUMIF('TL15'!$C$238:$C$451,$C150,'TL15'!$J$238:$J$451),0),
IF('TL16'!$B$3=O$3,SUMIF('TL16'!$C$10:$C$224,$C150,'TL16'!$J$10:$J$224),0),
IF('TL16'!$B$229=O$3,SUMIF('TL16'!$C$238:$C$451,$C150,'TL16'!$J$238:$J$451),0),
IF('TL17'!$B$3=O$3,SUMIF('TL17'!$C$10:$C$224,$C150,'TL17'!$J$10:$J$224),0),
IF('TL17'!$B$229=O$3,SUMIF('TL17'!$C$238:$C$451,$C150,'TL17'!$J$238:$J$451),0),
IF('TL18'!$B$3=O$3,SUMIF('TL18'!$C$10:$C$224,$C150,'TL18'!$J$10:$J$224),0),
IF('TL18'!$B$229=O$3,SUMIF('TL18'!$C$238:$C$451,$C150,'TL18'!$J$238:$J$451),0),
IF('TL19'!$B$3=O$3,SUMIF('TL19'!$C$10:$C$224,$C150,'TL19'!$J$10:$J$224),0),
IF('TL19'!$B$229=O$3,SUMIF('TL19'!$C$238:$C$451,$C150,'TL19'!$J$238:$J$451),0)
),0)</f>
        <v/>
      </c>
      <c r="P150" s="9">
        <f>IFERROR(SUM(
IF('TL01'!$B$3=P$3,SUMIF('TL01'!$C$10:$C$224,$C150,'TL01'!$J$10:$J$224),0),
IF('TL01'!$B$229=P$3,SUMIF('TL01'!$C$238:$C$451,$C150,'TL01'!$J$238:$J$451),0),
IF('TL02'!$B$3=P$3,SUMIF('TL02'!$C$10:$C$224,$C150,'TL02'!$J$10:$J$224),0),
IF('TL02'!$B$229=P$3,SUMIF('TL02'!$C$238:$C$451,$C150,'TL02'!$J$238:$J$451),0),
IF('TL03'!$B$3=P$3,SUMIF('TL03'!$C$10:$C$224,$C150,'TL03'!$J$10:$J$224),0),
IF('TL03'!$B$229=P$3,SUMIF('TL03'!$C$238:$C$451,$C150,'TL03'!$J$238:$J$451),0),
IF('TL04'!$B$3=P$3,SUMIF('TL04'!$C$10:$C$224,$C150,'TL04'!$J$10:$J$224),0),
IF('TL04'!$B$229=P$3,SUMIF('TL04'!$C$238:$C$451,$C150,'TL04'!$J$238:$J$451),0),
IF('TL05'!$B$3=P$3,SUMIF('TL05'!$C$10:$C$224,$C150,'TL05'!$J$10:$J$224),0),
IF('TL05'!$B$229=P$3,SUMIF('TL05'!$C$238:$C$451,$C150,'TL05'!$J$238:$J$451),0),
IF('TL06'!$B$3=P$3,SUMIF('TL06'!$C$10:$C$224,$C150,'TL06'!$J$10:$J$224),0),
IF('TL06'!$B$229=P$3,SUMIF('TL06'!$C$238:$C$451,$C150,'TL06'!$J$238:$J$451),0),
IF('TL07'!$B$3=P$3,SUMIF('TL07'!$C$10:$C$224,$C150,'TL07'!$J$10:$J$224),0),
IF('TL07'!$B$229=P$3,SUMIF('TL07'!$C$238:$C$451,$C150,'TL07'!$J$238:$J$451),0),
IF('TL08'!$B$3=P$3,SUMIF('TL08'!$C$10:$C$224,$C150,'TL08'!$J$10:$J$224),0),
IF('TL08'!$B$229=P$3,SUMIF('TL08'!$C$238:$C$451,$C150,'TL08'!$J$238:$J$451),0),
IF('TL09'!$B$3=P$3,SUMIF('TL09'!$C$10:$C$224,$C150,'TL09'!$J$10:$J$224),0),
IF('TL09'!$B$229=P$3,SUMIF('TL09'!$C$238:$C$451,$C150,'TL09'!$J$238:$J$451),0),
IF('TL10'!$B$3=P$3,SUMIF('TL10'!$C$10:$C$224,$C150,'TL10'!$J$10:$J$224),0),
IF('TL10'!$B$229=P$3,SUMIF('TL10'!$C$238:$C$451,$C150,'TL10'!$J$238:$J$451),0),
IF('TL11'!$B$3=P$3,SUMIF('TL11'!$C$10:$C$224,$C150,'TL11'!$J$10:$J$224),0),
IF('TL11'!$B$229=P$3,SUMIF('TL11'!$C$238:$C$451,$C150,'TL11'!$J$238:$J$451),0),
IF('TL12'!$B$3=P$3,SUMIF('TL12'!$C$10:$C$224,$C150,'TL12'!$J$10:$J$224),0),
IF('TL12'!$B$229=P$3,SUMIF('TL12'!$C$238:$C$451,$C150,'TL12'!$J$238:$J$451),0),
IF('TL13'!$B$3=P$3,SUMIF('TL13'!$C$10:$C$224,$C150,'TL13'!$J$10:$J$224),0),
IF('TL13'!$B$229=P$3,SUMIF('TL13'!$C$238:$C$451,$C150,'TL13'!$J$238:$J$451),0),
IF('TL14'!$B$3=P$3,SUMIF('TL14'!$C$10:$C$224,$C150,'TL14'!$J$10:$J$224),0),
IF('TL14'!$B$229=P$3,SUMIF('TL14'!$C$238:$C$451,$C150,'TL14'!$J$238:$J$451),0),
IF('TL15'!$B$3=P$3,SUMIF('TL15'!$C$10:$C$224,$C150,'TL15'!$J$10:$J$224),0),
IF('TL15'!$B$229=P$3,SUMIF('TL15'!$C$238:$C$451,$C150,'TL15'!$J$238:$J$451),0),
IF('TL16'!$B$3=P$3,SUMIF('TL16'!$C$10:$C$224,$C150,'TL16'!$J$10:$J$224),0),
IF('TL16'!$B$229=P$3,SUMIF('TL16'!$C$238:$C$451,$C150,'TL16'!$J$238:$J$451),0),
IF('TL17'!$B$3=P$3,SUMIF('TL17'!$C$10:$C$224,$C150,'TL17'!$J$10:$J$224),0),
IF('TL17'!$B$229=P$3,SUMIF('TL17'!$C$238:$C$451,$C150,'TL17'!$J$238:$J$451),0),
IF('TL18'!$B$3=P$3,SUMIF('TL18'!$C$10:$C$224,$C150,'TL18'!$J$10:$J$224),0),
IF('TL18'!$B$229=P$3,SUMIF('TL18'!$C$238:$C$451,$C150,'TL18'!$J$238:$J$451),0),
IF('TL19'!$B$3=P$3,SUMIF('TL19'!$C$10:$C$224,$C150,'TL19'!$J$10:$J$224),0),
IF('TL19'!$B$229=P$3,SUMIF('TL19'!$C$238:$C$451,$C150,'TL19'!$J$238:$J$451),0)
),0)</f>
        <v/>
      </c>
      <c r="Q150" s="9">
        <f>IFERROR(SUM(
IF('TL01'!$B$3=Q$3,SUMIF('TL01'!$C$10:$C$224,$C150,'TL01'!$J$10:$J$224),0),
IF('TL01'!$B$229=Q$3,SUMIF('TL01'!$C$238:$C$451,$C150,'TL01'!$J$238:$J$451),0),
IF('TL02'!$B$3=Q$3,SUMIF('TL02'!$C$10:$C$224,$C150,'TL02'!$J$10:$J$224),0),
IF('TL02'!$B$229=Q$3,SUMIF('TL02'!$C$238:$C$451,$C150,'TL02'!$J$238:$J$451),0),
IF('TL03'!$B$3=Q$3,SUMIF('TL03'!$C$10:$C$224,$C150,'TL03'!$J$10:$J$224),0),
IF('TL03'!$B$229=Q$3,SUMIF('TL03'!$C$238:$C$451,$C150,'TL03'!$J$238:$J$451),0),
IF('TL04'!$B$3=Q$3,SUMIF('TL04'!$C$10:$C$224,$C150,'TL04'!$J$10:$J$224),0),
IF('TL04'!$B$229=Q$3,SUMIF('TL04'!$C$238:$C$451,$C150,'TL04'!$J$238:$J$451),0),
IF('TL05'!$B$3=Q$3,SUMIF('TL05'!$C$10:$C$224,$C150,'TL05'!$J$10:$J$224),0),
IF('TL05'!$B$229=Q$3,SUMIF('TL05'!$C$238:$C$451,$C150,'TL05'!$J$238:$J$451),0),
IF('TL06'!$B$3=Q$3,SUMIF('TL06'!$C$10:$C$224,$C150,'TL06'!$J$10:$J$224),0),
IF('TL06'!$B$229=Q$3,SUMIF('TL06'!$C$238:$C$451,$C150,'TL06'!$J$238:$J$451),0),
IF('TL07'!$B$3=Q$3,SUMIF('TL07'!$C$10:$C$224,$C150,'TL07'!$J$10:$J$224),0),
IF('TL07'!$B$229=Q$3,SUMIF('TL07'!$C$238:$C$451,$C150,'TL07'!$J$238:$J$451),0),
IF('TL08'!$B$3=Q$3,SUMIF('TL08'!$C$10:$C$224,$C150,'TL08'!$J$10:$J$224),0),
IF('TL08'!$B$229=Q$3,SUMIF('TL08'!$C$238:$C$451,$C150,'TL08'!$J$238:$J$451),0),
IF('TL09'!$B$3=Q$3,SUMIF('TL09'!$C$10:$C$224,$C150,'TL09'!$J$10:$J$224),0),
IF('TL09'!$B$229=Q$3,SUMIF('TL09'!$C$238:$C$451,$C150,'TL09'!$J$238:$J$451),0),
IF('TL10'!$B$3=Q$3,SUMIF('TL10'!$C$10:$C$224,$C150,'TL10'!$J$10:$J$224),0),
IF('TL10'!$B$229=Q$3,SUMIF('TL10'!$C$238:$C$451,$C150,'TL10'!$J$238:$J$451),0),
IF('TL11'!$B$3=Q$3,SUMIF('TL11'!$C$10:$C$224,$C150,'TL11'!$J$10:$J$224),0),
IF('TL11'!$B$229=Q$3,SUMIF('TL11'!$C$238:$C$451,$C150,'TL11'!$J$238:$J$451),0),
IF('TL12'!$B$3=Q$3,SUMIF('TL12'!$C$10:$C$224,$C150,'TL12'!$J$10:$J$224),0),
IF('TL12'!$B$229=Q$3,SUMIF('TL12'!$C$238:$C$451,$C150,'TL12'!$J$238:$J$451),0),
IF('TL13'!$B$3=Q$3,SUMIF('TL13'!$C$10:$C$224,$C150,'TL13'!$J$10:$J$224),0),
IF('TL13'!$B$229=Q$3,SUMIF('TL13'!$C$238:$C$451,$C150,'TL13'!$J$238:$J$451),0),
IF('TL14'!$B$3=Q$3,SUMIF('TL14'!$C$10:$C$224,$C150,'TL14'!$J$10:$J$224),0),
IF('TL14'!$B$229=Q$3,SUMIF('TL14'!$C$238:$C$451,$C150,'TL14'!$J$238:$J$451),0),
IF('TL15'!$B$3=Q$3,SUMIF('TL15'!$C$10:$C$224,$C150,'TL15'!$J$10:$J$224),0),
IF('TL15'!$B$229=Q$3,SUMIF('TL15'!$C$238:$C$451,$C150,'TL15'!$J$238:$J$451),0),
IF('TL16'!$B$3=Q$3,SUMIF('TL16'!$C$10:$C$224,$C150,'TL16'!$J$10:$J$224),0),
IF('TL16'!$B$229=Q$3,SUMIF('TL16'!$C$238:$C$451,$C150,'TL16'!$J$238:$J$451),0),
IF('TL17'!$B$3=Q$3,SUMIF('TL17'!$C$10:$C$224,$C150,'TL17'!$J$10:$J$224),0),
IF('TL17'!$B$229=Q$3,SUMIF('TL17'!$C$238:$C$451,$C150,'TL17'!$J$238:$J$451),0),
IF('TL18'!$B$3=Q$3,SUMIF('TL18'!$C$10:$C$224,$C150,'TL18'!$J$10:$J$224),0),
IF('TL18'!$B$229=Q$3,SUMIF('TL18'!$C$238:$C$451,$C150,'TL18'!$J$238:$J$451),0),
IF('TL19'!$B$3=Q$3,SUMIF('TL19'!$C$10:$C$224,$C150,'TL19'!$J$10:$J$224),0),
IF('TL19'!$B$229=Q$3,SUMIF('TL19'!$C$238:$C$451,$C150,'TL19'!$J$238:$J$451),0)
),0)</f>
        <v/>
      </c>
      <c r="R150" s="9">
        <f>IFERROR(
SUM(
SUMIF('TL01'!C:C,C150,'TL01'!J:J),
SUMIF('TL02'!C:C,C150,'TL02'!J:J),
SUMIF('TL03'!C:C,C150,'TL03'!J:J),
SUMIF('TL04'!C:C,C150,'TL04'!J:J),
SUMIF('TL05'!C:C,C150,'TL05'!J:J),
SUMIF('TL06'!C:C,C150,'TL06'!J:J),
SUMIF('TL07'!C:C,C150,'TL07'!J:J),
SUMIF('TL08'!C:C,C150,'TL08'!J:J),
SUMIF('TL09'!C:C,C150,'TL09'!J:J),
SUMIF('TL10'!C:C,C150,'TL10'!J:J),
SUMIF('TL11'!C:C,C150,'TL11'!J:J),
SUMIF('TL12'!C:C,C150,'TL12'!J:J),
SUMIF('TL13'!C:C,C150,'TL13'!J:J),
SUMIF('TL14'!C:C,C150,'TL14'!J:J),
SUMIF('TL15'!C:C,C150,'TL15'!J:J),
SUMIF('TL16'!C:C,C150,'TL16'!J:J),
SUMIF('TL17'!C:C,C150,'TL17'!J:J),
SUMIF('TL18'!C:C,C150,'TL18'!J:J),SUMIF('TL19'!C:C,C150,'TL19'!J:J))
,0)</f>
        <v/>
      </c>
      <c r="S150" s="17">
        <f>IFERROR(__xludf.DUMMYFUNCTION("IFERROR(VLOOKUP(C150,
IMPORTRANGE(""1wULbzX32WdYsx-lj2U3uUNBBe2INVIRDtcK0d-Dvl90"",
""26-27!C:G""),
5,
FALSE),
"""")"),41.36814)</f>
        <v/>
      </c>
      <c r="T150" s="118" t="n">
        <v>135</v>
      </c>
      <c r="U150" s="92">
        <f>MAX(0,R150-T150)</f>
        <v/>
      </c>
      <c r="V150" s="93">
        <f>U150*S150</f>
        <v/>
      </c>
    </row>
    <row r="151" hidden="1" ht="15.75" customHeight="1" s="297">
      <c r="A151" s="111" t="inlineStr">
        <is>
          <t>NORTOX</t>
        </is>
      </c>
      <c r="B151" s="112" t="inlineStr">
        <is>
          <t>HERBICIDA</t>
        </is>
      </c>
      <c r="C151" s="113" t="inlineStr">
        <is>
          <t>MESOTRIONA NORTOX</t>
        </is>
      </c>
      <c r="D151" s="113" t="inlineStr">
        <is>
          <t>MESOTRIONA</t>
        </is>
      </c>
      <c r="E151" s="113" t="n">
        <v>480</v>
      </c>
      <c r="F151" s="4" t="inlineStr">
        <is>
          <t>L</t>
        </is>
      </c>
      <c r="G151" s="90">
        <f>HYPERLINK("https://www.google.com/search?q=" &amp; C151 &amp; "+bula+agrofit+pdf", "📄 Ver bula")</f>
        <v/>
      </c>
      <c r="H151" s="9">
        <f>IFERROR(__xludf.DUMMYFUNCTION("IFERROR(VLOOKUP(C151,
IMPORTRANGE(""1wULbzX32WdYsx-lj2U3uUNBBe2INVIRDtcK0d-Dvl90"",
""26-27!C:K""),
8,
FALSE),
"""")"),"")</f>
        <v/>
      </c>
      <c r="I151" s="114" t="inlineStr">
        <is>
          <t>4X5</t>
        </is>
      </c>
      <c r="J151" s="9">
        <f>IFERROR(SUM(
IF('TL01'!$B$3=J$3,SUMIF('TL01'!$C$10:$C$224,$C151,'TL01'!$J$10:$J$224),0),
IF('TL01'!$B$229=J$3,SUMIF('TL01'!$C$238:$C$451,$C151,'TL01'!$J$238:$J$451),0),
IF('TL02'!$B$3=J$3,SUMIF('TL02'!$C$10:$C$224,$C151,'TL02'!$J$10:$J$224),0),
IF('TL02'!$B$229=J$3,SUMIF('TL02'!$C$238:$C$451,$C151,'TL02'!$J$238:$J$451),0),
IF('TL03'!$B$3=J$3,SUMIF('TL03'!$C$10:$C$224,$C151,'TL03'!$J$10:$J$224),0),
IF('TL03'!$B$229=J$3,SUMIF('TL03'!$C$238:$C$451,$C151,'TL03'!$J$238:$J$451),0),
IF('TL04'!$B$3=J$3,SUMIF('TL04'!$C$10:$C$224,$C151,'TL04'!$J$10:$J$224),0),
IF('TL04'!$B$229=J$3,SUMIF('TL04'!$C$238:$C$451,$C151,'TL04'!$J$238:$J$451),0),
IF('TL05'!$B$3=J$3,SUMIF('TL05'!$C$10:$C$224,$C151,'TL05'!$J$10:$J$224),0),
IF('TL05'!$B$229=J$3,SUMIF('TL05'!$C$238:$C$451,$C151,'TL05'!$J$238:$J$451),0),
IF('TL06'!$B$3=J$3,SUMIF('TL06'!$C$10:$C$224,$C151,'TL06'!$J$10:$J$224),0),
IF('TL06'!$B$229=J$3,SUMIF('TL06'!$C$238:$C$451,$C151,'TL06'!$J$238:$J$451),0),
IF('TL07'!$B$3=J$3,SUMIF('TL07'!$C$10:$C$224,$C151,'TL07'!$J$10:$J$224),0),
IF('TL07'!$B$229=J$3,SUMIF('TL07'!$C$238:$C$451,$C151,'TL07'!$J$238:$J$451),0),
IF('TL08'!$B$3=J$3,SUMIF('TL08'!$C$10:$C$224,$C151,'TL08'!$J$10:$J$224),0),
IF('TL08'!$B$229=J$3,SUMIF('TL08'!$C$238:$C$451,$C151,'TL08'!$J$238:$J$451),0),
IF('TL09'!$B$3=J$3,SUMIF('TL09'!$C$10:$C$224,$C151,'TL09'!$J$10:$J$224),0),
IF('TL09'!$B$229=J$3,SUMIF('TL09'!$C$238:$C$451,$C151,'TL09'!$J$238:$J$451),0),
IF('TL10'!$B$3=J$3,SUMIF('TL10'!$C$10:$C$224,$C151,'TL10'!$J$10:$J$224),0),
IF('TL10'!$B$229=J$3,SUMIF('TL10'!$C$238:$C$451,$C151,'TL10'!$J$238:$J$451),0),
IF('TL11'!$B$3=J$3,SUMIF('TL11'!$C$10:$C$224,$C151,'TL11'!$J$10:$J$224),0),
IF('TL11'!$B$229=J$3,SUMIF('TL11'!$C$238:$C$451,$C151,'TL11'!$J$238:$J$451),0),
IF('TL12'!$B$3=J$3,SUMIF('TL12'!$C$10:$C$224,$C151,'TL12'!$J$10:$J$224),0),
IF('TL12'!$B$229=J$3,SUMIF('TL12'!$C$238:$C$451,$C151,'TL12'!$J$238:$J$451),0),
IF('TL13'!$B$3=J$3,SUMIF('TL13'!$C$10:$C$224,$C151,'TL13'!$J$10:$J$224),0),
IF('TL13'!$B$229=J$3,SUMIF('TL13'!$C$238:$C$451,$C151,'TL13'!$J$238:$J$451),0),
IF('TL14'!$B$3=J$3,SUMIF('TL14'!$C$10:$C$224,$C151,'TL14'!$J$10:$J$224),0),
IF('TL14'!$B$229=J$3,SUMIF('TL14'!$C$238:$C$451,$C151,'TL14'!$J$238:$J$451),0),
IF('TL15'!$B$3=J$3,SUMIF('TL15'!$C$10:$C$224,$C151,'TL15'!$J$10:$J$224),0),
IF('TL15'!$B$229=J$3,SUMIF('TL15'!$C$238:$C$451,$C151,'TL15'!$J$238:$J$451),0),
IF('TL16'!$B$3=J$3,SUMIF('TL16'!$C$10:$C$224,$C151,'TL16'!$J$10:$J$224),0),
IF('TL16'!$B$229=J$3,SUMIF('TL16'!$C$238:$C$451,$C151,'TL16'!$J$238:$J$451),0),
IF('TL17'!$B$3=J$3,SUMIF('TL17'!$C$10:$C$224,$C151,'TL17'!$J$10:$J$224),0),
IF('TL17'!$B$229=J$3,SUMIF('TL17'!$C$238:$C$451,$C151,'TL17'!$J$238:$J$451),0),
IF('TL18'!$B$3=J$3,SUMIF('TL18'!$C$10:$C$224,$C151,'TL18'!$J$10:$J$224),0),
IF('TL18'!$B$229=J$3,SUMIF('TL18'!$C$238:$C$451,$C151,'TL18'!$J$238:$J$451),0),
IF('TL19'!$B$3=J$3,SUMIF('TL19'!$C$10:$C$224,$C151,'TL19'!$J$10:$J$224),0),
IF('TL19'!$B$229=J$3,SUMIF('TL19'!$C$238:$C$451,$C151,'TL19'!$J$238:$J$451),0)
),0)</f>
        <v/>
      </c>
      <c r="K151" s="9">
        <f>IFERROR(SUM(
IF('TL01'!$B$3=K$3,SUMIF('TL01'!$C$10:$C$224,$C151,'TL01'!$J$10:$J$224),0),
IF('TL01'!$B$229=K$3,SUMIF('TL01'!$C$238:$C$451,$C151,'TL01'!$J$238:$J$451),0),
IF('TL02'!$B$3=K$3,SUMIF('TL02'!$C$10:$C$224,$C151,'TL02'!$J$10:$J$224),0),
IF('TL02'!$B$229=K$3,SUMIF('TL02'!$C$238:$C$451,$C151,'TL02'!$J$238:$J$451),0),
IF('TL03'!$B$3=K$3,SUMIF('TL03'!$C$10:$C$224,$C151,'TL03'!$J$10:$J$224),0),
IF('TL03'!$B$229=K$3,SUMIF('TL03'!$C$238:$C$451,$C151,'TL03'!$J$238:$J$451),0),
IF('TL04'!$B$3=K$3,SUMIF('TL04'!$C$10:$C$224,$C151,'TL04'!$J$10:$J$224),0),
IF('TL04'!$B$229=K$3,SUMIF('TL04'!$C$238:$C$451,$C151,'TL04'!$J$238:$J$451),0),
IF('TL05'!$B$3=K$3,SUMIF('TL05'!$C$10:$C$224,$C151,'TL05'!$J$10:$J$224),0),
IF('TL05'!$B$229=K$3,SUMIF('TL05'!$C$238:$C$451,$C151,'TL05'!$J$238:$J$451),0),
IF('TL06'!$B$3=K$3,SUMIF('TL06'!$C$10:$C$224,$C151,'TL06'!$J$10:$J$224),0),
IF('TL06'!$B$229=K$3,SUMIF('TL06'!$C$238:$C$451,$C151,'TL06'!$J$238:$J$451),0),
IF('TL07'!$B$3=K$3,SUMIF('TL07'!$C$10:$C$224,$C151,'TL07'!$J$10:$J$224),0),
IF('TL07'!$B$229=K$3,SUMIF('TL07'!$C$238:$C$451,$C151,'TL07'!$J$238:$J$451),0),
IF('TL08'!$B$3=K$3,SUMIF('TL08'!$C$10:$C$224,$C151,'TL08'!$J$10:$J$224),0),
IF('TL08'!$B$229=K$3,SUMIF('TL08'!$C$238:$C$451,$C151,'TL08'!$J$238:$J$451),0),
IF('TL09'!$B$3=K$3,SUMIF('TL09'!$C$10:$C$224,$C151,'TL09'!$J$10:$J$224),0),
IF('TL09'!$B$229=K$3,SUMIF('TL09'!$C$238:$C$451,$C151,'TL09'!$J$238:$J$451),0),
IF('TL10'!$B$3=K$3,SUMIF('TL10'!$C$10:$C$224,$C151,'TL10'!$J$10:$J$224),0),
IF('TL10'!$B$229=K$3,SUMIF('TL10'!$C$238:$C$451,$C151,'TL10'!$J$238:$J$451),0),
IF('TL11'!$B$3=K$3,SUMIF('TL11'!$C$10:$C$224,$C151,'TL11'!$J$10:$J$224),0),
IF('TL11'!$B$229=K$3,SUMIF('TL11'!$C$238:$C$451,$C151,'TL11'!$J$238:$J$451),0),
IF('TL12'!$B$3=K$3,SUMIF('TL12'!$C$10:$C$224,$C151,'TL12'!$J$10:$J$224),0),
IF('TL12'!$B$229=K$3,SUMIF('TL12'!$C$238:$C$451,$C151,'TL12'!$J$238:$J$451),0),
IF('TL13'!$B$3=K$3,SUMIF('TL13'!$C$10:$C$224,$C151,'TL13'!$J$10:$J$224),0),
IF('TL13'!$B$229=K$3,SUMIF('TL13'!$C$238:$C$451,$C151,'TL13'!$J$238:$J$451),0),
IF('TL14'!$B$3=K$3,SUMIF('TL14'!$C$10:$C$224,$C151,'TL14'!$J$10:$J$224),0),
IF('TL14'!$B$229=K$3,SUMIF('TL14'!$C$238:$C$451,$C151,'TL14'!$J$238:$J$451),0),
IF('TL15'!$B$3=K$3,SUMIF('TL15'!$C$10:$C$224,$C151,'TL15'!$J$10:$J$224),0),
IF('TL15'!$B$229=K$3,SUMIF('TL15'!$C$238:$C$451,$C151,'TL15'!$J$238:$J$451),0),
IF('TL16'!$B$3=K$3,SUMIF('TL16'!$C$10:$C$224,$C151,'TL16'!$J$10:$J$224),0),
IF('TL16'!$B$229=K$3,SUMIF('TL16'!$C$238:$C$451,$C151,'TL16'!$J$238:$J$451),0),
IF('TL17'!$B$3=K$3,SUMIF('TL17'!$C$10:$C$224,$C151,'TL17'!$J$10:$J$224),0),
IF('TL17'!$B$229=K$3,SUMIF('TL17'!$C$238:$C$451,$C151,'TL17'!$J$238:$J$451),0),
IF('TL18'!$B$3=K$3,SUMIF('TL18'!$C$10:$C$224,$C151,'TL18'!$J$10:$J$224),0),
IF('TL18'!$B$229=K$3,SUMIF('TL18'!$C$238:$C$451,$C151,'TL18'!$J$238:$J$451),0),
IF('TL19'!$B$3=K$3,SUMIF('TL19'!$C$10:$C$224,$C151,'TL19'!$J$10:$J$224),0),
IF('TL19'!$B$229=K$3,SUMIF('TL19'!$C$238:$C$451,$C151,'TL19'!$J$238:$J$451),0)
),0)</f>
        <v/>
      </c>
      <c r="L151" s="9">
        <f>IFERROR(SUM(
IF('TL01'!$B$3=L$3,SUMIF('TL01'!$C$10:$C$224,$C151,'TL01'!$J$10:$J$224),0),
IF('TL01'!$B$229=L$3,SUMIF('TL01'!$C$238:$C$451,$C151,'TL01'!$J$238:$J$451),0),
IF('TL02'!$B$3=L$3,SUMIF('TL02'!$C$10:$C$224,$C151,'TL02'!$J$10:$J$224),0),
IF('TL02'!$B$229=L$3,SUMIF('TL02'!$C$238:$C$451,$C151,'TL02'!$J$238:$J$451),0),
IF('TL03'!$B$3=L$3,SUMIF('TL03'!$C$10:$C$224,$C151,'TL03'!$J$10:$J$224),0),
IF('TL03'!$B$229=L$3,SUMIF('TL03'!$C$238:$C$451,$C151,'TL03'!$J$238:$J$451),0),
IF('TL04'!$B$3=L$3,SUMIF('TL04'!$C$10:$C$224,$C151,'TL04'!$J$10:$J$224),0),
IF('TL04'!$B$229=L$3,SUMIF('TL04'!$C$238:$C$451,$C151,'TL04'!$J$238:$J$451),0),
IF('TL05'!$B$3=L$3,SUMIF('TL05'!$C$10:$C$224,$C151,'TL05'!$J$10:$J$224),0),
IF('TL05'!$B$229=L$3,SUMIF('TL05'!$C$238:$C$451,$C151,'TL05'!$J$238:$J$451),0),
IF('TL06'!$B$3=L$3,SUMIF('TL06'!$C$10:$C$224,$C151,'TL06'!$J$10:$J$224),0),
IF('TL06'!$B$229=L$3,SUMIF('TL06'!$C$238:$C$451,$C151,'TL06'!$J$238:$J$451),0),
IF('TL07'!$B$3=L$3,SUMIF('TL07'!$C$10:$C$224,$C151,'TL07'!$J$10:$J$224),0),
IF('TL07'!$B$229=L$3,SUMIF('TL07'!$C$238:$C$451,$C151,'TL07'!$J$238:$J$451),0),
IF('TL08'!$B$3=L$3,SUMIF('TL08'!$C$10:$C$224,$C151,'TL08'!$J$10:$J$224),0),
IF('TL08'!$B$229=L$3,SUMIF('TL08'!$C$238:$C$451,$C151,'TL08'!$J$238:$J$451),0),
IF('TL09'!$B$3=L$3,SUMIF('TL09'!$C$10:$C$224,$C151,'TL09'!$J$10:$J$224),0),
IF('TL09'!$B$229=L$3,SUMIF('TL09'!$C$238:$C$451,$C151,'TL09'!$J$238:$J$451),0),
IF('TL10'!$B$3=L$3,SUMIF('TL10'!$C$10:$C$224,$C151,'TL10'!$J$10:$J$224),0),
IF('TL10'!$B$229=L$3,SUMIF('TL10'!$C$238:$C$451,$C151,'TL10'!$J$238:$J$451),0),
IF('TL11'!$B$3=L$3,SUMIF('TL11'!$C$10:$C$224,$C151,'TL11'!$J$10:$J$224),0),
IF('TL11'!$B$229=L$3,SUMIF('TL11'!$C$238:$C$451,$C151,'TL11'!$J$238:$J$451),0),
IF('TL12'!$B$3=L$3,SUMIF('TL12'!$C$10:$C$224,$C151,'TL12'!$J$10:$J$224),0),
IF('TL12'!$B$229=L$3,SUMIF('TL12'!$C$238:$C$451,$C151,'TL12'!$J$238:$J$451),0),
IF('TL13'!$B$3=L$3,SUMIF('TL13'!$C$10:$C$224,$C151,'TL13'!$J$10:$J$224),0),
IF('TL13'!$B$229=L$3,SUMIF('TL13'!$C$238:$C$451,$C151,'TL13'!$J$238:$J$451),0),
IF('TL14'!$B$3=L$3,SUMIF('TL14'!$C$10:$C$224,$C151,'TL14'!$J$10:$J$224),0),
IF('TL14'!$B$229=L$3,SUMIF('TL14'!$C$238:$C$451,$C151,'TL14'!$J$238:$J$451),0),
IF('TL15'!$B$3=L$3,SUMIF('TL15'!$C$10:$C$224,$C151,'TL15'!$J$10:$J$224),0),
IF('TL15'!$B$229=L$3,SUMIF('TL15'!$C$238:$C$451,$C151,'TL15'!$J$238:$J$451),0),
IF('TL16'!$B$3=L$3,SUMIF('TL16'!$C$10:$C$224,$C151,'TL16'!$J$10:$J$224),0),
IF('TL16'!$B$229=L$3,SUMIF('TL16'!$C$238:$C$451,$C151,'TL16'!$J$238:$J$451),0),
IF('TL17'!$B$3=L$3,SUMIF('TL17'!$C$10:$C$224,$C151,'TL17'!$J$10:$J$224),0),
IF('TL17'!$B$229=L$3,SUMIF('TL17'!$C$238:$C$451,$C151,'TL17'!$J$238:$J$451),0),
IF('TL18'!$B$3=L$3,SUMIF('TL18'!$C$10:$C$224,$C151,'TL18'!$J$10:$J$224),0),
IF('TL18'!$B$229=L$3,SUMIF('TL18'!$C$238:$C$451,$C151,'TL18'!$J$238:$J$451),0),
IF('TL19'!$B$3=L$3,SUMIF('TL19'!$C$10:$C$224,$C151,'TL19'!$J$10:$J$224),0),
IF('TL19'!$B$229=L$3,SUMIF('TL19'!$C$238:$C$451,$C151,'TL19'!$J$238:$J$451),0)
),0)</f>
        <v/>
      </c>
      <c r="M151" s="9">
        <f>IFERROR(SUM(
IF('TL01'!$B$3=M$3,SUMIF('TL01'!$C$10:$C$224,$C151,'TL01'!$J$10:$J$224),0),
IF('TL01'!$B$229=M$3,SUMIF('TL01'!$C$238:$C$451,$C151,'TL01'!$J$238:$J$451),0),
IF('TL02'!$B$3=M$3,SUMIF('TL02'!$C$10:$C$224,$C151,'TL02'!$J$10:$J$224),0),
IF('TL02'!$B$229=M$3,SUMIF('TL02'!$C$238:$C$451,$C151,'TL02'!$J$238:$J$451),0),
IF('TL03'!$B$3=M$3,SUMIF('TL03'!$C$10:$C$224,$C151,'TL03'!$J$10:$J$224),0),
IF('TL03'!$B$229=M$3,SUMIF('TL03'!$C$238:$C$451,$C151,'TL03'!$J$238:$J$451),0),
IF('TL04'!$B$3=M$3,SUMIF('TL04'!$C$10:$C$224,$C151,'TL04'!$J$10:$J$224),0),
IF('TL04'!$B$229=M$3,SUMIF('TL04'!$C$238:$C$451,$C151,'TL04'!$J$238:$J$451),0),
IF('TL05'!$B$3=M$3,SUMIF('TL05'!$C$10:$C$224,$C151,'TL05'!$J$10:$J$224),0),
IF('TL05'!$B$229=M$3,SUMIF('TL05'!$C$238:$C$451,$C151,'TL05'!$J$238:$J$451),0),
IF('TL06'!$B$3=M$3,SUMIF('TL06'!$C$10:$C$224,$C151,'TL06'!$J$10:$J$224),0),
IF('TL06'!$B$229=M$3,SUMIF('TL06'!$C$238:$C$451,$C151,'TL06'!$J$238:$J$451),0),
IF('TL07'!$B$3=M$3,SUMIF('TL07'!$C$10:$C$224,$C151,'TL07'!$J$10:$J$224),0),
IF('TL07'!$B$229=M$3,SUMIF('TL07'!$C$238:$C$451,$C151,'TL07'!$J$238:$J$451),0),
IF('TL08'!$B$3=M$3,SUMIF('TL08'!$C$10:$C$224,$C151,'TL08'!$J$10:$J$224),0),
IF('TL08'!$B$229=M$3,SUMIF('TL08'!$C$238:$C$451,$C151,'TL08'!$J$238:$J$451),0),
IF('TL09'!$B$3=M$3,SUMIF('TL09'!$C$10:$C$224,$C151,'TL09'!$J$10:$J$224),0),
IF('TL09'!$B$229=M$3,SUMIF('TL09'!$C$238:$C$451,$C151,'TL09'!$J$238:$J$451),0),
IF('TL10'!$B$3=M$3,SUMIF('TL10'!$C$10:$C$224,$C151,'TL10'!$J$10:$J$224),0),
IF('TL10'!$B$229=M$3,SUMIF('TL10'!$C$238:$C$451,$C151,'TL10'!$J$238:$J$451),0),
IF('TL11'!$B$3=M$3,SUMIF('TL11'!$C$10:$C$224,$C151,'TL11'!$J$10:$J$224),0),
IF('TL11'!$B$229=M$3,SUMIF('TL11'!$C$238:$C$451,$C151,'TL11'!$J$238:$J$451),0),
IF('TL12'!$B$3=M$3,SUMIF('TL12'!$C$10:$C$224,$C151,'TL12'!$J$10:$J$224),0),
IF('TL12'!$B$229=M$3,SUMIF('TL12'!$C$238:$C$451,$C151,'TL12'!$J$238:$J$451),0),
IF('TL13'!$B$3=M$3,SUMIF('TL13'!$C$10:$C$224,$C151,'TL13'!$J$10:$J$224),0),
IF('TL13'!$B$229=M$3,SUMIF('TL13'!$C$238:$C$451,$C151,'TL13'!$J$238:$J$451),0),
IF('TL14'!$B$3=M$3,SUMIF('TL14'!$C$10:$C$224,$C151,'TL14'!$J$10:$J$224),0),
IF('TL14'!$B$229=M$3,SUMIF('TL14'!$C$238:$C$451,$C151,'TL14'!$J$238:$J$451),0),
IF('TL15'!$B$3=M$3,SUMIF('TL15'!$C$10:$C$224,$C151,'TL15'!$J$10:$J$224),0),
IF('TL15'!$B$229=M$3,SUMIF('TL15'!$C$238:$C$451,$C151,'TL15'!$J$238:$J$451),0),
IF('TL16'!$B$3=M$3,SUMIF('TL16'!$C$10:$C$224,$C151,'TL16'!$J$10:$J$224),0),
IF('TL16'!$B$229=M$3,SUMIF('TL16'!$C$238:$C$451,$C151,'TL16'!$J$238:$J$451),0),
IF('TL17'!$B$3=M$3,SUMIF('TL17'!$C$10:$C$224,$C151,'TL17'!$J$10:$J$224),0),
IF('TL17'!$B$229=M$3,SUMIF('TL17'!$C$238:$C$451,$C151,'TL17'!$J$238:$J$451),0),
IF('TL18'!$B$3=M$3,SUMIF('TL18'!$C$10:$C$224,$C151,'TL18'!$J$10:$J$224),0),
IF('TL18'!$B$229=M$3,SUMIF('TL18'!$C$238:$C$451,$C151,'TL18'!$J$238:$J$451),0),
IF('TL19'!$B$3=M$3,SUMIF('TL19'!$C$10:$C$224,$C151,'TL19'!$J$10:$J$224),0),
IF('TL19'!$B$229=M$3,SUMIF('TL19'!$C$238:$C$451,$C151,'TL19'!$J$238:$J$451),0)
),0)</f>
        <v/>
      </c>
      <c r="N151" s="9">
        <f>IFERROR(SUM(
IF('TL01'!$B$3=N$3,SUMIF('TL01'!$C$10:$C$224,$C151,'TL01'!$J$10:$J$224),0),
IF('TL01'!$B$229=N$3,SUMIF('TL01'!$C$238:$C$451,$C151,'TL01'!$J$238:$J$451),0),
IF('TL02'!$B$3=N$3,SUMIF('TL02'!$C$10:$C$224,$C151,'TL02'!$J$10:$J$224),0),
IF('TL02'!$B$229=N$3,SUMIF('TL02'!$C$238:$C$451,$C151,'TL02'!$J$238:$J$451),0),
IF('TL03'!$B$3=N$3,SUMIF('TL03'!$C$10:$C$224,$C151,'TL03'!$J$10:$J$224),0),
IF('TL03'!$B$229=N$3,SUMIF('TL03'!$C$238:$C$451,$C151,'TL03'!$J$238:$J$451),0),
IF('TL04'!$B$3=N$3,SUMIF('TL04'!$C$10:$C$224,$C151,'TL04'!$J$10:$J$224),0),
IF('TL04'!$B$229=N$3,SUMIF('TL04'!$C$238:$C$451,$C151,'TL04'!$J$238:$J$451),0),
IF('TL05'!$B$3=N$3,SUMIF('TL05'!$C$10:$C$224,$C151,'TL05'!$J$10:$J$224),0),
IF('TL05'!$B$229=N$3,SUMIF('TL05'!$C$238:$C$451,$C151,'TL05'!$J$238:$J$451),0),
IF('TL06'!$B$3=N$3,SUMIF('TL06'!$C$10:$C$224,$C151,'TL06'!$J$10:$J$224),0),
IF('TL06'!$B$229=N$3,SUMIF('TL06'!$C$238:$C$451,$C151,'TL06'!$J$238:$J$451),0),
IF('TL07'!$B$3=N$3,SUMIF('TL07'!$C$10:$C$224,$C151,'TL07'!$J$10:$J$224),0),
IF('TL07'!$B$229=N$3,SUMIF('TL07'!$C$238:$C$451,$C151,'TL07'!$J$238:$J$451),0),
IF('TL08'!$B$3=N$3,SUMIF('TL08'!$C$10:$C$224,$C151,'TL08'!$J$10:$J$224),0),
IF('TL08'!$B$229=N$3,SUMIF('TL08'!$C$238:$C$451,$C151,'TL08'!$J$238:$J$451),0),
IF('TL09'!$B$3=N$3,SUMIF('TL09'!$C$10:$C$224,$C151,'TL09'!$J$10:$J$224),0),
IF('TL09'!$B$229=N$3,SUMIF('TL09'!$C$238:$C$451,$C151,'TL09'!$J$238:$J$451),0),
IF('TL10'!$B$3=N$3,SUMIF('TL10'!$C$10:$C$224,$C151,'TL10'!$J$10:$J$224),0),
IF('TL10'!$B$229=N$3,SUMIF('TL10'!$C$238:$C$451,$C151,'TL10'!$J$238:$J$451),0),
IF('TL11'!$B$3=N$3,SUMIF('TL11'!$C$10:$C$224,$C151,'TL11'!$J$10:$J$224),0),
IF('TL11'!$B$229=N$3,SUMIF('TL11'!$C$238:$C$451,$C151,'TL11'!$J$238:$J$451),0),
IF('TL12'!$B$3=N$3,SUMIF('TL12'!$C$10:$C$224,$C151,'TL12'!$J$10:$J$224),0),
IF('TL12'!$B$229=N$3,SUMIF('TL12'!$C$238:$C$451,$C151,'TL12'!$J$238:$J$451),0),
IF('TL13'!$B$3=N$3,SUMIF('TL13'!$C$10:$C$224,$C151,'TL13'!$J$10:$J$224),0),
IF('TL13'!$B$229=N$3,SUMIF('TL13'!$C$238:$C$451,$C151,'TL13'!$J$238:$J$451),0),
IF('TL14'!$B$3=N$3,SUMIF('TL14'!$C$10:$C$224,$C151,'TL14'!$J$10:$J$224),0),
IF('TL14'!$B$229=N$3,SUMIF('TL14'!$C$238:$C$451,$C151,'TL14'!$J$238:$J$451),0),
IF('TL15'!$B$3=N$3,SUMIF('TL15'!$C$10:$C$224,$C151,'TL15'!$J$10:$J$224),0),
IF('TL15'!$B$229=N$3,SUMIF('TL15'!$C$238:$C$451,$C151,'TL15'!$J$238:$J$451),0),
IF('TL16'!$B$3=N$3,SUMIF('TL16'!$C$10:$C$224,$C151,'TL16'!$J$10:$J$224),0),
IF('TL16'!$B$229=N$3,SUMIF('TL16'!$C$238:$C$451,$C151,'TL16'!$J$238:$J$451),0),
IF('TL17'!$B$3=N$3,SUMIF('TL17'!$C$10:$C$224,$C151,'TL17'!$J$10:$J$224),0),
IF('TL17'!$B$229=N$3,SUMIF('TL17'!$C$238:$C$451,$C151,'TL17'!$J$238:$J$451),0),
IF('TL18'!$B$3=N$3,SUMIF('TL18'!$C$10:$C$224,$C151,'TL18'!$J$10:$J$224),0),
IF('TL18'!$B$229=N$3,SUMIF('TL18'!$C$238:$C$451,$C151,'TL18'!$J$238:$J$451),0),
IF('TL19'!$B$3=N$3,SUMIF('TL19'!$C$10:$C$224,$C151,'TL19'!$J$10:$J$224),0),
IF('TL19'!$B$229=N$3,SUMIF('TL19'!$C$238:$C$451,$C151,'TL19'!$J$238:$J$451),0)
),0)</f>
        <v/>
      </c>
      <c r="O151" s="9">
        <f>IFERROR(SUM(
IF('TL01'!$B$3=O$3,SUMIF('TL01'!$C$10:$C$224,$C151,'TL01'!$J$10:$J$224),0),
IF('TL01'!$B$229=O$3,SUMIF('TL01'!$C$238:$C$451,$C151,'TL01'!$J$238:$J$451),0),
IF('TL02'!$B$3=O$3,SUMIF('TL02'!$C$10:$C$224,$C151,'TL02'!$J$10:$J$224),0),
IF('TL02'!$B$229=O$3,SUMIF('TL02'!$C$238:$C$451,$C151,'TL02'!$J$238:$J$451),0),
IF('TL03'!$B$3=O$3,SUMIF('TL03'!$C$10:$C$224,$C151,'TL03'!$J$10:$J$224),0),
IF('TL03'!$B$229=O$3,SUMIF('TL03'!$C$238:$C$451,$C151,'TL03'!$J$238:$J$451),0),
IF('TL04'!$B$3=O$3,SUMIF('TL04'!$C$10:$C$224,$C151,'TL04'!$J$10:$J$224),0),
IF('TL04'!$B$229=O$3,SUMIF('TL04'!$C$238:$C$451,$C151,'TL04'!$J$238:$J$451),0),
IF('TL05'!$B$3=O$3,SUMIF('TL05'!$C$10:$C$224,$C151,'TL05'!$J$10:$J$224),0),
IF('TL05'!$B$229=O$3,SUMIF('TL05'!$C$238:$C$451,$C151,'TL05'!$J$238:$J$451),0),
IF('TL06'!$B$3=O$3,SUMIF('TL06'!$C$10:$C$224,$C151,'TL06'!$J$10:$J$224),0),
IF('TL06'!$B$229=O$3,SUMIF('TL06'!$C$238:$C$451,$C151,'TL06'!$J$238:$J$451),0),
IF('TL07'!$B$3=O$3,SUMIF('TL07'!$C$10:$C$224,$C151,'TL07'!$J$10:$J$224),0),
IF('TL07'!$B$229=O$3,SUMIF('TL07'!$C$238:$C$451,$C151,'TL07'!$J$238:$J$451),0),
IF('TL08'!$B$3=O$3,SUMIF('TL08'!$C$10:$C$224,$C151,'TL08'!$J$10:$J$224),0),
IF('TL08'!$B$229=O$3,SUMIF('TL08'!$C$238:$C$451,$C151,'TL08'!$J$238:$J$451),0),
IF('TL09'!$B$3=O$3,SUMIF('TL09'!$C$10:$C$224,$C151,'TL09'!$J$10:$J$224),0),
IF('TL09'!$B$229=O$3,SUMIF('TL09'!$C$238:$C$451,$C151,'TL09'!$J$238:$J$451),0),
IF('TL10'!$B$3=O$3,SUMIF('TL10'!$C$10:$C$224,$C151,'TL10'!$J$10:$J$224),0),
IF('TL10'!$B$229=O$3,SUMIF('TL10'!$C$238:$C$451,$C151,'TL10'!$J$238:$J$451),0),
IF('TL11'!$B$3=O$3,SUMIF('TL11'!$C$10:$C$224,$C151,'TL11'!$J$10:$J$224),0),
IF('TL11'!$B$229=O$3,SUMIF('TL11'!$C$238:$C$451,$C151,'TL11'!$J$238:$J$451),0),
IF('TL12'!$B$3=O$3,SUMIF('TL12'!$C$10:$C$224,$C151,'TL12'!$J$10:$J$224),0),
IF('TL12'!$B$229=O$3,SUMIF('TL12'!$C$238:$C$451,$C151,'TL12'!$J$238:$J$451),0),
IF('TL13'!$B$3=O$3,SUMIF('TL13'!$C$10:$C$224,$C151,'TL13'!$J$10:$J$224),0),
IF('TL13'!$B$229=O$3,SUMIF('TL13'!$C$238:$C$451,$C151,'TL13'!$J$238:$J$451),0),
IF('TL14'!$B$3=O$3,SUMIF('TL14'!$C$10:$C$224,$C151,'TL14'!$J$10:$J$224),0),
IF('TL14'!$B$229=O$3,SUMIF('TL14'!$C$238:$C$451,$C151,'TL14'!$J$238:$J$451),0),
IF('TL15'!$B$3=O$3,SUMIF('TL15'!$C$10:$C$224,$C151,'TL15'!$J$10:$J$224),0),
IF('TL15'!$B$229=O$3,SUMIF('TL15'!$C$238:$C$451,$C151,'TL15'!$J$238:$J$451),0),
IF('TL16'!$B$3=O$3,SUMIF('TL16'!$C$10:$C$224,$C151,'TL16'!$J$10:$J$224),0),
IF('TL16'!$B$229=O$3,SUMIF('TL16'!$C$238:$C$451,$C151,'TL16'!$J$238:$J$451),0),
IF('TL17'!$B$3=O$3,SUMIF('TL17'!$C$10:$C$224,$C151,'TL17'!$J$10:$J$224),0),
IF('TL17'!$B$229=O$3,SUMIF('TL17'!$C$238:$C$451,$C151,'TL17'!$J$238:$J$451),0),
IF('TL18'!$B$3=O$3,SUMIF('TL18'!$C$10:$C$224,$C151,'TL18'!$J$10:$J$224),0),
IF('TL18'!$B$229=O$3,SUMIF('TL18'!$C$238:$C$451,$C151,'TL18'!$J$238:$J$451),0),
IF('TL19'!$B$3=O$3,SUMIF('TL19'!$C$10:$C$224,$C151,'TL19'!$J$10:$J$224),0),
IF('TL19'!$B$229=O$3,SUMIF('TL19'!$C$238:$C$451,$C151,'TL19'!$J$238:$J$451),0)
),0)</f>
        <v/>
      </c>
      <c r="P151" s="9">
        <f>IFERROR(SUM(
IF('TL01'!$B$3=P$3,SUMIF('TL01'!$C$10:$C$224,$C151,'TL01'!$J$10:$J$224),0),
IF('TL01'!$B$229=P$3,SUMIF('TL01'!$C$238:$C$451,$C151,'TL01'!$J$238:$J$451),0),
IF('TL02'!$B$3=P$3,SUMIF('TL02'!$C$10:$C$224,$C151,'TL02'!$J$10:$J$224),0),
IF('TL02'!$B$229=P$3,SUMIF('TL02'!$C$238:$C$451,$C151,'TL02'!$J$238:$J$451),0),
IF('TL03'!$B$3=P$3,SUMIF('TL03'!$C$10:$C$224,$C151,'TL03'!$J$10:$J$224),0),
IF('TL03'!$B$229=P$3,SUMIF('TL03'!$C$238:$C$451,$C151,'TL03'!$J$238:$J$451),0),
IF('TL04'!$B$3=P$3,SUMIF('TL04'!$C$10:$C$224,$C151,'TL04'!$J$10:$J$224),0),
IF('TL04'!$B$229=P$3,SUMIF('TL04'!$C$238:$C$451,$C151,'TL04'!$J$238:$J$451),0),
IF('TL05'!$B$3=P$3,SUMIF('TL05'!$C$10:$C$224,$C151,'TL05'!$J$10:$J$224),0),
IF('TL05'!$B$229=P$3,SUMIF('TL05'!$C$238:$C$451,$C151,'TL05'!$J$238:$J$451),0),
IF('TL06'!$B$3=P$3,SUMIF('TL06'!$C$10:$C$224,$C151,'TL06'!$J$10:$J$224),0),
IF('TL06'!$B$229=P$3,SUMIF('TL06'!$C$238:$C$451,$C151,'TL06'!$J$238:$J$451),0),
IF('TL07'!$B$3=P$3,SUMIF('TL07'!$C$10:$C$224,$C151,'TL07'!$J$10:$J$224),0),
IF('TL07'!$B$229=P$3,SUMIF('TL07'!$C$238:$C$451,$C151,'TL07'!$J$238:$J$451),0),
IF('TL08'!$B$3=P$3,SUMIF('TL08'!$C$10:$C$224,$C151,'TL08'!$J$10:$J$224),0),
IF('TL08'!$B$229=P$3,SUMIF('TL08'!$C$238:$C$451,$C151,'TL08'!$J$238:$J$451),0),
IF('TL09'!$B$3=P$3,SUMIF('TL09'!$C$10:$C$224,$C151,'TL09'!$J$10:$J$224),0),
IF('TL09'!$B$229=P$3,SUMIF('TL09'!$C$238:$C$451,$C151,'TL09'!$J$238:$J$451),0),
IF('TL10'!$B$3=P$3,SUMIF('TL10'!$C$10:$C$224,$C151,'TL10'!$J$10:$J$224),0),
IF('TL10'!$B$229=P$3,SUMIF('TL10'!$C$238:$C$451,$C151,'TL10'!$J$238:$J$451),0),
IF('TL11'!$B$3=P$3,SUMIF('TL11'!$C$10:$C$224,$C151,'TL11'!$J$10:$J$224),0),
IF('TL11'!$B$229=P$3,SUMIF('TL11'!$C$238:$C$451,$C151,'TL11'!$J$238:$J$451),0),
IF('TL12'!$B$3=P$3,SUMIF('TL12'!$C$10:$C$224,$C151,'TL12'!$J$10:$J$224),0),
IF('TL12'!$B$229=P$3,SUMIF('TL12'!$C$238:$C$451,$C151,'TL12'!$J$238:$J$451),0),
IF('TL13'!$B$3=P$3,SUMIF('TL13'!$C$10:$C$224,$C151,'TL13'!$J$10:$J$224),0),
IF('TL13'!$B$229=P$3,SUMIF('TL13'!$C$238:$C$451,$C151,'TL13'!$J$238:$J$451),0),
IF('TL14'!$B$3=P$3,SUMIF('TL14'!$C$10:$C$224,$C151,'TL14'!$J$10:$J$224),0),
IF('TL14'!$B$229=P$3,SUMIF('TL14'!$C$238:$C$451,$C151,'TL14'!$J$238:$J$451),0),
IF('TL15'!$B$3=P$3,SUMIF('TL15'!$C$10:$C$224,$C151,'TL15'!$J$10:$J$224),0),
IF('TL15'!$B$229=P$3,SUMIF('TL15'!$C$238:$C$451,$C151,'TL15'!$J$238:$J$451),0),
IF('TL16'!$B$3=P$3,SUMIF('TL16'!$C$10:$C$224,$C151,'TL16'!$J$10:$J$224),0),
IF('TL16'!$B$229=P$3,SUMIF('TL16'!$C$238:$C$451,$C151,'TL16'!$J$238:$J$451),0),
IF('TL17'!$B$3=P$3,SUMIF('TL17'!$C$10:$C$224,$C151,'TL17'!$J$10:$J$224),0),
IF('TL17'!$B$229=P$3,SUMIF('TL17'!$C$238:$C$451,$C151,'TL17'!$J$238:$J$451),0),
IF('TL18'!$B$3=P$3,SUMIF('TL18'!$C$10:$C$224,$C151,'TL18'!$J$10:$J$224),0),
IF('TL18'!$B$229=P$3,SUMIF('TL18'!$C$238:$C$451,$C151,'TL18'!$J$238:$J$451),0),
IF('TL19'!$B$3=P$3,SUMIF('TL19'!$C$10:$C$224,$C151,'TL19'!$J$10:$J$224),0),
IF('TL19'!$B$229=P$3,SUMIF('TL19'!$C$238:$C$451,$C151,'TL19'!$J$238:$J$451),0)
),0)</f>
        <v/>
      </c>
      <c r="Q151" s="9">
        <f>IFERROR(SUM(
IF('TL01'!$B$3=Q$3,SUMIF('TL01'!$C$10:$C$224,$C151,'TL01'!$J$10:$J$224),0),
IF('TL01'!$B$229=Q$3,SUMIF('TL01'!$C$238:$C$451,$C151,'TL01'!$J$238:$J$451),0),
IF('TL02'!$B$3=Q$3,SUMIF('TL02'!$C$10:$C$224,$C151,'TL02'!$J$10:$J$224),0),
IF('TL02'!$B$229=Q$3,SUMIF('TL02'!$C$238:$C$451,$C151,'TL02'!$J$238:$J$451),0),
IF('TL03'!$B$3=Q$3,SUMIF('TL03'!$C$10:$C$224,$C151,'TL03'!$J$10:$J$224),0),
IF('TL03'!$B$229=Q$3,SUMIF('TL03'!$C$238:$C$451,$C151,'TL03'!$J$238:$J$451),0),
IF('TL04'!$B$3=Q$3,SUMIF('TL04'!$C$10:$C$224,$C151,'TL04'!$J$10:$J$224),0),
IF('TL04'!$B$229=Q$3,SUMIF('TL04'!$C$238:$C$451,$C151,'TL04'!$J$238:$J$451),0),
IF('TL05'!$B$3=Q$3,SUMIF('TL05'!$C$10:$C$224,$C151,'TL05'!$J$10:$J$224),0),
IF('TL05'!$B$229=Q$3,SUMIF('TL05'!$C$238:$C$451,$C151,'TL05'!$J$238:$J$451),0),
IF('TL06'!$B$3=Q$3,SUMIF('TL06'!$C$10:$C$224,$C151,'TL06'!$J$10:$J$224),0),
IF('TL06'!$B$229=Q$3,SUMIF('TL06'!$C$238:$C$451,$C151,'TL06'!$J$238:$J$451),0),
IF('TL07'!$B$3=Q$3,SUMIF('TL07'!$C$10:$C$224,$C151,'TL07'!$J$10:$J$224),0),
IF('TL07'!$B$229=Q$3,SUMIF('TL07'!$C$238:$C$451,$C151,'TL07'!$J$238:$J$451),0),
IF('TL08'!$B$3=Q$3,SUMIF('TL08'!$C$10:$C$224,$C151,'TL08'!$J$10:$J$224),0),
IF('TL08'!$B$229=Q$3,SUMIF('TL08'!$C$238:$C$451,$C151,'TL08'!$J$238:$J$451),0),
IF('TL09'!$B$3=Q$3,SUMIF('TL09'!$C$10:$C$224,$C151,'TL09'!$J$10:$J$224),0),
IF('TL09'!$B$229=Q$3,SUMIF('TL09'!$C$238:$C$451,$C151,'TL09'!$J$238:$J$451),0),
IF('TL10'!$B$3=Q$3,SUMIF('TL10'!$C$10:$C$224,$C151,'TL10'!$J$10:$J$224),0),
IF('TL10'!$B$229=Q$3,SUMIF('TL10'!$C$238:$C$451,$C151,'TL10'!$J$238:$J$451),0),
IF('TL11'!$B$3=Q$3,SUMIF('TL11'!$C$10:$C$224,$C151,'TL11'!$J$10:$J$224),0),
IF('TL11'!$B$229=Q$3,SUMIF('TL11'!$C$238:$C$451,$C151,'TL11'!$J$238:$J$451),0),
IF('TL12'!$B$3=Q$3,SUMIF('TL12'!$C$10:$C$224,$C151,'TL12'!$J$10:$J$224),0),
IF('TL12'!$B$229=Q$3,SUMIF('TL12'!$C$238:$C$451,$C151,'TL12'!$J$238:$J$451),0),
IF('TL13'!$B$3=Q$3,SUMIF('TL13'!$C$10:$C$224,$C151,'TL13'!$J$10:$J$224),0),
IF('TL13'!$B$229=Q$3,SUMIF('TL13'!$C$238:$C$451,$C151,'TL13'!$J$238:$J$451),0),
IF('TL14'!$B$3=Q$3,SUMIF('TL14'!$C$10:$C$224,$C151,'TL14'!$J$10:$J$224),0),
IF('TL14'!$B$229=Q$3,SUMIF('TL14'!$C$238:$C$451,$C151,'TL14'!$J$238:$J$451),0),
IF('TL15'!$B$3=Q$3,SUMIF('TL15'!$C$10:$C$224,$C151,'TL15'!$J$10:$J$224),0),
IF('TL15'!$B$229=Q$3,SUMIF('TL15'!$C$238:$C$451,$C151,'TL15'!$J$238:$J$451),0),
IF('TL16'!$B$3=Q$3,SUMIF('TL16'!$C$10:$C$224,$C151,'TL16'!$J$10:$J$224),0),
IF('TL16'!$B$229=Q$3,SUMIF('TL16'!$C$238:$C$451,$C151,'TL16'!$J$238:$J$451),0),
IF('TL17'!$B$3=Q$3,SUMIF('TL17'!$C$10:$C$224,$C151,'TL17'!$J$10:$J$224),0),
IF('TL17'!$B$229=Q$3,SUMIF('TL17'!$C$238:$C$451,$C151,'TL17'!$J$238:$J$451),0),
IF('TL18'!$B$3=Q$3,SUMIF('TL18'!$C$10:$C$224,$C151,'TL18'!$J$10:$J$224),0),
IF('TL18'!$B$229=Q$3,SUMIF('TL18'!$C$238:$C$451,$C151,'TL18'!$J$238:$J$451),0),
IF('TL19'!$B$3=Q$3,SUMIF('TL19'!$C$10:$C$224,$C151,'TL19'!$J$10:$J$224),0),
IF('TL19'!$B$229=Q$3,SUMIF('TL19'!$C$238:$C$451,$C151,'TL19'!$J$238:$J$451),0)
),0)</f>
        <v/>
      </c>
      <c r="R151" s="9">
        <f>IFERROR(
SUM(
SUMIF('TL01'!C:C,C151,'TL01'!J:J),
SUMIF('TL02'!C:C,C151,'TL02'!J:J),
SUMIF('TL03'!C:C,C151,'TL03'!J:J),
SUMIF('TL04'!C:C,C151,'TL04'!J:J),
SUMIF('TL05'!C:C,C151,'TL05'!J:J),
SUMIF('TL06'!C:C,C151,'TL06'!J:J),
SUMIF('TL07'!C:C,C151,'TL07'!J:J),
SUMIF('TL08'!C:C,C151,'TL08'!J:J),
SUMIF('TL09'!C:C,C151,'TL09'!J:J),
SUMIF('TL10'!C:C,C151,'TL10'!J:J),
SUMIF('TL11'!C:C,C151,'TL11'!J:J),
SUMIF('TL12'!C:C,C151,'TL12'!J:J),
SUMIF('TL13'!C:C,C151,'TL13'!J:J),
SUMIF('TL14'!C:C,C151,'TL14'!J:J),
SUMIF('TL15'!C:C,C151,'TL15'!J:J),
SUMIF('TL16'!C:C,C151,'TL16'!J:J),
SUMIF('TL17'!C:C,C151,'TL17'!J:J),
SUMIF('TL18'!C:C,C151,'TL18'!J:J),SUMIF('TL19'!C:C,C151,'TL19'!J:J))
,0)</f>
        <v/>
      </c>
      <c r="S151" s="17">
        <f>IFERROR(__xludf.DUMMYFUNCTION("IFERROR(VLOOKUP(C151,
IMPORTRANGE(""1wULbzX32WdYsx-lj2U3uUNBBe2INVIRDtcK0d-Dvl90"",
""26-27!C:G""),
5,
FALSE),
"""")"),48.889619999999994)</f>
        <v/>
      </c>
      <c r="T151" s="9" t="n"/>
      <c r="U151" s="92">
        <f>MAX(0,R151-T151)</f>
        <v/>
      </c>
      <c r="V151" s="93">
        <f>U151*S151</f>
        <v/>
      </c>
    </row>
    <row r="152" hidden="1" ht="15.75" customHeight="1" s="297">
      <c r="A152" s="115" t="inlineStr">
        <is>
          <t>NORTOX</t>
        </is>
      </c>
      <c r="B152" s="100" t="inlineStr">
        <is>
          <t>HERBICIDA</t>
        </is>
      </c>
      <c r="C152" s="116" t="inlineStr">
        <is>
          <t>TRIFLURALINA NORTOX GOLD</t>
        </is>
      </c>
      <c r="D152" s="116" t="inlineStr">
        <is>
          <t>TRIFLURALINA</t>
        </is>
      </c>
      <c r="E152" s="116" t="n">
        <v>450</v>
      </c>
      <c r="F152" s="4" t="inlineStr">
        <is>
          <t>L</t>
        </is>
      </c>
      <c r="G152" s="90">
        <f>HYPERLINK("https://www.google.com/search?q=" &amp; C152 &amp; "+bula+agrofit+pdf", "📄 Ver bula")</f>
        <v/>
      </c>
      <c r="H152" s="9">
        <f>IFERROR(__xludf.DUMMYFUNCTION("IFERROR(VLOOKUP(C152,
IMPORTRANGE(""1wULbzX32WdYsx-lj2U3uUNBBe2INVIRDtcK0d-Dvl90"",
""26-27!C:K""),
8,
FALSE),
"""")"),"")</f>
        <v/>
      </c>
      <c r="I152" s="117" t="inlineStr">
        <is>
          <t>1x20</t>
        </is>
      </c>
      <c r="J152" s="9">
        <f>IFERROR(SUM(
IF('TL01'!$B$3=J$3,SUMIF('TL01'!$C$10:$C$224,$C152,'TL01'!$J$10:$J$224),0),
IF('TL01'!$B$229=J$3,SUMIF('TL01'!$C$238:$C$451,$C152,'TL01'!$J$238:$J$451),0),
IF('TL02'!$B$3=J$3,SUMIF('TL02'!$C$10:$C$224,$C152,'TL02'!$J$10:$J$224),0),
IF('TL02'!$B$229=J$3,SUMIF('TL02'!$C$238:$C$451,$C152,'TL02'!$J$238:$J$451),0),
IF('TL03'!$B$3=J$3,SUMIF('TL03'!$C$10:$C$224,$C152,'TL03'!$J$10:$J$224),0),
IF('TL03'!$B$229=J$3,SUMIF('TL03'!$C$238:$C$451,$C152,'TL03'!$J$238:$J$451),0),
IF('TL04'!$B$3=J$3,SUMIF('TL04'!$C$10:$C$224,$C152,'TL04'!$J$10:$J$224),0),
IF('TL04'!$B$229=J$3,SUMIF('TL04'!$C$238:$C$451,$C152,'TL04'!$J$238:$J$451),0),
IF('TL05'!$B$3=J$3,SUMIF('TL05'!$C$10:$C$224,$C152,'TL05'!$J$10:$J$224),0),
IF('TL05'!$B$229=J$3,SUMIF('TL05'!$C$238:$C$451,$C152,'TL05'!$J$238:$J$451),0),
IF('TL06'!$B$3=J$3,SUMIF('TL06'!$C$10:$C$224,$C152,'TL06'!$J$10:$J$224),0),
IF('TL06'!$B$229=J$3,SUMIF('TL06'!$C$238:$C$451,$C152,'TL06'!$J$238:$J$451),0),
IF('TL07'!$B$3=J$3,SUMIF('TL07'!$C$10:$C$224,$C152,'TL07'!$J$10:$J$224),0),
IF('TL07'!$B$229=J$3,SUMIF('TL07'!$C$238:$C$451,$C152,'TL07'!$J$238:$J$451),0),
IF('TL08'!$B$3=J$3,SUMIF('TL08'!$C$10:$C$224,$C152,'TL08'!$J$10:$J$224),0),
IF('TL08'!$B$229=J$3,SUMIF('TL08'!$C$238:$C$451,$C152,'TL08'!$J$238:$J$451),0),
IF('TL09'!$B$3=J$3,SUMIF('TL09'!$C$10:$C$224,$C152,'TL09'!$J$10:$J$224),0),
IF('TL09'!$B$229=J$3,SUMIF('TL09'!$C$238:$C$451,$C152,'TL09'!$J$238:$J$451),0),
IF('TL10'!$B$3=J$3,SUMIF('TL10'!$C$10:$C$224,$C152,'TL10'!$J$10:$J$224),0),
IF('TL10'!$B$229=J$3,SUMIF('TL10'!$C$238:$C$451,$C152,'TL10'!$J$238:$J$451),0),
IF('TL11'!$B$3=J$3,SUMIF('TL11'!$C$10:$C$224,$C152,'TL11'!$J$10:$J$224),0),
IF('TL11'!$B$229=J$3,SUMIF('TL11'!$C$238:$C$451,$C152,'TL11'!$J$238:$J$451),0),
IF('TL12'!$B$3=J$3,SUMIF('TL12'!$C$10:$C$224,$C152,'TL12'!$J$10:$J$224),0),
IF('TL12'!$B$229=J$3,SUMIF('TL12'!$C$238:$C$451,$C152,'TL12'!$J$238:$J$451),0),
IF('TL13'!$B$3=J$3,SUMIF('TL13'!$C$10:$C$224,$C152,'TL13'!$J$10:$J$224),0),
IF('TL13'!$B$229=J$3,SUMIF('TL13'!$C$238:$C$451,$C152,'TL13'!$J$238:$J$451),0),
IF('TL14'!$B$3=J$3,SUMIF('TL14'!$C$10:$C$224,$C152,'TL14'!$J$10:$J$224),0),
IF('TL14'!$B$229=J$3,SUMIF('TL14'!$C$238:$C$451,$C152,'TL14'!$J$238:$J$451),0),
IF('TL15'!$B$3=J$3,SUMIF('TL15'!$C$10:$C$224,$C152,'TL15'!$J$10:$J$224),0),
IF('TL15'!$B$229=J$3,SUMIF('TL15'!$C$238:$C$451,$C152,'TL15'!$J$238:$J$451),0),
IF('TL16'!$B$3=J$3,SUMIF('TL16'!$C$10:$C$224,$C152,'TL16'!$J$10:$J$224),0),
IF('TL16'!$B$229=J$3,SUMIF('TL16'!$C$238:$C$451,$C152,'TL16'!$J$238:$J$451),0),
IF('TL17'!$B$3=J$3,SUMIF('TL17'!$C$10:$C$224,$C152,'TL17'!$J$10:$J$224),0),
IF('TL17'!$B$229=J$3,SUMIF('TL17'!$C$238:$C$451,$C152,'TL17'!$J$238:$J$451),0),
IF('TL18'!$B$3=J$3,SUMIF('TL18'!$C$10:$C$224,$C152,'TL18'!$J$10:$J$224),0),
IF('TL18'!$B$229=J$3,SUMIF('TL18'!$C$238:$C$451,$C152,'TL18'!$J$238:$J$451),0),
IF('TL19'!$B$3=J$3,SUMIF('TL19'!$C$10:$C$224,$C152,'TL19'!$J$10:$J$224),0),
IF('TL19'!$B$229=J$3,SUMIF('TL19'!$C$238:$C$451,$C152,'TL19'!$J$238:$J$451),0)
),0)</f>
        <v/>
      </c>
      <c r="K152" s="9">
        <f>IFERROR(SUM(
IF('TL01'!$B$3=K$3,SUMIF('TL01'!$C$10:$C$224,$C152,'TL01'!$J$10:$J$224),0),
IF('TL01'!$B$229=K$3,SUMIF('TL01'!$C$238:$C$451,$C152,'TL01'!$J$238:$J$451),0),
IF('TL02'!$B$3=K$3,SUMIF('TL02'!$C$10:$C$224,$C152,'TL02'!$J$10:$J$224),0),
IF('TL02'!$B$229=K$3,SUMIF('TL02'!$C$238:$C$451,$C152,'TL02'!$J$238:$J$451),0),
IF('TL03'!$B$3=K$3,SUMIF('TL03'!$C$10:$C$224,$C152,'TL03'!$J$10:$J$224),0),
IF('TL03'!$B$229=K$3,SUMIF('TL03'!$C$238:$C$451,$C152,'TL03'!$J$238:$J$451),0),
IF('TL04'!$B$3=K$3,SUMIF('TL04'!$C$10:$C$224,$C152,'TL04'!$J$10:$J$224),0),
IF('TL04'!$B$229=K$3,SUMIF('TL04'!$C$238:$C$451,$C152,'TL04'!$J$238:$J$451),0),
IF('TL05'!$B$3=K$3,SUMIF('TL05'!$C$10:$C$224,$C152,'TL05'!$J$10:$J$224),0),
IF('TL05'!$B$229=K$3,SUMIF('TL05'!$C$238:$C$451,$C152,'TL05'!$J$238:$J$451),0),
IF('TL06'!$B$3=K$3,SUMIF('TL06'!$C$10:$C$224,$C152,'TL06'!$J$10:$J$224),0),
IF('TL06'!$B$229=K$3,SUMIF('TL06'!$C$238:$C$451,$C152,'TL06'!$J$238:$J$451),0),
IF('TL07'!$B$3=K$3,SUMIF('TL07'!$C$10:$C$224,$C152,'TL07'!$J$10:$J$224),0),
IF('TL07'!$B$229=K$3,SUMIF('TL07'!$C$238:$C$451,$C152,'TL07'!$J$238:$J$451),0),
IF('TL08'!$B$3=K$3,SUMIF('TL08'!$C$10:$C$224,$C152,'TL08'!$J$10:$J$224),0),
IF('TL08'!$B$229=K$3,SUMIF('TL08'!$C$238:$C$451,$C152,'TL08'!$J$238:$J$451),0),
IF('TL09'!$B$3=K$3,SUMIF('TL09'!$C$10:$C$224,$C152,'TL09'!$J$10:$J$224),0),
IF('TL09'!$B$229=K$3,SUMIF('TL09'!$C$238:$C$451,$C152,'TL09'!$J$238:$J$451),0),
IF('TL10'!$B$3=K$3,SUMIF('TL10'!$C$10:$C$224,$C152,'TL10'!$J$10:$J$224),0),
IF('TL10'!$B$229=K$3,SUMIF('TL10'!$C$238:$C$451,$C152,'TL10'!$J$238:$J$451),0),
IF('TL11'!$B$3=K$3,SUMIF('TL11'!$C$10:$C$224,$C152,'TL11'!$J$10:$J$224),0),
IF('TL11'!$B$229=K$3,SUMIF('TL11'!$C$238:$C$451,$C152,'TL11'!$J$238:$J$451),0),
IF('TL12'!$B$3=K$3,SUMIF('TL12'!$C$10:$C$224,$C152,'TL12'!$J$10:$J$224),0),
IF('TL12'!$B$229=K$3,SUMIF('TL12'!$C$238:$C$451,$C152,'TL12'!$J$238:$J$451),0),
IF('TL13'!$B$3=K$3,SUMIF('TL13'!$C$10:$C$224,$C152,'TL13'!$J$10:$J$224),0),
IF('TL13'!$B$229=K$3,SUMIF('TL13'!$C$238:$C$451,$C152,'TL13'!$J$238:$J$451),0),
IF('TL14'!$B$3=K$3,SUMIF('TL14'!$C$10:$C$224,$C152,'TL14'!$J$10:$J$224),0),
IF('TL14'!$B$229=K$3,SUMIF('TL14'!$C$238:$C$451,$C152,'TL14'!$J$238:$J$451),0),
IF('TL15'!$B$3=K$3,SUMIF('TL15'!$C$10:$C$224,$C152,'TL15'!$J$10:$J$224),0),
IF('TL15'!$B$229=K$3,SUMIF('TL15'!$C$238:$C$451,$C152,'TL15'!$J$238:$J$451),0),
IF('TL16'!$B$3=K$3,SUMIF('TL16'!$C$10:$C$224,$C152,'TL16'!$J$10:$J$224),0),
IF('TL16'!$B$229=K$3,SUMIF('TL16'!$C$238:$C$451,$C152,'TL16'!$J$238:$J$451),0),
IF('TL17'!$B$3=K$3,SUMIF('TL17'!$C$10:$C$224,$C152,'TL17'!$J$10:$J$224),0),
IF('TL17'!$B$229=K$3,SUMIF('TL17'!$C$238:$C$451,$C152,'TL17'!$J$238:$J$451),0),
IF('TL18'!$B$3=K$3,SUMIF('TL18'!$C$10:$C$224,$C152,'TL18'!$J$10:$J$224),0),
IF('TL18'!$B$229=K$3,SUMIF('TL18'!$C$238:$C$451,$C152,'TL18'!$J$238:$J$451),0),
IF('TL19'!$B$3=K$3,SUMIF('TL19'!$C$10:$C$224,$C152,'TL19'!$J$10:$J$224),0),
IF('TL19'!$B$229=K$3,SUMIF('TL19'!$C$238:$C$451,$C152,'TL19'!$J$238:$J$451),0)
),0)</f>
        <v/>
      </c>
      <c r="L152" s="9">
        <f>IFERROR(SUM(
IF('TL01'!$B$3=L$3,SUMIF('TL01'!$C$10:$C$224,$C152,'TL01'!$J$10:$J$224),0),
IF('TL01'!$B$229=L$3,SUMIF('TL01'!$C$238:$C$451,$C152,'TL01'!$J$238:$J$451),0),
IF('TL02'!$B$3=L$3,SUMIF('TL02'!$C$10:$C$224,$C152,'TL02'!$J$10:$J$224),0),
IF('TL02'!$B$229=L$3,SUMIF('TL02'!$C$238:$C$451,$C152,'TL02'!$J$238:$J$451),0),
IF('TL03'!$B$3=L$3,SUMIF('TL03'!$C$10:$C$224,$C152,'TL03'!$J$10:$J$224),0),
IF('TL03'!$B$229=L$3,SUMIF('TL03'!$C$238:$C$451,$C152,'TL03'!$J$238:$J$451),0),
IF('TL04'!$B$3=L$3,SUMIF('TL04'!$C$10:$C$224,$C152,'TL04'!$J$10:$J$224),0),
IF('TL04'!$B$229=L$3,SUMIF('TL04'!$C$238:$C$451,$C152,'TL04'!$J$238:$J$451),0),
IF('TL05'!$B$3=L$3,SUMIF('TL05'!$C$10:$C$224,$C152,'TL05'!$J$10:$J$224),0),
IF('TL05'!$B$229=L$3,SUMIF('TL05'!$C$238:$C$451,$C152,'TL05'!$J$238:$J$451),0),
IF('TL06'!$B$3=L$3,SUMIF('TL06'!$C$10:$C$224,$C152,'TL06'!$J$10:$J$224),0),
IF('TL06'!$B$229=L$3,SUMIF('TL06'!$C$238:$C$451,$C152,'TL06'!$J$238:$J$451),0),
IF('TL07'!$B$3=L$3,SUMIF('TL07'!$C$10:$C$224,$C152,'TL07'!$J$10:$J$224),0),
IF('TL07'!$B$229=L$3,SUMIF('TL07'!$C$238:$C$451,$C152,'TL07'!$J$238:$J$451),0),
IF('TL08'!$B$3=L$3,SUMIF('TL08'!$C$10:$C$224,$C152,'TL08'!$J$10:$J$224),0),
IF('TL08'!$B$229=L$3,SUMIF('TL08'!$C$238:$C$451,$C152,'TL08'!$J$238:$J$451),0),
IF('TL09'!$B$3=L$3,SUMIF('TL09'!$C$10:$C$224,$C152,'TL09'!$J$10:$J$224),0),
IF('TL09'!$B$229=L$3,SUMIF('TL09'!$C$238:$C$451,$C152,'TL09'!$J$238:$J$451),0),
IF('TL10'!$B$3=L$3,SUMIF('TL10'!$C$10:$C$224,$C152,'TL10'!$J$10:$J$224),0),
IF('TL10'!$B$229=L$3,SUMIF('TL10'!$C$238:$C$451,$C152,'TL10'!$J$238:$J$451),0),
IF('TL11'!$B$3=L$3,SUMIF('TL11'!$C$10:$C$224,$C152,'TL11'!$J$10:$J$224),0),
IF('TL11'!$B$229=L$3,SUMIF('TL11'!$C$238:$C$451,$C152,'TL11'!$J$238:$J$451),0),
IF('TL12'!$B$3=L$3,SUMIF('TL12'!$C$10:$C$224,$C152,'TL12'!$J$10:$J$224),0),
IF('TL12'!$B$229=L$3,SUMIF('TL12'!$C$238:$C$451,$C152,'TL12'!$J$238:$J$451),0),
IF('TL13'!$B$3=L$3,SUMIF('TL13'!$C$10:$C$224,$C152,'TL13'!$J$10:$J$224),0),
IF('TL13'!$B$229=L$3,SUMIF('TL13'!$C$238:$C$451,$C152,'TL13'!$J$238:$J$451),0),
IF('TL14'!$B$3=L$3,SUMIF('TL14'!$C$10:$C$224,$C152,'TL14'!$J$10:$J$224),0),
IF('TL14'!$B$229=L$3,SUMIF('TL14'!$C$238:$C$451,$C152,'TL14'!$J$238:$J$451),0),
IF('TL15'!$B$3=L$3,SUMIF('TL15'!$C$10:$C$224,$C152,'TL15'!$J$10:$J$224),0),
IF('TL15'!$B$229=L$3,SUMIF('TL15'!$C$238:$C$451,$C152,'TL15'!$J$238:$J$451),0),
IF('TL16'!$B$3=L$3,SUMIF('TL16'!$C$10:$C$224,$C152,'TL16'!$J$10:$J$224),0),
IF('TL16'!$B$229=L$3,SUMIF('TL16'!$C$238:$C$451,$C152,'TL16'!$J$238:$J$451),0),
IF('TL17'!$B$3=L$3,SUMIF('TL17'!$C$10:$C$224,$C152,'TL17'!$J$10:$J$224),0),
IF('TL17'!$B$229=L$3,SUMIF('TL17'!$C$238:$C$451,$C152,'TL17'!$J$238:$J$451),0),
IF('TL18'!$B$3=L$3,SUMIF('TL18'!$C$10:$C$224,$C152,'TL18'!$J$10:$J$224),0),
IF('TL18'!$B$229=L$3,SUMIF('TL18'!$C$238:$C$451,$C152,'TL18'!$J$238:$J$451),0),
IF('TL19'!$B$3=L$3,SUMIF('TL19'!$C$10:$C$224,$C152,'TL19'!$J$10:$J$224),0),
IF('TL19'!$B$229=L$3,SUMIF('TL19'!$C$238:$C$451,$C152,'TL19'!$J$238:$J$451),0)
),0)</f>
        <v/>
      </c>
      <c r="M152" s="9">
        <f>IFERROR(SUM(
IF('TL01'!$B$3=M$3,SUMIF('TL01'!$C$10:$C$224,$C152,'TL01'!$J$10:$J$224),0),
IF('TL01'!$B$229=M$3,SUMIF('TL01'!$C$238:$C$451,$C152,'TL01'!$J$238:$J$451),0),
IF('TL02'!$B$3=M$3,SUMIF('TL02'!$C$10:$C$224,$C152,'TL02'!$J$10:$J$224),0),
IF('TL02'!$B$229=M$3,SUMIF('TL02'!$C$238:$C$451,$C152,'TL02'!$J$238:$J$451),0),
IF('TL03'!$B$3=M$3,SUMIF('TL03'!$C$10:$C$224,$C152,'TL03'!$J$10:$J$224),0),
IF('TL03'!$B$229=M$3,SUMIF('TL03'!$C$238:$C$451,$C152,'TL03'!$J$238:$J$451),0),
IF('TL04'!$B$3=M$3,SUMIF('TL04'!$C$10:$C$224,$C152,'TL04'!$J$10:$J$224),0),
IF('TL04'!$B$229=M$3,SUMIF('TL04'!$C$238:$C$451,$C152,'TL04'!$J$238:$J$451),0),
IF('TL05'!$B$3=M$3,SUMIF('TL05'!$C$10:$C$224,$C152,'TL05'!$J$10:$J$224),0),
IF('TL05'!$B$229=M$3,SUMIF('TL05'!$C$238:$C$451,$C152,'TL05'!$J$238:$J$451),0),
IF('TL06'!$B$3=M$3,SUMIF('TL06'!$C$10:$C$224,$C152,'TL06'!$J$10:$J$224),0),
IF('TL06'!$B$229=M$3,SUMIF('TL06'!$C$238:$C$451,$C152,'TL06'!$J$238:$J$451),0),
IF('TL07'!$B$3=M$3,SUMIF('TL07'!$C$10:$C$224,$C152,'TL07'!$J$10:$J$224),0),
IF('TL07'!$B$229=M$3,SUMIF('TL07'!$C$238:$C$451,$C152,'TL07'!$J$238:$J$451),0),
IF('TL08'!$B$3=M$3,SUMIF('TL08'!$C$10:$C$224,$C152,'TL08'!$J$10:$J$224),0),
IF('TL08'!$B$229=M$3,SUMIF('TL08'!$C$238:$C$451,$C152,'TL08'!$J$238:$J$451),0),
IF('TL09'!$B$3=M$3,SUMIF('TL09'!$C$10:$C$224,$C152,'TL09'!$J$10:$J$224),0),
IF('TL09'!$B$229=M$3,SUMIF('TL09'!$C$238:$C$451,$C152,'TL09'!$J$238:$J$451),0),
IF('TL10'!$B$3=M$3,SUMIF('TL10'!$C$10:$C$224,$C152,'TL10'!$J$10:$J$224),0),
IF('TL10'!$B$229=M$3,SUMIF('TL10'!$C$238:$C$451,$C152,'TL10'!$J$238:$J$451),0),
IF('TL11'!$B$3=M$3,SUMIF('TL11'!$C$10:$C$224,$C152,'TL11'!$J$10:$J$224),0),
IF('TL11'!$B$229=M$3,SUMIF('TL11'!$C$238:$C$451,$C152,'TL11'!$J$238:$J$451),0),
IF('TL12'!$B$3=M$3,SUMIF('TL12'!$C$10:$C$224,$C152,'TL12'!$J$10:$J$224),0),
IF('TL12'!$B$229=M$3,SUMIF('TL12'!$C$238:$C$451,$C152,'TL12'!$J$238:$J$451),0),
IF('TL13'!$B$3=M$3,SUMIF('TL13'!$C$10:$C$224,$C152,'TL13'!$J$10:$J$224),0),
IF('TL13'!$B$229=M$3,SUMIF('TL13'!$C$238:$C$451,$C152,'TL13'!$J$238:$J$451),0),
IF('TL14'!$B$3=M$3,SUMIF('TL14'!$C$10:$C$224,$C152,'TL14'!$J$10:$J$224),0),
IF('TL14'!$B$229=M$3,SUMIF('TL14'!$C$238:$C$451,$C152,'TL14'!$J$238:$J$451),0),
IF('TL15'!$B$3=M$3,SUMIF('TL15'!$C$10:$C$224,$C152,'TL15'!$J$10:$J$224),0),
IF('TL15'!$B$229=M$3,SUMIF('TL15'!$C$238:$C$451,$C152,'TL15'!$J$238:$J$451),0),
IF('TL16'!$B$3=M$3,SUMIF('TL16'!$C$10:$C$224,$C152,'TL16'!$J$10:$J$224),0),
IF('TL16'!$B$229=M$3,SUMIF('TL16'!$C$238:$C$451,$C152,'TL16'!$J$238:$J$451),0),
IF('TL17'!$B$3=M$3,SUMIF('TL17'!$C$10:$C$224,$C152,'TL17'!$J$10:$J$224),0),
IF('TL17'!$B$229=M$3,SUMIF('TL17'!$C$238:$C$451,$C152,'TL17'!$J$238:$J$451),0),
IF('TL18'!$B$3=M$3,SUMIF('TL18'!$C$10:$C$224,$C152,'TL18'!$J$10:$J$224),0),
IF('TL18'!$B$229=M$3,SUMIF('TL18'!$C$238:$C$451,$C152,'TL18'!$J$238:$J$451),0),
IF('TL19'!$B$3=M$3,SUMIF('TL19'!$C$10:$C$224,$C152,'TL19'!$J$10:$J$224),0),
IF('TL19'!$B$229=M$3,SUMIF('TL19'!$C$238:$C$451,$C152,'TL19'!$J$238:$J$451),0)
),0)</f>
        <v/>
      </c>
      <c r="N152" s="9">
        <f>IFERROR(SUM(
IF('TL01'!$B$3=N$3,SUMIF('TL01'!$C$10:$C$224,$C152,'TL01'!$J$10:$J$224),0),
IF('TL01'!$B$229=N$3,SUMIF('TL01'!$C$238:$C$451,$C152,'TL01'!$J$238:$J$451),0),
IF('TL02'!$B$3=N$3,SUMIF('TL02'!$C$10:$C$224,$C152,'TL02'!$J$10:$J$224),0),
IF('TL02'!$B$229=N$3,SUMIF('TL02'!$C$238:$C$451,$C152,'TL02'!$J$238:$J$451),0),
IF('TL03'!$B$3=N$3,SUMIF('TL03'!$C$10:$C$224,$C152,'TL03'!$J$10:$J$224),0),
IF('TL03'!$B$229=N$3,SUMIF('TL03'!$C$238:$C$451,$C152,'TL03'!$J$238:$J$451),0),
IF('TL04'!$B$3=N$3,SUMIF('TL04'!$C$10:$C$224,$C152,'TL04'!$J$10:$J$224),0),
IF('TL04'!$B$229=N$3,SUMIF('TL04'!$C$238:$C$451,$C152,'TL04'!$J$238:$J$451),0),
IF('TL05'!$B$3=N$3,SUMIF('TL05'!$C$10:$C$224,$C152,'TL05'!$J$10:$J$224),0),
IF('TL05'!$B$229=N$3,SUMIF('TL05'!$C$238:$C$451,$C152,'TL05'!$J$238:$J$451),0),
IF('TL06'!$B$3=N$3,SUMIF('TL06'!$C$10:$C$224,$C152,'TL06'!$J$10:$J$224),0),
IF('TL06'!$B$229=N$3,SUMIF('TL06'!$C$238:$C$451,$C152,'TL06'!$J$238:$J$451),0),
IF('TL07'!$B$3=N$3,SUMIF('TL07'!$C$10:$C$224,$C152,'TL07'!$J$10:$J$224),0),
IF('TL07'!$B$229=N$3,SUMIF('TL07'!$C$238:$C$451,$C152,'TL07'!$J$238:$J$451),0),
IF('TL08'!$B$3=N$3,SUMIF('TL08'!$C$10:$C$224,$C152,'TL08'!$J$10:$J$224),0),
IF('TL08'!$B$229=N$3,SUMIF('TL08'!$C$238:$C$451,$C152,'TL08'!$J$238:$J$451),0),
IF('TL09'!$B$3=N$3,SUMIF('TL09'!$C$10:$C$224,$C152,'TL09'!$J$10:$J$224),0),
IF('TL09'!$B$229=N$3,SUMIF('TL09'!$C$238:$C$451,$C152,'TL09'!$J$238:$J$451),0),
IF('TL10'!$B$3=N$3,SUMIF('TL10'!$C$10:$C$224,$C152,'TL10'!$J$10:$J$224),0),
IF('TL10'!$B$229=N$3,SUMIF('TL10'!$C$238:$C$451,$C152,'TL10'!$J$238:$J$451),0),
IF('TL11'!$B$3=N$3,SUMIF('TL11'!$C$10:$C$224,$C152,'TL11'!$J$10:$J$224),0),
IF('TL11'!$B$229=N$3,SUMIF('TL11'!$C$238:$C$451,$C152,'TL11'!$J$238:$J$451),0),
IF('TL12'!$B$3=N$3,SUMIF('TL12'!$C$10:$C$224,$C152,'TL12'!$J$10:$J$224),0),
IF('TL12'!$B$229=N$3,SUMIF('TL12'!$C$238:$C$451,$C152,'TL12'!$J$238:$J$451),0),
IF('TL13'!$B$3=N$3,SUMIF('TL13'!$C$10:$C$224,$C152,'TL13'!$J$10:$J$224),0),
IF('TL13'!$B$229=N$3,SUMIF('TL13'!$C$238:$C$451,$C152,'TL13'!$J$238:$J$451),0),
IF('TL14'!$B$3=N$3,SUMIF('TL14'!$C$10:$C$224,$C152,'TL14'!$J$10:$J$224),0),
IF('TL14'!$B$229=N$3,SUMIF('TL14'!$C$238:$C$451,$C152,'TL14'!$J$238:$J$451),0),
IF('TL15'!$B$3=N$3,SUMIF('TL15'!$C$10:$C$224,$C152,'TL15'!$J$10:$J$224),0),
IF('TL15'!$B$229=N$3,SUMIF('TL15'!$C$238:$C$451,$C152,'TL15'!$J$238:$J$451),0),
IF('TL16'!$B$3=N$3,SUMIF('TL16'!$C$10:$C$224,$C152,'TL16'!$J$10:$J$224),0),
IF('TL16'!$B$229=N$3,SUMIF('TL16'!$C$238:$C$451,$C152,'TL16'!$J$238:$J$451),0),
IF('TL17'!$B$3=N$3,SUMIF('TL17'!$C$10:$C$224,$C152,'TL17'!$J$10:$J$224),0),
IF('TL17'!$B$229=N$3,SUMIF('TL17'!$C$238:$C$451,$C152,'TL17'!$J$238:$J$451),0),
IF('TL18'!$B$3=N$3,SUMIF('TL18'!$C$10:$C$224,$C152,'TL18'!$J$10:$J$224),0),
IF('TL18'!$B$229=N$3,SUMIF('TL18'!$C$238:$C$451,$C152,'TL18'!$J$238:$J$451),0),
IF('TL19'!$B$3=N$3,SUMIF('TL19'!$C$10:$C$224,$C152,'TL19'!$J$10:$J$224),0),
IF('TL19'!$B$229=N$3,SUMIF('TL19'!$C$238:$C$451,$C152,'TL19'!$J$238:$J$451),0)
),0)</f>
        <v/>
      </c>
      <c r="O152" s="9">
        <f>IFERROR(SUM(
IF('TL01'!$B$3=O$3,SUMIF('TL01'!$C$10:$C$224,$C152,'TL01'!$J$10:$J$224),0),
IF('TL01'!$B$229=O$3,SUMIF('TL01'!$C$238:$C$451,$C152,'TL01'!$J$238:$J$451),0),
IF('TL02'!$B$3=O$3,SUMIF('TL02'!$C$10:$C$224,$C152,'TL02'!$J$10:$J$224),0),
IF('TL02'!$B$229=O$3,SUMIF('TL02'!$C$238:$C$451,$C152,'TL02'!$J$238:$J$451),0),
IF('TL03'!$B$3=O$3,SUMIF('TL03'!$C$10:$C$224,$C152,'TL03'!$J$10:$J$224),0),
IF('TL03'!$B$229=O$3,SUMIF('TL03'!$C$238:$C$451,$C152,'TL03'!$J$238:$J$451),0),
IF('TL04'!$B$3=O$3,SUMIF('TL04'!$C$10:$C$224,$C152,'TL04'!$J$10:$J$224),0),
IF('TL04'!$B$229=O$3,SUMIF('TL04'!$C$238:$C$451,$C152,'TL04'!$J$238:$J$451),0),
IF('TL05'!$B$3=O$3,SUMIF('TL05'!$C$10:$C$224,$C152,'TL05'!$J$10:$J$224),0),
IF('TL05'!$B$229=O$3,SUMIF('TL05'!$C$238:$C$451,$C152,'TL05'!$J$238:$J$451),0),
IF('TL06'!$B$3=O$3,SUMIF('TL06'!$C$10:$C$224,$C152,'TL06'!$J$10:$J$224),0),
IF('TL06'!$B$229=O$3,SUMIF('TL06'!$C$238:$C$451,$C152,'TL06'!$J$238:$J$451),0),
IF('TL07'!$B$3=O$3,SUMIF('TL07'!$C$10:$C$224,$C152,'TL07'!$J$10:$J$224),0),
IF('TL07'!$B$229=O$3,SUMIF('TL07'!$C$238:$C$451,$C152,'TL07'!$J$238:$J$451),0),
IF('TL08'!$B$3=O$3,SUMIF('TL08'!$C$10:$C$224,$C152,'TL08'!$J$10:$J$224),0),
IF('TL08'!$B$229=O$3,SUMIF('TL08'!$C$238:$C$451,$C152,'TL08'!$J$238:$J$451),0),
IF('TL09'!$B$3=O$3,SUMIF('TL09'!$C$10:$C$224,$C152,'TL09'!$J$10:$J$224),0),
IF('TL09'!$B$229=O$3,SUMIF('TL09'!$C$238:$C$451,$C152,'TL09'!$J$238:$J$451),0),
IF('TL10'!$B$3=O$3,SUMIF('TL10'!$C$10:$C$224,$C152,'TL10'!$J$10:$J$224),0),
IF('TL10'!$B$229=O$3,SUMIF('TL10'!$C$238:$C$451,$C152,'TL10'!$J$238:$J$451),0),
IF('TL11'!$B$3=O$3,SUMIF('TL11'!$C$10:$C$224,$C152,'TL11'!$J$10:$J$224),0),
IF('TL11'!$B$229=O$3,SUMIF('TL11'!$C$238:$C$451,$C152,'TL11'!$J$238:$J$451),0),
IF('TL12'!$B$3=O$3,SUMIF('TL12'!$C$10:$C$224,$C152,'TL12'!$J$10:$J$224),0),
IF('TL12'!$B$229=O$3,SUMIF('TL12'!$C$238:$C$451,$C152,'TL12'!$J$238:$J$451),0),
IF('TL13'!$B$3=O$3,SUMIF('TL13'!$C$10:$C$224,$C152,'TL13'!$J$10:$J$224),0),
IF('TL13'!$B$229=O$3,SUMIF('TL13'!$C$238:$C$451,$C152,'TL13'!$J$238:$J$451),0),
IF('TL14'!$B$3=O$3,SUMIF('TL14'!$C$10:$C$224,$C152,'TL14'!$J$10:$J$224),0),
IF('TL14'!$B$229=O$3,SUMIF('TL14'!$C$238:$C$451,$C152,'TL14'!$J$238:$J$451),0),
IF('TL15'!$B$3=O$3,SUMIF('TL15'!$C$10:$C$224,$C152,'TL15'!$J$10:$J$224),0),
IF('TL15'!$B$229=O$3,SUMIF('TL15'!$C$238:$C$451,$C152,'TL15'!$J$238:$J$451),0),
IF('TL16'!$B$3=O$3,SUMIF('TL16'!$C$10:$C$224,$C152,'TL16'!$J$10:$J$224),0),
IF('TL16'!$B$229=O$3,SUMIF('TL16'!$C$238:$C$451,$C152,'TL16'!$J$238:$J$451),0),
IF('TL17'!$B$3=O$3,SUMIF('TL17'!$C$10:$C$224,$C152,'TL17'!$J$10:$J$224),0),
IF('TL17'!$B$229=O$3,SUMIF('TL17'!$C$238:$C$451,$C152,'TL17'!$J$238:$J$451),0),
IF('TL18'!$B$3=O$3,SUMIF('TL18'!$C$10:$C$224,$C152,'TL18'!$J$10:$J$224),0),
IF('TL18'!$B$229=O$3,SUMIF('TL18'!$C$238:$C$451,$C152,'TL18'!$J$238:$J$451),0),
IF('TL19'!$B$3=O$3,SUMIF('TL19'!$C$10:$C$224,$C152,'TL19'!$J$10:$J$224),0),
IF('TL19'!$B$229=O$3,SUMIF('TL19'!$C$238:$C$451,$C152,'TL19'!$J$238:$J$451),0)
),0)</f>
        <v/>
      </c>
      <c r="P152" s="9">
        <f>IFERROR(SUM(
IF('TL01'!$B$3=P$3,SUMIF('TL01'!$C$10:$C$224,$C152,'TL01'!$J$10:$J$224),0),
IF('TL01'!$B$229=P$3,SUMIF('TL01'!$C$238:$C$451,$C152,'TL01'!$J$238:$J$451),0),
IF('TL02'!$B$3=P$3,SUMIF('TL02'!$C$10:$C$224,$C152,'TL02'!$J$10:$J$224),0),
IF('TL02'!$B$229=P$3,SUMIF('TL02'!$C$238:$C$451,$C152,'TL02'!$J$238:$J$451),0),
IF('TL03'!$B$3=P$3,SUMIF('TL03'!$C$10:$C$224,$C152,'TL03'!$J$10:$J$224),0),
IF('TL03'!$B$229=P$3,SUMIF('TL03'!$C$238:$C$451,$C152,'TL03'!$J$238:$J$451),0),
IF('TL04'!$B$3=P$3,SUMIF('TL04'!$C$10:$C$224,$C152,'TL04'!$J$10:$J$224),0),
IF('TL04'!$B$229=P$3,SUMIF('TL04'!$C$238:$C$451,$C152,'TL04'!$J$238:$J$451),0),
IF('TL05'!$B$3=P$3,SUMIF('TL05'!$C$10:$C$224,$C152,'TL05'!$J$10:$J$224),0),
IF('TL05'!$B$229=P$3,SUMIF('TL05'!$C$238:$C$451,$C152,'TL05'!$J$238:$J$451),0),
IF('TL06'!$B$3=P$3,SUMIF('TL06'!$C$10:$C$224,$C152,'TL06'!$J$10:$J$224),0),
IF('TL06'!$B$229=P$3,SUMIF('TL06'!$C$238:$C$451,$C152,'TL06'!$J$238:$J$451),0),
IF('TL07'!$B$3=P$3,SUMIF('TL07'!$C$10:$C$224,$C152,'TL07'!$J$10:$J$224),0),
IF('TL07'!$B$229=P$3,SUMIF('TL07'!$C$238:$C$451,$C152,'TL07'!$J$238:$J$451),0),
IF('TL08'!$B$3=P$3,SUMIF('TL08'!$C$10:$C$224,$C152,'TL08'!$J$10:$J$224),0),
IF('TL08'!$B$229=P$3,SUMIF('TL08'!$C$238:$C$451,$C152,'TL08'!$J$238:$J$451),0),
IF('TL09'!$B$3=P$3,SUMIF('TL09'!$C$10:$C$224,$C152,'TL09'!$J$10:$J$224),0),
IF('TL09'!$B$229=P$3,SUMIF('TL09'!$C$238:$C$451,$C152,'TL09'!$J$238:$J$451),0),
IF('TL10'!$B$3=P$3,SUMIF('TL10'!$C$10:$C$224,$C152,'TL10'!$J$10:$J$224),0),
IF('TL10'!$B$229=P$3,SUMIF('TL10'!$C$238:$C$451,$C152,'TL10'!$J$238:$J$451),0),
IF('TL11'!$B$3=P$3,SUMIF('TL11'!$C$10:$C$224,$C152,'TL11'!$J$10:$J$224),0),
IF('TL11'!$B$229=P$3,SUMIF('TL11'!$C$238:$C$451,$C152,'TL11'!$J$238:$J$451),0),
IF('TL12'!$B$3=P$3,SUMIF('TL12'!$C$10:$C$224,$C152,'TL12'!$J$10:$J$224),0),
IF('TL12'!$B$229=P$3,SUMIF('TL12'!$C$238:$C$451,$C152,'TL12'!$J$238:$J$451),0),
IF('TL13'!$B$3=P$3,SUMIF('TL13'!$C$10:$C$224,$C152,'TL13'!$J$10:$J$224),0),
IF('TL13'!$B$229=P$3,SUMIF('TL13'!$C$238:$C$451,$C152,'TL13'!$J$238:$J$451),0),
IF('TL14'!$B$3=P$3,SUMIF('TL14'!$C$10:$C$224,$C152,'TL14'!$J$10:$J$224),0),
IF('TL14'!$B$229=P$3,SUMIF('TL14'!$C$238:$C$451,$C152,'TL14'!$J$238:$J$451),0),
IF('TL15'!$B$3=P$3,SUMIF('TL15'!$C$10:$C$224,$C152,'TL15'!$J$10:$J$224),0),
IF('TL15'!$B$229=P$3,SUMIF('TL15'!$C$238:$C$451,$C152,'TL15'!$J$238:$J$451),0),
IF('TL16'!$B$3=P$3,SUMIF('TL16'!$C$10:$C$224,$C152,'TL16'!$J$10:$J$224),0),
IF('TL16'!$B$229=P$3,SUMIF('TL16'!$C$238:$C$451,$C152,'TL16'!$J$238:$J$451),0),
IF('TL17'!$B$3=P$3,SUMIF('TL17'!$C$10:$C$224,$C152,'TL17'!$J$10:$J$224),0),
IF('TL17'!$B$229=P$3,SUMIF('TL17'!$C$238:$C$451,$C152,'TL17'!$J$238:$J$451),0),
IF('TL18'!$B$3=P$3,SUMIF('TL18'!$C$10:$C$224,$C152,'TL18'!$J$10:$J$224),0),
IF('TL18'!$B$229=P$3,SUMIF('TL18'!$C$238:$C$451,$C152,'TL18'!$J$238:$J$451),0),
IF('TL19'!$B$3=P$3,SUMIF('TL19'!$C$10:$C$224,$C152,'TL19'!$J$10:$J$224),0),
IF('TL19'!$B$229=P$3,SUMIF('TL19'!$C$238:$C$451,$C152,'TL19'!$J$238:$J$451),0)
),0)</f>
        <v/>
      </c>
      <c r="Q152" s="9">
        <f>IFERROR(SUM(
IF('TL01'!$B$3=Q$3,SUMIF('TL01'!$C$10:$C$224,$C152,'TL01'!$J$10:$J$224),0),
IF('TL01'!$B$229=Q$3,SUMIF('TL01'!$C$238:$C$451,$C152,'TL01'!$J$238:$J$451),0),
IF('TL02'!$B$3=Q$3,SUMIF('TL02'!$C$10:$C$224,$C152,'TL02'!$J$10:$J$224),0),
IF('TL02'!$B$229=Q$3,SUMIF('TL02'!$C$238:$C$451,$C152,'TL02'!$J$238:$J$451),0),
IF('TL03'!$B$3=Q$3,SUMIF('TL03'!$C$10:$C$224,$C152,'TL03'!$J$10:$J$224),0),
IF('TL03'!$B$229=Q$3,SUMIF('TL03'!$C$238:$C$451,$C152,'TL03'!$J$238:$J$451),0),
IF('TL04'!$B$3=Q$3,SUMIF('TL04'!$C$10:$C$224,$C152,'TL04'!$J$10:$J$224),0),
IF('TL04'!$B$229=Q$3,SUMIF('TL04'!$C$238:$C$451,$C152,'TL04'!$J$238:$J$451),0),
IF('TL05'!$B$3=Q$3,SUMIF('TL05'!$C$10:$C$224,$C152,'TL05'!$J$10:$J$224),0),
IF('TL05'!$B$229=Q$3,SUMIF('TL05'!$C$238:$C$451,$C152,'TL05'!$J$238:$J$451),0),
IF('TL06'!$B$3=Q$3,SUMIF('TL06'!$C$10:$C$224,$C152,'TL06'!$J$10:$J$224),0),
IF('TL06'!$B$229=Q$3,SUMIF('TL06'!$C$238:$C$451,$C152,'TL06'!$J$238:$J$451),0),
IF('TL07'!$B$3=Q$3,SUMIF('TL07'!$C$10:$C$224,$C152,'TL07'!$J$10:$J$224),0),
IF('TL07'!$B$229=Q$3,SUMIF('TL07'!$C$238:$C$451,$C152,'TL07'!$J$238:$J$451),0),
IF('TL08'!$B$3=Q$3,SUMIF('TL08'!$C$10:$C$224,$C152,'TL08'!$J$10:$J$224),0),
IF('TL08'!$B$229=Q$3,SUMIF('TL08'!$C$238:$C$451,$C152,'TL08'!$J$238:$J$451),0),
IF('TL09'!$B$3=Q$3,SUMIF('TL09'!$C$10:$C$224,$C152,'TL09'!$J$10:$J$224),0),
IF('TL09'!$B$229=Q$3,SUMIF('TL09'!$C$238:$C$451,$C152,'TL09'!$J$238:$J$451),0),
IF('TL10'!$B$3=Q$3,SUMIF('TL10'!$C$10:$C$224,$C152,'TL10'!$J$10:$J$224),0),
IF('TL10'!$B$229=Q$3,SUMIF('TL10'!$C$238:$C$451,$C152,'TL10'!$J$238:$J$451),0),
IF('TL11'!$B$3=Q$3,SUMIF('TL11'!$C$10:$C$224,$C152,'TL11'!$J$10:$J$224),0),
IF('TL11'!$B$229=Q$3,SUMIF('TL11'!$C$238:$C$451,$C152,'TL11'!$J$238:$J$451),0),
IF('TL12'!$B$3=Q$3,SUMIF('TL12'!$C$10:$C$224,$C152,'TL12'!$J$10:$J$224),0),
IF('TL12'!$B$229=Q$3,SUMIF('TL12'!$C$238:$C$451,$C152,'TL12'!$J$238:$J$451),0),
IF('TL13'!$B$3=Q$3,SUMIF('TL13'!$C$10:$C$224,$C152,'TL13'!$J$10:$J$224),0),
IF('TL13'!$B$229=Q$3,SUMIF('TL13'!$C$238:$C$451,$C152,'TL13'!$J$238:$J$451),0),
IF('TL14'!$B$3=Q$3,SUMIF('TL14'!$C$10:$C$224,$C152,'TL14'!$J$10:$J$224),0),
IF('TL14'!$B$229=Q$3,SUMIF('TL14'!$C$238:$C$451,$C152,'TL14'!$J$238:$J$451),0),
IF('TL15'!$B$3=Q$3,SUMIF('TL15'!$C$10:$C$224,$C152,'TL15'!$J$10:$J$224),0),
IF('TL15'!$B$229=Q$3,SUMIF('TL15'!$C$238:$C$451,$C152,'TL15'!$J$238:$J$451),0),
IF('TL16'!$B$3=Q$3,SUMIF('TL16'!$C$10:$C$224,$C152,'TL16'!$J$10:$J$224),0),
IF('TL16'!$B$229=Q$3,SUMIF('TL16'!$C$238:$C$451,$C152,'TL16'!$J$238:$J$451),0),
IF('TL17'!$B$3=Q$3,SUMIF('TL17'!$C$10:$C$224,$C152,'TL17'!$J$10:$J$224),0),
IF('TL17'!$B$229=Q$3,SUMIF('TL17'!$C$238:$C$451,$C152,'TL17'!$J$238:$J$451),0),
IF('TL18'!$B$3=Q$3,SUMIF('TL18'!$C$10:$C$224,$C152,'TL18'!$J$10:$J$224),0),
IF('TL18'!$B$229=Q$3,SUMIF('TL18'!$C$238:$C$451,$C152,'TL18'!$J$238:$J$451),0),
IF('TL19'!$B$3=Q$3,SUMIF('TL19'!$C$10:$C$224,$C152,'TL19'!$J$10:$J$224),0),
IF('TL19'!$B$229=Q$3,SUMIF('TL19'!$C$238:$C$451,$C152,'TL19'!$J$238:$J$451),0)
),0)</f>
        <v/>
      </c>
      <c r="R152" s="9">
        <f>IFERROR(
SUM(
SUMIF('TL01'!C:C,C152,'TL01'!J:J),
SUMIF('TL02'!C:C,C152,'TL02'!J:J),
SUMIF('TL03'!C:C,C152,'TL03'!J:J),
SUMIF('TL04'!C:C,C152,'TL04'!J:J),
SUMIF('TL05'!C:C,C152,'TL05'!J:J),
SUMIF('TL06'!C:C,C152,'TL06'!J:J),
SUMIF('TL07'!C:C,C152,'TL07'!J:J),
SUMIF('TL08'!C:C,C152,'TL08'!J:J),
SUMIF('TL09'!C:C,C152,'TL09'!J:J),
SUMIF('TL10'!C:C,C152,'TL10'!J:J),
SUMIF('TL11'!C:C,C152,'TL11'!J:J),
SUMIF('TL12'!C:C,C152,'TL12'!J:J),
SUMIF('TL13'!C:C,C152,'TL13'!J:J),
SUMIF('TL14'!C:C,C152,'TL14'!J:J),
SUMIF('TL15'!C:C,C152,'TL15'!J:J),
SUMIF('TL16'!C:C,C152,'TL16'!J:J),
SUMIF('TL17'!C:C,C152,'TL17'!J:J),
SUMIF('TL18'!C:C,C152,'TL18'!J:J),SUMIF('TL19'!C:C,C152,'TL19'!J:J))
,0)</f>
        <v/>
      </c>
      <c r="S152" s="17">
        <f>IFERROR(__xludf.DUMMYFUNCTION("IFERROR(VLOOKUP(C152,
IMPORTRANGE(""1wULbzX32WdYsx-lj2U3uUNBBe2INVIRDtcK0d-Dvl90"",
""26-27!C:G""),
5,
FALSE),
"""")"),32.88804)</f>
        <v/>
      </c>
      <c r="T152" s="9" t="n"/>
      <c r="U152" s="92">
        <f>MAX(0,R152-T152)</f>
        <v/>
      </c>
      <c r="V152" s="93">
        <f>U152*S152</f>
        <v/>
      </c>
    </row>
    <row r="153" hidden="1" ht="15.75" customHeight="1" s="297">
      <c r="A153" s="111" t="inlineStr">
        <is>
          <t>SIPCAM</t>
        </is>
      </c>
      <c r="B153" s="112" t="inlineStr">
        <is>
          <t>HERBICIDA</t>
        </is>
      </c>
      <c r="C153" s="113" t="inlineStr">
        <is>
          <t>CLICK</t>
        </is>
      </c>
      <c r="D153" s="113" t="inlineStr">
        <is>
          <t>TERBUTILAZINA</t>
        </is>
      </c>
      <c r="E153" s="113" t="n">
        <v>500</v>
      </c>
      <c r="F153" s="4" t="inlineStr">
        <is>
          <t>L</t>
        </is>
      </c>
      <c r="G153" s="90">
        <f>HYPERLINK("https://www.google.com/search?q=" &amp; C153 &amp; "+bula+agrofit+pdf", "📄 Ver bula")</f>
        <v/>
      </c>
      <c r="H153" s="9">
        <f>IFERROR(__xludf.DUMMYFUNCTION("IFERROR(VLOOKUP(C153,
IMPORTRANGE(""1wULbzX32WdYsx-lj2U3uUNBBe2INVIRDtcK0d-Dvl90"",
""26-27!C:K""),
8,
FALSE),
"""")"),"")</f>
        <v/>
      </c>
      <c r="I153" s="114" t="inlineStr">
        <is>
          <t>1x20</t>
        </is>
      </c>
      <c r="J153" s="9">
        <f>IFERROR(SUM(
IF('TL01'!$B$3=J$3,SUMIF('TL01'!$C$10:$C$224,$C153,'TL01'!$J$10:$J$224),0),
IF('TL01'!$B$229=J$3,SUMIF('TL01'!$C$238:$C$451,$C153,'TL01'!$J$238:$J$451),0),
IF('TL02'!$B$3=J$3,SUMIF('TL02'!$C$10:$C$224,$C153,'TL02'!$J$10:$J$224),0),
IF('TL02'!$B$229=J$3,SUMIF('TL02'!$C$238:$C$451,$C153,'TL02'!$J$238:$J$451),0),
IF('TL03'!$B$3=J$3,SUMIF('TL03'!$C$10:$C$224,$C153,'TL03'!$J$10:$J$224),0),
IF('TL03'!$B$229=J$3,SUMIF('TL03'!$C$238:$C$451,$C153,'TL03'!$J$238:$J$451),0),
IF('TL04'!$B$3=J$3,SUMIF('TL04'!$C$10:$C$224,$C153,'TL04'!$J$10:$J$224),0),
IF('TL04'!$B$229=J$3,SUMIF('TL04'!$C$238:$C$451,$C153,'TL04'!$J$238:$J$451),0),
IF('TL05'!$B$3=J$3,SUMIF('TL05'!$C$10:$C$224,$C153,'TL05'!$J$10:$J$224),0),
IF('TL05'!$B$229=J$3,SUMIF('TL05'!$C$238:$C$451,$C153,'TL05'!$J$238:$J$451),0),
IF('TL06'!$B$3=J$3,SUMIF('TL06'!$C$10:$C$224,$C153,'TL06'!$J$10:$J$224),0),
IF('TL06'!$B$229=J$3,SUMIF('TL06'!$C$238:$C$451,$C153,'TL06'!$J$238:$J$451),0),
IF('TL07'!$B$3=J$3,SUMIF('TL07'!$C$10:$C$224,$C153,'TL07'!$J$10:$J$224),0),
IF('TL07'!$B$229=J$3,SUMIF('TL07'!$C$238:$C$451,$C153,'TL07'!$J$238:$J$451),0),
IF('TL08'!$B$3=J$3,SUMIF('TL08'!$C$10:$C$224,$C153,'TL08'!$J$10:$J$224),0),
IF('TL08'!$B$229=J$3,SUMIF('TL08'!$C$238:$C$451,$C153,'TL08'!$J$238:$J$451),0),
IF('TL09'!$B$3=J$3,SUMIF('TL09'!$C$10:$C$224,$C153,'TL09'!$J$10:$J$224),0),
IF('TL09'!$B$229=J$3,SUMIF('TL09'!$C$238:$C$451,$C153,'TL09'!$J$238:$J$451),0),
IF('TL10'!$B$3=J$3,SUMIF('TL10'!$C$10:$C$224,$C153,'TL10'!$J$10:$J$224),0),
IF('TL10'!$B$229=J$3,SUMIF('TL10'!$C$238:$C$451,$C153,'TL10'!$J$238:$J$451),0),
IF('TL11'!$B$3=J$3,SUMIF('TL11'!$C$10:$C$224,$C153,'TL11'!$J$10:$J$224),0),
IF('TL11'!$B$229=J$3,SUMIF('TL11'!$C$238:$C$451,$C153,'TL11'!$J$238:$J$451),0),
IF('TL12'!$B$3=J$3,SUMIF('TL12'!$C$10:$C$224,$C153,'TL12'!$J$10:$J$224),0),
IF('TL12'!$B$229=J$3,SUMIF('TL12'!$C$238:$C$451,$C153,'TL12'!$J$238:$J$451),0),
IF('TL13'!$B$3=J$3,SUMIF('TL13'!$C$10:$C$224,$C153,'TL13'!$J$10:$J$224),0),
IF('TL13'!$B$229=J$3,SUMIF('TL13'!$C$238:$C$451,$C153,'TL13'!$J$238:$J$451),0),
IF('TL14'!$B$3=J$3,SUMIF('TL14'!$C$10:$C$224,$C153,'TL14'!$J$10:$J$224),0),
IF('TL14'!$B$229=J$3,SUMIF('TL14'!$C$238:$C$451,$C153,'TL14'!$J$238:$J$451),0),
IF('TL15'!$B$3=J$3,SUMIF('TL15'!$C$10:$C$224,$C153,'TL15'!$J$10:$J$224),0),
IF('TL15'!$B$229=J$3,SUMIF('TL15'!$C$238:$C$451,$C153,'TL15'!$J$238:$J$451),0),
IF('TL16'!$B$3=J$3,SUMIF('TL16'!$C$10:$C$224,$C153,'TL16'!$J$10:$J$224),0),
IF('TL16'!$B$229=J$3,SUMIF('TL16'!$C$238:$C$451,$C153,'TL16'!$J$238:$J$451),0),
IF('TL17'!$B$3=J$3,SUMIF('TL17'!$C$10:$C$224,$C153,'TL17'!$J$10:$J$224),0),
IF('TL17'!$B$229=J$3,SUMIF('TL17'!$C$238:$C$451,$C153,'TL17'!$J$238:$J$451),0),
IF('TL18'!$B$3=J$3,SUMIF('TL18'!$C$10:$C$224,$C153,'TL18'!$J$10:$J$224),0),
IF('TL18'!$B$229=J$3,SUMIF('TL18'!$C$238:$C$451,$C153,'TL18'!$J$238:$J$451),0),
IF('TL19'!$B$3=J$3,SUMIF('TL19'!$C$10:$C$224,$C153,'TL19'!$J$10:$J$224),0),
IF('TL19'!$B$229=J$3,SUMIF('TL19'!$C$238:$C$451,$C153,'TL19'!$J$238:$J$451),0)
),0)</f>
        <v/>
      </c>
      <c r="K153" s="9">
        <f>IFERROR(SUM(
IF('TL01'!$B$3=K$3,SUMIF('TL01'!$C$10:$C$224,$C153,'TL01'!$J$10:$J$224),0),
IF('TL01'!$B$229=K$3,SUMIF('TL01'!$C$238:$C$451,$C153,'TL01'!$J$238:$J$451),0),
IF('TL02'!$B$3=K$3,SUMIF('TL02'!$C$10:$C$224,$C153,'TL02'!$J$10:$J$224),0),
IF('TL02'!$B$229=K$3,SUMIF('TL02'!$C$238:$C$451,$C153,'TL02'!$J$238:$J$451),0),
IF('TL03'!$B$3=K$3,SUMIF('TL03'!$C$10:$C$224,$C153,'TL03'!$J$10:$J$224),0),
IF('TL03'!$B$229=K$3,SUMIF('TL03'!$C$238:$C$451,$C153,'TL03'!$J$238:$J$451),0),
IF('TL04'!$B$3=K$3,SUMIF('TL04'!$C$10:$C$224,$C153,'TL04'!$J$10:$J$224),0),
IF('TL04'!$B$229=K$3,SUMIF('TL04'!$C$238:$C$451,$C153,'TL04'!$J$238:$J$451),0),
IF('TL05'!$B$3=K$3,SUMIF('TL05'!$C$10:$C$224,$C153,'TL05'!$J$10:$J$224),0),
IF('TL05'!$B$229=K$3,SUMIF('TL05'!$C$238:$C$451,$C153,'TL05'!$J$238:$J$451),0),
IF('TL06'!$B$3=K$3,SUMIF('TL06'!$C$10:$C$224,$C153,'TL06'!$J$10:$J$224),0),
IF('TL06'!$B$229=K$3,SUMIF('TL06'!$C$238:$C$451,$C153,'TL06'!$J$238:$J$451),0),
IF('TL07'!$B$3=K$3,SUMIF('TL07'!$C$10:$C$224,$C153,'TL07'!$J$10:$J$224),0),
IF('TL07'!$B$229=K$3,SUMIF('TL07'!$C$238:$C$451,$C153,'TL07'!$J$238:$J$451),0),
IF('TL08'!$B$3=K$3,SUMIF('TL08'!$C$10:$C$224,$C153,'TL08'!$J$10:$J$224),0),
IF('TL08'!$B$229=K$3,SUMIF('TL08'!$C$238:$C$451,$C153,'TL08'!$J$238:$J$451),0),
IF('TL09'!$B$3=K$3,SUMIF('TL09'!$C$10:$C$224,$C153,'TL09'!$J$10:$J$224),0),
IF('TL09'!$B$229=K$3,SUMIF('TL09'!$C$238:$C$451,$C153,'TL09'!$J$238:$J$451),0),
IF('TL10'!$B$3=K$3,SUMIF('TL10'!$C$10:$C$224,$C153,'TL10'!$J$10:$J$224),0),
IF('TL10'!$B$229=K$3,SUMIF('TL10'!$C$238:$C$451,$C153,'TL10'!$J$238:$J$451),0),
IF('TL11'!$B$3=K$3,SUMIF('TL11'!$C$10:$C$224,$C153,'TL11'!$J$10:$J$224),0),
IF('TL11'!$B$229=K$3,SUMIF('TL11'!$C$238:$C$451,$C153,'TL11'!$J$238:$J$451),0),
IF('TL12'!$B$3=K$3,SUMIF('TL12'!$C$10:$C$224,$C153,'TL12'!$J$10:$J$224),0),
IF('TL12'!$B$229=K$3,SUMIF('TL12'!$C$238:$C$451,$C153,'TL12'!$J$238:$J$451),0),
IF('TL13'!$B$3=K$3,SUMIF('TL13'!$C$10:$C$224,$C153,'TL13'!$J$10:$J$224),0),
IF('TL13'!$B$229=K$3,SUMIF('TL13'!$C$238:$C$451,$C153,'TL13'!$J$238:$J$451),0),
IF('TL14'!$B$3=K$3,SUMIF('TL14'!$C$10:$C$224,$C153,'TL14'!$J$10:$J$224),0),
IF('TL14'!$B$229=K$3,SUMIF('TL14'!$C$238:$C$451,$C153,'TL14'!$J$238:$J$451),0),
IF('TL15'!$B$3=K$3,SUMIF('TL15'!$C$10:$C$224,$C153,'TL15'!$J$10:$J$224),0),
IF('TL15'!$B$229=K$3,SUMIF('TL15'!$C$238:$C$451,$C153,'TL15'!$J$238:$J$451),0),
IF('TL16'!$B$3=K$3,SUMIF('TL16'!$C$10:$C$224,$C153,'TL16'!$J$10:$J$224),0),
IF('TL16'!$B$229=K$3,SUMIF('TL16'!$C$238:$C$451,$C153,'TL16'!$J$238:$J$451),0),
IF('TL17'!$B$3=K$3,SUMIF('TL17'!$C$10:$C$224,$C153,'TL17'!$J$10:$J$224),0),
IF('TL17'!$B$229=K$3,SUMIF('TL17'!$C$238:$C$451,$C153,'TL17'!$J$238:$J$451),0),
IF('TL18'!$B$3=K$3,SUMIF('TL18'!$C$10:$C$224,$C153,'TL18'!$J$10:$J$224),0),
IF('TL18'!$B$229=K$3,SUMIF('TL18'!$C$238:$C$451,$C153,'TL18'!$J$238:$J$451),0),
IF('TL19'!$B$3=K$3,SUMIF('TL19'!$C$10:$C$224,$C153,'TL19'!$J$10:$J$224),0),
IF('TL19'!$B$229=K$3,SUMIF('TL19'!$C$238:$C$451,$C153,'TL19'!$J$238:$J$451),0)
),0)</f>
        <v/>
      </c>
      <c r="L153" s="9">
        <f>IFERROR(SUM(
IF('TL01'!$B$3=L$3,SUMIF('TL01'!$C$10:$C$224,$C153,'TL01'!$J$10:$J$224),0),
IF('TL01'!$B$229=L$3,SUMIF('TL01'!$C$238:$C$451,$C153,'TL01'!$J$238:$J$451),0),
IF('TL02'!$B$3=L$3,SUMIF('TL02'!$C$10:$C$224,$C153,'TL02'!$J$10:$J$224),0),
IF('TL02'!$B$229=L$3,SUMIF('TL02'!$C$238:$C$451,$C153,'TL02'!$J$238:$J$451),0),
IF('TL03'!$B$3=L$3,SUMIF('TL03'!$C$10:$C$224,$C153,'TL03'!$J$10:$J$224),0),
IF('TL03'!$B$229=L$3,SUMIF('TL03'!$C$238:$C$451,$C153,'TL03'!$J$238:$J$451),0),
IF('TL04'!$B$3=L$3,SUMIF('TL04'!$C$10:$C$224,$C153,'TL04'!$J$10:$J$224),0),
IF('TL04'!$B$229=L$3,SUMIF('TL04'!$C$238:$C$451,$C153,'TL04'!$J$238:$J$451),0),
IF('TL05'!$B$3=L$3,SUMIF('TL05'!$C$10:$C$224,$C153,'TL05'!$J$10:$J$224),0),
IF('TL05'!$B$229=L$3,SUMIF('TL05'!$C$238:$C$451,$C153,'TL05'!$J$238:$J$451),0),
IF('TL06'!$B$3=L$3,SUMIF('TL06'!$C$10:$C$224,$C153,'TL06'!$J$10:$J$224),0),
IF('TL06'!$B$229=L$3,SUMIF('TL06'!$C$238:$C$451,$C153,'TL06'!$J$238:$J$451),0),
IF('TL07'!$B$3=L$3,SUMIF('TL07'!$C$10:$C$224,$C153,'TL07'!$J$10:$J$224),0),
IF('TL07'!$B$229=L$3,SUMIF('TL07'!$C$238:$C$451,$C153,'TL07'!$J$238:$J$451),0),
IF('TL08'!$B$3=L$3,SUMIF('TL08'!$C$10:$C$224,$C153,'TL08'!$J$10:$J$224),0),
IF('TL08'!$B$229=L$3,SUMIF('TL08'!$C$238:$C$451,$C153,'TL08'!$J$238:$J$451),0),
IF('TL09'!$B$3=L$3,SUMIF('TL09'!$C$10:$C$224,$C153,'TL09'!$J$10:$J$224),0),
IF('TL09'!$B$229=L$3,SUMIF('TL09'!$C$238:$C$451,$C153,'TL09'!$J$238:$J$451),0),
IF('TL10'!$B$3=L$3,SUMIF('TL10'!$C$10:$C$224,$C153,'TL10'!$J$10:$J$224),0),
IF('TL10'!$B$229=L$3,SUMIF('TL10'!$C$238:$C$451,$C153,'TL10'!$J$238:$J$451),0),
IF('TL11'!$B$3=L$3,SUMIF('TL11'!$C$10:$C$224,$C153,'TL11'!$J$10:$J$224),0),
IF('TL11'!$B$229=L$3,SUMIF('TL11'!$C$238:$C$451,$C153,'TL11'!$J$238:$J$451),0),
IF('TL12'!$B$3=L$3,SUMIF('TL12'!$C$10:$C$224,$C153,'TL12'!$J$10:$J$224),0),
IF('TL12'!$B$229=L$3,SUMIF('TL12'!$C$238:$C$451,$C153,'TL12'!$J$238:$J$451),0),
IF('TL13'!$B$3=L$3,SUMIF('TL13'!$C$10:$C$224,$C153,'TL13'!$J$10:$J$224),0),
IF('TL13'!$B$229=L$3,SUMIF('TL13'!$C$238:$C$451,$C153,'TL13'!$J$238:$J$451),0),
IF('TL14'!$B$3=L$3,SUMIF('TL14'!$C$10:$C$224,$C153,'TL14'!$J$10:$J$224),0),
IF('TL14'!$B$229=L$3,SUMIF('TL14'!$C$238:$C$451,$C153,'TL14'!$J$238:$J$451),0),
IF('TL15'!$B$3=L$3,SUMIF('TL15'!$C$10:$C$224,$C153,'TL15'!$J$10:$J$224),0),
IF('TL15'!$B$229=L$3,SUMIF('TL15'!$C$238:$C$451,$C153,'TL15'!$J$238:$J$451),0),
IF('TL16'!$B$3=L$3,SUMIF('TL16'!$C$10:$C$224,$C153,'TL16'!$J$10:$J$224),0),
IF('TL16'!$B$229=L$3,SUMIF('TL16'!$C$238:$C$451,$C153,'TL16'!$J$238:$J$451),0),
IF('TL17'!$B$3=L$3,SUMIF('TL17'!$C$10:$C$224,$C153,'TL17'!$J$10:$J$224),0),
IF('TL17'!$B$229=L$3,SUMIF('TL17'!$C$238:$C$451,$C153,'TL17'!$J$238:$J$451),0),
IF('TL18'!$B$3=L$3,SUMIF('TL18'!$C$10:$C$224,$C153,'TL18'!$J$10:$J$224),0),
IF('TL18'!$B$229=L$3,SUMIF('TL18'!$C$238:$C$451,$C153,'TL18'!$J$238:$J$451),0),
IF('TL19'!$B$3=L$3,SUMIF('TL19'!$C$10:$C$224,$C153,'TL19'!$J$10:$J$224),0),
IF('TL19'!$B$229=L$3,SUMIF('TL19'!$C$238:$C$451,$C153,'TL19'!$J$238:$J$451),0)
),0)</f>
        <v/>
      </c>
      <c r="M153" s="9">
        <f>IFERROR(SUM(
IF('TL01'!$B$3=M$3,SUMIF('TL01'!$C$10:$C$224,$C153,'TL01'!$J$10:$J$224),0),
IF('TL01'!$B$229=M$3,SUMIF('TL01'!$C$238:$C$451,$C153,'TL01'!$J$238:$J$451),0),
IF('TL02'!$B$3=M$3,SUMIF('TL02'!$C$10:$C$224,$C153,'TL02'!$J$10:$J$224),0),
IF('TL02'!$B$229=M$3,SUMIF('TL02'!$C$238:$C$451,$C153,'TL02'!$J$238:$J$451),0),
IF('TL03'!$B$3=M$3,SUMIF('TL03'!$C$10:$C$224,$C153,'TL03'!$J$10:$J$224),0),
IF('TL03'!$B$229=M$3,SUMIF('TL03'!$C$238:$C$451,$C153,'TL03'!$J$238:$J$451),0),
IF('TL04'!$B$3=M$3,SUMIF('TL04'!$C$10:$C$224,$C153,'TL04'!$J$10:$J$224),0),
IF('TL04'!$B$229=M$3,SUMIF('TL04'!$C$238:$C$451,$C153,'TL04'!$J$238:$J$451),0),
IF('TL05'!$B$3=M$3,SUMIF('TL05'!$C$10:$C$224,$C153,'TL05'!$J$10:$J$224),0),
IF('TL05'!$B$229=M$3,SUMIF('TL05'!$C$238:$C$451,$C153,'TL05'!$J$238:$J$451),0),
IF('TL06'!$B$3=M$3,SUMIF('TL06'!$C$10:$C$224,$C153,'TL06'!$J$10:$J$224),0),
IF('TL06'!$B$229=M$3,SUMIF('TL06'!$C$238:$C$451,$C153,'TL06'!$J$238:$J$451),0),
IF('TL07'!$B$3=M$3,SUMIF('TL07'!$C$10:$C$224,$C153,'TL07'!$J$10:$J$224),0),
IF('TL07'!$B$229=M$3,SUMIF('TL07'!$C$238:$C$451,$C153,'TL07'!$J$238:$J$451),0),
IF('TL08'!$B$3=M$3,SUMIF('TL08'!$C$10:$C$224,$C153,'TL08'!$J$10:$J$224),0),
IF('TL08'!$B$229=M$3,SUMIF('TL08'!$C$238:$C$451,$C153,'TL08'!$J$238:$J$451),0),
IF('TL09'!$B$3=M$3,SUMIF('TL09'!$C$10:$C$224,$C153,'TL09'!$J$10:$J$224),0),
IF('TL09'!$B$229=M$3,SUMIF('TL09'!$C$238:$C$451,$C153,'TL09'!$J$238:$J$451),0),
IF('TL10'!$B$3=M$3,SUMIF('TL10'!$C$10:$C$224,$C153,'TL10'!$J$10:$J$224),0),
IF('TL10'!$B$229=M$3,SUMIF('TL10'!$C$238:$C$451,$C153,'TL10'!$J$238:$J$451),0),
IF('TL11'!$B$3=M$3,SUMIF('TL11'!$C$10:$C$224,$C153,'TL11'!$J$10:$J$224),0),
IF('TL11'!$B$229=M$3,SUMIF('TL11'!$C$238:$C$451,$C153,'TL11'!$J$238:$J$451),0),
IF('TL12'!$B$3=M$3,SUMIF('TL12'!$C$10:$C$224,$C153,'TL12'!$J$10:$J$224),0),
IF('TL12'!$B$229=M$3,SUMIF('TL12'!$C$238:$C$451,$C153,'TL12'!$J$238:$J$451),0),
IF('TL13'!$B$3=M$3,SUMIF('TL13'!$C$10:$C$224,$C153,'TL13'!$J$10:$J$224),0),
IF('TL13'!$B$229=M$3,SUMIF('TL13'!$C$238:$C$451,$C153,'TL13'!$J$238:$J$451),0),
IF('TL14'!$B$3=M$3,SUMIF('TL14'!$C$10:$C$224,$C153,'TL14'!$J$10:$J$224),0),
IF('TL14'!$B$229=M$3,SUMIF('TL14'!$C$238:$C$451,$C153,'TL14'!$J$238:$J$451),0),
IF('TL15'!$B$3=M$3,SUMIF('TL15'!$C$10:$C$224,$C153,'TL15'!$J$10:$J$224),0),
IF('TL15'!$B$229=M$3,SUMIF('TL15'!$C$238:$C$451,$C153,'TL15'!$J$238:$J$451),0),
IF('TL16'!$B$3=M$3,SUMIF('TL16'!$C$10:$C$224,$C153,'TL16'!$J$10:$J$224),0),
IF('TL16'!$B$229=M$3,SUMIF('TL16'!$C$238:$C$451,$C153,'TL16'!$J$238:$J$451),0),
IF('TL17'!$B$3=M$3,SUMIF('TL17'!$C$10:$C$224,$C153,'TL17'!$J$10:$J$224),0),
IF('TL17'!$B$229=M$3,SUMIF('TL17'!$C$238:$C$451,$C153,'TL17'!$J$238:$J$451),0),
IF('TL18'!$B$3=M$3,SUMIF('TL18'!$C$10:$C$224,$C153,'TL18'!$J$10:$J$224),0),
IF('TL18'!$B$229=M$3,SUMIF('TL18'!$C$238:$C$451,$C153,'TL18'!$J$238:$J$451),0),
IF('TL19'!$B$3=M$3,SUMIF('TL19'!$C$10:$C$224,$C153,'TL19'!$J$10:$J$224),0),
IF('TL19'!$B$229=M$3,SUMIF('TL19'!$C$238:$C$451,$C153,'TL19'!$J$238:$J$451),0)
),0)</f>
        <v/>
      </c>
      <c r="N153" s="9">
        <f>IFERROR(SUM(
IF('TL01'!$B$3=N$3,SUMIF('TL01'!$C$10:$C$224,$C153,'TL01'!$J$10:$J$224),0),
IF('TL01'!$B$229=N$3,SUMIF('TL01'!$C$238:$C$451,$C153,'TL01'!$J$238:$J$451),0),
IF('TL02'!$B$3=N$3,SUMIF('TL02'!$C$10:$C$224,$C153,'TL02'!$J$10:$J$224),0),
IF('TL02'!$B$229=N$3,SUMIF('TL02'!$C$238:$C$451,$C153,'TL02'!$J$238:$J$451),0),
IF('TL03'!$B$3=N$3,SUMIF('TL03'!$C$10:$C$224,$C153,'TL03'!$J$10:$J$224),0),
IF('TL03'!$B$229=N$3,SUMIF('TL03'!$C$238:$C$451,$C153,'TL03'!$J$238:$J$451),0),
IF('TL04'!$B$3=N$3,SUMIF('TL04'!$C$10:$C$224,$C153,'TL04'!$J$10:$J$224),0),
IF('TL04'!$B$229=N$3,SUMIF('TL04'!$C$238:$C$451,$C153,'TL04'!$J$238:$J$451),0),
IF('TL05'!$B$3=N$3,SUMIF('TL05'!$C$10:$C$224,$C153,'TL05'!$J$10:$J$224),0),
IF('TL05'!$B$229=N$3,SUMIF('TL05'!$C$238:$C$451,$C153,'TL05'!$J$238:$J$451),0),
IF('TL06'!$B$3=N$3,SUMIF('TL06'!$C$10:$C$224,$C153,'TL06'!$J$10:$J$224),0),
IF('TL06'!$B$229=N$3,SUMIF('TL06'!$C$238:$C$451,$C153,'TL06'!$J$238:$J$451),0),
IF('TL07'!$B$3=N$3,SUMIF('TL07'!$C$10:$C$224,$C153,'TL07'!$J$10:$J$224),0),
IF('TL07'!$B$229=N$3,SUMIF('TL07'!$C$238:$C$451,$C153,'TL07'!$J$238:$J$451),0),
IF('TL08'!$B$3=N$3,SUMIF('TL08'!$C$10:$C$224,$C153,'TL08'!$J$10:$J$224),0),
IF('TL08'!$B$229=N$3,SUMIF('TL08'!$C$238:$C$451,$C153,'TL08'!$J$238:$J$451),0),
IF('TL09'!$B$3=N$3,SUMIF('TL09'!$C$10:$C$224,$C153,'TL09'!$J$10:$J$224),0),
IF('TL09'!$B$229=N$3,SUMIF('TL09'!$C$238:$C$451,$C153,'TL09'!$J$238:$J$451),0),
IF('TL10'!$B$3=N$3,SUMIF('TL10'!$C$10:$C$224,$C153,'TL10'!$J$10:$J$224),0),
IF('TL10'!$B$229=N$3,SUMIF('TL10'!$C$238:$C$451,$C153,'TL10'!$J$238:$J$451),0),
IF('TL11'!$B$3=N$3,SUMIF('TL11'!$C$10:$C$224,$C153,'TL11'!$J$10:$J$224),0),
IF('TL11'!$B$229=N$3,SUMIF('TL11'!$C$238:$C$451,$C153,'TL11'!$J$238:$J$451),0),
IF('TL12'!$B$3=N$3,SUMIF('TL12'!$C$10:$C$224,$C153,'TL12'!$J$10:$J$224),0),
IF('TL12'!$B$229=N$3,SUMIF('TL12'!$C$238:$C$451,$C153,'TL12'!$J$238:$J$451),0),
IF('TL13'!$B$3=N$3,SUMIF('TL13'!$C$10:$C$224,$C153,'TL13'!$J$10:$J$224),0),
IF('TL13'!$B$229=N$3,SUMIF('TL13'!$C$238:$C$451,$C153,'TL13'!$J$238:$J$451),0),
IF('TL14'!$B$3=N$3,SUMIF('TL14'!$C$10:$C$224,$C153,'TL14'!$J$10:$J$224),0),
IF('TL14'!$B$229=N$3,SUMIF('TL14'!$C$238:$C$451,$C153,'TL14'!$J$238:$J$451),0),
IF('TL15'!$B$3=N$3,SUMIF('TL15'!$C$10:$C$224,$C153,'TL15'!$J$10:$J$224),0),
IF('TL15'!$B$229=N$3,SUMIF('TL15'!$C$238:$C$451,$C153,'TL15'!$J$238:$J$451),0),
IF('TL16'!$B$3=N$3,SUMIF('TL16'!$C$10:$C$224,$C153,'TL16'!$J$10:$J$224),0),
IF('TL16'!$B$229=N$3,SUMIF('TL16'!$C$238:$C$451,$C153,'TL16'!$J$238:$J$451),0),
IF('TL17'!$B$3=N$3,SUMIF('TL17'!$C$10:$C$224,$C153,'TL17'!$J$10:$J$224),0),
IF('TL17'!$B$229=N$3,SUMIF('TL17'!$C$238:$C$451,$C153,'TL17'!$J$238:$J$451),0),
IF('TL18'!$B$3=N$3,SUMIF('TL18'!$C$10:$C$224,$C153,'TL18'!$J$10:$J$224),0),
IF('TL18'!$B$229=N$3,SUMIF('TL18'!$C$238:$C$451,$C153,'TL18'!$J$238:$J$451),0),
IF('TL19'!$B$3=N$3,SUMIF('TL19'!$C$10:$C$224,$C153,'TL19'!$J$10:$J$224),0),
IF('TL19'!$B$229=N$3,SUMIF('TL19'!$C$238:$C$451,$C153,'TL19'!$J$238:$J$451),0)
),0)</f>
        <v/>
      </c>
      <c r="O153" s="9">
        <f>IFERROR(SUM(
IF('TL01'!$B$3=O$3,SUMIF('TL01'!$C$10:$C$224,$C153,'TL01'!$J$10:$J$224),0),
IF('TL01'!$B$229=O$3,SUMIF('TL01'!$C$238:$C$451,$C153,'TL01'!$J$238:$J$451),0),
IF('TL02'!$B$3=O$3,SUMIF('TL02'!$C$10:$C$224,$C153,'TL02'!$J$10:$J$224),0),
IF('TL02'!$B$229=O$3,SUMIF('TL02'!$C$238:$C$451,$C153,'TL02'!$J$238:$J$451),0),
IF('TL03'!$B$3=O$3,SUMIF('TL03'!$C$10:$C$224,$C153,'TL03'!$J$10:$J$224),0),
IF('TL03'!$B$229=O$3,SUMIF('TL03'!$C$238:$C$451,$C153,'TL03'!$J$238:$J$451),0),
IF('TL04'!$B$3=O$3,SUMIF('TL04'!$C$10:$C$224,$C153,'TL04'!$J$10:$J$224),0),
IF('TL04'!$B$229=O$3,SUMIF('TL04'!$C$238:$C$451,$C153,'TL04'!$J$238:$J$451),0),
IF('TL05'!$B$3=O$3,SUMIF('TL05'!$C$10:$C$224,$C153,'TL05'!$J$10:$J$224),0),
IF('TL05'!$B$229=O$3,SUMIF('TL05'!$C$238:$C$451,$C153,'TL05'!$J$238:$J$451),0),
IF('TL06'!$B$3=O$3,SUMIF('TL06'!$C$10:$C$224,$C153,'TL06'!$J$10:$J$224),0),
IF('TL06'!$B$229=O$3,SUMIF('TL06'!$C$238:$C$451,$C153,'TL06'!$J$238:$J$451),0),
IF('TL07'!$B$3=O$3,SUMIF('TL07'!$C$10:$C$224,$C153,'TL07'!$J$10:$J$224),0),
IF('TL07'!$B$229=O$3,SUMIF('TL07'!$C$238:$C$451,$C153,'TL07'!$J$238:$J$451),0),
IF('TL08'!$B$3=O$3,SUMIF('TL08'!$C$10:$C$224,$C153,'TL08'!$J$10:$J$224),0),
IF('TL08'!$B$229=O$3,SUMIF('TL08'!$C$238:$C$451,$C153,'TL08'!$J$238:$J$451),0),
IF('TL09'!$B$3=O$3,SUMIF('TL09'!$C$10:$C$224,$C153,'TL09'!$J$10:$J$224),0),
IF('TL09'!$B$229=O$3,SUMIF('TL09'!$C$238:$C$451,$C153,'TL09'!$J$238:$J$451),0),
IF('TL10'!$B$3=O$3,SUMIF('TL10'!$C$10:$C$224,$C153,'TL10'!$J$10:$J$224),0),
IF('TL10'!$B$229=O$3,SUMIF('TL10'!$C$238:$C$451,$C153,'TL10'!$J$238:$J$451),0),
IF('TL11'!$B$3=O$3,SUMIF('TL11'!$C$10:$C$224,$C153,'TL11'!$J$10:$J$224),0),
IF('TL11'!$B$229=O$3,SUMIF('TL11'!$C$238:$C$451,$C153,'TL11'!$J$238:$J$451),0),
IF('TL12'!$B$3=O$3,SUMIF('TL12'!$C$10:$C$224,$C153,'TL12'!$J$10:$J$224),0),
IF('TL12'!$B$229=O$3,SUMIF('TL12'!$C$238:$C$451,$C153,'TL12'!$J$238:$J$451),0),
IF('TL13'!$B$3=O$3,SUMIF('TL13'!$C$10:$C$224,$C153,'TL13'!$J$10:$J$224),0),
IF('TL13'!$B$229=O$3,SUMIF('TL13'!$C$238:$C$451,$C153,'TL13'!$J$238:$J$451),0),
IF('TL14'!$B$3=O$3,SUMIF('TL14'!$C$10:$C$224,$C153,'TL14'!$J$10:$J$224),0),
IF('TL14'!$B$229=O$3,SUMIF('TL14'!$C$238:$C$451,$C153,'TL14'!$J$238:$J$451),0),
IF('TL15'!$B$3=O$3,SUMIF('TL15'!$C$10:$C$224,$C153,'TL15'!$J$10:$J$224),0),
IF('TL15'!$B$229=O$3,SUMIF('TL15'!$C$238:$C$451,$C153,'TL15'!$J$238:$J$451),0),
IF('TL16'!$B$3=O$3,SUMIF('TL16'!$C$10:$C$224,$C153,'TL16'!$J$10:$J$224),0),
IF('TL16'!$B$229=O$3,SUMIF('TL16'!$C$238:$C$451,$C153,'TL16'!$J$238:$J$451),0),
IF('TL17'!$B$3=O$3,SUMIF('TL17'!$C$10:$C$224,$C153,'TL17'!$J$10:$J$224),0),
IF('TL17'!$B$229=O$3,SUMIF('TL17'!$C$238:$C$451,$C153,'TL17'!$J$238:$J$451),0),
IF('TL18'!$B$3=O$3,SUMIF('TL18'!$C$10:$C$224,$C153,'TL18'!$J$10:$J$224),0),
IF('TL18'!$B$229=O$3,SUMIF('TL18'!$C$238:$C$451,$C153,'TL18'!$J$238:$J$451),0),
IF('TL19'!$B$3=O$3,SUMIF('TL19'!$C$10:$C$224,$C153,'TL19'!$J$10:$J$224),0),
IF('TL19'!$B$229=O$3,SUMIF('TL19'!$C$238:$C$451,$C153,'TL19'!$J$238:$J$451),0)
),0)</f>
        <v/>
      </c>
      <c r="P153" s="9">
        <f>IFERROR(SUM(
IF('TL01'!$B$3=P$3,SUMIF('TL01'!$C$10:$C$224,$C153,'TL01'!$J$10:$J$224),0),
IF('TL01'!$B$229=P$3,SUMIF('TL01'!$C$238:$C$451,$C153,'TL01'!$J$238:$J$451),0),
IF('TL02'!$B$3=P$3,SUMIF('TL02'!$C$10:$C$224,$C153,'TL02'!$J$10:$J$224),0),
IF('TL02'!$B$229=P$3,SUMIF('TL02'!$C$238:$C$451,$C153,'TL02'!$J$238:$J$451),0),
IF('TL03'!$B$3=P$3,SUMIF('TL03'!$C$10:$C$224,$C153,'TL03'!$J$10:$J$224),0),
IF('TL03'!$B$229=P$3,SUMIF('TL03'!$C$238:$C$451,$C153,'TL03'!$J$238:$J$451),0),
IF('TL04'!$B$3=P$3,SUMIF('TL04'!$C$10:$C$224,$C153,'TL04'!$J$10:$J$224),0),
IF('TL04'!$B$229=P$3,SUMIF('TL04'!$C$238:$C$451,$C153,'TL04'!$J$238:$J$451),0),
IF('TL05'!$B$3=P$3,SUMIF('TL05'!$C$10:$C$224,$C153,'TL05'!$J$10:$J$224),0),
IF('TL05'!$B$229=P$3,SUMIF('TL05'!$C$238:$C$451,$C153,'TL05'!$J$238:$J$451),0),
IF('TL06'!$B$3=P$3,SUMIF('TL06'!$C$10:$C$224,$C153,'TL06'!$J$10:$J$224),0),
IF('TL06'!$B$229=P$3,SUMIF('TL06'!$C$238:$C$451,$C153,'TL06'!$J$238:$J$451),0),
IF('TL07'!$B$3=P$3,SUMIF('TL07'!$C$10:$C$224,$C153,'TL07'!$J$10:$J$224),0),
IF('TL07'!$B$229=P$3,SUMIF('TL07'!$C$238:$C$451,$C153,'TL07'!$J$238:$J$451),0),
IF('TL08'!$B$3=P$3,SUMIF('TL08'!$C$10:$C$224,$C153,'TL08'!$J$10:$J$224),0),
IF('TL08'!$B$229=P$3,SUMIF('TL08'!$C$238:$C$451,$C153,'TL08'!$J$238:$J$451),0),
IF('TL09'!$B$3=P$3,SUMIF('TL09'!$C$10:$C$224,$C153,'TL09'!$J$10:$J$224),0),
IF('TL09'!$B$229=P$3,SUMIF('TL09'!$C$238:$C$451,$C153,'TL09'!$J$238:$J$451),0),
IF('TL10'!$B$3=P$3,SUMIF('TL10'!$C$10:$C$224,$C153,'TL10'!$J$10:$J$224),0),
IF('TL10'!$B$229=P$3,SUMIF('TL10'!$C$238:$C$451,$C153,'TL10'!$J$238:$J$451),0),
IF('TL11'!$B$3=P$3,SUMIF('TL11'!$C$10:$C$224,$C153,'TL11'!$J$10:$J$224),0),
IF('TL11'!$B$229=P$3,SUMIF('TL11'!$C$238:$C$451,$C153,'TL11'!$J$238:$J$451),0),
IF('TL12'!$B$3=P$3,SUMIF('TL12'!$C$10:$C$224,$C153,'TL12'!$J$10:$J$224),0),
IF('TL12'!$B$229=P$3,SUMIF('TL12'!$C$238:$C$451,$C153,'TL12'!$J$238:$J$451),0),
IF('TL13'!$B$3=P$3,SUMIF('TL13'!$C$10:$C$224,$C153,'TL13'!$J$10:$J$224),0),
IF('TL13'!$B$229=P$3,SUMIF('TL13'!$C$238:$C$451,$C153,'TL13'!$J$238:$J$451),0),
IF('TL14'!$B$3=P$3,SUMIF('TL14'!$C$10:$C$224,$C153,'TL14'!$J$10:$J$224),0),
IF('TL14'!$B$229=P$3,SUMIF('TL14'!$C$238:$C$451,$C153,'TL14'!$J$238:$J$451),0),
IF('TL15'!$B$3=P$3,SUMIF('TL15'!$C$10:$C$224,$C153,'TL15'!$J$10:$J$224),0),
IF('TL15'!$B$229=P$3,SUMIF('TL15'!$C$238:$C$451,$C153,'TL15'!$J$238:$J$451),0),
IF('TL16'!$B$3=P$3,SUMIF('TL16'!$C$10:$C$224,$C153,'TL16'!$J$10:$J$224),0),
IF('TL16'!$B$229=P$3,SUMIF('TL16'!$C$238:$C$451,$C153,'TL16'!$J$238:$J$451),0),
IF('TL17'!$B$3=P$3,SUMIF('TL17'!$C$10:$C$224,$C153,'TL17'!$J$10:$J$224),0),
IF('TL17'!$B$229=P$3,SUMIF('TL17'!$C$238:$C$451,$C153,'TL17'!$J$238:$J$451),0),
IF('TL18'!$B$3=P$3,SUMIF('TL18'!$C$10:$C$224,$C153,'TL18'!$J$10:$J$224),0),
IF('TL18'!$B$229=P$3,SUMIF('TL18'!$C$238:$C$451,$C153,'TL18'!$J$238:$J$451),0),
IF('TL19'!$B$3=P$3,SUMIF('TL19'!$C$10:$C$224,$C153,'TL19'!$J$10:$J$224),0),
IF('TL19'!$B$229=P$3,SUMIF('TL19'!$C$238:$C$451,$C153,'TL19'!$J$238:$J$451),0)
),0)</f>
        <v/>
      </c>
      <c r="Q153" s="9">
        <f>IFERROR(SUM(
IF('TL01'!$B$3=Q$3,SUMIF('TL01'!$C$10:$C$224,$C153,'TL01'!$J$10:$J$224),0),
IF('TL01'!$B$229=Q$3,SUMIF('TL01'!$C$238:$C$451,$C153,'TL01'!$J$238:$J$451),0),
IF('TL02'!$B$3=Q$3,SUMIF('TL02'!$C$10:$C$224,$C153,'TL02'!$J$10:$J$224),0),
IF('TL02'!$B$229=Q$3,SUMIF('TL02'!$C$238:$C$451,$C153,'TL02'!$J$238:$J$451),0),
IF('TL03'!$B$3=Q$3,SUMIF('TL03'!$C$10:$C$224,$C153,'TL03'!$J$10:$J$224),0),
IF('TL03'!$B$229=Q$3,SUMIF('TL03'!$C$238:$C$451,$C153,'TL03'!$J$238:$J$451),0),
IF('TL04'!$B$3=Q$3,SUMIF('TL04'!$C$10:$C$224,$C153,'TL04'!$J$10:$J$224),0),
IF('TL04'!$B$229=Q$3,SUMIF('TL04'!$C$238:$C$451,$C153,'TL04'!$J$238:$J$451),0),
IF('TL05'!$B$3=Q$3,SUMIF('TL05'!$C$10:$C$224,$C153,'TL05'!$J$10:$J$224),0),
IF('TL05'!$B$229=Q$3,SUMIF('TL05'!$C$238:$C$451,$C153,'TL05'!$J$238:$J$451),0),
IF('TL06'!$B$3=Q$3,SUMIF('TL06'!$C$10:$C$224,$C153,'TL06'!$J$10:$J$224),0),
IF('TL06'!$B$229=Q$3,SUMIF('TL06'!$C$238:$C$451,$C153,'TL06'!$J$238:$J$451),0),
IF('TL07'!$B$3=Q$3,SUMIF('TL07'!$C$10:$C$224,$C153,'TL07'!$J$10:$J$224),0),
IF('TL07'!$B$229=Q$3,SUMIF('TL07'!$C$238:$C$451,$C153,'TL07'!$J$238:$J$451),0),
IF('TL08'!$B$3=Q$3,SUMIF('TL08'!$C$10:$C$224,$C153,'TL08'!$J$10:$J$224),0),
IF('TL08'!$B$229=Q$3,SUMIF('TL08'!$C$238:$C$451,$C153,'TL08'!$J$238:$J$451),0),
IF('TL09'!$B$3=Q$3,SUMIF('TL09'!$C$10:$C$224,$C153,'TL09'!$J$10:$J$224),0),
IF('TL09'!$B$229=Q$3,SUMIF('TL09'!$C$238:$C$451,$C153,'TL09'!$J$238:$J$451),0),
IF('TL10'!$B$3=Q$3,SUMIF('TL10'!$C$10:$C$224,$C153,'TL10'!$J$10:$J$224),0),
IF('TL10'!$B$229=Q$3,SUMIF('TL10'!$C$238:$C$451,$C153,'TL10'!$J$238:$J$451),0),
IF('TL11'!$B$3=Q$3,SUMIF('TL11'!$C$10:$C$224,$C153,'TL11'!$J$10:$J$224),0),
IF('TL11'!$B$229=Q$3,SUMIF('TL11'!$C$238:$C$451,$C153,'TL11'!$J$238:$J$451),0),
IF('TL12'!$B$3=Q$3,SUMIF('TL12'!$C$10:$C$224,$C153,'TL12'!$J$10:$J$224),0),
IF('TL12'!$B$229=Q$3,SUMIF('TL12'!$C$238:$C$451,$C153,'TL12'!$J$238:$J$451),0),
IF('TL13'!$B$3=Q$3,SUMIF('TL13'!$C$10:$C$224,$C153,'TL13'!$J$10:$J$224),0),
IF('TL13'!$B$229=Q$3,SUMIF('TL13'!$C$238:$C$451,$C153,'TL13'!$J$238:$J$451),0),
IF('TL14'!$B$3=Q$3,SUMIF('TL14'!$C$10:$C$224,$C153,'TL14'!$J$10:$J$224),0),
IF('TL14'!$B$229=Q$3,SUMIF('TL14'!$C$238:$C$451,$C153,'TL14'!$J$238:$J$451),0),
IF('TL15'!$B$3=Q$3,SUMIF('TL15'!$C$10:$C$224,$C153,'TL15'!$J$10:$J$224),0),
IF('TL15'!$B$229=Q$3,SUMIF('TL15'!$C$238:$C$451,$C153,'TL15'!$J$238:$J$451),0),
IF('TL16'!$B$3=Q$3,SUMIF('TL16'!$C$10:$C$224,$C153,'TL16'!$J$10:$J$224),0),
IF('TL16'!$B$229=Q$3,SUMIF('TL16'!$C$238:$C$451,$C153,'TL16'!$J$238:$J$451),0),
IF('TL17'!$B$3=Q$3,SUMIF('TL17'!$C$10:$C$224,$C153,'TL17'!$J$10:$J$224),0),
IF('TL17'!$B$229=Q$3,SUMIF('TL17'!$C$238:$C$451,$C153,'TL17'!$J$238:$J$451),0),
IF('TL18'!$B$3=Q$3,SUMIF('TL18'!$C$10:$C$224,$C153,'TL18'!$J$10:$J$224),0),
IF('TL18'!$B$229=Q$3,SUMIF('TL18'!$C$238:$C$451,$C153,'TL18'!$J$238:$J$451),0),
IF('TL19'!$B$3=Q$3,SUMIF('TL19'!$C$10:$C$224,$C153,'TL19'!$J$10:$J$224),0),
IF('TL19'!$B$229=Q$3,SUMIF('TL19'!$C$238:$C$451,$C153,'TL19'!$J$238:$J$451),0)
),0)</f>
        <v/>
      </c>
      <c r="R153" s="9">
        <f>IFERROR(
SUM(
SUMIF('TL01'!C:C,C153,'TL01'!J:J),
SUMIF('TL02'!C:C,C153,'TL02'!J:J),
SUMIF('TL03'!C:C,C153,'TL03'!J:J),
SUMIF('TL04'!C:C,C153,'TL04'!J:J),
SUMIF('TL05'!C:C,C153,'TL05'!J:J),
SUMIF('TL06'!C:C,C153,'TL06'!J:J),
SUMIF('TL07'!C:C,C153,'TL07'!J:J),
SUMIF('TL08'!C:C,C153,'TL08'!J:J),
SUMIF('TL09'!C:C,C153,'TL09'!J:J),
SUMIF('TL10'!C:C,C153,'TL10'!J:J),
SUMIF('TL11'!C:C,C153,'TL11'!J:J),
SUMIF('TL12'!C:C,C153,'TL12'!J:J),
SUMIF('TL13'!C:C,C153,'TL13'!J:J),
SUMIF('TL14'!C:C,C153,'TL14'!J:J),
SUMIF('TL15'!C:C,C153,'TL15'!J:J),
SUMIF('TL16'!C:C,C153,'TL16'!J:J),
SUMIF('TL17'!C:C,C153,'TL17'!J:J),
SUMIF('TL18'!C:C,C153,'TL18'!J:J),SUMIF('TL19'!C:C,C153,'TL19'!J:J))
,0)</f>
        <v/>
      </c>
      <c r="S153" s="17">
        <f>IFERROR(__xludf.DUMMYFUNCTION("IFERROR(VLOOKUP(C153,
IMPORTRANGE(""1wULbzX32WdYsx-lj2U3uUNBBe2INVIRDtcK0d-Dvl90"",
""26-27!C:G""),
5,
FALSE),
"""")"),22.44154)</f>
        <v/>
      </c>
      <c r="T153" s="9" t="n"/>
      <c r="U153" s="92">
        <f>MAX(0,R153-T153)</f>
        <v/>
      </c>
      <c r="V153" s="93">
        <f>U153*S153</f>
        <v/>
      </c>
    </row>
    <row r="154" hidden="1" ht="15.75" customHeight="1" s="297">
      <c r="A154" s="115" t="inlineStr">
        <is>
          <t>SIPCAM</t>
        </is>
      </c>
      <c r="B154" s="100" t="inlineStr">
        <is>
          <t>HERBICIDA</t>
        </is>
      </c>
      <c r="C154" s="116" t="inlineStr">
        <is>
          <t>VOLCANE</t>
        </is>
      </c>
      <c r="D154" s="116" t="inlineStr">
        <is>
          <t>MSMA</t>
        </is>
      </c>
      <c r="E154" s="116" t="n">
        <v>790</v>
      </c>
      <c r="F154" s="4" t="inlineStr">
        <is>
          <t>L</t>
        </is>
      </c>
      <c r="G154" s="90">
        <f>HYPERLINK("https://www.google.com/search?q=" &amp; C154 &amp; "+bula+agrofit+pdf", "📄 Ver bula")</f>
        <v/>
      </c>
      <c r="H154" s="9">
        <f>IFERROR(__xludf.DUMMYFUNCTION("IFERROR(VLOOKUP(C154,
IMPORTRANGE(""1wULbzX32WdYsx-lj2U3uUNBBe2INVIRDtcK0d-Dvl90"",
""26-27!C:K""),
8,
FALSE),
"""")"),"")</f>
        <v/>
      </c>
      <c r="I154" s="117" t="inlineStr">
        <is>
          <t>1x20</t>
        </is>
      </c>
      <c r="J154" s="9">
        <f>IFERROR(SUM(
IF('TL01'!$B$3=J$3,SUMIF('TL01'!$C$10:$C$224,$C154,'TL01'!$J$10:$J$224),0),
IF('TL01'!$B$229=J$3,SUMIF('TL01'!$C$238:$C$451,$C154,'TL01'!$J$238:$J$451),0),
IF('TL02'!$B$3=J$3,SUMIF('TL02'!$C$10:$C$224,$C154,'TL02'!$J$10:$J$224),0),
IF('TL02'!$B$229=J$3,SUMIF('TL02'!$C$238:$C$451,$C154,'TL02'!$J$238:$J$451),0),
IF('TL03'!$B$3=J$3,SUMIF('TL03'!$C$10:$C$224,$C154,'TL03'!$J$10:$J$224),0),
IF('TL03'!$B$229=J$3,SUMIF('TL03'!$C$238:$C$451,$C154,'TL03'!$J$238:$J$451),0),
IF('TL04'!$B$3=J$3,SUMIF('TL04'!$C$10:$C$224,$C154,'TL04'!$J$10:$J$224),0),
IF('TL04'!$B$229=J$3,SUMIF('TL04'!$C$238:$C$451,$C154,'TL04'!$J$238:$J$451),0),
IF('TL05'!$B$3=J$3,SUMIF('TL05'!$C$10:$C$224,$C154,'TL05'!$J$10:$J$224),0),
IF('TL05'!$B$229=J$3,SUMIF('TL05'!$C$238:$C$451,$C154,'TL05'!$J$238:$J$451),0),
IF('TL06'!$B$3=J$3,SUMIF('TL06'!$C$10:$C$224,$C154,'TL06'!$J$10:$J$224),0),
IF('TL06'!$B$229=J$3,SUMIF('TL06'!$C$238:$C$451,$C154,'TL06'!$J$238:$J$451),0),
IF('TL07'!$B$3=J$3,SUMIF('TL07'!$C$10:$C$224,$C154,'TL07'!$J$10:$J$224),0),
IF('TL07'!$B$229=J$3,SUMIF('TL07'!$C$238:$C$451,$C154,'TL07'!$J$238:$J$451),0),
IF('TL08'!$B$3=J$3,SUMIF('TL08'!$C$10:$C$224,$C154,'TL08'!$J$10:$J$224),0),
IF('TL08'!$B$229=J$3,SUMIF('TL08'!$C$238:$C$451,$C154,'TL08'!$J$238:$J$451),0),
IF('TL09'!$B$3=J$3,SUMIF('TL09'!$C$10:$C$224,$C154,'TL09'!$J$10:$J$224),0),
IF('TL09'!$B$229=J$3,SUMIF('TL09'!$C$238:$C$451,$C154,'TL09'!$J$238:$J$451),0),
IF('TL10'!$B$3=J$3,SUMIF('TL10'!$C$10:$C$224,$C154,'TL10'!$J$10:$J$224),0),
IF('TL10'!$B$229=J$3,SUMIF('TL10'!$C$238:$C$451,$C154,'TL10'!$J$238:$J$451),0),
IF('TL11'!$B$3=J$3,SUMIF('TL11'!$C$10:$C$224,$C154,'TL11'!$J$10:$J$224),0),
IF('TL11'!$B$229=J$3,SUMIF('TL11'!$C$238:$C$451,$C154,'TL11'!$J$238:$J$451),0),
IF('TL12'!$B$3=J$3,SUMIF('TL12'!$C$10:$C$224,$C154,'TL12'!$J$10:$J$224),0),
IF('TL12'!$B$229=J$3,SUMIF('TL12'!$C$238:$C$451,$C154,'TL12'!$J$238:$J$451),0),
IF('TL13'!$B$3=J$3,SUMIF('TL13'!$C$10:$C$224,$C154,'TL13'!$J$10:$J$224),0),
IF('TL13'!$B$229=J$3,SUMIF('TL13'!$C$238:$C$451,$C154,'TL13'!$J$238:$J$451),0),
IF('TL14'!$B$3=J$3,SUMIF('TL14'!$C$10:$C$224,$C154,'TL14'!$J$10:$J$224),0),
IF('TL14'!$B$229=J$3,SUMIF('TL14'!$C$238:$C$451,$C154,'TL14'!$J$238:$J$451),0),
IF('TL15'!$B$3=J$3,SUMIF('TL15'!$C$10:$C$224,$C154,'TL15'!$J$10:$J$224),0),
IF('TL15'!$B$229=J$3,SUMIF('TL15'!$C$238:$C$451,$C154,'TL15'!$J$238:$J$451),0),
IF('TL16'!$B$3=J$3,SUMIF('TL16'!$C$10:$C$224,$C154,'TL16'!$J$10:$J$224),0),
IF('TL16'!$B$229=J$3,SUMIF('TL16'!$C$238:$C$451,$C154,'TL16'!$J$238:$J$451),0),
IF('TL17'!$B$3=J$3,SUMIF('TL17'!$C$10:$C$224,$C154,'TL17'!$J$10:$J$224),0),
IF('TL17'!$B$229=J$3,SUMIF('TL17'!$C$238:$C$451,$C154,'TL17'!$J$238:$J$451),0),
IF('TL18'!$B$3=J$3,SUMIF('TL18'!$C$10:$C$224,$C154,'TL18'!$J$10:$J$224),0),
IF('TL18'!$B$229=J$3,SUMIF('TL18'!$C$238:$C$451,$C154,'TL18'!$J$238:$J$451),0),
IF('TL19'!$B$3=J$3,SUMIF('TL19'!$C$10:$C$224,$C154,'TL19'!$J$10:$J$224),0),
IF('TL19'!$B$229=J$3,SUMIF('TL19'!$C$238:$C$451,$C154,'TL19'!$J$238:$J$451),0)
),0)</f>
        <v/>
      </c>
      <c r="K154" s="9">
        <f>IFERROR(SUM(
IF('TL01'!$B$3=K$3,SUMIF('TL01'!$C$10:$C$224,$C154,'TL01'!$J$10:$J$224),0),
IF('TL01'!$B$229=K$3,SUMIF('TL01'!$C$238:$C$451,$C154,'TL01'!$J$238:$J$451),0),
IF('TL02'!$B$3=K$3,SUMIF('TL02'!$C$10:$C$224,$C154,'TL02'!$J$10:$J$224),0),
IF('TL02'!$B$229=K$3,SUMIF('TL02'!$C$238:$C$451,$C154,'TL02'!$J$238:$J$451),0),
IF('TL03'!$B$3=K$3,SUMIF('TL03'!$C$10:$C$224,$C154,'TL03'!$J$10:$J$224),0),
IF('TL03'!$B$229=K$3,SUMIF('TL03'!$C$238:$C$451,$C154,'TL03'!$J$238:$J$451),0),
IF('TL04'!$B$3=K$3,SUMIF('TL04'!$C$10:$C$224,$C154,'TL04'!$J$10:$J$224),0),
IF('TL04'!$B$229=K$3,SUMIF('TL04'!$C$238:$C$451,$C154,'TL04'!$J$238:$J$451),0),
IF('TL05'!$B$3=K$3,SUMIF('TL05'!$C$10:$C$224,$C154,'TL05'!$J$10:$J$224),0),
IF('TL05'!$B$229=K$3,SUMIF('TL05'!$C$238:$C$451,$C154,'TL05'!$J$238:$J$451),0),
IF('TL06'!$B$3=K$3,SUMIF('TL06'!$C$10:$C$224,$C154,'TL06'!$J$10:$J$224),0),
IF('TL06'!$B$229=K$3,SUMIF('TL06'!$C$238:$C$451,$C154,'TL06'!$J$238:$J$451),0),
IF('TL07'!$B$3=K$3,SUMIF('TL07'!$C$10:$C$224,$C154,'TL07'!$J$10:$J$224),0),
IF('TL07'!$B$229=K$3,SUMIF('TL07'!$C$238:$C$451,$C154,'TL07'!$J$238:$J$451),0),
IF('TL08'!$B$3=K$3,SUMIF('TL08'!$C$10:$C$224,$C154,'TL08'!$J$10:$J$224),0),
IF('TL08'!$B$229=K$3,SUMIF('TL08'!$C$238:$C$451,$C154,'TL08'!$J$238:$J$451),0),
IF('TL09'!$B$3=K$3,SUMIF('TL09'!$C$10:$C$224,$C154,'TL09'!$J$10:$J$224),0),
IF('TL09'!$B$229=K$3,SUMIF('TL09'!$C$238:$C$451,$C154,'TL09'!$J$238:$J$451),0),
IF('TL10'!$B$3=K$3,SUMIF('TL10'!$C$10:$C$224,$C154,'TL10'!$J$10:$J$224),0),
IF('TL10'!$B$229=K$3,SUMIF('TL10'!$C$238:$C$451,$C154,'TL10'!$J$238:$J$451),0),
IF('TL11'!$B$3=K$3,SUMIF('TL11'!$C$10:$C$224,$C154,'TL11'!$J$10:$J$224),0),
IF('TL11'!$B$229=K$3,SUMIF('TL11'!$C$238:$C$451,$C154,'TL11'!$J$238:$J$451),0),
IF('TL12'!$B$3=K$3,SUMIF('TL12'!$C$10:$C$224,$C154,'TL12'!$J$10:$J$224),0),
IF('TL12'!$B$229=K$3,SUMIF('TL12'!$C$238:$C$451,$C154,'TL12'!$J$238:$J$451),0),
IF('TL13'!$B$3=K$3,SUMIF('TL13'!$C$10:$C$224,$C154,'TL13'!$J$10:$J$224),0),
IF('TL13'!$B$229=K$3,SUMIF('TL13'!$C$238:$C$451,$C154,'TL13'!$J$238:$J$451),0),
IF('TL14'!$B$3=K$3,SUMIF('TL14'!$C$10:$C$224,$C154,'TL14'!$J$10:$J$224),0),
IF('TL14'!$B$229=K$3,SUMIF('TL14'!$C$238:$C$451,$C154,'TL14'!$J$238:$J$451),0),
IF('TL15'!$B$3=K$3,SUMIF('TL15'!$C$10:$C$224,$C154,'TL15'!$J$10:$J$224),0),
IF('TL15'!$B$229=K$3,SUMIF('TL15'!$C$238:$C$451,$C154,'TL15'!$J$238:$J$451),0),
IF('TL16'!$B$3=K$3,SUMIF('TL16'!$C$10:$C$224,$C154,'TL16'!$J$10:$J$224),0),
IF('TL16'!$B$229=K$3,SUMIF('TL16'!$C$238:$C$451,$C154,'TL16'!$J$238:$J$451),0),
IF('TL17'!$B$3=K$3,SUMIF('TL17'!$C$10:$C$224,$C154,'TL17'!$J$10:$J$224),0),
IF('TL17'!$B$229=K$3,SUMIF('TL17'!$C$238:$C$451,$C154,'TL17'!$J$238:$J$451),0),
IF('TL18'!$B$3=K$3,SUMIF('TL18'!$C$10:$C$224,$C154,'TL18'!$J$10:$J$224),0),
IF('TL18'!$B$229=K$3,SUMIF('TL18'!$C$238:$C$451,$C154,'TL18'!$J$238:$J$451),0),
IF('TL19'!$B$3=K$3,SUMIF('TL19'!$C$10:$C$224,$C154,'TL19'!$J$10:$J$224),0),
IF('TL19'!$B$229=K$3,SUMIF('TL19'!$C$238:$C$451,$C154,'TL19'!$J$238:$J$451),0)
),0)</f>
        <v/>
      </c>
      <c r="L154" s="9">
        <f>IFERROR(SUM(
IF('TL01'!$B$3=L$3,SUMIF('TL01'!$C$10:$C$224,$C154,'TL01'!$J$10:$J$224),0),
IF('TL01'!$B$229=L$3,SUMIF('TL01'!$C$238:$C$451,$C154,'TL01'!$J$238:$J$451),0),
IF('TL02'!$B$3=L$3,SUMIF('TL02'!$C$10:$C$224,$C154,'TL02'!$J$10:$J$224),0),
IF('TL02'!$B$229=L$3,SUMIF('TL02'!$C$238:$C$451,$C154,'TL02'!$J$238:$J$451),0),
IF('TL03'!$B$3=L$3,SUMIF('TL03'!$C$10:$C$224,$C154,'TL03'!$J$10:$J$224),0),
IF('TL03'!$B$229=L$3,SUMIF('TL03'!$C$238:$C$451,$C154,'TL03'!$J$238:$J$451),0),
IF('TL04'!$B$3=L$3,SUMIF('TL04'!$C$10:$C$224,$C154,'TL04'!$J$10:$J$224),0),
IF('TL04'!$B$229=L$3,SUMIF('TL04'!$C$238:$C$451,$C154,'TL04'!$J$238:$J$451),0),
IF('TL05'!$B$3=L$3,SUMIF('TL05'!$C$10:$C$224,$C154,'TL05'!$J$10:$J$224),0),
IF('TL05'!$B$229=L$3,SUMIF('TL05'!$C$238:$C$451,$C154,'TL05'!$J$238:$J$451),0),
IF('TL06'!$B$3=L$3,SUMIF('TL06'!$C$10:$C$224,$C154,'TL06'!$J$10:$J$224),0),
IF('TL06'!$B$229=L$3,SUMIF('TL06'!$C$238:$C$451,$C154,'TL06'!$J$238:$J$451),0),
IF('TL07'!$B$3=L$3,SUMIF('TL07'!$C$10:$C$224,$C154,'TL07'!$J$10:$J$224),0),
IF('TL07'!$B$229=L$3,SUMIF('TL07'!$C$238:$C$451,$C154,'TL07'!$J$238:$J$451),0),
IF('TL08'!$B$3=L$3,SUMIF('TL08'!$C$10:$C$224,$C154,'TL08'!$J$10:$J$224),0),
IF('TL08'!$B$229=L$3,SUMIF('TL08'!$C$238:$C$451,$C154,'TL08'!$J$238:$J$451),0),
IF('TL09'!$B$3=L$3,SUMIF('TL09'!$C$10:$C$224,$C154,'TL09'!$J$10:$J$224),0),
IF('TL09'!$B$229=L$3,SUMIF('TL09'!$C$238:$C$451,$C154,'TL09'!$J$238:$J$451),0),
IF('TL10'!$B$3=L$3,SUMIF('TL10'!$C$10:$C$224,$C154,'TL10'!$J$10:$J$224),0),
IF('TL10'!$B$229=L$3,SUMIF('TL10'!$C$238:$C$451,$C154,'TL10'!$J$238:$J$451),0),
IF('TL11'!$B$3=L$3,SUMIF('TL11'!$C$10:$C$224,$C154,'TL11'!$J$10:$J$224),0),
IF('TL11'!$B$229=L$3,SUMIF('TL11'!$C$238:$C$451,$C154,'TL11'!$J$238:$J$451),0),
IF('TL12'!$B$3=L$3,SUMIF('TL12'!$C$10:$C$224,$C154,'TL12'!$J$10:$J$224),0),
IF('TL12'!$B$229=L$3,SUMIF('TL12'!$C$238:$C$451,$C154,'TL12'!$J$238:$J$451),0),
IF('TL13'!$B$3=L$3,SUMIF('TL13'!$C$10:$C$224,$C154,'TL13'!$J$10:$J$224),0),
IF('TL13'!$B$229=L$3,SUMIF('TL13'!$C$238:$C$451,$C154,'TL13'!$J$238:$J$451),0),
IF('TL14'!$B$3=L$3,SUMIF('TL14'!$C$10:$C$224,$C154,'TL14'!$J$10:$J$224),0),
IF('TL14'!$B$229=L$3,SUMIF('TL14'!$C$238:$C$451,$C154,'TL14'!$J$238:$J$451),0),
IF('TL15'!$B$3=L$3,SUMIF('TL15'!$C$10:$C$224,$C154,'TL15'!$J$10:$J$224),0),
IF('TL15'!$B$229=L$3,SUMIF('TL15'!$C$238:$C$451,$C154,'TL15'!$J$238:$J$451),0),
IF('TL16'!$B$3=L$3,SUMIF('TL16'!$C$10:$C$224,$C154,'TL16'!$J$10:$J$224),0),
IF('TL16'!$B$229=L$3,SUMIF('TL16'!$C$238:$C$451,$C154,'TL16'!$J$238:$J$451),0),
IF('TL17'!$B$3=L$3,SUMIF('TL17'!$C$10:$C$224,$C154,'TL17'!$J$10:$J$224),0),
IF('TL17'!$B$229=L$3,SUMIF('TL17'!$C$238:$C$451,$C154,'TL17'!$J$238:$J$451),0),
IF('TL18'!$B$3=L$3,SUMIF('TL18'!$C$10:$C$224,$C154,'TL18'!$J$10:$J$224),0),
IF('TL18'!$B$229=L$3,SUMIF('TL18'!$C$238:$C$451,$C154,'TL18'!$J$238:$J$451),0),
IF('TL19'!$B$3=L$3,SUMIF('TL19'!$C$10:$C$224,$C154,'TL19'!$J$10:$J$224),0),
IF('TL19'!$B$229=L$3,SUMIF('TL19'!$C$238:$C$451,$C154,'TL19'!$J$238:$J$451),0)
),0)</f>
        <v/>
      </c>
      <c r="M154" s="9">
        <f>IFERROR(SUM(
IF('TL01'!$B$3=M$3,SUMIF('TL01'!$C$10:$C$224,$C154,'TL01'!$J$10:$J$224),0),
IF('TL01'!$B$229=M$3,SUMIF('TL01'!$C$238:$C$451,$C154,'TL01'!$J$238:$J$451),0),
IF('TL02'!$B$3=M$3,SUMIF('TL02'!$C$10:$C$224,$C154,'TL02'!$J$10:$J$224),0),
IF('TL02'!$B$229=M$3,SUMIF('TL02'!$C$238:$C$451,$C154,'TL02'!$J$238:$J$451),0),
IF('TL03'!$B$3=M$3,SUMIF('TL03'!$C$10:$C$224,$C154,'TL03'!$J$10:$J$224),0),
IF('TL03'!$B$229=M$3,SUMIF('TL03'!$C$238:$C$451,$C154,'TL03'!$J$238:$J$451),0),
IF('TL04'!$B$3=M$3,SUMIF('TL04'!$C$10:$C$224,$C154,'TL04'!$J$10:$J$224),0),
IF('TL04'!$B$229=M$3,SUMIF('TL04'!$C$238:$C$451,$C154,'TL04'!$J$238:$J$451),0),
IF('TL05'!$B$3=M$3,SUMIF('TL05'!$C$10:$C$224,$C154,'TL05'!$J$10:$J$224),0),
IF('TL05'!$B$229=M$3,SUMIF('TL05'!$C$238:$C$451,$C154,'TL05'!$J$238:$J$451),0),
IF('TL06'!$B$3=M$3,SUMIF('TL06'!$C$10:$C$224,$C154,'TL06'!$J$10:$J$224),0),
IF('TL06'!$B$229=M$3,SUMIF('TL06'!$C$238:$C$451,$C154,'TL06'!$J$238:$J$451),0),
IF('TL07'!$B$3=M$3,SUMIF('TL07'!$C$10:$C$224,$C154,'TL07'!$J$10:$J$224),0),
IF('TL07'!$B$229=M$3,SUMIF('TL07'!$C$238:$C$451,$C154,'TL07'!$J$238:$J$451),0),
IF('TL08'!$B$3=M$3,SUMIF('TL08'!$C$10:$C$224,$C154,'TL08'!$J$10:$J$224),0),
IF('TL08'!$B$229=M$3,SUMIF('TL08'!$C$238:$C$451,$C154,'TL08'!$J$238:$J$451),0),
IF('TL09'!$B$3=M$3,SUMIF('TL09'!$C$10:$C$224,$C154,'TL09'!$J$10:$J$224),0),
IF('TL09'!$B$229=M$3,SUMIF('TL09'!$C$238:$C$451,$C154,'TL09'!$J$238:$J$451),0),
IF('TL10'!$B$3=M$3,SUMIF('TL10'!$C$10:$C$224,$C154,'TL10'!$J$10:$J$224),0),
IF('TL10'!$B$229=M$3,SUMIF('TL10'!$C$238:$C$451,$C154,'TL10'!$J$238:$J$451),0),
IF('TL11'!$B$3=M$3,SUMIF('TL11'!$C$10:$C$224,$C154,'TL11'!$J$10:$J$224),0),
IF('TL11'!$B$229=M$3,SUMIF('TL11'!$C$238:$C$451,$C154,'TL11'!$J$238:$J$451),0),
IF('TL12'!$B$3=M$3,SUMIF('TL12'!$C$10:$C$224,$C154,'TL12'!$J$10:$J$224),0),
IF('TL12'!$B$229=M$3,SUMIF('TL12'!$C$238:$C$451,$C154,'TL12'!$J$238:$J$451),0),
IF('TL13'!$B$3=M$3,SUMIF('TL13'!$C$10:$C$224,$C154,'TL13'!$J$10:$J$224),0),
IF('TL13'!$B$229=M$3,SUMIF('TL13'!$C$238:$C$451,$C154,'TL13'!$J$238:$J$451),0),
IF('TL14'!$B$3=M$3,SUMIF('TL14'!$C$10:$C$224,$C154,'TL14'!$J$10:$J$224),0),
IF('TL14'!$B$229=M$3,SUMIF('TL14'!$C$238:$C$451,$C154,'TL14'!$J$238:$J$451),0),
IF('TL15'!$B$3=M$3,SUMIF('TL15'!$C$10:$C$224,$C154,'TL15'!$J$10:$J$224),0),
IF('TL15'!$B$229=M$3,SUMIF('TL15'!$C$238:$C$451,$C154,'TL15'!$J$238:$J$451),0),
IF('TL16'!$B$3=M$3,SUMIF('TL16'!$C$10:$C$224,$C154,'TL16'!$J$10:$J$224),0),
IF('TL16'!$B$229=M$3,SUMIF('TL16'!$C$238:$C$451,$C154,'TL16'!$J$238:$J$451),0),
IF('TL17'!$B$3=M$3,SUMIF('TL17'!$C$10:$C$224,$C154,'TL17'!$J$10:$J$224),0),
IF('TL17'!$B$229=M$3,SUMIF('TL17'!$C$238:$C$451,$C154,'TL17'!$J$238:$J$451),0),
IF('TL18'!$B$3=M$3,SUMIF('TL18'!$C$10:$C$224,$C154,'TL18'!$J$10:$J$224),0),
IF('TL18'!$B$229=M$3,SUMIF('TL18'!$C$238:$C$451,$C154,'TL18'!$J$238:$J$451),0),
IF('TL19'!$B$3=M$3,SUMIF('TL19'!$C$10:$C$224,$C154,'TL19'!$J$10:$J$224),0),
IF('TL19'!$B$229=M$3,SUMIF('TL19'!$C$238:$C$451,$C154,'TL19'!$J$238:$J$451),0)
),0)</f>
        <v/>
      </c>
      <c r="N154" s="9">
        <f>IFERROR(SUM(
IF('TL01'!$B$3=N$3,SUMIF('TL01'!$C$10:$C$224,$C154,'TL01'!$J$10:$J$224),0),
IF('TL01'!$B$229=N$3,SUMIF('TL01'!$C$238:$C$451,$C154,'TL01'!$J$238:$J$451),0),
IF('TL02'!$B$3=N$3,SUMIF('TL02'!$C$10:$C$224,$C154,'TL02'!$J$10:$J$224),0),
IF('TL02'!$B$229=N$3,SUMIF('TL02'!$C$238:$C$451,$C154,'TL02'!$J$238:$J$451),0),
IF('TL03'!$B$3=N$3,SUMIF('TL03'!$C$10:$C$224,$C154,'TL03'!$J$10:$J$224),0),
IF('TL03'!$B$229=N$3,SUMIF('TL03'!$C$238:$C$451,$C154,'TL03'!$J$238:$J$451),0),
IF('TL04'!$B$3=N$3,SUMIF('TL04'!$C$10:$C$224,$C154,'TL04'!$J$10:$J$224),0),
IF('TL04'!$B$229=N$3,SUMIF('TL04'!$C$238:$C$451,$C154,'TL04'!$J$238:$J$451),0),
IF('TL05'!$B$3=N$3,SUMIF('TL05'!$C$10:$C$224,$C154,'TL05'!$J$10:$J$224),0),
IF('TL05'!$B$229=N$3,SUMIF('TL05'!$C$238:$C$451,$C154,'TL05'!$J$238:$J$451),0),
IF('TL06'!$B$3=N$3,SUMIF('TL06'!$C$10:$C$224,$C154,'TL06'!$J$10:$J$224),0),
IF('TL06'!$B$229=N$3,SUMIF('TL06'!$C$238:$C$451,$C154,'TL06'!$J$238:$J$451),0),
IF('TL07'!$B$3=N$3,SUMIF('TL07'!$C$10:$C$224,$C154,'TL07'!$J$10:$J$224),0),
IF('TL07'!$B$229=N$3,SUMIF('TL07'!$C$238:$C$451,$C154,'TL07'!$J$238:$J$451),0),
IF('TL08'!$B$3=N$3,SUMIF('TL08'!$C$10:$C$224,$C154,'TL08'!$J$10:$J$224),0),
IF('TL08'!$B$229=N$3,SUMIF('TL08'!$C$238:$C$451,$C154,'TL08'!$J$238:$J$451),0),
IF('TL09'!$B$3=N$3,SUMIF('TL09'!$C$10:$C$224,$C154,'TL09'!$J$10:$J$224),0),
IF('TL09'!$B$229=N$3,SUMIF('TL09'!$C$238:$C$451,$C154,'TL09'!$J$238:$J$451),0),
IF('TL10'!$B$3=N$3,SUMIF('TL10'!$C$10:$C$224,$C154,'TL10'!$J$10:$J$224),0),
IF('TL10'!$B$229=N$3,SUMIF('TL10'!$C$238:$C$451,$C154,'TL10'!$J$238:$J$451),0),
IF('TL11'!$B$3=N$3,SUMIF('TL11'!$C$10:$C$224,$C154,'TL11'!$J$10:$J$224),0),
IF('TL11'!$B$229=N$3,SUMIF('TL11'!$C$238:$C$451,$C154,'TL11'!$J$238:$J$451),0),
IF('TL12'!$B$3=N$3,SUMIF('TL12'!$C$10:$C$224,$C154,'TL12'!$J$10:$J$224),0),
IF('TL12'!$B$229=N$3,SUMIF('TL12'!$C$238:$C$451,$C154,'TL12'!$J$238:$J$451),0),
IF('TL13'!$B$3=N$3,SUMIF('TL13'!$C$10:$C$224,$C154,'TL13'!$J$10:$J$224),0),
IF('TL13'!$B$229=N$3,SUMIF('TL13'!$C$238:$C$451,$C154,'TL13'!$J$238:$J$451),0),
IF('TL14'!$B$3=N$3,SUMIF('TL14'!$C$10:$C$224,$C154,'TL14'!$J$10:$J$224),0),
IF('TL14'!$B$229=N$3,SUMIF('TL14'!$C$238:$C$451,$C154,'TL14'!$J$238:$J$451),0),
IF('TL15'!$B$3=N$3,SUMIF('TL15'!$C$10:$C$224,$C154,'TL15'!$J$10:$J$224),0),
IF('TL15'!$B$229=N$3,SUMIF('TL15'!$C$238:$C$451,$C154,'TL15'!$J$238:$J$451),0),
IF('TL16'!$B$3=N$3,SUMIF('TL16'!$C$10:$C$224,$C154,'TL16'!$J$10:$J$224),0),
IF('TL16'!$B$229=N$3,SUMIF('TL16'!$C$238:$C$451,$C154,'TL16'!$J$238:$J$451),0),
IF('TL17'!$B$3=N$3,SUMIF('TL17'!$C$10:$C$224,$C154,'TL17'!$J$10:$J$224),0),
IF('TL17'!$B$229=N$3,SUMIF('TL17'!$C$238:$C$451,$C154,'TL17'!$J$238:$J$451),0),
IF('TL18'!$B$3=N$3,SUMIF('TL18'!$C$10:$C$224,$C154,'TL18'!$J$10:$J$224),0),
IF('TL18'!$B$229=N$3,SUMIF('TL18'!$C$238:$C$451,$C154,'TL18'!$J$238:$J$451),0),
IF('TL19'!$B$3=N$3,SUMIF('TL19'!$C$10:$C$224,$C154,'TL19'!$J$10:$J$224),0),
IF('TL19'!$B$229=N$3,SUMIF('TL19'!$C$238:$C$451,$C154,'TL19'!$J$238:$J$451),0)
),0)</f>
        <v/>
      </c>
      <c r="O154" s="9">
        <f>IFERROR(SUM(
IF('TL01'!$B$3=O$3,SUMIF('TL01'!$C$10:$C$224,$C154,'TL01'!$J$10:$J$224),0),
IF('TL01'!$B$229=O$3,SUMIF('TL01'!$C$238:$C$451,$C154,'TL01'!$J$238:$J$451),0),
IF('TL02'!$B$3=O$3,SUMIF('TL02'!$C$10:$C$224,$C154,'TL02'!$J$10:$J$224),0),
IF('TL02'!$B$229=O$3,SUMIF('TL02'!$C$238:$C$451,$C154,'TL02'!$J$238:$J$451),0),
IF('TL03'!$B$3=O$3,SUMIF('TL03'!$C$10:$C$224,$C154,'TL03'!$J$10:$J$224),0),
IF('TL03'!$B$229=O$3,SUMIF('TL03'!$C$238:$C$451,$C154,'TL03'!$J$238:$J$451),0),
IF('TL04'!$B$3=O$3,SUMIF('TL04'!$C$10:$C$224,$C154,'TL04'!$J$10:$J$224),0),
IF('TL04'!$B$229=O$3,SUMIF('TL04'!$C$238:$C$451,$C154,'TL04'!$J$238:$J$451),0),
IF('TL05'!$B$3=O$3,SUMIF('TL05'!$C$10:$C$224,$C154,'TL05'!$J$10:$J$224),0),
IF('TL05'!$B$229=O$3,SUMIF('TL05'!$C$238:$C$451,$C154,'TL05'!$J$238:$J$451),0),
IF('TL06'!$B$3=O$3,SUMIF('TL06'!$C$10:$C$224,$C154,'TL06'!$J$10:$J$224),0),
IF('TL06'!$B$229=O$3,SUMIF('TL06'!$C$238:$C$451,$C154,'TL06'!$J$238:$J$451),0),
IF('TL07'!$B$3=O$3,SUMIF('TL07'!$C$10:$C$224,$C154,'TL07'!$J$10:$J$224),0),
IF('TL07'!$B$229=O$3,SUMIF('TL07'!$C$238:$C$451,$C154,'TL07'!$J$238:$J$451),0),
IF('TL08'!$B$3=O$3,SUMIF('TL08'!$C$10:$C$224,$C154,'TL08'!$J$10:$J$224),0),
IF('TL08'!$B$229=O$3,SUMIF('TL08'!$C$238:$C$451,$C154,'TL08'!$J$238:$J$451),0),
IF('TL09'!$B$3=O$3,SUMIF('TL09'!$C$10:$C$224,$C154,'TL09'!$J$10:$J$224),0),
IF('TL09'!$B$229=O$3,SUMIF('TL09'!$C$238:$C$451,$C154,'TL09'!$J$238:$J$451),0),
IF('TL10'!$B$3=O$3,SUMIF('TL10'!$C$10:$C$224,$C154,'TL10'!$J$10:$J$224),0),
IF('TL10'!$B$229=O$3,SUMIF('TL10'!$C$238:$C$451,$C154,'TL10'!$J$238:$J$451),0),
IF('TL11'!$B$3=O$3,SUMIF('TL11'!$C$10:$C$224,$C154,'TL11'!$J$10:$J$224),0),
IF('TL11'!$B$229=O$3,SUMIF('TL11'!$C$238:$C$451,$C154,'TL11'!$J$238:$J$451),0),
IF('TL12'!$B$3=O$3,SUMIF('TL12'!$C$10:$C$224,$C154,'TL12'!$J$10:$J$224),0),
IF('TL12'!$B$229=O$3,SUMIF('TL12'!$C$238:$C$451,$C154,'TL12'!$J$238:$J$451),0),
IF('TL13'!$B$3=O$3,SUMIF('TL13'!$C$10:$C$224,$C154,'TL13'!$J$10:$J$224),0),
IF('TL13'!$B$229=O$3,SUMIF('TL13'!$C$238:$C$451,$C154,'TL13'!$J$238:$J$451),0),
IF('TL14'!$B$3=O$3,SUMIF('TL14'!$C$10:$C$224,$C154,'TL14'!$J$10:$J$224),0),
IF('TL14'!$B$229=O$3,SUMIF('TL14'!$C$238:$C$451,$C154,'TL14'!$J$238:$J$451),0),
IF('TL15'!$B$3=O$3,SUMIF('TL15'!$C$10:$C$224,$C154,'TL15'!$J$10:$J$224),0),
IF('TL15'!$B$229=O$3,SUMIF('TL15'!$C$238:$C$451,$C154,'TL15'!$J$238:$J$451),0),
IF('TL16'!$B$3=O$3,SUMIF('TL16'!$C$10:$C$224,$C154,'TL16'!$J$10:$J$224),0),
IF('TL16'!$B$229=O$3,SUMIF('TL16'!$C$238:$C$451,$C154,'TL16'!$J$238:$J$451),0),
IF('TL17'!$B$3=O$3,SUMIF('TL17'!$C$10:$C$224,$C154,'TL17'!$J$10:$J$224),0),
IF('TL17'!$B$229=O$3,SUMIF('TL17'!$C$238:$C$451,$C154,'TL17'!$J$238:$J$451),0),
IF('TL18'!$B$3=O$3,SUMIF('TL18'!$C$10:$C$224,$C154,'TL18'!$J$10:$J$224),0),
IF('TL18'!$B$229=O$3,SUMIF('TL18'!$C$238:$C$451,$C154,'TL18'!$J$238:$J$451),0),
IF('TL19'!$B$3=O$3,SUMIF('TL19'!$C$10:$C$224,$C154,'TL19'!$J$10:$J$224),0),
IF('TL19'!$B$229=O$3,SUMIF('TL19'!$C$238:$C$451,$C154,'TL19'!$J$238:$J$451),0)
),0)</f>
        <v/>
      </c>
      <c r="P154" s="9">
        <f>IFERROR(SUM(
IF('TL01'!$B$3=P$3,SUMIF('TL01'!$C$10:$C$224,$C154,'TL01'!$J$10:$J$224),0),
IF('TL01'!$B$229=P$3,SUMIF('TL01'!$C$238:$C$451,$C154,'TL01'!$J$238:$J$451),0),
IF('TL02'!$B$3=P$3,SUMIF('TL02'!$C$10:$C$224,$C154,'TL02'!$J$10:$J$224),0),
IF('TL02'!$B$229=P$3,SUMIF('TL02'!$C$238:$C$451,$C154,'TL02'!$J$238:$J$451),0),
IF('TL03'!$B$3=P$3,SUMIF('TL03'!$C$10:$C$224,$C154,'TL03'!$J$10:$J$224),0),
IF('TL03'!$B$229=P$3,SUMIF('TL03'!$C$238:$C$451,$C154,'TL03'!$J$238:$J$451),0),
IF('TL04'!$B$3=P$3,SUMIF('TL04'!$C$10:$C$224,$C154,'TL04'!$J$10:$J$224),0),
IF('TL04'!$B$229=P$3,SUMIF('TL04'!$C$238:$C$451,$C154,'TL04'!$J$238:$J$451),0),
IF('TL05'!$B$3=P$3,SUMIF('TL05'!$C$10:$C$224,$C154,'TL05'!$J$10:$J$224),0),
IF('TL05'!$B$229=P$3,SUMIF('TL05'!$C$238:$C$451,$C154,'TL05'!$J$238:$J$451),0),
IF('TL06'!$B$3=P$3,SUMIF('TL06'!$C$10:$C$224,$C154,'TL06'!$J$10:$J$224),0),
IF('TL06'!$B$229=P$3,SUMIF('TL06'!$C$238:$C$451,$C154,'TL06'!$J$238:$J$451),0),
IF('TL07'!$B$3=P$3,SUMIF('TL07'!$C$10:$C$224,$C154,'TL07'!$J$10:$J$224),0),
IF('TL07'!$B$229=P$3,SUMIF('TL07'!$C$238:$C$451,$C154,'TL07'!$J$238:$J$451),0),
IF('TL08'!$B$3=P$3,SUMIF('TL08'!$C$10:$C$224,$C154,'TL08'!$J$10:$J$224),0),
IF('TL08'!$B$229=P$3,SUMIF('TL08'!$C$238:$C$451,$C154,'TL08'!$J$238:$J$451),0),
IF('TL09'!$B$3=P$3,SUMIF('TL09'!$C$10:$C$224,$C154,'TL09'!$J$10:$J$224),0),
IF('TL09'!$B$229=P$3,SUMIF('TL09'!$C$238:$C$451,$C154,'TL09'!$J$238:$J$451),0),
IF('TL10'!$B$3=P$3,SUMIF('TL10'!$C$10:$C$224,$C154,'TL10'!$J$10:$J$224),0),
IF('TL10'!$B$229=P$3,SUMIF('TL10'!$C$238:$C$451,$C154,'TL10'!$J$238:$J$451),0),
IF('TL11'!$B$3=P$3,SUMIF('TL11'!$C$10:$C$224,$C154,'TL11'!$J$10:$J$224),0),
IF('TL11'!$B$229=P$3,SUMIF('TL11'!$C$238:$C$451,$C154,'TL11'!$J$238:$J$451),0),
IF('TL12'!$B$3=P$3,SUMIF('TL12'!$C$10:$C$224,$C154,'TL12'!$J$10:$J$224),0),
IF('TL12'!$B$229=P$3,SUMIF('TL12'!$C$238:$C$451,$C154,'TL12'!$J$238:$J$451),0),
IF('TL13'!$B$3=P$3,SUMIF('TL13'!$C$10:$C$224,$C154,'TL13'!$J$10:$J$224),0),
IF('TL13'!$B$229=P$3,SUMIF('TL13'!$C$238:$C$451,$C154,'TL13'!$J$238:$J$451),0),
IF('TL14'!$B$3=P$3,SUMIF('TL14'!$C$10:$C$224,$C154,'TL14'!$J$10:$J$224),0),
IF('TL14'!$B$229=P$3,SUMIF('TL14'!$C$238:$C$451,$C154,'TL14'!$J$238:$J$451),0),
IF('TL15'!$B$3=P$3,SUMIF('TL15'!$C$10:$C$224,$C154,'TL15'!$J$10:$J$224),0),
IF('TL15'!$B$229=P$3,SUMIF('TL15'!$C$238:$C$451,$C154,'TL15'!$J$238:$J$451),0),
IF('TL16'!$B$3=P$3,SUMIF('TL16'!$C$10:$C$224,$C154,'TL16'!$J$10:$J$224),0),
IF('TL16'!$B$229=P$3,SUMIF('TL16'!$C$238:$C$451,$C154,'TL16'!$J$238:$J$451),0),
IF('TL17'!$B$3=P$3,SUMIF('TL17'!$C$10:$C$224,$C154,'TL17'!$J$10:$J$224),0),
IF('TL17'!$B$229=P$3,SUMIF('TL17'!$C$238:$C$451,$C154,'TL17'!$J$238:$J$451),0),
IF('TL18'!$B$3=P$3,SUMIF('TL18'!$C$10:$C$224,$C154,'TL18'!$J$10:$J$224),0),
IF('TL18'!$B$229=P$3,SUMIF('TL18'!$C$238:$C$451,$C154,'TL18'!$J$238:$J$451),0),
IF('TL19'!$B$3=P$3,SUMIF('TL19'!$C$10:$C$224,$C154,'TL19'!$J$10:$J$224),0),
IF('TL19'!$B$229=P$3,SUMIF('TL19'!$C$238:$C$451,$C154,'TL19'!$J$238:$J$451),0)
),0)</f>
        <v/>
      </c>
      <c r="Q154" s="9">
        <f>IFERROR(SUM(
IF('TL01'!$B$3=Q$3,SUMIF('TL01'!$C$10:$C$224,$C154,'TL01'!$J$10:$J$224),0),
IF('TL01'!$B$229=Q$3,SUMIF('TL01'!$C$238:$C$451,$C154,'TL01'!$J$238:$J$451),0),
IF('TL02'!$B$3=Q$3,SUMIF('TL02'!$C$10:$C$224,$C154,'TL02'!$J$10:$J$224),0),
IF('TL02'!$B$229=Q$3,SUMIF('TL02'!$C$238:$C$451,$C154,'TL02'!$J$238:$J$451),0),
IF('TL03'!$B$3=Q$3,SUMIF('TL03'!$C$10:$C$224,$C154,'TL03'!$J$10:$J$224),0),
IF('TL03'!$B$229=Q$3,SUMIF('TL03'!$C$238:$C$451,$C154,'TL03'!$J$238:$J$451),0),
IF('TL04'!$B$3=Q$3,SUMIF('TL04'!$C$10:$C$224,$C154,'TL04'!$J$10:$J$224),0),
IF('TL04'!$B$229=Q$3,SUMIF('TL04'!$C$238:$C$451,$C154,'TL04'!$J$238:$J$451),0),
IF('TL05'!$B$3=Q$3,SUMIF('TL05'!$C$10:$C$224,$C154,'TL05'!$J$10:$J$224),0),
IF('TL05'!$B$229=Q$3,SUMIF('TL05'!$C$238:$C$451,$C154,'TL05'!$J$238:$J$451),0),
IF('TL06'!$B$3=Q$3,SUMIF('TL06'!$C$10:$C$224,$C154,'TL06'!$J$10:$J$224),0),
IF('TL06'!$B$229=Q$3,SUMIF('TL06'!$C$238:$C$451,$C154,'TL06'!$J$238:$J$451),0),
IF('TL07'!$B$3=Q$3,SUMIF('TL07'!$C$10:$C$224,$C154,'TL07'!$J$10:$J$224),0),
IF('TL07'!$B$229=Q$3,SUMIF('TL07'!$C$238:$C$451,$C154,'TL07'!$J$238:$J$451),0),
IF('TL08'!$B$3=Q$3,SUMIF('TL08'!$C$10:$C$224,$C154,'TL08'!$J$10:$J$224),0),
IF('TL08'!$B$229=Q$3,SUMIF('TL08'!$C$238:$C$451,$C154,'TL08'!$J$238:$J$451),0),
IF('TL09'!$B$3=Q$3,SUMIF('TL09'!$C$10:$C$224,$C154,'TL09'!$J$10:$J$224),0),
IF('TL09'!$B$229=Q$3,SUMIF('TL09'!$C$238:$C$451,$C154,'TL09'!$J$238:$J$451),0),
IF('TL10'!$B$3=Q$3,SUMIF('TL10'!$C$10:$C$224,$C154,'TL10'!$J$10:$J$224),0),
IF('TL10'!$B$229=Q$3,SUMIF('TL10'!$C$238:$C$451,$C154,'TL10'!$J$238:$J$451),0),
IF('TL11'!$B$3=Q$3,SUMIF('TL11'!$C$10:$C$224,$C154,'TL11'!$J$10:$J$224),0),
IF('TL11'!$B$229=Q$3,SUMIF('TL11'!$C$238:$C$451,$C154,'TL11'!$J$238:$J$451),0),
IF('TL12'!$B$3=Q$3,SUMIF('TL12'!$C$10:$C$224,$C154,'TL12'!$J$10:$J$224),0),
IF('TL12'!$B$229=Q$3,SUMIF('TL12'!$C$238:$C$451,$C154,'TL12'!$J$238:$J$451),0),
IF('TL13'!$B$3=Q$3,SUMIF('TL13'!$C$10:$C$224,$C154,'TL13'!$J$10:$J$224),0),
IF('TL13'!$B$229=Q$3,SUMIF('TL13'!$C$238:$C$451,$C154,'TL13'!$J$238:$J$451),0),
IF('TL14'!$B$3=Q$3,SUMIF('TL14'!$C$10:$C$224,$C154,'TL14'!$J$10:$J$224),0),
IF('TL14'!$B$229=Q$3,SUMIF('TL14'!$C$238:$C$451,$C154,'TL14'!$J$238:$J$451),0),
IF('TL15'!$B$3=Q$3,SUMIF('TL15'!$C$10:$C$224,$C154,'TL15'!$J$10:$J$224),0),
IF('TL15'!$B$229=Q$3,SUMIF('TL15'!$C$238:$C$451,$C154,'TL15'!$J$238:$J$451),0),
IF('TL16'!$B$3=Q$3,SUMIF('TL16'!$C$10:$C$224,$C154,'TL16'!$J$10:$J$224),0),
IF('TL16'!$B$229=Q$3,SUMIF('TL16'!$C$238:$C$451,$C154,'TL16'!$J$238:$J$451),0),
IF('TL17'!$B$3=Q$3,SUMIF('TL17'!$C$10:$C$224,$C154,'TL17'!$J$10:$J$224),0),
IF('TL17'!$B$229=Q$3,SUMIF('TL17'!$C$238:$C$451,$C154,'TL17'!$J$238:$J$451),0),
IF('TL18'!$B$3=Q$3,SUMIF('TL18'!$C$10:$C$224,$C154,'TL18'!$J$10:$J$224),0),
IF('TL18'!$B$229=Q$3,SUMIF('TL18'!$C$238:$C$451,$C154,'TL18'!$J$238:$J$451),0),
IF('TL19'!$B$3=Q$3,SUMIF('TL19'!$C$10:$C$224,$C154,'TL19'!$J$10:$J$224),0),
IF('TL19'!$B$229=Q$3,SUMIF('TL19'!$C$238:$C$451,$C154,'TL19'!$J$238:$J$451),0)
),0)</f>
        <v/>
      </c>
      <c r="R154" s="9">
        <f>IFERROR(
SUM(
SUMIF('TL01'!C:C,C154,'TL01'!J:J),
SUMIF('TL02'!C:C,C154,'TL02'!J:J),
SUMIF('TL03'!C:C,C154,'TL03'!J:J),
SUMIF('TL04'!C:C,C154,'TL04'!J:J),
SUMIF('TL05'!C:C,C154,'TL05'!J:J),
SUMIF('TL06'!C:C,C154,'TL06'!J:J),
SUMIF('TL07'!C:C,C154,'TL07'!J:J),
SUMIF('TL08'!C:C,C154,'TL08'!J:J),
SUMIF('TL09'!C:C,C154,'TL09'!J:J),
SUMIF('TL10'!C:C,C154,'TL10'!J:J),
SUMIF('TL11'!C:C,C154,'TL11'!J:J),
SUMIF('TL12'!C:C,C154,'TL12'!J:J),
SUMIF('TL13'!C:C,C154,'TL13'!J:J),
SUMIF('TL14'!C:C,C154,'TL14'!J:J),
SUMIF('TL15'!C:C,C154,'TL15'!J:J),
SUMIF('TL16'!C:C,C154,'TL16'!J:J),
SUMIF('TL17'!C:C,C154,'TL17'!J:J),
SUMIF('TL18'!C:C,C154,'TL18'!J:J),SUMIF('TL19'!C:C,C154,'TL19'!J:J))
,0)</f>
        <v/>
      </c>
      <c r="S154" s="17">
        <f>IFERROR(__xludf.DUMMYFUNCTION("IFERROR(VLOOKUP(C154,
IMPORTRANGE(""1wULbzX32WdYsx-lj2U3uUNBBe2INVIRDtcK0d-Dvl90"",
""26-27!C:G""),
5,
FALSE),
"""")"),26.49724)</f>
        <v/>
      </c>
      <c r="T154" s="9" t="n"/>
      <c r="U154" s="92">
        <f>MAX(0,R154-T154)</f>
        <v/>
      </c>
      <c r="V154" s="93">
        <f>U154*S154</f>
        <v/>
      </c>
    </row>
    <row r="155" hidden="1" ht="15.75" customHeight="1" s="297">
      <c r="A155" s="111" t="inlineStr">
        <is>
          <t>SUMITOMO</t>
        </is>
      </c>
      <c r="B155" s="112" t="inlineStr">
        <is>
          <t>HERBICIDA</t>
        </is>
      </c>
      <c r="C155" s="113" t="inlineStr">
        <is>
          <t>CRUCIAL</t>
        </is>
      </c>
      <c r="D155" s="113" t="inlineStr">
        <is>
          <t>GLIFOSATO-SAL DE ISOPROPILAMINA + GLIFOSATO-SAL
 DE POTÁSSIO</t>
        </is>
      </c>
      <c r="E155" s="113" t="n">
        <v>540</v>
      </c>
      <c r="F155" s="4" t="inlineStr">
        <is>
          <t>L</t>
        </is>
      </c>
      <c r="G155" s="90">
        <f>HYPERLINK("https://www.google.com/search?q=" &amp; C155 &amp; "+bula+agrofit+pdf", "📄 Ver bula")</f>
        <v/>
      </c>
      <c r="H155" s="9">
        <f>IFERROR(__xludf.DUMMYFUNCTION("IFERROR(VLOOKUP(C155,
IMPORTRANGE(""1wULbzX32WdYsx-lj2U3uUNBBe2INVIRDtcK0d-Dvl90"",
""26-27!C:K""),
8,
FALSE),
"""")"),2.0)</f>
        <v/>
      </c>
      <c r="I155" s="114" t="inlineStr">
        <is>
          <t>1x20</t>
        </is>
      </c>
      <c r="J155" s="9">
        <f>IFERROR(SUM(
IF('TL01'!$B$3=J$3,SUMIF('TL01'!$C$10:$C$224,$C155,'TL01'!$J$10:$J$224),0),
IF('TL01'!$B$229=J$3,SUMIF('TL01'!$C$238:$C$451,$C155,'TL01'!$J$238:$J$451),0),
IF('TL02'!$B$3=J$3,SUMIF('TL02'!$C$10:$C$224,$C155,'TL02'!$J$10:$J$224),0),
IF('TL02'!$B$229=J$3,SUMIF('TL02'!$C$238:$C$451,$C155,'TL02'!$J$238:$J$451),0),
IF('TL03'!$B$3=J$3,SUMIF('TL03'!$C$10:$C$224,$C155,'TL03'!$J$10:$J$224),0),
IF('TL03'!$B$229=J$3,SUMIF('TL03'!$C$238:$C$451,$C155,'TL03'!$J$238:$J$451),0),
IF('TL04'!$B$3=J$3,SUMIF('TL04'!$C$10:$C$224,$C155,'TL04'!$J$10:$J$224),0),
IF('TL04'!$B$229=J$3,SUMIF('TL04'!$C$238:$C$451,$C155,'TL04'!$J$238:$J$451),0),
IF('TL05'!$B$3=J$3,SUMIF('TL05'!$C$10:$C$224,$C155,'TL05'!$J$10:$J$224),0),
IF('TL05'!$B$229=J$3,SUMIF('TL05'!$C$238:$C$451,$C155,'TL05'!$J$238:$J$451),0),
IF('TL06'!$B$3=J$3,SUMIF('TL06'!$C$10:$C$224,$C155,'TL06'!$J$10:$J$224),0),
IF('TL06'!$B$229=J$3,SUMIF('TL06'!$C$238:$C$451,$C155,'TL06'!$J$238:$J$451),0),
IF('TL07'!$B$3=J$3,SUMIF('TL07'!$C$10:$C$224,$C155,'TL07'!$J$10:$J$224),0),
IF('TL07'!$B$229=J$3,SUMIF('TL07'!$C$238:$C$451,$C155,'TL07'!$J$238:$J$451),0),
IF('TL08'!$B$3=J$3,SUMIF('TL08'!$C$10:$C$224,$C155,'TL08'!$J$10:$J$224),0),
IF('TL08'!$B$229=J$3,SUMIF('TL08'!$C$238:$C$451,$C155,'TL08'!$J$238:$J$451),0),
IF('TL09'!$B$3=J$3,SUMIF('TL09'!$C$10:$C$224,$C155,'TL09'!$J$10:$J$224),0),
IF('TL09'!$B$229=J$3,SUMIF('TL09'!$C$238:$C$451,$C155,'TL09'!$J$238:$J$451),0),
IF('TL10'!$B$3=J$3,SUMIF('TL10'!$C$10:$C$224,$C155,'TL10'!$J$10:$J$224),0),
IF('TL10'!$B$229=J$3,SUMIF('TL10'!$C$238:$C$451,$C155,'TL10'!$J$238:$J$451),0),
IF('TL11'!$B$3=J$3,SUMIF('TL11'!$C$10:$C$224,$C155,'TL11'!$J$10:$J$224),0),
IF('TL11'!$B$229=J$3,SUMIF('TL11'!$C$238:$C$451,$C155,'TL11'!$J$238:$J$451),0),
IF('TL12'!$B$3=J$3,SUMIF('TL12'!$C$10:$C$224,$C155,'TL12'!$J$10:$J$224),0),
IF('TL12'!$B$229=J$3,SUMIF('TL12'!$C$238:$C$451,$C155,'TL12'!$J$238:$J$451),0),
IF('TL13'!$B$3=J$3,SUMIF('TL13'!$C$10:$C$224,$C155,'TL13'!$J$10:$J$224),0),
IF('TL13'!$B$229=J$3,SUMIF('TL13'!$C$238:$C$451,$C155,'TL13'!$J$238:$J$451),0),
IF('TL14'!$B$3=J$3,SUMIF('TL14'!$C$10:$C$224,$C155,'TL14'!$J$10:$J$224),0),
IF('TL14'!$B$229=J$3,SUMIF('TL14'!$C$238:$C$451,$C155,'TL14'!$J$238:$J$451),0),
IF('TL15'!$B$3=J$3,SUMIF('TL15'!$C$10:$C$224,$C155,'TL15'!$J$10:$J$224),0),
IF('TL15'!$B$229=J$3,SUMIF('TL15'!$C$238:$C$451,$C155,'TL15'!$J$238:$J$451),0),
IF('TL16'!$B$3=J$3,SUMIF('TL16'!$C$10:$C$224,$C155,'TL16'!$J$10:$J$224),0),
IF('TL16'!$B$229=J$3,SUMIF('TL16'!$C$238:$C$451,$C155,'TL16'!$J$238:$J$451),0),
IF('TL17'!$B$3=J$3,SUMIF('TL17'!$C$10:$C$224,$C155,'TL17'!$J$10:$J$224),0),
IF('TL17'!$B$229=J$3,SUMIF('TL17'!$C$238:$C$451,$C155,'TL17'!$J$238:$J$451),0),
IF('TL18'!$B$3=J$3,SUMIF('TL18'!$C$10:$C$224,$C155,'TL18'!$J$10:$J$224),0),
IF('TL18'!$B$229=J$3,SUMIF('TL18'!$C$238:$C$451,$C155,'TL18'!$J$238:$J$451),0),
IF('TL19'!$B$3=J$3,SUMIF('TL19'!$C$10:$C$224,$C155,'TL19'!$J$10:$J$224),0),
IF('TL19'!$B$229=J$3,SUMIF('TL19'!$C$238:$C$451,$C155,'TL19'!$J$238:$J$451),0)
),0)</f>
        <v/>
      </c>
      <c r="K155" s="9">
        <f>IFERROR(SUM(
IF('TL01'!$B$3=K$3,SUMIF('TL01'!$C$10:$C$224,$C155,'TL01'!$J$10:$J$224),0),
IF('TL01'!$B$229=K$3,SUMIF('TL01'!$C$238:$C$451,$C155,'TL01'!$J$238:$J$451),0),
IF('TL02'!$B$3=K$3,SUMIF('TL02'!$C$10:$C$224,$C155,'TL02'!$J$10:$J$224),0),
IF('TL02'!$B$229=K$3,SUMIF('TL02'!$C$238:$C$451,$C155,'TL02'!$J$238:$J$451),0),
IF('TL03'!$B$3=K$3,SUMIF('TL03'!$C$10:$C$224,$C155,'TL03'!$J$10:$J$224),0),
IF('TL03'!$B$229=K$3,SUMIF('TL03'!$C$238:$C$451,$C155,'TL03'!$J$238:$J$451),0),
IF('TL04'!$B$3=K$3,SUMIF('TL04'!$C$10:$C$224,$C155,'TL04'!$J$10:$J$224),0),
IF('TL04'!$B$229=K$3,SUMIF('TL04'!$C$238:$C$451,$C155,'TL04'!$J$238:$J$451),0),
IF('TL05'!$B$3=K$3,SUMIF('TL05'!$C$10:$C$224,$C155,'TL05'!$J$10:$J$224),0),
IF('TL05'!$B$229=K$3,SUMIF('TL05'!$C$238:$C$451,$C155,'TL05'!$J$238:$J$451),0),
IF('TL06'!$B$3=K$3,SUMIF('TL06'!$C$10:$C$224,$C155,'TL06'!$J$10:$J$224),0),
IF('TL06'!$B$229=K$3,SUMIF('TL06'!$C$238:$C$451,$C155,'TL06'!$J$238:$J$451),0),
IF('TL07'!$B$3=K$3,SUMIF('TL07'!$C$10:$C$224,$C155,'TL07'!$J$10:$J$224),0),
IF('TL07'!$B$229=K$3,SUMIF('TL07'!$C$238:$C$451,$C155,'TL07'!$J$238:$J$451),0),
IF('TL08'!$B$3=K$3,SUMIF('TL08'!$C$10:$C$224,$C155,'TL08'!$J$10:$J$224),0),
IF('TL08'!$B$229=K$3,SUMIF('TL08'!$C$238:$C$451,$C155,'TL08'!$J$238:$J$451),0),
IF('TL09'!$B$3=K$3,SUMIF('TL09'!$C$10:$C$224,$C155,'TL09'!$J$10:$J$224),0),
IF('TL09'!$B$229=K$3,SUMIF('TL09'!$C$238:$C$451,$C155,'TL09'!$J$238:$J$451),0),
IF('TL10'!$B$3=K$3,SUMIF('TL10'!$C$10:$C$224,$C155,'TL10'!$J$10:$J$224),0),
IF('TL10'!$B$229=K$3,SUMIF('TL10'!$C$238:$C$451,$C155,'TL10'!$J$238:$J$451),0),
IF('TL11'!$B$3=K$3,SUMIF('TL11'!$C$10:$C$224,$C155,'TL11'!$J$10:$J$224),0),
IF('TL11'!$B$229=K$3,SUMIF('TL11'!$C$238:$C$451,$C155,'TL11'!$J$238:$J$451),0),
IF('TL12'!$B$3=K$3,SUMIF('TL12'!$C$10:$C$224,$C155,'TL12'!$J$10:$J$224),0),
IF('TL12'!$B$229=K$3,SUMIF('TL12'!$C$238:$C$451,$C155,'TL12'!$J$238:$J$451),0),
IF('TL13'!$B$3=K$3,SUMIF('TL13'!$C$10:$C$224,$C155,'TL13'!$J$10:$J$224),0),
IF('TL13'!$B$229=K$3,SUMIF('TL13'!$C$238:$C$451,$C155,'TL13'!$J$238:$J$451),0),
IF('TL14'!$B$3=K$3,SUMIF('TL14'!$C$10:$C$224,$C155,'TL14'!$J$10:$J$224),0),
IF('TL14'!$B$229=K$3,SUMIF('TL14'!$C$238:$C$451,$C155,'TL14'!$J$238:$J$451),0),
IF('TL15'!$B$3=K$3,SUMIF('TL15'!$C$10:$C$224,$C155,'TL15'!$J$10:$J$224),0),
IF('TL15'!$B$229=K$3,SUMIF('TL15'!$C$238:$C$451,$C155,'TL15'!$J$238:$J$451),0),
IF('TL16'!$B$3=K$3,SUMIF('TL16'!$C$10:$C$224,$C155,'TL16'!$J$10:$J$224),0),
IF('TL16'!$B$229=K$3,SUMIF('TL16'!$C$238:$C$451,$C155,'TL16'!$J$238:$J$451),0),
IF('TL17'!$B$3=K$3,SUMIF('TL17'!$C$10:$C$224,$C155,'TL17'!$J$10:$J$224),0),
IF('TL17'!$B$229=K$3,SUMIF('TL17'!$C$238:$C$451,$C155,'TL17'!$J$238:$J$451),0),
IF('TL18'!$B$3=K$3,SUMIF('TL18'!$C$10:$C$224,$C155,'TL18'!$J$10:$J$224),0),
IF('TL18'!$B$229=K$3,SUMIF('TL18'!$C$238:$C$451,$C155,'TL18'!$J$238:$J$451),0),
IF('TL19'!$B$3=K$3,SUMIF('TL19'!$C$10:$C$224,$C155,'TL19'!$J$10:$J$224),0),
IF('TL19'!$B$229=K$3,SUMIF('TL19'!$C$238:$C$451,$C155,'TL19'!$J$238:$J$451),0)
),0)</f>
        <v/>
      </c>
      <c r="L155" s="9">
        <f>IFERROR(SUM(
IF('TL01'!$B$3=L$3,SUMIF('TL01'!$C$10:$C$224,$C155,'TL01'!$J$10:$J$224),0),
IF('TL01'!$B$229=L$3,SUMIF('TL01'!$C$238:$C$451,$C155,'TL01'!$J$238:$J$451),0),
IF('TL02'!$B$3=L$3,SUMIF('TL02'!$C$10:$C$224,$C155,'TL02'!$J$10:$J$224),0),
IF('TL02'!$B$229=L$3,SUMIF('TL02'!$C$238:$C$451,$C155,'TL02'!$J$238:$J$451),0),
IF('TL03'!$B$3=L$3,SUMIF('TL03'!$C$10:$C$224,$C155,'TL03'!$J$10:$J$224),0),
IF('TL03'!$B$229=L$3,SUMIF('TL03'!$C$238:$C$451,$C155,'TL03'!$J$238:$J$451),0),
IF('TL04'!$B$3=L$3,SUMIF('TL04'!$C$10:$C$224,$C155,'TL04'!$J$10:$J$224),0),
IF('TL04'!$B$229=L$3,SUMIF('TL04'!$C$238:$C$451,$C155,'TL04'!$J$238:$J$451),0),
IF('TL05'!$B$3=L$3,SUMIF('TL05'!$C$10:$C$224,$C155,'TL05'!$J$10:$J$224),0),
IF('TL05'!$B$229=L$3,SUMIF('TL05'!$C$238:$C$451,$C155,'TL05'!$J$238:$J$451),0),
IF('TL06'!$B$3=L$3,SUMIF('TL06'!$C$10:$C$224,$C155,'TL06'!$J$10:$J$224),0),
IF('TL06'!$B$229=L$3,SUMIF('TL06'!$C$238:$C$451,$C155,'TL06'!$J$238:$J$451),0),
IF('TL07'!$B$3=L$3,SUMIF('TL07'!$C$10:$C$224,$C155,'TL07'!$J$10:$J$224),0),
IF('TL07'!$B$229=L$3,SUMIF('TL07'!$C$238:$C$451,$C155,'TL07'!$J$238:$J$451),0),
IF('TL08'!$B$3=L$3,SUMIF('TL08'!$C$10:$C$224,$C155,'TL08'!$J$10:$J$224),0),
IF('TL08'!$B$229=L$3,SUMIF('TL08'!$C$238:$C$451,$C155,'TL08'!$J$238:$J$451),0),
IF('TL09'!$B$3=L$3,SUMIF('TL09'!$C$10:$C$224,$C155,'TL09'!$J$10:$J$224),0),
IF('TL09'!$B$229=L$3,SUMIF('TL09'!$C$238:$C$451,$C155,'TL09'!$J$238:$J$451),0),
IF('TL10'!$B$3=L$3,SUMIF('TL10'!$C$10:$C$224,$C155,'TL10'!$J$10:$J$224),0),
IF('TL10'!$B$229=L$3,SUMIF('TL10'!$C$238:$C$451,$C155,'TL10'!$J$238:$J$451),0),
IF('TL11'!$B$3=L$3,SUMIF('TL11'!$C$10:$C$224,$C155,'TL11'!$J$10:$J$224),0),
IF('TL11'!$B$229=L$3,SUMIF('TL11'!$C$238:$C$451,$C155,'TL11'!$J$238:$J$451),0),
IF('TL12'!$B$3=L$3,SUMIF('TL12'!$C$10:$C$224,$C155,'TL12'!$J$10:$J$224),0),
IF('TL12'!$B$229=L$3,SUMIF('TL12'!$C$238:$C$451,$C155,'TL12'!$J$238:$J$451),0),
IF('TL13'!$B$3=L$3,SUMIF('TL13'!$C$10:$C$224,$C155,'TL13'!$J$10:$J$224),0),
IF('TL13'!$B$229=L$3,SUMIF('TL13'!$C$238:$C$451,$C155,'TL13'!$J$238:$J$451),0),
IF('TL14'!$B$3=L$3,SUMIF('TL14'!$C$10:$C$224,$C155,'TL14'!$J$10:$J$224),0),
IF('TL14'!$B$229=L$3,SUMIF('TL14'!$C$238:$C$451,$C155,'TL14'!$J$238:$J$451),0),
IF('TL15'!$B$3=L$3,SUMIF('TL15'!$C$10:$C$224,$C155,'TL15'!$J$10:$J$224),0),
IF('TL15'!$B$229=L$3,SUMIF('TL15'!$C$238:$C$451,$C155,'TL15'!$J$238:$J$451),0),
IF('TL16'!$B$3=L$3,SUMIF('TL16'!$C$10:$C$224,$C155,'TL16'!$J$10:$J$224),0),
IF('TL16'!$B$229=L$3,SUMIF('TL16'!$C$238:$C$451,$C155,'TL16'!$J$238:$J$451),0),
IF('TL17'!$B$3=L$3,SUMIF('TL17'!$C$10:$C$224,$C155,'TL17'!$J$10:$J$224),0),
IF('TL17'!$B$229=L$3,SUMIF('TL17'!$C$238:$C$451,$C155,'TL17'!$J$238:$J$451),0),
IF('TL18'!$B$3=L$3,SUMIF('TL18'!$C$10:$C$224,$C155,'TL18'!$J$10:$J$224),0),
IF('TL18'!$B$229=L$3,SUMIF('TL18'!$C$238:$C$451,$C155,'TL18'!$J$238:$J$451),0),
IF('TL19'!$B$3=L$3,SUMIF('TL19'!$C$10:$C$224,$C155,'TL19'!$J$10:$J$224),0),
IF('TL19'!$B$229=L$3,SUMIF('TL19'!$C$238:$C$451,$C155,'TL19'!$J$238:$J$451),0)
),0)</f>
        <v/>
      </c>
      <c r="M155" s="9">
        <f>IFERROR(SUM(
IF('TL01'!$B$3=M$3,SUMIF('TL01'!$C$10:$C$224,$C155,'TL01'!$J$10:$J$224),0),
IF('TL01'!$B$229=M$3,SUMIF('TL01'!$C$238:$C$451,$C155,'TL01'!$J$238:$J$451),0),
IF('TL02'!$B$3=M$3,SUMIF('TL02'!$C$10:$C$224,$C155,'TL02'!$J$10:$J$224),0),
IF('TL02'!$B$229=M$3,SUMIF('TL02'!$C$238:$C$451,$C155,'TL02'!$J$238:$J$451),0),
IF('TL03'!$B$3=M$3,SUMIF('TL03'!$C$10:$C$224,$C155,'TL03'!$J$10:$J$224),0),
IF('TL03'!$B$229=M$3,SUMIF('TL03'!$C$238:$C$451,$C155,'TL03'!$J$238:$J$451),0),
IF('TL04'!$B$3=M$3,SUMIF('TL04'!$C$10:$C$224,$C155,'TL04'!$J$10:$J$224),0),
IF('TL04'!$B$229=M$3,SUMIF('TL04'!$C$238:$C$451,$C155,'TL04'!$J$238:$J$451),0),
IF('TL05'!$B$3=M$3,SUMIF('TL05'!$C$10:$C$224,$C155,'TL05'!$J$10:$J$224),0),
IF('TL05'!$B$229=M$3,SUMIF('TL05'!$C$238:$C$451,$C155,'TL05'!$J$238:$J$451),0),
IF('TL06'!$B$3=M$3,SUMIF('TL06'!$C$10:$C$224,$C155,'TL06'!$J$10:$J$224),0),
IF('TL06'!$B$229=M$3,SUMIF('TL06'!$C$238:$C$451,$C155,'TL06'!$J$238:$J$451),0),
IF('TL07'!$B$3=M$3,SUMIF('TL07'!$C$10:$C$224,$C155,'TL07'!$J$10:$J$224),0),
IF('TL07'!$B$229=M$3,SUMIF('TL07'!$C$238:$C$451,$C155,'TL07'!$J$238:$J$451),0),
IF('TL08'!$B$3=M$3,SUMIF('TL08'!$C$10:$C$224,$C155,'TL08'!$J$10:$J$224),0),
IF('TL08'!$B$229=M$3,SUMIF('TL08'!$C$238:$C$451,$C155,'TL08'!$J$238:$J$451),0),
IF('TL09'!$B$3=M$3,SUMIF('TL09'!$C$10:$C$224,$C155,'TL09'!$J$10:$J$224),0),
IF('TL09'!$B$229=M$3,SUMIF('TL09'!$C$238:$C$451,$C155,'TL09'!$J$238:$J$451),0),
IF('TL10'!$B$3=M$3,SUMIF('TL10'!$C$10:$C$224,$C155,'TL10'!$J$10:$J$224),0),
IF('TL10'!$B$229=M$3,SUMIF('TL10'!$C$238:$C$451,$C155,'TL10'!$J$238:$J$451),0),
IF('TL11'!$B$3=M$3,SUMIF('TL11'!$C$10:$C$224,$C155,'TL11'!$J$10:$J$224),0),
IF('TL11'!$B$229=M$3,SUMIF('TL11'!$C$238:$C$451,$C155,'TL11'!$J$238:$J$451),0),
IF('TL12'!$B$3=M$3,SUMIF('TL12'!$C$10:$C$224,$C155,'TL12'!$J$10:$J$224),0),
IF('TL12'!$B$229=M$3,SUMIF('TL12'!$C$238:$C$451,$C155,'TL12'!$J$238:$J$451),0),
IF('TL13'!$B$3=M$3,SUMIF('TL13'!$C$10:$C$224,$C155,'TL13'!$J$10:$J$224),0),
IF('TL13'!$B$229=M$3,SUMIF('TL13'!$C$238:$C$451,$C155,'TL13'!$J$238:$J$451),0),
IF('TL14'!$B$3=M$3,SUMIF('TL14'!$C$10:$C$224,$C155,'TL14'!$J$10:$J$224),0),
IF('TL14'!$B$229=M$3,SUMIF('TL14'!$C$238:$C$451,$C155,'TL14'!$J$238:$J$451),0),
IF('TL15'!$B$3=M$3,SUMIF('TL15'!$C$10:$C$224,$C155,'TL15'!$J$10:$J$224),0),
IF('TL15'!$B$229=M$3,SUMIF('TL15'!$C$238:$C$451,$C155,'TL15'!$J$238:$J$451),0),
IF('TL16'!$B$3=M$3,SUMIF('TL16'!$C$10:$C$224,$C155,'TL16'!$J$10:$J$224),0),
IF('TL16'!$B$229=M$3,SUMIF('TL16'!$C$238:$C$451,$C155,'TL16'!$J$238:$J$451),0),
IF('TL17'!$B$3=M$3,SUMIF('TL17'!$C$10:$C$224,$C155,'TL17'!$J$10:$J$224),0),
IF('TL17'!$B$229=M$3,SUMIF('TL17'!$C$238:$C$451,$C155,'TL17'!$J$238:$J$451),0),
IF('TL18'!$B$3=M$3,SUMIF('TL18'!$C$10:$C$224,$C155,'TL18'!$J$10:$J$224),0),
IF('TL18'!$B$229=M$3,SUMIF('TL18'!$C$238:$C$451,$C155,'TL18'!$J$238:$J$451),0),
IF('TL19'!$B$3=M$3,SUMIF('TL19'!$C$10:$C$224,$C155,'TL19'!$J$10:$J$224),0),
IF('TL19'!$B$229=M$3,SUMIF('TL19'!$C$238:$C$451,$C155,'TL19'!$J$238:$J$451),0)
),0)</f>
        <v/>
      </c>
      <c r="N155" s="9">
        <f>IFERROR(SUM(
IF('TL01'!$B$3=N$3,SUMIF('TL01'!$C$10:$C$224,$C155,'TL01'!$J$10:$J$224),0),
IF('TL01'!$B$229=N$3,SUMIF('TL01'!$C$238:$C$451,$C155,'TL01'!$J$238:$J$451),0),
IF('TL02'!$B$3=N$3,SUMIF('TL02'!$C$10:$C$224,$C155,'TL02'!$J$10:$J$224),0),
IF('TL02'!$B$229=N$3,SUMIF('TL02'!$C$238:$C$451,$C155,'TL02'!$J$238:$J$451),0),
IF('TL03'!$B$3=N$3,SUMIF('TL03'!$C$10:$C$224,$C155,'TL03'!$J$10:$J$224),0),
IF('TL03'!$B$229=N$3,SUMIF('TL03'!$C$238:$C$451,$C155,'TL03'!$J$238:$J$451),0),
IF('TL04'!$B$3=N$3,SUMIF('TL04'!$C$10:$C$224,$C155,'TL04'!$J$10:$J$224),0),
IF('TL04'!$B$229=N$3,SUMIF('TL04'!$C$238:$C$451,$C155,'TL04'!$J$238:$J$451),0),
IF('TL05'!$B$3=N$3,SUMIF('TL05'!$C$10:$C$224,$C155,'TL05'!$J$10:$J$224),0),
IF('TL05'!$B$229=N$3,SUMIF('TL05'!$C$238:$C$451,$C155,'TL05'!$J$238:$J$451),0),
IF('TL06'!$B$3=N$3,SUMIF('TL06'!$C$10:$C$224,$C155,'TL06'!$J$10:$J$224),0),
IF('TL06'!$B$229=N$3,SUMIF('TL06'!$C$238:$C$451,$C155,'TL06'!$J$238:$J$451),0),
IF('TL07'!$B$3=N$3,SUMIF('TL07'!$C$10:$C$224,$C155,'TL07'!$J$10:$J$224),0),
IF('TL07'!$B$229=N$3,SUMIF('TL07'!$C$238:$C$451,$C155,'TL07'!$J$238:$J$451),0),
IF('TL08'!$B$3=N$3,SUMIF('TL08'!$C$10:$C$224,$C155,'TL08'!$J$10:$J$224),0),
IF('TL08'!$B$229=N$3,SUMIF('TL08'!$C$238:$C$451,$C155,'TL08'!$J$238:$J$451),0),
IF('TL09'!$B$3=N$3,SUMIF('TL09'!$C$10:$C$224,$C155,'TL09'!$J$10:$J$224),0),
IF('TL09'!$B$229=N$3,SUMIF('TL09'!$C$238:$C$451,$C155,'TL09'!$J$238:$J$451),0),
IF('TL10'!$B$3=N$3,SUMIF('TL10'!$C$10:$C$224,$C155,'TL10'!$J$10:$J$224),0),
IF('TL10'!$B$229=N$3,SUMIF('TL10'!$C$238:$C$451,$C155,'TL10'!$J$238:$J$451),0),
IF('TL11'!$B$3=N$3,SUMIF('TL11'!$C$10:$C$224,$C155,'TL11'!$J$10:$J$224),0),
IF('TL11'!$B$229=N$3,SUMIF('TL11'!$C$238:$C$451,$C155,'TL11'!$J$238:$J$451),0),
IF('TL12'!$B$3=N$3,SUMIF('TL12'!$C$10:$C$224,$C155,'TL12'!$J$10:$J$224),0),
IF('TL12'!$B$229=N$3,SUMIF('TL12'!$C$238:$C$451,$C155,'TL12'!$J$238:$J$451),0),
IF('TL13'!$B$3=N$3,SUMIF('TL13'!$C$10:$C$224,$C155,'TL13'!$J$10:$J$224),0),
IF('TL13'!$B$229=N$3,SUMIF('TL13'!$C$238:$C$451,$C155,'TL13'!$J$238:$J$451),0),
IF('TL14'!$B$3=N$3,SUMIF('TL14'!$C$10:$C$224,$C155,'TL14'!$J$10:$J$224),0),
IF('TL14'!$B$229=N$3,SUMIF('TL14'!$C$238:$C$451,$C155,'TL14'!$J$238:$J$451),0),
IF('TL15'!$B$3=N$3,SUMIF('TL15'!$C$10:$C$224,$C155,'TL15'!$J$10:$J$224),0),
IF('TL15'!$B$229=N$3,SUMIF('TL15'!$C$238:$C$451,$C155,'TL15'!$J$238:$J$451),0),
IF('TL16'!$B$3=N$3,SUMIF('TL16'!$C$10:$C$224,$C155,'TL16'!$J$10:$J$224),0),
IF('TL16'!$B$229=N$3,SUMIF('TL16'!$C$238:$C$451,$C155,'TL16'!$J$238:$J$451),0),
IF('TL17'!$B$3=N$3,SUMIF('TL17'!$C$10:$C$224,$C155,'TL17'!$J$10:$J$224),0),
IF('TL17'!$B$229=N$3,SUMIF('TL17'!$C$238:$C$451,$C155,'TL17'!$J$238:$J$451),0),
IF('TL18'!$B$3=N$3,SUMIF('TL18'!$C$10:$C$224,$C155,'TL18'!$J$10:$J$224),0),
IF('TL18'!$B$229=N$3,SUMIF('TL18'!$C$238:$C$451,$C155,'TL18'!$J$238:$J$451),0),
IF('TL19'!$B$3=N$3,SUMIF('TL19'!$C$10:$C$224,$C155,'TL19'!$J$10:$J$224),0),
IF('TL19'!$B$229=N$3,SUMIF('TL19'!$C$238:$C$451,$C155,'TL19'!$J$238:$J$451),0)
),0)</f>
        <v/>
      </c>
      <c r="O155" s="9">
        <f>IFERROR(SUM(
IF('TL01'!$B$3=O$3,SUMIF('TL01'!$C$10:$C$224,$C155,'TL01'!$J$10:$J$224),0),
IF('TL01'!$B$229=O$3,SUMIF('TL01'!$C$238:$C$451,$C155,'TL01'!$J$238:$J$451),0),
IF('TL02'!$B$3=O$3,SUMIF('TL02'!$C$10:$C$224,$C155,'TL02'!$J$10:$J$224),0),
IF('TL02'!$B$229=O$3,SUMIF('TL02'!$C$238:$C$451,$C155,'TL02'!$J$238:$J$451),0),
IF('TL03'!$B$3=O$3,SUMIF('TL03'!$C$10:$C$224,$C155,'TL03'!$J$10:$J$224),0),
IF('TL03'!$B$229=O$3,SUMIF('TL03'!$C$238:$C$451,$C155,'TL03'!$J$238:$J$451),0),
IF('TL04'!$B$3=O$3,SUMIF('TL04'!$C$10:$C$224,$C155,'TL04'!$J$10:$J$224),0),
IF('TL04'!$B$229=O$3,SUMIF('TL04'!$C$238:$C$451,$C155,'TL04'!$J$238:$J$451),0),
IF('TL05'!$B$3=O$3,SUMIF('TL05'!$C$10:$C$224,$C155,'TL05'!$J$10:$J$224),0),
IF('TL05'!$B$229=O$3,SUMIF('TL05'!$C$238:$C$451,$C155,'TL05'!$J$238:$J$451),0),
IF('TL06'!$B$3=O$3,SUMIF('TL06'!$C$10:$C$224,$C155,'TL06'!$J$10:$J$224),0),
IF('TL06'!$B$229=O$3,SUMIF('TL06'!$C$238:$C$451,$C155,'TL06'!$J$238:$J$451),0),
IF('TL07'!$B$3=O$3,SUMIF('TL07'!$C$10:$C$224,$C155,'TL07'!$J$10:$J$224),0),
IF('TL07'!$B$229=O$3,SUMIF('TL07'!$C$238:$C$451,$C155,'TL07'!$J$238:$J$451),0),
IF('TL08'!$B$3=O$3,SUMIF('TL08'!$C$10:$C$224,$C155,'TL08'!$J$10:$J$224),0),
IF('TL08'!$B$229=O$3,SUMIF('TL08'!$C$238:$C$451,$C155,'TL08'!$J$238:$J$451),0),
IF('TL09'!$B$3=O$3,SUMIF('TL09'!$C$10:$C$224,$C155,'TL09'!$J$10:$J$224),0),
IF('TL09'!$B$229=O$3,SUMIF('TL09'!$C$238:$C$451,$C155,'TL09'!$J$238:$J$451),0),
IF('TL10'!$B$3=O$3,SUMIF('TL10'!$C$10:$C$224,$C155,'TL10'!$J$10:$J$224),0),
IF('TL10'!$B$229=O$3,SUMIF('TL10'!$C$238:$C$451,$C155,'TL10'!$J$238:$J$451),0),
IF('TL11'!$B$3=O$3,SUMIF('TL11'!$C$10:$C$224,$C155,'TL11'!$J$10:$J$224),0),
IF('TL11'!$B$229=O$3,SUMIF('TL11'!$C$238:$C$451,$C155,'TL11'!$J$238:$J$451),0),
IF('TL12'!$B$3=O$3,SUMIF('TL12'!$C$10:$C$224,$C155,'TL12'!$J$10:$J$224),0),
IF('TL12'!$B$229=O$3,SUMIF('TL12'!$C$238:$C$451,$C155,'TL12'!$J$238:$J$451),0),
IF('TL13'!$B$3=O$3,SUMIF('TL13'!$C$10:$C$224,$C155,'TL13'!$J$10:$J$224),0),
IF('TL13'!$B$229=O$3,SUMIF('TL13'!$C$238:$C$451,$C155,'TL13'!$J$238:$J$451),0),
IF('TL14'!$B$3=O$3,SUMIF('TL14'!$C$10:$C$224,$C155,'TL14'!$J$10:$J$224),0),
IF('TL14'!$B$229=O$3,SUMIF('TL14'!$C$238:$C$451,$C155,'TL14'!$J$238:$J$451),0),
IF('TL15'!$B$3=O$3,SUMIF('TL15'!$C$10:$C$224,$C155,'TL15'!$J$10:$J$224),0),
IF('TL15'!$B$229=O$3,SUMIF('TL15'!$C$238:$C$451,$C155,'TL15'!$J$238:$J$451),0),
IF('TL16'!$B$3=O$3,SUMIF('TL16'!$C$10:$C$224,$C155,'TL16'!$J$10:$J$224),0),
IF('TL16'!$B$229=O$3,SUMIF('TL16'!$C$238:$C$451,$C155,'TL16'!$J$238:$J$451),0),
IF('TL17'!$B$3=O$3,SUMIF('TL17'!$C$10:$C$224,$C155,'TL17'!$J$10:$J$224),0),
IF('TL17'!$B$229=O$3,SUMIF('TL17'!$C$238:$C$451,$C155,'TL17'!$J$238:$J$451),0),
IF('TL18'!$B$3=O$3,SUMIF('TL18'!$C$10:$C$224,$C155,'TL18'!$J$10:$J$224),0),
IF('TL18'!$B$229=O$3,SUMIF('TL18'!$C$238:$C$451,$C155,'TL18'!$J$238:$J$451),0),
IF('TL19'!$B$3=O$3,SUMIF('TL19'!$C$10:$C$224,$C155,'TL19'!$J$10:$J$224),0),
IF('TL19'!$B$229=O$3,SUMIF('TL19'!$C$238:$C$451,$C155,'TL19'!$J$238:$J$451),0)
),0)</f>
        <v/>
      </c>
      <c r="P155" s="9">
        <f>IFERROR(SUM(
IF('TL01'!$B$3=P$3,SUMIF('TL01'!$C$10:$C$224,$C155,'TL01'!$J$10:$J$224),0),
IF('TL01'!$B$229=P$3,SUMIF('TL01'!$C$238:$C$451,$C155,'TL01'!$J$238:$J$451),0),
IF('TL02'!$B$3=P$3,SUMIF('TL02'!$C$10:$C$224,$C155,'TL02'!$J$10:$J$224),0),
IF('TL02'!$B$229=P$3,SUMIF('TL02'!$C$238:$C$451,$C155,'TL02'!$J$238:$J$451),0),
IF('TL03'!$B$3=P$3,SUMIF('TL03'!$C$10:$C$224,$C155,'TL03'!$J$10:$J$224),0),
IF('TL03'!$B$229=P$3,SUMIF('TL03'!$C$238:$C$451,$C155,'TL03'!$J$238:$J$451),0),
IF('TL04'!$B$3=P$3,SUMIF('TL04'!$C$10:$C$224,$C155,'TL04'!$J$10:$J$224),0),
IF('TL04'!$B$229=P$3,SUMIF('TL04'!$C$238:$C$451,$C155,'TL04'!$J$238:$J$451),0),
IF('TL05'!$B$3=P$3,SUMIF('TL05'!$C$10:$C$224,$C155,'TL05'!$J$10:$J$224),0),
IF('TL05'!$B$229=P$3,SUMIF('TL05'!$C$238:$C$451,$C155,'TL05'!$J$238:$J$451),0),
IF('TL06'!$B$3=P$3,SUMIF('TL06'!$C$10:$C$224,$C155,'TL06'!$J$10:$J$224),0),
IF('TL06'!$B$229=P$3,SUMIF('TL06'!$C$238:$C$451,$C155,'TL06'!$J$238:$J$451),0),
IF('TL07'!$B$3=P$3,SUMIF('TL07'!$C$10:$C$224,$C155,'TL07'!$J$10:$J$224),0),
IF('TL07'!$B$229=P$3,SUMIF('TL07'!$C$238:$C$451,$C155,'TL07'!$J$238:$J$451),0),
IF('TL08'!$B$3=P$3,SUMIF('TL08'!$C$10:$C$224,$C155,'TL08'!$J$10:$J$224),0),
IF('TL08'!$B$229=P$3,SUMIF('TL08'!$C$238:$C$451,$C155,'TL08'!$J$238:$J$451),0),
IF('TL09'!$B$3=P$3,SUMIF('TL09'!$C$10:$C$224,$C155,'TL09'!$J$10:$J$224),0),
IF('TL09'!$B$229=P$3,SUMIF('TL09'!$C$238:$C$451,$C155,'TL09'!$J$238:$J$451),0),
IF('TL10'!$B$3=P$3,SUMIF('TL10'!$C$10:$C$224,$C155,'TL10'!$J$10:$J$224),0),
IF('TL10'!$B$229=P$3,SUMIF('TL10'!$C$238:$C$451,$C155,'TL10'!$J$238:$J$451),0),
IF('TL11'!$B$3=P$3,SUMIF('TL11'!$C$10:$C$224,$C155,'TL11'!$J$10:$J$224),0),
IF('TL11'!$B$229=P$3,SUMIF('TL11'!$C$238:$C$451,$C155,'TL11'!$J$238:$J$451),0),
IF('TL12'!$B$3=P$3,SUMIF('TL12'!$C$10:$C$224,$C155,'TL12'!$J$10:$J$224),0),
IF('TL12'!$B$229=P$3,SUMIF('TL12'!$C$238:$C$451,$C155,'TL12'!$J$238:$J$451),0),
IF('TL13'!$B$3=P$3,SUMIF('TL13'!$C$10:$C$224,$C155,'TL13'!$J$10:$J$224),0),
IF('TL13'!$B$229=P$3,SUMIF('TL13'!$C$238:$C$451,$C155,'TL13'!$J$238:$J$451),0),
IF('TL14'!$B$3=P$3,SUMIF('TL14'!$C$10:$C$224,$C155,'TL14'!$J$10:$J$224),0),
IF('TL14'!$B$229=P$3,SUMIF('TL14'!$C$238:$C$451,$C155,'TL14'!$J$238:$J$451),0),
IF('TL15'!$B$3=P$3,SUMIF('TL15'!$C$10:$C$224,$C155,'TL15'!$J$10:$J$224),0),
IF('TL15'!$B$229=P$3,SUMIF('TL15'!$C$238:$C$451,$C155,'TL15'!$J$238:$J$451),0),
IF('TL16'!$B$3=P$3,SUMIF('TL16'!$C$10:$C$224,$C155,'TL16'!$J$10:$J$224),0),
IF('TL16'!$B$229=P$3,SUMIF('TL16'!$C$238:$C$451,$C155,'TL16'!$J$238:$J$451),0),
IF('TL17'!$B$3=P$3,SUMIF('TL17'!$C$10:$C$224,$C155,'TL17'!$J$10:$J$224),0),
IF('TL17'!$B$229=P$3,SUMIF('TL17'!$C$238:$C$451,$C155,'TL17'!$J$238:$J$451),0),
IF('TL18'!$B$3=P$3,SUMIF('TL18'!$C$10:$C$224,$C155,'TL18'!$J$10:$J$224),0),
IF('TL18'!$B$229=P$3,SUMIF('TL18'!$C$238:$C$451,$C155,'TL18'!$J$238:$J$451),0),
IF('TL19'!$B$3=P$3,SUMIF('TL19'!$C$10:$C$224,$C155,'TL19'!$J$10:$J$224),0),
IF('TL19'!$B$229=P$3,SUMIF('TL19'!$C$238:$C$451,$C155,'TL19'!$J$238:$J$451),0)
),0)</f>
        <v/>
      </c>
      <c r="Q155" s="9">
        <f>IFERROR(SUM(
IF('TL01'!$B$3=Q$3,SUMIF('TL01'!$C$10:$C$224,$C155,'TL01'!$J$10:$J$224),0),
IF('TL01'!$B$229=Q$3,SUMIF('TL01'!$C$238:$C$451,$C155,'TL01'!$J$238:$J$451),0),
IF('TL02'!$B$3=Q$3,SUMIF('TL02'!$C$10:$C$224,$C155,'TL02'!$J$10:$J$224),0),
IF('TL02'!$B$229=Q$3,SUMIF('TL02'!$C$238:$C$451,$C155,'TL02'!$J$238:$J$451),0),
IF('TL03'!$B$3=Q$3,SUMIF('TL03'!$C$10:$C$224,$C155,'TL03'!$J$10:$J$224),0),
IF('TL03'!$B$229=Q$3,SUMIF('TL03'!$C$238:$C$451,$C155,'TL03'!$J$238:$J$451),0),
IF('TL04'!$B$3=Q$3,SUMIF('TL04'!$C$10:$C$224,$C155,'TL04'!$J$10:$J$224),0),
IF('TL04'!$B$229=Q$3,SUMIF('TL04'!$C$238:$C$451,$C155,'TL04'!$J$238:$J$451),0),
IF('TL05'!$B$3=Q$3,SUMIF('TL05'!$C$10:$C$224,$C155,'TL05'!$J$10:$J$224),0),
IF('TL05'!$B$229=Q$3,SUMIF('TL05'!$C$238:$C$451,$C155,'TL05'!$J$238:$J$451),0),
IF('TL06'!$B$3=Q$3,SUMIF('TL06'!$C$10:$C$224,$C155,'TL06'!$J$10:$J$224),0),
IF('TL06'!$B$229=Q$3,SUMIF('TL06'!$C$238:$C$451,$C155,'TL06'!$J$238:$J$451),0),
IF('TL07'!$B$3=Q$3,SUMIF('TL07'!$C$10:$C$224,$C155,'TL07'!$J$10:$J$224),0),
IF('TL07'!$B$229=Q$3,SUMIF('TL07'!$C$238:$C$451,$C155,'TL07'!$J$238:$J$451),0),
IF('TL08'!$B$3=Q$3,SUMIF('TL08'!$C$10:$C$224,$C155,'TL08'!$J$10:$J$224),0),
IF('TL08'!$B$229=Q$3,SUMIF('TL08'!$C$238:$C$451,$C155,'TL08'!$J$238:$J$451),0),
IF('TL09'!$B$3=Q$3,SUMIF('TL09'!$C$10:$C$224,$C155,'TL09'!$J$10:$J$224),0),
IF('TL09'!$B$229=Q$3,SUMIF('TL09'!$C$238:$C$451,$C155,'TL09'!$J$238:$J$451),0),
IF('TL10'!$B$3=Q$3,SUMIF('TL10'!$C$10:$C$224,$C155,'TL10'!$J$10:$J$224),0),
IF('TL10'!$B$229=Q$3,SUMIF('TL10'!$C$238:$C$451,$C155,'TL10'!$J$238:$J$451),0),
IF('TL11'!$B$3=Q$3,SUMIF('TL11'!$C$10:$C$224,$C155,'TL11'!$J$10:$J$224),0),
IF('TL11'!$B$229=Q$3,SUMIF('TL11'!$C$238:$C$451,$C155,'TL11'!$J$238:$J$451),0),
IF('TL12'!$B$3=Q$3,SUMIF('TL12'!$C$10:$C$224,$C155,'TL12'!$J$10:$J$224),0),
IF('TL12'!$B$229=Q$3,SUMIF('TL12'!$C$238:$C$451,$C155,'TL12'!$J$238:$J$451),0),
IF('TL13'!$B$3=Q$3,SUMIF('TL13'!$C$10:$C$224,$C155,'TL13'!$J$10:$J$224),0),
IF('TL13'!$B$229=Q$3,SUMIF('TL13'!$C$238:$C$451,$C155,'TL13'!$J$238:$J$451),0),
IF('TL14'!$B$3=Q$3,SUMIF('TL14'!$C$10:$C$224,$C155,'TL14'!$J$10:$J$224),0),
IF('TL14'!$B$229=Q$3,SUMIF('TL14'!$C$238:$C$451,$C155,'TL14'!$J$238:$J$451),0),
IF('TL15'!$B$3=Q$3,SUMIF('TL15'!$C$10:$C$224,$C155,'TL15'!$J$10:$J$224),0),
IF('TL15'!$B$229=Q$3,SUMIF('TL15'!$C$238:$C$451,$C155,'TL15'!$J$238:$J$451),0),
IF('TL16'!$B$3=Q$3,SUMIF('TL16'!$C$10:$C$224,$C155,'TL16'!$J$10:$J$224),0),
IF('TL16'!$B$229=Q$3,SUMIF('TL16'!$C$238:$C$451,$C155,'TL16'!$J$238:$J$451),0),
IF('TL17'!$B$3=Q$3,SUMIF('TL17'!$C$10:$C$224,$C155,'TL17'!$J$10:$J$224),0),
IF('TL17'!$B$229=Q$3,SUMIF('TL17'!$C$238:$C$451,$C155,'TL17'!$J$238:$J$451),0),
IF('TL18'!$B$3=Q$3,SUMIF('TL18'!$C$10:$C$224,$C155,'TL18'!$J$10:$J$224),0),
IF('TL18'!$B$229=Q$3,SUMIF('TL18'!$C$238:$C$451,$C155,'TL18'!$J$238:$J$451),0),
IF('TL19'!$B$3=Q$3,SUMIF('TL19'!$C$10:$C$224,$C155,'TL19'!$J$10:$J$224),0),
IF('TL19'!$B$229=Q$3,SUMIF('TL19'!$C$238:$C$451,$C155,'TL19'!$J$238:$J$451),0)
),0)</f>
        <v/>
      </c>
      <c r="R155" s="9">
        <f>IFERROR(
SUM(
SUMIF('TL01'!C:C,C155,'TL01'!J:J),
SUMIF('TL02'!C:C,C155,'TL02'!J:J),
SUMIF('TL03'!C:C,C155,'TL03'!J:J),
SUMIF('TL04'!C:C,C155,'TL04'!J:J),
SUMIF('TL05'!C:C,C155,'TL05'!J:J),
SUMIF('TL06'!C:C,C155,'TL06'!J:J),
SUMIF('TL07'!C:C,C155,'TL07'!J:J),
SUMIF('TL08'!C:C,C155,'TL08'!J:J),
SUMIF('TL09'!C:C,C155,'TL09'!J:J),
SUMIF('TL10'!C:C,C155,'TL10'!J:J),
SUMIF('TL11'!C:C,C155,'TL11'!J:J),
SUMIF('TL12'!C:C,C155,'TL12'!J:J),
SUMIF('TL13'!C:C,C155,'TL13'!J:J),
SUMIF('TL14'!C:C,C155,'TL14'!J:J),
SUMIF('TL15'!C:C,C155,'TL15'!J:J),
SUMIF('TL16'!C:C,C155,'TL16'!J:J),
SUMIF('TL17'!C:C,C155,'TL17'!J:J),
SUMIF('TL18'!C:C,C155,'TL18'!J:J),SUMIF('TL19'!C:C,C155,'TL19'!J:J))
,0)</f>
        <v/>
      </c>
      <c r="S155" s="17">
        <f>IFERROR(__xludf.DUMMYFUNCTION("IFERROR(VLOOKUP(C155,
IMPORTRANGE(""1wULbzX32WdYsx-lj2U3uUNBBe2INVIRDtcK0d-Dvl90"",
""26-27!C:G""),
5,
FALSE),
"""")"),27.111739999999998)</f>
        <v/>
      </c>
      <c r="T155" s="9" t="n"/>
      <c r="U155" s="92">
        <f>MAX(0,R155-T155)</f>
        <v/>
      </c>
      <c r="V155" s="93">
        <f>U155*S155</f>
        <v/>
      </c>
    </row>
    <row r="156" hidden="1" ht="15.75" customHeight="1" s="297">
      <c r="A156" s="115" t="inlineStr">
        <is>
          <t>SUMITOMO</t>
        </is>
      </c>
      <c r="B156" s="100" t="inlineStr">
        <is>
          <t>HERBICIDA</t>
        </is>
      </c>
      <c r="C156" s="116" t="inlineStr">
        <is>
          <t>SUMYZIN 500 SC</t>
        </is>
      </c>
      <c r="D156" s="116" t="inlineStr">
        <is>
          <t>FLUMIOXAZINA</t>
        </is>
      </c>
      <c r="E156" s="116" t="n">
        <v>500</v>
      </c>
      <c r="F156" s="4" t="inlineStr">
        <is>
          <t>L</t>
        </is>
      </c>
      <c r="G156" s="90">
        <f>HYPERLINK("https://www.google.com/search?q=" &amp; C156 &amp; "+bula+agrofit+pdf", "📄 Ver bula")</f>
        <v/>
      </c>
      <c r="H156" s="9">
        <f>IFERROR(__xludf.DUMMYFUNCTION("IFERROR(VLOOKUP(C156,
IMPORTRANGE(""1wULbzX32WdYsx-lj2U3uUNBBe2INVIRDtcK0d-Dvl90"",
""26-27!C:K""),
8,
FALSE),
"""")"),0.1)</f>
        <v/>
      </c>
      <c r="I156" s="117" t="inlineStr">
        <is>
          <t>4X5</t>
        </is>
      </c>
      <c r="J156" s="9">
        <f>IFERROR(SUM(
IF('TL01'!$B$3=J$3,SUMIF('TL01'!$C$10:$C$224,$C156,'TL01'!$J$10:$J$224),0),
IF('TL01'!$B$229=J$3,SUMIF('TL01'!$C$238:$C$451,$C156,'TL01'!$J$238:$J$451),0),
IF('TL02'!$B$3=J$3,SUMIF('TL02'!$C$10:$C$224,$C156,'TL02'!$J$10:$J$224),0),
IF('TL02'!$B$229=J$3,SUMIF('TL02'!$C$238:$C$451,$C156,'TL02'!$J$238:$J$451),0),
IF('TL03'!$B$3=J$3,SUMIF('TL03'!$C$10:$C$224,$C156,'TL03'!$J$10:$J$224),0),
IF('TL03'!$B$229=J$3,SUMIF('TL03'!$C$238:$C$451,$C156,'TL03'!$J$238:$J$451),0),
IF('TL04'!$B$3=J$3,SUMIF('TL04'!$C$10:$C$224,$C156,'TL04'!$J$10:$J$224),0),
IF('TL04'!$B$229=J$3,SUMIF('TL04'!$C$238:$C$451,$C156,'TL04'!$J$238:$J$451),0),
IF('TL05'!$B$3=J$3,SUMIF('TL05'!$C$10:$C$224,$C156,'TL05'!$J$10:$J$224),0),
IF('TL05'!$B$229=J$3,SUMIF('TL05'!$C$238:$C$451,$C156,'TL05'!$J$238:$J$451),0),
IF('TL06'!$B$3=J$3,SUMIF('TL06'!$C$10:$C$224,$C156,'TL06'!$J$10:$J$224),0),
IF('TL06'!$B$229=J$3,SUMIF('TL06'!$C$238:$C$451,$C156,'TL06'!$J$238:$J$451),0),
IF('TL07'!$B$3=J$3,SUMIF('TL07'!$C$10:$C$224,$C156,'TL07'!$J$10:$J$224),0),
IF('TL07'!$B$229=J$3,SUMIF('TL07'!$C$238:$C$451,$C156,'TL07'!$J$238:$J$451),0),
IF('TL08'!$B$3=J$3,SUMIF('TL08'!$C$10:$C$224,$C156,'TL08'!$J$10:$J$224),0),
IF('TL08'!$B$229=J$3,SUMIF('TL08'!$C$238:$C$451,$C156,'TL08'!$J$238:$J$451),0),
IF('TL09'!$B$3=J$3,SUMIF('TL09'!$C$10:$C$224,$C156,'TL09'!$J$10:$J$224),0),
IF('TL09'!$B$229=J$3,SUMIF('TL09'!$C$238:$C$451,$C156,'TL09'!$J$238:$J$451),0),
IF('TL10'!$B$3=J$3,SUMIF('TL10'!$C$10:$C$224,$C156,'TL10'!$J$10:$J$224),0),
IF('TL10'!$B$229=J$3,SUMIF('TL10'!$C$238:$C$451,$C156,'TL10'!$J$238:$J$451),0),
IF('TL11'!$B$3=J$3,SUMIF('TL11'!$C$10:$C$224,$C156,'TL11'!$J$10:$J$224),0),
IF('TL11'!$B$229=J$3,SUMIF('TL11'!$C$238:$C$451,$C156,'TL11'!$J$238:$J$451),0),
IF('TL12'!$B$3=J$3,SUMIF('TL12'!$C$10:$C$224,$C156,'TL12'!$J$10:$J$224),0),
IF('TL12'!$B$229=J$3,SUMIF('TL12'!$C$238:$C$451,$C156,'TL12'!$J$238:$J$451),0),
IF('TL13'!$B$3=J$3,SUMIF('TL13'!$C$10:$C$224,$C156,'TL13'!$J$10:$J$224),0),
IF('TL13'!$B$229=J$3,SUMIF('TL13'!$C$238:$C$451,$C156,'TL13'!$J$238:$J$451),0),
IF('TL14'!$B$3=J$3,SUMIF('TL14'!$C$10:$C$224,$C156,'TL14'!$J$10:$J$224),0),
IF('TL14'!$B$229=J$3,SUMIF('TL14'!$C$238:$C$451,$C156,'TL14'!$J$238:$J$451),0),
IF('TL15'!$B$3=J$3,SUMIF('TL15'!$C$10:$C$224,$C156,'TL15'!$J$10:$J$224),0),
IF('TL15'!$B$229=J$3,SUMIF('TL15'!$C$238:$C$451,$C156,'TL15'!$J$238:$J$451),0),
IF('TL16'!$B$3=J$3,SUMIF('TL16'!$C$10:$C$224,$C156,'TL16'!$J$10:$J$224),0),
IF('TL16'!$B$229=J$3,SUMIF('TL16'!$C$238:$C$451,$C156,'TL16'!$J$238:$J$451),0),
IF('TL17'!$B$3=J$3,SUMIF('TL17'!$C$10:$C$224,$C156,'TL17'!$J$10:$J$224),0),
IF('TL17'!$B$229=J$3,SUMIF('TL17'!$C$238:$C$451,$C156,'TL17'!$J$238:$J$451),0),
IF('TL18'!$B$3=J$3,SUMIF('TL18'!$C$10:$C$224,$C156,'TL18'!$J$10:$J$224),0),
IF('TL18'!$B$229=J$3,SUMIF('TL18'!$C$238:$C$451,$C156,'TL18'!$J$238:$J$451),0),
IF('TL19'!$B$3=J$3,SUMIF('TL19'!$C$10:$C$224,$C156,'TL19'!$J$10:$J$224),0),
IF('TL19'!$B$229=J$3,SUMIF('TL19'!$C$238:$C$451,$C156,'TL19'!$J$238:$J$451),0)
),0)</f>
        <v/>
      </c>
      <c r="K156" s="9">
        <f>IFERROR(SUM(
IF('TL01'!$B$3=K$3,SUMIF('TL01'!$C$10:$C$224,$C156,'TL01'!$J$10:$J$224),0),
IF('TL01'!$B$229=K$3,SUMIF('TL01'!$C$238:$C$451,$C156,'TL01'!$J$238:$J$451),0),
IF('TL02'!$B$3=K$3,SUMIF('TL02'!$C$10:$C$224,$C156,'TL02'!$J$10:$J$224),0),
IF('TL02'!$B$229=K$3,SUMIF('TL02'!$C$238:$C$451,$C156,'TL02'!$J$238:$J$451),0),
IF('TL03'!$B$3=K$3,SUMIF('TL03'!$C$10:$C$224,$C156,'TL03'!$J$10:$J$224),0),
IF('TL03'!$B$229=K$3,SUMIF('TL03'!$C$238:$C$451,$C156,'TL03'!$J$238:$J$451),0),
IF('TL04'!$B$3=K$3,SUMIF('TL04'!$C$10:$C$224,$C156,'TL04'!$J$10:$J$224),0),
IF('TL04'!$B$229=K$3,SUMIF('TL04'!$C$238:$C$451,$C156,'TL04'!$J$238:$J$451),0),
IF('TL05'!$B$3=K$3,SUMIF('TL05'!$C$10:$C$224,$C156,'TL05'!$J$10:$J$224),0),
IF('TL05'!$B$229=K$3,SUMIF('TL05'!$C$238:$C$451,$C156,'TL05'!$J$238:$J$451),0),
IF('TL06'!$B$3=K$3,SUMIF('TL06'!$C$10:$C$224,$C156,'TL06'!$J$10:$J$224),0),
IF('TL06'!$B$229=K$3,SUMIF('TL06'!$C$238:$C$451,$C156,'TL06'!$J$238:$J$451),0),
IF('TL07'!$B$3=K$3,SUMIF('TL07'!$C$10:$C$224,$C156,'TL07'!$J$10:$J$224),0),
IF('TL07'!$B$229=K$3,SUMIF('TL07'!$C$238:$C$451,$C156,'TL07'!$J$238:$J$451),0),
IF('TL08'!$B$3=K$3,SUMIF('TL08'!$C$10:$C$224,$C156,'TL08'!$J$10:$J$224),0),
IF('TL08'!$B$229=K$3,SUMIF('TL08'!$C$238:$C$451,$C156,'TL08'!$J$238:$J$451),0),
IF('TL09'!$B$3=K$3,SUMIF('TL09'!$C$10:$C$224,$C156,'TL09'!$J$10:$J$224),0),
IF('TL09'!$B$229=K$3,SUMIF('TL09'!$C$238:$C$451,$C156,'TL09'!$J$238:$J$451),0),
IF('TL10'!$B$3=K$3,SUMIF('TL10'!$C$10:$C$224,$C156,'TL10'!$J$10:$J$224),0),
IF('TL10'!$B$229=K$3,SUMIF('TL10'!$C$238:$C$451,$C156,'TL10'!$J$238:$J$451),0),
IF('TL11'!$B$3=K$3,SUMIF('TL11'!$C$10:$C$224,$C156,'TL11'!$J$10:$J$224),0),
IF('TL11'!$B$229=K$3,SUMIF('TL11'!$C$238:$C$451,$C156,'TL11'!$J$238:$J$451),0),
IF('TL12'!$B$3=K$3,SUMIF('TL12'!$C$10:$C$224,$C156,'TL12'!$J$10:$J$224),0),
IF('TL12'!$B$229=K$3,SUMIF('TL12'!$C$238:$C$451,$C156,'TL12'!$J$238:$J$451),0),
IF('TL13'!$B$3=K$3,SUMIF('TL13'!$C$10:$C$224,$C156,'TL13'!$J$10:$J$224),0),
IF('TL13'!$B$229=K$3,SUMIF('TL13'!$C$238:$C$451,$C156,'TL13'!$J$238:$J$451),0),
IF('TL14'!$B$3=K$3,SUMIF('TL14'!$C$10:$C$224,$C156,'TL14'!$J$10:$J$224),0),
IF('TL14'!$B$229=K$3,SUMIF('TL14'!$C$238:$C$451,$C156,'TL14'!$J$238:$J$451),0),
IF('TL15'!$B$3=K$3,SUMIF('TL15'!$C$10:$C$224,$C156,'TL15'!$J$10:$J$224),0),
IF('TL15'!$B$229=K$3,SUMIF('TL15'!$C$238:$C$451,$C156,'TL15'!$J$238:$J$451),0),
IF('TL16'!$B$3=K$3,SUMIF('TL16'!$C$10:$C$224,$C156,'TL16'!$J$10:$J$224),0),
IF('TL16'!$B$229=K$3,SUMIF('TL16'!$C$238:$C$451,$C156,'TL16'!$J$238:$J$451),0),
IF('TL17'!$B$3=K$3,SUMIF('TL17'!$C$10:$C$224,$C156,'TL17'!$J$10:$J$224),0),
IF('TL17'!$B$229=K$3,SUMIF('TL17'!$C$238:$C$451,$C156,'TL17'!$J$238:$J$451),0),
IF('TL18'!$B$3=K$3,SUMIF('TL18'!$C$10:$C$224,$C156,'TL18'!$J$10:$J$224),0),
IF('TL18'!$B$229=K$3,SUMIF('TL18'!$C$238:$C$451,$C156,'TL18'!$J$238:$J$451),0),
IF('TL19'!$B$3=K$3,SUMIF('TL19'!$C$10:$C$224,$C156,'TL19'!$J$10:$J$224),0),
IF('TL19'!$B$229=K$3,SUMIF('TL19'!$C$238:$C$451,$C156,'TL19'!$J$238:$J$451),0)
),0)</f>
        <v/>
      </c>
      <c r="L156" s="9">
        <f>IFERROR(SUM(
IF('TL01'!$B$3=L$3,SUMIF('TL01'!$C$10:$C$224,$C156,'TL01'!$J$10:$J$224),0),
IF('TL01'!$B$229=L$3,SUMIF('TL01'!$C$238:$C$451,$C156,'TL01'!$J$238:$J$451),0),
IF('TL02'!$B$3=L$3,SUMIF('TL02'!$C$10:$C$224,$C156,'TL02'!$J$10:$J$224),0),
IF('TL02'!$B$229=L$3,SUMIF('TL02'!$C$238:$C$451,$C156,'TL02'!$J$238:$J$451),0),
IF('TL03'!$B$3=L$3,SUMIF('TL03'!$C$10:$C$224,$C156,'TL03'!$J$10:$J$224),0),
IF('TL03'!$B$229=L$3,SUMIF('TL03'!$C$238:$C$451,$C156,'TL03'!$J$238:$J$451),0),
IF('TL04'!$B$3=L$3,SUMIF('TL04'!$C$10:$C$224,$C156,'TL04'!$J$10:$J$224),0),
IF('TL04'!$B$229=L$3,SUMIF('TL04'!$C$238:$C$451,$C156,'TL04'!$J$238:$J$451),0),
IF('TL05'!$B$3=L$3,SUMIF('TL05'!$C$10:$C$224,$C156,'TL05'!$J$10:$J$224),0),
IF('TL05'!$B$229=L$3,SUMIF('TL05'!$C$238:$C$451,$C156,'TL05'!$J$238:$J$451),0),
IF('TL06'!$B$3=L$3,SUMIF('TL06'!$C$10:$C$224,$C156,'TL06'!$J$10:$J$224),0),
IF('TL06'!$B$229=L$3,SUMIF('TL06'!$C$238:$C$451,$C156,'TL06'!$J$238:$J$451),0),
IF('TL07'!$B$3=L$3,SUMIF('TL07'!$C$10:$C$224,$C156,'TL07'!$J$10:$J$224),0),
IF('TL07'!$B$229=L$3,SUMIF('TL07'!$C$238:$C$451,$C156,'TL07'!$J$238:$J$451),0),
IF('TL08'!$B$3=L$3,SUMIF('TL08'!$C$10:$C$224,$C156,'TL08'!$J$10:$J$224),0),
IF('TL08'!$B$229=L$3,SUMIF('TL08'!$C$238:$C$451,$C156,'TL08'!$J$238:$J$451),0),
IF('TL09'!$B$3=L$3,SUMIF('TL09'!$C$10:$C$224,$C156,'TL09'!$J$10:$J$224),0),
IF('TL09'!$B$229=L$3,SUMIF('TL09'!$C$238:$C$451,$C156,'TL09'!$J$238:$J$451),0),
IF('TL10'!$B$3=L$3,SUMIF('TL10'!$C$10:$C$224,$C156,'TL10'!$J$10:$J$224),0),
IF('TL10'!$B$229=L$3,SUMIF('TL10'!$C$238:$C$451,$C156,'TL10'!$J$238:$J$451),0),
IF('TL11'!$B$3=L$3,SUMIF('TL11'!$C$10:$C$224,$C156,'TL11'!$J$10:$J$224),0),
IF('TL11'!$B$229=L$3,SUMIF('TL11'!$C$238:$C$451,$C156,'TL11'!$J$238:$J$451),0),
IF('TL12'!$B$3=L$3,SUMIF('TL12'!$C$10:$C$224,$C156,'TL12'!$J$10:$J$224),0),
IF('TL12'!$B$229=L$3,SUMIF('TL12'!$C$238:$C$451,$C156,'TL12'!$J$238:$J$451),0),
IF('TL13'!$B$3=L$3,SUMIF('TL13'!$C$10:$C$224,$C156,'TL13'!$J$10:$J$224),0),
IF('TL13'!$B$229=L$3,SUMIF('TL13'!$C$238:$C$451,$C156,'TL13'!$J$238:$J$451),0),
IF('TL14'!$B$3=L$3,SUMIF('TL14'!$C$10:$C$224,$C156,'TL14'!$J$10:$J$224),0),
IF('TL14'!$B$229=L$3,SUMIF('TL14'!$C$238:$C$451,$C156,'TL14'!$J$238:$J$451),0),
IF('TL15'!$B$3=L$3,SUMIF('TL15'!$C$10:$C$224,$C156,'TL15'!$J$10:$J$224),0),
IF('TL15'!$B$229=L$3,SUMIF('TL15'!$C$238:$C$451,$C156,'TL15'!$J$238:$J$451),0),
IF('TL16'!$B$3=L$3,SUMIF('TL16'!$C$10:$C$224,$C156,'TL16'!$J$10:$J$224),0),
IF('TL16'!$B$229=L$3,SUMIF('TL16'!$C$238:$C$451,$C156,'TL16'!$J$238:$J$451),0),
IF('TL17'!$B$3=L$3,SUMIF('TL17'!$C$10:$C$224,$C156,'TL17'!$J$10:$J$224),0),
IF('TL17'!$B$229=L$3,SUMIF('TL17'!$C$238:$C$451,$C156,'TL17'!$J$238:$J$451),0),
IF('TL18'!$B$3=L$3,SUMIF('TL18'!$C$10:$C$224,$C156,'TL18'!$J$10:$J$224),0),
IF('TL18'!$B$229=L$3,SUMIF('TL18'!$C$238:$C$451,$C156,'TL18'!$J$238:$J$451),0),
IF('TL19'!$B$3=L$3,SUMIF('TL19'!$C$10:$C$224,$C156,'TL19'!$J$10:$J$224),0),
IF('TL19'!$B$229=L$3,SUMIF('TL19'!$C$238:$C$451,$C156,'TL19'!$J$238:$J$451),0)
),0)</f>
        <v/>
      </c>
      <c r="M156" s="9">
        <f>IFERROR(SUM(
IF('TL01'!$B$3=M$3,SUMIF('TL01'!$C$10:$C$224,$C156,'TL01'!$J$10:$J$224),0),
IF('TL01'!$B$229=M$3,SUMIF('TL01'!$C$238:$C$451,$C156,'TL01'!$J$238:$J$451),0),
IF('TL02'!$B$3=M$3,SUMIF('TL02'!$C$10:$C$224,$C156,'TL02'!$J$10:$J$224),0),
IF('TL02'!$B$229=M$3,SUMIF('TL02'!$C$238:$C$451,$C156,'TL02'!$J$238:$J$451),0),
IF('TL03'!$B$3=M$3,SUMIF('TL03'!$C$10:$C$224,$C156,'TL03'!$J$10:$J$224),0),
IF('TL03'!$B$229=M$3,SUMIF('TL03'!$C$238:$C$451,$C156,'TL03'!$J$238:$J$451),0),
IF('TL04'!$B$3=M$3,SUMIF('TL04'!$C$10:$C$224,$C156,'TL04'!$J$10:$J$224),0),
IF('TL04'!$B$229=M$3,SUMIF('TL04'!$C$238:$C$451,$C156,'TL04'!$J$238:$J$451),0),
IF('TL05'!$B$3=M$3,SUMIF('TL05'!$C$10:$C$224,$C156,'TL05'!$J$10:$J$224),0),
IF('TL05'!$B$229=M$3,SUMIF('TL05'!$C$238:$C$451,$C156,'TL05'!$J$238:$J$451),0),
IF('TL06'!$B$3=M$3,SUMIF('TL06'!$C$10:$C$224,$C156,'TL06'!$J$10:$J$224),0),
IF('TL06'!$B$229=M$3,SUMIF('TL06'!$C$238:$C$451,$C156,'TL06'!$J$238:$J$451),0),
IF('TL07'!$B$3=M$3,SUMIF('TL07'!$C$10:$C$224,$C156,'TL07'!$J$10:$J$224),0),
IF('TL07'!$B$229=M$3,SUMIF('TL07'!$C$238:$C$451,$C156,'TL07'!$J$238:$J$451),0),
IF('TL08'!$B$3=M$3,SUMIF('TL08'!$C$10:$C$224,$C156,'TL08'!$J$10:$J$224),0),
IF('TL08'!$B$229=M$3,SUMIF('TL08'!$C$238:$C$451,$C156,'TL08'!$J$238:$J$451),0),
IF('TL09'!$B$3=M$3,SUMIF('TL09'!$C$10:$C$224,$C156,'TL09'!$J$10:$J$224),0),
IF('TL09'!$B$229=M$3,SUMIF('TL09'!$C$238:$C$451,$C156,'TL09'!$J$238:$J$451),0),
IF('TL10'!$B$3=M$3,SUMIF('TL10'!$C$10:$C$224,$C156,'TL10'!$J$10:$J$224),0),
IF('TL10'!$B$229=M$3,SUMIF('TL10'!$C$238:$C$451,$C156,'TL10'!$J$238:$J$451),0),
IF('TL11'!$B$3=M$3,SUMIF('TL11'!$C$10:$C$224,$C156,'TL11'!$J$10:$J$224),0),
IF('TL11'!$B$229=M$3,SUMIF('TL11'!$C$238:$C$451,$C156,'TL11'!$J$238:$J$451),0),
IF('TL12'!$B$3=M$3,SUMIF('TL12'!$C$10:$C$224,$C156,'TL12'!$J$10:$J$224),0),
IF('TL12'!$B$229=M$3,SUMIF('TL12'!$C$238:$C$451,$C156,'TL12'!$J$238:$J$451),0),
IF('TL13'!$B$3=M$3,SUMIF('TL13'!$C$10:$C$224,$C156,'TL13'!$J$10:$J$224),0),
IF('TL13'!$B$229=M$3,SUMIF('TL13'!$C$238:$C$451,$C156,'TL13'!$J$238:$J$451),0),
IF('TL14'!$B$3=M$3,SUMIF('TL14'!$C$10:$C$224,$C156,'TL14'!$J$10:$J$224),0),
IF('TL14'!$B$229=M$3,SUMIF('TL14'!$C$238:$C$451,$C156,'TL14'!$J$238:$J$451),0),
IF('TL15'!$B$3=M$3,SUMIF('TL15'!$C$10:$C$224,$C156,'TL15'!$J$10:$J$224),0),
IF('TL15'!$B$229=M$3,SUMIF('TL15'!$C$238:$C$451,$C156,'TL15'!$J$238:$J$451),0),
IF('TL16'!$B$3=M$3,SUMIF('TL16'!$C$10:$C$224,$C156,'TL16'!$J$10:$J$224),0),
IF('TL16'!$B$229=M$3,SUMIF('TL16'!$C$238:$C$451,$C156,'TL16'!$J$238:$J$451),0),
IF('TL17'!$B$3=M$3,SUMIF('TL17'!$C$10:$C$224,$C156,'TL17'!$J$10:$J$224),0),
IF('TL17'!$B$229=M$3,SUMIF('TL17'!$C$238:$C$451,$C156,'TL17'!$J$238:$J$451),0),
IF('TL18'!$B$3=M$3,SUMIF('TL18'!$C$10:$C$224,$C156,'TL18'!$J$10:$J$224),0),
IF('TL18'!$B$229=M$3,SUMIF('TL18'!$C$238:$C$451,$C156,'TL18'!$J$238:$J$451),0),
IF('TL19'!$B$3=M$3,SUMIF('TL19'!$C$10:$C$224,$C156,'TL19'!$J$10:$J$224),0),
IF('TL19'!$B$229=M$3,SUMIF('TL19'!$C$238:$C$451,$C156,'TL19'!$J$238:$J$451),0)
),0)</f>
        <v/>
      </c>
      <c r="N156" s="9">
        <f>IFERROR(SUM(
IF('TL01'!$B$3=N$3,SUMIF('TL01'!$C$10:$C$224,$C156,'TL01'!$J$10:$J$224),0),
IF('TL01'!$B$229=N$3,SUMIF('TL01'!$C$238:$C$451,$C156,'TL01'!$J$238:$J$451),0),
IF('TL02'!$B$3=N$3,SUMIF('TL02'!$C$10:$C$224,$C156,'TL02'!$J$10:$J$224),0),
IF('TL02'!$B$229=N$3,SUMIF('TL02'!$C$238:$C$451,$C156,'TL02'!$J$238:$J$451),0),
IF('TL03'!$B$3=N$3,SUMIF('TL03'!$C$10:$C$224,$C156,'TL03'!$J$10:$J$224),0),
IF('TL03'!$B$229=N$3,SUMIF('TL03'!$C$238:$C$451,$C156,'TL03'!$J$238:$J$451),0),
IF('TL04'!$B$3=N$3,SUMIF('TL04'!$C$10:$C$224,$C156,'TL04'!$J$10:$J$224),0),
IF('TL04'!$B$229=N$3,SUMIF('TL04'!$C$238:$C$451,$C156,'TL04'!$J$238:$J$451),0),
IF('TL05'!$B$3=N$3,SUMIF('TL05'!$C$10:$C$224,$C156,'TL05'!$J$10:$J$224),0),
IF('TL05'!$B$229=N$3,SUMIF('TL05'!$C$238:$C$451,$C156,'TL05'!$J$238:$J$451),0),
IF('TL06'!$B$3=N$3,SUMIF('TL06'!$C$10:$C$224,$C156,'TL06'!$J$10:$J$224),0),
IF('TL06'!$B$229=N$3,SUMIF('TL06'!$C$238:$C$451,$C156,'TL06'!$J$238:$J$451),0),
IF('TL07'!$B$3=N$3,SUMIF('TL07'!$C$10:$C$224,$C156,'TL07'!$J$10:$J$224),0),
IF('TL07'!$B$229=N$3,SUMIF('TL07'!$C$238:$C$451,$C156,'TL07'!$J$238:$J$451),0),
IF('TL08'!$B$3=N$3,SUMIF('TL08'!$C$10:$C$224,$C156,'TL08'!$J$10:$J$224),0),
IF('TL08'!$B$229=N$3,SUMIF('TL08'!$C$238:$C$451,$C156,'TL08'!$J$238:$J$451),0),
IF('TL09'!$B$3=N$3,SUMIF('TL09'!$C$10:$C$224,$C156,'TL09'!$J$10:$J$224),0),
IF('TL09'!$B$229=N$3,SUMIF('TL09'!$C$238:$C$451,$C156,'TL09'!$J$238:$J$451),0),
IF('TL10'!$B$3=N$3,SUMIF('TL10'!$C$10:$C$224,$C156,'TL10'!$J$10:$J$224),0),
IF('TL10'!$B$229=N$3,SUMIF('TL10'!$C$238:$C$451,$C156,'TL10'!$J$238:$J$451),0),
IF('TL11'!$B$3=N$3,SUMIF('TL11'!$C$10:$C$224,$C156,'TL11'!$J$10:$J$224),0),
IF('TL11'!$B$229=N$3,SUMIF('TL11'!$C$238:$C$451,$C156,'TL11'!$J$238:$J$451),0),
IF('TL12'!$B$3=N$3,SUMIF('TL12'!$C$10:$C$224,$C156,'TL12'!$J$10:$J$224),0),
IF('TL12'!$B$229=N$3,SUMIF('TL12'!$C$238:$C$451,$C156,'TL12'!$J$238:$J$451),0),
IF('TL13'!$B$3=N$3,SUMIF('TL13'!$C$10:$C$224,$C156,'TL13'!$J$10:$J$224),0),
IF('TL13'!$B$229=N$3,SUMIF('TL13'!$C$238:$C$451,$C156,'TL13'!$J$238:$J$451),0),
IF('TL14'!$B$3=N$3,SUMIF('TL14'!$C$10:$C$224,$C156,'TL14'!$J$10:$J$224),0),
IF('TL14'!$B$229=N$3,SUMIF('TL14'!$C$238:$C$451,$C156,'TL14'!$J$238:$J$451),0),
IF('TL15'!$B$3=N$3,SUMIF('TL15'!$C$10:$C$224,$C156,'TL15'!$J$10:$J$224),0),
IF('TL15'!$B$229=N$3,SUMIF('TL15'!$C$238:$C$451,$C156,'TL15'!$J$238:$J$451),0),
IF('TL16'!$B$3=N$3,SUMIF('TL16'!$C$10:$C$224,$C156,'TL16'!$J$10:$J$224),0),
IF('TL16'!$B$229=N$3,SUMIF('TL16'!$C$238:$C$451,$C156,'TL16'!$J$238:$J$451),0),
IF('TL17'!$B$3=N$3,SUMIF('TL17'!$C$10:$C$224,$C156,'TL17'!$J$10:$J$224),0),
IF('TL17'!$B$229=N$3,SUMIF('TL17'!$C$238:$C$451,$C156,'TL17'!$J$238:$J$451),0),
IF('TL18'!$B$3=N$3,SUMIF('TL18'!$C$10:$C$224,$C156,'TL18'!$J$10:$J$224),0),
IF('TL18'!$B$229=N$3,SUMIF('TL18'!$C$238:$C$451,$C156,'TL18'!$J$238:$J$451),0),
IF('TL19'!$B$3=N$3,SUMIF('TL19'!$C$10:$C$224,$C156,'TL19'!$J$10:$J$224),0),
IF('TL19'!$B$229=N$3,SUMIF('TL19'!$C$238:$C$451,$C156,'TL19'!$J$238:$J$451),0)
),0)</f>
        <v/>
      </c>
      <c r="O156" s="9">
        <f>IFERROR(SUM(
IF('TL01'!$B$3=O$3,SUMIF('TL01'!$C$10:$C$224,$C156,'TL01'!$J$10:$J$224),0),
IF('TL01'!$B$229=O$3,SUMIF('TL01'!$C$238:$C$451,$C156,'TL01'!$J$238:$J$451),0),
IF('TL02'!$B$3=O$3,SUMIF('TL02'!$C$10:$C$224,$C156,'TL02'!$J$10:$J$224),0),
IF('TL02'!$B$229=O$3,SUMIF('TL02'!$C$238:$C$451,$C156,'TL02'!$J$238:$J$451),0),
IF('TL03'!$B$3=O$3,SUMIF('TL03'!$C$10:$C$224,$C156,'TL03'!$J$10:$J$224),0),
IF('TL03'!$B$229=O$3,SUMIF('TL03'!$C$238:$C$451,$C156,'TL03'!$J$238:$J$451),0),
IF('TL04'!$B$3=O$3,SUMIF('TL04'!$C$10:$C$224,$C156,'TL04'!$J$10:$J$224),0),
IF('TL04'!$B$229=O$3,SUMIF('TL04'!$C$238:$C$451,$C156,'TL04'!$J$238:$J$451),0),
IF('TL05'!$B$3=O$3,SUMIF('TL05'!$C$10:$C$224,$C156,'TL05'!$J$10:$J$224),0),
IF('TL05'!$B$229=O$3,SUMIF('TL05'!$C$238:$C$451,$C156,'TL05'!$J$238:$J$451),0),
IF('TL06'!$B$3=O$3,SUMIF('TL06'!$C$10:$C$224,$C156,'TL06'!$J$10:$J$224),0),
IF('TL06'!$B$229=O$3,SUMIF('TL06'!$C$238:$C$451,$C156,'TL06'!$J$238:$J$451),0),
IF('TL07'!$B$3=O$3,SUMIF('TL07'!$C$10:$C$224,$C156,'TL07'!$J$10:$J$224),0),
IF('TL07'!$B$229=O$3,SUMIF('TL07'!$C$238:$C$451,$C156,'TL07'!$J$238:$J$451),0),
IF('TL08'!$B$3=O$3,SUMIF('TL08'!$C$10:$C$224,$C156,'TL08'!$J$10:$J$224),0),
IF('TL08'!$B$229=O$3,SUMIF('TL08'!$C$238:$C$451,$C156,'TL08'!$J$238:$J$451),0),
IF('TL09'!$B$3=O$3,SUMIF('TL09'!$C$10:$C$224,$C156,'TL09'!$J$10:$J$224),0),
IF('TL09'!$B$229=O$3,SUMIF('TL09'!$C$238:$C$451,$C156,'TL09'!$J$238:$J$451),0),
IF('TL10'!$B$3=O$3,SUMIF('TL10'!$C$10:$C$224,$C156,'TL10'!$J$10:$J$224),0),
IF('TL10'!$B$229=O$3,SUMIF('TL10'!$C$238:$C$451,$C156,'TL10'!$J$238:$J$451),0),
IF('TL11'!$B$3=O$3,SUMIF('TL11'!$C$10:$C$224,$C156,'TL11'!$J$10:$J$224),0),
IF('TL11'!$B$229=O$3,SUMIF('TL11'!$C$238:$C$451,$C156,'TL11'!$J$238:$J$451),0),
IF('TL12'!$B$3=O$3,SUMIF('TL12'!$C$10:$C$224,$C156,'TL12'!$J$10:$J$224),0),
IF('TL12'!$B$229=O$3,SUMIF('TL12'!$C$238:$C$451,$C156,'TL12'!$J$238:$J$451),0),
IF('TL13'!$B$3=O$3,SUMIF('TL13'!$C$10:$C$224,$C156,'TL13'!$J$10:$J$224),0),
IF('TL13'!$B$229=O$3,SUMIF('TL13'!$C$238:$C$451,$C156,'TL13'!$J$238:$J$451),0),
IF('TL14'!$B$3=O$3,SUMIF('TL14'!$C$10:$C$224,$C156,'TL14'!$J$10:$J$224),0),
IF('TL14'!$B$229=O$3,SUMIF('TL14'!$C$238:$C$451,$C156,'TL14'!$J$238:$J$451),0),
IF('TL15'!$B$3=O$3,SUMIF('TL15'!$C$10:$C$224,$C156,'TL15'!$J$10:$J$224),0),
IF('TL15'!$B$229=O$3,SUMIF('TL15'!$C$238:$C$451,$C156,'TL15'!$J$238:$J$451),0),
IF('TL16'!$B$3=O$3,SUMIF('TL16'!$C$10:$C$224,$C156,'TL16'!$J$10:$J$224),0),
IF('TL16'!$B$229=O$3,SUMIF('TL16'!$C$238:$C$451,$C156,'TL16'!$J$238:$J$451),0),
IF('TL17'!$B$3=O$3,SUMIF('TL17'!$C$10:$C$224,$C156,'TL17'!$J$10:$J$224),0),
IF('TL17'!$B$229=O$3,SUMIF('TL17'!$C$238:$C$451,$C156,'TL17'!$J$238:$J$451),0),
IF('TL18'!$B$3=O$3,SUMIF('TL18'!$C$10:$C$224,$C156,'TL18'!$J$10:$J$224),0),
IF('TL18'!$B$229=O$3,SUMIF('TL18'!$C$238:$C$451,$C156,'TL18'!$J$238:$J$451),0),
IF('TL19'!$B$3=O$3,SUMIF('TL19'!$C$10:$C$224,$C156,'TL19'!$J$10:$J$224),0),
IF('TL19'!$B$229=O$3,SUMIF('TL19'!$C$238:$C$451,$C156,'TL19'!$J$238:$J$451),0)
),0)</f>
        <v/>
      </c>
      <c r="P156" s="9">
        <f>IFERROR(SUM(
IF('TL01'!$B$3=P$3,SUMIF('TL01'!$C$10:$C$224,$C156,'TL01'!$J$10:$J$224),0),
IF('TL01'!$B$229=P$3,SUMIF('TL01'!$C$238:$C$451,$C156,'TL01'!$J$238:$J$451),0),
IF('TL02'!$B$3=P$3,SUMIF('TL02'!$C$10:$C$224,$C156,'TL02'!$J$10:$J$224),0),
IF('TL02'!$B$229=P$3,SUMIF('TL02'!$C$238:$C$451,$C156,'TL02'!$J$238:$J$451),0),
IF('TL03'!$B$3=P$3,SUMIF('TL03'!$C$10:$C$224,$C156,'TL03'!$J$10:$J$224),0),
IF('TL03'!$B$229=P$3,SUMIF('TL03'!$C$238:$C$451,$C156,'TL03'!$J$238:$J$451),0),
IF('TL04'!$B$3=P$3,SUMIF('TL04'!$C$10:$C$224,$C156,'TL04'!$J$10:$J$224),0),
IF('TL04'!$B$229=P$3,SUMIF('TL04'!$C$238:$C$451,$C156,'TL04'!$J$238:$J$451),0),
IF('TL05'!$B$3=P$3,SUMIF('TL05'!$C$10:$C$224,$C156,'TL05'!$J$10:$J$224),0),
IF('TL05'!$B$229=P$3,SUMIF('TL05'!$C$238:$C$451,$C156,'TL05'!$J$238:$J$451),0),
IF('TL06'!$B$3=P$3,SUMIF('TL06'!$C$10:$C$224,$C156,'TL06'!$J$10:$J$224),0),
IF('TL06'!$B$229=P$3,SUMIF('TL06'!$C$238:$C$451,$C156,'TL06'!$J$238:$J$451),0),
IF('TL07'!$B$3=P$3,SUMIF('TL07'!$C$10:$C$224,$C156,'TL07'!$J$10:$J$224),0),
IF('TL07'!$B$229=P$3,SUMIF('TL07'!$C$238:$C$451,$C156,'TL07'!$J$238:$J$451),0),
IF('TL08'!$B$3=P$3,SUMIF('TL08'!$C$10:$C$224,$C156,'TL08'!$J$10:$J$224),0),
IF('TL08'!$B$229=P$3,SUMIF('TL08'!$C$238:$C$451,$C156,'TL08'!$J$238:$J$451),0),
IF('TL09'!$B$3=P$3,SUMIF('TL09'!$C$10:$C$224,$C156,'TL09'!$J$10:$J$224),0),
IF('TL09'!$B$229=P$3,SUMIF('TL09'!$C$238:$C$451,$C156,'TL09'!$J$238:$J$451),0),
IF('TL10'!$B$3=P$3,SUMIF('TL10'!$C$10:$C$224,$C156,'TL10'!$J$10:$J$224),0),
IF('TL10'!$B$229=P$3,SUMIF('TL10'!$C$238:$C$451,$C156,'TL10'!$J$238:$J$451),0),
IF('TL11'!$B$3=P$3,SUMIF('TL11'!$C$10:$C$224,$C156,'TL11'!$J$10:$J$224),0),
IF('TL11'!$B$229=P$3,SUMIF('TL11'!$C$238:$C$451,$C156,'TL11'!$J$238:$J$451),0),
IF('TL12'!$B$3=P$3,SUMIF('TL12'!$C$10:$C$224,$C156,'TL12'!$J$10:$J$224),0),
IF('TL12'!$B$229=P$3,SUMIF('TL12'!$C$238:$C$451,$C156,'TL12'!$J$238:$J$451),0),
IF('TL13'!$B$3=P$3,SUMIF('TL13'!$C$10:$C$224,$C156,'TL13'!$J$10:$J$224),0),
IF('TL13'!$B$229=P$3,SUMIF('TL13'!$C$238:$C$451,$C156,'TL13'!$J$238:$J$451),0),
IF('TL14'!$B$3=P$3,SUMIF('TL14'!$C$10:$C$224,$C156,'TL14'!$J$10:$J$224),0),
IF('TL14'!$B$229=P$3,SUMIF('TL14'!$C$238:$C$451,$C156,'TL14'!$J$238:$J$451),0),
IF('TL15'!$B$3=P$3,SUMIF('TL15'!$C$10:$C$224,$C156,'TL15'!$J$10:$J$224),0),
IF('TL15'!$B$229=P$3,SUMIF('TL15'!$C$238:$C$451,$C156,'TL15'!$J$238:$J$451),0),
IF('TL16'!$B$3=P$3,SUMIF('TL16'!$C$10:$C$224,$C156,'TL16'!$J$10:$J$224),0),
IF('TL16'!$B$229=P$3,SUMIF('TL16'!$C$238:$C$451,$C156,'TL16'!$J$238:$J$451),0),
IF('TL17'!$B$3=P$3,SUMIF('TL17'!$C$10:$C$224,$C156,'TL17'!$J$10:$J$224),0),
IF('TL17'!$B$229=P$3,SUMIF('TL17'!$C$238:$C$451,$C156,'TL17'!$J$238:$J$451),0),
IF('TL18'!$B$3=P$3,SUMIF('TL18'!$C$10:$C$224,$C156,'TL18'!$J$10:$J$224),0),
IF('TL18'!$B$229=P$3,SUMIF('TL18'!$C$238:$C$451,$C156,'TL18'!$J$238:$J$451),0),
IF('TL19'!$B$3=P$3,SUMIF('TL19'!$C$10:$C$224,$C156,'TL19'!$J$10:$J$224),0),
IF('TL19'!$B$229=P$3,SUMIF('TL19'!$C$238:$C$451,$C156,'TL19'!$J$238:$J$451),0)
),0)</f>
        <v/>
      </c>
      <c r="Q156" s="9">
        <f>IFERROR(SUM(
IF('TL01'!$B$3=Q$3,SUMIF('TL01'!$C$10:$C$224,$C156,'TL01'!$J$10:$J$224),0),
IF('TL01'!$B$229=Q$3,SUMIF('TL01'!$C$238:$C$451,$C156,'TL01'!$J$238:$J$451),0),
IF('TL02'!$B$3=Q$3,SUMIF('TL02'!$C$10:$C$224,$C156,'TL02'!$J$10:$J$224),0),
IF('TL02'!$B$229=Q$3,SUMIF('TL02'!$C$238:$C$451,$C156,'TL02'!$J$238:$J$451),0),
IF('TL03'!$B$3=Q$3,SUMIF('TL03'!$C$10:$C$224,$C156,'TL03'!$J$10:$J$224),0),
IF('TL03'!$B$229=Q$3,SUMIF('TL03'!$C$238:$C$451,$C156,'TL03'!$J$238:$J$451),0),
IF('TL04'!$B$3=Q$3,SUMIF('TL04'!$C$10:$C$224,$C156,'TL04'!$J$10:$J$224),0),
IF('TL04'!$B$229=Q$3,SUMIF('TL04'!$C$238:$C$451,$C156,'TL04'!$J$238:$J$451),0),
IF('TL05'!$B$3=Q$3,SUMIF('TL05'!$C$10:$C$224,$C156,'TL05'!$J$10:$J$224),0),
IF('TL05'!$B$229=Q$3,SUMIF('TL05'!$C$238:$C$451,$C156,'TL05'!$J$238:$J$451),0),
IF('TL06'!$B$3=Q$3,SUMIF('TL06'!$C$10:$C$224,$C156,'TL06'!$J$10:$J$224),0),
IF('TL06'!$B$229=Q$3,SUMIF('TL06'!$C$238:$C$451,$C156,'TL06'!$J$238:$J$451),0),
IF('TL07'!$B$3=Q$3,SUMIF('TL07'!$C$10:$C$224,$C156,'TL07'!$J$10:$J$224),0),
IF('TL07'!$B$229=Q$3,SUMIF('TL07'!$C$238:$C$451,$C156,'TL07'!$J$238:$J$451),0),
IF('TL08'!$B$3=Q$3,SUMIF('TL08'!$C$10:$C$224,$C156,'TL08'!$J$10:$J$224),0),
IF('TL08'!$B$229=Q$3,SUMIF('TL08'!$C$238:$C$451,$C156,'TL08'!$J$238:$J$451),0),
IF('TL09'!$B$3=Q$3,SUMIF('TL09'!$C$10:$C$224,$C156,'TL09'!$J$10:$J$224),0),
IF('TL09'!$B$229=Q$3,SUMIF('TL09'!$C$238:$C$451,$C156,'TL09'!$J$238:$J$451),0),
IF('TL10'!$B$3=Q$3,SUMIF('TL10'!$C$10:$C$224,$C156,'TL10'!$J$10:$J$224),0),
IF('TL10'!$B$229=Q$3,SUMIF('TL10'!$C$238:$C$451,$C156,'TL10'!$J$238:$J$451),0),
IF('TL11'!$B$3=Q$3,SUMIF('TL11'!$C$10:$C$224,$C156,'TL11'!$J$10:$J$224),0),
IF('TL11'!$B$229=Q$3,SUMIF('TL11'!$C$238:$C$451,$C156,'TL11'!$J$238:$J$451),0),
IF('TL12'!$B$3=Q$3,SUMIF('TL12'!$C$10:$C$224,$C156,'TL12'!$J$10:$J$224),0),
IF('TL12'!$B$229=Q$3,SUMIF('TL12'!$C$238:$C$451,$C156,'TL12'!$J$238:$J$451),0),
IF('TL13'!$B$3=Q$3,SUMIF('TL13'!$C$10:$C$224,$C156,'TL13'!$J$10:$J$224),0),
IF('TL13'!$B$229=Q$3,SUMIF('TL13'!$C$238:$C$451,$C156,'TL13'!$J$238:$J$451),0),
IF('TL14'!$B$3=Q$3,SUMIF('TL14'!$C$10:$C$224,$C156,'TL14'!$J$10:$J$224),0),
IF('TL14'!$B$229=Q$3,SUMIF('TL14'!$C$238:$C$451,$C156,'TL14'!$J$238:$J$451),0),
IF('TL15'!$B$3=Q$3,SUMIF('TL15'!$C$10:$C$224,$C156,'TL15'!$J$10:$J$224),0),
IF('TL15'!$B$229=Q$3,SUMIF('TL15'!$C$238:$C$451,$C156,'TL15'!$J$238:$J$451),0),
IF('TL16'!$B$3=Q$3,SUMIF('TL16'!$C$10:$C$224,$C156,'TL16'!$J$10:$J$224),0),
IF('TL16'!$B$229=Q$3,SUMIF('TL16'!$C$238:$C$451,$C156,'TL16'!$J$238:$J$451),0),
IF('TL17'!$B$3=Q$3,SUMIF('TL17'!$C$10:$C$224,$C156,'TL17'!$J$10:$J$224),0),
IF('TL17'!$B$229=Q$3,SUMIF('TL17'!$C$238:$C$451,$C156,'TL17'!$J$238:$J$451),0),
IF('TL18'!$B$3=Q$3,SUMIF('TL18'!$C$10:$C$224,$C156,'TL18'!$J$10:$J$224),0),
IF('TL18'!$B$229=Q$3,SUMIF('TL18'!$C$238:$C$451,$C156,'TL18'!$J$238:$J$451),0),
IF('TL19'!$B$3=Q$3,SUMIF('TL19'!$C$10:$C$224,$C156,'TL19'!$J$10:$J$224),0),
IF('TL19'!$B$229=Q$3,SUMIF('TL19'!$C$238:$C$451,$C156,'TL19'!$J$238:$J$451),0)
),0)</f>
        <v/>
      </c>
      <c r="R156" s="9">
        <f>IFERROR(
SUM(
SUMIF('TL01'!C:C,C156,'TL01'!J:J),
SUMIF('TL02'!C:C,C156,'TL02'!J:J),
SUMIF('TL03'!C:C,C156,'TL03'!J:J),
SUMIF('TL04'!C:C,C156,'TL04'!J:J),
SUMIF('TL05'!C:C,C156,'TL05'!J:J),
SUMIF('TL06'!C:C,C156,'TL06'!J:J),
SUMIF('TL07'!C:C,C156,'TL07'!J:J),
SUMIF('TL08'!C:C,C156,'TL08'!J:J),
SUMIF('TL09'!C:C,C156,'TL09'!J:J),
SUMIF('TL10'!C:C,C156,'TL10'!J:J),
SUMIF('TL11'!C:C,C156,'TL11'!J:J),
SUMIF('TL12'!C:C,C156,'TL12'!J:J),
SUMIF('TL13'!C:C,C156,'TL13'!J:J),
SUMIF('TL14'!C:C,C156,'TL14'!J:J),
SUMIF('TL15'!C:C,C156,'TL15'!J:J),
SUMIF('TL16'!C:C,C156,'TL16'!J:J),
SUMIF('TL17'!C:C,C156,'TL17'!J:J),
SUMIF('TL18'!C:C,C156,'TL18'!J:J),SUMIF('TL19'!C:C,C156,'TL19'!J:J))
,0)</f>
        <v/>
      </c>
      <c r="S156" s="17">
        <f>IFERROR(__xludf.DUMMYFUNCTION("IFERROR(VLOOKUP(C156,
IMPORTRANGE(""1wULbzX32WdYsx-lj2U3uUNBBe2INVIRDtcK0d-Dvl90"",
""26-27!C:G""),
5,
FALSE),
"""")"),82.44131999999999)</f>
        <v/>
      </c>
      <c r="T156" s="9" t="n">
        <v>30</v>
      </c>
      <c r="U156" s="92">
        <f>MAX(0,R156-T156)</f>
        <v/>
      </c>
      <c r="V156" s="93">
        <f>U156*S156</f>
        <v/>
      </c>
    </row>
    <row r="157" hidden="1" ht="15.75" customHeight="1" s="297">
      <c r="A157" s="111" t="inlineStr">
        <is>
          <t>SUMITOMO</t>
        </is>
      </c>
      <c r="B157" s="112" t="inlineStr">
        <is>
          <t>HERBICIDA</t>
        </is>
      </c>
      <c r="C157" s="113" t="inlineStr">
        <is>
          <t>U 46 BR</t>
        </is>
      </c>
      <c r="D157" s="113" t="inlineStr">
        <is>
          <t>2,4-D-DIMETILAMINA</t>
        </is>
      </c>
      <c r="E157" s="113" t="n">
        <v>806</v>
      </c>
      <c r="F157" s="4" t="inlineStr">
        <is>
          <t>L</t>
        </is>
      </c>
      <c r="G157" s="90">
        <f>HYPERLINK("https://www.google.com/search?q=" &amp; C157 &amp; "+bula+agrofit+pdf", "📄 Ver bula")</f>
        <v/>
      </c>
      <c r="H157" s="9">
        <f>IFERROR(__xludf.DUMMYFUNCTION("IFERROR(VLOOKUP(C157,
IMPORTRANGE(""1wULbzX32WdYsx-lj2U3uUNBBe2INVIRDtcK0d-Dvl90"",
""26-27!C:K""),
8,
FALSE),
"""")"),1.0)</f>
        <v/>
      </c>
      <c r="I157" s="114" t="inlineStr">
        <is>
          <t>1x20</t>
        </is>
      </c>
      <c r="J157" s="9">
        <f>IFERROR(SUM(
IF('TL01'!$B$3=J$3,SUMIF('TL01'!$C$10:$C$224,$C157,'TL01'!$J$10:$J$224),0),
IF('TL01'!$B$229=J$3,SUMIF('TL01'!$C$238:$C$451,$C157,'TL01'!$J$238:$J$451),0),
IF('TL02'!$B$3=J$3,SUMIF('TL02'!$C$10:$C$224,$C157,'TL02'!$J$10:$J$224),0),
IF('TL02'!$B$229=J$3,SUMIF('TL02'!$C$238:$C$451,$C157,'TL02'!$J$238:$J$451),0),
IF('TL03'!$B$3=J$3,SUMIF('TL03'!$C$10:$C$224,$C157,'TL03'!$J$10:$J$224),0),
IF('TL03'!$B$229=J$3,SUMIF('TL03'!$C$238:$C$451,$C157,'TL03'!$J$238:$J$451),0),
IF('TL04'!$B$3=J$3,SUMIF('TL04'!$C$10:$C$224,$C157,'TL04'!$J$10:$J$224),0),
IF('TL04'!$B$229=J$3,SUMIF('TL04'!$C$238:$C$451,$C157,'TL04'!$J$238:$J$451),0),
IF('TL05'!$B$3=J$3,SUMIF('TL05'!$C$10:$C$224,$C157,'TL05'!$J$10:$J$224),0),
IF('TL05'!$B$229=J$3,SUMIF('TL05'!$C$238:$C$451,$C157,'TL05'!$J$238:$J$451),0),
IF('TL06'!$B$3=J$3,SUMIF('TL06'!$C$10:$C$224,$C157,'TL06'!$J$10:$J$224),0),
IF('TL06'!$B$229=J$3,SUMIF('TL06'!$C$238:$C$451,$C157,'TL06'!$J$238:$J$451),0),
IF('TL07'!$B$3=J$3,SUMIF('TL07'!$C$10:$C$224,$C157,'TL07'!$J$10:$J$224),0),
IF('TL07'!$B$229=J$3,SUMIF('TL07'!$C$238:$C$451,$C157,'TL07'!$J$238:$J$451),0),
IF('TL08'!$B$3=J$3,SUMIF('TL08'!$C$10:$C$224,$C157,'TL08'!$J$10:$J$224),0),
IF('TL08'!$B$229=J$3,SUMIF('TL08'!$C$238:$C$451,$C157,'TL08'!$J$238:$J$451),0),
IF('TL09'!$B$3=J$3,SUMIF('TL09'!$C$10:$C$224,$C157,'TL09'!$J$10:$J$224),0),
IF('TL09'!$B$229=J$3,SUMIF('TL09'!$C$238:$C$451,$C157,'TL09'!$J$238:$J$451),0),
IF('TL10'!$B$3=J$3,SUMIF('TL10'!$C$10:$C$224,$C157,'TL10'!$J$10:$J$224),0),
IF('TL10'!$B$229=J$3,SUMIF('TL10'!$C$238:$C$451,$C157,'TL10'!$J$238:$J$451),0),
IF('TL11'!$B$3=J$3,SUMIF('TL11'!$C$10:$C$224,$C157,'TL11'!$J$10:$J$224),0),
IF('TL11'!$B$229=J$3,SUMIF('TL11'!$C$238:$C$451,$C157,'TL11'!$J$238:$J$451),0),
IF('TL12'!$B$3=J$3,SUMIF('TL12'!$C$10:$C$224,$C157,'TL12'!$J$10:$J$224),0),
IF('TL12'!$B$229=J$3,SUMIF('TL12'!$C$238:$C$451,$C157,'TL12'!$J$238:$J$451),0),
IF('TL13'!$B$3=J$3,SUMIF('TL13'!$C$10:$C$224,$C157,'TL13'!$J$10:$J$224),0),
IF('TL13'!$B$229=J$3,SUMIF('TL13'!$C$238:$C$451,$C157,'TL13'!$J$238:$J$451),0),
IF('TL14'!$B$3=J$3,SUMIF('TL14'!$C$10:$C$224,$C157,'TL14'!$J$10:$J$224),0),
IF('TL14'!$B$229=J$3,SUMIF('TL14'!$C$238:$C$451,$C157,'TL14'!$J$238:$J$451),0),
IF('TL15'!$B$3=J$3,SUMIF('TL15'!$C$10:$C$224,$C157,'TL15'!$J$10:$J$224),0),
IF('TL15'!$B$229=J$3,SUMIF('TL15'!$C$238:$C$451,$C157,'TL15'!$J$238:$J$451),0),
IF('TL16'!$B$3=J$3,SUMIF('TL16'!$C$10:$C$224,$C157,'TL16'!$J$10:$J$224),0),
IF('TL16'!$B$229=J$3,SUMIF('TL16'!$C$238:$C$451,$C157,'TL16'!$J$238:$J$451),0),
IF('TL17'!$B$3=J$3,SUMIF('TL17'!$C$10:$C$224,$C157,'TL17'!$J$10:$J$224),0),
IF('TL17'!$B$229=J$3,SUMIF('TL17'!$C$238:$C$451,$C157,'TL17'!$J$238:$J$451),0),
IF('TL18'!$B$3=J$3,SUMIF('TL18'!$C$10:$C$224,$C157,'TL18'!$J$10:$J$224),0),
IF('TL18'!$B$229=J$3,SUMIF('TL18'!$C$238:$C$451,$C157,'TL18'!$J$238:$J$451),0),
IF('TL19'!$B$3=J$3,SUMIF('TL19'!$C$10:$C$224,$C157,'TL19'!$J$10:$J$224),0),
IF('TL19'!$B$229=J$3,SUMIF('TL19'!$C$238:$C$451,$C157,'TL19'!$J$238:$J$451),0)
),0)</f>
        <v/>
      </c>
      <c r="K157" s="9">
        <f>IFERROR(SUM(
IF('TL01'!$B$3=K$3,SUMIF('TL01'!$C$10:$C$224,$C157,'TL01'!$J$10:$J$224),0),
IF('TL01'!$B$229=K$3,SUMIF('TL01'!$C$238:$C$451,$C157,'TL01'!$J$238:$J$451),0),
IF('TL02'!$B$3=K$3,SUMIF('TL02'!$C$10:$C$224,$C157,'TL02'!$J$10:$J$224),0),
IF('TL02'!$B$229=K$3,SUMIF('TL02'!$C$238:$C$451,$C157,'TL02'!$J$238:$J$451),0),
IF('TL03'!$B$3=K$3,SUMIF('TL03'!$C$10:$C$224,$C157,'TL03'!$J$10:$J$224),0),
IF('TL03'!$B$229=K$3,SUMIF('TL03'!$C$238:$C$451,$C157,'TL03'!$J$238:$J$451),0),
IF('TL04'!$B$3=K$3,SUMIF('TL04'!$C$10:$C$224,$C157,'TL04'!$J$10:$J$224),0),
IF('TL04'!$B$229=K$3,SUMIF('TL04'!$C$238:$C$451,$C157,'TL04'!$J$238:$J$451),0),
IF('TL05'!$B$3=K$3,SUMIF('TL05'!$C$10:$C$224,$C157,'TL05'!$J$10:$J$224),0),
IF('TL05'!$B$229=K$3,SUMIF('TL05'!$C$238:$C$451,$C157,'TL05'!$J$238:$J$451),0),
IF('TL06'!$B$3=K$3,SUMIF('TL06'!$C$10:$C$224,$C157,'TL06'!$J$10:$J$224),0),
IF('TL06'!$B$229=K$3,SUMIF('TL06'!$C$238:$C$451,$C157,'TL06'!$J$238:$J$451),0),
IF('TL07'!$B$3=K$3,SUMIF('TL07'!$C$10:$C$224,$C157,'TL07'!$J$10:$J$224),0),
IF('TL07'!$B$229=K$3,SUMIF('TL07'!$C$238:$C$451,$C157,'TL07'!$J$238:$J$451),0),
IF('TL08'!$B$3=K$3,SUMIF('TL08'!$C$10:$C$224,$C157,'TL08'!$J$10:$J$224),0),
IF('TL08'!$B$229=K$3,SUMIF('TL08'!$C$238:$C$451,$C157,'TL08'!$J$238:$J$451),0),
IF('TL09'!$B$3=K$3,SUMIF('TL09'!$C$10:$C$224,$C157,'TL09'!$J$10:$J$224),0),
IF('TL09'!$B$229=K$3,SUMIF('TL09'!$C$238:$C$451,$C157,'TL09'!$J$238:$J$451),0),
IF('TL10'!$B$3=K$3,SUMIF('TL10'!$C$10:$C$224,$C157,'TL10'!$J$10:$J$224),0),
IF('TL10'!$B$229=K$3,SUMIF('TL10'!$C$238:$C$451,$C157,'TL10'!$J$238:$J$451),0),
IF('TL11'!$B$3=K$3,SUMIF('TL11'!$C$10:$C$224,$C157,'TL11'!$J$10:$J$224),0),
IF('TL11'!$B$229=K$3,SUMIF('TL11'!$C$238:$C$451,$C157,'TL11'!$J$238:$J$451),0),
IF('TL12'!$B$3=K$3,SUMIF('TL12'!$C$10:$C$224,$C157,'TL12'!$J$10:$J$224),0),
IF('TL12'!$B$229=K$3,SUMIF('TL12'!$C$238:$C$451,$C157,'TL12'!$J$238:$J$451),0),
IF('TL13'!$B$3=K$3,SUMIF('TL13'!$C$10:$C$224,$C157,'TL13'!$J$10:$J$224),0),
IF('TL13'!$B$229=K$3,SUMIF('TL13'!$C$238:$C$451,$C157,'TL13'!$J$238:$J$451),0),
IF('TL14'!$B$3=K$3,SUMIF('TL14'!$C$10:$C$224,$C157,'TL14'!$J$10:$J$224),0),
IF('TL14'!$B$229=K$3,SUMIF('TL14'!$C$238:$C$451,$C157,'TL14'!$J$238:$J$451),0),
IF('TL15'!$B$3=K$3,SUMIF('TL15'!$C$10:$C$224,$C157,'TL15'!$J$10:$J$224),0),
IF('TL15'!$B$229=K$3,SUMIF('TL15'!$C$238:$C$451,$C157,'TL15'!$J$238:$J$451),0),
IF('TL16'!$B$3=K$3,SUMIF('TL16'!$C$10:$C$224,$C157,'TL16'!$J$10:$J$224),0),
IF('TL16'!$B$229=K$3,SUMIF('TL16'!$C$238:$C$451,$C157,'TL16'!$J$238:$J$451),0),
IF('TL17'!$B$3=K$3,SUMIF('TL17'!$C$10:$C$224,$C157,'TL17'!$J$10:$J$224),0),
IF('TL17'!$B$229=K$3,SUMIF('TL17'!$C$238:$C$451,$C157,'TL17'!$J$238:$J$451),0),
IF('TL18'!$B$3=K$3,SUMIF('TL18'!$C$10:$C$224,$C157,'TL18'!$J$10:$J$224),0),
IF('TL18'!$B$229=K$3,SUMIF('TL18'!$C$238:$C$451,$C157,'TL18'!$J$238:$J$451),0),
IF('TL19'!$B$3=K$3,SUMIF('TL19'!$C$10:$C$224,$C157,'TL19'!$J$10:$J$224),0),
IF('TL19'!$B$229=K$3,SUMIF('TL19'!$C$238:$C$451,$C157,'TL19'!$J$238:$J$451),0)
),0)</f>
        <v/>
      </c>
      <c r="L157" s="9">
        <f>IFERROR(SUM(
IF('TL01'!$B$3=L$3,SUMIF('TL01'!$C$10:$C$224,$C157,'TL01'!$J$10:$J$224),0),
IF('TL01'!$B$229=L$3,SUMIF('TL01'!$C$238:$C$451,$C157,'TL01'!$J$238:$J$451),0),
IF('TL02'!$B$3=L$3,SUMIF('TL02'!$C$10:$C$224,$C157,'TL02'!$J$10:$J$224),0),
IF('TL02'!$B$229=L$3,SUMIF('TL02'!$C$238:$C$451,$C157,'TL02'!$J$238:$J$451),0),
IF('TL03'!$B$3=L$3,SUMIF('TL03'!$C$10:$C$224,$C157,'TL03'!$J$10:$J$224),0),
IF('TL03'!$B$229=L$3,SUMIF('TL03'!$C$238:$C$451,$C157,'TL03'!$J$238:$J$451),0),
IF('TL04'!$B$3=L$3,SUMIF('TL04'!$C$10:$C$224,$C157,'TL04'!$J$10:$J$224),0),
IF('TL04'!$B$229=L$3,SUMIF('TL04'!$C$238:$C$451,$C157,'TL04'!$J$238:$J$451),0),
IF('TL05'!$B$3=L$3,SUMIF('TL05'!$C$10:$C$224,$C157,'TL05'!$J$10:$J$224),0),
IF('TL05'!$B$229=L$3,SUMIF('TL05'!$C$238:$C$451,$C157,'TL05'!$J$238:$J$451),0),
IF('TL06'!$B$3=L$3,SUMIF('TL06'!$C$10:$C$224,$C157,'TL06'!$J$10:$J$224),0),
IF('TL06'!$B$229=L$3,SUMIF('TL06'!$C$238:$C$451,$C157,'TL06'!$J$238:$J$451),0),
IF('TL07'!$B$3=L$3,SUMIF('TL07'!$C$10:$C$224,$C157,'TL07'!$J$10:$J$224),0),
IF('TL07'!$B$229=L$3,SUMIF('TL07'!$C$238:$C$451,$C157,'TL07'!$J$238:$J$451),0),
IF('TL08'!$B$3=L$3,SUMIF('TL08'!$C$10:$C$224,$C157,'TL08'!$J$10:$J$224),0),
IF('TL08'!$B$229=L$3,SUMIF('TL08'!$C$238:$C$451,$C157,'TL08'!$J$238:$J$451),0),
IF('TL09'!$B$3=L$3,SUMIF('TL09'!$C$10:$C$224,$C157,'TL09'!$J$10:$J$224),0),
IF('TL09'!$B$229=L$3,SUMIF('TL09'!$C$238:$C$451,$C157,'TL09'!$J$238:$J$451),0),
IF('TL10'!$B$3=L$3,SUMIF('TL10'!$C$10:$C$224,$C157,'TL10'!$J$10:$J$224),0),
IF('TL10'!$B$229=L$3,SUMIF('TL10'!$C$238:$C$451,$C157,'TL10'!$J$238:$J$451),0),
IF('TL11'!$B$3=L$3,SUMIF('TL11'!$C$10:$C$224,$C157,'TL11'!$J$10:$J$224),0),
IF('TL11'!$B$229=L$3,SUMIF('TL11'!$C$238:$C$451,$C157,'TL11'!$J$238:$J$451),0),
IF('TL12'!$B$3=L$3,SUMIF('TL12'!$C$10:$C$224,$C157,'TL12'!$J$10:$J$224),0),
IF('TL12'!$B$229=L$3,SUMIF('TL12'!$C$238:$C$451,$C157,'TL12'!$J$238:$J$451),0),
IF('TL13'!$B$3=L$3,SUMIF('TL13'!$C$10:$C$224,$C157,'TL13'!$J$10:$J$224),0),
IF('TL13'!$B$229=L$3,SUMIF('TL13'!$C$238:$C$451,$C157,'TL13'!$J$238:$J$451),0),
IF('TL14'!$B$3=L$3,SUMIF('TL14'!$C$10:$C$224,$C157,'TL14'!$J$10:$J$224),0),
IF('TL14'!$B$229=L$3,SUMIF('TL14'!$C$238:$C$451,$C157,'TL14'!$J$238:$J$451),0),
IF('TL15'!$B$3=L$3,SUMIF('TL15'!$C$10:$C$224,$C157,'TL15'!$J$10:$J$224),0),
IF('TL15'!$B$229=L$3,SUMIF('TL15'!$C$238:$C$451,$C157,'TL15'!$J$238:$J$451),0),
IF('TL16'!$B$3=L$3,SUMIF('TL16'!$C$10:$C$224,$C157,'TL16'!$J$10:$J$224),0),
IF('TL16'!$B$229=L$3,SUMIF('TL16'!$C$238:$C$451,$C157,'TL16'!$J$238:$J$451),0),
IF('TL17'!$B$3=L$3,SUMIF('TL17'!$C$10:$C$224,$C157,'TL17'!$J$10:$J$224),0),
IF('TL17'!$B$229=L$3,SUMIF('TL17'!$C$238:$C$451,$C157,'TL17'!$J$238:$J$451),0),
IF('TL18'!$B$3=L$3,SUMIF('TL18'!$C$10:$C$224,$C157,'TL18'!$J$10:$J$224),0),
IF('TL18'!$B$229=L$3,SUMIF('TL18'!$C$238:$C$451,$C157,'TL18'!$J$238:$J$451),0),
IF('TL19'!$B$3=L$3,SUMIF('TL19'!$C$10:$C$224,$C157,'TL19'!$J$10:$J$224),0),
IF('TL19'!$B$229=L$3,SUMIF('TL19'!$C$238:$C$451,$C157,'TL19'!$J$238:$J$451),0)
),0)</f>
        <v/>
      </c>
      <c r="M157" s="9">
        <f>IFERROR(SUM(
IF('TL01'!$B$3=M$3,SUMIF('TL01'!$C$10:$C$224,$C157,'TL01'!$J$10:$J$224),0),
IF('TL01'!$B$229=M$3,SUMIF('TL01'!$C$238:$C$451,$C157,'TL01'!$J$238:$J$451),0),
IF('TL02'!$B$3=M$3,SUMIF('TL02'!$C$10:$C$224,$C157,'TL02'!$J$10:$J$224),0),
IF('TL02'!$B$229=M$3,SUMIF('TL02'!$C$238:$C$451,$C157,'TL02'!$J$238:$J$451),0),
IF('TL03'!$B$3=M$3,SUMIF('TL03'!$C$10:$C$224,$C157,'TL03'!$J$10:$J$224),0),
IF('TL03'!$B$229=M$3,SUMIF('TL03'!$C$238:$C$451,$C157,'TL03'!$J$238:$J$451),0),
IF('TL04'!$B$3=M$3,SUMIF('TL04'!$C$10:$C$224,$C157,'TL04'!$J$10:$J$224),0),
IF('TL04'!$B$229=M$3,SUMIF('TL04'!$C$238:$C$451,$C157,'TL04'!$J$238:$J$451),0),
IF('TL05'!$B$3=M$3,SUMIF('TL05'!$C$10:$C$224,$C157,'TL05'!$J$10:$J$224),0),
IF('TL05'!$B$229=M$3,SUMIF('TL05'!$C$238:$C$451,$C157,'TL05'!$J$238:$J$451),0),
IF('TL06'!$B$3=M$3,SUMIF('TL06'!$C$10:$C$224,$C157,'TL06'!$J$10:$J$224),0),
IF('TL06'!$B$229=M$3,SUMIF('TL06'!$C$238:$C$451,$C157,'TL06'!$J$238:$J$451),0),
IF('TL07'!$B$3=M$3,SUMIF('TL07'!$C$10:$C$224,$C157,'TL07'!$J$10:$J$224),0),
IF('TL07'!$B$229=M$3,SUMIF('TL07'!$C$238:$C$451,$C157,'TL07'!$J$238:$J$451),0),
IF('TL08'!$B$3=M$3,SUMIF('TL08'!$C$10:$C$224,$C157,'TL08'!$J$10:$J$224),0),
IF('TL08'!$B$229=M$3,SUMIF('TL08'!$C$238:$C$451,$C157,'TL08'!$J$238:$J$451),0),
IF('TL09'!$B$3=M$3,SUMIF('TL09'!$C$10:$C$224,$C157,'TL09'!$J$10:$J$224),0),
IF('TL09'!$B$229=M$3,SUMIF('TL09'!$C$238:$C$451,$C157,'TL09'!$J$238:$J$451),0),
IF('TL10'!$B$3=M$3,SUMIF('TL10'!$C$10:$C$224,$C157,'TL10'!$J$10:$J$224),0),
IF('TL10'!$B$229=M$3,SUMIF('TL10'!$C$238:$C$451,$C157,'TL10'!$J$238:$J$451),0),
IF('TL11'!$B$3=M$3,SUMIF('TL11'!$C$10:$C$224,$C157,'TL11'!$J$10:$J$224),0),
IF('TL11'!$B$229=M$3,SUMIF('TL11'!$C$238:$C$451,$C157,'TL11'!$J$238:$J$451),0),
IF('TL12'!$B$3=M$3,SUMIF('TL12'!$C$10:$C$224,$C157,'TL12'!$J$10:$J$224),0),
IF('TL12'!$B$229=M$3,SUMIF('TL12'!$C$238:$C$451,$C157,'TL12'!$J$238:$J$451),0),
IF('TL13'!$B$3=M$3,SUMIF('TL13'!$C$10:$C$224,$C157,'TL13'!$J$10:$J$224),0),
IF('TL13'!$B$229=M$3,SUMIF('TL13'!$C$238:$C$451,$C157,'TL13'!$J$238:$J$451),0),
IF('TL14'!$B$3=M$3,SUMIF('TL14'!$C$10:$C$224,$C157,'TL14'!$J$10:$J$224),0),
IF('TL14'!$B$229=M$3,SUMIF('TL14'!$C$238:$C$451,$C157,'TL14'!$J$238:$J$451),0),
IF('TL15'!$B$3=M$3,SUMIF('TL15'!$C$10:$C$224,$C157,'TL15'!$J$10:$J$224),0),
IF('TL15'!$B$229=M$3,SUMIF('TL15'!$C$238:$C$451,$C157,'TL15'!$J$238:$J$451),0),
IF('TL16'!$B$3=M$3,SUMIF('TL16'!$C$10:$C$224,$C157,'TL16'!$J$10:$J$224),0),
IF('TL16'!$B$229=M$3,SUMIF('TL16'!$C$238:$C$451,$C157,'TL16'!$J$238:$J$451),0),
IF('TL17'!$B$3=M$3,SUMIF('TL17'!$C$10:$C$224,$C157,'TL17'!$J$10:$J$224),0),
IF('TL17'!$B$229=M$3,SUMIF('TL17'!$C$238:$C$451,$C157,'TL17'!$J$238:$J$451),0),
IF('TL18'!$B$3=M$3,SUMIF('TL18'!$C$10:$C$224,$C157,'TL18'!$J$10:$J$224),0),
IF('TL18'!$B$229=M$3,SUMIF('TL18'!$C$238:$C$451,$C157,'TL18'!$J$238:$J$451),0),
IF('TL19'!$B$3=M$3,SUMIF('TL19'!$C$10:$C$224,$C157,'TL19'!$J$10:$J$224),0),
IF('TL19'!$B$229=M$3,SUMIF('TL19'!$C$238:$C$451,$C157,'TL19'!$J$238:$J$451),0)
),0)</f>
        <v/>
      </c>
      <c r="N157" s="9">
        <f>IFERROR(SUM(
IF('TL01'!$B$3=N$3,SUMIF('TL01'!$C$10:$C$224,$C157,'TL01'!$J$10:$J$224),0),
IF('TL01'!$B$229=N$3,SUMIF('TL01'!$C$238:$C$451,$C157,'TL01'!$J$238:$J$451),0),
IF('TL02'!$B$3=N$3,SUMIF('TL02'!$C$10:$C$224,$C157,'TL02'!$J$10:$J$224),0),
IF('TL02'!$B$229=N$3,SUMIF('TL02'!$C$238:$C$451,$C157,'TL02'!$J$238:$J$451),0),
IF('TL03'!$B$3=N$3,SUMIF('TL03'!$C$10:$C$224,$C157,'TL03'!$J$10:$J$224),0),
IF('TL03'!$B$229=N$3,SUMIF('TL03'!$C$238:$C$451,$C157,'TL03'!$J$238:$J$451),0),
IF('TL04'!$B$3=N$3,SUMIF('TL04'!$C$10:$C$224,$C157,'TL04'!$J$10:$J$224),0),
IF('TL04'!$B$229=N$3,SUMIF('TL04'!$C$238:$C$451,$C157,'TL04'!$J$238:$J$451),0),
IF('TL05'!$B$3=N$3,SUMIF('TL05'!$C$10:$C$224,$C157,'TL05'!$J$10:$J$224),0),
IF('TL05'!$B$229=N$3,SUMIF('TL05'!$C$238:$C$451,$C157,'TL05'!$J$238:$J$451),0),
IF('TL06'!$B$3=N$3,SUMIF('TL06'!$C$10:$C$224,$C157,'TL06'!$J$10:$J$224),0),
IF('TL06'!$B$229=N$3,SUMIF('TL06'!$C$238:$C$451,$C157,'TL06'!$J$238:$J$451),0),
IF('TL07'!$B$3=N$3,SUMIF('TL07'!$C$10:$C$224,$C157,'TL07'!$J$10:$J$224),0),
IF('TL07'!$B$229=N$3,SUMIF('TL07'!$C$238:$C$451,$C157,'TL07'!$J$238:$J$451),0),
IF('TL08'!$B$3=N$3,SUMIF('TL08'!$C$10:$C$224,$C157,'TL08'!$J$10:$J$224),0),
IF('TL08'!$B$229=N$3,SUMIF('TL08'!$C$238:$C$451,$C157,'TL08'!$J$238:$J$451),0),
IF('TL09'!$B$3=N$3,SUMIF('TL09'!$C$10:$C$224,$C157,'TL09'!$J$10:$J$224),0),
IF('TL09'!$B$229=N$3,SUMIF('TL09'!$C$238:$C$451,$C157,'TL09'!$J$238:$J$451),0),
IF('TL10'!$B$3=N$3,SUMIF('TL10'!$C$10:$C$224,$C157,'TL10'!$J$10:$J$224),0),
IF('TL10'!$B$229=N$3,SUMIF('TL10'!$C$238:$C$451,$C157,'TL10'!$J$238:$J$451),0),
IF('TL11'!$B$3=N$3,SUMIF('TL11'!$C$10:$C$224,$C157,'TL11'!$J$10:$J$224),0),
IF('TL11'!$B$229=N$3,SUMIF('TL11'!$C$238:$C$451,$C157,'TL11'!$J$238:$J$451),0),
IF('TL12'!$B$3=N$3,SUMIF('TL12'!$C$10:$C$224,$C157,'TL12'!$J$10:$J$224),0),
IF('TL12'!$B$229=N$3,SUMIF('TL12'!$C$238:$C$451,$C157,'TL12'!$J$238:$J$451),0),
IF('TL13'!$B$3=N$3,SUMIF('TL13'!$C$10:$C$224,$C157,'TL13'!$J$10:$J$224),0),
IF('TL13'!$B$229=N$3,SUMIF('TL13'!$C$238:$C$451,$C157,'TL13'!$J$238:$J$451),0),
IF('TL14'!$B$3=N$3,SUMIF('TL14'!$C$10:$C$224,$C157,'TL14'!$J$10:$J$224),0),
IF('TL14'!$B$229=N$3,SUMIF('TL14'!$C$238:$C$451,$C157,'TL14'!$J$238:$J$451),0),
IF('TL15'!$B$3=N$3,SUMIF('TL15'!$C$10:$C$224,$C157,'TL15'!$J$10:$J$224),0),
IF('TL15'!$B$229=N$3,SUMIF('TL15'!$C$238:$C$451,$C157,'TL15'!$J$238:$J$451),0),
IF('TL16'!$B$3=N$3,SUMIF('TL16'!$C$10:$C$224,$C157,'TL16'!$J$10:$J$224),0),
IF('TL16'!$B$229=N$3,SUMIF('TL16'!$C$238:$C$451,$C157,'TL16'!$J$238:$J$451),0),
IF('TL17'!$B$3=N$3,SUMIF('TL17'!$C$10:$C$224,$C157,'TL17'!$J$10:$J$224),0),
IF('TL17'!$B$229=N$3,SUMIF('TL17'!$C$238:$C$451,$C157,'TL17'!$J$238:$J$451),0),
IF('TL18'!$B$3=N$3,SUMIF('TL18'!$C$10:$C$224,$C157,'TL18'!$J$10:$J$224),0),
IF('TL18'!$B$229=N$3,SUMIF('TL18'!$C$238:$C$451,$C157,'TL18'!$J$238:$J$451),0),
IF('TL19'!$B$3=N$3,SUMIF('TL19'!$C$10:$C$224,$C157,'TL19'!$J$10:$J$224),0),
IF('TL19'!$B$229=N$3,SUMIF('TL19'!$C$238:$C$451,$C157,'TL19'!$J$238:$J$451),0)
),0)</f>
        <v/>
      </c>
      <c r="O157" s="9">
        <f>IFERROR(SUM(
IF('TL01'!$B$3=O$3,SUMIF('TL01'!$C$10:$C$224,$C157,'TL01'!$J$10:$J$224),0),
IF('TL01'!$B$229=O$3,SUMIF('TL01'!$C$238:$C$451,$C157,'TL01'!$J$238:$J$451),0),
IF('TL02'!$B$3=O$3,SUMIF('TL02'!$C$10:$C$224,$C157,'TL02'!$J$10:$J$224),0),
IF('TL02'!$B$229=O$3,SUMIF('TL02'!$C$238:$C$451,$C157,'TL02'!$J$238:$J$451),0),
IF('TL03'!$B$3=O$3,SUMIF('TL03'!$C$10:$C$224,$C157,'TL03'!$J$10:$J$224),0),
IF('TL03'!$B$229=O$3,SUMIF('TL03'!$C$238:$C$451,$C157,'TL03'!$J$238:$J$451),0),
IF('TL04'!$B$3=O$3,SUMIF('TL04'!$C$10:$C$224,$C157,'TL04'!$J$10:$J$224),0),
IF('TL04'!$B$229=O$3,SUMIF('TL04'!$C$238:$C$451,$C157,'TL04'!$J$238:$J$451),0),
IF('TL05'!$B$3=O$3,SUMIF('TL05'!$C$10:$C$224,$C157,'TL05'!$J$10:$J$224),0),
IF('TL05'!$B$229=O$3,SUMIF('TL05'!$C$238:$C$451,$C157,'TL05'!$J$238:$J$451),0),
IF('TL06'!$B$3=O$3,SUMIF('TL06'!$C$10:$C$224,$C157,'TL06'!$J$10:$J$224),0),
IF('TL06'!$B$229=O$3,SUMIF('TL06'!$C$238:$C$451,$C157,'TL06'!$J$238:$J$451),0),
IF('TL07'!$B$3=O$3,SUMIF('TL07'!$C$10:$C$224,$C157,'TL07'!$J$10:$J$224),0),
IF('TL07'!$B$229=O$3,SUMIF('TL07'!$C$238:$C$451,$C157,'TL07'!$J$238:$J$451),0),
IF('TL08'!$B$3=O$3,SUMIF('TL08'!$C$10:$C$224,$C157,'TL08'!$J$10:$J$224),0),
IF('TL08'!$B$229=O$3,SUMIF('TL08'!$C$238:$C$451,$C157,'TL08'!$J$238:$J$451),0),
IF('TL09'!$B$3=O$3,SUMIF('TL09'!$C$10:$C$224,$C157,'TL09'!$J$10:$J$224),0),
IF('TL09'!$B$229=O$3,SUMIF('TL09'!$C$238:$C$451,$C157,'TL09'!$J$238:$J$451),0),
IF('TL10'!$B$3=O$3,SUMIF('TL10'!$C$10:$C$224,$C157,'TL10'!$J$10:$J$224),0),
IF('TL10'!$B$229=O$3,SUMIF('TL10'!$C$238:$C$451,$C157,'TL10'!$J$238:$J$451),0),
IF('TL11'!$B$3=O$3,SUMIF('TL11'!$C$10:$C$224,$C157,'TL11'!$J$10:$J$224),0),
IF('TL11'!$B$229=O$3,SUMIF('TL11'!$C$238:$C$451,$C157,'TL11'!$J$238:$J$451),0),
IF('TL12'!$B$3=O$3,SUMIF('TL12'!$C$10:$C$224,$C157,'TL12'!$J$10:$J$224),0),
IF('TL12'!$B$229=O$3,SUMIF('TL12'!$C$238:$C$451,$C157,'TL12'!$J$238:$J$451),0),
IF('TL13'!$B$3=O$3,SUMIF('TL13'!$C$10:$C$224,$C157,'TL13'!$J$10:$J$224),0),
IF('TL13'!$B$229=O$3,SUMIF('TL13'!$C$238:$C$451,$C157,'TL13'!$J$238:$J$451),0),
IF('TL14'!$B$3=O$3,SUMIF('TL14'!$C$10:$C$224,$C157,'TL14'!$J$10:$J$224),0),
IF('TL14'!$B$229=O$3,SUMIF('TL14'!$C$238:$C$451,$C157,'TL14'!$J$238:$J$451),0),
IF('TL15'!$B$3=O$3,SUMIF('TL15'!$C$10:$C$224,$C157,'TL15'!$J$10:$J$224),0),
IF('TL15'!$B$229=O$3,SUMIF('TL15'!$C$238:$C$451,$C157,'TL15'!$J$238:$J$451),0),
IF('TL16'!$B$3=O$3,SUMIF('TL16'!$C$10:$C$224,$C157,'TL16'!$J$10:$J$224),0),
IF('TL16'!$B$229=O$3,SUMIF('TL16'!$C$238:$C$451,$C157,'TL16'!$J$238:$J$451),0),
IF('TL17'!$B$3=O$3,SUMIF('TL17'!$C$10:$C$224,$C157,'TL17'!$J$10:$J$224),0),
IF('TL17'!$B$229=O$3,SUMIF('TL17'!$C$238:$C$451,$C157,'TL17'!$J$238:$J$451),0),
IF('TL18'!$B$3=O$3,SUMIF('TL18'!$C$10:$C$224,$C157,'TL18'!$J$10:$J$224),0),
IF('TL18'!$B$229=O$3,SUMIF('TL18'!$C$238:$C$451,$C157,'TL18'!$J$238:$J$451),0),
IF('TL19'!$B$3=O$3,SUMIF('TL19'!$C$10:$C$224,$C157,'TL19'!$J$10:$J$224),0),
IF('TL19'!$B$229=O$3,SUMIF('TL19'!$C$238:$C$451,$C157,'TL19'!$J$238:$J$451),0)
),0)</f>
        <v/>
      </c>
      <c r="P157" s="9">
        <f>IFERROR(SUM(
IF('TL01'!$B$3=P$3,SUMIF('TL01'!$C$10:$C$224,$C157,'TL01'!$J$10:$J$224),0),
IF('TL01'!$B$229=P$3,SUMIF('TL01'!$C$238:$C$451,$C157,'TL01'!$J$238:$J$451),0),
IF('TL02'!$B$3=P$3,SUMIF('TL02'!$C$10:$C$224,$C157,'TL02'!$J$10:$J$224),0),
IF('TL02'!$B$229=P$3,SUMIF('TL02'!$C$238:$C$451,$C157,'TL02'!$J$238:$J$451),0),
IF('TL03'!$B$3=P$3,SUMIF('TL03'!$C$10:$C$224,$C157,'TL03'!$J$10:$J$224),0),
IF('TL03'!$B$229=P$3,SUMIF('TL03'!$C$238:$C$451,$C157,'TL03'!$J$238:$J$451),0),
IF('TL04'!$B$3=P$3,SUMIF('TL04'!$C$10:$C$224,$C157,'TL04'!$J$10:$J$224),0),
IF('TL04'!$B$229=P$3,SUMIF('TL04'!$C$238:$C$451,$C157,'TL04'!$J$238:$J$451),0),
IF('TL05'!$B$3=P$3,SUMIF('TL05'!$C$10:$C$224,$C157,'TL05'!$J$10:$J$224),0),
IF('TL05'!$B$229=P$3,SUMIF('TL05'!$C$238:$C$451,$C157,'TL05'!$J$238:$J$451),0),
IF('TL06'!$B$3=P$3,SUMIF('TL06'!$C$10:$C$224,$C157,'TL06'!$J$10:$J$224),0),
IF('TL06'!$B$229=P$3,SUMIF('TL06'!$C$238:$C$451,$C157,'TL06'!$J$238:$J$451),0),
IF('TL07'!$B$3=P$3,SUMIF('TL07'!$C$10:$C$224,$C157,'TL07'!$J$10:$J$224),0),
IF('TL07'!$B$229=P$3,SUMIF('TL07'!$C$238:$C$451,$C157,'TL07'!$J$238:$J$451),0),
IF('TL08'!$B$3=P$3,SUMIF('TL08'!$C$10:$C$224,$C157,'TL08'!$J$10:$J$224),0),
IF('TL08'!$B$229=P$3,SUMIF('TL08'!$C$238:$C$451,$C157,'TL08'!$J$238:$J$451),0),
IF('TL09'!$B$3=P$3,SUMIF('TL09'!$C$10:$C$224,$C157,'TL09'!$J$10:$J$224),0),
IF('TL09'!$B$229=P$3,SUMIF('TL09'!$C$238:$C$451,$C157,'TL09'!$J$238:$J$451),0),
IF('TL10'!$B$3=P$3,SUMIF('TL10'!$C$10:$C$224,$C157,'TL10'!$J$10:$J$224),0),
IF('TL10'!$B$229=P$3,SUMIF('TL10'!$C$238:$C$451,$C157,'TL10'!$J$238:$J$451),0),
IF('TL11'!$B$3=P$3,SUMIF('TL11'!$C$10:$C$224,$C157,'TL11'!$J$10:$J$224),0),
IF('TL11'!$B$229=P$3,SUMIF('TL11'!$C$238:$C$451,$C157,'TL11'!$J$238:$J$451),0),
IF('TL12'!$B$3=P$3,SUMIF('TL12'!$C$10:$C$224,$C157,'TL12'!$J$10:$J$224),0),
IF('TL12'!$B$229=P$3,SUMIF('TL12'!$C$238:$C$451,$C157,'TL12'!$J$238:$J$451),0),
IF('TL13'!$B$3=P$3,SUMIF('TL13'!$C$10:$C$224,$C157,'TL13'!$J$10:$J$224),0),
IF('TL13'!$B$229=P$3,SUMIF('TL13'!$C$238:$C$451,$C157,'TL13'!$J$238:$J$451),0),
IF('TL14'!$B$3=P$3,SUMIF('TL14'!$C$10:$C$224,$C157,'TL14'!$J$10:$J$224),0),
IF('TL14'!$B$229=P$3,SUMIF('TL14'!$C$238:$C$451,$C157,'TL14'!$J$238:$J$451),0),
IF('TL15'!$B$3=P$3,SUMIF('TL15'!$C$10:$C$224,$C157,'TL15'!$J$10:$J$224),0),
IF('TL15'!$B$229=P$3,SUMIF('TL15'!$C$238:$C$451,$C157,'TL15'!$J$238:$J$451),0),
IF('TL16'!$B$3=P$3,SUMIF('TL16'!$C$10:$C$224,$C157,'TL16'!$J$10:$J$224),0),
IF('TL16'!$B$229=P$3,SUMIF('TL16'!$C$238:$C$451,$C157,'TL16'!$J$238:$J$451),0),
IF('TL17'!$B$3=P$3,SUMIF('TL17'!$C$10:$C$224,$C157,'TL17'!$J$10:$J$224),0),
IF('TL17'!$B$229=P$3,SUMIF('TL17'!$C$238:$C$451,$C157,'TL17'!$J$238:$J$451),0),
IF('TL18'!$B$3=P$3,SUMIF('TL18'!$C$10:$C$224,$C157,'TL18'!$J$10:$J$224),0),
IF('TL18'!$B$229=P$3,SUMIF('TL18'!$C$238:$C$451,$C157,'TL18'!$J$238:$J$451),0),
IF('TL19'!$B$3=P$3,SUMIF('TL19'!$C$10:$C$224,$C157,'TL19'!$J$10:$J$224),0),
IF('TL19'!$B$229=P$3,SUMIF('TL19'!$C$238:$C$451,$C157,'TL19'!$J$238:$J$451),0)
),0)</f>
        <v/>
      </c>
      <c r="Q157" s="9">
        <f>IFERROR(SUM(
IF('TL01'!$B$3=Q$3,SUMIF('TL01'!$C$10:$C$224,$C157,'TL01'!$J$10:$J$224),0),
IF('TL01'!$B$229=Q$3,SUMIF('TL01'!$C$238:$C$451,$C157,'TL01'!$J$238:$J$451),0),
IF('TL02'!$B$3=Q$3,SUMIF('TL02'!$C$10:$C$224,$C157,'TL02'!$J$10:$J$224),0),
IF('TL02'!$B$229=Q$3,SUMIF('TL02'!$C$238:$C$451,$C157,'TL02'!$J$238:$J$451),0),
IF('TL03'!$B$3=Q$3,SUMIF('TL03'!$C$10:$C$224,$C157,'TL03'!$J$10:$J$224),0),
IF('TL03'!$B$229=Q$3,SUMIF('TL03'!$C$238:$C$451,$C157,'TL03'!$J$238:$J$451),0),
IF('TL04'!$B$3=Q$3,SUMIF('TL04'!$C$10:$C$224,$C157,'TL04'!$J$10:$J$224),0),
IF('TL04'!$B$229=Q$3,SUMIF('TL04'!$C$238:$C$451,$C157,'TL04'!$J$238:$J$451),0),
IF('TL05'!$B$3=Q$3,SUMIF('TL05'!$C$10:$C$224,$C157,'TL05'!$J$10:$J$224),0),
IF('TL05'!$B$229=Q$3,SUMIF('TL05'!$C$238:$C$451,$C157,'TL05'!$J$238:$J$451),0),
IF('TL06'!$B$3=Q$3,SUMIF('TL06'!$C$10:$C$224,$C157,'TL06'!$J$10:$J$224),0),
IF('TL06'!$B$229=Q$3,SUMIF('TL06'!$C$238:$C$451,$C157,'TL06'!$J$238:$J$451),0),
IF('TL07'!$B$3=Q$3,SUMIF('TL07'!$C$10:$C$224,$C157,'TL07'!$J$10:$J$224),0),
IF('TL07'!$B$229=Q$3,SUMIF('TL07'!$C$238:$C$451,$C157,'TL07'!$J$238:$J$451),0),
IF('TL08'!$B$3=Q$3,SUMIF('TL08'!$C$10:$C$224,$C157,'TL08'!$J$10:$J$224),0),
IF('TL08'!$B$229=Q$3,SUMIF('TL08'!$C$238:$C$451,$C157,'TL08'!$J$238:$J$451),0),
IF('TL09'!$B$3=Q$3,SUMIF('TL09'!$C$10:$C$224,$C157,'TL09'!$J$10:$J$224),0),
IF('TL09'!$B$229=Q$3,SUMIF('TL09'!$C$238:$C$451,$C157,'TL09'!$J$238:$J$451),0),
IF('TL10'!$B$3=Q$3,SUMIF('TL10'!$C$10:$C$224,$C157,'TL10'!$J$10:$J$224),0),
IF('TL10'!$B$229=Q$3,SUMIF('TL10'!$C$238:$C$451,$C157,'TL10'!$J$238:$J$451),0),
IF('TL11'!$B$3=Q$3,SUMIF('TL11'!$C$10:$C$224,$C157,'TL11'!$J$10:$J$224),0),
IF('TL11'!$B$229=Q$3,SUMIF('TL11'!$C$238:$C$451,$C157,'TL11'!$J$238:$J$451),0),
IF('TL12'!$B$3=Q$3,SUMIF('TL12'!$C$10:$C$224,$C157,'TL12'!$J$10:$J$224),0),
IF('TL12'!$B$229=Q$3,SUMIF('TL12'!$C$238:$C$451,$C157,'TL12'!$J$238:$J$451),0),
IF('TL13'!$B$3=Q$3,SUMIF('TL13'!$C$10:$C$224,$C157,'TL13'!$J$10:$J$224),0),
IF('TL13'!$B$229=Q$3,SUMIF('TL13'!$C$238:$C$451,$C157,'TL13'!$J$238:$J$451),0),
IF('TL14'!$B$3=Q$3,SUMIF('TL14'!$C$10:$C$224,$C157,'TL14'!$J$10:$J$224),0),
IF('TL14'!$B$229=Q$3,SUMIF('TL14'!$C$238:$C$451,$C157,'TL14'!$J$238:$J$451),0),
IF('TL15'!$B$3=Q$3,SUMIF('TL15'!$C$10:$C$224,$C157,'TL15'!$J$10:$J$224),0),
IF('TL15'!$B$229=Q$3,SUMIF('TL15'!$C$238:$C$451,$C157,'TL15'!$J$238:$J$451),0),
IF('TL16'!$B$3=Q$3,SUMIF('TL16'!$C$10:$C$224,$C157,'TL16'!$J$10:$J$224),0),
IF('TL16'!$B$229=Q$3,SUMIF('TL16'!$C$238:$C$451,$C157,'TL16'!$J$238:$J$451),0),
IF('TL17'!$B$3=Q$3,SUMIF('TL17'!$C$10:$C$224,$C157,'TL17'!$J$10:$J$224),0),
IF('TL17'!$B$229=Q$3,SUMIF('TL17'!$C$238:$C$451,$C157,'TL17'!$J$238:$J$451),0),
IF('TL18'!$B$3=Q$3,SUMIF('TL18'!$C$10:$C$224,$C157,'TL18'!$J$10:$J$224),0),
IF('TL18'!$B$229=Q$3,SUMIF('TL18'!$C$238:$C$451,$C157,'TL18'!$J$238:$J$451),0),
IF('TL19'!$B$3=Q$3,SUMIF('TL19'!$C$10:$C$224,$C157,'TL19'!$J$10:$J$224),0),
IF('TL19'!$B$229=Q$3,SUMIF('TL19'!$C$238:$C$451,$C157,'TL19'!$J$238:$J$451),0)
),0)</f>
        <v/>
      </c>
      <c r="R157" s="9">
        <f>IFERROR(
SUM(
SUMIF('TL01'!C:C,C157,'TL01'!J:J),
SUMIF('TL02'!C:C,C157,'TL02'!J:J),
SUMIF('TL03'!C:C,C157,'TL03'!J:J),
SUMIF('TL04'!C:C,C157,'TL04'!J:J),
SUMIF('TL05'!C:C,C157,'TL05'!J:J),
SUMIF('TL06'!C:C,C157,'TL06'!J:J),
SUMIF('TL07'!C:C,C157,'TL07'!J:J),
SUMIF('TL08'!C:C,C157,'TL08'!J:J),
SUMIF('TL09'!C:C,C157,'TL09'!J:J),
SUMIF('TL10'!C:C,C157,'TL10'!J:J),
SUMIF('TL11'!C:C,C157,'TL11'!J:J),
SUMIF('TL12'!C:C,C157,'TL12'!J:J),
SUMIF('TL13'!C:C,C157,'TL13'!J:J),
SUMIF('TL14'!C:C,C157,'TL14'!J:J),
SUMIF('TL15'!C:C,C157,'TL15'!J:J),
SUMIF('TL16'!C:C,C157,'TL16'!J:J),
SUMIF('TL17'!C:C,C157,'TL17'!J:J),
SUMIF('TL18'!C:C,C157,'TL18'!J:J),SUMIF('TL19'!C:C,C157,'TL19'!J:J))
,0)</f>
        <v/>
      </c>
      <c r="S157" s="17">
        <f>IFERROR(__xludf.DUMMYFUNCTION("IFERROR(VLOOKUP(C157,
IMPORTRANGE(""1wULbzX32WdYsx-lj2U3uUNBBe2INVIRDtcK0d-Dvl90"",
""26-27!C:G""),
5,
FALSE),
"""")"),15.92784)</f>
        <v/>
      </c>
      <c r="T157" s="9" t="n"/>
      <c r="U157" s="92">
        <f>MAX(0,R157-T157)</f>
        <v/>
      </c>
      <c r="V157" s="93">
        <f>U157*S157</f>
        <v/>
      </c>
    </row>
    <row r="158" hidden="1" ht="15.75" customHeight="1" s="297">
      <c r="A158" s="115" t="inlineStr">
        <is>
          <t>SUMITOMO</t>
        </is>
      </c>
      <c r="B158" s="100" t="inlineStr">
        <is>
          <t>HERBICIDA</t>
        </is>
      </c>
      <c r="C158" s="116" t="inlineStr">
        <is>
          <t>ZETHAMAXX</t>
        </is>
      </c>
      <c r="D158" s="116" t="inlineStr">
        <is>
          <t>IMAZETAPIR + FLUMIOXAZINA</t>
        </is>
      </c>
      <c r="E158" s="116" t="inlineStr">
        <is>
          <t>212 + 100</t>
        </is>
      </c>
      <c r="F158" s="4" t="inlineStr">
        <is>
          <t>L</t>
        </is>
      </c>
      <c r="G158" s="90">
        <f>HYPERLINK("https://www.google.com/search?q=" &amp; C158 &amp; "+bula+agrofit+pdf", "📄 Ver bula")</f>
        <v/>
      </c>
      <c r="H158" s="9" t="n">
        <v>0.4</v>
      </c>
      <c r="I158" s="117" t="inlineStr">
        <is>
          <t>1x20</t>
        </is>
      </c>
      <c r="J158" s="9">
        <f>IFERROR(SUM(
IF('TL01'!$B$3=J$3,SUMIF('TL01'!$C$10:$C$224,$C158,'TL01'!$J$10:$J$224),0),
IF('TL01'!$B$229=J$3,SUMIF('TL01'!$C$238:$C$451,$C158,'TL01'!$J$238:$J$451),0),
IF('TL02'!$B$3=J$3,SUMIF('TL02'!$C$10:$C$224,$C158,'TL02'!$J$10:$J$224),0),
IF('TL02'!$B$229=J$3,SUMIF('TL02'!$C$238:$C$451,$C158,'TL02'!$J$238:$J$451),0),
IF('TL03'!$B$3=J$3,SUMIF('TL03'!$C$10:$C$224,$C158,'TL03'!$J$10:$J$224),0),
IF('TL03'!$B$229=J$3,SUMIF('TL03'!$C$238:$C$451,$C158,'TL03'!$J$238:$J$451),0),
IF('TL04'!$B$3=J$3,SUMIF('TL04'!$C$10:$C$224,$C158,'TL04'!$J$10:$J$224),0),
IF('TL04'!$B$229=J$3,SUMIF('TL04'!$C$238:$C$451,$C158,'TL04'!$J$238:$J$451),0),
IF('TL05'!$B$3=J$3,SUMIF('TL05'!$C$10:$C$224,$C158,'TL05'!$J$10:$J$224),0),
IF('TL05'!$B$229=J$3,SUMIF('TL05'!$C$238:$C$451,$C158,'TL05'!$J$238:$J$451),0),
IF('TL06'!$B$3=J$3,SUMIF('TL06'!$C$10:$C$224,$C158,'TL06'!$J$10:$J$224),0),
IF('TL06'!$B$229=J$3,SUMIF('TL06'!$C$238:$C$451,$C158,'TL06'!$J$238:$J$451),0),
IF('TL07'!$B$3=J$3,SUMIF('TL07'!$C$10:$C$224,$C158,'TL07'!$J$10:$J$224),0),
IF('TL07'!$B$229=J$3,SUMIF('TL07'!$C$238:$C$451,$C158,'TL07'!$J$238:$J$451),0),
IF('TL08'!$B$3=J$3,SUMIF('TL08'!$C$10:$C$224,$C158,'TL08'!$J$10:$J$224),0),
IF('TL08'!$B$229=J$3,SUMIF('TL08'!$C$238:$C$451,$C158,'TL08'!$J$238:$J$451),0),
IF('TL09'!$B$3=J$3,SUMIF('TL09'!$C$10:$C$224,$C158,'TL09'!$J$10:$J$224),0),
IF('TL09'!$B$229=J$3,SUMIF('TL09'!$C$238:$C$451,$C158,'TL09'!$J$238:$J$451),0),
IF('TL10'!$B$3=J$3,SUMIF('TL10'!$C$10:$C$224,$C158,'TL10'!$J$10:$J$224),0),
IF('TL10'!$B$229=J$3,SUMIF('TL10'!$C$238:$C$451,$C158,'TL10'!$J$238:$J$451),0),
IF('TL11'!$B$3=J$3,SUMIF('TL11'!$C$10:$C$224,$C158,'TL11'!$J$10:$J$224),0),
IF('TL11'!$B$229=J$3,SUMIF('TL11'!$C$238:$C$451,$C158,'TL11'!$J$238:$J$451),0),
IF('TL12'!$B$3=J$3,SUMIF('TL12'!$C$10:$C$224,$C158,'TL12'!$J$10:$J$224),0),
IF('TL12'!$B$229=J$3,SUMIF('TL12'!$C$238:$C$451,$C158,'TL12'!$J$238:$J$451),0),
IF('TL13'!$B$3=J$3,SUMIF('TL13'!$C$10:$C$224,$C158,'TL13'!$J$10:$J$224),0),
IF('TL13'!$B$229=J$3,SUMIF('TL13'!$C$238:$C$451,$C158,'TL13'!$J$238:$J$451),0),
IF('TL14'!$B$3=J$3,SUMIF('TL14'!$C$10:$C$224,$C158,'TL14'!$J$10:$J$224),0),
IF('TL14'!$B$229=J$3,SUMIF('TL14'!$C$238:$C$451,$C158,'TL14'!$J$238:$J$451),0),
IF('TL15'!$B$3=J$3,SUMIF('TL15'!$C$10:$C$224,$C158,'TL15'!$J$10:$J$224),0),
IF('TL15'!$B$229=J$3,SUMIF('TL15'!$C$238:$C$451,$C158,'TL15'!$J$238:$J$451),0),
IF('TL16'!$B$3=J$3,SUMIF('TL16'!$C$10:$C$224,$C158,'TL16'!$J$10:$J$224),0),
IF('TL16'!$B$229=J$3,SUMIF('TL16'!$C$238:$C$451,$C158,'TL16'!$J$238:$J$451),0),
IF('TL17'!$B$3=J$3,SUMIF('TL17'!$C$10:$C$224,$C158,'TL17'!$J$10:$J$224),0),
IF('TL17'!$B$229=J$3,SUMIF('TL17'!$C$238:$C$451,$C158,'TL17'!$J$238:$J$451),0),
IF('TL18'!$B$3=J$3,SUMIF('TL18'!$C$10:$C$224,$C158,'TL18'!$J$10:$J$224),0),
IF('TL18'!$B$229=J$3,SUMIF('TL18'!$C$238:$C$451,$C158,'TL18'!$J$238:$J$451),0),
IF('TL19'!$B$3=J$3,SUMIF('TL19'!$C$10:$C$224,$C158,'TL19'!$J$10:$J$224),0),
IF('TL19'!$B$229=J$3,SUMIF('TL19'!$C$238:$C$451,$C158,'TL19'!$J$238:$J$451),0)
),0)</f>
        <v/>
      </c>
      <c r="K158" s="9">
        <f>IFERROR(SUM(
IF('TL01'!$B$3=K$3,SUMIF('TL01'!$C$10:$C$224,$C158,'TL01'!$J$10:$J$224),0),
IF('TL01'!$B$229=K$3,SUMIF('TL01'!$C$238:$C$451,$C158,'TL01'!$J$238:$J$451),0),
IF('TL02'!$B$3=K$3,SUMIF('TL02'!$C$10:$C$224,$C158,'TL02'!$J$10:$J$224),0),
IF('TL02'!$B$229=K$3,SUMIF('TL02'!$C$238:$C$451,$C158,'TL02'!$J$238:$J$451),0),
IF('TL03'!$B$3=K$3,SUMIF('TL03'!$C$10:$C$224,$C158,'TL03'!$J$10:$J$224),0),
IF('TL03'!$B$229=K$3,SUMIF('TL03'!$C$238:$C$451,$C158,'TL03'!$J$238:$J$451),0),
IF('TL04'!$B$3=K$3,SUMIF('TL04'!$C$10:$C$224,$C158,'TL04'!$J$10:$J$224),0),
IF('TL04'!$B$229=K$3,SUMIF('TL04'!$C$238:$C$451,$C158,'TL04'!$J$238:$J$451),0),
IF('TL05'!$B$3=K$3,SUMIF('TL05'!$C$10:$C$224,$C158,'TL05'!$J$10:$J$224),0),
IF('TL05'!$B$229=K$3,SUMIF('TL05'!$C$238:$C$451,$C158,'TL05'!$J$238:$J$451),0),
IF('TL06'!$B$3=K$3,SUMIF('TL06'!$C$10:$C$224,$C158,'TL06'!$J$10:$J$224),0),
IF('TL06'!$B$229=K$3,SUMIF('TL06'!$C$238:$C$451,$C158,'TL06'!$J$238:$J$451),0),
IF('TL07'!$B$3=K$3,SUMIF('TL07'!$C$10:$C$224,$C158,'TL07'!$J$10:$J$224),0),
IF('TL07'!$B$229=K$3,SUMIF('TL07'!$C$238:$C$451,$C158,'TL07'!$J$238:$J$451),0),
IF('TL08'!$B$3=K$3,SUMIF('TL08'!$C$10:$C$224,$C158,'TL08'!$J$10:$J$224),0),
IF('TL08'!$B$229=K$3,SUMIF('TL08'!$C$238:$C$451,$C158,'TL08'!$J$238:$J$451),0),
IF('TL09'!$B$3=K$3,SUMIF('TL09'!$C$10:$C$224,$C158,'TL09'!$J$10:$J$224),0),
IF('TL09'!$B$229=K$3,SUMIF('TL09'!$C$238:$C$451,$C158,'TL09'!$J$238:$J$451),0),
IF('TL10'!$B$3=K$3,SUMIF('TL10'!$C$10:$C$224,$C158,'TL10'!$J$10:$J$224),0),
IF('TL10'!$B$229=K$3,SUMIF('TL10'!$C$238:$C$451,$C158,'TL10'!$J$238:$J$451),0),
IF('TL11'!$B$3=K$3,SUMIF('TL11'!$C$10:$C$224,$C158,'TL11'!$J$10:$J$224),0),
IF('TL11'!$B$229=K$3,SUMIF('TL11'!$C$238:$C$451,$C158,'TL11'!$J$238:$J$451),0),
IF('TL12'!$B$3=K$3,SUMIF('TL12'!$C$10:$C$224,$C158,'TL12'!$J$10:$J$224),0),
IF('TL12'!$B$229=K$3,SUMIF('TL12'!$C$238:$C$451,$C158,'TL12'!$J$238:$J$451),0),
IF('TL13'!$B$3=K$3,SUMIF('TL13'!$C$10:$C$224,$C158,'TL13'!$J$10:$J$224),0),
IF('TL13'!$B$229=K$3,SUMIF('TL13'!$C$238:$C$451,$C158,'TL13'!$J$238:$J$451),0),
IF('TL14'!$B$3=K$3,SUMIF('TL14'!$C$10:$C$224,$C158,'TL14'!$J$10:$J$224),0),
IF('TL14'!$B$229=K$3,SUMIF('TL14'!$C$238:$C$451,$C158,'TL14'!$J$238:$J$451),0),
IF('TL15'!$B$3=K$3,SUMIF('TL15'!$C$10:$C$224,$C158,'TL15'!$J$10:$J$224),0),
IF('TL15'!$B$229=K$3,SUMIF('TL15'!$C$238:$C$451,$C158,'TL15'!$J$238:$J$451),0),
IF('TL16'!$B$3=K$3,SUMIF('TL16'!$C$10:$C$224,$C158,'TL16'!$J$10:$J$224),0),
IF('TL16'!$B$229=K$3,SUMIF('TL16'!$C$238:$C$451,$C158,'TL16'!$J$238:$J$451),0),
IF('TL17'!$B$3=K$3,SUMIF('TL17'!$C$10:$C$224,$C158,'TL17'!$J$10:$J$224),0),
IF('TL17'!$B$229=K$3,SUMIF('TL17'!$C$238:$C$451,$C158,'TL17'!$J$238:$J$451),0),
IF('TL18'!$B$3=K$3,SUMIF('TL18'!$C$10:$C$224,$C158,'TL18'!$J$10:$J$224),0),
IF('TL18'!$B$229=K$3,SUMIF('TL18'!$C$238:$C$451,$C158,'TL18'!$J$238:$J$451),0),
IF('TL19'!$B$3=K$3,SUMIF('TL19'!$C$10:$C$224,$C158,'TL19'!$J$10:$J$224),0),
IF('TL19'!$B$229=K$3,SUMIF('TL19'!$C$238:$C$451,$C158,'TL19'!$J$238:$J$451),0)
),0)</f>
        <v/>
      </c>
      <c r="L158" s="9">
        <f>IFERROR(SUM(
IF('TL01'!$B$3=L$3,SUMIF('TL01'!$C$10:$C$224,$C158,'TL01'!$J$10:$J$224),0),
IF('TL01'!$B$229=L$3,SUMIF('TL01'!$C$238:$C$451,$C158,'TL01'!$J$238:$J$451),0),
IF('TL02'!$B$3=L$3,SUMIF('TL02'!$C$10:$C$224,$C158,'TL02'!$J$10:$J$224),0),
IF('TL02'!$B$229=L$3,SUMIF('TL02'!$C$238:$C$451,$C158,'TL02'!$J$238:$J$451),0),
IF('TL03'!$B$3=L$3,SUMIF('TL03'!$C$10:$C$224,$C158,'TL03'!$J$10:$J$224),0),
IF('TL03'!$B$229=L$3,SUMIF('TL03'!$C$238:$C$451,$C158,'TL03'!$J$238:$J$451),0),
IF('TL04'!$B$3=L$3,SUMIF('TL04'!$C$10:$C$224,$C158,'TL04'!$J$10:$J$224),0),
IF('TL04'!$B$229=L$3,SUMIF('TL04'!$C$238:$C$451,$C158,'TL04'!$J$238:$J$451),0),
IF('TL05'!$B$3=L$3,SUMIF('TL05'!$C$10:$C$224,$C158,'TL05'!$J$10:$J$224),0),
IF('TL05'!$B$229=L$3,SUMIF('TL05'!$C$238:$C$451,$C158,'TL05'!$J$238:$J$451),0),
IF('TL06'!$B$3=L$3,SUMIF('TL06'!$C$10:$C$224,$C158,'TL06'!$J$10:$J$224),0),
IF('TL06'!$B$229=L$3,SUMIF('TL06'!$C$238:$C$451,$C158,'TL06'!$J$238:$J$451),0),
IF('TL07'!$B$3=L$3,SUMIF('TL07'!$C$10:$C$224,$C158,'TL07'!$J$10:$J$224),0),
IF('TL07'!$B$229=L$3,SUMIF('TL07'!$C$238:$C$451,$C158,'TL07'!$J$238:$J$451),0),
IF('TL08'!$B$3=L$3,SUMIF('TL08'!$C$10:$C$224,$C158,'TL08'!$J$10:$J$224),0),
IF('TL08'!$B$229=L$3,SUMIF('TL08'!$C$238:$C$451,$C158,'TL08'!$J$238:$J$451),0),
IF('TL09'!$B$3=L$3,SUMIF('TL09'!$C$10:$C$224,$C158,'TL09'!$J$10:$J$224),0),
IF('TL09'!$B$229=L$3,SUMIF('TL09'!$C$238:$C$451,$C158,'TL09'!$J$238:$J$451),0),
IF('TL10'!$B$3=L$3,SUMIF('TL10'!$C$10:$C$224,$C158,'TL10'!$J$10:$J$224),0),
IF('TL10'!$B$229=L$3,SUMIF('TL10'!$C$238:$C$451,$C158,'TL10'!$J$238:$J$451),0),
IF('TL11'!$B$3=L$3,SUMIF('TL11'!$C$10:$C$224,$C158,'TL11'!$J$10:$J$224),0),
IF('TL11'!$B$229=L$3,SUMIF('TL11'!$C$238:$C$451,$C158,'TL11'!$J$238:$J$451),0),
IF('TL12'!$B$3=L$3,SUMIF('TL12'!$C$10:$C$224,$C158,'TL12'!$J$10:$J$224),0),
IF('TL12'!$B$229=L$3,SUMIF('TL12'!$C$238:$C$451,$C158,'TL12'!$J$238:$J$451),0),
IF('TL13'!$B$3=L$3,SUMIF('TL13'!$C$10:$C$224,$C158,'TL13'!$J$10:$J$224),0),
IF('TL13'!$B$229=L$3,SUMIF('TL13'!$C$238:$C$451,$C158,'TL13'!$J$238:$J$451),0),
IF('TL14'!$B$3=L$3,SUMIF('TL14'!$C$10:$C$224,$C158,'TL14'!$J$10:$J$224),0),
IF('TL14'!$B$229=L$3,SUMIF('TL14'!$C$238:$C$451,$C158,'TL14'!$J$238:$J$451),0),
IF('TL15'!$B$3=L$3,SUMIF('TL15'!$C$10:$C$224,$C158,'TL15'!$J$10:$J$224),0),
IF('TL15'!$B$229=L$3,SUMIF('TL15'!$C$238:$C$451,$C158,'TL15'!$J$238:$J$451),0),
IF('TL16'!$B$3=L$3,SUMIF('TL16'!$C$10:$C$224,$C158,'TL16'!$J$10:$J$224),0),
IF('TL16'!$B$229=L$3,SUMIF('TL16'!$C$238:$C$451,$C158,'TL16'!$J$238:$J$451),0),
IF('TL17'!$B$3=L$3,SUMIF('TL17'!$C$10:$C$224,$C158,'TL17'!$J$10:$J$224),0),
IF('TL17'!$B$229=L$3,SUMIF('TL17'!$C$238:$C$451,$C158,'TL17'!$J$238:$J$451),0),
IF('TL18'!$B$3=L$3,SUMIF('TL18'!$C$10:$C$224,$C158,'TL18'!$J$10:$J$224),0),
IF('TL18'!$B$229=L$3,SUMIF('TL18'!$C$238:$C$451,$C158,'TL18'!$J$238:$J$451),0),
IF('TL19'!$B$3=L$3,SUMIF('TL19'!$C$10:$C$224,$C158,'TL19'!$J$10:$J$224),0),
IF('TL19'!$B$229=L$3,SUMIF('TL19'!$C$238:$C$451,$C158,'TL19'!$J$238:$J$451),0)
),0)</f>
        <v/>
      </c>
      <c r="M158" s="9">
        <f>IFERROR(SUM(
IF('TL01'!$B$3=M$3,SUMIF('TL01'!$C$10:$C$224,$C158,'TL01'!$J$10:$J$224),0),
IF('TL01'!$B$229=M$3,SUMIF('TL01'!$C$238:$C$451,$C158,'TL01'!$J$238:$J$451),0),
IF('TL02'!$B$3=M$3,SUMIF('TL02'!$C$10:$C$224,$C158,'TL02'!$J$10:$J$224),0),
IF('TL02'!$B$229=M$3,SUMIF('TL02'!$C$238:$C$451,$C158,'TL02'!$J$238:$J$451),0),
IF('TL03'!$B$3=M$3,SUMIF('TL03'!$C$10:$C$224,$C158,'TL03'!$J$10:$J$224),0),
IF('TL03'!$B$229=M$3,SUMIF('TL03'!$C$238:$C$451,$C158,'TL03'!$J$238:$J$451),0),
IF('TL04'!$B$3=M$3,SUMIF('TL04'!$C$10:$C$224,$C158,'TL04'!$J$10:$J$224),0),
IF('TL04'!$B$229=M$3,SUMIF('TL04'!$C$238:$C$451,$C158,'TL04'!$J$238:$J$451),0),
IF('TL05'!$B$3=M$3,SUMIF('TL05'!$C$10:$C$224,$C158,'TL05'!$J$10:$J$224),0),
IF('TL05'!$B$229=M$3,SUMIF('TL05'!$C$238:$C$451,$C158,'TL05'!$J$238:$J$451),0),
IF('TL06'!$B$3=M$3,SUMIF('TL06'!$C$10:$C$224,$C158,'TL06'!$J$10:$J$224),0),
IF('TL06'!$B$229=M$3,SUMIF('TL06'!$C$238:$C$451,$C158,'TL06'!$J$238:$J$451),0),
IF('TL07'!$B$3=M$3,SUMIF('TL07'!$C$10:$C$224,$C158,'TL07'!$J$10:$J$224),0),
IF('TL07'!$B$229=M$3,SUMIF('TL07'!$C$238:$C$451,$C158,'TL07'!$J$238:$J$451),0),
IF('TL08'!$B$3=M$3,SUMIF('TL08'!$C$10:$C$224,$C158,'TL08'!$J$10:$J$224),0),
IF('TL08'!$B$229=M$3,SUMIF('TL08'!$C$238:$C$451,$C158,'TL08'!$J$238:$J$451),0),
IF('TL09'!$B$3=M$3,SUMIF('TL09'!$C$10:$C$224,$C158,'TL09'!$J$10:$J$224),0),
IF('TL09'!$B$229=M$3,SUMIF('TL09'!$C$238:$C$451,$C158,'TL09'!$J$238:$J$451),0),
IF('TL10'!$B$3=M$3,SUMIF('TL10'!$C$10:$C$224,$C158,'TL10'!$J$10:$J$224),0),
IF('TL10'!$B$229=M$3,SUMIF('TL10'!$C$238:$C$451,$C158,'TL10'!$J$238:$J$451),0),
IF('TL11'!$B$3=M$3,SUMIF('TL11'!$C$10:$C$224,$C158,'TL11'!$J$10:$J$224),0),
IF('TL11'!$B$229=M$3,SUMIF('TL11'!$C$238:$C$451,$C158,'TL11'!$J$238:$J$451),0),
IF('TL12'!$B$3=M$3,SUMIF('TL12'!$C$10:$C$224,$C158,'TL12'!$J$10:$J$224),0),
IF('TL12'!$B$229=M$3,SUMIF('TL12'!$C$238:$C$451,$C158,'TL12'!$J$238:$J$451),0),
IF('TL13'!$B$3=M$3,SUMIF('TL13'!$C$10:$C$224,$C158,'TL13'!$J$10:$J$224),0),
IF('TL13'!$B$229=M$3,SUMIF('TL13'!$C$238:$C$451,$C158,'TL13'!$J$238:$J$451),0),
IF('TL14'!$B$3=M$3,SUMIF('TL14'!$C$10:$C$224,$C158,'TL14'!$J$10:$J$224),0),
IF('TL14'!$B$229=M$3,SUMIF('TL14'!$C$238:$C$451,$C158,'TL14'!$J$238:$J$451),0),
IF('TL15'!$B$3=M$3,SUMIF('TL15'!$C$10:$C$224,$C158,'TL15'!$J$10:$J$224),0),
IF('TL15'!$B$229=M$3,SUMIF('TL15'!$C$238:$C$451,$C158,'TL15'!$J$238:$J$451),0),
IF('TL16'!$B$3=M$3,SUMIF('TL16'!$C$10:$C$224,$C158,'TL16'!$J$10:$J$224),0),
IF('TL16'!$B$229=M$3,SUMIF('TL16'!$C$238:$C$451,$C158,'TL16'!$J$238:$J$451),0),
IF('TL17'!$B$3=M$3,SUMIF('TL17'!$C$10:$C$224,$C158,'TL17'!$J$10:$J$224),0),
IF('TL17'!$B$229=M$3,SUMIF('TL17'!$C$238:$C$451,$C158,'TL17'!$J$238:$J$451),0),
IF('TL18'!$B$3=M$3,SUMIF('TL18'!$C$10:$C$224,$C158,'TL18'!$J$10:$J$224),0),
IF('TL18'!$B$229=M$3,SUMIF('TL18'!$C$238:$C$451,$C158,'TL18'!$J$238:$J$451),0),
IF('TL19'!$B$3=M$3,SUMIF('TL19'!$C$10:$C$224,$C158,'TL19'!$J$10:$J$224),0),
IF('TL19'!$B$229=M$3,SUMIF('TL19'!$C$238:$C$451,$C158,'TL19'!$J$238:$J$451),0)
),0)</f>
        <v/>
      </c>
      <c r="N158" s="9">
        <f>IFERROR(SUM(
IF('TL01'!$B$3=N$3,SUMIF('TL01'!$C$10:$C$224,$C158,'TL01'!$J$10:$J$224),0),
IF('TL01'!$B$229=N$3,SUMIF('TL01'!$C$238:$C$451,$C158,'TL01'!$J$238:$J$451),0),
IF('TL02'!$B$3=N$3,SUMIF('TL02'!$C$10:$C$224,$C158,'TL02'!$J$10:$J$224),0),
IF('TL02'!$B$229=N$3,SUMIF('TL02'!$C$238:$C$451,$C158,'TL02'!$J$238:$J$451),0),
IF('TL03'!$B$3=N$3,SUMIF('TL03'!$C$10:$C$224,$C158,'TL03'!$J$10:$J$224),0),
IF('TL03'!$B$229=N$3,SUMIF('TL03'!$C$238:$C$451,$C158,'TL03'!$J$238:$J$451),0),
IF('TL04'!$B$3=N$3,SUMIF('TL04'!$C$10:$C$224,$C158,'TL04'!$J$10:$J$224),0),
IF('TL04'!$B$229=N$3,SUMIF('TL04'!$C$238:$C$451,$C158,'TL04'!$J$238:$J$451),0),
IF('TL05'!$B$3=N$3,SUMIF('TL05'!$C$10:$C$224,$C158,'TL05'!$J$10:$J$224),0),
IF('TL05'!$B$229=N$3,SUMIF('TL05'!$C$238:$C$451,$C158,'TL05'!$J$238:$J$451),0),
IF('TL06'!$B$3=N$3,SUMIF('TL06'!$C$10:$C$224,$C158,'TL06'!$J$10:$J$224),0),
IF('TL06'!$B$229=N$3,SUMIF('TL06'!$C$238:$C$451,$C158,'TL06'!$J$238:$J$451),0),
IF('TL07'!$B$3=N$3,SUMIF('TL07'!$C$10:$C$224,$C158,'TL07'!$J$10:$J$224),0),
IF('TL07'!$B$229=N$3,SUMIF('TL07'!$C$238:$C$451,$C158,'TL07'!$J$238:$J$451),0),
IF('TL08'!$B$3=N$3,SUMIF('TL08'!$C$10:$C$224,$C158,'TL08'!$J$10:$J$224),0),
IF('TL08'!$B$229=N$3,SUMIF('TL08'!$C$238:$C$451,$C158,'TL08'!$J$238:$J$451),0),
IF('TL09'!$B$3=N$3,SUMIF('TL09'!$C$10:$C$224,$C158,'TL09'!$J$10:$J$224),0),
IF('TL09'!$B$229=N$3,SUMIF('TL09'!$C$238:$C$451,$C158,'TL09'!$J$238:$J$451),0),
IF('TL10'!$B$3=N$3,SUMIF('TL10'!$C$10:$C$224,$C158,'TL10'!$J$10:$J$224),0),
IF('TL10'!$B$229=N$3,SUMIF('TL10'!$C$238:$C$451,$C158,'TL10'!$J$238:$J$451),0),
IF('TL11'!$B$3=N$3,SUMIF('TL11'!$C$10:$C$224,$C158,'TL11'!$J$10:$J$224),0),
IF('TL11'!$B$229=N$3,SUMIF('TL11'!$C$238:$C$451,$C158,'TL11'!$J$238:$J$451),0),
IF('TL12'!$B$3=N$3,SUMIF('TL12'!$C$10:$C$224,$C158,'TL12'!$J$10:$J$224),0),
IF('TL12'!$B$229=N$3,SUMIF('TL12'!$C$238:$C$451,$C158,'TL12'!$J$238:$J$451),0),
IF('TL13'!$B$3=N$3,SUMIF('TL13'!$C$10:$C$224,$C158,'TL13'!$J$10:$J$224),0),
IF('TL13'!$B$229=N$3,SUMIF('TL13'!$C$238:$C$451,$C158,'TL13'!$J$238:$J$451),0),
IF('TL14'!$B$3=N$3,SUMIF('TL14'!$C$10:$C$224,$C158,'TL14'!$J$10:$J$224),0),
IF('TL14'!$B$229=N$3,SUMIF('TL14'!$C$238:$C$451,$C158,'TL14'!$J$238:$J$451),0),
IF('TL15'!$B$3=N$3,SUMIF('TL15'!$C$10:$C$224,$C158,'TL15'!$J$10:$J$224),0),
IF('TL15'!$B$229=N$3,SUMIF('TL15'!$C$238:$C$451,$C158,'TL15'!$J$238:$J$451),0),
IF('TL16'!$B$3=N$3,SUMIF('TL16'!$C$10:$C$224,$C158,'TL16'!$J$10:$J$224),0),
IF('TL16'!$B$229=N$3,SUMIF('TL16'!$C$238:$C$451,$C158,'TL16'!$J$238:$J$451),0),
IF('TL17'!$B$3=N$3,SUMIF('TL17'!$C$10:$C$224,$C158,'TL17'!$J$10:$J$224),0),
IF('TL17'!$B$229=N$3,SUMIF('TL17'!$C$238:$C$451,$C158,'TL17'!$J$238:$J$451),0),
IF('TL18'!$B$3=N$3,SUMIF('TL18'!$C$10:$C$224,$C158,'TL18'!$J$10:$J$224),0),
IF('TL18'!$B$229=N$3,SUMIF('TL18'!$C$238:$C$451,$C158,'TL18'!$J$238:$J$451),0),
IF('TL19'!$B$3=N$3,SUMIF('TL19'!$C$10:$C$224,$C158,'TL19'!$J$10:$J$224),0),
IF('TL19'!$B$229=N$3,SUMIF('TL19'!$C$238:$C$451,$C158,'TL19'!$J$238:$J$451),0)
),0)</f>
        <v/>
      </c>
      <c r="O158" s="9">
        <f>IFERROR(SUM(
IF('TL01'!$B$3=O$3,SUMIF('TL01'!$C$10:$C$224,$C158,'TL01'!$J$10:$J$224),0),
IF('TL01'!$B$229=O$3,SUMIF('TL01'!$C$238:$C$451,$C158,'TL01'!$J$238:$J$451),0),
IF('TL02'!$B$3=O$3,SUMIF('TL02'!$C$10:$C$224,$C158,'TL02'!$J$10:$J$224),0),
IF('TL02'!$B$229=O$3,SUMIF('TL02'!$C$238:$C$451,$C158,'TL02'!$J$238:$J$451),0),
IF('TL03'!$B$3=O$3,SUMIF('TL03'!$C$10:$C$224,$C158,'TL03'!$J$10:$J$224),0),
IF('TL03'!$B$229=O$3,SUMIF('TL03'!$C$238:$C$451,$C158,'TL03'!$J$238:$J$451),0),
IF('TL04'!$B$3=O$3,SUMIF('TL04'!$C$10:$C$224,$C158,'TL04'!$J$10:$J$224),0),
IF('TL04'!$B$229=O$3,SUMIF('TL04'!$C$238:$C$451,$C158,'TL04'!$J$238:$J$451),0),
IF('TL05'!$B$3=O$3,SUMIF('TL05'!$C$10:$C$224,$C158,'TL05'!$J$10:$J$224),0),
IF('TL05'!$B$229=O$3,SUMIF('TL05'!$C$238:$C$451,$C158,'TL05'!$J$238:$J$451),0),
IF('TL06'!$B$3=O$3,SUMIF('TL06'!$C$10:$C$224,$C158,'TL06'!$J$10:$J$224),0),
IF('TL06'!$B$229=O$3,SUMIF('TL06'!$C$238:$C$451,$C158,'TL06'!$J$238:$J$451),0),
IF('TL07'!$B$3=O$3,SUMIF('TL07'!$C$10:$C$224,$C158,'TL07'!$J$10:$J$224),0),
IF('TL07'!$B$229=O$3,SUMIF('TL07'!$C$238:$C$451,$C158,'TL07'!$J$238:$J$451),0),
IF('TL08'!$B$3=O$3,SUMIF('TL08'!$C$10:$C$224,$C158,'TL08'!$J$10:$J$224),0),
IF('TL08'!$B$229=O$3,SUMIF('TL08'!$C$238:$C$451,$C158,'TL08'!$J$238:$J$451),0),
IF('TL09'!$B$3=O$3,SUMIF('TL09'!$C$10:$C$224,$C158,'TL09'!$J$10:$J$224),0),
IF('TL09'!$B$229=O$3,SUMIF('TL09'!$C$238:$C$451,$C158,'TL09'!$J$238:$J$451),0),
IF('TL10'!$B$3=O$3,SUMIF('TL10'!$C$10:$C$224,$C158,'TL10'!$J$10:$J$224),0),
IF('TL10'!$B$229=O$3,SUMIF('TL10'!$C$238:$C$451,$C158,'TL10'!$J$238:$J$451),0),
IF('TL11'!$B$3=O$3,SUMIF('TL11'!$C$10:$C$224,$C158,'TL11'!$J$10:$J$224),0),
IF('TL11'!$B$229=O$3,SUMIF('TL11'!$C$238:$C$451,$C158,'TL11'!$J$238:$J$451),0),
IF('TL12'!$B$3=O$3,SUMIF('TL12'!$C$10:$C$224,$C158,'TL12'!$J$10:$J$224),0),
IF('TL12'!$B$229=O$3,SUMIF('TL12'!$C$238:$C$451,$C158,'TL12'!$J$238:$J$451),0),
IF('TL13'!$B$3=O$3,SUMIF('TL13'!$C$10:$C$224,$C158,'TL13'!$J$10:$J$224),0),
IF('TL13'!$B$229=O$3,SUMIF('TL13'!$C$238:$C$451,$C158,'TL13'!$J$238:$J$451),0),
IF('TL14'!$B$3=O$3,SUMIF('TL14'!$C$10:$C$224,$C158,'TL14'!$J$10:$J$224),0),
IF('TL14'!$B$229=O$3,SUMIF('TL14'!$C$238:$C$451,$C158,'TL14'!$J$238:$J$451),0),
IF('TL15'!$B$3=O$3,SUMIF('TL15'!$C$10:$C$224,$C158,'TL15'!$J$10:$J$224),0),
IF('TL15'!$B$229=O$3,SUMIF('TL15'!$C$238:$C$451,$C158,'TL15'!$J$238:$J$451),0),
IF('TL16'!$B$3=O$3,SUMIF('TL16'!$C$10:$C$224,$C158,'TL16'!$J$10:$J$224),0),
IF('TL16'!$B$229=O$3,SUMIF('TL16'!$C$238:$C$451,$C158,'TL16'!$J$238:$J$451),0),
IF('TL17'!$B$3=O$3,SUMIF('TL17'!$C$10:$C$224,$C158,'TL17'!$J$10:$J$224),0),
IF('TL17'!$B$229=O$3,SUMIF('TL17'!$C$238:$C$451,$C158,'TL17'!$J$238:$J$451),0),
IF('TL18'!$B$3=O$3,SUMIF('TL18'!$C$10:$C$224,$C158,'TL18'!$J$10:$J$224),0),
IF('TL18'!$B$229=O$3,SUMIF('TL18'!$C$238:$C$451,$C158,'TL18'!$J$238:$J$451),0),
IF('TL19'!$B$3=O$3,SUMIF('TL19'!$C$10:$C$224,$C158,'TL19'!$J$10:$J$224),0),
IF('TL19'!$B$229=O$3,SUMIF('TL19'!$C$238:$C$451,$C158,'TL19'!$J$238:$J$451),0)
),0)</f>
        <v/>
      </c>
      <c r="P158" s="9">
        <f>IFERROR(SUM(
IF('TL01'!$B$3=P$3,SUMIF('TL01'!$C$10:$C$224,$C158,'TL01'!$J$10:$J$224),0),
IF('TL01'!$B$229=P$3,SUMIF('TL01'!$C$238:$C$451,$C158,'TL01'!$J$238:$J$451),0),
IF('TL02'!$B$3=P$3,SUMIF('TL02'!$C$10:$C$224,$C158,'TL02'!$J$10:$J$224),0),
IF('TL02'!$B$229=P$3,SUMIF('TL02'!$C$238:$C$451,$C158,'TL02'!$J$238:$J$451),0),
IF('TL03'!$B$3=P$3,SUMIF('TL03'!$C$10:$C$224,$C158,'TL03'!$J$10:$J$224),0),
IF('TL03'!$B$229=P$3,SUMIF('TL03'!$C$238:$C$451,$C158,'TL03'!$J$238:$J$451),0),
IF('TL04'!$B$3=P$3,SUMIF('TL04'!$C$10:$C$224,$C158,'TL04'!$J$10:$J$224),0),
IF('TL04'!$B$229=P$3,SUMIF('TL04'!$C$238:$C$451,$C158,'TL04'!$J$238:$J$451),0),
IF('TL05'!$B$3=P$3,SUMIF('TL05'!$C$10:$C$224,$C158,'TL05'!$J$10:$J$224),0),
IF('TL05'!$B$229=P$3,SUMIF('TL05'!$C$238:$C$451,$C158,'TL05'!$J$238:$J$451),0),
IF('TL06'!$B$3=P$3,SUMIF('TL06'!$C$10:$C$224,$C158,'TL06'!$J$10:$J$224),0),
IF('TL06'!$B$229=P$3,SUMIF('TL06'!$C$238:$C$451,$C158,'TL06'!$J$238:$J$451),0),
IF('TL07'!$B$3=P$3,SUMIF('TL07'!$C$10:$C$224,$C158,'TL07'!$J$10:$J$224),0),
IF('TL07'!$B$229=P$3,SUMIF('TL07'!$C$238:$C$451,$C158,'TL07'!$J$238:$J$451),0),
IF('TL08'!$B$3=P$3,SUMIF('TL08'!$C$10:$C$224,$C158,'TL08'!$J$10:$J$224),0),
IF('TL08'!$B$229=P$3,SUMIF('TL08'!$C$238:$C$451,$C158,'TL08'!$J$238:$J$451),0),
IF('TL09'!$B$3=P$3,SUMIF('TL09'!$C$10:$C$224,$C158,'TL09'!$J$10:$J$224),0),
IF('TL09'!$B$229=P$3,SUMIF('TL09'!$C$238:$C$451,$C158,'TL09'!$J$238:$J$451),0),
IF('TL10'!$B$3=P$3,SUMIF('TL10'!$C$10:$C$224,$C158,'TL10'!$J$10:$J$224),0),
IF('TL10'!$B$229=P$3,SUMIF('TL10'!$C$238:$C$451,$C158,'TL10'!$J$238:$J$451),0),
IF('TL11'!$B$3=P$3,SUMIF('TL11'!$C$10:$C$224,$C158,'TL11'!$J$10:$J$224),0),
IF('TL11'!$B$229=P$3,SUMIF('TL11'!$C$238:$C$451,$C158,'TL11'!$J$238:$J$451),0),
IF('TL12'!$B$3=P$3,SUMIF('TL12'!$C$10:$C$224,$C158,'TL12'!$J$10:$J$224),0),
IF('TL12'!$B$229=P$3,SUMIF('TL12'!$C$238:$C$451,$C158,'TL12'!$J$238:$J$451),0),
IF('TL13'!$B$3=P$3,SUMIF('TL13'!$C$10:$C$224,$C158,'TL13'!$J$10:$J$224),0),
IF('TL13'!$B$229=P$3,SUMIF('TL13'!$C$238:$C$451,$C158,'TL13'!$J$238:$J$451),0),
IF('TL14'!$B$3=P$3,SUMIF('TL14'!$C$10:$C$224,$C158,'TL14'!$J$10:$J$224),0),
IF('TL14'!$B$229=P$3,SUMIF('TL14'!$C$238:$C$451,$C158,'TL14'!$J$238:$J$451),0),
IF('TL15'!$B$3=P$3,SUMIF('TL15'!$C$10:$C$224,$C158,'TL15'!$J$10:$J$224),0),
IF('TL15'!$B$229=P$3,SUMIF('TL15'!$C$238:$C$451,$C158,'TL15'!$J$238:$J$451),0),
IF('TL16'!$B$3=P$3,SUMIF('TL16'!$C$10:$C$224,$C158,'TL16'!$J$10:$J$224),0),
IF('TL16'!$B$229=P$3,SUMIF('TL16'!$C$238:$C$451,$C158,'TL16'!$J$238:$J$451),0),
IF('TL17'!$B$3=P$3,SUMIF('TL17'!$C$10:$C$224,$C158,'TL17'!$J$10:$J$224),0),
IF('TL17'!$B$229=P$3,SUMIF('TL17'!$C$238:$C$451,$C158,'TL17'!$J$238:$J$451),0),
IF('TL18'!$B$3=P$3,SUMIF('TL18'!$C$10:$C$224,$C158,'TL18'!$J$10:$J$224),0),
IF('TL18'!$B$229=P$3,SUMIF('TL18'!$C$238:$C$451,$C158,'TL18'!$J$238:$J$451),0),
IF('TL19'!$B$3=P$3,SUMIF('TL19'!$C$10:$C$224,$C158,'TL19'!$J$10:$J$224),0),
IF('TL19'!$B$229=P$3,SUMIF('TL19'!$C$238:$C$451,$C158,'TL19'!$J$238:$J$451),0)
),0)</f>
        <v/>
      </c>
      <c r="Q158" s="9">
        <f>IFERROR(SUM(
IF('TL01'!$B$3=Q$3,SUMIF('TL01'!$C$10:$C$224,$C158,'TL01'!$J$10:$J$224),0),
IF('TL01'!$B$229=Q$3,SUMIF('TL01'!$C$238:$C$451,$C158,'TL01'!$J$238:$J$451),0),
IF('TL02'!$B$3=Q$3,SUMIF('TL02'!$C$10:$C$224,$C158,'TL02'!$J$10:$J$224),0),
IF('TL02'!$B$229=Q$3,SUMIF('TL02'!$C$238:$C$451,$C158,'TL02'!$J$238:$J$451),0),
IF('TL03'!$B$3=Q$3,SUMIF('TL03'!$C$10:$C$224,$C158,'TL03'!$J$10:$J$224),0),
IF('TL03'!$B$229=Q$3,SUMIF('TL03'!$C$238:$C$451,$C158,'TL03'!$J$238:$J$451),0),
IF('TL04'!$B$3=Q$3,SUMIF('TL04'!$C$10:$C$224,$C158,'TL04'!$J$10:$J$224),0),
IF('TL04'!$B$229=Q$3,SUMIF('TL04'!$C$238:$C$451,$C158,'TL04'!$J$238:$J$451),0),
IF('TL05'!$B$3=Q$3,SUMIF('TL05'!$C$10:$C$224,$C158,'TL05'!$J$10:$J$224),0),
IF('TL05'!$B$229=Q$3,SUMIF('TL05'!$C$238:$C$451,$C158,'TL05'!$J$238:$J$451),0),
IF('TL06'!$B$3=Q$3,SUMIF('TL06'!$C$10:$C$224,$C158,'TL06'!$J$10:$J$224),0),
IF('TL06'!$B$229=Q$3,SUMIF('TL06'!$C$238:$C$451,$C158,'TL06'!$J$238:$J$451),0),
IF('TL07'!$B$3=Q$3,SUMIF('TL07'!$C$10:$C$224,$C158,'TL07'!$J$10:$J$224),0),
IF('TL07'!$B$229=Q$3,SUMIF('TL07'!$C$238:$C$451,$C158,'TL07'!$J$238:$J$451),0),
IF('TL08'!$B$3=Q$3,SUMIF('TL08'!$C$10:$C$224,$C158,'TL08'!$J$10:$J$224),0),
IF('TL08'!$B$229=Q$3,SUMIF('TL08'!$C$238:$C$451,$C158,'TL08'!$J$238:$J$451),0),
IF('TL09'!$B$3=Q$3,SUMIF('TL09'!$C$10:$C$224,$C158,'TL09'!$J$10:$J$224),0),
IF('TL09'!$B$229=Q$3,SUMIF('TL09'!$C$238:$C$451,$C158,'TL09'!$J$238:$J$451),0),
IF('TL10'!$B$3=Q$3,SUMIF('TL10'!$C$10:$C$224,$C158,'TL10'!$J$10:$J$224),0),
IF('TL10'!$B$229=Q$3,SUMIF('TL10'!$C$238:$C$451,$C158,'TL10'!$J$238:$J$451),0),
IF('TL11'!$B$3=Q$3,SUMIF('TL11'!$C$10:$C$224,$C158,'TL11'!$J$10:$J$224),0),
IF('TL11'!$B$229=Q$3,SUMIF('TL11'!$C$238:$C$451,$C158,'TL11'!$J$238:$J$451),0),
IF('TL12'!$B$3=Q$3,SUMIF('TL12'!$C$10:$C$224,$C158,'TL12'!$J$10:$J$224),0),
IF('TL12'!$B$229=Q$3,SUMIF('TL12'!$C$238:$C$451,$C158,'TL12'!$J$238:$J$451),0),
IF('TL13'!$B$3=Q$3,SUMIF('TL13'!$C$10:$C$224,$C158,'TL13'!$J$10:$J$224),0),
IF('TL13'!$B$229=Q$3,SUMIF('TL13'!$C$238:$C$451,$C158,'TL13'!$J$238:$J$451),0),
IF('TL14'!$B$3=Q$3,SUMIF('TL14'!$C$10:$C$224,$C158,'TL14'!$J$10:$J$224),0),
IF('TL14'!$B$229=Q$3,SUMIF('TL14'!$C$238:$C$451,$C158,'TL14'!$J$238:$J$451),0),
IF('TL15'!$B$3=Q$3,SUMIF('TL15'!$C$10:$C$224,$C158,'TL15'!$J$10:$J$224),0),
IF('TL15'!$B$229=Q$3,SUMIF('TL15'!$C$238:$C$451,$C158,'TL15'!$J$238:$J$451),0),
IF('TL16'!$B$3=Q$3,SUMIF('TL16'!$C$10:$C$224,$C158,'TL16'!$J$10:$J$224),0),
IF('TL16'!$B$229=Q$3,SUMIF('TL16'!$C$238:$C$451,$C158,'TL16'!$J$238:$J$451),0),
IF('TL17'!$B$3=Q$3,SUMIF('TL17'!$C$10:$C$224,$C158,'TL17'!$J$10:$J$224),0),
IF('TL17'!$B$229=Q$3,SUMIF('TL17'!$C$238:$C$451,$C158,'TL17'!$J$238:$J$451),0),
IF('TL18'!$B$3=Q$3,SUMIF('TL18'!$C$10:$C$224,$C158,'TL18'!$J$10:$J$224),0),
IF('TL18'!$B$229=Q$3,SUMIF('TL18'!$C$238:$C$451,$C158,'TL18'!$J$238:$J$451),0),
IF('TL19'!$B$3=Q$3,SUMIF('TL19'!$C$10:$C$224,$C158,'TL19'!$J$10:$J$224),0),
IF('TL19'!$B$229=Q$3,SUMIF('TL19'!$C$238:$C$451,$C158,'TL19'!$J$238:$J$451),0)
),0)</f>
        <v/>
      </c>
      <c r="R158" s="9">
        <f>IFERROR(
SUM(
SUMIF('TL01'!C:C,C158,'TL01'!J:J),
SUMIF('TL02'!C:C,C158,'TL02'!J:J),
SUMIF('TL03'!C:C,C158,'TL03'!J:J),
SUMIF('TL04'!C:C,C158,'TL04'!J:J),
SUMIF('TL05'!C:C,C158,'TL05'!J:J),
SUMIF('TL06'!C:C,C158,'TL06'!J:J),
SUMIF('TL07'!C:C,C158,'TL07'!J:J),
SUMIF('TL08'!C:C,C158,'TL08'!J:J),
SUMIF('TL09'!C:C,C158,'TL09'!J:J),
SUMIF('TL10'!C:C,C158,'TL10'!J:J),
SUMIF('TL11'!C:C,C158,'TL11'!J:J),
SUMIF('TL12'!C:C,C158,'TL12'!J:J),
SUMIF('TL13'!C:C,C158,'TL13'!J:J),
SUMIF('TL14'!C:C,C158,'TL14'!J:J),
SUMIF('TL15'!C:C,C158,'TL15'!J:J),
SUMIF('TL16'!C:C,C158,'TL16'!J:J),
SUMIF('TL17'!C:C,C158,'TL17'!J:J),
SUMIF('TL18'!C:C,C158,'TL18'!J:J),SUMIF('TL19'!C:C,C158,'TL19'!J:J))
,0)</f>
        <v/>
      </c>
      <c r="S158" s="17">
        <f>IFERROR(__xludf.DUMMYFUNCTION("IFERROR(VLOOKUP(C158,
IMPORTRANGE(""1wULbzX32WdYsx-lj2U3uUNBBe2INVIRDtcK0d-Dvl90"",
""26-27!C:G""),
5,
FALSE),
"""")"),82.66253999999999)</f>
        <v/>
      </c>
      <c r="T158" s="118" t="n">
        <v>135</v>
      </c>
      <c r="U158" s="92">
        <f>MAX(0,R158-T158)</f>
        <v/>
      </c>
      <c r="V158" s="93">
        <f>U158*S158</f>
        <v/>
      </c>
    </row>
    <row r="159" hidden="1" ht="15.75" customHeight="1" s="297">
      <c r="A159" s="111" t="inlineStr">
        <is>
          <t>SUMITOMO</t>
        </is>
      </c>
      <c r="B159" s="112" t="inlineStr">
        <is>
          <t>HERBICIDA</t>
        </is>
      </c>
      <c r="C159" s="113" t="inlineStr">
        <is>
          <t>ZETHAMAXX EVO</t>
        </is>
      </c>
      <c r="D159" s="113" t="inlineStr">
        <is>
          <t>IMAZETAPIR + FLUMIOXAZINA + S-METOLACLORO</t>
        </is>
      </c>
      <c r="E159" s="113" t="inlineStr">
        <is>
          <t>50 + 25 + 576</t>
        </is>
      </c>
      <c r="F159" s="4" t="inlineStr">
        <is>
          <t>L</t>
        </is>
      </c>
      <c r="G159" s="90">
        <f>HYPERLINK("https://www.google.com/search?q=" &amp; C159 &amp; "+bula+agrofit+pdf", "📄 Ver bula")</f>
        <v/>
      </c>
      <c r="H159" s="9">
        <f>IFERROR(__xludf.DUMMYFUNCTION("IFERROR(VLOOKUP(C159,
IMPORTRANGE(""1wULbzX32WdYsx-lj2U3uUNBBe2INVIRDtcK0d-Dvl90"",
""26-27!C:K""),
8,
FALSE),
"""")"),1.0)</f>
        <v/>
      </c>
      <c r="I159" s="114" t="inlineStr">
        <is>
          <t>1x20</t>
        </is>
      </c>
      <c r="J159" s="9">
        <f>IFERROR(SUM(
IF('TL01'!$B$3=J$3,SUMIF('TL01'!$C$10:$C$224,$C159,'TL01'!$J$10:$J$224),0),
IF('TL01'!$B$229=J$3,SUMIF('TL01'!$C$238:$C$451,$C159,'TL01'!$J$238:$J$451),0),
IF('TL02'!$B$3=J$3,SUMIF('TL02'!$C$10:$C$224,$C159,'TL02'!$J$10:$J$224),0),
IF('TL02'!$B$229=J$3,SUMIF('TL02'!$C$238:$C$451,$C159,'TL02'!$J$238:$J$451),0),
IF('TL03'!$B$3=J$3,SUMIF('TL03'!$C$10:$C$224,$C159,'TL03'!$J$10:$J$224),0),
IF('TL03'!$B$229=J$3,SUMIF('TL03'!$C$238:$C$451,$C159,'TL03'!$J$238:$J$451),0),
IF('TL04'!$B$3=J$3,SUMIF('TL04'!$C$10:$C$224,$C159,'TL04'!$J$10:$J$224),0),
IF('TL04'!$B$229=J$3,SUMIF('TL04'!$C$238:$C$451,$C159,'TL04'!$J$238:$J$451),0),
IF('TL05'!$B$3=J$3,SUMIF('TL05'!$C$10:$C$224,$C159,'TL05'!$J$10:$J$224),0),
IF('TL05'!$B$229=J$3,SUMIF('TL05'!$C$238:$C$451,$C159,'TL05'!$J$238:$J$451),0),
IF('TL06'!$B$3=J$3,SUMIF('TL06'!$C$10:$C$224,$C159,'TL06'!$J$10:$J$224),0),
IF('TL06'!$B$229=J$3,SUMIF('TL06'!$C$238:$C$451,$C159,'TL06'!$J$238:$J$451),0),
IF('TL07'!$B$3=J$3,SUMIF('TL07'!$C$10:$C$224,$C159,'TL07'!$J$10:$J$224),0),
IF('TL07'!$B$229=J$3,SUMIF('TL07'!$C$238:$C$451,$C159,'TL07'!$J$238:$J$451),0),
IF('TL08'!$B$3=J$3,SUMIF('TL08'!$C$10:$C$224,$C159,'TL08'!$J$10:$J$224),0),
IF('TL08'!$B$229=J$3,SUMIF('TL08'!$C$238:$C$451,$C159,'TL08'!$J$238:$J$451),0),
IF('TL09'!$B$3=J$3,SUMIF('TL09'!$C$10:$C$224,$C159,'TL09'!$J$10:$J$224),0),
IF('TL09'!$B$229=J$3,SUMIF('TL09'!$C$238:$C$451,$C159,'TL09'!$J$238:$J$451),0),
IF('TL10'!$B$3=J$3,SUMIF('TL10'!$C$10:$C$224,$C159,'TL10'!$J$10:$J$224),0),
IF('TL10'!$B$229=J$3,SUMIF('TL10'!$C$238:$C$451,$C159,'TL10'!$J$238:$J$451),0),
IF('TL11'!$B$3=J$3,SUMIF('TL11'!$C$10:$C$224,$C159,'TL11'!$J$10:$J$224),0),
IF('TL11'!$B$229=J$3,SUMIF('TL11'!$C$238:$C$451,$C159,'TL11'!$J$238:$J$451),0),
IF('TL12'!$B$3=J$3,SUMIF('TL12'!$C$10:$C$224,$C159,'TL12'!$J$10:$J$224),0),
IF('TL12'!$B$229=J$3,SUMIF('TL12'!$C$238:$C$451,$C159,'TL12'!$J$238:$J$451),0),
IF('TL13'!$B$3=J$3,SUMIF('TL13'!$C$10:$C$224,$C159,'TL13'!$J$10:$J$224),0),
IF('TL13'!$B$229=J$3,SUMIF('TL13'!$C$238:$C$451,$C159,'TL13'!$J$238:$J$451),0),
IF('TL14'!$B$3=J$3,SUMIF('TL14'!$C$10:$C$224,$C159,'TL14'!$J$10:$J$224),0),
IF('TL14'!$B$229=J$3,SUMIF('TL14'!$C$238:$C$451,$C159,'TL14'!$J$238:$J$451),0),
IF('TL15'!$B$3=J$3,SUMIF('TL15'!$C$10:$C$224,$C159,'TL15'!$J$10:$J$224),0),
IF('TL15'!$B$229=J$3,SUMIF('TL15'!$C$238:$C$451,$C159,'TL15'!$J$238:$J$451),0),
IF('TL16'!$B$3=J$3,SUMIF('TL16'!$C$10:$C$224,$C159,'TL16'!$J$10:$J$224),0),
IF('TL16'!$B$229=J$3,SUMIF('TL16'!$C$238:$C$451,$C159,'TL16'!$J$238:$J$451),0),
IF('TL17'!$B$3=J$3,SUMIF('TL17'!$C$10:$C$224,$C159,'TL17'!$J$10:$J$224),0),
IF('TL17'!$B$229=J$3,SUMIF('TL17'!$C$238:$C$451,$C159,'TL17'!$J$238:$J$451),0),
IF('TL18'!$B$3=J$3,SUMIF('TL18'!$C$10:$C$224,$C159,'TL18'!$J$10:$J$224),0),
IF('TL18'!$B$229=J$3,SUMIF('TL18'!$C$238:$C$451,$C159,'TL18'!$J$238:$J$451),0),
IF('TL19'!$B$3=J$3,SUMIF('TL19'!$C$10:$C$224,$C159,'TL19'!$J$10:$J$224),0),
IF('TL19'!$B$229=J$3,SUMIF('TL19'!$C$238:$C$451,$C159,'TL19'!$J$238:$J$451),0)
),0)</f>
        <v/>
      </c>
      <c r="K159" s="9">
        <f>IFERROR(SUM(
IF('TL01'!$B$3=K$3,SUMIF('TL01'!$C$10:$C$224,$C159,'TL01'!$J$10:$J$224),0),
IF('TL01'!$B$229=K$3,SUMIF('TL01'!$C$238:$C$451,$C159,'TL01'!$J$238:$J$451),0),
IF('TL02'!$B$3=K$3,SUMIF('TL02'!$C$10:$C$224,$C159,'TL02'!$J$10:$J$224),0),
IF('TL02'!$B$229=K$3,SUMIF('TL02'!$C$238:$C$451,$C159,'TL02'!$J$238:$J$451),0),
IF('TL03'!$B$3=K$3,SUMIF('TL03'!$C$10:$C$224,$C159,'TL03'!$J$10:$J$224),0),
IF('TL03'!$B$229=K$3,SUMIF('TL03'!$C$238:$C$451,$C159,'TL03'!$J$238:$J$451),0),
IF('TL04'!$B$3=K$3,SUMIF('TL04'!$C$10:$C$224,$C159,'TL04'!$J$10:$J$224),0),
IF('TL04'!$B$229=K$3,SUMIF('TL04'!$C$238:$C$451,$C159,'TL04'!$J$238:$J$451),0),
IF('TL05'!$B$3=K$3,SUMIF('TL05'!$C$10:$C$224,$C159,'TL05'!$J$10:$J$224),0),
IF('TL05'!$B$229=K$3,SUMIF('TL05'!$C$238:$C$451,$C159,'TL05'!$J$238:$J$451),0),
IF('TL06'!$B$3=K$3,SUMIF('TL06'!$C$10:$C$224,$C159,'TL06'!$J$10:$J$224),0),
IF('TL06'!$B$229=K$3,SUMIF('TL06'!$C$238:$C$451,$C159,'TL06'!$J$238:$J$451),0),
IF('TL07'!$B$3=K$3,SUMIF('TL07'!$C$10:$C$224,$C159,'TL07'!$J$10:$J$224),0),
IF('TL07'!$B$229=K$3,SUMIF('TL07'!$C$238:$C$451,$C159,'TL07'!$J$238:$J$451),0),
IF('TL08'!$B$3=K$3,SUMIF('TL08'!$C$10:$C$224,$C159,'TL08'!$J$10:$J$224),0),
IF('TL08'!$B$229=K$3,SUMIF('TL08'!$C$238:$C$451,$C159,'TL08'!$J$238:$J$451),0),
IF('TL09'!$B$3=K$3,SUMIF('TL09'!$C$10:$C$224,$C159,'TL09'!$J$10:$J$224),0),
IF('TL09'!$B$229=K$3,SUMIF('TL09'!$C$238:$C$451,$C159,'TL09'!$J$238:$J$451),0),
IF('TL10'!$B$3=K$3,SUMIF('TL10'!$C$10:$C$224,$C159,'TL10'!$J$10:$J$224),0),
IF('TL10'!$B$229=K$3,SUMIF('TL10'!$C$238:$C$451,$C159,'TL10'!$J$238:$J$451),0),
IF('TL11'!$B$3=K$3,SUMIF('TL11'!$C$10:$C$224,$C159,'TL11'!$J$10:$J$224),0),
IF('TL11'!$B$229=K$3,SUMIF('TL11'!$C$238:$C$451,$C159,'TL11'!$J$238:$J$451),0),
IF('TL12'!$B$3=K$3,SUMIF('TL12'!$C$10:$C$224,$C159,'TL12'!$J$10:$J$224),0),
IF('TL12'!$B$229=K$3,SUMIF('TL12'!$C$238:$C$451,$C159,'TL12'!$J$238:$J$451),0),
IF('TL13'!$B$3=K$3,SUMIF('TL13'!$C$10:$C$224,$C159,'TL13'!$J$10:$J$224),0),
IF('TL13'!$B$229=K$3,SUMIF('TL13'!$C$238:$C$451,$C159,'TL13'!$J$238:$J$451),0),
IF('TL14'!$B$3=K$3,SUMIF('TL14'!$C$10:$C$224,$C159,'TL14'!$J$10:$J$224),0),
IF('TL14'!$B$229=K$3,SUMIF('TL14'!$C$238:$C$451,$C159,'TL14'!$J$238:$J$451),0),
IF('TL15'!$B$3=K$3,SUMIF('TL15'!$C$10:$C$224,$C159,'TL15'!$J$10:$J$224),0),
IF('TL15'!$B$229=K$3,SUMIF('TL15'!$C$238:$C$451,$C159,'TL15'!$J$238:$J$451),0),
IF('TL16'!$B$3=K$3,SUMIF('TL16'!$C$10:$C$224,$C159,'TL16'!$J$10:$J$224),0),
IF('TL16'!$B$229=K$3,SUMIF('TL16'!$C$238:$C$451,$C159,'TL16'!$J$238:$J$451),0),
IF('TL17'!$B$3=K$3,SUMIF('TL17'!$C$10:$C$224,$C159,'TL17'!$J$10:$J$224),0),
IF('TL17'!$B$229=K$3,SUMIF('TL17'!$C$238:$C$451,$C159,'TL17'!$J$238:$J$451),0),
IF('TL18'!$B$3=K$3,SUMIF('TL18'!$C$10:$C$224,$C159,'TL18'!$J$10:$J$224),0),
IF('TL18'!$B$229=K$3,SUMIF('TL18'!$C$238:$C$451,$C159,'TL18'!$J$238:$J$451),0),
IF('TL19'!$B$3=K$3,SUMIF('TL19'!$C$10:$C$224,$C159,'TL19'!$J$10:$J$224),0),
IF('TL19'!$B$229=K$3,SUMIF('TL19'!$C$238:$C$451,$C159,'TL19'!$J$238:$J$451),0)
),0)</f>
        <v/>
      </c>
      <c r="L159" s="9">
        <f>IFERROR(SUM(
IF('TL01'!$B$3=L$3,SUMIF('TL01'!$C$10:$C$224,$C159,'TL01'!$J$10:$J$224),0),
IF('TL01'!$B$229=L$3,SUMIF('TL01'!$C$238:$C$451,$C159,'TL01'!$J$238:$J$451),0),
IF('TL02'!$B$3=L$3,SUMIF('TL02'!$C$10:$C$224,$C159,'TL02'!$J$10:$J$224),0),
IF('TL02'!$B$229=L$3,SUMIF('TL02'!$C$238:$C$451,$C159,'TL02'!$J$238:$J$451),0),
IF('TL03'!$B$3=L$3,SUMIF('TL03'!$C$10:$C$224,$C159,'TL03'!$J$10:$J$224),0),
IF('TL03'!$B$229=L$3,SUMIF('TL03'!$C$238:$C$451,$C159,'TL03'!$J$238:$J$451),0),
IF('TL04'!$B$3=L$3,SUMIF('TL04'!$C$10:$C$224,$C159,'TL04'!$J$10:$J$224),0),
IF('TL04'!$B$229=L$3,SUMIF('TL04'!$C$238:$C$451,$C159,'TL04'!$J$238:$J$451),0),
IF('TL05'!$B$3=L$3,SUMIF('TL05'!$C$10:$C$224,$C159,'TL05'!$J$10:$J$224),0),
IF('TL05'!$B$229=L$3,SUMIF('TL05'!$C$238:$C$451,$C159,'TL05'!$J$238:$J$451),0),
IF('TL06'!$B$3=L$3,SUMIF('TL06'!$C$10:$C$224,$C159,'TL06'!$J$10:$J$224),0),
IF('TL06'!$B$229=L$3,SUMIF('TL06'!$C$238:$C$451,$C159,'TL06'!$J$238:$J$451),0),
IF('TL07'!$B$3=L$3,SUMIF('TL07'!$C$10:$C$224,$C159,'TL07'!$J$10:$J$224),0),
IF('TL07'!$B$229=L$3,SUMIF('TL07'!$C$238:$C$451,$C159,'TL07'!$J$238:$J$451),0),
IF('TL08'!$B$3=L$3,SUMIF('TL08'!$C$10:$C$224,$C159,'TL08'!$J$10:$J$224),0),
IF('TL08'!$B$229=L$3,SUMIF('TL08'!$C$238:$C$451,$C159,'TL08'!$J$238:$J$451),0),
IF('TL09'!$B$3=L$3,SUMIF('TL09'!$C$10:$C$224,$C159,'TL09'!$J$10:$J$224),0),
IF('TL09'!$B$229=L$3,SUMIF('TL09'!$C$238:$C$451,$C159,'TL09'!$J$238:$J$451),0),
IF('TL10'!$B$3=L$3,SUMIF('TL10'!$C$10:$C$224,$C159,'TL10'!$J$10:$J$224),0),
IF('TL10'!$B$229=L$3,SUMIF('TL10'!$C$238:$C$451,$C159,'TL10'!$J$238:$J$451),0),
IF('TL11'!$B$3=L$3,SUMIF('TL11'!$C$10:$C$224,$C159,'TL11'!$J$10:$J$224),0),
IF('TL11'!$B$229=L$3,SUMIF('TL11'!$C$238:$C$451,$C159,'TL11'!$J$238:$J$451),0),
IF('TL12'!$B$3=L$3,SUMIF('TL12'!$C$10:$C$224,$C159,'TL12'!$J$10:$J$224),0),
IF('TL12'!$B$229=L$3,SUMIF('TL12'!$C$238:$C$451,$C159,'TL12'!$J$238:$J$451),0),
IF('TL13'!$B$3=L$3,SUMIF('TL13'!$C$10:$C$224,$C159,'TL13'!$J$10:$J$224),0),
IF('TL13'!$B$229=L$3,SUMIF('TL13'!$C$238:$C$451,$C159,'TL13'!$J$238:$J$451),0),
IF('TL14'!$B$3=L$3,SUMIF('TL14'!$C$10:$C$224,$C159,'TL14'!$J$10:$J$224),0),
IF('TL14'!$B$229=L$3,SUMIF('TL14'!$C$238:$C$451,$C159,'TL14'!$J$238:$J$451),0),
IF('TL15'!$B$3=L$3,SUMIF('TL15'!$C$10:$C$224,$C159,'TL15'!$J$10:$J$224),0),
IF('TL15'!$B$229=L$3,SUMIF('TL15'!$C$238:$C$451,$C159,'TL15'!$J$238:$J$451),0),
IF('TL16'!$B$3=L$3,SUMIF('TL16'!$C$10:$C$224,$C159,'TL16'!$J$10:$J$224),0),
IF('TL16'!$B$229=L$3,SUMIF('TL16'!$C$238:$C$451,$C159,'TL16'!$J$238:$J$451),0),
IF('TL17'!$B$3=L$3,SUMIF('TL17'!$C$10:$C$224,$C159,'TL17'!$J$10:$J$224),0),
IF('TL17'!$B$229=L$3,SUMIF('TL17'!$C$238:$C$451,$C159,'TL17'!$J$238:$J$451),0),
IF('TL18'!$B$3=L$3,SUMIF('TL18'!$C$10:$C$224,$C159,'TL18'!$J$10:$J$224),0),
IF('TL18'!$B$229=L$3,SUMIF('TL18'!$C$238:$C$451,$C159,'TL18'!$J$238:$J$451),0),
IF('TL19'!$B$3=L$3,SUMIF('TL19'!$C$10:$C$224,$C159,'TL19'!$J$10:$J$224),0),
IF('TL19'!$B$229=L$3,SUMIF('TL19'!$C$238:$C$451,$C159,'TL19'!$J$238:$J$451),0)
),0)</f>
        <v/>
      </c>
      <c r="M159" s="9">
        <f>IFERROR(SUM(
IF('TL01'!$B$3=M$3,SUMIF('TL01'!$C$10:$C$224,$C159,'TL01'!$J$10:$J$224),0),
IF('TL01'!$B$229=M$3,SUMIF('TL01'!$C$238:$C$451,$C159,'TL01'!$J$238:$J$451),0),
IF('TL02'!$B$3=M$3,SUMIF('TL02'!$C$10:$C$224,$C159,'TL02'!$J$10:$J$224),0),
IF('TL02'!$B$229=M$3,SUMIF('TL02'!$C$238:$C$451,$C159,'TL02'!$J$238:$J$451),0),
IF('TL03'!$B$3=M$3,SUMIF('TL03'!$C$10:$C$224,$C159,'TL03'!$J$10:$J$224),0),
IF('TL03'!$B$229=M$3,SUMIF('TL03'!$C$238:$C$451,$C159,'TL03'!$J$238:$J$451),0),
IF('TL04'!$B$3=M$3,SUMIF('TL04'!$C$10:$C$224,$C159,'TL04'!$J$10:$J$224),0),
IF('TL04'!$B$229=M$3,SUMIF('TL04'!$C$238:$C$451,$C159,'TL04'!$J$238:$J$451),0),
IF('TL05'!$B$3=M$3,SUMIF('TL05'!$C$10:$C$224,$C159,'TL05'!$J$10:$J$224),0),
IF('TL05'!$B$229=M$3,SUMIF('TL05'!$C$238:$C$451,$C159,'TL05'!$J$238:$J$451),0),
IF('TL06'!$B$3=M$3,SUMIF('TL06'!$C$10:$C$224,$C159,'TL06'!$J$10:$J$224),0),
IF('TL06'!$B$229=M$3,SUMIF('TL06'!$C$238:$C$451,$C159,'TL06'!$J$238:$J$451),0),
IF('TL07'!$B$3=M$3,SUMIF('TL07'!$C$10:$C$224,$C159,'TL07'!$J$10:$J$224),0),
IF('TL07'!$B$229=M$3,SUMIF('TL07'!$C$238:$C$451,$C159,'TL07'!$J$238:$J$451),0),
IF('TL08'!$B$3=M$3,SUMIF('TL08'!$C$10:$C$224,$C159,'TL08'!$J$10:$J$224),0),
IF('TL08'!$B$229=M$3,SUMIF('TL08'!$C$238:$C$451,$C159,'TL08'!$J$238:$J$451),0),
IF('TL09'!$B$3=M$3,SUMIF('TL09'!$C$10:$C$224,$C159,'TL09'!$J$10:$J$224),0),
IF('TL09'!$B$229=M$3,SUMIF('TL09'!$C$238:$C$451,$C159,'TL09'!$J$238:$J$451),0),
IF('TL10'!$B$3=M$3,SUMIF('TL10'!$C$10:$C$224,$C159,'TL10'!$J$10:$J$224),0),
IF('TL10'!$B$229=M$3,SUMIF('TL10'!$C$238:$C$451,$C159,'TL10'!$J$238:$J$451),0),
IF('TL11'!$B$3=M$3,SUMIF('TL11'!$C$10:$C$224,$C159,'TL11'!$J$10:$J$224),0),
IF('TL11'!$B$229=M$3,SUMIF('TL11'!$C$238:$C$451,$C159,'TL11'!$J$238:$J$451),0),
IF('TL12'!$B$3=M$3,SUMIF('TL12'!$C$10:$C$224,$C159,'TL12'!$J$10:$J$224),0),
IF('TL12'!$B$229=M$3,SUMIF('TL12'!$C$238:$C$451,$C159,'TL12'!$J$238:$J$451),0),
IF('TL13'!$B$3=M$3,SUMIF('TL13'!$C$10:$C$224,$C159,'TL13'!$J$10:$J$224),0),
IF('TL13'!$B$229=M$3,SUMIF('TL13'!$C$238:$C$451,$C159,'TL13'!$J$238:$J$451),0),
IF('TL14'!$B$3=M$3,SUMIF('TL14'!$C$10:$C$224,$C159,'TL14'!$J$10:$J$224),0),
IF('TL14'!$B$229=M$3,SUMIF('TL14'!$C$238:$C$451,$C159,'TL14'!$J$238:$J$451),0),
IF('TL15'!$B$3=M$3,SUMIF('TL15'!$C$10:$C$224,$C159,'TL15'!$J$10:$J$224),0),
IF('TL15'!$B$229=M$3,SUMIF('TL15'!$C$238:$C$451,$C159,'TL15'!$J$238:$J$451),0),
IF('TL16'!$B$3=M$3,SUMIF('TL16'!$C$10:$C$224,$C159,'TL16'!$J$10:$J$224),0),
IF('TL16'!$B$229=M$3,SUMIF('TL16'!$C$238:$C$451,$C159,'TL16'!$J$238:$J$451),0),
IF('TL17'!$B$3=M$3,SUMIF('TL17'!$C$10:$C$224,$C159,'TL17'!$J$10:$J$224),0),
IF('TL17'!$B$229=M$3,SUMIF('TL17'!$C$238:$C$451,$C159,'TL17'!$J$238:$J$451),0),
IF('TL18'!$B$3=M$3,SUMIF('TL18'!$C$10:$C$224,$C159,'TL18'!$J$10:$J$224),0),
IF('TL18'!$B$229=M$3,SUMIF('TL18'!$C$238:$C$451,$C159,'TL18'!$J$238:$J$451),0),
IF('TL19'!$B$3=M$3,SUMIF('TL19'!$C$10:$C$224,$C159,'TL19'!$J$10:$J$224),0),
IF('TL19'!$B$229=M$3,SUMIF('TL19'!$C$238:$C$451,$C159,'TL19'!$J$238:$J$451),0)
),0)</f>
        <v/>
      </c>
      <c r="N159" s="9">
        <f>IFERROR(SUM(
IF('TL01'!$B$3=N$3,SUMIF('TL01'!$C$10:$C$224,$C159,'TL01'!$J$10:$J$224),0),
IF('TL01'!$B$229=N$3,SUMIF('TL01'!$C$238:$C$451,$C159,'TL01'!$J$238:$J$451),0),
IF('TL02'!$B$3=N$3,SUMIF('TL02'!$C$10:$C$224,$C159,'TL02'!$J$10:$J$224),0),
IF('TL02'!$B$229=N$3,SUMIF('TL02'!$C$238:$C$451,$C159,'TL02'!$J$238:$J$451),0),
IF('TL03'!$B$3=N$3,SUMIF('TL03'!$C$10:$C$224,$C159,'TL03'!$J$10:$J$224),0),
IF('TL03'!$B$229=N$3,SUMIF('TL03'!$C$238:$C$451,$C159,'TL03'!$J$238:$J$451),0),
IF('TL04'!$B$3=N$3,SUMIF('TL04'!$C$10:$C$224,$C159,'TL04'!$J$10:$J$224),0),
IF('TL04'!$B$229=N$3,SUMIF('TL04'!$C$238:$C$451,$C159,'TL04'!$J$238:$J$451),0),
IF('TL05'!$B$3=N$3,SUMIF('TL05'!$C$10:$C$224,$C159,'TL05'!$J$10:$J$224),0),
IF('TL05'!$B$229=N$3,SUMIF('TL05'!$C$238:$C$451,$C159,'TL05'!$J$238:$J$451),0),
IF('TL06'!$B$3=N$3,SUMIF('TL06'!$C$10:$C$224,$C159,'TL06'!$J$10:$J$224),0),
IF('TL06'!$B$229=N$3,SUMIF('TL06'!$C$238:$C$451,$C159,'TL06'!$J$238:$J$451),0),
IF('TL07'!$B$3=N$3,SUMIF('TL07'!$C$10:$C$224,$C159,'TL07'!$J$10:$J$224),0),
IF('TL07'!$B$229=N$3,SUMIF('TL07'!$C$238:$C$451,$C159,'TL07'!$J$238:$J$451),0),
IF('TL08'!$B$3=N$3,SUMIF('TL08'!$C$10:$C$224,$C159,'TL08'!$J$10:$J$224),0),
IF('TL08'!$B$229=N$3,SUMIF('TL08'!$C$238:$C$451,$C159,'TL08'!$J$238:$J$451),0),
IF('TL09'!$B$3=N$3,SUMIF('TL09'!$C$10:$C$224,$C159,'TL09'!$J$10:$J$224),0),
IF('TL09'!$B$229=N$3,SUMIF('TL09'!$C$238:$C$451,$C159,'TL09'!$J$238:$J$451),0),
IF('TL10'!$B$3=N$3,SUMIF('TL10'!$C$10:$C$224,$C159,'TL10'!$J$10:$J$224),0),
IF('TL10'!$B$229=N$3,SUMIF('TL10'!$C$238:$C$451,$C159,'TL10'!$J$238:$J$451),0),
IF('TL11'!$B$3=N$3,SUMIF('TL11'!$C$10:$C$224,$C159,'TL11'!$J$10:$J$224),0),
IF('TL11'!$B$229=N$3,SUMIF('TL11'!$C$238:$C$451,$C159,'TL11'!$J$238:$J$451),0),
IF('TL12'!$B$3=N$3,SUMIF('TL12'!$C$10:$C$224,$C159,'TL12'!$J$10:$J$224),0),
IF('TL12'!$B$229=N$3,SUMIF('TL12'!$C$238:$C$451,$C159,'TL12'!$J$238:$J$451),0),
IF('TL13'!$B$3=N$3,SUMIF('TL13'!$C$10:$C$224,$C159,'TL13'!$J$10:$J$224),0),
IF('TL13'!$B$229=N$3,SUMIF('TL13'!$C$238:$C$451,$C159,'TL13'!$J$238:$J$451),0),
IF('TL14'!$B$3=N$3,SUMIF('TL14'!$C$10:$C$224,$C159,'TL14'!$J$10:$J$224),0),
IF('TL14'!$B$229=N$3,SUMIF('TL14'!$C$238:$C$451,$C159,'TL14'!$J$238:$J$451),0),
IF('TL15'!$B$3=N$3,SUMIF('TL15'!$C$10:$C$224,$C159,'TL15'!$J$10:$J$224),0),
IF('TL15'!$B$229=N$3,SUMIF('TL15'!$C$238:$C$451,$C159,'TL15'!$J$238:$J$451),0),
IF('TL16'!$B$3=N$3,SUMIF('TL16'!$C$10:$C$224,$C159,'TL16'!$J$10:$J$224),0),
IF('TL16'!$B$229=N$3,SUMIF('TL16'!$C$238:$C$451,$C159,'TL16'!$J$238:$J$451),0),
IF('TL17'!$B$3=N$3,SUMIF('TL17'!$C$10:$C$224,$C159,'TL17'!$J$10:$J$224),0),
IF('TL17'!$B$229=N$3,SUMIF('TL17'!$C$238:$C$451,$C159,'TL17'!$J$238:$J$451),0),
IF('TL18'!$B$3=N$3,SUMIF('TL18'!$C$10:$C$224,$C159,'TL18'!$J$10:$J$224),0),
IF('TL18'!$B$229=N$3,SUMIF('TL18'!$C$238:$C$451,$C159,'TL18'!$J$238:$J$451),0),
IF('TL19'!$B$3=N$3,SUMIF('TL19'!$C$10:$C$224,$C159,'TL19'!$J$10:$J$224),0),
IF('TL19'!$B$229=N$3,SUMIF('TL19'!$C$238:$C$451,$C159,'TL19'!$J$238:$J$451),0)
),0)</f>
        <v/>
      </c>
      <c r="O159" s="9">
        <f>IFERROR(SUM(
IF('TL01'!$B$3=O$3,SUMIF('TL01'!$C$10:$C$224,$C159,'TL01'!$J$10:$J$224),0),
IF('TL01'!$B$229=O$3,SUMIF('TL01'!$C$238:$C$451,$C159,'TL01'!$J$238:$J$451),0),
IF('TL02'!$B$3=O$3,SUMIF('TL02'!$C$10:$C$224,$C159,'TL02'!$J$10:$J$224),0),
IF('TL02'!$B$229=O$3,SUMIF('TL02'!$C$238:$C$451,$C159,'TL02'!$J$238:$J$451),0),
IF('TL03'!$B$3=O$3,SUMIF('TL03'!$C$10:$C$224,$C159,'TL03'!$J$10:$J$224),0),
IF('TL03'!$B$229=O$3,SUMIF('TL03'!$C$238:$C$451,$C159,'TL03'!$J$238:$J$451),0),
IF('TL04'!$B$3=O$3,SUMIF('TL04'!$C$10:$C$224,$C159,'TL04'!$J$10:$J$224),0),
IF('TL04'!$B$229=O$3,SUMIF('TL04'!$C$238:$C$451,$C159,'TL04'!$J$238:$J$451),0),
IF('TL05'!$B$3=O$3,SUMIF('TL05'!$C$10:$C$224,$C159,'TL05'!$J$10:$J$224),0),
IF('TL05'!$B$229=O$3,SUMIF('TL05'!$C$238:$C$451,$C159,'TL05'!$J$238:$J$451),0),
IF('TL06'!$B$3=O$3,SUMIF('TL06'!$C$10:$C$224,$C159,'TL06'!$J$10:$J$224),0),
IF('TL06'!$B$229=O$3,SUMIF('TL06'!$C$238:$C$451,$C159,'TL06'!$J$238:$J$451),0),
IF('TL07'!$B$3=O$3,SUMIF('TL07'!$C$10:$C$224,$C159,'TL07'!$J$10:$J$224),0),
IF('TL07'!$B$229=O$3,SUMIF('TL07'!$C$238:$C$451,$C159,'TL07'!$J$238:$J$451),0),
IF('TL08'!$B$3=O$3,SUMIF('TL08'!$C$10:$C$224,$C159,'TL08'!$J$10:$J$224),0),
IF('TL08'!$B$229=O$3,SUMIF('TL08'!$C$238:$C$451,$C159,'TL08'!$J$238:$J$451),0),
IF('TL09'!$B$3=O$3,SUMIF('TL09'!$C$10:$C$224,$C159,'TL09'!$J$10:$J$224),0),
IF('TL09'!$B$229=O$3,SUMIF('TL09'!$C$238:$C$451,$C159,'TL09'!$J$238:$J$451),0),
IF('TL10'!$B$3=O$3,SUMIF('TL10'!$C$10:$C$224,$C159,'TL10'!$J$10:$J$224),0),
IF('TL10'!$B$229=O$3,SUMIF('TL10'!$C$238:$C$451,$C159,'TL10'!$J$238:$J$451),0),
IF('TL11'!$B$3=O$3,SUMIF('TL11'!$C$10:$C$224,$C159,'TL11'!$J$10:$J$224),0),
IF('TL11'!$B$229=O$3,SUMIF('TL11'!$C$238:$C$451,$C159,'TL11'!$J$238:$J$451),0),
IF('TL12'!$B$3=O$3,SUMIF('TL12'!$C$10:$C$224,$C159,'TL12'!$J$10:$J$224),0),
IF('TL12'!$B$229=O$3,SUMIF('TL12'!$C$238:$C$451,$C159,'TL12'!$J$238:$J$451),0),
IF('TL13'!$B$3=O$3,SUMIF('TL13'!$C$10:$C$224,$C159,'TL13'!$J$10:$J$224),0),
IF('TL13'!$B$229=O$3,SUMIF('TL13'!$C$238:$C$451,$C159,'TL13'!$J$238:$J$451),0),
IF('TL14'!$B$3=O$3,SUMIF('TL14'!$C$10:$C$224,$C159,'TL14'!$J$10:$J$224),0),
IF('TL14'!$B$229=O$3,SUMIF('TL14'!$C$238:$C$451,$C159,'TL14'!$J$238:$J$451),0),
IF('TL15'!$B$3=O$3,SUMIF('TL15'!$C$10:$C$224,$C159,'TL15'!$J$10:$J$224),0),
IF('TL15'!$B$229=O$3,SUMIF('TL15'!$C$238:$C$451,$C159,'TL15'!$J$238:$J$451),0),
IF('TL16'!$B$3=O$3,SUMIF('TL16'!$C$10:$C$224,$C159,'TL16'!$J$10:$J$224),0),
IF('TL16'!$B$229=O$3,SUMIF('TL16'!$C$238:$C$451,$C159,'TL16'!$J$238:$J$451),0),
IF('TL17'!$B$3=O$3,SUMIF('TL17'!$C$10:$C$224,$C159,'TL17'!$J$10:$J$224),0),
IF('TL17'!$B$229=O$3,SUMIF('TL17'!$C$238:$C$451,$C159,'TL17'!$J$238:$J$451),0),
IF('TL18'!$B$3=O$3,SUMIF('TL18'!$C$10:$C$224,$C159,'TL18'!$J$10:$J$224),0),
IF('TL18'!$B$229=O$3,SUMIF('TL18'!$C$238:$C$451,$C159,'TL18'!$J$238:$J$451),0),
IF('TL19'!$B$3=O$3,SUMIF('TL19'!$C$10:$C$224,$C159,'TL19'!$J$10:$J$224),0),
IF('TL19'!$B$229=O$3,SUMIF('TL19'!$C$238:$C$451,$C159,'TL19'!$J$238:$J$451),0)
),0)</f>
        <v/>
      </c>
      <c r="P159" s="9">
        <f>IFERROR(SUM(
IF('TL01'!$B$3=P$3,SUMIF('TL01'!$C$10:$C$224,$C159,'TL01'!$J$10:$J$224),0),
IF('TL01'!$B$229=P$3,SUMIF('TL01'!$C$238:$C$451,$C159,'TL01'!$J$238:$J$451),0),
IF('TL02'!$B$3=P$3,SUMIF('TL02'!$C$10:$C$224,$C159,'TL02'!$J$10:$J$224),0),
IF('TL02'!$B$229=P$3,SUMIF('TL02'!$C$238:$C$451,$C159,'TL02'!$J$238:$J$451),0),
IF('TL03'!$B$3=P$3,SUMIF('TL03'!$C$10:$C$224,$C159,'TL03'!$J$10:$J$224),0),
IF('TL03'!$B$229=P$3,SUMIF('TL03'!$C$238:$C$451,$C159,'TL03'!$J$238:$J$451),0),
IF('TL04'!$B$3=P$3,SUMIF('TL04'!$C$10:$C$224,$C159,'TL04'!$J$10:$J$224),0),
IF('TL04'!$B$229=P$3,SUMIF('TL04'!$C$238:$C$451,$C159,'TL04'!$J$238:$J$451),0),
IF('TL05'!$B$3=P$3,SUMIF('TL05'!$C$10:$C$224,$C159,'TL05'!$J$10:$J$224),0),
IF('TL05'!$B$229=P$3,SUMIF('TL05'!$C$238:$C$451,$C159,'TL05'!$J$238:$J$451),0),
IF('TL06'!$B$3=P$3,SUMIF('TL06'!$C$10:$C$224,$C159,'TL06'!$J$10:$J$224),0),
IF('TL06'!$B$229=P$3,SUMIF('TL06'!$C$238:$C$451,$C159,'TL06'!$J$238:$J$451),0),
IF('TL07'!$B$3=P$3,SUMIF('TL07'!$C$10:$C$224,$C159,'TL07'!$J$10:$J$224),0),
IF('TL07'!$B$229=P$3,SUMIF('TL07'!$C$238:$C$451,$C159,'TL07'!$J$238:$J$451),0),
IF('TL08'!$B$3=P$3,SUMIF('TL08'!$C$10:$C$224,$C159,'TL08'!$J$10:$J$224),0),
IF('TL08'!$B$229=P$3,SUMIF('TL08'!$C$238:$C$451,$C159,'TL08'!$J$238:$J$451),0),
IF('TL09'!$B$3=P$3,SUMIF('TL09'!$C$10:$C$224,$C159,'TL09'!$J$10:$J$224),0),
IF('TL09'!$B$229=P$3,SUMIF('TL09'!$C$238:$C$451,$C159,'TL09'!$J$238:$J$451),0),
IF('TL10'!$B$3=P$3,SUMIF('TL10'!$C$10:$C$224,$C159,'TL10'!$J$10:$J$224),0),
IF('TL10'!$B$229=P$3,SUMIF('TL10'!$C$238:$C$451,$C159,'TL10'!$J$238:$J$451),0),
IF('TL11'!$B$3=P$3,SUMIF('TL11'!$C$10:$C$224,$C159,'TL11'!$J$10:$J$224),0),
IF('TL11'!$B$229=P$3,SUMIF('TL11'!$C$238:$C$451,$C159,'TL11'!$J$238:$J$451),0),
IF('TL12'!$B$3=P$3,SUMIF('TL12'!$C$10:$C$224,$C159,'TL12'!$J$10:$J$224),0),
IF('TL12'!$B$229=P$3,SUMIF('TL12'!$C$238:$C$451,$C159,'TL12'!$J$238:$J$451),0),
IF('TL13'!$B$3=P$3,SUMIF('TL13'!$C$10:$C$224,$C159,'TL13'!$J$10:$J$224),0),
IF('TL13'!$B$229=P$3,SUMIF('TL13'!$C$238:$C$451,$C159,'TL13'!$J$238:$J$451),0),
IF('TL14'!$B$3=P$3,SUMIF('TL14'!$C$10:$C$224,$C159,'TL14'!$J$10:$J$224),0),
IF('TL14'!$B$229=P$3,SUMIF('TL14'!$C$238:$C$451,$C159,'TL14'!$J$238:$J$451),0),
IF('TL15'!$B$3=P$3,SUMIF('TL15'!$C$10:$C$224,$C159,'TL15'!$J$10:$J$224),0),
IF('TL15'!$B$229=P$3,SUMIF('TL15'!$C$238:$C$451,$C159,'TL15'!$J$238:$J$451),0),
IF('TL16'!$B$3=P$3,SUMIF('TL16'!$C$10:$C$224,$C159,'TL16'!$J$10:$J$224),0),
IF('TL16'!$B$229=P$3,SUMIF('TL16'!$C$238:$C$451,$C159,'TL16'!$J$238:$J$451),0),
IF('TL17'!$B$3=P$3,SUMIF('TL17'!$C$10:$C$224,$C159,'TL17'!$J$10:$J$224),0),
IF('TL17'!$B$229=P$3,SUMIF('TL17'!$C$238:$C$451,$C159,'TL17'!$J$238:$J$451),0),
IF('TL18'!$B$3=P$3,SUMIF('TL18'!$C$10:$C$224,$C159,'TL18'!$J$10:$J$224),0),
IF('TL18'!$B$229=P$3,SUMIF('TL18'!$C$238:$C$451,$C159,'TL18'!$J$238:$J$451),0),
IF('TL19'!$B$3=P$3,SUMIF('TL19'!$C$10:$C$224,$C159,'TL19'!$J$10:$J$224),0),
IF('TL19'!$B$229=P$3,SUMIF('TL19'!$C$238:$C$451,$C159,'TL19'!$J$238:$J$451),0)
),0)</f>
        <v/>
      </c>
      <c r="Q159" s="9">
        <f>IFERROR(SUM(
IF('TL01'!$B$3=Q$3,SUMIF('TL01'!$C$10:$C$224,$C159,'TL01'!$J$10:$J$224),0),
IF('TL01'!$B$229=Q$3,SUMIF('TL01'!$C$238:$C$451,$C159,'TL01'!$J$238:$J$451),0),
IF('TL02'!$B$3=Q$3,SUMIF('TL02'!$C$10:$C$224,$C159,'TL02'!$J$10:$J$224),0),
IF('TL02'!$B$229=Q$3,SUMIF('TL02'!$C$238:$C$451,$C159,'TL02'!$J$238:$J$451),0),
IF('TL03'!$B$3=Q$3,SUMIF('TL03'!$C$10:$C$224,$C159,'TL03'!$J$10:$J$224),0),
IF('TL03'!$B$229=Q$3,SUMIF('TL03'!$C$238:$C$451,$C159,'TL03'!$J$238:$J$451),0),
IF('TL04'!$B$3=Q$3,SUMIF('TL04'!$C$10:$C$224,$C159,'TL04'!$J$10:$J$224),0),
IF('TL04'!$B$229=Q$3,SUMIF('TL04'!$C$238:$C$451,$C159,'TL04'!$J$238:$J$451),0),
IF('TL05'!$B$3=Q$3,SUMIF('TL05'!$C$10:$C$224,$C159,'TL05'!$J$10:$J$224),0),
IF('TL05'!$B$229=Q$3,SUMIF('TL05'!$C$238:$C$451,$C159,'TL05'!$J$238:$J$451),0),
IF('TL06'!$B$3=Q$3,SUMIF('TL06'!$C$10:$C$224,$C159,'TL06'!$J$10:$J$224),0),
IF('TL06'!$B$229=Q$3,SUMIF('TL06'!$C$238:$C$451,$C159,'TL06'!$J$238:$J$451),0),
IF('TL07'!$B$3=Q$3,SUMIF('TL07'!$C$10:$C$224,$C159,'TL07'!$J$10:$J$224),0),
IF('TL07'!$B$229=Q$3,SUMIF('TL07'!$C$238:$C$451,$C159,'TL07'!$J$238:$J$451),0),
IF('TL08'!$B$3=Q$3,SUMIF('TL08'!$C$10:$C$224,$C159,'TL08'!$J$10:$J$224),0),
IF('TL08'!$B$229=Q$3,SUMIF('TL08'!$C$238:$C$451,$C159,'TL08'!$J$238:$J$451),0),
IF('TL09'!$B$3=Q$3,SUMIF('TL09'!$C$10:$C$224,$C159,'TL09'!$J$10:$J$224),0),
IF('TL09'!$B$229=Q$3,SUMIF('TL09'!$C$238:$C$451,$C159,'TL09'!$J$238:$J$451),0),
IF('TL10'!$B$3=Q$3,SUMIF('TL10'!$C$10:$C$224,$C159,'TL10'!$J$10:$J$224),0),
IF('TL10'!$B$229=Q$3,SUMIF('TL10'!$C$238:$C$451,$C159,'TL10'!$J$238:$J$451),0),
IF('TL11'!$B$3=Q$3,SUMIF('TL11'!$C$10:$C$224,$C159,'TL11'!$J$10:$J$224),0),
IF('TL11'!$B$229=Q$3,SUMIF('TL11'!$C$238:$C$451,$C159,'TL11'!$J$238:$J$451),0),
IF('TL12'!$B$3=Q$3,SUMIF('TL12'!$C$10:$C$224,$C159,'TL12'!$J$10:$J$224),0),
IF('TL12'!$B$229=Q$3,SUMIF('TL12'!$C$238:$C$451,$C159,'TL12'!$J$238:$J$451),0),
IF('TL13'!$B$3=Q$3,SUMIF('TL13'!$C$10:$C$224,$C159,'TL13'!$J$10:$J$224),0),
IF('TL13'!$B$229=Q$3,SUMIF('TL13'!$C$238:$C$451,$C159,'TL13'!$J$238:$J$451),0),
IF('TL14'!$B$3=Q$3,SUMIF('TL14'!$C$10:$C$224,$C159,'TL14'!$J$10:$J$224),0),
IF('TL14'!$B$229=Q$3,SUMIF('TL14'!$C$238:$C$451,$C159,'TL14'!$J$238:$J$451),0),
IF('TL15'!$B$3=Q$3,SUMIF('TL15'!$C$10:$C$224,$C159,'TL15'!$J$10:$J$224),0),
IF('TL15'!$B$229=Q$3,SUMIF('TL15'!$C$238:$C$451,$C159,'TL15'!$J$238:$J$451),0),
IF('TL16'!$B$3=Q$3,SUMIF('TL16'!$C$10:$C$224,$C159,'TL16'!$J$10:$J$224),0),
IF('TL16'!$B$229=Q$3,SUMIF('TL16'!$C$238:$C$451,$C159,'TL16'!$J$238:$J$451),0),
IF('TL17'!$B$3=Q$3,SUMIF('TL17'!$C$10:$C$224,$C159,'TL17'!$J$10:$J$224),0),
IF('TL17'!$B$229=Q$3,SUMIF('TL17'!$C$238:$C$451,$C159,'TL17'!$J$238:$J$451),0),
IF('TL18'!$B$3=Q$3,SUMIF('TL18'!$C$10:$C$224,$C159,'TL18'!$J$10:$J$224),0),
IF('TL18'!$B$229=Q$3,SUMIF('TL18'!$C$238:$C$451,$C159,'TL18'!$J$238:$J$451),0),
IF('TL19'!$B$3=Q$3,SUMIF('TL19'!$C$10:$C$224,$C159,'TL19'!$J$10:$J$224),0),
IF('TL19'!$B$229=Q$3,SUMIF('TL19'!$C$238:$C$451,$C159,'TL19'!$J$238:$J$451),0)
),0)</f>
        <v/>
      </c>
      <c r="R159" s="9">
        <f>IFERROR(
SUM(
SUMIF('TL01'!C:C,C159,'TL01'!J:J),
SUMIF('TL02'!C:C,C159,'TL02'!J:J),
SUMIF('TL03'!C:C,C159,'TL03'!J:J),
SUMIF('TL04'!C:C,C159,'TL04'!J:J),
SUMIF('TL05'!C:C,C159,'TL05'!J:J),
SUMIF('TL06'!C:C,C159,'TL06'!J:J),
SUMIF('TL07'!C:C,C159,'TL07'!J:J),
SUMIF('TL08'!C:C,C159,'TL08'!J:J),
SUMIF('TL09'!C:C,C159,'TL09'!J:J),
SUMIF('TL10'!C:C,C159,'TL10'!J:J),
SUMIF('TL11'!C:C,C159,'TL11'!J:J),
SUMIF('TL12'!C:C,C159,'TL12'!J:J),
SUMIF('TL13'!C:C,C159,'TL13'!J:J),
SUMIF('TL14'!C:C,C159,'TL14'!J:J),
SUMIF('TL15'!C:C,C159,'TL15'!J:J),
SUMIF('TL16'!C:C,C159,'TL16'!J:J),
SUMIF('TL17'!C:C,C159,'TL17'!J:J),
SUMIF('TL18'!C:C,C159,'TL18'!J:J),SUMIF('TL19'!C:C,C159,'TL19'!J:J))
,0)</f>
        <v/>
      </c>
      <c r="S159" s="17">
        <f>IFERROR(__xludf.DUMMYFUNCTION("IFERROR(VLOOKUP(C159,
IMPORTRANGE(""1wULbzX32WdYsx-lj2U3uUNBBe2INVIRDtcK0d-Dvl90"",
""26-27!C:G""),
5,
FALSE),
"""")"),50.38899999999999)</f>
        <v/>
      </c>
      <c r="T159" s="9" t="n"/>
      <c r="U159" s="92">
        <f>MAX(0,R159-T159)</f>
        <v/>
      </c>
      <c r="V159" s="93">
        <f>U159*S159</f>
        <v/>
      </c>
    </row>
    <row r="160" hidden="1" ht="15.75" customHeight="1" s="297">
      <c r="A160" s="115" t="inlineStr">
        <is>
          <t>SYNGENTA</t>
        </is>
      </c>
      <c r="B160" s="100" t="inlineStr">
        <is>
          <t>HERBICIDA</t>
        </is>
      </c>
      <c r="C160" s="116" t="inlineStr">
        <is>
          <t>CALARIS</t>
        </is>
      </c>
      <c r="D160" s="116" t="inlineStr">
        <is>
          <t>MESOTRIONA + ATRAZINA</t>
        </is>
      </c>
      <c r="E160" s="116" t="inlineStr">
        <is>
          <t>50 + 500</t>
        </is>
      </c>
      <c r="F160" s="4" t="inlineStr">
        <is>
          <t>L</t>
        </is>
      </c>
      <c r="G160" s="90">
        <f>HYPERLINK("https://www.google.com/search?q=" &amp; C160 &amp; "+bula+agrofit+pdf", "📄 Ver bula")</f>
        <v/>
      </c>
      <c r="H160" s="9">
        <f>IFERROR(__xludf.DUMMYFUNCTION("IFERROR(VLOOKUP(C160,
IMPORTRANGE(""1wULbzX32WdYsx-lj2U3uUNBBe2INVIRDtcK0d-Dvl90"",
""26-27!C:K""),
8,
FALSE),
"""")"),"")</f>
        <v/>
      </c>
      <c r="I160" s="117" t="inlineStr">
        <is>
          <t>1x20</t>
        </is>
      </c>
      <c r="J160" s="9">
        <f>IFERROR(SUM(
IF('TL01'!$B$3=J$3,SUMIF('TL01'!$C$10:$C$224,$C160,'TL01'!$J$10:$J$224),0),
IF('TL01'!$B$229=J$3,SUMIF('TL01'!$C$238:$C$451,$C160,'TL01'!$J$238:$J$451),0),
IF('TL02'!$B$3=J$3,SUMIF('TL02'!$C$10:$C$224,$C160,'TL02'!$J$10:$J$224),0),
IF('TL02'!$B$229=J$3,SUMIF('TL02'!$C$238:$C$451,$C160,'TL02'!$J$238:$J$451),0),
IF('TL03'!$B$3=J$3,SUMIF('TL03'!$C$10:$C$224,$C160,'TL03'!$J$10:$J$224),0),
IF('TL03'!$B$229=J$3,SUMIF('TL03'!$C$238:$C$451,$C160,'TL03'!$J$238:$J$451),0),
IF('TL04'!$B$3=J$3,SUMIF('TL04'!$C$10:$C$224,$C160,'TL04'!$J$10:$J$224),0),
IF('TL04'!$B$229=J$3,SUMIF('TL04'!$C$238:$C$451,$C160,'TL04'!$J$238:$J$451),0),
IF('TL05'!$B$3=J$3,SUMIF('TL05'!$C$10:$C$224,$C160,'TL05'!$J$10:$J$224),0),
IF('TL05'!$B$229=J$3,SUMIF('TL05'!$C$238:$C$451,$C160,'TL05'!$J$238:$J$451),0),
IF('TL06'!$B$3=J$3,SUMIF('TL06'!$C$10:$C$224,$C160,'TL06'!$J$10:$J$224),0),
IF('TL06'!$B$229=J$3,SUMIF('TL06'!$C$238:$C$451,$C160,'TL06'!$J$238:$J$451),0),
IF('TL07'!$B$3=J$3,SUMIF('TL07'!$C$10:$C$224,$C160,'TL07'!$J$10:$J$224),0),
IF('TL07'!$B$229=J$3,SUMIF('TL07'!$C$238:$C$451,$C160,'TL07'!$J$238:$J$451),0),
IF('TL08'!$B$3=J$3,SUMIF('TL08'!$C$10:$C$224,$C160,'TL08'!$J$10:$J$224),0),
IF('TL08'!$B$229=J$3,SUMIF('TL08'!$C$238:$C$451,$C160,'TL08'!$J$238:$J$451),0),
IF('TL09'!$B$3=J$3,SUMIF('TL09'!$C$10:$C$224,$C160,'TL09'!$J$10:$J$224),0),
IF('TL09'!$B$229=J$3,SUMIF('TL09'!$C$238:$C$451,$C160,'TL09'!$J$238:$J$451),0),
IF('TL10'!$B$3=J$3,SUMIF('TL10'!$C$10:$C$224,$C160,'TL10'!$J$10:$J$224),0),
IF('TL10'!$B$229=J$3,SUMIF('TL10'!$C$238:$C$451,$C160,'TL10'!$J$238:$J$451),0),
IF('TL11'!$B$3=J$3,SUMIF('TL11'!$C$10:$C$224,$C160,'TL11'!$J$10:$J$224),0),
IF('TL11'!$B$229=J$3,SUMIF('TL11'!$C$238:$C$451,$C160,'TL11'!$J$238:$J$451),0),
IF('TL12'!$B$3=J$3,SUMIF('TL12'!$C$10:$C$224,$C160,'TL12'!$J$10:$J$224),0),
IF('TL12'!$B$229=J$3,SUMIF('TL12'!$C$238:$C$451,$C160,'TL12'!$J$238:$J$451),0),
IF('TL13'!$B$3=J$3,SUMIF('TL13'!$C$10:$C$224,$C160,'TL13'!$J$10:$J$224),0),
IF('TL13'!$B$229=J$3,SUMIF('TL13'!$C$238:$C$451,$C160,'TL13'!$J$238:$J$451),0),
IF('TL14'!$B$3=J$3,SUMIF('TL14'!$C$10:$C$224,$C160,'TL14'!$J$10:$J$224),0),
IF('TL14'!$B$229=J$3,SUMIF('TL14'!$C$238:$C$451,$C160,'TL14'!$J$238:$J$451),0),
IF('TL15'!$B$3=J$3,SUMIF('TL15'!$C$10:$C$224,$C160,'TL15'!$J$10:$J$224),0),
IF('TL15'!$B$229=J$3,SUMIF('TL15'!$C$238:$C$451,$C160,'TL15'!$J$238:$J$451),0),
IF('TL16'!$B$3=J$3,SUMIF('TL16'!$C$10:$C$224,$C160,'TL16'!$J$10:$J$224),0),
IF('TL16'!$B$229=J$3,SUMIF('TL16'!$C$238:$C$451,$C160,'TL16'!$J$238:$J$451),0),
IF('TL17'!$B$3=J$3,SUMIF('TL17'!$C$10:$C$224,$C160,'TL17'!$J$10:$J$224),0),
IF('TL17'!$B$229=J$3,SUMIF('TL17'!$C$238:$C$451,$C160,'TL17'!$J$238:$J$451),0),
IF('TL18'!$B$3=J$3,SUMIF('TL18'!$C$10:$C$224,$C160,'TL18'!$J$10:$J$224),0),
IF('TL18'!$B$229=J$3,SUMIF('TL18'!$C$238:$C$451,$C160,'TL18'!$J$238:$J$451),0),
IF('TL19'!$B$3=J$3,SUMIF('TL19'!$C$10:$C$224,$C160,'TL19'!$J$10:$J$224),0),
IF('TL19'!$B$229=J$3,SUMIF('TL19'!$C$238:$C$451,$C160,'TL19'!$J$238:$J$451),0)
),0)</f>
        <v/>
      </c>
      <c r="K160" s="9">
        <f>IFERROR(SUM(
IF('TL01'!$B$3=K$3,SUMIF('TL01'!$C$10:$C$224,$C160,'TL01'!$J$10:$J$224),0),
IF('TL01'!$B$229=K$3,SUMIF('TL01'!$C$238:$C$451,$C160,'TL01'!$J$238:$J$451),0),
IF('TL02'!$B$3=K$3,SUMIF('TL02'!$C$10:$C$224,$C160,'TL02'!$J$10:$J$224),0),
IF('TL02'!$B$229=K$3,SUMIF('TL02'!$C$238:$C$451,$C160,'TL02'!$J$238:$J$451),0),
IF('TL03'!$B$3=K$3,SUMIF('TL03'!$C$10:$C$224,$C160,'TL03'!$J$10:$J$224),0),
IF('TL03'!$B$229=K$3,SUMIF('TL03'!$C$238:$C$451,$C160,'TL03'!$J$238:$J$451),0),
IF('TL04'!$B$3=K$3,SUMIF('TL04'!$C$10:$C$224,$C160,'TL04'!$J$10:$J$224),0),
IF('TL04'!$B$229=K$3,SUMIF('TL04'!$C$238:$C$451,$C160,'TL04'!$J$238:$J$451),0),
IF('TL05'!$B$3=K$3,SUMIF('TL05'!$C$10:$C$224,$C160,'TL05'!$J$10:$J$224),0),
IF('TL05'!$B$229=K$3,SUMIF('TL05'!$C$238:$C$451,$C160,'TL05'!$J$238:$J$451),0),
IF('TL06'!$B$3=K$3,SUMIF('TL06'!$C$10:$C$224,$C160,'TL06'!$J$10:$J$224),0),
IF('TL06'!$B$229=K$3,SUMIF('TL06'!$C$238:$C$451,$C160,'TL06'!$J$238:$J$451),0),
IF('TL07'!$B$3=K$3,SUMIF('TL07'!$C$10:$C$224,$C160,'TL07'!$J$10:$J$224),0),
IF('TL07'!$B$229=K$3,SUMIF('TL07'!$C$238:$C$451,$C160,'TL07'!$J$238:$J$451),0),
IF('TL08'!$B$3=K$3,SUMIF('TL08'!$C$10:$C$224,$C160,'TL08'!$J$10:$J$224),0),
IF('TL08'!$B$229=K$3,SUMIF('TL08'!$C$238:$C$451,$C160,'TL08'!$J$238:$J$451),0),
IF('TL09'!$B$3=K$3,SUMIF('TL09'!$C$10:$C$224,$C160,'TL09'!$J$10:$J$224),0),
IF('TL09'!$B$229=K$3,SUMIF('TL09'!$C$238:$C$451,$C160,'TL09'!$J$238:$J$451),0),
IF('TL10'!$B$3=K$3,SUMIF('TL10'!$C$10:$C$224,$C160,'TL10'!$J$10:$J$224),0),
IF('TL10'!$B$229=K$3,SUMIF('TL10'!$C$238:$C$451,$C160,'TL10'!$J$238:$J$451),0),
IF('TL11'!$B$3=K$3,SUMIF('TL11'!$C$10:$C$224,$C160,'TL11'!$J$10:$J$224),0),
IF('TL11'!$B$229=K$3,SUMIF('TL11'!$C$238:$C$451,$C160,'TL11'!$J$238:$J$451),0),
IF('TL12'!$B$3=K$3,SUMIF('TL12'!$C$10:$C$224,$C160,'TL12'!$J$10:$J$224),0),
IF('TL12'!$B$229=K$3,SUMIF('TL12'!$C$238:$C$451,$C160,'TL12'!$J$238:$J$451),0),
IF('TL13'!$B$3=K$3,SUMIF('TL13'!$C$10:$C$224,$C160,'TL13'!$J$10:$J$224),0),
IF('TL13'!$B$229=K$3,SUMIF('TL13'!$C$238:$C$451,$C160,'TL13'!$J$238:$J$451),0),
IF('TL14'!$B$3=K$3,SUMIF('TL14'!$C$10:$C$224,$C160,'TL14'!$J$10:$J$224),0),
IF('TL14'!$B$229=K$3,SUMIF('TL14'!$C$238:$C$451,$C160,'TL14'!$J$238:$J$451),0),
IF('TL15'!$B$3=K$3,SUMIF('TL15'!$C$10:$C$224,$C160,'TL15'!$J$10:$J$224),0),
IF('TL15'!$B$229=K$3,SUMIF('TL15'!$C$238:$C$451,$C160,'TL15'!$J$238:$J$451),0),
IF('TL16'!$B$3=K$3,SUMIF('TL16'!$C$10:$C$224,$C160,'TL16'!$J$10:$J$224),0),
IF('TL16'!$B$229=K$3,SUMIF('TL16'!$C$238:$C$451,$C160,'TL16'!$J$238:$J$451),0),
IF('TL17'!$B$3=K$3,SUMIF('TL17'!$C$10:$C$224,$C160,'TL17'!$J$10:$J$224),0),
IF('TL17'!$B$229=K$3,SUMIF('TL17'!$C$238:$C$451,$C160,'TL17'!$J$238:$J$451),0),
IF('TL18'!$B$3=K$3,SUMIF('TL18'!$C$10:$C$224,$C160,'TL18'!$J$10:$J$224),0),
IF('TL18'!$B$229=K$3,SUMIF('TL18'!$C$238:$C$451,$C160,'TL18'!$J$238:$J$451),0),
IF('TL19'!$B$3=K$3,SUMIF('TL19'!$C$10:$C$224,$C160,'TL19'!$J$10:$J$224),0),
IF('TL19'!$B$229=K$3,SUMIF('TL19'!$C$238:$C$451,$C160,'TL19'!$J$238:$J$451),0)
),0)</f>
        <v/>
      </c>
      <c r="L160" s="9">
        <f>IFERROR(SUM(
IF('TL01'!$B$3=L$3,SUMIF('TL01'!$C$10:$C$224,$C160,'TL01'!$J$10:$J$224),0),
IF('TL01'!$B$229=L$3,SUMIF('TL01'!$C$238:$C$451,$C160,'TL01'!$J$238:$J$451),0),
IF('TL02'!$B$3=L$3,SUMIF('TL02'!$C$10:$C$224,$C160,'TL02'!$J$10:$J$224),0),
IF('TL02'!$B$229=L$3,SUMIF('TL02'!$C$238:$C$451,$C160,'TL02'!$J$238:$J$451),0),
IF('TL03'!$B$3=L$3,SUMIF('TL03'!$C$10:$C$224,$C160,'TL03'!$J$10:$J$224),0),
IF('TL03'!$B$229=L$3,SUMIF('TL03'!$C$238:$C$451,$C160,'TL03'!$J$238:$J$451),0),
IF('TL04'!$B$3=L$3,SUMIF('TL04'!$C$10:$C$224,$C160,'TL04'!$J$10:$J$224),0),
IF('TL04'!$B$229=L$3,SUMIF('TL04'!$C$238:$C$451,$C160,'TL04'!$J$238:$J$451),0),
IF('TL05'!$B$3=L$3,SUMIF('TL05'!$C$10:$C$224,$C160,'TL05'!$J$10:$J$224),0),
IF('TL05'!$B$229=L$3,SUMIF('TL05'!$C$238:$C$451,$C160,'TL05'!$J$238:$J$451),0),
IF('TL06'!$B$3=L$3,SUMIF('TL06'!$C$10:$C$224,$C160,'TL06'!$J$10:$J$224),0),
IF('TL06'!$B$229=L$3,SUMIF('TL06'!$C$238:$C$451,$C160,'TL06'!$J$238:$J$451),0),
IF('TL07'!$B$3=L$3,SUMIF('TL07'!$C$10:$C$224,$C160,'TL07'!$J$10:$J$224),0),
IF('TL07'!$B$229=L$3,SUMIF('TL07'!$C$238:$C$451,$C160,'TL07'!$J$238:$J$451),0),
IF('TL08'!$B$3=L$3,SUMIF('TL08'!$C$10:$C$224,$C160,'TL08'!$J$10:$J$224),0),
IF('TL08'!$B$229=L$3,SUMIF('TL08'!$C$238:$C$451,$C160,'TL08'!$J$238:$J$451),0),
IF('TL09'!$B$3=L$3,SUMIF('TL09'!$C$10:$C$224,$C160,'TL09'!$J$10:$J$224),0),
IF('TL09'!$B$229=L$3,SUMIF('TL09'!$C$238:$C$451,$C160,'TL09'!$J$238:$J$451),0),
IF('TL10'!$B$3=L$3,SUMIF('TL10'!$C$10:$C$224,$C160,'TL10'!$J$10:$J$224),0),
IF('TL10'!$B$229=L$3,SUMIF('TL10'!$C$238:$C$451,$C160,'TL10'!$J$238:$J$451),0),
IF('TL11'!$B$3=L$3,SUMIF('TL11'!$C$10:$C$224,$C160,'TL11'!$J$10:$J$224),0),
IF('TL11'!$B$229=L$3,SUMIF('TL11'!$C$238:$C$451,$C160,'TL11'!$J$238:$J$451),0),
IF('TL12'!$B$3=L$3,SUMIF('TL12'!$C$10:$C$224,$C160,'TL12'!$J$10:$J$224),0),
IF('TL12'!$B$229=L$3,SUMIF('TL12'!$C$238:$C$451,$C160,'TL12'!$J$238:$J$451),0),
IF('TL13'!$B$3=L$3,SUMIF('TL13'!$C$10:$C$224,$C160,'TL13'!$J$10:$J$224),0),
IF('TL13'!$B$229=L$3,SUMIF('TL13'!$C$238:$C$451,$C160,'TL13'!$J$238:$J$451),0),
IF('TL14'!$B$3=L$3,SUMIF('TL14'!$C$10:$C$224,$C160,'TL14'!$J$10:$J$224),0),
IF('TL14'!$B$229=L$3,SUMIF('TL14'!$C$238:$C$451,$C160,'TL14'!$J$238:$J$451),0),
IF('TL15'!$B$3=L$3,SUMIF('TL15'!$C$10:$C$224,$C160,'TL15'!$J$10:$J$224),0),
IF('TL15'!$B$229=L$3,SUMIF('TL15'!$C$238:$C$451,$C160,'TL15'!$J$238:$J$451),0),
IF('TL16'!$B$3=L$3,SUMIF('TL16'!$C$10:$C$224,$C160,'TL16'!$J$10:$J$224),0),
IF('TL16'!$B$229=L$3,SUMIF('TL16'!$C$238:$C$451,$C160,'TL16'!$J$238:$J$451),0),
IF('TL17'!$B$3=L$3,SUMIF('TL17'!$C$10:$C$224,$C160,'TL17'!$J$10:$J$224),0),
IF('TL17'!$B$229=L$3,SUMIF('TL17'!$C$238:$C$451,$C160,'TL17'!$J$238:$J$451),0),
IF('TL18'!$B$3=L$3,SUMIF('TL18'!$C$10:$C$224,$C160,'TL18'!$J$10:$J$224),0),
IF('TL18'!$B$229=L$3,SUMIF('TL18'!$C$238:$C$451,$C160,'TL18'!$J$238:$J$451),0),
IF('TL19'!$B$3=L$3,SUMIF('TL19'!$C$10:$C$224,$C160,'TL19'!$J$10:$J$224),0),
IF('TL19'!$B$229=L$3,SUMIF('TL19'!$C$238:$C$451,$C160,'TL19'!$J$238:$J$451),0)
),0)</f>
        <v/>
      </c>
      <c r="M160" s="9">
        <f>IFERROR(SUM(
IF('TL01'!$B$3=M$3,SUMIF('TL01'!$C$10:$C$224,$C160,'TL01'!$J$10:$J$224),0),
IF('TL01'!$B$229=M$3,SUMIF('TL01'!$C$238:$C$451,$C160,'TL01'!$J$238:$J$451),0),
IF('TL02'!$B$3=M$3,SUMIF('TL02'!$C$10:$C$224,$C160,'TL02'!$J$10:$J$224),0),
IF('TL02'!$B$229=M$3,SUMIF('TL02'!$C$238:$C$451,$C160,'TL02'!$J$238:$J$451),0),
IF('TL03'!$B$3=M$3,SUMIF('TL03'!$C$10:$C$224,$C160,'TL03'!$J$10:$J$224),0),
IF('TL03'!$B$229=M$3,SUMIF('TL03'!$C$238:$C$451,$C160,'TL03'!$J$238:$J$451),0),
IF('TL04'!$B$3=M$3,SUMIF('TL04'!$C$10:$C$224,$C160,'TL04'!$J$10:$J$224),0),
IF('TL04'!$B$229=M$3,SUMIF('TL04'!$C$238:$C$451,$C160,'TL04'!$J$238:$J$451),0),
IF('TL05'!$B$3=M$3,SUMIF('TL05'!$C$10:$C$224,$C160,'TL05'!$J$10:$J$224),0),
IF('TL05'!$B$229=M$3,SUMIF('TL05'!$C$238:$C$451,$C160,'TL05'!$J$238:$J$451),0),
IF('TL06'!$B$3=M$3,SUMIF('TL06'!$C$10:$C$224,$C160,'TL06'!$J$10:$J$224),0),
IF('TL06'!$B$229=M$3,SUMIF('TL06'!$C$238:$C$451,$C160,'TL06'!$J$238:$J$451),0),
IF('TL07'!$B$3=M$3,SUMIF('TL07'!$C$10:$C$224,$C160,'TL07'!$J$10:$J$224),0),
IF('TL07'!$B$229=M$3,SUMIF('TL07'!$C$238:$C$451,$C160,'TL07'!$J$238:$J$451),0),
IF('TL08'!$B$3=M$3,SUMIF('TL08'!$C$10:$C$224,$C160,'TL08'!$J$10:$J$224),0),
IF('TL08'!$B$229=M$3,SUMIF('TL08'!$C$238:$C$451,$C160,'TL08'!$J$238:$J$451),0),
IF('TL09'!$B$3=M$3,SUMIF('TL09'!$C$10:$C$224,$C160,'TL09'!$J$10:$J$224),0),
IF('TL09'!$B$229=M$3,SUMIF('TL09'!$C$238:$C$451,$C160,'TL09'!$J$238:$J$451),0),
IF('TL10'!$B$3=M$3,SUMIF('TL10'!$C$10:$C$224,$C160,'TL10'!$J$10:$J$224),0),
IF('TL10'!$B$229=M$3,SUMIF('TL10'!$C$238:$C$451,$C160,'TL10'!$J$238:$J$451),0),
IF('TL11'!$B$3=M$3,SUMIF('TL11'!$C$10:$C$224,$C160,'TL11'!$J$10:$J$224),0),
IF('TL11'!$B$229=M$3,SUMIF('TL11'!$C$238:$C$451,$C160,'TL11'!$J$238:$J$451),0),
IF('TL12'!$B$3=M$3,SUMIF('TL12'!$C$10:$C$224,$C160,'TL12'!$J$10:$J$224),0),
IF('TL12'!$B$229=M$3,SUMIF('TL12'!$C$238:$C$451,$C160,'TL12'!$J$238:$J$451),0),
IF('TL13'!$B$3=M$3,SUMIF('TL13'!$C$10:$C$224,$C160,'TL13'!$J$10:$J$224),0),
IF('TL13'!$B$229=M$3,SUMIF('TL13'!$C$238:$C$451,$C160,'TL13'!$J$238:$J$451),0),
IF('TL14'!$B$3=M$3,SUMIF('TL14'!$C$10:$C$224,$C160,'TL14'!$J$10:$J$224),0),
IF('TL14'!$B$229=M$3,SUMIF('TL14'!$C$238:$C$451,$C160,'TL14'!$J$238:$J$451),0),
IF('TL15'!$B$3=M$3,SUMIF('TL15'!$C$10:$C$224,$C160,'TL15'!$J$10:$J$224),0),
IF('TL15'!$B$229=M$3,SUMIF('TL15'!$C$238:$C$451,$C160,'TL15'!$J$238:$J$451),0),
IF('TL16'!$B$3=M$3,SUMIF('TL16'!$C$10:$C$224,$C160,'TL16'!$J$10:$J$224),0),
IF('TL16'!$B$229=M$3,SUMIF('TL16'!$C$238:$C$451,$C160,'TL16'!$J$238:$J$451),0),
IF('TL17'!$B$3=M$3,SUMIF('TL17'!$C$10:$C$224,$C160,'TL17'!$J$10:$J$224),0),
IF('TL17'!$B$229=M$3,SUMIF('TL17'!$C$238:$C$451,$C160,'TL17'!$J$238:$J$451),0),
IF('TL18'!$B$3=M$3,SUMIF('TL18'!$C$10:$C$224,$C160,'TL18'!$J$10:$J$224),0),
IF('TL18'!$B$229=M$3,SUMIF('TL18'!$C$238:$C$451,$C160,'TL18'!$J$238:$J$451),0),
IF('TL19'!$B$3=M$3,SUMIF('TL19'!$C$10:$C$224,$C160,'TL19'!$J$10:$J$224),0),
IF('TL19'!$B$229=M$3,SUMIF('TL19'!$C$238:$C$451,$C160,'TL19'!$J$238:$J$451),0)
),0)</f>
        <v/>
      </c>
      <c r="N160" s="9">
        <f>IFERROR(SUM(
IF('TL01'!$B$3=N$3,SUMIF('TL01'!$C$10:$C$224,$C160,'TL01'!$J$10:$J$224),0),
IF('TL01'!$B$229=N$3,SUMIF('TL01'!$C$238:$C$451,$C160,'TL01'!$J$238:$J$451),0),
IF('TL02'!$B$3=N$3,SUMIF('TL02'!$C$10:$C$224,$C160,'TL02'!$J$10:$J$224),0),
IF('TL02'!$B$229=N$3,SUMIF('TL02'!$C$238:$C$451,$C160,'TL02'!$J$238:$J$451),0),
IF('TL03'!$B$3=N$3,SUMIF('TL03'!$C$10:$C$224,$C160,'TL03'!$J$10:$J$224),0),
IF('TL03'!$B$229=N$3,SUMIF('TL03'!$C$238:$C$451,$C160,'TL03'!$J$238:$J$451),0),
IF('TL04'!$B$3=N$3,SUMIF('TL04'!$C$10:$C$224,$C160,'TL04'!$J$10:$J$224),0),
IF('TL04'!$B$229=N$3,SUMIF('TL04'!$C$238:$C$451,$C160,'TL04'!$J$238:$J$451),0),
IF('TL05'!$B$3=N$3,SUMIF('TL05'!$C$10:$C$224,$C160,'TL05'!$J$10:$J$224),0),
IF('TL05'!$B$229=N$3,SUMIF('TL05'!$C$238:$C$451,$C160,'TL05'!$J$238:$J$451),0),
IF('TL06'!$B$3=N$3,SUMIF('TL06'!$C$10:$C$224,$C160,'TL06'!$J$10:$J$224),0),
IF('TL06'!$B$229=N$3,SUMIF('TL06'!$C$238:$C$451,$C160,'TL06'!$J$238:$J$451),0),
IF('TL07'!$B$3=N$3,SUMIF('TL07'!$C$10:$C$224,$C160,'TL07'!$J$10:$J$224),0),
IF('TL07'!$B$229=N$3,SUMIF('TL07'!$C$238:$C$451,$C160,'TL07'!$J$238:$J$451),0),
IF('TL08'!$B$3=N$3,SUMIF('TL08'!$C$10:$C$224,$C160,'TL08'!$J$10:$J$224),0),
IF('TL08'!$B$229=N$3,SUMIF('TL08'!$C$238:$C$451,$C160,'TL08'!$J$238:$J$451),0),
IF('TL09'!$B$3=N$3,SUMIF('TL09'!$C$10:$C$224,$C160,'TL09'!$J$10:$J$224),0),
IF('TL09'!$B$229=N$3,SUMIF('TL09'!$C$238:$C$451,$C160,'TL09'!$J$238:$J$451),0),
IF('TL10'!$B$3=N$3,SUMIF('TL10'!$C$10:$C$224,$C160,'TL10'!$J$10:$J$224),0),
IF('TL10'!$B$229=N$3,SUMIF('TL10'!$C$238:$C$451,$C160,'TL10'!$J$238:$J$451),0),
IF('TL11'!$B$3=N$3,SUMIF('TL11'!$C$10:$C$224,$C160,'TL11'!$J$10:$J$224),0),
IF('TL11'!$B$229=N$3,SUMIF('TL11'!$C$238:$C$451,$C160,'TL11'!$J$238:$J$451),0),
IF('TL12'!$B$3=N$3,SUMIF('TL12'!$C$10:$C$224,$C160,'TL12'!$J$10:$J$224),0),
IF('TL12'!$B$229=N$3,SUMIF('TL12'!$C$238:$C$451,$C160,'TL12'!$J$238:$J$451),0),
IF('TL13'!$B$3=N$3,SUMIF('TL13'!$C$10:$C$224,$C160,'TL13'!$J$10:$J$224),0),
IF('TL13'!$B$229=N$3,SUMIF('TL13'!$C$238:$C$451,$C160,'TL13'!$J$238:$J$451),0),
IF('TL14'!$B$3=N$3,SUMIF('TL14'!$C$10:$C$224,$C160,'TL14'!$J$10:$J$224),0),
IF('TL14'!$B$229=N$3,SUMIF('TL14'!$C$238:$C$451,$C160,'TL14'!$J$238:$J$451),0),
IF('TL15'!$B$3=N$3,SUMIF('TL15'!$C$10:$C$224,$C160,'TL15'!$J$10:$J$224),0),
IF('TL15'!$B$229=N$3,SUMIF('TL15'!$C$238:$C$451,$C160,'TL15'!$J$238:$J$451),0),
IF('TL16'!$B$3=N$3,SUMIF('TL16'!$C$10:$C$224,$C160,'TL16'!$J$10:$J$224),0),
IF('TL16'!$B$229=N$3,SUMIF('TL16'!$C$238:$C$451,$C160,'TL16'!$J$238:$J$451),0),
IF('TL17'!$B$3=N$3,SUMIF('TL17'!$C$10:$C$224,$C160,'TL17'!$J$10:$J$224),0),
IF('TL17'!$B$229=N$3,SUMIF('TL17'!$C$238:$C$451,$C160,'TL17'!$J$238:$J$451),0),
IF('TL18'!$B$3=N$3,SUMIF('TL18'!$C$10:$C$224,$C160,'TL18'!$J$10:$J$224),0),
IF('TL18'!$B$229=N$3,SUMIF('TL18'!$C$238:$C$451,$C160,'TL18'!$J$238:$J$451),0),
IF('TL19'!$B$3=N$3,SUMIF('TL19'!$C$10:$C$224,$C160,'TL19'!$J$10:$J$224),0),
IF('TL19'!$B$229=N$3,SUMIF('TL19'!$C$238:$C$451,$C160,'TL19'!$J$238:$J$451),0)
),0)</f>
        <v/>
      </c>
      <c r="O160" s="9">
        <f>IFERROR(SUM(
IF('TL01'!$B$3=O$3,SUMIF('TL01'!$C$10:$C$224,$C160,'TL01'!$J$10:$J$224),0),
IF('TL01'!$B$229=O$3,SUMIF('TL01'!$C$238:$C$451,$C160,'TL01'!$J$238:$J$451),0),
IF('TL02'!$B$3=O$3,SUMIF('TL02'!$C$10:$C$224,$C160,'TL02'!$J$10:$J$224),0),
IF('TL02'!$B$229=O$3,SUMIF('TL02'!$C$238:$C$451,$C160,'TL02'!$J$238:$J$451),0),
IF('TL03'!$B$3=O$3,SUMIF('TL03'!$C$10:$C$224,$C160,'TL03'!$J$10:$J$224),0),
IF('TL03'!$B$229=O$3,SUMIF('TL03'!$C$238:$C$451,$C160,'TL03'!$J$238:$J$451),0),
IF('TL04'!$B$3=O$3,SUMIF('TL04'!$C$10:$C$224,$C160,'TL04'!$J$10:$J$224),0),
IF('TL04'!$B$229=O$3,SUMIF('TL04'!$C$238:$C$451,$C160,'TL04'!$J$238:$J$451),0),
IF('TL05'!$B$3=O$3,SUMIF('TL05'!$C$10:$C$224,$C160,'TL05'!$J$10:$J$224),0),
IF('TL05'!$B$229=O$3,SUMIF('TL05'!$C$238:$C$451,$C160,'TL05'!$J$238:$J$451),0),
IF('TL06'!$B$3=O$3,SUMIF('TL06'!$C$10:$C$224,$C160,'TL06'!$J$10:$J$224),0),
IF('TL06'!$B$229=O$3,SUMIF('TL06'!$C$238:$C$451,$C160,'TL06'!$J$238:$J$451),0),
IF('TL07'!$B$3=O$3,SUMIF('TL07'!$C$10:$C$224,$C160,'TL07'!$J$10:$J$224),0),
IF('TL07'!$B$229=O$3,SUMIF('TL07'!$C$238:$C$451,$C160,'TL07'!$J$238:$J$451),0),
IF('TL08'!$B$3=O$3,SUMIF('TL08'!$C$10:$C$224,$C160,'TL08'!$J$10:$J$224),0),
IF('TL08'!$B$229=O$3,SUMIF('TL08'!$C$238:$C$451,$C160,'TL08'!$J$238:$J$451),0),
IF('TL09'!$B$3=O$3,SUMIF('TL09'!$C$10:$C$224,$C160,'TL09'!$J$10:$J$224),0),
IF('TL09'!$B$229=O$3,SUMIF('TL09'!$C$238:$C$451,$C160,'TL09'!$J$238:$J$451),0),
IF('TL10'!$B$3=O$3,SUMIF('TL10'!$C$10:$C$224,$C160,'TL10'!$J$10:$J$224),0),
IF('TL10'!$B$229=O$3,SUMIF('TL10'!$C$238:$C$451,$C160,'TL10'!$J$238:$J$451),0),
IF('TL11'!$B$3=O$3,SUMIF('TL11'!$C$10:$C$224,$C160,'TL11'!$J$10:$J$224),0),
IF('TL11'!$B$229=O$3,SUMIF('TL11'!$C$238:$C$451,$C160,'TL11'!$J$238:$J$451),0),
IF('TL12'!$B$3=O$3,SUMIF('TL12'!$C$10:$C$224,$C160,'TL12'!$J$10:$J$224),0),
IF('TL12'!$B$229=O$3,SUMIF('TL12'!$C$238:$C$451,$C160,'TL12'!$J$238:$J$451),0),
IF('TL13'!$B$3=O$3,SUMIF('TL13'!$C$10:$C$224,$C160,'TL13'!$J$10:$J$224),0),
IF('TL13'!$B$229=O$3,SUMIF('TL13'!$C$238:$C$451,$C160,'TL13'!$J$238:$J$451),0),
IF('TL14'!$B$3=O$3,SUMIF('TL14'!$C$10:$C$224,$C160,'TL14'!$J$10:$J$224),0),
IF('TL14'!$B$229=O$3,SUMIF('TL14'!$C$238:$C$451,$C160,'TL14'!$J$238:$J$451),0),
IF('TL15'!$B$3=O$3,SUMIF('TL15'!$C$10:$C$224,$C160,'TL15'!$J$10:$J$224),0),
IF('TL15'!$B$229=O$3,SUMIF('TL15'!$C$238:$C$451,$C160,'TL15'!$J$238:$J$451),0),
IF('TL16'!$B$3=O$3,SUMIF('TL16'!$C$10:$C$224,$C160,'TL16'!$J$10:$J$224),0),
IF('TL16'!$B$229=O$3,SUMIF('TL16'!$C$238:$C$451,$C160,'TL16'!$J$238:$J$451),0),
IF('TL17'!$B$3=O$3,SUMIF('TL17'!$C$10:$C$224,$C160,'TL17'!$J$10:$J$224),0),
IF('TL17'!$B$229=O$3,SUMIF('TL17'!$C$238:$C$451,$C160,'TL17'!$J$238:$J$451),0),
IF('TL18'!$B$3=O$3,SUMIF('TL18'!$C$10:$C$224,$C160,'TL18'!$J$10:$J$224),0),
IF('TL18'!$B$229=O$3,SUMIF('TL18'!$C$238:$C$451,$C160,'TL18'!$J$238:$J$451),0),
IF('TL19'!$B$3=O$3,SUMIF('TL19'!$C$10:$C$224,$C160,'TL19'!$J$10:$J$224),0),
IF('TL19'!$B$229=O$3,SUMIF('TL19'!$C$238:$C$451,$C160,'TL19'!$J$238:$J$451),0)
),0)</f>
        <v/>
      </c>
      <c r="P160" s="9">
        <f>IFERROR(SUM(
IF('TL01'!$B$3=P$3,SUMIF('TL01'!$C$10:$C$224,$C160,'TL01'!$J$10:$J$224),0),
IF('TL01'!$B$229=P$3,SUMIF('TL01'!$C$238:$C$451,$C160,'TL01'!$J$238:$J$451),0),
IF('TL02'!$B$3=P$3,SUMIF('TL02'!$C$10:$C$224,$C160,'TL02'!$J$10:$J$224),0),
IF('TL02'!$B$229=P$3,SUMIF('TL02'!$C$238:$C$451,$C160,'TL02'!$J$238:$J$451),0),
IF('TL03'!$B$3=P$3,SUMIF('TL03'!$C$10:$C$224,$C160,'TL03'!$J$10:$J$224),0),
IF('TL03'!$B$229=P$3,SUMIF('TL03'!$C$238:$C$451,$C160,'TL03'!$J$238:$J$451),0),
IF('TL04'!$B$3=P$3,SUMIF('TL04'!$C$10:$C$224,$C160,'TL04'!$J$10:$J$224),0),
IF('TL04'!$B$229=P$3,SUMIF('TL04'!$C$238:$C$451,$C160,'TL04'!$J$238:$J$451),0),
IF('TL05'!$B$3=P$3,SUMIF('TL05'!$C$10:$C$224,$C160,'TL05'!$J$10:$J$224),0),
IF('TL05'!$B$229=P$3,SUMIF('TL05'!$C$238:$C$451,$C160,'TL05'!$J$238:$J$451),0),
IF('TL06'!$B$3=P$3,SUMIF('TL06'!$C$10:$C$224,$C160,'TL06'!$J$10:$J$224),0),
IF('TL06'!$B$229=P$3,SUMIF('TL06'!$C$238:$C$451,$C160,'TL06'!$J$238:$J$451),0),
IF('TL07'!$B$3=P$3,SUMIF('TL07'!$C$10:$C$224,$C160,'TL07'!$J$10:$J$224),0),
IF('TL07'!$B$229=P$3,SUMIF('TL07'!$C$238:$C$451,$C160,'TL07'!$J$238:$J$451),0),
IF('TL08'!$B$3=P$3,SUMIF('TL08'!$C$10:$C$224,$C160,'TL08'!$J$10:$J$224),0),
IF('TL08'!$B$229=P$3,SUMIF('TL08'!$C$238:$C$451,$C160,'TL08'!$J$238:$J$451),0),
IF('TL09'!$B$3=P$3,SUMIF('TL09'!$C$10:$C$224,$C160,'TL09'!$J$10:$J$224),0),
IF('TL09'!$B$229=P$3,SUMIF('TL09'!$C$238:$C$451,$C160,'TL09'!$J$238:$J$451),0),
IF('TL10'!$B$3=P$3,SUMIF('TL10'!$C$10:$C$224,$C160,'TL10'!$J$10:$J$224),0),
IF('TL10'!$B$229=P$3,SUMIF('TL10'!$C$238:$C$451,$C160,'TL10'!$J$238:$J$451),0),
IF('TL11'!$B$3=P$3,SUMIF('TL11'!$C$10:$C$224,$C160,'TL11'!$J$10:$J$224),0),
IF('TL11'!$B$229=P$3,SUMIF('TL11'!$C$238:$C$451,$C160,'TL11'!$J$238:$J$451),0),
IF('TL12'!$B$3=P$3,SUMIF('TL12'!$C$10:$C$224,$C160,'TL12'!$J$10:$J$224),0),
IF('TL12'!$B$229=P$3,SUMIF('TL12'!$C$238:$C$451,$C160,'TL12'!$J$238:$J$451),0),
IF('TL13'!$B$3=P$3,SUMIF('TL13'!$C$10:$C$224,$C160,'TL13'!$J$10:$J$224),0),
IF('TL13'!$B$229=P$3,SUMIF('TL13'!$C$238:$C$451,$C160,'TL13'!$J$238:$J$451),0),
IF('TL14'!$B$3=P$3,SUMIF('TL14'!$C$10:$C$224,$C160,'TL14'!$J$10:$J$224),0),
IF('TL14'!$B$229=P$3,SUMIF('TL14'!$C$238:$C$451,$C160,'TL14'!$J$238:$J$451),0),
IF('TL15'!$B$3=P$3,SUMIF('TL15'!$C$10:$C$224,$C160,'TL15'!$J$10:$J$224),0),
IF('TL15'!$B$229=P$3,SUMIF('TL15'!$C$238:$C$451,$C160,'TL15'!$J$238:$J$451),0),
IF('TL16'!$B$3=P$3,SUMIF('TL16'!$C$10:$C$224,$C160,'TL16'!$J$10:$J$224),0),
IF('TL16'!$B$229=P$3,SUMIF('TL16'!$C$238:$C$451,$C160,'TL16'!$J$238:$J$451),0),
IF('TL17'!$B$3=P$3,SUMIF('TL17'!$C$10:$C$224,$C160,'TL17'!$J$10:$J$224),0),
IF('TL17'!$B$229=P$3,SUMIF('TL17'!$C$238:$C$451,$C160,'TL17'!$J$238:$J$451),0),
IF('TL18'!$B$3=P$3,SUMIF('TL18'!$C$10:$C$224,$C160,'TL18'!$J$10:$J$224),0),
IF('TL18'!$B$229=P$3,SUMIF('TL18'!$C$238:$C$451,$C160,'TL18'!$J$238:$J$451),0),
IF('TL19'!$B$3=P$3,SUMIF('TL19'!$C$10:$C$224,$C160,'TL19'!$J$10:$J$224),0),
IF('TL19'!$B$229=P$3,SUMIF('TL19'!$C$238:$C$451,$C160,'TL19'!$J$238:$J$451),0)
),0)</f>
        <v/>
      </c>
      <c r="Q160" s="9">
        <f>IFERROR(SUM(
IF('TL01'!$B$3=Q$3,SUMIF('TL01'!$C$10:$C$224,$C160,'TL01'!$J$10:$J$224),0),
IF('TL01'!$B$229=Q$3,SUMIF('TL01'!$C$238:$C$451,$C160,'TL01'!$J$238:$J$451),0),
IF('TL02'!$B$3=Q$3,SUMIF('TL02'!$C$10:$C$224,$C160,'TL02'!$J$10:$J$224),0),
IF('TL02'!$B$229=Q$3,SUMIF('TL02'!$C$238:$C$451,$C160,'TL02'!$J$238:$J$451),0),
IF('TL03'!$B$3=Q$3,SUMIF('TL03'!$C$10:$C$224,$C160,'TL03'!$J$10:$J$224),0),
IF('TL03'!$B$229=Q$3,SUMIF('TL03'!$C$238:$C$451,$C160,'TL03'!$J$238:$J$451),0),
IF('TL04'!$B$3=Q$3,SUMIF('TL04'!$C$10:$C$224,$C160,'TL04'!$J$10:$J$224),0),
IF('TL04'!$B$229=Q$3,SUMIF('TL04'!$C$238:$C$451,$C160,'TL04'!$J$238:$J$451),0),
IF('TL05'!$B$3=Q$3,SUMIF('TL05'!$C$10:$C$224,$C160,'TL05'!$J$10:$J$224),0),
IF('TL05'!$B$229=Q$3,SUMIF('TL05'!$C$238:$C$451,$C160,'TL05'!$J$238:$J$451),0),
IF('TL06'!$B$3=Q$3,SUMIF('TL06'!$C$10:$C$224,$C160,'TL06'!$J$10:$J$224),0),
IF('TL06'!$B$229=Q$3,SUMIF('TL06'!$C$238:$C$451,$C160,'TL06'!$J$238:$J$451),0),
IF('TL07'!$B$3=Q$3,SUMIF('TL07'!$C$10:$C$224,$C160,'TL07'!$J$10:$J$224),0),
IF('TL07'!$B$229=Q$3,SUMIF('TL07'!$C$238:$C$451,$C160,'TL07'!$J$238:$J$451),0),
IF('TL08'!$B$3=Q$3,SUMIF('TL08'!$C$10:$C$224,$C160,'TL08'!$J$10:$J$224),0),
IF('TL08'!$B$229=Q$3,SUMIF('TL08'!$C$238:$C$451,$C160,'TL08'!$J$238:$J$451),0),
IF('TL09'!$B$3=Q$3,SUMIF('TL09'!$C$10:$C$224,$C160,'TL09'!$J$10:$J$224),0),
IF('TL09'!$B$229=Q$3,SUMIF('TL09'!$C$238:$C$451,$C160,'TL09'!$J$238:$J$451),0),
IF('TL10'!$B$3=Q$3,SUMIF('TL10'!$C$10:$C$224,$C160,'TL10'!$J$10:$J$224),0),
IF('TL10'!$B$229=Q$3,SUMIF('TL10'!$C$238:$C$451,$C160,'TL10'!$J$238:$J$451),0),
IF('TL11'!$B$3=Q$3,SUMIF('TL11'!$C$10:$C$224,$C160,'TL11'!$J$10:$J$224),0),
IF('TL11'!$B$229=Q$3,SUMIF('TL11'!$C$238:$C$451,$C160,'TL11'!$J$238:$J$451),0),
IF('TL12'!$B$3=Q$3,SUMIF('TL12'!$C$10:$C$224,$C160,'TL12'!$J$10:$J$224),0),
IF('TL12'!$B$229=Q$3,SUMIF('TL12'!$C$238:$C$451,$C160,'TL12'!$J$238:$J$451),0),
IF('TL13'!$B$3=Q$3,SUMIF('TL13'!$C$10:$C$224,$C160,'TL13'!$J$10:$J$224),0),
IF('TL13'!$B$229=Q$3,SUMIF('TL13'!$C$238:$C$451,$C160,'TL13'!$J$238:$J$451),0),
IF('TL14'!$B$3=Q$3,SUMIF('TL14'!$C$10:$C$224,$C160,'TL14'!$J$10:$J$224),0),
IF('TL14'!$B$229=Q$3,SUMIF('TL14'!$C$238:$C$451,$C160,'TL14'!$J$238:$J$451),0),
IF('TL15'!$B$3=Q$3,SUMIF('TL15'!$C$10:$C$224,$C160,'TL15'!$J$10:$J$224),0),
IF('TL15'!$B$229=Q$3,SUMIF('TL15'!$C$238:$C$451,$C160,'TL15'!$J$238:$J$451),0),
IF('TL16'!$B$3=Q$3,SUMIF('TL16'!$C$10:$C$224,$C160,'TL16'!$J$10:$J$224),0),
IF('TL16'!$B$229=Q$3,SUMIF('TL16'!$C$238:$C$451,$C160,'TL16'!$J$238:$J$451),0),
IF('TL17'!$B$3=Q$3,SUMIF('TL17'!$C$10:$C$224,$C160,'TL17'!$J$10:$J$224),0),
IF('TL17'!$B$229=Q$3,SUMIF('TL17'!$C$238:$C$451,$C160,'TL17'!$J$238:$J$451),0),
IF('TL18'!$B$3=Q$3,SUMIF('TL18'!$C$10:$C$224,$C160,'TL18'!$J$10:$J$224),0),
IF('TL18'!$B$229=Q$3,SUMIF('TL18'!$C$238:$C$451,$C160,'TL18'!$J$238:$J$451),0),
IF('TL19'!$B$3=Q$3,SUMIF('TL19'!$C$10:$C$224,$C160,'TL19'!$J$10:$J$224),0),
IF('TL19'!$B$229=Q$3,SUMIF('TL19'!$C$238:$C$451,$C160,'TL19'!$J$238:$J$451),0)
),0)</f>
        <v/>
      </c>
      <c r="R160" s="9">
        <f>IFERROR(
SUM(
SUMIF('TL01'!C:C,C160,'TL01'!J:J),
SUMIF('TL02'!C:C,C160,'TL02'!J:J),
SUMIF('TL03'!C:C,C160,'TL03'!J:J),
SUMIF('TL04'!C:C,C160,'TL04'!J:J),
SUMIF('TL05'!C:C,C160,'TL05'!J:J),
SUMIF('TL06'!C:C,C160,'TL06'!J:J),
SUMIF('TL07'!C:C,C160,'TL07'!J:J),
SUMIF('TL08'!C:C,C160,'TL08'!J:J),
SUMIF('TL09'!C:C,C160,'TL09'!J:J),
SUMIF('TL10'!C:C,C160,'TL10'!J:J),
SUMIF('TL11'!C:C,C160,'TL11'!J:J),
SUMIF('TL12'!C:C,C160,'TL12'!J:J),
SUMIF('TL13'!C:C,C160,'TL13'!J:J),
SUMIF('TL14'!C:C,C160,'TL14'!J:J),
SUMIF('TL15'!C:C,C160,'TL15'!J:J),
SUMIF('TL16'!C:C,C160,'TL16'!J:J),
SUMIF('TL17'!C:C,C160,'TL17'!J:J),
SUMIF('TL18'!C:C,C160,'TL18'!J:J),SUMIF('TL19'!C:C,C160,'TL19'!J:J))
,0)</f>
        <v/>
      </c>
      <c r="S160" s="17">
        <f>IFERROR(__xludf.DUMMYFUNCTION("IFERROR(VLOOKUP(C160,
IMPORTRANGE(""1wULbzX32WdYsx-lj2U3uUNBBe2INVIRDtcK0d-Dvl90"",
""26-27!C:G""),
5,
FALSE),
"""")"),36.05886)</f>
        <v/>
      </c>
      <c r="T160" s="9" t="n"/>
      <c r="U160" s="92">
        <f>MAX(0,R160-T160)</f>
        <v/>
      </c>
      <c r="V160" s="93">
        <f>U160*S160</f>
        <v/>
      </c>
    </row>
    <row r="161" hidden="1" ht="15.75" customHeight="1" s="297">
      <c r="A161" s="111" t="inlineStr">
        <is>
          <t>SYNGENTA</t>
        </is>
      </c>
      <c r="B161" s="112" t="inlineStr">
        <is>
          <t>HERBICIDA</t>
        </is>
      </c>
      <c r="C161" s="113" t="inlineStr">
        <is>
          <t>DUAL GOLD</t>
        </is>
      </c>
      <c r="D161" s="113" t="inlineStr">
        <is>
          <t>S-METOLACLORO</t>
        </is>
      </c>
      <c r="E161" s="113" t="n">
        <v>960</v>
      </c>
      <c r="F161" s="4" t="inlineStr">
        <is>
          <t>KG</t>
        </is>
      </c>
      <c r="G161" s="90">
        <f>HYPERLINK("https://www.google.com/search?q=" &amp; C161 &amp; "+bula+agrofit+pdf", "📄 Ver bula")</f>
        <v/>
      </c>
      <c r="H161" s="9">
        <f>IFERROR(__xludf.DUMMYFUNCTION("IFERROR(VLOOKUP(C161,
IMPORTRANGE(""1wULbzX32WdYsx-lj2U3uUNBBe2INVIRDtcK0d-Dvl90"",
""26-27!C:K""),
8,
FALSE),
"""")"),2.0)</f>
        <v/>
      </c>
      <c r="I161" s="114" t="inlineStr">
        <is>
          <t>1x20</t>
        </is>
      </c>
      <c r="J161" s="9">
        <f>IFERROR(SUM(
IF('TL01'!$B$3=J$3,SUMIF('TL01'!$C$10:$C$224,$C161,'TL01'!$J$10:$J$224),0),
IF('TL01'!$B$229=J$3,SUMIF('TL01'!$C$238:$C$451,$C161,'TL01'!$J$238:$J$451),0),
IF('TL02'!$B$3=J$3,SUMIF('TL02'!$C$10:$C$224,$C161,'TL02'!$J$10:$J$224),0),
IF('TL02'!$B$229=J$3,SUMIF('TL02'!$C$238:$C$451,$C161,'TL02'!$J$238:$J$451),0),
IF('TL03'!$B$3=J$3,SUMIF('TL03'!$C$10:$C$224,$C161,'TL03'!$J$10:$J$224),0),
IF('TL03'!$B$229=J$3,SUMIF('TL03'!$C$238:$C$451,$C161,'TL03'!$J$238:$J$451),0),
IF('TL04'!$B$3=J$3,SUMIF('TL04'!$C$10:$C$224,$C161,'TL04'!$J$10:$J$224),0),
IF('TL04'!$B$229=J$3,SUMIF('TL04'!$C$238:$C$451,$C161,'TL04'!$J$238:$J$451),0),
IF('TL05'!$B$3=J$3,SUMIF('TL05'!$C$10:$C$224,$C161,'TL05'!$J$10:$J$224),0),
IF('TL05'!$B$229=J$3,SUMIF('TL05'!$C$238:$C$451,$C161,'TL05'!$J$238:$J$451),0),
IF('TL06'!$B$3=J$3,SUMIF('TL06'!$C$10:$C$224,$C161,'TL06'!$J$10:$J$224),0),
IF('TL06'!$B$229=J$3,SUMIF('TL06'!$C$238:$C$451,$C161,'TL06'!$J$238:$J$451),0),
IF('TL07'!$B$3=J$3,SUMIF('TL07'!$C$10:$C$224,$C161,'TL07'!$J$10:$J$224),0),
IF('TL07'!$B$229=J$3,SUMIF('TL07'!$C$238:$C$451,$C161,'TL07'!$J$238:$J$451),0),
IF('TL08'!$B$3=J$3,SUMIF('TL08'!$C$10:$C$224,$C161,'TL08'!$J$10:$J$224),0),
IF('TL08'!$B$229=J$3,SUMIF('TL08'!$C$238:$C$451,$C161,'TL08'!$J$238:$J$451),0),
IF('TL09'!$B$3=J$3,SUMIF('TL09'!$C$10:$C$224,$C161,'TL09'!$J$10:$J$224),0),
IF('TL09'!$B$229=J$3,SUMIF('TL09'!$C$238:$C$451,$C161,'TL09'!$J$238:$J$451),0),
IF('TL10'!$B$3=J$3,SUMIF('TL10'!$C$10:$C$224,$C161,'TL10'!$J$10:$J$224),0),
IF('TL10'!$B$229=J$3,SUMIF('TL10'!$C$238:$C$451,$C161,'TL10'!$J$238:$J$451),0),
IF('TL11'!$B$3=J$3,SUMIF('TL11'!$C$10:$C$224,$C161,'TL11'!$J$10:$J$224),0),
IF('TL11'!$B$229=J$3,SUMIF('TL11'!$C$238:$C$451,$C161,'TL11'!$J$238:$J$451),0),
IF('TL12'!$B$3=J$3,SUMIF('TL12'!$C$10:$C$224,$C161,'TL12'!$J$10:$J$224),0),
IF('TL12'!$B$229=J$3,SUMIF('TL12'!$C$238:$C$451,$C161,'TL12'!$J$238:$J$451),0),
IF('TL13'!$B$3=J$3,SUMIF('TL13'!$C$10:$C$224,$C161,'TL13'!$J$10:$J$224),0),
IF('TL13'!$B$229=J$3,SUMIF('TL13'!$C$238:$C$451,$C161,'TL13'!$J$238:$J$451),0),
IF('TL14'!$B$3=J$3,SUMIF('TL14'!$C$10:$C$224,$C161,'TL14'!$J$10:$J$224),0),
IF('TL14'!$B$229=J$3,SUMIF('TL14'!$C$238:$C$451,$C161,'TL14'!$J$238:$J$451),0),
IF('TL15'!$B$3=J$3,SUMIF('TL15'!$C$10:$C$224,$C161,'TL15'!$J$10:$J$224),0),
IF('TL15'!$B$229=J$3,SUMIF('TL15'!$C$238:$C$451,$C161,'TL15'!$J$238:$J$451),0),
IF('TL16'!$B$3=J$3,SUMIF('TL16'!$C$10:$C$224,$C161,'TL16'!$J$10:$J$224),0),
IF('TL16'!$B$229=J$3,SUMIF('TL16'!$C$238:$C$451,$C161,'TL16'!$J$238:$J$451),0),
IF('TL17'!$B$3=J$3,SUMIF('TL17'!$C$10:$C$224,$C161,'TL17'!$J$10:$J$224),0),
IF('TL17'!$B$229=J$3,SUMIF('TL17'!$C$238:$C$451,$C161,'TL17'!$J$238:$J$451),0),
IF('TL18'!$B$3=J$3,SUMIF('TL18'!$C$10:$C$224,$C161,'TL18'!$J$10:$J$224),0),
IF('TL18'!$B$229=J$3,SUMIF('TL18'!$C$238:$C$451,$C161,'TL18'!$J$238:$J$451),0),
IF('TL19'!$B$3=J$3,SUMIF('TL19'!$C$10:$C$224,$C161,'TL19'!$J$10:$J$224),0),
IF('TL19'!$B$229=J$3,SUMIF('TL19'!$C$238:$C$451,$C161,'TL19'!$J$238:$J$451),0)
),0)</f>
        <v/>
      </c>
      <c r="K161" s="9">
        <f>IFERROR(SUM(
IF('TL01'!$B$3=K$3,SUMIF('TL01'!$C$10:$C$224,$C161,'TL01'!$J$10:$J$224),0),
IF('TL01'!$B$229=K$3,SUMIF('TL01'!$C$238:$C$451,$C161,'TL01'!$J$238:$J$451),0),
IF('TL02'!$B$3=K$3,SUMIF('TL02'!$C$10:$C$224,$C161,'TL02'!$J$10:$J$224),0),
IF('TL02'!$B$229=K$3,SUMIF('TL02'!$C$238:$C$451,$C161,'TL02'!$J$238:$J$451),0),
IF('TL03'!$B$3=K$3,SUMIF('TL03'!$C$10:$C$224,$C161,'TL03'!$J$10:$J$224),0),
IF('TL03'!$B$229=K$3,SUMIF('TL03'!$C$238:$C$451,$C161,'TL03'!$J$238:$J$451),0),
IF('TL04'!$B$3=K$3,SUMIF('TL04'!$C$10:$C$224,$C161,'TL04'!$J$10:$J$224),0),
IF('TL04'!$B$229=K$3,SUMIF('TL04'!$C$238:$C$451,$C161,'TL04'!$J$238:$J$451),0),
IF('TL05'!$B$3=K$3,SUMIF('TL05'!$C$10:$C$224,$C161,'TL05'!$J$10:$J$224),0),
IF('TL05'!$B$229=K$3,SUMIF('TL05'!$C$238:$C$451,$C161,'TL05'!$J$238:$J$451),0),
IF('TL06'!$B$3=K$3,SUMIF('TL06'!$C$10:$C$224,$C161,'TL06'!$J$10:$J$224),0),
IF('TL06'!$B$229=K$3,SUMIF('TL06'!$C$238:$C$451,$C161,'TL06'!$J$238:$J$451),0),
IF('TL07'!$B$3=K$3,SUMIF('TL07'!$C$10:$C$224,$C161,'TL07'!$J$10:$J$224),0),
IF('TL07'!$B$229=K$3,SUMIF('TL07'!$C$238:$C$451,$C161,'TL07'!$J$238:$J$451),0),
IF('TL08'!$B$3=K$3,SUMIF('TL08'!$C$10:$C$224,$C161,'TL08'!$J$10:$J$224),0),
IF('TL08'!$B$229=K$3,SUMIF('TL08'!$C$238:$C$451,$C161,'TL08'!$J$238:$J$451),0),
IF('TL09'!$B$3=K$3,SUMIF('TL09'!$C$10:$C$224,$C161,'TL09'!$J$10:$J$224),0),
IF('TL09'!$B$229=K$3,SUMIF('TL09'!$C$238:$C$451,$C161,'TL09'!$J$238:$J$451),0),
IF('TL10'!$B$3=K$3,SUMIF('TL10'!$C$10:$C$224,$C161,'TL10'!$J$10:$J$224),0),
IF('TL10'!$B$229=K$3,SUMIF('TL10'!$C$238:$C$451,$C161,'TL10'!$J$238:$J$451),0),
IF('TL11'!$B$3=K$3,SUMIF('TL11'!$C$10:$C$224,$C161,'TL11'!$J$10:$J$224),0),
IF('TL11'!$B$229=K$3,SUMIF('TL11'!$C$238:$C$451,$C161,'TL11'!$J$238:$J$451),0),
IF('TL12'!$B$3=K$3,SUMIF('TL12'!$C$10:$C$224,$C161,'TL12'!$J$10:$J$224),0),
IF('TL12'!$B$229=K$3,SUMIF('TL12'!$C$238:$C$451,$C161,'TL12'!$J$238:$J$451),0),
IF('TL13'!$B$3=K$3,SUMIF('TL13'!$C$10:$C$224,$C161,'TL13'!$J$10:$J$224),0),
IF('TL13'!$B$229=K$3,SUMIF('TL13'!$C$238:$C$451,$C161,'TL13'!$J$238:$J$451),0),
IF('TL14'!$B$3=K$3,SUMIF('TL14'!$C$10:$C$224,$C161,'TL14'!$J$10:$J$224),0),
IF('TL14'!$B$229=K$3,SUMIF('TL14'!$C$238:$C$451,$C161,'TL14'!$J$238:$J$451),0),
IF('TL15'!$B$3=K$3,SUMIF('TL15'!$C$10:$C$224,$C161,'TL15'!$J$10:$J$224),0),
IF('TL15'!$B$229=K$3,SUMIF('TL15'!$C$238:$C$451,$C161,'TL15'!$J$238:$J$451),0),
IF('TL16'!$B$3=K$3,SUMIF('TL16'!$C$10:$C$224,$C161,'TL16'!$J$10:$J$224),0),
IF('TL16'!$B$229=K$3,SUMIF('TL16'!$C$238:$C$451,$C161,'TL16'!$J$238:$J$451),0),
IF('TL17'!$B$3=K$3,SUMIF('TL17'!$C$10:$C$224,$C161,'TL17'!$J$10:$J$224),0),
IF('TL17'!$B$229=K$3,SUMIF('TL17'!$C$238:$C$451,$C161,'TL17'!$J$238:$J$451),0),
IF('TL18'!$B$3=K$3,SUMIF('TL18'!$C$10:$C$224,$C161,'TL18'!$J$10:$J$224),0),
IF('TL18'!$B$229=K$3,SUMIF('TL18'!$C$238:$C$451,$C161,'TL18'!$J$238:$J$451),0),
IF('TL19'!$B$3=K$3,SUMIF('TL19'!$C$10:$C$224,$C161,'TL19'!$J$10:$J$224),0),
IF('TL19'!$B$229=K$3,SUMIF('TL19'!$C$238:$C$451,$C161,'TL19'!$J$238:$J$451),0)
),0)</f>
        <v/>
      </c>
      <c r="L161" s="9">
        <f>IFERROR(SUM(
IF('TL01'!$B$3=L$3,SUMIF('TL01'!$C$10:$C$224,$C161,'TL01'!$J$10:$J$224),0),
IF('TL01'!$B$229=L$3,SUMIF('TL01'!$C$238:$C$451,$C161,'TL01'!$J$238:$J$451),0),
IF('TL02'!$B$3=L$3,SUMIF('TL02'!$C$10:$C$224,$C161,'TL02'!$J$10:$J$224),0),
IF('TL02'!$B$229=L$3,SUMIF('TL02'!$C$238:$C$451,$C161,'TL02'!$J$238:$J$451),0),
IF('TL03'!$B$3=L$3,SUMIF('TL03'!$C$10:$C$224,$C161,'TL03'!$J$10:$J$224),0),
IF('TL03'!$B$229=L$3,SUMIF('TL03'!$C$238:$C$451,$C161,'TL03'!$J$238:$J$451),0),
IF('TL04'!$B$3=L$3,SUMIF('TL04'!$C$10:$C$224,$C161,'TL04'!$J$10:$J$224),0),
IF('TL04'!$B$229=L$3,SUMIF('TL04'!$C$238:$C$451,$C161,'TL04'!$J$238:$J$451),0),
IF('TL05'!$B$3=L$3,SUMIF('TL05'!$C$10:$C$224,$C161,'TL05'!$J$10:$J$224),0),
IF('TL05'!$B$229=L$3,SUMIF('TL05'!$C$238:$C$451,$C161,'TL05'!$J$238:$J$451),0),
IF('TL06'!$B$3=L$3,SUMIF('TL06'!$C$10:$C$224,$C161,'TL06'!$J$10:$J$224),0),
IF('TL06'!$B$229=L$3,SUMIF('TL06'!$C$238:$C$451,$C161,'TL06'!$J$238:$J$451),0),
IF('TL07'!$B$3=L$3,SUMIF('TL07'!$C$10:$C$224,$C161,'TL07'!$J$10:$J$224),0),
IF('TL07'!$B$229=L$3,SUMIF('TL07'!$C$238:$C$451,$C161,'TL07'!$J$238:$J$451),0),
IF('TL08'!$B$3=L$3,SUMIF('TL08'!$C$10:$C$224,$C161,'TL08'!$J$10:$J$224),0),
IF('TL08'!$B$229=L$3,SUMIF('TL08'!$C$238:$C$451,$C161,'TL08'!$J$238:$J$451),0),
IF('TL09'!$B$3=L$3,SUMIF('TL09'!$C$10:$C$224,$C161,'TL09'!$J$10:$J$224),0),
IF('TL09'!$B$229=L$3,SUMIF('TL09'!$C$238:$C$451,$C161,'TL09'!$J$238:$J$451),0),
IF('TL10'!$B$3=L$3,SUMIF('TL10'!$C$10:$C$224,$C161,'TL10'!$J$10:$J$224),0),
IF('TL10'!$B$229=L$3,SUMIF('TL10'!$C$238:$C$451,$C161,'TL10'!$J$238:$J$451),0),
IF('TL11'!$B$3=L$3,SUMIF('TL11'!$C$10:$C$224,$C161,'TL11'!$J$10:$J$224),0),
IF('TL11'!$B$229=L$3,SUMIF('TL11'!$C$238:$C$451,$C161,'TL11'!$J$238:$J$451),0),
IF('TL12'!$B$3=L$3,SUMIF('TL12'!$C$10:$C$224,$C161,'TL12'!$J$10:$J$224),0),
IF('TL12'!$B$229=L$3,SUMIF('TL12'!$C$238:$C$451,$C161,'TL12'!$J$238:$J$451),0),
IF('TL13'!$B$3=L$3,SUMIF('TL13'!$C$10:$C$224,$C161,'TL13'!$J$10:$J$224),0),
IF('TL13'!$B$229=L$3,SUMIF('TL13'!$C$238:$C$451,$C161,'TL13'!$J$238:$J$451),0),
IF('TL14'!$B$3=L$3,SUMIF('TL14'!$C$10:$C$224,$C161,'TL14'!$J$10:$J$224),0),
IF('TL14'!$B$229=L$3,SUMIF('TL14'!$C$238:$C$451,$C161,'TL14'!$J$238:$J$451),0),
IF('TL15'!$B$3=L$3,SUMIF('TL15'!$C$10:$C$224,$C161,'TL15'!$J$10:$J$224),0),
IF('TL15'!$B$229=L$3,SUMIF('TL15'!$C$238:$C$451,$C161,'TL15'!$J$238:$J$451),0),
IF('TL16'!$B$3=L$3,SUMIF('TL16'!$C$10:$C$224,$C161,'TL16'!$J$10:$J$224),0),
IF('TL16'!$B$229=L$3,SUMIF('TL16'!$C$238:$C$451,$C161,'TL16'!$J$238:$J$451),0),
IF('TL17'!$B$3=L$3,SUMIF('TL17'!$C$10:$C$224,$C161,'TL17'!$J$10:$J$224),0),
IF('TL17'!$B$229=L$3,SUMIF('TL17'!$C$238:$C$451,$C161,'TL17'!$J$238:$J$451),0),
IF('TL18'!$B$3=L$3,SUMIF('TL18'!$C$10:$C$224,$C161,'TL18'!$J$10:$J$224),0),
IF('TL18'!$B$229=L$3,SUMIF('TL18'!$C$238:$C$451,$C161,'TL18'!$J$238:$J$451),0),
IF('TL19'!$B$3=L$3,SUMIF('TL19'!$C$10:$C$224,$C161,'TL19'!$J$10:$J$224),0),
IF('TL19'!$B$229=L$3,SUMIF('TL19'!$C$238:$C$451,$C161,'TL19'!$J$238:$J$451),0)
),0)</f>
        <v/>
      </c>
      <c r="M161" s="9">
        <f>IFERROR(SUM(
IF('TL01'!$B$3=M$3,SUMIF('TL01'!$C$10:$C$224,$C161,'TL01'!$J$10:$J$224),0),
IF('TL01'!$B$229=M$3,SUMIF('TL01'!$C$238:$C$451,$C161,'TL01'!$J$238:$J$451),0),
IF('TL02'!$B$3=M$3,SUMIF('TL02'!$C$10:$C$224,$C161,'TL02'!$J$10:$J$224),0),
IF('TL02'!$B$229=M$3,SUMIF('TL02'!$C$238:$C$451,$C161,'TL02'!$J$238:$J$451),0),
IF('TL03'!$B$3=M$3,SUMIF('TL03'!$C$10:$C$224,$C161,'TL03'!$J$10:$J$224),0),
IF('TL03'!$B$229=M$3,SUMIF('TL03'!$C$238:$C$451,$C161,'TL03'!$J$238:$J$451),0),
IF('TL04'!$B$3=M$3,SUMIF('TL04'!$C$10:$C$224,$C161,'TL04'!$J$10:$J$224),0),
IF('TL04'!$B$229=M$3,SUMIF('TL04'!$C$238:$C$451,$C161,'TL04'!$J$238:$J$451),0),
IF('TL05'!$B$3=M$3,SUMIF('TL05'!$C$10:$C$224,$C161,'TL05'!$J$10:$J$224),0),
IF('TL05'!$B$229=M$3,SUMIF('TL05'!$C$238:$C$451,$C161,'TL05'!$J$238:$J$451),0),
IF('TL06'!$B$3=M$3,SUMIF('TL06'!$C$10:$C$224,$C161,'TL06'!$J$10:$J$224),0),
IF('TL06'!$B$229=M$3,SUMIF('TL06'!$C$238:$C$451,$C161,'TL06'!$J$238:$J$451),0),
IF('TL07'!$B$3=M$3,SUMIF('TL07'!$C$10:$C$224,$C161,'TL07'!$J$10:$J$224),0),
IF('TL07'!$B$229=M$3,SUMIF('TL07'!$C$238:$C$451,$C161,'TL07'!$J$238:$J$451),0),
IF('TL08'!$B$3=M$3,SUMIF('TL08'!$C$10:$C$224,$C161,'TL08'!$J$10:$J$224),0),
IF('TL08'!$B$229=M$3,SUMIF('TL08'!$C$238:$C$451,$C161,'TL08'!$J$238:$J$451),0),
IF('TL09'!$B$3=M$3,SUMIF('TL09'!$C$10:$C$224,$C161,'TL09'!$J$10:$J$224),0),
IF('TL09'!$B$229=M$3,SUMIF('TL09'!$C$238:$C$451,$C161,'TL09'!$J$238:$J$451),0),
IF('TL10'!$B$3=M$3,SUMIF('TL10'!$C$10:$C$224,$C161,'TL10'!$J$10:$J$224),0),
IF('TL10'!$B$229=M$3,SUMIF('TL10'!$C$238:$C$451,$C161,'TL10'!$J$238:$J$451),0),
IF('TL11'!$B$3=M$3,SUMIF('TL11'!$C$10:$C$224,$C161,'TL11'!$J$10:$J$224),0),
IF('TL11'!$B$229=M$3,SUMIF('TL11'!$C$238:$C$451,$C161,'TL11'!$J$238:$J$451),0),
IF('TL12'!$B$3=M$3,SUMIF('TL12'!$C$10:$C$224,$C161,'TL12'!$J$10:$J$224),0),
IF('TL12'!$B$229=M$3,SUMIF('TL12'!$C$238:$C$451,$C161,'TL12'!$J$238:$J$451),0),
IF('TL13'!$B$3=M$3,SUMIF('TL13'!$C$10:$C$224,$C161,'TL13'!$J$10:$J$224),0),
IF('TL13'!$B$229=M$3,SUMIF('TL13'!$C$238:$C$451,$C161,'TL13'!$J$238:$J$451),0),
IF('TL14'!$B$3=M$3,SUMIF('TL14'!$C$10:$C$224,$C161,'TL14'!$J$10:$J$224),0),
IF('TL14'!$B$229=M$3,SUMIF('TL14'!$C$238:$C$451,$C161,'TL14'!$J$238:$J$451),0),
IF('TL15'!$B$3=M$3,SUMIF('TL15'!$C$10:$C$224,$C161,'TL15'!$J$10:$J$224),0),
IF('TL15'!$B$229=M$3,SUMIF('TL15'!$C$238:$C$451,$C161,'TL15'!$J$238:$J$451),0),
IF('TL16'!$B$3=M$3,SUMIF('TL16'!$C$10:$C$224,$C161,'TL16'!$J$10:$J$224),0),
IF('TL16'!$B$229=M$3,SUMIF('TL16'!$C$238:$C$451,$C161,'TL16'!$J$238:$J$451),0),
IF('TL17'!$B$3=M$3,SUMIF('TL17'!$C$10:$C$224,$C161,'TL17'!$J$10:$J$224),0),
IF('TL17'!$B$229=M$3,SUMIF('TL17'!$C$238:$C$451,$C161,'TL17'!$J$238:$J$451),0),
IF('TL18'!$B$3=M$3,SUMIF('TL18'!$C$10:$C$224,$C161,'TL18'!$J$10:$J$224),0),
IF('TL18'!$B$229=M$3,SUMIF('TL18'!$C$238:$C$451,$C161,'TL18'!$J$238:$J$451),0),
IF('TL19'!$B$3=M$3,SUMIF('TL19'!$C$10:$C$224,$C161,'TL19'!$J$10:$J$224),0),
IF('TL19'!$B$229=M$3,SUMIF('TL19'!$C$238:$C$451,$C161,'TL19'!$J$238:$J$451),0)
),0)</f>
        <v/>
      </c>
      <c r="N161" s="9">
        <f>IFERROR(SUM(
IF('TL01'!$B$3=N$3,SUMIF('TL01'!$C$10:$C$224,$C161,'TL01'!$J$10:$J$224),0),
IF('TL01'!$B$229=N$3,SUMIF('TL01'!$C$238:$C$451,$C161,'TL01'!$J$238:$J$451),0),
IF('TL02'!$B$3=N$3,SUMIF('TL02'!$C$10:$C$224,$C161,'TL02'!$J$10:$J$224),0),
IF('TL02'!$B$229=N$3,SUMIF('TL02'!$C$238:$C$451,$C161,'TL02'!$J$238:$J$451),0),
IF('TL03'!$B$3=N$3,SUMIF('TL03'!$C$10:$C$224,$C161,'TL03'!$J$10:$J$224),0),
IF('TL03'!$B$229=N$3,SUMIF('TL03'!$C$238:$C$451,$C161,'TL03'!$J$238:$J$451),0),
IF('TL04'!$B$3=N$3,SUMIF('TL04'!$C$10:$C$224,$C161,'TL04'!$J$10:$J$224),0),
IF('TL04'!$B$229=N$3,SUMIF('TL04'!$C$238:$C$451,$C161,'TL04'!$J$238:$J$451),0),
IF('TL05'!$B$3=N$3,SUMIF('TL05'!$C$10:$C$224,$C161,'TL05'!$J$10:$J$224),0),
IF('TL05'!$B$229=N$3,SUMIF('TL05'!$C$238:$C$451,$C161,'TL05'!$J$238:$J$451),0),
IF('TL06'!$B$3=N$3,SUMIF('TL06'!$C$10:$C$224,$C161,'TL06'!$J$10:$J$224),0),
IF('TL06'!$B$229=N$3,SUMIF('TL06'!$C$238:$C$451,$C161,'TL06'!$J$238:$J$451),0),
IF('TL07'!$B$3=N$3,SUMIF('TL07'!$C$10:$C$224,$C161,'TL07'!$J$10:$J$224),0),
IF('TL07'!$B$229=N$3,SUMIF('TL07'!$C$238:$C$451,$C161,'TL07'!$J$238:$J$451),0),
IF('TL08'!$B$3=N$3,SUMIF('TL08'!$C$10:$C$224,$C161,'TL08'!$J$10:$J$224),0),
IF('TL08'!$B$229=N$3,SUMIF('TL08'!$C$238:$C$451,$C161,'TL08'!$J$238:$J$451),0),
IF('TL09'!$B$3=N$3,SUMIF('TL09'!$C$10:$C$224,$C161,'TL09'!$J$10:$J$224),0),
IF('TL09'!$B$229=N$3,SUMIF('TL09'!$C$238:$C$451,$C161,'TL09'!$J$238:$J$451),0),
IF('TL10'!$B$3=N$3,SUMIF('TL10'!$C$10:$C$224,$C161,'TL10'!$J$10:$J$224),0),
IF('TL10'!$B$229=N$3,SUMIF('TL10'!$C$238:$C$451,$C161,'TL10'!$J$238:$J$451),0),
IF('TL11'!$B$3=N$3,SUMIF('TL11'!$C$10:$C$224,$C161,'TL11'!$J$10:$J$224),0),
IF('TL11'!$B$229=N$3,SUMIF('TL11'!$C$238:$C$451,$C161,'TL11'!$J$238:$J$451),0),
IF('TL12'!$B$3=N$3,SUMIF('TL12'!$C$10:$C$224,$C161,'TL12'!$J$10:$J$224),0),
IF('TL12'!$B$229=N$3,SUMIF('TL12'!$C$238:$C$451,$C161,'TL12'!$J$238:$J$451),0),
IF('TL13'!$B$3=N$3,SUMIF('TL13'!$C$10:$C$224,$C161,'TL13'!$J$10:$J$224),0),
IF('TL13'!$B$229=N$3,SUMIF('TL13'!$C$238:$C$451,$C161,'TL13'!$J$238:$J$451),0),
IF('TL14'!$B$3=N$3,SUMIF('TL14'!$C$10:$C$224,$C161,'TL14'!$J$10:$J$224),0),
IF('TL14'!$B$229=N$3,SUMIF('TL14'!$C$238:$C$451,$C161,'TL14'!$J$238:$J$451),0),
IF('TL15'!$B$3=N$3,SUMIF('TL15'!$C$10:$C$224,$C161,'TL15'!$J$10:$J$224),0),
IF('TL15'!$B$229=N$3,SUMIF('TL15'!$C$238:$C$451,$C161,'TL15'!$J$238:$J$451),0),
IF('TL16'!$B$3=N$3,SUMIF('TL16'!$C$10:$C$224,$C161,'TL16'!$J$10:$J$224),0),
IF('TL16'!$B$229=N$3,SUMIF('TL16'!$C$238:$C$451,$C161,'TL16'!$J$238:$J$451),0),
IF('TL17'!$B$3=N$3,SUMIF('TL17'!$C$10:$C$224,$C161,'TL17'!$J$10:$J$224),0),
IF('TL17'!$B$229=N$3,SUMIF('TL17'!$C$238:$C$451,$C161,'TL17'!$J$238:$J$451),0),
IF('TL18'!$B$3=N$3,SUMIF('TL18'!$C$10:$C$224,$C161,'TL18'!$J$10:$J$224),0),
IF('TL18'!$B$229=N$3,SUMIF('TL18'!$C$238:$C$451,$C161,'TL18'!$J$238:$J$451),0),
IF('TL19'!$B$3=N$3,SUMIF('TL19'!$C$10:$C$224,$C161,'TL19'!$J$10:$J$224),0),
IF('TL19'!$B$229=N$3,SUMIF('TL19'!$C$238:$C$451,$C161,'TL19'!$J$238:$J$451),0)
),0)</f>
        <v/>
      </c>
      <c r="O161" s="9">
        <f>IFERROR(SUM(
IF('TL01'!$B$3=O$3,SUMIF('TL01'!$C$10:$C$224,$C161,'TL01'!$J$10:$J$224),0),
IF('TL01'!$B$229=O$3,SUMIF('TL01'!$C$238:$C$451,$C161,'TL01'!$J$238:$J$451),0),
IF('TL02'!$B$3=O$3,SUMIF('TL02'!$C$10:$C$224,$C161,'TL02'!$J$10:$J$224),0),
IF('TL02'!$B$229=O$3,SUMIF('TL02'!$C$238:$C$451,$C161,'TL02'!$J$238:$J$451),0),
IF('TL03'!$B$3=O$3,SUMIF('TL03'!$C$10:$C$224,$C161,'TL03'!$J$10:$J$224),0),
IF('TL03'!$B$229=O$3,SUMIF('TL03'!$C$238:$C$451,$C161,'TL03'!$J$238:$J$451),0),
IF('TL04'!$B$3=O$3,SUMIF('TL04'!$C$10:$C$224,$C161,'TL04'!$J$10:$J$224),0),
IF('TL04'!$B$229=O$3,SUMIF('TL04'!$C$238:$C$451,$C161,'TL04'!$J$238:$J$451),0),
IF('TL05'!$B$3=O$3,SUMIF('TL05'!$C$10:$C$224,$C161,'TL05'!$J$10:$J$224),0),
IF('TL05'!$B$229=O$3,SUMIF('TL05'!$C$238:$C$451,$C161,'TL05'!$J$238:$J$451),0),
IF('TL06'!$B$3=O$3,SUMIF('TL06'!$C$10:$C$224,$C161,'TL06'!$J$10:$J$224),0),
IF('TL06'!$B$229=O$3,SUMIF('TL06'!$C$238:$C$451,$C161,'TL06'!$J$238:$J$451),0),
IF('TL07'!$B$3=O$3,SUMIF('TL07'!$C$10:$C$224,$C161,'TL07'!$J$10:$J$224),0),
IF('TL07'!$B$229=O$3,SUMIF('TL07'!$C$238:$C$451,$C161,'TL07'!$J$238:$J$451),0),
IF('TL08'!$B$3=O$3,SUMIF('TL08'!$C$10:$C$224,$C161,'TL08'!$J$10:$J$224),0),
IF('TL08'!$B$229=O$3,SUMIF('TL08'!$C$238:$C$451,$C161,'TL08'!$J$238:$J$451),0),
IF('TL09'!$B$3=O$3,SUMIF('TL09'!$C$10:$C$224,$C161,'TL09'!$J$10:$J$224),0),
IF('TL09'!$B$229=O$3,SUMIF('TL09'!$C$238:$C$451,$C161,'TL09'!$J$238:$J$451),0),
IF('TL10'!$B$3=O$3,SUMIF('TL10'!$C$10:$C$224,$C161,'TL10'!$J$10:$J$224),0),
IF('TL10'!$B$229=O$3,SUMIF('TL10'!$C$238:$C$451,$C161,'TL10'!$J$238:$J$451),0),
IF('TL11'!$B$3=O$3,SUMIF('TL11'!$C$10:$C$224,$C161,'TL11'!$J$10:$J$224),0),
IF('TL11'!$B$229=O$3,SUMIF('TL11'!$C$238:$C$451,$C161,'TL11'!$J$238:$J$451),0),
IF('TL12'!$B$3=O$3,SUMIF('TL12'!$C$10:$C$224,$C161,'TL12'!$J$10:$J$224),0),
IF('TL12'!$B$229=O$3,SUMIF('TL12'!$C$238:$C$451,$C161,'TL12'!$J$238:$J$451),0),
IF('TL13'!$B$3=O$3,SUMIF('TL13'!$C$10:$C$224,$C161,'TL13'!$J$10:$J$224),0),
IF('TL13'!$B$229=O$3,SUMIF('TL13'!$C$238:$C$451,$C161,'TL13'!$J$238:$J$451),0),
IF('TL14'!$B$3=O$3,SUMIF('TL14'!$C$10:$C$224,$C161,'TL14'!$J$10:$J$224),0),
IF('TL14'!$B$229=O$3,SUMIF('TL14'!$C$238:$C$451,$C161,'TL14'!$J$238:$J$451),0),
IF('TL15'!$B$3=O$3,SUMIF('TL15'!$C$10:$C$224,$C161,'TL15'!$J$10:$J$224),0),
IF('TL15'!$B$229=O$3,SUMIF('TL15'!$C$238:$C$451,$C161,'TL15'!$J$238:$J$451),0),
IF('TL16'!$B$3=O$3,SUMIF('TL16'!$C$10:$C$224,$C161,'TL16'!$J$10:$J$224),0),
IF('TL16'!$B$229=O$3,SUMIF('TL16'!$C$238:$C$451,$C161,'TL16'!$J$238:$J$451),0),
IF('TL17'!$B$3=O$3,SUMIF('TL17'!$C$10:$C$224,$C161,'TL17'!$J$10:$J$224),0),
IF('TL17'!$B$229=O$3,SUMIF('TL17'!$C$238:$C$451,$C161,'TL17'!$J$238:$J$451),0),
IF('TL18'!$B$3=O$3,SUMIF('TL18'!$C$10:$C$224,$C161,'TL18'!$J$10:$J$224),0),
IF('TL18'!$B$229=O$3,SUMIF('TL18'!$C$238:$C$451,$C161,'TL18'!$J$238:$J$451),0),
IF('TL19'!$B$3=O$3,SUMIF('TL19'!$C$10:$C$224,$C161,'TL19'!$J$10:$J$224),0),
IF('TL19'!$B$229=O$3,SUMIF('TL19'!$C$238:$C$451,$C161,'TL19'!$J$238:$J$451),0)
),0)</f>
        <v/>
      </c>
      <c r="P161" s="9">
        <f>IFERROR(SUM(
IF('TL01'!$B$3=P$3,SUMIF('TL01'!$C$10:$C$224,$C161,'TL01'!$J$10:$J$224),0),
IF('TL01'!$B$229=P$3,SUMIF('TL01'!$C$238:$C$451,$C161,'TL01'!$J$238:$J$451),0),
IF('TL02'!$B$3=P$3,SUMIF('TL02'!$C$10:$C$224,$C161,'TL02'!$J$10:$J$224),0),
IF('TL02'!$B$229=P$3,SUMIF('TL02'!$C$238:$C$451,$C161,'TL02'!$J$238:$J$451),0),
IF('TL03'!$B$3=P$3,SUMIF('TL03'!$C$10:$C$224,$C161,'TL03'!$J$10:$J$224),0),
IF('TL03'!$B$229=P$3,SUMIF('TL03'!$C$238:$C$451,$C161,'TL03'!$J$238:$J$451),0),
IF('TL04'!$B$3=P$3,SUMIF('TL04'!$C$10:$C$224,$C161,'TL04'!$J$10:$J$224),0),
IF('TL04'!$B$229=P$3,SUMIF('TL04'!$C$238:$C$451,$C161,'TL04'!$J$238:$J$451),0),
IF('TL05'!$B$3=P$3,SUMIF('TL05'!$C$10:$C$224,$C161,'TL05'!$J$10:$J$224),0),
IF('TL05'!$B$229=P$3,SUMIF('TL05'!$C$238:$C$451,$C161,'TL05'!$J$238:$J$451),0),
IF('TL06'!$B$3=P$3,SUMIF('TL06'!$C$10:$C$224,$C161,'TL06'!$J$10:$J$224),0),
IF('TL06'!$B$229=P$3,SUMIF('TL06'!$C$238:$C$451,$C161,'TL06'!$J$238:$J$451),0),
IF('TL07'!$B$3=P$3,SUMIF('TL07'!$C$10:$C$224,$C161,'TL07'!$J$10:$J$224),0),
IF('TL07'!$B$229=P$3,SUMIF('TL07'!$C$238:$C$451,$C161,'TL07'!$J$238:$J$451),0),
IF('TL08'!$B$3=P$3,SUMIF('TL08'!$C$10:$C$224,$C161,'TL08'!$J$10:$J$224),0),
IF('TL08'!$B$229=P$3,SUMIF('TL08'!$C$238:$C$451,$C161,'TL08'!$J$238:$J$451),0),
IF('TL09'!$B$3=P$3,SUMIF('TL09'!$C$10:$C$224,$C161,'TL09'!$J$10:$J$224),0),
IF('TL09'!$B$229=P$3,SUMIF('TL09'!$C$238:$C$451,$C161,'TL09'!$J$238:$J$451),0),
IF('TL10'!$B$3=P$3,SUMIF('TL10'!$C$10:$C$224,$C161,'TL10'!$J$10:$J$224),0),
IF('TL10'!$B$229=P$3,SUMIF('TL10'!$C$238:$C$451,$C161,'TL10'!$J$238:$J$451),0),
IF('TL11'!$B$3=P$3,SUMIF('TL11'!$C$10:$C$224,$C161,'TL11'!$J$10:$J$224),0),
IF('TL11'!$B$229=P$3,SUMIF('TL11'!$C$238:$C$451,$C161,'TL11'!$J$238:$J$451),0),
IF('TL12'!$B$3=P$3,SUMIF('TL12'!$C$10:$C$224,$C161,'TL12'!$J$10:$J$224),0),
IF('TL12'!$B$229=P$3,SUMIF('TL12'!$C$238:$C$451,$C161,'TL12'!$J$238:$J$451),0),
IF('TL13'!$B$3=P$3,SUMIF('TL13'!$C$10:$C$224,$C161,'TL13'!$J$10:$J$224),0),
IF('TL13'!$B$229=P$3,SUMIF('TL13'!$C$238:$C$451,$C161,'TL13'!$J$238:$J$451),0),
IF('TL14'!$B$3=P$3,SUMIF('TL14'!$C$10:$C$224,$C161,'TL14'!$J$10:$J$224),0),
IF('TL14'!$B$229=P$3,SUMIF('TL14'!$C$238:$C$451,$C161,'TL14'!$J$238:$J$451),0),
IF('TL15'!$B$3=P$3,SUMIF('TL15'!$C$10:$C$224,$C161,'TL15'!$J$10:$J$224),0),
IF('TL15'!$B$229=P$3,SUMIF('TL15'!$C$238:$C$451,$C161,'TL15'!$J$238:$J$451),0),
IF('TL16'!$B$3=P$3,SUMIF('TL16'!$C$10:$C$224,$C161,'TL16'!$J$10:$J$224),0),
IF('TL16'!$B$229=P$3,SUMIF('TL16'!$C$238:$C$451,$C161,'TL16'!$J$238:$J$451),0),
IF('TL17'!$B$3=P$3,SUMIF('TL17'!$C$10:$C$224,$C161,'TL17'!$J$10:$J$224),0),
IF('TL17'!$B$229=P$3,SUMIF('TL17'!$C$238:$C$451,$C161,'TL17'!$J$238:$J$451),0),
IF('TL18'!$B$3=P$3,SUMIF('TL18'!$C$10:$C$224,$C161,'TL18'!$J$10:$J$224),0),
IF('TL18'!$B$229=P$3,SUMIF('TL18'!$C$238:$C$451,$C161,'TL18'!$J$238:$J$451),0),
IF('TL19'!$B$3=P$3,SUMIF('TL19'!$C$10:$C$224,$C161,'TL19'!$J$10:$J$224),0),
IF('TL19'!$B$229=P$3,SUMIF('TL19'!$C$238:$C$451,$C161,'TL19'!$J$238:$J$451),0)
),0)</f>
        <v/>
      </c>
      <c r="Q161" s="9">
        <f>IFERROR(SUM(
IF('TL01'!$B$3=Q$3,SUMIF('TL01'!$C$10:$C$224,$C161,'TL01'!$J$10:$J$224),0),
IF('TL01'!$B$229=Q$3,SUMIF('TL01'!$C$238:$C$451,$C161,'TL01'!$J$238:$J$451),0),
IF('TL02'!$B$3=Q$3,SUMIF('TL02'!$C$10:$C$224,$C161,'TL02'!$J$10:$J$224),0),
IF('TL02'!$B$229=Q$3,SUMIF('TL02'!$C$238:$C$451,$C161,'TL02'!$J$238:$J$451),0),
IF('TL03'!$B$3=Q$3,SUMIF('TL03'!$C$10:$C$224,$C161,'TL03'!$J$10:$J$224),0),
IF('TL03'!$B$229=Q$3,SUMIF('TL03'!$C$238:$C$451,$C161,'TL03'!$J$238:$J$451),0),
IF('TL04'!$B$3=Q$3,SUMIF('TL04'!$C$10:$C$224,$C161,'TL04'!$J$10:$J$224),0),
IF('TL04'!$B$229=Q$3,SUMIF('TL04'!$C$238:$C$451,$C161,'TL04'!$J$238:$J$451),0),
IF('TL05'!$B$3=Q$3,SUMIF('TL05'!$C$10:$C$224,$C161,'TL05'!$J$10:$J$224),0),
IF('TL05'!$B$229=Q$3,SUMIF('TL05'!$C$238:$C$451,$C161,'TL05'!$J$238:$J$451),0),
IF('TL06'!$B$3=Q$3,SUMIF('TL06'!$C$10:$C$224,$C161,'TL06'!$J$10:$J$224),0),
IF('TL06'!$B$229=Q$3,SUMIF('TL06'!$C$238:$C$451,$C161,'TL06'!$J$238:$J$451),0),
IF('TL07'!$B$3=Q$3,SUMIF('TL07'!$C$10:$C$224,$C161,'TL07'!$J$10:$J$224),0),
IF('TL07'!$B$229=Q$3,SUMIF('TL07'!$C$238:$C$451,$C161,'TL07'!$J$238:$J$451),0),
IF('TL08'!$B$3=Q$3,SUMIF('TL08'!$C$10:$C$224,$C161,'TL08'!$J$10:$J$224),0),
IF('TL08'!$B$229=Q$3,SUMIF('TL08'!$C$238:$C$451,$C161,'TL08'!$J$238:$J$451),0),
IF('TL09'!$B$3=Q$3,SUMIF('TL09'!$C$10:$C$224,$C161,'TL09'!$J$10:$J$224),0),
IF('TL09'!$B$229=Q$3,SUMIF('TL09'!$C$238:$C$451,$C161,'TL09'!$J$238:$J$451),0),
IF('TL10'!$B$3=Q$3,SUMIF('TL10'!$C$10:$C$224,$C161,'TL10'!$J$10:$J$224),0),
IF('TL10'!$B$229=Q$3,SUMIF('TL10'!$C$238:$C$451,$C161,'TL10'!$J$238:$J$451),0),
IF('TL11'!$B$3=Q$3,SUMIF('TL11'!$C$10:$C$224,$C161,'TL11'!$J$10:$J$224),0),
IF('TL11'!$B$229=Q$3,SUMIF('TL11'!$C$238:$C$451,$C161,'TL11'!$J$238:$J$451),0),
IF('TL12'!$B$3=Q$3,SUMIF('TL12'!$C$10:$C$224,$C161,'TL12'!$J$10:$J$224),0),
IF('TL12'!$B$229=Q$3,SUMIF('TL12'!$C$238:$C$451,$C161,'TL12'!$J$238:$J$451),0),
IF('TL13'!$B$3=Q$3,SUMIF('TL13'!$C$10:$C$224,$C161,'TL13'!$J$10:$J$224),0),
IF('TL13'!$B$229=Q$3,SUMIF('TL13'!$C$238:$C$451,$C161,'TL13'!$J$238:$J$451),0),
IF('TL14'!$B$3=Q$3,SUMIF('TL14'!$C$10:$C$224,$C161,'TL14'!$J$10:$J$224),0),
IF('TL14'!$B$229=Q$3,SUMIF('TL14'!$C$238:$C$451,$C161,'TL14'!$J$238:$J$451),0),
IF('TL15'!$B$3=Q$3,SUMIF('TL15'!$C$10:$C$224,$C161,'TL15'!$J$10:$J$224),0),
IF('TL15'!$B$229=Q$3,SUMIF('TL15'!$C$238:$C$451,$C161,'TL15'!$J$238:$J$451),0),
IF('TL16'!$B$3=Q$3,SUMIF('TL16'!$C$10:$C$224,$C161,'TL16'!$J$10:$J$224),0),
IF('TL16'!$B$229=Q$3,SUMIF('TL16'!$C$238:$C$451,$C161,'TL16'!$J$238:$J$451),0),
IF('TL17'!$B$3=Q$3,SUMIF('TL17'!$C$10:$C$224,$C161,'TL17'!$J$10:$J$224),0),
IF('TL17'!$B$229=Q$3,SUMIF('TL17'!$C$238:$C$451,$C161,'TL17'!$J$238:$J$451),0),
IF('TL18'!$B$3=Q$3,SUMIF('TL18'!$C$10:$C$224,$C161,'TL18'!$J$10:$J$224),0),
IF('TL18'!$B$229=Q$3,SUMIF('TL18'!$C$238:$C$451,$C161,'TL18'!$J$238:$J$451),0),
IF('TL19'!$B$3=Q$3,SUMIF('TL19'!$C$10:$C$224,$C161,'TL19'!$J$10:$J$224),0),
IF('TL19'!$B$229=Q$3,SUMIF('TL19'!$C$238:$C$451,$C161,'TL19'!$J$238:$J$451),0)
),0)</f>
        <v/>
      </c>
      <c r="R161" s="9">
        <f>IFERROR(
SUM(
SUMIF('TL01'!C:C,C161,'TL01'!J:J),
SUMIF('TL02'!C:C,C161,'TL02'!J:J),
SUMIF('TL03'!C:C,C161,'TL03'!J:J),
SUMIF('TL04'!C:C,C161,'TL04'!J:J),
SUMIF('TL05'!C:C,C161,'TL05'!J:J),
SUMIF('TL06'!C:C,C161,'TL06'!J:J),
SUMIF('TL07'!C:C,C161,'TL07'!J:J),
SUMIF('TL08'!C:C,C161,'TL08'!J:J),
SUMIF('TL09'!C:C,C161,'TL09'!J:J),
SUMIF('TL10'!C:C,C161,'TL10'!J:J),
SUMIF('TL11'!C:C,C161,'TL11'!J:J),
SUMIF('TL12'!C:C,C161,'TL12'!J:J),
SUMIF('TL13'!C:C,C161,'TL13'!J:J),
SUMIF('TL14'!C:C,C161,'TL14'!J:J),
SUMIF('TL15'!C:C,C161,'TL15'!J:J),
SUMIF('TL16'!C:C,C161,'TL16'!J:J),
SUMIF('TL17'!C:C,C161,'TL17'!J:J),
SUMIF('TL18'!C:C,C161,'TL18'!J:J),SUMIF('TL19'!C:C,C161,'TL19'!J:J))
,0)</f>
        <v/>
      </c>
      <c r="S161" s="17">
        <f>IFERROR(__xludf.DUMMYFUNCTION("IFERROR(VLOOKUP(C161,
IMPORTRANGE(""1wULbzX32WdYsx-lj2U3uUNBBe2INVIRDtcK0d-Dvl90"",
""26-27!C:G""),
5,
FALSE),
"""")"),29.127299999999998)</f>
        <v/>
      </c>
      <c r="T161" s="118" t="n">
        <v>480</v>
      </c>
      <c r="U161" s="92">
        <f>MAX(0,R161-T161)</f>
        <v/>
      </c>
      <c r="V161" s="93">
        <f>U161*S161</f>
        <v/>
      </c>
    </row>
    <row r="162" hidden="1" ht="15.75" customHeight="1" s="297">
      <c r="A162" s="115" t="inlineStr">
        <is>
          <t>SYNGENTA</t>
        </is>
      </c>
      <c r="B162" s="100" t="inlineStr">
        <is>
          <t>HERBICIDA</t>
        </is>
      </c>
      <c r="C162" s="116" t="inlineStr">
        <is>
          <t>EDDUS</t>
        </is>
      </c>
      <c r="D162" s="116" t="inlineStr">
        <is>
          <t>FOMESAFEM + S-METOLACLORO</t>
        </is>
      </c>
      <c r="E162" s="116" t="inlineStr">
        <is>
          <t>119,54 + 517,83</t>
        </is>
      </c>
      <c r="F162" s="4" t="inlineStr">
        <is>
          <t>L</t>
        </is>
      </c>
      <c r="G162" s="90">
        <f>HYPERLINK("https://www.google.com/search?q=" &amp; C162 &amp; "+bula+agrofit+pdf", "📄 Ver bula")</f>
        <v/>
      </c>
      <c r="H162" s="9">
        <f>IFERROR(__xludf.DUMMYFUNCTION("IFERROR(VLOOKUP(C162,
IMPORTRANGE(""1wULbzX32WdYsx-lj2U3uUNBBe2INVIRDtcK0d-Dvl90"",
""26-27!C:K""),
8,
FALSE),
"""")"),"")</f>
        <v/>
      </c>
      <c r="I162" s="117" t="inlineStr">
        <is>
          <t>1x20</t>
        </is>
      </c>
      <c r="J162" s="9">
        <f>IFERROR(SUM(
IF('TL01'!$B$3=J$3,SUMIF('TL01'!$C$10:$C$224,$C162,'TL01'!$J$10:$J$224),0),
IF('TL01'!$B$229=J$3,SUMIF('TL01'!$C$238:$C$451,$C162,'TL01'!$J$238:$J$451),0),
IF('TL02'!$B$3=J$3,SUMIF('TL02'!$C$10:$C$224,$C162,'TL02'!$J$10:$J$224),0),
IF('TL02'!$B$229=J$3,SUMIF('TL02'!$C$238:$C$451,$C162,'TL02'!$J$238:$J$451),0),
IF('TL03'!$B$3=J$3,SUMIF('TL03'!$C$10:$C$224,$C162,'TL03'!$J$10:$J$224),0),
IF('TL03'!$B$229=J$3,SUMIF('TL03'!$C$238:$C$451,$C162,'TL03'!$J$238:$J$451),0),
IF('TL04'!$B$3=J$3,SUMIF('TL04'!$C$10:$C$224,$C162,'TL04'!$J$10:$J$224),0),
IF('TL04'!$B$229=J$3,SUMIF('TL04'!$C$238:$C$451,$C162,'TL04'!$J$238:$J$451),0),
IF('TL05'!$B$3=J$3,SUMIF('TL05'!$C$10:$C$224,$C162,'TL05'!$J$10:$J$224),0),
IF('TL05'!$B$229=J$3,SUMIF('TL05'!$C$238:$C$451,$C162,'TL05'!$J$238:$J$451),0),
IF('TL06'!$B$3=J$3,SUMIF('TL06'!$C$10:$C$224,$C162,'TL06'!$J$10:$J$224),0),
IF('TL06'!$B$229=J$3,SUMIF('TL06'!$C$238:$C$451,$C162,'TL06'!$J$238:$J$451),0),
IF('TL07'!$B$3=J$3,SUMIF('TL07'!$C$10:$C$224,$C162,'TL07'!$J$10:$J$224),0),
IF('TL07'!$B$229=J$3,SUMIF('TL07'!$C$238:$C$451,$C162,'TL07'!$J$238:$J$451),0),
IF('TL08'!$B$3=J$3,SUMIF('TL08'!$C$10:$C$224,$C162,'TL08'!$J$10:$J$224),0),
IF('TL08'!$B$229=J$3,SUMIF('TL08'!$C$238:$C$451,$C162,'TL08'!$J$238:$J$451),0),
IF('TL09'!$B$3=J$3,SUMIF('TL09'!$C$10:$C$224,$C162,'TL09'!$J$10:$J$224),0),
IF('TL09'!$B$229=J$3,SUMIF('TL09'!$C$238:$C$451,$C162,'TL09'!$J$238:$J$451),0),
IF('TL10'!$B$3=J$3,SUMIF('TL10'!$C$10:$C$224,$C162,'TL10'!$J$10:$J$224),0),
IF('TL10'!$B$229=J$3,SUMIF('TL10'!$C$238:$C$451,$C162,'TL10'!$J$238:$J$451),0),
IF('TL11'!$B$3=J$3,SUMIF('TL11'!$C$10:$C$224,$C162,'TL11'!$J$10:$J$224),0),
IF('TL11'!$B$229=J$3,SUMIF('TL11'!$C$238:$C$451,$C162,'TL11'!$J$238:$J$451),0),
IF('TL12'!$B$3=J$3,SUMIF('TL12'!$C$10:$C$224,$C162,'TL12'!$J$10:$J$224),0),
IF('TL12'!$B$229=J$3,SUMIF('TL12'!$C$238:$C$451,$C162,'TL12'!$J$238:$J$451),0),
IF('TL13'!$B$3=J$3,SUMIF('TL13'!$C$10:$C$224,$C162,'TL13'!$J$10:$J$224),0),
IF('TL13'!$B$229=J$3,SUMIF('TL13'!$C$238:$C$451,$C162,'TL13'!$J$238:$J$451),0),
IF('TL14'!$B$3=J$3,SUMIF('TL14'!$C$10:$C$224,$C162,'TL14'!$J$10:$J$224),0),
IF('TL14'!$B$229=J$3,SUMIF('TL14'!$C$238:$C$451,$C162,'TL14'!$J$238:$J$451),0),
IF('TL15'!$B$3=J$3,SUMIF('TL15'!$C$10:$C$224,$C162,'TL15'!$J$10:$J$224),0),
IF('TL15'!$B$229=J$3,SUMIF('TL15'!$C$238:$C$451,$C162,'TL15'!$J$238:$J$451),0),
IF('TL16'!$B$3=J$3,SUMIF('TL16'!$C$10:$C$224,$C162,'TL16'!$J$10:$J$224),0),
IF('TL16'!$B$229=J$3,SUMIF('TL16'!$C$238:$C$451,$C162,'TL16'!$J$238:$J$451),0),
IF('TL17'!$B$3=J$3,SUMIF('TL17'!$C$10:$C$224,$C162,'TL17'!$J$10:$J$224),0),
IF('TL17'!$B$229=J$3,SUMIF('TL17'!$C$238:$C$451,$C162,'TL17'!$J$238:$J$451),0),
IF('TL18'!$B$3=J$3,SUMIF('TL18'!$C$10:$C$224,$C162,'TL18'!$J$10:$J$224),0),
IF('TL18'!$B$229=J$3,SUMIF('TL18'!$C$238:$C$451,$C162,'TL18'!$J$238:$J$451),0),
IF('TL19'!$B$3=J$3,SUMIF('TL19'!$C$10:$C$224,$C162,'TL19'!$J$10:$J$224),0),
IF('TL19'!$B$229=J$3,SUMIF('TL19'!$C$238:$C$451,$C162,'TL19'!$J$238:$J$451),0)
),0)</f>
        <v/>
      </c>
      <c r="K162" s="9">
        <f>IFERROR(SUM(
IF('TL01'!$B$3=K$3,SUMIF('TL01'!$C$10:$C$224,$C162,'TL01'!$J$10:$J$224),0),
IF('TL01'!$B$229=K$3,SUMIF('TL01'!$C$238:$C$451,$C162,'TL01'!$J$238:$J$451),0),
IF('TL02'!$B$3=K$3,SUMIF('TL02'!$C$10:$C$224,$C162,'TL02'!$J$10:$J$224),0),
IF('TL02'!$B$229=K$3,SUMIF('TL02'!$C$238:$C$451,$C162,'TL02'!$J$238:$J$451),0),
IF('TL03'!$B$3=K$3,SUMIF('TL03'!$C$10:$C$224,$C162,'TL03'!$J$10:$J$224),0),
IF('TL03'!$B$229=K$3,SUMIF('TL03'!$C$238:$C$451,$C162,'TL03'!$J$238:$J$451),0),
IF('TL04'!$B$3=K$3,SUMIF('TL04'!$C$10:$C$224,$C162,'TL04'!$J$10:$J$224),0),
IF('TL04'!$B$229=K$3,SUMIF('TL04'!$C$238:$C$451,$C162,'TL04'!$J$238:$J$451),0),
IF('TL05'!$B$3=K$3,SUMIF('TL05'!$C$10:$C$224,$C162,'TL05'!$J$10:$J$224),0),
IF('TL05'!$B$229=K$3,SUMIF('TL05'!$C$238:$C$451,$C162,'TL05'!$J$238:$J$451),0),
IF('TL06'!$B$3=K$3,SUMIF('TL06'!$C$10:$C$224,$C162,'TL06'!$J$10:$J$224),0),
IF('TL06'!$B$229=K$3,SUMIF('TL06'!$C$238:$C$451,$C162,'TL06'!$J$238:$J$451),0),
IF('TL07'!$B$3=K$3,SUMIF('TL07'!$C$10:$C$224,$C162,'TL07'!$J$10:$J$224),0),
IF('TL07'!$B$229=K$3,SUMIF('TL07'!$C$238:$C$451,$C162,'TL07'!$J$238:$J$451),0),
IF('TL08'!$B$3=K$3,SUMIF('TL08'!$C$10:$C$224,$C162,'TL08'!$J$10:$J$224),0),
IF('TL08'!$B$229=K$3,SUMIF('TL08'!$C$238:$C$451,$C162,'TL08'!$J$238:$J$451),0),
IF('TL09'!$B$3=K$3,SUMIF('TL09'!$C$10:$C$224,$C162,'TL09'!$J$10:$J$224),0),
IF('TL09'!$B$229=K$3,SUMIF('TL09'!$C$238:$C$451,$C162,'TL09'!$J$238:$J$451),0),
IF('TL10'!$B$3=K$3,SUMIF('TL10'!$C$10:$C$224,$C162,'TL10'!$J$10:$J$224),0),
IF('TL10'!$B$229=K$3,SUMIF('TL10'!$C$238:$C$451,$C162,'TL10'!$J$238:$J$451),0),
IF('TL11'!$B$3=K$3,SUMIF('TL11'!$C$10:$C$224,$C162,'TL11'!$J$10:$J$224),0),
IF('TL11'!$B$229=K$3,SUMIF('TL11'!$C$238:$C$451,$C162,'TL11'!$J$238:$J$451),0),
IF('TL12'!$B$3=K$3,SUMIF('TL12'!$C$10:$C$224,$C162,'TL12'!$J$10:$J$224),0),
IF('TL12'!$B$229=K$3,SUMIF('TL12'!$C$238:$C$451,$C162,'TL12'!$J$238:$J$451),0),
IF('TL13'!$B$3=K$3,SUMIF('TL13'!$C$10:$C$224,$C162,'TL13'!$J$10:$J$224),0),
IF('TL13'!$B$229=K$3,SUMIF('TL13'!$C$238:$C$451,$C162,'TL13'!$J$238:$J$451),0),
IF('TL14'!$B$3=K$3,SUMIF('TL14'!$C$10:$C$224,$C162,'TL14'!$J$10:$J$224),0),
IF('TL14'!$B$229=K$3,SUMIF('TL14'!$C$238:$C$451,$C162,'TL14'!$J$238:$J$451),0),
IF('TL15'!$B$3=K$3,SUMIF('TL15'!$C$10:$C$224,$C162,'TL15'!$J$10:$J$224),0),
IF('TL15'!$B$229=K$3,SUMIF('TL15'!$C$238:$C$451,$C162,'TL15'!$J$238:$J$451),0),
IF('TL16'!$B$3=K$3,SUMIF('TL16'!$C$10:$C$224,$C162,'TL16'!$J$10:$J$224),0),
IF('TL16'!$B$229=K$3,SUMIF('TL16'!$C$238:$C$451,$C162,'TL16'!$J$238:$J$451),0),
IF('TL17'!$B$3=K$3,SUMIF('TL17'!$C$10:$C$224,$C162,'TL17'!$J$10:$J$224),0),
IF('TL17'!$B$229=K$3,SUMIF('TL17'!$C$238:$C$451,$C162,'TL17'!$J$238:$J$451),0),
IF('TL18'!$B$3=K$3,SUMIF('TL18'!$C$10:$C$224,$C162,'TL18'!$J$10:$J$224),0),
IF('TL18'!$B$229=K$3,SUMIF('TL18'!$C$238:$C$451,$C162,'TL18'!$J$238:$J$451),0),
IF('TL19'!$B$3=K$3,SUMIF('TL19'!$C$10:$C$224,$C162,'TL19'!$J$10:$J$224),0),
IF('TL19'!$B$229=K$3,SUMIF('TL19'!$C$238:$C$451,$C162,'TL19'!$J$238:$J$451),0)
),0)</f>
        <v/>
      </c>
      <c r="L162" s="9">
        <f>IFERROR(SUM(
IF('TL01'!$B$3=L$3,SUMIF('TL01'!$C$10:$C$224,$C162,'TL01'!$J$10:$J$224),0),
IF('TL01'!$B$229=L$3,SUMIF('TL01'!$C$238:$C$451,$C162,'TL01'!$J$238:$J$451),0),
IF('TL02'!$B$3=L$3,SUMIF('TL02'!$C$10:$C$224,$C162,'TL02'!$J$10:$J$224),0),
IF('TL02'!$B$229=L$3,SUMIF('TL02'!$C$238:$C$451,$C162,'TL02'!$J$238:$J$451),0),
IF('TL03'!$B$3=L$3,SUMIF('TL03'!$C$10:$C$224,$C162,'TL03'!$J$10:$J$224),0),
IF('TL03'!$B$229=L$3,SUMIF('TL03'!$C$238:$C$451,$C162,'TL03'!$J$238:$J$451),0),
IF('TL04'!$B$3=L$3,SUMIF('TL04'!$C$10:$C$224,$C162,'TL04'!$J$10:$J$224),0),
IF('TL04'!$B$229=L$3,SUMIF('TL04'!$C$238:$C$451,$C162,'TL04'!$J$238:$J$451),0),
IF('TL05'!$B$3=L$3,SUMIF('TL05'!$C$10:$C$224,$C162,'TL05'!$J$10:$J$224),0),
IF('TL05'!$B$229=L$3,SUMIF('TL05'!$C$238:$C$451,$C162,'TL05'!$J$238:$J$451),0),
IF('TL06'!$B$3=L$3,SUMIF('TL06'!$C$10:$C$224,$C162,'TL06'!$J$10:$J$224),0),
IF('TL06'!$B$229=L$3,SUMIF('TL06'!$C$238:$C$451,$C162,'TL06'!$J$238:$J$451),0),
IF('TL07'!$B$3=L$3,SUMIF('TL07'!$C$10:$C$224,$C162,'TL07'!$J$10:$J$224),0),
IF('TL07'!$B$229=L$3,SUMIF('TL07'!$C$238:$C$451,$C162,'TL07'!$J$238:$J$451),0),
IF('TL08'!$B$3=L$3,SUMIF('TL08'!$C$10:$C$224,$C162,'TL08'!$J$10:$J$224),0),
IF('TL08'!$B$229=L$3,SUMIF('TL08'!$C$238:$C$451,$C162,'TL08'!$J$238:$J$451),0),
IF('TL09'!$B$3=L$3,SUMIF('TL09'!$C$10:$C$224,$C162,'TL09'!$J$10:$J$224),0),
IF('TL09'!$B$229=L$3,SUMIF('TL09'!$C$238:$C$451,$C162,'TL09'!$J$238:$J$451),0),
IF('TL10'!$B$3=L$3,SUMIF('TL10'!$C$10:$C$224,$C162,'TL10'!$J$10:$J$224),0),
IF('TL10'!$B$229=L$3,SUMIF('TL10'!$C$238:$C$451,$C162,'TL10'!$J$238:$J$451),0),
IF('TL11'!$B$3=L$3,SUMIF('TL11'!$C$10:$C$224,$C162,'TL11'!$J$10:$J$224),0),
IF('TL11'!$B$229=L$3,SUMIF('TL11'!$C$238:$C$451,$C162,'TL11'!$J$238:$J$451),0),
IF('TL12'!$B$3=L$3,SUMIF('TL12'!$C$10:$C$224,$C162,'TL12'!$J$10:$J$224),0),
IF('TL12'!$B$229=L$3,SUMIF('TL12'!$C$238:$C$451,$C162,'TL12'!$J$238:$J$451),0),
IF('TL13'!$B$3=L$3,SUMIF('TL13'!$C$10:$C$224,$C162,'TL13'!$J$10:$J$224),0),
IF('TL13'!$B$229=L$3,SUMIF('TL13'!$C$238:$C$451,$C162,'TL13'!$J$238:$J$451),0),
IF('TL14'!$B$3=L$3,SUMIF('TL14'!$C$10:$C$224,$C162,'TL14'!$J$10:$J$224),0),
IF('TL14'!$B$229=L$3,SUMIF('TL14'!$C$238:$C$451,$C162,'TL14'!$J$238:$J$451),0),
IF('TL15'!$B$3=L$3,SUMIF('TL15'!$C$10:$C$224,$C162,'TL15'!$J$10:$J$224),0),
IF('TL15'!$B$229=L$3,SUMIF('TL15'!$C$238:$C$451,$C162,'TL15'!$J$238:$J$451),0),
IF('TL16'!$B$3=L$3,SUMIF('TL16'!$C$10:$C$224,$C162,'TL16'!$J$10:$J$224),0),
IF('TL16'!$B$229=L$3,SUMIF('TL16'!$C$238:$C$451,$C162,'TL16'!$J$238:$J$451),0),
IF('TL17'!$B$3=L$3,SUMIF('TL17'!$C$10:$C$224,$C162,'TL17'!$J$10:$J$224),0),
IF('TL17'!$B$229=L$3,SUMIF('TL17'!$C$238:$C$451,$C162,'TL17'!$J$238:$J$451),0),
IF('TL18'!$B$3=L$3,SUMIF('TL18'!$C$10:$C$224,$C162,'TL18'!$J$10:$J$224),0),
IF('TL18'!$B$229=L$3,SUMIF('TL18'!$C$238:$C$451,$C162,'TL18'!$J$238:$J$451),0),
IF('TL19'!$B$3=L$3,SUMIF('TL19'!$C$10:$C$224,$C162,'TL19'!$J$10:$J$224),0),
IF('TL19'!$B$229=L$3,SUMIF('TL19'!$C$238:$C$451,$C162,'TL19'!$J$238:$J$451),0)
),0)</f>
        <v/>
      </c>
      <c r="M162" s="9">
        <f>IFERROR(SUM(
IF('TL01'!$B$3=M$3,SUMIF('TL01'!$C$10:$C$224,$C162,'TL01'!$J$10:$J$224),0),
IF('TL01'!$B$229=M$3,SUMIF('TL01'!$C$238:$C$451,$C162,'TL01'!$J$238:$J$451),0),
IF('TL02'!$B$3=M$3,SUMIF('TL02'!$C$10:$C$224,$C162,'TL02'!$J$10:$J$224),0),
IF('TL02'!$B$229=M$3,SUMIF('TL02'!$C$238:$C$451,$C162,'TL02'!$J$238:$J$451),0),
IF('TL03'!$B$3=M$3,SUMIF('TL03'!$C$10:$C$224,$C162,'TL03'!$J$10:$J$224),0),
IF('TL03'!$B$229=M$3,SUMIF('TL03'!$C$238:$C$451,$C162,'TL03'!$J$238:$J$451),0),
IF('TL04'!$B$3=M$3,SUMIF('TL04'!$C$10:$C$224,$C162,'TL04'!$J$10:$J$224),0),
IF('TL04'!$B$229=M$3,SUMIF('TL04'!$C$238:$C$451,$C162,'TL04'!$J$238:$J$451),0),
IF('TL05'!$B$3=M$3,SUMIF('TL05'!$C$10:$C$224,$C162,'TL05'!$J$10:$J$224),0),
IF('TL05'!$B$229=M$3,SUMIF('TL05'!$C$238:$C$451,$C162,'TL05'!$J$238:$J$451),0),
IF('TL06'!$B$3=M$3,SUMIF('TL06'!$C$10:$C$224,$C162,'TL06'!$J$10:$J$224),0),
IF('TL06'!$B$229=M$3,SUMIF('TL06'!$C$238:$C$451,$C162,'TL06'!$J$238:$J$451),0),
IF('TL07'!$B$3=M$3,SUMIF('TL07'!$C$10:$C$224,$C162,'TL07'!$J$10:$J$224),0),
IF('TL07'!$B$229=M$3,SUMIF('TL07'!$C$238:$C$451,$C162,'TL07'!$J$238:$J$451),0),
IF('TL08'!$B$3=M$3,SUMIF('TL08'!$C$10:$C$224,$C162,'TL08'!$J$10:$J$224),0),
IF('TL08'!$B$229=M$3,SUMIF('TL08'!$C$238:$C$451,$C162,'TL08'!$J$238:$J$451),0),
IF('TL09'!$B$3=M$3,SUMIF('TL09'!$C$10:$C$224,$C162,'TL09'!$J$10:$J$224),0),
IF('TL09'!$B$229=M$3,SUMIF('TL09'!$C$238:$C$451,$C162,'TL09'!$J$238:$J$451),0),
IF('TL10'!$B$3=M$3,SUMIF('TL10'!$C$10:$C$224,$C162,'TL10'!$J$10:$J$224),0),
IF('TL10'!$B$229=M$3,SUMIF('TL10'!$C$238:$C$451,$C162,'TL10'!$J$238:$J$451),0),
IF('TL11'!$B$3=M$3,SUMIF('TL11'!$C$10:$C$224,$C162,'TL11'!$J$10:$J$224),0),
IF('TL11'!$B$229=M$3,SUMIF('TL11'!$C$238:$C$451,$C162,'TL11'!$J$238:$J$451),0),
IF('TL12'!$B$3=M$3,SUMIF('TL12'!$C$10:$C$224,$C162,'TL12'!$J$10:$J$224),0),
IF('TL12'!$B$229=M$3,SUMIF('TL12'!$C$238:$C$451,$C162,'TL12'!$J$238:$J$451),0),
IF('TL13'!$B$3=M$3,SUMIF('TL13'!$C$10:$C$224,$C162,'TL13'!$J$10:$J$224),0),
IF('TL13'!$B$229=M$3,SUMIF('TL13'!$C$238:$C$451,$C162,'TL13'!$J$238:$J$451),0),
IF('TL14'!$B$3=M$3,SUMIF('TL14'!$C$10:$C$224,$C162,'TL14'!$J$10:$J$224),0),
IF('TL14'!$B$229=M$3,SUMIF('TL14'!$C$238:$C$451,$C162,'TL14'!$J$238:$J$451),0),
IF('TL15'!$B$3=M$3,SUMIF('TL15'!$C$10:$C$224,$C162,'TL15'!$J$10:$J$224),0),
IF('TL15'!$B$229=M$3,SUMIF('TL15'!$C$238:$C$451,$C162,'TL15'!$J$238:$J$451),0),
IF('TL16'!$B$3=M$3,SUMIF('TL16'!$C$10:$C$224,$C162,'TL16'!$J$10:$J$224),0),
IF('TL16'!$B$229=M$3,SUMIF('TL16'!$C$238:$C$451,$C162,'TL16'!$J$238:$J$451),0),
IF('TL17'!$B$3=M$3,SUMIF('TL17'!$C$10:$C$224,$C162,'TL17'!$J$10:$J$224),0),
IF('TL17'!$B$229=M$3,SUMIF('TL17'!$C$238:$C$451,$C162,'TL17'!$J$238:$J$451),0),
IF('TL18'!$B$3=M$3,SUMIF('TL18'!$C$10:$C$224,$C162,'TL18'!$J$10:$J$224),0),
IF('TL18'!$B$229=M$3,SUMIF('TL18'!$C$238:$C$451,$C162,'TL18'!$J$238:$J$451),0),
IF('TL19'!$B$3=M$3,SUMIF('TL19'!$C$10:$C$224,$C162,'TL19'!$J$10:$J$224),0),
IF('TL19'!$B$229=M$3,SUMIF('TL19'!$C$238:$C$451,$C162,'TL19'!$J$238:$J$451),0)
),0)</f>
        <v/>
      </c>
      <c r="N162" s="9">
        <f>IFERROR(SUM(
IF('TL01'!$B$3=N$3,SUMIF('TL01'!$C$10:$C$224,$C162,'TL01'!$J$10:$J$224),0),
IF('TL01'!$B$229=N$3,SUMIF('TL01'!$C$238:$C$451,$C162,'TL01'!$J$238:$J$451),0),
IF('TL02'!$B$3=N$3,SUMIF('TL02'!$C$10:$C$224,$C162,'TL02'!$J$10:$J$224),0),
IF('TL02'!$B$229=N$3,SUMIF('TL02'!$C$238:$C$451,$C162,'TL02'!$J$238:$J$451),0),
IF('TL03'!$B$3=N$3,SUMIF('TL03'!$C$10:$C$224,$C162,'TL03'!$J$10:$J$224),0),
IF('TL03'!$B$229=N$3,SUMIF('TL03'!$C$238:$C$451,$C162,'TL03'!$J$238:$J$451),0),
IF('TL04'!$B$3=N$3,SUMIF('TL04'!$C$10:$C$224,$C162,'TL04'!$J$10:$J$224),0),
IF('TL04'!$B$229=N$3,SUMIF('TL04'!$C$238:$C$451,$C162,'TL04'!$J$238:$J$451),0),
IF('TL05'!$B$3=N$3,SUMIF('TL05'!$C$10:$C$224,$C162,'TL05'!$J$10:$J$224),0),
IF('TL05'!$B$229=N$3,SUMIF('TL05'!$C$238:$C$451,$C162,'TL05'!$J$238:$J$451),0),
IF('TL06'!$B$3=N$3,SUMIF('TL06'!$C$10:$C$224,$C162,'TL06'!$J$10:$J$224),0),
IF('TL06'!$B$229=N$3,SUMIF('TL06'!$C$238:$C$451,$C162,'TL06'!$J$238:$J$451),0),
IF('TL07'!$B$3=N$3,SUMIF('TL07'!$C$10:$C$224,$C162,'TL07'!$J$10:$J$224),0),
IF('TL07'!$B$229=N$3,SUMIF('TL07'!$C$238:$C$451,$C162,'TL07'!$J$238:$J$451),0),
IF('TL08'!$B$3=N$3,SUMIF('TL08'!$C$10:$C$224,$C162,'TL08'!$J$10:$J$224),0),
IF('TL08'!$B$229=N$3,SUMIF('TL08'!$C$238:$C$451,$C162,'TL08'!$J$238:$J$451),0),
IF('TL09'!$B$3=N$3,SUMIF('TL09'!$C$10:$C$224,$C162,'TL09'!$J$10:$J$224),0),
IF('TL09'!$B$229=N$3,SUMIF('TL09'!$C$238:$C$451,$C162,'TL09'!$J$238:$J$451),0),
IF('TL10'!$B$3=N$3,SUMIF('TL10'!$C$10:$C$224,$C162,'TL10'!$J$10:$J$224),0),
IF('TL10'!$B$229=N$3,SUMIF('TL10'!$C$238:$C$451,$C162,'TL10'!$J$238:$J$451),0),
IF('TL11'!$B$3=N$3,SUMIF('TL11'!$C$10:$C$224,$C162,'TL11'!$J$10:$J$224),0),
IF('TL11'!$B$229=N$3,SUMIF('TL11'!$C$238:$C$451,$C162,'TL11'!$J$238:$J$451),0),
IF('TL12'!$B$3=N$3,SUMIF('TL12'!$C$10:$C$224,$C162,'TL12'!$J$10:$J$224),0),
IF('TL12'!$B$229=N$3,SUMIF('TL12'!$C$238:$C$451,$C162,'TL12'!$J$238:$J$451),0),
IF('TL13'!$B$3=N$3,SUMIF('TL13'!$C$10:$C$224,$C162,'TL13'!$J$10:$J$224),0),
IF('TL13'!$B$229=N$3,SUMIF('TL13'!$C$238:$C$451,$C162,'TL13'!$J$238:$J$451),0),
IF('TL14'!$B$3=N$3,SUMIF('TL14'!$C$10:$C$224,$C162,'TL14'!$J$10:$J$224),0),
IF('TL14'!$B$229=N$3,SUMIF('TL14'!$C$238:$C$451,$C162,'TL14'!$J$238:$J$451),0),
IF('TL15'!$B$3=N$3,SUMIF('TL15'!$C$10:$C$224,$C162,'TL15'!$J$10:$J$224),0),
IF('TL15'!$B$229=N$3,SUMIF('TL15'!$C$238:$C$451,$C162,'TL15'!$J$238:$J$451),0),
IF('TL16'!$B$3=N$3,SUMIF('TL16'!$C$10:$C$224,$C162,'TL16'!$J$10:$J$224),0),
IF('TL16'!$B$229=N$3,SUMIF('TL16'!$C$238:$C$451,$C162,'TL16'!$J$238:$J$451),0),
IF('TL17'!$B$3=N$3,SUMIF('TL17'!$C$10:$C$224,$C162,'TL17'!$J$10:$J$224),0),
IF('TL17'!$B$229=N$3,SUMIF('TL17'!$C$238:$C$451,$C162,'TL17'!$J$238:$J$451),0),
IF('TL18'!$B$3=N$3,SUMIF('TL18'!$C$10:$C$224,$C162,'TL18'!$J$10:$J$224),0),
IF('TL18'!$B$229=N$3,SUMIF('TL18'!$C$238:$C$451,$C162,'TL18'!$J$238:$J$451),0),
IF('TL19'!$B$3=N$3,SUMIF('TL19'!$C$10:$C$224,$C162,'TL19'!$J$10:$J$224),0),
IF('TL19'!$B$229=N$3,SUMIF('TL19'!$C$238:$C$451,$C162,'TL19'!$J$238:$J$451),0)
),0)</f>
        <v/>
      </c>
      <c r="O162" s="9">
        <f>IFERROR(SUM(
IF('TL01'!$B$3=O$3,SUMIF('TL01'!$C$10:$C$224,$C162,'TL01'!$J$10:$J$224),0),
IF('TL01'!$B$229=O$3,SUMIF('TL01'!$C$238:$C$451,$C162,'TL01'!$J$238:$J$451),0),
IF('TL02'!$B$3=O$3,SUMIF('TL02'!$C$10:$C$224,$C162,'TL02'!$J$10:$J$224),0),
IF('TL02'!$B$229=O$3,SUMIF('TL02'!$C$238:$C$451,$C162,'TL02'!$J$238:$J$451),0),
IF('TL03'!$B$3=O$3,SUMIF('TL03'!$C$10:$C$224,$C162,'TL03'!$J$10:$J$224),0),
IF('TL03'!$B$229=O$3,SUMIF('TL03'!$C$238:$C$451,$C162,'TL03'!$J$238:$J$451),0),
IF('TL04'!$B$3=O$3,SUMIF('TL04'!$C$10:$C$224,$C162,'TL04'!$J$10:$J$224),0),
IF('TL04'!$B$229=O$3,SUMIF('TL04'!$C$238:$C$451,$C162,'TL04'!$J$238:$J$451),0),
IF('TL05'!$B$3=O$3,SUMIF('TL05'!$C$10:$C$224,$C162,'TL05'!$J$10:$J$224),0),
IF('TL05'!$B$229=O$3,SUMIF('TL05'!$C$238:$C$451,$C162,'TL05'!$J$238:$J$451),0),
IF('TL06'!$B$3=O$3,SUMIF('TL06'!$C$10:$C$224,$C162,'TL06'!$J$10:$J$224),0),
IF('TL06'!$B$229=O$3,SUMIF('TL06'!$C$238:$C$451,$C162,'TL06'!$J$238:$J$451),0),
IF('TL07'!$B$3=O$3,SUMIF('TL07'!$C$10:$C$224,$C162,'TL07'!$J$10:$J$224),0),
IF('TL07'!$B$229=O$3,SUMIF('TL07'!$C$238:$C$451,$C162,'TL07'!$J$238:$J$451),0),
IF('TL08'!$B$3=O$3,SUMIF('TL08'!$C$10:$C$224,$C162,'TL08'!$J$10:$J$224),0),
IF('TL08'!$B$229=O$3,SUMIF('TL08'!$C$238:$C$451,$C162,'TL08'!$J$238:$J$451),0),
IF('TL09'!$B$3=O$3,SUMIF('TL09'!$C$10:$C$224,$C162,'TL09'!$J$10:$J$224),0),
IF('TL09'!$B$229=O$3,SUMIF('TL09'!$C$238:$C$451,$C162,'TL09'!$J$238:$J$451),0),
IF('TL10'!$B$3=O$3,SUMIF('TL10'!$C$10:$C$224,$C162,'TL10'!$J$10:$J$224),0),
IF('TL10'!$B$229=O$3,SUMIF('TL10'!$C$238:$C$451,$C162,'TL10'!$J$238:$J$451),0),
IF('TL11'!$B$3=O$3,SUMIF('TL11'!$C$10:$C$224,$C162,'TL11'!$J$10:$J$224),0),
IF('TL11'!$B$229=O$3,SUMIF('TL11'!$C$238:$C$451,$C162,'TL11'!$J$238:$J$451),0),
IF('TL12'!$B$3=O$3,SUMIF('TL12'!$C$10:$C$224,$C162,'TL12'!$J$10:$J$224),0),
IF('TL12'!$B$229=O$3,SUMIF('TL12'!$C$238:$C$451,$C162,'TL12'!$J$238:$J$451),0),
IF('TL13'!$B$3=O$3,SUMIF('TL13'!$C$10:$C$224,$C162,'TL13'!$J$10:$J$224),0),
IF('TL13'!$B$229=O$3,SUMIF('TL13'!$C$238:$C$451,$C162,'TL13'!$J$238:$J$451),0),
IF('TL14'!$B$3=O$3,SUMIF('TL14'!$C$10:$C$224,$C162,'TL14'!$J$10:$J$224),0),
IF('TL14'!$B$229=O$3,SUMIF('TL14'!$C$238:$C$451,$C162,'TL14'!$J$238:$J$451),0),
IF('TL15'!$B$3=O$3,SUMIF('TL15'!$C$10:$C$224,$C162,'TL15'!$J$10:$J$224),0),
IF('TL15'!$B$229=O$3,SUMIF('TL15'!$C$238:$C$451,$C162,'TL15'!$J$238:$J$451),0),
IF('TL16'!$B$3=O$3,SUMIF('TL16'!$C$10:$C$224,$C162,'TL16'!$J$10:$J$224),0),
IF('TL16'!$B$229=O$3,SUMIF('TL16'!$C$238:$C$451,$C162,'TL16'!$J$238:$J$451),0),
IF('TL17'!$B$3=O$3,SUMIF('TL17'!$C$10:$C$224,$C162,'TL17'!$J$10:$J$224),0),
IF('TL17'!$B$229=O$3,SUMIF('TL17'!$C$238:$C$451,$C162,'TL17'!$J$238:$J$451),0),
IF('TL18'!$B$3=O$3,SUMIF('TL18'!$C$10:$C$224,$C162,'TL18'!$J$10:$J$224),0),
IF('TL18'!$B$229=O$3,SUMIF('TL18'!$C$238:$C$451,$C162,'TL18'!$J$238:$J$451),0),
IF('TL19'!$B$3=O$3,SUMIF('TL19'!$C$10:$C$224,$C162,'TL19'!$J$10:$J$224),0),
IF('TL19'!$B$229=O$3,SUMIF('TL19'!$C$238:$C$451,$C162,'TL19'!$J$238:$J$451),0)
),0)</f>
        <v/>
      </c>
      <c r="P162" s="9">
        <f>IFERROR(SUM(
IF('TL01'!$B$3=P$3,SUMIF('TL01'!$C$10:$C$224,$C162,'TL01'!$J$10:$J$224),0),
IF('TL01'!$B$229=P$3,SUMIF('TL01'!$C$238:$C$451,$C162,'TL01'!$J$238:$J$451),0),
IF('TL02'!$B$3=P$3,SUMIF('TL02'!$C$10:$C$224,$C162,'TL02'!$J$10:$J$224),0),
IF('TL02'!$B$229=P$3,SUMIF('TL02'!$C$238:$C$451,$C162,'TL02'!$J$238:$J$451),0),
IF('TL03'!$B$3=P$3,SUMIF('TL03'!$C$10:$C$224,$C162,'TL03'!$J$10:$J$224),0),
IF('TL03'!$B$229=P$3,SUMIF('TL03'!$C$238:$C$451,$C162,'TL03'!$J$238:$J$451),0),
IF('TL04'!$B$3=P$3,SUMIF('TL04'!$C$10:$C$224,$C162,'TL04'!$J$10:$J$224),0),
IF('TL04'!$B$229=P$3,SUMIF('TL04'!$C$238:$C$451,$C162,'TL04'!$J$238:$J$451),0),
IF('TL05'!$B$3=P$3,SUMIF('TL05'!$C$10:$C$224,$C162,'TL05'!$J$10:$J$224),0),
IF('TL05'!$B$229=P$3,SUMIF('TL05'!$C$238:$C$451,$C162,'TL05'!$J$238:$J$451),0),
IF('TL06'!$B$3=P$3,SUMIF('TL06'!$C$10:$C$224,$C162,'TL06'!$J$10:$J$224),0),
IF('TL06'!$B$229=P$3,SUMIF('TL06'!$C$238:$C$451,$C162,'TL06'!$J$238:$J$451),0),
IF('TL07'!$B$3=P$3,SUMIF('TL07'!$C$10:$C$224,$C162,'TL07'!$J$10:$J$224),0),
IF('TL07'!$B$229=P$3,SUMIF('TL07'!$C$238:$C$451,$C162,'TL07'!$J$238:$J$451),0),
IF('TL08'!$B$3=P$3,SUMIF('TL08'!$C$10:$C$224,$C162,'TL08'!$J$10:$J$224),0),
IF('TL08'!$B$229=P$3,SUMIF('TL08'!$C$238:$C$451,$C162,'TL08'!$J$238:$J$451),0),
IF('TL09'!$B$3=P$3,SUMIF('TL09'!$C$10:$C$224,$C162,'TL09'!$J$10:$J$224),0),
IF('TL09'!$B$229=P$3,SUMIF('TL09'!$C$238:$C$451,$C162,'TL09'!$J$238:$J$451),0),
IF('TL10'!$B$3=P$3,SUMIF('TL10'!$C$10:$C$224,$C162,'TL10'!$J$10:$J$224),0),
IF('TL10'!$B$229=P$3,SUMIF('TL10'!$C$238:$C$451,$C162,'TL10'!$J$238:$J$451),0),
IF('TL11'!$B$3=P$3,SUMIF('TL11'!$C$10:$C$224,$C162,'TL11'!$J$10:$J$224),0),
IF('TL11'!$B$229=P$3,SUMIF('TL11'!$C$238:$C$451,$C162,'TL11'!$J$238:$J$451),0),
IF('TL12'!$B$3=P$3,SUMIF('TL12'!$C$10:$C$224,$C162,'TL12'!$J$10:$J$224),0),
IF('TL12'!$B$229=P$3,SUMIF('TL12'!$C$238:$C$451,$C162,'TL12'!$J$238:$J$451),0),
IF('TL13'!$B$3=P$3,SUMIF('TL13'!$C$10:$C$224,$C162,'TL13'!$J$10:$J$224),0),
IF('TL13'!$B$229=P$3,SUMIF('TL13'!$C$238:$C$451,$C162,'TL13'!$J$238:$J$451),0),
IF('TL14'!$B$3=P$3,SUMIF('TL14'!$C$10:$C$224,$C162,'TL14'!$J$10:$J$224),0),
IF('TL14'!$B$229=P$3,SUMIF('TL14'!$C$238:$C$451,$C162,'TL14'!$J$238:$J$451),0),
IF('TL15'!$B$3=P$3,SUMIF('TL15'!$C$10:$C$224,$C162,'TL15'!$J$10:$J$224),0),
IF('TL15'!$B$229=P$3,SUMIF('TL15'!$C$238:$C$451,$C162,'TL15'!$J$238:$J$451),0),
IF('TL16'!$B$3=P$3,SUMIF('TL16'!$C$10:$C$224,$C162,'TL16'!$J$10:$J$224),0),
IF('TL16'!$B$229=P$3,SUMIF('TL16'!$C$238:$C$451,$C162,'TL16'!$J$238:$J$451),0),
IF('TL17'!$B$3=P$3,SUMIF('TL17'!$C$10:$C$224,$C162,'TL17'!$J$10:$J$224),0),
IF('TL17'!$B$229=P$3,SUMIF('TL17'!$C$238:$C$451,$C162,'TL17'!$J$238:$J$451),0),
IF('TL18'!$B$3=P$3,SUMIF('TL18'!$C$10:$C$224,$C162,'TL18'!$J$10:$J$224),0),
IF('TL18'!$B$229=P$3,SUMIF('TL18'!$C$238:$C$451,$C162,'TL18'!$J$238:$J$451),0),
IF('TL19'!$B$3=P$3,SUMIF('TL19'!$C$10:$C$224,$C162,'TL19'!$J$10:$J$224),0),
IF('TL19'!$B$229=P$3,SUMIF('TL19'!$C$238:$C$451,$C162,'TL19'!$J$238:$J$451),0)
),0)</f>
        <v/>
      </c>
      <c r="Q162" s="9">
        <f>IFERROR(SUM(
IF('TL01'!$B$3=Q$3,SUMIF('TL01'!$C$10:$C$224,$C162,'TL01'!$J$10:$J$224),0),
IF('TL01'!$B$229=Q$3,SUMIF('TL01'!$C$238:$C$451,$C162,'TL01'!$J$238:$J$451),0),
IF('TL02'!$B$3=Q$3,SUMIF('TL02'!$C$10:$C$224,$C162,'TL02'!$J$10:$J$224),0),
IF('TL02'!$B$229=Q$3,SUMIF('TL02'!$C$238:$C$451,$C162,'TL02'!$J$238:$J$451),0),
IF('TL03'!$B$3=Q$3,SUMIF('TL03'!$C$10:$C$224,$C162,'TL03'!$J$10:$J$224),0),
IF('TL03'!$B$229=Q$3,SUMIF('TL03'!$C$238:$C$451,$C162,'TL03'!$J$238:$J$451),0),
IF('TL04'!$B$3=Q$3,SUMIF('TL04'!$C$10:$C$224,$C162,'TL04'!$J$10:$J$224),0),
IF('TL04'!$B$229=Q$3,SUMIF('TL04'!$C$238:$C$451,$C162,'TL04'!$J$238:$J$451),0),
IF('TL05'!$B$3=Q$3,SUMIF('TL05'!$C$10:$C$224,$C162,'TL05'!$J$10:$J$224),0),
IF('TL05'!$B$229=Q$3,SUMIF('TL05'!$C$238:$C$451,$C162,'TL05'!$J$238:$J$451),0),
IF('TL06'!$B$3=Q$3,SUMIF('TL06'!$C$10:$C$224,$C162,'TL06'!$J$10:$J$224),0),
IF('TL06'!$B$229=Q$3,SUMIF('TL06'!$C$238:$C$451,$C162,'TL06'!$J$238:$J$451),0),
IF('TL07'!$B$3=Q$3,SUMIF('TL07'!$C$10:$C$224,$C162,'TL07'!$J$10:$J$224),0),
IF('TL07'!$B$229=Q$3,SUMIF('TL07'!$C$238:$C$451,$C162,'TL07'!$J$238:$J$451),0),
IF('TL08'!$B$3=Q$3,SUMIF('TL08'!$C$10:$C$224,$C162,'TL08'!$J$10:$J$224),0),
IF('TL08'!$B$229=Q$3,SUMIF('TL08'!$C$238:$C$451,$C162,'TL08'!$J$238:$J$451),0),
IF('TL09'!$B$3=Q$3,SUMIF('TL09'!$C$10:$C$224,$C162,'TL09'!$J$10:$J$224),0),
IF('TL09'!$B$229=Q$3,SUMIF('TL09'!$C$238:$C$451,$C162,'TL09'!$J$238:$J$451),0),
IF('TL10'!$B$3=Q$3,SUMIF('TL10'!$C$10:$C$224,$C162,'TL10'!$J$10:$J$224),0),
IF('TL10'!$B$229=Q$3,SUMIF('TL10'!$C$238:$C$451,$C162,'TL10'!$J$238:$J$451),0),
IF('TL11'!$B$3=Q$3,SUMIF('TL11'!$C$10:$C$224,$C162,'TL11'!$J$10:$J$224),0),
IF('TL11'!$B$229=Q$3,SUMIF('TL11'!$C$238:$C$451,$C162,'TL11'!$J$238:$J$451),0),
IF('TL12'!$B$3=Q$3,SUMIF('TL12'!$C$10:$C$224,$C162,'TL12'!$J$10:$J$224),0),
IF('TL12'!$B$229=Q$3,SUMIF('TL12'!$C$238:$C$451,$C162,'TL12'!$J$238:$J$451),0),
IF('TL13'!$B$3=Q$3,SUMIF('TL13'!$C$10:$C$224,$C162,'TL13'!$J$10:$J$224),0),
IF('TL13'!$B$229=Q$3,SUMIF('TL13'!$C$238:$C$451,$C162,'TL13'!$J$238:$J$451),0),
IF('TL14'!$B$3=Q$3,SUMIF('TL14'!$C$10:$C$224,$C162,'TL14'!$J$10:$J$224),0),
IF('TL14'!$B$229=Q$3,SUMIF('TL14'!$C$238:$C$451,$C162,'TL14'!$J$238:$J$451),0),
IF('TL15'!$B$3=Q$3,SUMIF('TL15'!$C$10:$C$224,$C162,'TL15'!$J$10:$J$224),0),
IF('TL15'!$B$229=Q$3,SUMIF('TL15'!$C$238:$C$451,$C162,'TL15'!$J$238:$J$451),0),
IF('TL16'!$B$3=Q$3,SUMIF('TL16'!$C$10:$C$224,$C162,'TL16'!$J$10:$J$224),0),
IF('TL16'!$B$229=Q$3,SUMIF('TL16'!$C$238:$C$451,$C162,'TL16'!$J$238:$J$451),0),
IF('TL17'!$B$3=Q$3,SUMIF('TL17'!$C$10:$C$224,$C162,'TL17'!$J$10:$J$224),0),
IF('TL17'!$B$229=Q$3,SUMIF('TL17'!$C$238:$C$451,$C162,'TL17'!$J$238:$J$451),0),
IF('TL18'!$B$3=Q$3,SUMIF('TL18'!$C$10:$C$224,$C162,'TL18'!$J$10:$J$224),0),
IF('TL18'!$B$229=Q$3,SUMIF('TL18'!$C$238:$C$451,$C162,'TL18'!$J$238:$J$451),0),
IF('TL19'!$B$3=Q$3,SUMIF('TL19'!$C$10:$C$224,$C162,'TL19'!$J$10:$J$224),0),
IF('TL19'!$B$229=Q$3,SUMIF('TL19'!$C$238:$C$451,$C162,'TL19'!$J$238:$J$451),0)
),0)</f>
        <v/>
      </c>
      <c r="R162" s="9">
        <f>IFERROR(
SUM(
SUMIF('TL01'!C:C,C162,'TL01'!J:J),
SUMIF('TL02'!C:C,C162,'TL02'!J:J),
SUMIF('TL03'!C:C,C162,'TL03'!J:J),
SUMIF('TL04'!C:C,C162,'TL04'!J:J),
SUMIF('TL05'!C:C,C162,'TL05'!J:J),
SUMIF('TL06'!C:C,C162,'TL06'!J:J),
SUMIF('TL07'!C:C,C162,'TL07'!J:J),
SUMIF('TL08'!C:C,C162,'TL08'!J:J),
SUMIF('TL09'!C:C,C162,'TL09'!J:J),
SUMIF('TL10'!C:C,C162,'TL10'!J:J),
SUMIF('TL11'!C:C,C162,'TL11'!J:J),
SUMIF('TL12'!C:C,C162,'TL12'!J:J),
SUMIF('TL13'!C:C,C162,'TL13'!J:J),
SUMIF('TL14'!C:C,C162,'TL14'!J:J),
SUMIF('TL15'!C:C,C162,'TL15'!J:J),
SUMIF('TL16'!C:C,C162,'TL16'!J:J),
SUMIF('TL17'!C:C,C162,'TL17'!J:J),
SUMIF('TL18'!C:C,C162,'TL18'!J:J),SUMIF('TL19'!C:C,C162,'TL19'!J:J))
,0)</f>
        <v/>
      </c>
      <c r="S162" s="17">
        <f>IFERROR(__xludf.DUMMYFUNCTION("IFERROR(VLOOKUP(C162,
IMPORTRANGE(""1wULbzX32WdYsx-lj2U3uUNBBe2INVIRDtcK0d-Dvl90"",
""26-27!C:G""),
5,
FALSE),
"""")"),30.970799999999997)</f>
        <v/>
      </c>
      <c r="T162" s="9" t="n"/>
      <c r="U162" s="92">
        <f>MAX(0,R162-T162)</f>
        <v/>
      </c>
      <c r="V162" s="93">
        <f>U162*S162</f>
        <v/>
      </c>
    </row>
    <row r="163" hidden="1" ht="15.75" customHeight="1" s="297">
      <c r="A163" s="111" t="inlineStr">
        <is>
          <t>SYNGENTA</t>
        </is>
      </c>
      <c r="B163" s="112" t="inlineStr">
        <is>
          <t>HERBICIDA</t>
        </is>
      </c>
      <c r="C163" s="113" t="inlineStr">
        <is>
          <t>FLEX</t>
        </is>
      </c>
      <c r="D163" s="113" t="inlineStr">
        <is>
          <t>FOMESAFEM</t>
        </is>
      </c>
      <c r="E163" s="113" t="n">
        <v>250</v>
      </c>
      <c r="F163" s="4" t="inlineStr">
        <is>
          <t>L</t>
        </is>
      </c>
      <c r="G163" s="90">
        <f>HYPERLINK("https://www.google.com/search?q=" &amp; C163 &amp; "+bula+agrofit+pdf", "📄 Ver bula")</f>
        <v/>
      </c>
      <c r="H163" s="9">
        <f>IFERROR(__xludf.DUMMYFUNCTION("IFERROR(VLOOKUP(C163,
IMPORTRANGE(""1wULbzX32WdYsx-lj2U3uUNBBe2INVIRDtcK0d-Dvl90"",
""26-27!C:K""),
8,
FALSE),
"""")"),"")</f>
        <v/>
      </c>
      <c r="I163" s="114" t="inlineStr">
        <is>
          <t>4X5</t>
        </is>
      </c>
      <c r="J163" s="9">
        <f>IFERROR(SUM(
IF('TL01'!$B$3=J$3,SUMIF('TL01'!$C$10:$C$224,$C163,'TL01'!$J$10:$J$224),0),
IF('TL01'!$B$229=J$3,SUMIF('TL01'!$C$238:$C$451,$C163,'TL01'!$J$238:$J$451),0),
IF('TL02'!$B$3=J$3,SUMIF('TL02'!$C$10:$C$224,$C163,'TL02'!$J$10:$J$224),0),
IF('TL02'!$B$229=J$3,SUMIF('TL02'!$C$238:$C$451,$C163,'TL02'!$J$238:$J$451),0),
IF('TL03'!$B$3=J$3,SUMIF('TL03'!$C$10:$C$224,$C163,'TL03'!$J$10:$J$224),0),
IF('TL03'!$B$229=J$3,SUMIF('TL03'!$C$238:$C$451,$C163,'TL03'!$J$238:$J$451),0),
IF('TL04'!$B$3=J$3,SUMIF('TL04'!$C$10:$C$224,$C163,'TL04'!$J$10:$J$224),0),
IF('TL04'!$B$229=J$3,SUMIF('TL04'!$C$238:$C$451,$C163,'TL04'!$J$238:$J$451),0),
IF('TL05'!$B$3=J$3,SUMIF('TL05'!$C$10:$C$224,$C163,'TL05'!$J$10:$J$224),0),
IF('TL05'!$B$229=J$3,SUMIF('TL05'!$C$238:$C$451,$C163,'TL05'!$J$238:$J$451),0),
IF('TL06'!$B$3=J$3,SUMIF('TL06'!$C$10:$C$224,$C163,'TL06'!$J$10:$J$224),0),
IF('TL06'!$B$229=J$3,SUMIF('TL06'!$C$238:$C$451,$C163,'TL06'!$J$238:$J$451),0),
IF('TL07'!$B$3=J$3,SUMIF('TL07'!$C$10:$C$224,$C163,'TL07'!$J$10:$J$224),0),
IF('TL07'!$B$229=J$3,SUMIF('TL07'!$C$238:$C$451,$C163,'TL07'!$J$238:$J$451),0),
IF('TL08'!$B$3=J$3,SUMIF('TL08'!$C$10:$C$224,$C163,'TL08'!$J$10:$J$224),0),
IF('TL08'!$B$229=J$3,SUMIF('TL08'!$C$238:$C$451,$C163,'TL08'!$J$238:$J$451),0),
IF('TL09'!$B$3=J$3,SUMIF('TL09'!$C$10:$C$224,$C163,'TL09'!$J$10:$J$224),0),
IF('TL09'!$B$229=J$3,SUMIF('TL09'!$C$238:$C$451,$C163,'TL09'!$J$238:$J$451),0),
IF('TL10'!$B$3=J$3,SUMIF('TL10'!$C$10:$C$224,$C163,'TL10'!$J$10:$J$224),0),
IF('TL10'!$B$229=J$3,SUMIF('TL10'!$C$238:$C$451,$C163,'TL10'!$J$238:$J$451),0),
IF('TL11'!$B$3=J$3,SUMIF('TL11'!$C$10:$C$224,$C163,'TL11'!$J$10:$J$224),0),
IF('TL11'!$B$229=J$3,SUMIF('TL11'!$C$238:$C$451,$C163,'TL11'!$J$238:$J$451),0),
IF('TL12'!$B$3=J$3,SUMIF('TL12'!$C$10:$C$224,$C163,'TL12'!$J$10:$J$224),0),
IF('TL12'!$B$229=J$3,SUMIF('TL12'!$C$238:$C$451,$C163,'TL12'!$J$238:$J$451),0),
IF('TL13'!$B$3=J$3,SUMIF('TL13'!$C$10:$C$224,$C163,'TL13'!$J$10:$J$224),0),
IF('TL13'!$B$229=J$3,SUMIF('TL13'!$C$238:$C$451,$C163,'TL13'!$J$238:$J$451),0),
IF('TL14'!$B$3=J$3,SUMIF('TL14'!$C$10:$C$224,$C163,'TL14'!$J$10:$J$224),0),
IF('TL14'!$B$229=J$3,SUMIF('TL14'!$C$238:$C$451,$C163,'TL14'!$J$238:$J$451),0),
IF('TL15'!$B$3=J$3,SUMIF('TL15'!$C$10:$C$224,$C163,'TL15'!$J$10:$J$224),0),
IF('TL15'!$B$229=J$3,SUMIF('TL15'!$C$238:$C$451,$C163,'TL15'!$J$238:$J$451),0),
IF('TL16'!$B$3=J$3,SUMIF('TL16'!$C$10:$C$224,$C163,'TL16'!$J$10:$J$224),0),
IF('TL16'!$B$229=J$3,SUMIF('TL16'!$C$238:$C$451,$C163,'TL16'!$J$238:$J$451),0),
IF('TL17'!$B$3=J$3,SUMIF('TL17'!$C$10:$C$224,$C163,'TL17'!$J$10:$J$224),0),
IF('TL17'!$B$229=J$3,SUMIF('TL17'!$C$238:$C$451,$C163,'TL17'!$J$238:$J$451),0),
IF('TL18'!$B$3=J$3,SUMIF('TL18'!$C$10:$C$224,$C163,'TL18'!$J$10:$J$224),0),
IF('TL18'!$B$229=J$3,SUMIF('TL18'!$C$238:$C$451,$C163,'TL18'!$J$238:$J$451),0),
IF('TL19'!$B$3=J$3,SUMIF('TL19'!$C$10:$C$224,$C163,'TL19'!$J$10:$J$224),0),
IF('TL19'!$B$229=J$3,SUMIF('TL19'!$C$238:$C$451,$C163,'TL19'!$J$238:$J$451),0)
),0)</f>
        <v/>
      </c>
      <c r="K163" s="9">
        <f>IFERROR(SUM(
IF('TL01'!$B$3=K$3,SUMIF('TL01'!$C$10:$C$224,$C163,'TL01'!$J$10:$J$224),0),
IF('TL01'!$B$229=K$3,SUMIF('TL01'!$C$238:$C$451,$C163,'TL01'!$J$238:$J$451),0),
IF('TL02'!$B$3=K$3,SUMIF('TL02'!$C$10:$C$224,$C163,'TL02'!$J$10:$J$224),0),
IF('TL02'!$B$229=K$3,SUMIF('TL02'!$C$238:$C$451,$C163,'TL02'!$J$238:$J$451),0),
IF('TL03'!$B$3=K$3,SUMIF('TL03'!$C$10:$C$224,$C163,'TL03'!$J$10:$J$224),0),
IF('TL03'!$B$229=K$3,SUMIF('TL03'!$C$238:$C$451,$C163,'TL03'!$J$238:$J$451),0),
IF('TL04'!$B$3=K$3,SUMIF('TL04'!$C$10:$C$224,$C163,'TL04'!$J$10:$J$224),0),
IF('TL04'!$B$229=K$3,SUMIF('TL04'!$C$238:$C$451,$C163,'TL04'!$J$238:$J$451),0),
IF('TL05'!$B$3=K$3,SUMIF('TL05'!$C$10:$C$224,$C163,'TL05'!$J$10:$J$224),0),
IF('TL05'!$B$229=K$3,SUMIF('TL05'!$C$238:$C$451,$C163,'TL05'!$J$238:$J$451),0),
IF('TL06'!$B$3=K$3,SUMIF('TL06'!$C$10:$C$224,$C163,'TL06'!$J$10:$J$224),0),
IF('TL06'!$B$229=K$3,SUMIF('TL06'!$C$238:$C$451,$C163,'TL06'!$J$238:$J$451),0),
IF('TL07'!$B$3=K$3,SUMIF('TL07'!$C$10:$C$224,$C163,'TL07'!$J$10:$J$224),0),
IF('TL07'!$B$229=K$3,SUMIF('TL07'!$C$238:$C$451,$C163,'TL07'!$J$238:$J$451),0),
IF('TL08'!$B$3=K$3,SUMIF('TL08'!$C$10:$C$224,$C163,'TL08'!$J$10:$J$224),0),
IF('TL08'!$B$229=K$3,SUMIF('TL08'!$C$238:$C$451,$C163,'TL08'!$J$238:$J$451),0),
IF('TL09'!$B$3=K$3,SUMIF('TL09'!$C$10:$C$224,$C163,'TL09'!$J$10:$J$224),0),
IF('TL09'!$B$229=K$3,SUMIF('TL09'!$C$238:$C$451,$C163,'TL09'!$J$238:$J$451),0),
IF('TL10'!$B$3=K$3,SUMIF('TL10'!$C$10:$C$224,$C163,'TL10'!$J$10:$J$224),0),
IF('TL10'!$B$229=K$3,SUMIF('TL10'!$C$238:$C$451,$C163,'TL10'!$J$238:$J$451),0),
IF('TL11'!$B$3=K$3,SUMIF('TL11'!$C$10:$C$224,$C163,'TL11'!$J$10:$J$224),0),
IF('TL11'!$B$229=K$3,SUMIF('TL11'!$C$238:$C$451,$C163,'TL11'!$J$238:$J$451),0),
IF('TL12'!$B$3=K$3,SUMIF('TL12'!$C$10:$C$224,$C163,'TL12'!$J$10:$J$224),0),
IF('TL12'!$B$229=K$3,SUMIF('TL12'!$C$238:$C$451,$C163,'TL12'!$J$238:$J$451),0),
IF('TL13'!$B$3=K$3,SUMIF('TL13'!$C$10:$C$224,$C163,'TL13'!$J$10:$J$224),0),
IF('TL13'!$B$229=K$3,SUMIF('TL13'!$C$238:$C$451,$C163,'TL13'!$J$238:$J$451),0),
IF('TL14'!$B$3=K$3,SUMIF('TL14'!$C$10:$C$224,$C163,'TL14'!$J$10:$J$224),0),
IF('TL14'!$B$229=K$3,SUMIF('TL14'!$C$238:$C$451,$C163,'TL14'!$J$238:$J$451),0),
IF('TL15'!$B$3=K$3,SUMIF('TL15'!$C$10:$C$224,$C163,'TL15'!$J$10:$J$224),0),
IF('TL15'!$B$229=K$3,SUMIF('TL15'!$C$238:$C$451,$C163,'TL15'!$J$238:$J$451),0),
IF('TL16'!$B$3=K$3,SUMIF('TL16'!$C$10:$C$224,$C163,'TL16'!$J$10:$J$224),0),
IF('TL16'!$B$229=K$3,SUMIF('TL16'!$C$238:$C$451,$C163,'TL16'!$J$238:$J$451),0),
IF('TL17'!$B$3=K$3,SUMIF('TL17'!$C$10:$C$224,$C163,'TL17'!$J$10:$J$224),0),
IF('TL17'!$B$229=K$3,SUMIF('TL17'!$C$238:$C$451,$C163,'TL17'!$J$238:$J$451),0),
IF('TL18'!$B$3=K$3,SUMIF('TL18'!$C$10:$C$224,$C163,'TL18'!$J$10:$J$224),0),
IF('TL18'!$B$229=K$3,SUMIF('TL18'!$C$238:$C$451,$C163,'TL18'!$J$238:$J$451),0),
IF('TL19'!$B$3=K$3,SUMIF('TL19'!$C$10:$C$224,$C163,'TL19'!$J$10:$J$224),0),
IF('TL19'!$B$229=K$3,SUMIF('TL19'!$C$238:$C$451,$C163,'TL19'!$J$238:$J$451),0)
),0)</f>
        <v/>
      </c>
      <c r="L163" s="9">
        <f>IFERROR(SUM(
IF('TL01'!$B$3=L$3,SUMIF('TL01'!$C$10:$C$224,$C163,'TL01'!$J$10:$J$224),0),
IF('TL01'!$B$229=L$3,SUMIF('TL01'!$C$238:$C$451,$C163,'TL01'!$J$238:$J$451),0),
IF('TL02'!$B$3=L$3,SUMIF('TL02'!$C$10:$C$224,$C163,'TL02'!$J$10:$J$224),0),
IF('TL02'!$B$229=L$3,SUMIF('TL02'!$C$238:$C$451,$C163,'TL02'!$J$238:$J$451),0),
IF('TL03'!$B$3=L$3,SUMIF('TL03'!$C$10:$C$224,$C163,'TL03'!$J$10:$J$224),0),
IF('TL03'!$B$229=L$3,SUMIF('TL03'!$C$238:$C$451,$C163,'TL03'!$J$238:$J$451),0),
IF('TL04'!$B$3=L$3,SUMIF('TL04'!$C$10:$C$224,$C163,'TL04'!$J$10:$J$224),0),
IF('TL04'!$B$229=L$3,SUMIF('TL04'!$C$238:$C$451,$C163,'TL04'!$J$238:$J$451),0),
IF('TL05'!$B$3=L$3,SUMIF('TL05'!$C$10:$C$224,$C163,'TL05'!$J$10:$J$224),0),
IF('TL05'!$B$229=L$3,SUMIF('TL05'!$C$238:$C$451,$C163,'TL05'!$J$238:$J$451),0),
IF('TL06'!$B$3=L$3,SUMIF('TL06'!$C$10:$C$224,$C163,'TL06'!$J$10:$J$224),0),
IF('TL06'!$B$229=L$3,SUMIF('TL06'!$C$238:$C$451,$C163,'TL06'!$J$238:$J$451),0),
IF('TL07'!$B$3=L$3,SUMIF('TL07'!$C$10:$C$224,$C163,'TL07'!$J$10:$J$224),0),
IF('TL07'!$B$229=L$3,SUMIF('TL07'!$C$238:$C$451,$C163,'TL07'!$J$238:$J$451),0),
IF('TL08'!$B$3=L$3,SUMIF('TL08'!$C$10:$C$224,$C163,'TL08'!$J$10:$J$224),0),
IF('TL08'!$B$229=L$3,SUMIF('TL08'!$C$238:$C$451,$C163,'TL08'!$J$238:$J$451),0),
IF('TL09'!$B$3=L$3,SUMIF('TL09'!$C$10:$C$224,$C163,'TL09'!$J$10:$J$224),0),
IF('TL09'!$B$229=L$3,SUMIF('TL09'!$C$238:$C$451,$C163,'TL09'!$J$238:$J$451),0),
IF('TL10'!$B$3=L$3,SUMIF('TL10'!$C$10:$C$224,$C163,'TL10'!$J$10:$J$224),0),
IF('TL10'!$B$229=L$3,SUMIF('TL10'!$C$238:$C$451,$C163,'TL10'!$J$238:$J$451),0),
IF('TL11'!$B$3=L$3,SUMIF('TL11'!$C$10:$C$224,$C163,'TL11'!$J$10:$J$224),0),
IF('TL11'!$B$229=L$3,SUMIF('TL11'!$C$238:$C$451,$C163,'TL11'!$J$238:$J$451),0),
IF('TL12'!$B$3=L$3,SUMIF('TL12'!$C$10:$C$224,$C163,'TL12'!$J$10:$J$224),0),
IF('TL12'!$B$229=L$3,SUMIF('TL12'!$C$238:$C$451,$C163,'TL12'!$J$238:$J$451),0),
IF('TL13'!$B$3=L$3,SUMIF('TL13'!$C$10:$C$224,$C163,'TL13'!$J$10:$J$224),0),
IF('TL13'!$B$229=L$3,SUMIF('TL13'!$C$238:$C$451,$C163,'TL13'!$J$238:$J$451),0),
IF('TL14'!$B$3=L$3,SUMIF('TL14'!$C$10:$C$224,$C163,'TL14'!$J$10:$J$224),0),
IF('TL14'!$B$229=L$3,SUMIF('TL14'!$C$238:$C$451,$C163,'TL14'!$J$238:$J$451),0),
IF('TL15'!$B$3=L$3,SUMIF('TL15'!$C$10:$C$224,$C163,'TL15'!$J$10:$J$224),0),
IF('TL15'!$B$229=L$3,SUMIF('TL15'!$C$238:$C$451,$C163,'TL15'!$J$238:$J$451),0),
IF('TL16'!$B$3=L$3,SUMIF('TL16'!$C$10:$C$224,$C163,'TL16'!$J$10:$J$224),0),
IF('TL16'!$B$229=L$3,SUMIF('TL16'!$C$238:$C$451,$C163,'TL16'!$J$238:$J$451),0),
IF('TL17'!$B$3=L$3,SUMIF('TL17'!$C$10:$C$224,$C163,'TL17'!$J$10:$J$224),0),
IF('TL17'!$B$229=L$3,SUMIF('TL17'!$C$238:$C$451,$C163,'TL17'!$J$238:$J$451),0),
IF('TL18'!$B$3=L$3,SUMIF('TL18'!$C$10:$C$224,$C163,'TL18'!$J$10:$J$224),0),
IF('TL18'!$B$229=L$3,SUMIF('TL18'!$C$238:$C$451,$C163,'TL18'!$J$238:$J$451),0),
IF('TL19'!$B$3=L$3,SUMIF('TL19'!$C$10:$C$224,$C163,'TL19'!$J$10:$J$224),0),
IF('TL19'!$B$229=L$3,SUMIF('TL19'!$C$238:$C$451,$C163,'TL19'!$J$238:$J$451),0)
),0)</f>
        <v/>
      </c>
      <c r="M163" s="9">
        <f>IFERROR(SUM(
IF('TL01'!$B$3=M$3,SUMIF('TL01'!$C$10:$C$224,$C163,'TL01'!$J$10:$J$224),0),
IF('TL01'!$B$229=M$3,SUMIF('TL01'!$C$238:$C$451,$C163,'TL01'!$J$238:$J$451),0),
IF('TL02'!$B$3=M$3,SUMIF('TL02'!$C$10:$C$224,$C163,'TL02'!$J$10:$J$224),0),
IF('TL02'!$B$229=M$3,SUMIF('TL02'!$C$238:$C$451,$C163,'TL02'!$J$238:$J$451),0),
IF('TL03'!$B$3=M$3,SUMIF('TL03'!$C$10:$C$224,$C163,'TL03'!$J$10:$J$224),0),
IF('TL03'!$B$229=M$3,SUMIF('TL03'!$C$238:$C$451,$C163,'TL03'!$J$238:$J$451),0),
IF('TL04'!$B$3=M$3,SUMIF('TL04'!$C$10:$C$224,$C163,'TL04'!$J$10:$J$224),0),
IF('TL04'!$B$229=M$3,SUMIF('TL04'!$C$238:$C$451,$C163,'TL04'!$J$238:$J$451),0),
IF('TL05'!$B$3=M$3,SUMIF('TL05'!$C$10:$C$224,$C163,'TL05'!$J$10:$J$224),0),
IF('TL05'!$B$229=M$3,SUMIF('TL05'!$C$238:$C$451,$C163,'TL05'!$J$238:$J$451),0),
IF('TL06'!$B$3=M$3,SUMIF('TL06'!$C$10:$C$224,$C163,'TL06'!$J$10:$J$224),0),
IF('TL06'!$B$229=M$3,SUMIF('TL06'!$C$238:$C$451,$C163,'TL06'!$J$238:$J$451),0),
IF('TL07'!$B$3=M$3,SUMIF('TL07'!$C$10:$C$224,$C163,'TL07'!$J$10:$J$224),0),
IF('TL07'!$B$229=M$3,SUMIF('TL07'!$C$238:$C$451,$C163,'TL07'!$J$238:$J$451),0),
IF('TL08'!$B$3=M$3,SUMIF('TL08'!$C$10:$C$224,$C163,'TL08'!$J$10:$J$224),0),
IF('TL08'!$B$229=M$3,SUMIF('TL08'!$C$238:$C$451,$C163,'TL08'!$J$238:$J$451),0),
IF('TL09'!$B$3=M$3,SUMIF('TL09'!$C$10:$C$224,$C163,'TL09'!$J$10:$J$224),0),
IF('TL09'!$B$229=M$3,SUMIF('TL09'!$C$238:$C$451,$C163,'TL09'!$J$238:$J$451),0),
IF('TL10'!$B$3=M$3,SUMIF('TL10'!$C$10:$C$224,$C163,'TL10'!$J$10:$J$224),0),
IF('TL10'!$B$229=M$3,SUMIF('TL10'!$C$238:$C$451,$C163,'TL10'!$J$238:$J$451),0),
IF('TL11'!$B$3=M$3,SUMIF('TL11'!$C$10:$C$224,$C163,'TL11'!$J$10:$J$224),0),
IF('TL11'!$B$229=M$3,SUMIF('TL11'!$C$238:$C$451,$C163,'TL11'!$J$238:$J$451),0),
IF('TL12'!$B$3=M$3,SUMIF('TL12'!$C$10:$C$224,$C163,'TL12'!$J$10:$J$224),0),
IF('TL12'!$B$229=M$3,SUMIF('TL12'!$C$238:$C$451,$C163,'TL12'!$J$238:$J$451),0),
IF('TL13'!$B$3=M$3,SUMIF('TL13'!$C$10:$C$224,$C163,'TL13'!$J$10:$J$224),0),
IF('TL13'!$B$229=M$3,SUMIF('TL13'!$C$238:$C$451,$C163,'TL13'!$J$238:$J$451),0),
IF('TL14'!$B$3=M$3,SUMIF('TL14'!$C$10:$C$224,$C163,'TL14'!$J$10:$J$224),0),
IF('TL14'!$B$229=M$3,SUMIF('TL14'!$C$238:$C$451,$C163,'TL14'!$J$238:$J$451),0),
IF('TL15'!$B$3=M$3,SUMIF('TL15'!$C$10:$C$224,$C163,'TL15'!$J$10:$J$224),0),
IF('TL15'!$B$229=M$3,SUMIF('TL15'!$C$238:$C$451,$C163,'TL15'!$J$238:$J$451),0),
IF('TL16'!$B$3=M$3,SUMIF('TL16'!$C$10:$C$224,$C163,'TL16'!$J$10:$J$224),0),
IF('TL16'!$B$229=M$3,SUMIF('TL16'!$C$238:$C$451,$C163,'TL16'!$J$238:$J$451),0),
IF('TL17'!$B$3=M$3,SUMIF('TL17'!$C$10:$C$224,$C163,'TL17'!$J$10:$J$224),0),
IF('TL17'!$B$229=M$3,SUMIF('TL17'!$C$238:$C$451,$C163,'TL17'!$J$238:$J$451),0),
IF('TL18'!$B$3=M$3,SUMIF('TL18'!$C$10:$C$224,$C163,'TL18'!$J$10:$J$224),0),
IF('TL18'!$B$229=M$3,SUMIF('TL18'!$C$238:$C$451,$C163,'TL18'!$J$238:$J$451),0),
IF('TL19'!$B$3=M$3,SUMIF('TL19'!$C$10:$C$224,$C163,'TL19'!$J$10:$J$224),0),
IF('TL19'!$B$229=M$3,SUMIF('TL19'!$C$238:$C$451,$C163,'TL19'!$J$238:$J$451),0)
),0)</f>
        <v/>
      </c>
      <c r="N163" s="9">
        <f>IFERROR(SUM(
IF('TL01'!$B$3=N$3,SUMIF('TL01'!$C$10:$C$224,$C163,'TL01'!$J$10:$J$224),0),
IF('TL01'!$B$229=N$3,SUMIF('TL01'!$C$238:$C$451,$C163,'TL01'!$J$238:$J$451),0),
IF('TL02'!$B$3=N$3,SUMIF('TL02'!$C$10:$C$224,$C163,'TL02'!$J$10:$J$224),0),
IF('TL02'!$B$229=N$3,SUMIF('TL02'!$C$238:$C$451,$C163,'TL02'!$J$238:$J$451),0),
IF('TL03'!$B$3=N$3,SUMIF('TL03'!$C$10:$C$224,$C163,'TL03'!$J$10:$J$224),0),
IF('TL03'!$B$229=N$3,SUMIF('TL03'!$C$238:$C$451,$C163,'TL03'!$J$238:$J$451),0),
IF('TL04'!$B$3=N$3,SUMIF('TL04'!$C$10:$C$224,$C163,'TL04'!$J$10:$J$224),0),
IF('TL04'!$B$229=N$3,SUMIF('TL04'!$C$238:$C$451,$C163,'TL04'!$J$238:$J$451),0),
IF('TL05'!$B$3=N$3,SUMIF('TL05'!$C$10:$C$224,$C163,'TL05'!$J$10:$J$224),0),
IF('TL05'!$B$229=N$3,SUMIF('TL05'!$C$238:$C$451,$C163,'TL05'!$J$238:$J$451),0),
IF('TL06'!$B$3=N$3,SUMIF('TL06'!$C$10:$C$224,$C163,'TL06'!$J$10:$J$224),0),
IF('TL06'!$B$229=N$3,SUMIF('TL06'!$C$238:$C$451,$C163,'TL06'!$J$238:$J$451),0),
IF('TL07'!$B$3=N$3,SUMIF('TL07'!$C$10:$C$224,$C163,'TL07'!$J$10:$J$224),0),
IF('TL07'!$B$229=N$3,SUMIF('TL07'!$C$238:$C$451,$C163,'TL07'!$J$238:$J$451),0),
IF('TL08'!$B$3=N$3,SUMIF('TL08'!$C$10:$C$224,$C163,'TL08'!$J$10:$J$224),0),
IF('TL08'!$B$229=N$3,SUMIF('TL08'!$C$238:$C$451,$C163,'TL08'!$J$238:$J$451),0),
IF('TL09'!$B$3=N$3,SUMIF('TL09'!$C$10:$C$224,$C163,'TL09'!$J$10:$J$224),0),
IF('TL09'!$B$229=N$3,SUMIF('TL09'!$C$238:$C$451,$C163,'TL09'!$J$238:$J$451),0),
IF('TL10'!$B$3=N$3,SUMIF('TL10'!$C$10:$C$224,$C163,'TL10'!$J$10:$J$224),0),
IF('TL10'!$B$229=N$3,SUMIF('TL10'!$C$238:$C$451,$C163,'TL10'!$J$238:$J$451),0),
IF('TL11'!$B$3=N$3,SUMIF('TL11'!$C$10:$C$224,$C163,'TL11'!$J$10:$J$224),0),
IF('TL11'!$B$229=N$3,SUMIF('TL11'!$C$238:$C$451,$C163,'TL11'!$J$238:$J$451),0),
IF('TL12'!$B$3=N$3,SUMIF('TL12'!$C$10:$C$224,$C163,'TL12'!$J$10:$J$224),0),
IF('TL12'!$B$229=N$3,SUMIF('TL12'!$C$238:$C$451,$C163,'TL12'!$J$238:$J$451),0),
IF('TL13'!$B$3=N$3,SUMIF('TL13'!$C$10:$C$224,$C163,'TL13'!$J$10:$J$224),0),
IF('TL13'!$B$229=N$3,SUMIF('TL13'!$C$238:$C$451,$C163,'TL13'!$J$238:$J$451),0),
IF('TL14'!$B$3=N$3,SUMIF('TL14'!$C$10:$C$224,$C163,'TL14'!$J$10:$J$224),0),
IF('TL14'!$B$229=N$3,SUMIF('TL14'!$C$238:$C$451,$C163,'TL14'!$J$238:$J$451),0),
IF('TL15'!$B$3=N$3,SUMIF('TL15'!$C$10:$C$224,$C163,'TL15'!$J$10:$J$224),0),
IF('TL15'!$B$229=N$3,SUMIF('TL15'!$C$238:$C$451,$C163,'TL15'!$J$238:$J$451),0),
IF('TL16'!$B$3=N$3,SUMIF('TL16'!$C$10:$C$224,$C163,'TL16'!$J$10:$J$224),0),
IF('TL16'!$B$229=N$3,SUMIF('TL16'!$C$238:$C$451,$C163,'TL16'!$J$238:$J$451),0),
IF('TL17'!$B$3=N$3,SUMIF('TL17'!$C$10:$C$224,$C163,'TL17'!$J$10:$J$224),0),
IF('TL17'!$B$229=N$3,SUMIF('TL17'!$C$238:$C$451,$C163,'TL17'!$J$238:$J$451),0),
IF('TL18'!$B$3=N$3,SUMIF('TL18'!$C$10:$C$224,$C163,'TL18'!$J$10:$J$224),0),
IF('TL18'!$B$229=N$3,SUMIF('TL18'!$C$238:$C$451,$C163,'TL18'!$J$238:$J$451),0),
IF('TL19'!$B$3=N$3,SUMIF('TL19'!$C$10:$C$224,$C163,'TL19'!$J$10:$J$224),0),
IF('TL19'!$B$229=N$3,SUMIF('TL19'!$C$238:$C$451,$C163,'TL19'!$J$238:$J$451),0)
),0)</f>
        <v/>
      </c>
      <c r="O163" s="9">
        <f>IFERROR(SUM(
IF('TL01'!$B$3=O$3,SUMIF('TL01'!$C$10:$C$224,$C163,'TL01'!$J$10:$J$224),0),
IF('TL01'!$B$229=O$3,SUMIF('TL01'!$C$238:$C$451,$C163,'TL01'!$J$238:$J$451),0),
IF('TL02'!$B$3=O$3,SUMIF('TL02'!$C$10:$C$224,$C163,'TL02'!$J$10:$J$224),0),
IF('TL02'!$B$229=O$3,SUMIF('TL02'!$C$238:$C$451,$C163,'TL02'!$J$238:$J$451),0),
IF('TL03'!$B$3=O$3,SUMIF('TL03'!$C$10:$C$224,$C163,'TL03'!$J$10:$J$224),0),
IF('TL03'!$B$229=O$3,SUMIF('TL03'!$C$238:$C$451,$C163,'TL03'!$J$238:$J$451),0),
IF('TL04'!$B$3=O$3,SUMIF('TL04'!$C$10:$C$224,$C163,'TL04'!$J$10:$J$224),0),
IF('TL04'!$B$229=O$3,SUMIF('TL04'!$C$238:$C$451,$C163,'TL04'!$J$238:$J$451),0),
IF('TL05'!$B$3=O$3,SUMIF('TL05'!$C$10:$C$224,$C163,'TL05'!$J$10:$J$224),0),
IF('TL05'!$B$229=O$3,SUMIF('TL05'!$C$238:$C$451,$C163,'TL05'!$J$238:$J$451),0),
IF('TL06'!$B$3=O$3,SUMIF('TL06'!$C$10:$C$224,$C163,'TL06'!$J$10:$J$224),0),
IF('TL06'!$B$229=O$3,SUMIF('TL06'!$C$238:$C$451,$C163,'TL06'!$J$238:$J$451),0),
IF('TL07'!$B$3=O$3,SUMIF('TL07'!$C$10:$C$224,$C163,'TL07'!$J$10:$J$224),0),
IF('TL07'!$B$229=O$3,SUMIF('TL07'!$C$238:$C$451,$C163,'TL07'!$J$238:$J$451),0),
IF('TL08'!$B$3=O$3,SUMIF('TL08'!$C$10:$C$224,$C163,'TL08'!$J$10:$J$224),0),
IF('TL08'!$B$229=O$3,SUMIF('TL08'!$C$238:$C$451,$C163,'TL08'!$J$238:$J$451),0),
IF('TL09'!$B$3=O$3,SUMIF('TL09'!$C$10:$C$224,$C163,'TL09'!$J$10:$J$224),0),
IF('TL09'!$B$229=O$3,SUMIF('TL09'!$C$238:$C$451,$C163,'TL09'!$J$238:$J$451),0),
IF('TL10'!$B$3=O$3,SUMIF('TL10'!$C$10:$C$224,$C163,'TL10'!$J$10:$J$224),0),
IF('TL10'!$B$229=O$3,SUMIF('TL10'!$C$238:$C$451,$C163,'TL10'!$J$238:$J$451),0),
IF('TL11'!$B$3=O$3,SUMIF('TL11'!$C$10:$C$224,$C163,'TL11'!$J$10:$J$224),0),
IF('TL11'!$B$229=O$3,SUMIF('TL11'!$C$238:$C$451,$C163,'TL11'!$J$238:$J$451),0),
IF('TL12'!$B$3=O$3,SUMIF('TL12'!$C$10:$C$224,$C163,'TL12'!$J$10:$J$224),0),
IF('TL12'!$B$229=O$3,SUMIF('TL12'!$C$238:$C$451,$C163,'TL12'!$J$238:$J$451),0),
IF('TL13'!$B$3=O$3,SUMIF('TL13'!$C$10:$C$224,$C163,'TL13'!$J$10:$J$224),0),
IF('TL13'!$B$229=O$3,SUMIF('TL13'!$C$238:$C$451,$C163,'TL13'!$J$238:$J$451),0),
IF('TL14'!$B$3=O$3,SUMIF('TL14'!$C$10:$C$224,$C163,'TL14'!$J$10:$J$224),0),
IF('TL14'!$B$229=O$3,SUMIF('TL14'!$C$238:$C$451,$C163,'TL14'!$J$238:$J$451),0),
IF('TL15'!$B$3=O$3,SUMIF('TL15'!$C$10:$C$224,$C163,'TL15'!$J$10:$J$224),0),
IF('TL15'!$B$229=O$3,SUMIF('TL15'!$C$238:$C$451,$C163,'TL15'!$J$238:$J$451),0),
IF('TL16'!$B$3=O$3,SUMIF('TL16'!$C$10:$C$224,$C163,'TL16'!$J$10:$J$224),0),
IF('TL16'!$B$229=O$3,SUMIF('TL16'!$C$238:$C$451,$C163,'TL16'!$J$238:$J$451),0),
IF('TL17'!$B$3=O$3,SUMIF('TL17'!$C$10:$C$224,$C163,'TL17'!$J$10:$J$224),0),
IF('TL17'!$B$229=O$3,SUMIF('TL17'!$C$238:$C$451,$C163,'TL17'!$J$238:$J$451),0),
IF('TL18'!$B$3=O$3,SUMIF('TL18'!$C$10:$C$224,$C163,'TL18'!$J$10:$J$224),0),
IF('TL18'!$B$229=O$3,SUMIF('TL18'!$C$238:$C$451,$C163,'TL18'!$J$238:$J$451),0),
IF('TL19'!$B$3=O$3,SUMIF('TL19'!$C$10:$C$224,$C163,'TL19'!$J$10:$J$224),0),
IF('TL19'!$B$229=O$3,SUMIF('TL19'!$C$238:$C$451,$C163,'TL19'!$J$238:$J$451),0)
),0)</f>
        <v/>
      </c>
      <c r="P163" s="9">
        <f>IFERROR(SUM(
IF('TL01'!$B$3=P$3,SUMIF('TL01'!$C$10:$C$224,$C163,'TL01'!$J$10:$J$224),0),
IF('TL01'!$B$229=P$3,SUMIF('TL01'!$C$238:$C$451,$C163,'TL01'!$J$238:$J$451),0),
IF('TL02'!$B$3=P$3,SUMIF('TL02'!$C$10:$C$224,$C163,'TL02'!$J$10:$J$224),0),
IF('TL02'!$B$229=P$3,SUMIF('TL02'!$C$238:$C$451,$C163,'TL02'!$J$238:$J$451),0),
IF('TL03'!$B$3=P$3,SUMIF('TL03'!$C$10:$C$224,$C163,'TL03'!$J$10:$J$224),0),
IF('TL03'!$B$229=P$3,SUMIF('TL03'!$C$238:$C$451,$C163,'TL03'!$J$238:$J$451),0),
IF('TL04'!$B$3=P$3,SUMIF('TL04'!$C$10:$C$224,$C163,'TL04'!$J$10:$J$224),0),
IF('TL04'!$B$229=P$3,SUMIF('TL04'!$C$238:$C$451,$C163,'TL04'!$J$238:$J$451),0),
IF('TL05'!$B$3=P$3,SUMIF('TL05'!$C$10:$C$224,$C163,'TL05'!$J$10:$J$224),0),
IF('TL05'!$B$229=P$3,SUMIF('TL05'!$C$238:$C$451,$C163,'TL05'!$J$238:$J$451),0),
IF('TL06'!$B$3=P$3,SUMIF('TL06'!$C$10:$C$224,$C163,'TL06'!$J$10:$J$224),0),
IF('TL06'!$B$229=P$3,SUMIF('TL06'!$C$238:$C$451,$C163,'TL06'!$J$238:$J$451),0),
IF('TL07'!$B$3=P$3,SUMIF('TL07'!$C$10:$C$224,$C163,'TL07'!$J$10:$J$224),0),
IF('TL07'!$B$229=P$3,SUMIF('TL07'!$C$238:$C$451,$C163,'TL07'!$J$238:$J$451),0),
IF('TL08'!$B$3=P$3,SUMIF('TL08'!$C$10:$C$224,$C163,'TL08'!$J$10:$J$224),0),
IF('TL08'!$B$229=P$3,SUMIF('TL08'!$C$238:$C$451,$C163,'TL08'!$J$238:$J$451),0),
IF('TL09'!$B$3=P$3,SUMIF('TL09'!$C$10:$C$224,$C163,'TL09'!$J$10:$J$224),0),
IF('TL09'!$B$229=P$3,SUMIF('TL09'!$C$238:$C$451,$C163,'TL09'!$J$238:$J$451),0),
IF('TL10'!$B$3=P$3,SUMIF('TL10'!$C$10:$C$224,$C163,'TL10'!$J$10:$J$224),0),
IF('TL10'!$B$229=P$3,SUMIF('TL10'!$C$238:$C$451,$C163,'TL10'!$J$238:$J$451),0),
IF('TL11'!$B$3=P$3,SUMIF('TL11'!$C$10:$C$224,$C163,'TL11'!$J$10:$J$224),0),
IF('TL11'!$B$229=P$3,SUMIF('TL11'!$C$238:$C$451,$C163,'TL11'!$J$238:$J$451),0),
IF('TL12'!$B$3=P$3,SUMIF('TL12'!$C$10:$C$224,$C163,'TL12'!$J$10:$J$224),0),
IF('TL12'!$B$229=P$3,SUMIF('TL12'!$C$238:$C$451,$C163,'TL12'!$J$238:$J$451),0),
IF('TL13'!$B$3=P$3,SUMIF('TL13'!$C$10:$C$224,$C163,'TL13'!$J$10:$J$224),0),
IF('TL13'!$B$229=P$3,SUMIF('TL13'!$C$238:$C$451,$C163,'TL13'!$J$238:$J$451),0),
IF('TL14'!$B$3=P$3,SUMIF('TL14'!$C$10:$C$224,$C163,'TL14'!$J$10:$J$224),0),
IF('TL14'!$B$229=P$3,SUMIF('TL14'!$C$238:$C$451,$C163,'TL14'!$J$238:$J$451),0),
IF('TL15'!$B$3=P$3,SUMIF('TL15'!$C$10:$C$224,$C163,'TL15'!$J$10:$J$224),0),
IF('TL15'!$B$229=P$3,SUMIF('TL15'!$C$238:$C$451,$C163,'TL15'!$J$238:$J$451),0),
IF('TL16'!$B$3=P$3,SUMIF('TL16'!$C$10:$C$224,$C163,'TL16'!$J$10:$J$224),0),
IF('TL16'!$B$229=P$3,SUMIF('TL16'!$C$238:$C$451,$C163,'TL16'!$J$238:$J$451),0),
IF('TL17'!$B$3=P$3,SUMIF('TL17'!$C$10:$C$224,$C163,'TL17'!$J$10:$J$224),0),
IF('TL17'!$B$229=P$3,SUMIF('TL17'!$C$238:$C$451,$C163,'TL17'!$J$238:$J$451),0),
IF('TL18'!$B$3=P$3,SUMIF('TL18'!$C$10:$C$224,$C163,'TL18'!$J$10:$J$224),0),
IF('TL18'!$B$229=P$3,SUMIF('TL18'!$C$238:$C$451,$C163,'TL18'!$J$238:$J$451),0),
IF('TL19'!$B$3=P$3,SUMIF('TL19'!$C$10:$C$224,$C163,'TL19'!$J$10:$J$224),0),
IF('TL19'!$B$229=P$3,SUMIF('TL19'!$C$238:$C$451,$C163,'TL19'!$J$238:$J$451),0)
),0)</f>
        <v/>
      </c>
      <c r="Q163" s="9">
        <f>IFERROR(SUM(
IF('TL01'!$B$3=Q$3,SUMIF('TL01'!$C$10:$C$224,$C163,'TL01'!$J$10:$J$224),0),
IF('TL01'!$B$229=Q$3,SUMIF('TL01'!$C$238:$C$451,$C163,'TL01'!$J$238:$J$451),0),
IF('TL02'!$B$3=Q$3,SUMIF('TL02'!$C$10:$C$224,$C163,'TL02'!$J$10:$J$224),0),
IF('TL02'!$B$229=Q$3,SUMIF('TL02'!$C$238:$C$451,$C163,'TL02'!$J$238:$J$451),0),
IF('TL03'!$B$3=Q$3,SUMIF('TL03'!$C$10:$C$224,$C163,'TL03'!$J$10:$J$224),0),
IF('TL03'!$B$229=Q$3,SUMIF('TL03'!$C$238:$C$451,$C163,'TL03'!$J$238:$J$451),0),
IF('TL04'!$B$3=Q$3,SUMIF('TL04'!$C$10:$C$224,$C163,'TL04'!$J$10:$J$224),0),
IF('TL04'!$B$229=Q$3,SUMIF('TL04'!$C$238:$C$451,$C163,'TL04'!$J$238:$J$451),0),
IF('TL05'!$B$3=Q$3,SUMIF('TL05'!$C$10:$C$224,$C163,'TL05'!$J$10:$J$224),0),
IF('TL05'!$B$229=Q$3,SUMIF('TL05'!$C$238:$C$451,$C163,'TL05'!$J$238:$J$451),0),
IF('TL06'!$B$3=Q$3,SUMIF('TL06'!$C$10:$C$224,$C163,'TL06'!$J$10:$J$224),0),
IF('TL06'!$B$229=Q$3,SUMIF('TL06'!$C$238:$C$451,$C163,'TL06'!$J$238:$J$451),0),
IF('TL07'!$B$3=Q$3,SUMIF('TL07'!$C$10:$C$224,$C163,'TL07'!$J$10:$J$224),0),
IF('TL07'!$B$229=Q$3,SUMIF('TL07'!$C$238:$C$451,$C163,'TL07'!$J$238:$J$451),0),
IF('TL08'!$B$3=Q$3,SUMIF('TL08'!$C$10:$C$224,$C163,'TL08'!$J$10:$J$224),0),
IF('TL08'!$B$229=Q$3,SUMIF('TL08'!$C$238:$C$451,$C163,'TL08'!$J$238:$J$451),0),
IF('TL09'!$B$3=Q$3,SUMIF('TL09'!$C$10:$C$224,$C163,'TL09'!$J$10:$J$224),0),
IF('TL09'!$B$229=Q$3,SUMIF('TL09'!$C$238:$C$451,$C163,'TL09'!$J$238:$J$451),0),
IF('TL10'!$B$3=Q$3,SUMIF('TL10'!$C$10:$C$224,$C163,'TL10'!$J$10:$J$224),0),
IF('TL10'!$B$229=Q$3,SUMIF('TL10'!$C$238:$C$451,$C163,'TL10'!$J$238:$J$451),0),
IF('TL11'!$B$3=Q$3,SUMIF('TL11'!$C$10:$C$224,$C163,'TL11'!$J$10:$J$224),0),
IF('TL11'!$B$229=Q$3,SUMIF('TL11'!$C$238:$C$451,$C163,'TL11'!$J$238:$J$451),0),
IF('TL12'!$B$3=Q$3,SUMIF('TL12'!$C$10:$C$224,$C163,'TL12'!$J$10:$J$224),0),
IF('TL12'!$B$229=Q$3,SUMIF('TL12'!$C$238:$C$451,$C163,'TL12'!$J$238:$J$451),0),
IF('TL13'!$B$3=Q$3,SUMIF('TL13'!$C$10:$C$224,$C163,'TL13'!$J$10:$J$224),0),
IF('TL13'!$B$229=Q$3,SUMIF('TL13'!$C$238:$C$451,$C163,'TL13'!$J$238:$J$451),0),
IF('TL14'!$B$3=Q$3,SUMIF('TL14'!$C$10:$C$224,$C163,'TL14'!$J$10:$J$224),0),
IF('TL14'!$B$229=Q$3,SUMIF('TL14'!$C$238:$C$451,$C163,'TL14'!$J$238:$J$451),0),
IF('TL15'!$B$3=Q$3,SUMIF('TL15'!$C$10:$C$224,$C163,'TL15'!$J$10:$J$224),0),
IF('TL15'!$B$229=Q$3,SUMIF('TL15'!$C$238:$C$451,$C163,'TL15'!$J$238:$J$451),0),
IF('TL16'!$B$3=Q$3,SUMIF('TL16'!$C$10:$C$224,$C163,'TL16'!$J$10:$J$224),0),
IF('TL16'!$B$229=Q$3,SUMIF('TL16'!$C$238:$C$451,$C163,'TL16'!$J$238:$J$451),0),
IF('TL17'!$B$3=Q$3,SUMIF('TL17'!$C$10:$C$224,$C163,'TL17'!$J$10:$J$224),0),
IF('TL17'!$B$229=Q$3,SUMIF('TL17'!$C$238:$C$451,$C163,'TL17'!$J$238:$J$451),0),
IF('TL18'!$B$3=Q$3,SUMIF('TL18'!$C$10:$C$224,$C163,'TL18'!$J$10:$J$224),0),
IF('TL18'!$B$229=Q$3,SUMIF('TL18'!$C$238:$C$451,$C163,'TL18'!$J$238:$J$451),0),
IF('TL19'!$B$3=Q$3,SUMIF('TL19'!$C$10:$C$224,$C163,'TL19'!$J$10:$J$224),0),
IF('TL19'!$B$229=Q$3,SUMIF('TL19'!$C$238:$C$451,$C163,'TL19'!$J$238:$J$451),0)
),0)</f>
        <v/>
      </c>
      <c r="R163" s="9">
        <f>IFERROR(
SUM(
SUMIF('TL01'!C:C,C163,'TL01'!J:J),
SUMIF('TL02'!C:C,C163,'TL02'!J:J),
SUMIF('TL03'!C:C,C163,'TL03'!J:J),
SUMIF('TL04'!C:C,C163,'TL04'!J:J),
SUMIF('TL05'!C:C,C163,'TL05'!J:J),
SUMIF('TL06'!C:C,C163,'TL06'!J:J),
SUMIF('TL07'!C:C,C163,'TL07'!J:J),
SUMIF('TL08'!C:C,C163,'TL08'!J:J),
SUMIF('TL09'!C:C,C163,'TL09'!J:J),
SUMIF('TL10'!C:C,C163,'TL10'!J:J),
SUMIF('TL11'!C:C,C163,'TL11'!J:J),
SUMIF('TL12'!C:C,C163,'TL12'!J:J),
SUMIF('TL13'!C:C,C163,'TL13'!J:J),
SUMIF('TL14'!C:C,C163,'TL14'!J:J),
SUMIF('TL15'!C:C,C163,'TL15'!J:J),
SUMIF('TL16'!C:C,C163,'TL16'!J:J),
SUMIF('TL17'!C:C,C163,'TL17'!J:J),
SUMIF('TL18'!C:C,C163,'TL18'!J:J),SUMIF('TL19'!C:C,C163,'TL19'!J:J))
,0)</f>
        <v/>
      </c>
      <c r="S163" s="17">
        <f>IFERROR(__xludf.DUMMYFUNCTION("IFERROR(VLOOKUP(C163,
IMPORTRANGE(""1wULbzX32WdYsx-lj2U3uUNBBe2INVIRDtcK0d-Dvl90"",
""26-27!C:G""),
5,
FALSE),
"""")"),36.624199999999995)</f>
        <v/>
      </c>
      <c r="T163" s="9" t="n"/>
      <c r="U163" s="92">
        <f>MAX(0,R163-T163)</f>
        <v/>
      </c>
      <c r="V163" s="93">
        <f>U163*S163</f>
        <v/>
      </c>
    </row>
    <row r="164" hidden="1" ht="15.75" customHeight="1" s="297">
      <c r="A164" s="115" t="inlineStr">
        <is>
          <t>SYNGENTA</t>
        </is>
      </c>
      <c r="B164" s="100" t="inlineStr">
        <is>
          <t>HERBICIDA</t>
        </is>
      </c>
      <c r="C164" s="116" t="inlineStr">
        <is>
          <t>FUSILADE</t>
        </is>
      </c>
      <c r="D164" s="116" t="inlineStr">
        <is>
          <t>FLUAZIFOPE-P-BUTÍLICO</t>
        </is>
      </c>
      <c r="E164" s="116" t="n">
        <v>250</v>
      </c>
      <c r="F164" s="4" t="inlineStr">
        <is>
          <t>L</t>
        </is>
      </c>
      <c r="G164" s="90">
        <f>HYPERLINK("https://www.google.com/search?q=" &amp; C164 &amp; "+bula+agrofit+pdf", "📄 Ver bula")</f>
        <v/>
      </c>
      <c r="H164" s="9">
        <f>IFERROR(__xludf.DUMMYFUNCTION("IFERROR(VLOOKUP(C164,
IMPORTRANGE(""1wULbzX32WdYsx-lj2U3uUNBBe2INVIRDtcK0d-Dvl90"",
""26-27!C:K""),
8,
FALSE),
"""")"),"")</f>
        <v/>
      </c>
      <c r="I164" s="117" t="inlineStr">
        <is>
          <t>4X5</t>
        </is>
      </c>
      <c r="J164" s="9">
        <f>IFERROR(SUM(
IF('TL01'!$B$3=J$3,SUMIF('TL01'!$C$10:$C$224,$C164,'TL01'!$J$10:$J$224),0),
IF('TL01'!$B$229=J$3,SUMIF('TL01'!$C$238:$C$451,$C164,'TL01'!$J$238:$J$451),0),
IF('TL02'!$B$3=J$3,SUMIF('TL02'!$C$10:$C$224,$C164,'TL02'!$J$10:$J$224),0),
IF('TL02'!$B$229=J$3,SUMIF('TL02'!$C$238:$C$451,$C164,'TL02'!$J$238:$J$451),0),
IF('TL03'!$B$3=J$3,SUMIF('TL03'!$C$10:$C$224,$C164,'TL03'!$J$10:$J$224),0),
IF('TL03'!$B$229=J$3,SUMIF('TL03'!$C$238:$C$451,$C164,'TL03'!$J$238:$J$451),0),
IF('TL04'!$B$3=J$3,SUMIF('TL04'!$C$10:$C$224,$C164,'TL04'!$J$10:$J$224),0),
IF('TL04'!$B$229=J$3,SUMIF('TL04'!$C$238:$C$451,$C164,'TL04'!$J$238:$J$451),0),
IF('TL05'!$B$3=J$3,SUMIF('TL05'!$C$10:$C$224,$C164,'TL05'!$J$10:$J$224),0),
IF('TL05'!$B$229=J$3,SUMIF('TL05'!$C$238:$C$451,$C164,'TL05'!$J$238:$J$451),0),
IF('TL06'!$B$3=J$3,SUMIF('TL06'!$C$10:$C$224,$C164,'TL06'!$J$10:$J$224),0),
IF('TL06'!$B$229=J$3,SUMIF('TL06'!$C$238:$C$451,$C164,'TL06'!$J$238:$J$451),0),
IF('TL07'!$B$3=J$3,SUMIF('TL07'!$C$10:$C$224,$C164,'TL07'!$J$10:$J$224),0),
IF('TL07'!$B$229=J$3,SUMIF('TL07'!$C$238:$C$451,$C164,'TL07'!$J$238:$J$451),0),
IF('TL08'!$B$3=J$3,SUMIF('TL08'!$C$10:$C$224,$C164,'TL08'!$J$10:$J$224),0),
IF('TL08'!$B$229=J$3,SUMIF('TL08'!$C$238:$C$451,$C164,'TL08'!$J$238:$J$451),0),
IF('TL09'!$B$3=J$3,SUMIF('TL09'!$C$10:$C$224,$C164,'TL09'!$J$10:$J$224),0),
IF('TL09'!$B$229=J$3,SUMIF('TL09'!$C$238:$C$451,$C164,'TL09'!$J$238:$J$451),0),
IF('TL10'!$B$3=J$3,SUMIF('TL10'!$C$10:$C$224,$C164,'TL10'!$J$10:$J$224),0),
IF('TL10'!$B$229=J$3,SUMIF('TL10'!$C$238:$C$451,$C164,'TL10'!$J$238:$J$451),0),
IF('TL11'!$B$3=J$3,SUMIF('TL11'!$C$10:$C$224,$C164,'TL11'!$J$10:$J$224),0),
IF('TL11'!$B$229=J$3,SUMIF('TL11'!$C$238:$C$451,$C164,'TL11'!$J$238:$J$451),0),
IF('TL12'!$B$3=J$3,SUMIF('TL12'!$C$10:$C$224,$C164,'TL12'!$J$10:$J$224),0),
IF('TL12'!$B$229=J$3,SUMIF('TL12'!$C$238:$C$451,$C164,'TL12'!$J$238:$J$451),0),
IF('TL13'!$B$3=J$3,SUMIF('TL13'!$C$10:$C$224,$C164,'TL13'!$J$10:$J$224),0),
IF('TL13'!$B$229=J$3,SUMIF('TL13'!$C$238:$C$451,$C164,'TL13'!$J$238:$J$451),0),
IF('TL14'!$B$3=J$3,SUMIF('TL14'!$C$10:$C$224,$C164,'TL14'!$J$10:$J$224),0),
IF('TL14'!$B$229=J$3,SUMIF('TL14'!$C$238:$C$451,$C164,'TL14'!$J$238:$J$451),0),
IF('TL15'!$B$3=J$3,SUMIF('TL15'!$C$10:$C$224,$C164,'TL15'!$J$10:$J$224),0),
IF('TL15'!$B$229=J$3,SUMIF('TL15'!$C$238:$C$451,$C164,'TL15'!$J$238:$J$451),0),
IF('TL16'!$B$3=J$3,SUMIF('TL16'!$C$10:$C$224,$C164,'TL16'!$J$10:$J$224),0),
IF('TL16'!$B$229=J$3,SUMIF('TL16'!$C$238:$C$451,$C164,'TL16'!$J$238:$J$451),0),
IF('TL17'!$B$3=J$3,SUMIF('TL17'!$C$10:$C$224,$C164,'TL17'!$J$10:$J$224),0),
IF('TL17'!$B$229=J$3,SUMIF('TL17'!$C$238:$C$451,$C164,'TL17'!$J$238:$J$451),0),
IF('TL18'!$B$3=J$3,SUMIF('TL18'!$C$10:$C$224,$C164,'TL18'!$J$10:$J$224),0),
IF('TL18'!$B$229=J$3,SUMIF('TL18'!$C$238:$C$451,$C164,'TL18'!$J$238:$J$451),0),
IF('TL19'!$B$3=J$3,SUMIF('TL19'!$C$10:$C$224,$C164,'TL19'!$J$10:$J$224),0),
IF('TL19'!$B$229=J$3,SUMIF('TL19'!$C$238:$C$451,$C164,'TL19'!$J$238:$J$451),0)
),0)</f>
        <v/>
      </c>
      <c r="K164" s="9">
        <f>IFERROR(SUM(
IF('TL01'!$B$3=K$3,SUMIF('TL01'!$C$10:$C$224,$C164,'TL01'!$J$10:$J$224),0),
IF('TL01'!$B$229=K$3,SUMIF('TL01'!$C$238:$C$451,$C164,'TL01'!$J$238:$J$451),0),
IF('TL02'!$B$3=K$3,SUMIF('TL02'!$C$10:$C$224,$C164,'TL02'!$J$10:$J$224),0),
IF('TL02'!$B$229=K$3,SUMIF('TL02'!$C$238:$C$451,$C164,'TL02'!$J$238:$J$451),0),
IF('TL03'!$B$3=K$3,SUMIF('TL03'!$C$10:$C$224,$C164,'TL03'!$J$10:$J$224),0),
IF('TL03'!$B$229=K$3,SUMIF('TL03'!$C$238:$C$451,$C164,'TL03'!$J$238:$J$451),0),
IF('TL04'!$B$3=K$3,SUMIF('TL04'!$C$10:$C$224,$C164,'TL04'!$J$10:$J$224),0),
IF('TL04'!$B$229=K$3,SUMIF('TL04'!$C$238:$C$451,$C164,'TL04'!$J$238:$J$451),0),
IF('TL05'!$B$3=K$3,SUMIF('TL05'!$C$10:$C$224,$C164,'TL05'!$J$10:$J$224),0),
IF('TL05'!$B$229=K$3,SUMIF('TL05'!$C$238:$C$451,$C164,'TL05'!$J$238:$J$451),0),
IF('TL06'!$B$3=K$3,SUMIF('TL06'!$C$10:$C$224,$C164,'TL06'!$J$10:$J$224),0),
IF('TL06'!$B$229=K$3,SUMIF('TL06'!$C$238:$C$451,$C164,'TL06'!$J$238:$J$451),0),
IF('TL07'!$B$3=K$3,SUMIF('TL07'!$C$10:$C$224,$C164,'TL07'!$J$10:$J$224),0),
IF('TL07'!$B$229=K$3,SUMIF('TL07'!$C$238:$C$451,$C164,'TL07'!$J$238:$J$451),0),
IF('TL08'!$B$3=K$3,SUMIF('TL08'!$C$10:$C$224,$C164,'TL08'!$J$10:$J$224),0),
IF('TL08'!$B$229=K$3,SUMIF('TL08'!$C$238:$C$451,$C164,'TL08'!$J$238:$J$451),0),
IF('TL09'!$B$3=K$3,SUMIF('TL09'!$C$10:$C$224,$C164,'TL09'!$J$10:$J$224),0),
IF('TL09'!$B$229=K$3,SUMIF('TL09'!$C$238:$C$451,$C164,'TL09'!$J$238:$J$451),0),
IF('TL10'!$B$3=K$3,SUMIF('TL10'!$C$10:$C$224,$C164,'TL10'!$J$10:$J$224),0),
IF('TL10'!$B$229=K$3,SUMIF('TL10'!$C$238:$C$451,$C164,'TL10'!$J$238:$J$451),0),
IF('TL11'!$B$3=K$3,SUMIF('TL11'!$C$10:$C$224,$C164,'TL11'!$J$10:$J$224),0),
IF('TL11'!$B$229=K$3,SUMIF('TL11'!$C$238:$C$451,$C164,'TL11'!$J$238:$J$451),0),
IF('TL12'!$B$3=K$3,SUMIF('TL12'!$C$10:$C$224,$C164,'TL12'!$J$10:$J$224),0),
IF('TL12'!$B$229=K$3,SUMIF('TL12'!$C$238:$C$451,$C164,'TL12'!$J$238:$J$451),0),
IF('TL13'!$B$3=K$3,SUMIF('TL13'!$C$10:$C$224,$C164,'TL13'!$J$10:$J$224),0),
IF('TL13'!$B$229=K$3,SUMIF('TL13'!$C$238:$C$451,$C164,'TL13'!$J$238:$J$451),0),
IF('TL14'!$B$3=K$3,SUMIF('TL14'!$C$10:$C$224,$C164,'TL14'!$J$10:$J$224),0),
IF('TL14'!$B$229=K$3,SUMIF('TL14'!$C$238:$C$451,$C164,'TL14'!$J$238:$J$451),0),
IF('TL15'!$B$3=K$3,SUMIF('TL15'!$C$10:$C$224,$C164,'TL15'!$J$10:$J$224),0),
IF('TL15'!$B$229=K$3,SUMIF('TL15'!$C$238:$C$451,$C164,'TL15'!$J$238:$J$451),0),
IF('TL16'!$B$3=K$3,SUMIF('TL16'!$C$10:$C$224,$C164,'TL16'!$J$10:$J$224),0),
IF('TL16'!$B$229=K$3,SUMIF('TL16'!$C$238:$C$451,$C164,'TL16'!$J$238:$J$451),0),
IF('TL17'!$B$3=K$3,SUMIF('TL17'!$C$10:$C$224,$C164,'TL17'!$J$10:$J$224),0),
IF('TL17'!$B$229=K$3,SUMIF('TL17'!$C$238:$C$451,$C164,'TL17'!$J$238:$J$451),0),
IF('TL18'!$B$3=K$3,SUMIF('TL18'!$C$10:$C$224,$C164,'TL18'!$J$10:$J$224),0),
IF('TL18'!$B$229=K$3,SUMIF('TL18'!$C$238:$C$451,$C164,'TL18'!$J$238:$J$451),0),
IF('TL19'!$B$3=K$3,SUMIF('TL19'!$C$10:$C$224,$C164,'TL19'!$J$10:$J$224),0),
IF('TL19'!$B$229=K$3,SUMIF('TL19'!$C$238:$C$451,$C164,'TL19'!$J$238:$J$451),0)
),0)</f>
        <v/>
      </c>
      <c r="L164" s="9">
        <f>IFERROR(SUM(
IF('TL01'!$B$3=L$3,SUMIF('TL01'!$C$10:$C$224,$C164,'TL01'!$J$10:$J$224),0),
IF('TL01'!$B$229=L$3,SUMIF('TL01'!$C$238:$C$451,$C164,'TL01'!$J$238:$J$451),0),
IF('TL02'!$B$3=L$3,SUMIF('TL02'!$C$10:$C$224,$C164,'TL02'!$J$10:$J$224),0),
IF('TL02'!$B$229=L$3,SUMIF('TL02'!$C$238:$C$451,$C164,'TL02'!$J$238:$J$451),0),
IF('TL03'!$B$3=L$3,SUMIF('TL03'!$C$10:$C$224,$C164,'TL03'!$J$10:$J$224),0),
IF('TL03'!$B$229=L$3,SUMIF('TL03'!$C$238:$C$451,$C164,'TL03'!$J$238:$J$451),0),
IF('TL04'!$B$3=L$3,SUMIF('TL04'!$C$10:$C$224,$C164,'TL04'!$J$10:$J$224),0),
IF('TL04'!$B$229=L$3,SUMIF('TL04'!$C$238:$C$451,$C164,'TL04'!$J$238:$J$451),0),
IF('TL05'!$B$3=L$3,SUMIF('TL05'!$C$10:$C$224,$C164,'TL05'!$J$10:$J$224),0),
IF('TL05'!$B$229=L$3,SUMIF('TL05'!$C$238:$C$451,$C164,'TL05'!$J$238:$J$451),0),
IF('TL06'!$B$3=L$3,SUMIF('TL06'!$C$10:$C$224,$C164,'TL06'!$J$10:$J$224),0),
IF('TL06'!$B$229=L$3,SUMIF('TL06'!$C$238:$C$451,$C164,'TL06'!$J$238:$J$451),0),
IF('TL07'!$B$3=L$3,SUMIF('TL07'!$C$10:$C$224,$C164,'TL07'!$J$10:$J$224),0),
IF('TL07'!$B$229=L$3,SUMIF('TL07'!$C$238:$C$451,$C164,'TL07'!$J$238:$J$451),0),
IF('TL08'!$B$3=L$3,SUMIF('TL08'!$C$10:$C$224,$C164,'TL08'!$J$10:$J$224),0),
IF('TL08'!$B$229=L$3,SUMIF('TL08'!$C$238:$C$451,$C164,'TL08'!$J$238:$J$451),0),
IF('TL09'!$B$3=L$3,SUMIF('TL09'!$C$10:$C$224,$C164,'TL09'!$J$10:$J$224),0),
IF('TL09'!$B$229=L$3,SUMIF('TL09'!$C$238:$C$451,$C164,'TL09'!$J$238:$J$451),0),
IF('TL10'!$B$3=L$3,SUMIF('TL10'!$C$10:$C$224,$C164,'TL10'!$J$10:$J$224),0),
IF('TL10'!$B$229=L$3,SUMIF('TL10'!$C$238:$C$451,$C164,'TL10'!$J$238:$J$451),0),
IF('TL11'!$B$3=L$3,SUMIF('TL11'!$C$10:$C$224,$C164,'TL11'!$J$10:$J$224),0),
IF('TL11'!$B$229=L$3,SUMIF('TL11'!$C$238:$C$451,$C164,'TL11'!$J$238:$J$451),0),
IF('TL12'!$B$3=L$3,SUMIF('TL12'!$C$10:$C$224,$C164,'TL12'!$J$10:$J$224),0),
IF('TL12'!$B$229=L$3,SUMIF('TL12'!$C$238:$C$451,$C164,'TL12'!$J$238:$J$451),0),
IF('TL13'!$B$3=L$3,SUMIF('TL13'!$C$10:$C$224,$C164,'TL13'!$J$10:$J$224),0),
IF('TL13'!$B$229=L$3,SUMIF('TL13'!$C$238:$C$451,$C164,'TL13'!$J$238:$J$451),0),
IF('TL14'!$B$3=L$3,SUMIF('TL14'!$C$10:$C$224,$C164,'TL14'!$J$10:$J$224),0),
IF('TL14'!$B$229=L$3,SUMIF('TL14'!$C$238:$C$451,$C164,'TL14'!$J$238:$J$451),0),
IF('TL15'!$B$3=L$3,SUMIF('TL15'!$C$10:$C$224,$C164,'TL15'!$J$10:$J$224),0),
IF('TL15'!$B$229=L$3,SUMIF('TL15'!$C$238:$C$451,$C164,'TL15'!$J$238:$J$451),0),
IF('TL16'!$B$3=L$3,SUMIF('TL16'!$C$10:$C$224,$C164,'TL16'!$J$10:$J$224),0),
IF('TL16'!$B$229=L$3,SUMIF('TL16'!$C$238:$C$451,$C164,'TL16'!$J$238:$J$451),0),
IF('TL17'!$B$3=L$3,SUMIF('TL17'!$C$10:$C$224,$C164,'TL17'!$J$10:$J$224),0),
IF('TL17'!$B$229=L$3,SUMIF('TL17'!$C$238:$C$451,$C164,'TL17'!$J$238:$J$451),0),
IF('TL18'!$B$3=L$3,SUMIF('TL18'!$C$10:$C$224,$C164,'TL18'!$J$10:$J$224),0),
IF('TL18'!$B$229=L$3,SUMIF('TL18'!$C$238:$C$451,$C164,'TL18'!$J$238:$J$451),0),
IF('TL19'!$B$3=L$3,SUMIF('TL19'!$C$10:$C$224,$C164,'TL19'!$J$10:$J$224),0),
IF('TL19'!$B$229=L$3,SUMIF('TL19'!$C$238:$C$451,$C164,'TL19'!$J$238:$J$451),0)
),0)</f>
        <v/>
      </c>
      <c r="M164" s="9">
        <f>IFERROR(SUM(
IF('TL01'!$B$3=M$3,SUMIF('TL01'!$C$10:$C$224,$C164,'TL01'!$J$10:$J$224),0),
IF('TL01'!$B$229=M$3,SUMIF('TL01'!$C$238:$C$451,$C164,'TL01'!$J$238:$J$451),0),
IF('TL02'!$B$3=M$3,SUMIF('TL02'!$C$10:$C$224,$C164,'TL02'!$J$10:$J$224),0),
IF('TL02'!$B$229=M$3,SUMIF('TL02'!$C$238:$C$451,$C164,'TL02'!$J$238:$J$451),0),
IF('TL03'!$B$3=M$3,SUMIF('TL03'!$C$10:$C$224,$C164,'TL03'!$J$10:$J$224),0),
IF('TL03'!$B$229=M$3,SUMIF('TL03'!$C$238:$C$451,$C164,'TL03'!$J$238:$J$451),0),
IF('TL04'!$B$3=M$3,SUMIF('TL04'!$C$10:$C$224,$C164,'TL04'!$J$10:$J$224),0),
IF('TL04'!$B$229=M$3,SUMIF('TL04'!$C$238:$C$451,$C164,'TL04'!$J$238:$J$451),0),
IF('TL05'!$B$3=M$3,SUMIF('TL05'!$C$10:$C$224,$C164,'TL05'!$J$10:$J$224),0),
IF('TL05'!$B$229=M$3,SUMIF('TL05'!$C$238:$C$451,$C164,'TL05'!$J$238:$J$451),0),
IF('TL06'!$B$3=M$3,SUMIF('TL06'!$C$10:$C$224,$C164,'TL06'!$J$10:$J$224),0),
IF('TL06'!$B$229=M$3,SUMIF('TL06'!$C$238:$C$451,$C164,'TL06'!$J$238:$J$451),0),
IF('TL07'!$B$3=M$3,SUMIF('TL07'!$C$10:$C$224,$C164,'TL07'!$J$10:$J$224),0),
IF('TL07'!$B$229=M$3,SUMIF('TL07'!$C$238:$C$451,$C164,'TL07'!$J$238:$J$451),0),
IF('TL08'!$B$3=M$3,SUMIF('TL08'!$C$10:$C$224,$C164,'TL08'!$J$10:$J$224),0),
IF('TL08'!$B$229=M$3,SUMIF('TL08'!$C$238:$C$451,$C164,'TL08'!$J$238:$J$451),0),
IF('TL09'!$B$3=M$3,SUMIF('TL09'!$C$10:$C$224,$C164,'TL09'!$J$10:$J$224),0),
IF('TL09'!$B$229=M$3,SUMIF('TL09'!$C$238:$C$451,$C164,'TL09'!$J$238:$J$451),0),
IF('TL10'!$B$3=M$3,SUMIF('TL10'!$C$10:$C$224,$C164,'TL10'!$J$10:$J$224),0),
IF('TL10'!$B$229=M$3,SUMIF('TL10'!$C$238:$C$451,$C164,'TL10'!$J$238:$J$451),0),
IF('TL11'!$B$3=M$3,SUMIF('TL11'!$C$10:$C$224,$C164,'TL11'!$J$10:$J$224),0),
IF('TL11'!$B$229=M$3,SUMIF('TL11'!$C$238:$C$451,$C164,'TL11'!$J$238:$J$451),0),
IF('TL12'!$B$3=M$3,SUMIF('TL12'!$C$10:$C$224,$C164,'TL12'!$J$10:$J$224),0),
IF('TL12'!$B$229=M$3,SUMIF('TL12'!$C$238:$C$451,$C164,'TL12'!$J$238:$J$451),0),
IF('TL13'!$B$3=M$3,SUMIF('TL13'!$C$10:$C$224,$C164,'TL13'!$J$10:$J$224),0),
IF('TL13'!$B$229=M$3,SUMIF('TL13'!$C$238:$C$451,$C164,'TL13'!$J$238:$J$451),0),
IF('TL14'!$B$3=M$3,SUMIF('TL14'!$C$10:$C$224,$C164,'TL14'!$J$10:$J$224),0),
IF('TL14'!$B$229=M$3,SUMIF('TL14'!$C$238:$C$451,$C164,'TL14'!$J$238:$J$451),0),
IF('TL15'!$B$3=M$3,SUMIF('TL15'!$C$10:$C$224,$C164,'TL15'!$J$10:$J$224),0),
IF('TL15'!$B$229=M$3,SUMIF('TL15'!$C$238:$C$451,$C164,'TL15'!$J$238:$J$451),0),
IF('TL16'!$B$3=M$3,SUMIF('TL16'!$C$10:$C$224,$C164,'TL16'!$J$10:$J$224),0),
IF('TL16'!$B$229=M$3,SUMIF('TL16'!$C$238:$C$451,$C164,'TL16'!$J$238:$J$451),0),
IF('TL17'!$B$3=M$3,SUMIF('TL17'!$C$10:$C$224,$C164,'TL17'!$J$10:$J$224),0),
IF('TL17'!$B$229=M$3,SUMIF('TL17'!$C$238:$C$451,$C164,'TL17'!$J$238:$J$451),0),
IF('TL18'!$B$3=M$3,SUMIF('TL18'!$C$10:$C$224,$C164,'TL18'!$J$10:$J$224),0),
IF('TL18'!$B$229=M$3,SUMIF('TL18'!$C$238:$C$451,$C164,'TL18'!$J$238:$J$451),0),
IF('TL19'!$B$3=M$3,SUMIF('TL19'!$C$10:$C$224,$C164,'TL19'!$J$10:$J$224),0),
IF('TL19'!$B$229=M$3,SUMIF('TL19'!$C$238:$C$451,$C164,'TL19'!$J$238:$J$451),0)
),0)</f>
        <v/>
      </c>
      <c r="N164" s="9">
        <f>IFERROR(SUM(
IF('TL01'!$B$3=N$3,SUMIF('TL01'!$C$10:$C$224,$C164,'TL01'!$J$10:$J$224),0),
IF('TL01'!$B$229=N$3,SUMIF('TL01'!$C$238:$C$451,$C164,'TL01'!$J$238:$J$451),0),
IF('TL02'!$B$3=N$3,SUMIF('TL02'!$C$10:$C$224,$C164,'TL02'!$J$10:$J$224),0),
IF('TL02'!$B$229=N$3,SUMIF('TL02'!$C$238:$C$451,$C164,'TL02'!$J$238:$J$451),0),
IF('TL03'!$B$3=N$3,SUMIF('TL03'!$C$10:$C$224,$C164,'TL03'!$J$10:$J$224),0),
IF('TL03'!$B$229=N$3,SUMIF('TL03'!$C$238:$C$451,$C164,'TL03'!$J$238:$J$451),0),
IF('TL04'!$B$3=N$3,SUMIF('TL04'!$C$10:$C$224,$C164,'TL04'!$J$10:$J$224),0),
IF('TL04'!$B$229=N$3,SUMIF('TL04'!$C$238:$C$451,$C164,'TL04'!$J$238:$J$451),0),
IF('TL05'!$B$3=N$3,SUMIF('TL05'!$C$10:$C$224,$C164,'TL05'!$J$10:$J$224),0),
IF('TL05'!$B$229=N$3,SUMIF('TL05'!$C$238:$C$451,$C164,'TL05'!$J$238:$J$451),0),
IF('TL06'!$B$3=N$3,SUMIF('TL06'!$C$10:$C$224,$C164,'TL06'!$J$10:$J$224),0),
IF('TL06'!$B$229=N$3,SUMIF('TL06'!$C$238:$C$451,$C164,'TL06'!$J$238:$J$451),0),
IF('TL07'!$B$3=N$3,SUMIF('TL07'!$C$10:$C$224,$C164,'TL07'!$J$10:$J$224),0),
IF('TL07'!$B$229=N$3,SUMIF('TL07'!$C$238:$C$451,$C164,'TL07'!$J$238:$J$451),0),
IF('TL08'!$B$3=N$3,SUMIF('TL08'!$C$10:$C$224,$C164,'TL08'!$J$10:$J$224),0),
IF('TL08'!$B$229=N$3,SUMIF('TL08'!$C$238:$C$451,$C164,'TL08'!$J$238:$J$451),0),
IF('TL09'!$B$3=N$3,SUMIF('TL09'!$C$10:$C$224,$C164,'TL09'!$J$10:$J$224),0),
IF('TL09'!$B$229=N$3,SUMIF('TL09'!$C$238:$C$451,$C164,'TL09'!$J$238:$J$451),0),
IF('TL10'!$B$3=N$3,SUMIF('TL10'!$C$10:$C$224,$C164,'TL10'!$J$10:$J$224),0),
IF('TL10'!$B$229=N$3,SUMIF('TL10'!$C$238:$C$451,$C164,'TL10'!$J$238:$J$451),0),
IF('TL11'!$B$3=N$3,SUMIF('TL11'!$C$10:$C$224,$C164,'TL11'!$J$10:$J$224),0),
IF('TL11'!$B$229=N$3,SUMIF('TL11'!$C$238:$C$451,$C164,'TL11'!$J$238:$J$451),0),
IF('TL12'!$B$3=N$3,SUMIF('TL12'!$C$10:$C$224,$C164,'TL12'!$J$10:$J$224),0),
IF('TL12'!$B$229=N$3,SUMIF('TL12'!$C$238:$C$451,$C164,'TL12'!$J$238:$J$451),0),
IF('TL13'!$B$3=N$3,SUMIF('TL13'!$C$10:$C$224,$C164,'TL13'!$J$10:$J$224),0),
IF('TL13'!$B$229=N$3,SUMIF('TL13'!$C$238:$C$451,$C164,'TL13'!$J$238:$J$451),0),
IF('TL14'!$B$3=N$3,SUMIF('TL14'!$C$10:$C$224,$C164,'TL14'!$J$10:$J$224),0),
IF('TL14'!$B$229=N$3,SUMIF('TL14'!$C$238:$C$451,$C164,'TL14'!$J$238:$J$451),0),
IF('TL15'!$B$3=N$3,SUMIF('TL15'!$C$10:$C$224,$C164,'TL15'!$J$10:$J$224),0),
IF('TL15'!$B$229=N$3,SUMIF('TL15'!$C$238:$C$451,$C164,'TL15'!$J$238:$J$451),0),
IF('TL16'!$B$3=N$3,SUMIF('TL16'!$C$10:$C$224,$C164,'TL16'!$J$10:$J$224),0),
IF('TL16'!$B$229=N$3,SUMIF('TL16'!$C$238:$C$451,$C164,'TL16'!$J$238:$J$451),0),
IF('TL17'!$B$3=N$3,SUMIF('TL17'!$C$10:$C$224,$C164,'TL17'!$J$10:$J$224),0),
IF('TL17'!$B$229=N$3,SUMIF('TL17'!$C$238:$C$451,$C164,'TL17'!$J$238:$J$451),0),
IF('TL18'!$B$3=N$3,SUMIF('TL18'!$C$10:$C$224,$C164,'TL18'!$J$10:$J$224),0),
IF('TL18'!$B$229=N$3,SUMIF('TL18'!$C$238:$C$451,$C164,'TL18'!$J$238:$J$451),0),
IF('TL19'!$B$3=N$3,SUMIF('TL19'!$C$10:$C$224,$C164,'TL19'!$J$10:$J$224),0),
IF('TL19'!$B$229=N$3,SUMIF('TL19'!$C$238:$C$451,$C164,'TL19'!$J$238:$J$451),0)
),0)</f>
        <v/>
      </c>
      <c r="O164" s="9">
        <f>IFERROR(SUM(
IF('TL01'!$B$3=O$3,SUMIF('TL01'!$C$10:$C$224,$C164,'TL01'!$J$10:$J$224),0),
IF('TL01'!$B$229=O$3,SUMIF('TL01'!$C$238:$C$451,$C164,'TL01'!$J$238:$J$451),0),
IF('TL02'!$B$3=O$3,SUMIF('TL02'!$C$10:$C$224,$C164,'TL02'!$J$10:$J$224),0),
IF('TL02'!$B$229=O$3,SUMIF('TL02'!$C$238:$C$451,$C164,'TL02'!$J$238:$J$451),0),
IF('TL03'!$B$3=O$3,SUMIF('TL03'!$C$10:$C$224,$C164,'TL03'!$J$10:$J$224),0),
IF('TL03'!$B$229=O$3,SUMIF('TL03'!$C$238:$C$451,$C164,'TL03'!$J$238:$J$451),0),
IF('TL04'!$B$3=O$3,SUMIF('TL04'!$C$10:$C$224,$C164,'TL04'!$J$10:$J$224),0),
IF('TL04'!$B$229=O$3,SUMIF('TL04'!$C$238:$C$451,$C164,'TL04'!$J$238:$J$451),0),
IF('TL05'!$B$3=O$3,SUMIF('TL05'!$C$10:$C$224,$C164,'TL05'!$J$10:$J$224),0),
IF('TL05'!$B$229=O$3,SUMIF('TL05'!$C$238:$C$451,$C164,'TL05'!$J$238:$J$451),0),
IF('TL06'!$B$3=O$3,SUMIF('TL06'!$C$10:$C$224,$C164,'TL06'!$J$10:$J$224),0),
IF('TL06'!$B$229=O$3,SUMIF('TL06'!$C$238:$C$451,$C164,'TL06'!$J$238:$J$451),0),
IF('TL07'!$B$3=O$3,SUMIF('TL07'!$C$10:$C$224,$C164,'TL07'!$J$10:$J$224),0),
IF('TL07'!$B$229=O$3,SUMIF('TL07'!$C$238:$C$451,$C164,'TL07'!$J$238:$J$451),0),
IF('TL08'!$B$3=O$3,SUMIF('TL08'!$C$10:$C$224,$C164,'TL08'!$J$10:$J$224),0),
IF('TL08'!$B$229=O$3,SUMIF('TL08'!$C$238:$C$451,$C164,'TL08'!$J$238:$J$451),0),
IF('TL09'!$B$3=O$3,SUMIF('TL09'!$C$10:$C$224,$C164,'TL09'!$J$10:$J$224),0),
IF('TL09'!$B$229=O$3,SUMIF('TL09'!$C$238:$C$451,$C164,'TL09'!$J$238:$J$451),0),
IF('TL10'!$B$3=O$3,SUMIF('TL10'!$C$10:$C$224,$C164,'TL10'!$J$10:$J$224),0),
IF('TL10'!$B$229=O$3,SUMIF('TL10'!$C$238:$C$451,$C164,'TL10'!$J$238:$J$451),0),
IF('TL11'!$B$3=O$3,SUMIF('TL11'!$C$10:$C$224,$C164,'TL11'!$J$10:$J$224),0),
IF('TL11'!$B$229=O$3,SUMIF('TL11'!$C$238:$C$451,$C164,'TL11'!$J$238:$J$451),0),
IF('TL12'!$B$3=O$3,SUMIF('TL12'!$C$10:$C$224,$C164,'TL12'!$J$10:$J$224),0),
IF('TL12'!$B$229=O$3,SUMIF('TL12'!$C$238:$C$451,$C164,'TL12'!$J$238:$J$451),0),
IF('TL13'!$B$3=O$3,SUMIF('TL13'!$C$10:$C$224,$C164,'TL13'!$J$10:$J$224),0),
IF('TL13'!$B$229=O$3,SUMIF('TL13'!$C$238:$C$451,$C164,'TL13'!$J$238:$J$451),0),
IF('TL14'!$B$3=O$3,SUMIF('TL14'!$C$10:$C$224,$C164,'TL14'!$J$10:$J$224),0),
IF('TL14'!$B$229=O$3,SUMIF('TL14'!$C$238:$C$451,$C164,'TL14'!$J$238:$J$451),0),
IF('TL15'!$B$3=O$3,SUMIF('TL15'!$C$10:$C$224,$C164,'TL15'!$J$10:$J$224),0),
IF('TL15'!$B$229=O$3,SUMIF('TL15'!$C$238:$C$451,$C164,'TL15'!$J$238:$J$451),0),
IF('TL16'!$B$3=O$3,SUMIF('TL16'!$C$10:$C$224,$C164,'TL16'!$J$10:$J$224),0),
IF('TL16'!$B$229=O$3,SUMIF('TL16'!$C$238:$C$451,$C164,'TL16'!$J$238:$J$451),0),
IF('TL17'!$B$3=O$3,SUMIF('TL17'!$C$10:$C$224,$C164,'TL17'!$J$10:$J$224),0),
IF('TL17'!$B$229=O$3,SUMIF('TL17'!$C$238:$C$451,$C164,'TL17'!$J$238:$J$451),0),
IF('TL18'!$B$3=O$3,SUMIF('TL18'!$C$10:$C$224,$C164,'TL18'!$J$10:$J$224),0),
IF('TL18'!$B$229=O$3,SUMIF('TL18'!$C$238:$C$451,$C164,'TL18'!$J$238:$J$451),0),
IF('TL19'!$B$3=O$3,SUMIF('TL19'!$C$10:$C$224,$C164,'TL19'!$J$10:$J$224),0),
IF('TL19'!$B$229=O$3,SUMIF('TL19'!$C$238:$C$451,$C164,'TL19'!$J$238:$J$451),0)
),0)</f>
        <v/>
      </c>
      <c r="P164" s="9">
        <f>IFERROR(SUM(
IF('TL01'!$B$3=P$3,SUMIF('TL01'!$C$10:$C$224,$C164,'TL01'!$J$10:$J$224),0),
IF('TL01'!$B$229=P$3,SUMIF('TL01'!$C$238:$C$451,$C164,'TL01'!$J$238:$J$451),0),
IF('TL02'!$B$3=P$3,SUMIF('TL02'!$C$10:$C$224,$C164,'TL02'!$J$10:$J$224),0),
IF('TL02'!$B$229=P$3,SUMIF('TL02'!$C$238:$C$451,$C164,'TL02'!$J$238:$J$451),0),
IF('TL03'!$B$3=P$3,SUMIF('TL03'!$C$10:$C$224,$C164,'TL03'!$J$10:$J$224),0),
IF('TL03'!$B$229=P$3,SUMIF('TL03'!$C$238:$C$451,$C164,'TL03'!$J$238:$J$451),0),
IF('TL04'!$B$3=P$3,SUMIF('TL04'!$C$10:$C$224,$C164,'TL04'!$J$10:$J$224),0),
IF('TL04'!$B$229=P$3,SUMIF('TL04'!$C$238:$C$451,$C164,'TL04'!$J$238:$J$451),0),
IF('TL05'!$B$3=P$3,SUMIF('TL05'!$C$10:$C$224,$C164,'TL05'!$J$10:$J$224),0),
IF('TL05'!$B$229=P$3,SUMIF('TL05'!$C$238:$C$451,$C164,'TL05'!$J$238:$J$451),0),
IF('TL06'!$B$3=P$3,SUMIF('TL06'!$C$10:$C$224,$C164,'TL06'!$J$10:$J$224),0),
IF('TL06'!$B$229=P$3,SUMIF('TL06'!$C$238:$C$451,$C164,'TL06'!$J$238:$J$451),0),
IF('TL07'!$B$3=P$3,SUMIF('TL07'!$C$10:$C$224,$C164,'TL07'!$J$10:$J$224),0),
IF('TL07'!$B$229=P$3,SUMIF('TL07'!$C$238:$C$451,$C164,'TL07'!$J$238:$J$451),0),
IF('TL08'!$B$3=P$3,SUMIF('TL08'!$C$10:$C$224,$C164,'TL08'!$J$10:$J$224),0),
IF('TL08'!$B$229=P$3,SUMIF('TL08'!$C$238:$C$451,$C164,'TL08'!$J$238:$J$451),0),
IF('TL09'!$B$3=P$3,SUMIF('TL09'!$C$10:$C$224,$C164,'TL09'!$J$10:$J$224),0),
IF('TL09'!$B$229=P$3,SUMIF('TL09'!$C$238:$C$451,$C164,'TL09'!$J$238:$J$451),0),
IF('TL10'!$B$3=P$3,SUMIF('TL10'!$C$10:$C$224,$C164,'TL10'!$J$10:$J$224),0),
IF('TL10'!$B$229=P$3,SUMIF('TL10'!$C$238:$C$451,$C164,'TL10'!$J$238:$J$451),0),
IF('TL11'!$B$3=P$3,SUMIF('TL11'!$C$10:$C$224,$C164,'TL11'!$J$10:$J$224),0),
IF('TL11'!$B$229=P$3,SUMIF('TL11'!$C$238:$C$451,$C164,'TL11'!$J$238:$J$451),0),
IF('TL12'!$B$3=P$3,SUMIF('TL12'!$C$10:$C$224,$C164,'TL12'!$J$10:$J$224),0),
IF('TL12'!$B$229=P$3,SUMIF('TL12'!$C$238:$C$451,$C164,'TL12'!$J$238:$J$451),0),
IF('TL13'!$B$3=P$3,SUMIF('TL13'!$C$10:$C$224,$C164,'TL13'!$J$10:$J$224),0),
IF('TL13'!$B$229=P$3,SUMIF('TL13'!$C$238:$C$451,$C164,'TL13'!$J$238:$J$451),0),
IF('TL14'!$B$3=P$3,SUMIF('TL14'!$C$10:$C$224,$C164,'TL14'!$J$10:$J$224),0),
IF('TL14'!$B$229=P$3,SUMIF('TL14'!$C$238:$C$451,$C164,'TL14'!$J$238:$J$451),0),
IF('TL15'!$B$3=P$3,SUMIF('TL15'!$C$10:$C$224,$C164,'TL15'!$J$10:$J$224),0),
IF('TL15'!$B$229=P$3,SUMIF('TL15'!$C$238:$C$451,$C164,'TL15'!$J$238:$J$451),0),
IF('TL16'!$B$3=P$3,SUMIF('TL16'!$C$10:$C$224,$C164,'TL16'!$J$10:$J$224),0),
IF('TL16'!$B$229=P$3,SUMIF('TL16'!$C$238:$C$451,$C164,'TL16'!$J$238:$J$451),0),
IF('TL17'!$B$3=P$3,SUMIF('TL17'!$C$10:$C$224,$C164,'TL17'!$J$10:$J$224),0),
IF('TL17'!$B$229=P$3,SUMIF('TL17'!$C$238:$C$451,$C164,'TL17'!$J$238:$J$451),0),
IF('TL18'!$B$3=P$3,SUMIF('TL18'!$C$10:$C$224,$C164,'TL18'!$J$10:$J$224),0),
IF('TL18'!$B$229=P$3,SUMIF('TL18'!$C$238:$C$451,$C164,'TL18'!$J$238:$J$451),0),
IF('TL19'!$B$3=P$3,SUMIF('TL19'!$C$10:$C$224,$C164,'TL19'!$J$10:$J$224),0),
IF('TL19'!$B$229=P$3,SUMIF('TL19'!$C$238:$C$451,$C164,'TL19'!$J$238:$J$451),0)
),0)</f>
        <v/>
      </c>
      <c r="Q164" s="9">
        <f>IFERROR(SUM(
IF('TL01'!$B$3=Q$3,SUMIF('TL01'!$C$10:$C$224,$C164,'TL01'!$J$10:$J$224),0),
IF('TL01'!$B$229=Q$3,SUMIF('TL01'!$C$238:$C$451,$C164,'TL01'!$J$238:$J$451),0),
IF('TL02'!$B$3=Q$3,SUMIF('TL02'!$C$10:$C$224,$C164,'TL02'!$J$10:$J$224),0),
IF('TL02'!$B$229=Q$3,SUMIF('TL02'!$C$238:$C$451,$C164,'TL02'!$J$238:$J$451),0),
IF('TL03'!$B$3=Q$3,SUMIF('TL03'!$C$10:$C$224,$C164,'TL03'!$J$10:$J$224),0),
IF('TL03'!$B$229=Q$3,SUMIF('TL03'!$C$238:$C$451,$C164,'TL03'!$J$238:$J$451),0),
IF('TL04'!$B$3=Q$3,SUMIF('TL04'!$C$10:$C$224,$C164,'TL04'!$J$10:$J$224),0),
IF('TL04'!$B$229=Q$3,SUMIF('TL04'!$C$238:$C$451,$C164,'TL04'!$J$238:$J$451),0),
IF('TL05'!$B$3=Q$3,SUMIF('TL05'!$C$10:$C$224,$C164,'TL05'!$J$10:$J$224),0),
IF('TL05'!$B$229=Q$3,SUMIF('TL05'!$C$238:$C$451,$C164,'TL05'!$J$238:$J$451),0),
IF('TL06'!$B$3=Q$3,SUMIF('TL06'!$C$10:$C$224,$C164,'TL06'!$J$10:$J$224),0),
IF('TL06'!$B$229=Q$3,SUMIF('TL06'!$C$238:$C$451,$C164,'TL06'!$J$238:$J$451),0),
IF('TL07'!$B$3=Q$3,SUMIF('TL07'!$C$10:$C$224,$C164,'TL07'!$J$10:$J$224),0),
IF('TL07'!$B$229=Q$3,SUMIF('TL07'!$C$238:$C$451,$C164,'TL07'!$J$238:$J$451),0),
IF('TL08'!$B$3=Q$3,SUMIF('TL08'!$C$10:$C$224,$C164,'TL08'!$J$10:$J$224),0),
IF('TL08'!$B$229=Q$3,SUMIF('TL08'!$C$238:$C$451,$C164,'TL08'!$J$238:$J$451),0),
IF('TL09'!$B$3=Q$3,SUMIF('TL09'!$C$10:$C$224,$C164,'TL09'!$J$10:$J$224),0),
IF('TL09'!$B$229=Q$3,SUMIF('TL09'!$C$238:$C$451,$C164,'TL09'!$J$238:$J$451),0),
IF('TL10'!$B$3=Q$3,SUMIF('TL10'!$C$10:$C$224,$C164,'TL10'!$J$10:$J$224),0),
IF('TL10'!$B$229=Q$3,SUMIF('TL10'!$C$238:$C$451,$C164,'TL10'!$J$238:$J$451),0),
IF('TL11'!$B$3=Q$3,SUMIF('TL11'!$C$10:$C$224,$C164,'TL11'!$J$10:$J$224),0),
IF('TL11'!$B$229=Q$3,SUMIF('TL11'!$C$238:$C$451,$C164,'TL11'!$J$238:$J$451),0),
IF('TL12'!$B$3=Q$3,SUMIF('TL12'!$C$10:$C$224,$C164,'TL12'!$J$10:$J$224),0),
IF('TL12'!$B$229=Q$3,SUMIF('TL12'!$C$238:$C$451,$C164,'TL12'!$J$238:$J$451),0),
IF('TL13'!$B$3=Q$3,SUMIF('TL13'!$C$10:$C$224,$C164,'TL13'!$J$10:$J$224),0),
IF('TL13'!$B$229=Q$3,SUMIF('TL13'!$C$238:$C$451,$C164,'TL13'!$J$238:$J$451),0),
IF('TL14'!$B$3=Q$3,SUMIF('TL14'!$C$10:$C$224,$C164,'TL14'!$J$10:$J$224),0),
IF('TL14'!$B$229=Q$3,SUMIF('TL14'!$C$238:$C$451,$C164,'TL14'!$J$238:$J$451),0),
IF('TL15'!$B$3=Q$3,SUMIF('TL15'!$C$10:$C$224,$C164,'TL15'!$J$10:$J$224),0),
IF('TL15'!$B$229=Q$3,SUMIF('TL15'!$C$238:$C$451,$C164,'TL15'!$J$238:$J$451),0),
IF('TL16'!$B$3=Q$3,SUMIF('TL16'!$C$10:$C$224,$C164,'TL16'!$J$10:$J$224),0),
IF('TL16'!$B$229=Q$3,SUMIF('TL16'!$C$238:$C$451,$C164,'TL16'!$J$238:$J$451),0),
IF('TL17'!$B$3=Q$3,SUMIF('TL17'!$C$10:$C$224,$C164,'TL17'!$J$10:$J$224),0),
IF('TL17'!$B$229=Q$3,SUMIF('TL17'!$C$238:$C$451,$C164,'TL17'!$J$238:$J$451),0),
IF('TL18'!$B$3=Q$3,SUMIF('TL18'!$C$10:$C$224,$C164,'TL18'!$J$10:$J$224),0),
IF('TL18'!$B$229=Q$3,SUMIF('TL18'!$C$238:$C$451,$C164,'TL18'!$J$238:$J$451),0),
IF('TL19'!$B$3=Q$3,SUMIF('TL19'!$C$10:$C$224,$C164,'TL19'!$J$10:$J$224),0),
IF('TL19'!$B$229=Q$3,SUMIF('TL19'!$C$238:$C$451,$C164,'TL19'!$J$238:$J$451),0)
),0)</f>
        <v/>
      </c>
      <c r="R164" s="9">
        <f>IFERROR(
SUM(
SUMIF('TL01'!C:C,C164,'TL01'!J:J),
SUMIF('TL02'!C:C,C164,'TL02'!J:J),
SUMIF('TL03'!C:C,C164,'TL03'!J:J),
SUMIF('TL04'!C:C,C164,'TL04'!J:J),
SUMIF('TL05'!C:C,C164,'TL05'!J:J),
SUMIF('TL06'!C:C,C164,'TL06'!J:J),
SUMIF('TL07'!C:C,C164,'TL07'!J:J),
SUMIF('TL08'!C:C,C164,'TL08'!J:J),
SUMIF('TL09'!C:C,C164,'TL09'!J:J),
SUMIF('TL10'!C:C,C164,'TL10'!J:J),
SUMIF('TL11'!C:C,C164,'TL11'!J:J),
SUMIF('TL12'!C:C,C164,'TL12'!J:J),
SUMIF('TL13'!C:C,C164,'TL13'!J:J),
SUMIF('TL14'!C:C,C164,'TL14'!J:J),
SUMIF('TL15'!C:C,C164,'TL15'!J:J),
SUMIF('TL16'!C:C,C164,'TL16'!J:J),
SUMIF('TL17'!C:C,C164,'TL17'!J:J),
SUMIF('TL18'!C:C,C164,'TL18'!J:J),SUMIF('TL19'!C:C,C164,'TL19'!J:J))
,0)</f>
        <v/>
      </c>
      <c r="S164" s="17">
        <f>IFERROR(__xludf.DUMMYFUNCTION("IFERROR(VLOOKUP(C164,
IMPORTRANGE(""1wULbzX32WdYsx-lj2U3uUNBBe2INVIRDtcK0d-Dvl90"",
""26-27!C:G""),
5,
FALSE),
"""")"),87.48022)</f>
        <v/>
      </c>
      <c r="T164" s="9" t="n"/>
      <c r="U164" s="92">
        <f>MAX(0,R164-T164)</f>
        <v/>
      </c>
      <c r="V164" s="93">
        <f>U164*S164</f>
        <v/>
      </c>
    </row>
    <row r="165" hidden="1" ht="15.75" customHeight="1" s="297">
      <c r="A165" s="111" t="inlineStr">
        <is>
          <t>SYNGENTA</t>
        </is>
      </c>
      <c r="B165" s="112" t="inlineStr">
        <is>
          <t>HERBICIDA</t>
        </is>
      </c>
      <c r="C165" s="113" t="inlineStr">
        <is>
          <t>GESAPRIM GRDA</t>
        </is>
      </c>
      <c r="D165" s="113" t="inlineStr">
        <is>
          <t>ATRAZINA</t>
        </is>
      </c>
      <c r="E165" s="113" t="n">
        <v>880</v>
      </c>
      <c r="F165" s="4" t="inlineStr">
        <is>
          <t>L</t>
        </is>
      </c>
      <c r="G165" s="90">
        <f>HYPERLINK("https://www.google.com/search?q=" &amp; C165 &amp; "+bula+agrofit+pdf", "📄 Ver bula")</f>
        <v/>
      </c>
      <c r="H165" s="9">
        <f>IFERROR(__xludf.DUMMYFUNCTION("IFERROR(VLOOKUP(C165,
IMPORTRANGE(""1wULbzX32WdYsx-lj2U3uUNBBe2INVIRDtcK0d-Dvl90"",
""26-27!C:K""),
8,
FALSE),
"""")"),"")</f>
        <v/>
      </c>
      <c r="I165" s="114" t="inlineStr">
        <is>
          <t>1x10</t>
        </is>
      </c>
      <c r="J165" s="9">
        <f>IFERROR(SUM(
IF('TL01'!$B$3=J$3,SUMIF('TL01'!$C$10:$C$224,$C165,'TL01'!$J$10:$J$224),0),
IF('TL01'!$B$229=J$3,SUMIF('TL01'!$C$238:$C$451,$C165,'TL01'!$J$238:$J$451),0),
IF('TL02'!$B$3=J$3,SUMIF('TL02'!$C$10:$C$224,$C165,'TL02'!$J$10:$J$224),0),
IF('TL02'!$B$229=J$3,SUMIF('TL02'!$C$238:$C$451,$C165,'TL02'!$J$238:$J$451),0),
IF('TL03'!$B$3=J$3,SUMIF('TL03'!$C$10:$C$224,$C165,'TL03'!$J$10:$J$224),0),
IF('TL03'!$B$229=J$3,SUMIF('TL03'!$C$238:$C$451,$C165,'TL03'!$J$238:$J$451),0),
IF('TL04'!$B$3=J$3,SUMIF('TL04'!$C$10:$C$224,$C165,'TL04'!$J$10:$J$224),0),
IF('TL04'!$B$229=J$3,SUMIF('TL04'!$C$238:$C$451,$C165,'TL04'!$J$238:$J$451),0),
IF('TL05'!$B$3=J$3,SUMIF('TL05'!$C$10:$C$224,$C165,'TL05'!$J$10:$J$224),0),
IF('TL05'!$B$229=J$3,SUMIF('TL05'!$C$238:$C$451,$C165,'TL05'!$J$238:$J$451),0),
IF('TL06'!$B$3=J$3,SUMIF('TL06'!$C$10:$C$224,$C165,'TL06'!$J$10:$J$224),0),
IF('TL06'!$B$229=J$3,SUMIF('TL06'!$C$238:$C$451,$C165,'TL06'!$J$238:$J$451),0),
IF('TL07'!$B$3=J$3,SUMIF('TL07'!$C$10:$C$224,$C165,'TL07'!$J$10:$J$224),0),
IF('TL07'!$B$229=J$3,SUMIF('TL07'!$C$238:$C$451,$C165,'TL07'!$J$238:$J$451),0),
IF('TL08'!$B$3=J$3,SUMIF('TL08'!$C$10:$C$224,$C165,'TL08'!$J$10:$J$224),0),
IF('TL08'!$B$229=J$3,SUMIF('TL08'!$C$238:$C$451,$C165,'TL08'!$J$238:$J$451),0),
IF('TL09'!$B$3=J$3,SUMIF('TL09'!$C$10:$C$224,$C165,'TL09'!$J$10:$J$224),0),
IF('TL09'!$B$229=J$3,SUMIF('TL09'!$C$238:$C$451,$C165,'TL09'!$J$238:$J$451),0),
IF('TL10'!$B$3=J$3,SUMIF('TL10'!$C$10:$C$224,$C165,'TL10'!$J$10:$J$224),0),
IF('TL10'!$B$229=J$3,SUMIF('TL10'!$C$238:$C$451,$C165,'TL10'!$J$238:$J$451),0),
IF('TL11'!$B$3=J$3,SUMIF('TL11'!$C$10:$C$224,$C165,'TL11'!$J$10:$J$224),0),
IF('TL11'!$B$229=J$3,SUMIF('TL11'!$C$238:$C$451,$C165,'TL11'!$J$238:$J$451),0),
IF('TL12'!$B$3=J$3,SUMIF('TL12'!$C$10:$C$224,$C165,'TL12'!$J$10:$J$224),0),
IF('TL12'!$B$229=J$3,SUMIF('TL12'!$C$238:$C$451,$C165,'TL12'!$J$238:$J$451),0),
IF('TL13'!$B$3=J$3,SUMIF('TL13'!$C$10:$C$224,$C165,'TL13'!$J$10:$J$224),0),
IF('TL13'!$B$229=J$3,SUMIF('TL13'!$C$238:$C$451,$C165,'TL13'!$J$238:$J$451),0),
IF('TL14'!$B$3=J$3,SUMIF('TL14'!$C$10:$C$224,$C165,'TL14'!$J$10:$J$224),0),
IF('TL14'!$B$229=J$3,SUMIF('TL14'!$C$238:$C$451,$C165,'TL14'!$J$238:$J$451),0),
IF('TL15'!$B$3=J$3,SUMIF('TL15'!$C$10:$C$224,$C165,'TL15'!$J$10:$J$224),0),
IF('TL15'!$B$229=J$3,SUMIF('TL15'!$C$238:$C$451,$C165,'TL15'!$J$238:$J$451),0),
IF('TL16'!$B$3=J$3,SUMIF('TL16'!$C$10:$C$224,$C165,'TL16'!$J$10:$J$224),0),
IF('TL16'!$B$229=J$3,SUMIF('TL16'!$C$238:$C$451,$C165,'TL16'!$J$238:$J$451),0),
IF('TL17'!$B$3=J$3,SUMIF('TL17'!$C$10:$C$224,$C165,'TL17'!$J$10:$J$224),0),
IF('TL17'!$B$229=J$3,SUMIF('TL17'!$C$238:$C$451,$C165,'TL17'!$J$238:$J$451),0),
IF('TL18'!$B$3=J$3,SUMIF('TL18'!$C$10:$C$224,$C165,'TL18'!$J$10:$J$224),0),
IF('TL18'!$B$229=J$3,SUMIF('TL18'!$C$238:$C$451,$C165,'TL18'!$J$238:$J$451),0),
IF('TL19'!$B$3=J$3,SUMIF('TL19'!$C$10:$C$224,$C165,'TL19'!$J$10:$J$224),0),
IF('TL19'!$B$229=J$3,SUMIF('TL19'!$C$238:$C$451,$C165,'TL19'!$J$238:$J$451),0)
),0)</f>
        <v/>
      </c>
      <c r="K165" s="9">
        <f>IFERROR(SUM(
IF('TL01'!$B$3=K$3,SUMIF('TL01'!$C$10:$C$224,$C165,'TL01'!$J$10:$J$224),0),
IF('TL01'!$B$229=K$3,SUMIF('TL01'!$C$238:$C$451,$C165,'TL01'!$J$238:$J$451),0),
IF('TL02'!$B$3=K$3,SUMIF('TL02'!$C$10:$C$224,$C165,'TL02'!$J$10:$J$224),0),
IF('TL02'!$B$229=K$3,SUMIF('TL02'!$C$238:$C$451,$C165,'TL02'!$J$238:$J$451),0),
IF('TL03'!$B$3=K$3,SUMIF('TL03'!$C$10:$C$224,$C165,'TL03'!$J$10:$J$224),0),
IF('TL03'!$B$229=K$3,SUMIF('TL03'!$C$238:$C$451,$C165,'TL03'!$J$238:$J$451),0),
IF('TL04'!$B$3=K$3,SUMIF('TL04'!$C$10:$C$224,$C165,'TL04'!$J$10:$J$224),0),
IF('TL04'!$B$229=K$3,SUMIF('TL04'!$C$238:$C$451,$C165,'TL04'!$J$238:$J$451),0),
IF('TL05'!$B$3=K$3,SUMIF('TL05'!$C$10:$C$224,$C165,'TL05'!$J$10:$J$224),0),
IF('TL05'!$B$229=K$3,SUMIF('TL05'!$C$238:$C$451,$C165,'TL05'!$J$238:$J$451),0),
IF('TL06'!$B$3=K$3,SUMIF('TL06'!$C$10:$C$224,$C165,'TL06'!$J$10:$J$224),0),
IF('TL06'!$B$229=K$3,SUMIF('TL06'!$C$238:$C$451,$C165,'TL06'!$J$238:$J$451),0),
IF('TL07'!$B$3=K$3,SUMIF('TL07'!$C$10:$C$224,$C165,'TL07'!$J$10:$J$224),0),
IF('TL07'!$B$229=K$3,SUMIF('TL07'!$C$238:$C$451,$C165,'TL07'!$J$238:$J$451),0),
IF('TL08'!$B$3=K$3,SUMIF('TL08'!$C$10:$C$224,$C165,'TL08'!$J$10:$J$224),0),
IF('TL08'!$B$229=K$3,SUMIF('TL08'!$C$238:$C$451,$C165,'TL08'!$J$238:$J$451),0),
IF('TL09'!$B$3=K$3,SUMIF('TL09'!$C$10:$C$224,$C165,'TL09'!$J$10:$J$224),0),
IF('TL09'!$B$229=K$3,SUMIF('TL09'!$C$238:$C$451,$C165,'TL09'!$J$238:$J$451),0),
IF('TL10'!$B$3=K$3,SUMIF('TL10'!$C$10:$C$224,$C165,'TL10'!$J$10:$J$224),0),
IF('TL10'!$B$229=K$3,SUMIF('TL10'!$C$238:$C$451,$C165,'TL10'!$J$238:$J$451),0),
IF('TL11'!$B$3=K$3,SUMIF('TL11'!$C$10:$C$224,$C165,'TL11'!$J$10:$J$224),0),
IF('TL11'!$B$229=K$3,SUMIF('TL11'!$C$238:$C$451,$C165,'TL11'!$J$238:$J$451),0),
IF('TL12'!$B$3=K$3,SUMIF('TL12'!$C$10:$C$224,$C165,'TL12'!$J$10:$J$224),0),
IF('TL12'!$B$229=K$3,SUMIF('TL12'!$C$238:$C$451,$C165,'TL12'!$J$238:$J$451),0),
IF('TL13'!$B$3=K$3,SUMIF('TL13'!$C$10:$C$224,$C165,'TL13'!$J$10:$J$224),0),
IF('TL13'!$B$229=K$3,SUMIF('TL13'!$C$238:$C$451,$C165,'TL13'!$J$238:$J$451),0),
IF('TL14'!$B$3=K$3,SUMIF('TL14'!$C$10:$C$224,$C165,'TL14'!$J$10:$J$224),0),
IF('TL14'!$B$229=K$3,SUMIF('TL14'!$C$238:$C$451,$C165,'TL14'!$J$238:$J$451),0),
IF('TL15'!$B$3=K$3,SUMIF('TL15'!$C$10:$C$224,$C165,'TL15'!$J$10:$J$224),0),
IF('TL15'!$B$229=K$3,SUMIF('TL15'!$C$238:$C$451,$C165,'TL15'!$J$238:$J$451),0),
IF('TL16'!$B$3=K$3,SUMIF('TL16'!$C$10:$C$224,$C165,'TL16'!$J$10:$J$224),0),
IF('TL16'!$B$229=K$3,SUMIF('TL16'!$C$238:$C$451,$C165,'TL16'!$J$238:$J$451),0),
IF('TL17'!$B$3=K$3,SUMIF('TL17'!$C$10:$C$224,$C165,'TL17'!$J$10:$J$224),0),
IF('TL17'!$B$229=K$3,SUMIF('TL17'!$C$238:$C$451,$C165,'TL17'!$J$238:$J$451),0),
IF('TL18'!$B$3=K$3,SUMIF('TL18'!$C$10:$C$224,$C165,'TL18'!$J$10:$J$224),0),
IF('TL18'!$B$229=K$3,SUMIF('TL18'!$C$238:$C$451,$C165,'TL18'!$J$238:$J$451),0),
IF('TL19'!$B$3=K$3,SUMIF('TL19'!$C$10:$C$224,$C165,'TL19'!$J$10:$J$224),0),
IF('TL19'!$B$229=K$3,SUMIF('TL19'!$C$238:$C$451,$C165,'TL19'!$J$238:$J$451),0)
),0)</f>
        <v/>
      </c>
      <c r="L165" s="9">
        <f>IFERROR(SUM(
IF('TL01'!$B$3=L$3,SUMIF('TL01'!$C$10:$C$224,$C165,'TL01'!$J$10:$J$224),0),
IF('TL01'!$B$229=L$3,SUMIF('TL01'!$C$238:$C$451,$C165,'TL01'!$J$238:$J$451),0),
IF('TL02'!$B$3=L$3,SUMIF('TL02'!$C$10:$C$224,$C165,'TL02'!$J$10:$J$224),0),
IF('TL02'!$B$229=L$3,SUMIF('TL02'!$C$238:$C$451,$C165,'TL02'!$J$238:$J$451),0),
IF('TL03'!$B$3=L$3,SUMIF('TL03'!$C$10:$C$224,$C165,'TL03'!$J$10:$J$224),0),
IF('TL03'!$B$229=L$3,SUMIF('TL03'!$C$238:$C$451,$C165,'TL03'!$J$238:$J$451),0),
IF('TL04'!$B$3=L$3,SUMIF('TL04'!$C$10:$C$224,$C165,'TL04'!$J$10:$J$224),0),
IF('TL04'!$B$229=L$3,SUMIF('TL04'!$C$238:$C$451,$C165,'TL04'!$J$238:$J$451),0),
IF('TL05'!$B$3=L$3,SUMIF('TL05'!$C$10:$C$224,$C165,'TL05'!$J$10:$J$224),0),
IF('TL05'!$B$229=L$3,SUMIF('TL05'!$C$238:$C$451,$C165,'TL05'!$J$238:$J$451),0),
IF('TL06'!$B$3=L$3,SUMIF('TL06'!$C$10:$C$224,$C165,'TL06'!$J$10:$J$224),0),
IF('TL06'!$B$229=L$3,SUMIF('TL06'!$C$238:$C$451,$C165,'TL06'!$J$238:$J$451),0),
IF('TL07'!$B$3=L$3,SUMIF('TL07'!$C$10:$C$224,$C165,'TL07'!$J$10:$J$224),0),
IF('TL07'!$B$229=L$3,SUMIF('TL07'!$C$238:$C$451,$C165,'TL07'!$J$238:$J$451),0),
IF('TL08'!$B$3=L$3,SUMIF('TL08'!$C$10:$C$224,$C165,'TL08'!$J$10:$J$224),0),
IF('TL08'!$B$229=L$3,SUMIF('TL08'!$C$238:$C$451,$C165,'TL08'!$J$238:$J$451),0),
IF('TL09'!$B$3=L$3,SUMIF('TL09'!$C$10:$C$224,$C165,'TL09'!$J$10:$J$224),0),
IF('TL09'!$B$229=L$3,SUMIF('TL09'!$C$238:$C$451,$C165,'TL09'!$J$238:$J$451),0),
IF('TL10'!$B$3=L$3,SUMIF('TL10'!$C$10:$C$224,$C165,'TL10'!$J$10:$J$224),0),
IF('TL10'!$B$229=L$3,SUMIF('TL10'!$C$238:$C$451,$C165,'TL10'!$J$238:$J$451),0),
IF('TL11'!$B$3=L$3,SUMIF('TL11'!$C$10:$C$224,$C165,'TL11'!$J$10:$J$224),0),
IF('TL11'!$B$229=L$3,SUMIF('TL11'!$C$238:$C$451,$C165,'TL11'!$J$238:$J$451),0),
IF('TL12'!$B$3=L$3,SUMIF('TL12'!$C$10:$C$224,$C165,'TL12'!$J$10:$J$224),0),
IF('TL12'!$B$229=L$3,SUMIF('TL12'!$C$238:$C$451,$C165,'TL12'!$J$238:$J$451),0),
IF('TL13'!$B$3=L$3,SUMIF('TL13'!$C$10:$C$224,$C165,'TL13'!$J$10:$J$224),0),
IF('TL13'!$B$229=L$3,SUMIF('TL13'!$C$238:$C$451,$C165,'TL13'!$J$238:$J$451),0),
IF('TL14'!$B$3=L$3,SUMIF('TL14'!$C$10:$C$224,$C165,'TL14'!$J$10:$J$224),0),
IF('TL14'!$B$229=L$3,SUMIF('TL14'!$C$238:$C$451,$C165,'TL14'!$J$238:$J$451),0),
IF('TL15'!$B$3=L$3,SUMIF('TL15'!$C$10:$C$224,$C165,'TL15'!$J$10:$J$224),0),
IF('TL15'!$B$229=L$3,SUMIF('TL15'!$C$238:$C$451,$C165,'TL15'!$J$238:$J$451),0),
IF('TL16'!$B$3=L$3,SUMIF('TL16'!$C$10:$C$224,$C165,'TL16'!$J$10:$J$224),0),
IF('TL16'!$B$229=L$3,SUMIF('TL16'!$C$238:$C$451,$C165,'TL16'!$J$238:$J$451),0),
IF('TL17'!$B$3=L$3,SUMIF('TL17'!$C$10:$C$224,$C165,'TL17'!$J$10:$J$224),0),
IF('TL17'!$B$229=L$3,SUMIF('TL17'!$C$238:$C$451,$C165,'TL17'!$J$238:$J$451),0),
IF('TL18'!$B$3=L$3,SUMIF('TL18'!$C$10:$C$224,$C165,'TL18'!$J$10:$J$224),0),
IF('TL18'!$B$229=L$3,SUMIF('TL18'!$C$238:$C$451,$C165,'TL18'!$J$238:$J$451),0),
IF('TL19'!$B$3=L$3,SUMIF('TL19'!$C$10:$C$224,$C165,'TL19'!$J$10:$J$224),0),
IF('TL19'!$B$229=L$3,SUMIF('TL19'!$C$238:$C$451,$C165,'TL19'!$J$238:$J$451),0)
),0)</f>
        <v/>
      </c>
      <c r="M165" s="9">
        <f>IFERROR(SUM(
IF('TL01'!$B$3=M$3,SUMIF('TL01'!$C$10:$C$224,$C165,'TL01'!$J$10:$J$224),0),
IF('TL01'!$B$229=M$3,SUMIF('TL01'!$C$238:$C$451,$C165,'TL01'!$J$238:$J$451),0),
IF('TL02'!$B$3=M$3,SUMIF('TL02'!$C$10:$C$224,$C165,'TL02'!$J$10:$J$224),0),
IF('TL02'!$B$229=M$3,SUMIF('TL02'!$C$238:$C$451,$C165,'TL02'!$J$238:$J$451),0),
IF('TL03'!$B$3=M$3,SUMIF('TL03'!$C$10:$C$224,$C165,'TL03'!$J$10:$J$224),0),
IF('TL03'!$B$229=M$3,SUMIF('TL03'!$C$238:$C$451,$C165,'TL03'!$J$238:$J$451),0),
IF('TL04'!$B$3=M$3,SUMIF('TL04'!$C$10:$C$224,$C165,'TL04'!$J$10:$J$224),0),
IF('TL04'!$B$229=M$3,SUMIF('TL04'!$C$238:$C$451,$C165,'TL04'!$J$238:$J$451),0),
IF('TL05'!$B$3=M$3,SUMIF('TL05'!$C$10:$C$224,$C165,'TL05'!$J$10:$J$224),0),
IF('TL05'!$B$229=M$3,SUMIF('TL05'!$C$238:$C$451,$C165,'TL05'!$J$238:$J$451),0),
IF('TL06'!$B$3=M$3,SUMIF('TL06'!$C$10:$C$224,$C165,'TL06'!$J$10:$J$224),0),
IF('TL06'!$B$229=M$3,SUMIF('TL06'!$C$238:$C$451,$C165,'TL06'!$J$238:$J$451),0),
IF('TL07'!$B$3=M$3,SUMIF('TL07'!$C$10:$C$224,$C165,'TL07'!$J$10:$J$224),0),
IF('TL07'!$B$229=M$3,SUMIF('TL07'!$C$238:$C$451,$C165,'TL07'!$J$238:$J$451),0),
IF('TL08'!$B$3=M$3,SUMIF('TL08'!$C$10:$C$224,$C165,'TL08'!$J$10:$J$224),0),
IF('TL08'!$B$229=M$3,SUMIF('TL08'!$C$238:$C$451,$C165,'TL08'!$J$238:$J$451),0),
IF('TL09'!$B$3=M$3,SUMIF('TL09'!$C$10:$C$224,$C165,'TL09'!$J$10:$J$224),0),
IF('TL09'!$B$229=M$3,SUMIF('TL09'!$C$238:$C$451,$C165,'TL09'!$J$238:$J$451),0),
IF('TL10'!$B$3=M$3,SUMIF('TL10'!$C$10:$C$224,$C165,'TL10'!$J$10:$J$224),0),
IF('TL10'!$B$229=M$3,SUMIF('TL10'!$C$238:$C$451,$C165,'TL10'!$J$238:$J$451),0),
IF('TL11'!$B$3=M$3,SUMIF('TL11'!$C$10:$C$224,$C165,'TL11'!$J$10:$J$224),0),
IF('TL11'!$B$229=M$3,SUMIF('TL11'!$C$238:$C$451,$C165,'TL11'!$J$238:$J$451),0),
IF('TL12'!$B$3=M$3,SUMIF('TL12'!$C$10:$C$224,$C165,'TL12'!$J$10:$J$224),0),
IF('TL12'!$B$229=M$3,SUMIF('TL12'!$C$238:$C$451,$C165,'TL12'!$J$238:$J$451),0),
IF('TL13'!$B$3=M$3,SUMIF('TL13'!$C$10:$C$224,$C165,'TL13'!$J$10:$J$224),0),
IF('TL13'!$B$229=M$3,SUMIF('TL13'!$C$238:$C$451,$C165,'TL13'!$J$238:$J$451),0),
IF('TL14'!$B$3=M$3,SUMIF('TL14'!$C$10:$C$224,$C165,'TL14'!$J$10:$J$224),0),
IF('TL14'!$B$229=M$3,SUMIF('TL14'!$C$238:$C$451,$C165,'TL14'!$J$238:$J$451),0),
IF('TL15'!$B$3=M$3,SUMIF('TL15'!$C$10:$C$224,$C165,'TL15'!$J$10:$J$224),0),
IF('TL15'!$B$229=M$3,SUMIF('TL15'!$C$238:$C$451,$C165,'TL15'!$J$238:$J$451),0),
IF('TL16'!$B$3=M$3,SUMIF('TL16'!$C$10:$C$224,$C165,'TL16'!$J$10:$J$224),0),
IF('TL16'!$B$229=M$3,SUMIF('TL16'!$C$238:$C$451,$C165,'TL16'!$J$238:$J$451),0),
IF('TL17'!$B$3=M$3,SUMIF('TL17'!$C$10:$C$224,$C165,'TL17'!$J$10:$J$224),0),
IF('TL17'!$B$229=M$3,SUMIF('TL17'!$C$238:$C$451,$C165,'TL17'!$J$238:$J$451),0),
IF('TL18'!$B$3=M$3,SUMIF('TL18'!$C$10:$C$224,$C165,'TL18'!$J$10:$J$224),0),
IF('TL18'!$B$229=M$3,SUMIF('TL18'!$C$238:$C$451,$C165,'TL18'!$J$238:$J$451),0),
IF('TL19'!$B$3=M$3,SUMIF('TL19'!$C$10:$C$224,$C165,'TL19'!$J$10:$J$224),0),
IF('TL19'!$B$229=M$3,SUMIF('TL19'!$C$238:$C$451,$C165,'TL19'!$J$238:$J$451),0)
),0)</f>
        <v/>
      </c>
      <c r="N165" s="9">
        <f>IFERROR(SUM(
IF('TL01'!$B$3=N$3,SUMIF('TL01'!$C$10:$C$224,$C165,'TL01'!$J$10:$J$224),0),
IF('TL01'!$B$229=N$3,SUMIF('TL01'!$C$238:$C$451,$C165,'TL01'!$J$238:$J$451),0),
IF('TL02'!$B$3=N$3,SUMIF('TL02'!$C$10:$C$224,$C165,'TL02'!$J$10:$J$224),0),
IF('TL02'!$B$229=N$3,SUMIF('TL02'!$C$238:$C$451,$C165,'TL02'!$J$238:$J$451),0),
IF('TL03'!$B$3=N$3,SUMIF('TL03'!$C$10:$C$224,$C165,'TL03'!$J$10:$J$224),0),
IF('TL03'!$B$229=N$3,SUMIF('TL03'!$C$238:$C$451,$C165,'TL03'!$J$238:$J$451),0),
IF('TL04'!$B$3=N$3,SUMIF('TL04'!$C$10:$C$224,$C165,'TL04'!$J$10:$J$224),0),
IF('TL04'!$B$229=N$3,SUMIF('TL04'!$C$238:$C$451,$C165,'TL04'!$J$238:$J$451),0),
IF('TL05'!$B$3=N$3,SUMIF('TL05'!$C$10:$C$224,$C165,'TL05'!$J$10:$J$224),0),
IF('TL05'!$B$229=N$3,SUMIF('TL05'!$C$238:$C$451,$C165,'TL05'!$J$238:$J$451),0),
IF('TL06'!$B$3=N$3,SUMIF('TL06'!$C$10:$C$224,$C165,'TL06'!$J$10:$J$224),0),
IF('TL06'!$B$229=N$3,SUMIF('TL06'!$C$238:$C$451,$C165,'TL06'!$J$238:$J$451),0),
IF('TL07'!$B$3=N$3,SUMIF('TL07'!$C$10:$C$224,$C165,'TL07'!$J$10:$J$224),0),
IF('TL07'!$B$229=N$3,SUMIF('TL07'!$C$238:$C$451,$C165,'TL07'!$J$238:$J$451),0),
IF('TL08'!$B$3=N$3,SUMIF('TL08'!$C$10:$C$224,$C165,'TL08'!$J$10:$J$224),0),
IF('TL08'!$B$229=N$3,SUMIF('TL08'!$C$238:$C$451,$C165,'TL08'!$J$238:$J$451),0),
IF('TL09'!$B$3=N$3,SUMIF('TL09'!$C$10:$C$224,$C165,'TL09'!$J$10:$J$224),0),
IF('TL09'!$B$229=N$3,SUMIF('TL09'!$C$238:$C$451,$C165,'TL09'!$J$238:$J$451),0),
IF('TL10'!$B$3=N$3,SUMIF('TL10'!$C$10:$C$224,$C165,'TL10'!$J$10:$J$224),0),
IF('TL10'!$B$229=N$3,SUMIF('TL10'!$C$238:$C$451,$C165,'TL10'!$J$238:$J$451),0),
IF('TL11'!$B$3=N$3,SUMIF('TL11'!$C$10:$C$224,$C165,'TL11'!$J$10:$J$224),0),
IF('TL11'!$B$229=N$3,SUMIF('TL11'!$C$238:$C$451,$C165,'TL11'!$J$238:$J$451),0),
IF('TL12'!$B$3=N$3,SUMIF('TL12'!$C$10:$C$224,$C165,'TL12'!$J$10:$J$224),0),
IF('TL12'!$B$229=N$3,SUMIF('TL12'!$C$238:$C$451,$C165,'TL12'!$J$238:$J$451),0),
IF('TL13'!$B$3=N$3,SUMIF('TL13'!$C$10:$C$224,$C165,'TL13'!$J$10:$J$224),0),
IF('TL13'!$B$229=N$3,SUMIF('TL13'!$C$238:$C$451,$C165,'TL13'!$J$238:$J$451),0),
IF('TL14'!$B$3=N$3,SUMIF('TL14'!$C$10:$C$224,$C165,'TL14'!$J$10:$J$224),0),
IF('TL14'!$B$229=N$3,SUMIF('TL14'!$C$238:$C$451,$C165,'TL14'!$J$238:$J$451),0),
IF('TL15'!$B$3=N$3,SUMIF('TL15'!$C$10:$C$224,$C165,'TL15'!$J$10:$J$224),0),
IF('TL15'!$B$229=N$3,SUMIF('TL15'!$C$238:$C$451,$C165,'TL15'!$J$238:$J$451),0),
IF('TL16'!$B$3=N$3,SUMIF('TL16'!$C$10:$C$224,$C165,'TL16'!$J$10:$J$224),0),
IF('TL16'!$B$229=N$3,SUMIF('TL16'!$C$238:$C$451,$C165,'TL16'!$J$238:$J$451),0),
IF('TL17'!$B$3=N$3,SUMIF('TL17'!$C$10:$C$224,$C165,'TL17'!$J$10:$J$224),0),
IF('TL17'!$B$229=N$3,SUMIF('TL17'!$C$238:$C$451,$C165,'TL17'!$J$238:$J$451),0),
IF('TL18'!$B$3=N$3,SUMIF('TL18'!$C$10:$C$224,$C165,'TL18'!$J$10:$J$224),0),
IF('TL18'!$B$229=N$3,SUMIF('TL18'!$C$238:$C$451,$C165,'TL18'!$J$238:$J$451),0),
IF('TL19'!$B$3=N$3,SUMIF('TL19'!$C$10:$C$224,$C165,'TL19'!$J$10:$J$224),0),
IF('TL19'!$B$229=N$3,SUMIF('TL19'!$C$238:$C$451,$C165,'TL19'!$J$238:$J$451),0)
),0)</f>
        <v/>
      </c>
      <c r="O165" s="9">
        <f>IFERROR(SUM(
IF('TL01'!$B$3=O$3,SUMIF('TL01'!$C$10:$C$224,$C165,'TL01'!$J$10:$J$224),0),
IF('TL01'!$B$229=O$3,SUMIF('TL01'!$C$238:$C$451,$C165,'TL01'!$J$238:$J$451),0),
IF('TL02'!$B$3=O$3,SUMIF('TL02'!$C$10:$C$224,$C165,'TL02'!$J$10:$J$224),0),
IF('TL02'!$B$229=O$3,SUMIF('TL02'!$C$238:$C$451,$C165,'TL02'!$J$238:$J$451),0),
IF('TL03'!$B$3=O$3,SUMIF('TL03'!$C$10:$C$224,$C165,'TL03'!$J$10:$J$224),0),
IF('TL03'!$B$229=O$3,SUMIF('TL03'!$C$238:$C$451,$C165,'TL03'!$J$238:$J$451),0),
IF('TL04'!$B$3=O$3,SUMIF('TL04'!$C$10:$C$224,$C165,'TL04'!$J$10:$J$224),0),
IF('TL04'!$B$229=O$3,SUMIF('TL04'!$C$238:$C$451,$C165,'TL04'!$J$238:$J$451),0),
IF('TL05'!$B$3=O$3,SUMIF('TL05'!$C$10:$C$224,$C165,'TL05'!$J$10:$J$224),0),
IF('TL05'!$B$229=O$3,SUMIF('TL05'!$C$238:$C$451,$C165,'TL05'!$J$238:$J$451),0),
IF('TL06'!$B$3=O$3,SUMIF('TL06'!$C$10:$C$224,$C165,'TL06'!$J$10:$J$224),0),
IF('TL06'!$B$229=O$3,SUMIF('TL06'!$C$238:$C$451,$C165,'TL06'!$J$238:$J$451),0),
IF('TL07'!$B$3=O$3,SUMIF('TL07'!$C$10:$C$224,$C165,'TL07'!$J$10:$J$224),0),
IF('TL07'!$B$229=O$3,SUMIF('TL07'!$C$238:$C$451,$C165,'TL07'!$J$238:$J$451),0),
IF('TL08'!$B$3=O$3,SUMIF('TL08'!$C$10:$C$224,$C165,'TL08'!$J$10:$J$224),0),
IF('TL08'!$B$229=O$3,SUMIF('TL08'!$C$238:$C$451,$C165,'TL08'!$J$238:$J$451),0),
IF('TL09'!$B$3=O$3,SUMIF('TL09'!$C$10:$C$224,$C165,'TL09'!$J$10:$J$224),0),
IF('TL09'!$B$229=O$3,SUMIF('TL09'!$C$238:$C$451,$C165,'TL09'!$J$238:$J$451),0),
IF('TL10'!$B$3=O$3,SUMIF('TL10'!$C$10:$C$224,$C165,'TL10'!$J$10:$J$224),0),
IF('TL10'!$B$229=O$3,SUMIF('TL10'!$C$238:$C$451,$C165,'TL10'!$J$238:$J$451),0),
IF('TL11'!$B$3=O$3,SUMIF('TL11'!$C$10:$C$224,$C165,'TL11'!$J$10:$J$224),0),
IF('TL11'!$B$229=O$3,SUMIF('TL11'!$C$238:$C$451,$C165,'TL11'!$J$238:$J$451),0),
IF('TL12'!$B$3=O$3,SUMIF('TL12'!$C$10:$C$224,$C165,'TL12'!$J$10:$J$224),0),
IF('TL12'!$B$229=O$3,SUMIF('TL12'!$C$238:$C$451,$C165,'TL12'!$J$238:$J$451),0),
IF('TL13'!$B$3=O$3,SUMIF('TL13'!$C$10:$C$224,$C165,'TL13'!$J$10:$J$224),0),
IF('TL13'!$B$229=O$3,SUMIF('TL13'!$C$238:$C$451,$C165,'TL13'!$J$238:$J$451),0),
IF('TL14'!$B$3=O$3,SUMIF('TL14'!$C$10:$C$224,$C165,'TL14'!$J$10:$J$224),0),
IF('TL14'!$B$229=O$3,SUMIF('TL14'!$C$238:$C$451,$C165,'TL14'!$J$238:$J$451),0),
IF('TL15'!$B$3=O$3,SUMIF('TL15'!$C$10:$C$224,$C165,'TL15'!$J$10:$J$224),0),
IF('TL15'!$B$229=O$3,SUMIF('TL15'!$C$238:$C$451,$C165,'TL15'!$J$238:$J$451),0),
IF('TL16'!$B$3=O$3,SUMIF('TL16'!$C$10:$C$224,$C165,'TL16'!$J$10:$J$224),0),
IF('TL16'!$B$229=O$3,SUMIF('TL16'!$C$238:$C$451,$C165,'TL16'!$J$238:$J$451),0),
IF('TL17'!$B$3=O$3,SUMIF('TL17'!$C$10:$C$224,$C165,'TL17'!$J$10:$J$224),0),
IF('TL17'!$B$229=O$3,SUMIF('TL17'!$C$238:$C$451,$C165,'TL17'!$J$238:$J$451),0),
IF('TL18'!$B$3=O$3,SUMIF('TL18'!$C$10:$C$224,$C165,'TL18'!$J$10:$J$224),0),
IF('TL18'!$B$229=O$3,SUMIF('TL18'!$C$238:$C$451,$C165,'TL18'!$J$238:$J$451),0),
IF('TL19'!$B$3=O$3,SUMIF('TL19'!$C$10:$C$224,$C165,'TL19'!$J$10:$J$224),0),
IF('TL19'!$B$229=O$3,SUMIF('TL19'!$C$238:$C$451,$C165,'TL19'!$J$238:$J$451),0)
),0)</f>
        <v/>
      </c>
      <c r="P165" s="9">
        <f>IFERROR(SUM(
IF('TL01'!$B$3=P$3,SUMIF('TL01'!$C$10:$C$224,$C165,'TL01'!$J$10:$J$224),0),
IF('TL01'!$B$229=P$3,SUMIF('TL01'!$C$238:$C$451,$C165,'TL01'!$J$238:$J$451),0),
IF('TL02'!$B$3=P$3,SUMIF('TL02'!$C$10:$C$224,$C165,'TL02'!$J$10:$J$224),0),
IF('TL02'!$B$229=P$3,SUMIF('TL02'!$C$238:$C$451,$C165,'TL02'!$J$238:$J$451),0),
IF('TL03'!$B$3=P$3,SUMIF('TL03'!$C$10:$C$224,$C165,'TL03'!$J$10:$J$224),0),
IF('TL03'!$B$229=P$3,SUMIF('TL03'!$C$238:$C$451,$C165,'TL03'!$J$238:$J$451),0),
IF('TL04'!$B$3=P$3,SUMIF('TL04'!$C$10:$C$224,$C165,'TL04'!$J$10:$J$224),0),
IF('TL04'!$B$229=P$3,SUMIF('TL04'!$C$238:$C$451,$C165,'TL04'!$J$238:$J$451),0),
IF('TL05'!$B$3=P$3,SUMIF('TL05'!$C$10:$C$224,$C165,'TL05'!$J$10:$J$224),0),
IF('TL05'!$B$229=P$3,SUMIF('TL05'!$C$238:$C$451,$C165,'TL05'!$J$238:$J$451),0),
IF('TL06'!$B$3=P$3,SUMIF('TL06'!$C$10:$C$224,$C165,'TL06'!$J$10:$J$224),0),
IF('TL06'!$B$229=P$3,SUMIF('TL06'!$C$238:$C$451,$C165,'TL06'!$J$238:$J$451),0),
IF('TL07'!$B$3=P$3,SUMIF('TL07'!$C$10:$C$224,$C165,'TL07'!$J$10:$J$224),0),
IF('TL07'!$B$229=P$3,SUMIF('TL07'!$C$238:$C$451,$C165,'TL07'!$J$238:$J$451),0),
IF('TL08'!$B$3=P$3,SUMIF('TL08'!$C$10:$C$224,$C165,'TL08'!$J$10:$J$224),0),
IF('TL08'!$B$229=P$3,SUMIF('TL08'!$C$238:$C$451,$C165,'TL08'!$J$238:$J$451),0),
IF('TL09'!$B$3=P$3,SUMIF('TL09'!$C$10:$C$224,$C165,'TL09'!$J$10:$J$224),0),
IF('TL09'!$B$229=P$3,SUMIF('TL09'!$C$238:$C$451,$C165,'TL09'!$J$238:$J$451),0),
IF('TL10'!$B$3=P$3,SUMIF('TL10'!$C$10:$C$224,$C165,'TL10'!$J$10:$J$224),0),
IF('TL10'!$B$229=P$3,SUMIF('TL10'!$C$238:$C$451,$C165,'TL10'!$J$238:$J$451),0),
IF('TL11'!$B$3=P$3,SUMIF('TL11'!$C$10:$C$224,$C165,'TL11'!$J$10:$J$224),0),
IF('TL11'!$B$229=P$3,SUMIF('TL11'!$C$238:$C$451,$C165,'TL11'!$J$238:$J$451),0),
IF('TL12'!$B$3=P$3,SUMIF('TL12'!$C$10:$C$224,$C165,'TL12'!$J$10:$J$224),0),
IF('TL12'!$B$229=P$3,SUMIF('TL12'!$C$238:$C$451,$C165,'TL12'!$J$238:$J$451),0),
IF('TL13'!$B$3=P$3,SUMIF('TL13'!$C$10:$C$224,$C165,'TL13'!$J$10:$J$224),0),
IF('TL13'!$B$229=P$3,SUMIF('TL13'!$C$238:$C$451,$C165,'TL13'!$J$238:$J$451),0),
IF('TL14'!$B$3=P$3,SUMIF('TL14'!$C$10:$C$224,$C165,'TL14'!$J$10:$J$224),0),
IF('TL14'!$B$229=P$3,SUMIF('TL14'!$C$238:$C$451,$C165,'TL14'!$J$238:$J$451),0),
IF('TL15'!$B$3=P$3,SUMIF('TL15'!$C$10:$C$224,$C165,'TL15'!$J$10:$J$224),0),
IF('TL15'!$B$229=P$3,SUMIF('TL15'!$C$238:$C$451,$C165,'TL15'!$J$238:$J$451),0),
IF('TL16'!$B$3=P$3,SUMIF('TL16'!$C$10:$C$224,$C165,'TL16'!$J$10:$J$224),0),
IF('TL16'!$B$229=P$3,SUMIF('TL16'!$C$238:$C$451,$C165,'TL16'!$J$238:$J$451),0),
IF('TL17'!$B$3=P$3,SUMIF('TL17'!$C$10:$C$224,$C165,'TL17'!$J$10:$J$224),0),
IF('TL17'!$B$229=P$3,SUMIF('TL17'!$C$238:$C$451,$C165,'TL17'!$J$238:$J$451),0),
IF('TL18'!$B$3=P$3,SUMIF('TL18'!$C$10:$C$224,$C165,'TL18'!$J$10:$J$224),0),
IF('TL18'!$B$229=P$3,SUMIF('TL18'!$C$238:$C$451,$C165,'TL18'!$J$238:$J$451),0),
IF('TL19'!$B$3=P$3,SUMIF('TL19'!$C$10:$C$224,$C165,'TL19'!$J$10:$J$224),0),
IF('TL19'!$B$229=P$3,SUMIF('TL19'!$C$238:$C$451,$C165,'TL19'!$J$238:$J$451),0)
),0)</f>
        <v/>
      </c>
      <c r="Q165" s="9">
        <f>IFERROR(SUM(
IF('TL01'!$B$3=Q$3,SUMIF('TL01'!$C$10:$C$224,$C165,'TL01'!$J$10:$J$224),0),
IF('TL01'!$B$229=Q$3,SUMIF('TL01'!$C$238:$C$451,$C165,'TL01'!$J$238:$J$451),0),
IF('TL02'!$B$3=Q$3,SUMIF('TL02'!$C$10:$C$224,$C165,'TL02'!$J$10:$J$224),0),
IF('TL02'!$B$229=Q$3,SUMIF('TL02'!$C$238:$C$451,$C165,'TL02'!$J$238:$J$451),0),
IF('TL03'!$B$3=Q$3,SUMIF('TL03'!$C$10:$C$224,$C165,'TL03'!$J$10:$J$224),0),
IF('TL03'!$B$229=Q$3,SUMIF('TL03'!$C$238:$C$451,$C165,'TL03'!$J$238:$J$451),0),
IF('TL04'!$B$3=Q$3,SUMIF('TL04'!$C$10:$C$224,$C165,'TL04'!$J$10:$J$224),0),
IF('TL04'!$B$229=Q$3,SUMIF('TL04'!$C$238:$C$451,$C165,'TL04'!$J$238:$J$451),0),
IF('TL05'!$B$3=Q$3,SUMIF('TL05'!$C$10:$C$224,$C165,'TL05'!$J$10:$J$224),0),
IF('TL05'!$B$229=Q$3,SUMIF('TL05'!$C$238:$C$451,$C165,'TL05'!$J$238:$J$451),0),
IF('TL06'!$B$3=Q$3,SUMIF('TL06'!$C$10:$C$224,$C165,'TL06'!$J$10:$J$224),0),
IF('TL06'!$B$229=Q$3,SUMIF('TL06'!$C$238:$C$451,$C165,'TL06'!$J$238:$J$451),0),
IF('TL07'!$B$3=Q$3,SUMIF('TL07'!$C$10:$C$224,$C165,'TL07'!$J$10:$J$224),0),
IF('TL07'!$B$229=Q$3,SUMIF('TL07'!$C$238:$C$451,$C165,'TL07'!$J$238:$J$451),0),
IF('TL08'!$B$3=Q$3,SUMIF('TL08'!$C$10:$C$224,$C165,'TL08'!$J$10:$J$224),0),
IF('TL08'!$B$229=Q$3,SUMIF('TL08'!$C$238:$C$451,$C165,'TL08'!$J$238:$J$451),0),
IF('TL09'!$B$3=Q$3,SUMIF('TL09'!$C$10:$C$224,$C165,'TL09'!$J$10:$J$224),0),
IF('TL09'!$B$229=Q$3,SUMIF('TL09'!$C$238:$C$451,$C165,'TL09'!$J$238:$J$451),0),
IF('TL10'!$B$3=Q$3,SUMIF('TL10'!$C$10:$C$224,$C165,'TL10'!$J$10:$J$224),0),
IF('TL10'!$B$229=Q$3,SUMIF('TL10'!$C$238:$C$451,$C165,'TL10'!$J$238:$J$451),0),
IF('TL11'!$B$3=Q$3,SUMIF('TL11'!$C$10:$C$224,$C165,'TL11'!$J$10:$J$224),0),
IF('TL11'!$B$229=Q$3,SUMIF('TL11'!$C$238:$C$451,$C165,'TL11'!$J$238:$J$451),0),
IF('TL12'!$B$3=Q$3,SUMIF('TL12'!$C$10:$C$224,$C165,'TL12'!$J$10:$J$224),0),
IF('TL12'!$B$229=Q$3,SUMIF('TL12'!$C$238:$C$451,$C165,'TL12'!$J$238:$J$451),0),
IF('TL13'!$B$3=Q$3,SUMIF('TL13'!$C$10:$C$224,$C165,'TL13'!$J$10:$J$224),0),
IF('TL13'!$B$229=Q$3,SUMIF('TL13'!$C$238:$C$451,$C165,'TL13'!$J$238:$J$451),0),
IF('TL14'!$B$3=Q$3,SUMIF('TL14'!$C$10:$C$224,$C165,'TL14'!$J$10:$J$224),0),
IF('TL14'!$B$229=Q$3,SUMIF('TL14'!$C$238:$C$451,$C165,'TL14'!$J$238:$J$451),0),
IF('TL15'!$B$3=Q$3,SUMIF('TL15'!$C$10:$C$224,$C165,'TL15'!$J$10:$J$224),0),
IF('TL15'!$B$229=Q$3,SUMIF('TL15'!$C$238:$C$451,$C165,'TL15'!$J$238:$J$451),0),
IF('TL16'!$B$3=Q$3,SUMIF('TL16'!$C$10:$C$224,$C165,'TL16'!$J$10:$J$224),0),
IF('TL16'!$B$229=Q$3,SUMIF('TL16'!$C$238:$C$451,$C165,'TL16'!$J$238:$J$451),0),
IF('TL17'!$B$3=Q$3,SUMIF('TL17'!$C$10:$C$224,$C165,'TL17'!$J$10:$J$224),0),
IF('TL17'!$B$229=Q$3,SUMIF('TL17'!$C$238:$C$451,$C165,'TL17'!$J$238:$J$451),0),
IF('TL18'!$B$3=Q$3,SUMIF('TL18'!$C$10:$C$224,$C165,'TL18'!$J$10:$J$224),0),
IF('TL18'!$B$229=Q$3,SUMIF('TL18'!$C$238:$C$451,$C165,'TL18'!$J$238:$J$451),0),
IF('TL19'!$B$3=Q$3,SUMIF('TL19'!$C$10:$C$224,$C165,'TL19'!$J$10:$J$224),0),
IF('TL19'!$B$229=Q$3,SUMIF('TL19'!$C$238:$C$451,$C165,'TL19'!$J$238:$J$451),0)
),0)</f>
        <v/>
      </c>
      <c r="R165" s="9">
        <f>IFERROR(
SUM(
SUMIF('TL01'!C:C,C165,'TL01'!J:J),
SUMIF('TL02'!C:C,C165,'TL02'!J:J),
SUMIF('TL03'!C:C,C165,'TL03'!J:J),
SUMIF('TL04'!C:C,C165,'TL04'!J:J),
SUMIF('TL05'!C:C,C165,'TL05'!J:J),
SUMIF('TL06'!C:C,C165,'TL06'!J:J),
SUMIF('TL07'!C:C,C165,'TL07'!J:J),
SUMIF('TL08'!C:C,C165,'TL08'!J:J),
SUMIF('TL09'!C:C,C165,'TL09'!J:J),
SUMIF('TL10'!C:C,C165,'TL10'!J:J),
SUMIF('TL11'!C:C,C165,'TL11'!J:J),
SUMIF('TL12'!C:C,C165,'TL12'!J:J),
SUMIF('TL13'!C:C,C165,'TL13'!J:J),
SUMIF('TL14'!C:C,C165,'TL14'!J:J),
SUMIF('TL15'!C:C,C165,'TL15'!J:J),
SUMIF('TL16'!C:C,C165,'TL16'!J:J),
SUMIF('TL17'!C:C,C165,'TL17'!J:J),
SUMIF('TL18'!C:C,C165,'TL18'!J:J),SUMIF('TL19'!C:C,C165,'TL19'!J:J))
,0)</f>
        <v/>
      </c>
      <c r="S165" s="17">
        <f>IFERROR(__xludf.DUMMYFUNCTION("IFERROR(VLOOKUP(C165,
IMPORTRANGE(""1wULbzX32WdYsx-lj2U3uUNBBe2INVIRDtcK0d-Dvl90"",
""26-27!C:G""),
5,
FALSE),
"""")"),26.3006)</f>
        <v/>
      </c>
      <c r="T165" s="9" t="n"/>
      <c r="U165" s="92">
        <f>MAX(0,R165-T165)</f>
        <v/>
      </c>
      <c r="V165" s="93">
        <f>U165*S165</f>
        <v/>
      </c>
    </row>
    <row r="166" hidden="1" ht="15.75" customHeight="1" s="297">
      <c r="A166" s="115" t="inlineStr">
        <is>
          <t>SYNGENTA</t>
        </is>
      </c>
      <c r="B166" s="100" t="inlineStr">
        <is>
          <t>HERBICIDA</t>
        </is>
      </c>
      <c r="C166" s="116" t="inlineStr">
        <is>
          <t>PRIMESTRA GOLD</t>
        </is>
      </c>
      <c r="D166" s="116" t="inlineStr">
        <is>
          <t>ATRAZINA + S-METOLACLORO</t>
        </is>
      </c>
      <c r="E166" s="116" t="inlineStr">
        <is>
          <t>370 + 290</t>
        </is>
      </c>
      <c r="F166" s="4" t="inlineStr">
        <is>
          <t>L</t>
        </is>
      </c>
      <c r="G166" s="90">
        <f>HYPERLINK("https://www.google.com/search?q=" &amp; C166 &amp; "+bula+agrofit+pdf", "📄 Ver bula")</f>
        <v/>
      </c>
      <c r="H166" s="9">
        <f>IFERROR(__xludf.DUMMYFUNCTION("IFERROR(VLOOKUP(C166,
IMPORTRANGE(""1wULbzX32WdYsx-lj2U3uUNBBe2INVIRDtcK0d-Dvl90"",
""26-27!C:K""),
8,
FALSE),
"""")"),"")</f>
        <v/>
      </c>
      <c r="I166" s="117" t="inlineStr">
        <is>
          <t>1x20</t>
        </is>
      </c>
      <c r="J166" s="9">
        <f>IFERROR(SUM(
IF('TL01'!$B$3=J$3,SUMIF('TL01'!$C$10:$C$224,$C166,'TL01'!$J$10:$J$224),0),
IF('TL01'!$B$229=J$3,SUMIF('TL01'!$C$238:$C$451,$C166,'TL01'!$J$238:$J$451),0),
IF('TL02'!$B$3=J$3,SUMIF('TL02'!$C$10:$C$224,$C166,'TL02'!$J$10:$J$224),0),
IF('TL02'!$B$229=J$3,SUMIF('TL02'!$C$238:$C$451,$C166,'TL02'!$J$238:$J$451),0),
IF('TL03'!$B$3=J$3,SUMIF('TL03'!$C$10:$C$224,$C166,'TL03'!$J$10:$J$224),0),
IF('TL03'!$B$229=J$3,SUMIF('TL03'!$C$238:$C$451,$C166,'TL03'!$J$238:$J$451),0),
IF('TL04'!$B$3=J$3,SUMIF('TL04'!$C$10:$C$224,$C166,'TL04'!$J$10:$J$224),0),
IF('TL04'!$B$229=J$3,SUMIF('TL04'!$C$238:$C$451,$C166,'TL04'!$J$238:$J$451),0),
IF('TL05'!$B$3=J$3,SUMIF('TL05'!$C$10:$C$224,$C166,'TL05'!$J$10:$J$224),0),
IF('TL05'!$B$229=J$3,SUMIF('TL05'!$C$238:$C$451,$C166,'TL05'!$J$238:$J$451),0),
IF('TL06'!$B$3=J$3,SUMIF('TL06'!$C$10:$C$224,$C166,'TL06'!$J$10:$J$224),0),
IF('TL06'!$B$229=J$3,SUMIF('TL06'!$C$238:$C$451,$C166,'TL06'!$J$238:$J$451),0),
IF('TL07'!$B$3=J$3,SUMIF('TL07'!$C$10:$C$224,$C166,'TL07'!$J$10:$J$224),0),
IF('TL07'!$B$229=J$3,SUMIF('TL07'!$C$238:$C$451,$C166,'TL07'!$J$238:$J$451),0),
IF('TL08'!$B$3=J$3,SUMIF('TL08'!$C$10:$C$224,$C166,'TL08'!$J$10:$J$224),0),
IF('TL08'!$B$229=J$3,SUMIF('TL08'!$C$238:$C$451,$C166,'TL08'!$J$238:$J$451),0),
IF('TL09'!$B$3=J$3,SUMIF('TL09'!$C$10:$C$224,$C166,'TL09'!$J$10:$J$224),0),
IF('TL09'!$B$229=J$3,SUMIF('TL09'!$C$238:$C$451,$C166,'TL09'!$J$238:$J$451),0),
IF('TL10'!$B$3=J$3,SUMIF('TL10'!$C$10:$C$224,$C166,'TL10'!$J$10:$J$224),0),
IF('TL10'!$B$229=J$3,SUMIF('TL10'!$C$238:$C$451,$C166,'TL10'!$J$238:$J$451),0),
IF('TL11'!$B$3=J$3,SUMIF('TL11'!$C$10:$C$224,$C166,'TL11'!$J$10:$J$224),0),
IF('TL11'!$B$229=J$3,SUMIF('TL11'!$C$238:$C$451,$C166,'TL11'!$J$238:$J$451),0),
IF('TL12'!$B$3=J$3,SUMIF('TL12'!$C$10:$C$224,$C166,'TL12'!$J$10:$J$224),0),
IF('TL12'!$B$229=J$3,SUMIF('TL12'!$C$238:$C$451,$C166,'TL12'!$J$238:$J$451),0),
IF('TL13'!$B$3=J$3,SUMIF('TL13'!$C$10:$C$224,$C166,'TL13'!$J$10:$J$224),0),
IF('TL13'!$B$229=J$3,SUMIF('TL13'!$C$238:$C$451,$C166,'TL13'!$J$238:$J$451),0),
IF('TL14'!$B$3=J$3,SUMIF('TL14'!$C$10:$C$224,$C166,'TL14'!$J$10:$J$224),0),
IF('TL14'!$B$229=J$3,SUMIF('TL14'!$C$238:$C$451,$C166,'TL14'!$J$238:$J$451),0),
IF('TL15'!$B$3=J$3,SUMIF('TL15'!$C$10:$C$224,$C166,'TL15'!$J$10:$J$224),0),
IF('TL15'!$B$229=J$3,SUMIF('TL15'!$C$238:$C$451,$C166,'TL15'!$J$238:$J$451),0),
IF('TL16'!$B$3=J$3,SUMIF('TL16'!$C$10:$C$224,$C166,'TL16'!$J$10:$J$224),0),
IF('TL16'!$B$229=J$3,SUMIF('TL16'!$C$238:$C$451,$C166,'TL16'!$J$238:$J$451),0),
IF('TL17'!$B$3=J$3,SUMIF('TL17'!$C$10:$C$224,$C166,'TL17'!$J$10:$J$224),0),
IF('TL17'!$B$229=J$3,SUMIF('TL17'!$C$238:$C$451,$C166,'TL17'!$J$238:$J$451),0),
IF('TL18'!$B$3=J$3,SUMIF('TL18'!$C$10:$C$224,$C166,'TL18'!$J$10:$J$224),0),
IF('TL18'!$B$229=J$3,SUMIF('TL18'!$C$238:$C$451,$C166,'TL18'!$J$238:$J$451),0),
IF('TL19'!$B$3=J$3,SUMIF('TL19'!$C$10:$C$224,$C166,'TL19'!$J$10:$J$224),0),
IF('TL19'!$B$229=J$3,SUMIF('TL19'!$C$238:$C$451,$C166,'TL19'!$J$238:$J$451),0)
),0)</f>
        <v/>
      </c>
      <c r="K166" s="9">
        <f>IFERROR(SUM(
IF('TL01'!$B$3=K$3,SUMIF('TL01'!$C$10:$C$224,$C166,'TL01'!$J$10:$J$224),0),
IF('TL01'!$B$229=K$3,SUMIF('TL01'!$C$238:$C$451,$C166,'TL01'!$J$238:$J$451),0),
IF('TL02'!$B$3=K$3,SUMIF('TL02'!$C$10:$C$224,$C166,'TL02'!$J$10:$J$224),0),
IF('TL02'!$B$229=K$3,SUMIF('TL02'!$C$238:$C$451,$C166,'TL02'!$J$238:$J$451),0),
IF('TL03'!$B$3=K$3,SUMIF('TL03'!$C$10:$C$224,$C166,'TL03'!$J$10:$J$224),0),
IF('TL03'!$B$229=K$3,SUMIF('TL03'!$C$238:$C$451,$C166,'TL03'!$J$238:$J$451),0),
IF('TL04'!$B$3=K$3,SUMIF('TL04'!$C$10:$C$224,$C166,'TL04'!$J$10:$J$224),0),
IF('TL04'!$B$229=K$3,SUMIF('TL04'!$C$238:$C$451,$C166,'TL04'!$J$238:$J$451),0),
IF('TL05'!$B$3=K$3,SUMIF('TL05'!$C$10:$C$224,$C166,'TL05'!$J$10:$J$224),0),
IF('TL05'!$B$229=K$3,SUMIF('TL05'!$C$238:$C$451,$C166,'TL05'!$J$238:$J$451),0),
IF('TL06'!$B$3=K$3,SUMIF('TL06'!$C$10:$C$224,$C166,'TL06'!$J$10:$J$224),0),
IF('TL06'!$B$229=K$3,SUMIF('TL06'!$C$238:$C$451,$C166,'TL06'!$J$238:$J$451),0),
IF('TL07'!$B$3=K$3,SUMIF('TL07'!$C$10:$C$224,$C166,'TL07'!$J$10:$J$224),0),
IF('TL07'!$B$229=K$3,SUMIF('TL07'!$C$238:$C$451,$C166,'TL07'!$J$238:$J$451),0),
IF('TL08'!$B$3=K$3,SUMIF('TL08'!$C$10:$C$224,$C166,'TL08'!$J$10:$J$224),0),
IF('TL08'!$B$229=K$3,SUMIF('TL08'!$C$238:$C$451,$C166,'TL08'!$J$238:$J$451),0),
IF('TL09'!$B$3=K$3,SUMIF('TL09'!$C$10:$C$224,$C166,'TL09'!$J$10:$J$224),0),
IF('TL09'!$B$229=K$3,SUMIF('TL09'!$C$238:$C$451,$C166,'TL09'!$J$238:$J$451),0),
IF('TL10'!$B$3=K$3,SUMIF('TL10'!$C$10:$C$224,$C166,'TL10'!$J$10:$J$224),0),
IF('TL10'!$B$229=K$3,SUMIF('TL10'!$C$238:$C$451,$C166,'TL10'!$J$238:$J$451),0),
IF('TL11'!$B$3=K$3,SUMIF('TL11'!$C$10:$C$224,$C166,'TL11'!$J$10:$J$224),0),
IF('TL11'!$B$229=K$3,SUMIF('TL11'!$C$238:$C$451,$C166,'TL11'!$J$238:$J$451),0),
IF('TL12'!$B$3=K$3,SUMIF('TL12'!$C$10:$C$224,$C166,'TL12'!$J$10:$J$224),0),
IF('TL12'!$B$229=K$3,SUMIF('TL12'!$C$238:$C$451,$C166,'TL12'!$J$238:$J$451),0),
IF('TL13'!$B$3=K$3,SUMIF('TL13'!$C$10:$C$224,$C166,'TL13'!$J$10:$J$224),0),
IF('TL13'!$B$229=K$3,SUMIF('TL13'!$C$238:$C$451,$C166,'TL13'!$J$238:$J$451),0),
IF('TL14'!$B$3=K$3,SUMIF('TL14'!$C$10:$C$224,$C166,'TL14'!$J$10:$J$224),0),
IF('TL14'!$B$229=K$3,SUMIF('TL14'!$C$238:$C$451,$C166,'TL14'!$J$238:$J$451),0),
IF('TL15'!$B$3=K$3,SUMIF('TL15'!$C$10:$C$224,$C166,'TL15'!$J$10:$J$224),0),
IF('TL15'!$B$229=K$3,SUMIF('TL15'!$C$238:$C$451,$C166,'TL15'!$J$238:$J$451),0),
IF('TL16'!$B$3=K$3,SUMIF('TL16'!$C$10:$C$224,$C166,'TL16'!$J$10:$J$224),0),
IF('TL16'!$B$229=K$3,SUMIF('TL16'!$C$238:$C$451,$C166,'TL16'!$J$238:$J$451),0),
IF('TL17'!$B$3=K$3,SUMIF('TL17'!$C$10:$C$224,$C166,'TL17'!$J$10:$J$224),0),
IF('TL17'!$B$229=K$3,SUMIF('TL17'!$C$238:$C$451,$C166,'TL17'!$J$238:$J$451),0),
IF('TL18'!$B$3=K$3,SUMIF('TL18'!$C$10:$C$224,$C166,'TL18'!$J$10:$J$224),0),
IF('TL18'!$B$229=K$3,SUMIF('TL18'!$C$238:$C$451,$C166,'TL18'!$J$238:$J$451),0),
IF('TL19'!$B$3=K$3,SUMIF('TL19'!$C$10:$C$224,$C166,'TL19'!$J$10:$J$224),0),
IF('TL19'!$B$229=K$3,SUMIF('TL19'!$C$238:$C$451,$C166,'TL19'!$J$238:$J$451),0)
),0)</f>
        <v/>
      </c>
      <c r="L166" s="9">
        <f>IFERROR(SUM(
IF('TL01'!$B$3=L$3,SUMIF('TL01'!$C$10:$C$224,$C166,'TL01'!$J$10:$J$224),0),
IF('TL01'!$B$229=L$3,SUMIF('TL01'!$C$238:$C$451,$C166,'TL01'!$J$238:$J$451),0),
IF('TL02'!$B$3=L$3,SUMIF('TL02'!$C$10:$C$224,$C166,'TL02'!$J$10:$J$224),0),
IF('TL02'!$B$229=L$3,SUMIF('TL02'!$C$238:$C$451,$C166,'TL02'!$J$238:$J$451),0),
IF('TL03'!$B$3=L$3,SUMIF('TL03'!$C$10:$C$224,$C166,'TL03'!$J$10:$J$224),0),
IF('TL03'!$B$229=L$3,SUMIF('TL03'!$C$238:$C$451,$C166,'TL03'!$J$238:$J$451),0),
IF('TL04'!$B$3=L$3,SUMIF('TL04'!$C$10:$C$224,$C166,'TL04'!$J$10:$J$224),0),
IF('TL04'!$B$229=L$3,SUMIF('TL04'!$C$238:$C$451,$C166,'TL04'!$J$238:$J$451),0),
IF('TL05'!$B$3=L$3,SUMIF('TL05'!$C$10:$C$224,$C166,'TL05'!$J$10:$J$224),0),
IF('TL05'!$B$229=L$3,SUMIF('TL05'!$C$238:$C$451,$C166,'TL05'!$J$238:$J$451),0),
IF('TL06'!$B$3=L$3,SUMIF('TL06'!$C$10:$C$224,$C166,'TL06'!$J$10:$J$224),0),
IF('TL06'!$B$229=L$3,SUMIF('TL06'!$C$238:$C$451,$C166,'TL06'!$J$238:$J$451),0),
IF('TL07'!$B$3=L$3,SUMIF('TL07'!$C$10:$C$224,$C166,'TL07'!$J$10:$J$224),0),
IF('TL07'!$B$229=L$3,SUMIF('TL07'!$C$238:$C$451,$C166,'TL07'!$J$238:$J$451),0),
IF('TL08'!$B$3=L$3,SUMIF('TL08'!$C$10:$C$224,$C166,'TL08'!$J$10:$J$224),0),
IF('TL08'!$B$229=L$3,SUMIF('TL08'!$C$238:$C$451,$C166,'TL08'!$J$238:$J$451),0),
IF('TL09'!$B$3=L$3,SUMIF('TL09'!$C$10:$C$224,$C166,'TL09'!$J$10:$J$224),0),
IF('TL09'!$B$229=L$3,SUMIF('TL09'!$C$238:$C$451,$C166,'TL09'!$J$238:$J$451),0),
IF('TL10'!$B$3=L$3,SUMIF('TL10'!$C$10:$C$224,$C166,'TL10'!$J$10:$J$224),0),
IF('TL10'!$B$229=L$3,SUMIF('TL10'!$C$238:$C$451,$C166,'TL10'!$J$238:$J$451),0),
IF('TL11'!$B$3=L$3,SUMIF('TL11'!$C$10:$C$224,$C166,'TL11'!$J$10:$J$224),0),
IF('TL11'!$B$229=L$3,SUMIF('TL11'!$C$238:$C$451,$C166,'TL11'!$J$238:$J$451),0),
IF('TL12'!$B$3=L$3,SUMIF('TL12'!$C$10:$C$224,$C166,'TL12'!$J$10:$J$224),0),
IF('TL12'!$B$229=L$3,SUMIF('TL12'!$C$238:$C$451,$C166,'TL12'!$J$238:$J$451),0),
IF('TL13'!$B$3=L$3,SUMIF('TL13'!$C$10:$C$224,$C166,'TL13'!$J$10:$J$224),0),
IF('TL13'!$B$229=L$3,SUMIF('TL13'!$C$238:$C$451,$C166,'TL13'!$J$238:$J$451),0),
IF('TL14'!$B$3=L$3,SUMIF('TL14'!$C$10:$C$224,$C166,'TL14'!$J$10:$J$224),0),
IF('TL14'!$B$229=L$3,SUMIF('TL14'!$C$238:$C$451,$C166,'TL14'!$J$238:$J$451),0),
IF('TL15'!$B$3=L$3,SUMIF('TL15'!$C$10:$C$224,$C166,'TL15'!$J$10:$J$224),0),
IF('TL15'!$B$229=L$3,SUMIF('TL15'!$C$238:$C$451,$C166,'TL15'!$J$238:$J$451),0),
IF('TL16'!$B$3=L$3,SUMIF('TL16'!$C$10:$C$224,$C166,'TL16'!$J$10:$J$224),0),
IF('TL16'!$B$229=L$3,SUMIF('TL16'!$C$238:$C$451,$C166,'TL16'!$J$238:$J$451),0),
IF('TL17'!$B$3=L$3,SUMIF('TL17'!$C$10:$C$224,$C166,'TL17'!$J$10:$J$224),0),
IF('TL17'!$B$229=L$3,SUMIF('TL17'!$C$238:$C$451,$C166,'TL17'!$J$238:$J$451),0),
IF('TL18'!$B$3=L$3,SUMIF('TL18'!$C$10:$C$224,$C166,'TL18'!$J$10:$J$224),0),
IF('TL18'!$B$229=L$3,SUMIF('TL18'!$C$238:$C$451,$C166,'TL18'!$J$238:$J$451),0),
IF('TL19'!$B$3=L$3,SUMIF('TL19'!$C$10:$C$224,$C166,'TL19'!$J$10:$J$224),0),
IF('TL19'!$B$229=L$3,SUMIF('TL19'!$C$238:$C$451,$C166,'TL19'!$J$238:$J$451),0)
),0)</f>
        <v/>
      </c>
      <c r="M166" s="9">
        <f>IFERROR(SUM(
IF('TL01'!$B$3=M$3,SUMIF('TL01'!$C$10:$C$224,$C166,'TL01'!$J$10:$J$224),0),
IF('TL01'!$B$229=M$3,SUMIF('TL01'!$C$238:$C$451,$C166,'TL01'!$J$238:$J$451),0),
IF('TL02'!$B$3=M$3,SUMIF('TL02'!$C$10:$C$224,$C166,'TL02'!$J$10:$J$224),0),
IF('TL02'!$B$229=M$3,SUMIF('TL02'!$C$238:$C$451,$C166,'TL02'!$J$238:$J$451),0),
IF('TL03'!$B$3=M$3,SUMIF('TL03'!$C$10:$C$224,$C166,'TL03'!$J$10:$J$224),0),
IF('TL03'!$B$229=M$3,SUMIF('TL03'!$C$238:$C$451,$C166,'TL03'!$J$238:$J$451),0),
IF('TL04'!$B$3=M$3,SUMIF('TL04'!$C$10:$C$224,$C166,'TL04'!$J$10:$J$224),0),
IF('TL04'!$B$229=M$3,SUMIF('TL04'!$C$238:$C$451,$C166,'TL04'!$J$238:$J$451),0),
IF('TL05'!$B$3=M$3,SUMIF('TL05'!$C$10:$C$224,$C166,'TL05'!$J$10:$J$224),0),
IF('TL05'!$B$229=M$3,SUMIF('TL05'!$C$238:$C$451,$C166,'TL05'!$J$238:$J$451),0),
IF('TL06'!$B$3=M$3,SUMIF('TL06'!$C$10:$C$224,$C166,'TL06'!$J$10:$J$224),0),
IF('TL06'!$B$229=M$3,SUMIF('TL06'!$C$238:$C$451,$C166,'TL06'!$J$238:$J$451),0),
IF('TL07'!$B$3=M$3,SUMIF('TL07'!$C$10:$C$224,$C166,'TL07'!$J$10:$J$224),0),
IF('TL07'!$B$229=M$3,SUMIF('TL07'!$C$238:$C$451,$C166,'TL07'!$J$238:$J$451),0),
IF('TL08'!$B$3=M$3,SUMIF('TL08'!$C$10:$C$224,$C166,'TL08'!$J$10:$J$224),0),
IF('TL08'!$B$229=M$3,SUMIF('TL08'!$C$238:$C$451,$C166,'TL08'!$J$238:$J$451),0),
IF('TL09'!$B$3=M$3,SUMIF('TL09'!$C$10:$C$224,$C166,'TL09'!$J$10:$J$224),0),
IF('TL09'!$B$229=M$3,SUMIF('TL09'!$C$238:$C$451,$C166,'TL09'!$J$238:$J$451),0),
IF('TL10'!$B$3=M$3,SUMIF('TL10'!$C$10:$C$224,$C166,'TL10'!$J$10:$J$224),0),
IF('TL10'!$B$229=M$3,SUMIF('TL10'!$C$238:$C$451,$C166,'TL10'!$J$238:$J$451),0),
IF('TL11'!$B$3=M$3,SUMIF('TL11'!$C$10:$C$224,$C166,'TL11'!$J$10:$J$224),0),
IF('TL11'!$B$229=M$3,SUMIF('TL11'!$C$238:$C$451,$C166,'TL11'!$J$238:$J$451),0),
IF('TL12'!$B$3=M$3,SUMIF('TL12'!$C$10:$C$224,$C166,'TL12'!$J$10:$J$224),0),
IF('TL12'!$B$229=M$3,SUMIF('TL12'!$C$238:$C$451,$C166,'TL12'!$J$238:$J$451),0),
IF('TL13'!$B$3=M$3,SUMIF('TL13'!$C$10:$C$224,$C166,'TL13'!$J$10:$J$224),0),
IF('TL13'!$B$229=M$3,SUMIF('TL13'!$C$238:$C$451,$C166,'TL13'!$J$238:$J$451),0),
IF('TL14'!$B$3=M$3,SUMIF('TL14'!$C$10:$C$224,$C166,'TL14'!$J$10:$J$224),0),
IF('TL14'!$B$229=M$3,SUMIF('TL14'!$C$238:$C$451,$C166,'TL14'!$J$238:$J$451),0),
IF('TL15'!$B$3=M$3,SUMIF('TL15'!$C$10:$C$224,$C166,'TL15'!$J$10:$J$224),0),
IF('TL15'!$B$229=M$3,SUMIF('TL15'!$C$238:$C$451,$C166,'TL15'!$J$238:$J$451),0),
IF('TL16'!$B$3=M$3,SUMIF('TL16'!$C$10:$C$224,$C166,'TL16'!$J$10:$J$224),0),
IF('TL16'!$B$229=M$3,SUMIF('TL16'!$C$238:$C$451,$C166,'TL16'!$J$238:$J$451),0),
IF('TL17'!$B$3=M$3,SUMIF('TL17'!$C$10:$C$224,$C166,'TL17'!$J$10:$J$224),0),
IF('TL17'!$B$229=M$3,SUMIF('TL17'!$C$238:$C$451,$C166,'TL17'!$J$238:$J$451),0),
IF('TL18'!$B$3=M$3,SUMIF('TL18'!$C$10:$C$224,$C166,'TL18'!$J$10:$J$224),0),
IF('TL18'!$B$229=M$3,SUMIF('TL18'!$C$238:$C$451,$C166,'TL18'!$J$238:$J$451),0),
IF('TL19'!$B$3=M$3,SUMIF('TL19'!$C$10:$C$224,$C166,'TL19'!$J$10:$J$224),0),
IF('TL19'!$B$229=M$3,SUMIF('TL19'!$C$238:$C$451,$C166,'TL19'!$J$238:$J$451),0)
),0)</f>
        <v/>
      </c>
      <c r="N166" s="9">
        <f>IFERROR(SUM(
IF('TL01'!$B$3=N$3,SUMIF('TL01'!$C$10:$C$224,$C166,'TL01'!$J$10:$J$224),0),
IF('TL01'!$B$229=N$3,SUMIF('TL01'!$C$238:$C$451,$C166,'TL01'!$J$238:$J$451),0),
IF('TL02'!$B$3=N$3,SUMIF('TL02'!$C$10:$C$224,$C166,'TL02'!$J$10:$J$224),0),
IF('TL02'!$B$229=N$3,SUMIF('TL02'!$C$238:$C$451,$C166,'TL02'!$J$238:$J$451),0),
IF('TL03'!$B$3=N$3,SUMIF('TL03'!$C$10:$C$224,$C166,'TL03'!$J$10:$J$224),0),
IF('TL03'!$B$229=N$3,SUMIF('TL03'!$C$238:$C$451,$C166,'TL03'!$J$238:$J$451),0),
IF('TL04'!$B$3=N$3,SUMIF('TL04'!$C$10:$C$224,$C166,'TL04'!$J$10:$J$224),0),
IF('TL04'!$B$229=N$3,SUMIF('TL04'!$C$238:$C$451,$C166,'TL04'!$J$238:$J$451),0),
IF('TL05'!$B$3=N$3,SUMIF('TL05'!$C$10:$C$224,$C166,'TL05'!$J$10:$J$224),0),
IF('TL05'!$B$229=N$3,SUMIF('TL05'!$C$238:$C$451,$C166,'TL05'!$J$238:$J$451),0),
IF('TL06'!$B$3=N$3,SUMIF('TL06'!$C$10:$C$224,$C166,'TL06'!$J$10:$J$224),0),
IF('TL06'!$B$229=N$3,SUMIF('TL06'!$C$238:$C$451,$C166,'TL06'!$J$238:$J$451),0),
IF('TL07'!$B$3=N$3,SUMIF('TL07'!$C$10:$C$224,$C166,'TL07'!$J$10:$J$224),0),
IF('TL07'!$B$229=N$3,SUMIF('TL07'!$C$238:$C$451,$C166,'TL07'!$J$238:$J$451),0),
IF('TL08'!$B$3=N$3,SUMIF('TL08'!$C$10:$C$224,$C166,'TL08'!$J$10:$J$224),0),
IF('TL08'!$B$229=N$3,SUMIF('TL08'!$C$238:$C$451,$C166,'TL08'!$J$238:$J$451),0),
IF('TL09'!$B$3=N$3,SUMIF('TL09'!$C$10:$C$224,$C166,'TL09'!$J$10:$J$224),0),
IF('TL09'!$B$229=N$3,SUMIF('TL09'!$C$238:$C$451,$C166,'TL09'!$J$238:$J$451),0),
IF('TL10'!$B$3=N$3,SUMIF('TL10'!$C$10:$C$224,$C166,'TL10'!$J$10:$J$224),0),
IF('TL10'!$B$229=N$3,SUMIF('TL10'!$C$238:$C$451,$C166,'TL10'!$J$238:$J$451),0),
IF('TL11'!$B$3=N$3,SUMIF('TL11'!$C$10:$C$224,$C166,'TL11'!$J$10:$J$224),0),
IF('TL11'!$B$229=N$3,SUMIF('TL11'!$C$238:$C$451,$C166,'TL11'!$J$238:$J$451),0),
IF('TL12'!$B$3=N$3,SUMIF('TL12'!$C$10:$C$224,$C166,'TL12'!$J$10:$J$224),0),
IF('TL12'!$B$229=N$3,SUMIF('TL12'!$C$238:$C$451,$C166,'TL12'!$J$238:$J$451),0),
IF('TL13'!$B$3=N$3,SUMIF('TL13'!$C$10:$C$224,$C166,'TL13'!$J$10:$J$224),0),
IF('TL13'!$B$229=N$3,SUMIF('TL13'!$C$238:$C$451,$C166,'TL13'!$J$238:$J$451),0),
IF('TL14'!$B$3=N$3,SUMIF('TL14'!$C$10:$C$224,$C166,'TL14'!$J$10:$J$224),0),
IF('TL14'!$B$229=N$3,SUMIF('TL14'!$C$238:$C$451,$C166,'TL14'!$J$238:$J$451),0),
IF('TL15'!$B$3=N$3,SUMIF('TL15'!$C$10:$C$224,$C166,'TL15'!$J$10:$J$224),0),
IF('TL15'!$B$229=N$3,SUMIF('TL15'!$C$238:$C$451,$C166,'TL15'!$J$238:$J$451),0),
IF('TL16'!$B$3=N$3,SUMIF('TL16'!$C$10:$C$224,$C166,'TL16'!$J$10:$J$224),0),
IF('TL16'!$B$229=N$3,SUMIF('TL16'!$C$238:$C$451,$C166,'TL16'!$J$238:$J$451),0),
IF('TL17'!$B$3=N$3,SUMIF('TL17'!$C$10:$C$224,$C166,'TL17'!$J$10:$J$224),0),
IF('TL17'!$B$229=N$3,SUMIF('TL17'!$C$238:$C$451,$C166,'TL17'!$J$238:$J$451),0),
IF('TL18'!$B$3=N$3,SUMIF('TL18'!$C$10:$C$224,$C166,'TL18'!$J$10:$J$224),0),
IF('TL18'!$B$229=N$3,SUMIF('TL18'!$C$238:$C$451,$C166,'TL18'!$J$238:$J$451),0),
IF('TL19'!$B$3=N$3,SUMIF('TL19'!$C$10:$C$224,$C166,'TL19'!$J$10:$J$224),0),
IF('TL19'!$B$229=N$3,SUMIF('TL19'!$C$238:$C$451,$C166,'TL19'!$J$238:$J$451),0)
),0)</f>
        <v/>
      </c>
      <c r="O166" s="9">
        <f>IFERROR(SUM(
IF('TL01'!$B$3=O$3,SUMIF('TL01'!$C$10:$C$224,$C166,'TL01'!$J$10:$J$224),0),
IF('TL01'!$B$229=O$3,SUMIF('TL01'!$C$238:$C$451,$C166,'TL01'!$J$238:$J$451),0),
IF('TL02'!$B$3=O$3,SUMIF('TL02'!$C$10:$C$224,$C166,'TL02'!$J$10:$J$224),0),
IF('TL02'!$B$229=O$3,SUMIF('TL02'!$C$238:$C$451,$C166,'TL02'!$J$238:$J$451),0),
IF('TL03'!$B$3=O$3,SUMIF('TL03'!$C$10:$C$224,$C166,'TL03'!$J$10:$J$224),0),
IF('TL03'!$B$229=O$3,SUMIF('TL03'!$C$238:$C$451,$C166,'TL03'!$J$238:$J$451),0),
IF('TL04'!$B$3=O$3,SUMIF('TL04'!$C$10:$C$224,$C166,'TL04'!$J$10:$J$224),0),
IF('TL04'!$B$229=O$3,SUMIF('TL04'!$C$238:$C$451,$C166,'TL04'!$J$238:$J$451),0),
IF('TL05'!$B$3=O$3,SUMIF('TL05'!$C$10:$C$224,$C166,'TL05'!$J$10:$J$224),0),
IF('TL05'!$B$229=O$3,SUMIF('TL05'!$C$238:$C$451,$C166,'TL05'!$J$238:$J$451),0),
IF('TL06'!$B$3=O$3,SUMIF('TL06'!$C$10:$C$224,$C166,'TL06'!$J$10:$J$224),0),
IF('TL06'!$B$229=O$3,SUMIF('TL06'!$C$238:$C$451,$C166,'TL06'!$J$238:$J$451),0),
IF('TL07'!$B$3=O$3,SUMIF('TL07'!$C$10:$C$224,$C166,'TL07'!$J$10:$J$224),0),
IF('TL07'!$B$229=O$3,SUMIF('TL07'!$C$238:$C$451,$C166,'TL07'!$J$238:$J$451),0),
IF('TL08'!$B$3=O$3,SUMIF('TL08'!$C$10:$C$224,$C166,'TL08'!$J$10:$J$224),0),
IF('TL08'!$B$229=O$3,SUMIF('TL08'!$C$238:$C$451,$C166,'TL08'!$J$238:$J$451),0),
IF('TL09'!$B$3=O$3,SUMIF('TL09'!$C$10:$C$224,$C166,'TL09'!$J$10:$J$224),0),
IF('TL09'!$B$229=O$3,SUMIF('TL09'!$C$238:$C$451,$C166,'TL09'!$J$238:$J$451),0),
IF('TL10'!$B$3=O$3,SUMIF('TL10'!$C$10:$C$224,$C166,'TL10'!$J$10:$J$224),0),
IF('TL10'!$B$229=O$3,SUMIF('TL10'!$C$238:$C$451,$C166,'TL10'!$J$238:$J$451),0),
IF('TL11'!$B$3=O$3,SUMIF('TL11'!$C$10:$C$224,$C166,'TL11'!$J$10:$J$224),0),
IF('TL11'!$B$229=O$3,SUMIF('TL11'!$C$238:$C$451,$C166,'TL11'!$J$238:$J$451),0),
IF('TL12'!$B$3=O$3,SUMIF('TL12'!$C$10:$C$224,$C166,'TL12'!$J$10:$J$224),0),
IF('TL12'!$B$229=O$3,SUMIF('TL12'!$C$238:$C$451,$C166,'TL12'!$J$238:$J$451),0),
IF('TL13'!$B$3=O$3,SUMIF('TL13'!$C$10:$C$224,$C166,'TL13'!$J$10:$J$224),0),
IF('TL13'!$B$229=O$3,SUMIF('TL13'!$C$238:$C$451,$C166,'TL13'!$J$238:$J$451),0),
IF('TL14'!$B$3=O$3,SUMIF('TL14'!$C$10:$C$224,$C166,'TL14'!$J$10:$J$224),0),
IF('TL14'!$B$229=O$3,SUMIF('TL14'!$C$238:$C$451,$C166,'TL14'!$J$238:$J$451),0),
IF('TL15'!$B$3=O$3,SUMIF('TL15'!$C$10:$C$224,$C166,'TL15'!$J$10:$J$224),0),
IF('TL15'!$B$229=O$3,SUMIF('TL15'!$C$238:$C$451,$C166,'TL15'!$J$238:$J$451),0),
IF('TL16'!$B$3=O$3,SUMIF('TL16'!$C$10:$C$224,$C166,'TL16'!$J$10:$J$224),0),
IF('TL16'!$B$229=O$3,SUMIF('TL16'!$C$238:$C$451,$C166,'TL16'!$J$238:$J$451),0),
IF('TL17'!$B$3=O$3,SUMIF('TL17'!$C$10:$C$224,$C166,'TL17'!$J$10:$J$224),0),
IF('TL17'!$B$229=O$3,SUMIF('TL17'!$C$238:$C$451,$C166,'TL17'!$J$238:$J$451),0),
IF('TL18'!$B$3=O$3,SUMIF('TL18'!$C$10:$C$224,$C166,'TL18'!$J$10:$J$224),0),
IF('TL18'!$B$229=O$3,SUMIF('TL18'!$C$238:$C$451,$C166,'TL18'!$J$238:$J$451),0),
IF('TL19'!$B$3=O$3,SUMIF('TL19'!$C$10:$C$224,$C166,'TL19'!$J$10:$J$224),0),
IF('TL19'!$B$229=O$3,SUMIF('TL19'!$C$238:$C$451,$C166,'TL19'!$J$238:$J$451),0)
),0)</f>
        <v/>
      </c>
      <c r="P166" s="9">
        <f>IFERROR(SUM(
IF('TL01'!$B$3=P$3,SUMIF('TL01'!$C$10:$C$224,$C166,'TL01'!$J$10:$J$224),0),
IF('TL01'!$B$229=P$3,SUMIF('TL01'!$C$238:$C$451,$C166,'TL01'!$J$238:$J$451),0),
IF('TL02'!$B$3=P$3,SUMIF('TL02'!$C$10:$C$224,$C166,'TL02'!$J$10:$J$224),0),
IF('TL02'!$B$229=P$3,SUMIF('TL02'!$C$238:$C$451,$C166,'TL02'!$J$238:$J$451),0),
IF('TL03'!$B$3=P$3,SUMIF('TL03'!$C$10:$C$224,$C166,'TL03'!$J$10:$J$224),0),
IF('TL03'!$B$229=P$3,SUMIF('TL03'!$C$238:$C$451,$C166,'TL03'!$J$238:$J$451),0),
IF('TL04'!$B$3=P$3,SUMIF('TL04'!$C$10:$C$224,$C166,'TL04'!$J$10:$J$224),0),
IF('TL04'!$B$229=P$3,SUMIF('TL04'!$C$238:$C$451,$C166,'TL04'!$J$238:$J$451),0),
IF('TL05'!$B$3=P$3,SUMIF('TL05'!$C$10:$C$224,$C166,'TL05'!$J$10:$J$224),0),
IF('TL05'!$B$229=P$3,SUMIF('TL05'!$C$238:$C$451,$C166,'TL05'!$J$238:$J$451),0),
IF('TL06'!$B$3=P$3,SUMIF('TL06'!$C$10:$C$224,$C166,'TL06'!$J$10:$J$224),0),
IF('TL06'!$B$229=P$3,SUMIF('TL06'!$C$238:$C$451,$C166,'TL06'!$J$238:$J$451),0),
IF('TL07'!$B$3=P$3,SUMIF('TL07'!$C$10:$C$224,$C166,'TL07'!$J$10:$J$224),0),
IF('TL07'!$B$229=P$3,SUMIF('TL07'!$C$238:$C$451,$C166,'TL07'!$J$238:$J$451),0),
IF('TL08'!$B$3=P$3,SUMIF('TL08'!$C$10:$C$224,$C166,'TL08'!$J$10:$J$224),0),
IF('TL08'!$B$229=P$3,SUMIF('TL08'!$C$238:$C$451,$C166,'TL08'!$J$238:$J$451),0),
IF('TL09'!$B$3=P$3,SUMIF('TL09'!$C$10:$C$224,$C166,'TL09'!$J$10:$J$224),0),
IF('TL09'!$B$229=P$3,SUMIF('TL09'!$C$238:$C$451,$C166,'TL09'!$J$238:$J$451),0),
IF('TL10'!$B$3=P$3,SUMIF('TL10'!$C$10:$C$224,$C166,'TL10'!$J$10:$J$224),0),
IF('TL10'!$B$229=P$3,SUMIF('TL10'!$C$238:$C$451,$C166,'TL10'!$J$238:$J$451),0),
IF('TL11'!$B$3=P$3,SUMIF('TL11'!$C$10:$C$224,$C166,'TL11'!$J$10:$J$224),0),
IF('TL11'!$B$229=P$3,SUMIF('TL11'!$C$238:$C$451,$C166,'TL11'!$J$238:$J$451),0),
IF('TL12'!$B$3=P$3,SUMIF('TL12'!$C$10:$C$224,$C166,'TL12'!$J$10:$J$224),0),
IF('TL12'!$B$229=P$3,SUMIF('TL12'!$C$238:$C$451,$C166,'TL12'!$J$238:$J$451),0),
IF('TL13'!$B$3=P$3,SUMIF('TL13'!$C$10:$C$224,$C166,'TL13'!$J$10:$J$224),0),
IF('TL13'!$B$229=P$3,SUMIF('TL13'!$C$238:$C$451,$C166,'TL13'!$J$238:$J$451),0),
IF('TL14'!$B$3=P$3,SUMIF('TL14'!$C$10:$C$224,$C166,'TL14'!$J$10:$J$224),0),
IF('TL14'!$B$229=P$3,SUMIF('TL14'!$C$238:$C$451,$C166,'TL14'!$J$238:$J$451),0),
IF('TL15'!$B$3=P$3,SUMIF('TL15'!$C$10:$C$224,$C166,'TL15'!$J$10:$J$224),0),
IF('TL15'!$B$229=P$3,SUMIF('TL15'!$C$238:$C$451,$C166,'TL15'!$J$238:$J$451),0),
IF('TL16'!$B$3=P$3,SUMIF('TL16'!$C$10:$C$224,$C166,'TL16'!$J$10:$J$224),0),
IF('TL16'!$B$229=P$3,SUMIF('TL16'!$C$238:$C$451,$C166,'TL16'!$J$238:$J$451),0),
IF('TL17'!$B$3=P$3,SUMIF('TL17'!$C$10:$C$224,$C166,'TL17'!$J$10:$J$224),0),
IF('TL17'!$B$229=P$3,SUMIF('TL17'!$C$238:$C$451,$C166,'TL17'!$J$238:$J$451),0),
IF('TL18'!$B$3=P$3,SUMIF('TL18'!$C$10:$C$224,$C166,'TL18'!$J$10:$J$224),0),
IF('TL18'!$B$229=P$3,SUMIF('TL18'!$C$238:$C$451,$C166,'TL18'!$J$238:$J$451),0),
IF('TL19'!$B$3=P$3,SUMIF('TL19'!$C$10:$C$224,$C166,'TL19'!$J$10:$J$224),0),
IF('TL19'!$B$229=P$3,SUMIF('TL19'!$C$238:$C$451,$C166,'TL19'!$J$238:$J$451),0)
),0)</f>
        <v/>
      </c>
      <c r="Q166" s="9">
        <f>IFERROR(SUM(
IF('TL01'!$B$3=Q$3,SUMIF('TL01'!$C$10:$C$224,$C166,'TL01'!$J$10:$J$224),0),
IF('TL01'!$B$229=Q$3,SUMIF('TL01'!$C$238:$C$451,$C166,'TL01'!$J$238:$J$451),0),
IF('TL02'!$B$3=Q$3,SUMIF('TL02'!$C$10:$C$224,$C166,'TL02'!$J$10:$J$224),0),
IF('TL02'!$B$229=Q$3,SUMIF('TL02'!$C$238:$C$451,$C166,'TL02'!$J$238:$J$451),0),
IF('TL03'!$B$3=Q$3,SUMIF('TL03'!$C$10:$C$224,$C166,'TL03'!$J$10:$J$224),0),
IF('TL03'!$B$229=Q$3,SUMIF('TL03'!$C$238:$C$451,$C166,'TL03'!$J$238:$J$451),0),
IF('TL04'!$B$3=Q$3,SUMIF('TL04'!$C$10:$C$224,$C166,'TL04'!$J$10:$J$224),0),
IF('TL04'!$B$229=Q$3,SUMIF('TL04'!$C$238:$C$451,$C166,'TL04'!$J$238:$J$451),0),
IF('TL05'!$B$3=Q$3,SUMIF('TL05'!$C$10:$C$224,$C166,'TL05'!$J$10:$J$224),0),
IF('TL05'!$B$229=Q$3,SUMIF('TL05'!$C$238:$C$451,$C166,'TL05'!$J$238:$J$451),0),
IF('TL06'!$B$3=Q$3,SUMIF('TL06'!$C$10:$C$224,$C166,'TL06'!$J$10:$J$224),0),
IF('TL06'!$B$229=Q$3,SUMIF('TL06'!$C$238:$C$451,$C166,'TL06'!$J$238:$J$451),0),
IF('TL07'!$B$3=Q$3,SUMIF('TL07'!$C$10:$C$224,$C166,'TL07'!$J$10:$J$224),0),
IF('TL07'!$B$229=Q$3,SUMIF('TL07'!$C$238:$C$451,$C166,'TL07'!$J$238:$J$451),0),
IF('TL08'!$B$3=Q$3,SUMIF('TL08'!$C$10:$C$224,$C166,'TL08'!$J$10:$J$224),0),
IF('TL08'!$B$229=Q$3,SUMIF('TL08'!$C$238:$C$451,$C166,'TL08'!$J$238:$J$451),0),
IF('TL09'!$B$3=Q$3,SUMIF('TL09'!$C$10:$C$224,$C166,'TL09'!$J$10:$J$224),0),
IF('TL09'!$B$229=Q$3,SUMIF('TL09'!$C$238:$C$451,$C166,'TL09'!$J$238:$J$451),0),
IF('TL10'!$B$3=Q$3,SUMIF('TL10'!$C$10:$C$224,$C166,'TL10'!$J$10:$J$224),0),
IF('TL10'!$B$229=Q$3,SUMIF('TL10'!$C$238:$C$451,$C166,'TL10'!$J$238:$J$451),0),
IF('TL11'!$B$3=Q$3,SUMIF('TL11'!$C$10:$C$224,$C166,'TL11'!$J$10:$J$224),0),
IF('TL11'!$B$229=Q$3,SUMIF('TL11'!$C$238:$C$451,$C166,'TL11'!$J$238:$J$451),0),
IF('TL12'!$B$3=Q$3,SUMIF('TL12'!$C$10:$C$224,$C166,'TL12'!$J$10:$J$224),0),
IF('TL12'!$B$229=Q$3,SUMIF('TL12'!$C$238:$C$451,$C166,'TL12'!$J$238:$J$451),0),
IF('TL13'!$B$3=Q$3,SUMIF('TL13'!$C$10:$C$224,$C166,'TL13'!$J$10:$J$224),0),
IF('TL13'!$B$229=Q$3,SUMIF('TL13'!$C$238:$C$451,$C166,'TL13'!$J$238:$J$451),0),
IF('TL14'!$B$3=Q$3,SUMIF('TL14'!$C$10:$C$224,$C166,'TL14'!$J$10:$J$224),0),
IF('TL14'!$B$229=Q$3,SUMIF('TL14'!$C$238:$C$451,$C166,'TL14'!$J$238:$J$451),0),
IF('TL15'!$B$3=Q$3,SUMIF('TL15'!$C$10:$C$224,$C166,'TL15'!$J$10:$J$224),0),
IF('TL15'!$B$229=Q$3,SUMIF('TL15'!$C$238:$C$451,$C166,'TL15'!$J$238:$J$451),0),
IF('TL16'!$B$3=Q$3,SUMIF('TL16'!$C$10:$C$224,$C166,'TL16'!$J$10:$J$224),0),
IF('TL16'!$B$229=Q$3,SUMIF('TL16'!$C$238:$C$451,$C166,'TL16'!$J$238:$J$451),0),
IF('TL17'!$B$3=Q$3,SUMIF('TL17'!$C$10:$C$224,$C166,'TL17'!$J$10:$J$224),0),
IF('TL17'!$B$229=Q$3,SUMIF('TL17'!$C$238:$C$451,$C166,'TL17'!$J$238:$J$451),0),
IF('TL18'!$B$3=Q$3,SUMIF('TL18'!$C$10:$C$224,$C166,'TL18'!$J$10:$J$224),0),
IF('TL18'!$B$229=Q$3,SUMIF('TL18'!$C$238:$C$451,$C166,'TL18'!$J$238:$J$451),0),
IF('TL19'!$B$3=Q$3,SUMIF('TL19'!$C$10:$C$224,$C166,'TL19'!$J$10:$J$224),0),
IF('TL19'!$B$229=Q$3,SUMIF('TL19'!$C$238:$C$451,$C166,'TL19'!$J$238:$J$451),0)
),0)</f>
        <v/>
      </c>
      <c r="R166" s="9">
        <f>IFERROR(
SUM(
SUMIF('TL01'!C:C,C166,'TL01'!J:J),
SUMIF('TL02'!C:C,C166,'TL02'!J:J),
SUMIF('TL03'!C:C,C166,'TL03'!J:J),
SUMIF('TL04'!C:C,C166,'TL04'!J:J),
SUMIF('TL05'!C:C,C166,'TL05'!J:J),
SUMIF('TL06'!C:C,C166,'TL06'!J:J),
SUMIF('TL07'!C:C,C166,'TL07'!J:J),
SUMIF('TL08'!C:C,C166,'TL08'!J:J),
SUMIF('TL09'!C:C,C166,'TL09'!J:J),
SUMIF('TL10'!C:C,C166,'TL10'!J:J),
SUMIF('TL11'!C:C,C166,'TL11'!J:J),
SUMIF('TL12'!C:C,C166,'TL12'!J:J),
SUMIF('TL13'!C:C,C166,'TL13'!J:J),
SUMIF('TL14'!C:C,C166,'TL14'!J:J),
SUMIF('TL15'!C:C,C166,'TL15'!J:J),
SUMIF('TL16'!C:C,C166,'TL16'!J:J),
SUMIF('TL17'!C:C,C166,'TL17'!J:J),
SUMIF('TL18'!C:C,C166,'TL18'!J:J),SUMIF('TL19'!C:C,C166,'TL19'!J:J))
,0)</f>
        <v/>
      </c>
      <c r="S166" s="17">
        <f>IFERROR(__xludf.DUMMYFUNCTION("IFERROR(VLOOKUP(C166,
IMPORTRANGE(""1wULbzX32WdYsx-lj2U3uUNBBe2INVIRDtcK0d-Dvl90"",
""26-27!C:G""),
5,
FALSE),
"""")"),31.314919999999997)</f>
        <v/>
      </c>
      <c r="T166" s="9" t="n"/>
      <c r="U166" s="92">
        <f>MAX(0,R166-T166)</f>
        <v/>
      </c>
      <c r="V166" s="93">
        <f>U166*S166</f>
        <v/>
      </c>
    </row>
    <row r="167" hidden="1" ht="15.75" customHeight="1" s="297">
      <c r="A167" s="111" t="inlineStr">
        <is>
          <t>SYNGENTA</t>
        </is>
      </c>
      <c r="B167" s="112" t="inlineStr">
        <is>
          <t>HERBICIDA</t>
        </is>
      </c>
      <c r="C167" s="113" t="inlineStr">
        <is>
          <t>PROOF</t>
        </is>
      </c>
      <c r="D167" s="113" t="inlineStr">
        <is>
          <t>ATRAZINA</t>
        </is>
      </c>
      <c r="E167" s="113" t="n">
        <v>500</v>
      </c>
      <c r="F167" s="4" t="inlineStr">
        <is>
          <t>L</t>
        </is>
      </c>
      <c r="G167" s="90">
        <f>HYPERLINK("https://www.google.com/search?q=" &amp; C167 &amp; "+bula+agrofit+pdf", "📄 Ver bula")</f>
        <v/>
      </c>
      <c r="H167" s="9">
        <f>IFERROR(__xludf.DUMMYFUNCTION("IFERROR(VLOOKUP(C167,
IMPORTRANGE(""1wULbzX32WdYsx-lj2U3uUNBBe2INVIRDtcK0d-Dvl90"",
""26-27!C:K""),
8,
FALSE),
"""")"),2.0)</f>
        <v/>
      </c>
      <c r="I167" s="114" t="inlineStr">
        <is>
          <t>1x20</t>
        </is>
      </c>
      <c r="J167" s="9">
        <f>IFERROR(SUM(
IF('TL01'!$B$3=J$3,SUMIF('TL01'!$C$10:$C$224,$C167,'TL01'!$J$10:$J$224),0),
IF('TL01'!$B$229=J$3,SUMIF('TL01'!$C$238:$C$451,$C167,'TL01'!$J$238:$J$451),0),
IF('TL02'!$B$3=J$3,SUMIF('TL02'!$C$10:$C$224,$C167,'TL02'!$J$10:$J$224),0),
IF('TL02'!$B$229=J$3,SUMIF('TL02'!$C$238:$C$451,$C167,'TL02'!$J$238:$J$451),0),
IF('TL03'!$B$3=J$3,SUMIF('TL03'!$C$10:$C$224,$C167,'TL03'!$J$10:$J$224),0),
IF('TL03'!$B$229=J$3,SUMIF('TL03'!$C$238:$C$451,$C167,'TL03'!$J$238:$J$451),0),
IF('TL04'!$B$3=J$3,SUMIF('TL04'!$C$10:$C$224,$C167,'TL04'!$J$10:$J$224),0),
IF('TL04'!$B$229=J$3,SUMIF('TL04'!$C$238:$C$451,$C167,'TL04'!$J$238:$J$451),0),
IF('TL05'!$B$3=J$3,SUMIF('TL05'!$C$10:$C$224,$C167,'TL05'!$J$10:$J$224),0),
IF('TL05'!$B$229=J$3,SUMIF('TL05'!$C$238:$C$451,$C167,'TL05'!$J$238:$J$451),0),
IF('TL06'!$B$3=J$3,SUMIF('TL06'!$C$10:$C$224,$C167,'TL06'!$J$10:$J$224),0),
IF('TL06'!$B$229=J$3,SUMIF('TL06'!$C$238:$C$451,$C167,'TL06'!$J$238:$J$451),0),
IF('TL07'!$B$3=J$3,SUMIF('TL07'!$C$10:$C$224,$C167,'TL07'!$J$10:$J$224),0),
IF('TL07'!$B$229=J$3,SUMIF('TL07'!$C$238:$C$451,$C167,'TL07'!$J$238:$J$451),0),
IF('TL08'!$B$3=J$3,SUMIF('TL08'!$C$10:$C$224,$C167,'TL08'!$J$10:$J$224),0),
IF('TL08'!$B$229=J$3,SUMIF('TL08'!$C$238:$C$451,$C167,'TL08'!$J$238:$J$451),0),
IF('TL09'!$B$3=J$3,SUMIF('TL09'!$C$10:$C$224,$C167,'TL09'!$J$10:$J$224),0),
IF('TL09'!$B$229=J$3,SUMIF('TL09'!$C$238:$C$451,$C167,'TL09'!$J$238:$J$451),0),
IF('TL10'!$B$3=J$3,SUMIF('TL10'!$C$10:$C$224,$C167,'TL10'!$J$10:$J$224),0),
IF('TL10'!$B$229=J$3,SUMIF('TL10'!$C$238:$C$451,$C167,'TL10'!$J$238:$J$451),0),
IF('TL11'!$B$3=J$3,SUMIF('TL11'!$C$10:$C$224,$C167,'TL11'!$J$10:$J$224),0),
IF('TL11'!$B$229=J$3,SUMIF('TL11'!$C$238:$C$451,$C167,'TL11'!$J$238:$J$451),0),
IF('TL12'!$B$3=J$3,SUMIF('TL12'!$C$10:$C$224,$C167,'TL12'!$J$10:$J$224),0),
IF('TL12'!$B$229=J$3,SUMIF('TL12'!$C$238:$C$451,$C167,'TL12'!$J$238:$J$451),0),
IF('TL13'!$B$3=J$3,SUMIF('TL13'!$C$10:$C$224,$C167,'TL13'!$J$10:$J$224),0),
IF('TL13'!$B$229=J$3,SUMIF('TL13'!$C$238:$C$451,$C167,'TL13'!$J$238:$J$451),0),
IF('TL14'!$B$3=J$3,SUMIF('TL14'!$C$10:$C$224,$C167,'TL14'!$J$10:$J$224),0),
IF('TL14'!$B$229=J$3,SUMIF('TL14'!$C$238:$C$451,$C167,'TL14'!$J$238:$J$451),0),
IF('TL15'!$B$3=J$3,SUMIF('TL15'!$C$10:$C$224,$C167,'TL15'!$J$10:$J$224),0),
IF('TL15'!$B$229=J$3,SUMIF('TL15'!$C$238:$C$451,$C167,'TL15'!$J$238:$J$451),0),
IF('TL16'!$B$3=J$3,SUMIF('TL16'!$C$10:$C$224,$C167,'TL16'!$J$10:$J$224),0),
IF('TL16'!$B$229=J$3,SUMIF('TL16'!$C$238:$C$451,$C167,'TL16'!$J$238:$J$451),0),
IF('TL17'!$B$3=J$3,SUMIF('TL17'!$C$10:$C$224,$C167,'TL17'!$J$10:$J$224),0),
IF('TL17'!$B$229=J$3,SUMIF('TL17'!$C$238:$C$451,$C167,'TL17'!$J$238:$J$451),0),
IF('TL18'!$B$3=J$3,SUMIF('TL18'!$C$10:$C$224,$C167,'TL18'!$J$10:$J$224),0),
IF('TL18'!$B$229=J$3,SUMIF('TL18'!$C$238:$C$451,$C167,'TL18'!$J$238:$J$451),0),
IF('TL19'!$B$3=J$3,SUMIF('TL19'!$C$10:$C$224,$C167,'TL19'!$J$10:$J$224),0),
IF('TL19'!$B$229=J$3,SUMIF('TL19'!$C$238:$C$451,$C167,'TL19'!$J$238:$J$451),0)
),0)</f>
        <v/>
      </c>
      <c r="K167" s="9">
        <f>IFERROR(SUM(
IF('TL01'!$B$3=K$3,SUMIF('TL01'!$C$10:$C$224,$C167,'TL01'!$J$10:$J$224),0),
IF('TL01'!$B$229=K$3,SUMIF('TL01'!$C$238:$C$451,$C167,'TL01'!$J$238:$J$451),0),
IF('TL02'!$B$3=K$3,SUMIF('TL02'!$C$10:$C$224,$C167,'TL02'!$J$10:$J$224),0),
IF('TL02'!$B$229=K$3,SUMIF('TL02'!$C$238:$C$451,$C167,'TL02'!$J$238:$J$451),0),
IF('TL03'!$B$3=K$3,SUMIF('TL03'!$C$10:$C$224,$C167,'TL03'!$J$10:$J$224),0),
IF('TL03'!$B$229=K$3,SUMIF('TL03'!$C$238:$C$451,$C167,'TL03'!$J$238:$J$451),0),
IF('TL04'!$B$3=K$3,SUMIF('TL04'!$C$10:$C$224,$C167,'TL04'!$J$10:$J$224),0),
IF('TL04'!$B$229=K$3,SUMIF('TL04'!$C$238:$C$451,$C167,'TL04'!$J$238:$J$451),0),
IF('TL05'!$B$3=K$3,SUMIF('TL05'!$C$10:$C$224,$C167,'TL05'!$J$10:$J$224),0),
IF('TL05'!$B$229=K$3,SUMIF('TL05'!$C$238:$C$451,$C167,'TL05'!$J$238:$J$451),0),
IF('TL06'!$B$3=K$3,SUMIF('TL06'!$C$10:$C$224,$C167,'TL06'!$J$10:$J$224),0),
IF('TL06'!$B$229=K$3,SUMIF('TL06'!$C$238:$C$451,$C167,'TL06'!$J$238:$J$451),0),
IF('TL07'!$B$3=K$3,SUMIF('TL07'!$C$10:$C$224,$C167,'TL07'!$J$10:$J$224),0),
IF('TL07'!$B$229=K$3,SUMIF('TL07'!$C$238:$C$451,$C167,'TL07'!$J$238:$J$451),0),
IF('TL08'!$B$3=K$3,SUMIF('TL08'!$C$10:$C$224,$C167,'TL08'!$J$10:$J$224),0),
IF('TL08'!$B$229=K$3,SUMIF('TL08'!$C$238:$C$451,$C167,'TL08'!$J$238:$J$451),0),
IF('TL09'!$B$3=K$3,SUMIF('TL09'!$C$10:$C$224,$C167,'TL09'!$J$10:$J$224),0),
IF('TL09'!$B$229=K$3,SUMIF('TL09'!$C$238:$C$451,$C167,'TL09'!$J$238:$J$451),0),
IF('TL10'!$B$3=K$3,SUMIF('TL10'!$C$10:$C$224,$C167,'TL10'!$J$10:$J$224),0),
IF('TL10'!$B$229=K$3,SUMIF('TL10'!$C$238:$C$451,$C167,'TL10'!$J$238:$J$451),0),
IF('TL11'!$B$3=K$3,SUMIF('TL11'!$C$10:$C$224,$C167,'TL11'!$J$10:$J$224),0),
IF('TL11'!$B$229=K$3,SUMIF('TL11'!$C$238:$C$451,$C167,'TL11'!$J$238:$J$451),0),
IF('TL12'!$B$3=K$3,SUMIF('TL12'!$C$10:$C$224,$C167,'TL12'!$J$10:$J$224),0),
IF('TL12'!$B$229=K$3,SUMIF('TL12'!$C$238:$C$451,$C167,'TL12'!$J$238:$J$451),0),
IF('TL13'!$B$3=K$3,SUMIF('TL13'!$C$10:$C$224,$C167,'TL13'!$J$10:$J$224),0),
IF('TL13'!$B$229=K$3,SUMIF('TL13'!$C$238:$C$451,$C167,'TL13'!$J$238:$J$451),0),
IF('TL14'!$B$3=K$3,SUMIF('TL14'!$C$10:$C$224,$C167,'TL14'!$J$10:$J$224),0),
IF('TL14'!$B$229=K$3,SUMIF('TL14'!$C$238:$C$451,$C167,'TL14'!$J$238:$J$451),0),
IF('TL15'!$B$3=K$3,SUMIF('TL15'!$C$10:$C$224,$C167,'TL15'!$J$10:$J$224),0),
IF('TL15'!$B$229=K$3,SUMIF('TL15'!$C$238:$C$451,$C167,'TL15'!$J$238:$J$451),0),
IF('TL16'!$B$3=K$3,SUMIF('TL16'!$C$10:$C$224,$C167,'TL16'!$J$10:$J$224),0),
IF('TL16'!$B$229=K$3,SUMIF('TL16'!$C$238:$C$451,$C167,'TL16'!$J$238:$J$451),0),
IF('TL17'!$B$3=K$3,SUMIF('TL17'!$C$10:$C$224,$C167,'TL17'!$J$10:$J$224),0),
IF('TL17'!$B$229=K$3,SUMIF('TL17'!$C$238:$C$451,$C167,'TL17'!$J$238:$J$451),0),
IF('TL18'!$B$3=K$3,SUMIF('TL18'!$C$10:$C$224,$C167,'TL18'!$J$10:$J$224),0),
IF('TL18'!$B$229=K$3,SUMIF('TL18'!$C$238:$C$451,$C167,'TL18'!$J$238:$J$451),0),
IF('TL19'!$B$3=K$3,SUMIF('TL19'!$C$10:$C$224,$C167,'TL19'!$J$10:$J$224),0),
IF('TL19'!$B$229=K$3,SUMIF('TL19'!$C$238:$C$451,$C167,'TL19'!$J$238:$J$451),0)
),0)</f>
        <v/>
      </c>
      <c r="L167" s="9">
        <f>IFERROR(SUM(
IF('TL01'!$B$3=L$3,SUMIF('TL01'!$C$10:$C$224,$C167,'TL01'!$J$10:$J$224),0),
IF('TL01'!$B$229=L$3,SUMIF('TL01'!$C$238:$C$451,$C167,'TL01'!$J$238:$J$451),0),
IF('TL02'!$B$3=L$3,SUMIF('TL02'!$C$10:$C$224,$C167,'TL02'!$J$10:$J$224),0),
IF('TL02'!$B$229=L$3,SUMIF('TL02'!$C$238:$C$451,$C167,'TL02'!$J$238:$J$451),0),
IF('TL03'!$B$3=L$3,SUMIF('TL03'!$C$10:$C$224,$C167,'TL03'!$J$10:$J$224),0),
IF('TL03'!$B$229=L$3,SUMIF('TL03'!$C$238:$C$451,$C167,'TL03'!$J$238:$J$451),0),
IF('TL04'!$B$3=L$3,SUMIF('TL04'!$C$10:$C$224,$C167,'TL04'!$J$10:$J$224),0),
IF('TL04'!$B$229=L$3,SUMIF('TL04'!$C$238:$C$451,$C167,'TL04'!$J$238:$J$451),0),
IF('TL05'!$B$3=L$3,SUMIF('TL05'!$C$10:$C$224,$C167,'TL05'!$J$10:$J$224),0),
IF('TL05'!$B$229=L$3,SUMIF('TL05'!$C$238:$C$451,$C167,'TL05'!$J$238:$J$451),0),
IF('TL06'!$B$3=L$3,SUMIF('TL06'!$C$10:$C$224,$C167,'TL06'!$J$10:$J$224),0),
IF('TL06'!$B$229=L$3,SUMIF('TL06'!$C$238:$C$451,$C167,'TL06'!$J$238:$J$451),0),
IF('TL07'!$B$3=L$3,SUMIF('TL07'!$C$10:$C$224,$C167,'TL07'!$J$10:$J$224),0),
IF('TL07'!$B$229=L$3,SUMIF('TL07'!$C$238:$C$451,$C167,'TL07'!$J$238:$J$451),0),
IF('TL08'!$B$3=L$3,SUMIF('TL08'!$C$10:$C$224,$C167,'TL08'!$J$10:$J$224),0),
IF('TL08'!$B$229=L$3,SUMIF('TL08'!$C$238:$C$451,$C167,'TL08'!$J$238:$J$451),0),
IF('TL09'!$B$3=L$3,SUMIF('TL09'!$C$10:$C$224,$C167,'TL09'!$J$10:$J$224),0),
IF('TL09'!$B$229=L$3,SUMIF('TL09'!$C$238:$C$451,$C167,'TL09'!$J$238:$J$451),0),
IF('TL10'!$B$3=L$3,SUMIF('TL10'!$C$10:$C$224,$C167,'TL10'!$J$10:$J$224),0),
IF('TL10'!$B$229=L$3,SUMIF('TL10'!$C$238:$C$451,$C167,'TL10'!$J$238:$J$451),0),
IF('TL11'!$B$3=L$3,SUMIF('TL11'!$C$10:$C$224,$C167,'TL11'!$J$10:$J$224),0),
IF('TL11'!$B$229=L$3,SUMIF('TL11'!$C$238:$C$451,$C167,'TL11'!$J$238:$J$451),0),
IF('TL12'!$B$3=L$3,SUMIF('TL12'!$C$10:$C$224,$C167,'TL12'!$J$10:$J$224),0),
IF('TL12'!$B$229=L$3,SUMIF('TL12'!$C$238:$C$451,$C167,'TL12'!$J$238:$J$451),0),
IF('TL13'!$B$3=L$3,SUMIF('TL13'!$C$10:$C$224,$C167,'TL13'!$J$10:$J$224),0),
IF('TL13'!$B$229=L$3,SUMIF('TL13'!$C$238:$C$451,$C167,'TL13'!$J$238:$J$451),0),
IF('TL14'!$B$3=L$3,SUMIF('TL14'!$C$10:$C$224,$C167,'TL14'!$J$10:$J$224),0),
IF('TL14'!$B$229=L$3,SUMIF('TL14'!$C$238:$C$451,$C167,'TL14'!$J$238:$J$451),0),
IF('TL15'!$B$3=L$3,SUMIF('TL15'!$C$10:$C$224,$C167,'TL15'!$J$10:$J$224),0),
IF('TL15'!$B$229=L$3,SUMIF('TL15'!$C$238:$C$451,$C167,'TL15'!$J$238:$J$451),0),
IF('TL16'!$B$3=L$3,SUMIF('TL16'!$C$10:$C$224,$C167,'TL16'!$J$10:$J$224),0),
IF('TL16'!$B$229=L$3,SUMIF('TL16'!$C$238:$C$451,$C167,'TL16'!$J$238:$J$451),0),
IF('TL17'!$B$3=L$3,SUMIF('TL17'!$C$10:$C$224,$C167,'TL17'!$J$10:$J$224),0),
IF('TL17'!$B$229=L$3,SUMIF('TL17'!$C$238:$C$451,$C167,'TL17'!$J$238:$J$451),0),
IF('TL18'!$B$3=L$3,SUMIF('TL18'!$C$10:$C$224,$C167,'TL18'!$J$10:$J$224),0),
IF('TL18'!$B$229=L$3,SUMIF('TL18'!$C$238:$C$451,$C167,'TL18'!$J$238:$J$451),0),
IF('TL19'!$B$3=L$3,SUMIF('TL19'!$C$10:$C$224,$C167,'TL19'!$J$10:$J$224),0),
IF('TL19'!$B$229=L$3,SUMIF('TL19'!$C$238:$C$451,$C167,'TL19'!$J$238:$J$451),0)
),0)</f>
        <v/>
      </c>
      <c r="M167" s="9">
        <f>IFERROR(SUM(
IF('TL01'!$B$3=M$3,SUMIF('TL01'!$C$10:$C$224,$C167,'TL01'!$J$10:$J$224),0),
IF('TL01'!$B$229=M$3,SUMIF('TL01'!$C$238:$C$451,$C167,'TL01'!$J$238:$J$451),0),
IF('TL02'!$B$3=M$3,SUMIF('TL02'!$C$10:$C$224,$C167,'TL02'!$J$10:$J$224),0),
IF('TL02'!$B$229=M$3,SUMIF('TL02'!$C$238:$C$451,$C167,'TL02'!$J$238:$J$451),0),
IF('TL03'!$B$3=M$3,SUMIF('TL03'!$C$10:$C$224,$C167,'TL03'!$J$10:$J$224),0),
IF('TL03'!$B$229=M$3,SUMIF('TL03'!$C$238:$C$451,$C167,'TL03'!$J$238:$J$451),0),
IF('TL04'!$B$3=M$3,SUMIF('TL04'!$C$10:$C$224,$C167,'TL04'!$J$10:$J$224),0),
IF('TL04'!$B$229=M$3,SUMIF('TL04'!$C$238:$C$451,$C167,'TL04'!$J$238:$J$451),0),
IF('TL05'!$B$3=M$3,SUMIF('TL05'!$C$10:$C$224,$C167,'TL05'!$J$10:$J$224),0),
IF('TL05'!$B$229=M$3,SUMIF('TL05'!$C$238:$C$451,$C167,'TL05'!$J$238:$J$451),0),
IF('TL06'!$B$3=M$3,SUMIF('TL06'!$C$10:$C$224,$C167,'TL06'!$J$10:$J$224),0),
IF('TL06'!$B$229=M$3,SUMIF('TL06'!$C$238:$C$451,$C167,'TL06'!$J$238:$J$451),0),
IF('TL07'!$B$3=M$3,SUMIF('TL07'!$C$10:$C$224,$C167,'TL07'!$J$10:$J$224),0),
IF('TL07'!$B$229=M$3,SUMIF('TL07'!$C$238:$C$451,$C167,'TL07'!$J$238:$J$451),0),
IF('TL08'!$B$3=M$3,SUMIF('TL08'!$C$10:$C$224,$C167,'TL08'!$J$10:$J$224),0),
IF('TL08'!$B$229=M$3,SUMIF('TL08'!$C$238:$C$451,$C167,'TL08'!$J$238:$J$451),0),
IF('TL09'!$B$3=M$3,SUMIF('TL09'!$C$10:$C$224,$C167,'TL09'!$J$10:$J$224),0),
IF('TL09'!$B$229=M$3,SUMIF('TL09'!$C$238:$C$451,$C167,'TL09'!$J$238:$J$451),0),
IF('TL10'!$B$3=M$3,SUMIF('TL10'!$C$10:$C$224,$C167,'TL10'!$J$10:$J$224),0),
IF('TL10'!$B$229=M$3,SUMIF('TL10'!$C$238:$C$451,$C167,'TL10'!$J$238:$J$451),0),
IF('TL11'!$B$3=M$3,SUMIF('TL11'!$C$10:$C$224,$C167,'TL11'!$J$10:$J$224),0),
IF('TL11'!$B$229=M$3,SUMIF('TL11'!$C$238:$C$451,$C167,'TL11'!$J$238:$J$451),0),
IF('TL12'!$B$3=M$3,SUMIF('TL12'!$C$10:$C$224,$C167,'TL12'!$J$10:$J$224),0),
IF('TL12'!$B$229=M$3,SUMIF('TL12'!$C$238:$C$451,$C167,'TL12'!$J$238:$J$451),0),
IF('TL13'!$B$3=M$3,SUMIF('TL13'!$C$10:$C$224,$C167,'TL13'!$J$10:$J$224),0),
IF('TL13'!$B$229=M$3,SUMIF('TL13'!$C$238:$C$451,$C167,'TL13'!$J$238:$J$451),0),
IF('TL14'!$B$3=M$3,SUMIF('TL14'!$C$10:$C$224,$C167,'TL14'!$J$10:$J$224),0),
IF('TL14'!$B$229=M$3,SUMIF('TL14'!$C$238:$C$451,$C167,'TL14'!$J$238:$J$451),0),
IF('TL15'!$B$3=M$3,SUMIF('TL15'!$C$10:$C$224,$C167,'TL15'!$J$10:$J$224),0),
IF('TL15'!$B$229=M$3,SUMIF('TL15'!$C$238:$C$451,$C167,'TL15'!$J$238:$J$451),0),
IF('TL16'!$B$3=M$3,SUMIF('TL16'!$C$10:$C$224,$C167,'TL16'!$J$10:$J$224),0),
IF('TL16'!$B$229=M$3,SUMIF('TL16'!$C$238:$C$451,$C167,'TL16'!$J$238:$J$451),0),
IF('TL17'!$B$3=M$3,SUMIF('TL17'!$C$10:$C$224,$C167,'TL17'!$J$10:$J$224),0),
IF('TL17'!$B$229=M$3,SUMIF('TL17'!$C$238:$C$451,$C167,'TL17'!$J$238:$J$451),0),
IF('TL18'!$B$3=M$3,SUMIF('TL18'!$C$10:$C$224,$C167,'TL18'!$J$10:$J$224),0),
IF('TL18'!$B$229=M$3,SUMIF('TL18'!$C$238:$C$451,$C167,'TL18'!$J$238:$J$451),0),
IF('TL19'!$B$3=M$3,SUMIF('TL19'!$C$10:$C$224,$C167,'TL19'!$J$10:$J$224),0),
IF('TL19'!$B$229=M$3,SUMIF('TL19'!$C$238:$C$451,$C167,'TL19'!$J$238:$J$451),0)
),0)</f>
        <v/>
      </c>
      <c r="N167" s="9">
        <f>IFERROR(SUM(
IF('TL01'!$B$3=N$3,SUMIF('TL01'!$C$10:$C$224,$C167,'TL01'!$J$10:$J$224),0),
IF('TL01'!$B$229=N$3,SUMIF('TL01'!$C$238:$C$451,$C167,'TL01'!$J$238:$J$451),0),
IF('TL02'!$B$3=N$3,SUMIF('TL02'!$C$10:$C$224,$C167,'TL02'!$J$10:$J$224),0),
IF('TL02'!$B$229=N$3,SUMIF('TL02'!$C$238:$C$451,$C167,'TL02'!$J$238:$J$451),0),
IF('TL03'!$B$3=N$3,SUMIF('TL03'!$C$10:$C$224,$C167,'TL03'!$J$10:$J$224),0),
IF('TL03'!$B$229=N$3,SUMIF('TL03'!$C$238:$C$451,$C167,'TL03'!$J$238:$J$451),0),
IF('TL04'!$B$3=N$3,SUMIF('TL04'!$C$10:$C$224,$C167,'TL04'!$J$10:$J$224),0),
IF('TL04'!$B$229=N$3,SUMIF('TL04'!$C$238:$C$451,$C167,'TL04'!$J$238:$J$451),0),
IF('TL05'!$B$3=N$3,SUMIF('TL05'!$C$10:$C$224,$C167,'TL05'!$J$10:$J$224),0),
IF('TL05'!$B$229=N$3,SUMIF('TL05'!$C$238:$C$451,$C167,'TL05'!$J$238:$J$451),0),
IF('TL06'!$B$3=N$3,SUMIF('TL06'!$C$10:$C$224,$C167,'TL06'!$J$10:$J$224),0),
IF('TL06'!$B$229=N$3,SUMIF('TL06'!$C$238:$C$451,$C167,'TL06'!$J$238:$J$451),0),
IF('TL07'!$B$3=N$3,SUMIF('TL07'!$C$10:$C$224,$C167,'TL07'!$J$10:$J$224),0),
IF('TL07'!$B$229=N$3,SUMIF('TL07'!$C$238:$C$451,$C167,'TL07'!$J$238:$J$451),0),
IF('TL08'!$B$3=N$3,SUMIF('TL08'!$C$10:$C$224,$C167,'TL08'!$J$10:$J$224),0),
IF('TL08'!$B$229=N$3,SUMIF('TL08'!$C$238:$C$451,$C167,'TL08'!$J$238:$J$451),0),
IF('TL09'!$B$3=N$3,SUMIF('TL09'!$C$10:$C$224,$C167,'TL09'!$J$10:$J$224),0),
IF('TL09'!$B$229=N$3,SUMIF('TL09'!$C$238:$C$451,$C167,'TL09'!$J$238:$J$451),0),
IF('TL10'!$B$3=N$3,SUMIF('TL10'!$C$10:$C$224,$C167,'TL10'!$J$10:$J$224),0),
IF('TL10'!$B$229=N$3,SUMIF('TL10'!$C$238:$C$451,$C167,'TL10'!$J$238:$J$451),0),
IF('TL11'!$B$3=N$3,SUMIF('TL11'!$C$10:$C$224,$C167,'TL11'!$J$10:$J$224),0),
IF('TL11'!$B$229=N$3,SUMIF('TL11'!$C$238:$C$451,$C167,'TL11'!$J$238:$J$451),0),
IF('TL12'!$B$3=N$3,SUMIF('TL12'!$C$10:$C$224,$C167,'TL12'!$J$10:$J$224),0),
IF('TL12'!$B$229=N$3,SUMIF('TL12'!$C$238:$C$451,$C167,'TL12'!$J$238:$J$451),0),
IF('TL13'!$B$3=N$3,SUMIF('TL13'!$C$10:$C$224,$C167,'TL13'!$J$10:$J$224),0),
IF('TL13'!$B$229=N$3,SUMIF('TL13'!$C$238:$C$451,$C167,'TL13'!$J$238:$J$451),0),
IF('TL14'!$B$3=N$3,SUMIF('TL14'!$C$10:$C$224,$C167,'TL14'!$J$10:$J$224),0),
IF('TL14'!$B$229=N$3,SUMIF('TL14'!$C$238:$C$451,$C167,'TL14'!$J$238:$J$451),0),
IF('TL15'!$B$3=N$3,SUMIF('TL15'!$C$10:$C$224,$C167,'TL15'!$J$10:$J$224),0),
IF('TL15'!$B$229=N$3,SUMIF('TL15'!$C$238:$C$451,$C167,'TL15'!$J$238:$J$451),0),
IF('TL16'!$B$3=N$3,SUMIF('TL16'!$C$10:$C$224,$C167,'TL16'!$J$10:$J$224),0),
IF('TL16'!$B$229=N$3,SUMIF('TL16'!$C$238:$C$451,$C167,'TL16'!$J$238:$J$451),0),
IF('TL17'!$B$3=N$3,SUMIF('TL17'!$C$10:$C$224,$C167,'TL17'!$J$10:$J$224),0),
IF('TL17'!$B$229=N$3,SUMIF('TL17'!$C$238:$C$451,$C167,'TL17'!$J$238:$J$451),0),
IF('TL18'!$B$3=N$3,SUMIF('TL18'!$C$10:$C$224,$C167,'TL18'!$J$10:$J$224),0),
IF('TL18'!$B$229=N$3,SUMIF('TL18'!$C$238:$C$451,$C167,'TL18'!$J$238:$J$451),0),
IF('TL19'!$B$3=N$3,SUMIF('TL19'!$C$10:$C$224,$C167,'TL19'!$J$10:$J$224),0),
IF('TL19'!$B$229=N$3,SUMIF('TL19'!$C$238:$C$451,$C167,'TL19'!$J$238:$J$451),0)
),0)</f>
        <v/>
      </c>
      <c r="O167" s="9">
        <f>IFERROR(SUM(
IF('TL01'!$B$3=O$3,SUMIF('TL01'!$C$10:$C$224,$C167,'TL01'!$J$10:$J$224),0),
IF('TL01'!$B$229=O$3,SUMIF('TL01'!$C$238:$C$451,$C167,'TL01'!$J$238:$J$451),0),
IF('TL02'!$B$3=O$3,SUMIF('TL02'!$C$10:$C$224,$C167,'TL02'!$J$10:$J$224),0),
IF('TL02'!$B$229=O$3,SUMIF('TL02'!$C$238:$C$451,$C167,'TL02'!$J$238:$J$451),0),
IF('TL03'!$B$3=O$3,SUMIF('TL03'!$C$10:$C$224,$C167,'TL03'!$J$10:$J$224),0),
IF('TL03'!$B$229=O$3,SUMIF('TL03'!$C$238:$C$451,$C167,'TL03'!$J$238:$J$451),0),
IF('TL04'!$B$3=O$3,SUMIF('TL04'!$C$10:$C$224,$C167,'TL04'!$J$10:$J$224),0),
IF('TL04'!$B$229=O$3,SUMIF('TL04'!$C$238:$C$451,$C167,'TL04'!$J$238:$J$451),0),
IF('TL05'!$B$3=O$3,SUMIF('TL05'!$C$10:$C$224,$C167,'TL05'!$J$10:$J$224),0),
IF('TL05'!$B$229=O$3,SUMIF('TL05'!$C$238:$C$451,$C167,'TL05'!$J$238:$J$451),0),
IF('TL06'!$B$3=O$3,SUMIF('TL06'!$C$10:$C$224,$C167,'TL06'!$J$10:$J$224),0),
IF('TL06'!$B$229=O$3,SUMIF('TL06'!$C$238:$C$451,$C167,'TL06'!$J$238:$J$451),0),
IF('TL07'!$B$3=O$3,SUMIF('TL07'!$C$10:$C$224,$C167,'TL07'!$J$10:$J$224),0),
IF('TL07'!$B$229=O$3,SUMIF('TL07'!$C$238:$C$451,$C167,'TL07'!$J$238:$J$451),0),
IF('TL08'!$B$3=O$3,SUMIF('TL08'!$C$10:$C$224,$C167,'TL08'!$J$10:$J$224),0),
IF('TL08'!$B$229=O$3,SUMIF('TL08'!$C$238:$C$451,$C167,'TL08'!$J$238:$J$451),0),
IF('TL09'!$B$3=O$3,SUMIF('TL09'!$C$10:$C$224,$C167,'TL09'!$J$10:$J$224),0),
IF('TL09'!$B$229=O$3,SUMIF('TL09'!$C$238:$C$451,$C167,'TL09'!$J$238:$J$451),0),
IF('TL10'!$B$3=O$3,SUMIF('TL10'!$C$10:$C$224,$C167,'TL10'!$J$10:$J$224),0),
IF('TL10'!$B$229=O$3,SUMIF('TL10'!$C$238:$C$451,$C167,'TL10'!$J$238:$J$451),0),
IF('TL11'!$B$3=O$3,SUMIF('TL11'!$C$10:$C$224,$C167,'TL11'!$J$10:$J$224),0),
IF('TL11'!$B$229=O$3,SUMIF('TL11'!$C$238:$C$451,$C167,'TL11'!$J$238:$J$451),0),
IF('TL12'!$B$3=O$3,SUMIF('TL12'!$C$10:$C$224,$C167,'TL12'!$J$10:$J$224),0),
IF('TL12'!$B$229=O$3,SUMIF('TL12'!$C$238:$C$451,$C167,'TL12'!$J$238:$J$451),0),
IF('TL13'!$B$3=O$3,SUMIF('TL13'!$C$10:$C$224,$C167,'TL13'!$J$10:$J$224),0),
IF('TL13'!$B$229=O$3,SUMIF('TL13'!$C$238:$C$451,$C167,'TL13'!$J$238:$J$451),0),
IF('TL14'!$B$3=O$3,SUMIF('TL14'!$C$10:$C$224,$C167,'TL14'!$J$10:$J$224),0),
IF('TL14'!$B$229=O$3,SUMIF('TL14'!$C$238:$C$451,$C167,'TL14'!$J$238:$J$451),0),
IF('TL15'!$B$3=O$3,SUMIF('TL15'!$C$10:$C$224,$C167,'TL15'!$J$10:$J$224),0),
IF('TL15'!$B$229=O$3,SUMIF('TL15'!$C$238:$C$451,$C167,'TL15'!$J$238:$J$451),0),
IF('TL16'!$B$3=O$3,SUMIF('TL16'!$C$10:$C$224,$C167,'TL16'!$J$10:$J$224),0),
IF('TL16'!$B$229=O$3,SUMIF('TL16'!$C$238:$C$451,$C167,'TL16'!$J$238:$J$451),0),
IF('TL17'!$B$3=O$3,SUMIF('TL17'!$C$10:$C$224,$C167,'TL17'!$J$10:$J$224),0),
IF('TL17'!$B$229=O$3,SUMIF('TL17'!$C$238:$C$451,$C167,'TL17'!$J$238:$J$451),0),
IF('TL18'!$B$3=O$3,SUMIF('TL18'!$C$10:$C$224,$C167,'TL18'!$J$10:$J$224),0),
IF('TL18'!$B$229=O$3,SUMIF('TL18'!$C$238:$C$451,$C167,'TL18'!$J$238:$J$451),0),
IF('TL19'!$B$3=O$3,SUMIF('TL19'!$C$10:$C$224,$C167,'TL19'!$J$10:$J$224),0),
IF('TL19'!$B$229=O$3,SUMIF('TL19'!$C$238:$C$451,$C167,'TL19'!$J$238:$J$451),0)
),0)</f>
        <v/>
      </c>
      <c r="P167" s="9">
        <f>IFERROR(SUM(
IF('TL01'!$B$3=P$3,SUMIF('TL01'!$C$10:$C$224,$C167,'TL01'!$J$10:$J$224),0),
IF('TL01'!$B$229=P$3,SUMIF('TL01'!$C$238:$C$451,$C167,'TL01'!$J$238:$J$451),0),
IF('TL02'!$B$3=P$3,SUMIF('TL02'!$C$10:$C$224,$C167,'TL02'!$J$10:$J$224),0),
IF('TL02'!$B$229=P$3,SUMIF('TL02'!$C$238:$C$451,$C167,'TL02'!$J$238:$J$451),0),
IF('TL03'!$B$3=P$3,SUMIF('TL03'!$C$10:$C$224,$C167,'TL03'!$J$10:$J$224),0),
IF('TL03'!$B$229=P$3,SUMIF('TL03'!$C$238:$C$451,$C167,'TL03'!$J$238:$J$451),0),
IF('TL04'!$B$3=P$3,SUMIF('TL04'!$C$10:$C$224,$C167,'TL04'!$J$10:$J$224),0),
IF('TL04'!$B$229=P$3,SUMIF('TL04'!$C$238:$C$451,$C167,'TL04'!$J$238:$J$451),0),
IF('TL05'!$B$3=P$3,SUMIF('TL05'!$C$10:$C$224,$C167,'TL05'!$J$10:$J$224),0),
IF('TL05'!$B$229=P$3,SUMIF('TL05'!$C$238:$C$451,$C167,'TL05'!$J$238:$J$451),0),
IF('TL06'!$B$3=P$3,SUMIF('TL06'!$C$10:$C$224,$C167,'TL06'!$J$10:$J$224),0),
IF('TL06'!$B$229=P$3,SUMIF('TL06'!$C$238:$C$451,$C167,'TL06'!$J$238:$J$451),0),
IF('TL07'!$B$3=P$3,SUMIF('TL07'!$C$10:$C$224,$C167,'TL07'!$J$10:$J$224),0),
IF('TL07'!$B$229=P$3,SUMIF('TL07'!$C$238:$C$451,$C167,'TL07'!$J$238:$J$451),0),
IF('TL08'!$B$3=P$3,SUMIF('TL08'!$C$10:$C$224,$C167,'TL08'!$J$10:$J$224),0),
IF('TL08'!$B$229=P$3,SUMIF('TL08'!$C$238:$C$451,$C167,'TL08'!$J$238:$J$451),0),
IF('TL09'!$B$3=P$3,SUMIF('TL09'!$C$10:$C$224,$C167,'TL09'!$J$10:$J$224),0),
IF('TL09'!$B$229=P$3,SUMIF('TL09'!$C$238:$C$451,$C167,'TL09'!$J$238:$J$451),0),
IF('TL10'!$B$3=P$3,SUMIF('TL10'!$C$10:$C$224,$C167,'TL10'!$J$10:$J$224),0),
IF('TL10'!$B$229=P$3,SUMIF('TL10'!$C$238:$C$451,$C167,'TL10'!$J$238:$J$451),0),
IF('TL11'!$B$3=P$3,SUMIF('TL11'!$C$10:$C$224,$C167,'TL11'!$J$10:$J$224),0),
IF('TL11'!$B$229=P$3,SUMIF('TL11'!$C$238:$C$451,$C167,'TL11'!$J$238:$J$451),0),
IF('TL12'!$B$3=P$3,SUMIF('TL12'!$C$10:$C$224,$C167,'TL12'!$J$10:$J$224),0),
IF('TL12'!$B$229=P$3,SUMIF('TL12'!$C$238:$C$451,$C167,'TL12'!$J$238:$J$451),0),
IF('TL13'!$B$3=P$3,SUMIF('TL13'!$C$10:$C$224,$C167,'TL13'!$J$10:$J$224),0),
IF('TL13'!$B$229=P$3,SUMIF('TL13'!$C$238:$C$451,$C167,'TL13'!$J$238:$J$451),0),
IF('TL14'!$B$3=P$3,SUMIF('TL14'!$C$10:$C$224,$C167,'TL14'!$J$10:$J$224),0),
IF('TL14'!$B$229=P$3,SUMIF('TL14'!$C$238:$C$451,$C167,'TL14'!$J$238:$J$451),0),
IF('TL15'!$B$3=P$3,SUMIF('TL15'!$C$10:$C$224,$C167,'TL15'!$J$10:$J$224),0),
IF('TL15'!$B$229=P$3,SUMIF('TL15'!$C$238:$C$451,$C167,'TL15'!$J$238:$J$451),0),
IF('TL16'!$B$3=P$3,SUMIF('TL16'!$C$10:$C$224,$C167,'TL16'!$J$10:$J$224),0),
IF('TL16'!$B$229=P$3,SUMIF('TL16'!$C$238:$C$451,$C167,'TL16'!$J$238:$J$451),0),
IF('TL17'!$B$3=P$3,SUMIF('TL17'!$C$10:$C$224,$C167,'TL17'!$J$10:$J$224),0),
IF('TL17'!$B$229=P$3,SUMIF('TL17'!$C$238:$C$451,$C167,'TL17'!$J$238:$J$451),0),
IF('TL18'!$B$3=P$3,SUMIF('TL18'!$C$10:$C$224,$C167,'TL18'!$J$10:$J$224),0),
IF('TL18'!$B$229=P$3,SUMIF('TL18'!$C$238:$C$451,$C167,'TL18'!$J$238:$J$451),0),
IF('TL19'!$B$3=P$3,SUMIF('TL19'!$C$10:$C$224,$C167,'TL19'!$J$10:$J$224),0),
IF('TL19'!$B$229=P$3,SUMIF('TL19'!$C$238:$C$451,$C167,'TL19'!$J$238:$J$451),0)
),0)</f>
        <v/>
      </c>
      <c r="Q167" s="9">
        <f>IFERROR(SUM(
IF('TL01'!$B$3=Q$3,SUMIF('TL01'!$C$10:$C$224,$C167,'TL01'!$J$10:$J$224),0),
IF('TL01'!$B$229=Q$3,SUMIF('TL01'!$C$238:$C$451,$C167,'TL01'!$J$238:$J$451),0),
IF('TL02'!$B$3=Q$3,SUMIF('TL02'!$C$10:$C$224,$C167,'TL02'!$J$10:$J$224),0),
IF('TL02'!$B$229=Q$3,SUMIF('TL02'!$C$238:$C$451,$C167,'TL02'!$J$238:$J$451),0),
IF('TL03'!$B$3=Q$3,SUMIF('TL03'!$C$10:$C$224,$C167,'TL03'!$J$10:$J$224),0),
IF('TL03'!$B$229=Q$3,SUMIF('TL03'!$C$238:$C$451,$C167,'TL03'!$J$238:$J$451),0),
IF('TL04'!$B$3=Q$3,SUMIF('TL04'!$C$10:$C$224,$C167,'TL04'!$J$10:$J$224),0),
IF('TL04'!$B$229=Q$3,SUMIF('TL04'!$C$238:$C$451,$C167,'TL04'!$J$238:$J$451),0),
IF('TL05'!$B$3=Q$3,SUMIF('TL05'!$C$10:$C$224,$C167,'TL05'!$J$10:$J$224),0),
IF('TL05'!$B$229=Q$3,SUMIF('TL05'!$C$238:$C$451,$C167,'TL05'!$J$238:$J$451),0),
IF('TL06'!$B$3=Q$3,SUMIF('TL06'!$C$10:$C$224,$C167,'TL06'!$J$10:$J$224),0),
IF('TL06'!$B$229=Q$3,SUMIF('TL06'!$C$238:$C$451,$C167,'TL06'!$J$238:$J$451),0),
IF('TL07'!$B$3=Q$3,SUMIF('TL07'!$C$10:$C$224,$C167,'TL07'!$J$10:$J$224),0),
IF('TL07'!$B$229=Q$3,SUMIF('TL07'!$C$238:$C$451,$C167,'TL07'!$J$238:$J$451),0),
IF('TL08'!$B$3=Q$3,SUMIF('TL08'!$C$10:$C$224,$C167,'TL08'!$J$10:$J$224),0),
IF('TL08'!$B$229=Q$3,SUMIF('TL08'!$C$238:$C$451,$C167,'TL08'!$J$238:$J$451),0),
IF('TL09'!$B$3=Q$3,SUMIF('TL09'!$C$10:$C$224,$C167,'TL09'!$J$10:$J$224),0),
IF('TL09'!$B$229=Q$3,SUMIF('TL09'!$C$238:$C$451,$C167,'TL09'!$J$238:$J$451),0),
IF('TL10'!$B$3=Q$3,SUMIF('TL10'!$C$10:$C$224,$C167,'TL10'!$J$10:$J$224),0),
IF('TL10'!$B$229=Q$3,SUMIF('TL10'!$C$238:$C$451,$C167,'TL10'!$J$238:$J$451),0),
IF('TL11'!$B$3=Q$3,SUMIF('TL11'!$C$10:$C$224,$C167,'TL11'!$J$10:$J$224),0),
IF('TL11'!$B$229=Q$3,SUMIF('TL11'!$C$238:$C$451,$C167,'TL11'!$J$238:$J$451),0),
IF('TL12'!$B$3=Q$3,SUMIF('TL12'!$C$10:$C$224,$C167,'TL12'!$J$10:$J$224),0),
IF('TL12'!$B$229=Q$3,SUMIF('TL12'!$C$238:$C$451,$C167,'TL12'!$J$238:$J$451),0),
IF('TL13'!$B$3=Q$3,SUMIF('TL13'!$C$10:$C$224,$C167,'TL13'!$J$10:$J$224),0),
IF('TL13'!$B$229=Q$3,SUMIF('TL13'!$C$238:$C$451,$C167,'TL13'!$J$238:$J$451),0),
IF('TL14'!$B$3=Q$3,SUMIF('TL14'!$C$10:$C$224,$C167,'TL14'!$J$10:$J$224),0),
IF('TL14'!$B$229=Q$3,SUMIF('TL14'!$C$238:$C$451,$C167,'TL14'!$J$238:$J$451),0),
IF('TL15'!$B$3=Q$3,SUMIF('TL15'!$C$10:$C$224,$C167,'TL15'!$J$10:$J$224),0),
IF('TL15'!$B$229=Q$3,SUMIF('TL15'!$C$238:$C$451,$C167,'TL15'!$J$238:$J$451),0),
IF('TL16'!$B$3=Q$3,SUMIF('TL16'!$C$10:$C$224,$C167,'TL16'!$J$10:$J$224),0),
IF('TL16'!$B$229=Q$3,SUMIF('TL16'!$C$238:$C$451,$C167,'TL16'!$J$238:$J$451),0),
IF('TL17'!$B$3=Q$3,SUMIF('TL17'!$C$10:$C$224,$C167,'TL17'!$J$10:$J$224),0),
IF('TL17'!$B$229=Q$3,SUMIF('TL17'!$C$238:$C$451,$C167,'TL17'!$J$238:$J$451),0),
IF('TL18'!$B$3=Q$3,SUMIF('TL18'!$C$10:$C$224,$C167,'TL18'!$J$10:$J$224),0),
IF('TL18'!$B$229=Q$3,SUMIF('TL18'!$C$238:$C$451,$C167,'TL18'!$J$238:$J$451),0),
IF('TL19'!$B$3=Q$3,SUMIF('TL19'!$C$10:$C$224,$C167,'TL19'!$J$10:$J$224),0),
IF('TL19'!$B$229=Q$3,SUMIF('TL19'!$C$238:$C$451,$C167,'TL19'!$J$238:$J$451),0)
),0)</f>
        <v/>
      </c>
      <c r="R167" s="9">
        <f>IFERROR(
SUM(
SUMIF('TL01'!C:C,C167,'TL01'!J:J),
SUMIF('TL02'!C:C,C167,'TL02'!J:J),
SUMIF('TL03'!C:C,C167,'TL03'!J:J),
SUMIF('TL04'!C:C,C167,'TL04'!J:J),
SUMIF('TL05'!C:C,C167,'TL05'!J:J),
SUMIF('TL06'!C:C,C167,'TL06'!J:J),
SUMIF('TL07'!C:C,C167,'TL07'!J:J),
SUMIF('TL08'!C:C,C167,'TL08'!J:J),
SUMIF('TL09'!C:C,C167,'TL09'!J:J),
SUMIF('TL10'!C:C,C167,'TL10'!J:J),
SUMIF('TL11'!C:C,C167,'TL11'!J:J),
SUMIF('TL12'!C:C,C167,'TL12'!J:J),
SUMIF('TL13'!C:C,C167,'TL13'!J:J),
SUMIF('TL14'!C:C,C167,'TL14'!J:J),
SUMIF('TL15'!C:C,C167,'TL15'!J:J),
SUMIF('TL16'!C:C,C167,'TL16'!J:J),
SUMIF('TL17'!C:C,C167,'TL17'!J:J),
SUMIF('TL18'!C:C,C167,'TL18'!J:J),SUMIF('TL19'!C:C,C167,'TL19'!J:J))
,0)</f>
        <v/>
      </c>
      <c r="S167" s="17">
        <f>IFERROR(__xludf.DUMMYFUNCTION("IFERROR(VLOOKUP(C167,
IMPORTRANGE(""1wULbzX32WdYsx-lj2U3uUNBBe2INVIRDtcK0d-Dvl90"",
""26-27!C:G""),
5,
FALSE),
"""")"),31.437819999999995)</f>
        <v/>
      </c>
      <c r="T167" s="9" t="n"/>
      <c r="U167" s="92">
        <f>MAX(0,R167-T167)</f>
        <v/>
      </c>
      <c r="V167" s="93">
        <f>U167*S167</f>
        <v/>
      </c>
    </row>
    <row r="168" hidden="1" ht="15.75" customHeight="1" s="297">
      <c r="A168" s="115" t="inlineStr">
        <is>
          <t>SYNGENTA</t>
        </is>
      </c>
      <c r="B168" s="100" t="inlineStr">
        <is>
          <t>HERBICIDA</t>
        </is>
      </c>
      <c r="C168" s="116" t="inlineStr">
        <is>
          <t>REGLONE</t>
        </is>
      </c>
      <c r="D168" s="116" t="inlineStr">
        <is>
          <t>DIQUATE</t>
        </is>
      </c>
      <c r="E168" s="116" t="n">
        <v>200</v>
      </c>
      <c r="F168" s="4" t="inlineStr">
        <is>
          <t>L</t>
        </is>
      </c>
      <c r="G168" s="90">
        <f>HYPERLINK("https://www.google.com/search?q=" &amp; C168 &amp; "+bula+agrofit+pdf", "📄 Ver bula")</f>
        <v/>
      </c>
      <c r="H168" s="9">
        <f>IFERROR(__xludf.DUMMYFUNCTION("IFERROR(VLOOKUP(C168,
IMPORTRANGE(""1wULbzX32WdYsx-lj2U3uUNBBe2INVIRDtcK0d-Dvl90"",
""26-27!C:K""),
8,
FALSE),
"""")"),2.0)</f>
        <v/>
      </c>
      <c r="I168" s="117" t="inlineStr">
        <is>
          <t>1x20</t>
        </is>
      </c>
      <c r="J168" s="9">
        <f>IFERROR(SUM(
IF('TL01'!$B$3=J$3,SUMIF('TL01'!$C$10:$C$224,$C168,'TL01'!$J$10:$J$224),0),
IF('TL01'!$B$229=J$3,SUMIF('TL01'!$C$238:$C$451,$C168,'TL01'!$J$238:$J$451),0),
IF('TL02'!$B$3=J$3,SUMIF('TL02'!$C$10:$C$224,$C168,'TL02'!$J$10:$J$224),0),
IF('TL02'!$B$229=J$3,SUMIF('TL02'!$C$238:$C$451,$C168,'TL02'!$J$238:$J$451),0),
IF('TL03'!$B$3=J$3,SUMIF('TL03'!$C$10:$C$224,$C168,'TL03'!$J$10:$J$224),0),
IF('TL03'!$B$229=J$3,SUMIF('TL03'!$C$238:$C$451,$C168,'TL03'!$J$238:$J$451),0),
IF('TL04'!$B$3=J$3,SUMIF('TL04'!$C$10:$C$224,$C168,'TL04'!$J$10:$J$224),0),
IF('TL04'!$B$229=J$3,SUMIF('TL04'!$C$238:$C$451,$C168,'TL04'!$J$238:$J$451),0),
IF('TL05'!$B$3=J$3,SUMIF('TL05'!$C$10:$C$224,$C168,'TL05'!$J$10:$J$224),0),
IF('TL05'!$B$229=J$3,SUMIF('TL05'!$C$238:$C$451,$C168,'TL05'!$J$238:$J$451),0),
IF('TL06'!$B$3=J$3,SUMIF('TL06'!$C$10:$C$224,$C168,'TL06'!$J$10:$J$224),0),
IF('TL06'!$B$229=J$3,SUMIF('TL06'!$C$238:$C$451,$C168,'TL06'!$J$238:$J$451),0),
IF('TL07'!$B$3=J$3,SUMIF('TL07'!$C$10:$C$224,$C168,'TL07'!$J$10:$J$224),0),
IF('TL07'!$B$229=J$3,SUMIF('TL07'!$C$238:$C$451,$C168,'TL07'!$J$238:$J$451),0),
IF('TL08'!$B$3=J$3,SUMIF('TL08'!$C$10:$C$224,$C168,'TL08'!$J$10:$J$224),0),
IF('TL08'!$B$229=J$3,SUMIF('TL08'!$C$238:$C$451,$C168,'TL08'!$J$238:$J$451),0),
IF('TL09'!$B$3=J$3,SUMIF('TL09'!$C$10:$C$224,$C168,'TL09'!$J$10:$J$224),0),
IF('TL09'!$B$229=J$3,SUMIF('TL09'!$C$238:$C$451,$C168,'TL09'!$J$238:$J$451),0),
IF('TL10'!$B$3=J$3,SUMIF('TL10'!$C$10:$C$224,$C168,'TL10'!$J$10:$J$224),0),
IF('TL10'!$B$229=J$3,SUMIF('TL10'!$C$238:$C$451,$C168,'TL10'!$J$238:$J$451),0),
IF('TL11'!$B$3=J$3,SUMIF('TL11'!$C$10:$C$224,$C168,'TL11'!$J$10:$J$224),0),
IF('TL11'!$B$229=J$3,SUMIF('TL11'!$C$238:$C$451,$C168,'TL11'!$J$238:$J$451),0),
IF('TL12'!$B$3=J$3,SUMIF('TL12'!$C$10:$C$224,$C168,'TL12'!$J$10:$J$224),0),
IF('TL12'!$B$229=J$3,SUMIF('TL12'!$C$238:$C$451,$C168,'TL12'!$J$238:$J$451),0),
IF('TL13'!$B$3=J$3,SUMIF('TL13'!$C$10:$C$224,$C168,'TL13'!$J$10:$J$224),0),
IF('TL13'!$B$229=J$3,SUMIF('TL13'!$C$238:$C$451,$C168,'TL13'!$J$238:$J$451),0),
IF('TL14'!$B$3=J$3,SUMIF('TL14'!$C$10:$C$224,$C168,'TL14'!$J$10:$J$224),0),
IF('TL14'!$B$229=J$3,SUMIF('TL14'!$C$238:$C$451,$C168,'TL14'!$J$238:$J$451),0),
IF('TL15'!$B$3=J$3,SUMIF('TL15'!$C$10:$C$224,$C168,'TL15'!$J$10:$J$224),0),
IF('TL15'!$B$229=J$3,SUMIF('TL15'!$C$238:$C$451,$C168,'TL15'!$J$238:$J$451),0),
IF('TL16'!$B$3=J$3,SUMIF('TL16'!$C$10:$C$224,$C168,'TL16'!$J$10:$J$224),0),
IF('TL16'!$B$229=J$3,SUMIF('TL16'!$C$238:$C$451,$C168,'TL16'!$J$238:$J$451),0),
IF('TL17'!$B$3=J$3,SUMIF('TL17'!$C$10:$C$224,$C168,'TL17'!$J$10:$J$224),0),
IF('TL17'!$B$229=J$3,SUMIF('TL17'!$C$238:$C$451,$C168,'TL17'!$J$238:$J$451),0),
IF('TL18'!$B$3=J$3,SUMIF('TL18'!$C$10:$C$224,$C168,'TL18'!$J$10:$J$224),0),
IF('TL18'!$B$229=J$3,SUMIF('TL18'!$C$238:$C$451,$C168,'TL18'!$J$238:$J$451),0),
IF('TL19'!$B$3=J$3,SUMIF('TL19'!$C$10:$C$224,$C168,'TL19'!$J$10:$J$224),0),
IF('TL19'!$B$229=J$3,SUMIF('TL19'!$C$238:$C$451,$C168,'TL19'!$J$238:$J$451),0)
),0)</f>
        <v/>
      </c>
      <c r="K168" s="9">
        <f>IFERROR(SUM(
IF('TL01'!$B$3=K$3,SUMIF('TL01'!$C$10:$C$224,$C168,'TL01'!$J$10:$J$224),0),
IF('TL01'!$B$229=K$3,SUMIF('TL01'!$C$238:$C$451,$C168,'TL01'!$J$238:$J$451),0),
IF('TL02'!$B$3=K$3,SUMIF('TL02'!$C$10:$C$224,$C168,'TL02'!$J$10:$J$224),0),
IF('TL02'!$B$229=K$3,SUMIF('TL02'!$C$238:$C$451,$C168,'TL02'!$J$238:$J$451),0),
IF('TL03'!$B$3=K$3,SUMIF('TL03'!$C$10:$C$224,$C168,'TL03'!$J$10:$J$224),0),
IF('TL03'!$B$229=K$3,SUMIF('TL03'!$C$238:$C$451,$C168,'TL03'!$J$238:$J$451),0),
IF('TL04'!$B$3=K$3,SUMIF('TL04'!$C$10:$C$224,$C168,'TL04'!$J$10:$J$224),0),
IF('TL04'!$B$229=K$3,SUMIF('TL04'!$C$238:$C$451,$C168,'TL04'!$J$238:$J$451),0),
IF('TL05'!$B$3=K$3,SUMIF('TL05'!$C$10:$C$224,$C168,'TL05'!$J$10:$J$224),0),
IF('TL05'!$B$229=K$3,SUMIF('TL05'!$C$238:$C$451,$C168,'TL05'!$J$238:$J$451),0),
IF('TL06'!$B$3=K$3,SUMIF('TL06'!$C$10:$C$224,$C168,'TL06'!$J$10:$J$224),0),
IF('TL06'!$B$229=K$3,SUMIF('TL06'!$C$238:$C$451,$C168,'TL06'!$J$238:$J$451),0),
IF('TL07'!$B$3=K$3,SUMIF('TL07'!$C$10:$C$224,$C168,'TL07'!$J$10:$J$224),0),
IF('TL07'!$B$229=K$3,SUMIF('TL07'!$C$238:$C$451,$C168,'TL07'!$J$238:$J$451),0),
IF('TL08'!$B$3=K$3,SUMIF('TL08'!$C$10:$C$224,$C168,'TL08'!$J$10:$J$224),0),
IF('TL08'!$B$229=K$3,SUMIF('TL08'!$C$238:$C$451,$C168,'TL08'!$J$238:$J$451),0),
IF('TL09'!$B$3=K$3,SUMIF('TL09'!$C$10:$C$224,$C168,'TL09'!$J$10:$J$224),0),
IF('TL09'!$B$229=K$3,SUMIF('TL09'!$C$238:$C$451,$C168,'TL09'!$J$238:$J$451),0),
IF('TL10'!$B$3=K$3,SUMIF('TL10'!$C$10:$C$224,$C168,'TL10'!$J$10:$J$224),0),
IF('TL10'!$B$229=K$3,SUMIF('TL10'!$C$238:$C$451,$C168,'TL10'!$J$238:$J$451),0),
IF('TL11'!$B$3=K$3,SUMIF('TL11'!$C$10:$C$224,$C168,'TL11'!$J$10:$J$224),0),
IF('TL11'!$B$229=K$3,SUMIF('TL11'!$C$238:$C$451,$C168,'TL11'!$J$238:$J$451),0),
IF('TL12'!$B$3=K$3,SUMIF('TL12'!$C$10:$C$224,$C168,'TL12'!$J$10:$J$224),0),
IF('TL12'!$B$229=K$3,SUMIF('TL12'!$C$238:$C$451,$C168,'TL12'!$J$238:$J$451),0),
IF('TL13'!$B$3=K$3,SUMIF('TL13'!$C$10:$C$224,$C168,'TL13'!$J$10:$J$224),0),
IF('TL13'!$B$229=K$3,SUMIF('TL13'!$C$238:$C$451,$C168,'TL13'!$J$238:$J$451),0),
IF('TL14'!$B$3=K$3,SUMIF('TL14'!$C$10:$C$224,$C168,'TL14'!$J$10:$J$224),0),
IF('TL14'!$B$229=K$3,SUMIF('TL14'!$C$238:$C$451,$C168,'TL14'!$J$238:$J$451),0),
IF('TL15'!$B$3=K$3,SUMIF('TL15'!$C$10:$C$224,$C168,'TL15'!$J$10:$J$224),0),
IF('TL15'!$B$229=K$3,SUMIF('TL15'!$C$238:$C$451,$C168,'TL15'!$J$238:$J$451),0),
IF('TL16'!$B$3=K$3,SUMIF('TL16'!$C$10:$C$224,$C168,'TL16'!$J$10:$J$224),0),
IF('TL16'!$B$229=K$3,SUMIF('TL16'!$C$238:$C$451,$C168,'TL16'!$J$238:$J$451),0),
IF('TL17'!$B$3=K$3,SUMIF('TL17'!$C$10:$C$224,$C168,'TL17'!$J$10:$J$224),0),
IF('TL17'!$B$229=K$3,SUMIF('TL17'!$C$238:$C$451,$C168,'TL17'!$J$238:$J$451),0),
IF('TL18'!$B$3=K$3,SUMIF('TL18'!$C$10:$C$224,$C168,'TL18'!$J$10:$J$224),0),
IF('TL18'!$B$229=K$3,SUMIF('TL18'!$C$238:$C$451,$C168,'TL18'!$J$238:$J$451),0),
IF('TL19'!$B$3=K$3,SUMIF('TL19'!$C$10:$C$224,$C168,'TL19'!$J$10:$J$224),0),
IF('TL19'!$B$229=K$3,SUMIF('TL19'!$C$238:$C$451,$C168,'TL19'!$J$238:$J$451),0)
),0)</f>
        <v/>
      </c>
      <c r="L168" s="9">
        <f>IFERROR(SUM(
IF('TL01'!$B$3=L$3,SUMIF('TL01'!$C$10:$C$224,$C168,'TL01'!$J$10:$J$224),0),
IF('TL01'!$B$229=L$3,SUMIF('TL01'!$C$238:$C$451,$C168,'TL01'!$J$238:$J$451),0),
IF('TL02'!$B$3=L$3,SUMIF('TL02'!$C$10:$C$224,$C168,'TL02'!$J$10:$J$224),0),
IF('TL02'!$B$229=L$3,SUMIF('TL02'!$C$238:$C$451,$C168,'TL02'!$J$238:$J$451),0),
IF('TL03'!$B$3=L$3,SUMIF('TL03'!$C$10:$C$224,$C168,'TL03'!$J$10:$J$224),0),
IF('TL03'!$B$229=L$3,SUMIF('TL03'!$C$238:$C$451,$C168,'TL03'!$J$238:$J$451),0),
IF('TL04'!$B$3=L$3,SUMIF('TL04'!$C$10:$C$224,$C168,'TL04'!$J$10:$J$224),0),
IF('TL04'!$B$229=L$3,SUMIF('TL04'!$C$238:$C$451,$C168,'TL04'!$J$238:$J$451),0),
IF('TL05'!$B$3=L$3,SUMIF('TL05'!$C$10:$C$224,$C168,'TL05'!$J$10:$J$224),0),
IF('TL05'!$B$229=L$3,SUMIF('TL05'!$C$238:$C$451,$C168,'TL05'!$J$238:$J$451),0),
IF('TL06'!$B$3=L$3,SUMIF('TL06'!$C$10:$C$224,$C168,'TL06'!$J$10:$J$224),0),
IF('TL06'!$B$229=L$3,SUMIF('TL06'!$C$238:$C$451,$C168,'TL06'!$J$238:$J$451),0),
IF('TL07'!$B$3=L$3,SUMIF('TL07'!$C$10:$C$224,$C168,'TL07'!$J$10:$J$224),0),
IF('TL07'!$B$229=L$3,SUMIF('TL07'!$C$238:$C$451,$C168,'TL07'!$J$238:$J$451),0),
IF('TL08'!$B$3=L$3,SUMIF('TL08'!$C$10:$C$224,$C168,'TL08'!$J$10:$J$224),0),
IF('TL08'!$B$229=L$3,SUMIF('TL08'!$C$238:$C$451,$C168,'TL08'!$J$238:$J$451),0),
IF('TL09'!$B$3=L$3,SUMIF('TL09'!$C$10:$C$224,$C168,'TL09'!$J$10:$J$224),0),
IF('TL09'!$B$229=L$3,SUMIF('TL09'!$C$238:$C$451,$C168,'TL09'!$J$238:$J$451),0),
IF('TL10'!$B$3=L$3,SUMIF('TL10'!$C$10:$C$224,$C168,'TL10'!$J$10:$J$224),0),
IF('TL10'!$B$229=L$3,SUMIF('TL10'!$C$238:$C$451,$C168,'TL10'!$J$238:$J$451),0),
IF('TL11'!$B$3=L$3,SUMIF('TL11'!$C$10:$C$224,$C168,'TL11'!$J$10:$J$224),0),
IF('TL11'!$B$229=L$3,SUMIF('TL11'!$C$238:$C$451,$C168,'TL11'!$J$238:$J$451),0),
IF('TL12'!$B$3=L$3,SUMIF('TL12'!$C$10:$C$224,$C168,'TL12'!$J$10:$J$224),0),
IF('TL12'!$B$229=L$3,SUMIF('TL12'!$C$238:$C$451,$C168,'TL12'!$J$238:$J$451),0),
IF('TL13'!$B$3=L$3,SUMIF('TL13'!$C$10:$C$224,$C168,'TL13'!$J$10:$J$224),0),
IF('TL13'!$B$229=L$3,SUMIF('TL13'!$C$238:$C$451,$C168,'TL13'!$J$238:$J$451),0),
IF('TL14'!$B$3=L$3,SUMIF('TL14'!$C$10:$C$224,$C168,'TL14'!$J$10:$J$224),0),
IF('TL14'!$B$229=L$3,SUMIF('TL14'!$C$238:$C$451,$C168,'TL14'!$J$238:$J$451),0),
IF('TL15'!$B$3=L$3,SUMIF('TL15'!$C$10:$C$224,$C168,'TL15'!$J$10:$J$224),0),
IF('TL15'!$B$229=L$3,SUMIF('TL15'!$C$238:$C$451,$C168,'TL15'!$J$238:$J$451),0),
IF('TL16'!$B$3=L$3,SUMIF('TL16'!$C$10:$C$224,$C168,'TL16'!$J$10:$J$224),0),
IF('TL16'!$B$229=L$3,SUMIF('TL16'!$C$238:$C$451,$C168,'TL16'!$J$238:$J$451),0),
IF('TL17'!$B$3=L$3,SUMIF('TL17'!$C$10:$C$224,$C168,'TL17'!$J$10:$J$224),0),
IF('TL17'!$B$229=L$3,SUMIF('TL17'!$C$238:$C$451,$C168,'TL17'!$J$238:$J$451),0),
IF('TL18'!$B$3=L$3,SUMIF('TL18'!$C$10:$C$224,$C168,'TL18'!$J$10:$J$224),0),
IF('TL18'!$B$229=L$3,SUMIF('TL18'!$C$238:$C$451,$C168,'TL18'!$J$238:$J$451),0),
IF('TL19'!$B$3=L$3,SUMIF('TL19'!$C$10:$C$224,$C168,'TL19'!$J$10:$J$224),0),
IF('TL19'!$B$229=L$3,SUMIF('TL19'!$C$238:$C$451,$C168,'TL19'!$J$238:$J$451),0)
),0)</f>
        <v/>
      </c>
      <c r="M168" s="9">
        <f>IFERROR(SUM(
IF('TL01'!$B$3=M$3,SUMIF('TL01'!$C$10:$C$224,$C168,'TL01'!$J$10:$J$224),0),
IF('TL01'!$B$229=M$3,SUMIF('TL01'!$C$238:$C$451,$C168,'TL01'!$J$238:$J$451),0),
IF('TL02'!$B$3=M$3,SUMIF('TL02'!$C$10:$C$224,$C168,'TL02'!$J$10:$J$224),0),
IF('TL02'!$B$229=M$3,SUMIF('TL02'!$C$238:$C$451,$C168,'TL02'!$J$238:$J$451),0),
IF('TL03'!$B$3=M$3,SUMIF('TL03'!$C$10:$C$224,$C168,'TL03'!$J$10:$J$224),0),
IF('TL03'!$B$229=M$3,SUMIF('TL03'!$C$238:$C$451,$C168,'TL03'!$J$238:$J$451),0),
IF('TL04'!$B$3=M$3,SUMIF('TL04'!$C$10:$C$224,$C168,'TL04'!$J$10:$J$224),0),
IF('TL04'!$B$229=M$3,SUMIF('TL04'!$C$238:$C$451,$C168,'TL04'!$J$238:$J$451),0),
IF('TL05'!$B$3=M$3,SUMIF('TL05'!$C$10:$C$224,$C168,'TL05'!$J$10:$J$224),0),
IF('TL05'!$B$229=M$3,SUMIF('TL05'!$C$238:$C$451,$C168,'TL05'!$J$238:$J$451),0),
IF('TL06'!$B$3=M$3,SUMIF('TL06'!$C$10:$C$224,$C168,'TL06'!$J$10:$J$224),0),
IF('TL06'!$B$229=M$3,SUMIF('TL06'!$C$238:$C$451,$C168,'TL06'!$J$238:$J$451),0),
IF('TL07'!$B$3=M$3,SUMIF('TL07'!$C$10:$C$224,$C168,'TL07'!$J$10:$J$224),0),
IF('TL07'!$B$229=M$3,SUMIF('TL07'!$C$238:$C$451,$C168,'TL07'!$J$238:$J$451),0),
IF('TL08'!$B$3=M$3,SUMIF('TL08'!$C$10:$C$224,$C168,'TL08'!$J$10:$J$224),0),
IF('TL08'!$B$229=M$3,SUMIF('TL08'!$C$238:$C$451,$C168,'TL08'!$J$238:$J$451),0),
IF('TL09'!$B$3=M$3,SUMIF('TL09'!$C$10:$C$224,$C168,'TL09'!$J$10:$J$224),0),
IF('TL09'!$B$229=M$3,SUMIF('TL09'!$C$238:$C$451,$C168,'TL09'!$J$238:$J$451),0),
IF('TL10'!$B$3=M$3,SUMIF('TL10'!$C$10:$C$224,$C168,'TL10'!$J$10:$J$224),0),
IF('TL10'!$B$229=M$3,SUMIF('TL10'!$C$238:$C$451,$C168,'TL10'!$J$238:$J$451),0),
IF('TL11'!$B$3=M$3,SUMIF('TL11'!$C$10:$C$224,$C168,'TL11'!$J$10:$J$224),0),
IF('TL11'!$B$229=M$3,SUMIF('TL11'!$C$238:$C$451,$C168,'TL11'!$J$238:$J$451),0),
IF('TL12'!$B$3=M$3,SUMIF('TL12'!$C$10:$C$224,$C168,'TL12'!$J$10:$J$224),0),
IF('TL12'!$B$229=M$3,SUMIF('TL12'!$C$238:$C$451,$C168,'TL12'!$J$238:$J$451),0),
IF('TL13'!$B$3=M$3,SUMIF('TL13'!$C$10:$C$224,$C168,'TL13'!$J$10:$J$224),0),
IF('TL13'!$B$229=M$3,SUMIF('TL13'!$C$238:$C$451,$C168,'TL13'!$J$238:$J$451),0),
IF('TL14'!$B$3=M$3,SUMIF('TL14'!$C$10:$C$224,$C168,'TL14'!$J$10:$J$224),0),
IF('TL14'!$B$229=M$3,SUMIF('TL14'!$C$238:$C$451,$C168,'TL14'!$J$238:$J$451),0),
IF('TL15'!$B$3=M$3,SUMIF('TL15'!$C$10:$C$224,$C168,'TL15'!$J$10:$J$224),0),
IF('TL15'!$B$229=M$3,SUMIF('TL15'!$C$238:$C$451,$C168,'TL15'!$J$238:$J$451),0),
IF('TL16'!$B$3=M$3,SUMIF('TL16'!$C$10:$C$224,$C168,'TL16'!$J$10:$J$224),0),
IF('TL16'!$B$229=M$3,SUMIF('TL16'!$C$238:$C$451,$C168,'TL16'!$J$238:$J$451),0),
IF('TL17'!$B$3=M$3,SUMIF('TL17'!$C$10:$C$224,$C168,'TL17'!$J$10:$J$224),0),
IF('TL17'!$B$229=M$3,SUMIF('TL17'!$C$238:$C$451,$C168,'TL17'!$J$238:$J$451),0),
IF('TL18'!$B$3=M$3,SUMIF('TL18'!$C$10:$C$224,$C168,'TL18'!$J$10:$J$224),0),
IF('TL18'!$B$229=M$3,SUMIF('TL18'!$C$238:$C$451,$C168,'TL18'!$J$238:$J$451),0),
IF('TL19'!$B$3=M$3,SUMIF('TL19'!$C$10:$C$224,$C168,'TL19'!$J$10:$J$224),0),
IF('TL19'!$B$229=M$3,SUMIF('TL19'!$C$238:$C$451,$C168,'TL19'!$J$238:$J$451),0)
),0)</f>
        <v/>
      </c>
      <c r="N168" s="9">
        <f>IFERROR(SUM(
IF('TL01'!$B$3=N$3,SUMIF('TL01'!$C$10:$C$224,$C168,'TL01'!$J$10:$J$224),0),
IF('TL01'!$B$229=N$3,SUMIF('TL01'!$C$238:$C$451,$C168,'TL01'!$J$238:$J$451),0),
IF('TL02'!$B$3=N$3,SUMIF('TL02'!$C$10:$C$224,$C168,'TL02'!$J$10:$J$224),0),
IF('TL02'!$B$229=N$3,SUMIF('TL02'!$C$238:$C$451,$C168,'TL02'!$J$238:$J$451),0),
IF('TL03'!$B$3=N$3,SUMIF('TL03'!$C$10:$C$224,$C168,'TL03'!$J$10:$J$224),0),
IF('TL03'!$B$229=N$3,SUMIF('TL03'!$C$238:$C$451,$C168,'TL03'!$J$238:$J$451),0),
IF('TL04'!$B$3=N$3,SUMIF('TL04'!$C$10:$C$224,$C168,'TL04'!$J$10:$J$224),0),
IF('TL04'!$B$229=N$3,SUMIF('TL04'!$C$238:$C$451,$C168,'TL04'!$J$238:$J$451),0),
IF('TL05'!$B$3=N$3,SUMIF('TL05'!$C$10:$C$224,$C168,'TL05'!$J$10:$J$224),0),
IF('TL05'!$B$229=N$3,SUMIF('TL05'!$C$238:$C$451,$C168,'TL05'!$J$238:$J$451),0),
IF('TL06'!$B$3=N$3,SUMIF('TL06'!$C$10:$C$224,$C168,'TL06'!$J$10:$J$224),0),
IF('TL06'!$B$229=N$3,SUMIF('TL06'!$C$238:$C$451,$C168,'TL06'!$J$238:$J$451),0),
IF('TL07'!$B$3=N$3,SUMIF('TL07'!$C$10:$C$224,$C168,'TL07'!$J$10:$J$224),0),
IF('TL07'!$B$229=N$3,SUMIF('TL07'!$C$238:$C$451,$C168,'TL07'!$J$238:$J$451),0),
IF('TL08'!$B$3=N$3,SUMIF('TL08'!$C$10:$C$224,$C168,'TL08'!$J$10:$J$224),0),
IF('TL08'!$B$229=N$3,SUMIF('TL08'!$C$238:$C$451,$C168,'TL08'!$J$238:$J$451),0),
IF('TL09'!$B$3=N$3,SUMIF('TL09'!$C$10:$C$224,$C168,'TL09'!$J$10:$J$224),0),
IF('TL09'!$B$229=N$3,SUMIF('TL09'!$C$238:$C$451,$C168,'TL09'!$J$238:$J$451),0),
IF('TL10'!$B$3=N$3,SUMIF('TL10'!$C$10:$C$224,$C168,'TL10'!$J$10:$J$224),0),
IF('TL10'!$B$229=N$3,SUMIF('TL10'!$C$238:$C$451,$C168,'TL10'!$J$238:$J$451),0),
IF('TL11'!$B$3=N$3,SUMIF('TL11'!$C$10:$C$224,$C168,'TL11'!$J$10:$J$224),0),
IF('TL11'!$B$229=N$3,SUMIF('TL11'!$C$238:$C$451,$C168,'TL11'!$J$238:$J$451),0),
IF('TL12'!$B$3=N$3,SUMIF('TL12'!$C$10:$C$224,$C168,'TL12'!$J$10:$J$224),0),
IF('TL12'!$B$229=N$3,SUMIF('TL12'!$C$238:$C$451,$C168,'TL12'!$J$238:$J$451),0),
IF('TL13'!$B$3=N$3,SUMIF('TL13'!$C$10:$C$224,$C168,'TL13'!$J$10:$J$224),0),
IF('TL13'!$B$229=N$3,SUMIF('TL13'!$C$238:$C$451,$C168,'TL13'!$J$238:$J$451),0),
IF('TL14'!$B$3=N$3,SUMIF('TL14'!$C$10:$C$224,$C168,'TL14'!$J$10:$J$224),0),
IF('TL14'!$B$229=N$3,SUMIF('TL14'!$C$238:$C$451,$C168,'TL14'!$J$238:$J$451),0),
IF('TL15'!$B$3=N$3,SUMIF('TL15'!$C$10:$C$224,$C168,'TL15'!$J$10:$J$224),0),
IF('TL15'!$B$229=N$3,SUMIF('TL15'!$C$238:$C$451,$C168,'TL15'!$J$238:$J$451),0),
IF('TL16'!$B$3=N$3,SUMIF('TL16'!$C$10:$C$224,$C168,'TL16'!$J$10:$J$224),0),
IF('TL16'!$B$229=N$3,SUMIF('TL16'!$C$238:$C$451,$C168,'TL16'!$J$238:$J$451),0),
IF('TL17'!$B$3=N$3,SUMIF('TL17'!$C$10:$C$224,$C168,'TL17'!$J$10:$J$224),0),
IF('TL17'!$B$229=N$3,SUMIF('TL17'!$C$238:$C$451,$C168,'TL17'!$J$238:$J$451),0),
IF('TL18'!$B$3=N$3,SUMIF('TL18'!$C$10:$C$224,$C168,'TL18'!$J$10:$J$224),0),
IF('TL18'!$B$229=N$3,SUMIF('TL18'!$C$238:$C$451,$C168,'TL18'!$J$238:$J$451),0),
IF('TL19'!$B$3=N$3,SUMIF('TL19'!$C$10:$C$224,$C168,'TL19'!$J$10:$J$224),0),
IF('TL19'!$B$229=N$3,SUMIF('TL19'!$C$238:$C$451,$C168,'TL19'!$J$238:$J$451),0)
),0)</f>
        <v/>
      </c>
      <c r="O168" s="9">
        <f>IFERROR(SUM(
IF('TL01'!$B$3=O$3,SUMIF('TL01'!$C$10:$C$224,$C168,'TL01'!$J$10:$J$224),0),
IF('TL01'!$B$229=O$3,SUMIF('TL01'!$C$238:$C$451,$C168,'TL01'!$J$238:$J$451),0),
IF('TL02'!$B$3=O$3,SUMIF('TL02'!$C$10:$C$224,$C168,'TL02'!$J$10:$J$224),0),
IF('TL02'!$B$229=O$3,SUMIF('TL02'!$C$238:$C$451,$C168,'TL02'!$J$238:$J$451),0),
IF('TL03'!$B$3=O$3,SUMIF('TL03'!$C$10:$C$224,$C168,'TL03'!$J$10:$J$224),0),
IF('TL03'!$B$229=O$3,SUMIF('TL03'!$C$238:$C$451,$C168,'TL03'!$J$238:$J$451),0),
IF('TL04'!$B$3=O$3,SUMIF('TL04'!$C$10:$C$224,$C168,'TL04'!$J$10:$J$224),0),
IF('TL04'!$B$229=O$3,SUMIF('TL04'!$C$238:$C$451,$C168,'TL04'!$J$238:$J$451),0),
IF('TL05'!$B$3=O$3,SUMIF('TL05'!$C$10:$C$224,$C168,'TL05'!$J$10:$J$224),0),
IF('TL05'!$B$229=O$3,SUMIF('TL05'!$C$238:$C$451,$C168,'TL05'!$J$238:$J$451),0),
IF('TL06'!$B$3=O$3,SUMIF('TL06'!$C$10:$C$224,$C168,'TL06'!$J$10:$J$224),0),
IF('TL06'!$B$229=O$3,SUMIF('TL06'!$C$238:$C$451,$C168,'TL06'!$J$238:$J$451),0),
IF('TL07'!$B$3=O$3,SUMIF('TL07'!$C$10:$C$224,$C168,'TL07'!$J$10:$J$224),0),
IF('TL07'!$B$229=O$3,SUMIF('TL07'!$C$238:$C$451,$C168,'TL07'!$J$238:$J$451),0),
IF('TL08'!$B$3=O$3,SUMIF('TL08'!$C$10:$C$224,$C168,'TL08'!$J$10:$J$224),0),
IF('TL08'!$B$229=O$3,SUMIF('TL08'!$C$238:$C$451,$C168,'TL08'!$J$238:$J$451),0),
IF('TL09'!$B$3=O$3,SUMIF('TL09'!$C$10:$C$224,$C168,'TL09'!$J$10:$J$224),0),
IF('TL09'!$B$229=O$3,SUMIF('TL09'!$C$238:$C$451,$C168,'TL09'!$J$238:$J$451),0),
IF('TL10'!$B$3=O$3,SUMIF('TL10'!$C$10:$C$224,$C168,'TL10'!$J$10:$J$224),0),
IF('TL10'!$B$229=O$3,SUMIF('TL10'!$C$238:$C$451,$C168,'TL10'!$J$238:$J$451),0),
IF('TL11'!$B$3=O$3,SUMIF('TL11'!$C$10:$C$224,$C168,'TL11'!$J$10:$J$224),0),
IF('TL11'!$B$229=O$3,SUMIF('TL11'!$C$238:$C$451,$C168,'TL11'!$J$238:$J$451),0),
IF('TL12'!$B$3=O$3,SUMIF('TL12'!$C$10:$C$224,$C168,'TL12'!$J$10:$J$224),0),
IF('TL12'!$B$229=O$3,SUMIF('TL12'!$C$238:$C$451,$C168,'TL12'!$J$238:$J$451),0),
IF('TL13'!$B$3=O$3,SUMIF('TL13'!$C$10:$C$224,$C168,'TL13'!$J$10:$J$224),0),
IF('TL13'!$B$229=O$3,SUMIF('TL13'!$C$238:$C$451,$C168,'TL13'!$J$238:$J$451),0),
IF('TL14'!$B$3=O$3,SUMIF('TL14'!$C$10:$C$224,$C168,'TL14'!$J$10:$J$224),0),
IF('TL14'!$B$229=O$3,SUMIF('TL14'!$C$238:$C$451,$C168,'TL14'!$J$238:$J$451),0),
IF('TL15'!$B$3=O$3,SUMIF('TL15'!$C$10:$C$224,$C168,'TL15'!$J$10:$J$224),0),
IF('TL15'!$B$229=O$3,SUMIF('TL15'!$C$238:$C$451,$C168,'TL15'!$J$238:$J$451),0),
IF('TL16'!$B$3=O$3,SUMIF('TL16'!$C$10:$C$224,$C168,'TL16'!$J$10:$J$224),0),
IF('TL16'!$B$229=O$3,SUMIF('TL16'!$C$238:$C$451,$C168,'TL16'!$J$238:$J$451),0),
IF('TL17'!$B$3=O$3,SUMIF('TL17'!$C$10:$C$224,$C168,'TL17'!$J$10:$J$224),0),
IF('TL17'!$B$229=O$3,SUMIF('TL17'!$C$238:$C$451,$C168,'TL17'!$J$238:$J$451),0),
IF('TL18'!$B$3=O$3,SUMIF('TL18'!$C$10:$C$224,$C168,'TL18'!$J$10:$J$224),0),
IF('TL18'!$B$229=O$3,SUMIF('TL18'!$C$238:$C$451,$C168,'TL18'!$J$238:$J$451),0),
IF('TL19'!$B$3=O$3,SUMIF('TL19'!$C$10:$C$224,$C168,'TL19'!$J$10:$J$224),0),
IF('TL19'!$B$229=O$3,SUMIF('TL19'!$C$238:$C$451,$C168,'TL19'!$J$238:$J$451),0)
),0)</f>
        <v/>
      </c>
      <c r="P168" s="9">
        <f>IFERROR(SUM(
IF('TL01'!$B$3=P$3,SUMIF('TL01'!$C$10:$C$224,$C168,'TL01'!$J$10:$J$224),0),
IF('TL01'!$B$229=P$3,SUMIF('TL01'!$C$238:$C$451,$C168,'TL01'!$J$238:$J$451),0),
IF('TL02'!$B$3=P$3,SUMIF('TL02'!$C$10:$C$224,$C168,'TL02'!$J$10:$J$224),0),
IF('TL02'!$B$229=P$3,SUMIF('TL02'!$C$238:$C$451,$C168,'TL02'!$J$238:$J$451),0),
IF('TL03'!$B$3=P$3,SUMIF('TL03'!$C$10:$C$224,$C168,'TL03'!$J$10:$J$224),0),
IF('TL03'!$B$229=P$3,SUMIF('TL03'!$C$238:$C$451,$C168,'TL03'!$J$238:$J$451),0),
IF('TL04'!$B$3=P$3,SUMIF('TL04'!$C$10:$C$224,$C168,'TL04'!$J$10:$J$224),0),
IF('TL04'!$B$229=P$3,SUMIF('TL04'!$C$238:$C$451,$C168,'TL04'!$J$238:$J$451),0),
IF('TL05'!$B$3=P$3,SUMIF('TL05'!$C$10:$C$224,$C168,'TL05'!$J$10:$J$224),0),
IF('TL05'!$B$229=P$3,SUMIF('TL05'!$C$238:$C$451,$C168,'TL05'!$J$238:$J$451),0),
IF('TL06'!$B$3=P$3,SUMIF('TL06'!$C$10:$C$224,$C168,'TL06'!$J$10:$J$224),0),
IF('TL06'!$B$229=P$3,SUMIF('TL06'!$C$238:$C$451,$C168,'TL06'!$J$238:$J$451),0),
IF('TL07'!$B$3=P$3,SUMIF('TL07'!$C$10:$C$224,$C168,'TL07'!$J$10:$J$224),0),
IF('TL07'!$B$229=P$3,SUMIF('TL07'!$C$238:$C$451,$C168,'TL07'!$J$238:$J$451),0),
IF('TL08'!$B$3=P$3,SUMIF('TL08'!$C$10:$C$224,$C168,'TL08'!$J$10:$J$224),0),
IF('TL08'!$B$229=P$3,SUMIF('TL08'!$C$238:$C$451,$C168,'TL08'!$J$238:$J$451),0),
IF('TL09'!$B$3=P$3,SUMIF('TL09'!$C$10:$C$224,$C168,'TL09'!$J$10:$J$224),0),
IF('TL09'!$B$229=P$3,SUMIF('TL09'!$C$238:$C$451,$C168,'TL09'!$J$238:$J$451),0),
IF('TL10'!$B$3=P$3,SUMIF('TL10'!$C$10:$C$224,$C168,'TL10'!$J$10:$J$224),0),
IF('TL10'!$B$229=P$3,SUMIF('TL10'!$C$238:$C$451,$C168,'TL10'!$J$238:$J$451),0),
IF('TL11'!$B$3=P$3,SUMIF('TL11'!$C$10:$C$224,$C168,'TL11'!$J$10:$J$224),0),
IF('TL11'!$B$229=P$3,SUMIF('TL11'!$C$238:$C$451,$C168,'TL11'!$J$238:$J$451),0),
IF('TL12'!$B$3=P$3,SUMIF('TL12'!$C$10:$C$224,$C168,'TL12'!$J$10:$J$224),0),
IF('TL12'!$B$229=P$3,SUMIF('TL12'!$C$238:$C$451,$C168,'TL12'!$J$238:$J$451),0),
IF('TL13'!$B$3=P$3,SUMIF('TL13'!$C$10:$C$224,$C168,'TL13'!$J$10:$J$224),0),
IF('TL13'!$B$229=P$3,SUMIF('TL13'!$C$238:$C$451,$C168,'TL13'!$J$238:$J$451),0),
IF('TL14'!$B$3=P$3,SUMIF('TL14'!$C$10:$C$224,$C168,'TL14'!$J$10:$J$224),0),
IF('TL14'!$B$229=P$3,SUMIF('TL14'!$C$238:$C$451,$C168,'TL14'!$J$238:$J$451),0),
IF('TL15'!$B$3=P$3,SUMIF('TL15'!$C$10:$C$224,$C168,'TL15'!$J$10:$J$224),0),
IF('TL15'!$B$229=P$3,SUMIF('TL15'!$C$238:$C$451,$C168,'TL15'!$J$238:$J$451),0),
IF('TL16'!$B$3=P$3,SUMIF('TL16'!$C$10:$C$224,$C168,'TL16'!$J$10:$J$224),0),
IF('TL16'!$B$229=P$3,SUMIF('TL16'!$C$238:$C$451,$C168,'TL16'!$J$238:$J$451),0),
IF('TL17'!$B$3=P$3,SUMIF('TL17'!$C$10:$C$224,$C168,'TL17'!$J$10:$J$224),0),
IF('TL17'!$B$229=P$3,SUMIF('TL17'!$C$238:$C$451,$C168,'TL17'!$J$238:$J$451),0),
IF('TL18'!$B$3=P$3,SUMIF('TL18'!$C$10:$C$224,$C168,'TL18'!$J$10:$J$224),0),
IF('TL18'!$B$229=P$3,SUMIF('TL18'!$C$238:$C$451,$C168,'TL18'!$J$238:$J$451),0),
IF('TL19'!$B$3=P$3,SUMIF('TL19'!$C$10:$C$224,$C168,'TL19'!$J$10:$J$224),0),
IF('TL19'!$B$229=P$3,SUMIF('TL19'!$C$238:$C$451,$C168,'TL19'!$J$238:$J$451),0)
),0)</f>
        <v/>
      </c>
      <c r="Q168" s="9">
        <f>IFERROR(SUM(
IF('TL01'!$B$3=Q$3,SUMIF('TL01'!$C$10:$C$224,$C168,'TL01'!$J$10:$J$224),0),
IF('TL01'!$B$229=Q$3,SUMIF('TL01'!$C$238:$C$451,$C168,'TL01'!$J$238:$J$451),0),
IF('TL02'!$B$3=Q$3,SUMIF('TL02'!$C$10:$C$224,$C168,'TL02'!$J$10:$J$224),0),
IF('TL02'!$B$229=Q$3,SUMIF('TL02'!$C$238:$C$451,$C168,'TL02'!$J$238:$J$451),0),
IF('TL03'!$B$3=Q$3,SUMIF('TL03'!$C$10:$C$224,$C168,'TL03'!$J$10:$J$224),0),
IF('TL03'!$B$229=Q$3,SUMIF('TL03'!$C$238:$C$451,$C168,'TL03'!$J$238:$J$451),0),
IF('TL04'!$B$3=Q$3,SUMIF('TL04'!$C$10:$C$224,$C168,'TL04'!$J$10:$J$224),0),
IF('TL04'!$B$229=Q$3,SUMIF('TL04'!$C$238:$C$451,$C168,'TL04'!$J$238:$J$451),0),
IF('TL05'!$B$3=Q$3,SUMIF('TL05'!$C$10:$C$224,$C168,'TL05'!$J$10:$J$224),0),
IF('TL05'!$B$229=Q$3,SUMIF('TL05'!$C$238:$C$451,$C168,'TL05'!$J$238:$J$451),0),
IF('TL06'!$B$3=Q$3,SUMIF('TL06'!$C$10:$C$224,$C168,'TL06'!$J$10:$J$224),0),
IF('TL06'!$B$229=Q$3,SUMIF('TL06'!$C$238:$C$451,$C168,'TL06'!$J$238:$J$451),0),
IF('TL07'!$B$3=Q$3,SUMIF('TL07'!$C$10:$C$224,$C168,'TL07'!$J$10:$J$224),0),
IF('TL07'!$B$229=Q$3,SUMIF('TL07'!$C$238:$C$451,$C168,'TL07'!$J$238:$J$451),0),
IF('TL08'!$B$3=Q$3,SUMIF('TL08'!$C$10:$C$224,$C168,'TL08'!$J$10:$J$224),0),
IF('TL08'!$B$229=Q$3,SUMIF('TL08'!$C$238:$C$451,$C168,'TL08'!$J$238:$J$451),0),
IF('TL09'!$B$3=Q$3,SUMIF('TL09'!$C$10:$C$224,$C168,'TL09'!$J$10:$J$224),0),
IF('TL09'!$B$229=Q$3,SUMIF('TL09'!$C$238:$C$451,$C168,'TL09'!$J$238:$J$451),0),
IF('TL10'!$B$3=Q$3,SUMIF('TL10'!$C$10:$C$224,$C168,'TL10'!$J$10:$J$224),0),
IF('TL10'!$B$229=Q$3,SUMIF('TL10'!$C$238:$C$451,$C168,'TL10'!$J$238:$J$451),0),
IF('TL11'!$B$3=Q$3,SUMIF('TL11'!$C$10:$C$224,$C168,'TL11'!$J$10:$J$224),0),
IF('TL11'!$B$229=Q$3,SUMIF('TL11'!$C$238:$C$451,$C168,'TL11'!$J$238:$J$451),0),
IF('TL12'!$B$3=Q$3,SUMIF('TL12'!$C$10:$C$224,$C168,'TL12'!$J$10:$J$224),0),
IF('TL12'!$B$229=Q$3,SUMIF('TL12'!$C$238:$C$451,$C168,'TL12'!$J$238:$J$451),0),
IF('TL13'!$B$3=Q$3,SUMIF('TL13'!$C$10:$C$224,$C168,'TL13'!$J$10:$J$224),0),
IF('TL13'!$B$229=Q$3,SUMIF('TL13'!$C$238:$C$451,$C168,'TL13'!$J$238:$J$451),0),
IF('TL14'!$B$3=Q$3,SUMIF('TL14'!$C$10:$C$224,$C168,'TL14'!$J$10:$J$224),0),
IF('TL14'!$B$229=Q$3,SUMIF('TL14'!$C$238:$C$451,$C168,'TL14'!$J$238:$J$451),0),
IF('TL15'!$B$3=Q$3,SUMIF('TL15'!$C$10:$C$224,$C168,'TL15'!$J$10:$J$224),0),
IF('TL15'!$B$229=Q$3,SUMIF('TL15'!$C$238:$C$451,$C168,'TL15'!$J$238:$J$451),0),
IF('TL16'!$B$3=Q$3,SUMIF('TL16'!$C$10:$C$224,$C168,'TL16'!$J$10:$J$224),0),
IF('TL16'!$B$229=Q$3,SUMIF('TL16'!$C$238:$C$451,$C168,'TL16'!$J$238:$J$451),0),
IF('TL17'!$B$3=Q$3,SUMIF('TL17'!$C$10:$C$224,$C168,'TL17'!$J$10:$J$224),0),
IF('TL17'!$B$229=Q$3,SUMIF('TL17'!$C$238:$C$451,$C168,'TL17'!$J$238:$J$451),0),
IF('TL18'!$B$3=Q$3,SUMIF('TL18'!$C$10:$C$224,$C168,'TL18'!$J$10:$J$224),0),
IF('TL18'!$B$229=Q$3,SUMIF('TL18'!$C$238:$C$451,$C168,'TL18'!$J$238:$J$451),0),
IF('TL19'!$B$3=Q$3,SUMIF('TL19'!$C$10:$C$224,$C168,'TL19'!$J$10:$J$224),0),
IF('TL19'!$B$229=Q$3,SUMIF('TL19'!$C$238:$C$451,$C168,'TL19'!$J$238:$J$451),0)
),0)</f>
        <v/>
      </c>
      <c r="R168" s="9">
        <f>IFERROR(
SUM(
SUMIF('TL01'!C:C,C168,'TL01'!J:J),
SUMIF('TL02'!C:C,C168,'TL02'!J:J),
SUMIF('TL03'!C:C,C168,'TL03'!J:J),
SUMIF('TL04'!C:C,C168,'TL04'!J:J),
SUMIF('TL05'!C:C,C168,'TL05'!J:J),
SUMIF('TL06'!C:C,C168,'TL06'!J:J),
SUMIF('TL07'!C:C,C168,'TL07'!J:J),
SUMIF('TL08'!C:C,C168,'TL08'!J:J),
SUMIF('TL09'!C:C,C168,'TL09'!J:J),
SUMIF('TL10'!C:C,C168,'TL10'!J:J),
SUMIF('TL11'!C:C,C168,'TL11'!J:J),
SUMIF('TL12'!C:C,C168,'TL12'!J:J),
SUMIF('TL13'!C:C,C168,'TL13'!J:J),
SUMIF('TL14'!C:C,C168,'TL14'!J:J),
SUMIF('TL15'!C:C,C168,'TL15'!J:J),
SUMIF('TL16'!C:C,C168,'TL16'!J:J),
SUMIF('TL17'!C:C,C168,'TL17'!J:J),
SUMIF('TL18'!C:C,C168,'TL18'!J:J),SUMIF('TL19'!C:C,C168,'TL19'!J:J))
,0)</f>
        <v/>
      </c>
      <c r="S168" s="17">
        <f>IFERROR(__xludf.DUMMYFUNCTION("IFERROR(VLOOKUP(C168,
IMPORTRANGE(""1wULbzX32WdYsx-lj2U3uUNBBe2INVIRDtcK0d-Dvl90"",
""26-27!C:G""),
5,
FALSE),
"""")"),23.744279999999996)</f>
        <v/>
      </c>
      <c r="T168" s="9" t="n">
        <v>1580</v>
      </c>
      <c r="U168" s="92">
        <f>MAX(0,R168-T168)</f>
        <v/>
      </c>
      <c r="V168" s="93">
        <f>U168*S168</f>
        <v/>
      </c>
    </row>
    <row r="169" hidden="1" ht="15.75" customHeight="1" s="297">
      <c r="A169" s="111" t="inlineStr">
        <is>
          <t>SYNGENTA</t>
        </is>
      </c>
      <c r="B169" s="112" t="inlineStr">
        <is>
          <t>HERBICIDA</t>
        </is>
      </c>
      <c r="C169" s="113" t="inlineStr">
        <is>
          <t>TOPIK 240 EC</t>
        </is>
      </c>
      <c r="D169" s="113" t="inlineStr">
        <is>
          <t>CLODINAFOPE-PROPARGIL</t>
        </is>
      </c>
      <c r="E169" s="113" t="n">
        <v>240</v>
      </c>
      <c r="F169" s="4" t="inlineStr">
        <is>
          <t>L</t>
        </is>
      </c>
      <c r="G169" s="90">
        <f>HYPERLINK("https://www.google.com/search?q=" &amp; C169 &amp; "+bula+agrofit+pdf", "📄 Ver bula")</f>
        <v/>
      </c>
      <c r="H169" s="9">
        <f>IFERROR(__xludf.DUMMYFUNCTION("IFERROR(VLOOKUP(C169,
IMPORTRANGE(""1wULbzX32WdYsx-lj2U3uUNBBe2INVIRDtcK0d-Dvl90"",
""26-27!C:K""),
8,
FALSE),
"""")"),"")</f>
        <v/>
      </c>
      <c r="I169" s="114" t="inlineStr">
        <is>
          <t>12X1</t>
        </is>
      </c>
      <c r="J169" s="9">
        <f>IFERROR(SUM(
IF('TL01'!$B$3=J$3,SUMIF('TL01'!$C$10:$C$224,$C169,'TL01'!$J$10:$J$224),0),
IF('TL01'!$B$229=J$3,SUMIF('TL01'!$C$238:$C$451,$C169,'TL01'!$J$238:$J$451),0),
IF('TL02'!$B$3=J$3,SUMIF('TL02'!$C$10:$C$224,$C169,'TL02'!$J$10:$J$224),0),
IF('TL02'!$B$229=J$3,SUMIF('TL02'!$C$238:$C$451,$C169,'TL02'!$J$238:$J$451),0),
IF('TL03'!$B$3=J$3,SUMIF('TL03'!$C$10:$C$224,$C169,'TL03'!$J$10:$J$224),0),
IF('TL03'!$B$229=J$3,SUMIF('TL03'!$C$238:$C$451,$C169,'TL03'!$J$238:$J$451),0),
IF('TL04'!$B$3=J$3,SUMIF('TL04'!$C$10:$C$224,$C169,'TL04'!$J$10:$J$224),0),
IF('TL04'!$B$229=J$3,SUMIF('TL04'!$C$238:$C$451,$C169,'TL04'!$J$238:$J$451),0),
IF('TL05'!$B$3=J$3,SUMIF('TL05'!$C$10:$C$224,$C169,'TL05'!$J$10:$J$224),0),
IF('TL05'!$B$229=J$3,SUMIF('TL05'!$C$238:$C$451,$C169,'TL05'!$J$238:$J$451),0),
IF('TL06'!$B$3=J$3,SUMIF('TL06'!$C$10:$C$224,$C169,'TL06'!$J$10:$J$224),0),
IF('TL06'!$B$229=J$3,SUMIF('TL06'!$C$238:$C$451,$C169,'TL06'!$J$238:$J$451),0),
IF('TL07'!$B$3=J$3,SUMIF('TL07'!$C$10:$C$224,$C169,'TL07'!$J$10:$J$224),0),
IF('TL07'!$B$229=J$3,SUMIF('TL07'!$C$238:$C$451,$C169,'TL07'!$J$238:$J$451),0),
IF('TL08'!$B$3=J$3,SUMIF('TL08'!$C$10:$C$224,$C169,'TL08'!$J$10:$J$224),0),
IF('TL08'!$B$229=J$3,SUMIF('TL08'!$C$238:$C$451,$C169,'TL08'!$J$238:$J$451),0),
IF('TL09'!$B$3=J$3,SUMIF('TL09'!$C$10:$C$224,$C169,'TL09'!$J$10:$J$224),0),
IF('TL09'!$B$229=J$3,SUMIF('TL09'!$C$238:$C$451,$C169,'TL09'!$J$238:$J$451),0),
IF('TL10'!$B$3=J$3,SUMIF('TL10'!$C$10:$C$224,$C169,'TL10'!$J$10:$J$224),0),
IF('TL10'!$B$229=J$3,SUMIF('TL10'!$C$238:$C$451,$C169,'TL10'!$J$238:$J$451),0),
IF('TL11'!$B$3=J$3,SUMIF('TL11'!$C$10:$C$224,$C169,'TL11'!$J$10:$J$224),0),
IF('TL11'!$B$229=J$3,SUMIF('TL11'!$C$238:$C$451,$C169,'TL11'!$J$238:$J$451),0),
IF('TL12'!$B$3=J$3,SUMIF('TL12'!$C$10:$C$224,$C169,'TL12'!$J$10:$J$224),0),
IF('TL12'!$B$229=J$3,SUMIF('TL12'!$C$238:$C$451,$C169,'TL12'!$J$238:$J$451),0),
IF('TL13'!$B$3=J$3,SUMIF('TL13'!$C$10:$C$224,$C169,'TL13'!$J$10:$J$224),0),
IF('TL13'!$B$229=J$3,SUMIF('TL13'!$C$238:$C$451,$C169,'TL13'!$J$238:$J$451),0),
IF('TL14'!$B$3=J$3,SUMIF('TL14'!$C$10:$C$224,$C169,'TL14'!$J$10:$J$224),0),
IF('TL14'!$B$229=J$3,SUMIF('TL14'!$C$238:$C$451,$C169,'TL14'!$J$238:$J$451),0),
IF('TL15'!$B$3=J$3,SUMIF('TL15'!$C$10:$C$224,$C169,'TL15'!$J$10:$J$224),0),
IF('TL15'!$B$229=J$3,SUMIF('TL15'!$C$238:$C$451,$C169,'TL15'!$J$238:$J$451),0),
IF('TL16'!$B$3=J$3,SUMIF('TL16'!$C$10:$C$224,$C169,'TL16'!$J$10:$J$224),0),
IF('TL16'!$B$229=J$3,SUMIF('TL16'!$C$238:$C$451,$C169,'TL16'!$J$238:$J$451),0),
IF('TL17'!$B$3=J$3,SUMIF('TL17'!$C$10:$C$224,$C169,'TL17'!$J$10:$J$224),0),
IF('TL17'!$B$229=J$3,SUMIF('TL17'!$C$238:$C$451,$C169,'TL17'!$J$238:$J$451),0),
IF('TL18'!$B$3=J$3,SUMIF('TL18'!$C$10:$C$224,$C169,'TL18'!$J$10:$J$224),0),
IF('TL18'!$B$229=J$3,SUMIF('TL18'!$C$238:$C$451,$C169,'TL18'!$J$238:$J$451),0),
IF('TL19'!$B$3=J$3,SUMIF('TL19'!$C$10:$C$224,$C169,'TL19'!$J$10:$J$224),0),
IF('TL19'!$B$229=J$3,SUMIF('TL19'!$C$238:$C$451,$C169,'TL19'!$J$238:$J$451),0)
),0)</f>
        <v/>
      </c>
      <c r="K169" s="9">
        <f>IFERROR(SUM(
IF('TL01'!$B$3=K$3,SUMIF('TL01'!$C$10:$C$224,$C169,'TL01'!$J$10:$J$224),0),
IF('TL01'!$B$229=K$3,SUMIF('TL01'!$C$238:$C$451,$C169,'TL01'!$J$238:$J$451),0),
IF('TL02'!$B$3=K$3,SUMIF('TL02'!$C$10:$C$224,$C169,'TL02'!$J$10:$J$224),0),
IF('TL02'!$B$229=K$3,SUMIF('TL02'!$C$238:$C$451,$C169,'TL02'!$J$238:$J$451),0),
IF('TL03'!$B$3=K$3,SUMIF('TL03'!$C$10:$C$224,$C169,'TL03'!$J$10:$J$224),0),
IF('TL03'!$B$229=K$3,SUMIF('TL03'!$C$238:$C$451,$C169,'TL03'!$J$238:$J$451),0),
IF('TL04'!$B$3=K$3,SUMIF('TL04'!$C$10:$C$224,$C169,'TL04'!$J$10:$J$224),0),
IF('TL04'!$B$229=K$3,SUMIF('TL04'!$C$238:$C$451,$C169,'TL04'!$J$238:$J$451),0),
IF('TL05'!$B$3=K$3,SUMIF('TL05'!$C$10:$C$224,$C169,'TL05'!$J$10:$J$224),0),
IF('TL05'!$B$229=K$3,SUMIF('TL05'!$C$238:$C$451,$C169,'TL05'!$J$238:$J$451),0),
IF('TL06'!$B$3=K$3,SUMIF('TL06'!$C$10:$C$224,$C169,'TL06'!$J$10:$J$224),0),
IF('TL06'!$B$229=K$3,SUMIF('TL06'!$C$238:$C$451,$C169,'TL06'!$J$238:$J$451),0),
IF('TL07'!$B$3=K$3,SUMIF('TL07'!$C$10:$C$224,$C169,'TL07'!$J$10:$J$224),0),
IF('TL07'!$B$229=K$3,SUMIF('TL07'!$C$238:$C$451,$C169,'TL07'!$J$238:$J$451),0),
IF('TL08'!$B$3=K$3,SUMIF('TL08'!$C$10:$C$224,$C169,'TL08'!$J$10:$J$224),0),
IF('TL08'!$B$229=K$3,SUMIF('TL08'!$C$238:$C$451,$C169,'TL08'!$J$238:$J$451),0),
IF('TL09'!$B$3=K$3,SUMIF('TL09'!$C$10:$C$224,$C169,'TL09'!$J$10:$J$224),0),
IF('TL09'!$B$229=K$3,SUMIF('TL09'!$C$238:$C$451,$C169,'TL09'!$J$238:$J$451),0),
IF('TL10'!$B$3=K$3,SUMIF('TL10'!$C$10:$C$224,$C169,'TL10'!$J$10:$J$224),0),
IF('TL10'!$B$229=K$3,SUMIF('TL10'!$C$238:$C$451,$C169,'TL10'!$J$238:$J$451),0),
IF('TL11'!$B$3=K$3,SUMIF('TL11'!$C$10:$C$224,$C169,'TL11'!$J$10:$J$224),0),
IF('TL11'!$B$229=K$3,SUMIF('TL11'!$C$238:$C$451,$C169,'TL11'!$J$238:$J$451),0),
IF('TL12'!$B$3=K$3,SUMIF('TL12'!$C$10:$C$224,$C169,'TL12'!$J$10:$J$224),0),
IF('TL12'!$B$229=K$3,SUMIF('TL12'!$C$238:$C$451,$C169,'TL12'!$J$238:$J$451),0),
IF('TL13'!$B$3=K$3,SUMIF('TL13'!$C$10:$C$224,$C169,'TL13'!$J$10:$J$224),0),
IF('TL13'!$B$229=K$3,SUMIF('TL13'!$C$238:$C$451,$C169,'TL13'!$J$238:$J$451),0),
IF('TL14'!$B$3=K$3,SUMIF('TL14'!$C$10:$C$224,$C169,'TL14'!$J$10:$J$224),0),
IF('TL14'!$B$229=K$3,SUMIF('TL14'!$C$238:$C$451,$C169,'TL14'!$J$238:$J$451),0),
IF('TL15'!$B$3=K$3,SUMIF('TL15'!$C$10:$C$224,$C169,'TL15'!$J$10:$J$224),0),
IF('TL15'!$B$229=K$3,SUMIF('TL15'!$C$238:$C$451,$C169,'TL15'!$J$238:$J$451),0),
IF('TL16'!$B$3=K$3,SUMIF('TL16'!$C$10:$C$224,$C169,'TL16'!$J$10:$J$224),0),
IF('TL16'!$B$229=K$3,SUMIF('TL16'!$C$238:$C$451,$C169,'TL16'!$J$238:$J$451),0),
IF('TL17'!$B$3=K$3,SUMIF('TL17'!$C$10:$C$224,$C169,'TL17'!$J$10:$J$224),0),
IF('TL17'!$B$229=K$3,SUMIF('TL17'!$C$238:$C$451,$C169,'TL17'!$J$238:$J$451),0),
IF('TL18'!$B$3=K$3,SUMIF('TL18'!$C$10:$C$224,$C169,'TL18'!$J$10:$J$224),0),
IF('TL18'!$B$229=K$3,SUMIF('TL18'!$C$238:$C$451,$C169,'TL18'!$J$238:$J$451),0),
IF('TL19'!$B$3=K$3,SUMIF('TL19'!$C$10:$C$224,$C169,'TL19'!$J$10:$J$224),0),
IF('TL19'!$B$229=K$3,SUMIF('TL19'!$C$238:$C$451,$C169,'TL19'!$J$238:$J$451),0)
),0)</f>
        <v/>
      </c>
      <c r="L169" s="9">
        <f>IFERROR(SUM(
IF('TL01'!$B$3=L$3,SUMIF('TL01'!$C$10:$C$224,$C169,'TL01'!$J$10:$J$224),0),
IF('TL01'!$B$229=L$3,SUMIF('TL01'!$C$238:$C$451,$C169,'TL01'!$J$238:$J$451),0),
IF('TL02'!$B$3=L$3,SUMIF('TL02'!$C$10:$C$224,$C169,'TL02'!$J$10:$J$224),0),
IF('TL02'!$B$229=L$3,SUMIF('TL02'!$C$238:$C$451,$C169,'TL02'!$J$238:$J$451),0),
IF('TL03'!$B$3=L$3,SUMIF('TL03'!$C$10:$C$224,$C169,'TL03'!$J$10:$J$224),0),
IF('TL03'!$B$229=L$3,SUMIF('TL03'!$C$238:$C$451,$C169,'TL03'!$J$238:$J$451),0),
IF('TL04'!$B$3=L$3,SUMIF('TL04'!$C$10:$C$224,$C169,'TL04'!$J$10:$J$224),0),
IF('TL04'!$B$229=L$3,SUMIF('TL04'!$C$238:$C$451,$C169,'TL04'!$J$238:$J$451),0),
IF('TL05'!$B$3=L$3,SUMIF('TL05'!$C$10:$C$224,$C169,'TL05'!$J$10:$J$224),0),
IF('TL05'!$B$229=L$3,SUMIF('TL05'!$C$238:$C$451,$C169,'TL05'!$J$238:$J$451),0),
IF('TL06'!$B$3=L$3,SUMIF('TL06'!$C$10:$C$224,$C169,'TL06'!$J$10:$J$224),0),
IF('TL06'!$B$229=L$3,SUMIF('TL06'!$C$238:$C$451,$C169,'TL06'!$J$238:$J$451),0),
IF('TL07'!$B$3=L$3,SUMIF('TL07'!$C$10:$C$224,$C169,'TL07'!$J$10:$J$224),0),
IF('TL07'!$B$229=L$3,SUMIF('TL07'!$C$238:$C$451,$C169,'TL07'!$J$238:$J$451),0),
IF('TL08'!$B$3=L$3,SUMIF('TL08'!$C$10:$C$224,$C169,'TL08'!$J$10:$J$224),0),
IF('TL08'!$B$229=L$3,SUMIF('TL08'!$C$238:$C$451,$C169,'TL08'!$J$238:$J$451),0),
IF('TL09'!$B$3=L$3,SUMIF('TL09'!$C$10:$C$224,$C169,'TL09'!$J$10:$J$224),0),
IF('TL09'!$B$229=L$3,SUMIF('TL09'!$C$238:$C$451,$C169,'TL09'!$J$238:$J$451),0),
IF('TL10'!$B$3=L$3,SUMIF('TL10'!$C$10:$C$224,$C169,'TL10'!$J$10:$J$224),0),
IF('TL10'!$B$229=L$3,SUMIF('TL10'!$C$238:$C$451,$C169,'TL10'!$J$238:$J$451),0),
IF('TL11'!$B$3=L$3,SUMIF('TL11'!$C$10:$C$224,$C169,'TL11'!$J$10:$J$224),0),
IF('TL11'!$B$229=L$3,SUMIF('TL11'!$C$238:$C$451,$C169,'TL11'!$J$238:$J$451),0),
IF('TL12'!$B$3=L$3,SUMIF('TL12'!$C$10:$C$224,$C169,'TL12'!$J$10:$J$224),0),
IF('TL12'!$B$229=L$3,SUMIF('TL12'!$C$238:$C$451,$C169,'TL12'!$J$238:$J$451),0),
IF('TL13'!$B$3=L$3,SUMIF('TL13'!$C$10:$C$224,$C169,'TL13'!$J$10:$J$224),0),
IF('TL13'!$B$229=L$3,SUMIF('TL13'!$C$238:$C$451,$C169,'TL13'!$J$238:$J$451),0),
IF('TL14'!$B$3=L$3,SUMIF('TL14'!$C$10:$C$224,$C169,'TL14'!$J$10:$J$224),0),
IF('TL14'!$B$229=L$3,SUMIF('TL14'!$C$238:$C$451,$C169,'TL14'!$J$238:$J$451),0),
IF('TL15'!$B$3=L$3,SUMIF('TL15'!$C$10:$C$224,$C169,'TL15'!$J$10:$J$224),0),
IF('TL15'!$B$229=L$3,SUMIF('TL15'!$C$238:$C$451,$C169,'TL15'!$J$238:$J$451),0),
IF('TL16'!$B$3=L$3,SUMIF('TL16'!$C$10:$C$224,$C169,'TL16'!$J$10:$J$224),0),
IF('TL16'!$B$229=L$3,SUMIF('TL16'!$C$238:$C$451,$C169,'TL16'!$J$238:$J$451),0),
IF('TL17'!$B$3=L$3,SUMIF('TL17'!$C$10:$C$224,$C169,'TL17'!$J$10:$J$224),0),
IF('TL17'!$B$229=L$3,SUMIF('TL17'!$C$238:$C$451,$C169,'TL17'!$J$238:$J$451),0),
IF('TL18'!$B$3=L$3,SUMIF('TL18'!$C$10:$C$224,$C169,'TL18'!$J$10:$J$224),0),
IF('TL18'!$B$229=L$3,SUMIF('TL18'!$C$238:$C$451,$C169,'TL18'!$J$238:$J$451),0),
IF('TL19'!$B$3=L$3,SUMIF('TL19'!$C$10:$C$224,$C169,'TL19'!$J$10:$J$224),0),
IF('TL19'!$B$229=L$3,SUMIF('TL19'!$C$238:$C$451,$C169,'TL19'!$J$238:$J$451),0)
),0)</f>
        <v/>
      </c>
      <c r="M169" s="9">
        <f>IFERROR(SUM(
IF('TL01'!$B$3=M$3,SUMIF('TL01'!$C$10:$C$224,$C169,'TL01'!$J$10:$J$224),0),
IF('TL01'!$B$229=M$3,SUMIF('TL01'!$C$238:$C$451,$C169,'TL01'!$J$238:$J$451),0),
IF('TL02'!$B$3=M$3,SUMIF('TL02'!$C$10:$C$224,$C169,'TL02'!$J$10:$J$224),0),
IF('TL02'!$B$229=M$3,SUMIF('TL02'!$C$238:$C$451,$C169,'TL02'!$J$238:$J$451),0),
IF('TL03'!$B$3=M$3,SUMIF('TL03'!$C$10:$C$224,$C169,'TL03'!$J$10:$J$224),0),
IF('TL03'!$B$229=M$3,SUMIF('TL03'!$C$238:$C$451,$C169,'TL03'!$J$238:$J$451),0),
IF('TL04'!$B$3=M$3,SUMIF('TL04'!$C$10:$C$224,$C169,'TL04'!$J$10:$J$224),0),
IF('TL04'!$B$229=M$3,SUMIF('TL04'!$C$238:$C$451,$C169,'TL04'!$J$238:$J$451),0),
IF('TL05'!$B$3=M$3,SUMIF('TL05'!$C$10:$C$224,$C169,'TL05'!$J$10:$J$224),0),
IF('TL05'!$B$229=M$3,SUMIF('TL05'!$C$238:$C$451,$C169,'TL05'!$J$238:$J$451),0),
IF('TL06'!$B$3=M$3,SUMIF('TL06'!$C$10:$C$224,$C169,'TL06'!$J$10:$J$224),0),
IF('TL06'!$B$229=M$3,SUMIF('TL06'!$C$238:$C$451,$C169,'TL06'!$J$238:$J$451),0),
IF('TL07'!$B$3=M$3,SUMIF('TL07'!$C$10:$C$224,$C169,'TL07'!$J$10:$J$224),0),
IF('TL07'!$B$229=M$3,SUMIF('TL07'!$C$238:$C$451,$C169,'TL07'!$J$238:$J$451),0),
IF('TL08'!$B$3=M$3,SUMIF('TL08'!$C$10:$C$224,$C169,'TL08'!$J$10:$J$224),0),
IF('TL08'!$B$229=M$3,SUMIF('TL08'!$C$238:$C$451,$C169,'TL08'!$J$238:$J$451),0),
IF('TL09'!$B$3=M$3,SUMIF('TL09'!$C$10:$C$224,$C169,'TL09'!$J$10:$J$224),0),
IF('TL09'!$B$229=M$3,SUMIF('TL09'!$C$238:$C$451,$C169,'TL09'!$J$238:$J$451),0),
IF('TL10'!$B$3=M$3,SUMIF('TL10'!$C$10:$C$224,$C169,'TL10'!$J$10:$J$224),0),
IF('TL10'!$B$229=M$3,SUMIF('TL10'!$C$238:$C$451,$C169,'TL10'!$J$238:$J$451),0),
IF('TL11'!$B$3=M$3,SUMIF('TL11'!$C$10:$C$224,$C169,'TL11'!$J$10:$J$224),0),
IF('TL11'!$B$229=M$3,SUMIF('TL11'!$C$238:$C$451,$C169,'TL11'!$J$238:$J$451),0),
IF('TL12'!$B$3=M$3,SUMIF('TL12'!$C$10:$C$224,$C169,'TL12'!$J$10:$J$224),0),
IF('TL12'!$B$229=M$3,SUMIF('TL12'!$C$238:$C$451,$C169,'TL12'!$J$238:$J$451),0),
IF('TL13'!$B$3=M$3,SUMIF('TL13'!$C$10:$C$224,$C169,'TL13'!$J$10:$J$224),0),
IF('TL13'!$B$229=M$3,SUMIF('TL13'!$C$238:$C$451,$C169,'TL13'!$J$238:$J$451),0),
IF('TL14'!$B$3=M$3,SUMIF('TL14'!$C$10:$C$224,$C169,'TL14'!$J$10:$J$224),0),
IF('TL14'!$B$229=M$3,SUMIF('TL14'!$C$238:$C$451,$C169,'TL14'!$J$238:$J$451),0),
IF('TL15'!$B$3=M$3,SUMIF('TL15'!$C$10:$C$224,$C169,'TL15'!$J$10:$J$224),0),
IF('TL15'!$B$229=M$3,SUMIF('TL15'!$C$238:$C$451,$C169,'TL15'!$J$238:$J$451),0),
IF('TL16'!$B$3=M$3,SUMIF('TL16'!$C$10:$C$224,$C169,'TL16'!$J$10:$J$224),0),
IF('TL16'!$B$229=M$3,SUMIF('TL16'!$C$238:$C$451,$C169,'TL16'!$J$238:$J$451),0),
IF('TL17'!$B$3=M$3,SUMIF('TL17'!$C$10:$C$224,$C169,'TL17'!$J$10:$J$224),0),
IF('TL17'!$B$229=M$3,SUMIF('TL17'!$C$238:$C$451,$C169,'TL17'!$J$238:$J$451),0),
IF('TL18'!$B$3=M$3,SUMIF('TL18'!$C$10:$C$224,$C169,'TL18'!$J$10:$J$224),0),
IF('TL18'!$B$229=M$3,SUMIF('TL18'!$C$238:$C$451,$C169,'TL18'!$J$238:$J$451),0),
IF('TL19'!$B$3=M$3,SUMIF('TL19'!$C$10:$C$224,$C169,'TL19'!$J$10:$J$224),0),
IF('TL19'!$B$229=M$3,SUMIF('TL19'!$C$238:$C$451,$C169,'TL19'!$J$238:$J$451),0)
),0)</f>
        <v/>
      </c>
      <c r="N169" s="9">
        <f>IFERROR(SUM(
IF('TL01'!$B$3=N$3,SUMIF('TL01'!$C$10:$C$224,$C169,'TL01'!$J$10:$J$224),0),
IF('TL01'!$B$229=N$3,SUMIF('TL01'!$C$238:$C$451,$C169,'TL01'!$J$238:$J$451),0),
IF('TL02'!$B$3=N$3,SUMIF('TL02'!$C$10:$C$224,$C169,'TL02'!$J$10:$J$224),0),
IF('TL02'!$B$229=N$3,SUMIF('TL02'!$C$238:$C$451,$C169,'TL02'!$J$238:$J$451),0),
IF('TL03'!$B$3=N$3,SUMIF('TL03'!$C$10:$C$224,$C169,'TL03'!$J$10:$J$224),0),
IF('TL03'!$B$229=N$3,SUMIF('TL03'!$C$238:$C$451,$C169,'TL03'!$J$238:$J$451),0),
IF('TL04'!$B$3=N$3,SUMIF('TL04'!$C$10:$C$224,$C169,'TL04'!$J$10:$J$224),0),
IF('TL04'!$B$229=N$3,SUMIF('TL04'!$C$238:$C$451,$C169,'TL04'!$J$238:$J$451),0),
IF('TL05'!$B$3=N$3,SUMIF('TL05'!$C$10:$C$224,$C169,'TL05'!$J$10:$J$224),0),
IF('TL05'!$B$229=N$3,SUMIF('TL05'!$C$238:$C$451,$C169,'TL05'!$J$238:$J$451),0),
IF('TL06'!$B$3=N$3,SUMIF('TL06'!$C$10:$C$224,$C169,'TL06'!$J$10:$J$224),0),
IF('TL06'!$B$229=N$3,SUMIF('TL06'!$C$238:$C$451,$C169,'TL06'!$J$238:$J$451),0),
IF('TL07'!$B$3=N$3,SUMIF('TL07'!$C$10:$C$224,$C169,'TL07'!$J$10:$J$224),0),
IF('TL07'!$B$229=N$3,SUMIF('TL07'!$C$238:$C$451,$C169,'TL07'!$J$238:$J$451),0),
IF('TL08'!$B$3=N$3,SUMIF('TL08'!$C$10:$C$224,$C169,'TL08'!$J$10:$J$224),0),
IF('TL08'!$B$229=N$3,SUMIF('TL08'!$C$238:$C$451,$C169,'TL08'!$J$238:$J$451),0),
IF('TL09'!$B$3=N$3,SUMIF('TL09'!$C$10:$C$224,$C169,'TL09'!$J$10:$J$224),0),
IF('TL09'!$B$229=N$3,SUMIF('TL09'!$C$238:$C$451,$C169,'TL09'!$J$238:$J$451),0),
IF('TL10'!$B$3=N$3,SUMIF('TL10'!$C$10:$C$224,$C169,'TL10'!$J$10:$J$224),0),
IF('TL10'!$B$229=N$3,SUMIF('TL10'!$C$238:$C$451,$C169,'TL10'!$J$238:$J$451),0),
IF('TL11'!$B$3=N$3,SUMIF('TL11'!$C$10:$C$224,$C169,'TL11'!$J$10:$J$224),0),
IF('TL11'!$B$229=N$3,SUMIF('TL11'!$C$238:$C$451,$C169,'TL11'!$J$238:$J$451),0),
IF('TL12'!$B$3=N$3,SUMIF('TL12'!$C$10:$C$224,$C169,'TL12'!$J$10:$J$224),0),
IF('TL12'!$B$229=N$3,SUMIF('TL12'!$C$238:$C$451,$C169,'TL12'!$J$238:$J$451),0),
IF('TL13'!$B$3=N$3,SUMIF('TL13'!$C$10:$C$224,$C169,'TL13'!$J$10:$J$224),0),
IF('TL13'!$B$229=N$3,SUMIF('TL13'!$C$238:$C$451,$C169,'TL13'!$J$238:$J$451),0),
IF('TL14'!$B$3=N$3,SUMIF('TL14'!$C$10:$C$224,$C169,'TL14'!$J$10:$J$224),0),
IF('TL14'!$B$229=N$3,SUMIF('TL14'!$C$238:$C$451,$C169,'TL14'!$J$238:$J$451),0),
IF('TL15'!$B$3=N$3,SUMIF('TL15'!$C$10:$C$224,$C169,'TL15'!$J$10:$J$224),0),
IF('TL15'!$B$229=N$3,SUMIF('TL15'!$C$238:$C$451,$C169,'TL15'!$J$238:$J$451),0),
IF('TL16'!$B$3=N$3,SUMIF('TL16'!$C$10:$C$224,$C169,'TL16'!$J$10:$J$224),0),
IF('TL16'!$B$229=N$3,SUMIF('TL16'!$C$238:$C$451,$C169,'TL16'!$J$238:$J$451),0),
IF('TL17'!$B$3=N$3,SUMIF('TL17'!$C$10:$C$224,$C169,'TL17'!$J$10:$J$224),0),
IF('TL17'!$B$229=N$3,SUMIF('TL17'!$C$238:$C$451,$C169,'TL17'!$J$238:$J$451),0),
IF('TL18'!$B$3=N$3,SUMIF('TL18'!$C$10:$C$224,$C169,'TL18'!$J$10:$J$224),0),
IF('TL18'!$B$229=N$3,SUMIF('TL18'!$C$238:$C$451,$C169,'TL18'!$J$238:$J$451),0),
IF('TL19'!$B$3=N$3,SUMIF('TL19'!$C$10:$C$224,$C169,'TL19'!$J$10:$J$224),0),
IF('TL19'!$B$229=N$3,SUMIF('TL19'!$C$238:$C$451,$C169,'TL19'!$J$238:$J$451),0)
),0)</f>
        <v/>
      </c>
      <c r="O169" s="9">
        <f>IFERROR(SUM(
IF('TL01'!$B$3=O$3,SUMIF('TL01'!$C$10:$C$224,$C169,'TL01'!$J$10:$J$224),0),
IF('TL01'!$B$229=O$3,SUMIF('TL01'!$C$238:$C$451,$C169,'TL01'!$J$238:$J$451),0),
IF('TL02'!$B$3=O$3,SUMIF('TL02'!$C$10:$C$224,$C169,'TL02'!$J$10:$J$224),0),
IF('TL02'!$B$229=O$3,SUMIF('TL02'!$C$238:$C$451,$C169,'TL02'!$J$238:$J$451),0),
IF('TL03'!$B$3=O$3,SUMIF('TL03'!$C$10:$C$224,$C169,'TL03'!$J$10:$J$224),0),
IF('TL03'!$B$229=O$3,SUMIF('TL03'!$C$238:$C$451,$C169,'TL03'!$J$238:$J$451),0),
IF('TL04'!$B$3=O$3,SUMIF('TL04'!$C$10:$C$224,$C169,'TL04'!$J$10:$J$224),0),
IF('TL04'!$B$229=O$3,SUMIF('TL04'!$C$238:$C$451,$C169,'TL04'!$J$238:$J$451),0),
IF('TL05'!$B$3=O$3,SUMIF('TL05'!$C$10:$C$224,$C169,'TL05'!$J$10:$J$224),0),
IF('TL05'!$B$229=O$3,SUMIF('TL05'!$C$238:$C$451,$C169,'TL05'!$J$238:$J$451),0),
IF('TL06'!$B$3=O$3,SUMIF('TL06'!$C$10:$C$224,$C169,'TL06'!$J$10:$J$224),0),
IF('TL06'!$B$229=O$3,SUMIF('TL06'!$C$238:$C$451,$C169,'TL06'!$J$238:$J$451),0),
IF('TL07'!$B$3=O$3,SUMIF('TL07'!$C$10:$C$224,$C169,'TL07'!$J$10:$J$224),0),
IF('TL07'!$B$229=O$3,SUMIF('TL07'!$C$238:$C$451,$C169,'TL07'!$J$238:$J$451),0),
IF('TL08'!$B$3=O$3,SUMIF('TL08'!$C$10:$C$224,$C169,'TL08'!$J$10:$J$224),0),
IF('TL08'!$B$229=O$3,SUMIF('TL08'!$C$238:$C$451,$C169,'TL08'!$J$238:$J$451),0),
IF('TL09'!$B$3=O$3,SUMIF('TL09'!$C$10:$C$224,$C169,'TL09'!$J$10:$J$224),0),
IF('TL09'!$B$229=O$3,SUMIF('TL09'!$C$238:$C$451,$C169,'TL09'!$J$238:$J$451),0),
IF('TL10'!$B$3=O$3,SUMIF('TL10'!$C$10:$C$224,$C169,'TL10'!$J$10:$J$224),0),
IF('TL10'!$B$229=O$3,SUMIF('TL10'!$C$238:$C$451,$C169,'TL10'!$J$238:$J$451),0),
IF('TL11'!$B$3=O$3,SUMIF('TL11'!$C$10:$C$224,$C169,'TL11'!$J$10:$J$224),0),
IF('TL11'!$B$229=O$3,SUMIF('TL11'!$C$238:$C$451,$C169,'TL11'!$J$238:$J$451),0),
IF('TL12'!$B$3=O$3,SUMIF('TL12'!$C$10:$C$224,$C169,'TL12'!$J$10:$J$224),0),
IF('TL12'!$B$229=O$3,SUMIF('TL12'!$C$238:$C$451,$C169,'TL12'!$J$238:$J$451),0),
IF('TL13'!$B$3=O$3,SUMIF('TL13'!$C$10:$C$224,$C169,'TL13'!$J$10:$J$224),0),
IF('TL13'!$B$229=O$3,SUMIF('TL13'!$C$238:$C$451,$C169,'TL13'!$J$238:$J$451),0),
IF('TL14'!$B$3=O$3,SUMIF('TL14'!$C$10:$C$224,$C169,'TL14'!$J$10:$J$224),0),
IF('TL14'!$B$229=O$3,SUMIF('TL14'!$C$238:$C$451,$C169,'TL14'!$J$238:$J$451),0),
IF('TL15'!$B$3=O$3,SUMIF('TL15'!$C$10:$C$224,$C169,'TL15'!$J$10:$J$224),0),
IF('TL15'!$B$229=O$3,SUMIF('TL15'!$C$238:$C$451,$C169,'TL15'!$J$238:$J$451),0),
IF('TL16'!$B$3=O$3,SUMIF('TL16'!$C$10:$C$224,$C169,'TL16'!$J$10:$J$224),0),
IF('TL16'!$B$229=O$3,SUMIF('TL16'!$C$238:$C$451,$C169,'TL16'!$J$238:$J$451),0),
IF('TL17'!$B$3=O$3,SUMIF('TL17'!$C$10:$C$224,$C169,'TL17'!$J$10:$J$224),0),
IF('TL17'!$B$229=O$3,SUMIF('TL17'!$C$238:$C$451,$C169,'TL17'!$J$238:$J$451),0),
IF('TL18'!$B$3=O$3,SUMIF('TL18'!$C$10:$C$224,$C169,'TL18'!$J$10:$J$224),0),
IF('TL18'!$B$229=O$3,SUMIF('TL18'!$C$238:$C$451,$C169,'TL18'!$J$238:$J$451),0),
IF('TL19'!$B$3=O$3,SUMIF('TL19'!$C$10:$C$224,$C169,'TL19'!$J$10:$J$224),0),
IF('TL19'!$B$229=O$3,SUMIF('TL19'!$C$238:$C$451,$C169,'TL19'!$J$238:$J$451),0)
),0)</f>
        <v/>
      </c>
      <c r="P169" s="9">
        <f>IFERROR(SUM(
IF('TL01'!$B$3=P$3,SUMIF('TL01'!$C$10:$C$224,$C169,'TL01'!$J$10:$J$224),0),
IF('TL01'!$B$229=P$3,SUMIF('TL01'!$C$238:$C$451,$C169,'TL01'!$J$238:$J$451),0),
IF('TL02'!$B$3=P$3,SUMIF('TL02'!$C$10:$C$224,$C169,'TL02'!$J$10:$J$224),0),
IF('TL02'!$B$229=P$3,SUMIF('TL02'!$C$238:$C$451,$C169,'TL02'!$J$238:$J$451),0),
IF('TL03'!$B$3=P$3,SUMIF('TL03'!$C$10:$C$224,$C169,'TL03'!$J$10:$J$224),0),
IF('TL03'!$B$229=P$3,SUMIF('TL03'!$C$238:$C$451,$C169,'TL03'!$J$238:$J$451),0),
IF('TL04'!$B$3=P$3,SUMIF('TL04'!$C$10:$C$224,$C169,'TL04'!$J$10:$J$224),0),
IF('TL04'!$B$229=P$3,SUMIF('TL04'!$C$238:$C$451,$C169,'TL04'!$J$238:$J$451),0),
IF('TL05'!$B$3=P$3,SUMIF('TL05'!$C$10:$C$224,$C169,'TL05'!$J$10:$J$224),0),
IF('TL05'!$B$229=P$3,SUMIF('TL05'!$C$238:$C$451,$C169,'TL05'!$J$238:$J$451),0),
IF('TL06'!$B$3=P$3,SUMIF('TL06'!$C$10:$C$224,$C169,'TL06'!$J$10:$J$224),0),
IF('TL06'!$B$229=P$3,SUMIF('TL06'!$C$238:$C$451,$C169,'TL06'!$J$238:$J$451),0),
IF('TL07'!$B$3=P$3,SUMIF('TL07'!$C$10:$C$224,$C169,'TL07'!$J$10:$J$224),0),
IF('TL07'!$B$229=P$3,SUMIF('TL07'!$C$238:$C$451,$C169,'TL07'!$J$238:$J$451),0),
IF('TL08'!$B$3=P$3,SUMIF('TL08'!$C$10:$C$224,$C169,'TL08'!$J$10:$J$224),0),
IF('TL08'!$B$229=P$3,SUMIF('TL08'!$C$238:$C$451,$C169,'TL08'!$J$238:$J$451),0),
IF('TL09'!$B$3=P$3,SUMIF('TL09'!$C$10:$C$224,$C169,'TL09'!$J$10:$J$224),0),
IF('TL09'!$B$229=P$3,SUMIF('TL09'!$C$238:$C$451,$C169,'TL09'!$J$238:$J$451),0),
IF('TL10'!$B$3=P$3,SUMIF('TL10'!$C$10:$C$224,$C169,'TL10'!$J$10:$J$224),0),
IF('TL10'!$B$229=P$3,SUMIF('TL10'!$C$238:$C$451,$C169,'TL10'!$J$238:$J$451),0),
IF('TL11'!$B$3=P$3,SUMIF('TL11'!$C$10:$C$224,$C169,'TL11'!$J$10:$J$224),0),
IF('TL11'!$B$229=P$3,SUMIF('TL11'!$C$238:$C$451,$C169,'TL11'!$J$238:$J$451),0),
IF('TL12'!$B$3=P$3,SUMIF('TL12'!$C$10:$C$224,$C169,'TL12'!$J$10:$J$224),0),
IF('TL12'!$B$229=P$3,SUMIF('TL12'!$C$238:$C$451,$C169,'TL12'!$J$238:$J$451),0),
IF('TL13'!$B$3=P$3,SUMIF('TL13'!$C$10:$C$224,$C169,'TL13'!$J$10:$J$224),0),
IF('TL13'!$B$229=P$3,SUMIF('TL13'!$C$238:$C$451,$C169,'TL13'!$J$238:$J$451),0),
IF('TL14'!$B$3=P$3,SUMIF('TL14'!$C$10:$C$224,$C169,'TL14'!$J$10:$J$224),0),
IF('TL14'!$B$229=P$3,SUMIF('TL14'!$C$238:$C$451,$C169,'TL14'!$J$238:$J$451),0),
IF('TL15'!$B$3=P$3,SUMIF('TL15'!$C$10:$C$224,$C169,'TL15'!$J$10:$J$224),0),
IF('TL15'!$B$229=P$3,SUMIF('TL15'!$C$238:$C$451,$C169,'TL15'!$J$238:$J$451),0),
IF('TL16'!$B$3=P$3,SUMIF('TL16'!$C$10:$C$224,$C169,'TL16'!$J$10:$J$224),0),
IF('TL16'!$B$229=P$3,SUMIF('TL16'!$C$238:$C$451,$C169,'TL16'!$J$238:$J$451),0),
IF('TL17'!$B$3=P$3,SUMIF('TL17'!$C$10:$C$224,$C169,'TL17'!$J$10:$J$224),0),
IF('TL17'!$B$229=P$3,SUMIF('TL17'!$C$238:$C$451,$C169,'TL17'!$J$238:$J$451),0),
IF('TL18'!$B$3=P$3,SUMIF('TL18'!$C$10:$C$224,$C169,'TL18'!$J$10:$J$224),0),
IF('TL18'!$B$229=P$3,SUMIF('TL18'!$C$238:$C$451,$C169,'TL18'!$J$238:$J$451),0),
IF('TL19'!$B$3=P$3,SUMIF('TL19'!$C$10:$C$224,$C169,'TL19'!$J$10:$J$224),0),
IF('TL19'!$B$229=P$3,SUMIF('TL19'!$C$238:$C$451,$C169,'TL19'!$J$238:$J$451),0)
),0)</f>
        <v/>
      </c>
      <c r="Q169" s="9">
        <f>IFERROR(SUM(
IF('TL01'!$B$3=Q$3,SUMIF('TL01'!$C$10:$C$224,$C169,'TL01'!$J$10:$J$224),0),
IF('TL01'!$B$229=Q$3,SUMIF('TL01'!$C$238:$C$451,$C169,'TL01'!$J$238:$J$451),0),
IF('TL02'!$B$3=Q$3,SUMIF('TL02'!$C$10:$C$224,$C169,'TL02'!$J$10:$J$224),0),
IF('TL02'!$B$229=Q$3,SUMIF('TL02'!$C$238:$C$451,$C169,'TL02'!$J$238:$J$451),0),
IF('TL03'!$B$3=Q$3,SUMIF('TL03'!$C$10:$C$224,$C169,'TL03'!$J$10:$J$224),0),
IF('TL03'!$B$229=Q$3,SUMIF('TL03'!$C$238:$C$451,$C169,'TL03'!$J$238:$J$451),0),
IF('TL04'!$B$3=Q$3,SUMIF('TL04'!$C$10:$C$224,$C169,'TL04'!$J$10:$J$224),0),
IF('TL04'!$B$229=Q$3,SUMIF('TL04'!$C$238:$C$451,$C169,'TL04'!$J$238:$J$451),0),
IF('TL05'!$B$3=Q$3,SUMIF('TL05'!$C$10:$C$224,$C169,'TL05'!$J$10:$J$224),0),
IF('TL05'!$B$229=Q$3,SUMIF('TL05'!$C$238:$C$451,$C169,'TL05'!$J$238:$J$451),0),
IF('TL06'!$B$3=Q$3,SUMIF('TL06'!$C$10:$C$224,$C169,'TL06'!$J$10:$J$224),0),
IF('TL06'!$B$229=Q$3,SUMIF('TL06'!$C$238:$C$451,$C169,'TL06'!$J$238:$J$451),0),
IF('TL07'!$B$3=Q$3,SUMIF('TL07'!$C$10:$C$224,$C169,'TL07'!$J$10:$J$224),0),
IF('TL07'!$B$229=Q$3,SUMIF('TL07'!$C$238:$C$451,$C169,'TL07'!$J$238:$J$451),0),
IF('TL08'!$B$3=Q$3,SUMIF('TL08'!$C$10:$C$224,$C169,'TL08'!$J$10:$J$224),0),
IF('TL08'!$B$229=Q$3,SUMIF('TL08'!$C$238:$C$451,$C169,'TL08'!$J$238:$J$451),0),
IF('TL09'!$B$3=Q$3,SUMIF('TL09'!$C$10:$C$224,$C169,'TL09'!$J$10:$J$224),0),
IF('TL09'!$B$229=Q$3,SUMIF('TL09'!$C$238:$C$451,$C169,'TL09'!$J$238:$J$451),0),
IF('TL10'!$B$3=Q$3,SUMIF('TL10'!$C$10:$C$224,$C169,'TL10'!$J$10:$J$224),0),
IF('TL10'!$B$229=Q$3,SUMIF('TL10'!$C$238:$C$451,$C169,'TL10'!$J$238:$J$451),0),
IF('TL11'!$B$3=Q$3,SUMIF('TL11'!$C$10:$C$224,$C169,'TL11'!$J$10:$J$224),0),
IF('TL11'!$B$229=Q$3,SUMIF('TL11'!$C$238:$C$451,$C169,'TL11'!$J$238:$J$451),0),
IF('TL12'!$B$3=Q$3,SUMIF('TL12'!$C$10:$C$224,$C169,'TL12'!$J$10:$J$224),0),
IF('TL12'!$B$229=Q$3,SUMIF('TL12'!$C$238:$C$451,$C169,'TL12'!$J$238:$J$451),0),
IF('TL13'!$B$3=Q$3,SUMIF('TL13'!$C$10:$C$224,$C169,'TL13'!$J$10:$J$224),0),
IF('TL13'!$B$229=Q$3,SUMIF('TL13'!$C$238:$C$451,$C169,'TL13'!$J$238:$J$451),0),
IF('TL14'!$B$3=Q$3,SUMIF('TL14'!$C$10:$C$224,$C169,'TL14'!$J$10:$J$224),0),
IF('TL14'!$B$229=Q$3,SUMIF('TL14'!$C$238:$C$451,$C169,'TL14'!$J$238:$J$451),0),
IF('TL15'!$B$3=Q$3,SUMIF('TL15'!$C$10:$C$224,$C169,'TL15'!$J$10:$J$224),0),
IF('TL15'!$B$229=Q$3,SUMIF('TL15'!$C$238:$C$451,$C169,'TL15'!$J$238:$J$451),0),
IF('TL16'!$B$3=Q$3,SUMIF('TL16'!$C$10:$C$224,$C169,'TL16'!$J$10:$J$224),0),
IF('TL16'!$B$229=Q$3,SUMIF('TL16'!$C$238:$C$451,$C169,'TL16'!$J$238:$J$451),0),
IF('TL17'!$B$3=Q$3,SUMIF('TL17'!$C$10:$C$224,$C169,'TL17'!$J$10:$J$224),0),
IF('TL17'!$B$229=Q$3,SUMIF('TL17'!$C$238:$C$451,$C169,'TL17'!$J$238:$J$451),0),
IF('TL18'!$B$3=Q$3,SUMIF('TL18'!$C$10:$C$224,$C169,'TL18'!$J$10:$J$224),0),
IF('TL18'!$B$229=Q$3,SUMIF('TL18'!$C$238:$C$451,$C169,'TL18'!$J$238:$J$451),0),
IF('TL19'!$B$3=Q$3,SUMIF('TL19'!$C$10:$C$224,$C169,'TL19'!$J$10:$J$224),0),
IF('TL19'!$B$229=Q$3,SUMIF('TL19'!$C$238:$C$451,$C169,'TL19'!$J$238:$J$451),0)
),0)</f>
        <v/>
      </c>
      <c r="R169" s="9">
        <f>IFERROR(
SUM(
SUMIF('TL01'!C:C,C169,'TL01'!J:J),
SUMIF('TL02'!C:C,C169,'TL02'!J:J),
SUMIF('TL03'!C:C,C169,'TL03'!J:J),
SUMIF('TL04'!C:C,C169,'TL04'!J:J),
SUMIF('TL05'!C:C,C169,'TL05'!J:J),
SUMIF('TL06'!C:C,C169,'TL06'!J:J),
SUMIF('TL07'!C:C,C169,'TL07'!J:J),
SUMIF('TL08'!C:C,C169,'TL08'!J:J),
SUMIF('TL09'!C:C,C169,'TL09'!J:J),
SUMIF('TL10'!C:C,C169,'TL10'!J:J),
SUMIF('TL11'!C:C,C169,'TL11'!J:J),
SUMIF('TL12'!C:C,C169,'TL12'!J:J),
SUMIF('TL13'!C:C,C169,'TL13'!J:J),
SUMIF('TL14'!C:C,C169,'TL14'!J:J),
SUMIF('TL15'!C:C,C169,'TL15'!J:J),
SUMIF('TL16'!C:C,C169,'TL16'!J:J),
SUMIF('TL17'!C:C,C169,'TL17'!J:J),
SUMIF('TL18'!C:C,C169,'TL18'!J:J),SUMIF('TL19'!C:C,C169,'TL19'!J:J))
,0)</f>
        <v/>
      </c>
      <c r="S169" s="17">
        <f>IFERROR(__xludf.DUMMYFUNCTION("IFERROR(VLOOKUP(C169,
IMPORTRANGE(""1wULbzX32WdYsx-lj2U3uUNBBe2INVIRDtcK0d-Dvl90"",
""26-27!C:G""),
5,
FALSE),
"""")"),436.88491999999997)</f>
        <v/>
      </c>
      <c r="T169" s="9" t="n"/>
      <c r="U169" s="92">
        <f>MAX(0,R169-T169)</f>
        <v/>
      </c>
      <c r="V169" s="93">
        <f>U169*S169</f>
        <v/>
      </c>
    </row>
    <row r="170" hidden="1" ht="15.75" customHeight="1" s="297">
      <c r="A170" s="115" t="inlineStr">
        <is>
          <t>SYNGENTA</t>
        </is>
      </c>
      <c r="B170" s="100" t="inlineStr">
        <is>
          <t>HERBICIDA</t>
        </is>
      </c>
      <c r="C170" s="116" t="inlineStr">
        <is>
          <t>ZAPP QI 620</t>
        </is>
      </c>
      <c r="D170" s="116" t="inlineStr">
        <is>
          <t>GLIFOSATO-SAL DE POTÁSSIO</t>
        </is>
      </c>
      <c r="E170" s="116" t="n">
        <v>500</v>
      </c>
      <c r="F170" s="4" t="inlineStr">
        <is>
          <t>L</t>
        </is>
      </c>
      <c r="G170" s="90">
        <f>HYPERLINK("https://www.google.com/search?q=" &amp; C170 &amp; "+bula+agrofit+pdf", "📄 Ver bula")</f>
        <v/>
      </c>
      <c r="H170" s="9">
        <f>IFERROR(__xludf.DUMMYFUNCTION("IFERROR(VLOOKUP(C170,
IMPORTRANGE(""1wULbzX32WdYsx-lj2U3uUNBBe2INVIRDtcK0d-Dvl90"",
""26-27!C:K""),
8,
FALSE),
"""")"),2.0)</f>
        <v/>
      </c>
      <c r="I170" s="117" t="inlineStr">
        <is>
          <t>1x20</t>
        </is>
      </c>
      <c r="J170" s="9">
        <f>IFERROR(SUM(
IF('TL01'!$B$3=J$3,SUMIF('TL01'!$C$10:$C$224,$C170,'TL01'!$J$10:$J$224),0),
IF('TL01'!$B$229=J$3,SUMIF('TL01'!$C$238:$C$451,$C170,'TL01'!$J$238:$J$451),0),
IF('TL02'!$B$3=J$3,SUMIF('TL02'!$C$10:$C$224,$C170,'TL02'!$J$10:$J$224),0),
IF('TL02'!$B$229=J$3,SUMIF('TL02'!$C$238:$C$451,$C170,'TL02'!$J$238:$J$451),0),
IF('TL03'!$B$3=J$3,SUMIF('TL03'!$C$10:$C$224,$C170,'TL03'!$J$10:$J$224),0),
IF('TL03'!$B$229=J$3,SUMIF('TL03'!$C$238:$C$451,$C170,'TL03'!$J$238:$J$451),0),
IF('TL04'!$B$3=J$3,SUMIF('TL04'!$C$10:$C$224,$C170,'TL04'!$J$10:$J$224),0),
IF('TL04'!$B$229=J$3,SUMIF('TL04'!$C$238:$C$451,$C170,'TL04'!$J$238:$J$451),0),
IF('TL05'!$B$3=J$3,SUMIF('TL05'!$C$10:$C$224,$C170,'TL05'!$J$10:$J$224),0),
IF('TL05'!$B$229=J$3,SUMIF('TL05'!$C$238:$C$451,$C170,'TL05'!$J$238:$J$451),0),
IF('TL06'!$B$3=J$3,SUMIF('TL06'!$C$10:$C$224,$C170,'TL06'!$J$10:$J$224),0),
IF('TL06'!$B$229=J$3,SUMIF('TL06'!$C$238:$C$451,$C170,'TL06'!$J$238:$J$451),0),
IF('TL07'!$B$3=J$3,SUMIF('TL07'!$C$10:$C$224,$C170,'TL07'!$J$10:$J$224),0),
IF('TL07'!$B$229=J$3,SUMIF('TL07'!$C$238:$C$451,$C170,'TL07'!$J$238:$J$451),0),
IF('TL08'!$B$3=J$3,SUMIF('TL08'!$C$10:$C$224,$C170,'TL08'!$J$10:$J$224),0),
IF('TL08'!$B$229=J$3,SUMIF('TL08'!$C$238:$C$451,$C170,'TL08'!$J$238:$J$451),0),
IF('TL09'!$B$3=J$3,SUMIF('TL09'!$C$10:$C$224,$C170,'TL09'!$J$10:$J$224),0),
IF('TL09'!$B$229=J$3,SUMIF('TL09'!$C$238:$C$451,$C170,'TL09'!$J$238:$J$451),0),
IF('TL10'!$B$3=J$3,SUMIF('TL10'!$C$10:$C$224,$C170,'TL10'!$J$10:$J$224),0),
IF('TL10'!$B$229=J$3,SUMIF('TL10'!$C$238:$C$451,$C170,'TL10'!$J$238:$J$451),0),
IF('TL11'!$B$3=J$3,SUMIF('TL11'!$C$10:$C$224,$C170,'TL11'!$J$10:$J$224),0),
IF('TL11'!$B$229=J$3,SUMIF('TL11'!$C$238:$C$451,$C170,'TL11'!$J$238:$J$451),0),
IF('TL12'!$B$3=J$3,SUMIF('TL12'!$C$10:$C$224,$C170,'TL12'!$J$10:$J$224),0),
IF('TL12'!$B$229=J$3,SUMIF('TL12'!$C$238:$C$451,$C170,'TL12'!$J$238:$J$451),0),
IF('TL13'!$B$3=J$3,SUMIF('TL13'!$C$10:$C$224,$C170,'TL13'!$J$10:$J$224),0),
IF('TL13'!$B$229=J$3,SUMIF('TL13'!$C$238:$C$451,$C170,'TL13'!$J$238:$J$451),0),
IF('TL14'!$B$3=J$3,SUMIF('TL14'!$C$10:$C$224,$C170,'TL14'!$J$10:$J$224),0),
IF('TL14'!$B$229=J$3,SUMIF('TL14'!$C$238:$C$451,$C170,'TL14'!$J$238:$J$451),0),
IF('TL15'!$B$3=J$3,SUMIF('TL15'!$C$10:$C$224,$C170,'TL15'!$J$10:$J$224),0),
IF('TL15'!$B$229=J$3,SUMIF('TL15'!$C$238:$C$451,$C170,'TL15'!$J$238:$J$451),0),
IF('TL16'!$B$3=J$3,SUMIF('TL16'!$C$10:$C$224,$C170,'TL16'!$J$10:$J$224),0),
IF('TL16'!$B$229=J$3,SUMIF('TL16'!$C$238:$C$451,$C170,'TL16'!$J$238:$J$451),0),
IF('TL17'!$B$3=J$3,SUMIF('TL17'!$C$10:$C$224,$C170,'TL17'!$J$10:$J$224),0),
IF('TL17'!$B$229=J$3,SUMIF('TL17'!$C$238:$C$451,$C170,'TL17'!$J$238:$J$451),0),
IF('TL18'!$B$3=J$3,SUMIF('TL18'!$C$10:$C$224,$C170,'TL18'!$J$10:$J$224),0),
IF('TL18'!$B$229=J$3,SUMIF('TL18'!$C$238:$C$451,$C170,'TL18'!$J$238:$J$451),0),
IF('TL19'!$B$3=J$3,SUMIF('TL19'!$C$10:$C$224,$C170,'TL19'!$J$10:$J$224),0),
IF('TL19'!$B$229=J$3,SUMIF('TL19'!$C$238:$C$451,$C170,'TL19'!$J$238:$J$451),0)
),0)</f>
        <v/>
      </c>
      <c r="K170" s="9">
        <f>IFERROR(SUM(
IF('TL01'!$B$3=K$3,SUMIF('TL01'!$C$10:$C$224,$C170,'TL01'!$J$10:$J$224),0),
IF('TL01'!$B$229=K$3,SUMIF('TL01'!$C$238:$C$451,$C170,'TL01'!$J$238:$J$451),0),
IF('TL02'!$B$3=K$3,SUMIF('TL02'!$C$10:$C$224,$C170,'TL02'!$J$10:$J$224),0),
IF('TL02'!$B$229=K$3,SUMIF('TL02'!$C$238:$C$451,$C170,'TL02'!$J$238:$J$451),0),
IF('TL03'!$B$3=K$3,SUMIF('TL03'!$C$10:$C$224,$C170,'TL03'!$J$10:$J$224),0),
IF('TL03'!$B$229=K$3,SUMIF('TL03'!$C$238:$C$451,$C170,'TL03'!$J$238:$J$451),0),
IF('TL04'!$B$3=K$3,SUMIF('TL04'!$C$10:$C$224,$C170,'TL04'!$J$10:$J$224),0),
IF('TL04'!$B$229=K$3,SUMIF('TL04'!$C$238:$C$451,$C170,'TL04'!$J$238:$J$451),0),
IF('TL05'!$B$3=K$3,SUMIF('TL05'!$C$10:$C$224,$C170,'TL05'!$J$10:$J$224),0),
IF('TL05'!$B$229=K$3,SUMIF('TL05'!$C$238:$C$451,$C170,'TL05'!$J$238:$J$451),0),
IF('TL06'!$B$3=K$3,SUMIF('TL06'!$C$10:$C$224,$C170,'TL06'!$J$10:$J$224),0),
IF('TL06'!$B$229=K$3,SUMIF('TL06'!$C$238:$C$451,$C170,'TL06'!$J$238:$J$451),0),
IF('TL07'!$B$3=K$3,SUMIF('TL07'!$C$10:$C$224,$C170,'TL07'!$J$10:$J$224),0),
IF('TL07'!$B$229=K$3,SUMIF('TL07'!$C$238:$C$451,$C170,'TL07'!$J$238:$J$451),0),
IF('TL08'!$B$3=K$3,SUMIF('TL08'!$C$10:$C$224,$C170,'TL08'!$J$10:$J$224),0),
IF('TL08'!$B$229=K$3,SUMIF('TL08'!$C$238:$C$451,$C170,'TL08'!$J$238:$J$451),0),
IF('TL09'!$B$3=K$3,SUMIF('TL09'!$C$10:$C$224,$C170,'TL09'!$J$10:$J$224),0),
IF('TL09'!$B$229=K$3,SUMIF('TL09'!$C$238:$C$451,$C170,'TL09'!$J$238:$J$451),0),
IF('TL10'!$B$3=K$3,SUMIF('TL10'!$C$10:$C$224,$C170,'TL10'!$J$10:$J$224),0),
IF('TL10'!$B$229=K$3,SUMIF('TL10'!$C$238:$C$451,$C170,'TL10'!$J$238:$J$451),0),
IF('TL11'!$B$3=K$3,SUMIF('TL11'!$C$10:$C$224,$C170,'TL11'!$J$10:$J$224),0),
IF('TL11'!$B$229=K$3,SUMIF('TL11'!$C$238:$C$451,$C170,'TL11'!$J$238:$J$451),0),
IF('TL12'!$B$3=K$3,SUMIF('TL12'!$C$10:$C$224,$C170,'TL12'!$J$10:$J$224),0),
IF('TL12'!$B$229=K$3,SUMIF('TL12'!$C$238:$C$451,$C170,'TL12'!$J$238:$J$451),0),
IF('TL13'!$B$3=K$3,SUMIF('TL13'!$C$10:$C$224,$C170,'TL13'!$J$10:$J$224),0),
IF('TL13'!$B$229=K$3,SUMIF('TL13'!$C$238:$C$451,$C170,'TL13'!$J$238:$J$451),0),
IF('TL14'!$B$3=K$3,SUMIF('TL14'!$C$10:$C$224,$C170,'TL14'!$J$10:$J$224),0),
IF('TL14'!$B$229=K$3,SUMIF('TL14'!$C$238:$C$451,$C170,'TL14'!$J$238:$J$451),0),
IF('TL15'!$B$3=K$3,SUMIF('TL15'!$C$10:$C$224,$C170,'TL15'!$J$10:$J$224),0),
IF('TL15'!$B$229=K$3,SUMIF('TL15'!$C$238:$C$451,$C170,'TL15'!$J$238:$J$451),0),
IF('TL16'!$B$3=K$3,SUMIF('TL16'!$C$10:$C$224,$C170,'TL16'!$J$10:$J$224),0),
IF('TL16'!$B$229=K$3,SUMIF('TL16'!$C$238:$C$451,$C170,'TL16'!$J$238:$J$451),0),
IF('TL17'!$B$3=K$3,SUMIF('TL17'!$C$10:$C$224,$C170,'TL17'!$J$10:$J$224),0),
IF('TL17'!$B$229=K$3,SUMIF('TL17'!$C$238:$C$451,$C170,'TL17'!$J$238:$J$451),0),
IF('TL18'!$B$3=K$3,SUMIF('TL18'!$C$10:$C$224,$C170,'TL18'!$J$10:$J$224),0),
IF('TL18'!$B$229=K$3,SUMIF('TL18'!$C$238:$C$451,$C170,'TL18'!$J$238:$J$451),0),
IF('TL19'!$B$3=K$3,SUMIF('TL19'!$C$10:$C$224,$C170,'TL19'!$J$10:$J$224),0),
IF('TL19'!$B$229=K$3,SUMIF('TL19'!$C$238:$C$451,$C170,'TL19'!$J$238:$J$451),0)
),0)</f>
        <v/>
      </c>
      <c r="L170" s="9">
        <f>IFERROR(SUM(
IF('TL01'!$B$3=L$3,SUMIF('TL01'!$C$10:$C$224,$C170,'TL01'!$J$10:$J$224),0),
IF('TL01'!$B$229=L$3,SUMIF('TL01'!$C$238:$C$451,$C170,'TL01'!$J$238:$J$451),0),
IF('TL02'!$B$3=L$3,SUMIF('TL02'!$C$10:$C$224,$C170,'TL02'!$J$10:$J$224),0),
IF('TL02'!$B$229=L$3,SUMIF('TL02'!$C$238:$C$451,$C170,'TL02'!$J$238:$J$451),0),
IF('TL03'!$B$3=L$3,SUMIF('TL03'!$C$10:$C$224,$C170,'TL03'!$J$10:$J$224),0),
IF('TL03'!$B$229=L$3,SUMIF('TL03'!$C$238:$C$451,$C170,'TL03'!$J$238:$J$451),0),
IF('TL04'!$B$3=L$3,SUMIF('TL04'!$C$10:$C$224,$C170,'TL04'!$J$10:$J$224),0),
IF('TL04'!$B$229=L$3,SUMIF('TL04'!$C$238:$C$451,$C170,'TL04'!$J$238:$J$451),0),
IF('TL05'!$B$3=L$3,SUMIF('TL05'!$C$10:$C$224,$C170,'TL05'!$J$10:$J$224),0),
IF('TL05'!$B$229=L$3,SUMIF('TL05'!$C$238:$C$451,$C170,'TL05'!$J$238:$J$451),0),
IF('TL06'!$B$3=L$3,SUMIF('TL06'!$C$10:$C$224,$C170,'TL06'!$J$10:$J$224),0),
IF('TL06'!$B$229=L$3,SUMIF('TL06'!$C$238:$C$451,$C170,'TL06'!$J$238:$J$451),0),
IF('TL07'!$B$3=L$3,SUMIF('TL07'!$C$10:$C$224,$C170,'TL07'!$J$10:$J$224),0),
IF('TL07'!$B$229=L$3,SUMIF('TL07'!$C$238:$C$451,$C170,'TL07'!$J$238:$J$451),0),
IF('TL08'!$B$3=L$3,SUMIF('TL08'!$C$10:$C$224,$C170,'TL08'!$J$10:$J$224),0),
IF('TL08'!$B$229=L$3,SUMIF('TL08'!$C$238:$C$451,$C170,'TL08'!$J$238:$J$451),0),
IF('TL09'!$B$3=L$3,SUMIF('TL09'!$C$10:$C$224,$C170,'TL09'!$J$10:$J$224),0),
IF('TL09'!$B$229=L$3,SUMIF('TL09'!$C$238:$C$451,$C170,'TL09'!$J$238:$J$451),0),
IF('TL10'!$B$3=L$3,SUMIF('TL10'!$C$10:$C$224,$C170,'TL10'!$J$10:$J$224),0),
IF('TL10'!$B$229=L$3,SUMIF('TL10'!$C$238:$C$451,$C170,'TL10'!$J$238:$J$451),0),
IF('TL11'!$B$3=L$3,SUMIF('TL11'!$C$10:$C$224,$C170,'TL11'!$J$10:$J$224),0),
IF('TL11'!$B$229=L$3,SUMIF('TL11'!$C$238:$C$451,$C170,'TL11'!$J$238:$J$451),0),
IF('TL12'!$B$3=L$3,SUMIF('TL12'!$C$10:$C$224,$C170,'TL12'!$J$10:$J$224),0),
IF('TL12'!$B$229=L$3,SUMIF('TL12'!$C$238:$C$451,$C170,'TL12'!$J$238:$J$451),0),
IF('TL13'!$B$3=L$3,SUMIF('TL13'!$C$10:$C$224,$C170,'TL13'!$J$10:$J$224),0),
IF('TL13'!$B$229=L$3,SUMIF('TL13'!$C$238:$C$451,$C170,'TL13'!$J$238:$J$451),0),
IF('TL14'!$B$3=L$3,SUMIF('TL14'!$C$10:$C$224,$C170,'TL14'!$J$10:$J$224),0),
IF('TL14'!$B$229=L$3,SUMIF('TL14'!$C$238:$C$451,$C170,'TL14'!$J$238:$J$451),0),
IF('TL15'!$B$3=L$3,SUMIF('TL15'!$C$10:$C$224,$C170,'TL15'!$J$10:$J$224),0),
IF('TL15'!$B$229=L$3,SUMIF('TL15'!$C$238:$C$451,$C170,'TL15'!$J$238:$J$451),0),
IF('TL16'!$B$3=L$3,SUMIF('TL16'!$C$10:$C$224,$C170,'TL16'!$J$10:$J$224),0),
IF('TL16'!$B$229=L$3,SUMIF('TL16'!$C$238:$C$451,$C170,'TL16'!$J$238:$J$451),0),
IF('TL17'!$B$3=L$3,SUMIF('TL17'!$C$10:$C$224,$C170,'TL17'!$J$10:$J$224),0),
IF('TL17'!$B$229=L$3,SUMIF('TL17'!$C$238:$C$451,$C170,'TL17'!$J$238:$J$451),0),
IF('TL18'!$B$3=L$3,SUMIF('TL18'!$C$10:$C$224,$C170,'TL18'!$J$10:$J$224),0),
IF('TL18'!$B$229=L$3,SUMIF('TL18'!$C$238:$C$451,$C170,'TL18'!$J$238:$J$451),0),
IF('TL19'!$B$3=L$3,SUMIF('TL19'!$C$10:$C$224,$C170,'TL19'!$J$10:$J$224),0),
IF('TL19'!$B$229=L$3,SUMIF('TL19'!$C$238:$C$451,$C170,'TL19'!$J$238:$J$451),0)
),0)</f>
        <v/>
      </c>
      <c r="M170" s="9">
        <f>IFERROR(SUM(
IF('TL01'!$B$3=M$3,SUMIF('TL01'!$C$10:$C$224,$C170,'TL01'!$J$10:$J$224),0),
IF('TL01'!$B$229=M$3,SUMIF('TL01'!$C$238:$C$451,$C170,'TL01'!$J$238:$J$451),0),
IF('TL02'!$B$3=M$3,SUMIF('TL02'!$C$10:$C$224,$C170,'TL02'!$J$10:$J$224),0),
IF('TL02'!$B$229=M$3,SUMIF('TL02'!$C$238:$C$451,$C170,'TL02'!$J$238:$J$451),0),
IF('TL03'!$B$3=M$3,SUMIF('TL03'!$C$10:$C$224,$C170,'TL03'!$J$10:$J$224),0),
IF('TL03'!$B$229=M$3,SUMIF('TL03'!$C$238:$C$451,$C170,'TL03'!$J$238:$J$451),0),
IF('TL04'!$B$3=M$3,SUMIF('TL04'!$C$10:$C$224,$C170,'TL04'!$J$10:$J$224),0),
IF('TL04'!$B$229=M$3,SUMIF('TL04'!$C$238:$C$451,$C170,'TL04'!$J$238:$J$451),0),
IF('TL05'!$B$3=M$3,SUMIF('TL05'!$C$10:$C$224,$C170,'TL05'!$J$10:$J$224),0),
IF('TL05'!$B$229=M$3,SUMIF('TL05'!$C$238:$C$451,$C170,'TL05'!$J$238:$J$451),0),
IF('TL06'!$B$3=M$3,SUMIF('TL06'!$C$10:$C$224,$C170,'TL06'!$J$10:$J$224),0),
IF('TL06'!$B$229=M$3,SUMIF('TL06'!$C$238:$C$451,$C170,'TL06'!$J$238:$J$451),0),
IF('TL07'!$B$3=M$3,SUMIF('TL07'!$C$10:$C$224,$C170,'TL07'!$J$10:$J$224),0),
IF('TL07'!$B$229=M$3,SUMIF('TL07'!$C$238:$C$451,$C170,'TL07'!$J$238:$J$451),0),
IF('TL08'!$B$3=M$3,SUMIF('TL08'!$C$10:$C$224,$C170,'TL08'!$J$10:$J$224),0),
IF('TL08'!$B$229=M$3,SUMIF('TL08'!$C$238:$C$451,$C170,'TL08'!$J$238:$J$451),0),
IF('TL09'!$B$3=M$3,SUMIF('TL09'!$C$10:$C$224,$C170,'TL09'!$J$10:$J$224),0),
IF('TL09'!$B$229=M$3,SUMIF('TL09'!$C$238:$C$451,$C170,'TL09'!$J$238:$J$451),0),
IF('TL10'!$B$3=M$3,SUMIF('TL10'!$C$10:$C$224,$C170,'TL10'!$J$10:$J$224),0),
IF('TL10'!$B$229=M$3,SUMIF('TL10'!$C$238:$C$451,$C170,'TL10'!$J$238:$J$451),0),
IF('TL11'!$B$3=M$3,SUMIF('TL11'!$C$10:$C$224,$C170,'TL11'!$J$10:$J$224),0),
IF('TL11'!$B$229=M$3,SUMIF('TL11'!$C$238:$C$451,$C170,'TL11'!$J$238:$J$451),0),
IF('TL12'!$B$3=M$3,SUMIF('TL12'!$C$10:$C$224,$C170,'TL12'!$J$10:$J$224),0),
IF('TL12'!$B$229=M$3,SUMIF('TL12'!$C$238:$C$451,$C170,'TL12'!$J$238:$J$451),0),
IF('TL13'!$B$3=M$3,SUMIF('TL13'!$C$10:$C$224,$C170,'TL13'!$J$10:$J$224),0),
IF('TL13'!$B$229=M$3,SUMIF('TL13'!$C$238:$C$451,$C170,'TL13'!$J$238:$J$451),0),
IF('TL14'!$B$3=M$3,SUMIF('TL14'!$C$10:$C$224,$C170,'TL14'!$J$10:$J$224),0),
IF('TL14'!$B$229=M$3,SUMIF('TL14'!$C$238:$C$451,$C170,'TL14'!$J$238:$J$451),0),
IF('TL15'!$B$3=M$3,SUMIF('TL15'!$C$10:$C$224,$C170,'TL15'!$J$10:$J$224),0),
IF('TL15'!$B$229=M$3,SUMIF('TL15'!$C$238:$C$451,$C170,'TL15'!$J$238:$J$451),0),
IF('TL16'!$B$3=M$3,SUMIF('TL16'!$C$10:$C$224,$C170,'TL16'!$J$10:$J$224),0),
IF('TL16'!$B$229=M$3,SUMIF('TL16'!$C$238:$C$451,$C170,'TL16'!$J$238:$J$451),0),
IF('TL17'!$B$3=M$3,SUMIF('TL17'!$C$10:$C$224,$C170,'TL17'!$J$10:$J$224),0),
IF('TL17'!$B$229=M$3,SUMIF('TL17'!$C$238:$C$451,$C170,'TL17'!$J$238:$J$451),0),
IF('TL18'!$B$3=M$3,SUMIF('TL18'!$C$10:$C$224,$C170,'TL18'!$J$10:$J$224),0),
IF('TL18'!$B$229=M$3,SUMIF('TL18'!$C$238:$C$451,$C170,'TL18'!$J$238:$J$451),0),
IF('TL19'!$B$3=M$3,SUMIF('TL19'!$C$10:$C$224,$C170,'TL19'!$J$10:$J$224),0),
IF('TL19'!$B$229=M$3,SUMIF('TL19'!$C$238:$C$451,$C170,'TL19'!$J$238:$J$451),0)
),0)</f>
        <v/>
      </c>
      <c r="N170" s="9">
        <f>IFERROR(SUM(
IF('TL01'!$B$3=N$3,SUMIF('TL01'!$C$10:$C$224,$C170,'TL01'!$J$10:$J$224),0),
IF('TL01'!$B$229=N$3,SUMIF('TL01'!$C$238:$C$451,$C170,'TL01'!$J$238:$J$451),0),
IF('TL02'!$B$3=N$3,SUMIF('TL02'!$C$10:$C$224,$C170,'TL02'!$J$10:$J$224),0),
IF('TL02'!$B$229=N$3,SUMIF('TL02'!$C$238:$C$451,$C170,'TL02'!$J$238:$J$451),0),
IF('TL03'!$B$3=N$3,SUMIF('TL03'!$C$10:$C$224,$C170,'TL03'!$J$10:$J$224),0),
IF('TL03'!$B$229=N$3,SUMIF('TL03'!$C$238:$C$451,$C170,'TL03'!$J$238:$J$451),0),
IF('TL04'!$B$3=N$3,SUMIF('TL04'!$C$10:$C$224,$C170,'TL04'!$J$10:$J$224),0),
IF('TL04'!$B$229=N$3,SUMIF('TL04'!$C$238:$C$451,$C170,'TL04'!$J$238:$J$451),0),
IF('TL05'!$B$3=N$3,SUMIF('TL05'!$C$10:$C$224,$C170,'TL05'!$J$10:$J$224),0),
IF('TL05'!$B$229=N$3,SUMIF('TL05'!$C$238:$C$451,$C170,'TL05'!$J$238:$J$451),0),
IF('TL06'!$B$3=N$3,SUMIF('TL06'!$C$10:$C$224,$C170,'TL06'!$J$10:$J$224),0),
IF('TL06'!$B$229=N$3,SUMIF('TL06'!$C$238:$C$451,$C170,'TL06'!$J$238:$J$451),0),
IF('TL07'!$B$3=N$3,SUMIF('TL07'!$C$10:$C$224,$C170,'TL07'!$J$10:$J$224),0),
IF('TL07'!$B$229=N$3,SUMIF('TL07'!$C$238:$C$451,$C170,'TL07'!$J$238:$J$451),0),
IF('TL08'!$B$3=N$3,SUMIF('TL08'!$C$10:$C$224,$C170,'TL08'!$J$10:$J$224),0),
IF('TL08'!$B$229=N$3,SUMIF('TL08'!$C$238:$C$451,$C170,'TL08'!$J$238:$J$451),0),
IF('TL09'!$B$3=N$3,SUMIF('TL09'!$C$10:$C$224,$C170,'TL09'!$J$10:$J$224),0),
IF('TL09'!$B$229=N$3,SUMIF('TL09'!$C$238:$C$451,$C170,'TL09'!$J$238:$J$451),0),
IF('TL10'!$B$3=N$3,SUMIF('TL10'!$C$10:$C$224,$C170,'TL10'!$J$10:$J$224),0),
IF('TL10'!$B$229=N$3,SUMIF('TL10'!$C$238:$C$451,$C170,'TL10'!$J$238:$J$451),0),
IF('TL11'!$B$3=N$3,SUMIF('TL11'!$C$10:$C$224,$C170,'TL11'!$J$10:$J$224),0),
IF('TL11'!$B$229=N$3,SUMIF('TL11'!$C$238:$C$451,$C170,'TL11'!$J$238:$J$451),0),
IF('TL12'!$B$3=N$3,SUMIF('TL12'!$C$10:$C$224,$C170,'TL12'!$J$10:$J$224),0),
IF('TL12'!$B$229=N$3,SUMIF('TL12'!$C$238:$C$451,$C170,'TL12'!$J$238:$J$451),0),
IF('TL13'!$B$3=N$3,SUMIF('TL13'!$C$10:$C$224,$C170,'TL13'!$J$10:$J$224),0),
IF('TL13'!$B$229=N$3,SUMIF('TL13'!$C$238:$C$451,$C170,'TL13'!$J$238:$J$451),0),
IF('TL14'!$B$3=N$3,SUMIF('TL14'!$C$10:$C$224,$C170,'TL14'!$J$10:$J$224),0),
IF('TL14'!$B$229=N$3,SUMIF('TL14'!$C$238:$C$451,$C170,'TL14'!$J$238:$J$451),0),
IF('TL15'!$B$3=N$3,SUMIF('TL15'!$C$10:$C$224,$C170,'TL15'!$J$10:$J$224),0),
IF('TL15'!$B$229=N$3,SUMIF('TL15'!$C$238:$C$451,$C170,'TL15'!$J$238:$J$451),0),
IF('TL16'!$B$3=N$3,SUMIF('TL16'!$C$10:$C$224,$C170,'TL16'!$J$10:$J$224),0),
IF('TL16'!$B$229=N$3,SUMIF('TL16'!$C$238:$C$451,$C170,'TL16'!$J$238:$J$451),0),
IF('TL17'!$B$3=N$3,SUMIF('TL17'!$C$10:$C$224,$C170,'TL17'!$J$10:$J$224),0),
IF('TL17'!$B$229=N$3,SUMIF('TL17'!$C$238:$C$451,$C170,'TL17'!$J$238:$J$451),0),
IF('TL18'!$B$3=N$3,SUMIF('TL18'!$C$10:$C$224,$C170,'TL18'!$J$10:$J$224),0),
IF('TL18'!$B$229=N$3,SUMIF('TL18'!$C$238:$C$451,$C170,'TL18'!$J$238:$J$451),0),
IF('TL19'!$B$3=N$3,SUMIF('TL19'!$C$10:$C$224,$C170,'TL19'!$J$10:$J$224),0),
IF('TL19'!$B$229=N$3,SUMIF('TL19'!$C$238:$C$451,$C170,'TL19'!$J$238:$J$451),0)
),0)</f>
        <v/>
      </c>
      <c r="O170" s="9">
        <f>IFERROR(SUM(
IF('TL01'!$B$3=O$3,SUMIF('TL01'!$C$10:$C$224,$C170,'TL01'!$J$10:$J$224),0),
IF('TL01'!$B$229=O$3,SUMIF('TL01'!$C$238:$C$451,$C170,'TL01'!$J$238:$J$451),0),
IF('TL02'!$B$3=O$3,SUMIF('TL02'!$C$10:$C$224,$C170,'TL02'!$J$10:$J$224),0),
IF('TL02'!$B$229=O$3,SUMIF('TL02'!$C$238:$C$451,$C170,'TL02'!$J$238:$J$451),0),
IF('TL03'!$B$3=O$3,SUMIF('TL03'!$C$10:$C$224,$C170,'TL03'!$J$10:$J$224),0),
IF('TL03'!$B$229=O$3,SUMIF('TL03'!$C$238:$C$451,$C170,'TL03'!$J$238:$J$451),0),
IF('TL04'!$B$3=O$3,SUMIF('TL04'!$C$10:$C$224,$C170,'TL04'!$J$10:$J$224),0),
IF('TL04'!$B$229=O$3,SUMIF('TL04'!$C$238:$C$451,$C170,'TL04'!$J$238:$J$451),0),
IF('TL05'!$B$3=O$3,SUMIF('TL05'!$C$10:$C$224,$C170,'TL05'!$J$10:$J$224),0),
IF('TL05'!$B$229=O$3,SUMIF('TL05'!$C$238:$C$451,$C170,'TL05'!$J$238:$J$451),0),
IF('TL06'!$B$3=O$3,SUMIF('TL06'!$C$10:$C$224,$C170,'TL06'!$J$10:$J$224),0),
IF('TL06'!$B$229=O$3,SUMIF('TL06'!$C$238:$C$451,$C170,'TL06'!$J$238:$J$451),0),
IF('TL07'!$B$3=O$3,SUMIF('TL07'!$C$10:$C$224,$C170,'TL07'!$J$10:$J$224),0),
IF('TL07'!$B$229=O$3,SUMIF('TL07'!$C$238:$C$451,$C170,'TL07'!$J$238:$J$451),0),
IF('TL08'!$B$3=O$3,SUMIF('TL08'!$C$10:$C$224,$C170,'TL08'!$J$10:$J$224),0),
IF('TL08'!$B$229=O$3,SUMIF('TL08'!$C$238:$C$451,$C170,'TL08'!$J$238:$J$451),0),
IF('TL09'!$B$3=O$3,SUMIF('TL09'!$C$10:$C$224,$C170,'TL09'!$J$10:$J$224),0),
IF('TL09'!$B$229=O$3,SUMIF('TL09'!$C$238:$C$451,$C170,'TL09'!$J$238:$J$451),0),
IF('TL10'!$B$3=O$3,SUMIF('TL10'!$C$10:$C$224,$C170,'TL10'!$J$10:$J$224),0),
IF('TL10'!$B$229=O$3,SUMIF('TL10'!$C$238:$C$451,$C170,'TL10'!$J$238:$J$451),0),
IF('TL11'!$B$3=O$3,SUMIF('TL11'!$C$10:$C$224,$C170,'TL11'!$J$10:$J$224),0),
IF('TL11'!$B$229=O$3,SUMIF('TL11'!$C$238:$C$451,$C170,'TL11'!$J$238:$J$451),0),
IF('TL12'!$B$3=O$3,SUMIF('TL12'!$C$10:$C$224,$C170,'TL12'!$J$10:$J$224),0),
IF('TL12'!$B$229=O$3,SUMIF('TL12'!$C$238:$C$451,$C170,'TL12'!$J$238:$J$451),0),
IF('TL13'!$B$3=O$3,SUMIF('TL13'!$C$10:$C$224,$C170,'TL13'!$J$10:$J$224),0),
IF('TL13'!$B$229=O$3,SUMIF('TL13'!$C$238:$C$451,$C170,'TL13'!$J$238:$J$451),0),
IF('TL14'!$B$3=O$3,SUMIF('TL14'!$C$10:$C$224,$C170,'TL14'!$J$10:$J$224),0),
IF('TL14'!$B$229=O$3,SUMIF('TL14'!$C$238:$C$451,$C170,'TL14'!$J$238:$J$451),0),
IF('TL15'!$B$3=O$3,SUMIF('TL15'!$C$10:$C$224,$C170,'TL15'!$J$10:$J$224),0),
IF('TL15'!$B$229=O$3,SUMIF('TL15'!$C$238:$C$451,$C170,'TL15'!$J$238:$J$451),0),
IF('TL16'!$B$3=O$3,SUMIF('TL16'!$C$10:$C$224,$C170,'TL16'!$J$10:$J$224),0),
IF('TL16'!$B$229=O$3,SUMIF('TL16'!$C$238:$C$451,$C170,'TL16'!$J$238:$J$451),0),
IF('TL17'!$B$3=O$3,SUMIF('TL17'!$C$10:$C$224,$C170,'TL17'!$J$10:$J$224),0),
IF('TL17'!$B$229=O$3,SUMIF('TL17'!$C$238:$C$451,$C170,'TL17'!$J$238:$J$451),0),
IF('TL18'!$B$3=O$3,SUMIF('TL18'!$C$10:$C$224,$C170,'TL18'!$J$10:$J$224),0),
IF('TL18'!$B$229=O$3,SUMIF('TL18'!$C$238:$C$451,$C170,'TL18'!$J$238:$J$451),0),
IF('TL19'!$B$3=O$3,SUMIF('TL19'!$C$10:$C$224,$C170,'TL19'!$J$10:$J$224),0),
IF('TL19'!$B$229=O$3,SUMIF('TL19'!$C$238:$C$451,$C170,'TL19'!$J$238:$J$451),0)
),0)</f>
        <v/>
      </c>
      <c r="P170" s="9">
        <f>IFERROR(SUM(
IF('TL01'!$B$3=P$3,SUMIF('TL01'!$C$10:$C$224,$C170,'TL01'!$J$10:$J$224),0),
IF('TL01'!$B$229=P$3,SUMIF('TL01'!$C$238:$C$451,$C170,'TL01'!$J$238:$J$451),0),
IF('TL02'!$B$3=P$3,SUMIF('TL02'!$C$10:$C$224,$C170,'TL02'!$J$10:$J$224),0),
IF('TL02'!$B$229=P$3,SUMIF('TL02'!$C$238:$C$451,$C170,'TL02'!$J$238:$J$451),0),
IF('TL03'!$B$3=P$3,SUMIF('TL03'!$C$10:$C$224,$C170,'TL03'!$J$10:$J$224),0),
IF('TL03'!$B$229=P$3,SUMIF('TL03'!$C$238:$C$451,$C170,'TL03'!$J$238:$J$451),0),
IF('TL04'!$B$3=P$3,SUMIF('TL04'!$C$10:$C$224,$C170,'TL04'!$J$10:$J$224),0),
IF('TL04'!$B$229=P$3,SUMIF('TL04'!$C$238:$C$451,$C170,'TL04'!$J$238:$J$451),0),
IF('TL05'!$B$3=P$3,SUMIF('TL05'!$C$10:$C$224,$C170,'TL05'!$J$10:$J$224),0),
IF('TL05'!$B$229=P$3,SUMIF('TL05'!$C$238:$C$451,$C170,'TL05'!$J$238:$J$451),0),
IF('TL06'!$B$3=P$3,SUMIF('TL06'!$C$10:$C$224,$C170,'TL06'!$J$10:$J$224),0),
IF('TL06'!$B$229=P$3,SUMIF('TL06'!$C$238:$C$451,$C170,'TL06'!$J$238:$J$451),0),
IF('TL07'!$B$3=P$3,SUMIF('TL07'!$C$10:$C$224,$C170,'TL07'!$J$10:$J$224),0),
IF('TL07'!$B$229=P$3,SUMIF('TL07'!$C$238:$C$451,$C170,'TL07'!$J$238:$J$451),0),
IF('TL08'!$B$3=P$3,SUMIF('TL08'!$C$10:$C$224,$C170,'TL08'!$J$10:$J$224),0),
IF('TL08'!$B$229=P$3,SUMIF('TL08'!$C$238:$C$451,$C170,'TL08'!$J$238:$J$451),0),
IF('TL09'!$B$3=P$3,SUMIF('TL09'!$C$10:$C$224,$C170,'TL09'!$J$10:$J$224),0),
IF('TL09'!$B$229=P$3,SUMIF('TL09'!$C$238:$C$451,$C170,'TL09'!$J$238:$J$451),0),
IF('TL10'!$B$3=P$3,SUMIF('TL10'!$C$10:$C$224,$C170,'TL10'!$J$10:$J$224),0),
IF('TL10'!$B$229=P$3,SUMIF('TL10'!$C$238:$C$451,$C170,'TL10'!$J$238:$J$451),0),
IF('TL11'!$B$3=P$3,SUMIF('TL11'!$C$10:$C$224,$C170,'TL11'!$J$10:$J$224),0),
IF('TL11'!$B$229=P$3,SUMIF('TL11'!$C$238:$C$451,$C170,'TL11'!$J$238:$J$451),0),
IF('TL12'!$B$3=P$3,SUMIF('TL12'!$C$10:$C$224,$C170,'TL12'!$J$10:$J$224),0),
IF('TL12'!$B$229=P$3,SUMIF('TL12'!$C$238:$C$451,$C170,'TL12'!$J$238:$J$451),0),
IF('TL13'!$B$3=P$3,SUMIF('TL13'!$C$10:$C$224,$C170,'TL13'!$J$10:$J$224),0),
IF('TL13'!$B$229=P$3,SUMIF('TL13'!$C$238:$C$451,$C170,'TL13'!$J$238:$J$451),0),
IF('TL14'!$B$3=P$3,SUMIF('TL14'!$C$10:$C$224,$C170,'TL14'!$J$10:$J$224),0),
IF('TL14'!$B$229=P$3,SUMIF('TL14'!$C$238:$C$451,$C170,'TL14'!$J$238:$J$451),0),
IF('TL15'!$B$3=P$3,SUMIF('TL15'!$C$10:$C$224,$C170,'TL15'!$J$10:$J$224),0),
IF('TL15'!$B$229=P$3,SUMIF('TL15'!$C$238:$C$451,$C170,'TL15'!$J$238:$J$451),0),
IF('TL16'!$B$3=P$3,SUMIF('TL16'!$C$10:$C$224,$C170,'TL16'!$J$10:$J$224),0),
IF('TL16'!$B$229=P$3,SUMIF('TL16'!$C$238:$C$451,$C170,'TL16'!$J$238:$J$451),0),
IF('TL17'!$B$3=P$3,SUMIF('TL17'!$C$10:$C$224,$C170,'TL17'!$J$10:$J$224),0),
IF('TL17'!$B$229=P$3,SUMIF('TL17'!$C$238:$C$451,$C170,'TL17'!$J$238:$J$451),0),
IF('TL18'!$B$3=P$3,SUMIF('TL18'!$C$10:$C$224,$C170,'TL18'!$J$10:$J$224),0),
IF('TL18'!$B$229=P$3,SUMIF('TL18'!$C$238:$C$451,$C170,'TL18'!$J$238:$J$451),0),
IF('TL19'!$B$3=P$3,SUMIF('TL19'!$C$10:$C$224,$C170,'TL19'!$J$10:$J$224),0),
IF('TL19'!$B$229=P$3,SUMIF('TL19'!$C$238:$C$451,$C170,'TL19'!$J$238:$J$451),0)
),0)</f>
        <v/>
      </c>
      <c r="Q170" s="9">
        <f>IFERROR(SUM(
IF('TL01'!$B$3=Q$3,SUMIF('TL01'!$C$10:$C$224,$C170,'TL01'!$J$10:$J$224),0),
IF('TL01'!$B$229=Q$3,SUMIF('TL01'!$C$238:$C$451,$C170,'TL01'!$J$238:$J$451),0),
IF('TL02'!$B$3=Q$3,SUMIF('TL02'!$C$10:$C$224,$C170,'TL02'!$J$10:$J$224),0),
IF('TL02'!$B$229=Q$3,SUMIF('TL02'!$C$238:$C$451,$C170,'TL02'!$J$238:$J$451),0),
IF('TL03'!$B$3=Q$3,SUMIF('TL03'!$C$10:$C$224,$C170,'TL03'!$J$10:$J$224),0),
IF('TL03'!$B$229=Q$3,SUMIF('TL03'!$C$238:$C$451,$C170,'TL03'!$J$238:$J$451),0),
IF('TL04'!$B$3=Q$3,SUMIF('TL04'!$C$10:$C$224,$C170,'TL04'!$J$10:$J$224),0),
IF('TL04'!$B$229=Q$3,SUMIF('TL04'!$C$238:$C$451,$C170,'TL04'!$J$238:$J$451),0),
IF('TL05'!$B$3=Q$3,SUMIF('TL05'!$C$10:$C$224,$C170,'TL05'!$J$10:$J$224),0),
IF('TL05'!$B$229=Q$3,SUMIF('TL05'!$C$238:$C$451,$C170,'TL05'!$J$238:$J$451),0),
IF('TL06'!$B$3=Q$3,SUMIF('TL06'!$C$10:$C$224,$C170,'TL06'!$J$10:$J$224),0),
IF('TL06'!$B$229=Q$3,SUMIF('TL06'!$C$238:$C$451,$C170,'TL06'!$J$238:$J$451),0),
IF('TL07'!$B$3=Q$3,SUMIF('TL07'!$C$10:$C$224,$C170,'TL07'!$J$10:$J$224),0),
IF('TL07'!$B$229=Q$3,SUMIF('TL07'!$C$238:$C$451,$C170,'TL07'!$J$238:$J$451),0),
IF('TL08'!$B$3=Q$3,SUMIF('TL08'!$C$10:$C$224,$C170,'TL08'!$J$10:$J$224),0),
IF('TL08'!$B$229=Q$3,SUMIF('TL08'!$C$238:$C$451,$C170,'TL08'!$J$238:$J$451),0),
IF('TL09'!$B$3=Q$3,SUMIF('TL09'!$C$10:$C$224,$C170,'TL09'!$J$10:$J$224),0),
IF('TL09'!$B$229=Q$3,SUMIF('TL09'!$C$238:$C$451,$C170,'TL09'!$J$238:$J$451),0),
IF('TL10'!$B$3=Q$3,SUMIF('TL10'!$C$10:$C$224,$C170,'TL10'!$J$10:$J$224),0),
IF('TL10'!$B$229=Q$3,SUMIF('TL10'!$C$238:$C$451,$C170,'TL10'!$J$238:$J$451),0),
IF('TL11'!$B$3=Q$3,SUMIF('TL11'!$C$10:$C$224,$C170,'TL11'!$J$10:$J$224),0),
IF('TL11'!$B$229=Q$3,SUMIF('TL11'!$C$238:$C$451,$C170,'TL11'!$J$238:$J$451),0),
IF('TL12'!$B$3=Q$3,SUMIF('TL12'!$C$10:$C$224,$C170,'TL12'!$J$10:$J$224),0),
IF('TL12'!$B$229=Q$3,SUMIF('TL12'!$C$238:$C$451,$C170,'TL12'!$J$238:$J$451),0),
IF('TL13'!$B$3=Q$3,SUMIF('TL13'!$C$10:$C$224,$C170,'TL13'!$J$10:$J$224),0),
IF('TL13'!$B$229=Q$3,SUMIF('TL13'!$C$238:$C$451,$C170,'TL13'!$J$238:$J$451),0),
IF('TL14'!$B$3=Q$3,SUMIF('TL14'!$C$10:$C$224,$C170,'TL14'!$J$10:$J$224),0),
IF('TL14'!$B$229=Q$3,SUMIF('TL14'!$C$238:$C$451,$C170,'TL14'!$J$238:$J$451),0),
IF('TL15'!$B$3=Q$3,SUMIF('TL15'!$C$10:$C$224,$C170,'TL15'!$J$10:$J$224),0),
IF('TL15'!$B$229=Q$3,SUMIF('TL15'!$C$238:$C$451,$C170,'TL15'!$J$238:$J$451),0),
IF('TL16'!$B$3=Q$3,SUMIF('TL16'!$C$10:$C$224,$C170,'TL16'!$J$10:$J$224),0),
IF('TL16'!$B$229=Q$3,SUMIF('TL16'!$C$238:$C$451,$C170,'TL16'!$J$238:$J$451),0),
IF('TL17'!$B$3=Q$3,SUMIF('TL17'!$C$10:$C$224,$C170,'TL17'!$J$10:$J$224),0),
IF('TL17'!$B$229=Q$3,SUMIF('TL17'!$C$238:$C$451,$C170,'TL17'!$J$238:$J$451),0),
IF('TL18'!$B$3=Q$3,SUMIF('TL18'!$C$10:$C$224,$C170,'TL18'!$J$10:$J$224),0),
IF('TL18'!$B$229=Q$3,SUMIF('TL18'!$C$238:$C$451,$C170,'TL18'!$J$238:$J$451),0),
IF('TL19'!$B$3=Q$3,SUMIF('TL19'!$C$10:$C$224,$C170,'TL19'!$J$10:$J$224),0),
IF('TL19'!$B$229=Q$3,SUMIF('TL19'!$C$238:$C$451,$C170,'TL19'!$J$238:$J$451),0)
),0)</f>
        <v/>
      </c>
      <c r="R170" s="9">
        <f>IFERROR(
SUM(
SUMIF('TL01'!C:C,C170,'TL01'!J:J),
SUMIF('TL02'!C:C,C170,'TL02'!J:J),
SUMIF('TL03'!C:C,C170,'TL03'!J:J),
SUMIF('TL04'!C:C,C170,'TL04'!J:J),
SUMIF('TL05'!C:C,C170,'TL05'!J:J),
SUMIF('TL06'!C:C,C170,'TL06'!J:J),
SUMIF('TL07'!C:C,C170,'TL07'!J:J),
SUMIF('TL08'!C:C,C170,'TL08'!J:J),
SUMIF('TL09'!C:C,C170,'TL09'!J:J),
SUMIF('TL10'!C:C,C170,'TL10'!J:J),
SUMIF('TL11'!C:C,C170,'TL11'!J:J),
SUMIF('TL12'!C:C,C170,'TL12'!J:J),
SUMIF('TL13'!C:C,C170,'TL13'!J:J),
SUMIF('TL14'!C:C,C170,'TL14'!J:J),
SUMIF('TL15'!C:C,C170,'TL15'!J:J),
SUMIF('TL16'!C:C,C170,'TL16'!J:J),
SUMIF('TL17'!C:C,C170,'TL17'!J:J),
SUMIF('TL18'!C:C,C170,'TL18'!J:J),SUMIF('TL19'!C:C,C170,'TL19'!J:J))
,0)</f>
        <v/>
      </c>
      <c r="S170" s="17">
        <f>IFERROR(__xludf.DUMMYFUNCTION("IFERROR(VLOOKUP(C170,
IMPORTRANGE(""1wULbzX32WdYsx-lj2U3uUNBBe2INVIRDtcK0d-Dvl90"",
""26-27!C:G""),
5,
FALSE),
"""")"),26.69388)</f>
        <v/>
      </c>
      <c r="T170" s="9" t="n">
        <v>470</v>
      </c>
      <c r="U170" s="92">
        <f>MAX(0,R170-T170)</f>
        <v/>
      </c>
      <c r="V170" s="93">
        <f>U170*S170</f>
        <v/>
      </c>
    </row>
    <row r="171" hidden="1" ht="15.75" customHeight="1" s="297">
      <c r="A171" s="111" t="inlineStr">
        <is>
          <t>CROPCHEM</t>
        </is>
      </c>
      <c r="B171" s="112" t="inlineStr">
        <is>
          <t>HERBICIDA</t>
        </is>
      </c>
      <c r="C171" s="113" t="inlineStr">
        <is>
          <t>MINOS CAPS 360 CS</t>
        </is>
      </c>
      <c r="D171" s="113" t="inlineStr">
        <is>
          <t>CLOMAZONA</t>
        </is>
      </c>
      <c r="E171" s="113" t="n">
        <v>360</v>
      </c>
      <c r="F171" s="4" t="inlineStr">
        <is>
          <t>L</t>
        </is>
      </c>
      <c r="G171" s="90">
        <f>HYPERLINK("https://www.google.com/search?q=" &amp; C171 &amp; "+bula+agrofit+pdf", "📄 Ver bula")</f>
        <v/>
      </c>
      <c r="H171" s="9">
        <f>IFERROR(__xludf.DUMMYFUNCTION("IFERROR(VLOOKUP(C171,
IMPORTRANGE(""1wULbzX32WdYsx-lj2U3uUNBBe2INVIRDtcK0d-Dvl90"",
""26-27!C:K""),
8,
FALSE),
"""")"),1.0)</f>
        <v/>
      </c>
      <c r="I171" s="114" t="inlineStr">
        <is>
          <t>1x20</t>
        </is>
      </c>
      <c r="J171" s="9">
        <f>IFERROR(SUM(
IF('TL01'!$B$3=J$3,SUMIF('TL01'!$C$10:$C$224,$C171,'TL01'!$J$10:$J$224),0),
IF('TL01'!$B$229=J$3,SUMIF('TL01'!$C$238:$C$451,$C171,'TL01'!$J$238:$J$451),0),
IF('TL02'!$B$3=J$3,SUMIF('TL02'!$C$10:$C$224,$C171,'TL02'!$J$10:$J$224),0),
IF('TL02'!$B$229=J$3,SUMIF('TL02'!$C$238:$C$451,$C171,'TL02'!$J$238:$J$451),0),
IF('TL03'!$B$3=J$3,SUMIF('TL03'!$C$10:$C$224,$C171,'TL03'!$J$10:$J$224),0),
IF('TL03'!$B$229=J$3,SUMIF('TL03'!$C$238:$C$451,$C171,'TL03'!$J$238:$J$451),0),
IF('TL04'!$B$3=J$3,SUMIF('TL04'!$C$10:$C$224,$C171,'TL04'!$J$10:$J$224),0),
IF('TL04'!$B$229=J$3,SUMIF('TL04'!$C$238:$C$451,$C171,'TL04'!$J$238:$J$451),0),
IF('TL05'!$B$3=J$3,SUMIF('TL05'!$C$10:$C$224,$C171,'TL05'!$J$10:$J$224),0),
IF('TL05'!$B$229=J$3,SUMIF('TL05'!$C$238:$C$451,$C171,'TL05'!$J$238:$J$451),0),
IF('TL06'!$B$3=J$3,SUMIF('TL06'!$C$10:$C$224,$C171,'TL06'!$J$10:$J$224),0),
IF('TL06'!$B$229=J$3,SUMIF('TL06'!$C$238:$C$451,$C171,'TL06'!$J$238:$J$451),0),
IF('TL07'!$B$3=J$3,SUMIF('TL07'!$C$10:$C$224,$C171,'TL07'!$J$10:$J$224),0),
IF('TL07'!$B$229=J$3,SUMIF('TL07'!$C$238:$C$451,$C171,'TL07'!$J$238:$J$451),0),
IF('TL08'!$B$3=J$3,SUMIF('TL08'!$C$10:$C$224,$C171,'TL08'!$J$10:$J$224),0),
IF('TL08'!$B$229=J$3,SUMIF('TL08'!$C$238:$C$451,$C171,'TL08'!$J$238:$J$451),0),
IF('TL09'!$B$3=J$3,SUMIF('TL09'!$C$10:$C$224,$C171,'TL09'!$J$10:$J$224),0),
IF('TL09'!$B$229=J$3,SUMIF('TL09'!$C$238:$C$451,$C171,'TL09'!$J$238:$J$451),0),
IF('TL10'!$B$3=J$3,SUMIF('TL10'!$C$10:$C$224,$C171,'TL10'!$J$10:$J$224),0),
IF('TL10'!$B$229=J$3,SUMIF('TL10'!$C$238:$C$451,$C171,'TL10'!$J$238:$J$451),0),
IF('TL11'!$B$3=J$3,SUMIF('TL11'!$C$10:$C$224,$C171,'TL11'!$J$10:$J$224),0),
IF('TL11'!$B$229=J$3,SUMIF('TL11'!$C$238:$C$451,$C171,'TL11'!$J$238:$J$451),0),
IF('TL12'!$B$3=J$3,SUMIF('TL12'!$C$10:$C$224,$C171,'TL12'!$J$10:$J$224),0),
IF('TL12'!$B$229=J$3,SUMIF('TL12'!$C$238:$C$451,$C171,'TL12'!$J$238:$J$451),0),
IF('TL13'!$B$3=J$3,SUMIF('TL13'!$C$10:$C$224,$C171,'TL13'!$J$10:$J$224),0),
IF('TL13'!$B$229=J$3,SUMIF('TL13'!$C$238:$C$451,$C171,'TL13'!$J$238:$J$451),0),
IF('TL14'!$B$3=J$3,SUMIF('TL14'!$C$10:$C$224,$C171,'TL14'!$J$10:$J$224),0),
IF('TL14'!$B$229=J$3,SUMIF('TL14'!$C$238:$C$451,$C171,'TL14'!$J$238:$J$451),0),
IF('TL15'!$B$3=J$3,SUMIF('TL15'!$C$10:$C$224,$C171,'TL15'!$J$10:$J$224),0),
IF('TL15'!$B$229=J$3,SUMIF('TL15'!$C$238:$C$451,$C171,'TL15'!$J$238:$J$451),0),
IF('TL16'!$B$3=J$3,SUMIF('TL16'!$C$10:$C$224,$C171,'TL16'!$J$10:$J$224),0),
IF('TL16'!$B$229=J$3,SUMIF('TL16'!$C$238:$C$451,$C171,'TL16'!$J$238:$J$451),0),
IF('TL17'!$B$3=J$3,SUMIF('TL17'!$C$10:$C$224,$C171,'TL17'!$J$10:$J$224),0),
IF('TL17'!$B$229=J$3,SUMIF('TL17'!$C$238:$C$451,$C171,'TL17'!$J$238:$J$451),0),
IF('TL18'!$B$3=J$3,SUMIF('TL18'!$C$10:$C$224,$C171,'TL18'!$J$10:$J$224),0),
IF('TL18'!$B$229=J$3,SUMIF('TL18'!$C$238:$C$451,$C171,'TL18'!$J$238:$J$451),0),
IF('TL19'!$B$3=J$3,SUMIF('TL19'!$C$10:$C$224,$C171,'TL19'!$J$10:$J$224),0),
IF('TL19'!$B$229=J$3,SUMIF('TL19'!$C$238:$C$451,$C171,'TL19'!$J$238:$J$451),0)
),0)</f>
        <v/>
      </c>
      <c r="K171" s="9">
        <f>IFERROR(SUM(
IF('TL01'!$B$3=K$3,SUMIF('TL01'!$C$10:$C$224,$C171,'TL01'!$J$10:$J$224),0),
IF('TL01'!$B$229=K$3,SUMIF('TL01'!$C$238:$C$451,$C171,'TL01'!$J$238:$J$451),0),
IF('TL02'!$B$3=K$3,SUMIF('TL02'!$C$10:$C$224,$C171,'TL02'!$J$10:$J$224),0),
IF('TL02'!$B$229=K$3,SUMIF('TL02'!$C$238:$C$451,$C171,'TL02'!$J$238:$J$451),0),
IF('TL03'!$B$3=K$3,SUMIF('TL03'!$C$10:$C$224,$C171,'TL03'!$J$10:$J$224),0),
IF('TL03'!$B$229=K$3,SUMIF('TL03'!$C$238:$C$451,$C171,'TL03'!$J$238:$J$451),0),
IF('TL04'!$B$3=K$3,SUMIF('TL04'!$C$10:$C$224,$C171,'TL04'!$J$10:$J$224),0),
IF('TL04'!$B$229=K$3,SUMIF('TL04'!$C$238:$C$451,$C171,'TL04'!$J$238:$J$451),0),
IF('TL05'!$B$3=K$3,SUMIF('TL05'!$C$10:$C$224,$C171,'TL05'!$J$10:$J$224),0),
IF('TL05'!$B$229=K$3,SUMIF('TL05'!$C$238:$C$451,$C171,'TL05'!$J$238:$J$451),0),
IF('TL06'!$B$3=K$3,SUMIF('TL06'!$C$10:$C$224,$C171,'TL06'!$J$10:$J$224),0),
IF('TL06'!$B$229=K$3,SUMIF('TL06'!$C$238:$C$451,$C171,'TL06'!$J$238:$J$451),0),
IF('TL07'!$B$3=K$3,SUMIF('TL07'!$C$10:$C$224,$C171,'TL07'!$J$10:$J$224),0),
IF('TL07'!$B$229=K$3,SUMIF('TL07'!$C$238:$C$451,$C171,'TL07'!$J$238:$J$451),0),
IF('TL08'!$B$3=K$3,SUMIF('TL08'!$C$10:$C$224,$C171,'TL08'!$J$10:$J$224),0),
IF('TL08'!$B$229=K$3,SUMIF('TL08'!$C$238:$C$451,$C171,'TL08'!$J$238:$J$451),0),
IF('TL09'!$B$3=K$3,SUMIF('TL09'!$C$10:$C$224,$C171,'TL09'!$J$10:$J$224),0),
IF('TL09'!$B$229=K$3,SUMIF('TL09'!$C$238:$C$451,$C171,'TL09'!$J$238:$J$451),0),
IF('TL10'!$B$3=K$3,SUMIF('TL10'!$C$10:$C$224,$C171,'TL10'!$J$10:$J$224),0),
IF('TL10'!$B$229=K$3,SUMIF('TL10'!$C$238:$C$451,$C171,'TL10'!$J$238:$J$451),0),
IF('TL11'!$B$3=K$3,SUMIF('TL11'!$C$10:$C$224,$C171,'TL11'!$J$10:$J$224),0),
IF('TL11'!$B$229=K$3,SUMIF('TL11'!$C$238:$C$451,$C171,'TL11'!$J$238:$J$451),0),
IF('TL12'!$B$3=K$3,SUMIF('TL12'!$C$10:$C$224,$C171,'TL12'!$J$10:$J$224),0),
IF('TL12'!$B$229=K$3,SUMIF('TL12'!$C$238:$C$451,$C171,'TL12'!$J$238:$J$451),0),
IF('TL13'!$B$3=K$3,SUMIF('TL13'!$C$10:$C$224,$C171,'TL13'!$J$10:$J$224),0),
IF('TL13'!$B$229=K$3,SUMIF('TL13'!$C$238:$C$451,$C171,'TL13'!$J$238:$J$451),0),
IF('TL14'!$B$3=K$3,SUMIF('TL14'!$C$10:$C$224,$C171,'TL14'!$J$10:$J$224),0),
IF('TL14'!$B$229=K$3,SUMIF('TL14'!$C$238:$C$451,$C171,'TL14'!$J$238:$J$451),0),
IF('TL15'!$B$3=K$3,SUMIF('TL15'!$C$10:$C$224,$C171,'TL15'!$J$10:$J$224),0),
IF('TL15'!$B$229=K$3,SUMIF('TL15'!$C$238:$C$451,$C171,'TL15'!$J$238:$J$451),0),
IF('TL16'!$B$3=K$3,SUMIF('TL16'!$C$10:$C$224,$C171,'TL16'!$J$10:$J$224),0),
IF('TL16'!$B$229=K$3,SUMIF('TL16'!$C$238:$C$451,$C171,'TL16'!$J$238:$J$451),0),
IF('TL17'!$B$3=K$3,SUMIF('TL17'!$C$10:$C$224,$C171,'TL17'!$J$10:$J$224),0),
IF('TL17'!$B$229=K$3,SUMIF('TL17'!$C$238:$C$451,$C171,'TL17'!$J$238:$J$451),0),
IF('TL18'!$B$3=K$3,SUMIF('TL18'!$C$10:$C$224,$C171,'TL18'!$J$10:$J$224),0),
IF('TL18'!$B$229=K$3,SUMIF('TL18'!$C$238:$C$451,$C171,'TL18'!$J$238:$J$451),0),
IF('TL19'!$B$3=K$3,SUMIF('TL19'!$C$10:$C$224,$C171,'TL19'!$J$10:$J$224),0),
IF('TL19'!$B$229=K$3,SUMIF('TL19'!$C$238:$C$451,$C171,'TL19'!$J$238:$J$451),0)
),0)</f>
        <v/>
      </c>
      <c r="L171" s="9">
        <f>IFERROR(SUM(
IF('TL01'!$B$3=L$3,SUMIF('TL01'!$C$10:$C$224,$C171,'TL01'!$J$10:$J$224),0),
IF('TL01'!$B$229=L$3,SUMIF('TL01'!$C$238:$C$451,$C171,'TL01'!$J$238:$J$451),0),
IF('TL02'!$B$3=L$3,SUMIF('TL02'!$C$10:$C$224,$C171,'TL02'!$J$10:$J$224),0),
IF('TL02'!$B$229=L$3,SUMIF('TL02'!$C$238:$C$451,$C171,'TL02'!$J$238:$J$451),0),
IF('TL03'!$B$3=L$3,SUMIF('TL03'!$C$10:$C$224,$C171,'TL03'!$J$10:$J$224),0),
IF('TL03'!$B$229=L$3,SUMIF('TL03'!$C$238:$C$451,$C171,'TL03'!$J$238:$J$451),0),
IF('TL04'!$B$3=L$3,SUMIF('TL04'!$C$10:$C$224,$C171,'TL04'!$J$10:$J$224),0),
IF('TL04'!$B$229=L$3,SUMIF('TL04'!$C$238:$C$451,$C171,'TL04'!$J$238:$J$451),0),
IF('TL05'!$B$3=L$3,SUMIF('TL05'!$C$10:$C$224,$C171,'TL05'!$J$10:$J$224),0),
IF('TL05'!$B$229=L$3,SUMIF('TL05'!$C$238:$C$451,$C171,'TL05'!$J$238:$J$451),0),
IF('TL06'!$B$3=L$3,SUMIF('TL06'!$C$10:$C$224,$C171,'TL06'!$J$10:$J$224),0),
IF('TL06'!$B$229=L$3,SUMIF('TL06'!$C$238:$C$451,$C171,'TL06'!$J$238:$J$451),0),
IF('TL07'!$B$3=L$3,SUMIF('TL07'!$C$10:$C$224,$C171,'TL07'!$J$10:$J$224),0),
IF('TL07'!$B$229=L$3,SUMIF('TL07'!$C$238:$C$451,$C171,'TL07'!$J$238:$J$451),0),
IF('TL08'!$B$3=L$3,SUMIF('TL08'!$C$10:$C$224,$C171,'TL08'!$J$10:$J$224),0),
IF('TL08'!$B$229=L$3,SUMIF('TL08'!$C$238:$C$451,$C171,'TL08'!$J$238:$J$451),0),
IF('TL09'!$B$3=L$3,SUMIF('TL09'!$C$10:$C$224,$C171,'TL09'!$J$10:$J$224),0),
IF('TL09'!$B$229=L$3,SUMIF('TL09'!$C$238:$C$451,$C171,'TL09'!$J$238:$J$451),0),
IF('TL10'!$B$3=L$3,SUMIF('TL10'!$C$10:$C$224,$C171,'TL10'!$J$10:$J$224),0),
IF('TL10'!$B$229=L$3,SUMIF('TL10'!$C$238:$C$451,$C171,'TL10'!$J$238:$J$451),0),
IF('TL11'!$B$3=L$3,SUMIF('TL11'!$C$10:$C$224,$C171,'TL11'!$J$10:$J$224),0),
IF('TL11'!$B$229=L$3,SUMIF('TL11'!$C$238:$C$451,$C171,'TL11'!$J$238:$J$451),0),
IF('TL12'!$B$3=L$3,SUMIF('TL12'!$C$10:$C$224,$C171,'TL12'!$J$10:$J$224),0),
IF('TL12'!$B$229=L$3,SUMIF('TL12'!$C$238:$C$451,$C171,'TL12'!$J$238:$J$451),0),
IF('TL13'!$B$3=L$3,SUMIF('TL13'!$C$10:$C$224,$C171,'TL13'!$J$10:$J$224),0),
IF('TL13'!$B$229=L$3,SUMIF('TL13'!$C$238:$C$451,$C171,'TL13'!$J$238:$J$451),0),
IF('TL14'!$B$3=L$3,SUMIF('TL14'!$C$10:$C$224,$C171,'TL14'!$J$10:$J$224),0),
IF('TL14'!$B$229=L$3,SUMIF('TL14'!$C$238:$C$451,$C171,'TL14'!$J$238:$J$451),0),
IF('TL15'!$B$3=L$3,SUMIF('TL15'!$C$10:$C$224,$C171,'TL15'!$J$10:$J$224),0),
IF('TL15'!$B$229=L$3,SUMIF('TL15'!$C$238:$C$451,$C171,'TL15'!$J$238:$J$451),0),
IF('TL16'!$B$3=L$3,SUMIF('TL16'!$C$10:$C$224,$C171,'TL16'!$J$10:$J$224),0),
IF('TL16'!$B$229=L$3,SUMIF('TL16'!$C$238:$C$451,$C171,'TL16'!$J$238:$J$451),0),
IF('TL17'!$B$3=L$3,SUMIF('TL17'!$C$10:$C$224,$C171,'TL17'!$J$10:$J$224),0),
IF('TL17'!$B$229=L$3,SUMIF('TL17'!$C$238:$C$451,$C171,'TL17'!$J$238:$J$451),0),
IF('TL18'!$B$3=L$3,SUMIF('TL18'!$C$10:$C$224,$C171,'TL18'!$J$10:$J$224),0),
IF('TL18'!$B$229=L$3,SUMIF('TL18'!$C$238:$C$451,$C171,'TL18'!$J$238:$J$451),0),
IF('TL19'!$B$3=L$3,SUMIF('TL19'!$C$10:$C$224,$C171,'TL19'!$J$10:$J$224),0),
IF('TL19'!$B$229=L$3,SUMIF('TL19'!$C$238:$C$451,$C171,'TL19'!$J$238:$J$451),0)
),0)</f>
        <v/>
      </c>
      <c r="M171" s="9">
        <f>IFERROR(SUM(
IF('TL01'!$B$3=M$3,SUMIF('TL01'!$C$10:$C$224,$C171,'TL01'!$J$10:$J$224),0),
IF('TL01'!$B$229=M$3,SUMIF('TL01'!$C$238:$C$451,$C171,'TL01'!$J$238:$J$451),0),
IF('TL02'!$B$3=M$3,SUMIF('TL02'!$C$10:$C$224,$C171,'TL02'!$J$10:$J$224),0),
IF('TL02'!$B$229=M$3,SUMIF('TL02'!$C$238:$C$451,$C171,'TL02'!$J$238:$J$451),0),
IF('TL03'!$B$3=M$3,SUMIF('TL03'!$C$10:$C$224,$C171,'TL03'!$J$10:$J$224),0),
IF('TL03'!$B$229=M$3,SUMIF('TL03'!$C$238:$C$451,$C171,'TL03'!$J$238:$J$451),0),
IF('TL04'!$B$3=M$3,SUMIF('TL04'!$C$10:$C$224,$C171,'TL04'!$J$10:$J$224),0),
IF('TL04'!$B$229=M$3,SUMIF('TL04'!$C$238:$C$451,$C171,'TL04'!$J$238:$J$451),0),
IF('TL05'!$B$3=M$3,SUMIF('TL05'!$C$10:$C$224,$C171,'TL05'!$J$10:$J$224),0),
IF('TL05'!$B$229=M$3,SUMIF('TL05'!$C$238:$C$451,$C171,'TL05'!$J$238:$J$451),0),
IF('TL06'!$B$3=M$3,SUMIF('TL06'!$C$10:$C$224,$C171,'TL06'!$J$10:$J$224),0),
IF('TL06'!$B$229=M$3,SUMIF('TL06'!$C$238:$C$451,$C171,'TL06'!$J$238:$J$451),0),
IF('TL07'!$B$3=M$3,SUMIF('TL07'!$C$10:$C$224,$C171,'TL07'!$J$10:$J$224),0),
IF('TL07'!$B$229=M$3,SUMIF('TL07'!$C$238:$C$451,$C171,'TL07'!$J$238:$J$451),0),
IF('TL08'!$B$3=M$3,SUMIF('TL08'!$C$10:$C$224,$C171,'TL08'!$J$10:$J$224),0),
IF('TL08'!$B$229=M$3,SUMIF('TL08'!$C$238:$C$451,$C171,'TL08'!$J$238:$J$451),0),
IF('TL09'!$B$3=M$3,SUMIF('TL09'!$C$10:$C$224,$C171,'TL09'!$J$10:$J$224),0),
IF('TL09'!$B$229=M$3,SUMIF('TL09'!$C$238:$C$451,$C171,'TL09'!$J$238:$J$451),0),
IF('TL10'!$B$3=M$3,SUMIF('TL10'!$C$10:$C$224,$C171,'TL10'!$J$10:$J$224),0),
IF('TL10'!$B$229=M$3,SUMIF('TL10'!$C$238:$C$451,$C171,'TL10'!$J$238:$J$451),0),
IF('TL11'!$B$3=M$3,SUMIF('TL11'!$C$10:$C$224,$C171,'TL11'!$J$10:$J$224),0),
IF('TL11'!$B$229=M$3,SUMIF('TL11'!$C$238:$C$451,$C171,'TL11'!$J$238:$J$451),0),
IF('TL12'!$B$3=M$3,SUMIF('TL12'!$C$10:$C$224,$C171,'TL12'!$J$10:$J$224),0),
IF('TL12'!$B$229=M$3,SUMIF('TL12'!$C$238:$C$451,$C171,'TL12'!$J$238:$J$451),0),
IF('TL13'!$B$3=M$3,SUMIF('TL13'!$C$10:$C$224,$C171,'TL13'!$J$10:$J$224),0),
IF('TL13'!$B$229=M$3,SUMIF('TL13'!$C$238:$C$451,$C171,'TL13'!$J$238:$J$451),0),
IF('TL14'!$B$3=M$3,SUMIF('TL14'!$C$10:$C$224,$C171,'TL14'!$J$10:$J$224),0),
IF('TL14'!$B$229=M$3,SUMIF('TL14'!$C$238:$C$451,$C171,'TL14'!$J$238:$J$451),0),
IF('TL15'!$B$3=M$3,SUMIF('TL15'!$C$10:$C$224,$C171,'TL15'!$J$10:$J$224),0),
IF('TL15'!$B$229=M$3,SUMIF('TL15'!$C$238:$C$451,$C171,'TL15'!$J$238:$J$451),0),
IF('TL16'!$B$3=M$3,SUMIF('TL16'!$C$10:$C$224,$C171,'TL16'!$J$10:$J$224),0),
IF('TL16'!$B$229=M$3,SUMIF('TL16'!$C$238:$C$451,$C171,'TL16'!$J$238:$J$451),0),
IF('TL17'!$B$3=M$3,SUMIF('TL17'!$C$10:$C$224,$C171,'TL17'!$J$10:$J$224),0),
IF('TL17'!$B$229=M$3,SUMIF('TL17'!$C$238:$C$451,$C171,'TL17'!$J$238:$J$451),0),
IF('TL18'!$B$3=M$3,SUMIF('TL18'!$C$10:$C$224,$C171,'TL18'!$J$10:$J$224),0),
IF('TL18'!$B$229=M$3,SUMIF('TL18'!$C$238:$C$451,$C171,'TL18'!$J$238:$J$451),0),
IF('TL19'!$B$3=M$3,SUMIF('TL19'!$C$10:$C$224,$C171,'TL19'!$J$10:$J$224),0),
IF('TL19'!$B$229=M$3,SUMIF('TL19'!$C$238:$C$451,$C171,'TL19'!$J$238:$J$451),0)
),0)</f>
        <v/>
      </c>
      <c r="N171" s="9">
        <f>IFERROR(SUM(
IF('TL01'!$B$3=N$3,SUMIF('TL01'!$C$10:$C$224,$C171,'TL01'!$J$10:$J$224),0),
IF('TL01'!$B$229=N$3,SUMIF('TL01'!$C$238:$C$451,$C171,'TL01'!$J$238:$J$451),0),
IF('TL02'!$B$3=N$3,SUMIF('TL02'!$C$10:$C$224,$C171,'TL02'!$J$10:$J$224),0),
IF('TL02'!$B$229=N$3,SUMIF('TL02'!$C$238:$C$451,$C171,'TL02'!$J$238:$J$451),0),
IF('TL03'!$B$3=N$3,SUMIF('TL03'!$C$10:$C$224,$C171,'TL03'!$J$10:$J$224),0),
IF('TL03'!$B$229=N$3,SUMIF('TL03'!$C$238:$C$451,$C171,'TL03'!$J$238:$J$451),0),
IF('TL04'!$B$3=N$3,SUMIF('TL04'!$C$10:$C$224,$C171,'TL04'!$J$10:$J$224),0),
IF('TL04'!$B$229=N$3,SUMIF('TL04'!$C$238:$C$451,$C171,'TL04'!$J$238:$J$451),0),
IF('TL05'!$B$3=N$3,SUMIF('TL05'!$C$10:$C$224,$C171,'TL05'!$J$10:$J$224),0),
IF('TL05'!$B$229=N$3,SUMIF('TL05'!$C$238:$C$451,$C171,'TL05'!$J$238:$J$451),0),
IF('TL06'!$B$3=N$3,SUMIF('TL06'!$C$10:$C$224,$C171,'TL06'!$J$10:$J$224),0),
IF('TL06'!$B$229=N$3,SUMIF('TL06'!$C$238:$C$451,$C171,'TL06'!$J$238:$J$451),0),
IF('TL07'!$B$3=N$3,SUMIF('TL07'!$C$10:$C$224,$C171,'TL07'!$J$10:$J$224),0),
IF('TL07'!$B$229=N$3,SUMIF('TL07'!$C$238:$C$451,$C171,'TL07'!$J$238:$J$451),0),
IF('TL08'!$B$3=N$3,SUMIF('TL08'!$C$10:$C$224,$C171,'TL08'!$J$10:$J$224),0),
IF('TL08'!$B$229=N$3,SUMIF('TL08'!$C$238:$C$451,$C171,'TL08'!$J$238:$J$451),0),
IF('TL09'!$B$3=N$3,SUMIF('TL09'!$C$10:$C$224,$C171,'TL09'!$J$10:$J$224),0),
IF('TL09'!$B$229=N$3,SUMIF('TL09'!$C$238:$C$451,$C171,'TL09'!$J$238:$J$451),0),
IF('TL10'!$B$3=N$3,SUMIF('TL10'!$C$10:$C$224,$C171,'TL10'!$J$10:$J$224),0),
IF('TL10'!$B$229=N$3,SUMIF('TL10'!$C$238:$C$451,$C171,'TL10'!$J$238:$J$451),0),
IF('TL11'!$B$3=N$3,SUMIF('TL11'!$C$10:$C$224,$C171,'TL11'!$J$10:$J$224),0),
IF('TL11'!$B$229=N$3,SUMIF('TL11'!$C$238:$C$451,$C171,'TL11'!$J$238:$J$451),0),
IF('TL12'!$B$3=N$3,SUMIF('TL12'!$C$10:$C$224,$C171,'TL12'!$J$10:$J$224),0),
IF('TL12'!$B$229=N$3,SUMIF('TL12'!$C$238:$C$451,$C171,'TL12'!$J$238:$J$451),0),
IF('TL13'!$B$3=N$3,SUMIF('TL13'!$C$10:$C$224,$C171,'TL13'!$J$10:$J$224),0),
IF('TL13'!$B$229=N$3,SUMIF('TL13'!$C$238:$C$451,$C171,'TL13'!$J$238:$J$451),0),
IF('TL14'!$B$3=N$3,SUMIF('TL14'!$C$10:$C$224,$C171,'TL14'!$J$10:$J$224),0),
IF('TL14'!$B$229=N$3,SUMIF('TL14'!$C$238:$C$451,$C171,'TL14'!$J$238:$J$451),0),
IF('TL15'!$B$3=N$3,SUMIF('TL15'!$C$10:$C$224,$C171,'TL15'!$J$10:$J$224),0),
IF('TL15'!$B$229=N$3,SUMIF('TL15'!$C$238:$C$451,$C171,'TL15'!$J$238:$J$451),0),
IF('TL16'!$B$3=N$3,SUMIF('TL16'!$C$10:$C$224,$C171,'TL16'!$J$10:$J$224),0),
IF('TL16'!$B$229=N$3,SUMIF('TL16'!$C$238:$C$451,$C171,'TL16'!$J$238:$J$451),0),
IF('TL17'!$B$3=N$3,SUMIF('TL17'!$C$10:$C$224,$C171,'TL17'!$J$10:$J$224),0),
IF('TL17'!$B$229=N$3,SUMIF('TL17'!$C$238:$C$451,$C171,'TL17'!$J$238:$J$451),0),
IF('TL18'!$B$3=N$3,SUMIF('TL18'!$C$10:$C$224,$C171,'TL18'!$J$10:$J$224),0),
IF('TL18'!$B$229=N$3,SUMIF('TL18'!$C$238:$C$451,$C171,'TL18'!$J$238:$J$451),0),
IF('TL19'!$B$3=N$3,SUMIF('TL19'!$C$10:$C$224,$C171,'TL19'!$J$10:$J$224),0),
IF('TL19'!$B$229=N$3,SUMIF('TL19'!$C$238:$C$451,$C171,'TL19'!$J$238:$J$451),0)
),0)</f>
        <v/>
      </c>
      <c r="O171" s="9">
        <f>IFERROR(SUM(
IF('TL01'!$B$3=O$3,SUMIF('TL01'!$C$10:$C$224,$C171,'TL01'!$J$10:$J$224),0),
IF('TL01'!$B$229=O$3,SUMIF('TL01'!$C$238:$C$451,$C171,'TL01'!$J$238:$J$451),0),
IF('TL02'!$B$3=O$3,SUMIF('TL02'!$C$10:$C$224,$C171,'TL02'!$J$10:$J$224),0),
IF('TL02'!$B$229=O$3,SUMIF('TL02'!$C$238:$C$451,$C171,'TL02'!$J$238:$J$451),0),
IF('TL03'!$B$3=O$3,SUMIF('TL03'!$C$10:$C$224,$C171,'TL03'!$J$10:$J$224),0),
IF('TL03'!$B$229=O$3,SUMIF('TL03'!$C$238:$C$451,$C171,'TL03'!$J$238:$J$451),0),
IF('TL04'!$B$3=O$3,SUMIF('TL04'!$C$10:$C$224,$C171,'TL04'!$J$10:$J$224),0),
IF('TL04'!$B$229=O$3,SUMIF('TL04'!$C$238:$C$451,$C171,'TL04'!$J$238:$J$451),0),
IF('TL05'!$B$3=O$3,SUMIF('TL05'!$C$10:$C$224,$C171,'TL05'!$J$10:$J$224),0),
IF('TL05'!$B$229=O$3,SUMIF('TL05'!$C$238:$C$451,$C171,'TL05'!$J$238:$J$451),0),
IF('TL06'!$B$3=O$3,SUMIF('TL06'!$C$10:$C$224,$C171,'TL06'!$J$10:$J$224),0),
IF('TL06'!$B$229=O$3,SUMIF('TL06'!$C$238:$C$451,$C171,'TL06'!$J$238:$J$451),0),
IF('TL07'!$B$3=O$3,SUMIF('TL07'!$C$10:$C$224,$C171,'TL07'!$J$10:$J$224),0),
IF('TL07'!$B$229=O$3,SUMIF('TL07'!$C$238:$C$451,$C171,'TL07'!$J$238:$J$451),0),
IF('TL08'!$B$3=O$3,SUMIF('TL08'!$C$10:$C$224,$C171,'TL08'!$J$10:$J$224),0),
IF('TL08'!$B$229=O$3,SUMIF('TL08'!$C$238:$C$451,$C171,'TL08'!$J$238:$J$451),0),
IF('TL09'!$B$3=O$3,SUMIF('TL09'!$C$10:$C$224,$C171,'TL09'!$J$10:$J$224),0),
IF('TL09'!$B$229=O$3,SUMIF('TL09'!$C$238:$C$451,$C171,'TL09'!$J$238:$J$451),0),
IF('TL10'!$B$3=O$3,SUMIF('TL10'!$C$10:$C$224,$C171,'TL10'!$J$10:$J$224),0),
IF('TL10'!$B$229=O$3,SUMIF('TL10'!$C$238:$C$451,$C171,'TL10'!$J$238:$J$451),0),
IF('TL11'!$B$3=O$3,SUMIF('TL11'!$C$10:$C$224,$C171,'TL11'!$J$10:$J$224),0),
IF('TL11'!$B$229=O$3,SUMIF('TL11'!$C$238:$C$451,$C171,'TL11'!$J$238:$J$451),0),
IF('TL12'!$B$3=O$3,SUMIF('TL12'!$C$10:$C$224,$C171,'TL12'!$J$10:$J$224),0),
IF('TL12'!$B$229=O$3,SUMIF('TL12'!$C$238:$C$451,$C171,'TL12'!$J$238:$J$451),0),
IF('TL13'!$B$3=O$3,SUMIF('TL13'!$C$10:$C$224,$C171,'TL13'!$J$10:$J$224),0),
IF('TL13'!$B$229=O$3,SUMIF('TL13'!$C$238:$C$451,$C171,'TL13'!$J$238:$J$451),0),
IF('TL14'!$B$3=O$3,SUMIF('TL14'!$C$10:$C$224,$C171,'TL14'!$J$10:$J$224),0),
IF('TL14'!$B$229=O$3,SUMIF('TL14'!$C$238:$C$451,$C171,'TL14'!$J$238:$J$451),0),
IF('TL15'!$B$3=O$3,SUMIF('TL15'!$C$10:$C$224,$C171,'TL15'!$J$10:$J$224),0),
IF('TL15'!$B$229=O$3,SUMIF('TL15'!$C$238:$C$451,$C171,'TL15'!$J$238:$J$451),0),
IF('TL16'!$B$3=O$3,SUMIF('TL16'!$C$10:$C$224,$C171,'TL16'!$J$10:$J$224),0),
IF('TL16'!$B$229=O$3,SUMIF('TL16'!$C$238:$C$451,$C171,'TL16'!$J$238:$J$451),0),
IF('TL17'!$B$3=O$3,SUMIF('TL17'!$C$10:$C$224,$C171,'TL17'!$J$10:$J$224),0),
IF('TL17'!$B$229=O$3,SUMIF('TL17'!$C$238:$C$451,$C171,'TL17'!$J$238:$J$451),0),
IF('TL18'!$B$3=O$3,SUMIF('TL18'!$C$10:$C$224,$C171,'TL18'!$J$10:$J$224),0),
IF('TL18'!$B$229=O$3,SUMIF('TL18'!$C$238:$C$451,$C171,'TL18'!$J$238:$J$451),0),
IF('TL19'!$B$3=O$3,SUMIF('TL19'!$C$10:$C$224,$C171,'TL19'!$J$10:$J$224),0),
IF('TL19'!$B$229=O$3,SUMIF('TL19'!$C$238:$C$451,$C171,'TL19'!$J$238:$J$451),0)
),0)</f>
        <v/>
      </c>
      <c r="P171" s="9">
        <f>IFERROR(SUM(
IF('TL01'!$B$3=P$3,SUMIF('TL01'!$C$10:$C$224,$C171,'TL01'!$J$10:$J$224),0),
IF('TL01'!$B$229=P$3,SUMIF('TL01'!$C$238:$C$451,$C171,'TL01'!$J$238:$J$451),0),
IF('TL02'!$B$3=P$3,SUMIF('TL02'!$C$10:$C$224,$C171,'TL02'!$J$10:$J$224),0),
IF('TL02'!$B$229=P$3,SUMIF('TL02'!$C$238:$C$451,$C171,'TL02'!$J$238:$J$451),0),
IF('TL03'!$B$3=P$3,SUMIF('TL03'!$C$10:$C$224,$C171,'TL03'!$J$10:$J$224),0),
IF('TL03'!$B$229=P$3,SUMIF('TL03'!$C$238:$C$451,$C171,'TL03'!$J$238:$J$451),0),
IF('TL04'!$B$3=P$3,SUMIF('TL04'!$C$10:$C$224,$C171,'TL04'!$J$10:$J$224),0),
IF('TL04'!$B$229=P$3,SUMIF('TL04'!$C$238:$C$451,$C171,'TL04'!$J$238:$J$451),0),
IF('TL05'!$B$3=P$3,SUMIF('TL05'!$C$10:$C$224,$C171,'TL05'!$J$10:$J$224),0),
IF('TL05'!$B$229=P$3,SUMIF('TL05'!$C$238:$C$451,$C171,'TL05'!$J$238:$J$451),0),
IF('TL06'!$B$3=P$3,SUMIF('TL06'!$C$10:$C$224,$C171,'TL06'!$J$10:$J$224),0),
IF('TL06'!$B$229=P$3,SUMIF('TL06'!$C$238:$C$451,$C171,'TL06'!$J$238:$J$451),0),
IF('TL07'!$B$3=P$3,SUMIF('TL07'!$C$10:$C$224,$C171,'TL07'!$J$10:$J$224),0),
IF('TL07'!$B$229=P$3,SUMIF('TL07'!$C$238:$C$451,$C171,'TL07'!$J$238:$J$451),0),
IF('TL08'!$B$3=P$3,SUMIF('TL08'!$C$10:$C$224,$C171,'TL08'!$J$10:$J$224),0),
IF('TL08'!$B$229=P$3,SUMIF('TL08'!$C$238:$C$451,$C171,'TL08'!$J$238:$J$451),0),
IF('TL09'!$B$3=P$3,SUMIF('TL09'!$C$10:$C$224,$C171,'TL09'!$J$10:$J$224),0),
IF('TL09'!$B$229=P$3,SUMIF('TL09'!$C$238:$C$451,$C171,'TL09'!$J$238:$J$451),0),
IF('TL10'!$B$3=P$3,SUMIF('TL10'!$C$10:$C$224,$C171,'TL10'!$J$10:$J$224),0),
IF('TL10'!$B$229=P$3,SUMIF('TL10'!$C$238:$C$451,$C171,'TL10'!$J$238:$J$451),0),
IF('TL11'!$B$3=P$3,SUMIF('TL11'!$C$10:$C$224,$C171,'TL11'!$J$10:$J$224),0),
IF('TL11'!$B$229=P$3,SUMIF('TL11'!$C$238:$C$451,$C171,'TL11'!$J$238:$J$451),0),
IF('TL12'!$B$3=P$3,SUMIF('TL12'!$C$10:$C$224,$C171,'TL12'!$J$10:$J$224),0),
IF('TL12'!$B$229=P$3,SUMIF('TL12'!$C$238:$C$451,$C171,'TL12'!$J$238:$J$451),0),
IF('TL13'!$B$3=P$3,SUMIF('TL13'!$C$10:$C$224,$C171,'TL13'!$J$10:$J$224),0),
IF('TL13'!$B$229=P$3,SUMIF('TL13'!$C$238:$C$451,$C171,'TL13'!$J$238:$J$451),0),
IF('TL14'!$B$3=P$3,SUMIF('TL14'!$C$10:$C$224,$C171,'TL14'!$J$10:$J$224),0),
IF('TL14'!$B$229=P$3,SUMIF('TL14'!$C$238:$C$451,$C171,'TL14'!$J$238:$J$451),0),
IF('TL15'!$B$3=P$3,SUMIF('TL15'!$C$10:$C$224,$C171,'TL15'!$J$10:$J$224),0),
IF('TL15'!$B$229=P$3,SUMIF('TL15'!$C$238:$C$451,$C171,'TL15'!$J$238:$J$451),0),
IF('TL16'!$B$3=P$3,SUMIF('TL16'!$C$10:$C$224,$C171,'TL16'!$J$10:$J$224),0),
IF('TL16'!$B$229=P$3,SUMIF('TL16'!$C$238:$C$451,$C171,'TL16'!$J$238:$J$451),0),
IF('TL17'!$B$3=P$3,SUMIF('TL17'!$C$10:$C$224,$C171,'TL17'!$J$10:$J$224),0),
IF('TL17'!$B$229=P$3,SUMIF('TL17'!$C$238:$C$451,$C171,'TL17'!$J$238:$J$451),0),
IF('TL18'!$B$3=P$3,SUMIF('TL18'!$C$10:$C$224,$C171,'TL18'!$J$10:$J$224),0),
IF('TL18'!$B$229=P$3,SUMIF('TL18'!$C$238:$C$451,$C171,'TL18'!$J$238:$J$451),0),
IF('TL19'!$B$3=P$3,SUMIF('TL19'!$C$10:$C$224,$C171,'TL19'!$J$10:$J$224),0),
IF('TL19'!$B$229=P$3,SUMIF('TL19'!$C$238:$C$451,$C171,'TL19'!$J$238:$J$451),0)
),0)</f>
        <v/>
      </c>
      <c r="Q171" s="9">
        <f>IFERROR(SUM(
IF('TL01'!$B$3=Q$3,SUMIF('TL01'!$C$10:$C$224,$C171,'TL01'!$J$10:$J$224),0),
IF('TL01'!$B$229=Q$3,SUMIF('TL01'!$C$238:$C$451,$C171,'TL01'!$J$238:$J$451),0),
IF('TL02'!$B$3=Q$3,SUMIF('TL02'!$C$10:$C$224,$C171,'TL02'!$J$10:$J$224),0),
IF('TL02'!$B$229=Q$3,SUMIF('TL02'!$C$238:$C$451,$C171,'TL02'!$J$238:$J$451),0),
IF('TL03'!$B$3=Q$3,SUMIF('TL03'!$C$10:$C$224,$C171,'TL03'!$J$10:$J$224),0),
IF('TL03'!$B$229=Q$3,SUMIF('TL03'!$C$238:$C$451,$C171,'TL03'!$J$238:$J$451),0),
IF('TL04'!$B$3=Q$3,SUMIF('TL04'!$C$10:$C$224,$C171,'TL04'!$J$10:$J$224),0),
IF('TL04'!$B$229=Q$3,SUMIF('TL04'!$C$238:$C$451,$C171,'TL04'!$J$238:$J$451),0),
IF('TL05'!$B$3=Q$3,SUMIF('TL05'!$C$10:$C$224,$C171,'TL05'!$J$10:$J$224),0),
IF('TL05'!$B$229=Q$3,SUMIF('TL05'!$C$238:$C$451,$C171,'TL05'!$J$238:$J$451),0),
IF('TL06'!$B$3=Q$3,SUMIF('TL06'!$C$10:$C$224,$C171,'TL06'!$J$10:$J$224),0),
IF('TL06'!$B$229=Q$3,SUMIF('TL06'!$C$238:$C$451,$C171,'TL06'!$J$238:$J$451),0),
IF('TL07'!$B$3=Q$3,SUMIF('TL07'!$C$10:$C$224,$C171,'TL07'!$J$10:$J$224),0),
IF('TL07'!$B$229=Q$3,SUMIF('TL07'!$C$238:$C$451,$C171,'TL07'!$J$238:$J$451),0),
IF('TL08'!$B$3=Q$3,SUMIF('TL08'!$C$10:$C$224,$C171,'TL08'!$J$10:$J$224),0),
IF('TL08'!$B$229=Q$3,SUMIF('TL08'!$C$238:$C$451,$C171,'TL08'!$J$238:$J$451),0),
IF('TL09'!$B$3=Q$3,SUMIF('TL09'!$C$10:$C$224,$C171,'TL09'!$J$10:$J$224),0),
IF('TL09'!$B$229=Q$3,SUMIF('TL09'!$C$238:$C$451,$C171,'TL09'!$J$238:$J$451),0),
IF('TL10'!$B$3=Q$3,SUMIF('TL10'!$C$10:$C$224,$C171,'TL10'!$J$10:$J$224),0),
IF('TL10'!$B$229=Q$3,SUMIF('TL10'!$C$238:$C$451,$C171,'TL10'!$J$238:$J$451),0),
IF('TL11'!$B$3=Q$3,SUMIF('TL11'!$C$10:$C$224,$C171,'TL11'!$J$10:$J$224),0),
IF('TL11'!$B$229=Q$3,SUMIF('TL11'!$C$238:$C$451,$C171,'TL11'!$J$238:$J$451),0),
IF('TL12'!$B$3=Q$3,SUMIF('TL12'!$C$10:$C$224,$C171,'TL12'!$J$10:$J$224),0),
IF('TL12'!$B$229=Q$3,SUMIF('TL12'!$C$238:$C$451,$C171,'TL12'!$J$238:$J$451),0),
IF('TL13'!$B$3=Q$3,SUMIF('TL13'!$C$10:$C$224,$C171,'TL13'!$J$10:$J$224),0),
IF('TL13'!$B$229=Q$3,SUMIF('TL13'!$C$238:$C$451,$C171,'TL13'!$J$238:$J$451),0),
IF('TL14'!$B$3=Q$3,SUMIF('TL14'!$C$10:$C$224,$C171,'TL14'!$J$10:$J$224),0),
IF('TL14'!$B$229=Q$3,SUMIF('TL14'!$C$238:$C$451,$C171,'TL14'!$J$238:$J$451),0),
IF('TL15'!$B$3=Q$3,SUMIF('TL15'!$C$10:$C$224,$C171,'TL15'!$J$10:$J$224),0),
IF('TL15'!$B$229=Q$3,SUMIF('TL15'!$C$238:$C$451,$C171,'TL15'!$J$238:$J$451),0),
IF('TL16'!$B$3=Q$3,SUMIF('TL16'!$C$10:$C$224,$C171,'TL16'!$J$10:$J$224),0),
IF('TL16'!$B$229=Q$3,SUMIF('TL16'!$C$238:$C$451,$C171,'TL16'!$J$238:$J$451),0),
IF('TL17'!$B$3=Q$3,SUMIF('TL17'!$C$10:$C$224,$C171,'TL17'!$J$10:$J$224),0),
IF('TL17'!$B$229=Q$3,SUMIF('TL17'!$C$238:$C$451,$C171,'TL17'!$J$238:$J$451),0),
IF('TL18'!$B$3=Q$3,SUMIF('TL18'!$C$10:$C$224,$C171,'TL18'!$J$10:$J$224),0),
IF('TL18'!$B$229=Q$3,SUMIF('TL18'!$C$238:$C$451,$C171,'TL18'!$J$238:$J$451),0),
IF('TL19'!$B$3=Q$3,SUMIF('TL19'!$C$10:$C$224,$C171,'TL19'!$J$10:$J$224),0),
IF('TL19'!$B$229=Q$3,SUMIF('TL19'!$C$238:$C$451,$C171,'TL19'!$J$238:$J$451),0)
),0)</f>
        <v/>
      </c>
      <c r="R171" s="9">
        <f>IFERROR(
SUM(
SUMIF('TL01'!C:C,C171,'TL01'!J:J),
SUMIF('TL02'!C:C,C171,'TL02'!J:J),
SUMIF('TL03'!C:C,C171,'TL03'!J:J),
SUMIF('TL04'!C:C,C171,'TL04'!J:J),
SUMIF('TL05'!C:C,C171,'TL05'!J:J),
SUMIF('TL06'!C:C,C171,'TL06'!J:J),
SUMIF('TL07'!C:C,C171,'TL07'!J:J),
SUMIF('TL08'!C:C,C171,'TL08'!J:J),
SUMIF('TL09'!C:C,C171,'TL09'!J:J),
SUMIF('TL10'!C:C,C171,'TL10'!J:J),
SUMIF('TL11'!C:C,C171,'TL11'!J:J),
SUMIF('TL12'!C:C,C171,'TL12'!J:J),
SUMIF('TL13'!C:C,C171,'TL13'!J:J),
SUMIF('TL14'!C:C,C171,'TL14'!J:J),
SUMIF('TL15'!C:C,C171,'TL15'!J:J),
SUMIF('TL16'!C:C,C171,'TL16'!J:J),
SUMIF('TL17'!C:C,C171,'TL17'!J:J),
SUMIF('TL18'!C:C,C171,'TL18'!J:J),SUMIF('TL19'!C:C,C171,'TL19'!J:J))
,0)</f>
        <v/>
      </c>
      <c r="S171" s="17">
        <f>IFERROR(__xludf.DUMMYFUNCTION("IFERROR(VLOOKUP(C171,
IMPORTRANGE(""1wULbzX32WdYsx-lj2U3uUNBBe2INVIRDtcK0d-Dvl90"",
""26-27!C:G""),
5,
FALSE),
"""")"),43.65408)</f>
        <v/>
      </c>
      <c r="T171" s="9" t="n"/>
      <c r="U171" s="92">
        <f>MAX(0,R171-T171)</f>
        <v/>
      </c>
      <c r="V171" s="93">
        <f>U171*S171</f>
        <v/>
      </c>
    </row>
    <row r="172" hidden="1" ht="15.75" customHeight="1" s="297">
      <c r="A172" s="87" t="inlineStr">
        <is>
          <t>ADAMA</t>
        </is>
      </c>
      <c r="B172" s="88" t="inlineStr">
        <is>
          <t>INSETICIDA</t>
        </is>
      </c>
      <c r="C172" s="89" t="inlineStr">
        <is>
          <t>GALIL SC</t>
        </is>
      </c>
      <c r="D172" s="89" t="inlineStr">
        <is>
          <t>IMIDACLOPRIDO + BIFENTRINA</t>
        </is>
      </c>
      <c r="E172" s="89" t="inlineStr">
        <is>
          <t>250 + 50</t>
        </is>
      </c>
      <c r="F172" s="4" t="inlineStr">
        <is>
          <t>KG</t>
        </is>
      </c>
      <c r="G172" s="90">
        <f>HYPERLINK("https://www.google.com/search?q=" &amp; C172 &amp; "+bula+agrofit+pdf", "📄 Ver bula")</f>
        <v/>
      </c>
      <c r="H172" s="9">
        <f>IFERROR(__xludf.DUMMYFUNCTION("IFERROR(VLOOKUP(C172,
IMPORTRANGE(""1wULbzX32WdYsx-lj2U3uUNBBe2INVIRDtcK0d-Dvl90"",
""26-27!C:K""),
8,
FALSE),
"""")"),0.4)</f>
        <v/>
      </c>
      <c r="I172" s="91" t="inlineStr">
        <is>
          <t>1x20</t>
        </is>
      </c>
      <c r="J172" s="9">
        <f>IFERROR(SUM(
IF('TL01'!$B$3=J$3,SUMIF('TL01'!$C$10:$C$224,$C172,'TL01'!$J$10:$J$224),0),
IF('TL01'!$B$229=J$3,SUMIF('TL01'!$C$238:$C$451,$C172,'TL01'!$J$238:$J$451),0),
IF('TL02'!$B$3=J$3,SUMIF('TL02'!$C$10:$C$224,$C172,'TL02'!$J$10:$J$224),0),
IF('TL02'!$B$229=J$3,SUMIF('TL02'!$C$238:$C$451,$C172,'TL02'!$J$238:$J$451),0),
IF('TL03'!$B$3=J$3,SUMIF('TL03'!$C$10:$C$224,$C172,'TL03'!$J$10:$J$224),0),
IF('TL03'!$B$229=J$3,SUMIF('TL03'!$C$238:$C$451,$C172,'TL03'!$J$238:$J$451),0),
IF('TL04'!$B$3=J$3,SUMIF('TL04'!$C$10:$C$224,$C172,'TL04'!$J$10:$J$224),0),
IF('TL04'!$B$229=J$3,SUMIF('TL04'!$C$238:$C$451,$C172,'TL04'!$J$238:$J$451),0),
IF('TL05'!$B$3=J$3,SUMIF('TL05'!$C$10:$C$224,$C172,'TL05'!$J$10:$J$224),0),
IF('TL05'!$B$229=J$3,SUMIF('TL05'!$C$238:$C$451,$C172,'TL05'!$J$238:$J$451),0),
IF('TL06'!$B$3=J$3,SUMIF('TL06'!$C$10:$C$224,$C172,'TL06'!$J$10:$J$224),0),
IF('TL06'!$B$229=J$3,SUMIF('TL06'!$C$238:$C$451,$C172,'TL06'!$J$238:$J$451),0),
IF('TL07'!$B$3=J$3,SUMIF('TL07'!$C$10:$C$224,$C172,'TL07'!$J$10:$J$224),0),
IF('TL07'!$B$229=J$3,SUMIF('TL07'!$C$238:$C$451,$C172,'TL07'!$J$238:$J$451),0),
IF('TL08'!$B$3=J$3,SUMIF('TL08'!$C$10:$C$224,$C172,'TL08'!$J$10:$J$224),0),
IF('TL08'!$B$229=J$3,SUMIF('TL08'!$C$238:$C$451,$C172,'TL08'!$J$238:$J$451),0),
IF('TL09'!$B$3=J$3,SUMIF('TL09'!$C$10:$C$224,$C172,'TL09'!$J$10:$J$224),0),
IF('TL09'!$B$229=J$3,SUMIF('TL09'!$C$238:$C$451,$C172,'TL09'!$J$238:$J$451),0),
IF('TL10'!$B$3=J$3,SUMIF('TL10'!$C$10:$C$224,$C172,'TL10'!$J$10:$J$224),0),
IF('TL10'!$B$229=J$3,SUMIF('TL10'!$C$238:$C$451,$C172,'TL10'!$J$238:$J$451),0),
IF('TL11'!$B$3=J$3,SUMIF('TL11'!$C$10:$C$224,$C172,'TL11'!$J$10:$J$224),0),
IF('TL11'!$B$229=J$3,SUMIF('TL11'!$C$238:$C$451,$C172,'TL11'!$J$238:$J$451),0),
IF('TL12'!$B$3=J$3,SUMIF('TL12'!$C$10:$C$224,$C172,'TL12'!$J$10:$J$224),0),
IF('TL12'!$B$229=J$3,SUMIF('TL12'!$C$238:$C$451,$C172,'TL12'!$J$238:$J$451),0),
IF('TL13'!$B$3=J$3,SUMIF('TL13'!$C$10:$C$224,$C172,'TL13'!$J$10:$J$224),0),
IF('TL13'!$B$229=J$3,SUMIF('TL13'!$C$238:$C$451,$C172,'TL13'!$J$238:$J$451),0),
IF('TL14'!$B$3=J$3,SUMIF('TL14'!$C$10:$C$224,$C172,'TL14'!$J$10:$J$224),0),
IF('TL14'!$B$229=J$3,SUMIF('TL14'!$C$238:$C$451,$C172,'TL14'!$J$238:$J$451),0),
IF('TL15'!$B$3=J$3,SUMIF('TL15'!$C$10:$C$224,$C172,'TL15'!$J$10:$J$224),0),
IF('TL15'!$B$229=J$3,SUMIF('TL15'!$C$238:$C$451,$C172,'TL15'!$J$238:$J$451),0),
IF('TL16'!$B$3=J$3,SUMIF('TL16'!$C$10:$C$224,$C172,'TL16'!$J$10:$J$224),0),
IF('TL16'!$B$229=J$3,SUMIF('TL16'!$C$238:$C$451,$C172,'TL16'!$J$238:$J$451),0),
IF('TL17'!$B$3=J$3,SUMIF('TL17'!$C$10:$C$224,$C172,'TL17'!$J$10:$J$224),0),
IF('TL17'!$B$229=J$3,SUMIF('TL17'!$C$238:$C$451,$C172,'TL17'!$J$238:$J$451),0),
IF('TL18'!$B$3=J$3,SUMIF('TL18'!$C$10:$C$224,$C172,'TL18'!$J$10:$J$224),0),
IF('TL18'!$B$229=J$3,SUMIF('TL18'!$C$238:$C$451,$C172,'TL18'!$J$238:$J$451),0),
IF('TL19'!$B$3=J$3,SUMIF('TL19'!$C$10:$C$224,$C172,'TL19'!$J$10:$J$224),0),
IF('TL19'!$B$229=J$3,SUMIF('TL19'!$C$238:$C$451,$C172,'TL19'!$J$238:$J$451),0)
),0)</f>
        <v/>
      </c>
      <c r="K172" s="9">
        <f>IFERROR(SUM(
IF('TL01'!$B$3=K$3,SUMIF('TL01'!$C$10:$C$224,$C172,'TL01'!$J$10:$J$224),0),
IF('TL01'!$B$229=K$3,SUMIF('TL01'!$C$238:$C$451,$C172,'TL01'!$J$238:$J$451),0),
IF('TL02'!$B$3=K$3,SUMIF('TL02'!$C$10:$C$224,$C172,'TL02'!$J$10:$J$224),0),
IF('TL02'!$B$229=K$3,SUMIF('TL02'!$C$238:$C$451,$C172,'TL02'!$J$238:$J$451),0),
IF('TL03'!$B$3=K$3,SUMIF('TL03'!$C$10:$C$224,$C172,'TL03'!$J$10:$J$224),0),
IF('TL03'!$B$229=K$3,SUMIF('TL03'!$C$238:$C$451,$C172,'TL03'!$J$238:$J$451),0),
IF('TL04'!$B$3=K$3,SUMIF('TL04'!$C$10:$C$224,$C172,'TL04'!$J$10:$J$224),0),
IF('TL04'!$B$229=K$3,SUMIF('TL04'!$C$238:$C$451,$C172,'TL04'!$J$238:$J$451),0),
IF('TL05'!$B$3=K$3,SUMIF('TL05'!$C$10:$C$224,$C172,'TL05'!$J$10:$J$224),0),
IF('TL05'!$B$229=K$3,SUMIF('TL05'!$C$238:$C$451,$C172,'TL05'!$J$238:$J$451),0),
IF('TL06'!$B$3=K$3,SUMIF('TL06'!$C$10:$C$224,$C172,'TL06'!$J$10:$J$224),0),
IF('TL06'!$B$229=K$3,SUMIF('TL06'!$C$238:$C$451,$C172,'TL06'!$J$238:$J$451),0),
IF('TL07'!$B$3=K$3,SUMIF('TL07'!$C$10:$C$224,$C172,'TL07'!$J$10:$J$224),0),
IF('TL07'!$B$229=K$3,SUMIF('TL07'!$C$238:$C$451,$C172,'TL07'!$J$238:$J$451),0),
IF('TL08'!$B$3=K$3,SUMIF('TL08'!$C$10:$C$224,$C172,'TL08'!$J$10:$J$224),0),
IF('TL08'!$B$229=K$3,SUMIF('TL08'!$C$238:$C$451,$C172,'TL08'!$J$238:$J$451),0),
IF('TL09'!$B$3=K$3,SUMIF('TL09'!$C$10:$C$224,$C172,'TL09'!$J$10:$J$224),0),
IF('TL09'!$B$229=K$3,SUMIF('TL09'!$C$238:$C$451,$C172,'TL09'!$J$238:$J$451),0),
IF('TL10'!$B$3=K$3,SUMIF('TL10'!$C$10:$C$224,$C172,'TL10'!$J$10:$J$224),0),
IF('TL10'!$B$229=K$3,SUMIF('TL10'!$C$238:$C$451,$C172,'TL10'!$J$238:$J$451),0),
IF('TL11'!$B$3=K$3,SUMIF('TL11'!$C$10:$C$224,$C172,'TL11'!$J$10:$J$224),0),
IF('TL11'!$B$229=K$3,SUMIF('TL11'!$C$238:$C$451,$C172,'TL11'!$J$238:$J$451),0),
IF('TL12'!$B$3=K$3,SUMIF('TL12'!$C$10:$C$224,$C172,'TL12'!$J$10:$J$224),0),
IF('TL12'!$B$229=K$3,SUMIF('TL12'!$C$238:$C$451,$C172,'TL12'!$J$238:$J$451),0),
IF('TL13'!$B$3=K$3,SUMIF('TL13'!$C$10:$C$224,$C172,'TL13'!$J$10:$J$224),0),
IF('TL13'!$B$229=K$3,SUMIF('TL13'!$C$238:$C$451,$C172,'TL13'!$J$238:$J$451),0),
IF('TL14'!$B$3=K$3,SUMIF('TL14'!$C$10:$C$224,$C172,'TL14'!$J$10:$J$224),0),
IF('TL14'!$B$229=K$3,SUMIF('TL14'!$C$238:$C$451,$C172,'TL14'!$J$238:$J$451),0),
IF('TL15'!$B$3=K$3,SUMIF('TL15'!$C$10:$C$224,$C172,'TL15'!$J$10:$J$224),0),
IF('TL15'!$B$229=K$3,SUMIF('TL15'!$C$238:$C$451,$C172,'TL15'!$J$238:$J$451),0),
IF('TL16'!$B$3=K$3,SUMIF('TL16'!$C$10:$C$224,$C172,'TL16'!$J$10:$J$224),0),
IF('TL16'!$B$229=K$3,SUMIF('TL16'!$C$238:$C$451,$C172,'TL16'!$J$238:$J$451),0),
IF('TL17'!$B$3=K$3,SUMIF('TL17'!$C$10:$C$224,$C172,'TL17'!$J$10:$J$224),0),
IF('TL17'!$B$229=K$3,SUMIF('TL17'!$C$238:$C$451,$C172,'TL17'!$J$238:$J$451),0),
IF('TL18'!$B$3=K$3,SUMIF('TL18'!$C$10:$C$224,$C172,'TL18'!$J$10:$J$224),0),
IF('TL18'!$B$229=K$3,SUMIF('TL18'!$C$238:$C$451,$C172,'TL18'!$J$238:$J$451),0),
IF('TL19'!$B$3=K$3,SUMIF('TL19'!$C$10:$C$224,$C172,'TL19'!$J$10:$J$224),0),
IF('TL19'!$B$229=K$3,SUMIF('TL19'!$C$238:$C$451,$C172,'TL19'!$J$238:$J$451),0)
),0)</f>
        <v/>
      </c>
      <c r="L172" s="9">
        <f>IFERROR(SUM(
IF('TL01'!$B$3=L$3,SUMIF('TL01'!$C$10:$C$224,$C172,'TL01'!$J$10:$J$224),0),
IF('TL01'!$B$229=L$3,SUMIF('TL01'!$C$238:$C$451,$C172,'TL01'!$J$238:$J$451),0),
IF('TL02'!$B$3=L$3,SUMIF('TL02'!$C$10:$C$224,$C172,'TL02'!$J$10:$J$224),0),
IF('TL02'!$B$229=L$3,SUMIF('TL02'!$C$238:$C$451,$C172,'TL02'!$J$238:$J$451),0),
IF('TL03'!$B$3=L$3,SUMIF('TL03'!$C$10:$C$224,$C172,'TL03'!$J$10:$J$224),0),
IF('TL03'!$B$229=L$3,SUMIF('TL03'!$C$238:$C$451,$C172,'TL03'!$J$238:$J$451),0),
IF('TL04'!$B$3=L$3,SUMIF('TL04'!$C$10:$C$224,$C172,'TL04'!$J$10:$J$224),0),
IF('TL04'!$B$229=L$3,SUMIF('TL04'!$C$238:$C$451,$C172,'TL04'!$J$238:$J$451),0),
IF('TL05'!$B$3=L$3,SUMIF('TL05'!$C$10:$C$224,$C172,'TL05'!$J$10:$J$224),0),
IF('TL05'!$B$229=L$3,SUMIF('TL05'!$C$238:$C$451,$C172,'TL05'!$J$238:$J$451),0),
IF('TL06'!$B$3=L$3,SUMIF('TL06'!$C$10:$C$224,$C172,'TL06'!$J$10:$J$224),0),
IF('TL06'!$B$229=L$3,SUMIF('TL06'!$C$238:$C$451,$C172,'TL06'!$J$238:$J$451),0),
IF('TL07'!$B$3=L$3,SUMIF('TL07'!$C$10:$C$224,$C172,'TL07'!$J$10:$J$224),0),
IF('TL07'!$B$229=L$3,SUMIF('TL07'!$C$238:$C$451,$C172,'TL07'!$J$238:$J$451),0),
IF('TL08'!$B$3=L$3,SUMIF('TL08'!$C$10:$C$224,$C172,'TL08'!$J$10:$J$224),0),
IF('TL08'!$B$229=L$3,SUMIF('TL08'!$C$238:$C$451,$C172,'TL08'!$J$238:$J$451),0),
IF('TL09'!$B$3=L$3,SUMIF('TL09'!$C$10:$C$224,$C172,'TL09'!$J$10:$J$224),0),
IF('TL09'!$B$229=L$3,SUMIF('TL09'!$C$238:$C$451,$C172,'TL09'!$J$238:$J$451),0),
IF('TL10'!$B$3=L$3,SUMIF('TL10'!$C$10:$C$224,$C172,'TL10'!$J$10:$J$224),0),
IF('TL10'!$B$229=L$3,SUMIF('TL10'!$C$238:$C$451,$C172,'TL10'!$J$238:$J$451),0),
IF('TL11'!$B$3=L$3,SUMIF('TL11'!$C$10:$C$224,$C172,'TL11'!$J$10:$J$224),0),
IF('TL11'!$B$229=L$3,SUMIF('TL11'!$C$238:$C$451,$C172,'TL11'!$J$238:$J$451),0),
IF('TL12'!$B$3=L$3,SUMIF('TL12'!$C$10:$C$224,$C172,'TL12'!$J$10:$J$224),0),
IF('TL12'!$B$229=L$3,SUMIF('TL12'!$C$238:$C$451,$C172,'TL12'!$J$238:$J$451),0),
IF('TL13'!$B$3=L$3,SUMIF('TL13'!$C$10:$C$224,$C172,'TL13'!$J$10:$J$224),0),
IF('TL13'!$B$229=L$3,SUMIF('TL13'!$C$238:$C$451,$C172,'TL13'!$J$238:$J$451),0),
IF('TL14'!$B$3=L$3,SUMIF('TL14'!$C$10:$C$224,$C172,'TL14'!$J$10:$J$224),0),
IF('TL14'!$B$229=L$3,SUMIF('TL14'!$C$238:$C$451,$C172,'TL14'!$J$238:$J$451),0),
IF('TL15'!$B$3=L$3,SUMIF('TL15'!$C$10:$C$224,$C172,'TL15'!$J$10:$J$224),0),
IF('TL15'!$B$229=L$3,SUMIF('TL15'!$C$238:$C$451,$C172,'TL15'!$J$238:$J$451),0),
IF('TL16'!$B$3=L$3,SUMIF('TL16'!$C$10:$C$224,$C172,'TL16'!$J$10:$J$224),0),
IF('TL16'!$B$229=L$3,SUMIF('TL16'!$C$238:$C$451,$C172,'TL16'!$J$238:$J$451),0),
IF('TL17'!$B$3=L$3,SUMIF('TL17'!$C$10:$C$224,$C172,'TL17'!$J$10:$J$224),0),
IF('TL17'!$B$229=L$3,SUMIF('TL17'!$C$238:$C$451,$C172,'TL17'!$J$238:$J$451),0),
IF('TL18'!$B$3=L$3,SUMIF('TL18'!$C$10:$C$224,$C172,'TL18'!$J$10:$J$224),0),
IF('TL18'!$B$229=L$3,SUMIF('TL18'!$C$238:$C$451,$C172,'TL18'!$J$238:$J$451),0),
IF('TL19'!$B$3=L$3,SUMIF('TL19'!$C$10:$C$224,$C172,'TL19'!$J$10:$J$224),0),
IF('TL19'!$B$229=L$3,SUMIF('TL19'!$C$238:$C$451,$C172,'TL19'!$J$238:$J$451),0)
),0)</f>
        <v/>
      </c>
      <c r="M172" s="9">
        <f>IFERROR(SUM(
IF('TL01'!$B$3=M$3,SUMIF('TL01'!$C$10:$C$224,$C172,'TL01'!$J$10:$J$224),0),
IF('TL01'!$B$229=M$3,SUMIF('TL01'!$C$238:$C$451,$C172,'TL01'!$J$238:$J$451),0),
IF('TL02'!$B$3=M$3,SUMIF('TL02'!$C$10:$C$224,$C172,'TL02'!$J$10:$J$224),0),
IF('TL02'!$B$229=M$3,SUMIF('TL02'!$C$238:$C$451,$C172,'TL02'!$J$238:$J$451),0),
IF('TL03'!$B$3=M$3,SUMIF('TL03'!$C$10:$C$224,$C172,'TL03'!$J$10:$J$224),0),
IF('TL03'!$B$229=M$3,SUMIF('TL03'!$C$238:$C$451,$C172,'TL03'!$J$238:$J$451),0),
IF('TL04'!$B$3=M$3,SUMIF('TL04'!$C$10:$C$224,$C172,'TL04'!$J$10:$J$224),0),
IF('TL04'!$B$229=M$3,SUMIF('TL04'!$C$238:$C$451,$C172,'TL04'!$J$238:$J$451),0),
IF('TL05'!$B$3=M$3,SUMIF('TL05'!$C$10:$C$224,$C172,'TL05'!$J$10:$J$224),0),
IF('TL05'!$B$229=M$3,SUMIF('TL05'!$C$238:$C$451,$C172,'TL05'!$J$238:$J$451),0),
IF('TL06'!$B$3=M$3,SUMIF('TL06'!$C$10:$C$224,$C172,'TL06'!$J$10:$J$224),0),
IF('TL06'!$B$229=M$3,SUMIF('TL06'!$C$238:$C$451,$C172,'TL06'!$J$238:$J$451),0),
IF('TL07'!$B$3=M$3,SUMIF('TL07'!$C$10:$C$224,$C172,'TL07'!$J$10:$J$224),0),
IF('TL07'!$B$229=M$3,SUMIF('TL07'!$C$238:$C$451,$C172,'TL07'!$J$238:$J$451),0),
IF('TL08'!$B$3=M$3,SUMIF('TL08'!$C$10:$C$224,$C172,'TL08'!$J$10:$J$224),0),
IF('TL08'!$B$229=M$3,SUMIF('TL08'!$C$238:$C$451,$C172,'TL08'!$J$238:$J$451),0),
IF('TL09'!$B$3=M$3,SUMIF('TL09'!$C$10:$C$224,$C172,'TL09'!$J$10:$J$224),0),
IF('TL09'!$B$229=M$3,SUMIF('TL09'!$C$238:$C$451,$C172,'TL09'!$J$238:$J$451),0),
IF('TL10'!$B$3=M$3,SUMIF('TL10'!$C$10:$C$224,$C172,'TL10'!$J$10:$J$224),0),
IF('TL10'!$B$229=M$3,SUMIF('TL10'!$C$238:$C$451,$C172,'TL10'!$J$238:$J$451),0),
IF('TL11'!$B$3=M$3,SUMIF('TL11'!$C$10:$C$224,$C172,'TL11'!$J$10:$J$224),0),
IF('TL11'!$B$229=M$3,SUMIF('TL11'!$C$238:$C$451,$C172,'TL11'!$J$238:$J$451),0),
IF('TL12'!$B$3=M$3,SUMIF('TL12'!$C$10:$C$224,$C172,'TL12'!$J$10:$J$224),0),
IF('TL12'!$B$229=M$3,SUMIF('TL12'!$C$238:$C$451,$C172,'TL12'!$J$238:$J$451),0),
IF('TL13'!$B$3=M$3,SUMIF('TL13'!$C$10:$C$224,$C172,'TL13'!$J$10:$J$224),0),
IF('TL13'!$B$229=M$3,SUMIF('TL13'!$C$238:$C$451,$C172,'TL13'!$J$238:$J$451),0),
IF('TL14'!$B$3=M$3,SUMIF('TL14'!$C$10:$C$224,$C172,'TL14'!$J$10:$J$224),0),
IF('TL14'!$B$229=M$3,SUMIF('TL14'!$C$238:$C$451,$C172,'TL14'!$J$238:$J$451),0),
IF('TL15'!$B$3=M$3,SUMIF('TL15'!$C$10:$C$224,$C172,'TL15'!$J$10:$J$224),0),
IF('TL15'!$B$229=M$3,SUMIF('TL15'!$C$238:$C$451,$C172,'TL15'!$J$238:$J$451),0),
IF('TL16'!$B$3=M$3,SUMIF('TL16'!$C$10:$C$224,$C172,'TL16'!$J$10:$J$224),0),
IF('TL16'!$B$229=M$3,SUMIF('TL16'!$C$238:$C$451,$C172,'TL16'!$J$238:$J$451),0),
IF('TL17'!$B$3=M$3,SUMIF('TL17'!$C$10:$C$224,$C172,'TL17'!$J$10:$J$224),0),
IF('TL17'!$B$229=M$3,SUMIF('TL17'!$C$238:$C$451,$C172,'TL17'!$J$238:$J$451),0),
IF('TL18'!$B$3=M$3,SUMIF('TL18'!$C$10:$C$224,$C172,'TL18'!$J$10:$J$224),0),
IF('TL18'!$B$229=M$3,SUMIF('TL18'!$C$238:$C$451,$C172,'TL18'!$J$238:$J$451),0),
IF('TL19'!$B$3=M$3,SUMIF('TL19'!$C$10:$C$224,$C172,'TL19'!$J$10:$J$224),0),
IF('TL19'!$B$229=M$3,SUMIF('TL19'!$C$238:$C$451,$C172,'TL19'!$J$238:$J$451),0)
),0)</f>
        <v/>
      </c>
      <c r="N172" s="9">
        <f>IFERROR(SUM(
IF('TL01'!$B$3=N$3,SUMIF('TL01'!$C$10:$C$224,$C172,'TL01'!$J$10:$J$224),0),
IF('TL01'!$B$229=N$3,SUMIF('TL01'!$C$238:$C$451,$C172,'TL01'!$J$238:$J$451),0),
IF('TL02'!$B$3=N$3,SUMIF('TL02'!$C$10:$C$224,$C172,'TL02'!$J$10:$J$224),0),
IF('TL02'!$B$229=N$3,SUMIF('TL02'!$C$238:$C$451,$C172,'TL02'!$J$238:$J$451),0),
IF('TL03'!$B$3=N$3,SUMIF('TL03'!$C$10:$C$224,$C172,'TL03'!$J$10:$J$224),0),
IF('TL03'!$B$229=N$3,SUMIF('TL03'!$C$238:$C$451,$C172,'TL03'!$J$238:$J$451),0),
IF('TL04'!$B$3=N$3,SUMIF('TL04'!$C$10:$C$224,$C172,'TL04'!$J$10:$J$224),0),
IF('TL04'!$B$229=N$3,SUMIF('TL04'!$C$238:$C$451,$C172,'TL04'!$J$238:$J$451),0),
IF('TL05'!$B$3=N$3,SUMIF('TL05'!$C$10:$C$224,$C172,'TL05'!$J$10:$J$224),0),
IF('TL05'!$B$229=N$3,SUMIF('TL05'!$C$238:$C$451,$C172,'TL05'!$J$238:$J$451),0),
IF('TL06'!$B$3=N$3,SUMIF('TL06'!$C$10:$C$224,$C172,'TL06'!$J$10:$J$224),0),
IF('TL06'!$B$229=N$3,SUMIF('TL06'!$C$238:$C$451,$C172,'TL06'!$J$238:$J$451),0),
IF('TL07'!$B$3=N$3,SUMIF('TL07'!$C$10:$C$224,$C172,'TL07'!$J$10:$J$224),0),
IF('TL07'!$B$229=N$3,SUMIF('TL07'!$C$238:$C$451,$C172,'TL07'!$J$238:$J$451),0),
IF('TL08'!$B$3=N$3,SUMIF('TL08'!$C$10:$C$224,$C172,'TL08'!$J$10:$J$224),0),
IF('TL08'!$B$229=N$3,SUMIF('TL08'!$C$238:$C$451,$C172,'TL08'!$J$238:$J$451),0),
IF('TL09'!$B$3=N$3,SUMIF('TL09'!$C$10:$C$224,$C172,'TL09'!$J$10:$J$224),0),
IF('TL09'!$B$229=N$3,SUMIF('TL09'!$C$238:$C$451,$C172,'TL09'!$J$238:$J$451),0),
IF('TL10'!$B$3=N$3,SUMIF('TL10'!$C$10:$C$224,$C172,'TL10'!$J$10:$J$224),0),
IF('TL10'!$B$229=N$3,SUMIF('TL10'!$C$238:$C$451,$C172,'TL10'!$J$238:$J$451),0),
IF('TL11'!$B$3=N$3,SUMIF('TL11'!$C$10:$C$224,$C172,'TL11'!$J$10:$J$224),0),
IF('TL11'!$B$229=N$3,SUMIF('TL11'!$C$238:$C$451,$C172,'TL11'!$J$238:$J$451),0),
IF('TL12'!$B$3=N$3,SUMIF('TL12'!$C$10:$C$224,$C172,'TL12'!$J$10:$J$224),0),
IF('TL12'!$B$229=N$3,SUMIF('TL12'!$C$238:$C$451,$C172,'TL12'!$J$238:$J$451),0),
IF('TL13'!$B$3=N$3,SUMIF('TL13'!$C$10:$C$224,$C172,'TL13'!$J$10:$J$224),0),
IF('TL13'!$B$229=N$3,SUMIF('TL13'!$C$238:$C$451,$C172,'TL13'!$J$238:$J$451),0),
IF('TL14'!$B$3=N$3,SUMIF('TL14'!$C$10:$C$224,$C172,'TL14'!$J$10:$J$224),0),
IF('TL14'!$B$229=N$3,SUMIF('TL14'!$C$238:$C$451,$C172,'TL14'!$J$238:$J$451),0),
IF('TL15'!$B$3=N$3,SUMIF('TL15'!$C$10:$C$224,$C172,'TL15'!$J$10:$J$224),0),
IF('TL15'!$B$229=N$3,SUMIF('TL15'!$C$238:$C$451,$C172,'TL15'!$J$238:$J$451),0),
IF('TL16'!$B$3=N$3,SUMIF('TL16'!$C$10:$C$224,$C172,'TL16'!$J$10:$J$224),0),
IF('TL16'!$B$229=N$3,SUMIF('TL16'!$C$238:$C$451,$C172,'TL16'!$J$238:$J$451),0),
IF('TL17'!$B$3=N$3,SUMIF('TL17'!$C$10:$C$224,$C172,'TL17'!$J$10:$J$224),0),
IF('TL17'!$B$229=N$3,SUMIF('TL17'!$C$238:$C$451,$C172,'TL17'!$J$238:$J$451),0),
IF('TL18'!$B$3=N$3,SUMIF('TL18'!$C$10:$C$224,$C172,'TL18'!$J$10:$J$224),0),
IF('TL18'!$B$229=N$3,SUMIF('TL18'!$C$238:$C$451,$C172,'TL18'!$J$238:$J$451),0),
IF('TL19'!$B$3=N$3,SUMIF('TL19'!$C$10:$C$224,$C172,'TL19'!$J$10:$J$224),0),
IF('TL19'!$B$229=N$3,SUMIF('TL19'!$C$238:$C$451,$C172,'TL19'!$J$238:$J$451),0)
),0)</f>
        <v/>
      </c>
      <c r="O172" s="9">
        <f>IFERROR(SUM(
IF('TL01'!$B$3=O$3,SUMIF('TL01'!$C$10:$C$224,$C172,'TL01'!$J$10:$J$224),0),
IF('TL01'!$B$229=O$3,SUMIF('TL01'!$C$238:$C$451,$C172,'TL01'!$J$238:$J$451),0),
IF('TL02'!$B$3=O$3,SUMIF('TL02'!$C$10:$C$224,$C172,'TL02'!$J$10:$J$224),0),
IF('TL02'!$B$229=O$3,SUMIF('TL02'!$C$238:$C$451,$C172,'TL02'!$J$238:$J$451),0),
IF('TL03'!$B$3=O$3,SUMIF('TL03'!$C$10:$C$224,$C172,'TL03'!$J$10:$J$224),0),
IF('TL03'!$B$229=O$3,SUMIF('TL03'!$C$238:$C$451,$C172,'TL03'!$J$238:$J$451),0),
IF('TL04'!$B$3=O$3,SUMIF('TL04'!$C$10:$C$224,$C172,'TL04'!$J$10:$J$224),0),
IF('TL04'!$B$229=O$3,SUMIF('TL04'!$C$238:$C$451,$C172,'TL04'!$J$238:$J$451),0),
IF('TL05'!$B$3=O$3,SUMIF('TL05'!$C$10:$C$224,$C172,'TL05'!$J$10:$J$224),0),
IF('TL05'!$B$229=O$3,SUMIF('TL05'!$C$238:$C$451,$C172,'TL05'!$J$238:$J$451),0),
IF('TL06'!$B$3=O$3,SUMIF('TL06'!$C$10:$C$224,$C172,'TL06'!$J$10:$J$224),0),
IF('TL06'!$B$229=O$3,SUMIF('TL06'!$C$238:$C$451,$C172,'TL06'!$J$238:$J$451),0),
IF('TL07'!$B$3=O$3,SUMIF('TL07'!$C$10:$C$224,$C172,'TL07'!$J$10:$J$224),0),
IF('TL07'!$B$229=O$3,SUMIF('TL07'!$C$238:$C$451,$C172,'TL07'!$J$238:$J$451),0),
IF('TL08'!$B$3=O$3,SUMIF('TL08'!$C$10:$C$224,$C172,'TL08'!$J$10:$J$224),0),
IF('TL08'!$B$229=O$3,SUMIF('TL08'!$C$238:$C$451,$C172,'TL08'!$J$238:$J$451),0),
IF('TL09'!$B$3=O$3,SUMIF('TL09'!$C$10:$C$224,$C172,'TL09'!$J$10:$J$224),0),
IF('TL09'!$B$229=O$3,SUMIF('TL09'!$C$238:$C$451,$C172,'TL09'!$J$238:$J$451),0),
IF('TL10'!$B$3=O$3,SUMIF('TL10'!$C$10:$C$224,$C172,'TL10'!$J$10:$J$224),0),
IF('TL10'!$B$229=O$3,SUMIF('TL10'!$C$238:$C$451,$C172,'TL10'!$J$238:$J$451),0),
IF('TL11'!$B$3=O$3,SUMIF('TL11'!$C$10:$C$224,$C172,'TL11'!$J$10:$J$224),0),
IF('TL11'!$B$229=O$3,SUMIF('TL11'!$C$238:$C$451,$C172,'TL11'!$J$238:$J$451),0),
IF('TL12'!$B$3=O$3,SUMIF('TL12'!$C$10:$C$224,$C172,'TL12'!$J$10:$J$224),0),
IF('TL12'!$B$229=O$3,SUMIF('TL12'!$C$238:$C$451,$C172,'TL12'!$J$238:$J$451),0),
IF('TL13'!$B$3=O$3,SUMIF('TL13'!$C$10:$C$224,$C172,'TL13'!$J$10:$J$224),0),
IF('TL13'!$B$229=O$3,SUMIF('TL13'!$C$238:$C$451,$C172,'TL13'!$J$238:$J$451),0),
IF('TL14'!$B$3=O$3,SUMIF('TL14'!$C$10:$C$224,$C172,'TL14'!$J$10:$J$224),0),
IF('TL14'!$B$229=O$3,SUMIF('TL14'!$C$238:$C$451,$C172,'TL14'!$J$238:$J$451),0),
IF('TL15'!$B$3=O$3,SUMIF('TL15'!$C$10:$C$224,$C172,'TL15'!$J$10:$J$224),0),
IF('TL15'!$B$229=O$3,SUMIF('TL15'!$C$238:$C$451,$C172,'TL15'!$J$238:$J$451),0),
IF('TL16'!$B$3=O$3,SUMIF('TL16'!$C$10:$C$224,$C172,'TL16'!$J$10:$J$224),0),
IF('TL16'!$B$229=O$3,SUMIF('TL16'!$C$238:$C$451,$C172,'TL16'!$J$238:$J$451),0),
IF('TL17'!$B$3=O$3,SUMIF('TL17'!$C$10:$C$224,$C172,'TL17'!$J$10:$J$224),0),
IF('TL17'!$B$229=O$3,SUMIF('TL17'!$C$238:$C$451,$C172,'TL17'!$J$238:$J$451),0),
IF('TL18'!$B$3=O$3,SUMIF('TL18'!$C$10:$C$224,$C172,'TL18'!$J$10:$J$224),0),
IF('TL18'!$B$229=O$3,SUMIF('TL18'!$C$238:$C$451,$C172,'TL18'!$J$238:$J$451),0),
IF('TL19'!$B$3=O$3,SUMIF('TL19'!$C$10:$C$224,$C172,'TL19'!$J$10:$J$224),0),
IF('TL19'!$B$229=O$3,SUMIF('TL19'!$C$238:$C$451,$C172,'TL19'!$J$238:$J$451),0)
),0)</f>
        <v/>
      </c>
      <c r="P172" s="9">
        <f>IFERROR(SUM(
IF('TL01'!$B$3=P$3,SUMIF('TL01'!$C$10:$C$224,$C172,'TL01'!$J$10:$J$224),0),
IF('TL01'!$B$229=P$3,SUMIF('TL01'!$C$238:$C$451,$C172,'TL01'!$J$238:$J$451),0),
IF('TL02'!$B$3=P$3,SUMIF('TL02'!$C$10:$C$224,$C172,'TL02'!$J$10:$J$224),0),
IF('TL02'!$B$229=P$3,SUMIF('TL02'!$C$238:$C$451,$C172,'TL02'!$J$238:$J$451),0),
IF('TL03'!$B$3=P$3,SUMIF('TL03'!$C$10:$C$224,$C172,'TL03'!$J$10:$J$224),0),
IF('TL03'!$B$229=P$3,SUMIF('TL03'!$C$238:$C$451,$C172,'TL03'!$J$238:$J$451),0),
IF('TL04'!$B$3=P$3,SUMIF('TL04'!$C$10:$C$224,$C172,'TL04'!$J$10:$J$224),0),
IF('TL04'!$B$229=P$3,SUMIF('TL04'!$C$238:$C$451,$C172,'TL04'!$J$238:$J$451),0),
IF('TL05'!$B$3=P$3,SUMIF('TL05'!$C$10:$C$224,$C172,'TL05'!$J$10:$J$224),0),
IF('TL05'!$B$229=P$3,SUMIF('TL05'!$C$238:$C$451,$C172,'TL05'!$J$238:$J$451),0),
IF('TL06'!$B$3=P$3,SUMIF('TL06'!$C$10:$C$224,$C172,'TL06'!$J$10:$J$224),0),
IF('TL06'!$B$229=P$3,SUMIF('TL06'!$C$238:$C$451,$C172,'TL06'!$J$238:$J$451),0),
IF('TL07'!$B$3=P$3,SUMIF('TL07'!$C$10:$C$224,$C172,'TL07'!$J$10:$J$224),0),
IF('TL07'!$B$229=P$3,SUMIF('TL07'!$C$238:$C$451,$C172,'TL07'!$J$238:$J$451),0),
IF('TL08'!$B$3=P$3,SUMIF('TL08'!$C$10:$C$224,$C172,'TL08'!$J$10:$J$224),0),
IF('TL08'!$B$229=P$3,SUMIF('TL08'!$C$238:$C$451,$C172,'TL08'!$J$238:$J$451),0),
IF('TL09'!$B$3=P$3,SUMIF('TL09'!$C$10:$C$224,$C172,'TL09'!$J$10:$J$224),0),
IF('TL09'!$B$229=P$3,SUMIF('TL09'!$C$238:$C$451,$C172,'TL09'!$J$238:$J$451),0),
IF('TL10'!$B$3=P$3,SUMIF('TL10'!$C$10:$C$224,$C172,'TL10'!$J$10:$J$224),0),
IF('TL10'!$B$229=P$3,SUMIF('TL10'!$C$238:$C$451,$C172,'TL10'!$J$238:$J$451),0),
IF('TL11'!$B$3=P$3,SUMIF('TL11'!$C$10:$C$224,$C172,'TL11'!$J$10:$J$224),0),
IF('TL11'!$B$229=P$3,SUMIF('TL11'!$C$238:$C$451,$C172,'TL11'!$J$238:$J$451),0),
IF('TL12'!$B$3=P$3,SUMIF('TL12'!$C$10:$C$224,$C172,'TL12'!$J$10:$J$224),0),
IF('TL12'!$B$229=P$3,SUMIF('TL12'!$C$238:$C$451,$C172,'TL12'!$J$238:$J$451),0),
IF('TL13'!$B$3=P$3,SUMIF('TL13'!$C$10:$C$224,$C172,'TL13'!$J$10:$J$224),0),
IF('TL13'!$B$229=P$3,SUMIF('TL13'!$C$238:$C$451,$C172,'TL13'!$J$238:$J$451),0),
IF('TL14'!$B$3=P$3,SUMIF('TL14'!$C$10:$C$224,$C172,'TL14'!$J$10:$J$224),0),
IF('TL14'!$B$229=P$3,SUMIF('TL14'!$C$238:$C$451,$C172,'TL14'!$J$238:$J$451),0),
IF('TL15'!$B$3=P$3,SUMIF('TL15'!$C$10:$C$224,$C172,'TL15'!$J$10:$J$224),0),
IF('TL15'!$B$229=P$3,SUMIF('TL15'!$C$238:$C$451,$C172,'TL15'!$J$238:$J$451),0),
IF('TL16'!$B$3=P$3,SUMIF('TL16'!$C$10:$C$224,$C172,'TL16'!$J$10:$J$224),0),
IF('TL16'!$B$229=P$3,SUMIF('TL16'!$C$238:$C$451,$C172,'TL16'!$J$238:$J$451),0),
IF('TL17'!$B$3=P$3,SUMIF('TL17'!$C$10:$C$224,$C172,'TL17'!$J$10:$J$224),0),
IF('TL17'!$B$229=P$3,SUMIF('TL17'!$C$238:$C$451,$C172,'TL17'!$J$238:$J$451),0),
IF('TL18'!$B$3=P$3,SUMIF('TL18'!$C$10:$C$224,$C172,'TL18'!$J$10:$J$224),0),
IF('TL18'!$B$229=P$3,SUMIF('TL18'!$C$238:$C$451,$C172,'TL18'!$J$238:$J$451),0),
IF('TL19'!$B$3=P$3,SUMIF('TL19'!$C$10:$C$224,$C172,'TL19'!$J$10:$J$224),0),
IF('TL19'!$B$229=P$3,SUMIF('TL19'!$C$238:$C$451,$C172,'TL19'!$J$238:$J$451),0)
),0)</f>
        <v/>
      </c>
      <c r="Q172" s="9">
        <f>IFERROR(SUM(
IF('TL01'!$B$3=Q$3,SUMIF('TL01'!$C$10:$C$224,$C172,'TL01'!$J$10:$J$224),0),
IF('TL01'!$B$229=Q$3,SUMIF('TL01'!$C$238:$C$451,$C172,'TL01'!$J$238:$J$451),0),
IF('TL02'!$B$3=Q$3,SUMIF('TL02'!$C$10:$C$224,$C172,'TL02'!$J$10:$J$224),0),
IF('TL02'!$B$229=Q$3,SUMIF('TL02'!$C$238:$C$451,$C172,'TL02'!$J$238:$J$451),0),
IF('TL03'!$B$3=Q$3,SUMIF('TL03'!$C$10:$C$224,$C172,'TL03'!$J$10:$J$224),0),
IF('TL03'!$B$229=Q$3,SUMIF('TL03'!$C$238:$C$451,$C172,'TL03'!$J$238:$J$451),0),
IF('TL04'!$B$3=Q$3,SUMIF('TL04'!$C$10:$C$224,$C172,'TL04'!$J$10:$J$224),0),
IF('TL04'!$B$229=Q$3,SUMIF('TL04'!$C$238:$C$451,$C172,'TL04'!$J$238:$J$451),0),
IF('TL05'!$B$3=Q$3,SUMIF('TL05'!$C$10:$C$224,$C172,'TL05'!$J$10:$J$224),0),
IF('TL05'!$B$229=Q$3,SUMIF('TL05'!$C$238:$C$451,$C172,'TL05'!$J$238:$J$451),0),
IF('TL06'!$B$3=Q$3,SUMIF('TL06'!$C$10:$C$224,$C172,'TL06'!$J$10:$J$224),0),
IF('TL06'!$B$229=Q$3,SUMIF('TL06'!$C$238:$C$451,$C172,'TL06'!$J$238:$J$451),0),
IF('TL07'!$B$3=Q$3,SUMIF('TL07'!$C$10:$C$224,$C172,'TL07'!$J$10:$J$224),0),
IF('TL07'!$B$229=Q$3,SUMIF('TL07'!$C$238:$C$451,$C172,'TL07'!$J$238:$J$451),0),
IF('TL08'!$B$3=Q$3,SUMIF('TL08'!$C$10:$C$224,$C172,'TL08'!$J$10:$J$224),0),
IF('TL08'!$B$229=Q$3,SUMIF('TL08'!$C$238:$C$451,$C172,'TL08'!$J$238:$J$451),0),
IF('TL09'!$B$3=Q$3,SUMIF('TL09'!$C$10:$C$224,$C172,'TL09'!$J$10:$J$224),0),
IF('TL09'!$B$229=Q$3,SUMIF('TL09'!$C$238:$C$451,$C172,'TL09'!$J$238:$J$451),0),
IF('TL10'!$B$3=Q$3,SUMIF('TL10'!$C$10:$C$224,$C172,'TL10'!$J$10:$J$224),0),
IF('TL10'!$B$229=Q$3,SUMIF('TL10'!$C$238:$C$451,$C172,'TL10'!$J$238:$J$451),0),
IF('TL11'!$B$3=Q$3,SUMIF('TL11'!$C$10:$C$224,$C172,'TL11'!$J$10:$J$224),0),
IF('TL11'!$B$229=Q$3,SUMIF('TL11'!$C$238:$C$451,$C172,'TL11'!$J$238:$J$451),0),
IF('TL12'!$B$3=Q$3,SUMIF('TL12'!$C$10:$C$224,$C172,'TL12'!$J$10:$J$224),0),
IF('TL12'!$B$229=Q$3,SUMIF('TL12'!$C$238:$C$451,$C172,'TL12'!$J$238:$J$451),0),
IF('TL13'!$B$3=Q$3,SUMIF('TL13'!$C$10:$C$224,$C172,'TL13'!$J$10:$J$224),0),
IF('TL13'!$B$229=Q$3,SUMIF('TL13'!$C$238:$C$451,$C172,'TL13'!$J$238:$J$451),0),
IF('TL14'!$B$3=Q$3,SUMIF('TL14'!$C$10:$C$224,$C172,'TL14'!$J$10:$J$224),0),
IF('TL14'!$B$229=Q$3,SUMIF('TL14'!$C$238:$C$451,$C172,'TL14'!$J$238:$J$451),0),
IF('TL15'!$B$3=Q$3,SUMIF('TL15'!$C$10:$C$224,$C172,'TL15'!$J$10:$J$224),0),
IF('TL15'!$B$229=Q$3,SUMIF('TL15'!$C$238:$C$451,$C172,'TL15'!$J$238:$J$451),0),
IF('TL16'!$B$3=Q$3,SUMIF('TL16'!$C$10:$C$224,$C172,'TL16'!$J$10:$J$224),0),
IF('TL16'!$B$229=Q$3,SUMIF('TL16'!$C$238:$C$451,$C172,'TL16'!$J$238:$J$451),0),
IF('TL17'!$B$3=Q$3,SUMIF('TL17'!$C$10:$C$224,$C172,'TL17'!$J$10:$J$224),0),
IF('TL17'!$B$229=Q$3,SUMIF('TL17'!$C$238:$C$451,$C172,'TL17'!$J$238:$J$451),0),
IF('TL18'!$B$3=Q$3,SUMIF('TL18'!$C$10:$C$224,$C172,'TL18'!$J$10:$J$224),0),
IF('TL18'!$B$229=Q$3,SUMIF('TL18'!$C$238:$C$451,$C172,'TL18'!$J$238:$J$451),0),
IF('TL19'!$B$3=Q$3,SUMIF('TL19'!$C$10:$C$224,$C172,'TL19'!$J$10:$J$224),0),
IF('TL19'!$B$229=Q$3,SUMIF('TL19'!$C$238:$C$451,$C172,'TL19'!$J$238:$J$451),0)
),0)</f>
        <v/>
      </c>
      <c r="R172" s="9">
        <f>IFERROR(
SUM(
SUMIF('TL01'!C:C,C172,'TL01'!J:J),
SUMIF('TL02'!C:C,C172,'TL02'!J:J),
SUMIF('TL03'!C:C,C172,'TL03'!J:J),
SUMIF('TL04'!C:C,C172,'TL04'!J:J),
SUMIF('TL05'!C:C,C172,'TL05'!J:J),
SUMIF('TL06'!C:C,C172,'TL06'!J:J),
SUMIF('TL07'!C:C,C172,'TL07'!J:J),
SUMIF('TL08'!C:C,C172,'TL08'!J:J),
SUMIF('TL09'!C:C,C172,'TL09'!J:J),
SUMIF('TL10'!C:C,C172,'TL10'!J:J),
SUMIF('TL11'!C:C,C172,'TL11'!J:J),
SUMIF('TL12'!C:C,C172,'TL12'!J:J),
SUMIF('TL13'!C:C,C172,'TL13'!J:J),
SUMIF('TL14'!C:C,C172,'TL14'!J:J),
SUMIF('TL15'!C:C,C172,'TL15'!J:J),
SUMIF('TL16'!C:C,C172,'TL16'!J:J),
SUMIF('TL17'!C:C,C172,'TL17'!J:J),
SUMIF('TL18'!C:C,C172,'TL18'!J:J),SUMIF('TL19'!C:C,C172,'TL19'!J:J))
,0)</f>
        <v/>
      </c>
      <c r="S172" s="17">
        <f>IFERROR(__xludf.DUMMYFUNCTION("IFERROR(VLOOKUP(C172,
IMPORTRANGE(""1wULbzX32WdYsx-lj2U3uUNBBe2INVIRDtcK0d-Dvl90"",
""26-27!C:G""),
5,
FALSE),
"""")"),55.77633)</f>
        <v/>
      </c>
      <c r="T172" s="9" t="n"/>
      <c r="U172" s="92">
        <f>MAX(0,R172-T172)</f>
        <v/>
      </c>
      <c r="V172" s="93">
        <f>U172*S172</f>
        <v/>
      </c>
    </row>
    <row r="173" hidden="1" ht="15.75" customHeight="1" s="297">
      <c r="A173" s="94" t="inlineStr">
        <is>
          <t>ADAMA</t>
        </is>
      </c>
      <c r="B173" s="95" t="inlineStr">
        <is>
          <t>INSETICIDA</t>
        </is>
      </c>
      <c r="C173" s="96" t="inlineStr">
        <is>
          <t>MAGNUM</t>
        </is>
      </c>
      <c r="D173" s="96" t="inlineStr">
        <is>
          <t>ACEFATO</t>
        </is>
      </c>
      <c r="E173" s="96" t="n">
        <v>970</v>
      </c>
      <c r="F173" s="4" t="inlineStr">
        <is>
          <t>L</t>
        </is>
      </c>
      <c r="G173" s="90">
        <f>HYPERLINK("https://www.google.com/search?q=" &amp; C173 &amp; "+bula+agrofit+pdf", "📄 Ver bula")</f>
        <v/>
      </c>
      <c r="H173" s="9">
        <f>IFERROR(__xludf.DUMMYFUNCTION("IFERROR(VLOOKUP(C173,
IMPORTRANGE(""1wULbzX32WdYsx-lj2U3uUNBBe2INVIRDtcK0d-Dvl90"",
""26-27!C:K""),
8,
FALSE),
"""")"),0.6)</f>
        <v/>
      </c>
      <c r="I173" s="97" t="inlineStr">
        <is>
          <t>4x5</t>
        </is>
      </c>
      <c r="J173" s="9">
        <f>IFERROR(SUM(
IF('TL01'!$B$3=J$3,SUMIF('TL01'!$C$10:$C$224,$C173,'TL01'!$J$10:$J$224),0),
IF('TL01'!$B$229=J$3,SUMIF('TL01'!$C$238:$C$451,$C173,'TL01'!$J$238:$J$451),0),
IF('TL02'!$B$3=J$3,SUMIF('TL02'!$C$10:$C$224,$C173,'TL02'!$J$10:$J$224),0),
IF('TL02'!$B$229=J$3,SUMIF('TL02'!$C$238:$C$451,$C173,'TL02'!$J$238:$J$451),0),
IF('TL03'!$B$3=J$3,SUMIF('TL03'!$C$10:$C$224,$C173,'TL03'!$J$10:$J$224),0),
IF('TL03'!$B$229=J$3,SUMIF('TL03'!$C$238:$C$451,$C173,'TL03'!$J$238:$J$451),0),
IF('TL04'!$B$3=J$3,SUMIF('TL04'!$C$10:$C$224,$C173,'TL04'!$J$10:$J$224),0),
IF('TL04'!$B$229=J$3,SUMIF('TL04'!$C$238:$C$451,$C173,'TL04'!$J$238:$J$451),0),
IF('TL05'!$B$3=J$3,SUMIF('TL05'!$C$10:$C$224,$C173,'TL05'!$J$10:$J$224),0),
IF('TL05'!$B$229=J$3,SUMIF('TL05'!$C$238:$C$451,$C173,'TL05'!$J$238:$J$451),0),
IF('TL06'!$B$3=J$3,SUMIF('TL06'!$C$10:$C$224,$C173,'TL06'!$J$10:$J$224),0),
IF('TL06'!$B$229=J$3,SUMIF('TL06'!$C$238:$C$451,$C173,'TL06'!$J$238:$J$451),0),
IF('TL07'!$B$3=J$3,SUMIF('TL07'!$C$10:$C$224,$C173,'TL07'!$J$10:$J$224),0),
IF('TL07'!$B$229=J$3,SUMIF('TL07'!$C$238:$C$451,$C173,'TL07'!$J$238:$J$451),0),
IF('TL08'!$B$3=J$3,SUMIF('TL08'!$C$10:$C$224,$C173,'TL08'!$J$10:$J$224),0),
IF('TL08'!$B$229=J$3,SUMIF('TL08'!$C$238:$C$451,$C173,'TL08'!$J$238:$J$451),0),
IF('TL09'!$B$3=J$3,SUMIF('TL09'!$C$10:$C$224,$C173,'TL09'!$J$10:$J$224),0),
IF('TL09'!$B$229=J$3,SUMIF('TL09'!$C$238:$C$451,$C173,'TL09'!$J$238:$J$451),0),
IF('TL10'!$B$3=J$3,SUMIF('TL10'!$C$10:$C$224,$C173,'TL10'!$J$10:$J$224),0),
IF('TL10'!$B$229=J$3,SUMIF('TL10'!$C$238:$C$451,$C173,'TL10'!$J$238:$J$451),0),
IF('TL11'!$B$3=J$3,SUMIF('TL11'!$C$10:$C$224,$C173,'TL11'!$J$10:$J$224),0),
IF('TL11'!$B$229=J$3,SUMIF('TL11'!$C$238:$C$451,$C173,'TL11'!$J$238:$J$451),0),
IF('TL12'!$B$3=J$3,SUMIF('TL12'!$C$10:$C$224,$C173,'TL12'!$J$10:$J$224),0),
IF('TL12'!$B$229=J$3,SUMIF('TL12'!$C$238:$C$451,$C173,'TL12'!$J$238:$J$451),0),
IF('TL13'!$B$3=J$3,SUMIF('TL13'!$C$10:$C$224,$C173,'TL13'!$J$10:$J$224),0),
IF('TL13'!$B$229=J$3,SUMIF('TL13'!$C$238:$C$451,$C173,'TL13'!$J$238:$J$451),0),
IF('TL14'!$B$3=J$3,SUMIF('TL14'!$C$10:$C$224,$C173,'TL14'!$J$10:$J$224),0),
IF('TL14'!$B$229=J$3,SUMIF('TL14'!$C$238:$C$451,$C173,'TL14'!$J$238:$J$451),0),
IF('TL15'!$B$3=J$3,SUMIF('TL15'!$C$10:$C$224,$C173,'TL15'!$J$10:$J$224),0),
IF('TL15'!$B$229=J$3,SUMIF('TL15'!$C$238:$C$451,$C173,'TL15'!$J$238:$J$451),0),
IF('TL16'!$B$3=J$3,SUMIF('TL16'!$C$10:$C$224,$C173,'TL16'!$J$10:$J$224),0),
IF('TL16'!$B$229=J$3,SUMIF('TL16'!$C$238:$C$451,$C173,'TL16'!$J$238:$J$451),0),
IF('TL17'!$B$3=J$3,SUMIF('TL17'!$C$10:$C$224,$C173,'TL17'!$J$10:$J$224),0),
IF('TL17'!$B$229=J$3,SUMIF('TL17'!$C$238:$C$451,$C173,'TL17'!$J$238:$J$451),0),
IF('TL18'!$B$3=J$3,SUMIF('TL18'!$C$10:$C$224,$C173,'TL18'!$J$10:$J$224),0),
IF('TL18'!$B$229=J$3,SUMIF('TL18'!$C$238:$C$451,$C173,'TL18'!$J$238:$J$451),0),
IF('TL19'!$B$3=J$3,SUMIF('TL19'!$C$10:$C$224,$C173,'TL19'!$J$10:$J$224),0),
IF('TL19'!$B$229=J$3,SUMIF('TL19'!$C$238:$C$451,$C173,'TL19'!$J$238:$J$451),0)
),0)</f>
        <v/>
      </c>
      <c r="K173" s="9">
        <f>IFERROR(SUM(
IF('TL01'!$B$3=K$3,SUMIF('TL01'!$C$10:$C$224,$C173,'TL01'!$J$10:$J$224),0),
IF('TL01'!$B$229=K$3,SUMIF('TL01'!$C$238:$C$451,$C173,'TL01'!$J$238:$J$451),0),
IF('TL02'!$B$3=K$3,SUMIF('TL02'!$C$10:$C$224,$C173,'TL02'!$J$10:$J$224),0),
IF('TL02'!$B$229=K$3,SUMIF('TL02'!$C$238:$C$451,$C173,'TL02'!$J$238:$J$451),0),
IF('TL03'!$B$3=K$3,SUMIF('TL03'!$C$10:$C$224,$C173,'TL03'!$J$10:$J$224),0),
IF('TL03'!$B$229=K$3,SUMIF('TL03'!$C$238:$C$451,$C173,'TL03'!$J$238:$J$451),0),
IF('TL04'!$B$3=K$3,SUMIF('TL04'!$C$10:$C$224,$C173,'TL04'!$J$10:$J$224),0),
IF('TL04'!$B$229=K$3,SUMIF('TL04'!$C$238:$C$451,$C173,'TL04'!$J$238:$J$451),0),
IF('TL05'!$B$3=K$3,SUMIF('TL05'!$C$10:$C$224,$C173,'TL05'!$J$10:$J$224),0),
IF('TL05'!$B$229=K$3,SUMIF('TL05'!$C$238:$C$451,$C173,'TL05'!$J$238:$J$451),0),
IF('TL06'!$B$3=K$3,SUMIF('TL06'!$C$10:$C$224,$C173,'TL06'!$J$10:$J$224),0),
IF('TL06'!$B$229=K$3,SUMIF('TL06'!$C$238:$C$451,$C173,'TL06'!$J$238:$J$451),0),
IF('TL07'!$B$3=K$3,SUMIF('TL07'!$C$10:$C$224,$C173,'TL07'!$J$10:$J$224),0),
IF('TL07'!$B$229=K$3,SUMIF('TL07'!$C$238:$C$451,$C173,'TL07'!$J$238:$J$451),0),
IF('TL08'!$B$3=K$3,SUMIF('TL08'!$C$10:$C$224,$C173,'TL08'!$J$10:$J$224),0),
IF('TL08'!$B$229=K$3,SUMIF('TL08'!$C$238:$C$451,$C173,'TL08'!$J$238:$J$451),0),
IF('TL09'!$B$3=K$3,SUMIF('TL09'!$C$10:$C$224,$C173,'TL09'!$J$10:$J$224),0),
IF('TL09'!$B$229=K$3,SUMIF('TL09'!$C$238:$C$451,$C173,'TL09'!$J$238:$J$451),0),
IF('TL10'!$B$3=K$3,SUMIF('TL10'!$C$10:$C$224,$C173,'TL10'!$J$10:$J$224),0),
IF('TL10'!$B$229=K$3,SUMIF('TL10'!$C$238:$C$451,$C173,'TL10'!$J$238:$J$451),0),
IF('TL11'!$B$3=K$3,SUMIF('TL11'!$C$10:$C$224,$C173,'TL11'!$J$10:$J$224),0),
IF('TL11'!$B$229=K$3,SUMIF('TL11'!$C$238:$C$451,$C173,'TL11'!$J$238:$J$451),0),
IF('TL12'!$B$3=K$3,SUMIF('TL12'!$C$10:$C$224,$C173,'TL12'!$J$10:$J$224),0),
IF('TL12'!$B$229=K$3,SUMIF('TL12'!$C$238:$C$451,$C173,'TL12'!$J$238:$J$451),0),
IF('TL13'!$B$3=K$3,SUMIF('TL13'!$C$10:$C$224,$C173,'TL13'!$J$10:$J$224),0),
IF('TL13'!$B$229=K$3,SUMIF('TL13'!$C$238:$C$451,$C173,'TL13'!$J$238:$J$451),0),
IF('TL14'!$B$3=K$3,SUMIF('TL14'!$C$10:$C$224,$C173,'TL14'!$J$10:$J$224),0),
IF('TL14'!$B$229=K$3,SUMIF('TL14'!$C$238:$C$451,$C173,'TL14'!$J$238:$J$451),0),
IF('TL15'!$B$3=K$3,SUMIF('TL15'!$C$10:$C$224,$C173,'TL15'!$J$10:$J$224),0),
IF('TL15'!$B$229=K$3,SUMIF('TL15'!$C$238:$C$451,$C173,'TL15'!$J$238:$J$451),0),
IF('TL16'!$B$3=K$3,SUMIF('TL16'!$C$10:$C$224,$C173,'TL16'!$J$10:$J$224),0),
IF('TL16'!$B$229=K$3,SUMIF('TL16'!$C$238:$C$451,$C173,'TL16'!$J$238:$J$451),0),
IF('TL17'!$B$3=K$3,SUMIF('TL17'!$C$10:$C$224,$C173,'TL17'!$J$10:$J$224),0),
IF('TL17'!$B$229=K$3,SUMIF('TL17'!$C$238:$C$451,$C173,'TL17'!$J$238:$J$451),0),
IF('TL18'!$B$3=K$3,SUMIF('TL18'!$C$10:$C$224,$C173,'TL18'!$J$10:$J$224),0),
IF('TL18'!$B$229=K$3,SUMIF('TL18'!$C$238:$C$451,$C173,'TL18'!$J$238:$J$451),0),
IF('TL19'!$B$3=K$3,SUMIF('TL19'!$C$10:$C$224,$C173,'TL19'!$J$10:$J$224),0),
IF('TL19'!$B$229=K$3,SUMIF('TL19'!$C$238:$C$451,$C173,'TL19'!$J$238:$J$451),0)
),0)</f>
        <v/>
      </c>
      <c r="L173" s="9">
        <f>IFERROR(SUM(
IF('TL01'!$B$3=L$3,SUMIF('TL01'!$C$10:$C$224,$C173,'TL01'!$J$10:$J$224),0),
IF('TL01'!$B$229=L$3,SUMIF('TL01'!$C$238:$C$451,$C173,'TL01'!$J$238:$J$451),0),
IF('TL02'!$B$3=L$3,SUMIF('TL02'!$C$10:$C$224,$C173,'TL02'!$J$10:$J$224),0),
IF('TL02'!$B$229=L$3,SUMIF('TL02'!$C$238:$C$451,$C173,'TL02'!$J$238:$J$451),0),
IF('TL03'!$B$3=L$3,SUMIF('TL03'!$C$10:$C$224,$C173,'TL03'!$J$10:$J$224),0),
IF('TL03'!$B$229=L$3,SUMIF('TL03'!$C$238:$C$451,$C173,'TL03'!$J$238:$J$451),0),
IF('TL04'!$B$3=L$3,SUMIF('TL04'!$C$10:$C$224,$C173,'TL04'!$J$10:$J$224),0),
IF('TL04'!$B$229=L$3,SUMIF('TL04'!$C$238:$C$451,$C173,'TL04'!$J$238:$J$451),0),
IF('TL05'!$B$3=L$3,SUMIF('TL05'!$C$10:$C$224,$C173,'TL05'!$J$10:$J$224),0),
IF('TL05'!$B$229=L$3,SUMIF('TL05'!$C$238:$C$451,$C173,'TL05'!$J$238:$J$451),0),
IF('TL06'!$B$3=L$3,SUMIF('TL06'!$C$10:$C$224,$C173,'TL06'!$J$10:$J$224),0),
IF('TL06'!$B$229=L$3,SUMIF('TL06'!$C$238:$C$451,$C173,'TL06'!$J$238:$J$451),0),
IF('TL07'!$B$3=L$3,SUMIF('TL07'!$C$10:$C$224,$C173,'TL07'!$J$10:$J$224),0),
IF('TL07'!$B$229=L$3,SUMIF('TL07'!$C$238:$C$451,$C173,'TL07'!$J$238:$J$451),0),
IF('TL08'!$B$3=L$3,SUMIF('TL08'!$C$10:$C$224,$C173,'TL08'!$J$10:$J$224),0),
IF('TL08'!$B$229=L$3,SUMIF('TL08'!$C$238:$C$451,$C173,'TL08'!$J$238:$J$451),0),
IF('TL09'!$B$3=L$3,SUMIF('TL09'!$C$10:$C$224,$C173,'TL09'!$J$10:$J$224),0),
IF('TL09'!$B$229=L$3,SUMIF('TL09'!$C$238:$C$451,$C173,'TL09'!$J$238:$J$451),0),
IF('TL10'!$B$3=L$3,SUMIF('TL10'!$C$10:$C$224,$C173,'TL10'!$J$10:$J$224),0),
IF('TL10'!$B$229=L$3,SUMIF('TL10'!$C$238:$C$451,$C173,'TL10'!$J$238:$J$451),0),
IF('TL11'!$B$3=L$3,SUMIF('TL11'!$C$10:$C$224,$C173,'TL11'!$J$10:$J$224),0),
IF('TL11'!$B$229=L$3,SUMIF('TL11'!$C$238:$C$451,$C173,'TL11'!$J$238:$J$451),0),
IF('TL12'!$B$3=L$3,SUMIF('TL12'!$C$10:$C$224,$C173,'TL12'!$J$10:$J$224),0),
IF('TL12'!$B$229=L$3,SUMIF('TL12'!$C$238:$C$451,$C173,'TL12'!$J$238:$J$451),0),
IF('TL13'!$B$3=L$3,SUMIF('TL13'!$C$10:$C$224,$C173,'TL13'!$J$10:$J$224),0),
IF('TL13'!$B$229=L$3,SUMIF('TL13'!$C$238:$C$451,$C173,'TL13'!$J$238:$J$451),0),
IF('TL14'!$B$3=L$3,SUMIF('TL14'!$C$10:$C$224,$C173,'TL14'!$J$10:$J$224),0),
IF('TL14'!$B$229=L$3,SUMIF('TL14'!$C$238:$C$451,$C173,'TL14'!$J$238:$J$451),0),
IF('TL15'!$B$3=L$3,SUMIF('TL15'!$C$10:$C$224,$C173,'TL15'!$J$10:$J$224),0),
IF('TL15'!$B$229=L$3,SUMIF('TL15'!$C$238:$C$451,$C173,'TL15'!$J$238:$J$451),0),
IF('TL16'!$B$3=L$3,SUMIF('TL16'!$C$10:$C$224,$C173,'TL16'!$J$10:$J$224),0),
IF('TL16'!$B$229=L$3,SUMIF('TL16'!$C$238:$C$451,$C173,'TL16'!$J$238:$J$451),0),
IF('TL17'!$B$3=L$3,SUMIF('TL17'!$C$10:$C$224,$C173,'TL17'!$J$10:$J$224),0),
IF('TL17'!$B$229=L$3,SUMIF('TL17'!$C$238:$C$451,$C173,'TL17'!$J$238:$J$451),0),
IF('TL18'!$B$3=L$3,SUMIF('TL18'!$C$10:$C$224,$C173,'TL18'!$J$10:$J$224),0),
IF('TL18'!$B$229=L$3,SUMIF('TL18'!$C$238:$C$451,$C173,'TL18'!$J$238:$J$451),0),
IF('TL19'!$B$3=L$3,SUMIF('TL19'!$C$10:$C$224,$C173,'TL19'!$J$10:$J$224),0),
IF('TL19'!$B$229=L$3,SUMIF('TL19'!$C$238:$C$451,$C173,'TL19'!$J$238:$J$451),0)
),0)</f>
        <v/>
      </c>
      <c r="M173" s="9">
        <f>IFERROR(SUM(
IF('TL01'!$B$3=M$3,SUMIF('TL01'!$C$10:$C$224,$C173,'TL01'!$J$10:$J$224),0),
IF('TL01'!$B$229=M$3,SUMIF('TL01'!$C$238:$C$451,$C173,'TL01'!$J$238:$J$451),0),
IF('TL02'!$B$3=M$3,SUMIF('TL02'!$C$10:$C$224,$C173,'TL02'!$J$10:$J$224),0),
IF('TL02'!$B$229=M$3,SUMIF('TL02'!$C$238:$C$451,$C173,'TL02'!$J$238:$J$451),0),
IF('TL03'!$B$3=M$3,SUMIF('TL03'!$C$10:$C$224,$C173,'TL03'!$J$10:$J$224),0),
IF('TL03'!$B$229=M$3,SUMIF('TL03'!$C$238:$C$451,$C173,'TL03'!$J$238:$J$451),0),
IF('TL04'!$B$3=M$3,SUMIF('TL04'!$C$10:$C$224,$C173,'TL04'!$J$10:$J$224),0),
IF('TL04'!$B$229=M$3,SUMIF('TL04'!$C$238:$C$451,$C173,'TL04'!$J$238:$J$451),0),
IF('TL05'!$B$3=M$3,SUMIF('TL05'!$C$10:$C$224,$C173,'TL05'!$J$10:$J$224),0),
IF('TL05'!$B$229=M$3,SUMIF('TL05'!$C$238:$C$451,$C173,'TL05'!$J$238:$J$451),0),
IF('TL06'!$B$3=M$3,SUMIF('TL06'!$C$10:$C$224,$C173,'TL06'!$J$10:$J$224),0),
IF('TL06'!$B$229=M$3,SUMIF('TL06'!$C$238:$C$451,$C173,'TL06'!$J$238:$J$451),0),
IF('TL07'!$B$3=M$3,SUMIF('TL07'!$C$10:$C$224,$C173,'TL07'!$J$10:$J$224),0),
IF('TL07'!$B$229=M$3,SUMIF('TL07'!$C$238:$C$451,$C173,'TL07'!$J$238:$J$451),0),
IF('TL08'!$B$3=M$3,SUMIF('TL08'!$C$10:$C$224,$C173,'TL08'!$J$10:$J$224),0),
IF('TL08'!$B$229=M$3,SUMIF('TL08'!$C$238:$C$451,$C173,'TL08'!$J$238:$J$451),0),
IF('TL09'!$B$3=M$3,SUMIF('TL09'!$C$10:$C$224,$C173,'TL09'!$J$10:$J$224),0),
IF('TL09'!$B$229=M$3,SUMIF('TL09'!$C$238:$C$451,$C173,'TL09'!$J$238:$J$451),0),
IF('TL10'!$B$3=M$3,SUMIF('TL10'!$C$10:$C$224,$C173,'TL10'!$J$10:$J$224),0),
IF('TL10'!$B$229=M$3,SUMIF('TL10'!$C$238:$C$451,$C173,'TL10'!$J$238:$J$451),0),
IF('TL11'!$B$3=M$3,SUMIF('TL11'!$C$10:$C$224,$C173,'TL11'!$J$10:$J$224),0),
IF('TL11'!$B$229=M$3,SUMIF('TL11'!$C$238:$C$451,$C173,'TL11'!$J$238:$J$451),0),
IF('TL12'!$B$3=M$3,SUMIF('TL12'!$C$10:$C$224,$C173,'TL12'!$J$10:$J$224),0),
IF('TL12'!$B$229=M$3,SUMIF('TL12'!$C$238:$C$451,$C173,'TL12'!$J$238:$J$451),0),
IF('TL13'!$B$3=M$3,SUMIF('TL13'!$C$10:$C$224,$C173,'TL13'!$J$10:$J$224),0),
IF('TL13'!$B$229=M$3,SUMIF('TL13'!$C$238:$C$451,$C173,'TL13'!$J$238:$J$451),0),
IF('TL14'!$B$3=M$3,SUMIF('TL14'!$C$10:$C$224,$C173,'TL14'!$J$10:$J$224),0),
IF('TL14'!$B$229=M$3,SUMIF('TL14'!$C$238:$C$451,$C173,'TL14'!$J$238:$J$451),0),
IF('TL15'!$B$3=M$3,SUMIF('TL15'!$C$10:$C$224,$C173,'TL15'!$J$10:$J$224),0),
IF('TL15'!$B$229=M$3,SUMIF('TL15'!$C$238:$C$451,$C173,'TL15'!$J$238:$J$451),0),
IF('TL16'!$B$3=M$3,SUMIF('TL16'!$C$10:$C$224,$C173,'TL16'!$J$10:$J$224),0),
IF('TL16'!$B$229=M$3,SUMIF('TL16'!$C$238:$C$451,$C173,'TL16'!$J$238:$J$451),0),
IF('TL17'!$B$3=M$3,SUMIF('TL17'!$C$10:$C$224,$C173,'TL17'!$J$10:$J$224),0),
IF('TL17'!$B$229=M$3,SUMIF('TL17'!$C$238:$C$451,$C173,'TL17'!$J$238:$J$451),0),
IF('TL18'!$B$3=M$3,SUMIF('TL18'!$C$10:$C$224,$C173,'TL18'!$J$10:$J$224),0),
IF('TL18'!$B$229=M$3,SUMIF('TL18'!$C$238:$C$451,$C173,'TL18'!$J$238:$J$451),0),
IF('TL19'!$B$3=M$3,SUMIF('TL19'!$C$10:$C$224,$C173,'TL19'!$J$10:$J$224),0),
IF('TL19'!$B$229=M$3,SUMIF('TL19'!$C$238:$C$451,$C173,'TL19'!$J$238:$J$451),0)
),0)</f>
        <v/>
      </c>
      <c r="N173" s="9">
        <f>IFERROR(SUM(
IF('TL01'!$B$3=N$3,SUMIF('TL01'!$C$10:$C$224,$C173,'TL01'!$J$10:$J$224),0),
IF('TL01'!$B$229=N$3,SUMIF('TL01'!$C$238:$C$451,$C173,'TL01'!$J$238:$J$451),0),
IF('TL02'!$B$3=N$3,SUMIF('TL02'!$C$10:$C$224,$C173,'TL02'!$J$10:$J$224),0),
IF('TL02'!$B$229=N$3,SUMIF('TL02'!$C$238:$C$451,$C173,'TL02'!$J$238:$J$451),0),
IF('TL03'!$B$3=N$3,SUMIF('TL03'!$C$10:$C$224,$C173,'TL03'!$J$10:$J$224),0),
IF('TL03'!$B$229=N$3,SUMIF('TL03'!$C$238:$C$451,$C173,'TL03'!$J$238:$J$451),0),
IF('TL04'!$B$3=N$3,SUMIF('TL04'!$C$10:$C$224,$C173,'TL04'!$J$10:$J$224),0),
IF('TL04'!$B$229=N$3,SUMIF('TL04'!$C$238:$C$451,$C173,'TL04'!$J$238:$J$451),0),
IF('TL05'!$B$3=N$3,SUMIF('TL05'!$C$10:$C$224,$C173,'TL05'!$J$10:$J$224),0),
IF('TL05'!$B$229=N$3,SUMIF('TL05'!$C$238:$C$451,$C173,'TL05'!$J$238:$J$451),0),
IF('TL06'!$B$3=N$3,SUMIF('TL06'!$C$10:$C$224,$C173,'TL06'!$J$10:$J$224),0),
IF('TL06'!$B$229=N$3,SUMIF('TL06'!$C$238:$C$451,$C173,'TL06'!$J$238:$J$451),0),
IF('TL07'!$B$3=N$3,SUMIF('TL07'!$C$10:$C$224,$C173,'TL07'!$J$10:$J$224),0),
IF('TL07'!$B$229=N$3,SUMIF('TL07'!$C$238:$C$451,$C173,'TL07'!$J$238:$J$451),0),
IF('TL08'!$B$3=N$3,SUMIF('TL08'!$C$10:$C$224,$C173,'TL08'!$J$10:$J$224),0),
IF('TL08'!$B$229=N$3,SUMIF('TL08'!$C$238:$C$451,$C173,'TL08'!$J$238:$J$451),0),
IF('TL09'!$B$3=N$3,SUMIF('TL09'!$C$10:$C$224,$C173,'TL09'!$J$10:$J$224),0),
IF('TL09'!$B$229=N$3,SUMIF('TL09'!$C$238:$C$451,$C173,'TL09'!$J$238:$J$451),0),
IF('TL10'!$B$3=N$3,SUMIF('TL10'!$C$10:$C$224,$C173,'TL10'!$J$10:$J$224),0),
IF('TL10'!$B$229=N$3,SUMIF('TL10'!$C$238:$C$451,$C173,'TL10'!$J$238:$J$451),0),
IF('TL11'!$B$3=N$3,SUMIF('TL11'!$C$10:$C$224,$C173,'TL11'!$J$10:$J$224),0),
IF('TL11'!$B$229=N$3,SUMIF('TL11'!$C$238:$C$451,$C173,'TL11'!$J$238:$J$451),0),
IF('TL12'!$B$3=N$3,SUMIF('TL12'!$C$10:$C$224,$C173,'TL12'!$J$10:$J$224),0),
IF('TL12'!$B$229=N$3,SUMIF('TL12'!$C$238:$C$451,$C173,'TL12'!$J$238:$J$451),0),
IF('TL13'!$B$3=N$3,SUMIF('TL13'!$C$10:$C$224,$C173,'TL13'!$J$10:$J$224),0),
IF('TL13'!$B$229=N$3,SUMIF('TL13'!$C$238:$C$451,$C173,'TL13'!$J$238:$J$451),0),
IF('TL14'!$B$3=N$3,SUMIF('TL14'!$C$10:$C$224,$C173,'TL14'!$J$10:$J$224),0),
IF('TL14'!$B$229=N$3,SUMIF('TL14'!$C$238:$C$451,$C173,'TL14'!$J$238:$J$451),0),
IF('TL15'!$B$3=N$3,SUMIF('TL15'!$C$10:$C$224,$C173,'TL15'!$J$10:$J$224),0),
IF('TL15'!$B$229=N$3,SUMIF('TL15'!$C$238:$C$451,$C173,'TL15'!$J$238:$J$451),0),
IF('TL16'!$B$3=N$3,SUMIF('TL16'!$C$10:$C$224,$C173,'TL16'!$J$10:$J$224),0),
IF('TL16'!$B$229=N$3,SUMIF('TL16'!$C$238:$C$451,$C173,'TL16'!$J$238:$J$451),0),
IF('TL17'!$B$3=N$3,SUMIF('TL17'!$C$10:$C$224,$C173,'TL17'!$J$10:$J$224),0),
IF('TL17'!$B$229=N$3,SUMIF('TL17'!$C$238:$C$451,$C173,'TL17'!$J$238:$J$451),0),
IF('TL18'!$B$3=N$3,SUMIF('TL18'!$C$10:$C$224,$C173,'TL18'!$J$10:$J$224),0),
IF('TL18'!$B$229=N$3,SUMIF('TL18'!$C$238:$C$451,$C173,'TL18'!$J$238:$J$451),0),
IF('TL19'!$B$3=N$3,SUMIF('TL19'!$C$10:$C$224,$C173,'TL19'!$J$10:$J$224),0),
IF('TL19'!$B$229=N$3,SUMIF('TL19'!$C$238:$C$451,$C173,'TL19'!$J$238:$J$451),0)
),0)</f>
        <v/>
      </c>
      <c r="O173" s="9">
        <f>IFERROR(SUM(
IF('TL01'!$B$3=O$3,SUMIF('TL01'!$C$10:$C$224,$C173,'TL01'!$J$10:$J$224),0),
IF('TL01'!$B$229=O$3,SUMIF('TL01'!$C$238:$C$451,$C173,'TL01'!$J$238:$J$451),0),
IF('TL02'!$B$3=O$3,SUMIF('TL02'!$C$10:$C$224,$C173,'TL02'!$J$10:$J$224),0),
IF('TL02'!$B$229=O$3,SUMIF('TL02'!$C$238:$C$451,$C173,'TL02'!$J$238:$J$451),0),
IF('TL03'!$B$3=O$3,SUMIF('TL03'!$C$10:$C$224,$C173,'TL03'!$J$10:$J$224),0),
IF('TL03'!$B$229=O$3,SUMIF('TL03'!$C$238:$C$451,$C173,'TL03'!$J$238:$J$451),0),
IF('TL04'!$B$3=O$3,SUMIF('TL04'!$C$10:$C$224,$C173,'TL04'!$J$10:$J$224),0),
IF('TL04'!$B$229=O$3,SUMIF('TL04'!$C$238:$C$451,$C173,'TL04'!$J$238:$J$451),0),
IF('TL05'!$B$3=O$3,SUMIF('TL05'!$C$10:$C$224,$C173,'TL05'!$J$10:$J$224),0),
IF('TL05'!$B$229=O$3,SUMIF('TL05'!$C$238:$C$451,$C173,'TL05'!$J$238:$J$451),0),
IF('TL06'!$B$3=O$3,SUMIF('TL06'!$C$10:$C$224,$C173,'TL06'!$J$10:$J$224),0),
IF('TL06'!$B$229=O$3,SUMIF('TL06'!$C$238:$C$451,$C173,'TL06'!$J$238:$J$451),0),
IF('TL07'!$B$3=O$3,SUMIF('TL07'!$C$10:$C$224,$C173,'TL07'!$J$10:$J$224),0),
IF('TL07'!$B$229=O$3,SUMIF('TL07'!$C$238:$C$451,$C173,'TL07'!$J$238:$J$451),0),
IF('TL08'!$B$3=O$3,SUMIF('TL08'!$C$10:$C$224,$C173,'TL08'!$J$10:$J$224),0),
IF('TL08'!$B$229=O$3,SUMIF('TL08'!$C$238:$C$451,$C173,'TL08'!$J$238:$J$451),0),
IF('TL09'!$B$3=O$3,SUMIF('TL09'!$C$10:$C$224,$C173,'TL09'!$J$10:$J$224),0),
IF('TL09'!$B$229=O$3,SUMIF('TL09'!$C$238:$C$451,$C173,'TL09'!$J$238:$J$451),0),
IF('TL10'!$B$3=O$3,SUMIF('TL10'!$C$10:$C$224,$C173,'TL10'!$J$10:$J$224),0),
IF('TL10'!$B$229=O$3,SUMIF('TL10'!$C$238:$C$451,$C173,'TL10'!$J$238:$J$451),0),
IF('TL11'!$B$3=O$3,SUMIF('TL11'!$C$10:$C$224,$C173,'TL11'!$J$10:$J$224),0),
IF('TL11'!$B$229=O$3,SUMIF('TL11'!$C$238:$C$451,$C173,'TL11'!$J$238:$J$451),0),
IF('TL12'!$B$3=O$3,SUMIF('TL12'!$C$10:$C$224,$C173,'TL12'!$J$10:$J$224),0),
IF('TL12'!$B$229=O$3,SUMIF('TL12'!$C$238:$C$451,$C173,'TL12'!$J$238:$J$451),0),
IF('TL13'!$B$3=O$3,SUMIF('TL13'!$C$10:$C$224,$C173,'TL13'!$J$10:$J$224),0),
IF('TL13'!$B$229=O$3,SUMIF('TL13'!$C$238:$C$451,$C173,'TL13'!$J$238:$J$451),0),
IF('TL14'!$B$3=O$3,SUMIF('TL14'!$C$10:$C$224,$C173,'TL14'!$J$10:$J$224),0),
IF('TL14'!$B$229=O$3,SUMIF('TL14'!$C$238:$C$451,$C173,'TL14'!$J$238:$J$451),0),
IF('TL15'!$B$3=O$3,SUMIF('TL15'!$C$10:$C$224,$C173,'TL15'!$J$10:$J$224),0),
IF('TL15'!$B$229=O$3,SUMIF('TL15'!$C$238:$C$451,$C173,'TL15'!$J$238:$J$451),0),
IF('TL16'!$B$3=O$3,SUMIF('TL16'!$C$10:$C$224,$C173,'TL16'!$J$10:$J$224),0),
IF('TL16'!$B$229=O$3,SUMIF('TL16'!$C$238:$C$451,$C173,'TL16'!$J$238:$J$451),0),
IF('TL17'!$B$3=O$3,SUMIF('TL17'!$C$10:$C$224,$C173,'TL17'!$J$10:$J$224),0),
IF('TL17'!$B$229=O$3,SUMIF('TL17'!$C$238:$C$451,$C173,'TL17'!$J$238:$J$451),0),
IF('TL18'!$B$3=O$3,SUMIF('TL18'!$C$10:$C$224,$C173,'TL18'!$J$10:$J$224),0),
IF('TL18'!$B$229=O$3,SUMIF('TL18'!$C$238:$C$451,$C173,'TL18'!$J$238:$J$451),0),
IF('TL19'!$B$3=O$3,SUMIF('TL19'!$C$10:$C$224,$C173,'TL19'!$J$10:$J$224),0),
IF('TL19'!$B$229=O$3,SUMIF('TL19'!$C$238:$C$451,$C173,'TL19'!$J$238:$J$451),0)
),0)</f>
        <v/>
      </c>
      <c r="P173" s="9">
        <f>IFERROR(SUM(
IF('TL01'!$B$3=P$3,SUMIF('TL01'!$C$10:$C$224,$C173,'TL01'!$J$10:$J$224),0),
IF('TL01'!$B$229=P$3,SUMIF('TL01'!$C$238:$C$451,$C173,'TL01'!$J$238:$J$451),0),
IF('TL02'!$B$3=P$3,SUMIF('TL02'!$C$10:$C$224,$C173,'TL02'!$J$10:$J$224),0),
IF('TL02'!$B$229=P$3,SUMIF('TL02'!$C$238:$C$451,$C173,'TL02'!$J$238:$J$451),0),
IF('TL03'!$B$3=P$3,SUMIF('TL03'!$C$10:$C$224,$C173,'TL03'!$J$10:$J$224),0),
IF('TL03'!$B$229=P$3,SUMIF('TL03'!$C$238:$C$451,$C173,'TL03'!$J$238:$J$451),0),
IF('TL04'!$B$3=P$3,SUMIF('TL04'!$C$10:$C$224,$C173,'TL04'!$J$10:$J$224),0),
IF('TL04'!$B$229=P$3,SUMIF('TL04'!$C$238:$C$451,$C173,'TL04'!$J$238:$J$451),0),
IF('TL05'!$B$3=P$3,SUMIF('TL05'!$C$10:$C$224,$C173,'TL05'!$J$10:$J$224),0),
IF('TL05'!$B$229=P$3,SUMIF('TL05'!$C$238:$C$451,$C173,'TL05'!$J$238:$J$451),0),
IF('TL06'!$B$3=P$3,SUMIF('TL06'!$C$10:$C$224,$C173,'TL06'!$J$10:$J$224),0),
IF('TL06'!$B$229=P$3,SUMIF('TL06'!$C$238:$C$451,$C173,'TL06'!$J$238:$J$451),0),
IF('TL07'!$B$3=P$3,SUMIF('TL07'!$C$10:$C$224,$C173,'TL07'!$J$10:$J$224),0),
IF('TL07'!$B$229=P$3,SUMIF('TL07'!$C$238:$C$451,$C173,'TL07'!$J$238:$J$451),0),
IF('TL08'!$B$3=P$3,SUMIF('TL08'!$C$10:$C$224,$C173,'TL08'!$J$10:$J$224),0),
IF('TL08'!$B$229=P$3,SUMIF('TL08'!$C$238:$C$451,$C173,'TL08'!$J$238:$J$451),0),
IF('TL09'!$B$3=P$3,SUMIF('TL09'!$C$10:$C$224,$C173,'TL09'!$J$10:$J$224),0),
IF('TL09'!$B$229=P$3,SUMIF('TL09'!$C$238:$C$451,$C173,'TL09'!$J$238:$J$451),0),
IF('TL10'!$B$3=P$3,SUMIF('TL10'!$C$10:$C$224,$C173,'TL10'!$J$10:$J$224),0),
IF('TL10'!$B$229=P$3,SUMIF('TL10'!$C$238:$C$451,$C173,'TL10'!$J$238:$J$451),0),
IF('TL11'!$B$3=P$3,SUMIF('TL11'!$C$10:$C$224,$C173,'TL11'!$J$10:$J$224),0),
IF('TL11'!$B$229=P$3,SUMIF('TL11'!$C$238:$C$451,$C173,'TL11'!$J$238:$J$451),0),
IF('TL12'!$B$3=P$3,SUMIF('TL12'!$C$10:$C$224,$C173,'TL12'!$J$10:$J$224),0),
IF('TL12'!$B$229=P$3,SUMIF('TL12'!$C$238:$C$451,$C173,'TL12'!$J$238:$J$451),0),
IF('TL13'!$B$3=P$3,SUMIF('TL13'!$C$10:$C$224,$C173,'TL13'!$J$10:$J$224),0),
IF('TL13'!$B$229=P$3,SUMIF('TL13'!$C$238:$C$451,$C173,'TL13'!$J$238:$J$451),0),
IF('TL14'!$B$3=P$3,SUMIF('TL14'!$C$10:$C$224,$C173,'TL14'!$J$10:$J$224),0),
IF('TL14'!$B$229=P$3,SUMIF('TL14'!$C$238:$C$451,$C173,'TL14'!$J$238:$J$451),0),
IF('TL15'!$B$3=P$3,SUMIF('TL15'!$C$10:$C$224,$C173,'TL15'!$J$10:$J$224),0),
IF('TL15'!$B$229=P$3,SUMIF('TL15'!$C$238:$C$451,$C173,'TL15'!$J$238:$J$451),0),
IF('TL16'!$B$3=P$3,SUMIF('TL16'!$C$10:$C$224,$C173,'TL16'!$J$10:$J$224),0),
IF('TL16'!$B$229=P$3,SUMIF('TL16'!$C$238:$C$451,$C173,'TL16'!$J$238:$J$451),0),
IF('TL17'!$B$3=P$3,SUMIF('TL17'!$C$10:$C$224,$C173,'TL17'!$J$10:$J$224),0),
IF('TL17'!$B$229=P$3,SUMIF('TL17'!$C$238:$C$451,$C173,'TL17'!$J$238:$J$451),0),
IF('TL18'!$B$3=P$3,SUMIF('TL18'!$C$10:$C$224,$C173,'TL18'!$J$10:$J$224),0),
IF('TL18'!$B$229=P$3,SUMIF('TL18'!$C$238:$C$451,$C173,'TL18'!$J$238:$J$451),0),
IF('TL19'!$B$3=P$3,SUMIF('TL19'!$C$10:$C$224,$C173,'TL19'!$J$10:$J$224),0),
IF('TL19'!$B$229=P$3,SUMIF('TL19'!$C$238:$C$451,$C173,'TL19'!$J$238:$J$451),0)
),0)</f>
        <v/>
      </c>
      <c r="Q173" s="9">
        <f>IFERROR(SUM(
IF('TL01'!$B$3=Q$3,SUMIF('TL01'!$C$10:$C$224,$C173,'TL01'!$J$10:$J$224),0),
IF('TL01'!$B$229=Q$3,SUMIF('TL01'!$C$238:$C$451,$C173,'TL01'!$J$238:$J$451),0),
IF('TL02'!$B$3=Q$3,SUMIF('TL02'!$C$10:$C$224,$C173,'TL02'!$J$10:$J$224),0),
IF('TL02'!$B$229=Q$3,SUMIF('TL02'!$C$238:$C$451,$C173,'TL02'!$J$238:$J$451),0),
IF('TL03'!$B$3=Q$3,SUMIF('TL03'!$C$10:$C$224,$C173,'TL03'!$J$10:$J$224),0),
IF('TL03'!$B$229=Q$3,SUMIF('TL03'!$C$238:$C$451,$C173,'TL03'!$J$238:$J$451),0),
IF('TL04'!$B$3=Q$3,SUMIF('TL04'!$C$10:$C$224,$C173,'TL04'!$J$10:$J$224),0),
IF('TL04'!$B$229=Q$3,SUMIF('TL04'!$C$238:$C$451,$C173,'TL04'!$J$238:$J$451),0),
IF('TL05'!$B$3=Q$3,SUMIF('TL05'!$C$10:$C$224,$C173,'TL05'!$J$10:$J$224),0),
IF('TL05'!$B$229=Q$3,SUMIF('TL05'!$C$238:$C$451,$C173,'TL05'!$J$238:$J$451),0),
IF('TL06'!$B$3=Q$3,SUMIF('TL06'!$C$10:$C$224,$C173,'TL06'!$J$10:$J$224),0),
IF('TL06'!$B$229=Q$3,SUMIF('TL06'!$C$238:$C$451,$C173,'TL06'!$J$238:$J$451),0),
IF('TL07'!$B$3=Q$3,SUMIF('TL07'!$C$10:$C$224,$C173,'TL07'!$J$10:$J$224),0),
IF('TL07'!$B$229=Q$3,SUMIF('TL07'!$C$238:$C$451,$C173,'TL07'!$J$238:$J$451),0),
IF('TL08'!$B$3=Q$3,SUMIF('TL08'!$C$10:$C$224,$C173,'TL08'!$J$10:$J$224),0),
IF('TL08'!$B$229=Q$3,SUMIF('TL08'!$C$238:$C$451,$C173,'TL08'!$J$238:$J$451),0),
IF('TL09'!$B$3=Q$3,SUMIF('TL09'!$C$10:$C$224,$C173,'TL09'!$J$10:$J$224),0),
IF('TL09'!$B$229=Q$3,SUMIF('TL09'!$C$238:$C$451,$C173,'TL09'!$J$238:$J$451),0),
IF('TL10'!$B$3=Q$3,SUMIF('TL10'!$C$10:$C$224,$C173,'TL10'!$J$10:$J$224),0),
IF('TL10'!$B$229=Q$3,SUMIF('TL10'!$C$238:$C$451,$C173,'TL10'!$J$238:$J$451),0),
IF('TL11'!$B$3=Q$3,SUMIF('TL11'!$C$10:$C$224,$C173,'TL11'!$J$10:$J$224),0),
IF('TL11'!$B$229=Q$3,SUMIF('TL11'!$C$238:$C$451,$C173,'TL11'!$J$238:$J$451),0),
IF('TL12'!$B$3=Q$3,SUMIF('TL12'!$C$10:$C$224,$C173,'TL12'!$J$10:$J$224),0),
IF('TL12'!$B$229=Q$3,SUMIF('TL12'!$C$238:$C$451,$C173,'TL12'!$J$238:$J$451),0),
IF('TL13'!$B$3=Q$3,SUMIF('TL13'!$C$10:$C$224,$C173,'TL13'!$J$10:$J$224),0),
IF('TL13'!$B$229=Q$3,SUMIF('TL13'!$C$238:$C$451,$C173,'TL13'!$J$238:$J$451),0),
IF('TL14'!$B$3=Q$3,SUMIF('TL14'!$C$10:$C$224,$C173,'TL14'!$J$10:$J$224),0),
IF('TL14'!$B$229=Q$3,SUMIF('TL14'!$C$238:$C$451,$C173,'TL14'!$J$238:$J$451),0),
IF('TL15'!$B$3=Q$3,SUMIF('TL15'!$C$10:$C$224,$C173,'TL15'!$J$10:$J$224),0),
IF('TL15'!$B$229=Q$3,SUMIF('TL15'!$C$238:$C$451,$C173,'TL15'!$J$238:$J$451),0),
IF('TL16'!$B$3=Q$3,SUMIF('TL16'!$C$10:$C$224,$C173,'TL16'!$J$10:$J$224),0),
IF('TL16'!$B$229=Q$3,SUMIF('TL16'!$C$238:$C$451,$C173,'TL16'!$J$238:$J$451),0),
IF('TL17'!$B$3=Q$3,SUMIF('TL17'!$C$10:$C$224,$C173,'TL17'!$J$10:$J$224),0),
IF('TL17'!$B$229=Q$3,SUMIF('TL17'!$C$238:$C$451,$C173,'TL17'!$J$238:$J$451),0),
IF('TL18'!$B$3=Q$3,SUMIF('TL18'!$C$10:$C$224,$C173,'TL18'!$J$10:$J$224),0),
IF('TL18'!$B$229=Q$3,SUMIF('TL18'!$C$238:$C$451,$C173,'TL18'!$J$238:$J$451),0),
IF('TL19'!$B$3=Q$3,SUMIF('TL19'!$C$10:$C$224,$C173,'TL19'!$J$10:$J$224),0),
IF('TL19'!$B$229=Q$3,SUMIF('TL19'!$C$238:$C$451,$C173,'TL19'!$J$238:$J$451),0)
),0)</f>
        <v/>
      </c>
      <c r="R173" s="9">
        <f>IFERROR(
SUM(
SUMIF('TL01'!C:C,C173,'TL01'!J:J),
SUMIF('TL02'!C:C,C173,'TL02'!J:J),
SUMIF('TL03'!C:C,C173,'TL03'!J:J),
SUMIF('TL04'!C:C,C173,'TL04'!J:J),
SUMIF('TL05'!C:C,C173,'TL05'!J:J),
SUMIF('TL06'!C:C,C173,'TL06'!J:J),
SUMIF('TL07'!C:C,C173,'TL07'!J:J),
SUMIF('TL08'!C:C,C173,'TL08'!J:J),
SUMIF('TL09'!C:C,C173,'TL09'!J:J),
SUMIF('TL10'!C:C,C173,'TL10'!J:J),
SUMIF('TL11'!C:C,C173,'TL11'!J:J),
SUMIF('TL12'!C:C,C173,'TL12'!J:J),
SUMIF('TL13'!C:C,C173,'TL13'!J:J),
SUMIF('TL14'!C:C,C173,'TL14'!J:J),
SUMIF('TL15'!C:C,C173,'TL15'!J:J),
SUMIF('TL16'!C:C,C173,'TL16'!J:J),
SUMIF('TL17'!C:C,C173,'TL17'!J:J),
SUMIF('TL18'!C:C,C173,'TL18'!J:J),SUMIF('TL19'!C:C,C173,'TL19'!J:J))
,0)</f>
        <v/>
      </c>
      <c r="S173" s="17">
        <f>IFERROR(__xludf.DUMMYFUNCTION("IFERROR(VLOOKUP(C173,
IMPORTRANGE(""1wULbzX32WdYsx-lj2U3uUNBBe2INVIRDtcK0d-Dvl90"",
""26-27!C:G""),
5,
FALSE),
"""")"),37.11)</f>
        <v/>
      </c>
      <c r="T173" s="9" t="n"/>
      <c r="U173" s="92">
        <f>MAX(0,R173-T173)</f>
        <v/>
      </c>
      <c r="V173" s="93">
        <f>U173*S173</f>
        <v/>
      </c>
    </row>
    <row r="174" hidden="1" ht="15.75" customHeight="1" s="297">
      <c r="A174" s="87" t="inlineStr">
        <is>
          <t>ADAMA</t>
        </is>
      </c>
      <c r="B174" s="88" t="inlineStr">
        <is>
          <t>INSETICIDA</t>
        </is>
      </c>
      <c r="C174" s="89" t="inlineStr">
        <is>
          <t>PLETHORA BR</t>
        </is>
      </c>
      <c r="D174" s="89" t="inlineStr">
        <is>
          <t>INDOXACARBE + NOVALUROM</t>
        </is>
      </c>
      <c r="E174" s="89" t="inlineStr">
        <is>
          <t>240 + 80</t>
        </is>
      </c>
      <c r="F174" s="4" t="inlineStr">
        <is>
          <t>L</t>
        </is>
      </c>
      <c r="G174" s="90">
        <f>HYPERLINK("https://www.google.com/search?q=" &amp; C174 &amp; "+bula+agrofit+pdf", "📄 Ver bula")</f>
        <v/>
      </c>
      <c r="H174" s="9">
        <f>IFERROR(__xludf.DUMMYFUNCTION("IFERROR(VLOOKUP(C174,
IMPORTRANGE(""1wULbzX32WdYsx-lj2U3uUNBBe2INVIRDtcK0d-Dvl90"",
""26-27!C:K""),
8,
FALSE),
"""")"),0.3)</f>
        <v/>
      </c>
      <c r="I174" s="91" t="inlineStr">
        <is>
          <t>1x20</t>
        </is>
      </c>
      <c r="J174" s="9">
        <f>IFERROR(SUM(
IF('TL01'!$B$3=J$3,SUMIF('TL01'!$C$10:$C$224,$C174,'TL01'!$J$10:$J$224),0),
IF('TL01'!$B$229=J$3,SUMIF('TL01'!$C$238:$C$451,$C174,'TL01'!$J$238:$J$451),0),
IF('TL02'!$B$3=J$3,SUMIF('TL02'!$C$10:$C$224,$C174,'TL02'!$J$10:$J$224),0),
IF('TL02'!$B$229=J$3,SUMIF('TL02'!$C$238:$C$451,$C174,'TL02'!$J$238:$J$451),0),
IF('TL03'!$B$3=J$3,SUMIF('TL03'!$C$10:$C$224,$C174,'TL03'!$J$10:$J$224),0),
IF('TL03'!$B$229=J$3,SUMIF('TL03'!$C$238:$C$451,$C174,'TL03'!$J$238:$J$451),0),
IF('TL04'!$B$3=J$3,SUMIF('TL04'!$C$10:$C$224,$C174,'TL04'!$J$10:$J$224),0),
IF('TL04'!$B$229=J$3,SUMIF('TL04'!$C$238:$C$451,$C174,'TL04'!$J$238:$J$451),0),
IF('TL05'!$B$3=J$3,SUMIF('TL05'!$C$10:$C$224,$C174,'TL05'!$J$10:$J$224),0),
IF('TL05'!$B$229=J$3,SUMIF('TL05'!$C$238:$C$451,$C174,'TL05'!$J$238:$J$451),0),
IF('TL06'!$B$3=J$3,SUMIF('TL06'!$C$10:$C$224,$C174,'TL06'!$J$10:$J$224),0),
IF('TL06'!$B$229=J$3,SUMIF('TL06'!$C$238:$C$451,$C174,'TL06'!$J$238:$J$451),0),
IF('TL07'!$B$3=J$3,SUMIF('TL07'!$C$10:$C$224,$C174,'TL07'!$J$10:$J$224),0),
IF('TL07'!$B$229=J$3,SUMIF('TL07'!$C$238:$C$451,$C174,'TL07'!$J$238:$J$451),0),
IF('TL08'!$B$3=J$3,SUMIF('TL08'!$C$10:$C$224,$C174,'TL08'!$J$10:$J$224),0),
IF('TL08'!$B$229=J$3,SUMIF('TL08'!$C$238:$C$451,$C174,'TL08'!$J$238:$J$451),0),
IF('TL09'!$B$3=J$3,SUMIF('TL09'!$C$10:$C$224,$C174,'TL09'!$J$10:$J$224),0),
IF('TL09'!$B$229=J$3,SUMIF('TL09'!$C$238:$C$451,$C174,'TL09'!$J$238:$J$451),0),
IF('TL10'!$B$3=J$3,SUMIF('TL10'!$C$10:$C$224,$C174,'TL10'!$J$10:$J$224),0),
IF('TL10'!$B$229=J$3,SUMIF('TL10'!$C$238:$C$451,$C174,'TL10'!$J$238:$J$451),0),
IF('TL11'!$B$3=J$3,SUMIF('TL11'!$C$10:$C$224,$C174,'TL11'!$J$10:$J$224),0),
IF('TL11'!$B$229=J$3,SUMIF('TL11'!$C$238:$C$451,$C174,'TL11'!$J$238:$J$451),0),
IF('TL12'!$B$3=J$3,SUMIF('TL12'!$C$10:$C$224,$C174,'TL12'!$J$10:$J$224),0),
IF('TL12'!$B$229=J$3,SUMIF('TL12'!$C$238:$C$451,$C174,'TL12'!$J$238:$J$451),0),
IF('TL13'!$B$3=J$3,SUMIF('TL13'!$C$10:$C$224,$C174,'TL13'!$J$10:$J$224),0),
IF('TL13'!$B$229=J$3,SUMIF('TL13'!$C$238:$C$451,$C174,'TL13'!$J$238:$J$451),0),
IF('TL14'!$B$3=J$3,SUMIF('TL14'!$C$10:$C$224,$C174,'TL14'!$J$10:$J$224),0),
IF('TL14'!$B$229=J$3,SUMIF('TL14'!$C$238:$C$451,$C174,'TL14'!$J$238:$J$451),0),
IF('TL15'!$B$3=J$3,SUMIF('TL15'!$C$10:$C$224,$C174,'TL15'!$J$10:$J$224),0),
IF('TL15'!$B$229=J$3,SUMIF('TL15'!$C$238:$C$451,$C174,'TL15'!$J$238:$J$451),0),
IF('TL16'!$B$3=J$3,SUMIF('TL16'!$C$10:$C$224,$C174,'TL16'!$J$10:$J$224),0),
IF('TL16'!$B$229=J$3,SUMIF('TL16'!$C$238:$C$451,$C174,'TL16'!$J$238:$J$451),0),
IF('TL17'!$B$3=J$3,SUMIF('TL17'!$C$10:$C$224,$C174,'TL17'!$J$10:$J$224),0),
IF('TL17'!$B$229=J$3,SUMIF('TL17'!$C$238:$C$451,$C174,'TL17'!$J$238:$J$451),0),
IF('TL18'!$B$3=J$3,SUMIF('TL18'!$C$10:$C$224,$C174,'TL18'!$J$10:$J$224),0),
IF('TL18'!$B$229=J$3,SUMIF('TL18'!$C$238:$C$451,$C174,'TL18'!$J$238:$J$451),0),
IF('TL19'!$B$3=J$3,SUMIF('TL19'!$C$10:$C$224,$C174,'TL19'!$J$10:$J$224),0),
IF('TL19'!$B$229=J$3,SUMIF('TL19'!$C$238:$C$451,$C174,'TL19'!$J$238:$J$451),0)
),0)</f>
        <v/>
      </c>
      <c r="K174" s="9">
        <f>IFERROR(SUM(
IF('TL01'!$B$3=K$3,SUMIF('TL01'!$C$10:$C$224,$C174,'TL01'!$J$10:$J$224),0),
IF('TL01'!$B$229=K$3,SUMIF('TL01'!$C$238:$C$451,$C174,'TL01'!$J$238:$J$451),0),
IF('TL02'!$B$3=K$3,SUMIF('TL02'!$C$10:$C$224,$C174,'TL02'!$J$10:$J$224),0),
IF('TL02'!$B$229=K$3,SUMIF('TL02'!$C$238:$C$451,$C174,'TL02'!$J$238:$J$451),0),
IF('TL03'!$B$3=K$3,SUMIF('TL03'!$C$10:$C$224,$C174,'TL03'!$J$10:$J$224),0),
IF('TL03'!$B$229=K$3,SUMIF('TL03'!$C$238:$C$451,$C174,'TL03'!$J$238:$J$451),0),
IF('TL04'!$B$3=K$3,SUMIF('TL04'!$C$10:$C$224,$C174,'TL04'!$J$10:$J$224),0),
IF('TL04'!$B$229=K$3,SUMIF('TL04'!$C$238:$C$451,$C174,'TL04'!$J$238:$J$451),0),
IF('TL05'!$B$3=K$3,SUMIF('TL05'!$C$10:$C$224,$C174,'TL05'!$J$10:$J$224),0),
IF('TL05'!$B$229=K$3,SUMIF('TL05'!$C$238:$C$451,$C174,'TL05'!$J$238:$J$451),0),
IF('TL06'!$B$3=K$3,SUMIF('TL06'!$C$10:$C$224,$C174,'TL06'!$J$10:$J$224),0),
IF('TL06'!$B$229=K$3,SUMIF('TL06'!$C$238:$C$451,$C174,'TL06'!$J$238:$J$451),0),
IF('TL07'!$B$3=K$3,SUMIF('TL07'!$C$10:$C$224,$C174,'TL07'!$J$10:$J$224),0),
IF('TL07'!$B$229=K$3,SUMIF('TL07'!$C$238:$C$451,$C174,'TL07'!$J$238:$J$451),0),
IF('TL08'!$B$3=K$3,SUMIF('TL08'!$C$10:$C$224,$C174,'TL08'!$J$10:$J$224),0),
IF('TL08'!$B$229=K$3,SUMIF('TL08'!$C$238:$C$451,$C174,'TL08'!$J$238:$J$451),0),
IF('TL09'!$B$3=K$3,SUMIF('TL09'!$C$10:$C$224,$C174,'TL09'!$J$10:$J$224),0),
IF('TL09'!$B$229=K$3,SUMIF('TL09'!$C$238:$C$451,$C174,'TL09'!$J$238:$J$451),0),
IF('TL10'!$B$3=K$3,SUMIF('TL10'!$C$10:$C$224,$C174,'TL10'!$J$10:$J$224),0),
IF('TL10'!$B$229=K$3,SUMIF('TL10'!$C$238:$C$451,$C174,'TL10'!$J$238:$J$451),0),
IF('TL11'!$B$3=K$3,SUMIF('TL11'!$C$10:$C$224,$C174,'TL11'!$J$10:$J$224),0),
IF('TL11'!$B$229=K$3,SUMIF('TL11'!$C$238:$C$451,$C174,'TL11'!$J$238:$J$451),0),
IF('TL12'!$B$3=K$3,SUMIF('TL12'!$C$10:$C$224,$C174,'TL12'!$J$10:$J$224),0),
IF('TL12'!$B$229=K$3,SUMIF('TL12'!$C$238:$C$451,$C174,'TL12'!$J$238:$J$451),0),
IF('TL13'!$B$3=K$3,SUMIF('TL13'!$C$10:$C$224,$C174,'TL13'!$J$10:$J$224),0),
IF('TL13'!$B$229=K$3,SUMIF('TL13'!$C$238:$C$451,$C174,'TL13'!$J$238:$J$451),0),
IF('TL14'!$B$3=K$3,SUMIF('TL14'!$C$10:$C$224,$C174,'TL14'!$J$10:$J$224),0),
IF('TL14'!$B$229=K$3,SUMIF('TL14'!$C$238:$C$451,$C174,'TL14'!$J$238:$J$451),0),
IF('TL15'!$B$3=K$3,SUMIF('TL15'!$C$10:$C$224,$C174,'TL15'!$J$10:$J$224),0),
IF('TL15'!$B$229=K$3,SUMIF('TL15'!$C$238:$C$451,$C174,'TL15'!$J$238:$J$451),0),
IF('TL16'!$B$3=K$3,SUMIF('TL16'!$C$10:$C$224,$C174,'TL16'!$J$10:$J$224),0),
IF('TL16'!$B$229=K$3,SUMIF('TL16'!$C$238:$C$451,$C174,'TL16'!$J$238:$J$451),0),
IF('TL17'!$B$3=K$3,SUMIF('TL17'!$C$10:$C$224,$C174,'TL17'!$J$10:$J$224),0),
IF('TL17'!$B$229=K$3,SUMIF('TL17'!$C$238:$C$451,$C174,'TL17'!$J$238:$J$451),0),
IF('TL18'!$B$3=K$3,SUMIF('TL18'!$C$10:$C$224,$C174,'TL18'!$J$10:$J$224),0),
IF('TL18'!$B$229=K$3,SUMIF('TL18'!$C$238:$C$451,$C174,'TL18'!$J$238:$J$451),0),
IF('TL19'!$B$3=K$3,SUMIF('TL19'!$C$10:$C$224,$C174,'TL19'!$J$10:$J$224),0),
IF('TL19'!$B$229=K$3,SUMIF('TL19'!$C$238:$C$451,$C174,'TL19'!$J$238:$J$451),0)
),0)</f>
        <v/>
      </c>
      <c r="L174" s="9">
        <f>IFERROR(SUM(
IF('TL01'!$B$3=L$3,SUMIF('TL01'!$C$10:$C$224,$C174,'TL01'!$J$10:$J$224),0),
IF('TL01'!$B$229=L$3,SUMIF('TL01'!$C$238:$C$451,$C174,'TL01'!$J$238:$J$451),0),
IF('TL02'!$B$3=L$3,SUMIF('TL02'!$C$10:$C$224,$C174,'TL02'!$J$10:$J$224),0),
IF('TL02'!$B$229=L$3,SUMIF('TL02'!$C$238:$C$451,$C174,'TL02'!$J$238:$J$451),0),
IF('TL03'!$B$3=L$3,SUMIF('TL03'!$C$10:$C$224,$C174,'TL03'!$J$10:$J$224),0),
IF('TL03'!$B$229=L$3,SUMIF('TL03'!$C$238:$C$451,$C174,'TL03'!$J$238:$J$451),0),
IF('TL04'!$B$3=L$3,SUMIF('TL04'!$C$10:$C$224,$C174,'TL04'!$J$10:$J$224),0),
IF('TL04'!$B$229=L$3,SUMIF('TL04'!$C$238:$C$451,$C174,'TL04'!$J$238:$J$451),0),
IF('TL05'!$B$3=L$3,SUMIF('TL05'!$C$10:$C$224,$C174,'TL05'!$J$10:$J$224),0),
IF('TL05'!$B$229=L$3,SUMIF('TL05'!$C$238:$C$451,$C174,'TL05'!$J$238:$J$451),0),
IF('TL06'!$B$3=L$3,SUMIF('TL06'!$C$10:$C$224,$C174,'TL06'!$J$10:$J$224),0),
IF('TL06'!$B$229=L$3,SUMIF('TL06'!$C$238:$C$451,$C174,'TL06'!$J$238:$J$451),0),
IF('TL07'!$B$3=L$3,SUMIF('TL07'!$C$10:$C$224,$C174,'TL07'!$J$10:$J$224),0),
IF('TL07'!$B$229=L$3,SUMIF('TL07'!$C$238:$C$451,$C174,'TL07'!$J$238:$J$451),0),
IF('TL08'!$B$3=L$3,SUMIF('TL08'!$C$10:$C$224,$C174,'TL08'!$J$10:$J$224),0),
IF('TL08'!$B$229=L$3,SUMIF('TL08'!$C$238:$C$451,$C174,'TL08'!$J$238:$J$451),0),
IF('TL09'!$B$3=L$3,SUMIF('TL09'!$C$10:$C$224,$C174,'TL09'!$J$10:$J$224),0),
IF('TL09'!$B$229=L$3,SUMIF('TL09'!$C$238:$C$451,$C174,'TL09'!$J$238:$J$451),0),
IF('TL10'!$B$3=L$3,SUMIF('TL10'!$C$10:$C$224,$C174,'TL10'!$J$10:$J$224),0),
IF('TL10'!$B$229=L$3,SUMIF('TL10'!$C$238:$C$451,$C174,'TL10'!$J$238:$J$451),0),
IF('TL11'!$B$3=L$3,SUMIF('TL11'!$C$10:$C$224,$C174,'TL11'!$J$10:$J$224),0),
IF('TL11'!$B$229=L$3,SUMIF('TL11'!$C$238:$C$451,$C174,'TL11'!$J$238:$J$451),0),
IF('TL12'!$B$3=L$3,SUMIF('TL12'!$C$10:$C$224,$C174,'TL12'!$J$10:$J$224),0),
IF('TL12'!$B$229=L$3,SUMIF('TL12'!$C$238:$C$451,$C174,'TL12'!$J$238:$J$451),0),
IF('TL13'!$B$3=L$3,SUMIF('TL13'!$C$10:$C$224,$C174,'TL13'!$J$10:$J$224),0),
IF('TL13'!$B$229=L$3,SUMIF('TL13'!$C$238:$C$451,$C174,'TL13'!$J$238:$J$451),0),
IF('TL14'!$B$3=L$3,SUMIF('TL14'!$C$10:$C$224,$C174,'TL14'!$J$10:$J$224),0),
IF('TL14'!$B$229=L$3,SUMIF('TL14'!$C$238:$C$451,$C174,'TL14'!$J$238:$J$451),0),
IF('TL15'!$B$3=L$3,SUMIF('TL15'!$C$10:$C$224,$C174,'TL15'!$J$10:$J$224),0),
IF('TL15'!$B$229=L$3,SUMIF('TL15'!$C$238:$C$451,$C174,'TL15'!$J$238:$J$451),0),
IF('TL16'!$B$3=L$3,SUMIF('TL16'!$C$10:$C$224,$C174,'TL16'!$J$10:$J$224),0),
IF('TL16'!$B$229=L$3,SUMIF('TL16'!$C$238:$C$451,$C174,'TL16'!$J$238:$J$451),0),
IF('TL17'!$B$3=L$3,SUMIF('TL17'!$C$10:$C$224,$C174,'TL17'!$J$10:$J$224),0),
IF('TL17'!$B$229=L$3,SUMIF('TL17'!$C$238:$C$451,$C174,'TL17'!$J$238:$J$451),0),
IF('TL18'!$B$3=L$3,SUMIF('TL18'!$C$10:$C$224,$C174,'TL18'!$J$10:$J$224),0),
IF('TL18'!$B$229=L$3,SUMIF('TL18'!$C$238:$C$451,$C174,'TL18'!$J$238:$J$451),0),
IF('TL19'!$B$3=L$3,SUMIF('TL19'!$C$10:$C$224,$C174,'TL19'!$J$10:$J$224),0),
IF('TL19'!$B$229=L$3,SUMIF('TL19'!$C$238:$C$451,$C174,'TL19'!$J$238:$J$451),0)
),0)</f>
        <v/>
      </c>
      <c r="M174" s="9">
        <f>IFERROR(SUM(
IF('TL01'!$B$3=M$3,SUMIF('TL01'!$C$10:$C$224,$C174,'TL01'!$J$10:$J$224),0),
IF('TL01'!$B$229=M$3,SUMIF('TL01'!$C$238:$C$451,$C174,'TL01'!$J$238:$J$451),0),
IF('TL02'!$B$3=M$3,SUMIF('TL02'!$C$10:$C$224,$C174,'TL02'!$J$10:$J$224),0),
IF('TL02'!$B$229=M$3,SUMIF('TL02'!$C$238:$C$451,$C174,'TL02'!$J$238:$J$451),0),
IF('TL03'!$B$3=M$3,SUMIF('TL03'!$C$10:$C$224,$C174,'TL03'!$J$10:$J$224),0),
IF('TL03'!$B$229=M$3,SUMIF('TL03'!$C$238:$C$451,$C174,'TL03'!$J$238:$J$451),0),
IF('TL04'!$B$3=M$3,SUMIF('TL04'!$C$10:$C$224,$C174,'TL04'!$J$10:$J$224),0),
IF('TL04'!$B$229=M$3,SUMIF('TL04'!$C$238:$C$451,$C174,'TL04'!$J$238:$J$451),0),
IF('TL05'!$B$3=M$3,SUMIF('TL05'!$C$10:$C$224,$C174,'TL05'!$J$10:$J$224),0),
IF('TL05'!$B$229=M$3,SUMIF('TL05'!$C$238:$C$451,$C174,'TL05'!$J$238:$J$451),0),
IF('TL06'!$B$3=M$3,SUMIF('TL06'!$C$10:$C$224,$C174,'TL06'!$J$10:$J$224),0),
IF('TL06'!$B$229=M$3,SUMIF('TL06'!$C$238:$C$451,$C174,'TL06'!$J$238:$J$451),0),
IF('TL07'!$B$3=M$3,SUMIF('TL07'!$C$10:$C$224,$C174,'TL07'!$J$10:$J$224),0),
IF('TL07'!$B$229=M$3,SUMIF('TL07'!$C$238:$C$451,$C174,'TL07'!$J$238:$J$451),0),
IF('TL08'!$B$3=M$3,SUMIF('TL08'!$C$10:$C$224,$C174,'TL08'!$J$10:$J$224),0),
IF('TL08'!$B$229=M$3,SUMIF('TL08'!$C$238:$C$451,$C174,'TL08'!$J$238:$J$451),0),
IF('TL09'!$B$3=M$3,SUMIF('TL09'!$C$10:$C$224,$C174,'TL09'!$J$10:$J$224),0),
IF('TL09'!$B$229=M$3,SUMIF('TL09'!$C$238:$C$451,$C174,'TL09'!$J$238:$J$451),0),
IF('TL10'!$B$3=M$3,SUMIF('TL10'!$C$10:$C$224,$C174,'TL10'!$J$10:$J$224),0),
IF('TL10'!$B$229=M$3,SUMIF('TL10'!$C$238:$C$451,$C174,'TL10'!$J$238:$J$451),0),
IF('TL11'!$B$3=M$3,SUMIF('TL11'!$C$10:$C$224,$C174,'TL11'!$J$10:$J$224),0),
IF('TL11'!$B$229=M$3,SUMIF('TL11'!$C$238:$C$451,$C174,'TL11'!$J$238:$J$451),0),
IF('TL12'!$B$3=M$3,SUMIF('TL12'!$C$10:$C$224,$C174,'TL12'!$J$10:$J$224),0),
IF('TL12'!$B$229=M$3,SUMIF('TL12'!$C$238:$C$451,$C174,'TL12'!$J$238:$J$451),0),
IF('TL13'!$B$3=M$3,SUMIF('TL13'!$C$10:$C$224,$C174,'TL13'!$J$10:$J$224),0),
IF('TL13'!$B$229=M$3,SUMIF('TL13'!$C$238:$C$451,$C174,'TL13'!$J$238:$J$451),0),
IF('TL14'!$B$3=M$3,SUMIF('TL14'!$C$10:$C$224,$C174,'TL14'!$J$10:$J$224),0),
IF('TL14'!$B$229=M$3,SUMIF('TL14'!$C$238:$C$451,$C174,'TL14'!$J$238:$J$451),0),
IF('TL15'!$B$3=M$3,SUMIF('TL15'!$C$10:$C$224,$C174,'TL15'!$J$10:$J$224),0),
IF('TL15'!$B$229=M$3,SUMIF('TL15'!$C$238:$C$451,$C174,'TL15'!$J$238:$J$451),0),
IF('TL16'!$B$3=M$3,SUMIF('TL16'!$C$10:$C$224,$C174,'TL16'!$J$10:$J$224),0),
IF('TL16'!$B$229=M$3,SUMIF('TL16'!$C$238:$C$451,$C174,'TL16'!$J$238:$J$451),0),
IF('TL17'!$B$3=M$3,SUMIF('TL17'!$C$10:$C$224,$C174,'TL17'!$J$10:$J$224),0),
IF('TL17'!$B$229=M$3,SUMIF('TL17'!$C$238:$C$451,$C174,'TL17'!$J$238:$J$451),0),
IF('TL18'!$B$3=M$3,SUMIF('TL18'!$C$10:$C$224,$C174,'TL18'!$J$10:$J$224),0),
IF('TL18'!$B$229=M$3,SUMIF('TL18'!$C$238:$C$451,$C174,'TL18'!$J$238:$J$451),0),
IF('TL19'!$B$3=M$3,SUMIF('TL19'!$C$10:$C$224,$C174,'TL19'!$J$10:$J$224),0),
IF('TL19'!$B$229=M$3,SUMIF('TL19'!$C$238:$C$451,$C174,'TL19'!$J$238:$J$451),0)
),0)</f>
        <v/>
      </c>
      <c r="N174" s="9">
        <f>IFERROR(SUM(
IF('TL01'!$B$3=N$3,SUMIF('TL01'!$C$10:$C$224,$C174,'TL01'!$J$10:$J$224),0),
IF('TL01'!$B$229=N$3,SUMIF('TL01'!$C$238:$C$451,$C174,'TL01'!$J$238:$J$451),0),
IF('TL02'!$B$3=N$3,SUMIF('TL02'!$C$10:$C$224,$C174,'TL02'!$J$10:$J$224),0),
IF('TL02'!$B$229=N$3,SUMIF('TL02'!$C$238:$C$451,$C174,'TL02'!$J$238:$J$451),0),
IF('TL03'!$B$3=N$3,SUMIF('TL03'!$C$10:$C$224,$C174,'TL03'!$J$10:$J$224),0),
IF('TL03'!$B$229=N$3,SUMIF('TL03'!$C$238:$C$451,$C174,'TL03'!$J$238:$J$451),0),
IF('TL04'!$B$3=N$3,SUMIF('TL04'!$C$10:$C$224,$C174,'TL04'!$J$10:$J$224),0),
IF('TL04'!$B$229=N$3,SUMIF('TL04'!$C$238:$C$451,$C174,'TL04'!$J$238:$J$451),0),
IF('TL05'!$B$3=N$3,SUMIF('TL05'!$C$10:$C$224,$C174,'TL05'!$J$10:$J$224),0),
IF('TL05'!$B$229=N$3,SUMIF('TL05'!$C$238:$C$451,$C174,'TL05'!$J$238:$J$451),0),
IF('TL06'!$B$3=N$3,SUMIF('TL06'!$C$10:$C$224,$C174,'TL06'!$J$10:$J$224),0),
IF('TL06'!$B$229=N$3,SUMIF('TL06'!$C$238:$C$451,$C174,'TL06'!$J$238:$J$451),0),
IF('TL07'!$B$3=N$3,SUMIF('TL07'!$C$10:$C$224,$C174,'TL07'!$J$10:$J$224),0),
IF('TL07'!$B$229=N$3,SUMIF('TL07'!$C$238:$C$451,$C174,'TL07'!$J$238:$J$451),0),
IF('TL08'!$B$3=N$3,SUMIF('TL08'!$C$10:$C$224,$C174,'TL08'!$J$10:$J$224),0),
IF('TL08'!$B$229=N$3,SUMIF('TL08'!$C$238:$C$451,$C174,'TL08'!$J$238:$J$451),0),
IF('TL09'!$B$3=N$3,SUMIF('TL09'!$C$10:$C$224,$C174,'TL09'!$J$10:$J$224),0),
IF('TL09'!$B$229=N$3,SUMIF('TL09'!$C$238:$C$451,$C174,'TL09'!$J$238:$J$451),0),
IF('TL10'!$B$3=N$3,SUMIF('TL10'!$C$10:$C$224,$C174,'TL10'!$J$10:$J$224),0),
IF('TL10'!$B$229=N$3,SUMIF('TL10'!$C$238:$C$451,$C174,'TL10'!$J$238:$J$451),0),
IF('TL11'!$B$3=N$3,SUMIF('TL11'!$C$10:$C$224,$C174,'TL11'!$J$10:$J$224),0),
IF('TL11'!$B$229=N$3,SUMIF('TL11'!$C$238:$C$451,$C174,'TL11'!$J$238:$J$451),0),
IF('TL12'!$B$3=N$3,SUMIF('TL12'!$C$10:$C$224,$C174,'TL12'!$J$10:$J$224),0),
IF('TL12'!$B$229=N$3,SUMIF('TL12'!$C$238:$C$451,$C174,'TL12'!$J$238:$J$451),0),
IF('TL13'!$B$3=N$3,SUMIF('TL13'!$C$10:$C$224,$C174,'TL13'!$J$10:$J$224),0),
IF('TL13'!$B$229=N$3,SUMIF('TL13'!$C$238:$C$451,$C174,'TL13'!$J$238:$J$451),0),
IF('TL14'!$B$3=N$3,SUMIF('TL14'!$C$10:$C$224,$C174,'TL14'!$J$10:$J$224),0),
IF('TL14'!$B$229=N$3,SUMIF('TL14'!$C$238:$C$451,$C174,'TL14'!$J$238:$J$451),0),
IF('TL15'!$B$3=N$3,SUMIF('TL15'!$C$10:$C$224,$C174,'TL15'!$J$10:$J$224),0),
IF('TL15'!$B$229=N$3,SUMIF('TL15'!$C$238:$C$451,$C174,'TL15'!$J$238:$J$451),0),
IF('TL16'!$B$3=N$3,SUMIF('TL16'!$C$10:$C$224,$C174,'TL16'!$J$10:$J$224),0),
IF('TL16'!$B$229=N$3,SUMIF('TL16'!$C$238:$C$451,$C174,'TL16'!$J$238:$J$451),0),
IF('TL17'!$B$3=N$3,SUMIF('TL17'!$C$10:$C$224,$C174,'TL17'!$J$10:$J$224),0),
IF('TL17'!$B$229=N$3,SUMIF('TL17'!$C$238:$C$451,$C174,'TL17'!$J$238:$J$451),0),
IF('TL18'!$B$3=N$3,SUMIF('TL18'!$C$10:$C$224,$C174,'TL18'!$J$10:$J$224),0),
IF('TL18'!$B$229=N$3,SUMIF('TL18'!$C$238:$C$451,$C174,'TL18'!$J$238:$J$451),0),
IF('TL19'!$B$3=N$3,SUMIF('TL19'!$C$10:$C$224,$C174,'TL19'!$J$10:$J$224),0),
IF('TL19'!$B$229=N$3,SUMIF('TL19'!$C$238:$C$451,$C174,'TL19'!$J$238:$J$451),0)
),0)</f>
        <v/>
      </c>
      <c r="O174" s="9">
        <f>IFERROR(SUM(
IF('TL01'!$B$3=O$3,SUMIF('TL01'!$C$10:$C$224,$C174,'TL01'!$J$10:$J$224),0),
IF('TL01'!$B$229=O$3,SUMIF('TL01'!$C$238:$C$451,$C174,'TL01'!$J$238:$J$451),0),
IF('TL02'!$B$3=O$3,SUMIF('TL02'!$C$10:$C$224,$C174,'TL02'!$J$10:$J$224),0),
IF('TL02'!$B$229=O$3,SUMIF('TL02'!$C$238:$C$451,$C174,'TL02'!$J$238:$J$451),0),
IF('TL03'!$B$3=O$3,SUMIF('TL03'!$C$10:$C$224,$C174,'TL03'!$J$10:$J$224),0),
IF('TL03'!$B$229=O$3,SUMIF('TL03'!$C$238:$C$451,$C174,'TL03'!$J$238:$J$451),0),
IF('TL04'!$B$3=O$3,SUMIF('TL04'!$C$10:$C$224,$C174,'TL04'!$J$10:$J$224),0),
IF('TL04'!$B$229=O$3,SUMIF('TL04'!$C$238:$C$451,$C174,'TL04'!$J$238:$J$451),0),
IF('TL05'!$B$3=O$3,SUMIF('TL05'!$C$10:$C$224,$C174,'TL05'!$J$10:$J$224),0),
IF('TL05'!$B$229=O$3,SUMIF('TL05'!$C$238:$C$451,$C174,'TL05'!$J$238:$J$451),0),
IF('TL06'!$B$3=O$3,SUMIF('TL06'!$C$10:$C$224,$C174,'TL06'!$J$10:$J$224),0),
IF('TL06'!$B$229=O$3,SUMIF('TL06'!$C$238:$C$451,$C174,'TL06'!$J$238:$J$451),0),
IF('TL07'!$B$3=O$3,SUMIF('TL07'!$C$10:$C$224,$C174,'TL07'!$J$10:$J$224),0),
IF('TL07'!$B$229=O$3,SUMIF('TL07'!$C$238:$C$451,$C174,'TL07'!$J$238:$J$451),0),
IF('TL08'!$B$3=O$3,SUMIF('TL08'!$C$10:$C$224,$C174,'TL08'!$J$10:$J$224),0),
IF('TL08'!$B$229=O$3,SUMIF('TL08'!$C$238:$C$451,$C174,'TL08'!$J$238:$J$451),0),
IF('TL09'!$B$3=O$3,SUMIF('TL09'!$C$10:$C$224,$C174,'TL09'!$J$10:$J$224),0),
IF('TL09'!$B$229=O$3,SUMIF('TL09'!$C$238:$C$451,$C174,'TL09'!$J$238:$J$451),0),
IF('TL10'!$B$3=O$3,SUMIF('TL10'!$C$10:$C$224,$C174,'TL10'!$J$10:$J$224),0),
IF('TL10'!$B$229=O$3,SUMIF('TL10'!$C$238:$C$451,$C174,'TL10'!$J$238:$J$451),0),
IF('TL11'!$B$3=O$3,SUMIF('TL11'!$C$10:$C$224,$C174,'TL11'!$J$10:$J$224),0),
IF('TL11'!$B$229=O$3,SUMIF('TL11'!$C$238:$C$451,$C174,'TL11'!$J$238:$J$451),0),
IF('TL12'!$B$3=O$3,SUMIF('TL12'!$C$10:$C$224,$C174,'TL12'!$J$10:$J$224),0),
IF('TL12'!$B$229=O$3,SUMIF('TL12'!$C$238:$C$451,$C174,'TL12'!$J$238:$J$451),0),
IF('TL13'!$B$3=O$3,SUMIF('TL13'!$C$10:$C$224,$C174,'TL13'!$J$10:$J$224),0),
IF('TL13'!$B$229=O$3,SUMIF('TL13'!$C$238:$C$451,$C174,'TL13'!$J$238:$J$451),0),
IF('TL14'!$B$3=O$3,SUMIF('TL14'!$C$10:$C$224,$C174,'TL14'!$J$10:$J$224),0),
IF('TL14'!$B$229=O$3,SUMIF('TL14'!$C$238:$C$451,$C174,'TL14'!$J$238:$J$451),0),
IF('TL15'!$B$3=O$3,SUMIF('TL15'!$C$10:$C$224,$C174,'TL15'!$J$10:$J$224),0),
IF('TL15'!$B$229=O$3,SUMIF('TL15'!$C$238:$C$451,$C174,'TL15'!$J$238:$J$451),0),
IF('TL16'!$B$3=O$3,SUMIF('TL16'!$C$10:$C$224,$C174,'TL16'!$J$10:$J$224),0),
IF('TL16'!$B$229=O$3,SUMIF('TL16'!$C$238:$C$451,$C174,'TL16'!$J$238:$J$451),0),
IF('TL17'!$B$3=O$3,SUMIF('TL17'!$C$10:$C$224,$C174,'TL17'!$J$10:$J$224),0),
IF('TL17'!$B$229=O$3,SUMIF('TL17'!$C$238:$C$451,$C174,'TL17'!$J$238:$J$451),0),
IF('TL18'!$B$3=O$3,SUMIF('TL18'!$C$10:$C$224,$C174,'TL18'!$J$10:$J$224),0),
IF('TL18'!$B$229=O$3,SUMIF('TL18'!$C$238:$C$451,$C174,'TL18'!$J$238:$J$451),0),
IF('TL19'!$B$3=O$3,SUMIF('TL19'!$C$10:$C$224,$C174,'TL19'!$J$10:$J$224),0),
IF('TL19'!$B$229=O$3,SUMIF('TL19'!$C$238:$C$451,$C174,'TL19'!$J$238:$J$451),0)
),0)</f>
        <v/>
      </c>
      <c r="P174" s="9">
        <f>IFERROR(SUM(
IF('TL01'!$B$3=P$3,SUMIF('TL01'!$C$10:$C$224,$C174,'TL01'!$J$10:$J$224),0),
IF('TL01'!$B$229=P$3,SUMIF('TL01'!$C$238:$C$451,$C174,'TL01'!$J$238:$J$451),0),
IF('TL02'!$B$3=P$3,SUMIF('TL02'!$C$10:$C$224,$C174,'TL02'!$J$10:$J$224),0),
IF('TL02'!$B$229=P$3,SUMIF('TL02'!$C$238:$C$451,$C174,'TL02'!$J$238:$J$451),0),
IF('TL03'!$B$3=P$3,SUMIF('TL03'!$C$10:$C$224,$C174,'TL03'!$J$10:$J$224),0),
IF('TL03'!$B$229=P$3,SUMIF('TL03'!$C$238:$C$451,$C174,'TL03'!$J$238:$J$451),0),
IF('TL04'!$B$3=P$3,SUMIF('TL04'!$C$10:$C$224,$C174,'TL04'!$J$10:$J$224),0),
IF('TL04'!$B$229=P$3,SUMIF('TL04'!$C$238:$C$451,$C174,'TL04'!$J$238:$J$451),0),
IF('TL05'!$B$3=P$3,SUMIF('TL05'!$C$10:$C$224,$C174,'TL05'!$J$10:$J$224),0),
IF('TL05'!$B$229=P$3,SUMIF('TL05'!$C$238:$C$451,$C174,'TL05'!$J$238:$J$451),0),
IF('TL06'!$B$3=P$3,SUMIF('TL06'!$C$10:$C$224,$C174,'TL06'!$J$10:$J$224),0),
IF('TL06'!$B$229=P$3,SUMIF('TL06'!$C$238:$C$451,$C174,'TL06'!$J$238:$J$451),0),
IF('TL07'!$B$3=P$3,SUMIF('TL07'!$C$10:$C$224,$C174,'TL07'!$J$10:$J$224),0),
IF('TL07'!$B$229=P$3,SUMIF('TL07'!$C$238:$C$451,$C174,'TL07'!$J$238:$J$451),0),
IF('TL08'!$B$3=P$3,SUMIF('TL08'!$C$10:$C$224,$C174,'TL08'!$J$10:$J$224),0),
IF('TL08'!$B$229=P$3,SUMIF('TL08'!$C$238:$C$451,$C174,'TL08'!$J$238:$J$451),0),
IF('TL09'!$B$3=P$3,SUMIF('TL09'!$C$10:$C$224,$C174,'TL09'!$J$10:$J$224),0),
IF('TL09'!$B$229=P$3,SUMIF('TL09'!$C$238:$C$451,$C174,'TL09'!$J$238:$J$451),0),
IF('TL10'!$B$3=P$3,SUMIF('TL10'!$C$10:$C$224,$C174,'TL10'!$J$10:$J$224),0),
IF('TL10'!$B$229=P$3,SUMIF('TL10'!$C$238:$C$451,$C174,'TL10'!$J$238:$J$451),0),
IF('TL11'!$B$3=P$3,SUMIF('TL11'!$C$10:$C$224,$C174,'TL11'!$J$10:$J$224),0),
IF('TL11'!$B$229=P$3,SUMIF('TL11'!$C$238:$C$451,$C174,'TL11'!$J$238:$J$451),0),
IF('TL12'!$B$3=P$3,SUMIF('TL12'!$C$10:$C$224,$C174,'TL12'!$J$10:$J$224),0),
IF('TL12'!$B$229=P$3,SUMIF('TL12'!$C$238:$C$451,$C174,'TL12'!$J$238:$J$451),0),
IF('TL13'!$B$3=P$3,SUMIF('TL13'!$C$10:$C$224,$C174,'TL13'!$J$10:$J$224),0),
IF('TL13'!$B$229=P$3,SUMIF('TL13'!$C$238:$C$451,$C174,'TL13'!$J$238:$J$451),0),
IF('TL14'!$B$3=P$3,SUMIF('TL14'!$C$10:$C$224,$C174,'TL14'!$J$10:$J$224),0),
IF('TL14'!$B$229=P$3,SUMIF('TL14'!$C$238:$C$451,$C174,'TL14'!$J$238:$J$451),0),
IF('TL15'!$B$3=P$3,SUMIF('TL15'!$C$10:$C$224,$C174,'TL15'!$J$10:$J$224),0),
IF('TL15'!$B$229=P$3,SUMIF('TL15'!$C$238:$C$451,$C174,'TL15'!$J$238:$J$451),0),
IF('TL16'!$B$3=P$3,SUMIF('TL16'!$C$10:$C$224,$C174,'TL16'!$J$10:$J$224),0),
IF('TL16'!$B$229=P$3,SUMIF('TL16'!$C$238:$C$451,$C174,'TL16'!$J$238:$J$451),0),
IF('TL17'!$B$3=P$3,SUMIF('TL17'!$C$10:$C$224,$C174,'TL17'!$J$10:$J$224),0),
IF('TL17'!$B$229=P$3,SUMIF('TL17'!$C$238:$C$451,$C174,'TL17'!$J$238:$J$451),0),
IF('TL18'!$B$3=P$3,SUMIF('TL18'!$C$10:$C$224,$C174,'TL18'!$J$10:$J$224),0),
IF('TL18'!$B$229=P$3,SUMIF('TL18'!$C$238:$C$451,$C174,'TL18'!$J$238:$J$451),0),
IF('TL19'!$B$3=P$3,SUMIF('TL19'!$C$10:$C$224,$C174,'TL19'!$J$10:$J$224),0),
IF('TL19'!$B$229=P$3,SUMIF('TL19'!$C$238:$C$451,$C174,'TL19'!$J$238:$J$451),0)
),0)</f>
        <v/>
      </c>
      <c r="Q174" s="9">
        <f>IFERROR(SUM(
IF('TL01'!$B$3=Q$3,SUMIF('TL01'!$C$10:$C$224,$C174,'TL01'!$J$10:$J$224),0),
IF('TL01'!$B$229=Q$3,SUMIF('TL01'!$C$238:$C$451,$C174,'TL01'!$J$238:$J$451),0),
IF('TL02'!$B$3=Q$3,SUMIF('TL02'!$C$10:$C$224,$C174,'TL02'!$J$10:$J$224),0),
IF('TL02'!$B$229=Q$3,SUMIF('TL02'!$C$238:$C$451,$C174,'TL02'!$J$238:$J$451),0),
IF('TL03'!$B$3=Q$3,SUMIF('TL03'!$C$10:$C$224,$C174,'TL03'!$J$10:$J$224),0),
IF('TL03'!$B$229=Q$3,SUMIF('TL03'!$C$238:$C$451,$C174,'TL03'!$J$238:$J$451),0),
IF('TL04'!$B$3=Q$3,SUMIF('TL04'!$C$10:$C$224,$C174,'TL04'!$J$10:$J$224),0),
IF('TL04'!$B$229=Q$3,SUMIF('TL04'!$C$238:$C$451,$C174,'TL04'!$J$238:$J$451),0),
IF('TL05'!$B$3=Q$3,SUMIF('TL05'!$C$10:$C$224,$C174,'TL05'!$J$10:$J$224),0),
IF('TL05'!$B$229=Q$3,SUMIF('TL05'!$C$238:$C$451,$C174,'TL05'!$J$238:$J$451),0),
IF('TL06'!$B$3=Q$3,SUMIF('TL06'!$C$10:$C$224,$C174,'TL06'!$J$10:$J$224),0),
IF('TL06'!$B$229=Q$3,SUMIF('TL06'!$C$238:$C$451,$C174,'TL06'!$J$238:$J$451),0),
IF('TL07'!$B$3=Q$3,SUMIF('TL07'!$C$10:$C$224,$C174,'TL07'!$J$10:$J$224),0),
IF('TL07'!$B$229=Q$3,SUMIF('TL07'!$C$238:$C$451,$C174,'TL07'!$J$238:$J$451),0),
IF('TL08'!$B$3=Q$3,SUMIF('TL08'!$C$10:$C$224,$C174,'TL08'!$J$10:$J$224),0),
IF('TL08'!$B$229=Q$3,SUMIF('TL08'!$C$238:$C$451,$C174,'TL08'!$J$238:$J$451),0),
IF('TL09'!$B$3=Q$3,SUMIF('TL09'!$C$10:$C$224,$C174,'TL09'!$J$10:$J$224),0),
IF('TL09'!$B$229=Q$3,SUMIF('TL09'!$C$238:$C$451,$C174,'TL09'!$J$238:$J$451),0),
IF('TL10'!$B$3=Q$3,SUMIF('TL10'!$C$10:$C$224,$C174,'TL10'!$J$10:$J$224),0),
IF('TL10'!$B$229=Q$3,SUMIF('TL10'!$C$238:$C$451,$C174,'TL10'!$J$238:$J$451),0),
IF('TL11'!$B$3=Q$3,SUMIF('TL11'!$C$10:$C$224,$C174,'TL11'!$J$10:$J$224),0),
IF('TL11'!$B$229=Q$3,SUMIF('TL11'!$C$238:$C$451,$C174,'TL11'!$J$238:$J$451),0),
IF('TL12'!$B$3=Q$3,SUMIF('TL12'!$C$10:$C$224,$C174,'TL12'!$J$10:$J$224),0),
IF('TL12'!$B$229=Q$3,SUMIF('TL12'!$C$238:$C$451,$C174,'TL12'!$J$238:$J$451),0),
IF('TL13'!$B$3=Q$3,SUMIF('TL13'!$C$10:$C$224,$C174,'TL13'!$J$10:$J$224),0),
IF('TL13'!$B$229=Q$3,SUMIF('TL13'!$C$238:$C$451,$C174,'TL13'!$J$238:$J$451),0),
IF('TL14'!$B$3=Q$3,SUMIF('TL14'!$C$10:$C$224,$C174,'TL14'!$J$10:$J$224),0),
IF('TL14'!$B$229=Q$3,SUMIF('TL14'!$C$238:$C$451,$C174,'TL14'!$J$238:$J$451),0),
IF('TL15'!$B$3=Q$3,SUMIF('TL15'!$C$10:$C$224,$C174,'TL15'!$J$10:$J$224),0),
IF('TL15'!$B$229=Q$3,SUMIF('TL15'!$C$238:$C$451,$C174,'TL15'!$J$238:$J$451),0),
IF('TL16'!$B$3=Q$3,SUMIF('TL16'!$C$10:$C$224,$C174,'TL16'!$J$10:$J$224),0),
IF('TL16'!$B$229=Q$3,SUMIF('TL16'!$C$238:$C$451,$C174,'TL16'!$J$238:$J$451),0),
IF('TL17'!$B$3=Q$3,SUMIF('TL17'!$C$10:$C$224,$C174,'TL17'!$J$10:$J$224),0),
IF('TL17'!$B$229=Q$3,SUMIF('TL17'!$C$238:$C$451,$C174,'TL17'!$J$238:$J$451),0),
IF('TL18'!$B$3=Q$3,SUMIF('TL18'!$C$10:$C$224,$C174,'TL18'!$J$10:$J$224),0),
IF('TL18'!$B$229=Q$3,SUMIF('TL18'!$C$238:$C$451,$C174,'TL18'!$J$238:$J$451),0),
IF('TL19'!$B$3=Q$3,SUMIF('TL19'!$C$10:$C$224,$C174,'TL19'!$J$10:$J$224),0),
IF('TL19'!$B$229=Q$3,SUMIF('TL19'!$C$238:$C$451,$C174,'TL19'!$J$238:$J$451),0)
),0)</f>
        <v/>
      </c>
      <c r="R174" s="9">
        <f>IFERROR(
SUM(
SUMIF('TL01'!C:C,C174,'TL01'!J:J),
SUMIF('TL02'!C:C,C174,'TL02'!J:J),
SUMIF('TL03'!C:C,C174,'TL03'!J:J),
SUMIF('TL04'!C:C,C174,'TL04'!J:J),
SUMIF('TL05'!C:C,C174,'TL05'!J:J),
SUMIF('TL06'!C:C,C174,'TL06'!J:J),
SUMIF('TL07'!C:C,C174,'TL07'!J:J),
SUMIF('TL08'!C:C,C174,'TL08'!J:J),
SUMIF('TL09'!C:C,C174,'TL09'!J:J),
SUMIF('TL10'!C:C,C174,'TL10'!J:J),
SUMIF('TL11'!C:C,C174,'TL11'!J:J),
SUMIF('TL12'!C:C,C174,'TL12'!J:J),
SUMIF('TL13'!C:C,C174,'TL13'!J:J),
SUMIF('TL14'!C:C,C174,'TL14'!J:J),
SUMIF('TL15'!C:C,C174,'TL15'!J:J),
SUMIF('TL16'!C:C,C174,'TL16'!J:J),
SUMIF('TL17'!C:C,C174,'TL17'!J:J),
SUMIF('TL18'!C:C,C174,'TL18'!J:J),SUMIF('TL19'!C:C,C174,'TL19'!J:J))
,0)</f>
        <v/>
      </c>
      <c r="S174" s="17">
        <f>IFERROR(__xludf.DUMMYFUNCTION("IFERROR(VLOOKUP(C174,
IMPORTRANGE(""1wULbzX32WdYsx-lj2U3uUNBBe2INVIRDtcK0d-Dvl90"",
""26-27!C:G""),
5,
FALSE),
"""")"),212.64030000000002)</f>
        <v/>
      </c>
      <c r="T174" s="9" t="n"/>
      <c r="U174" s="92">
        <f>MAX(0,R174-T174)</f>
        <v/>
      </c>
      <c r="V174" s="93">
        <f>U174*S174</f>
        <v/>
      </c>
    </row>
    <row r="175" hidden="1" ht="15.75" customHeight="1" s="297">
      <c r="A175" s="94" t="inlineStr">
        <is>
          <t>ADAMA</t>
        </is>
      </c>
      <c r="B175" s="95" t="inlineStr">
        <is>
          <t>INSETICIDA</t>
        </is>
      </c>
      <c r="C175" s="96" t="inlineStr">
        <is>
          <t>RIMON SUPRA</t>
        </is>
      </c>
      <c r="D175" s="96" t="inlineStr">
        <is>
          <t>NOVALUROM</t>
        </is>
      </c>
      <c r="E175" s="96" t="n">
        <v>100</v>
      </c>
      <c r="F175" s="4" t="inlineStr">
        <is>
          <t>KG</t>
        </is>
      </c>
      <c r="G175" s="90">
        <f>HYPERLINK("https://www.google.com/search?q=" &amp; C175 &amp; "+bula+agrofit+pdf", "📄 Ver bula")</f>
        <v/>
      </c>
      <c r="H175" s="9">
        <f>IFERROR(__xludf.DUMMYFUNCTION("IFERROR(VLOOKUP(C175,
IMPORTRANGE(""1wULbzX32WdYsx-lj2U3uUNBBe2INVIRDtcK0d-Dvl90"",
""26-27!C:K""),
8,
FALSE),
"""")"),0.15)</f>
        <v/>
      </c>
      <c r="I175" s="97" t="inlineStr">
        <is>
          <t>1x20</t>
        </is>
      </c>
      <c r="J175" s="9">
        <f>IFERROR(SUM(
IF('TL01'!$B$3=J$3,SUMIF('TL01'!$C$10:$C$224,$C175,'TL01'!$J$10:$J$224),0),
IF('TL01'!$B$229=J$3,SUMIF('TL01'!$C$238:$C$451,$C175,'TL01'!$J$238:$J$451),0),
IF('TL02'!$B$3=J$3,SUMIF('TL02'!$C$10:$C$224,$C175,'TL02'!$J$10:$J$224),0),
IF('TL02'!$B$229=J$3,SUMIF('TL02'!$C$238:$C$451,$C175,'TL02'!$J$238:$J$451),0),
IF('TL03'!$B$3=J$3,SUMIF('TL03'!$C$10:$C$224,$C175,'TL03'!$J$10:$J$224),0),
IF('TL03'!$B$229=J$3,SUMIF('TL03'!$C$238:$C$451,$C175,'TL03'!$J$238:$J$451),0),
IF('TL04'!$B$3=J$3,SUMIF('TL04'!$C$10:$C$224,$C175,'TL04'!$J$10:$J$224),0),
IF('TL04'!$B$229=J$3,SUMIF('TL04'!$C$238:$C$451,$C175,'TL04'!$J$238:$J$451),0),
IF('TL05'!$B$3=J$3,SUMIF('TL05'!$C$10:$C$224,$C175,'TL05'!$J$10:$J$224),0),
IF('TL05'!$B$229=J$3,SUMIF('TL05'!$C$238:$C$451,$C175,'TL05'!$J$238:$J$451),0),
IF('TL06'!$B$3=J$3,SUMIF('TL06'!$C$10:$C$224,$C175,'TL06'!$J$10:$J$224),0),
IF('TL06'!$B$229=J$3,SUMIF('TL06'!$C$238:$C$451,$C175,'TL06'!$J$238:$J$451),0),
IF('TL07'!$B$3=J$3,SUMIF('TL07'!$C$10:$C$224,$C175,'TL07'!$J$10:$J$224),0),
IF('TL07'!$B$229=J$3,SUMIF('TL07'!$C$238:$C$451,$C175,'TL07'!$J$238:$J$451),0),
IF('TL08'!$B$3=J$3,SUMIF('TL08'!$C$10:$C$224,$C175,'TL08'!$J$10:$J$224),0),
IF('TL08'!$B$229=J$3,SUMIF('TL08'!$C$238:$C$451,$C175,'TL08'!$J$238:$J$451),0),
IF('TL09'!$B$3=J$3,SUMIF('TL09'!$C$10:$C$224,$C175,'TL09'!$J$10:$J$224),0),
IF('TL09'!$B$229=J$3,SUMIF('TL09'!$C$238:$C$451,$C175,'TL09'!$J$238:$J$451),0),
IF('TL10'!$B$3=J$3,SUMIF('TL10'!$C$10:$C$224,$C175,'TL10'!$J$10:$J$224),0),
IF('TL10'!$B$229=J$3,SUMIF('TL10'!$C$238:$C$451,$C175,'TL10'!$J$238:$J$451),0),
IF('TL11'!$B$3=J$3,SUMIF('TL11'!$C$10:$C$224,$C175,'TL11'!$J$10:$J$224),0),
IF('TL11'!$B$229=J$3,SUMIF('TL11'!$C$238:$C$451,$C175,'TL11'!$J$238:$J$451),0),
IF('TL12'!$B$3=J$3,SUMIF('TL12'!$C$10:$C$224,$C175,'TL12'!$J$10:$J$224),0),
IF('TL12'!$B$229=J$3,SUMIF('TL12'!$C$238:$C$451,$C175,'TL12'!$J$238:$J$451),0),
IF('TL13'!$B$3=J$3,SUMIF('TL13'!$C$10:$C$224,$C175,'TL13'!$J$10:$J$224),0),
IF('TL13'!$B$229=J$3,SUMIF('TL13'!$C$238:$C$451,$C175,'TL13'!$J$238:$J$451),0),
IF('TL14'!$B$3=J$3,SUMIF('TL14'!$C$10:$C$224,$C175,'TL14'!$J$10:$J$224),0),
IF('TL14'!$B$229=J$3,SUMIF('TL14'!$C$238:$C$451,$C175,'TL14'!$J$238:$J$451),0),
IF('TL15'!$B$3=J$3,SUMIF('TL15'!$C$10:$C$224,$C175,'TL15'!$J$10:$J$224),0),
IF('TL15'!$B$229=J$3,SUMIF('TL15'!$C$238:$C$451,$C175,'TL15'!$J$238:$J$451),0),
IF('TL16'!$B$3=J$3,SUMIF('TL16'!$C$10:$C$224,$C175,'TL16'!$J$10:$J$224),0),
IF('TL16'!$B$229=J$3,SUMIF('TL16'!$C$238:$C$451,$C175,'TL16'!$J$238:$J$451),0),
IF('TL17'!$B$3=J$3,SUMIF('TL17'!$C$10:$C$224,$C175,'TL17'!$J$10:$J$224),0),
IF('TL17'!$B$229=J$3,SUMIF('TL17'!$C$238:$C$451,$C175,'TL17'!$J$238:$J$451),0),
IF('TL18'!$B$3=J$3,SUMIF('TL18'!$C$10:$C$224,$C175,'TL18'!$J$10:$J$224),0),
IF('TL18'!$B$229=J$3,SUMIF('TL18'!$C$238:$C$451,$C175,'TL18'!$J$238:$J$451),0),
IF('TL19'!$B$3=J$3,SUMIF('TL19'!$C$10:$C$224,$C175,'TL19'!$J$10:$J$224),0),
IF('TL19'!$B$229=J$3,SUMIF('TL19'!$C$238:$C$451,$C175,'TL19'!$J$238:$J$451),0)
),0)</f>
        <v/>
      </c>
      <c r="K175" s="9">
        <f>IFERROR(SUM(
IF('TL01'!$B$3=K$3,SUMIF('TL01'!$C$10:$C$224,$C175,'TL01'!$J$10:$J$224),0),
IF('TL01'!$B$229=K$3,SUMIF('TL01'!$C$238:$C$451,$C175,'TL01'!$J$238:$J$451),0),
IF('TL02'!$B$3=K$3,SUMIF('TL02'!$C$10:$C$224,$C175,'TL02'!$J$10:$J$224),0),
IF('TL02'!$B$229=K$3,SUMIF('TL02'!$C$238:$C$451,$C175,'TL02'!$J$238:$J$451),0),
IF('TL03'!$B$3=K$3,SUMIF('TL03'!$C$10:$C$224,$C175,'TL03'!$J$10:$J$224),0),
IF('TL03'!$B$229=K$3,SUMIF('TL03'!$C$238:$C$451,$C175,'TL03'!$J$238:$J$451),0),
IF('TL04'!$B$3=K$3,SUMIF('TL04'!$C$10:$C$224,$C175,'TL04'!$J$10:$J$224),0),
IF('TL04'!$B$229=K$3,SUMIF('TL04'!$C$238:$C$451,$C175,'TL04'!$J$238:$J$451),0),
IF('TL05'!$B$3=K$3,SUMIF('TL05'!$C$10:$C$224,$C175,'TL05'!$J$10:$J$224),0),
IF('TL05'!$B$229=K$3,SUMIF('TL05'!$C$238:$C$451,$C175,'TL05'!$J$238:$J$451),0),
IF('TL06'!$B$3=K$3,SUMIF('TL06'!$C$10:$C$224,$C175,'TL06'!$J$10:$J$224),0),
IF('TL06'!$B$229=K$3,SUMIF('TL06'!$C$238:$C$451,$C175,'TL06'!$J$238:$J$451),0),
IF('TL07'!$B$3=K$3,SUMIF('TL07'!$C$10:$C$224,$C175,'TL07'!$J$10:$J$224),0),
IF('TL07'!$B$229=K$3,SUMIF('TL07'!$C$238:$C$451,$C175,'TL07'!$J$238:$J$451),0),
IF('TL08'!$B$3=K$3,SUMIF('TL08'!$C$10:$C$224,$C175,'TL08'!$J$10:$J$224),0),
IF('TL08'!$B$229=K$3,SUMIF('TL08'!$C$238:$C$451,$C175,'TL08'!$J$238:$J$451),0),
IF('TL09'!$B$3=K$3,SUMIF('TL09'!$C$10:$C$224,$C175,'TL09'!$J$10:$J$224),0),
IF('TL09'!$B$229=K$3,SUMIF('TL09'!$C$238:$C$451,$C175,'TL09'!$J$238:$J$451),0),
IF('TL10'!$B$3=K$3,SUMIF('TL10'!$C$10:$C$224,$C175,'TL10'!$J$10:$J$224),0),
IF('TL10'!$B$229=K$3,SUMIF('TL10'!$C$238:$C$451,$C175,'TL10'!$J$238:$J$451),0),
IF('TL11'!$B$3=K$3,SUMIF('TL11'!$C$10:$C$224,$C175,'TL11'!$J$10:$J$224),0),
IF('TL11'!$B$229=K$3,SUMIF('TL11'!$C$238:$C$451,$C175,'TL11'!$J$238:$J$451),0),
IF('TL12'!$B$3=K$3,SUMIF('TL12'!$C$10:$C$224,$C175,'TL12'!$J$10:$J$224),0),
IF('TL12'!$B$229=K$3,SUMIF('TL12'!$C$238:$C$451,$C175,'TL12'!$J$238:$J$451),0),
IF('TL13'!$B$3=K$3,SUMIF('TL13'!$C$10:$C$224,$C175,'TL13'!$J$10:$J$224),0),
IF('TL13'!$B$229=K$3,SUMIF('TL13'!$C$238:$C$451,$C175,'TL13'!$J$238:$J$451),0),
IF('TL14'!$B$3=K$3,SUMIF('TL14'!$C$10:$C$224,$C175,'TL14'!$J$10:$J$224),0),
IF('TL14'!$B$229=K$3,SUMIF('TL14'!$C$238:$C$451,$C175,'TL14'!$J$238:$J$451),0),
IF('TL15'!$B$3=K$3,SUMIF('TL15'!$C$10:$C$224,$C175,'TL15'!$J$10:$J$224),0),
IF('TL15'!$B$229=K$3,SUMIF('TL15'!$C$238:$C$451,$C175,'TL15'!$J$238:$J$451),0),
IF('TL16'!$B$3=K$3,SUMIF('TL16'!$C$10:$C$224,$C175,'TL16'!$J$10:$J$224),0),
IF('TL16'!$B$229=K$3,SUMIF('TL16'!$C$238:$C$451,$C175,'TL16'!$J$238:$J$451),0),
IF('TL17'!$B$3=K$3,SUMIF('TL17'!$C$10:$C$224,$C175,'TL17'!$J$10:$J$224),0),
IF('TL17'!$B$229=K$3,SUMIF('TL17'!$C$238:$C$451,$C175,'TL17'!$J$238:$J$451),0),
IF('TL18'!$B$3=K$3,SUMIF('TL18'!$C$10:$C$224,$C175,'TL18'!$J$10:$J$224),0),
IF('TL18'!$B$229=K$3,SUMIF('TL18'!$C$238:$C$451,$C175,'TL18'!$J$238:$J$451),0),
IF('TL19'!$B$3=K$3,SUMIF('TL19'!$C$10:$C$224,$C175,'TL19'!$J$10:$J$224),0),
IF('TL19'!$B$229=K$3,SUMIF('TL19'!$C$238:$C$451,$C175,'TL19'!$J$238:$J$451),0)
),0)</f>
        <v/>
      </c>
      <c r="L175" s="9">
        <f>IFERROR(SUM(
IF('TL01'!$B$3=L$3,SUMIF('TL01'!$C$10:$C$224,$C175,'TL01'!$J$10:$J$224),0),
IF('TL01'!$B$229=L$3,SUMIF('TL01'!$C$238:$C$451,$C175,'TL01'!$J$238:$J$451),0),
IF('TL02'!$B$3=L$3,SUMIF('TL02'!$C$10:$C$224,$C175,'TL02'!$J$10:$J$224),0),
IF('TL02'!$B$229=L$3,SUMIF('TL02'!$C$238:$C$451,$C175,'TL02'!$J$238:$J$451),0),
IF('TL03'!$B$3=L$3,SUMIF('TL03'!$C$10:$C$224,$C175,'TL03'!$J$10:$J$224),0),
IF('TL03'!$B$229=L$3,SUMIF('TL03'!$C$238:$C$451,$C175,'TL03'!$J$238:$J$451),0),
IF('TL04'!$B$3=L$3,SUMIF('TL04'!$C$10:$C$224,$C175,'TL04'!$J$10:$J$224),0),
IF('TL04'!$B$229=L$3,SUMIF('TL04'!$C$238:$C$451,$C175,'TL04'!$J$238:$J$451),0),
IF('TL05'!$B$3=L$3,SUMIF('TL05'!$C$10:$C$224,$C175,'TL05'!$J$10:$J$224),0),
IF('TL05'!$B$229=L$3,SUMIF('TL05'!$C$238:$C$451,$C175,'TL05'!$J$238:$J$451),0),
IF('TL06'!$B$3=L$3,SUMIF('TL06'!$C$10:$C$224,$C175,'TL06'!$J$10:$J$224),0),
IF('TL06'!$B$229=L$3,SUMIF('TL06'!$C$238:$C$451,$C175,'TL06'!$J$238:$J$451),0),
IF('TL07'!$B$3=L$3,SUMIF('TL07'!$C$10:$C$224,$C175,'TL07'!$J$10:$J$224),0),
IF('TL07'!$B$229=L$3,SUMIF('TL07'!$C$238:$C$451,$C175,'TL07'!$J$238:$J$451),0),
IF('TL08'!$B$3=L$3,SUMIF('TL08'!$C$10:$C$224,$C175,'TL08'!$J$10:$J$224),0),
IF('TL08'!$B$229=L$3,SUMIF('TL08'!$C$238:$C$451,$C175,'TL08'!$J$238:$J$451),0),
IF('TL09'!$B$3=L$3,SUMIF('TL09'!$C$10:$C$224,$C175,'TL09'!$J$10:$J$224),0),
IF('TL09'!$B$229=L$3,SUMIF('TL09'!$C$238:$C$451,$C175,'TL09'!$J$238:$J$451),0),
IF('TL10'!$B$3=L$3,SUMIF('TL10'!$C$10:$C$224,$C175,'TL10'!$J$10:$J$224),0),
IF('TL10'!$B$229=L$3,SUMIF('TL10'!$C$238:$C$451,$C175,'TL10'!$J$238:$J$451),0),
IF('TL11'!$B$3=L$3,SUMIF('TL11'!$C$10:$C$224,$C175,'TL11'!$J$10:$J$224),0),
IF('TL11'!$B$229=L$3,SUMIF('TL11'!$C$238:$C$451,$C175,'TL11'!$J$238:$J$451),0),
IF('TL12'!$B$3=L$3,SUMIF('TL12'!$C$10:$C$224,$C175,'TL12'!$J$10:$J$224),0),
IF('TL12'!$B$229=L$3,SUMIF('TL12'!$C$238:$C$451,$C175,'TL12'!$J$238:$J$451),0),
IF('TL13'!$B$3=L$3,SUMIF('TL13'!$C$10:$C$224,$C175,'TL13'!$J$10:$J$224),0),
IF('TL13'!$B$229=L$3,SUMIF('TL13'!$C$238:$C$451,$C175,'TL13'!$J$238:$J$451),0),
IF('TL14'!$B$3=L$3,SUMIF('TL14'!$C$10:$C$224,$C175,'TL14'!$J$10:$J$224),0),
IF('TL14'!$B$229=L$3,SUMIF('TL14'!$C$238:$C$451,$C175,'TL14'!$J$238:$J$451),0),
IF('TL15'!$B$3=L$3,SUMIF('TL15'!$C$10:$C$224,$C175,'TL15'!$J$10:$J$224),0),
IF('TL15'!$B$229=L$3,SUMIF('TL15'!$C$238:$C$451,$C175,'TL15'!$J$238:$J$451),0),
IF('TL16'!$B$3=L$3,SUMIF('TL16'!$C$10:$C$224,$C175,'TL16'!$J$10:$J$224),0),
IF('TL16'!$B$229=L$3,SUMIF('TL16'!$C$238:$C$451,$C175,'TL16'!$J$238:$J$451),0),
IF('TL17'!$B$3=L$3,SUMIF('TL17'!$C$10:$C$224,$C175,'TL17'!$J$10:$J$224),0),
IF('TL17'!$B$229=L$3,SUMIF('TL17'!$C$238:$C$451,$C175,'TL17'!$J$238:$J$451),0),
IF('TL18'!$B$3=L$3,SUMIF('TL18'!$C$10:$C$224,$C175,'TL18'!$J$10:$J$224),0),
IF('TL18'!$B$229=L$3,SUMIF('TL18'!$C$238:$C$451,$C175,'TL18'!$J$238:$J$451),0),
IF('TL19'!$B$3=L$3,SUMIF('TL19'!$C$10:$C$224,$C175,'TL19'!$J$10:$J$224),0),
IF('TL19'!$B$229=L$3,SUMIF('TL19'!$C$238:$C$451,$C175,'TL19'!$J$238:$J$451),0)
),0)</f>
        <v/>
      </c>
      <c r="M175" s="9">
        <f>IFERROR(SUM(
IF('TL01'!$B$3=M$3,SUMIF('TL01'!$C$10:$C$224,$C175,'TL01'!$J$10:$J$224),0),
IF('TL01'!$B$229=M$3,SUMIF('TL01'!$C$238:$C$451,$C175,'TL01'!$J$238:$J$451),0),
IF('TL02'!$B$3=M$3,SUMIF('TL02'!$C$10:$C$224,$C175,'TL02'!$J$10:$J$224),0),
IF('TL02'!$B$229=M$3,SUMIF('TL02'!$C$238:$C$451,$C175,'TL02'!$J$238:$J$451),0),
IF('TL03'!$B$3=M$3,SUMIF('TL03'!$C$10:$C$224,$C175,'TL03'!$J$10:$J$224),0),
IF('TL03'!$B$229=M$3,SUMIF('TL03'!$C$238:$C$451,$C175,'TL03'!$J$238:$J$451),0),
IF('TL04'!$B$3=M$3,SUMIF('TL04'!$C$10:$C$224,$C175,'TL04'!$J$10:$J$224),0),
IF('TL04'!$B$229=M$3,SUMIF('TL04'!$C$238:$C$451,$C175,'TL04'!$J$238:$J$451),0),
IF('TL05'!$B$3=M$3,SUMIF('TL05'!$C$10:$C$224,$C175,'TL05'!$J$10:$J$224),0),
IF('TL05'!$B$229=M$3,SUMIF('TL05'!$C$238:$C$451,$C175,'TL05'!$J$238:$J$451),0),
IF('TL06'!$B$3=M$3,SUMIF('TL06'!$C$10:$C$224,$C175,'TL06'!$J$10:$J$224),0),
IF('TL06'!$B$229=M$3,SUMIF('TL06'!$C$238:$C$451,$C175,'TL06'!$J$238:$J$451),0),
IF('TL07'!$B$3=M$3,SUMIF('TL07'!$C$10:$C$224,$C175,'TL07'!$J$10:$J$224),0),
IF('TL07'!$B$229=M$3,SUMIF('TL07'!$C$238:$C$451,$C175,'TL07'!$J$238:$J$451),0),
IF('TL08'!$B$3=M$3,SUMIF('TL08'!$C$10:$C$224,$C175,'TL08'!$J$10:$J$224),0),
IF('TL08'!$B$229=M$3,SUMIF('TL08'!$C$238:$C$451,$C175,'TL08'!$J$238:$J$451),0),
IF('TL09'!$B$3=M$3,SUMIF('TL09'!$C$10:$C$224,$C175,'TL09'!$J$10:$J$224),0),
IF('TL09'!$B$229=M$3,SUMIF('TL09'!$C$238:$C$451,$C175,'TL09'!$J$238:$J$451),0),
IF('TL10'!$B$3=M$3,SUMIF('TL10'!$C$10:$C$224,$C175,'TL10'!$J$10:$J$224),0),
IF('TL10'!$B$229=M$3,SUMIF('TL10'!$C$238:$C$451,$C175,'TL10'!$J$238:$J$451),0),
IF('TL11'!$B$3=M$3,SUMIF('TL11'!$C$10:$C$224,$C175,'TL11'!$J$10:$J$224),0),
IF('TL11'!$B$229=M$3,SUMIF('TL11'!$C$238:$C$451,$C175,'TL11'!$J$238:$J$451),0),
IF('TL12'!$B$3=M$3,SUMIF('TL12'!$C$10:$C$224,$C175,'TL12'!$J$10:$J$224),0),
IF('TL12'!$B$229=M$3,SUMIF('TL12'!$C$238:$C$451,$C175,'TL12'!$J$238:$J$451),0),
IF('TL13'!$B$3=M$3,SUMIF('TL13'!$C$10:$C$224,$C175,'TL13'!$J$10:$J$224),0),
IF('TL13'!$B$229=M$3,SUMIF('TL13'!$C$238:$C$451,$C175,'TL13'!$J$238:$J$451),0),
IF('TL14'!$B$3=M$3,SUMIF('TL14'!$C$10:$C$224,$C175,'TL14'!$J$10:$J$224),0),
IF('TL14'!$B$229=M$3,SUMIF('TL14'!$C$238:$C$451,$C175,'TL14'!$J$238:$J$451),0),
IF('TL15'!$B$3=M$3,SUMIF('TL15'!$C$10:$C$224,$C175,'TL15'!$J$10:$J$224),0),
IF('TL15'!$B$229=M$3,SUMIF('TL15'!$C$238:$C$451,$C175,'TL15'!$J$238:$J$451),0),
IF('TL16'!$B$3=M$3,SUMIF('TL16'!$C$10:$C$224,$C175,'TL16'!$J$10:$J$224),0),
IF('TL16'!$B$229=M$3,SUMIF('TL16'!$C$238:$C$451,$C175,'TL16'!$J$238:$J$451),0),
IF('TL17'!$B$3=M$3,SUMIF('TL17'!$C$10:$C$224,$C175,'TL17'!$J$10:$J$224),0),
IF('TL17'!$B$229=M$3,SUMIF('TL17'!$C$238:$C$451,$C175,'TL17'!$J$238:$J$451),0),
IF('TL18'!$B$3=M$3,SUMIF('TL18'!$C$10:$C$224,$C175,'TL18'!$J$10:$J$224),0),
IF('TL18'!$B$229=M$3,SUMIF('TL18'!$C$238:$C$451,$C175,'TL18'!$J$238:$J$451),0),
IF('TL19'!$B$3=M$3,SUMIF('TL19'!$C$10:$C$224,$C175,'TL19'!$J$10:$J$224),0),
IF('TL19'!$B$229=M$3,SUMIF('TL19'!$C$238:$C$451,$C175,'TL19'!$J$238:$J$451),0)
),0)</f>
        <v/>
      </c>
      <c r="N175" s="9">
        <f>IFERROR(SUM(
IF('TL01'!$B$3=N$3,SUMIF('TL01'!$C$10:$C$224,$C175,'TL01'!$J$10:$J$224),0),
IF('TL01'!$B$229=N$3,SUMIF('TL01'!$C$238:$C$451,$C175,'TL01'!$J$238:$J$451),0),
IF('TL02'!$B$3=N$3,SUMIF('TL02'!$C$10:$C$224,$C175,'TL02'!$J$10:$J$224),0),
IF('TL02'!$B$229=N$3,SUMIF('TL02'!$C$238:$C$451,$C175,'TL02'!$J$238:$J$451),0),
IF('TL03'!$B$3=N$3,SUMIF('TL03'!$C$10:$C$224,$C175,'TL03'!$J$10:$J$224),0),
IF('TL03'!$B$229=N$3,SUMIF('TL03'!$C$238:$C$451,$C175,'TL03'!$J$238:$J$451),0),
IF('TL04'!$B$3=N$3,SUMIF('TL04'!$C$10:$C$224,$C175,'TL04'!$J$10:$J$224),0),
IF('TL04'!$B$229=N$3,SUMIF('TL04'!$C$238:$C$451,$C175,'TL04'!$J$238:$J$451),0),
IF('TL05'!$B$3=N$3,SUMIF('TL05'!$C$10:$C$224,$C175,'TL05'!$J$10:$J$224),0),
IF('TL05'!$B$229=N$3,SUMIF('TL05'!$C$238:$C$451,$C175,'TL05'!$J$238:$J$451),0),
IF('TL06'!$B$3=N$3,SUMIF('TL06'!$C$10:$C$224,$C175,'TL06'!$J$10:$J$224),0),
IF('TL06'!$B$229=N$3,SUMIF('TL06'!$C$238:$C$451,$C175,'TL06'!$J$238:$J$451),0),
IF('TL07'!$B$3=N$3,SUMIF('TL07'!$C$10:$C$224,$C175,'TL07'!$J$10:$J$224),0),
IF('TL07'!$B$229=N$3,SUMIF('TL07'!$C$238:$C$451,$C175,'TL07'!$J$238:$J$451),0),
IF('TL08'!$B$3=N$3,SUMIF('TL08'!$C$10:$C$224,$C175,'TL08'!$J$10:$J$224),0),
IF('TL08'!$B$229=N$3,SUMIF('TL08'!$C$238:$C$451,$C175,'TL08'!$J$238:$J$451),0),
IF('TL09'!$B$3=N$3,SUMIF('TL09'!$C$10:$C$224,$C175,'TL09'!$J$10:$J$224),0),
IF('TL09'!$B$229=N$3,SUMIF('TL09'!$C$238:$C$451,$C175,'TL09'!$J$238:$J$451),0),
IF('TL10'!$B$3=N$3,SUMIF('TL10'!$C$10:$C$224,$C175,'TL10'!$J$10:$J$224),0),
IF('TL10'!$B$229=N$3,SUMIF('TL10'!$C$238:$C$451,$C175,'TL10'!$J$238:$J$451),0),
IF('TL11'!$B$3=N$3,SUMIF('TL11'!$C$10:$C$224,$C175,'TL11'!$J$10:$J$224),0),
IF('TL11'!$B$229=N$3,SUMIF('TL11'!$C$238:$C$451,$C175,'TL11'!$J$238:$J$451),0),
IF('TL12'!$B$3=N$3,SUMIF('TL12'!$C$10:$C$224,$C175,'TL12'!$J$10:$J$224),0),
IF('TL12'!$B$229=N$3,SUMIF('TL12'!$C$238:$C$451,$C175,'TL12'!$J$238:$J$451),0),
IF('TL13'!$B$3=N$3,SUMIF('TL13'!$C$10:$C$224,$C175,'TL13'!$J$10:$J$224),0),
IF('TL13'!$B$229=N$3,SUMIF('TL13'!$C$238:$C$451,$C175,'TL13'!$J$238:$J$451),0),
IF('TL14'!$B$3=N$3,SUMIF('TL14'!$C$10:$C$224,$C175,'TL14'!$J$10:$J$224),0),
IF('TL14'!$B$229=N$3,SUMIF('TL14'!$C$238:$C$451,$C175,'TL14'!$J$238:$J$451),0),
IF('TL15'!$B$3=N$3,SUMIF('TL15'!$C$10:$C$224,$C175,'TL15'!$J$10:$J$224),0),
IF('TL15'!$B$229=N$3,SUMIF('TL15'!$C$238:$C$451,$C175,'TL15'!$J$238:$J$451),0),
IF('TL16'!$B$3=N$3,SUMIF('TL16'!$C$10:$C$224,$C175,'TL16'!$J$10:$J$224),0),
IF('TL16'!$B$229=N$3,SUMIF('TL16'!$C$238:$C$451,$C175,'TL16'!$J$238:$J$451),0),
IF('TL17'!$B$3=N$3,SUMIF('TL17'!$C$10:$C$224,$C175,'TL17'!$J$10:$J$224),0),
IF('TL17'!$B$229=N$3,SUMIF('TL17'!$C$238:$C$451,$C175,'TL17'!$J$238:$J$451),0),
IF('TL18'!$B$3=N$3,SUMIF('TL18'!$C$10:$C$224,$C175,'TL18'!$J$10:$J$224),0),
IF('TL18'!$B$229=N$3,SUMIF('TL18'!$C$238:$C$451,$C175,'TL18'!$J$238:$J$451),0),
IF('TL19'!$B$3=N$3,SUMIF('TL19'!$C$10:$C$224,$C175,'TL19'!$J$10:$J$224),0),
IF('TL19'!$B$229=N$3,SUMIF('TL19'!$C$238:$C$451,$C175,'TL19'!$J$238:$J$451),0)
),0)</f>
        <v/>
      </c>
      <c r="O175" s="9">
        <f>IFERROR(SUM(
IF('TL01'!$B$3=O$3,SUMIF('TL01'!$C$10:$C$224,$C175,'TL01'!$J$10:$J$224),0),
IF('TL01'!$B$229=O$3,SUMIF('TL01'!$C$238:$C$451,$C175,'TL01'!$J$238:$J$451),0),
IF('TL02'!$B$3=O$3,SUMIF('TL02'!$C$10:$C$224,$C175,'TL02'!$J$10:$J$224),0),
IF('TL02'!$B$229=O$3,SUMIF('TL02'!$C$238:$C$451,$C175,'TL02'!$J$238:$J$451),0),
IF('TL03'!$B$3=O$3,SUMIF('TL03'!$C$10:$C$224,$C175,'TL03'!$J$10:$J$224),0),
IF('TL03'!$B$229=O$3,SUMIF('TL03'!$C$238:$C$451,$C175,'TL03'!$J$238:$J$451),0),
IF('TL04'!$B$3=O$3,SUMIF('TL04'!$C$10:$C$224,$C175,'TL04'!$J$10:$J$224),0),
IF('TL04'!$B$229=O$3,SUMIF('TL04'!$C$238:$C$451,$C175,'TL04'!$J$238:$J$451),0),
IF('TL05'!$B$3=O$3,SUMIF('TL05'!$C$10:$C$224,$C175,'TL05'!$J$10:$J$224),0),
IF('TL05'!$B$229=O$3,SUMIF('TL05'!$C$238:$C$451,$C175,'TL05'!$J$238:$J$451),0),
IF('TL06'!$B$3=O$3,SUMIF('TL06'!$C$10:$C$224,$C175,'TL06'!$J$10:$J$224),0),
IF('TL06'!$B$229=O$3,SUMIF('TL06'!$C$238:$C$451,$C175,'TL06'!$J$238:$J$451),0),
IF('TL07'!$B$3=O$3,SUMIF('TL07'!$C$10:$C$224,$C175,'TL07'!$J$10:$J$224),0),
IF('TL07'!$B$229=O$3,SUMIF('TL07'!$C$238:$C$451,$C175,'TL07'!$J$238:$J$451),0),
IF('TL08'!$B$3=O$3,SUMIF('TL08'!$C$10:$C$224,$C175,'TL08'!$J$10:$J$224),0),
IF('TL08'!$B$229=O$3,SUMIF('TL08'!$C$238:$C$451,$C175,'TL08'!$J$238:$J$451),0),
IF('TL09'!$B$3=O$3,SUMIF('TL09'!$C$10:$C$224,$C175,'TL09'!$J$10:$J$224),0),
IF('TL09'!$B$229=O$3,SUMIF('TL09'!$C$238:$C$451,$C175,'TL09'!$J$238:$J$451),0),
IF('TL10'!$B$3=O$3,SUMIF('TL10'!$C$10:$C$224,$C175,'TL10'!$J$10:$J$224),0),
IF('TL10'!$B$229=O$3,SUMIF('TL10'!$C$238:$C$451,$C175,'TL10'!$J$238:$J$451),0),
IF('TL11'!$B$3=O$3,SUMIF('TL11'!$C$10:$C$224,$C175,'TL11'!$J$10:$J$224),0),
IF('TL11'!$B$229=O$3,SUMIF('TL11'!$C$238:$C$451,$C175,'TL11'!$J$238:$J$451),0),
IF('TL12'!$B$3=O$3,SUMIF('TL12'!$C$10:$C$224,$C175,'TL12'!$J$10:$J$224),0),
IF('TL12'!$B$229=O$3,SUMIF('TL12'!$C$238:$C$451,$C175,'TL12'!$J$238:$J$451),0),
IF('TL13'!$B$3=O$3,SUMIF('TL13'!$C$10:$C$224,$C175,'TL13'!$J$10:$J$224),0),
IF('TL13'!$B$229=O$3,SUMIF('TL13'!$C$238:$C$451,$C175,'TL13'!$J$238:$J$451),0),
IF('TL14'!$B$3=O$3,SUMIF('TL14'!$C$10:$C$224,$C175,'TL14'!$J$10:$J$224),0),
IF('TL14'!$B$229=O$3,SUMIF('TL14'!$C$238:$C$451,$C175,'TL14'!$J$238:$J$451),0),
IF('TL15'!$B$3=O$3,SUMIF('TL15'!$C$10:$C$224,$C175,'TL15'!$J$10:$J$224),0),
IF('TL15'!$B$229=O$3,SUMIF('TL15'!$C$238:$C$451,$C175,'TL15'!$J$238:$J$451),0),
IF('TL16'!$B$3=O$3,SUMIF('TL16'!$C$10:$C$224,$C175,'TL16'!$J$10:$J$224),0),
IF('TL16'!$B$229=O$3,SUMIF('TL16'!$C$238:$C$451,$C175,'TL16'!$J$238:$J$451),0),
IF('TL17'!$B$3=O$3,SUMIF('TL17'!$C$10:$C$224,$C175,'TL17'!$J$10:$J$224),0),
IF('TL17'!$B$229=O$3,SUMIF('TL17'!$C$238:$C$451,$C175,'TL17'!$J$238:$J$451),0),
IF('TL18'!$B$3=O$3,SUMIF('TL18'!$C$10:$C$224,$C175,'TL18'!$J$10:$J$224),0),
IF('TL18'!$B$229=O$3,SUMIF('TL18'!$C$238:$C$451,$C175,'TL18'!$J$238:$J$451),0),
IF('TL19'!$B$3=O$3,SUMIF('TL19'!$C$10:$C$224,$C175,'TL19'!$J$10:$J$224),0),
IF('TL19'!$B$229=O$3,SUMIF('TL19'!$C$238:$C$451,$C175,'TL19'!$J$238:$J$451),0)
),0)</f>
        <v/>
      </c>
      <c r="P175" s="9">
        <f>IFERROR(SUM(
IF('TL01'!$B$3=P$3,SUMIF('TL01'!$C$10:$C$224,$C175,'TL01'!$J$10:$J$224),0),
IF('TL01'!$B$229=P$3,SUMIF('TL01'!$C$238:$C$451,$C175,'TL01'!$J$238:$J$451),0),
IF('TL02'!$B$3=P$3,SUMIF('TL02'!$C$10:$C$224,$C175,'TL02'!$J$10:$J$224),0),
IF('TL02'!$B$229=P$3,SUMIF('TL02'!$C$238:$C$451,$C175,'TL02'!$J$238:$J$451),0),
IF('TL03'!$B$3=P$3,SUMIF('TL03'!$C$10:$C$224,$C175,'TL03'!$J$10:$J$224),0),
IF('TL03'!$B$229=P$3,SUMIF('TL03'!$C$238:$C$451,$C175,'TL03'!$J$238:$J$451),0),
IF('TL04'!$B$3=P$3,SUMIF('TL04'!$C$10:$C$224,$C175,'TL04'!$J$10:$J$224),0),
IF('TL04'!$B$229=P$3,SUMIF('TL04'!$C$238:$C$451,$C175,'TL04'!$J$238:$J$451),0),
IF('TL05'!$B$3=P$3,SUMIF('TL05'!$C$10:$C$224,$C175,'TL05'!$J$10:$J$224),0),
IF('TL05'!$B$229=P$3,SUMIF('TL05'!$C$238:$C$451,$C175,'TL05'!$J$238:$J$451),0),
IF('TL06'!$B$3=P$3,SUMIF('TL06'!$C$10:$C$224,$C175,'TL06'!$J$10:$J$224),0),
IF('TL06'!$B$229=P$3,SUMIF('TL06'!$C$238:$C$451,$C175,'TL06'!$J$238:$J$451),0),
IF('TL07'!$B$3=P$3,SUMIF('TL07'!$C$10:$C$224,$C175,'TL07'!$J$10:$J$224),0),
IF('TL07'!$B$229=P$3,SUMIF('TL07'!$C$238:$C$451,$C175,'TL07'!$J$238:$J$451),0),
IF('TL08'!$B$3=P$3,SUMIF('TL08'!$C$10:$C$224,$C175,'TL08'!$J$10:$J$224),0),
IF('TL08'!$B$229=P$3,SUMIF('TL08'!$C$238:$C$451,$C175,'TL08'!$J$238:$J$451),0),
IF('TL09'!$B$3=P$3,SUMIF('TL09'!$C$10:$C$224,$C175,'TL09'!$J$10:$J$224),0),
IF('TL09'!$B$229=P$3,SUMIF('TL09'!$C$238:$C$451,$C175,'TL09'!$J$238:$J$451),0),
IF('TL10'!$B$3=P$3,SUMIF('TL10'!$C$10:$C$224,$C175,'TL10'!$J$10:$J$224),0),
IF('TL10'!$B$229=P$3,SUMIF('TL10'!$C$238:$C$451,$C175,'TL10'!$J$238:$J$451),0),
IF('TL11'!$B$3=P$3,SUMIF('TL11'!$C$10:$C$224,$C175,'TL11'!$J$10:$J$224),0),
IF('TL11'!$B$229=P$3,SUMIF('TL11'!$C$238:$C$451,$C175,'TL11'!$J$238:$J$451),0),
IF('TL12'!$B$3=P$3,SUMIF('TL12'!$C$10:$C$224,$C175,'TL12'!$J$10:$J$224),0),
IF('TL12'!$B$229=P$3,SUMIF('TL12'!$C$238:$C$451,$C175,'TL12'!$J$238:$J$451),0),
IF('TL13'!$B$3=P$3,SUMIF('TL13'!$C$10:$C$224,$C175,'TL13'!$J$10:$J$224),0),
IF('TL13'!$B$229=P$3,SUMIF('TL13'!$C$238:$C$451,$C175,'TL13'!$J$238:$J$451),0),
IF('TL14'!$B$3=P$3,SUMIF('TL14'!$C$10:$C$224,$C175,'TL14'!$J$10:$J$224),0),
IF('TL14'!$B$229=P$3,SUMIF('TL14'!$C$238:$C$451,$C175,'TL14'!$J$238:$J$451),0),
IF('TL15'!$B$3=P$3,SUMIF('TL15'!$C$10:$C$224,$C175,'TL15'!$J$10:$J$224),0),
IF('TL15'!$B$229=P$3,SUMIF('TL15'!$C$238:$C$451,$C175,'TL15'!$J$238:$J$451),0),
IF('TL16'!$B$3=P$3,SUMIF('TL16'!$C$10:$C$224,$C175,'TL16'!$J$10:$J$224),0),
IF('TL16'!$B$229=P$3,SUMIF('TL16'!$C$238:$C$451,$C175,'TL16'!$J$238:$J$451),0),
IF('TL17'!$B$3=P$3,SUMIF('TL17'!$C$10:$C$224,$C175,'TL17'!$J$10:$J$224),0),
IF('TL17'!$B$229=P$3,SUMIF('TL17'!$C$238:$C$451,$C175,'TL17'!$J$238:$J$451),0),
IF('TL18'!$B$3=P$3,SUMIF('TL18'!$C$10:$C$224,$C175,'TL18'!$J$10:$J$224),0),
IF('TL18'!$B$229=P$3,SUMIF('TL18'!$C$238:$C$451,$C175,'TL18'!$J$238:$J$451),0),
IF('TL19'!$B$3=P$3,SUMIF('TL19'!$C$10:$C$224,$C175,'TL19'!$J$10:$J$224),0),
IF('TL19'!$B$229=P$3,SUMIF('TL19'!$C$238:$C$451,$C175,'TL19'!$J$238:$J$451),0)
),0)</f>
        <v/>
      </c>
      <c r="Q175" s="9">
        <f>IFERROR(SUM(
IF('TL01'!$B$3=Q$3,SUMIF('TL01'!$C$10:$C$224,$C175,'TL01'!$J$10:$J$224),0),
IF('TL01'!$B$229=Q$3,SUMIF('TL01'!$C$238:$C$451,$C175,'TL01'!$J$238:$J$451),0),
IF('TL02'!$B$3=Q$3,SUMIF('TL02'!$C$10:$C$224,$C175,'TL02'!$J$10:$J$224),0),
IF('TL02'!$B$229=Q$3,SUMIF('TL02'!$C$238:$C$451,$C175,'TL02'!$J$238:$J$451),0),
IF('TL03'!$B$3=Q$3,SUMIF('TL03'!$C$10:$C$224,$C175,'TL03'!$J$10:$J$224),0),
IF('TL03'!$B$229=Q$3,SUMIF('TL03'!$C$238:$C$451,$C175,'TL03'!$J$238:$J$451),0),
IF('TL04'!$B$3=Q$3,SUMIF('TL04'!$C$10:$C$224,$C175,'TL04'!$J$10:$J$224),0),
IF('TL04'!$B$229=Q$3,SUMIF('TL04'!$C$238:$C$451,$C175,'TL04'!$J$238:$J$451),0),
IF('TL05'!$B$3=Q$3,SUMIF('TL05'!$C$10:$C$224,$C175,'TL05'!$J$10:$J$224),0),
IF('TL05'!$B$229=Q$3,SUMIF('TL05'!$C$238:$C$451,$C175,'TL05'!$J$238:$J$451),0),
IF('TL06'!$B$3=Q$3,SUMIF('TL06'!$C$10:$C$224,$C175,'TL06'!$J$10:$J$224),0),
IF('TL06'!$B$229=Q$3,SUMIF('TL06'!$C$238:$C$451,$C175,'TL06'!$J$238:$J$451),0),
IF('TL07'!$B$3=Q$3,SUMIF('TL07'!$C$10:$C$224,$C175,'TL07'!$J$10:$J$224),0),
IF('TL07'!$B$229=Q$3,SUMIF('TL07'!$C$238:$C$451,$C175,'TL07'!$J$238:$J$451),0),
IF('TL08'!$B$3=Q$3,SUMIF('TL08'!$C$10:$C$224,$C175,'TL08'!$J$10:$J$224),0),
IF('TL08'!$B$229=Q$3,SUMIF('TL08'!$C$238:$C$451,$C175,'TL08'!$J$238:$J$451),0),
IF('TL09'!$B$3=Q$3,SUMIF('TL09'!$C$10:$C$224,$C175,'TL09'!$J$10:$J$224),0),
IF('TL09'!$B$229=Q$3,SUMIF('TL09'!$C$238:$C$451,$C175,'TL09'!$J$238:$J$451),0),
IF('TL10'!$B$3=Q$3,SUMIF('TL10'!$C$10:$C$224,$C175,'TL10'!$J$10:$J$224),0),
IF('TL10'!$B$229=Q$3,SUMIF('TL10'!$C$238:$C$451,$C175,'TL10'!$J$238:$J$451),0),
IF('TL11'!$B$3=Q$3,SUMIF('TL11'!$C$10:$C$224,$C175,'TL11'!$J$10:$J$224),0),
IF('TL11'!$B$229=Q$3,SUMIF('TL11'!$C$238:$C$451,$C175,'TL11'!$J$238:$J$451),0),
IF('TL12'!$B$3=Q$3,SUMIF('TL12'!$C$10:$C$224,$C175,'TL12'!$J$10:$J$224),0),
IF('TL12'!$B$229=Q$3,SUMIF('TL12'!$C$238:$C$451,$C175,'TL12'!$J$238:$J$451),0),
IF('TL13'!$B$3=Q$3,SUMIF('TL13'!$C$10:$C$224,$C175,'TL13'!$J$10:$J$224),0),
IF('TL13'!$B$229=Q$3,SUMIF('TL13'!$C$238:$C$451,$C175,'TL13'!$J$238:$J$451),0),
IF('TL14'!$B$3=Q$3,SUMIF('TL14'!$C$10:$C$224,$C175,'TL14'!$J$10:$J$224),0),
IF('TL14'!$B$229=Q$3,SUMIF('TL14'!$C$238:$C$451,$C175,'TL14'!$J$238:$J$451),0),
IF('TL15'!$B$3=Q$3,SUMIF('TL15'!$C$10:$C$224,$C175,'TL15'!$J$10:$J$224),0),
IF('TL15'!$B$229=Q$3,SUMIF('TL15'!$C$238:$C$451,$C175,'TL15'!$J$238:$J$451),0),
IF('TL16'!$B$3=Q$3,SUMIF('TL16'!$C$10:$C$224,$C175,'TL16'!$J$10:$J$224),0),
IF('TL16'!$B$229=Q$3,SUMIF('TL16'!$C$238:$C$451,$C175,'TL16'!$J$238:$J$451),0),
IF('TL17'!$B$3=Q$3,SUMIF('TL17'!$C$10:$C$224,$C175,'TL17'!$J$10:$J$224),0),
IF('TL17'!$B$229=Q$3,SUMIF('TL17'!$C$238:$C$451,$C175,'TL17'!$J$238:$J$451),0),
IF('TL18'!$B$3=Q$3,SUMIF('TL18'!$C$10:$C$224,$C175,'TL18'!$J$10:$J$224),0),
IF('TL18'!$B$229=Q$3,SUMIF('TL18'!$C$238:$C$451,$C175,'TL18'!$J$238:$J$451),0),
IF('TL19'!$B$3=Q$3,SUMIF('TL19'!$C$10:$C$224,$C175,'TL19'!$J$10:$J$224),0),
IF('TL19'!$B$229=Q$3,SUMIF('TL19'!$C$238:$C$451,$C175,'TL19'!$J$238:$J$451),0)
),0)</f>
        <v/>
      </c>
      <c r="R175" s="9">
        <f>IFERROR(
SUM(
SUMIF('TL01'!C:C,C175,'TL01'!J:J),
SUMIF('TL02'!C:C,C175,'TL02'!J:J),
SUMIF('TL03'!C:C,C175,'TL03'!J:J),
SUMIF('TL04'!C:C,C175,'TL04'!J:J),
SUMIF('TL05'!C:C,C175,'TL05'!J:J),
SUMIF('TL06'!C:C,C175,'TL06'!J:J),
SUMIF('TL07'!C:C,C175,'TL07'!J:J),
SUMIF('TL08'!C:C,C175,'TL08'!J:J),
SUMIF('TL09'!C:C,C175,'TL09'!J:J),
SUMIF('TL10'!C:C,C175,'TL10'!J:J),
SUMIF('TL11'!C:C,C175,'TL11'!J:J),
SUMIF('TL12'!C:C,C175,'TL12'!J:J),
SUMIF('TL13'!C:C,C175,'TL13'!J:J),
SUMIF('TL14'!C:C,C175,'TL14'!J:J),
SUMIF('TL15'!C:C,C175,'TL15'!J:J),
SUMIF('TL16'!C:C,C175,'TL16'!J:J),
SUMIF('TL17'!C:C,C175,'TL17'!J:J),
SUMIF('TL18'!C:C,C175,'TL18'!J:J),SUMIF('TL19'!C:C,C175,'TL19'!J:J))
,0)</f>
        <v/>
      </c>
      <c r="S175" s="17">
        <f>IFERROR(__xludf.DUMMYFUNCTION("IFERROR(VLOOKUP(C175,
IMPORTRANGE(""1wULbzX32WdYsx-lj2U3uUNBBe2INVIRDtcK0d-Dvl90"",
""26-27!C:G""),
5,
FALSE),
"""")"),85.7241)</f>
        <v/>
      </c>
      <c r="T175" s="9" t="n"/>
      <c r="U175" s="92">
        <f>MAX(0,R175-T175)</f>
        <v/>
      </c>
      <c r="V175" s="93">
        <f>U175*S175</f>
        <v/>
      </c>
    </row>
    <row r="176" hidden="1" ht="15.75" customHeight="1" s="297">
      <c r="A176" s="87" t="inlineStr">
        <is>
          <t>ADAMA</t>
        </is>
      </c>
      <c r="B176" s="88" t="inlineStr">
        <is>
          <t>INSETICIDA</t>
        </is>
      </c>
      <c r="C176" s="89" t="inlineStr">
        <is>
          <t>SQUAD</t>
        </is>
      </c>
      <c r="D176" s="89" t="inlineStr">
        <is>
          <t>ACETAMIPRIDO + BIFENTRINA</t>
        </is>
      </c>
      <c r="E176" s="89" t="inlineStr">
        <is>
          <t>375 + 165</t>
        </is>
      </c>
      <c r="F176" s="4" t="inlineStr">
        <is>
          <t>L</t>
        </is>
      </c>
      <c r="G176" s="90">
        <f>HYPERLINK("https://www.google.com/search?q=" &amp; C176 &amp; "+bula+agrofit+pdf", "📄 Ver bula")</f>
        <v/>
      </c>
      <c r="H176" s="9">
        <f>IFERROR(__xludf.DUMMYFUNCTION("IFERROR(VLOOKUP(C176,
IMPORTRANGE(""1wULbzX32WdYsx-lj2U3uUNBBe2INVIRDtcK0d-Dvl90"",
""26-27!C:K""),
8,
FALSE),
"""")"),0.2)</f>
        <v/>
      </c>
      <c r="I176" s="91" t="inlineStr">
        <is>
          <t>4x5</t>
        </is>
      </c>
      <c r="J176" s="9">
        <f>IFERROR(SUM(
IF('TL01'!$B$3=J$3,SUMIF('TL01'!$C$10:$C$224,$C176,'TL01'!$J$10:$J$224),0),
IF('TL01'!$B$229=J$3,SUMIF('TL01'!$C$238:$C$451,$C176,'TL01'!$J$238:$J$451),0),
IF('TL02'!$B$3=J$3,SUMIF('TL02'!$C$10:$C$224,$C176,'TL02'!$J$10:$J$224),0),
IF('TL02'!$B$229=J$3,SUMIF('TL02'!$C$238:$C$451,$C176,'TL02'!$J$238:$J$451),0),
IF('TL03'!$B$3=J$3,SUMIF('TL03'!$C$10:$C$224,$C176,'TL03'!$J$10:$J$224),0),
IF('TL03'!$B$229=J$3,SUMIF('TL03'!$C$238:$C$451,$C176,'TL03'!$J$238:$J$451),0),
IF('TL04'!$B$3=J$3,SUMIF('TL04'!$C$10:$C$224,$C176,'TL04'!$J$10:$J$224),0),
IF('TL04'!$B$229=J$3,SUMIF('TL04'!$C$238:$C$451,$C176,'TL04'!$J$238:$J$451),0),
IF('TL05'!$B$3=J$3,SUMIF('TL05'!$C$10:$C$224,$C176,'TL05'!$J$10:$J$224),0),
IF('TL05'!$B$229=J$3,SUMIF('TL05'!$C$238:$C$451,$C176,'TL05'!$J$238:$J$451),0),
IF('TL06'!$B$3=J$3,SUMIF('TL06'!$C$10:$C$224,$C176,'TL06'!$J$10:$J$224),0),
IF('TL06'!$B$229=J$3,SUMIF('TL06'!$C$238:$C$451,$C176,'TL06'!$J$238:$J$451),0),
IF('TL07'!$B$3=J$3,SUMIF('TL07'!$C$10:$C$224,$C176,'TL07'!$J$10:$J$224),0),
IF('TL07'!$B$229=J$3,SUMIF('TL07'!$C$238:$C$451,$C176,'TL07'!$J$238:$J$451),0),
IF('TL08'!$B$3=J$3,SUMIF('TL08'!$C$10:$C$224,$C176,'TL08'!$J$10:$J$224),0),
IF('TL08'!$B$229=J$3,SUMIF('TL08'!$C$238:$C$451,$C176,'TL08'!$J$238:$J$451),0),
IF('TL09'!$B$3=J$3,SUMIF('TL09'!$C$10:$C$224,$C176,'TL09'!$J$10:$J$224),0),
IF('TL09'!$B$229=J$3,SUMIF('TL09'!$C$238:$C$451,$C176,'TL09'!$J$238:$J$451),0),
IF('TL10'!$B$3=J$3,SUMIF('TL10'!$C$10:$C$224,$C176,'TL10'!$J$10:$J$224),0),
IF('TL10'!$B$229=J$3,SUMIF('TL10'!$C$238:$C$451,$C176,'TL10'!$J$238:$J$451),0),
IF('TL11'!$B$3=J$3,SUMIF('TL11'!$C$10:$C$224,$C176,'TL11'!$J$10:$J$224),0),
IF('TL11'!$B$229=J$3,SUMIF('TL11'!$C$238:$C$451,$C176,'TL11'!$J$238:$J$451),0),
IF('TL12'!$B$3=J$3,SUMIF('TL12'!$C$10:$C$224,$C176,'TL12'!$J$10:$J$224),0),
IF('TL12'!$B$229=J$3,SUMIF('TL12'!$C$238:$C$451,$C176,'TL12'!$J$238:$J$451),0),
IF('TL13'!$B$3=J$3,SUMIF('TL13'!$C$10:$C$224,$C176,'TL13'!$J$10:$J$224),0),
IF('TL13'!$B$229=J$3,SUMIF('TL13'!$C$238:$C$451,$C176,'TL13'!$J$238:$J$451),0),
IF('TL14'!$B$3=J$3,SUMIF('TL14'!$C$10:$C$224,$C176,'TL14'!$J$10:$J$224),0),
IF('TL14'!$B$229=J$3,SUMIF('TL14'!$C$238:$C$451,$C176,'TL14'!$J$238:$J$451),0),
IF('TL15'!$B$3=J$3,SUMIF('TL15'!$C$10:$C$224,$C176,'TL15'!$J$10:$J$224),0),
IF('TL15'!$B$229=J$3,SUMIF('TL15'!$C$238:$C$451,$C176,'TL15'!$J$238:$J$451),0),
IF('TL16'!$B$3=J$3,SUMIF('TL16'!$C$10:$C$224,$C176,'TL16'!$J$10:$J$224),0),
IF('TL16'!$B$229=J$3,SUMIF('TL16'!$C$238:$C$451,$C176,'TL16'!$J$238:$J$451),0),
IF('TL17'!$B$3=J$3,SUMIF('TL17'!$C$10:$C$224,$C176,'TL17'!$J$10:$J$224),0),
IF('TL17'!$B$229=J$3,SUMIF('TL17'!$C$238:$C$451,$C176,'TL17'!$J$238:$J$451),0),
IF('TL18'!$B$3=J$3,SUMIF('TL18'!$C$10:$C$224,$C176,'TL18'!$J$10:$J$224),0),
IF('TL18'!$B$229=J$3,SUMIF('TL18'!$C$238:$C$451,$C176,'TL18'!$J$238:$J$451),0),
IF('TL19'!$B$3=J$3,SUMIF('TL19'!$C$10:$C$224,$C176,'TL19'!$J$10:$J$224),0),
IF('TL19'!$B$229=J$3,SUMIF('TL19'!$C$238:$C$451,$C176,'TL19'!$J$238:$J$451),0)
),0)</f>
        <v/>
      </c>
      <c r="K176" s="9">
        <f>IFERROR(SUM(
IF('TL01'!$B$3=K$3,SUMIF('TL01'!$C$10:$C$224,$C176,'TL01'!$J$10:$J$224),0),
IF('TL01'!$B$229=K$3,SUMIF('TL01'!$C$238:$C$451,$C176,'TL01'!$J$238:$J$451),0),
IF('TL02'!$B$3=K$3,SUMIF('TL02'!$C$10:$C$224,$C176,'TL02'!$J$10:$J$224),0),
IF('TL02'!$B$229=K$3,SUMIF('TL02'!$C$238:$C$451,$C176,'TL02'!$J$238:$J$451),0),
IF('TL03'!$B$3=K$3,SUMIF('TL03'!$C$10:$C$224,$C176,'TL03'!$J$10:$J$224),0),
IF('TL03'!$B$229=K$3,SUMIF('TL03'!$C$238:$C$451,$C176,'TL03'!$J$238:$J$451),0),
IF('TL04'!$B$3=K$3,SUMIF('TL04'!$C$10:$C$224,$C176,'TL04'!$J$10:$J$224),0),
IF('TL04'!$B$229=K$3,SUMIF('TL04'!$C$238:$C$451,$C176,'TL04'!$J$238:$J$451),0),
IF('TL05'!$B$3=K$3,SUMIF('TL05'!$C$10:$C$224,$C176,'TL05'!$J$10:$J$224),0),
IF('TL05'!$B$229=K$3,SUMIF('TL05'!$C$238:$C$451,$C176,'TL05'!$J$238:$J$451),0),
IF('TL06'!$B$3=K$3,SUMIF('TL06'!$C$10:$C$224,$C176,'TL06'!$J$10:$J$224),0),
IF('TL06'!$B$229=K$3,SUMIF('TL06'!$C$238:$C$451,$C176,'TL06'!$J$238:$J$451),0),
IF('TL07'!$B$3=K$3,SUMIF('TL07'!$C$10:$C$224,$C176,'TL07'!$J$10:$J$224),0),
IF('TL07'!$B$229=K$3,SUMIF('TL07'!$C$238:$C$451,$C176,'TL07'!$J$238:$J$451),0),
IF('TL08'!$B$3=K$3,SUMIF('TL08'!$C$10:$C$224,$C176,'TL08'!$J$10:$J$224),0),
IF('TL08'!$B$229=K$3,SUMIF('TL08'!$C$238:$C$451,$C176,'TL08'!$J$238:$J$451),0),
IF('TL09'!$B$3=K$3,SUMIF('TL09'!$C$10:$C$224,$C176,'TL09'!$J$10:$J$224),0),
IF('TL09'!$B$229=K$3,SUMIF('TL09'!$C$238:$C$451,$C176,'TL09'!$J$238:$J$451),0),
IF('TL10'!$B$3=K$3,SUMIF('TL10'!$C$10:$C$224,$C176,'TL10'!$J$10:$J$224),0),
IF('TL10'!$B$229=K$3,SUMIF('TL10'!$C$238:$C$451,$C176,'TL10'!$J$238:$J$451),0),
IF('TL11'!$B$3=K$3,SUMIF('TL11'!$C$10:$C$224,$C176,'TL11'!$J$10:$J$224),0),
IF('TL11'!$B$229=K$3,SUMIF('TL11'!$C$238:$C$451,$C176,'TL11'!$J$238:$J$451),0),
IF('TL12'!$B$3=K$3,SUMIF('TL12'!$C$10:$C$224,$C176,'TL12'!$J$10:$J$224),0),
IF('TL12'!$B$229=K$3,SUMIF('TL12'!$C$238:$C$451,$C176,'TL12'!$J$238:$J$451),0),
IF('TL13'!$B$3=K$3,SUMIF('TL13'!$C$10:$C$224,$C176,'TL13'!$J$10:$J$224),0),
IF('TL13'!$B$229=K$3,SUMIF('TL13'!$C$238:$C$451,$C176,'TL13'!$J$238:$J$451),0),
IF('TL14'!$B$3=K$3,SUMIF('TL14'!$C$10:$C$224,$C176,'TL14'!$J$10:$J$224),0),
IF('TL14'!$B$229=K$3,SUMIF('TL14'!$C$238:$C$451,$C176,'TL14'!$J$238:$J$451),0),
IF('TL15'!$B$3=K$3,SUMIF('TL15'!$C$10:$C$224,$C176,'TL15'!$J$10:$J$224),0),
IF('TL15'!$B$229=K$3,SUMIF('TL15'!$C$238:$C$451,$C176,'TL15'!$J$238:$J$451),0),
IF('TL16'!$B$3=K$3,SUMIF('TL16'!$C$10:$C$224,$C176,'TL16'!$J$10:$J$224),0),
IF('TL16'!$B$229=K$3,SUMIF('TL16'!$C$238:$C$451,$C176,'TL16'!$J$238:$J$451),0),
IF('TL17'!$B$3=K$3,SUMIF('TL17'!$C$10:$C$224,$C176,'TL17'!$J$10:$J$224),0),
IF('TL17'!$B$229=K$3,SUMIF('TL17'!$C$238:$C$451,$C176,'TL17'!$J$238:$J$451),0),
IF('TL18'!$B$3=K$3,SUMIF('TL18'!$C$10:$C$224,$C176,'TL18'!$J$10:$J$224),0),
IF('TL18'!$B$229=K$3,SUMIF('TL18'!$C$238:$C$451,$C176,'TL18'!$J$238:$J$451),0),
IF('TL19'!$B$3=K$3,SUMIF('TL19'!$C$10:$C$224,$C176,'TL19'!$J$10:$J$224),0),
IF('TL19'!$B$229=K$3,SUMIF('TL19'!$C$238:$C$451,$C176,'TL19'!$J$238:$J$451),0)
),0)</f>
        <v/>
      </c>
      <c r="L176" s="9">
        <f>IFERROR(SUM(
IF('TL01'!$B$3=L$3,SUMIF('TL01'!$C$10:$C$224,$C176,'TL01'!$J$10:$J$224),0),
IF('TL01'!$B$229=L$3,SUMIF('TL01'!$C$238:$C$451,$C176,'TL01'!$J$238:$J$451),0),
IF('TL02'!$B$3=L$3,SUMIF('TL02'!$C$10:$C$224,$C176,'TL02'!$J$10:$J$224),0),
IF('TL02'!$B$229=L$3,SUMIF('TL02'!$C$238:$C$451,$C176,'TL02'!$J$238:$J$451),0),
IF('TL03'!$B$3=L$3,SUMIF('TL03'!$C$10:$C$224,$C176,'TL03'!$J$10:$J$224),0),
IF('TL03'!$B$229=L$3,SUMIF('TL03'!$C$238:$C$451,$C176,'TL03'!$J$238:$J$451),0),
IF('TL04'!$B$3=L$3,SUMIF('TL04'!$C$10:$C$224,$C176,'TL04'!$J$10:$J$224),0),
IF('TL04'!$B$229=L$3,SUMIF('TL04'!$C$238:$C$451,$C176,'TL04'!$J$238:$J$451),0),
IF('TL05'!$B$3=L$3,SUMIF('TL05'!$C$10:$C$224,$C176,'TL05'!$J$10:$J$224),0),
IF('TL05'!$B$229=L$3,SUMIF('TL05'!$C$238:$C$451,$C176,'TL05'!$J$238:$J$451),0),
IF('TL06'!$B$3=L$3,SUMIF('TL06'!$C$10:$C$224,$C176,'TL06'!$J$10:$J$224),0),
IF('TL06'!$B$229=L$3,SUMIF('TL06'!$C$238:$C$451,$C176,'TL06'!$J$238:$J$451),0),
IF('TL07'!$B$3=L$3,SUMIF('TL07'!$C$10:$C$224,$C176,'TL07'!$J$10:$J$224),0),
IF('TL07'!$B$229=L$3,SUMIF('TL07'!$C$238:$C$451,$C176,'TL07'!$J$238:$J$451),0),
IF('TL08'!$B$3=L$3,SUMIF('TL08'!$C$10:$C$224,$C176,'TL08'!$J$10:$J$224),0),
IF('TL08'!$B$229=L$3,SUMIF('TL08'!$C$238:$C$451,$C176,'TL08'!$J$238:$J$451),0),
IF('TL09'!$B$3=L$3,SUMIF('TL09'!$C$10:$C$224,$C176,'TL09'!$J$10:$J$224),0),
IF('TL09'!$B$229=L$3,SUMIF('TL09'!$C$238:$C$451,$C176,'TL09'!$J$238:$J$451),0),
IF('TL10'!$B$3=L$3,SUMIF('TL10'!$C$10:$C$224,$C176,'TL10'!$J$10:$J$224),0),
IF('TL10'!$B$229=L$3,SUMIF('TL10'!$C$238:$C$451,$C176,'TL10'!$J$238:$J$451),0),
IF('TL11'!$B$3=L$3,SUMIF('TL11'!$C$10:$C$224,$C176,'TL11'!$J$10:$J$224),0),
IF('TL11'!$B$229=L$3,SUMIF('TL11'!$C$238:$C$451,$C176,'TL11'!$J$238:$J$451),0),
IF('TL12'!$B$3=L$3,SUMIF('TL12'!$C$10:$C$224,$C176,'TL12'!$J$10:$J$224),0),
IF('TL12'!$B$229=L$3,SUMIF('TL12'!$C$238:$C$451,$C176,'TL12'!$J$238:$J$451),0),
IF('TL13'!$B$3=L$3,SUMIF('TL13'!$C$10:$C$224,$C176,'TL13'!$J$10:$J$224),0),
IF('TL13'!$B$229=L$3,SUMIF('TL13'!$C$238:$C$451,$C176,'TL13'!$J$238:$J$451),0),
IF('TL14'!$B$3=L$3,SUMIF('TL14'!$C$10:$C$224,$C176,'TL14'!$J$10:$J$224),0),
IF('TL14'!$B$229=L$3,SUMIF('TL14'!$C$238:$C$451,$C176,'TL14'!$J$238:$J$451),0),
IF('TL15'!$B$3=L$3,SUMIF('TL15'!$C$10:$C$224,$C176,'TL15'!$J$10:$J$224),0),
IF('TL15'!$B$229=L$3,SUMIF('TL15'!$C$238:$C$451,$C176,'TL15'!$J$238:$J$451),0),
IF('TL16'!$B$3=L$3,SUMIF('TL16'!$C$10:$C$224,$C176,'TL16'!$J$10:$J$224),0),
IF('TL16'!$B$229=L$3,SUMIF('TL16'!$C$238:$C$451,$C176,'TL16'!$J$238:$J$451),0),
IF('TL17'!$B$3=L$3,SUMIF('TL17'!$C$10:$C$224,$C176,'TL17'!$J$10:$J$224),0),
IF('TL17'!$B$229=L$3,SUMIF('TL17'!$C$238:$C$451,$C176,'TL17'!$J$238:$J$451),0),
IF('TL18'!$B$3=L$3,SUMIF('TL18'!$C$10:$C$224,$C176,'TL18'!$J$10:$J$224),0),
IF('TL18'!$B$229=L$3,SUMIF('TL18'!$C$238:$C$451,$C176,'TL18'!$J$238:$J$451),0),
IF('TL19'!$B$3=L$3,SUMIF('TL19'!$C$10:$C$224,$C176,'TL19'!$J$10:$J$224),0),
IF('TL19'!$B$229=L$3,SUMIF('TL19'!$C$238:$C$451,$C176,'TL19'!$J$238:$J$451),0)
),0)</f>
        <v/>
      </c>
      <c r="M176" s="9">
        <f>IFERROR(SUM(
IF('TL01'!$B$3=M$3,SUMIF('TL01'!$C$10:$C$224,$C176,'TL01'!$J$10:$J$224),0),
IF('TL01'!$B$229=M$3,SUMIF('TL01'!$C$238:$C$451,$C176,'TL01'!$J$238:$J$451),0),
IF('TL02'!$B$3=M$3,SUMIF('TL02'!$C$10:$C$224,$C176,'TL02'!$J$10:$J$224),0),
IF('TL02'!$B$229=M$3,SUMIF('TL02'!$C$238:$C$451,$C176,'TL02'!$J$238:$J$451),0),
IF('TL03'!$B$3=M$3,SUMIF('TL03'!$C$10:$C$224,$C176,'TL03'!$J$10:$J$224),0),
IF('TL03'!$B$229=M$3,SUMIF('TL03'!$C$238:$C$451,$C176,'TL03'!$J$238:$J$451),0),
IF('TL04'!$B$3=M$3,SUMIF('TL04'!$C$10:$C$224,$C176,'TL04'!$J$10:$J$224),0),
IF('TL04'!$B$229=M$3,SUMIF('TL04'!$C$238:$C$451,$C176,'TL04'!$J$238:$J$451),0),
IF('TL05'!$B$3=M$3,SUMIF('TL05'!$C$10:$C$224,$C176,'TL05'!$J$10:$J$224),0),
IF('TL05'!$B$229=M$3,SUMIF('TL05'!$C$238:$C$451,$C176,'TL05'!$J$238:$J$451),0),
IF('TL06'!$B$3=M$3,SUMIF('TL06'!$C$10:$C$224,$C176,'TL06'!$J$10:$J$224),0),
IF('TL06'!$B$229=M$3,SUMIF('TL06'!$C$238:$C$451,$C176,'TL06'!$J$238:$J$451),0),
IF('TL07'!$B$3=M$3,SUMIF('TL07'!$C$10:$C$224,$C176,'TL07'!$J$10:$J$224),0),
IF('TL07'!$B$229=M$3,SUMIF('TL07'!$C$238:$C$451,$C176,'TL07'!$J$238:$J$451),0),
IF('TL08'!$B$3=M$3,SUMIF('TL08'!$C$10:$C$224,$C176,'TL08'!$J$10:$J$224),0),
IF('TL08'!$B$229=M$3,SUMIF('TL08'!$C$238:$C$451,$C176,'TL08'!$J$238:$J$451),0),
IF('TL09'!$B$3=M$3,SUMIF('TL09'!$C$10:$C$224,$C176,'TL09'!$J$10:$J$224),0),
IF('TL09'!$B$229=M$3,SUMIF('TL09'!$C$238:$C$451,$C176,'TL09'!$J$238:$J$451),0),
IF('TL10'!$B$3=M$3,SUMIF('TL10'!$C$10:$C$224,$C176,'TL10'!$J$10:$J$224),0),
IF('TL10'!$B$229=M$3,SUMIF('TL10'!$C$238:$C$451,$C176,'TL10'!$J$238:$J$451),0),
IF('TL11'!$B$3=M$3,SUMIF('TL11'!$C$10:$C$224,$C176,'TL11'!$J$10:$J$224),0),
IF('TL11'!$B$229=M$3,SUMIF('TL11'!$C$238:$C$451,$C176,'TL11'!$J$238:$J$451),0),
IF('TL12'!$B$3=M$3,SUMIF('TL12'!$C$10:$C$224,$C176,'TL12'!$J$10:$J$224),0),
IF('TL12'!$B$229=M$3,SUMIF('TL12'!$C$238:$C$451,$C176,'TL12'!$J$238:$J$451),0),
IF('TL13'!$B$3=M$3,SUMIF('TL13'!$C$10:$C$224,$C176,'TL13'!$J$10:$J$224),0),
IF('TL13'!$B$229=M$3,SUMIF('TL13'!$C$238:$C$451,$C176,'TL13'!$J$238:$J$451),0),
IF('TL14'!$B$3=M$3,SUMIF('TL14'!$C$10:$C$224,$C176,'TL14'!$J$10:$J$224),0),
IF('TL14'!$B$229=M$3,SUMIF('TL14'!$C$238:$C$451,$C176,'TL14'!$J$238:$J$451),0),
IF('TL15'!$B$3=M$3,SUMIF('TL15'!$C$10:$C$224,$C176,'TL15'!$J$10:$J$224),0),
IF('TL15'!$B$229=M$3,SUMIF('TL15'!$C$238:$C$451,$C176,'TL15'!$J$238:$J$451),0),
IF('TL16'!$B$3=M$3,SUMIF('TL16'!$C$10:$C$224,$C176,'TL16'!$J$10:$J$224),0),
IF('TL16'!$B$229=M$3,SUMIF('TL16'!$C$238:$C$451,$C176,'TL16'!$J$238:$J$451),0),
IF('TL17'!$B$3=M$3,SUMIF('TL17'!$C$10:$C$224,$C176,'TL17'!$J$10:$J$224),0),
IF('TL17'!$B$229=M$3,SUMIF('TL17'!$C$238:$C$451,$C176,'TL17'!$J$238:$J$451),0),
IF('TL18'!$B$3=M$3,SUMIF('TL18'!$C$10:$C$224,$C176,'TL18'!$J$10:$J$224),0),
IF('TL18'!$B$229=M$3,SUMIF('TL18'!$C$238:$C$451,$C176,'TL18'!$J$238:$J$451),0),
IF('TL19'!$B$3=M$3,SUMIF('TL19'!$C$10:$C$224,$C176,'TL19'!$J$10:$J$224),0),
IF('TL19'!$B$229=M$3,SUMIF('TL19'!$C$238:$C$451,$C176,'TL19'!$J$238:$J$451),0)
),0)</f>
        <v/>
      </c>
      <c r="N176" s="9">
        <f>IFERROR(SUM(
IF('TL01'!$B$3=N$3,SUMIF('TL01'!$C$10:$C$224,$C176,'TL01'!$J$10:$J$224),0),
IF('TL01'!$B$229=N$3,SUMIF('TL01'!$C$238:$C$451,$C176,'TL01'!$J$238:$J$451),0),
IF('TL02'!$B$3=N$3,SUMIF('TL02'!$C$10:$C$224,$C176,'TL02'!$J$10:$J$224),0),
IF('TL02'!$B$229=N$3,SUMIF('TL02'!$C$238:$C$451,$C176,'TL02'!$J$238:$J$451),0),
IF('TL03'!$B$3=N$3,SUMIF('TL03'!$C$10:$C$224,$C176,'TL03'!$J$10:$J$224),0),
IF('TL03'!$B$229=N$3,SUMIF('TL03'!$C$238:$C$451,$C176,'TL03'!$J$238:$J$451),0),
IF('TL04'!$B$3=N$3,SUMIF('TL04'!$C$10:$C$224,$C176,'TL04'!$J$10:$J$224),0),
IF('TL04'!$B$229=N$3,SUMIF('TL04'!$C$238:$C$451,$C176,'TL04'!$J$238:$J$451),0),
IF('TL05'!$B$3=N$3,SUMIF('TL05'!$C$10:$C$224,$C176,'TL05'!$J$10:$J$224),0),
IF('TL05'!$B$229=N$3,SUMIF('TL05'!$C$238:$C$451,$C176,'TL05'!$J$238:$J$451),0),
IF('TL06'!$B$3=N$3,SUMIF('TL06'!$C$10:$C$224,$C176,'TL06'!$J$10:$J$224),0),
IF('TL06'!$B$229=N$3,SUMIF('TL06'!$C$238:$C$451,$C176,'TL06'!$J$238:$J$451),0),
IF('TL07'!$B$3=N$3,SUMIF('TL07'!$C$10:$C$224,$C176,'TL07'!$J$10:$J$224),0),
IF('TL07'!$B$229=N$3,SUMIF('TL07'!$C$238:$C$451,$C176,'TL07'!$J$238:$J$451),0),
IF('TL08'!$B$3=N$3,SUMIF('TL08'!$C$10:$C$224,$C176,'TL08'!$J$10:$J$224),0),
IF('TL08'!$B$229=N$3,SUMIF('TL08'!$C$238:$C$451,$C176,'TL08'!$J$238:$J$451),0),
IF('TL09'!$B$3=N$3,SUMIF('TL09'!$C$10:$C$224,$C176,'TL09'!$J$10:$J$224),0),
IF('TL09'!$B$229=N$3,SUMIF('TL09'!$C$238:$C$451,$C176,'TL09'!$J$238:$J$451),0),
IF('TL10'!$B$3=N$3,SUMIF('TL10'!$C$10:$C$224,$C176,'TL10'!$J$10:$J$224),0),
IF('TL10'!$B$229=N$3,SUMIF('TL10'!$C$238:$C$451,$C176,'TL10'!$J$238:$J$451),0),
IF('TL11'!$B$3=N$3,SUMIF('TL11'!$C$10:$C$224,$C176,'TL11'!$J$10:$J$224),0),
IF('TL11'!$B$229=N$3,SUMIF('TL11'!$C$238:$C$451,$C176,'TL11'!$J$238:$J$451),0),
IF('TL12'!$B$3=N$3,SUMIF('TL12'!$C$10:$C$224,$C176,'TL12'!$J$10:$J$224),0),
IF('TL12'!$B$229=N$3,SUMIF('TL12'!$C$238:$C$451,$C176,'TL12'!$J$238:$J$451),0),
IF('TL13'!$B$3=N$3,SUMIF('TL13'!$C$10:$C$224,$C176,'TL13'!$J$10:$J$224),0),
IF('TL13'!$B$229=N$3,SUMIF('TL13'!$C$238:$C$451,$C176,'TL13'!$J$238:$J$451),0),
IF('TL14'!$B$3=N$3,SUMIF('TL14'!$C$10:$C$224,$C176,'TL14'!$J$10:$J$224),0),
IF('TL14'!$B$229=N$3,SUMIF('TL14'!$C$238:$C$451,$C176,'TL14'!$J$238:$J$451),0),
IF('TL15'!$B$3=N$3,SUMIF('TL15'!$C$10:$C$224,$C176,'TL15'!$J$10:$J$224),0),
IF('TL15'!$B$229=N$3,SUMIF('TL15'!$C$238:$C$451,$C176,'TL15'!$J$238:$J$451),0),
IF('TL16'!$B$3=N$3,SUMIF('TL16'!$C$10:$C$224,$C176,'TL16'!$J$10:$J$224),0),
IF('TL16'!$B$229=N$3,SUMIF('TL16'!$C$238:$C$451,$C176,'TL16'!$J$238:$J$451),0),
IF('TL17'!$B$3=N$3,SUMIF('TL17'!$C$10:$C$224,$C176,'TL17'!$J$10:$J$224),0),
IF('TL17'!$B$229=N$3,SUMIF('TL17'!$C$238:$C$451,$C176,'TL17'!$J$238:$J$451),0),
IF('TL18'!$B$3=N$3,SUMIF('TL18'!$C$10:$C$224,$C176,'TL18'!$J$10:$J$224),0),
IF('TL18'!$B$229=N$3,SUMIF('TL18'!$C$238:$C$451,$C176,'TL18'!$J$238:$J$451),0),
IF('TL19'!$B$3=N$3,SUMIF('TL19'!$C$10:$C$224,$C176,'TL19'!$J$10:$J$224),0),
IF('TL19'!$B$229=N$3,SUMIF('TL19'!$C$238:$C$451,$C176,'TL19'!$J$238:$J$451),0)
),0)</f>
        <v/>
      </c>
      <c r="O176" s="9">
        <f>IFERROR(SUM(
IF('TL01'!$B$3=O$3,SUMIF('TL01'!$C$10:$C$224,$C176,'TL01'!$J$10:$J$224),0),
IF('TL01'!$B$229=O$3,SUMIF('TL01'!$C$238:$C$451,$C176,'TL01'!$J$238:$J$451),0),
IF('TL02'!$B$3=O$3,SUMIF('TL02'!$C$10:$C$224,$C176,'TL02'!$J$10:$J$224),0),
IF('TL02'!$B$229=O$3,SUMIF('TL02'!$C$238:$C$451,$C176,'TL02'!$J$238:$J$451),0),
IF('TL03'!$B$3=O$3,SUMIF('TL03'!$C$10:$C$224,$C176,'TL03'!$J$10:$J$224),0),
IF('TL03'!$B$229=O$3,SUMIF('TL03'!$C$238:$C$451,$C176,'TL03'!$J$238:$J$451),0),
IF('TL04'!$B$3=O$3,SUMIF('TL04'!$C$10:$C$224,$C176,'TL04'!$J$10:$J$224),0),
IF('TL04'!$B$229=O$3,SUMIF('TL04'!$C$238:$C$451,$C176,'TL04'!$J$238:$J$451),0),
IF('TL05'!$B$3=O$3,SUMIF('TL05'!$C$10:$C$224,$C176,'TL05'!$J$10:$J$224),0),
IF('TL05'!$B$229=O$3,SUMIF('TL05'!$C$238:$C$451,$C176,'TL05'!$J$238:$J$451),0),
IF('TL06'!$B$3=O$3,SUMIF('TL06'!$C$10:$C$224,$C176,'TL06'!$J$10:$J$224),0),
IF('TL06'!$B$229=O$3,SUMIF('TL06'!$C$238:$C$451,$C176,'TL06'!$J$238:$J$451),0),
IF('TL07'!$B$3=O$3,SUMIF('TL07'!$C$10:$C$224,$C176,'TL07'!$J$10:$J$224),0),
IF('TL07'!$B$229=O$3,SUMIF('TL07'!$C$238:$C$451,$C176,'TL07'!$J$238:$J$451),0),
IF('TL08'!$B$3=O$3,SUMIF('TL08'!$C$10:$C$224,$C176,'TL08'!$J$10:$J$224),0),
IF('TL08'!$B$229=O$3,SUMIF('TL08'!$C$238:$C$451,$C176,'TL08'!$J$238:$J$451),0),
IF('TL09'!$B$3=O$3,SUMIF('TL09'!$C$10:$C$224,$C176,'TL09'!$J$10:$J$224),0),
IF('TL09'!$B$229=O$3,SUMIF('TL09'!$C$238:$C$451,$C176,'TL09'!$J$238:$J$451),0),
IF('TL10'!$B$3=O$3,SUMIF('TL10'!$C$10:$C$224,$C176,'TL10'!$J$10:$J$224),0),
IF('TL10'!$B$229=O$3,SUMIF('TL10'!$C$238:$C$451,$C176,'TL10'!$J$238:$J$451),0),
IF('TL11'!$B$3=O$3,SUMIF('TL11'!$C$10:$C$224,$C176,'TL11'!$J$10:$J$224),0),
IF('TL11'!$B$229=O$3,SUMIF('TL11'!$C$238:$C$451,$C176,'TL11'!$J$238:$J$451),0),
IF('TL12'!$B$3=O$3,SUMIF('TL12'!$C$10:$C$224,$C176,'TL12'!$J$10:$J$224),0),
IF('TL12'!$B$229=O$3,SUMIF('TL12'!$C$238:$C$451,$C176,'TL12'!$J$238:$J$451),0),
IF('TL13'!$B$3=O$3,SUMIF('TL13'!$C$10:$C$224,$C176,'TL13'!$J$10:$J$224),0),
IF('TL13'!$B$229=O$3,SUMIF('TL13'!$C$238:$C$451,$C176,'TL13'!$J$238:$J$451),0),
IF('TL14'!$B$3=O$3,SUMIF('TL14'!$C$10:$C$224,$C176,'TL14'!$J$10:$J$224),0),
IF('TL14'!$B$229=O$3,SUMIF('TL14'!$C$238:$C$451,$C176,'TL14'!$J$238:$J$451),0),
IF('TL15'!$B$3=O$3,SUMIF('TL15'!$C$10:$C$224,$C176,'TL15'!$J$10:$J$224),0),
IF('TL15'!$B$229=O$3,SUMIF('TL15'!$C$238:$C$451,$C176,'TL15'!$J$238:$J$451),0),
IF('TL16'!$B$3=O$3,SUMIF('TL16'!$C$10:$C$224,$C176,'TL16'!$J$10:$J$224),0),
IF('TL16'!$B$229=O$3,SUMIF('TL16'!$C$238:$C$451,$C176,'TL16'!$J$238:$J$451),0),
IF('TL17'!$B$3=O$3,SUMIF('TL17'!$C$10:$C$224,$C176,'TL17'!$J$10:$J$224),0),
IF('TL17'!$B$229=O$3,SUMIF('TL17'!$C$238:$C$451,$C176,'TL17'!$J$238:$J$451),0),
IF('TL18'!$B$3=O$3,SUMIF('TL18'!$C$10:$C$224,$C176,'TL18'!$J$10:$J$224),0),
IF('TL18'!$B$229=O$3,SUMIF('TL18'!$C$238:$C$451,$C176,'TL18'!$J$238:$J$451),0),
IF('TL19'!$B$3=O$3,SUMIF('TL19'!$C$10:$C$224,$C176,'TL19'!$J$10:$J$224),0),
IF('TL19'!$B$229=O$3,SUMIF('TL19'!$C$238:$C$451,$C176,'TL19'!$J$238:$J$451),0)
),0)</f>
        <v/>
      </c>
      <c r="P176" s="9">
        <f>IFERROR(SUM(
IF('TL01'!$B$3=P$3,SUMIF('TL01'!$C$10:$C$224,$C176,'TL01'!$J$10:$J$224),0),
IF('TL01'!$B$229=P$3,SUMIF('TL01'!$C$238:$C$451,$C176,'TL01'!$J$238:$J$451),0),
IF('TL02'!$B$3=P$3,SUMIF('TL02'!$C$10:$C$224,$C176,'TL02'!$J$10:$J$224),0),
IF('TL02'!$B$229=P$3,SUMIF('TL02'!$C$238:$C$451,$C176,'TL02'!$J$238:$J$451),0),
IF('TL03'!$B$3=P$3,SUMIF('TL03'!$C$10:$C$224,$C176,'TL03'!$J$10:$J$224),0),
IF('TL03'!$B$229=P$3,SUMIF('TL03'!$C$238:$C$451,$C176,'TL03'!$J$238:$J$451),0),
IF('TL04'!$B$3=P$3,SUMIF('TL04'!$C$10:$C$224,$C176,'TL04'!$J$10:$J$224),0),
IF('TL04'!$B$229=P$3,SUMIF('TL04'!$C$238:$C$451,$C176,'TL04'!$J$238:$J$451),0),
IF('TL05'!$B$3=P$3,SUMIF('TL05'!$C$10:$C$224,$C176,'TL05'!$J$10:$J$224),0),
IF('TL05'!$B$229=P$3,SUMIF('TL05'!$C$238:$C$451,$C176,'TL05'!$J$238:$J$451),0),
IF('TL06'!$B$3=P$3,SUMIF('TL06'!$C$10:$C$224,$C176,'TL06'!$J$10:$J$224),0),
IF('TL06'!$B$229=P$3,SUMIF('TL06'!$C$238:$C$451,$C176,'TL06'!$J$238:$J$451),0),
IF('TL07'!$B$3=P$3,SUMIF('TL07'!$C$10:$C$224,$C176,'TL07'!$J$10:$J$224),0),
IF('TL07'!$B$229=P$3,SUMIF('TL07'!$C$238:$C$451,$C176,'TL07'!$J$238:$J$451),0),
IF('TL08'!$B$3=P$3,SUMIF('TL08'!$C$10:$C$224,$C176,'TL08'!$J$10:$J$224),0),
IF('TL08'!$B$229=P$3,SUMIF('TL08'!$C$238:$C$451,$C176,'TL08'!$J$238:$J$451),0),
IF('TL09'!$B$3=P$3,SUMIF('TL09'!$C$10:$C$224,$C176,'TL09'!$J$10:$J$224),0),
IF('TL09'!$B$229=P$3,SUMIF('TL09'!$C$238:$C$451,$C176,'TL09'!$J$238:$J$451),0),
IF('TL10'!$B$3=P$3,SUMIF('TL10'!$C$10:$C$224,$C176,'TL10'!$J$10:$J$224),0),
IF('TL10'!$B$229=P$3,SUMIF('TL10'!$C$238:$C$451,$C176,'TL10'!$J$238:$J$451),0),
IF('TL11'!$B$3=P$3,SUMIF('TL11'!$C$10:$C$224,$C176,'TL11'!$J$10:$J$224),0),
IF('TL11'!$B$229=P$3,SUMIF('TL11'!$C$238:$C$451,$C176,'TL11'!$J$238:$J$451),0),
IF('TL12'!$B$3=P$3,SUMIF('TL12'!$C$10:$C$224,$C176,'TL12'!$J$10:$J$224),0),
IF('TL12'!$B$229=P$3,SUMIF('TL12'!$C$238:$C$451,$C176,'TL12'!$J$238:$J$451),0),
IF('TL13'!$B$3=P$3,SUMIF('TL13'!$C$10:$C$224,$C176,'TL13'!$J$10:$J$224),0),
IF('TL13'!$B$229=P$3,SUMIF('TL13'!$C$238:$C$451,$C176,'TL13'!$J$238:$J$451),0),
IF('TL14'!$B$3=P$3,SUMIF('TL14'!$C$10:$C$224,$C176,'TL14'!$J$10:$J$224),0),
IF('TL14'!$B$229=P$3,SUMIF('TL14'!$C$238:$C$451,$C176,'TL14'!$J$238:$J$451),0),
IF('TL15'!$B$3=P$3,SUMIF('TL15'!$C$10:$C$224,$C176,'TL15'!$J$10:$J$224),0),
IF('TL15'!$B$229=P$3,SUMIF('TL15'!$C$238:$C$451,$C176,'TL15'!$J$238:$J$451),0),
IF('TL16'!$B$3=P$3,SUMIF('TL16'!$C$10:$C$224,$C176,'TL16'!$J$10:$J$224),0),
IF('TL16'!$B$229=P$3,SUMIF('TL16'!$C$238:$C$451,$C176,'TL16'!$J$238:$J$451),0),
IF('TL17'!$B$3=P$3,SUMIF('TL17'!$C$10:$C$224,$C176,'TL17'!$J$10:$J$224),0),
IF('TL17'!$B$229=P$3,SUMIF('TL17'!$C$238:$C$451,$C176,'TL17'!$J$238:$J$451),0),
IF('TL18'!$B$3=P$3,SUMIF('TL18'!$C$10:$C$224,$C176,'TL18'!$J$10:$J$224),0),
IF('TL18'!$B$229=P$3,SUMIF('TL18'!$C$238:$C$451,$C176,'TL18'!$J$238:$J$451),0),
IF('TL19'!$B$3=P$3,SUMIF('TL19'!$C$10:$C$224,$C176,'TL19'!$J$10:$J$224),0),
IF('TL19'!$B$229=P$3,SUMIF('TL19'!$C$238:$C$451,$C176,'TL19'!$J$238:$J$451),0)
),0)</f>
        <v/>
      </c>
      <c r="Q176" s="9">
        <f>IFERROR(SUM(
IF('TL01'!$B$3=Q$3,SUMIF('TL01'!$C$10:$C$224,$C176,'TL01'!$J$10:$J$224),0),
IF('TL01'!$B$229=Q$3,SUMIF('TL01'!$C$238:$C$451,$C176,'TL01'!$J$238:$J$451),0),
IF('TL02'!$B$3=Q$3,SUMIF('TL02'!$C$10:$C$224,$C176,'TL02'!$J$10:$J$224),0),
IF('TL02'!$B$229=Q$3,SUMIF('TL02'!$C$238:$C$451,$C176,'TL02'!$J$238:$J$451),0),
IF('TL03'!$B$3=Q$3,SUMIF('TL03'!$C$10:$C$224,$C176,'TL03'!$J$10:$J$224),0),
IF('TL03'!$B$229=Q$3,SUMIF('TL03'!$C$238:$C$451,$C176,'TL03'!$J$238:$J$451),0),
IF('TL04'!$B$3=Q$3,SUMIF('TL04'!$C$10:$C$224,$C176,'TL04'!$J$10:$J$224),0),
IF('TL04'!$B$229=Q$3,SUMIF('TL04'!$C$238:$C$451,$C176,'TL04'!$J$238:$J$451),0),
IF('TL05'!$B$3=Q$3,SUMIF('TL05'!$C$10:$C$224,$C176,'TL05'!$J$10:$J$224),0),
IF('TL05'!$B$229=Q$3,SUMIF('TL05'!$C$238:$C$451,$C176,'TL05'!$J$238:$J$451),0),
IF('TL06'!$B$3=Q$3,SUMIF('TL06'!$C$10:$C$224,$C176,'TL06'!$J$10:$J$224),0),
IF('TL06'!$B$229=Q$3,SUMIF('TL06'!$C$238:$C$451,$C176,'TL06'!$J$238:$J$451),0),
IF('TL07'!$B$3=Q$3,SUMIF('TL07'!$C$10:$C$224,$C176,'TL07'!$J$10:$J$224),0),
IF('TL07'!$B$229=Q$3,SUMIF('TL07'!$C$238:$C$451,$C176,'TL07'!$J$238:$J$451),0),
IF('TL08'!$B$3=Q$3,SUMIF('TL08'!$C$10:$C$224,$C176,'TL08'!$J$10:$J$224),0),
IF('TL08'!$B$229=Q$3,SUMIF('TL08'!$C$238:$C$451,$C176,'TL08'!$J$238:$J$451),0),
IF('TL09'!$B$3=Q$3,SUMIF('TL09'!$C$10:$C$224,$C176,'TL09'!$J$10:$J$224),0),
IF('TL09'!$B$229=Q$3,SUMIF('TL09'!$C$238:$C$451,$C176,'TL09'!$J$238:$J$451),0),
IF('TL10'!$B$3=Q$3,SUMIF('TL10'!$C$10:$C$224,$C176,'TL10'!$J$10:$J$224),0),
IF('TL10'!$B$229=Q$3,SUMIF('TL10'!$C$238:$C$451,$C176,'TL10'!$J$238:$J$451),0),
IF('TL11'!$B$3=Q$3,SUMIF('TL11'!$C$10:$C$224,$C176,'TL11'!$J$10:$J$224),0),
IF('TL11'!$B$229=Q$3,SUMIF('TL11'!$C$238:$C$451,$C176,'TL11'!$J$238:$J$451),0),
IF('TL12'!$B$3=Q$3,SUMIF('TL12'!$C$10:$C$224,$C176,'TL12'!$J$10:$J$224),0),
IF('TL12'!$B$229=Q$3,SUMIF('TL12'!$C$238:$C$451,$C176,'TL12'!$J$238:$J$451),0),
IF('TL13'!$B$3=Q$3,SUMIF('TL13'!$C$10:$C$224,$C176,'TL13'!$J$10:$J$224),0),
IF('TL13'!$B$229=Q$3,SUMIF('TL13'!$C$238:$C$451,$C176,'TL13'!$J$238:$J$451),0),
IF('TL14'!$B$3=Q$3,SUMIF('TL14'!$C$10:$C$224,$C176,'TL14'!$J$10:$J$224),0),
IF('TL14'!$B$229=Q$3,SUMIF('TL14'!$C$238:$C$451,$C176,'TL14'!$J$238:$J$451),0),
IF('TL15'!$B$3=Q$3,SUMIF('TL15'!$C$10:$C$224,$C176,'TL15'!$J$10:$J$224),0),
IF('TL15'!$B$229=Q$3,SUMIF('TL15'!$C$238:$C$451,$C176,'TL15'!$J$238:$J$451),0),
IF('TL16'!$B$3=Q$3,SUMIF('TL16'!$C$10:$C$224,$C176,'TL16'!$J$10:$J$224),0),
IF('TL16'!$B$229=Q$3,SUMIF('TL16'!$C$238:$C$451,$C176,'TL16'!$J$238:$J$451),0),
IF('TL17'!$B$3=Q$3,SUMIF('TL17'!$C$10:$C$224,$C176,'TL17'!$J$10:$J$224),0),
IF('TL17'!$B$229=Q$3,SUMIF('TL17'!$C$238:$C$451,$C176,'TL17'!$J$238:$J$451),0),
IF('TL18'!$B$3=Q$3,SUMIF('TL18'!$C$10:$C$224,$C176,'TL18'!$J$10:$J$224),0),
IF('TL18'!$B$229=Q$3,SUMIF('TL18'!$C$238:$C$451,$C176,'TL18'!$J$238:$J$451),0),
IF('TL19'!$B$3=Q$3,SUMIF('TL19'!$C$10:$C$224,$C176,'TL19'!$J$10:$J$224),0),
IF('TL19'!$B$229=Q$3,SUMIF('TL19'!$C$238:$C$451,$C176,'TL19'!$J$238:$J$451),0)
),0)</f>
        <v/>
      </c>
      <c r="R176" s="9">
        <f>IFERROR(
SUM(
SUMIF('TL01'!C:C,C176,'TL01'!J:J),
SUMIF('TL02'!C:C,C176,'TL02'!J:J),
SUMIF('TL03'!C:C,C176,'TL03'!J:J),
SUMIF('TL04'!C:C,C176,'TL04'!J:J),
SUMIF('TL05'!C:C,C176,'TL05'!J:J),
SUMIF('TL06'!C:C,C176,'TL06'!J:J),
SUMIF('TL07'!C:C,C176,'TL07'!J:J),
SUMIF('TL08'!C:C,C176,'TL08'!J:J),
SUMIF('TL09'!C:C,C176,'TL09'!J:J),
SUMIF('TL10'!C:C,C176,'TL10'!J:J),
SUMIF('TL11'!C:C,C176,'TL11'!J:J),
SUMIF('TL12'!C:C,C176,'TL12'!J:J),
SUMIF('TL13'!C:C,C176,'TL13'!J:J),
SUMIF('TL14'!C:C,C176,'TL14'!J:J),
SUMIF('TL15'!C:C,C176,'TL15'!J:J),
SUMIF('TL16'!C:C,C176,'TL16'!J:J),
SUMIF('TL17'!C:C,C176,'TL17'!J:J),
SUMIF('TL18'!C:C,C176,'TL18'!J:J),SUMIF('TL19'!C:C,C176,'TL19'!J:J))
,0)</f>
        <v/>
      </c>
      <c r="S176" s="17">
        <f>IFERROR(__xludf.DUMMYFUNCTION("IFERROR(VLOOKUP(C176,
IMPORTRANGE(""1wULbzX32WdYsx-lj2U3uUNBBe2INVIRDtcK0d-Dvl90"",
""26-27!C:G""),
5,
FALSE),
"""")"),72.69849)</f>
        <v/>
      </c>
      <c r="T176" s="9" t="n"/>
      <c r="U176" s="92">
        <f>MAX(0,R176-T176)</f>
        <v/>
      </c>
      <c r="V176" s="93">
        <f>U176*S176</f>
        <v/>
      </c>
    </row>
    <row r="177" hidden="1" ht="15.75" customHeight="1" s="297">
      <c r="A177" s="94" t="inlineStr">
        <is>
          <t>ADAMA</t>
        </is>
      </c>
      <c r="B177" s="95" t="inlineStr">
        <is>
          <t>INSETICIDA</t>
        </is>
      </c>
      <c r="C177" s="96" t="inlineStr">
        <is>
          <t>TRIVOR</t>
        </is>
      </c>
      <c r="D177" s="96" t="inlineStr">
        <is>
          <t>ACETAMIPRIDO + PIRIPROXIFEM</t>
        </is>
      </c>
      <c r="E177" s="96" t="inlineStr">
        <is>
          <t>186 + 124</t>
        </is>
      </c>
      <c r="F177" s="4" t="inlineStr">
        <is>
          <t>L</t>
        </is>
      </c>
      <c r="G177" s="90">
        <f>HYPERLINK("https://www.google.com/search?q=" &amp; C177 &amp; "+bula+agrofit+pdf", "📄 Ver bula")</f>
        <v/>
      </c>
      <c r="H177" s="9">
        <f>IFERROR(__xludf.DUMMYFUNCTION("IFERROR(VLOOKUP(C177,
IMPORTRANGE(""1wULbzX32WdYsx-lj2U3uUNBBe2INVIRDtcK0d-Dvl90"",
""26-27!C:K""),
8,
FALSE),
"""")"),0.2)</f>
        <v/>
      </c>
      <c r="I177" s="97" t="inlineStr">
        <is>
          <t>4x5</t>
        </is>
      </c>
      <c r="J177" s="9">
        <f>IFERROR(SUM(
IF('TL01'!$B$3=J$3,SUMIF('TL01'!$C$10:$C$224,$C177,'TL01'!$J$10:$J$224),0),
IF('TL01'!$B$229=J$3,SUMIF('TL01'!$C$238:$C$451,$C177,'TL01'!$J$238:$J$451),0),
IF('TL02'!$B$3=J$3,SUMIF('TL02'!$C$10:$C$224,$C177,'TL02'!$J$10:$J$224),0),
IF('TL02'!$B$229=J$3,SUMIF('TL02'!$C$238:$C$451,$C177,'TL02'!$J$238:$J$451),0),
IF('TL03'!$B$3=J$3,SUMIF('TL03'!$C$10:$C$224,$C177,'TL03'!$J$10:$J$224),0),
IF('TL03'!$B$229=J$3,SUMIF('TL03'!$C$238:$C$451,$C177,'TL03'!$J$238:$J$451),0),
IF('TL04'!$B$3=J$3,SUMIF('TL04'!$C$10:$C$224,$C177,'TL04'!$J$10:$J$224),0),
IF('TL04'!$B$229=J$3,SUMIF('TL04'!$C$238:$C$451,$C177,'TL04'!$J$238:$J$451),0),
IF('TL05'!$B$3=J$3,SUMIF('TL05'!$C$10:$C$224,$C177,'TL05'!$J$10:$J$224),0),
IF('TL05'!$B$229=J$3,SUMIF('TL05'!$C$238:$C$451,$C177,'TL05'!$J$238:$J$451),0),
IF('TL06'!$B$3=J$3,SUMIF('TL06'!$C$10:$C$224,$C177,'TL06'!$J$10:$J$224),0),
IF('TL06'!$B$229=J$3,SUMIF('TL06'!$C$238:$C$451,$C177,'TL06'!$J$238:$J$451),0),
IF('TL07'!$B$3=J$3,SUMIF('TL07'!$C$10:$C$224,$C177,'TL07'!$J$10:$J$224),0),
IF('TL07'!$B$229=J$3,SUMIF('TL07'!$C$238:$C$451,$C177,'TL07'!$J$238:$J$451),0),
IF('TL08'!$B$3=J$3,SUMIF('TL08'!$C$10:$C$224,$C177,'TL08'!$J$10:$J$224),0),
IF('TL08'!$B$229=J$3,SUMIF('TL08'!$C$238:$C$451,$C177,'TL08'!$J$238:$J$451),0),
IF('TL09'!$B$3=J$3,SUMIF('TL09'!$C$10:$C$224,$C177,'TL09'!$J$10:$J$224),0),
IF('TL09'!$B$229=J$3,SUMIF('TL09'!$C$238:$C$451,$C177,'TL09'!$J$238:$J$451),0),
IF('TL10'!$B$3=J$3,SUMIF('TL10'!$C$10:$C$224,$C177,'TL10'!$J$10:$J$224),0),
IF('TL10'!$B$229=J$3,SUMIF('TL10'!$C$238:$C$451,$C177,'TL10'!$J$238:$J$451),0),
IF('TL11'!$B$3=J$3,SUMIF('TL11'!$C$10:$C$224,$C177,'TL11'!$J$10:$J$224),0),
IF('TL11'!$B$229=J$3,SUMIF('TL11'!$C$238:$C$451,$C177,'TL11'!$J$238:$J$451),0),
IF('TL12'!$B$3=J$3,SUMIF('TL12'!$C$10:$C$224,$C177,'TL12'!$J$10:$J$224),0),
IF('TL12'!$B$229=J$3,SUMIF('TL12'!$C$238:$C$451,$C177,'TL12'!$J$238:$J$451),0),
IF('TL13'!$B$3=J$3,SUMIF('TL13'!$C$10:$C$224,$C177,'TL13'!$J$10:$J$224),0),
IF('TL13'!$B$229=J$3,SUMIF('TL13'!$C$238:$C$451,$C177,'TL13'!$J$238:$J$451),0),
IF('TL14'!$B$3=J$3,SUMIF('TL14'!$C$10:$C$224,$C177,'TL14'!$J$10:$J$224),0),
IF('TL14'!$B$229=J$3,SUMIF('TL14'!$C$238:$C$451,$C177,'TL14'!$J$238:$J$451),0),
IF('TL15'!$B$3=J$3,SUMIF('TL15'!$C$10:$C$224,$C177,'TL15'!$J$10:$J$224),0),
IF('TL15'!$B$229=J$3,SUMIF('TL15'!$C$238:$C$451,$C177,'TL15'!$J$238:$J$451),0),
IF('TL16'!$B$3=J$3,SUMIF('TL16'!$C$10:$C$224,$C177,'TL16'!$J$10:$J$224),0),
IF('TL16'!$B$229=J$3,SUMIF('TL16'!$C$238:$C$451,$C177,'TL16'!$J$238:$J$451),0),
IF('TL17'!$B$3=J$3,SUMIF('TL17'!$C$10:$C$224,$C177,'TL17'!$J$10:$J$224),0),
IF('TL17'!$B$229=J$3,SUMIF('TL17'!$C$238:$C$451,$C177,'TL17'!$J$238:$J$451),0),
IF('TL18'!$B$3=J$3,SUMIF('TL18'!$C$10:$C$224,$C177,'TL18'!$J$10:$J$224),0),
IF('TL18'!$B$229=J$3,SUMIF('TL18'!$C$238:$C$451,$C177,'TL18'!$J$238:$J$451),0),
IF('TL19'!$B$3=J$3,SUMIF('TL19'!$C$10:$C$224,$C177,'TL19'!$J$10:$J$224),0),
IF('TL19'!$B$229=J$3,SUMIF('TL19'!$C$238:$C$451,$C177,'TL19'!$J$238:$J$451),0)
),0)</f>
        <v/>
      </c>
      <c r="K177" s="9">
        <f>IFERROR(SUM(
IF('TL01'!$B$3=K$3,SUMIF('TL01'!$C$10:$C$224,$C177,'TL01'!$J$10:$J$224),0),
IF('TL01'!$B$229=K$3,SUMIF('TL01'!$C$238:$C$451,$C177,'TL01'!$J$238:$J$451),0),
IF('TL02'!$B$3=K$3,SUMIF('TL02'!$C$10:$C$224,$C177,'TL02'!$J$10:$J$224),0),
IF('TL02'!$B$229=K$3,SUMIF('TL02'!$C$238:$C$451,$C177,'TL02'!$J$238:$J$451),0),
IF('TL03'!$B$3=K$3,SUMIF('TL03'!$C$10:$C$224,$C177,'TL03'!$J$10:$J$224),0),
IF('TL03'!$B$229=K$3,SUMIF('TL03'!$C$238:$C$451,$C177,'TL03'!$J$238:$J$451),0),
IF('TL04'!$B$3=K$3,SUMIF('TL04'!$C$10:$C$224,$C177,'TL04'!$J$10:$J$224),0),
IF('TL04'!$B$229=K$3,SUMIF('TL04'!$C$238:$C$451,$C177,'TL04'!$J$238:$J$451),0),
IF('TL05'!$B$3=K$3,SUMIF('TL05'!$C$10:$C$224,$C177,'TL05'!$J$10:$J$224),0),
IF('TL05'!$B$229=K$3,SUMIF('TL05'!$C$238:$C$451,$C177,'TL05'!$J$238:$J$451),0),
IF('TL06'!$B$3=K$3,SUMIF('TL06'!$C$10:$C$224,$C177,'TL06'!$J$10:$J$224),0),
IF('TL06'!$B$229=K$3,SUMIF('TL06'!$C$238:$C$451,$C177,'TL06'!$J$238:$J$451),0),
IF('TL07'!$B$3=K$3,SUMIF('TL07'!$C$10:$C$224,$C177,'TL07'!$J$10:$J$224),0),
IF('TL07'!$B$229=K$3,SUMIF('TL07'!$C$238:$C$451,$C177,'TL07'!$J$238:$J$451),0),
IF('TL08'!$B$3=K$3,SUMIF('TL08'!$C$10:$C$224,$C177,'TL08'!$J$10:$J$224),0),
IF('TL08'!$B$229=K$3,SUMIF('TL08'!$C$238:$C$451,$C177,'TL08'!$J$238:$J$451),0),
IF('TL09'!$B$3=K$3,SUMIF('TL09'!$C$10:$C$224,$C177,'TL09'!$J$10:$J$224),0),
IF('TL09'!$B$229=K$3,SUMIF('TL09'!$C$238:$C$451,$C177,'TL09'!$J$238:$J$451),0),
IF('TL10'!$B$3=K$3,SUMIF('TL10'!$C$10:$C$224,$C177,'TL10'!$J$10:$J$224),0),
IF('TL10'!$B$229=K$3,SUMIF('TL10'!$C$238:$C$451,$C177,'TL10'!$J$238:$J$451),0),
IF('TL11'!$B$3=K$3,SUMIF('TL11'!$C$10:$C$224,$C177,'TL11'!$J$10:$J$224),0),
IF('TL11'!$B$229=K$3,SUMIF('TL11'!$C$238:$C$451,$C177,'TL11'!$J$238:$J$451),0),
IF('TL12'!$B$3=K$3,SUMIF('TL12'!$C$10:$C$224,$C177,'TL12'!$J$10:$J$224),0),
IF('TL12'!$B$229=K$3,SUMIF('TL12'!$C$238:$C$451,$C177,'TL12'!$J$238:$J$451),0),
IF('TL13'!$B$3=K$3,SUMIF('TL13'!$C$10:$C$224,$C177,'TL13'!$J$10:$J$224),0),
IF('TL13'!$B$229=K$3,SUMIF('TL13'!$C$238:$C$451,$C177,'TL13'!$J$238:$J$451),0),
IF('TL14'!$B$3=K$3,SUMIF('TL14'!$C$10:$C$224,$C177,'TL14'!$J$10:$J$224),0),
IF('TL14'!$B$229=K$3,SUMIF('TL14'!$C$238:$C$451,$C177,'TL14'!$J$238:$J$451),0),
IF('TL15'!$B$3=K$3,SUMIF('TL15'!$C$10:$C$224,$C177,'TL15'!$J$10:$J$224),0),
IF('TL15'!$B$229=K$3,SUMIF('TL15'!$C$238:$C$451,$C177,'TL15'!$J$238:$J$451),0),
IF('TL16'!$B$3=K$3,SUMIF('TL16'!$C$10:$C$224,$C177,'TL16'!$J$10:$J$224),0),
IF('TL16'!$B$229=K$3,SUMIF('TL16'!$C$238:$C$451,$C177,'TL16'!$J$238:$J$451),0),
IF('TL17'!$B$3=K$3,SUMIF('TL17'!$C$10:$C$224,$C177,'TL17'!$J$10:$J$224),0),
IF('TL17'!$B$229=K$3,SUMIF('TL17'!$C$238:$C$451,$C177,'TL17'!$J$238:$J$451),0),
IF('TL18'!$B$3=K$3,SUMIF('TL18'!$C$10:$C$224,$C177,'TL18'!$J$10:$J$224),0),
IF('TL18'!$B$229=K$3,SUMIF('TL18'!$C$238:$C$451,$C177,'TL18'!$J$238:$J$451),0),
IF('TL19'!$B$3=K$3,SUMIF('TL19'!$C$10:$C$224,$C177,'TL19'!$J$10:$J$224),0),
IF('TL19'!$B$229=K$3,SUMIF('TL19'!$C$238:$C$451,$C177,'TL19'!$J$238:$J$451),0)
),0)</f>
        <v/>
      </c>
      <c r="L177" s="9">
        <f>IFERROR(SUM(
IF('TL01'!$B$3=L$3,SUMIF('TL01'!$C$10:$C$224,$C177,'TL01'!$J$10:$J$224),0),
IF('TL01'!$B$229=L$3,SUMIF('TL01'!$C$238:$C$451,$C177,'TL01'!$J$238:$J$451),0),
IF('TL02'!$B$3=L$3,SUMIF('TL02'!$C$10:$C$224,$C177,'TL02'!$J$10:$J$224),0),
IF('TL02'!$B$229=L$3,SUMIF('TL02'!$C$238:$C$451,$C177,'TL02'!$J$238:$J$451),0),
IF('TL03'!$B$3=L$3,SUMIF('TL03'!$C$10:$C$224,$C177,'TL03'!$J$10:$J$224),0),
IF('TL03'!$B$229=L$3,SUMIF('TL03'!$C$238:$C$451,$C177,'TL03'!$J$238:$J$451),0),
IF('TL04'!$B$3=L$3,SUMIF('TL04'!$C$10:$C$224,$C177,'TL04'!$J$10:$J$224),0),
IF('TL04'!$B$229=L$3,SUMIF('TL04'!$C$238:$C$451,$C177,'TL04'!$J$238:$J$451),0),
IF('TL05'!$B$3=L$3,SUMIF('TL05'!$C$10:$C$224,$C177,'TL05'!$J$10:$J$224),0),
IF('TL05'!$B$229=L$3,SUMIF('TL05'!$C$238:$C$451,$C177,'TL05'!$J$238:$J$451),0),
IF('TL06'!$B$3=L$3,SUMIF('TL06'!$C$10:$C$224,$C177,'TL06'!$J$10:$J$224),0),
IF('TL06'!$B$229=L$3,SUMIF('TL06'!$C$238:$C$451,$C177,'TL06'!$J$238:$J$451),0),
IF('TL07'!$B$3=L$3,SUMIF('TL07'!$C$10:$C$224,$C177,'TL07'!$J$10:$J$224),0),
IF('TL07'!$B$229=L$3,SUMIF('TL07'!$C$238:$C$451,$C177,'TL07'!$J$238:$J$451),0),
IF('TL08'!$B$3=L$3,SUMIF('TL08'!$C$10:$C$224,$C177,'TL08'!$J$10:$J$224),0),
IF('TL08'!$B$229=L$3,SUMIF('TL08'!$C$238:$C$451,$C177,'TL08'!$J$238:$J$451),0),
IF('TL09'!$B$3=L$3,SUMIF('TL09'!$C$10:$C$224,$C177,'TL09'!$J$10:$J$224),0),
IF('TL09'!$B$229=L$3,SUMIF('TL09'!$C$238:$C$451,$C177,'TL09'!$J$238:$J$451),0),
IF('TL10'!$B$3=L$3,SUMIF('TL10'!$C$10:$C$224,$C177,'TL10'!$J$10:$J$224),0),
IF('TL10'!$B$229=L$3,SUMIF('TL10'!$C$238:$C$451,$C177,'TL10'!$J$238:$J$451),0),
IF('TL11'!$B$3=L$3,SUMIF('TL11'!$C$10:$C$224,$C177,'TL11'!$J$10:$J$224),0),
IF('TL11'!$B$229=L$3,SUMIF('TL11'!$C$238:$C$451,$C177,'TL11'!$J$238:$J$451),0),
IF('TL12'!$B$3=L$3,SUMIF('TL12'!$C$10:$C$224,$C177,'TL12'!$J$10:$J$224),0),
IF('TL12'!$B$229=L$3,SUMIF('TL12'!$C$238:$C$451,$C177,'TL12'!$J$238:$J$451),0),
IF('TL13'!$B$3=L$3,SUMIF('TL13'!$C$10:$C$224,$C177,'TL13'!$J$10:$J$224),0),
IF('TL13'!$B$229=L$3,SUMIF('TL13'!$C$238:$C$451,$C177,'TL13'!$J$238:$J$451),0),
IF('TL14'!$B$3=L$3,SUMIF('TL14'!$C$10:$C$224,$C177,'TL14'!$J$10:$J$224),0),
IF('TL14'!$B$229=L$3,SUMIF('TL14'!$C$238:$C$451,$C177,'TL14'!$J$238:$J$451),0),
IF('TL15'!$B$3=L$3,SUMIF('TL15'!$C$10:$C$224,$C177,'TL15'!$J$10:$J$224),0),
IF('TL15'!$B$229=L$3,SUMIF('TL15'!$C$238:$C$451,$C177,'TL15'!$J$238:$J$451),0),
IF('TL16'!$B$3=L$3,SUMIF('TL16'!$C$10:$C$224,$C177,'TL16'!$J$10:$J$224),0),
IF('TL16'!$B$229=L$3,SUMIF('TL16'!$C$238:$C$451,$C177,'TL16'!$J$238:$J$451),0),
IF('TL17'!$B$3=L$3,SUMIF('TL17'!$C$10:$C$224,$C177,'TL17'!$J$10:$J$224),0),
IF('TL17'!$B$229=L$3,SUMIF('TL17'!$C$238:$C$451,$C177,'TL17'!$J$238:$J$451),0),
IF('TL18'!$B$3=L$3,SUMIF('TL18'!$C$10:$C$224,$C177,'TL18'!$J$10:$J$224),0),
IF('TL18'!$B$229=L$3,SUMIF('TL18'!$C$238:$C$451,$C177,'TL18'!$J$238:$J$451),0),
IF('TL19'!$B$3=L$3,SUMIF('TL19'!$C$10:$C$224,$C177,'TL19'!$J$10:$J$224),0),
IF('TL19'!$B$229=L$3,SUMIF('TL19'!$C$238:$C$451,$C177,'TL19'!$J$238:$J$451),0)
),0)</f>
        <v/>
      </c>
      <c r="M177" s="9">
        <f>IFERROR(SUM(
IF('TL01'!$B$3=M$3,SUMIF('TL01'!$C$10:$C$224,$C177,'TL01'!$J$10:$J$224),0),
IF('TL01'!$B$229=M$3,SUMIF('TL01'!$C$238:$C$451,$C177,'TL01'!$J$238:$J$451),0),
IF('TL02'!$B$3=M$3,SUMIF('TL02'!$C$10:$C$224,$C177,'TL02'!$J$10:$J$224),0),
IF('TL02'!$B$229=M$3,SUMIF('TL02'!$C$238:$C$451,$C177,'TL02'!$J$238:$J$451),0),
IF('TL03'!$B$3=M$3,SUMIF('TL03'!$C$10:$C$224,$C177,'TL03'!$J$10:$J$224),0),
IF('TL03'!$B$229=M$3,SUMIF('TL03'!$C$238:$C$451,$C177,'TL03'!$J$238:$J$451),0),
IF('TL04'!$B$3=M$3,SUMIF('TL04'!$C$10:$C$224,$C177,'TL04'!$J$10:$J$224),0),
IF('TL04'!$B$229=M$3,SUMIF('TL04'!$C$238:$C$451,$C177,'TL04'!$J$238:$J$451),0),
IF('TL05'!$B$3=M$3,SUMIF('TL05'!$C$10:$C$224,$C177,'TL05'!$J$10:$J$224),0),
IF('TL05'!$B$229=M$3,SUMIF('TL05'!$C$238:$C$451,$C177,'TL05'!$J$238:$J$451),0),
IF('TL06'!$B$3=M$3,SUMIF('TL06'!$C$10:$C$224,$C177,'TL06'!$J$10:$J$224),0),
IF('TL06'!$B$229=M$3,SUMIF('TL06'!$C$238:$C$451,$C177,'TL06'!$J$238:$J$451),0),
IF('TL07'!$B$3=M$3,SUMIF('TL07'!$C$10:$C$224,$C177,'TL07'!$J$10:$J$224),0),
IF('TL07'!$B$229=M$3,SUMIF('TL07'!$C$238:$C$451,$C177,'TL07'!$J$238:$J$451),0),
IF('TL08'!$B$3=M$3,SUMIF('TL08'!$C$10:$C$224,$C177,'TL08'!$J$10:$J$224),0),
IF('TL08'!$B$229=M$3,SUMIF('TL08'!$C$238:$C$451,$C177,'TL08'!$J$238:$J$451),0),
IF('TL09'!$B$3=M$3,SUMIF('TL09'!$C$10:$C$224,$C177,'TL09'!$J$10:$J$224),0),
IF('TL09'!$B$229=M$3,SUMIF('TL09'!$C$238:$C$451,$C177,'TL09'!$J$238:$J$451),0),
IF('TL10'!$B$3=M$3,SUMIF('TL10'!$C$10:$C$224,$C177,'TL10'!$J$10:$J$224),0),
IF('TL10'!$B$229=M$3,SUMIF('TL10'!$C$238:$C$451,$C177,'TL10'!$J$238:$J$451),0),
IF('TL11'!$B$3=M$3,SUMIF('TL11'!$C$10:$C$224,$C177,'TL11'!$J$10:$J$224),0),
IF('TL11'!$B$229=M$3,SUMIF('TL11'!$C$238:$C$451,$C177,'TL11'!$J$238:$J$451),0),
IF('TL12'!$B$3=M$3,SUMIF('TL12'!$C$10:$C$224,$C177,'TL12'!$J$10:$J$224),0),
IF('TL12'!$B$229=M$3,SUMIF('TL12'!$C$238:$C$451,$C177,'TL12'!$J$238:$J$451),0),
IF('TL13'!$B$3=M$3,SUMIF('TL13'!$C$10:$C$224,$C177,'TL13'!$J$10:$J$224),0),
IF('TL13'!$B$229=M$3,SUMIF('TL13'!$C$238:$C$451,$C177,'TL13'!$J$238:$J$451),0),
IF('TL14'!$B$3=M$3,SUMIF('TL14'!$C$10:$C$224,$C177,'TL14'!$J$10:$J$224),0),
IF('TL14'!$B$229=M$3,SUMIF('TL14'!$C$238:$C$451,$C177,'TL14'!$J$238:$J$451),0),
IF('TL15'!$B$3=M$3,SUMIF('TL15'!$C$10:$C$224,$C177,'TL15'!$J$10:$J$224),0),
IF('TL15'!$B$229=M$3,SUMIF('TL15'!$C$238:$C$451,$C177,'TL15'!$J$238:$J$451),0),
IF('TL16'!$B$3=M$3,SUMIF('TL16'!$C$10:$C$224,$C177,'TL16'!$J$10:$J$224),0),
IF('TL16'!$B$229=M$3,SUMIF('TL16'!$C$238:$C$451,$C177,'TL16'!$J$238:$J$451),0),
IF('TL17'!$B$3=M$3,SUMIF('TL17'!$C$10:$C$224,$C177,'TL17'!$J$10:$J$224),0),
IF('TL17'!$B$229=M$3,SUMIF('TL17'!$C$238:$C$451,$C177,'TL17'!$J$238:$J$451),0),
IF('TL18'!$B$3=M$3,SUMIF('TL18'!$C$10:$C$224,$C177,'TL18'!$J$10:$J$224),0),
IF('TL18'!$B$229=M$3,SUMIF('TL18'!$C$238:$C$451,$C177,'TL18'!$J$238:$J$451),0),
IF('TL19'!$B$3=M$3,SUMIF('TL19'!$C$10:$C$224,$C177,'TL19'!$J$10:$J$224),0),
IF('TL19'!$B$229=M$3,SUMIF('TL19'!$C$238:$C$451,$C177,'TL19'!$J$238:$J$451),0)
),0)</f>
        <v/>
      </c>
      <c r="N177" s="9">
        <f>IFERROR(SUM(
IF('TL01'!$B$3=N$3,SUMIF('TL01'!$C$10:$C$224,$C177,'TL01'!$J$10:$J$224),0),
IF('TL01'!$B$229=N$3,SUMIF('TL01'!$C$238:$C$451,$C177,'TL01'!$J$238:$J$451),0),
IF('TL02'!$B$3=N$3,SUMIF('TL02'!$C$10:$C$224,$C177,'TL02'!$J$10:$J$224),0),
IF('TL02'!$B$229=N$3,SUMIF('TL02'!$C$238:$C$451,$C177,'TL02'!$J$238:$J$451),0),
IF('TL03'!$B$3=N$3,SUMIF('TL03'!$C$10:$C$224,$C177,'TL03'!$J$10:$J$224),0),
IF('TL03'!$B$229=N$3,SUMIF('TL03'!$C$238:$C$451,$C177,'TL03'!$J$238:$J$451),0),
IF('TL04'!$B$3=N$3,SUMIF('TL04'!$C$10:$C$224,$C177,'TL04'!$J$10:$J$224),0),
IF('TL04'!$B$229=N$3,SUMIF('TL04'!$C$238:$C$451,$C177,'TL04'!$J$238:$J$451),0),
IF('TL05'!$B$3=N$3,SUMIF('TL05'!$C$10:$C$224,$C177,'TL05'!$J$10:$J$224),0),
IF('TL05'!$B$229=N$3,SUMIF('TL05'!$C$238:$C$451,$C177,'TL05'!$J$238:$J$451),0),
IF('TL06'!$B$3=N$3,SUMIF('TL06'!$C$10:$C$224,$C177,'TL06'!$J$10:$J$224),0),
IF('TL06'!$B$229=N$3,SUMIF('TL06'!$C$238:$C$451,$C177,'TL06'!$J$238:$J$451),0),
IF('TL07'!$B$3=N$3,SUMIF('TL07'!$C$10:$C$224,$C177,'TL07'!$J$10:$J$224),0),
IF('TL07'!$B$229=N$3,SUMIF('TL07'!$C$238:$C$451,$C177,'TL07'!$J$238:$J$451),0),
IF('TL08'!$B$3=N$3,SUMIF('TL08'!$C$10:$C$224,$C177,'TL08'!$J$10:$J$224),0),
IF('TL08'!$B$229=N$3,SUMIF('TL08'!$C$238:$C$451,$C177,'TL08'!$J$238:$J$451),0),
IF('TL09'!$B$3=N$3,SUMIF('TL09'!$C$10:$C$224,$C177,'TL09'!$J$10:$J$224),0),
IF('TL09'!$B$229=N$3,SUMIF('TL09'!$C$238:$C$451,$C177,'TL09'!$J$238:$J$451),0),
IF('TL10'!$B$3=N$3,SUMIF('TL10'!$C$10:$C$224,$C177,'TL10'!$J$10:$J$224),0),
IF('TL10'!$B$229=N$3,SUMIF('TL10'!$C$238:$C$451,$C177,'TL10'!$J$238:$J$451),0),
IF('TL11'!$B$3=N$3,SUMIF('TL11'!$C$10:$C$224,$C177,'TL11'!$J$10:$J$224),0),
IF('TL11'!$B$229=N$3,SUMIF('TL11'!$C$238:$C$451,$C177,'TL11'!$J$238:$J$451),0),
IF('TL12'!$B$3=N$3,SUMIF('TL12'!$C$10:$C$224,$C177,'TL12'!$J$10:$J$224),0),
IF('TL12'!$B$229=N$3,SUMIF('TL12'!$C$238:$C$451,$C177,'TL12'!$J$238:$J$451),0),
IF('TL13'!$B$3=N$3,SUMIF('TL13'!$C$10:$C$224,$C177,'TL13'!$J$10:$J$224),0),
IF('TL13'!$B$229=N$3,SUMIF('TL13'!$C$238:$C$451,$C177,'TL13'!$J$238:$J$451),0),
IF('TL14'!$B$3=N$3,SUMIF('TL14'!$C$10:$C$224,$C177,'TL14'!$J$10:$J$224),0),
IF('TL14'!$B$229=N$3,SUMIF('TL14'!$C$238:$C$451,$C177,'TL14'!$J$238:$J$451),0),
IF('TL15'!$B$3=N$3,SUMIF('TL15'!$C$10:$C$224,$C177,'TL15'!$J$10:$J$224),0),
IF('TL15'!$B$229=N$3,SUMIF('TL15'!$C$238:$C$451,$C177,'TL15'!$J$238:$J$451),0),
IF('TL16'!$B$3=N$3,SUMIF('TL16'!$C$10:$C$224,$C177,'TL16'!$J$10:$J$224),0),
IF('TL16'!$B$229=N$3,SUMIF('TL16'!$C$238:$C$451,$C177,'TL16'!$J$238:$J$451),0),
IF('TL17'!$B$3=N$3,SUMIF('TL17'!$C$10:$C$224,$C177,'TL17'!$J$10:$J$224),0),
IF('TL17'!$B$229=N$3,SUMIF('TL17'!$C$238:$C$451,$C177,'TL17'!$J$238:$J$451),0),
IF('TL18'!$B$3=N$3,SUMIF('TL18'!$C$10:$C$224,$C177,'TL18'!$J$10:$J$224),0),
IF('TL18'!$B$229=N$3,SUMIF('TL18'!$C$238:$C$451,$C177,'TL18'!$J$238:$J$451),0),
IF('TL19'!$B$3=N$3,SUMIF('TL19'!$C$10:$C$224,$C177,'TL19'!$J$10:$J$224),0),
IF('TL19'!$B$229=N$3,SUMIF('TL19'!$C$238:$C$451,$C177,'TL19'!$J$238:$J$451),0)
),0)</f>
        <v/>
      </c>
      <c r="O177" s="9">
        <f>IFERROR(SUM(
IF('TL01'!$B$3=O$3,SUMIF('TL01'!$C$10:$C$224,$C177,'TL01'!$J$10:$J$224),0),
IF('TL01'!$B$229=O$3,SUMIF('TL01'!$C$238:$C$451,$C177,'TL01'!$J$238:$J$451),0),
IF('TL02'!$B$3=O$3,SUMIF('TL02'!$C$10:$C$224,$C177,'TL02'!$J$10:$J$224),0),
IF('TL02'!$B$229=O$3,SUMIF('TL02'!$C$238:$C$451,$C177,'TL02'!$J$238:$J$451),0),
IF('TL03'!$B$3=O$3,SUMIF('TL03'!$C$10:$C$224,$C177,'TL03'!$J$10:$J$224),0),
IF('TL03'!$B$229=O$3,SUMIF('TL03'!$C$238:$C$451,$C177,'TL03'!$J$238:$J$451),0),
IF('TL04'!$B$3=O$3,SUMIF('TL04'!$C$10:$C$224,$C177,'TL04'!$J$10:$J$224),0),
IF('TL04'!$B$229=O$3,SUMIF('TL04'!$C$238:$C$451,$C177,'TL04'!$J$238:$J$451),0),
IF('TL05'!$B$3=O$3,SUMIF('TL05'!$C$10:$C$224,$C177,'TL05'!$J$10:$J$224),0),
IF('TL05'!$B$229=O$3,SUMIF('TL05'!$C$238:$C$451,$C177,'TL05'!$J$238:$J$451),0),
IF('TL06'!$B$3=O$3,SUMIF('TL06'!$C$10:$C$224,$C177,'TL06'!$J$10:$J$224),0),
IF('TL06'!$B$229=O$3,SUMIF('TL06'!$C$238:$C$451,$C177,'TL06'!$J$238:$J$451),0),
IF('TL07'!$B$3=O$3,SUMIF('TL07'!$C$10:$C$224,$C177,'TL07'!$J$10:$J$224),0),
IF('TL07'!$B$229=O$3,SUMIF('TL07'!$C$238:$C$451,$C177,'TL07'!$J$238:$J$451),0),
IF('TL08'!$B$3=O$3,SUMIF('TL08'!$C$10:$C$224,$C177,'TL08'!$J$10:$J$224),0),
IF('TL08'!$B$229=O$3,SUMIF('TL08'!$C$238:$C$451,$C177,'TL08'!$J$238:$J$451),0),
IF('TL09'!$B$3=O$3,SUMIF('TL09'!$C$10:$C$224,$C177,'TL09'!$J$10:$J$224),0),
IF('TL09'!$B$229=O$3,SUMIF('TL09'!$C$238:$C$451,$C177,'TL09'!$J$238:$J$451),0),
IF('TL10'!$B$3=O$3,SUMIF('TL10'!$C$10:$C$224,$C177,'TL10'!$J$10:$J$224),0),
IF('TL10'!$B$229=O$3,SUMIF('TL10'!$C$238:$C$451,$C177,'TL10'!$J$238:$J$451),0),
IF('TL11'!$B$3=O$3,SUMIF('TL11'!$C$10:$C$224,$C177,'TL11'!$J$10:$J$224),0),
IF('TL11'!$B$229=O$3,SUMIF('TL11'!$C$238:$C$451,$C177,'TL11'!$J$238:$J$451),0),
IF('TL12'!$B$3=O$3,SUMIF('TL12'!$C$10:$C$224,$C177,'TL12'!$J$10:$J$224),0),
IF('TL12'!$B$229=O$3,SUMIF('TL12'!$C$238:$C$451,$C177,'TL12'!$J$238:$J$451),0),
IF('TL13'!$B$3=O$3,SUMIF('TL13'!$C$10:$C$224,$C177,'TL13'!$J$10:$J$224),0),
IF('TL13'!$B$229=O$3,SUMIF('TL13'!$C$238:$C$451,$C177,'TL13'!$J$238:$J$451),0),
IF('TL14'!$B$3=O$3,SUMIF('TL14'!$C$10:$C$224,$C177,'TL14'!$J$10:$J$224),0),
IF('TL14'!$B$229=O$3,SUMIF('TL14'!$C$238:$C$451,$C177,'TL14'!$J$238:$J$451),0),
IF('TL15'!$B$3=O$3,SUMIF('TL15'!$C$10:$C$224,$C177,'TL15'!$J$10:$J$224),0),
IF('TL15'!$B$229=O$3,SUMIF('TL15'!$C$238:$C$451,$C177,'TL15'!$J$238:$J$451),0),
IF('TL16'!$B$3=O$3,SUMIF('TL16'!$C$10:$C$224,$C177,'TL16'!$J$10:$J$224),0),
IF('TL16'!$B$229=O$3,SUMIF('TL16'!$C$238:$C$451,$C177,'TL16'!$J$238:$J$451),0),
IF('TL17'!$B$3=O$3,SUMIF('TL17'!$C$10:$C$224,$C177,'TL17'!$J$10:$J$224),0),
IF('TL17'!$B$229=O$3,SUMIF('TL17'!$C$238:$C$451,$C177,'TL17'!$J$238:$J$451),0),
IF('TL18'!$B$3=O$3,SUMIF('TL18'!$C$10:$C$224,$C177,'TL18'!$J$10:$J$224),0),
IF('TL18'!$B$229=O$3,SUMIF('TL18'!$C$238:$C$451,$C177,'TL18'!$J$238:$J$451),0),
IF('TL19'!$B$3=O$3,SUMIF('TL19'!$C$10:$C$224,$C177,'TL19'!$J$10:$J$224),0),
IF('TL19'!$B$229=O$3,SUMIF('TL19'!$C$238:$C$451,$C177,'TL19'!$J$238:$J$451),0)
),0)</f>
        <v/>
      </c>
      <c r="P177" s="9">
        <f>IFERROR(SUM(
IF('TL01'!$B$3=P$3,SUMIF('TL01'!$C$10:$C$224,$C177,'TL01'!$J$10:$J$224),0),
IF('TL01'!$B$229=P$3,SUMIF('TL01'!$C$238:$C$451,$C177,'TL01'!$J$238:$J$451),0),
IF('TL02'!$B$3=P$3,SUMIF('TL02'!$C$10:$C$224,$C177,'TL02'!$J$10:$J$224),0),
IF('TL02'!$B$229=P$3,SUMIF('TL02'!$C$238:$C$451,$C177,'TL02'!$J$238:$J$451),0),
IF('TL03'!$B$3=P$3,SUMIF('TL03'!$C$10:$C$224,$C177,'TL03'!$J$10:$J$224),0),
IF('TL03'!$B$229=P$3,SUMIF('TL03'!$C$238:$C$451,$C177,'TL03'!$J$238:$J$451),0),
IF('TL04'!$B$3=P$3,SUMIF('TL04'!$C$10:$C$224,$C177,'TL04'!$J$10:$J$224),0),
IF('TL04'!$B$229=P$3,SUMIF('TL04'!$C$238:$C$451,$C177,'TL04'!$J$238:$J$451),0),
IF('TL05'!$B$3=P$3,SUMIF('TL05'!$C$10:$C$224,$C177,'TL05'!$J$10:$J$224),0),
IF('TL05'!$B$229=P$3,SUMIF('TL05'!$C$238:$C$451,$C177,'TL05'!$J$238:$J$451),0),
IF('TL06'!$B$3=P$3,SUMIF('TL06'!$C$10:$C$224,$C177,'TL06'!$J$10:$J$224),0),
IF('TL06'!$B$229=P$3,SUMIF('TL06'!$C$238:$C$451,$C177,'TL06'!$J$238:$J$451),0),
IF('TL07'!$B$3=P$3,SUMIF('TL07'!$C$10:$C$224,$C177,'TL07'!$J$10:$J$224),0),
IF('TL07'!$B$229=P$3,SUMIF('TL07'!$C$238:$C$451,$C177,'TL07'!$J$238:$J$451),0),
IF('TL08'!$B$3=P$3,SUMIF('TL08'!$C$10:$C$224,$C177,'TL08'!$J$10:$J$224),0),
IF('TL08'!$B$229=P$3,SUMIF('TL08'!$C$238:$C$451,$C177,'TL08'!$J$238:$J$451),0),
IF('TL09'!$B$3=P$3,SUMIF('TL09'!$C$10:$C$224,$C177,'TL09'!$J$10:$J$224),0),
IF('TL09'!$B$229=P$3,SUMIF('TL09'!$C$238:$C$451,$C177,'TL09'!$J$238:$J$451),0),
IF('TL10'!$B$3=P$3,SUMIF('TL10'!$C$10:$C$224,$C177,'TL10'!$J$10:$J$224),0),
IF('TL10'!$B$229=P$3,SUMIF('TL10'!$C$238:$C$451,$C177,'TL10'!$J$238:$J$451),0),
IF('TL11'!$B$3=P$3,SUMIF('TL11'!$C$10:$C$224,$C177,'TL11'!$J$10:$J$224),0),
IF('TL11'!$B$229=P$3,SUMIF('TL11'!$C$238:$C$451,$C177,'TL11'!$J$238:$J$451),0),
IF('TL12'!$B$3=P$3,SUMIF('TL12'!$C$10:$C$224,$C177,'TL12'!$J$10:$J$224),0),
IF('TL12'!$B$229=P$3,SUMIF('TL12'!$C$238:$C$451,$C177,'TL12'!$J$238:$J$451),0),
IF('TL13'!$B$3=P$3,SUMIF('TL13'!$C$10:$C$224,$C177,'TL13'!$J$10:$J$224),0),
IF('TL13'!$B$229=P$3,SUMIF('TL13'!$C$238:$C$451,$C177,'TL13'!$J$238:$J$451),0),
IF('TL14'!$B$3=P$3,SUMIF('TL14'!$C$10:$C$224,$C177,'TL14'!$J$10:$J$224),0),
IF('TL14'!$B$229=P$3,SUMIF('TL14'!$C$238:$C$451,$C177,'TL14'!$J$238:$J$451),0),
IF('TL15'!$B$3=P$3,SUMIF('TL15'!$C$10:$C$224,$C177,'TL15'!$J$10:$J$224),0),
IF('TL15'!$B$229=P$3,SUMIF('TL15'!$C$238:$C$451,$C177,'TL15'!$J$238:$J$451),0),
IF('TL16'!$B$3=P$3,SUMIF('TL16'!$C$10:$C$224,$C177,'TL16'!$J$10:$J$224),0),
IF('TL16'!$B$229=P$3,SUMIF('TL16'!$C$238:$C$451,$C177,'TL16'!$J$238:$J$451),0),
IF('TL17'!$B$3=P$3,SUMIF('TL17'!$C$10:$C$224,$C177,'TL17'!$J$10:$J$224),0),
IF('TL17'!$B$229=P$3,SUMIF('TL17'!$C$238:$C$451,$C177,'TL17'!$J$238:$J$451),0),
IF('TL18'!$B$3=P$3,SUMIF('TL18'!$C$10:$C$224,$C177,'TL18'!$J$10:$J$224),0),
IF('TL18'!$B$229=P$3,SUMIF('TL18'!$C$238:$C$451,$C177,'TL18'!$J$238:$J$451),0),
IF('TL19'!$B$3=P$3,SUMIF('TL19'!$C$10:$C$224,$C177,'TL19'!$J$10:$J$224),0),
IF('TL19'!$B$229=P$3,SUMIF('TL19'!$C$238:$C$451,$C177,'TL19'!$J$238:$J$451),0)
),0)</f>
        <v/>
      </c>
      <c r="Q177" s="9">
        <f>IFERROR(SUM(
IF('TL01'!$B$3=Q$3,SUMIF('TL01'!$C$10:$C$224,$C177,'TL01'!$J$10:$J$224),0),
IF('TL01'!$B$229=Q$3,SUMIF('TL01'!$C$238:$C$451,$C177,'TL01'!$J$238:$J$451),0),
IF('TL02'!$B$3=Q$3,SUMIF('TL02'!$C$10:$C$224,$C177,'TL02'!$J$10:$J$224),0),
IF('TL02'!$B$229=Q$3,SUMIF('TL02'!$C$238:$C$451,$C177,'TL02'!$J$238:$J$451),0),
IF('TL03'!$B$3=Q$3,SUMIF('TL03'!$C$10:$C$224,$C177,'TL03'!$J$10:$J$224),0),
IF('TL03'!$B$229=Q$3,SUMIF('TL03'!$C$238:$C$451,$C177,'TL03'!$J$238:$J$451),0),
IF('TL04'!$B$3=Q$3,SUMIF('TL04'!$C$10:$C$224,$C177,'TL04'!$J$10:$J$224),0),
IF('TL04'!$B$229=Q$3,SUMIF('TL04'!$C$238:$C$451,$C177,'TL04'!$J$238:$J$451),0),
IF('TL05'!$B$3=Q$3,SUMIF('TL05'!$C$10:$C$224,$C177,'TL05'!$J$10:$J$224),0),
IF('TL05'!$B$229=Q$3,SUMIF('TL05'!$C$238:$C$451,$C177,'TL05'!$J$238:$J$451),0),
IF('TL06'!$B$3=Q$3,SUMIF('TL06'!$C$10:$C$224,$C177,'TL06'!$J$10:$J$224),0),
IF('TL06'!$B$229=Q$3,SUMIF('TL06'!$C$238:$C$451,$C177,'TL06'!$J$238:$J$451),0),
IF('TL07'!$B$3=Q$3,SUMIF('TL07'!$C$10:$C$224,$C177,'TL07'!$J$10:$J$224),0),
IF('TL07'!$B$229=Q$3,SUMIF('TL07'!$C$238:$C$451,$C177,'TL07'!$J$238:$J$451),0),
IF('TL08'!$B$3=Q$3,SUMIF('TL08'!$C$10:$C$224,$C177,'TL08'!$J$10:$J$224),0),
IF('TL08'!$B$229=Q$3,SUMIF('TL08'!$C$238:$C$451,$C177,'TL08'!$J$238:$J$451),0),
IF('TL09'!$B$3=Q$3,SUMIF('TL09'!$C$10:$C$224,$C177,'TL09'!$J$10:$J$224),0),
IF('TL09'!$B$229=Q$3,SUMIF('TL09'!$C$238:$C$451,$C177,'TL09'!$J$238:$J$451),0),
IF('TL10'!$B$3=Q$3,SUMIF('TL10'!$C$10:$C$224,$C177,'TL10'!$J$10:$J$224),0),
IF('TL10'!$B$229=Q$3,SUMIF('TL10'!$C$238:$C$451,$C177,'TL10'!$J$238:$J$451),0),
IF('TL11'!$B$3=Q$3,SUMIF('TL11'!$C$10:$C$224,$C177,'TL11'!$J$10:$J$224),0),
IF('TL11'!$B$229=Q$3,SUMIF('TL11'!$C$238:$C$451,$C177,'TL11'!$J$238:$J$451),0),
IF('TL12'!$B$3=Q$3,SUMIF('TL12'!$C$10:$C$224,$C177,'TL12'!$J$10:$J$224),0),
IF('TL12'!$B$229=Q$3,SUMIF('TL12'!$C$238:$C$451,$C177,'TL12'!$J$238:$J$451),0),
IF('TL13'!$B$3=Q$3,SUMIF('TL13'!$C$10:$C$224,$C177,'TL13'!$J$10:$J$224),0),
IF('TL13'!$B$229=Q$3,SUMIF('TL13'!$C$238:$C$451,$C177,'TL13'!$J$238:$J$451),0),
IF('TL14'!$B$3=Q$3,SUMIF('TL14'!$C$10:$C$224,$C177,'TL14'!$J$10:$J$224),0),
IF('TL14'!$B$229=Q$3,SUMIF('TL14'!$C$238:$C$451,$C177,'TL14'!$J$238:$J$451),0),
IF('TL15'!$B$3=Q$3,SUMIF('TL15'!$C$10:$C$224,$C177,'TL15'!$J$10:$J$224),0),
IF('TL15'!$B$229=Q$3,SUMIF('TL15'!$C$238:$C$451,$C177,'TL15'!$J$238:$J$451),0),
IF('TL16'!$B$3=Q$3,SUMIF('TL16'!$C$10:$C$224,$C177,'TL16'!$J$10:$J$224),0),
IF('TL16'!$B$229=Q$3,SUMIF('TL16'!$C$238:$C$451,$C177,'TL16'!$J$238:$J$451),0),
IF('TL17'!$B$3=Q$3,SUMIF('TL17'!$C$10:$C$224,$C177,'TL17'!$J$10:$J$224),0),
IF('TL17'!$B$229=Q$3,SUMIF('TL17'!$C$238:$C$451,$C177,'TL17'!$J$238:$J$451),0),
IF('TL18'!$B$3=Q$3,SUMIF('TL18'!$C$10:$C$224,$C177,'TL18'!$J$10:$J$224),0),
IF('TL18'!$B$229=Q$3,SUMIF('TL18'!$C$238:$C$451,$C177,'TL18'!$J$238:$J$451),0),
IF('TL19'!$B$3=Q$3,SUMIF('TL19'!$C$10:$C$224,$C177,'TL19'!$J$10:$J$224),0),
IF('TL19'!$B$229=Q$3,SUMIF('TL19'!$C$238:$C$451,$C177,'TL19'!$J$238:$J$451),0)
),0)</f>
        <v/>
      </c>
      <c r="R177" s="9">
        <f>IFERROR(
SUM(
SUMIF('TL01'!C:C,C177,'TL01'!J:J),
SUMIF('TL02'!C:C,C177,'TL02'!J:J),
SUMIF('TL03'!C:C,C177,'TL03'!J:J),
SUMIF('TL04'!C:C,C177,'TL04'!J:J),
SUMIF('TL05'!C:C,C177,'TL05'!J:J),
SUMIF('TL06'!C:C,C177,'TL06'!J:J),
SUMIF('TL07'!C:C,C177,'TL07'!J:J),
SUMIF('TL08'!C:C,C177,'TL08'!J:J),
SUMIF('TL09'!C:C,C177,'TL09'!J:J),
SUMIF('TL10'!C:C,C177,'TL10'!J:J),
SUMIF('TL11'!C:C,C177,'TL11'!J:J),
SUMIF('TL12'!C:C,C177,'TL12'!J:J),
SUMIF('TL13'!C:C,C177,'TL13'!J:J),
SUMIF('TL14'!C:C,C177,'TL14'!J:J),
SUMIF('TL15'!C:C,C177,'TL15'!J:J),
SUMIF('TL16'!C:C,C177,'TL16'!J:J),
SUMIF('TL17'!C:C,C177,'TL17'!J:J),
SUMIF('TL18'!C:C,C177,'TL18'!J:J),SUMIF('TL19'!C:C,C177,'TL19'!J:J))
,0)</f>
        <v/>
      </c>
      <c r="S177" s="17">
        <f>IFERROR(__xludf.DUMMYFUNCTION("IFERROR(VLOOKUP(C177,
IMPORTRANGE(""1wULbzX32WdYsx-lj2U3uUNBBe2INVIRDtcK0d-Dvl90"",
""26-27!C:G""),
5,
FALSE),
"""")"),72.10473)</f>
        <v/>
      </c>
      <c r="T177" s="9" t="n"/>
      <c r="U177" s="92">
        <f>MAX(0,R177-T177)</f>
        <v/>
      </c>
      <c r="V177" s="93">
        <f>U177*S177</f>
        <v/>
      </c>
    </row>
    <row r="178" hidden="1" ht="15.75" customHeight="1" s="297">
      <c r="A178" s="87" t="inlineStr">
        <is>
          <t>BASF</t>
        </is>
      </c>
      <c r="B178" s="88" t="inlineStr">
        <is>
          <t>INSETICIDA</t>
        </is>
      </c>
      <c r="C178" s="89" t="inlineStr">
        <is>
          <t>EFFICON</t>
        </is>
      </c>
      <c r="D178" s="89" t="inlineStr">
        <is>
          <t>DIMPROPIRIDAZ</t>
        </is>
      </c>
      <c r="E178" s="89" t="n">
        <v>120</v>
      </c>
      <c r="F178" s="4" t="inlineStr">
        <is>
          <t>L</t>
        </is>
      </c>
      <c r="G178" s="90">
        <f>HYPERLINK("https://www.google.com/search?q=" &amp; C178 &amp; "+bula+agrofit+pdf", "📄 Ver bula")</f>
        <v/>
      </c>
      <c r="H178" s="9">
        <f>IFERROR(__xludf.DUMMYFUNCTION("IFERROR(VLOOKUP(C178,
IMPORTRANGE(""1wULbzX32WdYsx-lj2U3uUNBBe2INVIRDtcK0d-Dvl90"",
""26-27!C:K""),
8,
FALSE),
"""")"),1.0)</f>
        <v/>
      </c>
      <c r="I178" s="91" t="inlineStr">
        <is>
          <t>4X5</t>
        </is>
      </c>
      <c r="J178" s="9">
        <f>IFERROR(SUM(
IF('TL01'!$B$3=J$3,SUMIF('TL01'!$C$10:$C$224,$C178,'TL01'!$J$10:$J$224),0),
IF('TL01'!$B$229=J$3,SUMIF('TL01'!$C$238:$C$451,$C178,'TL01'!$J$238:$J$451),0),
IF('TL02'!$B$3=J$3,SUMIF('TL02'!$C$10:$C$224,$C178,'TL02'!$J$10:$J$224),0),
IF('TL02'!$B$229=J$3,SUMIF('TL02'!$C$238:$C$451,$C178,'TL02'!$J$238:$J$451),0),
IF('TL03'!$B$3=J$3,SUMIF('TL03'!$C$10:$C$224,$C178,'TL03'!$J$10:$J$224),0),
IF('TL03'!$B$229=J$3,SUMIF('TL03'!$C$238:$C$451,$C178,'TL03'!$J$238:$J$451),0),
IF('TL04'!$B$3=J$3,SUMIF('TL04'!$C$10:$C$224,$C178,'TL04'!$J$10:$J$224),0),
IF('TL04'!$B$229=J$3,SUMIF('TL04'!$C$238:$C$451,$C178,'TL04'!$J$238:$J$451),0),
IF('TL05'!$B$3=J$3,SUMIF('TL05'!$C$10:$C$224,$C178,'TL05'!$J$10:$J$224),0),
IF('TL05'!$B$229=J$3,SUMIF('TL05'!$C$238:$C$451,$C178,'TL05'!$J$238:$J$451),0),
IF('TL06'!$B$3=J$3,SUMIF('TL06'!$C$10:$C$224,$C178,'TL06'!$J$10:$J$224),0),
IF('TL06'!$B$229=J$3,SUMIF('TL06'!$C$238:$C$451,$C178,'TL06'!$J$238:$J$451),0),
IF('TL07'!$B$3=J$3,SUMIF('TL07'!$C$10:$C$224,$C178,'TL07'!$J$10:$J$224),0),
IF('TL07'!$B$229=J$3,SUMIF('TL07'!$C$238:$C$451,$C178,'TL07'!$J$238:$J$451),0),
IF('TL08'!$B$3=J$3,SUMIF('TL08'!$C$10:$C$224,$C178,'TL08'!$J$10:$J$224),0),
IF('TL08'!$B$229=J$3,SUMIF('TL08'!$C$238:$C$451,$C178,'TL08'!$J$238:$J$451),0),
IF('TL09'!$B$3=J$3,SUMIF('TL09'!$C$10:$C$224,$C178,'TL09'!$J$10:$J$224),0),
IF('TL09'!$B$229=J$3,SUMIF('TL09'!$C$238:$C$451,$C178,'TL09'!$J$238:$J$451),0),
IF('TL10'!$B$3=J$3,SUMIF('TL10'!$C$10:$C$224,$C178,'TL10'!$J$10:$J$224),0),
IF('TL10'!$B$229=J$3,SUMIF('TL10'!$C$238:$C$451,$C178,'TL10'!$J$238:$J$451),0),
IF('TL11'!$B$3=J$3,SUMIF('TL11'!$C$10:$C$224,$C178,'TL11'!$J$10:$J$224),0),
IF('TL11'!$B$229=J$3,SUMIF('TL11'!$C$238:$C$451,$C178,'TL11'!$J$238:$J$451),0),
IF('TL12'!$B$3=J$3,SUMIF('TL12'!$C$10:$C$224,$C178,'TL12'!$J$10:$J$224),0),
IF('TL12'!$B$229=J$3,SUMIF('TL12'!$C$238:$C$451,$C178,'TL12'!$J$238:$J$451),0),
IF('TL13'!$B$3=J$3,SUMIF('TL13'!$C$10:$C$224,$C178,'TL13'!$J$10:$J$224),0),
IF('TL13'!$B$229=J$3,SUMIF('TL13'!$C$238:$C$451,$C178,'TL13'!$J$238:$J$451),0),
IF('TL14'!$B$3=J$3,SUMIF('TL14'!$C$10:$C$224,$C178,'TL14'!$J$10:$J$224),0),
IF('TL14'!$B$229=J$3,SUMIF('TL14'!$C$238:$C$451,$C178,'TL14'!$J$238:$J$451),0),
IF('TL15'!$B$3=J$3,SUMIF('TL15'!$C$10:$C$224,$C178,'TL15'!$J$10:$J$224),0),
IF('TL15'!$B$229=J$3,SUMIF('TL15'!$C$238:$C$451,$C178,'TL15'!$J$238:$J$451),0),
IF('TL16'!$B$3=J$3,SUMIF('TL16'!$C$10:$C$224,$C178,'TL16'!$J$10:$J$224),0),
IF('TL16'!$B$229=J$3,SUMIF('TL16'!$C$238:$C$451,$C178,'TL16'!$J$238:$J$451),0),
IF('TL17'!$B$3=J$3,SUMIF('TL17'!$C$10:$C$224,$C178,'TL17'!$J$10:$J$224),0),
IF('TL17'!$B$229=J$3,SUMIF('TL17'!$C$238:$C$451,$C178,'TL17'!$J$238:$J$451),0),
IF('TL18'!$B$3=J$3,SUMIF('TL18'!$C$10:$C$224,$C178,'TL18'!$J$10:$J$224),0),
IF('TL18'!$B$229=J$3,SUMIF('TL18'!$C$238:$C$451,$C178,'TL18'!$J$238:$J$451),0),
IF('TL19'!$B$3=J$3,SUMIF('TL19'!$C$10:$C$224,$C178,'TL19'!$J$10:$J$224),0),
IF('TL19'!$B$229=J$3,SUMIF('TL19'!$C$238:$C$451,$C178,'TL19'!$J$238:$J$451),0)
),0)</f>
        <v/>
      </c>
      <c r="K178" s="9">
        <f>IFERROR(SUM(
IF('TL01'!$B$3=K$3,SUMIF('TL01'!$C$10:$C$224,$C178,'TL01'!$J$10:$J$224),0),
IF('TL01'!$B$229=K$3,SUMIF('TL01'!$C$238:$C$451,$C178,'TL01'!$J$238:$J$451),0),
IF('TL02'!$B$3=K$3,SUMIF('TL02'!$C$10:$C$224,$C178,'TL02'!$J$10:$J$224),0),
IF('TL02'!$B$229=K$3,SUMIF('TL02'!$C$238:$C$451,$C178,'TL02'!$J$238:$J$451),0),
IF('TL03'!$B$3=K$3,SUMIF('TL03'!$C$10:$C$224,$C178,'TL03'!$J$10:$J$224),0),
IF('TL03'!$B$229=K$3,SUMIF('TL03'!$C$238:$C$451,$C178,'TL03'!$J$238:$J$451),0),
IF('TL04'!$B$3=K$3,SUMIF('TL04'!$C$10:$C$224,$C178,'TL04'!$J$10:$J$224),0),
IF('TL04'!$B$229=K$3,SUMIF('TL04'!$C$238:$C$451,$C178,'TL04'!$J$238:$J$451),0),
IF('TL05'!$B$3=K$3,SUMIF('TL05'!$C$10:$C$224,$C178,'TL05'!$J$10:$J$224),0),
IF('TL05'!$B$229=K$3,SUMIF('TL05'!$C$238:$C$451,$C178,'TL05'!$J$238:$J$451),0),
IF('TL06'!$B$3=K$3,SUMIF('TL06'!$C$10:$C$224,$C178,'TL06'!$J$10:$J$224),0),
IF('TL06'!$B$229=K$3,SUMIF('TL06'!$C$238:$C$451,$C178,'TL06'!$J$238:$J$451),0),
IF('TL07'!$B$3=K$3,SUMIF('TL07'!$C$10:$C$224,$C178,'TL07'!$J$10:$J$224),0),
IF('TL07'!$B$229=K$3,SUMIF('TL07'!$C$238:$C$451,$C178,'TL07'!$J$238:$J$451),0),
IF('TL08'!$B$3=K$3,SUMIF('TL08'!$C$10:$C$224,$C178,'TL08'!$J$10:$J$224),0),
IF('TL08'!$B$229=K$3,SUMIF('TL08'!$C$238:$C$451,$C178,'TL08'!$J$238:$J$451),0),
IF('TL09'!$B$3=K$3,SUMIF('TL09'!$C$10:$C$224,$C178,'TL09'!$J$10:$J$224),0),
IF('TL09'!$B$229=K$3,SUMIF('TL09'!$C$238:$C$451,$C178,'TL09'!$J$238:$J$451),0),
IF('TL10'!$B$3=K$3,SUMIF('TL10'!$C$10:$C$224,$C178,'TL10'!$J$10:$J$224),0),
IF('TL10'!$B$229=K$3,SUMIF('TL10'!$C$238:$C$451,$C178,'TL10'!$J$238:$J$451),0),
IF('TL11'!$B$3=K$3,SUMIF('TL11'!$C$10:$C$224,$C178,'TL11'!$J$10:$J$224),0),
IF('TL11'!$B$229=K$3,SUMIF('TL11'!$C$238:$C$451,$C178,'TL11'!$J$238:$J$451),0),
IF('TL12'!$B$3=K$3,SUMIF('TL12'!$C$10:$C$224,$C178,'TL12'!$J$10:$J$224),0),
IF('TL12'!$B$229=K$3,SUMIF('TL12'!$C$238:$C$451,$C178,'TL12'!$J$238:$J$451),0),
IF('TL13'!$B$3=K$3,SUMIF('TL13'!$C$10:$C$224,$C178,'TL13'!$J$10:$J$224),0),
IF('TL13'!$B$229=K$3,SUMIF('TL13'!$C$238:$C$451,$C178,'TL13'!$J$238:$J$451),0),
IF('TL14'!$B$3=K$3,SUMIF('TL14'!$C$10:$C$224,$C178,'TL14'!$J$10:$J$224),0),
IF('TL14'!$B$229=K$3,SUMIF('TL14'!$C$238:$C$451,$C178,'TL14'!$J$238:$J$451),0),
IF('TL15'!$B$3=K$3,SUMIF('TL15'!$C$10:$C$224,$C178,'TL15'!$J$10:$J$224),0),
IF('TL15'!$B$229=K$3,SUMIF('TL15'!$C$238:$C$451,$C178,'TL15'!$J$238:$J$451),0),
IF('TL16'!$B$3=K$3,SUMIF('TL16'!$C$10:$C$224,$C178,'TL16'!$J$10:$J$224),0),
IF('TL16'!$B$229=K$3,SUMIF('TL16'!$C$238:$C$451,$C178,'TL16'!$J$238:$J$451),0),
IF('TL17'!$B$3=K$3,SUMIF('TL17'!$C$10:$C$224,$C178,'TL17'!$J$10:$J$224),0),
IF('TL17'!$B$229=K$3,SUMIF('TL17'!$C$238:$C$451,$C178,'TL17'!$J$238:$J$451),0),
IF('TL18'!$B$3=K$3,SUMIF('TL18'!$C$10:$C$224,$C178,'TL18'!$J$10:$J$224),0),
IF('TL18'!$B$229=K$3,SUMIF('TL18'!$C$238:$C$451,$C178,'TL18'!$J$238:$J$451),0),
IF('TL19'!$B$3=K$3,SUMIF('TL19'!$C$10:$C$224,$C178,'TL19'!$J$10:$J$224),0),
IF('TL19'!$B$229=K$3,SUMIF('TL19'!$C$238:$C$451,$C178,'TL19'!$J$238:$J$451),0)
),0)</f>
        <v/>
      </c>
      <c r="L178" s="9">
        <f>IFERROR(SUM(
IF('TL01'!$B$3=L$3,SUMIF('TL01'!$C$10:$C$224,$C178,'TL01'!$J$10:$J$224),0),
IF('TL01'!$B$229=L$3,SUMIF('TL01'!$C$238:$C$451,$C178,'TL01'!$J$238:$J$451),0),
IF('TL02'!$B$3=L$3,SUMIF('TL02'!$C$10:$C$224,$C178,'TL02'!$J$10:$J$224),0),
IF('TL02'!$B$229=L$3,SUMIF('TL02'!$C$238:$C$451,$C178,'TL02'!$J$238:$J$451),0),
IF('TL03'!$B$3=L$3,SUMIF('TL03'!$C$10:$C$224,$C178,'TL03'!$J$10:$J$224),0),
IF('TL03'!$B$229=L$3,SUMIF('TL03'!$C$238:$C$451,$C178,'TL03'!$J$238:$J$451),0),
IF('TL04'!$B$3=L$3,SUMIF('TL04'!$C$10:$C$224,$C178,'TL04'!$J$10:$J$224),0),
IF('TL04'!$B$229=L$3,SUMIF('TL04'!$C$238:$C$451,$C178,'TL04'!$J$238:$J$451),0),
IF('TL05'!$B$3=L$3,SUMIF('TL05'!$C$10:$C$224,$C178,'TL05'!$J$10:$J$224),0),
IF('TL05'!$B$229=L$3,SUMIF('TL05'!$C$238:$C$451,$C178,'TL05'!$J$238:$J$451),0),
IF('TL06'!$B$3=L$3,SUMIF('TL06'!$C$10:$C$224,$C178,'TL06'!$J$10:$J$224),0),
IF('TL06'!$B$229=L$3,SUMIF('TL06'!$C$238:$C$451,$C178,'TL06'!$J$238:$J$451),0),
IF('TL07'!$B$3=L$3,SUMIF('TL07'!$C$10:$C$224,$C178,'TL07'!$J$10:$J$224),0),
IF('TL07'!$B$229=L$3,SUMIF('TL07'!$C$238:$C$451,$C178,'TL07'!$J$238:$J$451),0),
IF('TL08'!$B$3=L$3,SUMIF('TL08'!$C$10:$C$224,$C178,'TL08'!$J$10:$J$224),0),
IF('TL08'!$B$229=L$3,SUMIF('TL08'!$C$238:$C$451,$C178,'TL08'!$J$238:$J$451),0),
IF('TL09'!$B$3=L$3,SUMIF('TL09'!$C$10:$C$224,$C178,'TL09'!$J$10:$J$224),0),
IF('TL09'!$B$229=L$3,SUMIF('TL09'!$C$238:$C$451,$C178,'TL09'!$J$238:$J$451),0),
IF('TL10'!$B$3=L$3,SUMIF('TL10'!$C$10:$C$224,$C178,'TL10'!$J$10:$J$224),0),
IF('TL10'!$B$229=L$3,SUMIF('TL10'!$C$238:$C$451,$C178,'TL10'!$J$238:$J$451),0),
IF('TL11'!$B$3=L$3,SUMIF('TL11'!$C$10:$C$224,$C178,'TL11'!$J$10:$J$224),0),
IF('TL11'!$B$229=L$3,SUMIF('TL11'!$C$238:$C$451,$C178,'TL11'!$J$238:$J$451),0),
IF('TL12'!$B$3=L$3,SUMIF('TL12'!$C$10:$C$224,$C178,'TL12'!$J$10:$J$224),0),
IF('TL12'!$B$229=L$3,SUMIF('TL12'!$C$238:$C$451,$C178,'TL12'!$J$238:$J$451),0),
IF('TL13'!$B$3=L$3,SUMIF('TL13'!$C$10:$C$224,$C178,'TL13'!$J$10:$J$224),0),
IF('TL13'!$B$229=L$3,SUMIF('TL13'!$C$238:$C$451,$C178,'TL13'!$J$238:$J$451),0),
IF('TL14'!$B$3=L$3,SUMIF('TL14'!$C$10:$C$224,$C178,'TL14'!$J$10:$J$224),0),
IF('TL14'!$B$229=L$3,SUMIF('TL14'!$C$238:$C$451,$C178,'TL14'!$J$238:$J$451),0),
IF('TL15'!$B$3=L$3,SUMIF('TL15'!$C$10:$C$224,$C178,'TL15'!$J$10:$J$224),0),
IF('TL15'!$B$229=L$3,SUMIF('TL15'!$C$238:$C$451,$C178,'TL15'!$J$238:$J$451),0),
IF('TL16'!$B$3=L$3,SUMIF('TL16'!$C$10:$C$224,$C178,'TL16'!$J$10:$J$224),0),
IF('TL16'!$B$229=L$3,SUMIF('TL16'!$C$238:$C$451,$C178,'TL16'!$J$238:$J$451),0),
IF('TL17'!$B$3=L$3,SUMIF('TL17'!$C$10:$C$224,$C178,'TL17'!$J$10:$J$224),0),
IF('TL17'!$B$229=L$3,SUMIF('TL17'!$C$238:$C$451,$C178,'TL17'!$J$238:$J$451),0),
IF('TL18'!$B$3=L$3,SUMIF('TL18'!$C$10:$C$224,$C178,'TL18'!$J$10:$J$224),0),
IF('TL18'!$B$229=L$3,SUMIF('TL18'!$C$238:$C$451,$C178,'TL18'!$J$238:$J$451),0),
IF('TL19'!$B$3=L$3,SUMIF('TL19'!$C$10:$C$224,$C178,'TL19'!$J$10:$J$224),0),
IF('TL19'!$B$229=L$3,SUMIF('TL19'!$C$238:$C$451,$C178,'TL19'!$J$238:$J$451),0)
),0)</f>
        <v/>
      </c>
      <c r="M178" s="9">
        <f>IFERROR(SUM(
IF('TL01'!$B$3=M$3,SUMIF('TL01'!$C$10:$C$224,$C178,'TL01'!$J$10:$J$224),0),
IF('TL01'!$B$229=M$3,SUMIF('TL01'!$C$238:$C$451,$C178,'TL01'!$J$238:$J$451),0),
IF('TL02'!$B$3=M$3,SUMIF('TL02'!$C$10:$C$224,$C178,'TL02'!$J$10:$J$224),0),
IF('TL02'!$B$229=M$3,SUMIF('TL02'!$C$238:$C$451,$C178,'TL02'!$J$238:$J$451),0),
IF('TL03'!$B$3=M$3,SUMIF('TL03'!$C$10:$C$224,$C178,'TL03'!$J$10:$J$224),0),
IF('TL03'!$B$229=M$3,SUMIF('TL03'!$C$238:$C$451,$C178,'TL03'!$J$238:$J$451),0),
IF('TL04'!$B$3=M$3,SUMIF('TL04'!$C$10:$C$224,$C178,'TL04'!$J$10:$J$224),0),
IF('TL04'!$B$229=M$3,SUMIF('TL04'!$C$238:$C$451,$C178,'TL04'!$J$238:$J$451),0),
IF('TL05'!$B$3=M$3,SUMIF('TL05'!$C$10:$C$224,$C178,'TL05'!$J$10:$J$224),0),
IF('TL05'!$B$229=M$3,SUMIF('TL05'!$C$238:$C$451,$C178,'TL05'!$J$238:$J$451),0),
IF('TL06'!$B$3=M$3,SUMIF('TL06'!$C$10:$C$224,$C178,'TL06'!$J$10:$J$224),0),
IF('TL06'!$B$229=M$3,SUMIF('TL06'!$C$238:$C$451,$C178,'TL06'!$J$238:$J$451),0),
IF('TL07'!$B$3=M$3,SUMIF('TL07'!$C$10:$C$224,$C178,'TL07'!$J$10:$J$224),0),
IF('TL07'!$B$229=M$3,SUMIF('TL07'!$C$238:$C$451,$C178,'TL07'!$J$238:$J$451),0),
IF('TL08'!$B$3=M$3,SUMIF('TL08'!$C$10:$C$224,$C178,'TL08'!$J$10:$J$224),0),
IF('TL08'!$B$229=M$3,SUMIF('TL08'!$C$238:$C$451,$C178,'TL08'!$J$238:$J$451),0),
IF('TL09'!$B$3=M$3,SUMIF('TL09'!$C$10:$C$224,$C178,'TL09'!$J$10:$J$224),0),
IF('TL09'!$B$229=M$3,SUMIF('TL09'!$C$238:$C$451,$C178,'TL09'!$J$238:$J$451),0),
IF('TL10'!$B$3=M$3,SUMIF('TL10'!$C$10:$C$224,$C178,'TL10'!$J$10:$J$224),0),
IF('TL10'!$B$229=M$3,SUMIF('TL10'!$C$238:$C$451,$C178,'TL10'!$J$238:$J$451),0),
IF('TL11'!$B$3=M$3,SUMIF('TL11'!$C$10:$C$224,$C178,'TL11'!$J$10:$J$224),0),
IF('TL11'!$B$229=M$3,SUMIF('TL11'!$C$238:$C$451,$C178,'TL11'!$J$238:$J$451),0),
IF('TL12'!$B$3=M$3,SUMIF('TL12'!$C$10:$C$224,$C178,'TL12'!$J$10:$J$224),0),
IF('TL12'!$B$229=M$3,SUMIF('TL12'!$C$238:$C$451,$C178,'TL12'!$J$238:$J$451),0),
IF('TL13'!$B$3=M$3,SUMIF('TL13'!$C$10:$C$224,$C178,'TL13'!$J$10:$J$224),0),
IF('TL13'!$B$229=M$3,SUMIF('TL13'!$C$238:$C$451,$C178,'TL13'!$J$238:$J$451),0),
IF('TL14'!$B$3=M$3,SUMIF('TL14'!$C$10:$C$224,$C178,'TL14'!$J$10:$J$224),0),
IF('TL14'!$B$229=M$3,SUMIF('TL14'!$C$238:$C$451,$C178,'TL14'!$J$238:$J$451),0),
IF('TL15'!$B$3=M$3,SUMIF('TL15'!$C$10:$C$224,$C178,'TL15'!$J$10:$J$224),0),
IF('TL15'!$B$229=M$3,SUMIF('TL15'!$C$238:$C$451,$C178,'TL15'!$J$238:$J$451),0),
IF('TL16'!$B$3=M$3,SUMIF('TL16'!$C$10:$C$224,$C178,'TL16'!$J$10:$J$224),0),
IF('TL16'!$B$229=M$3,SUMIF('TL16'!$C$238:$C$451,$C178,'TL16'!$J$238:$J$451),0),
IF('TL17'!$B$3=M$3,SUMIF('TL17'!$C$10:$C$224,$C178,'TL17'!$J$10:$J$224),0),
IF('TL17'!$B$229=M$3,SUMIF('TL17'!$C$238:$C$451,$C178,'TL17'!$J$238:$J$451),0),
IF('TL18'!$B$3=M$3,SUMIF('TL18'!$C$10:$C$224,$C178,'TL18'!$J$10:$J$224),0),
IF('TL18'!$B$229=M$3,SUMIF('TL18'!$C$238:$C$451,$C178,'TL18'!$J$238:$J$451),0),
IF('TL19'!$B$3=M$3,SUMIF('TL19'!$C$10:$C$224,$C178,'TL19'!$J$10:$J$224),0),
IF('TL19'!$B$229=M$3,SUMIF('TL19'!$C$238:$C$451,$C178,'TL19'!$J$238:$J$451),0)
),0)</f>
        <v/>
      </c>
      <c r="N178" s="9">
        <f>IFERROR(SUM(
IF('TL01'!$B$3=N$3,SUMIF('TL01'!$C$10:$C$224,$C178,'TL01'!$J$10:$J$224),0),
IF('TL01'!$B$229=N$3,SUMIF('TL01'!$C$238:$C$451,$C178,'TL01'!$J$238:$J$451),0),
IF('TL02'!$B$3=N$3,SUMIF('TL02'!$C$10:$C$224,$C178,'TL02'!$J$10:$J$224),0),
IF('TL02'!$B$229=N$3,SUMIF('TL02'!$C$238:$C$451,$C178,'TL02'!$J$238:$J$451),0),
IF('TL03'!$B$3=N$3,SUMIF('TL03'!$C$10:$C$224,$C178,'TL03'!$J$10:$J$224),0),
IF('TL03'!$B$229=N$3,SUMIF('TL03'!$C$238:$C$451,$C178,'TL03'!$J$238:$J$451),0),
IF('TL04'!$B$3=N$3,SUMIF('TL04'!$C$10:$C$224,$C178,'TL04'!$J$10:$J$224),0),
IF('TL04'!$B$229=N$3,SUMIF('TL04'!$C$238:$C$451,$C178,'TL04'!$J$238:$J$451),0),
IF('TL05'!$B$3=N$3,SUMIF('TL05'!$C$10:$C$224,$C178,'TL05'!$J$10:$J$224),0),
IF('TL05'!$B$229=N$3,SUMIF('TL05'!$C$238:$C$451,$C178,'TL05'!$J$238:$J$451),0),
IF('TL06'!$B$3=N$3,SUMIF('TL06'!$C$10:$C$224,$C178,'TL06'!$J$10:$J$224),0),
IF('TL06'!$B$229=N$3,SUMIF('TL06'!$C$238:$C$451,$C178,'TL06'!$J$238:$J$451),0),
IF('TL07'!$B$3=N$3,SUMIF('TL07'!$C$10:$C$224,$C178,'TL07'!$J$10:$J$224),0),
IF('TL07'!$B$229=N$3,SUMIF('TL07'!$C$238:$C$451,$C178,'TL07'!$J$238:$J$451),0),
IF('TL08'!$B$3=N$3,SUMIF('TL08'!$C$10:$C$224,$C178,'TL08'!$J$10:$J$224),0),
IF('TL08'!$B$229=N$3,SUMIF('TL08'!$C$238:$C$451,$C178,'TL08'!$J$238:$J$451),0),
IF('TL09'!$B$3=N$3,SUMIF('TL09'!$C$10:$C$224,$C178,'TL09'!$J$10:$J$224),0),
IF('TL09'!$B$229=N$3,SUMIF('TL09'!$C$238:$C$451,$C178,'TL09'!$J$238:$J$451),0),
IF('TL10'!$B$3=N$3,SUMIF('TL10'!$C$10:$C$224,$C178,'TL10'!$J$10:$J$224),0),
IF('TL10'!$B$229=N$3,SUMIF('TL10'!$C$238:$C$451,$C178,'TL10'!$J$238:$J$451),0),
IF('TL11'!$B$3=N$3,SUMIF('TL11'!$C$10:$C$224,$C178,'TL11'!$J$10:$J$224),0),
IF('TL11'!$B$229=N$3,SUMIF('TL11'!$C$238:$C$451,$C178,'TL11'!$J$238:$J$451),0),
IF('TL12'!$B$3=N$3,SUMIF('TL12'!$C$10:$C$224,$C178,'TL12'!$J$10:$J$224),0),
IF('TL12'!$B$229=N$3,SUMIF('TL12'!$C$238:$C$451,$C178,'TL12'!$J$238:$J$451),0),
IF('TL13'!$B$3=N$3,SUMIF('TL13'!$C$10:$C$224,$C178,'TL13'!$J$10:$J$224),0),
IF('TL13'!$B$229=N$3,SUMIF('TL13'!$C$238:$C$451,$C178,'TL13'!$J$238:$J$451),0),
IF('TL14'!$B$3=N$3,SUMIF('TL14'!$C$10:$C$224,$C178,'TL14'!$J$10:$J$224),0),
IF('TL14'!$B$229=N$3,SUMIF('TL14'!$C$238:$C$451,$C178,'TL14'!$J$238:$J$451),0),
IF('TL15'!$B$3=N$3,SUMIF('TL15'!$C$10:$C$224,$C178,'TL15'!$J$10:$J$224),0),
IF('TL15'!$B$229=N$3,SUMIF('TL15'!$C$238:$C$451,$C178,'TL15'!$J$238:$J$451),0),
IF('TL16'!$B$3=N$3,SUMIF('TL16'!$C$10:$C$224,$C178,'TL16'!$J$10:$J$224),0),
IF('TL16'!$B$229=N$3,SUMIF('TL16'!$C$238:$C$451,$C178,'TL16'!$J$238:$J$451),0),
IF('TL17'!$B$3=N$3,SUMIF('TL17'!$C$10:$C$224,$C178,'TL17'!$J$10:$J$224),0),
IF('TL17'!$B$229=N$3,SUMIF('TL17'!$C$238:$C$451,$C178,'TL17'!$J$238:$J$451),0),
IF('TL18'!$B$3=N$3,SUMIF('TL18'!$C$10:$C$224,$C178,'TL18'!$J$10:$J$224),0),
IF('TL18'!$B$229=N$3,SUMIF('TL18'!$C$238:$C$451,$C178,'TL18'!$J$238:$J$451),0),
IF('TL19'!$B$3=N$3,SUMIF('TL19'!$C$10:$C$224,$C178,'TL19'!$J$10:$J$224),0),
IF('TL19'!$B$229=N$3,SUMIF('TL19'!$C$238:$C$451,$C178,'TL19'!$J$238:$J$451),0)
),0)</f>
        <v/>
      </c>
      <c r="O178" s="9">
        <f>IFERROR(SUM(
IF('TL01'!$B$3=O$3,SUMIF('TL01'!$C$10:$C$224,$C178,'TL01'!$J$10:$J$224),0),
IF('TL01'!$B$229=O$3,SUMIF('TL01'!$C$238:$C$451,$C178,'TL01'!$J$238:$J$451),0),
IF('TL02'!$B$3=O$3,SUMIF('TL02'!$C$10:$C$224,$C178,'TL02'!$J$10:$J$224),0),
IF('TL02'!$B$229=O$3,SUMIF('TL02'!$C$238:$C$451,$C178,'TL02'!$J$238:$J$451),0),
IF('TL03'!$B$3=O$3,SUMIF('TL03'!$C$10:$C$224,$C178,'TL03'!$J$10:$J$224),0),
IF('TL03'!$B$229=O$3,SUMIF('TL03'!$C$238:$C$451,$C178,'TL03'!$J$238:$J$451),0),
IF('TL04'!$B$3=O$3,SUMIF('TL04'!$C$10:$C$224,$C178,'TL04'!$J$10:$J$224),0),
IF('TL04'!$B$229=O$3,SUMIF('TL04'!$C$238:$C$451,$C178,'TL04'!$J$238:$J$451),0),
IF('TL05'!$B$3=O$3,SUMIF('TL05'!$C$10:$C$224,$C178,'TL05'!$J$10:$J$224),0),
IF('TL05'!$B$229=O$3,SUMIF('TL05'!$C$238:$C$451,$C178,'TL05'!$J$238:$J$451),0),
IF('TL06'!$B$3=O$3,SUMIF('TL06'!$C$10:$C$224,$C178,'TL06'!$J$10:$J$224),0),
IF('TL06'!$B$229=O$3,SUMIF('TL06'!$C$238:$C$451,$C178,'TL06'!$J$238:$J$451),0),
IF('TL07'!$B$3=O$3,SUMIF('TL07'!$C$10:$C$224,$C178,'TL07'!$J$10:$J$224),0),
IF('TL07'!$B$229=O$3,SUMIF('TL07'!$C$238:$C$451,$C178,'TL07'!$J$238:$J$451),0),
IF('TL08'!$B$3=O$3,SUMIF('TL08'!$C$10:$C$224,$C178,'TL08'!$J$10:$J$224),0),
IF('TL08'!$B$229=O$3,SUMIF('TL08'!$C$238:$C$451,$C178,'TL08'!$J$238:$J$451),0),
IF('TL09'!$B$3=O$3,SUMIF('TL09'!$C$10:$C$224,$C178,'TL09'!$J$10:$J$224),0),
IF('TL09'!$B$229=O$3,SUMIF('TL09'!$C$238:$C$451,$C178,'TL09'!$J$238:$J$451),0),
IF('TL10'!$B$3=O$3,SUMIF('TL10'!$C$10:$C$224,$C178,'TL10'!$J$10:$J$224),0),
IF('TL10'!$B$229=O$3,SUMIF('TL10'!$C$238:$C$451,$C178,'TL10'!$J$238:$J$451),0),
IF('TL11'!$B$3=O$3,SUMIF('TL11'!$C$10:$C$224,$C178,'TL11'!$J$10:$J$224),0),
IF('TL11'!$B$229=O$3,SUMIF('TL11'!$C$238:$C$451,$C178,'TL11'!$J$238:$J$451),0),
IF('TL12'!$B$3=O$3,SUMIF('TL12'!$C$10:$C$224,$C178,'TL12'!$J$10:$J$224),0),
IF('TL12'!$B$229=O$3,SUMIF('TL12'!$C$238:$C$451,$C178,'TL12'!$J$238:$J$451),0),
IF('TL13'!$B$3=O$3,SUMIF('TL13'!$C$10:$C$224,$C178,'TL13'!$J$10:$J$224),0),
IF('TL13'!$B$229=O$3,SUMIF('TL13'!$C$238:$C$451,$C178,'TL13'!$J$238:$J$451),0),
IF('TL14'!$B$3=O$3,SUMIF('TL14'!$C$10:$C$224,$C178,'TL14'!$J$10:$J$224),0),
IF('TL14'!$B$229=O$3,SUMIF('TL14'!$C$238:$C$451,$C178,'TL14'!$J$238:$J$451),0),
IF('TL15'!$B$3=O$3,SUMIF('TL15'!$C$10:$C$224,$C178,'TL15'!$J$10:$J$224),0),
IF('TL15'!$B$229=O$3,SUMIF('TL15'!$C$238:$C$451,$C178,'TL15'!$J$238:$J$451),0),
IF('TL16'!$B$3=O$3,SUMIF('TL16'!$C$10:$C$224,$C178,'TL16'!$J$10:$J$224),0),
IF('TL16'!$B$229=O$3,SUMIF('TL16'!$C$238:$C$451,$C178,'TL16'!$J$238:$J$451),0),
IF('TL17'!$B$3=O$3,SUMIF('TL17'!$C$10:$C$224,$C178,'TL17'!$J$10:$J$224),0),
IF('TL17'!$B$229=O$3,SUMIF('TL17'!$C$238:$C$451,$C178,'TL17'!$J$238:$J$451),0),
IF('TL18'!$B$3=O$3,SUMIF('TL18'!$C$10:$C$224,$C178,'TL18'!$J$10:$J$224),0),
IF('TL18'!$B$229=O$3,SUMIF('TL18'!$C$238:$C$451,$C178,'TL18'!$J$238:$J$451),0),
IF('TL19'!$B$3=O$3,SUMIF('TL19'!$C$10:$C$224,$C178,'TL19'!$J$10:$J$224),0),
IF('TL19'!$B$229=O$3,SUMIF('TL19'!$C$238:$C$451,$C178,'TL19'!$J$238:$J$451),0)
),0)</f>
        <v/>
      </c>
      <c r="P178" s="9">
        <f>IFERROR(SUM(
IF('TL01'!$B$3=P$3,SUMIF('TL01'!$C$10:$C$224,$C178,'TL01'!$J$10:$J$224),0),
IF('TL01'!$B$229=P$3,SUMIF('TL01'!$C$238:$C$451,$C178,'TL01'!$J$238:$J$451),0),
IF('TL02'!$B$3=P$3,SUMIF('TL02'!$C$10:$C$224,$C178,'TL02'!$J$10:$J$224),0),
IF('TL02'!$B$229=P$3,SUMIF('TL02'!$C$238:$C$451,$C178,'TL02'!$J$238:$J$451),0),
IF('TL03'!$B$3=P$3,SUMIF('TL03'!$C$10:$C$224,$C178,'TL03'!$J$10:$J$224),0),
IF('TL03'!$B$229=P$3,SUMIF('TL03'!$C$238:$C$451,$C178,'TL03'!$J$238:$J$451),0),
IF('TL04'!$B$3=P$3,SUMIF('TL04'!$C$10:$C$224,$C178,'TL04'!$J$10:$J$224),0),
IF('TL04'!$B$229=P$3,SUMIF('TL04'!$C$238:$C$451,$C178,'TL04'!$J$238:$J$451),0),
IF('TL05'!$B$3=P$3,SUMIF('TL05'!$C$10:$C$224,$C178,'TL05'!$J$10:$J$224),0),
IF('TL05'!$B$229=P$3,SUMIF('TL05'!$C$238:$C$451,$C178,'TL05'!$J$238:$J$451),0),
IF('TL06'!$B$3=P$3,SUMIF('TL06'!$C$10:$C$224,$C178,'TL06'!$J$10:$J$224),0),
IF('TL06'!$B$229=P$3,SUMIF('TL06'!$C$238:$C$451,$C178,'TL06'!$J$238:$J$451),0),
IF('TL07'!$B$3=P$3,SUMIF('TL07'!$C$10:$C$224,$C178,'TL07'!$J$10:$J$224),0),
IF('TL07'!$B$229=P$3,SUMIF('TL07'!$C$238:$C$451,$C178,'TL07'!$J$238:$J$451),0),
IF('TL08'!$B$3=P$3,SUMIF('TL08'!$C$10:$C$224,$C178,'TL08'!$J$10:$J$224),0),
IF('TL08'!$B$229=P$3,SUMIF('TL08'!$C$238:$C$451,$C178,'TL08'!$J$238:$J$451),0),
IF('TL09'!$B$3=P$3,SUMIF('TL09'!$C$10:$C$224,$C178,'TL09'!$J$10:$J$224),0),
IF('TL09'!$B$229=P$3,SUMIF('TL09'!$C$238:$C$451,$C178,'TL09'!$J$238:$J$451),0),
IF('TL10'!$B$3=P$3,SUMIF('TL10'!$C$10:$C$224,$C178,'TL10'!$J$10:$J$224),0),
IF('TL10'!$B$229=P$3,SUMIF('TL10'!$C$238:$C$451,$C178,'TL10'!$J$238:$J$451),0),
IF('TL11'!$B$3=P$3,SUMIF('TL11'!$C$10:$C$224,$C178,'TL11'!$J$10:$J$224),0),
IF('TL11'!$B$229=P$3,SUMIF('TL11'!$C$238:$C$451,$C178,'TL11'!$J$238:$J$451),0),
IF('TL12'!$B$3=P$3,SUMIF('TL12'!$C$10:$C$224,$C178,'TL12'!$J$10:$J$224),0),
IF('TL12'!$B$229=P$3,SUMIF('TL12'!$C$238:$C$451,$C178,'TL12'!$J$238:$J$451),0),
IF('TL13'!$B$3=P$3,SUMIF('TL13'!$C$10:$C$224,$C178,'TL13'!$J$10:$J$224),0),
IF('TL13'!$B$229=P$3,SUMIF('TL13'!$C$238:$C$451,$C178,'TL13'!$J$238:$J$451),0),
IF('TL14'!$B$3=P$3,SUMIF('TL14'!$C$10:$C$224,$C178,'TL14'!$J$10:$J$224),0),
IF('TL14'!$B$229=P$3,SUMIF('TL14'!$C$238:$C$451,$C178,'TL14'!$J$238:$J$451),0),
IF('TL15'!$B$3=P$3,SUMIF('TL15'!$C$10:$C$224,$C178,'TL15'!$J$10:$J$224),0),
IF('TL15'!$B$229=P$3,SUMIF('TL15'!$C$238:$C$451,$C178,'TL15'!$J$238:$J$451),0),
IF('TL16'!$B$3=P$3,SUMIF('TL16'!$C$10:$C$224,$C178,'TL16'!$J$10:$J$224),0),
IF('TL16'!$B$229=P$3,SUMIF('TL16'!$C$238:$C$451,$C178,'TL16'!$J$238:$J$451),0),
IF('TL17'!$B$3=P$3,SUMIF('TL17'!$C$10:$C$224,$C178,'TL17'!$J$10:$J$224),0),
IF('TL17'!$B$229=P$3,SUMIF('TL17'!$C$238:$C$451,$C178,'TL17'!$J$238:$J$451),0),
IF('TL18'!$B$3=P$3,SUMIF('TL18'!$C$10:$C$224,$C178,'TL18'!$J$10:$J$224),0),
IF('TL18'!$B$229=P$3,SUMIF('TL18'!$C$238:$C$451,$C178,'TL18'!$J$238:$J$451),0),
IF('TL19'!$B$3=P$3,SUMIF('TL19'!$C$10:$C$224,$C178,'TL19'!$J$10:$J$224),0),
IF('TL19'!$B$229=P$3,SUMIF('TL19'!$C$238:$C$451,$C178,'TL19'!$J$238:$J$451),0)
),0)</f>
        <v/>
      </c>
      <c r="Q178" s="9">
        <f>IFERROR(SUM(
IF('TL01'!$B$3=Q$3,SUMIF('TL01'!$C$10:$C$224,$C178,'TL01'!$J$10:$J$224),0),
IF('TL01'!$B$229=Q$3,SUMIF('TL01'!$C$238:$C$451,$C178,'TL01'!$J$238:$J$451),0),
IF('TL02'!$B$3=Q$3,SUMIF('TL02'!$C$10:$C$224,$C178,'TL02'!$J$10:$J$224),0),
IF('TL02'!$B$229=Q$3,SUMIF('TL02'!$C$238:$C$451,$C178,'TL02'!$J$238:$J$451),0),
IF('TL03'!$B$3=Q$3,SUMIF('TL03'!$C$10:$C$224,$C178,'TL03'!$J$10:$J$224),0),
IF('TL03'!$B$229=Q$3,SUMIF('TL03'!$C$238:$C$451,$C178,'TL03'!$J$238:$J$451),0),
IF('TL04'!$B$3=Q$3,SUMIF('TL04'!$C$10:$C$224,$C178,'TL04'!$J$10:$J$224),0),
IF('TL04'!$B$229=Q$3,SUMIF('TL04'!$C$238:$C$451,$C178,'TL04'!$J$238:$J$451),0),
IF('TL05'!$B$3=Q$3,SUMIF('TL05'!$C$10:$C$224,$C178,'TL05'!$J$10:$J$224),0),
IF('TL05'!$B$229=Q$3,SUMIF('TL05'!$C$238:$C$451,$C178,'TL05'!$J$238:$J$451),0),
IF('TL06'!$B$3=Q$3,SUMIF('TL06'!$C$10:$C$224,$C178,'TL06'!$J$10:$J$224),0),
IF('TL06'!$B$229=Q$3,SUMIF('TL06'!$C$238:$C$451,$C178,'TL06'!$J$238:$J$451),0),
IF('TL07'!$B$3=Q$3,SUMIF('TL07'!$C$10:$C$224,$C178,'TL07'!$J$10:$J$224),0),
IF('TL07'!$B$229=Q$3,SUMIF('TL07'!$C$238:$C$451,$C178,'TL07'!$J$238:$J$451),0),
IF('TL08'!$B$3=Q$3,SUMIF('TL08'!$C$10:$C$224,$C178,'TL08'!$J$10:$J$224),0),
IF('TL08'!$B$229=Q$3,SUMIF('TL08'!$C$238:$C$451,$C178,'TL08'!$J$238:$J$451),0),
IF('TL09'!$B$3=Q$3,SUMIF('TL09'!$C$10:$C$224,$C178,'TL09'!$J$10:$J$224),0),
IF('TL09'!$B$229=Q$3,SUMIF('TL09'!$C$238:$C$451,$C178,'TL09'!$J$238:$J$451),0),
IF('TL10'!$B$3=Q$3,SUMIF('TL10'!$C$10:$C$224,$C178,'TL10'!$J$10:$J$224),0),
IF('TL10'!$B$229=Q$3,SUMIF('TL10'!$C$238:$C$451,$C178,'TL10'!$J$238:$J$451),0),
IF('TL11'!$B$3=Q$3,SUMIF('TL11'!$C$10:$C$224,$C178,'TL11'!$J$10:$J$224),0),
IF('TL11'!$B$229=Q$3,SUMIF('TL11'!$C$238:$C$451,$C178,'TL11'!$J$238:$J$451),0),
IF('TL12'!$B$3=Q$3,SUMIF('TL12'!$C$10:$C$224,$C178,'TL12'!$J$10:$J$224),0),
IF('TL12'!$B$229=Q$3,SUMIF('TL12'!$C$238:$C$451,$C178,'TL12'!$J$238:$J$451),0),
IF('TL13'!$B$3=Q$3,SUMIF('TL13'!$C$10:$C$224,$C178,'TL13'!$J$10:$J$224),0),
IF('TL13'!$B$229=Q$3,SUMIF('TL13'!$C$238:$C$451,$C178,'TL13'!$J$238:$J$451),0),
IF('TL14'!$B$3=Q$3,SUMIF('TL14'!$C$10:$C$224,$C178,'TL14'!$J$10:$J$224),0),
IF('TL14'!$B$229=Q$3,SUMIF('TL14'!$C$238:$C$451,$C178,'TL14'!$J$238:$J$451),0),
IF('TL15'!$B$3=Q$3,SUMIF('TL15'!$C$10:$C$224,$C178,'TL15'!$J$10:$J$224),0),
IF('TL15'!$B$229=Q$3,SUMIF('TL15'!$C$238:$C$451,$C178,'TL15'!$J$238:$J$451),0),
IF('TL16'!$B$3=Q$3,SUMIF('TL16'!$C$10:$C$224,$C178,'TL16'!$J$10:$J$224),0),
IF('TL16'!$B$229=Q$3,SUMIF('TL16'!$C$238:$C$451,$C178,'TL16'!$J$238:$J$451),0),
IF('TL17'!$B$3=Q$3,SUMIF('TL17'!$C$10:$C$224,$C178,'TL17'!$J$10:$J$224),0),
IF('TL17'!$B$229=Q$3,SUMIF('TL17'!$C$238:$C$451,$C178,'TL17'!$J$238:$J$451),0),
IF('TL18'!$B$3=Q$3,SUMIF('TL18'!$C$10:$C$224,$C178,'TL18'!$J$10:$J$224),0),
IF('TL18'!$B$229=Q$3,SUMIF('TL18'!$C$238:$C$451,$C178,'TL18'!$J$238:$J$451),0),
IF('TL19'!$B$3=Q$3,SUMIF('TL19'!$C$10:$C$224,$C178,'TL19'!$J$10:$J$224),0),
IF('TL19'!$B$229=Q$3,SUMIF('TL19'!$C$238:$C$451,$C178,'TL19'!$J$238:$J$451),0)
),0)</f>
        <v/>
      </c>
      <c r="R178" s="9">
        <f>IFERROR(
SUM(
SUMIF('TL01'!C:C,C178,'TL01'!J:J),
SUMIF('TL02'!C:C,C178,'TL02'!J:J),
SUMIF('TL03'!C:C,C178,'TL03'!J:J),
SUMIF('TL04'!C:C,C178,'TL04'!J:J),
SUMIF('TL05'!C:C,C178,'TL05'!J:J),
SUMIF('TL06'!C:C,C178,'TL06'!J:J),
SUMIF('TL07'!C:C,C178,'TL07'!J:J),
SUMIF('TL08'!C:C,C178,'TL08'!J:J),
SUMIF('TL09'!C:C,C178,'TL09'!J:J),
SUMIF('TL10'!C:C,C178,'TL10'!J:J),
SUMIF('TL11'!C:C,C178,'TL11'!J:J),
SUMIF('TL12'!C:C,C178,'TL12'!J:J),
SUMIF('TL13'!C:C,C178,'TL13'!J:J),
SUMIF('TL14'!C:C,C178,'TL14'!J:J),
SUMIF('TL15'!C:C,C178,'TL15'!J:J),
SUMIF('TL16'!C:C,C178,'TL16'!J:J),
SUMIF('TL17'!C:C,C178,'TL17'!J:J),
SUMIF('TL18'!C:C,C178,'TL18'!J:J),SUMIF('TL19'!C:C,C178,'TL19'!J:J))
,0)</f>
        <v/>
      </c>
      <c r="S178" s="17">
        <f>IFERROR(__xludf.DUMMYFUNCTION("IFERROR(VLOOKUP(C178,
IMPORTRANGE(""1wULbzX32WdYsx-lj2U3uUNBBe2INVIRDtcK0d-Dvl90"",
""26-27!C:G""),
5,
FALSE),
"""")"),134.67219)</f>
        <v/>
      </c>
      <c r="T178" s="9" t="n"/>
      <c r="U178" s="92">
        <f>MAX(0,R178-T178)</f>
        <v/>
      </c>
      <c r="V178" s="93">
        <f>U178*S178</f>
        <v/>
      </c>
    </row>
    <row r="179" hidden="1" ht="15.75" customHeight="1" s="297">
      <c r="A179" s="94" t="inlineStr">
        <is>
          <t>BASF</t>
        </is>
      </c>
      <c r="B179" s="95" t="inlineStr">
        <is>
          <t>INSETICIDA</t>
        </is>
      </c>
      <c r="C179" s="96" t="inlineStr">
        <is>
          <t>NOMOLT 150</t>
        </is>
      </c>
      <c r="D179" s="96" t="inlineStr">
        <is>
          <t>TEFLUBENZUROM</t>
        </is>
      </c>
      <c r="E179" s="96" t="n">
        <v>150</v>
      </c>
      <c r="F179" s="4" t="inlineStr">
        <is>
          <t>L</t>
        </is>
      </c>
      <c r="G179" s="90">
        <f>HYPERLINK("https://www.google.com/search?q=" &amp; C179 &amp; "+bula+agrofit+pdf", "📄 Ver bula")</f>
        <v/>
      </c>
      <c r="H179" s="9">
        <f>IFERROR(__xludf.DUMMYFUNCTION("IFERROR(VLOOKUP(C179,
IMPORTRANGE(""1wULbzX32WdYsx-lj2U3uUNBBe2INVIRDtcK0d-Dvl90"",
""26-27!C:K""),
8,
FALSE),
"""")"),0.15)</f>
        <v/>
      </c>
      <c r="I179" s="97" t="inlineStr">
        <is>
          <t>4X5</t>
        </is>
      </c>
      <c r="J179" s="9">
        <f>IFERROR(SUM(
IF('TL01'!$B$3=J$3,SUMIF('TL01'!$C$10:$C$224,$C179,'TL01'!$J$10:$J$224),0),
IF('TL01'!$B$229=J$3,SUMIF('TL01'!$C$238:$C$451,$C179,'TL01'!$J$238:$J$451),0),
IF('TL02'!$B$3=J$3,SUMIF('TL02'!$C$10:$C$224,$C179,'TL02'!$J$10:$J$224),0),
IF('TL02'!$B$229=J$3,SUMIF('TL02'!$C$238:$C$451,$C179,'TL02'!$J$238:$J$451),0),
IF('TL03'!$B$3=J$3,SUMIF('TL03'!$C$10:$C$224,$C179,'TL03'!$J$10:$J$224),0),
IF('TL03'!$B$229=J$3,SUMIF('TL03'!$C$238:$C$451,$C179,'TL03'!$J$238:$J$451),0),
IF('TL04'!$B$3=J$3,SUMIF('TL04'!$C$10:$C$224,$C179,'TL04'!$J$10:$J$224),0),
IF('TL04'!$B$229=J$3,SUMIF('TL04'!$C$238:$C$451,$C179,'TL04'!$J$238:$J$451),0),
IF('TL05'!$B$3=J$3,SUMIF('TL05'!$C$10:$C$224,$C179,'TL05'!$J$10:$J$224),0),
IF('TL05'!$B$229=J$3,SUMIF('TL05'!$C$238:$C$451,$C179,'TL05'!$J$238:$J$451),0),
IF('TL06'!$B$3=J$3,SUMIF('TL06'!$C$10:$C$224,$C179,'TL06'!$J$10:$J$224),0),
IF('TL06'!$B$229=J$3,SUMIF('TL06'!$C$238:$C$451,$C179,'TL06'!$J$238:$J$451),0),
IF('TL07'!$B$3=J$3,SUMIF('TL07'!$C$10:$C$224,$C179,'TL07'!$J$10:$J$224),0),
IF('TL07'!$B$229=J$3,SUMIF('TL07'!$C$238:$C$451,$C179,'TL07'!$J$238:$J$451),0),
IF('TL08'!$B$3=J$3,SUMIF('TL08'!$C$10:$C$224,$C179,'TL08'!$J$10:$J$224),0),
IF('TL08'!$B$229=J$3,SUMIF('TL08'!$C$238:$C$451,$C179,'TL08'!$J$238:$J$451),0),
IF('TL09'!$B$3=J$3,SUMIF('TL09'!$C$10:$C$224,$C179,'TL09'!$J$10:$J$224),0),
IF('TL09'!$B$229=J$3,SUMIF('TL09'!$C$238:$C$451,$C179,'TL09'!$J$238:$J$451),0),
IF('TL10'!$B$3=J$3,SUMIF('TL10'!$C$10:$C$224,$C179,'TL10'!$J$10:$J$224),0),
IF('TL10'!$B$229=J$3,SUMIF('TL10'!$C$238:$C$451,$C179,'TL10'!$J$238:$J$451),0),
IF('TL11'!$B$3=J$3,SUMIF('TL11'!$C$10:$C$224,$C179,'TL11'!$J$10:$J$224),0),
IF('TL11'!$B$229=J$3,SUMIF('TL11'!$C$238:$C$451,$C179,'TL11'!$J$238:$J$451),0),
IF('TL12'!$B$3=J$3,SUMIF('TL12'!$C$10:$C$224,$C179,'TL12'!$J$10:$J$224),0),
IF('TL12'!$B$229=J$3,SUMIF('TL12'!$C$238:$C$451,$C179,'TL12'!$J$238:$J$451),0),
IF('TL13'!$B$3=J$3,SUMIF('TL13'!$C$10:$C$224,$C179,'TL13'!$J$10:$J$224),0),
IF('TL13'!$B$229=J$3,SUMIF('TL13'!$C$238:$C$451,$C179,'TL13'!$J$238:$J$451),0),
IF('TL14'!$B$3=J$3,SUMIF('TL14'!$C$10:$C$224,$C179,'TL14'!$J$10:$J$224),0),
IF('TL14'!$B$229=J$3,SUMIF('TL14'!$C$238:$C$451,$C179,'TL14'!$J$238:$J$451),0),
IF('TL15'!$B$3=J$3,SUMIF('TL15'!$C$10:$C$224,$C179,'TL15'!$J$10:$J$224),0),
IF('TL15'!$B$229=J$3,SUMIF('TL15'!$C$238:$C$451,$C179,'TL15'!$J$238:$J$451),0),
IF('TL16'!$B$3=J$3,SUMIF('TL16'!$C$10:$C$224,$C179,'TL16'!$J$10:$J$224),0),
IF('TL16'!$B$229=J$3,SUMIF('TL16'!$C$238:$C$451,$C179,'TL16'!$J$238:$J$451),0),
IF('TL17'!$B$3=J$3,SUMIF('TL17'!$C$10:$C$224,$C179,'TL17'!$J$10:$J$224),0),
IF('TL17'!$B$229=J$3,SUMIF('TL17'!$C$238:$C$451,$C179,'TL17'!$J$238:$J$451),0),
IF('TL18'!$B$3=J$3,SUMIF('TL18'!$C$10:$C$224,$C179,'TL18'!$J$10:$J$224),0),
IF('TL18'!$B$229=J$3,SUMIF('TL18'!$C$238:$C$451,$C179,'TL18'!$J$238:$J$451),0),
IF('TL19'!$B$3=J$3,SUMIF('TL19'!$C$10:$C$224,$C179,'TL19'!$J$10:$J$224),0),
IF('TL19'!$B$229=J$3,SUMIF('TL19'!$C$238:$C$451,$C179,'TL19'!$J$238:$J$451),0)
),0)</f>
        <v/>
      </c>
      <c r="K179" s="9">
        <f>IFERROR(SUM(
IF('TL01'!$B$3=K$3,SUMIF('TL01'!$C$10:$C$224,$C179,'TL01'!$J$10:$J$224),0),
IF('TL01'!$B$229=K$3,SUMIF('TL01'!$C$238:$C$451,$C179,'TL01'!$J$238:$J$451),0),
IF('TL02'!$B$3=K$3,SUMIF('TL02'!$C$10:$C$224,$C179,'TL02'!$J$10:$J$224),0),
IF('TL02'!$B$229=K$3,SUMIF('TL02'!$C$238:$C$451,$C179,'TL02'!$J$238:$J$451),0),
IF('TL03'!$B$3=K$3,SUMIF('TL03'!$C$10:$C$224,$C179,'TL03'!$J$10:$J$224),0),
IF('TL03'!$B$229=K$3,SUMIF('TL03'!$C$238:$C$451,$C179,'TL03'!$J$238:$J$451),0),
IF('TL04'!$B$3=K$3,SUMIF('TL04'!$C$10:$C$224,$C179,'TL04'!$J$10:$J$224),0),
IF('TL04'!$B$229=K$3,SUMIF('TL04'!$C$238:$C$451,$C179,'TL04'!$J$238:$J$451),0),
IF('TL05'!$B$3=K$3,SUMIF('TL05'!$C$10:$C$224,$C179,'TL05'!$J$10:$J$224),0),
IF('TL05'!$B$229=K$3,SUMIF('TL05'!$C$238:$C$451,$C179,'TL05'!$J$238:$J$451),0),
IF('TL06'!$B$3=K$3,SUMIF('TL06'!$C$10:$C$224,$C179,'TL06'!$J$10:$J$224),0),
IF('TL06'!$B$229=K$3,SUMIF('TL06'!$C$238:$C$451,$C179,'TL06'!$J$238:$J$451),0),
IF('TL07'!$B$3=K$3,SUMIF('TL07'!$C$10:$C$224,$C179,'TL07'!$J$10:$J$224),0),
IF('TL07'!$B$229=K$3,SUMIF('TL07'!$C$238:$C$451,$C179,'TL07'!$J$238:$J$451),0),
IF('TL08'!$B$3=K$3,SUMIF('TL08'!$C$10:$C$224,$C179,'TL08'!$J$10:$J$224),0),
IF('TL08'!$B$229=K$3,SUMIF('TL08'!$C$238:$C$451,$C179,'TL08'!$J$238:$J$451),0),
IF('TL09'!$B$3=K$3,SUMIF('TL09'!$C$10:$C$224,$C179,'TL09'!$J$10:$J$224),0),
IF('TL09'!$B$229=K$3,SUMIF('TL09'!$C$238:$C$451,$C179,'TL09'!$J$238:$J$451),0),
IF('TL10'!$B$3=K$3,SUMIF('TL10'!$C$10:$C$224,$C179,'TL10'!$J$10:$J$224),0),
IF('TL10'!$B$229=K$3,SUMIF('TL10'!$C$238:$C$451,$C179,'TL10'!$J$238:$J$451),0),
IF('TL11'!$B$3=K$3,SUMIF('TL11'!$C$10:$C$224,$C179,'TL11'!$J$10:$J$224),0),
IF('TL11'!$B$229=K$3,SUMIF('TL11'!$C$238:$C$451,$C179,'TL11'!$J$238:$J$451),0),
IF('TL12'!$B$3=K$3,SUMIF('TL12'!$C$10:$C$224,$C179,'TL12'!$J$10:$J$224),0),
IF('TL12'!$B$229=K$3,SUMIF('TL12'!$C$238:$C$451,$C179,'TL12'!$J$238:$J$451),0),
IF('TL13'!$B$3=K$3,SUMIF('TL13'!$C$10:$C$224,$C179,'TL13'!$J$10:$J$224),0),
IF('TL13'!$B$229=K$3,SUMIF('TL13'!$C$238:$C$451,$C179,'TL13'!$J$238:$J$451),0),
IF('TL14'!$B$3=K$3,SUMIF('TL14'!$C$10:$C$224,$C179,'TL14'!$J$10:$J$224),0),
IF('TL14'!$B$229=K$3,SUMIF('TL14'!$C$238:$C$451,$C179,'TL14'!$J$238:$J$451),0),
IF('TL15'!$B$3=K$3,SUMIF('TL15'!$C$10:$C$224,$C179,'TL15'!$J$10:$J$224),0),
IF('TL15'!$B$229=K$3,SUMIF('TL15'!$C$238:$C$451,$C179,'TL15'!$J$238:$J$451),0),
IF('TL16'!$B$3=K$3,SUMIF('TL16'!$C$10:$C$224,$C179,'TL16'!$J$10:$J$224),0),
IF('TL16'!$B$229=K$3,SUMIF('TL16'!$C$238:$C$451,$C179,'TL16'!$J$238:$J$451),0),
IF('TL17'!$B$3=K$3,SUMIF('TL17'!$C$10:$C$224,$C179,'TL17'!$J$10:$J$224),0),
IF('TL17'!$B$229=K$3,SUMIF('TL17'!$C$238:$C$451,$C179,'TL17'!$J$238:$J$451),0),
IF('TL18'!$B$3=K$3,SUMIF('TL18'!$C$10:$C$224,$C179,'TL18'!$J$10:$J$224),0),
IF('TL18'!$B$229=K$3,SUMIF('TL18'!$C$238:$C$451,$C179,'TL18'!$J$238:$J$451),0),
IF('TL19'!$B$3=K$3,SUMIF('TL19'!$C$10:$C$224,$C179,'TL19'!$J$10:$J$224),0),
IF('TL19'!$B$229=K$3,SUMIF('TL19'!$C$238:$C$451,$C179,'TL19'!$J$238:$J$451),0)
),0)</f>
        <v/>
      </c>
      <c r="L179" s="9">
        <f>IFERROR(SUM(
IF('TL01'!$B$3=L$3,SUMIF('TL01'!$C$10:$C$224,$C179,'TL01'!$J$10:$J$224),0),
IF('TL01'!$B$229=L$3,SUMIF('TL01'!$C$238:$C$451,$C179,'TL01'!$J$238:$J$451),0),
IF('TL02'!$B$3=L$3,SUMIF('TL02'!$C$10:$C$224,$C179,'TL02'!$J$10:$J$224),0),
IF('TL02'!$B$229=L$3,SUMIF('TL02'!$C$238:$C$451,$C179,'TL02'!$J$238:$J$451),0),
IF('TL03'!$B$3=L$3,SUMIF('TL03'!$C$10:$C$224,$C179,'TL03'!$J$10:$J$224),0),
IF('TL03'!$B$229=L$3,SUMIF('TL03'!$C$238:$C$451,$C179,'TL03'!$J$238:$J$451),0),
IF('TL04'!$B$3=L$3,SUMIF('TL04'!$C$10:$C$224,$C179,'TL04'!$J$10:$J$224),0),
IF('TL04'!$B$229=L$3,SUMIF('TL04'!$C$238:$C$451,$C179,'TL04'!$J$238:$J$451),0),
IF('TL05'!$B$3=L$3,SUMIF('TL05'!$C$10:$C$224,$C179,'TL05'!$J$10:$J$224),0),
IF('TL05'!$B$229=L$3,SUMIF('TL05'!$C$238:$C$451,$C179,'TL05'!$J$238:$J$451),0),
IF('TL06'!$B$3=L$3,SUMIF('TL06'!$C$10:$C$224,$C179,'TL06'!$J$10:$J$224),0),
IF('TL06'!$B$229=L$3,SUMIF('TL06'!$C$238:$C$451,$C179,'TL06'!$J$238:$J$451),0),
IF('TL07'!$B$3=L$3,SUMIF('TL07'!$C$10:$C$224,$C179,'TL07'!$J$10:$J$224),0),
IF('TL07'!$B$229=L$3,SUMIF('TL07'!$C$238:$C$451,$C179,'TL07'!$J$238:$J$451),0),
IF('TL08'!$B$3=L$3,SUMIF('TL08'!$C$10:$C$224,$C179,'TL08'!$J$10:$J$224),0),
IF('TL08'!$B$229=L$3,SUMIF('TL08'!$C$238:$C$451,$C179,'TL08'!$J$238:$J$451),0),
IF('TL09'!$B$3=L$3,SUMIF('TL09'!$C$10:$C$224,$C179,'TL09'!$J$10:$J$224),0),
IF('TL09'!$B$229=L$3,SUMIF('TL09'!$C$238:$C$451,$C179,'TL09'!$J$238:$J$451),0),
IF('TL10'!$B$3=L$3,SUMIF('TL10'!$C$10:$C$224,$C179,'TL10'!$J$10:$J$224),0),
IF('TL10'!$B$229=L$3,SUMIF('TL10'!$C$238:$C$451,$C179,'TL10'!$J$238:$J$451),0),
IF('TL11'!$B$3=L$3,SUMIF('TL11'!$C$10:$C$224,$C179,'TL11'!$J$10:$J$224),0),
IF('TL11'!$B$229=L$3,SUMIF('TL11'!$C$238:$C$451,$C179,'TL11'!$J$238:$J$451),0),
IF('TL12'!$B$3=L$3,SUMIF('TL12'!$C$10:$C$224,$C179,'TL12'!$J$10:$J$224),0),
IF('TL12'!$B$229=L$3,SUMIF('TL12'!$C$238:$C$451,$C179,'TL12'!$J$238:$J$451),0),
IF('TL13'!$B$3=L$3,SUMIF('TL13'!$C$10:$C$224,$C179,'TL13'!$J$10:$J$224),0),
IF('TL13'!$B$229=L$3,SUMIF('TL13'!$C$238:$C$451,$C179,'TL13'!$J$238:$J$451),0),
IF('TL14'!$B$3=L$3,SUMIF('TL14'!$C$10:$C$224,$C179,'TL14'!$J$10:$J$224),0),
IF('TL14'!$B$229=L$3,SUMIF('TL14'!$C$238:$C$451,$C179,'TL14'!$J$238:$J$451),0),
IF('TL15'!$B$3=L$3,SUMIF('TL15'!$C$10:$C$224,$C179,'TL15'!$J$10:$J$224),0),
IF('TL15'!$B$229=L$3,SUMIF('TL15'!$C$238:$C$451,$C179,'TL15'!$J$238:$J$451),0),
IF('TL16'!$B$3=L$3,SUMIF('TL16'!$C$10:$C$224,$C179,'TL16'!$J$10:$J$224),0),
IF('TL16'!$B$229=L$3,SUMIF('TL16'!$C$238:$C$451,$C179,'TL16'!$J$238:$J$451),0),
IF('TL17'!$B$3=L$3,SUMIF('TL17'!$C$10:$C$224,$C179,'TL17'!$J$10:$J$224),0),
IF('TL17'!$B$229=L$3,SUMIF('TL17'!$C$238:$C$451,$C179,'TL17'!$J$238:$J$451),0),
IF('TL18'!$B$3=L$3,SUMIF('TL18'!$C$10:$C$224,$C179,'TL18'!$J$10:$J$224),0),
IF('TL18'!$B$229=L$3,SUMIF('TL18'!$C$238:$C$451,$C179,'TL18'!$J$238:$J$451),0),
IF('TL19'!$B$3=L$3,SUMIF('TL19'!$C$10:$C$224,$C179,'TL19'!$J$10:$J$224),0),
IF('TL19'!$B$229=L$3,SUMIF('TL19'!$C$238:$C$451,$C179,'TL19'!$J$238:$J$451),0)
),0)</f>
        <v/>
      </c>
      <c r="M179" s="9">
        <f>IFERROR(SUM(
IF('TL01'!$B$3=M$3,SUMIF('TL01'!$C$10:$C$224,$C179,'TL01'!$J$10:$J$224),0),
IF('TL01'!$B$229=M$3,SUMIF('TL01'!$C$238:$C$451,$C179,'TL01'!$J$238:$J$451),0),
IF('TL02'!$B$3=M$3,SUMIF('TL02'!$C$10:$C$224,$C179,'TL02'!$J$10:$J$224),0),
IF('TL02'!$B$229=M$3,SUMIF('TL02'!$C$238:$C$451,$C179,'TL02'!$J$238:$J$451),0),
IF('TL03'!$B$3=M$3,SUMIF('TL03'!$C$10:$C$224,$C179,'TL03'!$J$10:$J$224),0),
IF('TL03'!$B$229=M$3,SUMIF('TL03'!$C$238:$C$451,$C179,'TL03'!$J$238:$J$451),0),
IF('TL04'!$B$3=M$3,SUMIF('TL04'!$C$10:$C$224,$C179,'TL04'!$J$10:$J$224),0),
IF('TL04'!$B$229=M$3,SUMIF('TL04'!$C$238:$C$451,$C179,'TL04'!$J$238:$J$451),0),
IF('TL05'!$B$3=M$3,SUMIF('TL05'!$C$10:$C$224,$C179,'TL05'!$J$10:$J$224),0),
IF('TL05'!$B$229=M$3,SUMIF('TL05'!$C$238:$C$451,$C179,'TL05'!$J$238:$J$451),0),
IF('TL06'!$B$3=M$3,SUMIF('TL06'!$C$10:$C$224,$C179,'TL06'!$J$10:$J$224),0),
IF('TL06'!$B$229=M$3,SUMIF('TL06'!$C$238:$C$451,$C179,'TL06'!$J$238:$J$451),0),
IF('TL07'!$B$3=M$3,SUMIF('TL07'!$C$10:$C$224,$C179,'TL07'!$J$10:$J$224),0),
IF('TL07'!$B$229=M$3,SUMIF('TL07'!$C$238:$C$451,$C179,'TL07'!$J$238:$J$451),0),
IF('TL08'!$B$3=M$3,SUMIF('TL08'!$C$10:$C$224,$C179,'TL08'!$J$10:$J$224),0),
IF('TL08'!$B$229=M$3,SUMIF('TL08'!$C$238:$C$451,$C179,'TL08'!$J$238:$J$451),0),
IF('TL09'!$B$3=M$3,SUMIF('TL09'!$C$10:$C$224,$C179,'TL09'!$J$10:$J$224),0),
IF('TL09'!$B$229=M$3,SUMIF('TL09'!$C$238:$C$451,$C179,'TL09'!$J$238:$J$451),0),
IF('TL10'!$B$3=M$3,SUMIF('TL10'!$C$10:$C$224,$C179,'TL10'!$J$10:$J$224),0),
IF('TL10'!$B$229=M$3,SUMIF('TL10'!$C$238:$C$451,$C179,'TL10'!$J$238:$J$451),0),
IF('TL11'!$B$3=M$3,SUMIF('TL11'!$C$10:$C$224,$C179,'TL11'!$J$10:$J$224),0),
IF('TL11'!$B$229=M$3,SUMIF('TL11'!$C$238:$C$451,$C179,'TL11'!$J$238:$J$451),0),
IF('TL12'!$B$3=M$3,SUMIF('TL12'!$C$10:$C$224,$C179,'TL12'!$J$10:$J$224),0),
IF('TL12'!$B$229=M$3,SUMIF('TL12'!$C$238:$C$451,$C179,'TL12'!$J$238:$J$451),0),
IF('TL13'!$B$3=M$3,SUMIF('TL13'!$C$10:$C$224,$C179,'TL13'!$J$10:$J$224),0),
IF('TL13'!$B$229=M$3,SUMIF('TL13'!$C$238:$C$451,$C179,'TL13'!$J$238:$J$451),0),
IF('TL14'!$B$3=M$3,SUMIF('TL14'!$C$10:$C$224,$C179,'TL14'!$J$10:$J$224),0),
IF('TL14'!$B$229=M$3,SUMIF('TL14'!$C$238:$C$451,$C179,'TL14'!$J$238:$J$451),0),
IF('TL15'!$B$3=M$3,SUMIF('TL15'!$C$10:$C$224,$C179,'TL15'!$J$10:$J$224),0),
IF('TL15'!$B$229=M$3,SUMIF('TL15'!$C$238:$C$451,$C179,'TL15'!$J$238:$J$451),0),
IF('TL16'!$B$3=M$3,SUMIF('TL16'!$C$10:$C$224,$C179,'TL16'!$J$10:$J$224),0),
IF('TL16'!$B$229=M$3,SUMIF('TL16'!$C$238:$C$451,$C179,'TL16'!$J$238:$J$451),0),
IF('TL17'!$B$3=M$3,SUMIF('TL17'!$C$10:$C$224,$C179,'TL17'!$J$10:$J$224),0),
IF('TL17'!$B$229=M$3,SUMIF('TL17'!$C$238:$C$451,$C179,'TL17'!$J$238:$J$451),0),
IF('TL18'!$B$3=M$3,SUMIF('TL18'!$C$10:$C$224,$C179,'TL18'!$J$10:$J$224),0),
IF('TL18'!$B$229=M$3,SUMIF('TL18'!$C$238:$C$451,$C179,'TL18'!$J$238:$J$451),0),
IF('TL19'!$B$3=M$3,SUMIF('TL19'!$C$10:$C$224,$C179,'TL19'!$J$10:$J$224),0),
IF('TL19'!$B$229=M$3,SUMIF('TL19'!$C$238:$C$451,$C179,'TL19'!$J$238:$J$451),0)
),0)</f>
        <v/>
      </c>
      <c r="N179" s="9">
        <f>IFERROR(SUM(
IF('TL01'!$B$3=N$3,SUMIF('TL01'!$C$10:$C$224,$C179,'TL01'!$J$10:$J$224),0),
IF('TL01'!$B$229=N$3,SUMIF('TL01'!$C$238:$C$451,$C179,'TL01'!$J$238:$J$451),0),
IF('TL02'!$B$3=N$3,SUMIF('TL02'!$C$10:$C$224,$C179,'TL02'!$J$10:$J$224),0),
IF('TL02'!$B$229=N$3,SUMIF('TL02'!$C$238:$C$451,$C179,'TL02'!$J$238:$J$451),0),
IF('TL03'!$B$3=N$3,SUMIF('TL03'!$C$10:$C$224,$C179,'TL03'!$J$10:$J$224),0),
IF('TL03'!$B$229=N$3,SUMIF('TL03'!$C$238:$C$451,$C179,'TL03'!$J$238:$J$451),0),
IF('TL04'!$B$3=N$3,SUMIF('TL04'!$C$10:$C$224,$C179,'TL04'!$J$10:$J$224),0),
IF('TL04'!$B$229=N$3,SUMIF('TL04'!$C$238:$C$451,$C179,'TL04'!$J$238:$J$451),0),
IF('TL05'!$B$3=N$3,SUMIF('TL05'!$C$10:$C$224,$C179,'TL05'!$J$10:$J$224),0),
IF('TL05'!$B$229=N$3,SUMIF('TL05'!$C$238:$C$451,$C179,'TL05'!$J$238:$J$451),0),
IF('TL06'!$B$3=N$3,SUMIF('TL06'!$C$10:$C$224,$C179,'TL06'!$J$10:$J$224),0),
IF('TL06'!$B$229=N$3,SUMIF('TL06'!$C$238:$C$451,$C179,'TL06'!$J$238:$J$451),0),
IF('TL07'!$B$3=N$3,SUMIF('TL07'!$C$10:$C$224,$C179,'TL07'!$J$10:$J$224),0),
IF('TL07'!$B$229=N$3,SUMIF('TL07'!$C$238:$C$451,$C179,'TL07'!$J$238:$J$451),0),
IF('TL08'!$B$3=N$3,SUMIF('TL08'!$C$10:$C$224,$C179,'TL08'!$J$10:$J$224),0),
IF('TL08'!$B$229=N$3,SUMIF('TL08'!$C$238:$C$451,$C179,'TL08'!$J$238:$J$451),0),
IF('TL09'!$B$3=N$3,SUMIF('TL09'!$C$10:$C$224,$C179,'TL09'!$J$10:$J$224),0),
IF('TL09'!$B$229=N$3,SUMIF('TL09'!$C$238:$C$451,$C179,'TL09'!$J$238:$J$451),0),
IF('TL10'!$B$3=N$3,SUMIF('TL10'!$C$10:$C$224,$C179,'TL10'!$J$10:$J$224),0),
IF('TL10'!$B$229=N$3,SUMIF('TL10'!$C$238:$C$451,$C179,'TL10'!$J$238:$J$451),0),
IF('TL11'!$B$3=N$3,SUMIF('TL11'!$C$10:$C$224,$C179,'TL11'!$J$10:$J$224),0),
IF('TL11'!$B$229=N$3,SUMIF('TL11'!$C$238:$C$451,$C179,'TL11'!$J$238:$J$451),0),
IF('TL12'!$B$3=N$3,SUMIF('TL12'!$C$10:$C$224,$C179,'TL12'!$J$10:$J$224),0),
IF('TL12'!$B$229=N$3,SUMIF('TL12'!$C$238:$C$451,$C179,'TL12'!$J$238:$J$451),0),
IF('TL13'!$B$3=N$3,SUMIF('TL13'!$C$10:$C$224,$C179,'TL13'!$J$10:$J$224),0),
IF('TL13'!$B$229=N$3,SUMIF('TL13'!$C$238:$C$451,$C179,'TL13'!$J$238:$J$451),0),
IF('TL14'!$B$3=N$3,SUMIF('TL14'!$C$10:$C$224,$C179,'TL14'!$J$10:$J$224),0),
IF('TL14'!$B$229=N$3,SUMIF('TL14'!$C$238:$C$451,$C179,'TL14'!$J$238:$J$451),0),
IF('TL15'!$B$3=N$3,SUMIF('TL15'!$C$10:$C$224,$C179,'TL15'!$J$10:$J$224),0),
IF('TL15'!$B$229=N$3,SUMIF('TL15'!$C$238:$C$451,$C179,'TL15'!$J$238:$J$451),0),
IF('TL16'!$B$3=N$3,SUMIF('TL16'!$C$10:$C$224,$C179,'TL16'!$J$10:$J$224),0),
IF('TL16'!$B$229=N$3,SUMIF('TL16'!$C$238:$C$451,$C179,'TL16'!$J$238:$J$451),0),
IF('TL17'!$B$3=N$3,SUMIF('TL17'!$C$10:$C$224,$C179,'TL17'!$J$10:$J$224),0),
IF('TL17'!$B$229=N$3,SUMIF('TL17'!$C$238:$C$451,$C179,'TL17'!$J$238:$J$451),0),
IF('TL18'!$B$3=N$3,SUMIF('TL18'!$C$10:$C$224,$C179,'TL18'!$J$10:$J$224),0),
IF('TL18'!$B$229=N$3,SUMIF('TL18'!$C$238:$C$451,$C179,'TL18'!$J$238:$J$451),0),
IF('TL19'!$B$3=N$3,SUMIF('TL19'!$C$10:$C$224,$C179,'TL19'!$J$10:$J$224),0),
IF('TL19'!$B$229=N$3,SUMIF('TL19'!$C$238:$C$451,$C179,'TL19'!$J$238:$J$451),0)
),0)</f>
        <v/>
      </c>
      <c r="O179" s="9">
        <f>IFERROR(SUM(
IF('TL01'!$B$3=O$3,SUMIF('TL01'!$C$10:$C$224,$C179,'TL01'!$J$10:$J$224),0),
IF('TL01'!$B$229=O$3,SUMIF('TL01'!$C$238:$C$451,$C179,'TL01'!$J$238:$J$451),0),
IF('TL02'!$B$3=O$3,SUMIF('TL02'!$C$10:$C$224,$C179,'TL02'!$J$10:$J$224),0),
IF('TL02'!$B$229=O$3,SUMIF('TL02'!$C$238:$C$451,$C179,'TL02'!$J$238:$J$451),0),
IF('TL03'!$B$3=O$3,SUMIF('TL03'!$C$10:$C$224,$C179,'TL03'!$J$10:$J$224),0),
IF('TL03'!$B$229=O$3,SUMIF('TL03'!$C$238:$C$451,$C179,'TL03'!$J$238:$J$451),0),
IF('TL04'!$B$3=O$3,SUMIF('TL04'!$C$10:$C$224,$C179,'TL04'!$J$10:$J$224),0),
IF('TL04'!$B$229=O$3,SUMIF('TL04'!$C$238:$C$451,$C179,'TL04'!$J$238:$J$451),0),
IF('TL05'!$B$3=O$3,SUMIF('TL05'!$C$10:$C$224,$C179,'TL05'!$J$10:$J$224),0),
IF('TL05'!$B$229=O$3,SUMIF('TL05'!$C$238:$C$451,$C179,'TL05'!$J$238:$J$451),0),
IF('TL06'!$B$3=O$3,SUMIF('TL06'!$C$10:$C$224,$C179,'TL06'!$J$10:$J$224),0),
IF('TL06'!$B$229=O$3,SUMIF('TL06'!$C$238:$C$451,$C179,'TL06'!$J$238:$J$451),0),
IF('TL07'!$B$3=O$3,SUMIF('TL07'!$C$10:$C$224,$C179,'TL07'!$J$10:$J$224),0),
IF('TL07'!$B$229=O$3,SUMIF('TL07'!$C$238:$C$451,$C179,'TL07'!$J$238:$J$451),0),
IF('TL08'!$B$3=O$3,SUMIF('TL08'!$C$10:$C$224,$C179,'TL08'!$J$10:$J$224),0),
IF('TL08'!$B$229=O$3,SUMIF('TL08'!$C$238:$C$451,$C179,'TL08'!$J$238:$J$451),0),
IF('TL09'!$B$3=O$3,SUMIF('TL09'!$C$10:$C$224,$C179,'TL09'!$J$10:$J$224),0),
IF('TL09'!$B$229=O$3,SUMIF('TL09'!$C$238:$C$451,$C179,'TL09'!$J$238:$J$451),0),
IF('TL10'!$B$3=O$3,SUMIF('TL10'!$C$10:$C$224,$C179,'TL10'!$J$10:$J$224),0),
IF('TL10'!$B$229=O$3,SUMIF('TL10'!$C$238:$C$451,$C179,'TL10'!$J$238:$J$451),0),
IF('TL11'!$B$3=O$3,SUMIF('TL11'!$C$10:$C$224,$C179,'TL11'!$J$10:$J$224),0),
IF('TL11'!$B$229=O$3,SUMIF('TL11'!$C$238:$C$451,$C179,'TL11'!$J$238:$J$451),0),
IF('TL12'!$B$3=O$3,SUMIF('TL12'!$C$10:$C$224,$C179,'TL12'!$J$10:$J$224),0),
IF('TL12'!$B$229=O$3,SUMIF('TL12'!$C$238:$C$451,$C179,'TL12'!$J$238:$J$451),0),
IF('TL13'!$B$3=O$3,SUMIF('TL13'!$C$10:$C$224,$C179,'TL13'!$J$10:$J$224),0),
IF('TL13'!$B$229=O$3,SUMIF('TL13'!$C$238:$C$451,$C179,'TL13'!$J$238:$J$451),0),
IF('TL14'!$B$3=O$3,SUMIF('TL14'!$C$10:$C$224,$C179,'TL14'!$J$10:$J$224),0),
IF('TL14'!$B$229=O$3,SUMIF('TL14'!$C$238:$C$451,$C179,'TL14'!$J$238:$J$451),0),
IF('TL15'!$B$3=O$3,SUMIF('TL15'!$C$10:$C$224,$C179,'TL15'!$J$10:$J$224),0),
IF('TL15'!$B$229=O$3,SUMIF('TL15'!$C$238:$C$451,$C179,'TL15'!$J$238:$J$451),0),
IF('TL16'!$B$3=O$3,SUMIF('TL16'!$C$10:$C$224,$C179,'TL16'!$J$10:$J$224),0),
IF('TL16'!$B$229=O$3,SUMIF('TL16'!$C$238:$C$451,$C179,'TL16'!$J$238:$J$451),0),
IF('TL17'!$B$3=O$3,SUMIF('TL17'!$C$10:$C$224,$C179,'TL17'!$J$10:$J$224),0),
IF('TL17'!$B$229=O$3,SUMIF('TL17'!$C$238:$C$451,$C179,'TL17'!$J$238:$J$451),0),
IF('TL18'!$B$3=O$3,SUMIF('TL18'!$C$10:$C$224,$C179,'TL18'!$J$10:$J$224),0),
IF('TL18'!$B$229=O$3,SUMIF('TL18'!$C$238:$C$451,$C179,'TL18'!$J$238:$J$451),0),
IF('TL19'!$B$3=O$3,SUMIF('TL19'!$C$10:$C$224,$C179,'TL19'!$J$10:$J$224),0),
IF('TL19'!$B$229=O$3,SUMIF('TL19'!$C$238:$C$451,$C179,'TL19'!$J$238:$J$451),0)
),0)</f>
        <v/>
      </c>
      <c r="P179" s="9">
        <f>IFERROR(SUM(
IF('TL01'!$B$3=P$3,SUMIF('TL01'!$C$10:$C$224,$C179,'TL01'!$J$10:$J$224),0),
IF('TL01'!$B$229=P$3,SUMIF('TL01'!$C$238:$C$451,$C179,'TL01'!$J$238:$J$451),0),
IF('TL02'!$B$3=P$3,SUMIF('TL02'!$C$10:$C$224,$C179,'TL02'!$J$10:$J$224),0),
IF('TL02'!$B$229=P$3,SUMIF('TL02'!$C$238:$C$451,$C179,'TL02'!$J$238:$J$451),0),
IF('TL03'!$B$3=P$3,SUMIF('TL03'!$C$10:$C$224,$C179,'TL03'!$J$10:$J$224),0),
IF('TL03'!$B$229=P$3,SUMIF('TL03'!$C$238:$C$451,$C179,'TL03'!$J$238:$J$451),0),
IF('TL04'!$B$3=P$3,SUMIF('TL04'!$C$10:$C$224,$C179,'TL04'!$J$10:$J$224),0),
IF('TL04'!$B$229=P$3,SUMIF('TL04'!$C$238:$C$451,$C179,'TL04'!$J$238:$J$451),0),
IF('TL05'!$B$3=P$3,SUMIF('TL05'!$C$10:$C$224,$C179,'TL05'!$J$10:$J$224),0),
IF('TL05'!$B$229=P$3,SUMIF('TL05'!$C$238:$C$451,$C179,'TL05'!$J$238:$J$451),0),
IF('TL06'!$B$3=P$3,SUMIF('TL06'!$C$10:$C$224,$C179,'TL06'!$J$10:$J$224),0),
IF('TL06'!$B$229=P$3,SUMIF('TL06'!$C$238:$C$451,$C179,'TL06'!$J$238:$J$451),0),
IF('TL07'!$B$3=P$3,SUMIF('TL07'!$C$10:$C$224,$C179,'TL07'!$J$10:$J$224),0),
IF('TL07'!$B$229=P$3,SUMIF('TL07'!$C$238:$C$451,$C179,'TL07'!$J$238:$J$451),0),
IF('TL08'!$B$3=P$3,SUMIF('TL08'!$C$10:$C$224,$C179,'TL08'!$J$10:$J$224),0),
IF('TL08'!$B$229=P$3,SUMIF('TL08'!$C$238:$C$451,$C179,'TL08'!$J$238:$J$451),0),
IF('TL09'!$B$3=P$3,SUMIF('TL09'!$C$10:$C$224,$C179,'TL09'!$J$10:$J$224),0),
IF('TL09'!$B$229=P$3,SUMIF('TL09'!$C$238:$C$451,$C179,'TL09'!$J$238:$J$451),0),
IF('TL10'!$B$3=P$3,SUMIF('TL10'!$C$10:$C$224,$C179,'TL10'!$J$10:$J$224),0),
IF('TL10'!$B$229=P$3,SUMIF('TL10'!$C$238:$C$451,$C179,'TL10'!$J$238:$J$451),0),
IF('TL11'!$B$3=P$3,SUMIF('TL11'!$C$10:$C$224,$C179,'TL11'!$J$10:$J$224),0),
IF('TL11'!$B$229=P$3,SUMIF('TL11'!$C$238:$C$451,$C179,'TL11'!$J$238:$J$451),0),
IF('TL12'!$B$3=P$3,SUMIF('TL12'!$C$10:$C$224,$C179,'TL12'!$J$10:$J$224),0),
IF('TL12'!$B$229=P$3,SUMIF('TL12'!$C$238:$C$451,$C179,'TL12'!$J$238:$J$451),0),
IF('TL13'!$B$3=P$3,SUMIF('TL13'!$C$10:$C$224,$C179,'TL13'!$J$10:$J$224),0),
IF('TL13'!$B$229=P$3,SUMIF('TL13'!$C$238:$C$451,$C179,'TL13'!$J$238:$J$451),0),
IF('TL14'!$B$3=P$3,SUMIF('TL14'!$C$10:$C$224,$C179,'TL14'!$J$10:$J$224),0),
IF('TL14'!$B$229=P$3,SUMIF('TL14'!$C$238:$C$451,$C179,'TL14'!$J$238:$J$451),0),
IF('TL15'!$B$3=P$3,SUMIF('TL15'!$C$10:$C$224,$C179,'TL15'!$J$10:$J$224),0),
IF('TL15'!$B$229=P$3,SUMIF('TL15'!$C$238:$C$451,$C179,'TL15'!$J$238:$J$451),0),
IF('TL16'!$B$3=P$3,SUMIF('TL16'!$C$10:$C$224,$C179,'TL16'!$J$10:$J$224),0),
IF('TL16'!$B$229=P$3,SUMIF('TL16'!$C$238:$C$451,$C179,'TL16'!$J$238:$J$451),0),
IF('TL17'!$B$3=P$3,SUMIF('TL17'!$C$10:$C$224,$C179,'TL17'!$J$10:$J$224),0),
IF('TL17'!$B$229=P$3,SUMIF('TL17'!$C$238:$C$451,$C179,'TL17'!$J$238:$J$451),0),
IF('TL18'!$B$3=P$3,SUMIF('TL18'!$C$10:$C$224,$C179,'TL18'!$J$10:$J$224),0),
IF('TL18'!$B$229=P$3,SUMIF('TL18'!$C$238:$C$451,$C179,'TL18'!$J$238:$J$451),0),
IF('TL19'!$B$3=P$3,SUMIF('TL19'!$C$10:$C$224,$C179,'TL19'!$J$10:$J$224),0),
IF('TL19'!$B$229=P$3,SUMIF('TL19'!$C$238:$C$451,$C179,'TL19'!$J$238:$J$451),0)
),0)</f>
        <v/>
      </c>
      <c r="Q179" s="9">
        <f>IFERROR(SUM(
IF('TL01'!$B$3=Q$3,SUMIF('TL01'!$C$10:$C$224,$C179,'TL01'!$J$10:$J$224),0),
IF('TL01'!$B$229=Q$3,SUMIF('TL01'!$C$238:$C$451,$C179,'TL01'!$J$238:$J$451),0),
IF('TL02'!$B$3=Q$3,SUMIF('TL02'!$C$10:$C$224,$C179,'TL02'!$J$10:$J$224),0),
IF('TL02'!$B$229=Q$3,SUMIF('TL02'!$C$238:$C$451,$C179,'TL02'!$J$238:$J$451),0),
IF('TL03'!$B$3=Q$3,SUMIF('TL03'!$C$10:$C$224,$C179,'TL03'!$J$10:$J$224),0),
IF('TL03'!$B$229=Q$3,SUMIF('TL03'!$C$238:$C$451,$C179,'TL03'!$J$238:$J$451),0),
IF('TL04'!$B$3=Q$3,SUMIF('TL04'!$C$10:$C$224,$C179,'TL04'!$J$10:$J$224),0),
IF('TL04'!$B$229=Q$3,SUMIF('TL04'!$C$238:$C$451,$C179,'TL04'!$J$238:$J$451),0),
IF('TL05'!$B$3=Q$3,SUMIF('TL05'!$C$10:$C$224,$C179,'TL05'!$J$10:$J$224),0),
IF('TL05'!$B$229=Q$3,SUMIF('TL05'!$C$238:$C$451,$C179,'TL05'!$J$238:$J$451),0),
IF('TL06'!$B$3=Q$3,SUMIF('TL06'!$C$10:$C$224,$C179,'TL06'!$J$10:$J$224),0),
IF('TL06'!$B$229=Q$3,SUMIF('TL06'!$C$238:$C$451,$C179,'TL06'!$J$238:$J$451),0),
IF('TL07'!$B$3=Q$3,SUMIF('TL07'!$C$10:$C$224,$C179,'TL07'!$J$10:$J$224),0),
IF('TL07'!$B$229=Q$3,SUMIF('TL07'!$C$238:$C$451,$C179,'TL07'!$J$238:$J$451),0),
IF('TL08'!$B$3=Q$3,SUMIF('TL08'!$C$10:$C$224,$C179,'TL08'!$J$10:$J$224),0),
IF('TL08'!$B$229=Q$3,SUMIF('TL08'!$C$238:$C$451,$C179,'TL08'!$J$238:$J$451),0),
IF('TL09'!$B$3=Q$3,SUMIF('TL09'!$C$10:$C$224,$C179,'TL09'!$J$10:$J$224),0),
IF('TL09'!$B$229=Q$3,SUMIF('TL09'!$C$238:$C$451,$C179,'TL09'!$J$238:$J$451),0),
IF('TL10'!$B$3=Q$3,SUMIF('TL10'!$C$10:$C$224,$C179,'TL10'!$J$10:$J$224),0),
IF('TL10'!$B$229=Q$3,SUMIF('TL10'!$C$238:$C$451,$C179,'TL10'!$J$238:$J$451),0),
IF('TL11'!$B$3=Q$3,SUMIF('TL11'!$C$10:$C$224,$C179,'TL11'!$J$10:$J$224),0),
IF('TL11'!$B$229=Q$3,SUMIF('TL11'!$C$238:$C$451,$C179,'TL11'!$J$238:$J$451),0),
IF('TL12'!$B$3=Q$3,SUMIF('TL12'!$C$10:$C$224,$C179,'TL12'!$J$10:$J$224),0),
IF('TL12'!$B$229=Q$3,SUMIF('TL12'!$C$238:$C$451,$C179,'TL12'!$J$238:$J$451),0),
IF('TL13'!$B$3=Q$3,SUMIF('TL13'!$C$10:$C$224,$C179,'TL13'!$J$10:$J$224),0),
IF('TL13'!$B$229=Q$3,SUMIF('TL13'!$C$238:$C$451,$C179,'TL13'!$J$238:$J$451),0),
IF('TL14'!$B$3=Q$3,SUMIF('TL14'!$C$10:$C$224,$C179,'TL14'!$J$10:$J$224),0),
IF('TL14'!$B$229=Q$3,SUMIF('TL14'!$C$238:$C$451,$C179,'TL14'!$J$238:$J$451),0),
IF('TL15'!$B$3=Q$3,SUMIF('TL15'!$C$10:$C$224,$C179,'TL15'!$J$10:$J$224),0),
IF('TL15'!$B$229=Q$3,SUMIF('TL15'!$C$238:$C$451,$C179,'TL15'!$J$238:$J$451),0),
IF('TL16'!$B$3=Q$3,SUMIF('TL16'!$C$10:$C$224,$C179,'TL16'!$J$10:$J$224),0),
IF('TL16'!$B$229=Q$3,SUMIF('TL16'!$C$238:$C$451,$C179,'TL16'!$J$238:$J$451),0),
IF('TL17'!$B$3=Q$3,SUMIF('TL17'!$C$10:$C$224,$C179,'TL17'!$J$10:$J$224),0),
IF('TL17'!$B$229=Q$3,SUMIF('TL17'!$C$238:$C$451,$C179,'TL17'!$J$238:$J$451),0),
IF('TL18'!$B$3=Q$3,SUMIF('TL18'!$C$10:$C$224,$C179,'TL18'!$J$10:$J$224),0),
IF('TL18'!$B$229=Q$3,SUMIF('TL18'!$C$238:$C$451,$C179,'TL18'!$J$238:$J$451),0),
IF('TL19'!$B$3=Q$3,SUMIF('TL19'!$C$10:$C$224,$C179,'TL19'!$J$10:$J$224),0),
IF('TL19'!$B$229=Q$3,SUMIF('TL19'!$C$238:$C$451,$C179,'TL19'!$J$238:$J$451),0)
),0)</f>
        <v/>
      </c>
      <c r="R179" s="9">
        <f>IFERROR(
SUM(
SUMIF('TL01'!C:C,C179,'TL01'!J:J),
SUMIF('TL02'!C:C,C179,'TL02'!J:J),
SUMIF('TL03'!C:C,C179,'TL03'!J:J),
SUMIF('TL04'!C:C,C179,'TL04'!J:J),
SUMIF('TL05'!C:C,C179,'TL05'!J:J),
SUMIF('TL06'!C:C,C179,'TL06'!J:J),
SUMIF('TL07'!C:C,C179,'TL07'!J:J),
SUMIF('TL08'!C:C,C179,'TL08'!J:J),
SUMIF('TL09'!C:C,C179,'TL09'!J:J),
SUMIF('TL10'!C:C,C179,'TL10'!J:J),
SUMIF('TL11'!C:C,C179,'TL11'!J:J),
SUMIF('TL12'!C:C,C179,'TL12'!J:J),
SUMIF('TL13'!C:C,C179,'TL13'!J:J),
SUMIF('TL14'!C:C,C179,'TL14'!J:J),
SUMIF('TL15'!C:C,C179,'TL15'!J:J),
SUMIF('TL16'!C:C,C179,'TL16'!J:J),
SUMIF('TL17'!C:C,C179,'TL17'!J:J),
SUMIF('TL18'!C:C,C179,'TL18'!J:J),SUMIF('TL19'!C:C,C179,'TL19'!J:J))
,0)</f>
        <v/>
      </c>
      <c r="S179" s="17">
        <f>IFERROR(__xludf.DUMMYFUNCTION("IFERROR(VLOOKUP(C179,
IMPORTRANGE(""1wULbzX32WdYsx-lj2U3uUNBBe2INVIRDtcK0d-Dvl90"",
""26-27!C:G""),
5,
FALSE),
"""")"),91.14216)</f>
        <v/>
      </c>
      <c r="T179" s="9" t="n"/>
      <c r="U179" s="92">
        <f>MAX(0,R179-T179)</f>
        <v/>
      </c>
      <c r="V179" s="93">
        <f>U179*S179</f>
        <v/>
      </c>
    </row>
    <row r="180" hidden="1" ht="15.75" customHeight="1" s="297">
      <c r="A180" s="87" t="inlineStr">
        <is>
          <t>BASF</t>
        </is>
      </c>
      <c r="B180" s="88" t="inlineStr">
        <is>
          <t>INSETICIDA</t>
        </is>
      </c>
      <c r="C180" s="89" t="inlineStr">
        <is>
          <t>PIRATE</t>
        </is>
      </c>
      <c r="D180" s="89" t="inlineStr">
        <is>
          <t>CLORFENAPIR</t>
        </is>
      </c>
      <c r="E180" s="89" t="n">
        <v>240</v>
      </c>
      <c r="F180" s="4" t="inlineStr">
        <is>
          <t>L</t>
        </is>
      </c>
      <c r="G180" s="90">
        <f>HYPERLINK("https://www.google.com/search?q=" &amp; C180 &amp; "+bula+agrofit+pdf", "📄 Ver bula")</f>
        <v/>
      </c>
      <c r="H180" s="9">
        <f>IFERROR(__xludf.DUMMYFUNCTION("IFERROR(VLOOKUP(C180,
IMPORTRANGE(""1wULbzX32WdYsx-lj2U3uUNBBe2INVIRDtcK0d-Dvl90"",
""26-27!C:K""),
8,
FALSE),
"""")"),1.0)</f>
        <v/>
      </c>
      <c r="I180" s="91" t="inlineStr">
        <is>
          <t>4X5</t>
        </is>
      </c>
      <c r="J180" s="9">
        <f>IFERROR(SUM(
IF('TL01'!$B$3=J$3,SUMIF('TL01'!$C$10:$C$224,$C180,'TL01'!$J$10:$J$224),0),
IF('TL01'!$B$229=J$3,SUMIF('TL01'!$C$238:$C$451,$C180,'TL01'!$J$238:$J$451),0),
IF('TL02'!$B$3=J$3,SUMIF('TL02'!$C$10:$C$224,$C180,'TL02'!$J$10:$J$224),0),
IF('TL02'!$B$229=J$3,SUMIF('TL02'!$C$238:$C$451,$C180,'TL02'!$J$238:$J$451),0),
IF('TL03'!$B$3=J$3,SUMIF('TL03'!$C$10:$C$224,$C180,'TL03'!$J$10:$J$224),0),
IF('TL03'!$B$229=J$3,SUMIF('TL03'!$C$238:$C$451,$C180,'TL03'!$J$238:$J$451),0),
IF('TL04'!$B$3=J$3,SUMIF('TL04'!$C$10:$C$224,$C180,'TL04'!$J$10:$J$224),0),
IF('TL04'!$B$229=J$3,SUMIF('TL04'!$C$238:$C$451,$C180,'TL04'!$J$238:$J$451),0),
IF('TL05'!$B$3=J$3,SUMIF('TL05'!$C$10:$C$224,$C180,'TL05'!$J$10:$J$224),0),
IF('TL05'!$B$229=J$3,SUMIF('TL05'!$C$238:$C$451,$C180,'TL05'!$J$238:$J$451),0),
IF('TL06'!$B$3=J$3,SUMIF('TL06'!$C$10:$C$224,$C180,'TL06'!$J$10:$J$224),0),
IF('TL06'!$B$229=J$3,SUMIF('TL06'!$C$238:$C$451,$C180,'TL06'!$J$238:$J$451),0),
IF('TL07'!$B$3=J$3,SUMIF('TL07'!$C$10:$C$224,$C180,'TL07'!$J$10:$J$224),0),
IF('TL07'!$B$229=J$3,SUMIF('TL07'!$C$238:$C$451,$C180,'TL07'!$J$238:$J$451),0),
IF('TL08'!$B$3=J$3,SUMIF('TL08'!$C$10:$C$224,$C180,'TL08'!$J$10:$J$224),0),
IF('TL08'!$B$229=J$3,SUMIF('TL08'!$C$238:$C$451,$C180,'TL08'!$J$238:$J$451),0),
IF('TL09'!$B$3=J$3,SUMIF('TL09'!$C$10:$C$224,$C180,'TL09'!$J$10:$J$224),0),
IF('TL09'!$B$229=J$3,SUMIF('TL09'!$C$238:$C$451,$C180,'TL09'!$J$238:$J$451),0),
IF('TL10'!$B$3=J$3,SUMIF('TL10'!$C$10:$C$224,$C180,'TL10'!$J$10:$J$224),0),
IF('TL10'!$B$229=J$3,SUMIF('TL10'!$C$238:$C$451,$C180,'TL10'!$J$238:$J$451),0),
IF('TL11'!$B$3=J$3,SUMIF('TL11'!$C$10:$C$224,$C180,'TL11'!$J$10:$J$224),0),
IF('TL11'!$B$229=J$3,SUMIF('TL11'!$C$238:$C$451,$C180,'TL11'!$J$238:$J$451),0),
IF('TL12'!$B$3=J$3,SUMIF('TL12'!$C$10:$C$224,$C180,'TL12'!$J$10:$J$224),0),
IF('TL12'!$B$229=J$3,SUMIF('TL12'!$C$238:$C$451,$C180,'TL12'!$J$238:$J$451),0),
IF('TL13'!$B$3=J$3,SUMIF('TL13'!$C$10:$C$224,$C180,'TL13'!$J$10:$J$224),0),
IF('TL13'!$B$229=J$3,SUMIF('TL13'!$C$238:$C$451,$C180,'TL13'!$J$238:$J$451),0),
IF('TL14'!$B$3=J$3,SUMIF('TL14'!$C$10:$C$224,$C180,'TL14'!$J$10:$J$224),0),
IF('TL14'!$B$229=J$3,SUMIF('TL14'!$C$238:$C$451,$C180,'TL14'!$J$238:$J$451),0),
IF('TL15'!$B$3=J$3,SUMIF('TL15'!$C$10:$C$224,$C180,'TL15'!$J$10:$J$224),0),
IF('TL15'!$B$229=J$3,SUMIF('TL15'!$C$238:$C$451,$C180,'TL15'!$J$238:$J$451),0),
IF('TL16'!$B$3=J$3,SUMIF('TL16'!$C$10:$C$224,$C180,'TL16'!$J$10:$J$224),0),
IF('TL16'!$B$229=J$3,SUMIF('TL16'!$C$238:$C$451,$C180,'TL16'!$J$238:$J$451),0),
IF('TL17'!$B$3=J$3,SUMIF('TL17'!$C$10:$C$224,$C180,'TL17'!$J$10:$J$224),0),
IF('TL17'!$B$229=J$3,SUMIF('TL17'!$C$238:$C$451,$C180,'TL17'!$J$238:$J$451),0),
IF('TL18'!$B$3=J$3,SUMIF('TL18'!$C$10:$C$224,$C180,'TL18'!$J$10:$J$224),0),
IF('TL18'!$B$229=J$3,SUMIF('TL18'!$C$238:$C$451,$C180,'TL18'!$J$238:$J$451),0),
IF('TL19'!$B$3=J$3,SUMIF('TL19'!$C$10:$C$224,$C180,'TL19'!$J$10:$J$224),0),
IF('TL19'!$B$229=J$3,SUMIF('TL19'!$C$238:$C$451,$C180,'TL19'!$J$238:$J$451),0)
),0)</f>
        <v/>
      </c>
      <c r="K180" s="9">
        <f>IFERROR(SUM(
IF('TL01'!$B$3=K$3,SUMIF('TL01'!$C$10:$C$224,$C180,'TL01'!$J$10:$J$224),0),
IF('TL01'!$B$229=K$3,SUMIF('TL01'!$C$238:$C$451,$C180,'TL01'!$J$238:$J$451),0),
IF('TL02'!$B$3=K$3,SUMIF('TL02'!$C$10:$C$224,$C180,'TL02'!$J$10:$J$224),0),
IF('TL02'!$B$229=K$3,SUMIF('TL02'!$C$238:$C$451,$C180,'TL02'!$J$238:$J$451),0),
IF('TL03'!$B$3=K$3,SUMIF('TL03'!$C$10:$C$224,$C180,'TL03'!$J$10:$J$224),0),
IF('TL03'!$B$229=K$3,SUMIF('TL03'!$C$238:$C$451,$C180,'TL03'!$J$238:$J$451),0),
IF('TL04'!$B$3=K$3,SUMIF('TL04'!$C$10:$C$224,$C180,'TL04'!$J$10:$J$224),0),
IF('TL04'!$B$229=K$3,SUMIF('TL04'!$C$238:$C$451,$C180,'TL04'!$J$238:$J$451),0),
IF('TL05'!$B$3=K$3,SUMIF('TL05'!$C$10:$C$224,$C180,'TL05'!$J$10:$J$224),0),
IF('TL05'!$B$229=K$3,SUMIF('TL05'!$C$238:$C$451,$C180,'TL05'!$J$238:$J$451),0),
IF('TL06'!$B$3=K$3,SUMIF('TL06'!$C$10:$C$224,$C180,'TL06'!$J$10:$J$224),0),
IF('TL06'!$B$229=K$3,SUMIF('TL06'!$C$238:$C$451,$C180,'TL06'!$J$238:$J$451),0),
IF('TL07'!$B$3=K$3,SUMIF('TL07'!$C$10:$C$224,$C180,'TL07'!$J$10:$J$224),0),
IF('TL07'!$B$229=K$3,SUMIF('TL07'!$C$238:$C$451,$C180,'TL07'!$J$238:$J$451),0),
IF('TL08'!$B$3=K$3,SUMIF('TL08'!$C$10:$C$224,$C180,'TL08'!$J$10:$J$224),0),
IF('TL08'!$B$229=K$3,SUMIF('TL08'!$C$238:$C$451,$C180,'TL08'!$J$238:$J$451),0),
IF('TL09'!$B$3=K$3,SUMIF('TL09'!$C$10:$C$224,$C180,'TL09'!$J$10:$J$224),0),
IF('TL09'!$B$229=K$3,SUMIF('TL09'!$C$238:$C$451,$C180,'TL09'!$J$238:$J$451),0),
IF('TL10'!$B$3=K$3,SUMIF('TL10'!$C$10:$C$224,$C180,'TL10'!$J$10:$J$224),0),
IF('TL10'!$B$229=K$3,SUMIF('TL10'!$C$238:$C$451,$C180,'TL10'!$J$238:$J$451),0),
IF('TL11'!$B$3=K$3,SUMIF('TL11'!$C$10:$C$224,$C180,'TL11'!$J$10:$J$224),0),
IF('TL11'!$B$229=K$3,SUMIF('TL11'!$C$238:$C$451,$C180,'TL11'!$J$238:$J$451),0),
IF('TL12'!$B$3=K$3,SUMIF('TL12'!$C$10:$C$224,$C180,'TL12'!$J$10:$J$224),0),
IF('TL12'!$B$229=K$3,SUMIF('TL12'!$C$238:$C$451,$C180,'TL12'!$J$238:$J$451),0),
IF('TL13'!$B$3=K$3,SUMIF('TL13'!$C$10:$C$224,$C180,'TL13'!$J$10:$J$224),0),
IF('TL13'!$B$229=K$3,SUMIF('TL13'!$C$238:$C$451,$C180,'TL13'!$J$238:$J$451),0),
IF('TL14'!$B$3=K$3,SUMIF('TL14'!$C$10:$C$224,$C180,'TL14'!$J$10:$J$224),0),
IF('TL14'!$B$229=K$3,SUMIF('TL14'!$C$238:$C$451,$C180,'TL14'!$J$238:$J$451),0),
IF('TL15'!$B$3=K$3,SUMIF('TL15'!$C$10:$C$224,$C180,'TL15'!$J$10:$J$224),0),
IF('TL15'!$B$229=K$3,SUMIF('TL15'!$C$238:$C$451,$C180,'TL15'!$J$238:$J$451),0),
IF('TL16'!$B$3=K$3,SUMIF('TL16'!$C$10:$C$224,$C180,'TL16'!$J$10:$J$224),0),
IF('TL16'!$B$229=K$3,SUMIF('TL16'!$C$238:$C$451,$C180,'TL16'!$J$238:$J$451),0),
IF('TL17'!$B$3=K$3,SUMIF('TL17'!$C$10:$C$224,$C180,'TL17'!$J$10:$J$224),0),
IF('TL17'!$B$229=K$3,SUMIF('TL17'!$C$238:$C$451,$C180,'TL17'!$J$238:$J$451),0),
IF('TL18'!$B$3=K$3,SUMIF('TL18'!$C$10:$C$224,$C180,'TL18'!$J$10:$J$224),0),
IF('TL18'!$B$229=K$3,SUMIF('TL18'!$C$238:$C$451,$C180,'TL18'!$J$238:$J$451),0),
IF('TL19'!$B$3=K$3,SUMIF('TL19'!$C$10:$C$224,$C180,'TL19'!$J$10:$J$224),0),
IF('TL19'!$B$229=K$3,SUMIF('TL19'!$C$238:$C$451,$C180,'TL19'!$J$238:$J$451),0)
),0)</f>
        <v/>
      </c>
      <c r="L180" s="9">
        <f>IFERROR(SUM(
IF('TL01'!$B$3=L$3,SUMIF('TL01'!$C$10:$C$224,$C180,'TL01'!$J$10:$J$224),0),
IF('TL01'!$B$229=L$3,SUMIF('TL01'!$C$238:$C$451,$C180,'TL01'!$J$238:$J$451),0),
IF('TL02'!$B$3=L$3,SUMIF('TL02'!$C$10:$C$224,$C180,'TL02'!$J$10:$J$224),0),
IF('TL02'!$B$229=L$3,SUMIF('TL02'!$C$238:$C$451,$C180,'TL02'!$J$238:$J$451),0),
IF('TL03'!$B$3=L$3,SUMIF('TL03'!$C$10:$C$224,$C180,'TL03'!$J$10:$J$224),0),
IF('TL03'!$B$229=L$3,SUMIF('TL03'!$C$238:$C$451,$C180,'TL03'!$J$238:$J$451),0),
IF('TL04'!$B$3=L$3,SUMIF('TL04'!$C$10:$C$224,$C180,'TL04'!$J$10:$J$224),0),
IF('TL04'!$B$229=L$3,SUMIF('TL04'!$C$238:$C$451,$C180,'TL04'!$J$238:$J$451),0),
IF('TL05'!$B$3=L$3,SUMIF('TL05'!$C$10:$C$224,$C180,'TL05'!$J$10:$J$224),0),
IF('TL05'!$B$229=L$3,SUMIF('TL05'!$C$238:$C$451,$C180,'TL05'!$J$238:$J$451),0),
IF('TL06'!$B$3=L$3,SUMIF('TL06'!$C$10:$C$224,$C180,'TL06'!$J$10:$J$224),0),
IF('TL06'!$B$229=L$3,SUMIF('TL06'!$C$238:$C$451,$C180,'TL06'!$J$238:$J$451),0),
IF('TL07'!$B$3=L$3,SUMIF('TL07'!$C$10:$C$224,$C180,'TL07'!$J$10:$J$224),0),
IF('TL07'!$B$229=L$3,SUMIF('TL07'!$C$238:$C$451,$C180,'TL07'!$J$238:$J$451),0),
IF('TL08'!$B$3=L$3,SUMIF('TL08'!$C$10:$C$224,$C180,'TL08'!$J$10:$J$224),0),
IF('TL08'!$B$229=L$3,SUMIF('TL08'!$C$238:$C$451,$C180,'TL08'!$J$238:$J$451),0),
IF('TL09'!$B$3=L$3,SUMIF('TL09'!$C$10:$C$224,$C180,'TL09'!$J$10:$J$224),0),
IF('TL09'!$B$229=L$3,SUMIF('TL09'!$C$238:$C$451,$C180,'TL09'!$J$238:$J$451),0),
IF('TL10'!$B$3=L$3,SUMIF('TL10'!$C$10:$C$224,$C180,'TL10'!$J$10:$J$224),0),
IF('TL10'!$B$229=L$3,SUMIF('TL10'!$C$238:$C$451,$C180,'TL10'!$J$238:$J$451),0),
IF('TL11'!$B$3=L$3,SUMIF('TL11'!$C$10:$C$224,$C180,'TL11'!$J$10:$J$224),0),
IF('TL11'!$B$229=L$3,SUMIF('TL11'!$C$238:$C$451,$C180,'TL11'!$J$238:$J$451),0),
IF('TL12'!$B$3=L$3,SUMIF('TL12'!$C$10:$C$224,$C180,'TL12'!$J$10:$J$224),0),
IF('TL12'!$B$229=L$3,SUMIF('TL12'!$C$238:$C$451,$C180,'TL12'!$J$238:$J$451),0),
IF('TL13'!$B$3=L$3,SUMIF('TL13'!$C$10:$C$224,$C180,'TL13'!$J$10:$J$224),0),
IF('TL13'!$B$229=L$3,SUMIF('TL13'!$C$238:$C$451,$C180,'TL13'!$J$238:$J$451),0),
IF('TL14'!$B$3=L$3,SUMIF('TL14'!$C$10:$C$224,$C180,'TL14'!$J$10:$J$224),0),
IF('TL14'!$B$229=L$3,SUMIF('TL14'!$C$238:$C$451,$C180,'TL14'!$J$238:$J$451),0),
IF('TL15'!$B$3=L$3,SUMIF('TL15'!$C$10:$C$224,$C180,'TL15'!$J$10:$J$224),0),
IF('TL15'!$B$229=L$3,SUMIF('TL15'!$C$238:$C$451,$C180,'TL15'!$J$238:$J$451),0),
IF('TL16'!$B$3=L$3,SUMIF('TL16'!$C$10:$C$224,$C180,'TL16'!$J$10:$J$224),0),
IF('TL16'!$B$229=L$3,SUMIF('TL16'!$C$238:$C$451,$C180,'TL16'!$J$238:$J$451),0),
IF('TL17'!$B$3=L$3,SUMIF('TL17'!$C$10:$C$224,$C180,'TL17'!$J$10:$J$224),0),
IF('TL17'!$B$229=L$3,SUMIF('TL17'!$C$238:$C$451,$C180,'TL17'!$J$238:$J$451),0),
IF('TL18'!$B$3=L$3,SUMIF('TL18'!$C$10:$C$224,$C180,'TL18'!$J$10:$J$224),0),
IF('TL18'!$B$229=L$3,SUMIF('TL18'!$C$238:$C$451,$C180,'TL18'!$J$238:$J$451),0),
IF('TL19'!$B$3=L$3,SUMIF('TL19'!$C$10:$C$224,$C180,'TL19'!$J$10:$J$224),0),
IF('TL19'!$B$229=L$3,SUMIF('TL19'!$C$238:$C$451,$C180,'TL19'!$J$238:$J$451),0)
),0)</f>
        <v/>
      </c>
      <c r="M180" s="9">
        <f>IFERROR(SUM(
IF('TL01'!$B$3=M$3,SUMIF('TL01'!$C$10:$C$224,$C180,'TL01'!$J$10:$J$224),0),
IF('TL01'!$B$229=M$3,SUMIF('TL01'!$C$238:$C$451,$C180,'TL01'!$J$238:$J$451),0),
IF('TL02'!$B$3=M$3,SUMIF('TL02'!$C$10:$C$224,$C180,'TL02'!$J$10:$J$224),0),
IF('TL02'!$B$229=M$3,SUMIF('TL02'!$C$238:$C$451,$C180,'TL02'!$J$238:$J$451),0),
IF('TL03'!$B$3=M$3,SUMIF('TL03'!$C$10:$C$224,$C180,'TL03'!$J$10:$J$224),0),
IF('TL03'!$B$229=M$3,SUMIF('TL03'!$C$238:$C$451,$C180,'TL03'!$J$238:$J$451),0),
IF('TL04'!$B$3=M$3,SUMIF('TL04'!$C$10:$C$224,$C180,'TL04'!$J$10:$J$224),0),
IF('TL04'!$B$229=M$3,SUMIF('TL04'!$C$238:$C$451,$C180,'TL04'!$J$238:$J$451),0),
IF('TL05'!$B$3=M$3,SUMIF('TL05'!$C$10:$C$224,$C180,'TL05'!$J$10:$J$224),0),
IF('TL05'!$B$229=M$3,SUMIF('TL05'!$C$238:$C$451,$C180,'TL05'!$J$238:$J$451),0),
IF('TL06'!$B$3=M$3,SUMIF('TL06'!$C$10:$C$224,$C180,'TL06'!$J$10:$J$224),0),
IF('TL06'!$B$229=M$3,SUMIF('TL06'!$C$238:$C$451,$C180,'TL06'!$J$238:$J$451),0),
IF('TL07'!$B$3=M$3,SUMIF('TL07'!$C$10:$C$224,$C180,'TL07'!$J$10:$J$224),0),
IF('TL07'!$B$229=M$3,SUMIF('TL07'!$C$238:$C$451,$C180,'TL07'!$J$238:$J$451),0),
IF('TL08'!$B$3=M$3,SUMIF('TL08'!$C$10:$C$224,$C180,'TL08'!$J$10:$J$224),0),
IF('TL08'!$B$229=M$3,SUMIF('TL08'!$C$238:$C$451,$C180,'TL08'!$J$238:$J$451),0),
IF('TL09'!$B$3=M$3,SUMIF('TL09'!$C$10:$C$224,$C180,'TL09'!$J$10:$J$224),0),
IF('TL09'!$B$229=M$3,SUMIF('TL09'!$C$238:$C$451,$C180,'TL09'!$J$238:$J$451),0),
IF('TL10'!$B$3=M$3,SUMIF('TL10'!$C$10:$C$224,$C180,'TL10'!$J$10:$J$224),0),
IF('TL10'!$B$229=M$3,SUMIF('TL10'!$C$238:$C$451,$C180,'TL10'!$J$238:$J$451),0),
IF('TL11'!$B$3=M$3,SUMIF('TL11'!$C$10:$C$224,$C180,'TL11'!$J$10:$J$224),0),
IF('TL11'!$B$229=M$3,SUMIF('TL11'!$C$238:$C$451,$C180,'TL11'!$J$238:$J$451),0),
IF('TL12'!$B$3=M$3,SUMIF('TL12'!$C$10:$C$224,$C180,'TL12'!$J$10:$J$224),0),
IF('TL12'!$B$229=M$3,SUMIF('TL12'!$C$238:$C$451,$C180,'TL12'!$J$238:$J$451),0),
IF('TL13'!$B$3=M$3,SUMIF('TL13'!$C$10:$C$224,$C180,'TL13'!$J$10:$J$224),0),
IF('TL13'!$B$229=M$3,SUMIF('TL13'!$C$238:$C$451,$C180,'TL13'!$J$238:$J$451),0),
IF('TL14'!$B$3=M$3,SUMIF('TL14'!$C$10:$C$224,$C180,'TL14'!$J$10:$J$224),0),
IF('TL14'!$B$229=M$3,SUMIF('TL14'!$C$238:$C$451,$C180,'TL14'!$J$238:$J$451),0),
IF('TL15'!$B$3=M$3,SUMIF('TL15'!$C$10:$C$224,$C180,'TL15'!$J$10:$J$224),0),
IF('TL15'!$B$229=M$3,SUMIF('TL15'!$C$238:$C$451,$C180,'TL15'!$J$238:$J$451),0),
IF('TL16'!$B$3=M$3,SUMIF('TL16'!$C$10:$C$224,$C180,'TL16'!$J$10:$J$224),0),
IF('TL16'!$B$229=M$3,SUMIF('TL16'!$C$238:$C$451,$C180,'TL16'!$J$238:$J$451),0),
IF('TL17'!$B$3=M$3,SUMIF('TL17'!$C$10:$C$224,$C180,'TL17'!$J$10:$J$224),0),
IF('TL17'!$B$229=M$3,SUMIF('TL17'!$C$238:$C$451,$C180,'TL17'!$J$238:$J$451),0),
IF('TL18'!$B$3=M$3,SUMIF('TL18'!$C$10:$C$224,$C180,'TL18'!$J$10:$J$224),0),
IF('TL18'!$B$229=M$3,SUMIF('TL18'!$C$238:$C$451,$C180,'TL18'!$J$238:$J$451),0),
IF('TL19'!$B$3=M$3,SUMIF('TL19'!$C$10:$C$224,$C180,'TL19'!$J$10:$J$224),0),
IF('TL19'!$B$229=M$3,SUMIF('TL19'!$C$238:$C$451,$C180,'TL19'!$J$238:$J$451),0)
),0)</f>
        <v/>
      </c>
      <c r="N180" s="9">
        <f>IFERROR(SUM(
IF('TL01'!$B$3=N$3,SUMIF('TL01'!$C$10:$C$224,$C180,'TL01'!$J$10:$J$224),0),
IF('TL01'!$B$229=N$3,SUMIF('TL01'!$C$238:$C$451,$C180,'TL01'!$J$238:$J$451),0),
IF('TL02'!$B$3=N$3,SUMIF('TL02'!$C$10:$C$224,$C180,'TL02'!$J$10:$J$224),0),
IF('TL02'!$B$229=N$3,SUMIF('TL02'!$C$238:$C$451,$C180,'TL02'!$J$238:$J$451),0),
IF('TL03'!$B$3=N$3,SUMIF('TL03'!$C$10:$C$224,$C180,'TL03'!$J$10:$J$224),0),
IF('TL03'!$B$229=N$3,SUMIF('TL03'!$C$238:$C$451,$C180,'TL03'!$J$238:$J$451),0),
IF('TL04'!$B$3=N$3,SUMIF('TL04'!$C$10:$C$224,$C180,'TL04'!$J$10:$J$224),0),
IF('TL04'!$B$229=N$3,SUMIF('TL04'!$C$238:$C$451,$C180,'TL04'!$J$238:$J$451),0),
IF('TL05'!$B$3=N$3,SUMIF('TL05'!$C$10:$C$224,$C180,'TL05'!$J$10:$J$224),0),
IF('TL05'!$B$229=N$3,SUMIF('TL05'!$C$238:$C$451,$C180,'TL05'!$J$238:$J$451),0),
IF('TL06'!$B$3=N$3,SUMIF('TL06'!$C$10:$C$224,$C180,'TL06'!$J$10:$J$224),0),
IF('TL06'!$B$229=N$3,SUMIF('TL06'!$C$238:$C$451,$C180,'TL06'!$J$238:$J$451),0),
IF('TL07'!$B$3=N$3,SUMIF('TL07'!$C$10:$C$224,$C180,'TL07'!$J$10:$J$224),0),
IF('TL07'!$B$229=N$3,SUMIF('TL07'!$C$238:$C$451,$C180,'TL07'!$J$238:$J$451),0),
IF('TL08'!$B$3=N$3,SUMIF('TL08'!$C$10:$C$224,$C180,'TL08'!$J$10:$J$224),0),
IF('TL08'!$B$229=N$3,SUMIF('TL08'!$C$238:$C$451,$C180,'TL08'!$J$238:$J$451),0),
IF('TL09'!$B$3=N$3,SUMIF('TL09'!$C$10:$C$224,$C180,'TL09'!$J$10:$J$224),0),
IF('TL09'!$B$229=N$3,SUMIF('TL09'!$C$238:$C$451,$C180,'TL09'!$J$238:$J$451),0),
IF('TL10'!$B$3=N$3,SUMIF('TL10'!$C$10:$C$224,$C180,'TL10'!$J$10:$J$224),0),
IF('TL10'!$B$229=N$3,SUMIF('TL10'!$C$238:$C$451,$C180,'TL10'!$J$238:$J$451),0),
IF('TL11'!$B$3=N$3,SUMIF('TL11'!$C$10:$C$224,$C180,'TL11'!$J$10:$J$224),0),
IF('TL11'!$B$229=N$3,SUMIF('TL11'!$C$238:$C$451,$C180,'TL11'!$J$238:$J$451),0),
IF('TL12'!$B$3=N$3,SUMIF('TL12'!$C$10:$C$224,$C180,'TL12'!$J$10:$J$224),0),
IF('TL12'!$B$229=N$3,SUMIF('TL12'!$C$238:$C$451,$C180,'TL12'!$J$238:$J$451),0),
IF('TL13'!$B$3=N$3,SUMIF('TL13'!$C$10:$C$224,$C180,'TL13'!$J$10:$J$224),0),
IF('TL13'!$B$229=N$3,SUMIF('TL13'!$C$238:$C$451,$C180,'TL13'!$J$238:$J$451),0),
IF('TL14'!$B$3=N$3,SUMIF('TL14'!$C$10:$C$224,$C180,'TL14'!$J$10:$J$224),0),
IF('TL14'!$B$229=N$3,SUMIF('TL14'!$C$238:$C$451,$C180,'TL14'!$J$238:$J$451),0),
IF('TL15'!$B$3=N$3,SUMIF('TL15'!$C$10:$C$224,$C180,'TL15'!$J$10:$J$224),0),
IF('TL15'!$B$229=N$3,SUMIF('TL15'!$C$238:$C$451,$C180,'TL15'!$J$238:$J$451),0),
IF('TL16'!$B$3=N$3,SUMIF('TL16'!$C$10:$C$224,$C180,'TL16'!$J$10:$J$224),0),
IF('TL16'!$B$229=N$3,SUMIF('TL16'!$C$238:$C$451,$C180,'TL16'!$J$238:$J$451),0),
IF('TL17'!$B$3=N$3,SUMIF('TL17'!$C$10:$C$224,$C180,'TL17'!$J$10:$J$224),0),
IF('TL17'!$B$229=N$3,SUMIF('TL17'!$C$238:$C$451,$C180,'TL17'!$J$238:$J$451),0),
IF('TL18'!$B$3=N$3,SUMIF('TL18'!$C$10:$C$224,$C180,'TL18'!$J$10:$J$224),0),
IF('TL18'!$B$229=N$3,SUMIF('TL18'!$C$238:$C$451,$C180,'TL18'!$J$238:$J$451),0),
IF('TL19'!$B$3=N$3,SUMIF('TL19'!$C$10:$C$224,$C180,'TL19'!$J$10:$J$224),0),
IF('TL19'!$B$229=N$3,SUMIF('TL19'!$C$238:$C$451,$C180,'TL19'!$J$238:$J$451),0)
),0)</f>
        <v/>
      </c>
      <c r="O180" s="9">
        <f>IFERROR(SUM(
IF('TL01'!$B$3=O$3,SUMIF('TL01'!$C$10:$C$224,$C180,'TL01'!$J$10:$J$224),0),
IF('TL01'!$B$229=O$3,SUMIF('TL01'!$C$238:$C$451,$C180,'TL01'!$J$238:$J$451),0),
IF('TL02'!$B$3=O$3,SUMIF('TL02'!$C$10:$C$224,$C180,'TL02'!$J$10:$J$224),0),
IF('TL02'!$B$229=O$3,SUMIF('TL02'!$C$238:$C$451,$C180,'TL02'!$J$238:$J$451),0),
IF('TL03'!$B$3=O$3,SUMIF('TL03'!$C$10:$C$224,$C180,'TL03'!$J$10:$J$224),0),
IF('TL03'!$B$229=O$3,SUMIF('TL03'!$C$238:$C$451,$C180,'TL03'!$J$238:$J$451),0),
IF('TL04'!$B$3=O$3,SUMIF('TL04'!$C$10:$C$224,$C180,'TL04'!$J$10:$J$224),0),
IF('TL04'!$B$229=O$3,SUMIF('TL04'!$C$238:$C$451,$C180,'TL04'!$J$238:$J$451),0),
IF('TL05'!$B$3=O$3,SUMIF('TL05'!$C$10:$C$224,$C180,'TL05'!$J$10:$J$224),0),
IF('TL05'!$B$229=O$3,SUMIF('TL05'!$C$238:$C$451,$C180,'TL05'!$J$238:$J$451),0),
IF('TL06'!$B$3=O$3,SUMIF('TL06'!$C$10:$C$224,$C180,'TL06'!$J$10:$J$224),0),
IF('TL06'!$B$229=O$3,SUMIF('TL06'!$C$238:$C$451,$C180,'TL06'!$J$238:$J$451),0),
IF('TL07'!$B$3=O$3,SUMIF('TL07'!$C$10:$C$224,$C180,'TL07'!$J$10:$J$224),0),
IF('TL07'!$B$229=O$3,SUMIF('TL07'!$C$238:$C$451,$C180,'TL07'!$J$238:$J$451),0),
IF('TL08'!$B$3=O$3,SUMIF('TL08'!$C$10:$C$224,$C180,'TL08'!$J$10:$J$224),0),
IF('TL08'!$B$229=O$3,SUMIF('TL08'!$C$238:$C$451,$C180,'TL08'!$J$238:$J$451),0),
IF('TL09'!$B$3=O$3,SUMIF('TL09'!$C$10:$C$224,$C180,'TL09'!$J$10:$J$224),0),
IF('TL09'!$B$229=O$3,SUMIF('TL09'!$C$238:$C$451,$C180,'TL09'!$J$238:$J$451),0),
IF('TL10'!$B$3=O$3,SUMIF('TL10'!$C$10:$C$224,$C180,'TL10'!$J$10:$J$224),0),
IF('TL10'!$B$229=O$3,SUMIF('TL10'!$C$238:$C$451,$C180,'TL10'!$J$238:$J$451),0),
IF('TL11'!$B$3=O$3,SUMIF('TL11'!$C$10:$C$224,$C180,'TL11'!$J$10:$J$224),0),
IF('TL11'!$B$229=O$3,SUMIF('TL11'!$C$238:$C$451,$C180,'TL11'!$J$238:$J$451),0),
IF('TL12'!$B$3=O$3,SUMIF('TL12'!$C$10:$C$224,$C180,'TL12'!$J$10:$J$224),0),
IF('TL12'!$B$229=O$3,SUMIF('TL12'!$C$238:$C$451,$C180,'TL12'!$J$238:$J$451),0),
IF('TL13'!$B$3=O$3,SUMIF('TL13'!$C$10:$C$224,$C180,'TL13'!$J$10:$J$224),0),
IF('TL13'!$B$229=O$3,SUMIF('TL13'!$C$238:$C$451,$C180,'TL13'!$J$238:$J$451),0),
IF('TL14'!$B$3=O$3,SUMIF('TL14'!$C$10:$C$224,$C180,'TL14'!$J$10:$J$224),0),
IF('TL14'!$B$229=O$3,SUMIF('TL14'!$C$238:$C$451,$C180,'TL14'!$J$238:$J$451),0),
IF('TL15'!$B$3=O$3,SUMIF('TL15'!$C$10:$C$224,$C180,'TL15'!$J$10:$J$224),0),
IF('TL15'!$B$229=O$3,SUMIF('TL15'!$C$238:$C$451,$C180,'TL15'!$J$238:$J$451),0),
IF('TL16'!$B$3=O$3,SUMIF('TL16'!$C$10:$C$224,$C180,'TL16'!$J$10:$J$224),0),
IF('TL16'!$B$229=O$3,SUMIF('TL16'!$C$238:$C$451,$C180,'TL16'!$J$238:$J$451),0),
IF('TL17'!$B$3=O$3,SUMIF('TL17'!$C$10:$C$224,$C180,'TL17'!$J$10:$J$224),0),
IF('TL17'!$B$229=O$3,SUMIF('TL17'!$C$238:$C$451,$C180,'TL17'!$J$238:$J$451),0),
IF('TL18'!$B$3=O$3,SUMIF('TL18'!$C$10:$C$224,$C180,'TL18'!$J$10:$J$224),0),
IF('TL18'!$B$229=O$3,SUMIF('TL18'!$C$238:$C$451,$C180,'TL18'!$J$238:$J$451),0),
IF('TL19'!$B$3=O$3,SUMIF('TL19'!$C$10:$C$224,$C180,'TL19'!$J$10:$J$224),0),
IF('TL19'!$B$229=O$3,SUMIF('TL19'!$C$238:$C$451,$C180,'TL19'!$J$238:$J$451),0)
),0)</f>
        <v/>
      </c>
      <c r="P180" s="9">
        <f>IFERROR(SUM(
IF('TL01'!$B$3=P$3,SUMIF('TL01'!$C$10:$C$224,$C180,'TL01'!$J$10:$J$224),0),
IF('TL01'!$B$229=P$3,SUMIF('TL01'!$C$238:$C$451,$C180,'TL01'!$J$238:$J$451),0),
IF('TL02'!$B$3=P$3,SUMIF('TL02'!$C$10:$C$224,$C180,'TL02'!$J$10:$J$224),0),
IF('TL02'!$B$229=P$3,SUMIF('TL02'!$C$238:$C$451,$C180,'TL02'!$J$238:$J$451),0),
IF('TL03'!$B$3=P$3,SUMIF('TL03'!$C$10:$C$224,$C180,'TL03'!$J$10:$J$224),0),
IF('TL03'!$B$229=P$3,SUMIF('TL03'!$C$238:$C$451,$C180,'TL03'!$J$238:$J$451),0),
IF('TL04'!$B$3=P$3,SUMIF('TL04'!$C$10:$C$224,$C180,'TL04'!$J$10:$J$224),0),
IF('TL04'!$B$229=P$3,SUMIF('TL04'!$C$238:$C$451,$C180,'TL04'!$J$238:$J$451),0),
IF('TL05'!$B$3=P$3,SUMIF('TL05'!$C$10:$C$224,$C180,'TL05'!$J$10:$J$224),0),
IF('TL05'!$B$229=P$3,SUMIF('TL05'!$C$238:$C$451,$C180,'TL05'!$J$238:$J$451),0),
IF('TL06'!$B$3=P$3,SUMIF('TL06'!$C$10:$C$224,$C180,'TL06'!$J$10:$J$224),0),
IF('TL06'!$B$229=P$3,SUMIF('TL06'!$C$238:$C$451,$C180,'TL06'!$J$238:$J$451),0),
IF('TL07'!$B$3=P$3,SUMIF('TL07'!$C$10:$C$224,$C180,'TL07'!$J$10:$J$224),0),
IF('TL07'!$B$229=P$3,SUMIF('TL07'!$C$238:$C$451,$C180,'TL07'!$J$238:$J$451),0),
IF('TL08'!$B$3=P$3,SUMIF('TL08'!$C$10:$C$224,$C180,'TL08'!$J$10:$J$224),0),
IF('TL08'!$B$229=P$3,SUMIF('TL08'!$C$238:$C$451,$C180,'TL08'!$J$238:$J$451),0),
IF('TL09'!$B$3=P$3,SUMIF('TL09'!$C$10:$C$224,$C180,'TL09'!$J$10:$J$224),0),
IF('TL09'!$B$229=P$3,SUMIF('TL09'!$C$238:$C$451,$C180,'TL09'!$J$238:$J$451),0),
IF('TL10'!$B$3=P$3,SUMIF('TL10'!$C$10:$C$224,$C180,'TL10'!$J$10:$J$224),0),
IF('TL10'!$B$229=P$3,SUMIF('TL10'!$C$238:$C$451,$C180,'TL10'!$J$238:$J$451),0),
IF('TL11'!$B$3=P$3,SUMIF('TL11'!$C$10:$C$224,$C180,'TL11'!$J$10:$J$224),0),
IF('TL11'!$B$229=P$3,SUMIF('TL11'!$C$238:$C$451,$C180,'TL11'!$J$238:$J$451),0),
IF('TL12'!$B$3=P$3,SUMIF('TL12'!$C$10:$C$224,$C180,'TL12'!$J$10:$J$224),0),
IF('TL12'!$B$229=P$3,SUMIF('TL12'!$C$238:$C$451,$C180,'TL12'!$J$238:$J$451),0),
IF('TL13'!$B$3=P$3,SUMIF('TL13'!$C$10:$C$224,$C180,'TL13'!$J$10:$J$224),0),
IF('TL13'!$B$229=P$3,SUMIF('TL13'!$C$238:$C$451,$C180,'TL13'!$J$238:$J$451),0),
IF('TL14'!$B$3=P$3,SUMIF('TL14'!$C$10:$C$224,$C180,'TL14'!$J$10:$J$224),0),
IF('TL14'!$B$229=P$3,SUMIF('TL14'!$C$238:$C$451,$C180,'TL14'!$J$238:$J$451),0),
IF('TL15'!$B$3=P$3,SUMIF('TL15'!$C$10:$C$224,$C180,'TL15'!$J$10:$J$224),0),
IF('TL15'!$B$229=P$3,SUMIF('TL15'!$C$238:$C$451,$C180,'TL15'!$J$238:$J$451),0),
IF('TL16'!$B$3=P$3,SUMIF('TL16'!$C$10:$C$224,$C180,'TL16'!$J$10:$J$224),0),
IF('TL16'!$B$229=P$3,SUMIF('TL16'!$C$238:$C$451,$C180,'TL16'!$J$238:$J$451),0),
IF('TL17'!$B$3=P$3,SUMIF('TL17'!$C$10:$C$224,$C180,'TL17'!$J$10:$J$224),0),
IF('TL17'!$B$229=P$3,SUMIF('TL17'!$C$238:$C$451,$C180,'TL17'!$J$238:$J$451),0),
IF('TL18'!$B$3=P$3,SUMIF('TL18'!$C$10:$C$224,$C180,'TL18'!$J$10:$J$224),0),
IF('TL18'!$B$229=P$3,SUMIF('TL18'!$C$238:$C$451,$C180,'TL18'!$J$238:$J$451),0),
IF('TL19'!$B$3=P$3,SUMIF('TL19'!$C$10:$C$224,$C180,'TL19'!$J$10:$J$224),0),
IF('TL19'!$B$229=P$3,SUMIF('TL19'!$C$238:$C$451,$C180,'TL19'!$J$238:$J$451),0)
),0)</f>
        <v/>
      </c>
      <c r="Q180" s="9">
        <f>IFERROR(SUM(
IF('TL01'!$B$3=Q$3,SUMIF('TL01'!$C$10:$C$224,$C180,'TL01'!$J$10:$J$224),0),
IF('TL01'!$B$229=Q$3,SUMIF('TL01'!$C$238:$C$451,$C180,'TL01'!$J$238:$J$451),0),
IF('TL02'!$B$3=Q$3,SUMIF('TL02'!$C$10:$C$224,$C180,'TL02'!$J$10:$J$224),0),
IF('TL02'!$B$229=Q$3,SUMIF('TL02'!$C$238:$C$451,$C180,'TL02'!$J$238:$J$451),0),
IF('TL03'!$B$3=Q$3,SUMIF('TL03'!$C$10:$C$224,$C180,'TL03'!$J$10:$J$224),0),
IF('TL03'!$B$229=Q$3,SUMIF('TL03'!$C$238:$C$451,$C180,'TL03'!$J$238:$J$451),0),
IF('TL04'!$B$3=Q$3,SUMIF('TL04'!$C$10:$C$224,$C180,'TL04'!$J$10:$J$224),0),
IF('TL04'!$B$229=Q$3,SUMIF('TL04'!$C$238:$C$451,$C180,'TL04'!$J$238:$J$451),0),
IF('TL05'!$B$3=Q$3,SUMIF('TL05'!$C$10:$C$224,$C180,'TL05'!$J$10:$J$224),0),
IF('TL05'!$B$229=Q$3,SUMIF('TL05'!$C$238:$C$451,$C180,'TL05'!$J$238:$J$451),0),
IF('TL06'!$B$3=Q$3,SUMIF('TL06'!$C$10:$C$224,$C180,'TL06'!$J$10:$J$224),0),
IF('TL06'!$B$229=Q$3,SUMIF('TL06'!$C$238:$C$451,$C180,'TL06'!$J$238:$J$451),0),
IF('TL07'!$B$3=Q$3,SUMIF('TL07'!$C$10:$C$224,$C180,'TL07'!$J$10:$J$224),0),
IF('TL07'!$B$229=Q$3,SUMIF('TL07'!$C$238:$C$451,$C180,'TL07'!$J$238:$J$451),0),
IF('TL08'!$B$3=Q$3,SUMIF('TL08'!$C$10:$C$224,$C180,'TL08'!$J$10:$J$224),0),
IF('TL08'!$B$229=Q$3,SUMIF('TL08'!$C$238:$C$451,$C180,'TL08'!$J$238:$J$451),0),
IF('TL09'!$B$3=Q$3,SUMIF('TL09'!$C$10:$C$224,$C180,'TL09'!$J$10:$J$224),0),
IF('TL09'!$B$229=Q$3,SUMIF('TL09'!$C$238:$C$451,$C180,'TL09'!$J$238:$J$451),0),
IF('TL10'!$B$3=Q$3,SUMIF('TL10'!$C$10:$C$224,$C180,'TL10'!$J$10:$J$224),0),
IF('TL10'!$B$229=Q$3,SUMIF('TL10'!$C$238:$C$451,$C180,'TL10'!$J$238:$J$451),0),
IF('TL11'!$B$3=Q$3,SUMIF('TL11'!$C$10:$C$224,$C180,'TL11'!$J$10:$J$224),0),
IF('TL11'!$B$229=Q$3,SUMIF('TL11'!$C$238:$C$451,$C180,'TL11'!$J$238:$J$451),0),
IF('TL12'!$B$3=Q$3,SUMIF('TL12'!$C$10:$C$224,$C180,'TL12'!$J$10:$J$224),0),
IF('TL12'!$B$229=Q$3,SUMIF('TL12'!$C$238:$C$451,$C180,'TL12'!$J$238:$J$451),0),
IF('TL13'!$B$3=Q$3,SUMIF('TL13'!$C$10:$C$224,$C180,'TL13'!$J$10:$J$224),0),
IF('TL13'!$B$229=Q$3,SUMIF('TL13'!$C$238:$C$451,$C180,'TL13'!$J$238:$J$451),0),
IF('TL14'!$B$3=Q$3,SUMIF('TL14'!$C$10:$C$224,$C180,'TL14'!$J$10:$J$224),0),
IF('TL14'!$B$229=Q$3,SUMIF('TL14'!$C$238:$C$451,$C180,'TL14'!$J$238:$J$451),0),
IF('TL15'!$B$3=Q$3,SUMIF('TL15'!$C$10:$C$224,$C180,'TL15'!$J$10:$J$224),0),
IF('TL15'!$B$229=Q$3,SUMIF('TL15'!$C$238:$C$451,$C180,'TL15'!$J$238:$J$451),0),
IF('TL16'!$B$3=Q$3,SUMIF('TL16'!$C$10:$C$224,$C180,'TL16'!$J$10:$J$224),0),
IF('TL16'!$B$229=Q$3,SUMIF('TL16'!$C$238:$C$451,$C180,'TL16'!$J$238:$J$451),0),
IF('TL17'!$B$3=Q$3,SUMIF('TL17'!$C$10:$C$224,$C180,'TL17'!$J$10:$J$224),0),
IF('TL17'!$B$229=Q$3,SUMIF('TL17'!$C$238:$C$451,$C180,'TL17'!$J$238:$J$451),0),
IF('TL18'!$B$3=Q$3,SUMIF('TL18'!$C$10:$C$224,$C180,'TL18'!$J$10:$J$224),0),
IF('TL18'!$B$229=Q$3,SUMIF('TL18'!$C$238:$C$451,$C180,'TL18'!$J$238:$J$451),0),
IF('TL19'!$B$3=Q$3,SUMIF('TL19'!$C$10:$C$224,$C180,'TL19'!$J$10:$J$224),0),
IF('TL19'!$B$229=Q$3,SUMIF('TL19'!$C$238:$C$451,$C180,'TL19'!$J$238:$J$451),0)
),0)</f>
        <v/>
      </c>
      <c r="R180" s="9">
        <f>IFERROR(
SUM(
SUMIF('TL01'!C:C,C180,'TL01'!J:J),
SUMIF('TL02'!C:C,C180,'TL02'!J:J),
SUMIF('TL03'!C:C,C180,'TL03'!J:J),
SUMIF('TL04'!C:C,C180,'TL04'!J:J),
SUMIF('TL05'!C:C,C180,'TL05'!J:J),
SUMIF('TL06'!C:C,C180,'TL06'!J:J),
SUMIF('TL07'!C:C,C180,'TL07'!J:J),
SUMIF('TL08'!C:C,C180,'TL08'!J:J),
SUMIF('TL09'!C:C,C180,'TL09'!J:J),
SUMIF('TL10'!C:C,C180,'TL10'!J:J),
SUMIF('TL11'!C:C,C180,'TL11'!J:J),
SUMIF('TL12'!C:C,C180,'TL12'!J:J),
SUMIF('TL13'!C:C,C180,'TL13'!J:J),
SUMIF('TL14'!C:C,C180,'TL14'!J:J),
SUMIF('TL15'!C:C,C180,'TL15'!J:J),
SUMIF('TL16'!C:C,C180,'TL16'!J:J),
SUMIF('TL17'!C:C,C180,'TL17'!J:J),
SUMIF('TL18'!C:C,C180,'TL18'!J:J),SUMIF('TL19'!C:C,C180,'TL19'!J:J))
,0)</f>
        <v/>
      </c>
      <c r="S180" s="17">
        <f>IFERROR(__xludf.DUMMYFUNCTION("IFERROR(VLOOKUP(C180,
IMPORTRANGE(""1wULbzX32WdYsx-lj2U3uUNBBe2INVIRDtcK0d-Dvl90"",
""26-27!C:G""),
5,
FALSE),
"""")"),58.37403)</f>
        <v/>
      </c>
      <c r="T180" s="9" t="n"/>
      <c r="U180" s="92">
        <f>MAX(0,R180-T180)</f>
        <v/>
      </c>
      <c r="V180" s="93">
        <f>U180*S180</f>
        <v/>
      </c>
    </row>
    <row r="181" hidden="1" ht="15.75" customHeight="1" s="297">
      <c r="A181" s="94" t="inlineStr">
        <is>
          <t>BAYER</t>
        </is>
      </c>
      <c r="B181" s="95" t="inlineStr">
        <is>
          <t>INSETICIDA</t>
        </is>
      </c>
      <c r="C181" s="96" t="inlineStr">
        <is>
          <t>BELT</t>
        </is>
      </c>
      <c r="D181" s="96" t="inlineStr">
        <is>
          <t>FLUBENDIAMIDA</t>
        </is>
      </c>
      <c r="E181" s="96" t="n">
        <v>480</v>
      </c>
      <c r="F181" s="4" t="inlineStr">
        <is>
          <t>L</t>
        </is>
      </c>
      <c r="G181" s="90">
        <f>HYPERLINK("https://www.google.com/search?q=" &amp; C181 &amp; "+bula+agrofit+pdf", "📄 Ver bula")</f>
        <v/>
      </c>
      <c r="H181" s="9">
        <f>IFERROR(__xludf.DUMMYFUNCTION("IFERROR(VLOOKUP(C181,
IMPORTRANGE(""1wULbzX32WdYsx-lj2U3uUNBBe2INVIRDtcK0d-Dvl90"",
""26-27!C:K""),
8,
FALSE),
"""")"),0.1)</f>
        <v/>
      </c>
      <c r="I181" s="97" t="inlineStr">
        <is>
          <t>4X5</t>
        </is>
      </c>
      <c r="J181" s="9">
        <f>IFERROR(SUM(
IF('TL01'!$B$3=J$3,SUMIF('TL01'!$C$10:$C$224,$C181,'TL01'!$J$10:$J$224),0),
IF('TL01'!$B$229=J$3,SUMIF('TL01'!$C$238:$C$451,$C181,'TL01'!$J$238:$J$451),0),
IF('TL02'!$B$3=J$3,SUMIF('TL02'!$C$10:$C$224,$C181,'TL02'!$J$10:$J$224),0),
IF('TL02'!$B$229=J$3,SUMIF('TL02'!$C$238:$C$451,$C181,'TL02'!$J$238:$J$451),0),
IF('TL03'!$B$3=J$3,SUMIF('TL03'!$C$10:$C$224,$C181,'TL03'!$J$10:$J$224),0),
IF('TL03'!$B$229=J$3,SUMIF('TL03'!$C$238:$C$451,$C181,'TL03'!$J$238:$J$451),0),
IF('TL04'!$B$3=J$3,SUMIF('TL04'!$C$10:$C$224,$C181,'TL04'!$J$10:$J$224),0),
IF('TL04'!$B$229=J$3,SUMIF('TL04'!$C$238:$C$451,$C181,'TL04'!$J$238:$J$451),0),
IF('TL05'!$B$3=J$3,SUMIF('TL05'!$C$10:$C$224,$C181,'TL05'!$J$10:$J$224),0),
IF('TL05'!$B$229=J$3,SUMIF('TL05'!$C$238:$C$451,$C181,'TL05'!$J$238:$J$451),0),
IF('TL06'!$B$3=J$3,SUMIF('TL06'!$C$10:$C$224,$C181,'TL06'!$J$10:$J$224),0),
IF('TL06'!$B$229=J$3,SUMIF('TL06'!$C$238:$C$451,$C181,'TL06'!$J$238:$J$451),0),
IF('TL07'!$B$3=J$3,SUMIF('TL07'!$C$10:$C$224,$C181,'TL07'!$J$10:$J$224),0),
IF('TL07'!$B$229=J$3,SUMIF('TL07'!$C$238:$C$451,$C181,'TL07'!$J$238:$J$451),0),
IF('TL08'!$B$3=J$3,SUMIF('TL08'!$C$10:$C$224,$C181,'TL08'!$J$10:$J$224),0),
IF('TL08'!$B$229=J$3,SUMIF('TL08'!$C$238:$C$451,$C181,'TL08'!$J$238:$J$451),0),
IF('TL09'!$B$3=J$3,SUMIF('TL09'!$C$10:$C$224,$C181,'TL09'!$J$10:$J$224),0),
IF('TL09'!$B$229=J$3,SUMIF('TL09'!$C$238:$C$451,$C181,'TL09'!$J$238:$J$451),0),
IF('TL10'!$B$3=J$3,SUMIF('TL10'!$C$10:$C$224,$C181,'TL10'!$J$10:$J$224),0),
IF('TL10'!$B$229=J$3,SUMIF('TL10'!$C$238:$C$451,$C181,'TL10'!$J$238:$J$451),0),
IF('TL11'!$B$3=J$3,SUMIF('TL11'!$C$10:$C$224,$C181,'TL11'!$J$10:$J$224),0),
IF('TL11'!$B$229=J$3,SUMIF('TL11'!$C$238:$C$451,$C181,'TL11'!$J$238:$J$451),0),
IF('TL12'!$B$3=J$3,SUMIF('TL12'!$C$10:$C$224,$C181,'TL12'!$J$10:$J$224),0),
IF('TL12'!$B$229=J$3,SUMIF('TL12'!$C$238:$C$451,$C181,'TL12'!$J$238:$J$451),0),
IF('TL13'!$B$3=J$3,SUMIF('TL13'!$C$10:$C$224,$C181,'TL13'!$J$10:$J$224),0),
IF('TL13'!$B$229=J$3,SUMIF('TL13'!$C$238:$C$451,$C181,'TL13'!$J$238:$J$451),0),
IF('TL14'!$B$3=J$3,SUMIF('TL14'!$C$10:$C$224,$C181,'TL14'!$J$10:$J$224),0),
IF('TL14'!$B$229=J$3,SUMIF('TL14'!$C$238:$C$451,$C181,'TL14'!$J$238:$J$451),0),
IF('TL15'!$B$3=J$3,SUMIF('TL15'!$C$10:$C$224,$C181,'TL15'!$J$10:$J$224),0),
IF('TL15'!$B$229=J$3,SUMIF('TL15'!$C$238:$C$451,$C181,'TL15'!$J$238:$J$451),0),
IF('TL16'!$B$3=J$3,SUMIF('TL16'!$C$10:$C$224,$C181,'TL16'!$J$10:$J$224),0),
IF('TL16'!$B$229=J$3,SUMIF('TL16'!$C$238:$C$451,$C181,'TL16'!$J$238:$J$451),0),
IF('TL17'!$B$3=J$3,SUMIF('TL17'!$C$10:$C$224,$C181,'TL17'!$J$10:$J$224),0),
IF('TL17'!$B$229=J$3,SUMIF('TL17'!$C$238:$C$451,$C181,'TL17'!$J$238:$J$451),0),
IF('TL18'!$B$3=J$3,SUMIF('TL18'!$C$10:$C$224,$C181,'TL18'!$J$10:$J$224),0),
IF('TL18'!$B$229=J$3,SUMIF('TL18'!$C$238:$C$451,$C181,'TL18'!$J$238:$J$451),0),
IF('TL19'!$B$3=J$3,SUMIF('TL19'!$C$10:$C$224,$C181,'TL19'!$J$10:$J$224),0),
IF('TL19'!$B$229=J$3,SUMIF('TL19'!$C$238:$C$451,$C181,'TL19'!$J$238:$J$451),0)
),0)</f>
        <v/>
      </c>
      <c r="K181" s="9">
        <f>IFERROR(SUM(
IF('TL01'!$B$3=K$3,SUMIF('TL01'!$C$10:$C$224,$C181,'TL01'!$J$10:$J$224),0),
IF('TL01'!$B$229=K$3,SUMIF('TL01'!$C$238:$C$451,$C181,'TL01'!$J$238:$J$451),0),
IF('TL02'!$B$3=K$3,SUMIF('TL02'!$C$10:$C$224,$C181,'TL02'!$J$10:$J$224),0),
IF('TL02'!$B$229=K$3,SUMIF('TL02'!$C$238:$C$451,$C181,'TL02'!$J$238:$J$451),0),
IF('TL03'!$B$3=K$3,SUMIF('TL03'!$C$10:$C$224,$C181,'TL03'!$J$10:$J$224),0),
IF('TL03'!$B$229=K$3,SUMIF('TL03'!$C$238:$C$451,$C181,'TL03'!$J$238:$J$451),0),
IF('TL04'!$B$3=K$3,SUMIF('TL04'!$C$10:$C$224,$C181,'TL04'!$J$10:$J$224),0),
IF('TL04'!$B$229=K$3,SUMIF('TL04'!$C$238:$C$451,$C181,'TL04'!$J$238:$J$451),0),
IF('TL05'!$B$3=K$3,SUMIF('TL05'!$C$10:$C$224,$C181,'TL05'!$J$10:$J$224),0),
IF('TL05'!$B$229=K$3,SUMIF('TL05'!$C$238:$C$451,$C181,'TL05'!$J$238:$J$451),0),
IF('TL06'!$B$3=K$3,SUMIF('TL06'!$C$10:$C$224,$C181,'TL06'!$J$10:$J$224),0),
IF('TL06'!$B$229=K$3,SUMIF('TL06'!$C$238:$C$451,$C181,'TL06'!$J$238:$J$451),0),
IF('TL07'!$B$3=K$3,SUMIF('TL07'!$C$10:$C$224,$C181,'TL07'!$J$10:$J$224),0),
IF('TL07'!$B$229=K$3,SUMIF('TL07'!$C$238:$C$451,$C181,'TL07'!$J$238:$J$451),0),
IF('TL08'!$B$3=K$3,SUMIF('TL08'!$C$10:$C$224,$C181,'TL08'!$J$10:$J$224),0),
IF('TL08'!$B$229=K$3,SUMIF('TL08'!$C$238:$C$451,$C181,'TL08'!$J$238:$J$451),0),
IF('TL09'!$B$3=K$3,SUMIF('TL09'!$C$10:$C$224,$C181,'TL09'!$J$10:$J$224),0),
IF('TL09'!$B$229=K$3,SUMIF('TL09'!$C$238:$C$451,$C181,'TL09'!$J$238:$J$451),0),
IF('TL10'!$B$3=K$3,SUMIF('TL10'!$C$10:$C$224,$C181,'TL10'!$J$10:$J$224),0),
IF('TL10'!$B$229=K$3,SUMIF('TL10'!$C$238:$C$451,$C181,'TL10'!$J$238:$J$451),0),
IF('TL11'!$B$3=K$3,SUMIF('TL11'!$C$10:$C$224,$C181,'TL11'!$J$10:$J$224),0),
IF('TL11'!$B$229=K$3,SUMIF('TL11'!$C$238:$C$451,$C181,'TL11'!$J$238:$J$451),0),
IF('TL12'!$B$3=K$3,SUMIF('TL12'!$C$10:$C$224,$C181,'TL12'!$J$10:$J$224),0),
IF('TL12'!$B$229=K$3,SUMIF('TL12'!$C$238:$C$451,$C181,'TL12'!$J$238:$J$451),0),
IF('TL13'!$B$3=K$3,SUMIF('TL13'!$C$10:$C$224,$C181,'TL13'!$J$10:$J$224),0),
IF('TL13'!$B$229=K$3,SUMIF('TL13'!$C$238:$C$451,$C181,'TL13'!$J$238:$J$451),0),
IF('TL14'!$B$3=K$3,SUMIF('TL14'!$C$10:$C$224,$C181,'TL14'!$J$10:$J$224),0),
IF('TL14'!$B$229=K$3,SUMIF('TL14'!$C$238:$C$451,$C181,'TL14'!$J$238:$J$451),0),
IF('TL15'!$B$3=K$3,SUMIF('TL15'!$C$10:$C$224,$C181,'TL15'!$J$10:$J$224),0),
IF('TL15'!$B$229=K$3,SUMIF('TL15'!$C$238:$C$451,$C181,'TL15'!$J$238:$J$451),0),
IF('TL16'!$B$3=K$3,SUMIF('TL16'!$C$10:$C$224,$C181,'TL16'!$J$10:$J$224),0),
IF('TL16'!$B$229=K$3,SUMIF('TL16'!$C$238:$C$451,$C181,'TL16'!$J$238:$J$451),0),
IF('TL17'!$B$3=K$3,SUMIF('TL17'!$C$10:$C$224,$C181,'TL17'!$J$10:$J$224),0),
IF('TL17'!$B$229=K$3,SUMIF('TL17'!$C$238:$C$451,$C181,'TL17'!$J$238:$J$451),0),
IF('TL18'!$B$3=K$3,SUMIF('TL18'!$C$10:$C$224,$C181,'TL18'!$J$10:$J$224),0),
IF('TL18'!$B$229=K$3,SUMIF('TL18'!$C$238:$C$451,$C181,'TL18'!$J$238:$J$451),0),
IF('TL19'!$B$3=K$3,SUMIF('TL19'!$C$10:$C$224,$C181,'TL19'!$J$10:$J$224),0),
IF('TL19'!$B$229=K$3,SUMIF('TL19'!$C$238:$C$451,$C181,'TL19'!$J$238:$J$451),0)
),0)</f>
        <v/>
      </c>
      <c r="L181" s="9">
        <f>IFERROR(SUM(
IF('TL01'!$B$3=L$3,SUMIF('TL01'!$C$10:$C$224,$C181,'TL01'!$J$10:$J$224),0),
IF('TL01'!$B$229=L$3,SUMIF('TL01'!$C$238:$C$451,$C181,'TL01'!$J$238:$J$451),0),
IF('TL02'!$B$3=L$3,SUMIF('TL02'!$C$10:$C$224,$C181,'TL02'!$J$10:$J$224),0),
IF('TL02'!$B$229=L$3,SUMIF('TL02'!$C$238:$C$451,$C181,'TL02'!$J$238:$J$451),0),
IF('TL03'!$B$3=L$3,SUMIF('TL03'!$C$10:$C$224,$C181,'TL03'!$J$10:$J$224),0),
IF('TL03'!$B$229=L$3,SUMIF('TL03'!$C$238:$C$451,$C181,'TL03'!$J$238:$J$451),0),
IF('TL04'!$B$3=L$3,SUMIF('TL04'!$C$10:$C$224,$C181,'TL04'!$J$10:$J$224),0),
IF('TL04'!$B$229=L$3,SUMIF('TL04'!$C$238:$C$451,$C181,'TL04'!$J$238:$J$451),0),
IF('TL05'!$B$3=L$3,SUMIF('TL05'!$C$10:$C$224,$C181,'TL05'!$J$10:$J$224),0),
IF('TL05'!$B$229=L$3,SUMIF('TL05'!$C$238:$C$451,$C181,'TL05'!$J$238:$J$451),0),
IF('TL06'!$B$3=L$3,SUMIF('TL06'!$C$10:$C$224,$C181,'TL06'!$J$10:$J$224),0),
IF('TL06'!$B$229=L$3,SUMIF('TL06'!$C$238:$C$451,$C181,'TL06'!$J$238:$J$451),0),
IF('TL07'!$B$3=L$3,SUMIF('TL07'!$C$10:$C$224,$C181,'TL07'!$J$10:$J$224),0),
IF('TL07'!$B$229=L$3,SUMIF('TL07'!$C$238:$C$451,$C181,'TL07'!$J$238:$J$451),0),
IF('TL08'!$B$3=L$3,SUMIF('TL08'!$C$10:$C$224,$C181,'TL08'!$J$10:$J$224),0),
IF('TL08'!$B$229=L$3,SUMIF('TL08'!$C$238:$C$451,$C181,'TL08'!$J$238:$J$451),0),
IF('TL09'!$B$3=L$3,SUMIF('TL09'!$C$10:$C$224,$C181,'TL09'!$J$10:$J$224),0),
IF('TL09'!$B$229=L$3,SUMIF('TL09'!$C$238:$C$451,$C181,'TL09'!$J$238:$J$451),0),
IF('TL10'!$B$3=L$3,SUMIF('TL10'!$C$10:$C$224,$C181,'TL10'!$J$10:$J$224),0),
IF('TL10'!$B$229=L$3,SUMIF('TL10'!$C$238:$C$451,$C181,'TL10'!$J$238:$J$451),0),
IF('TL11'!$B$3=L$3,SUMIF('TL11'!$C$10:$C$224,$C181,'TL11'!$J$10:$J$224),0),
IF('TL11'!$B$229=L$3,SUMIF('TL11'!$C$238:$C$451,$C181,'TL11'!$J$238:$J$451),0),
IF('TL12'!$B$3=L$3,SUMIF('TL12'!$C$10:$C$224,$C181,'TL12'!$J$10:$J$224),0),
IF('TL12'!$B$229=L$3,SUMIF('TL12'!$C$238:$C$451,$C181,'TL12'!$J$238:$J$451),0),
IF('TL13'!$B$3=L$3,SUMIF('TL13'!$C$10:$C$224,$C181,'TL13'!$J$10:$J$224),0),
IF('TL13'!$B$229=L$3,SUMIF('TL13'!$C$238:$C$451,$C181,'TL13'!$J$238:$J$451),0),
IF('TL14'!$B$3=L$3,SUMIF('TL14'!$C$10:$C$224,$C181,'TL14'!$J$10:$J$224),0),
IF('TL14'!$B$229=L$3,SUMIF('TL14'!$C$238:$C$451,$C181,'TL14'!$J$238:$J$451),0),
IF('TL15'!$B$3=L$3,SUMIF('TL15'!$C$10:$C$224,$C181,'TL15'!$J$10:$J$224),0),
IF('TL15'!$B$229=L$3,SUMIF('TL15'!$C$238:$C$451,$C181,'TL15'!$J$238:$J$451),0),
IF('TL16'!$B$3=L$3,SUMIF('TL16'!$C$10:$C$224,$C181,'TL16'!$J$10:$J$224),0),
IF('TL16'!$B$229=L$3,SUMIF('TL16'!$C$238:$C$451,$C181,'TL16'!$J$238:$J$451),0),
IF('TL17'!$B$3=L$3,SUMIF('TL17'!$C$10:$C$224,$C181,'TL17'!$J$10:$J$224),0),
IF('TL17'!$B$229=L$3,SUMIF('TL17'!$C$238:$C$451,$C181,'TL17'!$J$238:$J$451),0),
IF('TL18'!$B$3=L$3,SUMIF('TL18'!$C$10:$C$224,$C181,'TL18'!$J$10:$J$224),0),
IF('TL18'!$B$229=L$3,SUMIF('TL18'!$C$238:$C$451,$C181,'TL18'!$J$238:$J$451),0),
IF('TL19'!$B$3=L$3,SUMIF('TL19'!$C$10:$C$224,$C181,'TL19'!$J$10:$J$224),0),
IF('TL19'!$B$229=L$3,SUMIF('TL19'!$C$238:$C$451,$C181,'TL19'!$J$238:$J$451),0)
),0)</f>
        <v/>
      </c>
      <c r="M181" s="9">
        <f>IFERROR(SUM(
IF('TL01'!$B$3=M$3,SUMIF('TL01'!$C$10:$C$224,$C181,'TL01'!$J$10:$J$224),0),
IF('TL01'!$B$229=M$3,SUMIF('TL01'!$C$238:$C$451,$C181,'TL01'!$J$238:$J$451),0),
IF('TL02'!$B$3=M$3,SUMIF('TL02'!$C$10:$C$224,$C181,'TL02'!$J$10:$J$224),0),
IF('TL02'!$B$229=M$3,SUMIF('TL02'!$C$238:$C$451,$C181,'TL02'!$J$238:$J$451),0),
IF('TL03'!$B$3=M$3,SUMIF('TL03'!$C$10:$C$224,$C181,'TL03'!$J$10:$J$224),0),
IF('TL03'!$B$229=M$3,SUMIF('TL03'!$C$238:$C$451,$C181,'TL03'!$J$238:$J$451),0),
IF('TL04'!$B$3=M$3,SUMIF('TL04'!$C$10:$C$224,$C181,'TL04'!$J$10:$J$224),0),
IF('TL04'!$B$229=M$3,SUMIF('TL04'!$C$238:$C$451,$C181,'TL04'!$J$238:$J$451),0),
IF('TL05'!$B$3=M$3,SUMIF('TL05'!$C$10:$C$224,$C181,'TL05'!$J$10:$J$224),0),
IF('TL05'!$B$229=M$3,SUMIF('TL05'!$C$238:$C$451,$C181,'TL05'!$J$238:$J$451),0),
IF('TL06'!$B$3=M$3,SUMIF('TL06'!$C$10:$C$224,$C181,'TL06'!$J$10:$J$224),0),
IF('TL06'!$B$229=M$3,SUMIF('TL06'!$C$238:$C$451,$C181,'TL06'!$J$238:$J$451),0),
IF('TL07'!$B$3=M$3,SUMIF('TL07'!$C$10:$C$224,$C181,'TL07'!$J$10:$J$224),0),
IF('TL07'!$B$229=M$3,SUMIF('TL07'!$C$238:$C$451,$C181,'TL07'!$J$238:$J$451),0),
IF('TL08'!$B$3=M$3,SUMIF('TL08'!$C$10:$C$224,$C181,'TL08'!$J$10:$J$224),0),
IF('TL08'!$B$229=M$3,SUMIF('TL08'!$C$238:$C$451,$C181,'TL08'!$J$238:$J$451),0),
IF('TL09'!$B$3=M$3,SUMIF('TL09'!$C$10:$C$224,$C181,'TL09'!$J$10:$J$224),0),
IF('TL09'!$B$229=M$3,SUMIF('TL09'!$C$238:$C$451,$C181,'TL09'!$J$238:$J$451),0),
IF('TL10'!$B$3=M$3,SUMIF('TL10'!$C$10:$C$224,$C181,'TL10'!$J$10:$J$224),0),
IF('TL10'!$B$229=M$3,SUMIF('TL10'!$C$238:$C$451,$C181,'TL10'!$J$238:$J$451),0),
IF('TL11'!$B$3=M$3,SUMIF('TL11'!$C$10:$C$224,$C181,'TL11'!$J$10:$J$224),0),
IF('TL11'!$B$229=M$3,SUMIF('TL11'!$C$238:$C$451,$C181,'TL11'!$J$238:$J$451),0),
IF('TL12'!$B$3=M$3,SUMIF('TL12'!$C$10:$C$224,$C181,'TL12'!$J$10:$J$224),0),
IF('TL12'!$B$229=M$3,SUMIF('TL12'!$C$238:$C$451,$C181,'TL12'!$J$238:$J$451),0),
IF('TL13'!$B$3=M$3,SUMIF('TL13'!$C$10:$C$224,$C181,'TL13'!$J$10:$J$224),0),
IF('TL13'!$B$229=M$3,SUMIF('TL13'!$C$238:$C$451,$C181,'TL13'!$J$238:$J$451),0),
IF('TL14'!$B$3=M$3,SUMIF('TL14'!$C$10:$C$224,$C181,'TL14'!$J$10:$J$224),0),
IF('TL14'!$B$229=M$3,SUMIF('TL14'!$C$238:$C$451,$C181,'TL14'!$J$238:$J$451),0),
IF('TL15'!$B$3=M$3,SUMIF('TL15'!$C$10:$C$224,$C181,'TL15'!$J$10:$J$224),0),
IF('TL15'!$B$229=M$3,SUMIF('TL15'!$C$238:$C$451,$C181,'TL15'!$J$238:$J$451),0),
IF('TL16'!$B$3=M$3,SUMIF('TL16'!$C$10:$C$224,$C181,'TL16'!$J$10:$J$224),0),
IF('TL16'!$B$229=M$3,SUMIF('TL16'!$C$238:$C$451,$C181,'TL16'!$J$238:$J$451),0),
IF('TL17'!$B$3=M$3,SUMIF('TL17'!$C$10:$C$224,$C181,'TL17'!$J$10:$J$224),0),
IF('TL17'!$B$229=M$3,SUMIF('TL17'!$C$238:$C$451,$C181,'TL17'!$J$238:$J$451),0),
IF('TL18'!$B$3=M$3,SUMIF('TL18'!$C$10:$C$224,$C181,'TL18'!$J$10:$J$224),0),
IF('TL18'!$B$229=M$3,SUMIF('TL18'!$C$238:$C$451,$C181,'TL18'!$J$238:$J$451),0),
IF('TL19'!$B$3=M$3,SUMIF('TL19'!$C$10:$C$224,$C181,'TL19'!$J$10:$J$224),0),
IF('TL19'!$B$229=M$3,SUMIF('TL19'!$C$238:$C$451,$C181,'TL19'!$J$238:$J$451),0)
),0)</f>
        <v/>
      </c>
      <c r="N181" s="9">
        <f>IFERROR(SUM(
IF('TL01'!$B$3=N$3,SUMIF('TL01'!$C$10:$C$224,$C181,'TL01'!$J$10:$J$224),0),
IF('TL01'!$B$229=N$3,SUMIF('TL01'!$C$238:$C$451,$C181,'TL01'!$J$238:$J$451),0),
IF('TL02'!$B$3=N$3,SUMIF('TL02'!$C$10:$C$224,$C181,'TL02'!$J$10:$J$224),0),
IF('TL02'!$B$229=N$3,SUMIF('TL02'!$C$238:$C$451,$C181,'TL02'!$J$238:$J$451),0),
IF('TL03'!$B$3=N$3,SUMIF('TL03'!$C$10:$C$224,$C181,'TL03'!$J$10:$J$224),0),
IF('TL03'!$B$229=N$3,SUMIF('TL03'!$C$238:$C$451,$C181,'TL03'!$J$238:$J$451),0),
IF('TL04'!$B$3=N$3,SUMIF('TL04'!$C$10:$C$224,$C181,'TL04'!$J$10:$J$224),0),
IF('TL04'!$B$229=N$3,SUMIF('TL04'!$C$238:$C$451,$C181,'TL04'!$J$238:$J$451),0),
IF('TL05'!$B$3=N$3,SUMIF('TL05'!$C$10:$C$224,$C181,'TL05'!$J$10:$J$224),0),
IF('TL05'!$B$229=N$3,SUMIF('TL05'!$C$238:$C$451,$C181,'TL05'!$J$238:$J$451),0),
IF('TL06'!$B$3=N$3,SUMIF('TL06'!$C$10:$C$224,$C181,'TL06'!$J$10:$J$224),0),
IF('TL06'!$B$229=N$3,SUMIF('TL06'!$C$238:$C$451,$C181,'TL06'!$J$238:$J$451),0),
IF('TL07'!$B$3=N$3,SUMIF('TL07'!$C$10:$C$224,$C181,'TL07'!$J$10:$J$224),0),
IF('TL07'!$B$229=N$3,SUMIF('TL07'!$C$238:$C$451,$C181,'TL07'!$J$238:$J$451),0),
IF('TL08'!$B$3=N$3,SUMIF('TL08'!$C$10:$C$224,$C181,'TL08'!$J$10:$J$224),0),
IF('TL08'!$B$229=N$3,SUMIF('TL08'!$C$238:$C$451,$C181,'TL08'!$J$238:$J$451),0),
IF('TL09'!$B$3=N$3,SUMIF('TL09'!$C$10:$C$224,$C181,'TL09'!$J$10:$J$224),0),
IF('TL09'!$B$229=N$3,SUMIF('TL09'!$C$238:$C$451,$C181,'TL09'!$J$238:$J$451),0),
IF('TL10'!$B$3=N$3,SUMIF('TL10'!$C$10:$C$224,$C181,'TL10'!$J$10:$J$224),0),
IF('TL10'!$B$229=N$3,SUMIF('TL10'!$C$238:$C$451,$C181,'TL10'!$J$238:$J$451),0),
IF('TL11'!$B$3=N$3,SUMIF('TL11'!$C$10:$C$224,$C181,'TL11'!$J$10:$J$224),0),
IF('TL11'!$B$229=N$3,SUMIF('TL11'!$C$238:$C$451,$C181,'TL11'!$J$238:$J$451),0),
IF('TL12'!$B$3=N$3,SUMIF('TL12'!$C$10:$C$224,$C181,'TL12'!$J$10:$J$224),0),
IF('TL12'!$B$229=N$3,SUMIF('TL12'!$C$238:$C$451,$C181,'TL12'!$J$238:$J$451),0),
IF('TL13'!$B$3=N$3,SUMIF('TL13'!$C$10:$C$224,$C181,'TL13'!$J$10:$J$224),0),
IF('TL13'!$B$229=N$3,SUMIF('TL13'!$C$238:$C$451,$C181,'TL13'!$J$238:$J$451),0),
IF('TL14'!$B$3=N$3,SUMIF('TL14'!$C$10:$C$224,$C181,'TL14'!$J$10:$J$224),0),
IF('TL14'!$B$229=N$3,SUMIF('TL14'!$C$238:$C$451,$C181,'TL14'!$J$238:$J$451),0),
IF('TL15'!$B$3=N$3,SUMIF('TL15'!$C$10:$C$224,$C181,'TL15'!$J$10:$J$224),0),
IF('TL15'!$B$229=N$3,SUMIF('TL15'!$C$238:$C$451,$C181,'TL15'!$J$238:$J$451),0),
IF('TL16'!$B$3=N$3,SUMIF('TL16'!$C$10:$C$224,$C181,'TL16'!$J$10:$J$224),0),
IF('TL16'!$B$229=N$3,SUMIF('TL16'!$C$238:$C$451,$C181,'TL16'!$J$238:$J$451),0),
IF('TL17'!$B$3=N$3,SUMIF('TL17'!$C$10:$C$224,$C181,'TL17'!$J$10:$J$224),0),
IF('TL17'!$B$229=N$3,SUMIF('TL17'!$C$238:$C$451,$C181,'TL17'!$J$238:$J$451),0),
IF('TL18'!$B$3=N$3,SUMIF('TL18'!$C$10:$C$224,$C181,'TL18'!$J$10:$J$224),0),
IF('TL18'!$B$229=N$3,SUMIF('TL18'!$C$238:$C$451,$C181,'TL18'!$J$238:$J$451),0),
IF('TL19'!$B$3=N$3,SUMIF('TL19'!$C$10:$C$224,$C181,'TL19'!$J$10:$J$224),0),
IF('TL19'!$B$229=N$3,SUMIF('TL19'!$C$238:$C$451,$C181,'TL19'!$J$238:$J$451),0)
),0)</f>
        <v/>
      </c>
      <c r="O181" s="9">
        <f>IFERROR(SUM(
IF('TL01'!$B$3=O$3,SUMIF('TL01'!$C$10:$C$224,$C181,'TL01'!$J$10:$J$224),0),
IF('TL01'!$B$229=O$3,SUMIF('TL01'!$C$238:$C$451,$C181,'TL01'!$J$238:$J$451),0),
IF('TL02'!$B$3=O$3,SUMIF('TL02'!$C$10:$C$224,$C181,'TL02'!$J$10:$J$224),0),
IF('TL02'!$B$229=O$3,SUMIF('TL02'!$C$238:$C$451,$C181,'TL02'!$J$238:$J$451),0),
IF('TL03'!$B$3=O$3,SUMIF('TL03'!$C$10:$C$224,$C181,'TL03'!$J$10:$J$224),0),
IF('TL03'!$B$229=O$3,SUMIF('TL03'!$C$238:$C$451,$C181,'TL03'!$J$238:$J$451),0),
IF('TL04'!$B$3=O$3,SUMIF('TL04'!$C$10:$C$224,$C181,'TL04'!$J$10:$J$224),0),
IF('TL04'!$B$229=O$3,SUMIF('TL04'!$C$238:$C$451,$C181,'TL04'!$J$238:$J$451),0),
IF('TL05'!$B$3=O$3,SUMIF('TL05'!$C$10:$C$224,$C181,'TL05'!$J$10:$J$224),0),
IF('TL05'!$B$229=O$3,SUMIF('TL05'!$C$238:$C$451,$C181,'TL05'!$J$238:$J$451),0),
IF('TL06'!$B$3=O$3,SUMIF('TL06'!$C$10:$C$224,$C181,'TL06'!$J$10:$J$224),0),
IF('TL06'!$B$229=O$3,SUMIF('TL06'!$C$238:$C$451,$C181,'TL06'!$J$238:$J$451),0),
IF('TL07'!$B$3=O$3,SUMIF('TL07'!$C$10:$C$224,$C181,'TL07'!$J$10:$J$224),0),
IF('TL07'!$B$229=O$3,SUMIF('TL07'!$C$238:$C$451,$C181,'TL07'!$J$238:$J$451),0),
IF('TL08'!$B$3=O$3,SUMIF('TL08'!$C$10:$C$224,$C181,'TL08'!$J$10:$J$224),0),
IF('TL08'!$B$229=O$3,SUMIF('TL08'!$C$238:$C$451,$C181,'TL08'!$J$238:$J$451),0),
IF('TL09'!$B$3=O$3,SUMIF('TL09'!$C$10:$C$224,$C181,'TL09'!$J$10:$J$224),0),
IF('TL09'!$B$229=O$3,SUMIF('TL09'!$C$238:$C$451,$C181,'TL09'!$J$238:$J$451),0),
IF('TL10'!$B$3=O$3,SUMIF('TL10'!$C$10:$C$224,$C181,'TL10'!$J$10:$J$224),0),
IF('TL10'!$B$229=O$3,SUMIF('TL10'!$C$238:$C$451,$C181,'TL10'!$J$238:$J$451),0),
IF('TL11'!$B$3=O$3,SUMIF('TL11'!$C$10:$C$224,$C181,'TL11'!$J$10:$J$224),0),
IF('TL11'!$B$229=O$3,SUMIF('TL11'!$C$238:$C$451,$C181,'TL11'!$J$238:$J$451),0),
IF('TL12'!$B$3=O$3,SUMIF('TL12'!$C$10:$C$224,$C181,'TL12'!$J$10:$J$224),0),
IF('TL12'!$B$229=O$3,SUMIF('TL12'!$C$238:$C$451,$C181,'TL12'!$J$238:$J$451),0),
IF('TL13'!$B$3=O$3,SUMIF('TL13'!$C$10:$C$224,$C181,'TL13'!$J$10:$J$224),0),
IF('TL13'!$B$229=O$3,SUMIF('TL13'!$C$238:$C$451,$C181,'TL13'!$J$238:$J$451),0),
IF('TL14'!$B$3=O$3,SUMIF('TL14'!$C$10:$C$224,$C181,'TL14'!$J$10:$J$224),0),
IF('TL14'!$B$229=O$3,SUMIF('TL14'!$C$238:$C$451,$C181,'TL14'!$J$238:$J$451),0),
IF('TL15'!$B$3=O$3,SUMIF('TL15'!$C$10:$C$224,$C181,'TL15'!$J$10:$J$224),0),
IF('TL15'!$B$229=O$3,SUMIF('TL15'!$C$238:$C$451,$C181,'TL15'!$J$238:$J$451),0),
IF('TL16'!$B$3=O$3,SUMIF('TL16'!$C$10:$C$224,$C181,'TL16'!$J$10:$J$224),0),
IF('TL16'!$B$229=O$3,SUMIF('TL16'!$C$238:$C$451,$C181,'TL16'!$J$238:$J$451),0),
IF('TL17'!$B$3=O$3,SUMIF('TL17'!$C$10:$C$224,$C181,'TL17'!$J$10:$J$224),0),
IF('TL17'!$B$229=O$3,SUMIF('TL17'!$C$238:$C$451,$C181,'TL17'!$J$238:$J$451),0),
IF('TL18'!$B$3=O$3,SUMIF('TL18'!$C$10:$C$224,$C181,'TL18'!$J$10:$J$224),0),
IF('TL18'!$B$229=O$3,SUMIF('TL18'!$C$238:$C$451,$C181,'TL18'!$J$238:$J$451),0),
IF('TL19'!$B$3=O$3,SUMIF('TL19'!$C$10:$C$224,$C181,'TL19'!$J$10:$J$224),0),
IF('TL19'!$B$229=O$3,SUMIF('TL19'!$C$238:$C$451,$C181,'TL19'!$J$238:$J$451),0)
),0)</f>
        <v/>
      </c>
      <c r="P181" s="9">
        <f>IFERROR(SUM(
IF('TL01'!$B$3=P$3,SUMIF('TL01'!$C$10:$C$224,$C181,'TL01'!$J$10:$J$224),0),
IF('TL01'!$B$229=P$3,SUMIF('TL01'!$C$238:$C$451,$C181,'TL01'!$J$238:$J$451),0),
IF('TL02'!$B$3=P$3,SUMIF('TL02'!$C$10:$C$224,$C181,'TL02'!$J$10:$J$224),0),
IF('TL02'!$B$229=P$3,SUMIF('TL02'!$C$238:$C$451,$C181,'TL02'!$J$238:$J$451),0),
IF('TL03'!$B$3=P$3,SUMIF('TL03'!$C$10:$C$224,$C181,'TL03'!$J$10:$J$224),0),
IF('TL03'!$B$229=P$3,SUMIF('TL03'!$C$238:$C$451,$C181,'TL03'!$J$238:$J$451),0),
IF('TL04'!$B$3=P$3,SUMIF('TL04'!$C$10:$C$224,$C181,'TL04'!$J$10:$J$224),0),
IF('TL04'!$B$229=P$3,SUMIF('TL04'!$C$238:$C$451,$C181,'TL04'!$J$238:$J$451),0),
IF('TL05'!$B$3=P$3,SUMIF('TL05'!$C$10:$C$224,$C181,'TL05'!$J$10:$J$224),0),
IF('TL05'!$B$229=P$3,SUMIF('TL05'!$C$238:$C$451,$C181,'TL05'!$J$238:$J$451),0),
IF('TL06'!$B$3=P$3,SUMIF('TL06'!$C$10:$C$224,$C181,'TL06'!$J$10:$J$224),0),
IF('TL06'!$B$229=P$3,SUMIF('TL06'!$C$238:$C$451,$C181,'TL06'!$J$238:$J$451),0),
IF('TL07'!$B$3=P$3,SUMIF('TL07'!$C$10:$C$224,$C181,'TL07'!$J$10:$J$224),0),
IF('TL07'!$B$229=P$3,SUMIF('TL07'!$C$238:$C$451,$C181,'TL07'!$J$238:$J$451),0),
IF('TL08'!$B$3=P$3,SUMIF('TL08'!$C$10:$C$224,$C181,'TL08'!$J$10:$J$224),0),
IF('TL08'!$B$229=P$3,SUMIF('TL08'!$C$238:$C$451,$C181,'TL08'!$J$238:$J$451),0),
IF('TL09'!$B$3=P$3,SUMIF('TL09'!$C$10:$C$224,$C181,'TL09'!$J$10:$J$224),0),
IF('TL09'!$B$229=P$3,SUMIF('TL09'!$C$238:$C$451,$C181,'TL09'!$J$238:$J$451),0),
IF('TL10'!$B$3=P$3,SUMIF('TL10'!$C$10:$C$224,$C181,'TL10'!$J$10:$J$224),0),
IF('TL10'!$B$229=P$3,SUMIF('TL10'!$C$238:$C$451,$C181,'TL10'!$J$238:$J$451),0),
IF('TL11'!$B$3=P$3,SUMIF('TL11'!$C$10:$C$224,$C181,'TL11'!$J$10:$J$224),0),
IF('TL11'!$B$229=P$3,SUMIF('TL11'!$C$238:$C$451,$C181,'TL11'!$J$238:$J$451),0),
IF('TL12'!$B$3=P$3,SUMIF('TL12'!$C$10:$C$224,$C181,'TL12'!$J$10:$J$224),0),
IF('TL12'!$B$229=P$3,SUMIF('TL12'!$C$238:$C$451,$C181,'TL12'!$J$238:$J$451),0),
IF('TL13'!$B$3=P$3,SUMIF('TL13'!$C$10:$C$224,$C181,'TL13'!$J$10:$J$224),0),
IF('TL13'!$B$229=P$3,SUMIF('TL13'!$C$238:$C$451,$C181,'TL13'!$J$238:$J$451),0),
IF('TL14'!$B$3=P$3,SUMIF('TL14'!$C$10:$C$224,$C181,'TL14'!$J$10:$J$224),0),
IF('TL14'!$B$229=P$3,SUMIF('TL14'!$C$238:$C$451,$C181,'TL14'!$J$238:$J$451),0),
IF('TL15'!$B$3=P$3,SUMIF('TL15'!$C$10:$C$224,$C181,'TL15'!$J$10:$J$224),0),
IF('TL15'!$B$229=P$3,SUMIF('TL15'!$C$238:$C$451,$C181,'TL15'!$J$238:$J$451),0),
IF('TL16'!$B$3=P$3,SUMIF('TL16'!$C$10:$C$224,$C181,'TL16'!$J$10:$J$224),0),
IF('TL16'!$B$229=P$3,SUMIF('TL16'!$C$238:$C$451,$C181,'TL16'!$J$238:$J$451),0),
IF('TL17'!$B$3=P$3,SUMIF('TL17'!$C$10:$C$224,$C181,'TL17'!$J$10:$J$224),0),
IF('TL17'!$B$229=P$3,SUMIF('TL17'!$C$238:$C$451,$C181,'TL17'!$J$238:$J$451),0),
IF('TL18'!$B$3=P$3,SUMIF('TL18'!$C$10:$C$224,$C181,'TL18'!$J$10:$J$224),0),
IF('TL18'!$B$229=P$3,SUMIF('TL18'!$C$238:$C$451,$C181,'TL18'!$J$238:$J$451),0),
IF('TL19'!$B$3=P$3,SUMIF('TL19'!$C$10:$C$224,$C181,'TL19'!$J$10:$J$224),0),
IF('TL19'!$B$229=P$3,SUMIF('TL19'!$C$238:$C$451,$C181,'TL19'!$J$238:$J$451),0)
),0)</f>
        <v/>
      </c>
      <c r="Q181" s="9">
        <f>IFERROR(SUM(
IF('TL01'!$B$3=Q$3,SUMIF('TL01'!$C$10:$C$224,$C181,'TL01'!$J$10:$J$224),0),
IF('TL01'!$B$229=Q$3,SUMIF('TL01'!$C$238:$C$451,$C181,'TL01'!$J$238:$J$451),0),
IF('TL02'!$B$3=Q$3,SUMIF('TL02'!$C$10:$C$224,$C181,'TL02'!$J$10:$J$224),0),
IF('TL02'!$B$229=Q$3,SUMIF('TL02'!$C$238:$C$451,$C181,'TL02'!$J$238:$J$451),0),
IF('TL03'!$B$3=Q$3,SUMIF('TL03'!$C$10:$C$224,$C181,'TL03'!$J$10:$J$224),0),
IF('TL03'!$B$229=Q$3,SUMIF('TL03'!$C$238:$C$451,$C181,'TL03'!$J$238:$J$451),0),
IF('TL04'!$B$3=Q$3,SUMIF('TL04'!$C$10:$C$224,$C181,'TL04'!$J$10:$J$224),0),
IF('TL04'!$B$229=Q$3,SUMIF('TL04'!$C$238:$C$451,$C181,'TL04'!$J$238:$J$451),0),
IF('TL05'!$B$3=Q$3,SUMIF('TL05'!$C$10:$C$224,$C181,'TL05'!$J$10:$J$224),0),
IF('TL05'!$B$229=Q$3,SUMIF('TL05'!$C$238:$C$451,$C181,'TL05'!$J$238:$J$451),0),
IF('TL06'!$B$3=Q$3,SUMIF('TL06'!$C$10:$C$224,$C181,'TL06'!$J$10:$J$224),0),
IF('TL06'!$B$229=Q$3,SUMIF('TL06'!$C$238:$C$451,$C181,'TL06'!$J$238:$J$451),0),
IF('TL07'!$B$3=Q$3,SUMIF('TL07'!$C$10:$C$224,$C181,'TL07'!$J$10:$J$224),0),
IF('TL07'!$B$229=Q$3,SUMIF('TL07'!$C$238:$C$451,$C181,'TL07'!$J$238:$J$451),0),
IF('TL08'!$B$3=Q$3,SUMIF('TL08'!$C$10:$C$224,$C181,'TL08'!$J$10:$J$224),0),
IF('TL08'!$B$229=Q$3,SUMIF('TL08'!$C$238:$C$451,$C181,'TL08'!$J$238:$J$451),0),
IF('TL09'!$B$3=Q$3,SUMIF('TL09'!$C$10:$C$224,$C181,'TL09'!$J$10:$J$224),0),
IF('TL09'!$B$229=Q$3,SUMIF('TL09'!$C$238:$C$451,$C181,'TL09'!$J$238:$J$451),0),
IF('TL10'!$B$3=Q$3,SUMIF('TL10'!$C$10:$C$224,$C181,'TL10'!$J$10:$J$224),0),
IF('TL10'!$B$229=Q$3,SUMIF('TL10'!$C$238:$C$451,$C181,'TL10'!$J$238:$J$451),0),
IF('TL11'!$B$3=Q$3,SUMIF('TL11'!$C$10:$C$224,$C181,'TL11'!$J$10:$J$224),0),
IF('TL11'!$B$229=Q$3,SUMIF('TL11'!$C$238:$C$451,$C181,'TL11'!$J$238:$J$451),0),
IF('TL12'!$B$3=Q$3,SUMIF('TL12'!$C$10:$C$224,$C181,'TL12'!$J$10:$J$224),0),
IF('TL12'!$B$229=Q$3,SUMIF('TL12'!$C$238:$C$451,$C181,'TL12'!$J$238:$J$451),0),
IF('TL13'!$B$3=Q$3,SUMIF('TL13'!$C$10:$C$224,$C181,'TL13'!$J$10:$J$224),0),
IF('TL13'!$B$229=Q$3,SUMIF('TL13'!$C$238:$C$451,$C181,'TL13'!$J$238:$J$451),0),
IF('TL14'!$B$3=Q$3,SUMIF('TL14'!$C$10:$C$224,$C181,'TL14'!$J$10:$J$224),0),
IF('TL14'!$B$229=Q$3,SUMIF('TL14'!$C$238:$C$451,$C181,'TL14'!$J$238:$J$451),0),
IF('TL15'!$B$3=Q$3,SUMIF('TL15'!$C$10:$C$224,$C181,'TL15'!$J$10:$J$224),0),
IF('TL15'!$B$229=Q$3,SUMIF('TL15'!$C$238:$C$451,$C181,'TL15'!$J$238:$J$451),0),
IF('TL16'!$B$3=Q$3,SUMIF('TL16'!$C$10:$C$224,$C181,'TL16'!$J$10:$J$224),0),
IF('TL16'!$B$229=Q$3,SUMIF('TL16'!$C$238:$C$451,$C181,'TL16'!$J$238:$J$451),0),
IF('TL17'!$B$3=Q$3,SUMIF('TL17'!$C$10:$C$224,$C181,'TL17'!$J$10:$J$224),0),
IF('TL17'!$B$229=Q$3,SUMIF('TL17'!$C$238:$C$451,$C181,'TL17'!$J$238:$J$451),0),
IF('TL18'!$B$3=Q$3,SUMIF('TL18'!$C$10:$C$224,$C181,'TL18'!$J$10:$J$224),0),
IF('TL18'!$B$229=Q$3,SUMIF('TL18'!$C$238:$C$451,$C181,'TL18'!$J$238:$J$451),0),
IF('TL19'!$B$3=Q$3,SUMIF('TL19'!$C$10:$C$224,$C181,'TL19'!$J$10:$J$224),0),
IF('TL19'!$B$229=Q$3,SUMIF('TL19'!$C$238:$C$451,$C181,'TL19'!$J$238:$J$451),0)
),0)</f>
        <v/>
      </c>
      <c r="R181" s="9">
        <f>IFERROR(
SUM(
SUMIF('TL01'!C:C,C181,'TL01'!J:J),
SUMIF('TL02'!C:C,C181,'TL02'!J:J),
SUMIF('TL03'!C:C,C181,'TL03'!J:J),
SUMIF('TL04'!C:C,C181,'TL04'!J:J),
SUMIF('TL05'!C:C,C181,'TL05'!J:J),
SUMIF('TL06'!C:C,C181,'TL06'!J:J),
SUMIF('TL07'!C:C,C181,'TL07'!J:J),
SUMIF('TL08'!C:C,C181,'TL08'!J:J),
SUMIF('TL09'!C:C,C181,'TL09'!J:J),
SUMIF('TL10'!C:C,C181,'TL10'!J:J),
SUMIF('TL11'!C:C,C181,'TL11'!J:J),
SUMIF('TL12'!C:C,C181,'TL12'!J:J),
SUMIF('TL13'!C:C,C181,'TL13'!J:J),
SUMIF('TL14'!C:C,C181,'TL14'!J:J),
SUMIF('TL15'!C:C,C181,'TL15'!J:J),
SUMIF('TL16'!C:C,C181,'TL16'!J:J),
SUMIF('TL17'!C:C,C181,'TL17'!J:J),
SUMIF('TL18'!C:C,C181,'TL18'!J:J),SUMIF('TL19'!C:C,C181,'TL19'!J:J))
,0)</f>
        <v/>
      </c>
      <c r="S181" s="17">
        <f>IFERROR(__xludf.DUMMYFUNCTION("IFERROR(VLOOKUP(C181,
IMPORTRANGE(""1wULbzX32WdYsx-lj2U3uUNBBe2INVIRDtcK0d-Dvl90"",
""26-27!C:G""),
5,
FALSE),
"""")"),279.25275)</f>
        <v/>
      </c>
      <c r="T181" s="9" t="n"/>
      <c r="U181" s="92">
        <f>MAX(0,R181-T181)</f>
        <v/>
      </c>
      <c r="V181" s="93">
        <f>U181*S181</f>
        <v/>
      </c>
    </row>
    <row r="182" hidden="1" ht="15.75" customHeight="1" s="297">
      <c r="A182" s="87" t="inlineStr">
        <is>
          <t>BAYER</t>
        </is>
      </c>
      <c r="B182" s="88" t="inlineStr">
        <is>
          <t>INSETICIDA</t>
        </is>
      </c>
      <c r="C182" s="89" t="inlineStr">
        <is>
          <t>BULLDOCK 125 SC</t>
        </is>
      </c>
      <c r="D182" s="89" t="inlineStr">
        <is>
          <t>BETA-CIFLUTRINA</t>
        </is>
      </c>
      <c r="E182" s="89" t="n">
        <v>125</v>
      </c>
      <c r="F182" s="4" t="inlineStr">
        <is>
          <t>KG</t>
        </is>
      </c>
      <c r="G182" s="90">
        <f>HYPERLINK("https://www.google.com/search?q=" &amp; C182 &amp; "+bula+agrofit+pdf", "📄 Ver bula")</f>
        <v/>
      </c>
      <c r="H182" s="9">
        <f>IFERROR(__xludf.DUMMYFUNCTION("IFERROR(VLOOKUP(C182,
IMPORTRANGE(""1wULbzX32WdYsx-lj2U3uUNBBe2INVIRDtcK0d-Dvl90"",
""26-27!C:K""),
8,
FALSE),
"""")"),0.1)</f>
        <v/>
      </c>
      <c r="I182" s="91" t="inlineStr">
        <is>
          <t>12X1</t>
        </is>
      </c>
      <c r="J182" s="9">
        <f>IFERROR(SUM(
IF('TL01'!$B$3=J$3,SUMIF('TL01'!$C$10:$C$224,$C182,'TL01'!$J$10:$J$224),0),
IF('TL01'!$B$229=J$3,SUMIF('TL01'!$C$238:$C$451,$C182,'TL01'!$J$238:$J$451),0),
IF('TL02'!$B$3=J$3,SUMIF('TL02'!$C$10:$C$224,$C182,'TL02'!$J$10:$J$224),0),
IF('TL02'!$B$229=J$3,SUMIF('TL02'!$C$238:$C$451,$C182,'TL02'!$J$238:$J$451),0),
IF('TL03'!$B$3=J$3,SUMIF('TL03'!$C$10:$C$224,$C182,'TL03'!$J$10:$J$224),0),
IF('TL03'!$B$229=J$3,SUMIF('TL03'!$C$238:$C$451,$C182,'TL03'!$J$238:$J$451),0),
IF('TL04'!$B$3=J$3,SUMIF('TL04'!$C$10:$C$224,$C182,'TL04'!$J$10:$J$224),0),
IF('TL04'!$B$229=J$3,SUMIF('TL04'!$C$238:$C$451,$C182,'TL04'!$J$238:$J$451),0),
IF('TL05'!$B$3=J$3,SUMIF('TL05'!$C$10:$C$224,$C182,'TL05'!$J$10:$J$224),0),
IF('TL05'!$B$229=J$3,SUMIF('TL05'!$C$238:$C$451,$C182,'TL05'!$J$238:$J$451),0),
IF('TL06'!$B$3=J$3,SUMIF('TL06'!$C$10:$C$224,$C182,'TL06'!$J$10:$J$224),0),
IF('TL06'!$B$229=J$3,SUMIF('TL06'!$C$238:$C$451,$C182,'TL06'!$J$238:$J$451),0),
IF('TL07'!$B$3=J$3,SUMIF('TL07'!$C$10:$C$224,$C182,'TL07'!$J$10:$J$224),0),
IF('TL07'!$B$229=J$3,SUMIF('TL07'!$C$238:$C$451,$C182,'TL07'!$J$238:$J$451),0),
IF('TL08'!$B$3=J$3,SUMIF('TL08'!$C$10:$C$224,$C182,'TL08'!$J$10:$J$224),0),
IF('TL08'!$B$229=J$3,SUMIF('TL08'!$C$238:$C$451,$C182,'TL08'!$J$238:$J$451),0),
IF('TL09'!$B$3=J$3,SUMIF('TL09'!$C$10:$C$224,$C182,'TL09'!$J$10:$J$224),0),
IF('TL09'!$B$229=J$3,SUMIF('TL09'!$C$238:$C$451,$C182,'TL09'!$J$238:$J$451),0),
IF('TL10'!$B$3=J$3,SUMIF('TL10'!$C$10:$C$224,$C182,'TL10'!$J$10:$J$224),0),
IF('TL10'!$B$229=J$3,SUMIF('TL10'!$C$238:$C$451,$C182,'TL10'!$J$238:$J$451),0),
IF('TL11'!$B$3=J$3,SUMIF('TL11'!$C$10:$C$224,$C182,'TL11'!$J$10:$J$224),0),
IF('TL11'!$B$229=J$3,SUMIF('TL11'!$C$238:$C$451,$C182,'TL11'!$J$238:$J$451),0),
IF('TL12'!$B$3=J$3,SUMIF('TL12'!$C$10:$C$224,$C182,'TL12'!$J$10:$J$224),0),
IF('TL12'!$B$229=J$3,SUMIF('TL12'!$C$238:$C$451,$C182,'TL12'!$J$238:$J$451),0),
IF('TL13'!$B$3=J$3,SUMIF('TL13'!$C$10:$C$224,$C182,'TL13'!$J$10:$J$224),0),
IF('TL13'!$B$229=J$3,SUMIF('TL13'!$C$238:$C$451,$C182,'TL13'!$J$238:$J$451),0),
IF('TL14'!$B$3=J$3,SUMIF('TL14'!$C$10:$C$224,$C182,'TL14'!$J$10:$J$224),0),
IF('TL14'!$B$229=J$3,SUMIF('TL14'!$C$238:$C$451,$C182,'TL14'!$J$238:$J$451),0),
IF('TL15'!$B$3=J$3,SUMIF('TL15'!$C$10:$C$224,$C182,'TL15'!$J$10:$J$224),0),
IF('TL15'!$B$229=J$3,SUMIF('TL15'!$C$238:$C$451,$C182,'TL15'!$J$238:$J$451),0),
IF('TL16'!$B$3=J$3,SUMIF('TL16'!$C$10:$C$224,$C182,'TL16'!$J$10:$J$224),0),
IF('TL16'!$B$229=J$3,SUMIF('TL16'!$C$238:$C$451,$C182,'TL16'!$J$238:$J$451),0),
IF('TL17'!$B$3=J$3,SUMIF('TL17'!$C$10:$C$224,$C182,'TL17'!$J$10:$J$224),0),
IF('TL17'!$B$229=J$3,SUMIF('TL17'!$C$238:$C$451,$C182,'TL17'!$J$238:$J$451),0),
IF('TL18'!$B$3=J$3,SUMIF('TL18'!$C$10:$C$224,$C182,'TL18'!$J$10:$J$224),0),
IF('TL18'!$B$229=J$3,SUMIF('TL18'!$C$238:$C$451,$C182,'TL18'!$J$238:$J$451),0),
IF('TL19'!$B$3=J$3,SUMIF('TL19'!$C$10:$C$224,$C182,'TL19'!$J$10:$J$224),0),
IF('TL19'!$B$229=J$3,SUMIF('TL19'!$C$238:$C$451,$C182,'TL19'!$J$238:$J$451),0)
),0)</f>
        <v/>
      </c>
      <c r="K182" s="9">
        <f>IFERROR(SUM(
IF('TL01'!$B$3=K$3,SUMIF('TL01'!$C$10:$C$224,$C182,'TL01'!$J$10:$J$224),0),
IF('TL01'!$B$229=K$3,SUMIF('TL01'!$C$238:$C$451,$C182,'TL01'!$J$238:$J$451),0),
IF('TL02'!$B$3=K$3,SUMIF('TL02'!$C$10:$C$224,$C182,'TL02'!$J$10:$J$224),0),
IF('TL02'!$B$229=K$3,SUMIF('TL02'!$C$238:$C$451,$C182,'TL02'!$J$238:$J$451),0),
IF('TL03'!$B$3=K$3,SUMIF('TL03'!$C$10:$C$224,$C182,'TL03'!$J$10:$J$224),0),
IF('TL03'!$B$229=K$3,SUMIF('TL03'!$C$238:$C$451,$C182,'TL03'!$J$238:$J$451),0),
IF('TL04'!$B$3=K$3,SUMIF('TL04'!$C$10:$C$224,$C182,'TL04'!$J$10:$J$224),0),
IF('TL04'!$B$229=K$3,SUMIF('TL04'!$C$238:$C$451,$C182,'TL04'!$J$238:$J$451),0),
IF('TL05'!$B$3=K$3,SUMIF('TL05'!$C$10:$C$224,$C182,'TL05'!$J$10:$J$224),0),
IF('TL05'!$B$229=K$3,SUMIF('TL05'!$C$238:$C$451,$C182,'TL05'!$J$238:$J$451),0),
IF('TL06'!$B$3=K$3,SUMIF('TL06'!$C$10:$C$224,$C182,'TL06'!$J$10:$J$224),0),
IF('TL06'!$B$229=K$3,SUMIF('TL06'!$C$238:$C$451,$C182,'TL06'!$J$238:$J$451),0),
IF('TL07'!$B$3=K$3,SUMIF('TL07'!$C$10:$C$224,$C182,'TL07'!$J$10:$J$224),0),
IF('TL07'!$B$229=K$3,SUMIF('TL07'!$C$238:$C$451,$C182,'TL07'!$J$238:$J$451),0),
IF('TL08'!$B$3=K$3,SUMIF('TL08'!$C$10:$C$224,$C182,'TL08'!$J$10:$J$224),0),
IF('TL08'!$B$229=K$3,SUMIF('TL08'!$C$238:$C$451,$C182,'TL08'!$J$238:$J$451),0),
IF('TL09'!$B$3=K$3,SUMIF('TL09'!$C$10:$C$224,$C182,'TL09'!$J$10:$J$224),0),
IF('TL09'!$B$229=K$3,SUMIF('TL09'!$C$238:$C$451,$C182,'TL09'!$J$238:$J$451),0),
IF('TL10'!$B$3=K$3,SUMIF('TL10'!$C$10:$C$224,$C182,'TL10'!$J$10:$J$224),0),
IF('TL10'!$B$229=K$3,SUMIF('TL10'!$C$238:$C$451,$C182,'TL10'!$J$238:$J$451),0),
IF('TL11'!$B$3=K$3,SUMIF('TL11'!$C$10:$C$224,$C182,'TL11'!$J$10:$J$224),0),
IF('TL11'!$B$229=K$3,SUMIF('TL11'!$C$238:$C$451,$C182,'TL11'!$J$238:$J$451),0),
IF('TL12'!$B$3=K$3,SUMIF('TL12'!$C$10:$C$224,$C182,'TL12'!$J$10:$J$224),0),
IF('TL12'!$B$229=K$3,SUMIF('TL12'!$C$238:$C$451,$C182,'TL12'!$J$238:$J$451),0),
IF('TL13'!$B$3=K$3,SUMIF('TL13'!$C$10:$C$224,$C182,'TL13'!$J$10:$J$224),0),
IF('TL13'!$B$229=K$3,SUMIF('TL13'!$C$238:$C$451,$C182,'TL13'!$J$238:$J$451),0),
IF('TL14'!$B$3=K$3,SUMIF('TL14'!$C$10:$C$224,$C182,'TL14'!$J$10:$J$224),0),
IF('TL14'!$B$229=K$3,SUMIF('TL14'!$C$238:$C$451,$C182,'TL14'!$J$238:$J$451),0),
IF('TL15'!$B$3=K$3,SUMIF('TL15'!$C$10:$C$224,$C182,'TL15'!$J$10:$J$224),0),
IF('TL15'!$B$229=K$3,SUMIF('TL15'!$C$238:$C$451,$C182,'TL15'!$J$238:$J$451),0),
IF('TL16'!$B$3=K$3,SUMIF('TL16'!$C$10:$C$224,$C182,'TL16'!$J$10:$J$224),0),
IF('TL16'!$B$229=K$3,SUMIF('TL16'!$C$238:$C$451,$C182,'TL16'!$J$238:$J$451),0),
IF('TL17'!$B$3=K$3,SUMIF('TL17'!$C$10:$C$224,$C182,'TL17'!$J$10:$J$224),0),
IF('TL17'!$B$229=K$3,SUMIF('TL17'!$C$238:$C$451,$C182,'TL17'!$J$238:$J$451),0),
IF('TL18'!$B$3=K$3,SUMIF('TL18'!$C$10:$C$224,$C182,'TL18'!$J$10:$J$224),0),
IF('TL18'!$B$229=K$3,SUMIF('TL18'!$C$238:$C$451,$C182,'TL18'!$J$238:$J$451),0),
IF('TL19'!$B$3=K$3,SUMIF('TL19'!$C$10:$C$224,$C182,'TL19'!$J$10:$J$224),0),
IF('TL19'!$B$229=K$3,SUMIF('TL19'!$C$238:$C$451,$C182,'TL19'!$J$238:$J$451),0)
),0)</f>
        <v/>
      </c>
      <c r="L182" s="9">
        <f>IFERROR(SUM(
IF('TL01'!$B$3=L$3,SUMIF('TL01'!$C$10:$C$224,$C182,'TL01'!$J$10:$J$224),0),
IF('TL01'!$B$229=L$3,SUMIF('TL01'!$C$238:$C$451,$C182,'TL01'!$J$238:$J$451),0),
IF('TL02'!$B$3=L$3,SUMIF('TL02'!$C$10:$C$224,$C182,'TL02'!$J$10:$J$224),0),
IF('TL02'!$B$229=L$3,SUMIF('TL02'!$C$238:$C$451,$C182,'TL02'!$J$238:$J$451),0),
IF('TL03'!$B$3=L$3,SUMIF('TL03'!$C$10:$C$224,$C182,'TL03'!$J$10:$J$224),0),
IF('TL03'!$B$229=L$3,SUMIF('TL03'!$C$238:$C$451,$C182,'TL03'!$J$238:$J$451),0),
IF('TL04'!$B$3=L$3,SUMIF('TL04'!$C$10:$C$224,$C182,'TL04'!$J$10:$J$224),0),
IF('TL04'!$B$229=L$3,SUMIF('TL04'!$C$238:$C$451,$C182,'TL04'!$J$238:$J$451),0),
IF('TL05'!$B$3=L$3,SUMIF('TL05'!$C$10:$C$224,$C182,'TL05'!$J$10:$J$224),0),
IF('TL05'!$B$229=L$3,SUMIF('TL05'!$C$238:$C$451,$C182,'TL05'!$J$238:$J$451),0),
IF('TL06'!$B$3=L$3,SUMIF('TL06'!$C$10:$C$224,$C182,'TL06'!$J$10:$J$224),0),
IF('TL06'!$B$229=L$3,SUMIF('TL06'!$C$238:$C$451,$C182,'TL06'!$J$238:$J$451),0),
IF('TL07'!$B$3=L$3,SUMIF('TL07'!$C$10:$C$224,$C182,'TL07'!$J$10:$J$224),0),
IF('TL07'!$B$229=L$3,SUMIF('TL07'!$C$238:$C$451,$C182,'TL07'!$J$238:$J$451),0),
IF('TL08'!$B$3=L$3,SUMIF('TL08'!$C$10:$C$224,$C182,'TL08'!$J$10:$J$224),0),
IF('TL08'!$B$229=L$3,SUMIF('TL08'!$C$238:$C$451,$C182,'TL08'!$J$238:$J$451),0),
IF('TL09'!$B$3=L$3,SUMIF('TL09'!$C$10:$C$224,$C182,'TL09'!$J$10:$J$224),0),
IF('TL09'!$B$229=L$3,SUMIF('TL09'!$C$238:$C$451,$C182,'TL09'!$J$238:$J$451),0),
IF('TL10'!$B$3=L$3,SUMIF('TL10'!$C$10:$C$224,$C182,'TL10'!$J$10:$J$224),0),
IF('TL10'!$B$229=L$3,SUMIF('TL10'!$C$238:$C$451,$C182,'TL10'!$J$238:$J$451),0),
IF('TL11'!$B$3=L$3,SUMIF('TL11'!$C$10:$C$224,$C182,'TL11'!$J$10:$J$224),0),
IF('TL11'!$B$229=L$3,SUMIF('TL11'!$C$238:$C$451,$C182,'TL11'!$J$238:$J$451),0),
IF('TL12'!$B$3=L$3,SUMIF('TL12'!$C$10:$C$224,$C182,'TL12'!$J$10:$J$224),0),
IF('TL12'!$B$229=L$3,SUMIF('TL12'!$C$238:$C$451,$C182,'TL12'!$J$238:$J$451),0),
IF('TL13'!$B$3=L$3,SUMIF('TL13'!$C$10:$C$224,$C182,'TL13'!$J$10:$J$224),0),
IF('TL13'!$B$229=L$3,SUMIF('TL13'!$C$238:$C$451,$C182,'TL13'!$J$238:$J$451),0),
IF('TL14'!$B$3=L$3,SUMIF('TL14'!$C$10:$C$224,$C182,'TL14'!$J$10:$J$224),0),
IF('TL14'!$B$229=L$3,SUMIF('TL14'!$C$238:$C$451,$C182,'TL14'!$J$238:$J$451),0),
IF('TL15'!$B$3=L$3,SUMIF('TL15'!$C$10:$C$224,$C182,'TL15'!$J$10:$J$224),0),
IF('TL15'!$B$229=L$3,SUMIF('TL15'!$C$238:$C$451,$C182,'TL15'!$J$238:$J$451),0),
IF('TL16'!$B$3=L$3,SUMIF('TL16'!$C$10:$C$224,$C182,'TL16'!$J$10:$J$224),0),
IF('TL16'!$B$229=L$3,SUMIF('TL16'!$C$238:$C$451,$C182,'TL16'!$J$238:$J$451),0),
IF('TL17'!$B$3=L$3,SUMIF('TL17'!$C$10:$C$224,$C182,'TL17'!$J$10:$J$224),0),
IF('TL17'!$B$229=L$3,SUMIF('TL17'!$C$238:$C$451,$C182,'TL17'!$J$238:$J$451),0),
IF('TL18'!$B$3=L$3,SUMIF('TL18'!$C$10:$C$224,$C182,'TL18'!$J$10:$J$224),0),
IF('TL18'!$B$229=L$3,SUMIF('TL18'!$C$238:$C$451,$C182,'TL18'!$J$238:$J$451),0),
IF('TL19'!$B$3=L$3,SUMIF('TL19'!$C$10:$C$224,$C182,'TL19'!$J$10:$J$224),0),
IF('TL19'!$B$229=L$3,SUMIF('TL19'!$C$238:$C$451,$C182,'TL19'!$J$238:$J$451),0)
),0)</f>
        <v/>
      </c>
      <c r="M182" s="9">
        <f>IFERROR(SUM(
IF('TL01'!$B$3=M$3,SUMIF('TL01'!$C$10:$C$224,$C182,'TL01'!$J$10:$J$224),0),
IF('TL01'!$B$229=M$3,SUMIF('TL01'!$C$238:$C$451,$C182,'TL01'!$J$238:$J$451),0),
IF('TL02'!$B$3=M$3,SUMIF('TL02'!$C$10:$C$224,$C182,'TL02'!$J$10:$J$224),0),
IF('TL02'!$B$229=M$3,SUMIF('TL02'!$C$238:$C$451,$C182,'TL02'!$J$238:$J$451),0),
IF('TL03'!$B$3=M$3,SUMIF('TL03'!$C$10:$C$224,$C182,'TL03'!$J$10:$J$224),0),
IF('TL03'!$B$229=M$3,SUMIF('TL03'!$C$238:$C$451,$C182,'TL03'!$J$238:$J$451),0),
IF('TL04'!$B$3=M$3,SUMIF('TL04'!$C$10:$C$224,$C182,'TL04'!$J$10:$J$224),0),
IF('TL04'!$B$229=M$3,SUMIF('TL04'!$C$238:$C$451,$C182,'TL04'!$J$238:$J$451),0),
IF('TL05'!$B$3=M$3,SUMIF('TL05'!$C$10:$C$224,$C182,'TL05'!$J$10:$J$224),0),
IF('TL05'!$B$229=M$3,SUMIF('TL05'!$C$238:$C$451,$C182,'TL05'!$J$238:$J$451),0),
IF('TL06'!$B$3=M$3,SUMIF('TL06'!$C$10:$C$224,$C182,'TL06'!$J$10:$J$224),0),
IF('TL06'!$B$229=M$3,SUMIF('TL06'!$C$238:$C$451,$C182,'TL06'!$J$238:$J$451),0),
IF('TL07'!$B$3=M$3,SUMIF('TL07'!$C$10:$C$224,$C182,'TL07'!$J$10:$J$224),0),
IF('TL07'!$B$229=M$3,SUMIF('TL07'!$C$238:$C$451,$C182,'TL07'!$J$238:$J$451),0),
IF('TL08'!$B$3=M$3,SUMIF('TL08'!$C$10:$C$224,$C182,'TL08'!$J$10:$J$224),0),
IF('TL08'!$B$229=M$3,SUMIF('TL08'!$C$238:$C$451,$C182,'TL08'!$J$238:$J$451),0),
IF('TL09'!$B$3=M$3,SUMIF('TL09'!$C$10:$C$224,$C182,'TL09'!$J$10:$J$224),0),
IF('TL09'!$B$229=M$3,SUMIF('TL09'!$C$238:$C$451,$C182,'TL09'!$J$238:$J$451),0),
IF('TL10'!$B$3=M$3,SUMIF('TL10'!$C$10:$C$224,$C182,'TL10'!$J$10:$J$224),0),
IF('TL10'!$B$229=M$3,SUMIF('TL10'!$C$238:$C$451,$C182,'TL10'!$J$238:$J$451),0),
IF('TL11'!$B$3=M$3,SUMIF('TL11'!$C$10:$C$224,$C182,'TL11'!$J$10:$J$224),0),
IF('TL11'!$B$229=M$3,SUMIF('TL11'!$C$238:$C$451,$C182,'TL11'!$J$238:$J$451),0),
IF('TL12'!$B$3=M$3,SUMIF('TL12'!$C$10:$C$224,$C182,'TL12'!$J$10:$J$224),0),
IF('TL12'!$B$229=M$3,SUMIF('TL12'!$C$238:$C$451,$C182,'TL12'!$J$238:$J$451),0),
IF('TL13'!$B$3=M$3,SUMIF('TL13'!$C$10:$C$224,$C182,'TL13'!$J$10:$J$224),0),
IF('TL13'!$B$229=M$3,SUMIF('TL13'!$C$238:$C$451,$C182,'TL13'!$J$238:$J$451),0),
IF('TL14'!$B$3=M$3,SUMIF('TL14'!$C$10:$C$224,$C182,'TL14'!$J$10:$J$224),0),
IF('TL14'!$B$229=M$3,SUMIF('TL14'!$C$238:$C$451,$C182,'TL14'!$J$238:$J$451),0),
IF('TL15'!$B$3=M$3,SUMIF('TL15'!$C$10:$C$224,$C182,'TL15'!$J$10:$J$224),0),
IF('TL15'!$B$229=M$3,SUMIF('TL15'!$C$238:$C$451,$C182,'TL15'!$J$238:$J$451),0),
IF('TL16'!$B$3=M$3,SUMIF('TL16'!$C$10:$C$224,$C182,'TL16'!$J$10:$J$224),0),
IF('TL16'!$B$229=M$3,SUMIF('TL16'!$C$238:$C$451,$C182,'TL16'!$J$238:$J$451),0),
IF('TL17'!$B$3=M$3,SUMIF('TL17'!$C$10:$C$224,$C182,'TL17'!$J$10:$J$224),0),
IF('TL17'!$B$229=M$3,SUMIF('TL17'!$C$238:$C$451,$C182,'TL17'!$J$238:$J$451),0),
IF('TL18'!$B$3=M$3,SUMIF('TL18'!$C$10:$C$224,$C182,'TL18'!$J$10:$J$224),0),
IF('TL18'!$B$229=M$3,SUMIF('TL18'!$C$238:$C$451,$C182,'TL18'!$J$238:$J$451),0),
IF('TL19'!$B$3=M$3,SUMIF('TL19'!$C$10:$C$224,$C182,'TL19'!$J$10:$J$224),0),
IF('TL19'!$B$229=M$3,SUMIF('TL19'!$C$238:$C$451,$C182,'TL19'!$J$238:$J$451),0)
),0)</f>
        <v/>
      </c>
      <c r="N182" s="9">
        <f>IFERROR(SUM(
IF('TL01'!$B$3=N$3,SUMIF('TL01'!$C$10:$C$224,$C182,'TL01'!$J$10:$J$224),0),
IF('TL01'!$B$229=N$3,SUMIF('TL01'!$C$238:$C$451,$C182,'TL01'!$J$238:$J$451),0),
IF('TL02'!$B$3=N$3,SUMIF('TL02'!$C$10:$C$224,$C182,'TL02'!$J$10:$J$224),0),
IF('TL02'!$B$229=N$3,SUMIF('TL02'!$C$238:$C$451,$C182,'TL02'!$J$238:$J$451),0),
IF('TL03'!$B$3=N$3,SUMIF('TL03'!$C$10:$C$224,$C182,'TL03'!$J$10:$J$224),0),
IF('TL03'!$B$229=N$3,SUMIF('TL03'!$C$238:$C$451,$C182,'TL03'!$J$238:$J$451),0),
IF('TL04'!$B$3=N$3,SUMIF('TL04'!$C$10:$C$224,$C182,'TL04'!$J$10:$J$224),0),
IF('TL04'!$B$229=N$3,SUMIF('TL04'!$C$238:$C$451,$C182,'TL04'!$J$238:$J$451),0),
IF('TL05'!$B$3=N$3,SUMIF('TL05'!$C$10:$C$224,$C182,'TL05'!$J$10:$J$224),0),
IF('TL05'!$B$229=N$3,SUMIF('TL05'!$C$238:$C$451,$C182,'TL05'!$J$238:$J$451),0),
IF('TL06'!$B$3=N$3,SUMIF('TL06'!$C$10:$C$224,$C182,'TL06'!$J$10:$J$224),0),
IF('TL06'!$B$229=N$3,SUMIF('TL06'!$C$238:$C$451,$C182,'TL06'!$J$238:$J$451),0),
IF('TL07'!$B$3=N$3,SUMIF('TL07'!$C$10:$C$224,$C182,'TL07'!$J$10:$J$224),0),
IF('TL07'!$B$229=N$3,SUMIF('TL07'!$C$238:$C$451,$C182,'TL07'!$J$238:$J$451),0),
IF('TL08'!$B$3=N$3,SUMIF('TL08'!$C$10:$C$224,$C182,'TL08'!$J$10:$J$224),0),
IF('TL08'!$B$229=N$3,SUMIF('TL08'!$C$238:$C$451,$C182,'TL08'!$J$238:$J$451),0),
IF('TL09'!$B$3=N$3,SUMIF('TL09'!$C$10:$C$224,$C182,'TL09'!$J$10:$J$224),0),
IF('TL09'!$B$229=N$3,SUMIF('TL09'!$C$238:$C$451,$C182,'TL09'!$J$238:$J$451),0),
IF('TL10'!$B$3=N$3,SUMIF('TL10'!$C$10:$C$224,$C182,'TL10'!$J$10:$J$224),0),
IF('TL10'!$B$229=N$3,SUMIF('TL10'!$C$238:$C$451,$C182,'TL10'!$J$238:$J$451),0),
IF('TL11'!$B$3=N$3,SUMIF('TL11'!$C$10:$C$224,$C182,'TL11'!$J$10:$J$224),0),
IF('TL11'!$B$229=N$3,SUMIF('TL11'!$C$238:$C$451,$C182,'TL11'!$J$238:$J$451),0),
IF('TL12'!$B$3=N$3,SUMIF('TL12'!$C$10:$C$224,$C182,'TL12'!$J$10:$J$224),0),
IF('TL12'!$B$229=N$3,SUMIF('TL12'!$C$238:$C$451,$C182,'TL12'!$J$238:$J$451),0),
IF('TL13'!$B$3=N$3,SUMIF('TL13'!$C$10:$C$224,$C182,'TL13'!$J$10:$J$224),0),
IF('TL13'!$B$229=N$3,SUMIF('TL13'!$C$238:$C$451,$C182,'TL13'!$J$238:$J$451),0),
IF('TL14'!$B$3=N$3,SUMIF('TL14'!$C$10:$C$224,$C182,'TL14'!$J$10:$J$224),0),
IF('TL14'!$B$229=N$3,SUMIF('TL14'!$C$238:$C$451,$C182,'TL14'!$J$238:$J$451),0),
IF('TL15'!$B$3=N$3,SUMIF('TL15'!$C$10:$C$224,$C182,'TL15'!$J$10:$J$224),0),
IF('TL15'!$B$229=N$3,SUMIF('TL15'!$C$238:$C$451,$C182,'TL15'!$J$238:$J$451),0),
IF('TL16'!$B$3=N$3,SUMIF('TL16'!$C$10:$C$224,$C182,'TL16'!$J$10:$J$224),0),
IF('TL16'!$B$229=N$3,SUMIF('TL16'!$C$238:$C$451,$C182,'TL16'!$J$238:$J$451),0),
IF('TL17'!$B$3=N$3,SUMIF('TL17'!$C$10:$C$224,$C182,'TL17'!$J$10:$J$224),0),
IF('TL17'!$B$229=N$3,SUMIF('TL17'!$C$238:$C$451,$C182,'TL17'!$J$238:$J$451),0),
IF('TL18'!$B$3=N$3,SUMIF('TL18'!$C$10:$C$224,$C182,'TL18'!$J$10:$J$224),0),
IF('TL18'!$B$229=N$3,SUMIF('TL18'!$C$238:$C$451,$C182,'TL18'!$J$238:$J$451),0),
IF('TL19'!$B$3=N$3,SUMIF('TL19'!$C$10:$C$224,$C182,'TL19'!$J$10:$J$224),0),
IF('TL19'!$B$229=N$3,SUMIF('TL19'!$C$238:$C$451,$C182,'TL19'!$J$238:$J$451),0)
),0)</f>
        <v/>
      </c>
      <c r="O182" s="9">
        <f>IFERROR(SUM(
IF('TL01'!$B$3=O$3,SUMIF('TL01'!$C$10:$C$224,$C182,'TL01'!$J$10:$J$224),0),
IF('TL01'!$B$229=O$3,SUMIF('TL01'!$C$238:$C$451,$C182,'TL01'!$J$238:$J$451),0),
IF('TL02'!$B$3=O$3,SUMIF('TL02'!$C$10:$C$224,$C182,'TL02'!$J$10:$J$224),0),
IF('TL02'!$B$229=O$3,SUMIF('TL02'!$C$238:$C$451,$C182,'TL02'!$J$238:$J$451),0),
IF('TL03'!$B$3=O$3,SUMIF('TL03'!$C$10:$C$224,$C182,'TL03'!$J$10:$J$224),0),
IF('TL03'!$B$229=O$3,SUMIF('TL03'!$C$238:$C$451,$C182,'TL03'!$J$238:$J$451),0),
IF('TL04'!$B$3=O$3,SUMIF('TL04'!$C$10:$C$224,$C182,'TL04'!$J$10:$J$224),0),
IF('TL04'!$B$229=O$3,SUMIF('TL04'!$C$238:$C$451,$C182,'TL04'!$J$238:$J$451),0),
IF('TL05'!$B$3=O$3,SUMIF('TL05'!$C$10:$C$224,$C182,'TL05'!$J$10:$J$224),0),
IF('TL05'!$B$229=O$3,SUMIF('TL05'!$C$238:$C$451,$C182,'TL05'!$J$238:$J$451),0),
IF('TL06'!$B$3=O$3,SUMIF('TL06'!$C$10:$C$224,$C182,'TL06'!$J$10:$J$224),0),
IF('TL06'!$B$229=O$3,SUMIF('TL06'!$C$238:$C$451,$C182,'TL06'!$J$238:$J$451),0),
IF('TL07'!$B$3=O$3,SUMIF('TL07'!$C$10:$C$224,$C182,'TL07'!$J$10:$J$224),0),
IF('TL07'!$B$229=O$3,SUMIF('TL07'!$C$238:$C$451,$C182,'TL07'!$J$238:$J$451),0),
IF('TL08'!$B$3=O$3,SUMIF('TL08'!$C$10:$C$224,$C182,'TL08'!$J$10:$J$224),0),
IF('TL08'!$B$229=O$3,SUMIF('TL08'!$C$238:$C$451,$C182,'TL08'!$J$238:$J$451),0),
IF('TL09'!$B$3=O$3,SUMIF('TL09'!$C$10:$C$224,$C182,'TL09'!$J$10:$J$224),0),
IF('TL09'!$B$229=O$3,SUMIF('TL09'!$C$238:$C$451,$C182,'TL09'!$J$238:$J$451),0),
IF('TL10'!$B$3=O$3,SUMIF('TL10'!$C$10:$C$224,$C182,'TL10'!$J$10:$J$224),0),
IF('TL10'!$B$229=O$3,SUMIF('TL10'!$C$238:$C$451,$C182,'TL10'!$J$238:$J$451),0),
IF('TL11'!$B$3=O$3,SUMIF('TL11'!$C$10:$C$224,$C182,'TL11'!$J$10:$J$224),0),
IF('TL11'!$B$229=O$3,SUMIF('TL11'!$C$238:$C$451,$C182,'TL11'!$J$238:$J$451),0),
IF('TL12'!$B$3=O$3,SUMIF('TL12'!$C$10:$C$224,$C182,'TL12'!$J$10:$J$224),0),
IF('TL12'!$B$229=O$3,SUMIF('TL12'!$C$238:$C$451,$C182,'TL12'!$J$238:$J$451),0),
IF('TL13'!$B$3=O$3,SUMIF('TL13'!$C$10:$C$224,$C182,'TL13'!$J$10:$J$224),0),
IF('TL13'!$B$229=O$3,SUMIF('TL13'!$C$238:$C$451,$C182,'TL13'!$J$238:$J$451),0),
IF('TL14'!$B$3=O$3,SUMIF('TL14'!$C$10:$C$224,$C182,'TL14'!$J$10:$J$224),0),
IF('TL14'!$B$229=O$3,SUMIF('TL14'!$C$238:$C$451,$C182,'TL14'!$J$238:$J$451),0),
IF('TL15'!$B$3=O$3,SUMIF('TL15'!$C$10:$C$224,$C182,'TL15'!$J$10:$J$224),0),
IF('TL15'!$B$229=O$3,SUMIF('TL15'!$C$238:$C$451,$C182,'TL15'!$J$238:$J$451),0),
IF('TL16'!$B$3=O$3,SUMIF('TL16'!$C$10:$C$224,$C182,'TL16'!$J$10:$J$224),0),
IF('TL16'!$B$229=O$3,SUMIF('TL16'!$C$238:$C$451,$C182,'TL16'!$J$238:$J$451),0),
IF('TL17'!$B$3=O$3,SUMIF('TL17'!$C$10:$C$224,$C182,'TL17'!$J$10:$J$224),0),
IF('TL17'!$B$229=O$3,SUMIF('TL17'!$C$238:$C$451,$C182,'TL17'!$J$238:$J$451),0),
IF('TL18'!$B$3=O$3,SUMIF('TL18'!$C$10:$C$224,$C182,'TL18'!$J$10:$J$224),0),
IF('TL18'!$B$229=O$3,SUMIF('TL18'!$C$238:$C$451,$C182,'TL18'!$J$238:$J$451),0),
IF('TL19'!$B$3=O$3,SUMIF('TL19'!$C$10:$C$224,$C182,'TL19'!$J$10:$J$224),0),
IF('TL19'!$B$229=O$3,SUMIF('TL19'!$C$238:$C$451,$C182,'TL19'!$J$238:$J$451),0)
),0)</f>
        <v/>
      </c>
      <c r="P182" s="9">
        <f>IFERROR(SUM(
IF('TL01'!$B$3=P$3,SUMIF('TL01'!$C$10:$C$224,$C182,'TL01'!$J$10:$J$224),0),
IF('TL01'!$B$229=P$3,SUMIF('TL01'!$C$238:$C$451,$C182,'TL01'!$J$238:$J$451),0),
IF('TL02'!$B$3=P$3,SUMIF('TL02'!$C$10:$C$224,$C182,'TL02'!$J$10:$J$224),0),
IF('TL02'!$B$229=P$3,SUMIF('TL02'!$C$238:$C$451,$C182,'TL02'!$J$238:$J$451),0),
IF('TL03'!$B$3=P$3,SUMIF('TL03'!$C$10:$C$224,$C182,'TL03'!$J$10:$J$224),0),
IF('TL03'!$B$229=P$3,SUMIF('TL03'!$C$238:$C$451,$C182,'TL03'!$J$238:$J$451),0),
IF('TL04'!$B$3=P$3,SUMIF('TL04'!$C$10:$C$224,$C182,'TL04'!$J$10:$J$224),0),
IF('TL04'!$B$229=P$3,SUMIF('TL04'!$C$238:$C$451,$C182,'TL04'!$J$238:$J$451),0),
IF('TL05'!$B$3=P$3,SUMIF('TL05'!$C$10:$C$224,$C182,'TL05'!$J$10:$J$224),0),
IF('TL05'!$B$229=P$3,SUMIF('TL05'!$C$238:$C$451,$C182,'TL05'!$J$238:$J$451),0),
IF('TL06'!$B$3=P$3,SUMIF('TL06'!$C$10:$C$224,$C182,'TL06'!$J$10:$J$224),0),
IF('TL06'!$B$229=P$3,SUMIF('TL06'!$C$238:$C$451,$C182,'TL06'!$J$238:$J$451),0),
IF('TL07'!$B$3=P$3,SUMIF('TL07'!$C$10:$C$224,$C182,'TL07'!$J$10:$J$224),0),
IF('TL07'!$B$229=P$3,SUMIF('TL07'!$C$238:$C$451,$C182,'TL07'!$J$238:$J$451),0),
IF('TL08'!$B$3=P$3,SUMIF('TL08'!$C$10:$C$224,$C182,'TL08'!$J$10:$J$224),0),
IF('TL08'!$B$229=P$3,SUMIF('TL08'!$C$238:$C$451,$C182,'TL08'!$J$238:$J$451),0),
IF('TL09'!$B$3=P$3,SUMIF('TL09'!$C$10:$C$224,$C182,'TL09'!$J$10:$J$224),0),
IF('TL09'!$B$229=P$3,SUMIF('TL09'!$C$238:$C$451,$C182,'TL09'!$J$238:$J$451),0),
IF('TL10'!$B$3=P$3,SUMIF('TL10'!$C$10:$C$224,$C182,'TL10'!$J$10:$J$224),0),
IF('TL10'!$B$229=P$3,SUMIF('TL10'!$C$238:$C$451,$C182,'TL10'!$J$238:$J$451),0),
IF('TL11'!$B$3=P$3,SUMIF('TL11'!$C$10:$C$224,$C182,'TL11'!$J$10:$J$224),0),
IF('TL11'!$B$229=P$3,SUMIF('TL11'!$C$238:$C$451,$C182,'TL11'!$J$238:$J$451),0),
IF('TL12'!$B$3=P$3,SUMIF('TL12'!$C$10:$C$224,$C182,'TL12'!$J$10:$J$224),0),
IF('TL12'!$B$229=P$3,SUMIF('TL12'!$C$238:$C$451,$C182,'TL12'!$J$238:$J$451),0),
IF('TL13'!$B$3=P$3,SUMIF('TL13'!$C$10:$C$224,$C182,'TL13'!$J$10:$J$224),0),
IF('TL13'!$B$229=P$3,SUMIF('TL13'!$C$238:$C$451,$C182,'TL13'!$J$238:$J$451),0),
IF('TL14'!$B$3=P$3,SUMIF('TL14'!$C$10:$C$224,$C182,'TL14'!$J$10:$J$224),0),
IF('TL14'!$B$229=P$3,SUMIF('TL14'!$C$238:$C$451,$C182,'TL14'!$J$238:$J$451),0),
IF('TL15'!$B$3=P$3,SUMIF('TL15'!$C$10:$C$224,$C182,'TL15'!$J$10:$J$224),0),
IF('TL15'!$B$229=P$3,SUMIF('TL15'!$C$238:$C$451,$C182,'TL15'!$J$238:$J$451),0),
IF('TL16'!$B$3=P$3,SUMIF('TL16'!$C$10:$C$224,$C182,'TL16'!$J$10:$J$224),0),
IF('TL16'!$B$229=P$3,SUMIF('TL16'!$C$238:$C$451,$C182,'TL16'!$J$238:$J$451),0),
IF('TL17'!$B$3=P$3,SUMIF('TL17'!$C$10:$C$224,$C182,'TL17'!$J$10:$J$224),0),
IF('TL17'!$B$229=P$3,SUMIF('TL17'!$C$238:$C$451,$C182,'TL17'!$J$238:$J$451),0),
IF('TL18'!$B$3=P$3,SUMIF('TL18'!$C$10:$C$224,$C182,'TL18'!$J$10:$J$224),0),
IF('TL18'!$B$229=P$3,SUMIF('TL18'!$C$238:$C$451,$C182,'TL18'!$J$238:$J$451),0),
IF('TL19'!$B$3=P$3,SUMIF('TL19'!$C$10:$C$224,$C182,'TL19'!$J$10:$J$224),0),
IF('TL19'!$B$229=P$3,SUMIF('TL19'!$C$238:$C$451,$C182,'TL19'!$J$238:$J$451),0)
),0)</f>
        <v/>
      </c>
      <c r="Q182" s="9">
        <f>IFERROR(SUM(
IF('TL01'!$B$3=Q$3,SUMIF('TL01'!$C$10:$C$224,$C182,'TL01'!$J$10:$J$224),0),
IF('TL01'!$B$229=Q$3,SUMIF('TL01'!$C$238:$C$451,$C182,'TL01'!$J$238:$J$451),0),
IF('TL02'!$B$3=Q$3,SUMIF('TL02'!$C$10:$C$224,$C182,'TL02'!$J$10:$J$224),0),
IF('TL02'!$B$229=Q$3,SUMIF('TL02'!$C$238:$C$451,$C182,'TL02'!$J$238:$J$451),0),
IF('TL03'!$B$3=Q$3,SUMIF('TL03'!$C$10:$C$224,$C182,'TL03'!$J$10:$J$224),0),
IF('TL03'!$B$229=Q$3,SUMIF('TL03'!$C$238:$C$451,$C182,'TL03'!$J$238:$J$451),0),
IF('TL04'!$B$3=Q$3,SUMIF('TL04'!$C$10:$C$224,$C182,'TL04'!$J$10:$J$224),0),
IF('TL04'!$B$229=Q$3,SUMIF('TL04'!$C$238:$C$451,$C182,'TL04'!$J$238:$J$451),0),
IF('TL05'!$B$3=Q$3,SUMIF('TL05'!$C$10:$C$224,$C182,'TL05'!$J$10:$J$224),0),
IF('TL05'!$B$229=Q$3,SUMIF('TL05'!$C$238:$C$451,$C182,'TL05'!$J$238:$J$451),0),
IF('TL06'!$B$3=Q$3,SUMIF('TL06'!$C$10:$C$224,$C182,'TL06'!$J$10:$J$224),0),
IF('TL06'!$B$229=Q$3,SUMIF('TL06'!$C$238:$C$451,$C182,'TL06'!$J$238:$J$451),0),
IF('TL07'!$B$3=Q$3,SUMIF('TL07'!$C$10:$C$224,$C182,'TL07'!$J$10:$J$224),0),
IF('TL07'!$B$229=Q$3,SUMIF('TL07'!$C$238:$C$451,$C182,'TL07'!$J$238:$J$451),0),
IF('TL08'!$B$3=Q$3,SUMIF('TL08'!$C$10:$C$224,$C182,'TL08'!$J$10:$J$224),0),
IF('TL08'!$B$229=Q$3,SUMIF('TL08'!$C$238:$C$451,$C182,'TL08'!$J$238:$J$451),0),
IF('TL09'!$B$3=Q$3,SUMIF('TL09'!$C$10:$C$224,$C182,'TL09'!$J$10:$J$224),0),
IF('TL09'!$B$229=Q$3,SUMIF('TL09'!$C$238:$C$451,$C182,'TL09'!$J$238:$J$451),0),
IF('TL10'!$B$3=Q$3,SUMIF('TL10'!$C$10:$C$224,$C182,'TL10'!$J$10:$J$224),0),
IF('TL10'!$B$229=Q$3,SUMIF('TL10'!$C$238:$C$451,$C182,'TL10'!$J$238:$J$451),0),
IF('TL11'!$B$3=Q$3,SUMIF('TL11'!$C$10:$C$224,$C182,'TL11'!$J$10:$J$224),0),
IF('TL11'!$B$229=Q$3,SUMIF('TL11'!$C$238:$C$451,$C182,'TL11'!$J$238:$J$451),0),
IF('TL12'!$B$3=Q$3,SUMIF('TL12'!$C$10:$C$224,$C182,'TL12'!$J$10:$J$224),0),
IF('TL12'!$B$229=Q$3,SUMIF('TL12'!$C$238:$C$451,$C182,'TL12'!$J$238:$J$451),0),
IF('TL13'!$B$3=Q$3,SUMIF('TL13'!$C$10:$C$224,$C182,'TL13'!$J$10:$J$224),0),
IF('TL13'!$B$229=Q$3,SUMIF('TL13'!$C$238:$C$451,$C182,'TL13'!$J$238:$J$451),0),
IF('TL14'!$B$3=Q$3,SUMIF('TL14'!$C$10:$C$224,$C182,'TL14'!$J$10:$J$224),0),
IF('TL14'!$B$229=Q$3,SUMIF('TL14'!$C$238:$C$451,$C182,'TL14'!$J$238:$J$451),0),
IF('TL15'!$B$3=Q$3,SUMIF('TL15'!$C$10:$C$224,$C182,'TL15'!$J$10:$J$224),0),
IF('TL15'!$B$229=Q$3,SUMIF('TL15'!$C$238:$C$451,$C182,'TL15'!$J$238:$J$451),0),
IF('TL16'!$B$3=Q$3,SUMIF('TL16'!$C$10:$C$224,$C182,'TL16'!$J$10:$J$224),0),
IF('TL16'!$B$229=Q$3,SUMIF('TL16'!$C$238:$C$451,$C182,'TL16'!$J$238:$J$451),0),
IF('TL17'!$B$3=Q$3,SUMIF('TL17'!$C$10:$C$224,$C182,'TL17'!$J$10:$J$224),0),
IF('TL17'!$B$229=Q$3,SUMIF('TL17'!$C$238:$C$451,$C182,'TL17'!$J$238:$J$451),0),
IF('TL18'!$B$3=Q$3,SUMIF('TL18'!$C$10:$C$224,$C182,'TL18'!$J$10:$J$224),0),
IF('TL18'!$B$229=Q$3,SUMIF('TL18'!$C$238:$C$451,$C182,'TL18'!$J$238:$J$451),0),
IF('TL19'!$B$3=Q$3,SUMIF('TL19'!$C$10:$C$224,$C182,'TL19'!$J$10:$J$224),0),
IF('TL19'!$B$229=Q$3,SUMIF('TL19'!$C$238:$C$451,$C182,'TL19'!$J$238:$J$451),0)
),0)</f>
        <v/>
      </c>
      <c r="R182" s="9">
        <f>IFERROR(
SUM(
SUMIF('TL01'!C:C,C182,'TL01'!J:J),
SUMIF('TL02'!C:C,C182,'TL02'!J:J),
SUMIF('TL03'!C:C,C182,'TL03'!J:J),
SUMIF('TL04'!C:C,C182,'TL04'!J:J),
SUMIF('TL05'!C:C,C182,'TL05'!J:J),
SUMIF('TL06'!C:C,C182,'TL06'!J:J),
SUMIF('TL07'!C:C,C182,'TL07'!J:J),
SUMIF('TL08'!C:C,C182,'TL08'!J:J),
SUMIF('TL09'!C:C,C182,'TL09'!J:J),
SUMIF('TL10'!C:C,C182,'TL10'!J:J),
SUMIF('TL11'!C:C,C182,'TL11'!J:J),
SUMIF('TL12'!C:C,C182,'TL12'!J:J),
SUMIF('TL13'!C:C,C182,'TL13'!J:J),
SUMIF('TL14'!C:C,C182,'TL14'!J:J),
SUMIF('TL15'!C:C,C182,'TL15'!J:J),
SUMIF('TL16'!C:C,C182,'TL16'!J:J),
SUMIF('TL17'!C:C,C182,'TL17'!J:J),
SUMIF('TL18'!C:C,C182,'TL18'!J:J),SUMIF('TL19'!C:C,C182,'TL19'!J:J))
,0)</f>
        <v/>
      </c>
      <c r="S182" s="17">
        <f>IFERROR(__xludf.DUMMYFUNCTION("IFERROR(VLOOKUP(C182,
IMPORTRANGE(""1wULbzX32WdYsx-lj2U3uUNBBe2INVIRDtcK0d-Dvl90"",
""26-27!C:G""),
5,
FALSE),
"""")"),90.17729999999999)</f>
        <v/>
      </c>
      <c r="T182" s="9" t="n"/>
      <c r="U182" s="92">
        <f>MAX(0,R182-T182)</f>
        <v/>
      </c>
      <c r="V182" s="93">
        <f>U182*S182</f>
        <v/>
      </c>
    </row>
    <row r="183" hidden="1" ht="15.75" customHeight="1" s="297">
      <c r="A183" s="94" t="inlineStr">
        <is>
          <t>BAYER</t>
        </is>
      </c>
      <c r="B183" s="95" t="inlineStr">
        <is>
          <t>INSETICIDA</t>
        </is>
      </c>
      <c r="C183" s="96" t="inlineStr">
        <is>
          <t>CERTERO</t>
        </is>
      </c>
      <c r="D183" s="96" t="inlineStr">
        <is>
          <t>TRIFLUMUROM</t>
        </is>
      </c>
      <c r="E183" s="96" t="n">
        <v>480</v>
      </c>
      <c r="F183" s="4" t="inlineStr">
        <is>
          <t>L</t>
        </is>
      </c>
      <c r="G183" s="90">
        <f>HYPERLINK("https://www.google.com/search?q=" &amp; C183 &amp; "+bula+agrofit+pdf", "📄 Ver bula")</f>
        <v/>
      </c>
      <c r="H183" s="9">
        <f>IFERROR(__xludf.DUMMYFUNCTION("IFERROR(VLOOKUP(C183,
IMPORTRANGE(""1wULbzX32WdYsx-lj2U3uUNBBe2INVIRDtcK0d-Dvl90"",
""26-27!C:K""),
8,
FALSE),
"""")"),0.2)</f>
        <v/>
      </c>
      <c r="I183" s="97" t="inlineStr">
        <is>
          <t>4X5</t>
        </is>
      </c>
      <c r="J183" s="9">
        <f>IFERROR(SUM(
IF('TL01'!$B$3=J$3,SUMIF('TL01'!$C$10:$C$224,$C183,'TL01'!$J$10:$J$224),0),
IF('TL01'!$B$229=J$3,SUMIF('TL01'!$C$238:$C$451,$C183,'TL01'!$J$238:$J$451),0),
IF('TL02'!$B$3=J$3,SUMIF('TL02'!$C$10:$C$224,$C183,'TL02'!$J$10:$J$224),0),
IF('TL02'!$B$229=J$3,SUMIF('TL02'!$C$238:$C$451,$C183,'TL02'!$J$238:$J$451),0),
IF('TL03'!$B$3=J$3,SUMIF('TL03'!$C$10:$C$224,$C183,'TL03'!$J$10:$J$224),0),
IF('TL03'!$B$229=J$3,SUMIF('TL03'!$C$238:$C$451,$C183,'TL03'!$J$238:$J$451),0),
IF('TL04'!$B$3=J$3,SUMIF('TL04'!$C$10:$C$224,$C183,'TL04'!$J$10:$J$224),0),
IF('TL04'!$B$229=J$3,SUMIF('TL04'!$C$238:$C$451,$C183,'TL04'!$J$238:$J$451),0),
IF('TL05'!$B$3=J$3,SUMIF('TL05'!$C$10:$C$224,$C183,'TL05'!$J$10:$J$224),0),
IF('TL05'!$B$229=J$3,SUMIF('TL05'!$C$238:$C$451,$C183,'TL05'!$J$238:$J$451),0),
IF('TL06'!$B$3=J$3,SUMIF('TL06'!$C$10:$C$224,$C183,'TL06'!$J$10:$J$224),0),
IF('TL06'!$B$229=J$3,SUMIF('TL06'!$C$238:$C$451,$C183,'TL06'!$J$238:$J$451),0),
IF('TL07'!$B$3=J$3,SUMIF('TL07'!$C$10:$C$224,$C183,'TL07'!$J$10:$J$224),0),
IF('TL07'!$B$229=J$3,SUMIF('TL07'!$C$238:$C$451,$C183,'TL07'!$J$238:$J$451),0),
IF('TL08'!$B$3=J$3,SUMIF('TL08'!$C$10:$C$224,$C183,'TL08'!$J$10:$J$224),0),
IF('TL08'!$B$229=J$3,SUMIF('TL08'!$C$238:$C$451,$C183,'TL08'!$J$238:$J$451),0),
IF('TL09'!$B$3=J$3,SUMIF('TL09'!$C$10:$C$224,$C183,'TL09'!$J$10:$J$224),0),
IF('TL09'!$B$229=J$3,SUMIF('TL09'!$C$238:$C$451,$C183,'TL09'!$J$238:$J$451),0),
IF('TL10'!$B$3=J$3,SUMIF('TL10'!$C$10:$C$224,$C183,'TL10'!$J$10:$J$224),0),
IF('TL10'!$B$229=J$3,SUMIF('TL10'!$C$238:$C$451,$C183,'TL10'!$J$238:$J$451),0),
IF('TL11'!$B$3=J$3,SUMIF('TL11'!$C$10:$C$224,$C183,'TL11'!$J$10:$J$224),0),
IF('TL11'!$B$229=J$3,SUMIF('TL11'!$C$238:$C$451,$C183,'TL11'!$J$238:$J$451),0),
IF('TL12'!$B$3=J$3,SUMIF('TL12'!$C$10:$C$224,$C183,'TL12'!$J$10:$J$224),0),
IF('TL12'!$B$229=J$3,SUMIF('TL12'!$C$238:$C$451,$C183,'TL12'!$J$238:$J$451),0),
IF('TL13'!$B$3=J$3,SUMIF('TL13'!$C$10:$C$224,$C183,'TL13'!$J$10:$J$224),0),
IF('TL13'!$B$229=J$3,SUMIF('TL13'!$C$238:$C$451,$C183,'TL13'!$J$238:$J$451),0),
IF('TL14'!$B$3=J$3,SUMIF('TL14'!$C$10:$C$224,$C183,'TL14'!$J$10:$J$224),0),
IF('TL14'!$B$229=J$3,SUMIF('TL14'!$C$238:$C$451,$C183,'TL14'!$J$238:$J$451),0),
IF('TL15'!$B$3=J$3,SUMIF('TL15'!$C$10:$C$224,$C183,'TL15'!$J$10:$J$224),0),
IF('TL15'!$B$229=J$3,SUMIF('TL15'!$C$238:$C$451,$C183,'TL15'!$J$238:$J$451),0),
IF('TL16'!$B$3=J$3,SUMIF('TL16'!$C$10:$C$224,$C183,'TL16'!$J$10:$J$224),0),
IF('TL16'!$B$229=J$3,SUMIF('TL16'!$C$238:$C$451,$C183,'TL16'!$J$238:$J$451),0),
IF('TL17'!$B$3=J$3,SUMIF('TL17'!$C$10:$C$224,$C183,'TL17'!$J$10:$J$224),0),
IF('TL17'!$B$229=J$3,SUMIF('TL17'!$C$238:$C$451,$C183,'TL17'!$J$238:$J$451),0),
IF('TL18'!$B$3=J$3,SUMIF('TL18'!$C$10:$C$224,$C183,'TL18'!$J$10:$J$224),0),
IF('TL18'!$B$229=J$3,SUMIF('TL18'!$C$238:$C$451,$C183,'TL18'!$J$238:$J$451),0),
IF('TL19'!$B$3=J$3,SUMIF('TL19'!$C$10:$C$224,$C183,'TL19'!$J$10:$J$224),0),
IF('TL19'!$B$229=J$3,SUMIF('TL19'!$C$238:$C$451,$C183,'TL19'!$J$238:$J$451),0)
),0)</f>
        <v/>
      </c>
      <c r="K183" s="9">
        <f>IFERROR(SUM(
IF('TL01'!$B$3=K$3,SUMIF('TL01'!$C$10:$C$224,$C183,'TL01'!$J$10:$J$224),0),
IF('TL01'!$B$229=K$3,SUMIF('TL01'!$C$238:$C$451,$C183,'TL01'!$J$238:$J$451),0),
IF('TL02'!$B$3=K$3,SUMIF('TL02'!$C$10:$C$224,$C183,'TL02'!$J$10:$J$224),0),
IF('TL02'!$B$229=K$3,SUMIF('TL02'!$C$238:$C$451,$C183,'TL02'!$J$238:$J$451),0),
IF('TL03'!$B$3=K$3,SUMIF('TL03'!$C$10:$C$224,$C183,'TL03'!$J$10:$J$224),0),
IF('TL03'!$B$229=K$3,SUMIF('TL03'!$C$238:$C$451,$C183,'TL03'!$J$238:$J$451),0),
IF('TL04'!$B$3=K$3,SUMIF('TL04'!$C$10:$C$224,$C183,'TL04'!$J$10:$J$224),0),
IF('TL04'!$B$229=K$3,SUMIF('TL04'!$C$238:$C$451,$C183,'TL04'!$J$238:$J$451),0),
IF('TL05'!$B$3=K$3,SUMIF('TL05'!$C$10:$C$224,$C183,'TL05'!$J$10:$J$224),0),
IF('TL05'!$B$229=K$3,SUMIF('TL05'!$C$238:$C$451,$C183,'TL05'!$J$238:$J$451),0),
IF('TL06'!$B$3=K$3,SUMIF('TL06'!$C$10:$C$224,$C183,'TL06'!$J$10:$J$224),0),
IF('TL06'!$B$229=K$3,SUMIF('TL06'!$C$238:$C$451,$C183,'TL06'!$J$238:$J$451),0),
IF('TL07'!$B$3=K$3,SUMIF('TL07'!$C$10:$C$224,$C183,'TL07'!$J$10:$J$224),0),
IF('TL07'!$B$229=K$3,SUMIF('TL07'!$C$238:$C$451,$C183,'TL07'!$J$238:$J$451),0),
IF('TL08'!$B$3=K$3,SUMIF('TL08'!$C$10:$C$224,$C183,'TL08'!$J$10:$J$224),0),
IF('TL08'!$B$229=K$3,SUMIF('TL08'!$C$238:$C$451,$C183,'TL08'!$J$238:$J$451),0),
IF('TL09'!$B$3=K$3,SUMIF('TL09'!$C$10:$C$224,$C183,'TL09'!$J$10:$J$224),0),
IF('TL09'!$B$229=K$3,SUMIF('TL09'!$C$238:$C$451,$C183,'TL09'!$J$238:$J$451),0),
IF('TL10'!$B$3=K$3,SUMIF('TL10'!$C$10:$C$224,$C183,'TL10'!$J$10:$J$224),0),
IF('TL10'!$B$229=K$3,SUMIF('TL10'!$C$238:$C$451,$C183,'TL10'!$J$238:$J$451),0),
IF('TL11'!$B$3=K$3,SUMIF('TL11'!$C$10:$C$224,$C183,'TL11'!$J$10:$J$224),0),
IF('TL11'!$B$229=K$3,SUMIF('TL11'!$C$238:$C$451,$C183,'TL11'!$J$238:$J$451),0),
IF('TL12'!$B$3=K$3,SUMIF('TL12'!$C$10:$C$224,$C183,'TL12'!$J$10:$J$224),0),
IF('TL12'!$B$229=K$3,SUMIF('TL12'!$C$238:$C$451,$C183,'TL12'!$J$238:$J$451),0),
IF('TL13'!$B$3=K$3,SUMIF('TL13'!$C$10:$C$224,$C183,'TL13'!$J$10:$J$224),0),
IF('TL13'!$B$229=K$3,SUMIF('TL13'!$C$238:$C$451,$C183,'TL13'!$J$238:$J$451),0),
IF('TL14'!$B$3=K$3,SUMIF('TL14'!$C$10:$C$224,$C183,'TL14'!$J$10:$J$224),0),
IF('TL14'!$B$229=K$3,SUMIF('TL14'!$C$238:$C$451,$C183,'TL14'!$J$238:$J$451),0),
IF('TL15'!$B$3=K$3,SUMIF('TL15'!$C$10:$C$224,$C183,'TL15'!$J$10:$J$224),0),
IF('TL15'!$B$229=K$3,SUMIF('TL15'!$C$238:$C$451,$C183,'TL15'!$J$238:$J$451),0),
IF('TL16'!$B$3=K$3,SUMIF('TL16'!$C$10:$C$224,$C183,'TL16'!$J$10:$J$224),0),
IF('TL16'!$B$229=K$3,SUMIF('TL16'!$C$238:$C$451,$C183,'TL16'!$J$238:$J$451),0),
IF('TL17'!$B$3=K$3,SUMIF('TL17'!$C$10:$C$224,$C183,'TL17'!$J$10:$J$224),0),
IF('TL17'!$B$229=K$3,SUMIF('TL17'!$C$238:$C$451,$C183,'TL17'!$J$238:$J$451),0),
IF('TL18'!$B$3=K$3,SUMIF('TL18'!$C$10:$C$224,$C183,'TL18'!$J$10:$J$224),0),
IF('TL18'!$B$229=K$3,SUMIF('TL18'!$C$238:$C$451,$C183,'TL18'!$J$238:$J$451),0),
IF('TL19'!$B$3=K$3,SUMIF('TL19'!$C$10:$C$224,$C183,'TL19'!$J$10:$J$224),0),
IF('TL19'!$B$229=K$3,SUMIF('TL19'!$C$238:$C$451,$C183,'TL19'!$J$238:$J$451),0)
),0)</f>
        <v/>
      </c>
      <c r="L183" s="9">
        <f>IFERROR(SUM(
IF('TL01'!$B$3=L$3,SUMIF('TL01'!$C$10:$C$224,$C183,'TL01'!$J$10:$J$224),0),
IF('TL01'!$B$229=L$3,SUMIF('TL01'!$C$238:$C$451,$C183,'TL01'!$J$238:$J$451),0),
IF('TL02'!$B$3=L$3,SUMIF('TL02'!$C$10:$C$224,$C183,'TL02'!$J$10:$J$224),0),
IF('TL02'!$B$229=L$3,SUMIF('TL02'!$C$238:$C$451,$C183,'TL02'!$J$238:$J$451),0),
IF('TL03'!$B$3=L$3,SUMIF('TL03'!$C$10:$C$224,$C183,'TL03'!$J$10:$J$224),0),
IF('TL03'!$B$229=L$3,SUMIF('TL03'!$C$238:$C$451,$C183,'TL03'!$J$238:$J$451),0),
IF('TL04'!$B$3=L$3,SUMIF('TL04'!$C$10:$C$224,$C183,'TL04'!$J$10:$J$224),0),
IF('TL04'!$B$229=L$3,SUMIF('TL04'!$C$238:$C$451,$C183,'TL04'!$J$238:$J$451),0),
IF('TL05'!$B$3=L$3,SUMIF('TL05'!$C$10:$C$224,$C183,'TL05'!$J$10:$J$224),0),
IF('TL05'!$B$229=L$3,SUMIF('TL05'!$C$238:$C$451,$C183,'TL05'!$J$238:$J$451),0),
IF('TL06'!$B$3=L$3,SUMIF('TL06'!$C$10:$C$224,$C183,'TL06'!$J$10:$J$224),0),
IF('TL06'!$B$229=L$3,SUMIF('TL06'!$C$238:$C$451,$C183,'TL06'!$J$238:$J$451),0),
IF('TL07'!$B$3=L$3,SUMIF('TL07'!$C$10:$C$224,$C183,'TL07'!$J$10:$J$224),0),
IF('TL07'!$B$229=L$3,SUMIF('TL07'!$C$238:$C$451,$C183,'TL07'!$J$238:$J$451),0),
IF('TL08'!$B$3=L$3,SUMIF('TL08'!$C$10:$C$224,$C183,'TL08'!$J$10:$J$224),0),
IF('TL08'!$B$229=L$3,SUMIF('TL08'!$C$238:$C$451,$C183,'TL08'!$J$238:$J$451),0),
IF('TL09'!$B$3=L$3,SUMIF('TL09'!$C$10:$C$224,$C183,'TL09'!$J$10:$J$224),0),
IF('TL09'!$B$229=L$3,SUMIF('TL09'!$C$238:$C$451,$C183,'TL09'!$J$238:$J$451),0),
IF('TL10'!$B$3=L$3,SUMIF('TL10'!$C$10:$C$224,$C183,'TL10'!$J$10:$J$224),0),
IF('TL10'!$B$229=L$3,SUMIF('TL10'!$C$238:$C$451,$C183,'TL10'!$J$238:$J$451),0),
IF('TL11'!$B$3=L$3,SUMIF('TL11'!$C$10:$C$224,$C183,'TL11'!$J$10:$J$224),0),
IF('TL11'!$B$229=L$3,SUMIF('TL11'!$C$238:$C$451,$C183,'TL11'!$J$238:$J$451),0),
IF('TL12'!$B$3=L$3,SUMIF('TL12'!$C$10:$C$224,$C183,'TL12'!$J$10:$J$224),0),
IF('TL12'!$B$229=L$3,SUMIF('TL12'!$C$238:$C$451,$C183,'TL12'!$J$238:$J$451),0),
IF('TL13'!$B$3=L$3,SUMIF('TL13'!$C$10:$C$224,$C183,'TL13'!$J$10:$J$224),0),
IF('TL13'!$B$229=L$3,SUMIF('TL13'!$C$238:$C$451,$C183,'TL13'!$J$238:$J$451),0),
IF('TL14'!$B$3=L$3,SUMIF('TL14'!$C$10:$C$224,$C183,'TL14'!$J$10:$J$224),0),
IF('TL14'!$B$229=L$3,SUMIF('TL14'!$C$238:$C$451,$C183,'TL14'!$J$238:$J$451),0),
IF('TL15'!$B$3=L$3,SUMIF('TL15'!$C$10:$C$224,$C183,'TL15'!$J$10:$J$224),0),
IF('TL15'!$B$229=L$3,SUMIF('TL15'!$C$238:$C$451,$C183,'TL15'!$J$238:$J$451),0),
IF('TL16'!$B$3=L$3,SUMIF('TL16'!$C$10:$C$224,$C183,'TL16'!$J$10:$J$224),0),
IF('TL16'!$B$229=L$3,SUMIF('TL16'!$C$238:$C$451,$C183,'TL16'!$J$238:$J$451),0),
IF('TL17'!$B$3=L$3,SUMIF('TL17'!$C$10:$C$224,$C183,'TL17'!$J$10:$J$224),0),
IF('TL17'!$B$229=L$3,SUMIF('TL17'!$C$238:$C$451,$C183,'TL17'!$J$238:$J$451),0),
IF('TL18'!$B$3=L$3,SUMIF('TL18'!$C$10:$C$224,$C183,'TL18'!$J$10:$J$224),0),
IF('TL18'!$B$229=L$3,SUMIF('TL18'!$C$238:$C$451,$C183,'TL18'!$J$238:$J$451),0),
IF('TL19'!$B$3=L$3,SUMIF('TL19'!$C$10:$C$224,$C183,'TL19'!$J$10:$J$224),0),
IF('TL19'!$B$229=L$3,SUMIF('TL19'!$C$238:$C$451,$C183,'TL19'!$J$238:$J$451),0)
),0)</f>
        <v/>
      </c>
      <c r="M183" s="9">
        <f>IFERROR(SUM(
IF('TL01'!$B$3=M$3,SUMIF('TL01'!$C$10:$C$224,$C183,'TL01'!$J$10:$J$224),0),
IF('TL01'!$B$229=M$3,SUMIF('TL01'!$C$238:$C$451,$C183,'TL01'!$J$238:$J$451),0),
IF('TL02'!$B$3=M$3,SUMIF('TL02'!$C$10:$C$224,$C183,'TL02'!$J$10:$J$224),0),
IF('TL02'!$B$229=M$3,SUMIF('TL02'!$C$238:$C$451,$C183,'TL02'!$J$238:$J$451),0),
IF('TL03'!$B$3=M$3,SUMIF('TL03'!$C$10:$C$224,$C183,'TL03'!$J$10:$J$224),0),
IF('TL03'!$B$229=M$3,SUMIF('TL03'!$C$238:$C$451,$C183,'TL03'!$J$238:$J$451),0),
IF('TL04'!$B$3=M$3,SUMIF('TL04'!$C$10:$C$224,$C183,'TL04'!$J$10:$J$224),0),
IF('TL04'!$B$229=M$3,SUMIF('TL04'!$C$238:$C$451,$C183,'TL04'!$J$238:$J$451),0),
IF('TL05'!$B$3=M$3,SUMIF('TL05'!$C$10:$C$224,$C183,'TL05'!$J$10:$J$224),0),
IF('TL05'!$B$229=M$3,SUMIF('TL05'!$C$238:$C$451,$C183,'TL05'!$J$238:$J$451),0),
IF('TL06'!$B$3=M$3,SUMIF('TL06'!$C$10:$C$224,$C183,'TL06'!$J$10:$J$224),0),
IF('TL06'!$B$229=M$3,SUMIF('TL06'!$C$238:$C$451,$C183,'TL06'!$J$238:$J$451),0),
IF('TL07'!$B$3=M$3,SUMIF('TL07'!$C$10:$C$224,$C183,'TL07'!$J$10:$J$224),0),
IF('TL07'!$B$229=M$3,SUMIF('TL07'!$C$238:$C$451,$C183,'TL07'!$J$238:$J$451),0),
IF('TL08'!$B$3=M$3,SUMIF('TL08'!$C$10:$C$224,$C183,'TL08'!$J$10:$J$224),0),
IF('TL08'!$B$229=M$3,SUMIF('TL08'!$C$238:$C$451,$C183,'TL08'!$J$238:$J$451),0),
IF('TL09'!$B$3=M$3,SUMIF('TL09'!$C$10:$C$224,$C183,'TL09'!$J$10:$J$224),0),
IF('TL09'!$B$229=M$3,SUMIF('TL09'!$C$238:$C$451,$C183,'TL09'!$J$238:$J$451),0),
IF('TL10'!$B$3=M$3,SUMIF('TL10'!$C$10:$C$224,$C183,'TL10'!$J$10:$J$224),0),
IF('TL10'!$B$229=M$3,SUMIF('TL10'!$C$238:$C$451,$C183,'TL10'!$J$238:$J$451),0),
IF('TL11'!$B$3=M$3,SUMIF('TL11'!$C$10:$C$224,$C183,'TL11'!$J$10:$J$224),0),
IF('TL11'!$B$229=M$3,SUMIF('TL11'!$C$238:$C$451,$C183,'TL11'!$J$238:$J$451),0),
IF('TL12'!$B$3=M$3,SUMIF('TL12'!$C$10:$C$224,$C183,'TL12'!$J$10:$J$224),0),
IF('TL12'!$B$229=M$3,SUMIF('TL12'!$C$238:$C$451,$C183,'TL12'!$J$238:$J$451),0),
IF('TL13'!$B$3=M$3,SUMIF('TL13'!$C$10:$C$224,$C183,'TL13'!$J$10:$J$224),0),
IF('TL13'!$B$229=M$3,SUMIF('TL13'!$C$238:$C$451,$C183,'TL13'!$J$238:$J$451),0),
IF('TL14'!$B$3=M$3,SUMIF('TL14'!$C$10:$C$224,$C183,'TL14'!$J$10:$J$224),0),
IF('TL14'!$B$229=M$3,SUMIF('TL14'!$C$238:$C$451,$C183,'TL14'!$J$238:$J$451),0),
IF('TL15'!$B$3=M$3,SUMIF('TL15'!$C$10:$C$224,$C183,'TL15'!$J$10:$J$224),0),
IF('TL15'!$B$229=M$3,SUMIF('TL15'!$C$238:$C$451,$C183,'TL15'!$J$238:$J$451),0),
IF('TL16'!$B$3=M$3,SUMIF('TL16'!$C$10:$C$224,$C183,'TL16'!$J$10:$J$224),0),
IF('TL16'!$B$229=M$3,SUMIF('TL16'!$C$238:$C$451,$C183,'TL16'!$J$238:$J$451),0),
IF('TL17'!$B$3=M$3,SUMIF('TL17'!$C$10:$C$224,$C183,'TL17'!$J$10:$J$224),0),
IF('TL17'!$B$229=M$3,SUMIF('TL17'!$C$238:$C$451,$C183,'TL17'!$J$238:$J$451),0),
IF('TL18'!$B$3=M$3,SUMIF('TL18'!$C$10:$C$224,$C183,'TL18'!$J$10:$J$224),0),
IF('TL18'!$B$229=M$3,SUMIF('TL18'!$C$238:$C$451,$C183,'TL18'!$J$238:$J$451),0),
IF('TL19'!$B$3=M$3,SUMIF('TL19'!$C$10:$C$224,$C183,'TL19'!$J$10:$J$224),0),
IF('TL19'!$B$229=M$3,SUMIF('TL19'!$C$238:$C$451,$C183,'TL19'!$J$238:$J$451),0)
),0)</f>
        <v/>
      </c>
      <c r="N183" s="9">
        <f>IFERROR(SUM(
IF('TL01'!$B$3=N$3,SUMIF('TL01'!$C$10:$C$224,$C183,'TL01'!$J$10:$J$224),0),
IF('TL01'!$B$229=N$3,SUMIF('TL01'!$C$238:$C$451,$C183,'TL01'!$J$238:$J$451),0),
IF('TL02'!$B$3=N$3,SUMIF('TL02'!$C$10:$C$224,$C183,'TL02'!$J$10:$J$224),0),
IF('TL02'!$B$229=N$3,SUMIF('TL02'!$C$238:$C$451,$C183,'TL02'!$J$238:$J$451),0),
IF('TL03'!$B$3=N$3,SUMIF('TL03'!$C$10:$C$224,$C183,'TL03'!$J$10:$J$224),0),
IF('TL03'!$B$229=N$3,SUMIF('TL03'!$C$238:$C$451,$C183,'TL03'!$J$238:$J$451),0),
IF('TL04'!$B$3=N$3,SUMIF('TL04'!$C$10:$C$224,$C183,'TL04'!$J$10:$J$224),0),
IF('TL04'!$B$229=N$3,SUMIF('TL04'!$C$238:$C$451,$C183,'TL04'!$J$238:$J$451),0),
IF('TL05'!$B$3=N$3,SUMIF('TL05'!$C$10:$C$224,$C183,'TL05'!$J$10:$J$224),0),
IF('TL05'!$B$229=N$3,SUMIF('TL05'!$C$238:$C$451,$C183,'TL05'!$J$238:$J$451),0),
IF('TL06'!$B$3=N$3,SUMIF('TL06'!$C$10:$C$224,$C183,'TL06'!$J$10:$J$224),0),
IF('TL06'!$B$229=N$3,SUMIF('TL06'!$C$238:$C$451,$C183,'TL06'!$J$238:$J$451),0),
IF('TL07'!$B$3=N$3,SUMIF('TL07'!$C$10:$C$224,$C183,'TL07'!$J$10:$J$224),0),
IF('TL07'!$B$229=N$3,SUMIF('TL07'!$C$238:$C$451,$C183,'TL07'!$J$238:$J$451),0),
IF('TL08'!$B$3=N$3,SUMIF('TL08'!$C$10:$C$224,$C183,'TL08'!$J$10:$J$224),0),
IF('TL08'!$B$229=N$3,SUMIF('TL08'!$C$238:$C$451,$C183,'TL08'!$J$238:$J$451),0),
IF('TL09'!$B$3=N$3,SUMIF('TL09'!$C$10:$C$224,$C183,'TL09'!$J$10:$J$224),0),
IF('TL09'!$B$229=N$3,SUMIF('TL09'!$C$238:$C$451,$C183,'TL09'!$J$238:$J$451),0),
IF('TL10'!$B$3=N$3,SUMIF('TL10'!$C$10:$C$224,$C183,'TL10'!$J$10:$J$224),0),
IF('TL10'!$B$229=N$3,SUMIF('TL10'!$C$238:$C$451,$C183,'TL10'!$J$238:$J$451),0),
IF('TL11'!$B$3=N$3,SUMIF('TL11'!$C$10:$C$224,$C183,'TL11'!$J$10:$J$224),0),
IF('TL11'!$B$229=N$3,SUMIF('TL11'!$C$238:$C$451,$C183,'TL11'!$J$238:$J$451),0),
IF('TL12'!$B$3=N$3,SUMIF('TL12'!$C$10:$C$224,$C183,'TL12'!$J$10:$J$224),0),
IF('TL12'!$B$229=N$3,SUMIF('TL12'!$C$238:$C$451,$C183,'TL12'!$J$238:$J$451),0),
IF('TL13'!$B$3=N$3,SUMIF('TL13'!$C$10:$C$224,$C183,'TL13'!$J$10:$J$224),0),
IF('TL13'!$B$229=N$3,SUMIF('TL13'!$C$238:$C$451,$C183,'TL13'!$J$238:$J$451),0),
IF('TL14'!$B$3=N$3,SUMIF('TL14'!$C$10:$C$224,$C183,'TL14'!$J$10:$J$224),0),
IF('TL14'!$B$229=N$3,SUMIF('TL14'!$C$238:$C$451,$C183,'TL14'!$J$238:$J$451),0),
IF('TL15'!$B$3=N$3,SUMIF('TL15'!$C$10:$C$224,$C183,'TL15'!$J$10:$J$224),0),
IF('TL15'!$B$229=N$3,SUMIF('TL15'!$C$238:$C$451,$C183,'TL15'!$J$238:$J$451),0),
IF('TL16'!$B$3=N$3,SUMIF('TL16'!$C$10:$C$224,$C183,'TL16'!$J$10:$J$224),0),
IF('TL16'!$B$229=N$3,SUMIF('TL16'!$C$238:$C$451,$C183,'TL16'!$J$238:$J$451),0),
IF('TL17'!$B$3=N$3,SUMIF('TL17'!$C$10:$C$224,$C183,'TL17'!$J$10:$J$224),0),
IF('TL17'!$B$229=N$3,SUMIF('TL17'!$C$238:$C$451,$C183,'TL17'!$J$238:$J$451),0),
IF('TL18'!$B$3=N$3,SUMIF('TL18'!$C$10:$C$224,$C183,'TL18'!$J$10:$J$224),0),
IF('TL18'!$B$229=N$3,SUMIF('TL18'!$C$238:$C$451,$C183,'TL18'!$J$238:$J$451),0),
IF('TL19'!$B$3=N$3,SUMIF('TL19'!$C$10:$C$224,$C183,'TL19'!$J$10:$J$224),0),
IF('TL19'!$B$229=N$3,SUMIF('TL19'!$C$238:$C$451,$C183,'TL19'!$J$238:$J$451),0)
),0)</f>
        <v/>
      </c>
      <c r="O183" s="9">
        <f>IFERROR(SUM(
IF('TL01'!$B$3=O$3,SUMIF('TL01'!$C$10:$C$224,$C183,'TL01'!$J$10:$J$224),0),
IF('TL01'!$B$229=O$3,SUMIF('TL01'!$C$238:$C$451,$C183,'TL01'!$J$238:$J$451),0),
IF('TL02'!$B$3=O$3,SUMIF('TL02'!$C$10:$C$224,$C183,'TL02'!$J$10:$J$224),0),
IF('TL02'!$B$229=O$3,SUMIF('TL02'!$C$238:$C$451,$C183,'TL02'!$J$238:$J$451),0),
IF('TL03'!$B$3=O$3,SUMIF('TL03'!$C$10:$C$224,$C183,'TL03'!$J$10:$J$224),0),
IF('TL03'!$B$229=O$3,SUMIF('TL03'!$C$238:$C$451,$C183,'TL03'!$J$238:$J$451),0),
IF('TL04'!$B$3=O$3,SUMIF('TL04'!$C$10:$C$224,$C183,'TL04'!$J$10:$J$224),0),
IF('TL04'!$B$229=O$3,SUMIF('TL04'!$C$238:$C$451,$C183,'TL04'!$J$238:$J$451),0),
IF('TL05'!$B$3=O$3,SUMIF('TL05'!$C$10:$C$224,$C183,'TL05'!$J$10:$J$224),0),
IF('TL05'!$B$229=O$3,SUMIF('TL05'!$C$238:$C$451,$C183,'TL05'!$J$238:$J$451),0),
IF('TL06'!$B$3=O$3,SUMIF('TL06'!$C$10:$C$224,$C183,'TL06'!$J$10:$J$224),0),
IF('TL06'!$B$229=O$3,SUMIF('TL06'!$C$238:$C$451,$C183,'TL06'!$J$238:$J$451),0),
IF('TL07'!$B$3=O$3,SUMIF('TL07'!$C$10:$C$224,$C183,'TL07'!$J$10:$J$224),0),
IF('TL07'!$B$229=O$3,SUMIF('TL07'!$C$238:$C$451,$C183,'TL07'!$J$238:$J$451),0),
IF('TL08'!$B$3=O$3,SUMIF('TL08'!$C$10:$C$224,$C183,'TL08'!$J$10:$J$224),0),
IF('TL08'!$B$229=O$3,SUMIF('TL08'!$C$238:$C$451,$C183,'TL08'!$J$238:$J$451),0),
IF('TL09'!$B$3=O$3,SUMIF('TL09'!$C$10:$C$224,$C183,'TL09'!$J$10:$J$224),0),
IF('TL09'!$B$229=O$3,SUMIF('TL09'!$C$238:$C$451,$C183,'TL09'!$J$238:$J$451),0),
IF('TL10'!$B$3=O$3,SUMIF('TL10'!$C$10:$C$224,$C183,'TL10'!$J$10:$J$224),0),
IF('TL10'!$B$229=O$3,SUMIF('TL10'!$C$238:$C$451,$C183,'TL10'!$J$238:$J$451),0),
IF('TL11'!$B$3=O$3,SUMIF('TL11'!$C$10:$C$224,$C183,'TL11'!$J$10:$J$224),0),
IF('TL11'!$B$229=O$3,SUMIF('TL11'!$C$238:$C$451,$C183,'TL11'!$J$238:$J$451),0),
IF('TL12'!$B$3=O$3,SUMIF('TL12'!$C$10:$C$224,$C183,'TL12'!$J$10:$J$224),0),
IF('TL12'!$B$229=O$3,SUMIF('TL12'!$C$238:$C$451,$C183,'TL12'!$J$238:$J$451),0),
IF('TL13'!$B$3=O$3,SUMIF('TL13'!$C$10:$C$224,$C183,'TL13'!$J$10:$J$224),0),
IF('TL13'!$B$229=O$3,SUMIF('TL13'!$C$238:$C$451,$C183,'TL13'!$J$238:$J$451),0),
IF('TL14'!$B$3=O$3,SUMIF('TL14'!$C$10:$C$224,$C183,'TL14'!$J$10:$J$224),0),
IF('TL14'!$B$229=O$3,SUMIF('TL14'!$C$238:$C$451,$C183,'TL14'!$J$238:$J$451),0),
IF('TL15'!$B$3=O$3,SUMIF('TL15'!$C$10:$C$224,$C183,'TL15'!$J$10:$J$224),0),
IF('TL15'!$B$229=O$3,SUMIF('TL15'!$C$238:$C$451,$C183,'TL15'!$J$238:$J$451),0),
IF('TL16'!$B$3=O$3,SUMIF('TL16'!$C$10:$C$224,$C183,'TL16'!$J$10:$J$224),0),
IF('TL16'!$B$229=O$3,SUMIF('TL16'!$C$238:$C$451,$C183,'TL16'!$J$238:$J$451),0),
IF('TL17'!$B$3=O$3,SUMIF('TL17'!$C$10:$C$224,$C183,'TL17'!$J$10:$J$224),0),
IF('TL17'!$B$229=O$3,SUMIF('TL17'!$C$238:$C$451,$C183,'TL17'!$J$238:$J$451),0),
IF('TL18'!$B$3=O$3,SUMIF('TL18'!$C$10:$C$224,$C183,'TL18'!$J$10:$J$224),0),
IF('TL18'!$B$229=O$3,SUMIF('TL18'!$C$238:$C$451,$C183,'TL18'!$J$238:$J$451),0),
IF('TL19'!$B$3=O$3,SUMIF('TL19'!$C$10:$C$224,$C183,'TL19'!$J$10:$J$224),0),
IF('TL19'!$B$229=O$3,SUMIF('TL19'!$C$238:$C$451,$C183,'TL19'!$J$238:$J$451),0)
),0)</f>
        <v/>
      </c>
      <c r="P183" s="9">
        <f>IFERROR(SUM(
IF('TL01'!$B$3=P$3,SUMIF('TL01'!$C$10:$C$224,$C183,'TL01'!$J$10:$J$224),0),
IF('TL01'!$B$229=P$3,SUMIF('TL01'!$C$238:$C$451,$C183,'TL01'!$J$238:$J$451),0),
IF('TL02'!$B$3=P$3,SUMIF('TL02'!$C$10:$C$224,$C183,'TL02'!$J$10:$J$224),0),
IF('TL02'!$B$229=P$3,SUMIF('TL02'!$C$238:$C$451,$C183,'TL02'!$J$238:$J$451),0),
IF('TL03'!$B$3=P$3,SUMIF('TL03'!$C$10:$C$224,$C183,'TL03'!$J$10:$J$224),0),
IF('TL03'!$B$229=P$3,SUMIF('TL03'!$C$238:$C$451,$C183,'TL03'!$J$238:$J$451),0),
IF('TL04'!$B$3=P$3,SUMIF('TL04'!$C$10:$C$224,$C183,'TL04'!$J$10:$J$224),0),
IF('TL04'!$B$229=P$3,SUMIF('TL04'!$C$238:$C$451,$C183,'TL04'!$J$238:$J$451),0),
IF('TL05'!$B$3=P$3,SUMIF('TL05'!$C$10:$C$224,$C183,'TL05'!$J$10:$J$224),0),
IF('TL05'!$B$229=P$3,SUMIF('TL05'!$C$238:$C$451,$C183,'TL05'!$J$238:$J$451),0),
IF('TL06'!$B$3=P$3,SUMIF('TL06'!$C$10:$C$224,$C183,'TL06'!$J$10:$J$224),0),
IF('TL06'!$B$229=P$3,SUMIF('TL06'!$C$238:$C$451,$C183,'TL06'!$J$238:$J$451),0),
IF('TL07'!$B$3=P$3,SUMIF('TL07'!$C$10:$C$224,$C183,'TL07'!$J$10:$J$224),0),
IF('TL07'!$B$229=P$3,SUMIF('TL07'!$C$238:$C$451,$C183,'TL07'!$J$238:$J$451),0),
IF('TL08'!$B$3=P$3,SUMIF('TL08'!$C$10:$C$224,$C183,'TL08'!$J$10:$J$224),0),
IF('TL08'!$B$229=P$3,SUMIF('TL08'!$C$238:$C$451,$C183,'TL08'!$J$238:$J$451),0),
IF('TL09'!$B$3=P$3,SUMIF('TL09'!$C$10:$C$224,$C183,'TL09'!$J$10:$J$224),0),
IF('TL09'!$B$229=P$3,SUMIF('TL09'!$C$238:$C$451,$C183,'TL09'!$J$238:$J$451),0),
IF('TL10'!$B$3=P$3,SUMIF('TL10'!$C$10:$C$224,$C183,'TL10'!$J$10:$J$224),0),
IF('TL10'!$B$229=P$3,SUMIF('TL10'!$C$238:$C$451,$C183,'TL10'!$J$238:$J$451),0),
IF('TL11'!$B$3=P$3,SUMIF('TL11'!$C$10:$C$224,$C183,'TL11'!$J$10:$J$224),0),
IF('TL11'!$B$229=P$3,SUMIF('TL11'!$C$238:$C$451,$C183,'TL11'!$J$238:$J$451),0),
IF('TL12'!$B$3=P$3,SUMIF('TL12'!$C$10:$C$224,$C183,'TL12'!$J$10:$J$224),0),
IF('TL12'!$B$229=P$3,SUMIF('TL12'!$C$238:$C$451,$C183,'TL12'!$J$238:$J$451),0),
IF('TL13'!$B$3=P$3,SUMIF('TL13'!$C$10:$C$224,$C183,'TL13'!$J$10:$J$224),0),
IF('TL13'!$B$229=P$3,SUMIF('TL13'!$C$238:$C$451,$C183,'TL13'!$J$238:$J$451),0),
IF('TL14'!$B$3=P$3,SUMIF('TL14'!$C$10:$C$224,$C183,'TL14'!$J$10:$J$224),0),
IF('TL14'!$B$229=P$3,SUMIF('TL14'!$C$238:$C$451,$C183,'TL14'!$J$238:$J$451),0),
IF('TL15'!$B$3=P$3,SUMIF('TL15'!$C$10:$C$224,$C183,'TL15'!$J$10:$J$224),0),
IF('TL15'!$B$229=P$3,SUMIF('TL15'!$C$238:$C$451,$C183,'TL15'!$J$238:$J$451),0),
IF('TL16'!$B$3=P$3,SUMIF('TL16'!$C$10:$C$224,$C183,'TL16'!$J$10:$J$224),0),
IF('TL16'!$B$229=P$3,SUMIF('TL16'!$C$238:$C$451,$C183,'TL16'!$J$238:$J$451),0),
IF('TL17'!$B$3=P$3,SUMIF('TL17'!$C$10:$C$224,$C183,'TL17'!$J$10:$J$224),0),
IF('TL17'!$B$229=P$3,SUMIF('TL17'!$C$238:$C$451,$C183,'TL17'!$J$238:$J$451),0),
IF('TL18'!$B$3=P$3,SUMIF('TL18'!$C$10:$C$224,$C183,'TL18'!$J$10:$J$224),0),
IF('TL18'!$B$229=P$3,SUMIF('TL18'!$C$238:$C$451,$C183,'TL18'!$J$238:$J$451),0),
IF('TL19'!$B$3=P$3,SUMIF('TL19'!$C$10:$C$224,$C183,'TL19'!$J$10:$J$224),0),
IF('TL19'!$B$229=P$3,SUMIF('TL19'!$C$238:$C$451,$C183,'TL19'!$J$238:$J$451),0)
),0)</f>
        <v/>
      </c>
      <c r="Q183" s="9">
        <f>IFERROR(SUM(
IF('TL01'!$B$3=Q$3,SUMIF('TL01'!$C$10:$C$224,$C183,'TL01'!$J$10:$J$224),0),
IF('TL01'!$B$229=Q$3,SUMIF('TL01'!$C$238:$C$451,$C183,'TL01'!$J$238:$J$451),0),
IF('TL02'!$B$3=Q$3,SUMIF('TL02'!$C$10:$C$224,$C183,'TL02'!$J$10:$J$224),0),
IF('TL02'!$B$229=Q$3,SUMIF('TL02'!$C$238:$C$451,$C183,'TL02'!$J$238:$J$451),0),
IF('TL03'!$B$3=Q$3,SUMIF('TL03'!$C$10:$C$224,$C183,'TL03'!$J$10:$J$224),0),
IF('TL03'!$B$229=Q$3,SUMIF('TL03'!$C$238:$C$451,$C183,'TL03'!$J$238:$J$451),0),
IF('TL04'!$B$3=Q$3,SUMIF('TL04'!$C$10:$C$224,$C183,'TL04'!$J$10:$J$224),0),
IF('TL04'!$B$229=Q$3,SUMIF('TL04'!$C$238:$C$451,$C183,'TL04'!$J$238:$J$451),0),
IF('TL05'!$B$3=Q$3,SUMIF('TL05'!$C$10:$C$224,$C183,'TL05'!$J$10:$J$224),0),
IF('TL05'!$B$229=Q$3,SUMIF('TL05'!$C$238:$C$451,$C183,'TL05'!$J$238:$J$451),0),
IF('TL06'!$B$3=Q$3,SUMIF('TL06'!$C$10:$C$224,$C183,'TL06'!$J$10:$J$224),0),
IF('TL06'!$B$229=Q$3,SUMIF('TL06'!$C$238:$C$451,$C183,'TL06'!$J$238:$J$451),0),
IF('TL07'!$B$3=Q$3,SUMIF('TL07'!$C$10:$C$224,$C183,'TL07'!$J$10:$J$224),0),
IF('TL07'!$B$229=Q$3,SUMIF('TL07'!$C$238:$C$451,$C183,'TL07'!$J$238:$J$451),0),
IF('TL08'!$B$3=Q$3,SUMIF('TL08'!$C$10:$C$224,$C183,'TL08'!$J$10:$J$224),0),
IF('TL08'!$B$229=Q$3,SUMIF('TL08'!$C$238:$C$451,$C183,'TL08'!$J$238:$J$451),0),
IF('TL09'!$B$3=Q$3,SUMIF('TL09'!$C$10:$C$224,$C183,'TL09'!$J$10:$J$224),0),
IF('TL09'!$B$229=Q$3,SUMIF('TL09'!$C$238:$C$451,$C183,'TL09'!$J$238:$J$451),0),
IF('TL10'!$B$3=Q$3,SUMIF('TL10'!$C$10:$C$224,$C183,'TL10'!$J$10:$J$224),0),
IF('TL10'!$B$229=Q$3,SUMIF('TL10'!$C$238:$C$451,$C183,'TL10'!$J$238:$J$451),0),
IF('TL11'!$B$3=Q$3,SUMIF('TL11'!$C$10:$C$224,$C183,'TL11'!$J$10:$J$224),0),
IF('TL11'!$B$229=Q$3,SUMIF('TL11'!$C$238:$C$451,$C183,'TL11'!$J$238:$J$451),0),
IF('TL12'!$B$3=Q$3,SUMIF('TL12'!$C$10:$C$224,$C183,'TL12'!$J$10:$J$224),0),
IF('TL12'!$B$229=Q$3,SUMIF('TL12'!$C$238:$C$451,$C183,'TL12'!$J$238:$J$451),0),
IF('TL13'!$B$3=Q$3,SUMIF('TL13'!$C$10:$C$224,$C183,'TL13'!$J$10:$J$224),0),
IF('TL13'!$B$229=Q$3,SUMIF('TL13'!$C$238:$C$451,$C183,'TL13'!$J$238:$J$451),0),
IF('TL14'!$B$3=Q$3,SUMIF('TL14'!$C$10:$C$224,$C183,'TL14'!$J$10:$J$224),0),
IF('TL14'!$B$229=Q$3,SUMIF('TL14'!$C$238:$C$451,$C183,'TL14'!$J$238:$J$451),0),
IF('TL15'!$B$3=Q$3,SUMIF('TL15'!$C$10:$C$224,$C183,'TL15'!$J$10:$J$224),0),
IF('TL15'!$B$229=Q$3,SUMIF('TL15'!$C$238:$C$451,$C183,'TL15'!$J$238:$J$451),0),
IF('TL16'!$B$3=Q$3,SUMIF('TL16'!$C$10:$C$224,$C183,'TL16'!$J$10:$J$224),0),
IF('TL16'!$B$229=Q$3,SUMIF('TL16'!$C$238:$C$451,$C183,'TL16'!$J$238:$J$451),0),
IF('TL17'!$B$3=Q$3,SUMIF('TL17'!$C$10:$C$224,$C183,'TL17'!$J$10:$J$224),0),
IF('TL17'!$B$229=Q$3,SUMIF('TL17'!$C$238:$C$451,$C183,'TL17'!$J$238:$J$451),0),
IF('TL18'!$B$3=Q$3,SUMIF('TL18'!$C$10:$C$224,$C183,'TL18'!$J$10:$J$224),0),
IF('TL18'!$B$229=Q$3,SUMIF('TL18'!$C$238:$C$451,$C183,'TL18'!$J$238:$J$451),0),
IF('TL19'!$B$3=Q$3,SUMIF('TL19'!$C$10:$C$224,$C183,'TL19'!$J$10:$J$224),0),
IF('TL19'!$B$229=Q$3,SUMIF('TL19'!$C$238:$C$451,$C183,'TL19'!$J$238:$J$451),0)
),0)</f>
        <v/>
      </c>
      <c r="R183" s="9">
        <f>IFERROR(
SUM(
SUMIF('TL01'!C:C,C183,'TL01'!J:J),
SUMIF('TL02'!C:C,C183,'TL02'!J:J),
SUMIF('TL03'!C:C,C183,'TL03'!J:J),
SUMIF('TL04'!C:C,C183,'TL04'!J:J),
SUMIF('TL05'!C:C,C183,'TL05'!J:J),
SUMIF('TL06'!C:C,C183,'TL06'!J:J),
SUMIF('TL07'!C:C,C183,'TL07'!J:J),
SUMIF('TL08'!C:C,C183,'TL08'!J:J),
SUMIF('TL09'!C:C,C183,'TL09'!J:J),
SUMIF('TL10'!C:C,C183,'TL10'!J:J),
SUMIF('TL11'!C:C,C183,'TL11'!J:J),
SUMIF('TL12'!C:C,C183,'TL12'!J:J),
SUMIF('TL13'!C:C,C183,'TL13'!J:J),
SUMIF('TL14'!C:C,C183,'TL14'!J:J),
SUMIF('TL15'!C:C,C183,'TL15'!J:J),
SUMIF('TL16'!C:C,C183,'TL16'!J:J),
SUMIF('TL17'!C:C,C183,'TL17'!J:J),
SUMIF('TL18'!C:C,C183,'TL18'!J:J),SUMIF('TL19'!C:C,C183,'TL19'!J:J))
,0)</f>
        <v/>
      </c>
      <c r="S183" s="17">
        <f>IFERROR(__xludf.DUMMYFUNCTION("IFERROR(VLOOKUP(C183,
IMPORTRANGE(""1wULbzX32WdYsx-lj2U3uUNBBe2INVIRDtcK0d-Dvl90"",
""26-27!C:G""),
5,
FALSE),
"""")"),112.55462999999999)</f>
        <v/>
      </c>
      <c r="T183" s="9" t="n"/>
      <c r="U183" s="92">
        <f>MAX(0,R183-T183)</f>
        <v/>
      </c>
      <c r="V183" s="93">
        <f>U183*S183</f>
        <v/>
      </c>
    </row>
    <row r="184" hidden="1" ht="15.75" customHeight="1" s="297">
      <c r="A184" s="87" t="inlineStr">
        <is>
          <t>BAYER</t>
        </is>
      </c>
      <c r="B184" s="88" t="inlineStr">
        <is>
          <t>INSETICIDA</t>
        </is>
      </c>
      <c r="C184" s="89" t="inlineStr">
        <is>
          <t>CONNECT</t>
        </is>
      </c>
      <c r="D184" s="89" t="inlineStr">
        <is>
          <t>IMIDACLOPRIDO + BETA-CIFLUTRINA</t>
        </is>
      </c>
      <c r="E184" s="89" t="inlineStr">
        <is>
          <t>100 + 12,5</t>
        </is>
      </c>
      <c r="F184" s="4" t="inlineStr">
        <is>
          <t>L</t>
        </is>
      </c>
      <c r="G184" s="90">
        <f>HYPERLINK("https://www.google.com/search?q=" &amp; C184 &amp; "+bula+agrofit+pdf", "📄 Ver bula")</f>
        <v/>
      </c>
      <c r="H184" s="9">
        <f>IFERROR(__xludf.DUMMYFUNCTION("IFERROR(VLOOKUP(C184,
IMPORTRANGE(""1wULbzX32WdYsx-lj2U3uUNBBe2INVIRDtcK0d-Dvl90"",
""26-27!C:K""),
8,
FALSE),
"""")"),1.0)</f>
        <v/>
      </c>
      <c r="I184" s="91" t="inlineStr">
        <is>
          <t>1x20</t>
        </is>
      </c>
      <c r="J184" s="9">
        <f>IFERROR(SUM(
IF('TL01'!$B$3=J$3,SUMIF('TL01'!$C$10:$C$224,$C184,'TL01'!$J$10:$J$224),0),
IF('TL01'!$B$229=J$3,SUMIF('TL01'!$C$238:$C$451,$C184,'TL01'!$J$238:$J$451),0),
IF('TL02'!$B$3=J$3,SUMIF('TL02'!$C$10:$C$224,$C184,'TL02'!$J$10:$J$224),0),
IF('TL02'!$B$229=J$3,SUMIF('TL02'!$C$238:$C$451,$C184,'TL02'!$J$238:$J$451),0),
IF('TL03'!$B$3=J$3,SUMIF('TL03'!$C$10:$C$224,$C184,'TL03'!$J$10:$J$224),0),
IF('TL03'!$B$229=J$3,SUMIF('TL03'!$C$238:$C$451,$C184,'TL03'!$J$238:$J$451),0),
IF('TL04'!$B$3=J$3,SUMIF('TL04'!$C$10:$C$224,$C184,'TL04'!$J$10:$J$224),0),
IF('TL04'!$B$229=J$3,SUMIF('TL04'!$C$238:$C$451,$C184,'TL04'!$J$238:$J$451),0),
IF('TL05'!$B$3=J$3,SUMIF('TL05'!$C$10:$C$224,$C184,'TL05'!$J$10:$J$224),0),
IF('TL05'!$B$229=J$3,SUMIF('TL05'!$C$238:$C$451,$C184,'TL05'!$J$238:$J$451),0),
IF('TL06'!$B$3=J$3,SUMIF('TL06'!$C$10:$C$224,$C184,'TL06'!$J$10:$J$224),0),
IF('TL06'!$B$229=J$3,SUMIF('TL06'!$C$238:$C$451,$C184,'TL06'!$J$238:$J$451),0),
IF('TL07'!$B$3=J$3,SUMIF('TL07'!$C$10:$C$224,$C184,'TL07'!$J$10:$J$224),0),
IF('TL07'!$B$229=J$3,SUMIF('TL07'!$C$238:$C$451,$C184,'TL07'!$J$238:$J$451),0),
IF('TL08'!$B$3=J$3,SUMIF('TL08'!$C$10:$C$224,$C184,'TL08'!$J$10:$J$224),0),
IF('TL08'!$B$229=J$3,SUMIF('TL08'!$C$238:$C$451,$C184,'TL08'!$J$238:$J$451),0),
IF('TL09'!$B$3=J$3,SUMIF('TL09'!$C$10:$C$224,$C184,'TL09'!$J$10:$J$224),0),
IF('TL09'!$B$229=J$3,SUMIF('TL09'!$C$238:$C$451,$C184,'TL09'!$J$238:$J$451),0),
IF('TL10'!$B$3=J$3,SUMIF('TL10'!$C$10:$C$224,$C184,'TL10'!$J$10:$J$224),0),
IF('TL10'!$B$229=J$3,SUMIF('TL10'!$C$238:$C$451,$C184,'TL10'!$J$238:$J$451),0),
IF('TL11'!$B$3=J$3,SUMIF('TL11'!$C$10:$C$224,$C184,'TL11'!$J$10:$J$224),0),
IF('TL11'!$B$229=J$3,SUMIF('TL11'!$C$238:$C$451,$C184,'TL11'!$J$238:$J$451),0),
IF('TL12'!$B$3=J$3,SUMIF('TL12'!$C$10:$C$224,$C184,'TL12'!$J$10:$J$224),0),
IF('TL12'!$B$229=J$3,SUMIF('TL12'!$C$238:$C$451,$C184,'TL12'!$J$238:$J$451),0),
IF('TL13'!$B$3=J$3,SUMIF('TL13'!$C$10:$C$224,$C184,'TL13'!$J$10:$J$224),0),
IF('TL13'!$B$229=J$3,SUMIF('TL13'!$C$238:$C$451,$C184,'TL13'!$J$238:$J$451),0),
IF('TL14'!$B$3=J$3,SUMIF('TL14'!$C$10:$C$224,$C184,'TL14'!$J$10:$J$224),0),
IF('TL14'!$B$229=J$3,SUMIF('TL14'!$C$238:$C$451,$C184,'TL14'!$J$238:$J$451),0),
IF('TL15'!$B$3=J$3,SUMIF('TL15'!$C$10:$C$224,$C184,'TL15'!$J$10:$J$224),0),
IF('TL15'!$B$229=J$3,SUMIF('TL15'!$C$238:$C$451,$C184,'TL15'!$J$238:$J$451),0),
IF('TL16'!$B$3=J$3,SUMIF('TL16'!$C$10:$C$224,$C184,'TL16'!$J$10:$J$224),0),
IF('TL16'!$B$229=J$3,SUMIF('TL16'!$C$238:$C$451,$C184,'TL16'!$J$238:$J$451),0),
IF('TL17'!$B$3=J$3,SUMIF('TL17'!$C$10:$C$224,$C184,'TL17'!$J$10:$J$224),0),
IF('TL17'!$B$229=J$3,SUMIF('TL17'!$C$238:$C$451,$C184,'TL17'!$J$238:$J$451),0),
IF('TL18'!$B$3=J$3,SUMIF('TL18'!$C$10:$C$224,$C184,'TL18'!$J$10:$J$224),0),
IF('TL18'!$B$229=J$3,SUMIF('TL18'!$C$238:$C$451,$C184,'TL18'!$J$238:$J$451),0),
IF('TL19'!$B$3=J$3,SUMIF('TL19'!$C$10:$C$224,$C184,'TL19'!$J$10:$J$224),0),
IF('TL19'!$B$229=J$3,SUMIF('TL19'!$C$238:$C$451,$C184,'TL19'!$J$238:$J$451),0)
),0)</f>
        <v/>
      </c>
      <c r="K184" s="9">
        <f>IFERROR(SUM(
IF('TL01'!$B$3=K$3,SUMIF('TL01'!$C$10:$C$224,$C184,'TL01'!$J$10:$J$224),0),
IF('TL01'!$B$229=K$3,SUMIF('TL01'!$C$238:$C$451,$C184,'TL01'!$J$238:$J$451),0),
IF('TL02'!$B$3=K$3,SUMIF('TL02'!$C$10:$C$224,$C184,'TL02'!$J$10:$J$224),0),
IF('TL02'!$B$229=K$3,SUMIF('TL02'!$C$238:$C$451,$C184,'TL02'!$J$238:$J$451),0),
IF('TL03'!$B$3=K$3,SUMIF('TL03'!$C$10:$C$224,$C184,'TL03'!$J$10:$J$224),0),
IF('TL03'!$B$229=K$3,SUMIF('TL03'!$C$238:$C$451,$C184,'TL03'!$J$238:$J$451),0),
IF('TL04'!$B$3=K$3,SUMIF('TL04'!$C$10:$C$224,$C184,'TL04'!$J$10:$J$224),0),
IF('TL04'!$B$229=K$3,SUMIF('TL04'!$C$238:$C$451,$C184,'TL04'!$J$238:$J$451),0),
IF('TL05'!$B$3=K$3,SUMIF('TL05'!$C$10:$C$224,$C184,'TL05'!$J$10:$J$224),0),
IF('TL05'!$B$229=K$3,SUMIF('TL05'!$C$238:$C$451,$C184,'TL05'!$J$238:$J$451),0),
IF('TL06'!$B$3=K$3,SUMIF('TL06'!$C$10:$C$224,$C184,'TL06'!$J$10:$J$224),0),
IF('TL06'!$B$229=K$3,SUMIF('TL06'!$C$238:$C$451,$C184,'TL06'!$J$238:$J$451),0),
IF('TL07'!$B$3=K$3,SUMIF('TL07'!$C$10:$C$224,$C184,'TL07'!$J$10:$J$224),0),
IF('TL07'!$B$229=K$3,SUMIF('TL07'!$C$238:$C$451,$C184,'TL07'!$J$238:$J$451),0),
IF('TL08'!$B$3=K$3,SUMIF('TL08'!$C$10:$C$224,$C184,'TL08'!$J$10:$J$224),0),
IF('TL08'!$B$229=K$3,SUMIF('TL08'!$C$238:$C$451,$C184,'TL08'!$J$238:$J$451),0),
IF('TL09'!$B$3=K$3,SUMIF('TL09'!$C$10:$C$224,$C184,'TL09'!$J$10:$J$224),0),
IF('TL09'!$B$229=K$3,SUMIF('TL09'!$C$238:$C$451,$C184,'TL09'!$J$238:$J$451),0),
IF('TL10'!$B$3=K$3,SUMIF('TL10'!$C$10:$C$224,$C184,'TL10'!$J$10:$J$224),0),
IF('TL10'!$B$229=K$3,SUMIF('TL10'!$C$238:$C$451,$C184,'TL10'!$J$238:$J$451),0),
IF('TL11'!$B$3=K$3,SUMIF('TL11'!$C$10:$C$224,$C184,'TL11'!$J$10:$J$224),0),
IF('TL11'!$B$229=K$3,SUMIF('TL11'!$C$238:$C$451,$C184,'TL11'!$J$238:$J$451),0),
IF('TL12'!$B$3=K$3,SUMIF('TL12'!$C$10:$C$224,$C184,'TL12'!$J$10:$J$224),0),
IF('TL12'!$B$229=K$3,SUMIF('TL12'!$C$238:$C$451,$C184,'TL12'!$J$238:$J$451),0),
IF('TL13'!$B$3=K$3,SUMIF('TL13'!$C$10:$C$224,$C184,'TL13'!$J$10:$J$224),0),
IF('TL13'!$B$229=K$3,SUMIF('TL13'!$C$238:$C$451,$C184,'TL13'!$J$238:$J$451),0),
IF('TL14'!$B$3=K$3,SUMIF('TL14'!$C$10:$C$224,$C184,'TL14'!$J$10:$J$224),0),
IF('TL14'!$B$229=K$3,SUMIF('TL14'!$C$238:$C$451,$C184,'TL14'!$J$238:$J$451),0),
IF('TL15'!$B$3=K$3,SUMIF('TL15'!$C$10:$C$224,$C184,'TL15'!$J$10:$J$224),0),
IF('TL15'!$B$229=K$3,SUMIF('TL15'!$C$238:$C$451,$C184,'TL15'!$J$238:$J$451),0),
IF('TL16'!$B$3=K$3,SUMIF('TL16'!$C$10:$C$224,$C184,'TL16'!$J$10:$J$224),0),
IF('TL16'!$B$229=K$3,SUMIF('TL16'!$C$238:$C$451,$C184,'TL16'!$J$238:$J$451),0),
IF('TL17'!$B$3=K$3,SUMIF('TL17'!$C$10:$C$224,$C184,'TL17'!$J$10:$J$224),0),
IF('TL17'!$B$229=K$3,SUMIF('TL17'!$C$238:$C$451,$C184,'TL17'!$J$238:$J$451),0),
IF('TL18'!$B$3=K$3,SUMIF('TL18'!$C$10:$C$224,$C184,'TL18'!$J$10:$J$224),0),
IF('TL18'!$B$229=K$3,SUMIF('TL18'!$C$238:$C$451,$C184,'TL18'!$J$238:$J$451),0),
IF('TL19'!$B$3=K$3,SUMIF('TL19'!$C$10:$C$224,$C184,'TL19'!$J$10:$J$224),0),
IF('TL19'!$B$229=K$3,SUMIF('TL19'!$C$238:$C$451,$C184,'TL19'!$J$238:$J$451),0)
),0)</f>
        <v/>
      </c>
      <c r="L184" s="9">
        <f>IFERROR(SUM(
IF('TL01'!$B$3=L$3,SUMIF('TL01'!$C$10:$C$224,$C184,'TL01'!$J$10:$J$224),0),
IF('TL01'!$B$229=L$3,SUMIF('TL01'!$C$238:$C$451,$C184,'TL01'!$J$238:$J$451),0),
IF('TL02'!$B$3=L$3,SUMIF('TL02'!$C$10:$C$224,$C184,'TL02'!$J$10:$J$224),0),
IF('TL02'!$B$229=L$3,SUMIF('TL02'!$C$238:$C$451,$C184,'TL02'!$J$238:$J$451),0),
IF('TL03'!$B$3=L$3,SUMIF('TL03'!$C$10:$C$224,$C184,'TL03'!$J$10:$J$224),0),
IF('TL03'!$B$229=L$3,SUMIF('TL03'!$C$238:$C$451,$C184,'TL03'!$J$238:$J$451),0),
IF('TL04'!$B$3=L$3,SUMIF('TL04'!$C$10:$C$224,$C184,'TL04'!$J$10:$J$224),0),
IF('TL04'!$B$229=L$3,SUMIF('TL04'!$C$238:$C$451,$C184,'TL04'!$J$238:$J$451),0),
IF('TL05'!$B$3=L$3,SUMIF('TL05'!$C$10:$C$224,$C184,'TL05'!$J$10:$J$224),0),
IF('TL05'!$B$229=L$3,SUMIF('TL05'!$C$238:$C$451,$C184,'TL05'!$J$238:$J$451),0),
IF('TL06'!$B$3=L$3,SUMIF('TL06'!$C$10:$C$224,$C184,'TL06'!$J$10:$J$224),0),
IF('TL06'!$B$229=L$3,SUMIF('TL06'!$C$238:$C$451,$C184,'TL06'!$J$238:$J$451),0),
IF('TL07'!$B$3=L$3,SUMIF('TL07'!$C$10:$C$224,$C184,'TL07'!$J$10:$J$224),0),
IF('TL07'!$B$229=L$3,SUMIF('TL07'!$C$238:$C$451,$C184,'TL07'!$J$238:$J$451),0),
IF('TL08'!$B$3=L$3,SUMIF('TL08'!$C$10:$C$224,$C184,'TL08'!$J$10:$J$224),0),
IF('TL08'!$B$229=L$3,SUMIF('TL08'!$C$238:$C$451,$C184,'TL08'!$J$238:$J$451),0),
IF('TL09'!$B$3=L$3,SUMIF('TL09'!$C$10:$C$224,$C184,'TL09'!$J$10:$J$224),0),
IF('TL09'!$B$229=L$3,SUMIF('TL09'!$C$238:$C$451,$C184,'TL09'!$J$238:$J$451),0),
IF('TL10'!$B$3=L$3,SUMIF('TL10'!$C$10:$C$224,$C184,'TL10'!$J$10:$J$224),0),
IF('TL10'!$B$229=L$3,SUMIF('TL10'!$C$238:$C$451,$C184,'TL10'!$J$238:$J$451),0),
IF('TL11'!$B$3=L$3,SUMIF('TL11'!$C$10:$C$224,$C184,'TL11'!$J$10:$J$224),0),
IF('TL11'!$B$229=L$3,SUMIF('TL11'!$C$238:$C$451,$C184,'TL11'!$J$238:$J$451),0),
IF('TL12'!$B$3=L$3,SUMIF('TL12'!$C$10:$C$224,$C184,'TL12'!$J$10:$J$224),0),
IF('TL12'!$B$229=L$3,SUMIF('TL12'!$C$238:$C$451,$C184,'TL12'!$J$238:$J$451),0),
IF('TL13'!$B$3=L$3,SUMIF('TL13'!$C$10:$C$224,$C184,'TL13'!$J$10:$J$224),0),
IF('TL13'!$B$229=L$3,SUMIF('TL13'!$C$238:$C$451,$C184,'TL13'!$J$238:$J$451),0),
IF('TL14'!$B$3=L$3,SUMIF('TL14'!$C$10:$C$224,$C184,'TL14'!$J$10:$J$224),0),
IF('TL14'!$B$229=L$3,SUMIF('TL14'!$C$238:$C$451,$C184,'TL14'!$J$238:$J$451),0),
IF('TL15'!$B$3=L$3,SUMIF('TL15'!$C$10:$C$224,$C184,'TL15'!$J$10:$J$224),0),
IF('TL15'!$B$229=L$3,SUMIF('TL15'!$C$238:$C$451,$C184,'TL15'!$J$238:$J$451),0),
IF('TL16'!$B$3=L$3,SUMIF('TL16'!$C$10:$C$224,$C184,'TL16'!$J$10:$J$224),0),
IF('TL16'!$B$229=L$3,SUMIF('TL16'!$C$238:$C$451,$C184,'TL16'!$J$238:$J$451),0),
IF('TL17'!$B$3=L$3,SUMIF('TL17'!$C$10:$C$224,$C184,'TL17'!$J$10:$J$224),0),
IF('TL17'!$B$229=L$3,SUMIF('TL17'!$C$238:$C$451,$C184,'TL17'!$J$238:$J$451),0),
IF('TL18'!$B$3=L$3,SUMIF('TL18'!$C$10:$C$224,$C184,'TL18'!$J$10:$J$224),0),
IF('TL18'!$B$229=L$3,SUMIF('TL18'!$C$238:$C$451,$C184,'TL18'!$J$238:$J$451),0),
IF('TL19'!$B$3=L$3,SUMIF('TL19'!$C$10:$C$224,$C184,'TL19'!$J$10:$J$224),0),
IF('TL19'!$B$229=L$3,SUMIF('TL19'!$C$238:$C$451,$C184,'TL19'!$J$238:$J$451),0)
),0)</f>
        <v/>
      </c>
      <c r="M184" s="9">
        <f>IFERROR(SUM(
IF('TL01'!$B$3=M$3,SUMIF('TL01'!$C$10:$C$224,$C184,'TL01'!$J$10:$J$224),0),
IF('TL01'!$B$229=M$3,SUMIF('TL01'!$C$238:$C$451,$C184,'TL01'!$J$238:$J$451),0),
IF('TL02'!$B$3=M$3,SUMIF('TL02'!$C$10:$C$224,$C184,'TL02'!$J$10:$J$224),0),
IF('TL02'!$B$229=M$3,SUMIF('TL02'!$C$238:$C$451,$C184,'TL02'!$J$238:$J$451),0),
IF('TL03'!$B$3=M$3,SUMIF('TL03'!$C$10:$C$224,$C184,'TL03'!$J$10:$J$224),0),
IF('TL03'!$B$229=M$3,SUMIF('TL03'!$C$238:$C$451,$C184,'TL03'!$J$238:$J$451),0),
IF('TL04'!$B$3=M$3,SUMIF('TL04'!$C$10:$C$224,$C184,'TL04'!$J$10:$J$224),0),
IF('TL04'!$B$229=M$3,SUMIF('TL04'!$C$238:$C$451,$C184,'TL04'!$J$238:$J$451),0),
IF('TL05'!$B$3=M$3,SUMIF('TL05'!$C$10:$C$224,$C184,'TL05'!$J$10:$J$224),0),
IF('TL05'!$B$229=M$3,SUMIF('TL05'!$C$238:$C$451,$C184,'TL05'!$J$238:$J$451),0),
IF('TL06'!$B$3=M$3,SUMIF('TL06'!$C$10:$C$224,$C184,'TL06'!$J$10:$J$224),0),
IF('TL06'!$B$229=M$3,SUMIF('TL06'!$C$238:$C$451,$C184,'TL06'!$J$238:$J$451),0),
IF('TL07'!$B$3=M$3,SUMIF('TL07'!$C$10:$C$224,$C184,'TL07'!$J$10:$J$224),0),
IF('TL07'!$B$229=M$3,SUMIF('TL07'!$C$238:$C$451,$C184,'TL07'!$J$238:$J$451),0),
IF('TL08'!$B$3=M$3,SUMIF('TL08'!$C$10:$C$224,$C184,'TL08'!$J$10:$J$224),0),
IF('TL08'!$B$229=M$3,SUMIF('TL08'!$C$238:$C$451,$C184,'TL08'!$J$238:$J$451),0),
IF('TL09'!$B$3=M$3,SUMIF('TL09'!$C$10:$C$224,$C184,'TL09'!$J$10:$J$224),0),
IF('TL09'!$B$229=M$3,SUMIF('TL09'!$C$238:$C$451,$C184,'TL09'!$J$238:$J$451),0),
IF('TL10'!$B$3=M$3,SUMIF('TL10'!$C$10:$C$224,$C184,'TL10'!$J$10:$J$224),0),
IF('TL10'!$B$229=M$3,SUMIF('TL10'!$C$238:$C$451,$C184,'TL10'!$J$238:$J$451),0),
IF('TL11'!$B$3=M$3,SUMIF('TL11'!$C$10:$C$224,$C184,'TL11'!$J$10:$J$224),0),
IF('TL11'!$B$229=M$3,SUMIF('TL11'!$C$238:$C$451,$C184,'TL11'!$J$238:$J$451),0),
IF('TL12'!$B$3=M$3,SUMIF('TL12'!$C$10:$C$224,$C184,'TL12'!$J$10:$J$224),0),
IF('TL12'!$B$229=M$3,SUMIF('TL12'!$C$238:$C$451,$C184,'TL12'!$J$238:$J$451),0),
IF('TL13'!$B$3=M$3,SUMIF('TL13'!$C$10:$C$224,$C184,'TL13'!$J$10:$J$224),0),
IF('TL13'!$B$229=M$3,SUMIF('TL13'!$C$238:$C$451,$C184,'TL13'!$J$238:$J$451),0),
IF('TL14'!$B$3=M$3,SUMIF('TL14'!$C$10:$C$224,$C184,'TL14'!$J$10:$J$224),0),
IF('TL14'!$B$229=M$3,SUMIF('TL14'!$C$238:$C$451,$C184,'TL14'!$J$238:$J$451),0),
IF('TL15'!$B$3=M$3,SUMIF('TL15'!$C$10:$C$224,$C184,'TL15'!$J$10:$J$224),0),
IF('TL15'!$B$229=M$3,SUMIF('TL15'!$C$238:$C$451,$C184,'TL15'!$J$238:$J$451),0),
IF('TL16'!$B$3=M$3,SUMIF('TL16'!$C$10:$C$224,$C184,'TL16'!$J$10:$J$224),0),
IF('TL16'!$B$229=M$3,SUMIF('TL16'!$C$238:$C$451,$C184,'TL16'!$J$238:$J$451),0),
IF('TL17'!$B$3=M$3,SUMIF('TL17'!$C$10:$C$224,$C184,'TL17'!$J$10:$J$224),0),
IF('TL17'!$B$229=M$3,SUMIF('TL17'!$C$238:$C$451,$C184,'TL17'!$J$238:$J$451),0),
IF('TL18'!$B$3=M$3,SUMIF('TL18'!$C$10:$C$224,$C184,'TL18'!$J$10:$J$224),0),
IF('TL18'!$B$229=M$3,SUMIF('TL18'!$C$238:$C$451,$C184,'TL18'!$J$238:$J$451),0),
IF('TL19'!$B$3=M$3,SUMIF('TL19'!$C$10:$C$224,$C184,'TL19'!$J$10:$J$224),0),
IF('TL19'!$B$229=M$3,SUMIF('TL19'!$C$238:$C$451,$C184,'TL19'!$J$238:$J$451),0)
),0)</f>
        <v/>
      </c>
      <c r="N184" s="9">
        <f>IFERROR(SUM(
IF('TL01'!$B$3=N$3,SUMIF('TL01'!$C$10:$C$224,$C184,'TL01'!$J$10:$J$224),0),
IF('TL01'!$B$229=N$3,SUMIF('TL01'!$C$238:$C$451,$C184,'TL01'!$J$238:$J$451),0),
IF('TL02'!$B$3=N$3,SUMIF('TL02'!$C$10:$C$224,$C184,'TL02'!$J$10:$J$224),0),
IF('TL02'!$B$229=N$3,SUMIF('TL02'!$C$238:$C$451,$C184,'TL02'!$J$238:$J$451),0),
IF('TL03'!$B$3=N$3,SUMIF('TL03'!$C$10:$C$224,$C184,'TL03'!$J$10:$J$224),0),
IF('TL03'!$B$229=N$3,SUMIF('TL03'!$C$238:$C$451,$C184,'TL03'!$J$238:$J$451),0),
IF('TL04'!$B$3=N$3,SUMIF('TL04'!$C$10:$C$224,$C184,'TL04'!$J$10:$J$224),0),
IF('TL04'!$B$229=N$3,SUMIF('TL04'!$C$238:$C$451,$C184,'TL04'!$J$238:$J$451),0),
IF('TL05'!$B$3=N$3,SUMIF('TL05'!$C$10:$C$224,$C184,'TL05'!$J$10:$J$224),0),
IF('TL05'!$B$229=N$3,SUMIF('TL05'!$C$238:$C$451,$C184,'TL05'!$J$238:$J$451),0),
IF('TL06'!$B$3=N$3,SUMIF('TL06'!$C$10:$C$224,$C184,'TL06'!$J$10:$J$224),0),
IF('TL06'!$B$229=N$3,SUMIF('TL06'!$C$238:$C$451,$C184,'TL06'!$J$238:$J$451),0),
IF('TL07'!$B$3=N$3,SUMIF('TL07'!$C$10:$C$224,$C184,'TL07'!$J$10:$J$224),0),
IF('TL07'!$B$229=N$3,SUMIF('TL07'!$C$238:$C$451,$C184,'TL07'!$J$238:$J$451),0),
IF('TL08'!$B$3=N$3,SUMIF('TL08'!$C$10:$C$224,$C184,'TL08'!$J$10:$J$224),0),
IF('TL08'!$B$229=N$3,SUMIF('TL08'!$C$238:$C$451,$C184,'TL08'!$J$238:$J$451),0),
IF('TL09'!$B$3=N$3,SUMIF('TL09'!$C$10:$C$224,$C184,'TL09'!$J$10:$J$224),0),
IF('TL09'!$B$229=N$3,SUMIF('TL09'!$C$238:$C$451,$C184,'TL09'!$J$238:$J$451),0),
IF('TL10'!$B$3=N$3,SUMIF('TL10'!$C$10:$C$224,$C184,'TL10'!$J$10:$J$224),0),
IF('TL10'!$B$229=N$3,SUMIF('TL10'!$C$238:$C$451,$C184,'TL10'!$J$238:$J$451),0),
IF('TL11'!$B$3=N$3,SUMIF('TL11'!$C$10:$C$224,$C184,'TL11'!$J$10:$J$224),0),
IF('TL11'!$B$229=N$3,SUMIF('TL11'!$C$238:$C$451,$C184,'TL11'!$J$238:$J$451),0),
IF('TL12'!$B$3=N$3,SUMIF('TL12'!$C$10:$C$224,$C184,'TL12'!$J$10:$J$224),0),
IF('TL12'!$B$229=N$3,SUMIF('TL12'!$C$238:$C$451,$C184,'TL12'!$J$238:$J$451),0),
IF('TL13'!$B$3=N$3,SUMIF('TL13'!$C$10:$C$224,$C184,'TL13'!$J$10:$J$224),0),
IF('TL13'!$B$229=N$3,SUMIF('TL13'!$C$238:$C$451,$C184,'TL13'!$J$238:$J$451),0),
IF('TL14'!$B$3=N$3,SUMIF('TL14'!$C$10:$C$224,$C184,'TL14'!$J$10:$J$224),0),
IF('TL14'!$B$229=N$3,SUMIF('TL14'!$C$238:$C$451,$C184,'TL14'!$J$238:$J$451),0),
IF('TL15'!$B$3=N$3,SUMIF('TL15'!$C$10:$C$224,$C184,'TL15'!$J$10:$J$224),0),
IF('TL15'!$B$229=N$3,SUMIF('TL15'!$C$238:$C$451,$C184,'TL15'!$J$238:$J$451),0),
IF('TL16'!$B$3=N$3,SUMIF('TL16'!$C$10:$C$224,$C184,'TL16'!$J$10:$J$224),0),
IF('TL16'!$B$229=N$3,SUMIF('TL16'!$C$238:$C$451,$C184,'TL16'!$J$238:$J$451),0),
IF('TL17'!$B$3=N$3,SUMIF('TL17'!$C$10:$C$224,$C184,'TL17'!$J$10:$J$224),0),
IF('TL17'!$B$229=N$3,SUMIF('TL17'!$C$238:$C$451,$C184,'TL17'!$J$238:$J$451),0),
IF('TL18'!$B$3=N$3,SUMIF('TL18'!$C$10:$C$224,$C184,'TL18'!$J$10:$J$224),0),
IF('TL18'!$B$229=N$3,SUMIF('TL18'!$C$238:$C$451,$C184,'TL18'!$J$238:$J$451),0),
IF('TL19'!$B$3=N$3,SUMIF('TL19'!$C$10:$C$224,$C184,'TL19'!$J$10:$J$224),0),
IF('TL19'!$B$229=N$3,SUMIF('TL19'!$C$238:$C$451,$C184,'TL19'!$J$238:$J$451),0)
),0)</f>
        <v/>
      </c>
      <c r="O184" s="9">
        <f>IFERROR(SUM(
IF('TL01'!$B$3=O$3,SUMIF('TL01'!$C$10:$C$224,$C184,'TL01'!$J$10:$J$224),0),
IF('TL01'!$B$229=O$3,SUMIF('TL01'!$C$238:$C$451,$C184,'TL01'!$J$238:$J$451),0),
IF('TL02'!$B$3=O$3,SUMIF('TL02'!$C$10:$C$224,$C184,'TL02'!$J$10:$J$224),0),
IF('TL02'!$B$229=O$3,SUMIF('TL02'!$C$238:$C$451,$C184,'TL02'!$J$238:$J$451),0),
IF('TL03'!$B$3=O$3,SUMIF('TL03'!$C$10:$C$224,$C184,'TL03'!$J$10:$J$224),0),
IF('TL03'!$B$229=O$3,SUMIF('TL03'!$C$238:$C$451,$C184,'TL03'!$J$238:$J$451),0),
IF('TL04'!$B$3=O$3,SUMIF('TL04'!$C$10:$C$224,$C184,'TL04'!$J$10:$J$224),0),
IF('TL04'!$B$229=O$3,SUMIF('TL04'!$C$238:$C$451,$C184,'TL04'!$J$238:$J$451),0),
IF('TL05'!$B$3=O$3,SUMIF('TL05'!$C$10:$C$224,$C184,'TL05'!$J$10:$J$224),0),
IF('TL05'!$B$229=O$3,SUMIF('TL05'!$C$238:$C$451,$C184,'TL05'!$J$238:$J$451),0),
IF('TL06'!$B$3=O$3,SUMIF('TL06'!$C$10:$C$224,$C184,'TL06'!$J$10:$J$224),0),
IF('TL06'!$B$229=O$3,SUMIF('TL06'!$C$238:$C$451,$C184,'TL06'!$J$238:$J$451),0),
IF('TL07'!$B$3=O$3,SUMIF('TL07'!$C$10:$C$224,$C184,'TL07'!$J$10:$J$224),0),
IF('TL07'!$B$229=O$3,SUMIF('TL07'!$C$238:$C$451,$C184,'TL07'!$J$238:$J$451),0),
IF('TL08'!$B$3=O$3,SUMIF('TL08'!$C$10:$C$224,$C184,'TL08'!$J$10:$J$224),0),
IF('TL08'!$B$229=O$3,SUMIF('TL08'!$C$238:$C$451,$C184,'TL08'!$J$238:$J$451),0),
IF('TL09'!$B$3=O$3,SUMIF('TL09'!$C$10:$C$224,$C184,'TL09'!$J$10:$J$224),0),
IF('TL09'!$B$229=O$3,SUMIF('TL09'!$C$238:$C$451,$C184,'TL09'!$J$238:$J$451),0),
IF('TL10'!$B$3=O$3,SUMIF('TL10'!$C$10:$C$224,$C184,'TL10'!$J$10:$J$224),0),
IF('TL10'!$B$229=O$3,SUMIF('TL10'!$C$238:$C$451,$C184,'TL10'!$J$238:$J$451),0),
IF('TL11'!$B$3=O$3,SUMIF('TL11'!$C$10:$C$224,$C184,'TL11'!$J$10:$J$224),0),
IF('TL11'!$B$229=O$3,SUMIF('TL11'!$C$238:$C$451,$C184,'TL11'!$J$238:$J$451),0),
IF('TL12'!$B$3=O$3,SUMIF('TL12'!$C$10:$C$224,$C184,'TL12'!$J$10:$J$224),0),
IF('TL12'!$B$229=O$3,SUMIF('TL12'!$C$238:$C$451,$C184,'TL12'!$J$238:$J$451),0),
IF('TL13'!$B$3=O$3,SUMIF('TL13'!$C$10:$C$224,$C184,'TL13'!$J$10:$J$224),0),
IF('TL13'!$B$229=O$3,SUMIF('TL13'!$C$238:$C$451,$C184,'TL13'!$J$238:$J$451),0),
IF('TL14'!$B$3=O$3,SUMIF('TL14'!$C$10:$C$224,$C184,'TL14'!$J$10:$J$224),0),
IF('TL14'!$B$229=O$3,SUMIF('TL14'!$C$238:$C$451,$C184,'TL14'!$J$238:$J$451),0),
IF('TL15'!$B$3=O$3,SUMIF('TL15'!$C$10:$C$224,$C184,'TL15'!$J$10:$J$224),0),
IF('TL15'!$B$229=O$3,SUMIF('TL15'!$C$238:$C$451,$C184,'TL15'!$J$238:$J$451),0),
IF('TL16'!$B$3=O$3,SUMIF('TL16'!$C$10:$C$224,$C184,'TL16'!$J$10:$J$224),0),
IF('TL16'!$B$229=O$3,SUMIF('TL16'!$C$238:$C$451,$C184,'TL16'!$J$238:$J$451),0),
IF('TL17'!$B$3=O$3,SUMIF('TL17'!$C$10:$C$224,$C184,'TL17'!$J$10:$J$224),0),
IF('TL17'!$B$229=O$3,SUMIF('TL17'!$C$238:$C$451,$C184,'TL17'!$J$238:$J$451),0),
IF('TL18'!$B$3=O$3,SUMIF('TL18'!$C$10:$C$224,$C184,'TL18'!$J$10:$J$224),0),
IF('TL18'!$B$229=O$3,SUMIF('TL18'!$C$238:$C$451,$C184,'TL18'!$J$238:$J$451),0),
IF('TL19'!$B$3=O$3,SUMIF('TL19'!$C$10:$C$224,$C184,'TL19'!$J$10:$J$224),0),
IF('TL19'!$B$229=O$3,SUMIF('TL19'!$C$238:$C$451,$C184,'TL19'!$J$238:$J$451),0)
),0)</f>
        <v/>
      </c>
      <c r="P184" s="9">
        <f>IFERROR(SUM(
IF('TL01'!$B$3=P$3,SUMIF('TL01'!$C$10:$C$224,$C184,'TL01'!$J$10:$J$224),0),
IF('TL01'!$B$229=P$3,SUMIF('TL01'!$C$238:$C$451,$C184,'TL01'!$J$238:$J$451),0),
IF('TL02'!$B$3=P$3,SUMIF('TL02'!$C$10:$C$224,$C184,'TL02'!$J$10:$J$224),0),
IF('TL02'!$B$229=P$3,SUMIF('TL02'!$C$238:$C$451,$C184,'TL02'!$J$238:$J$451),0),
IF('TL03'!$B$3=P$3,SUMIF('TL03'!$C$10:$C$224,$C184,'TL03'!$J$10:$J$224),0),
IF('TL03'!$B$229=P$3,SUMIF('TL03'!$C$238:$C$451,$C184,'TL03'!$J$238:$J$451),0),
IF('TL04'!$B$3=P$3,SUMIF('TL04'!$C$10:$C$224,$C184,'TL04'!$J$10:$J$224),0),
IF('TL04'!$B$229=P$3,SUMIF('TL04'!$C$238:$C$451,$C184,'TL04'!$J$238:$J$451),0),
IF('TL05'!$B$3=P$3,SUMIF('TL05'!$C$10:$C$224,$C184,'TL05'!$J$10:$J$224),0),
IF('TL05'!$B$229=P$3,SUMIF('TL05'!$C$238:$C$451,$C184,'TL05'!$J$238:$J$451),0),
IF('TL06'!$B$3=P$3,SUMIF('TL06'!$C$10:$C$224,$C184,'TL06'!$J$10:$J$224),0),
IF('TL06'!$B$229=P$3,SUMIF('TL06'!$C$238:$C$451,$C184,'TL06'!$J$238:$J$451),0),
IF('TL07'!$B$3=P$3,SUMIF('TL07'!$C$10:$C$224,$C184,'TL07'!$J$10:$J$224),0),
IF('TL07'!$B$229=P$3,SUMIF('TL07'!$C$238:$C$451,$C184,'TL07'!$J$238:$J$451),0),
IF('TL08'!$B$3=P$3,SUMIF('TL08'!$C$10:$C$224,$C184,'TL08'!$J$10:$J$224),0),
IF('TL08'!$B$229=P$3,SUMIF('TL08'!$C$238:$C$451,$C184,'TL08'!$J$238:$J$451),0),
IF('TL09'!$B$3=P$3,SUMIF('TL09'!$C$10:$C$224,$C184,'TL09'!$J$10:$J$224),0),
IF('TL09'!$B$229=P$3,SUMIF('TL09'!$C$238:$C$451,$C184,'TL09'!$J$238:$J$451),0),
IF('TL10'!$B$3=P$3,SUMIF('TL10'!$C$10:$C$224,$C184,'TL10'!$J$10:$J$224),0),
IF('TL10'!$B$229=P$3,SUMIF('TL10'!$C$238:$C$451,$C184,'TL10'!$J$238:$J$451),0),
IF('TL11'!$B$3=P$3,SUMIF('TL11'!$C$10:$C$224,$C184,'TL11'!$J$10:$J$224),0),
IF('TL11'!$B$229=P$3,SUMIF('TL11'!$C$238:$C$451,$C184,'TL11'!$J$238:$J$451),0),
IF('TL12'!$B$3=P$3,SUMIF('TL12'!$C$10:$C$224,$C184,'TL12'!$J$10:$J$224),0),
IF('TL12'!$B$229=P$3,SUMIF('TL12'!$C$238:$C$451,$C184,'TL12'!$J$238:$J$451),0),
IF('TL13'!$B$3=P$3,SUMIF('TL13'!$C$10:$C$224,$C184,'TL13'!$J$10:$J$224),0),
IF('TL13'!$B$229=P$3,SUMIF('TL13'!$C$238:$C$451,$C184,'TL13'!$J$238:$J$451),0),
IF('TL14'!$B$3=P$3,SUMIF('TL14'!$C$10:$C$224,$C184,'TL14'!$J$10:$J$224),0),
IF('TL14'!$B$229=P$3,SUMIF('TL14'!$C$238:$C$451,$C184,'TL14'!$J$238:$J$451),0),
IF('TL15'!$B$3=P$3,SUMIF('TL15'!$C$10:$C$224,$C184,'TL15'!$J$10:$J$224),0),
IF('TL15'!$B$229=P$3,SUMIF('TL15'!$C$238:$C$451,$C184,'TL15'!$J$238:$J$451),0),
IF('TL16'!$B$3=P$3,SUMIF('TL16'!$C$10:$C$224,$C184,'TL16'!$J$10:$J$224),0),
IF('TL16'!$B$229=P$3,SUMIF('TL16'!$C$238:$C$451,$C184,'TL16'!$J$238:$J$451),0),
IF('TL17'!$B$3=P$3,SUMIF('TL17'!$C$10:$C$224,$C184,'TL17'!$J$10:$J$224),0),
IF('TL17'!$B$229=P$3,SUMIF('TL17'!$C$238:$C$451,$C184,'TL17'!$J$238:$J$451),0),
IF('TL18'!$B$3=P$3,SUMIF('TL18'!$C$10:$C$224,$C184,'TL18'!$J$10:$J$224),0),
IF('TL18'!$B$229=P$3,SUMIF('TL18'!$C$238:$C$451,$C184,'TL18'!$J$238:$J$451),0),
IF('TL19'!$B$3=P$3,SUMIF('TL19'!$C$10:$C$224,$C184,'TL19'!$J$10:$J$224),0),
IF('TL19'!$B$229=P$3,SUMIF('TL19'!$C$238:$C$451,$C184,'TL19'!$J$238:$J$451),0)
),0)</f>
        <v/>
      </c>
      <c r="Q184" s="9">
        <f>IFERROR(SUM(
IF('TL01'!$B$3=Q$3,SUMIF('TL01'!$C$10:$C$224,$C184,'TL01'!$J$10:$J$224),0),
IF('TL01'!$B$229=Q$3,SUMIF('TL01'!$C$238:$C$451,$C184,'TL01'!$J$238:$J$451),0),
IF('TL02'!$B$3=Q$3,SUMIF('TL02'!$C$10:$C$224,$C184,'TL02'!$J$10:$J$224),0),
IF('TL02'!$B$229=Q$3,SUMIF('TL02'!$C$238:$C$451,$C184,'TL02'!$J$238:$J$451),0),
IF('TL03'!$B$3=Q$3,SUMIF('TL03'!$C$10:$C$224,$C184,'TL03'!$J$10:$J$224),0),
IF('TL03'!$B$229=Q$3,SUMIF('TL03'!$C$238:$C$451,$C184,'TL03'!$J$238:$J$451),0),
IF('TL04'!$B$3=Q$3,SUMIF('TL04'!$C$10:$C$224,$C184,'TL04'!$J$10:$J$224),0),
IF('TL04'!$B$229=Q$3,SUMIF('TL04'!$C$238:$C$451,$C184,'TL04'!$J$238:$J$451),0),
IF('TL05'!$B$3=Q$3,SUMIF('TL05'!$C$10:$C$224,$C184,'TL05'!$J$10:$J$224),0),
IF('TL05'!$B$229=Q$3,SUMIF('TL05'!$C$238:$C$451,$C184,'TL05'!$J$238:$J$451),0),
IF('TL06'!$B$3=Q$3,SUMIF('TL06'!$C$10:$C$224,$C184,'TL06'!$J$10:$J$224),0),
IF('TL06'!$B$229=Q$3,SUMIF('TL06'!$C$238:$C$451,$C184,'TL06'!$J$238:$J$451),0),
IF('TL07'!$B$3=Q$3,SUMIF('TL07'!$C$10:$C$224,$C184,'TL07'!$J$10:$J$224),0),
IF('TL07'!$B$229=Q$3,SUMIF('TL07'!$C$238:$C$451,$C184,'TL07'!$J$238:$J$451),0),
IF('TL08'!$B$3=Q$3,SUMIF('TL08'!$C$10:$C$224,$C184,'TL08'!$J$10:$J$224),0),
IF('TL08'!$B$229=Q$3,SUMIF('TL08'!$C$238:$C$451,$C184,'TL08'!$J$238:$J$451),0),
IF('TL09'!$B$3=Q$3,SUMIF('TL09'!$C$10:$C$224,$C184,'TL09'!$J$10:$J$224),0),
IF('TL09'!$B$229=Q$3,SUMIF('TL09'!$C$238:$C$451,$C184,'TL09'!$J$238:$J$451),0),
IF('TL10'!$B$3=Q$3,SUMIF('TL10'!$C$10:$C$224,$C184,'TL10'!$J$10:$J$224),0),
IF('TL10'!$B$229=Q$3,SUMIF('TL10'!$C$238:$C$451,$C184,'TL10'!$J$238:$J$451),0),
IF('TL11'!$B$3=Q$3,SUMIF('TL11'!$C$10:$C$224,$C184,'TL11'!$J$10:$J$224),0),
IF('TL11'!$B$229=Q$3,SUMIF('TL11'!$C$238:$C$451,$C184,'TL11'!$J$238:$J$451),0),
IF('TL12'!$B$3=Q$3,SUMIF('TL12'!$C$10:$C$224,$C184,'TL12'!$J$10:$J$224),0),
IF('TL12'!$B$229=Q$3,SUMIF('TL12'!$C$238:$C$451,$C184,'TL12'!$J$238:$J$451),0),
IF('TL13'!$B$3=Q$3,SUMIF('TL13'!$C$10:$C$224,$C184,'TL13'!$J$10:$J$224),0),
IF('TL13'!$B$229=Q$3,SUMIF('TL13'!$C$238:$C$451,$C184,'TL13'!$J$238:$J$451),0),
IF('TL14'!$B$3=Q$3,SUMIF('TL14'!$C$10:$C$224,$C184,'TL14'!$J$10:$J$224),0),
IF('TL14'!$B$229=Q$3,SUMIF('TL14'!$C$238:$C$451,$C184,'TL14'!$J$238:$J$451),0),
IF('TL15'!$B$3=Q$3,SUMIF('TL15'!$C$10:$C$224,$C184,'TL15'!$J$10:$J$224),0),
IF('TL15'!$B$229=Q$3,SUMIF('TL15'!$C$238:$C$451,$C184,'TL15'!$J$238:$J$451),0),
IF('TL16'!$B$3=Q$3,SUMIF('TL16'!$C$10:$C$224,$C184,'TL16'!$J$10:$J$224),0),
IF('TL16'!$B$229=Q$3,SUMIF('TL16'!$C$238:$C$451,$C184,'TL16'!$J$238:$J$451),0),
IF('TL17'!$B$3=Q$3,SUMIF('TL17'!$C$10:$C$224,$C184,'TL17'!$J$10:$J$224),0),
IF('TL17'!$B$229=Q$3,SUMIF('TL17'!$C$238:$C$451,$C184,'TL17'!$J$238:$J$451),0),
IF('TL18'!$B$3=Q$3,SUMIF('TL18'!$C$10:$C$224,$C184,'TL18'!$J$10:$J$224),0),
IF('TL18'!$B$229=Q$3,SUMIF('TL18'!$C$238:$C$451,$C184,'TL18'!$J$238:$J$451),0),
IF('TL19'!$B$3=Q$3,SUMIF('TL19'!$C$10:$C$224,$C184,'TL19'!$J$10:$J$224),0),
IF('TL19'!$B$229=Q$3,SUMIF('TL19'!$C$238:$C$451,$C184,'TL19'!$J$238:$J$451),0)
),0)</f>
        <v/>
      </c>
      <c r="R184" s="9">
        <f>IFERROR(
SUM(
SUMIF('TL01'!C:C,C184,'TL01'!J:J),
SUMIF('TL02'!C:C,C184,'TL02'!J:J),
SUMIF('TL03'!C:C,C184,'TL03'!J:J),
SUMIF('TL04'!C:C,C184,'TL04'!J:J),
SUMIF('TL05'!C:C,C184,'TL05'!J:J),
SUMIF('TL06'!C:C,C184,'TL06'!J:J),
SUMIF('TL07'!C:C,C184,'TL07'!J:J),
SUMIF('TL08'!C:C,C184,'TL08'!J:J),
SUMIF('TL09'!C:C,C184,'TL09'!J:J),
SUMIF('TL10'!C:C,C184,'TL10'!J:J),
SUMIF('TL11'!C:C,C184,'TL11'!J:J),
SUMIF('TL12'!C:C,C184,'TL12'!J:J),
SUMIF('TL13'!C:C,C184,'TL13'!J:J),
SUMIF('TL14'!C:C,C184,'TL14'!J:J),
SUMIF('TL15'!C:C,C184,'TL15'!J:J),
SUMIF('TL16'!C:C,C184,'TL16'!J:J),
SUMIF('TL17'!C:C,C184,'TL17'!J:J),
SUMIF('TL18'!C:C,C184,'TL18'!J:J),SUMIF('TL19'!C:C,C184,'TL19'!J:J))
,0)</f>
        <v/>
      </c>
      <c r="S184" s="17">
        <f>IFERROR(__xludf.DUMMYFUNCTION("IFERROR(VLOOKUP(C184,
IMPORTRANGE(""1wULbzX32WdYsx-lj2U3uUNBBe2INVIRDtcK0d-Dvl90"",
""26-27!C:G""),
5,
FALSE),
"""")"),27.38718)</f>
        <v/>
      </c>
      <c r="T184" s="9" t="n"/>
      <c r="U184" s="92">
        <f>MAX(0,R184-T184)</f>
        <v/>
      </c>
      <c r="V184" s="93">
        <f>U184*S184</f>
        <v/>
      </c>
    </row>
    <row r="185" hidden="1" ht="15.75" customHeight="1" s="297">
      <c r="A185" s="94" t="inlineStr">
        <is>
          <t>BAYER</t>
        </is>
      </c>
      <c r="B185" s="95" t="inlineStr">
        <is>
          <t>INSETICIDA</t>
        </is>
      </c>
      <c r="C185" s="96" t="inlineStr">
        <is>
          <t>CURBIX 200 SC</t>
        </is>
      </c>
      <c r="D185" s="96" t="inlineStr">
        <is>
          <t>ETIPROLE</t>
        </is>
      </c>
      <c r="E185" s="96" t="n">
        <v>200</v>
      </c>
      <c r="F185" s="4" t="inlineStr">
        <is>
          <t>L</t>
        </is>
      </c>
      <c r="G185" s="90">
        <f>HYPERLINK("https://www.google.com/search?q=" &amp; C185 &amp; "+bula+agrofit+pdf", "📄 Ver bula")</f>
        <v/>
      </c>
      <c r="H185" s="9">
        <f>IFERROR(__xludf.DUMMYFUNCTION("IFERROR(VLOOKUP(C185,
IMPORTRANGE(""1wULbzX32WdYsx-lj2U3uUNBBe2INVIRDtcK0d-Dvl90"",
""26-27!C:K""),
8,
FALSE),
"""")"),0.75)</f>
        <v/>
      </c>
      <c r="I185" s="97" t="inlineStr">
        <is>
          <t>1x20</t>
        </is>
      </c>
      <c r="J185" s="9">
        <f>IFERROR(SUM(
IF('TL01'!$B$3=J$3,SUMIF('TL01'!$C$10:$C$224,$C185,'TL01'!$J$10:$J$224),0),
IF('TL01'!$B$229=J$3,SUMIF('TL01'!$C$238:$C$451,$C185,'TL01'!$J$238:$J$451),0),
IF('TL02'!$B$3=J$3,SUMIF('TL02'!$C$10:$C$224,$C185,'TL02'!$J$10:$J$224),0),
IF('TL02'!$B$229=J$3,SUMIF('TL02'!$C$238:$C$451,$C185,'TL02'!$J$238:$J$451),0),
IF('TL03'!$B$3=J$3,SUMIF('TL03'!$C$10:$C$224,$C185,'TL03'!$J$10:$J$224),0),
IF('TL03'!$B$229=J$3,SUMIF('TL03'!$C$238:$C$451,$C185,'TL03'!$J$238:$J$451),0),
IF('TL04'!$B$3=J$3,SUMIF('TL04'!$C$10:$C$224,$C185,'TL04'!$J$10:$J$224),0),
IF('TL04'!$B$229=J$3,SUMIF('TL04'!$C$238:$C$451,$C185,'TL04'!$J$238:$J$451),0),
IF('TL05'!$B$3=J$3,SUMIF('TL05'!$C$10:$C$224,$C185,'TL05'!$J$10:$J$224),0),
IF('TL05'!$B$229=J$3,SUMIF('TL05'!$C$238:$C$451,$C185,'TL05'!$J$238:$J$451),0),
IF('TL06'!$B$3=J$3,SUMIF('TL06'!$C$10:$C$224,$C185,'TL06'!$J$10:$J$224),0),
IF('TL06'!$B$229=J$3,SUMIF('TL06'!$C$238:$C$451,$C185,'TL06'!$J$238:$J$451),0),
IF('TL07'!$B$3=J$3,SUMIF('TL07'!$C$10:$C$224,$C185,'TL07'!$J$10:$J$224),0),
IF('TL07'!$B$229=J$3,SUMIF('TL07'!$C$238:$C$451,$C185,'TL07'!$J$238:$J$451),0),
IF('TL08'!$B$3=J$3,SUMIF('TL08'!$C$10:$C$224,$C185,'TL08'!$J$10:$J$224),0),
IF('TL08'!$B$229=J$3,SUMIF('TL08'!$C$238:$C$451,$C185,'TL08'!$J$238:$J$451),0),
IF('TL09'!$B$3=J$3,SUMIF('TL09'!$C$10:$C$224,$C185,'TL09'!$J$10:$J$224),0),
IF('TL09'!$B$229=J$3,SUMIF('TL09'!$C$238:$C$451,$C185,'TL09'!$J$238:$J$451),0),
IF('TL10'!$B$3=J$3,SUMIF('TL10'!$C$10:$C$224,$C185,'TL10'!$J$10:$J$224),0),
IF('TL10'!$B$229=J$3,SUMIF('TL10'!$C$238:$C$451,$C185,'TL10'!$J$238:$J$451),0),
IF('TL11'!$B$3=J$3,SUMIF('TL11'!$C$10:$C$224,$C185,'TL11'!$J$10:$J$224),0),
IF('TL11'!$B$229=J$3,SUMIF('TL11'!$C$238:$C$451,$C185,'TL11'!$J$238:$J$451),0),
IF('TL12'!$B$3=J$3,SUMIF('TL12'!$C$10:$C$224,$C185,'TL12'!$J$10:$J$224),0),
IF('TL12'!$B$229=J$3,SUMIF('TL12'!$C$238:$C$451,$C185,'TL12'!$J$238:$J$451),0),
IF('TL13'!$B$3=J$3,SUMIF('TL13'!$C$10:$C$224,$C185,'TL13'!$J$10:$J$224),0),
IF('TL13'!$B$229=J$3,SUMIF('TL13'!$C$238:$C$451,$C185,'TL13'!$J$238:$J$451),0),
IF('TL14'!$B$3=J$3,SUMIF('TL14'!$C$10:$C$224,$C185,'TL14'!$J$10:$J$224),0),
IF('TL14'!$B$229=J$3,SUMIF('TL14'!$C$238:$C$451,$C185,'TL14'!$J$238:$J$451),0),
IF('TL15'!$B$3=J$3,SUMIF('TL15'!$C$10:$C$224,$C185,'TL15'!$J$10:$J$224),0),
IF('TL15'!$B$229=J$3,SUMIF('TL15'!$C$238:$C$451,$C185,'TL15'!$J$238:$J$451),0),
IF('TL16'!$B$3=J$3,SUMIF('TL16'!$C$10:$C$224,$C185,'TL16'!$J$10:$J$224),0),
IF('TL16'!$B$229=J$3,SUMIF('TL16'!$C$238:$C$451,$C185,'TL16'!$J$238:$J$451),0),
IF('TL17'!$B$3=J$3,SUMIF('TL17'!$C$10:$C$224,$C185,'TL17'!$J$10:$J$224),0),
IF('TL17'!$B$229=J$3,SUMIF('TL17'!$C$238:$C$451,$C185,'TL17'!$J$238:$J$451),0),
IF('TL18'!$B$3=J$3,SUMIF('TL18'!$C$10:$C$224,$C185,'TL18'!$J$10:$J$224),0),
IF('TL18'!$B$229=J$3,SUMIF('TL18'!$C$238:$C$451,$C185,'TL18'!$J$238:$J$451),0),
IF('TL19'!$B$3=J$3,SUMIF('TL19'!$C$10:$C$224,$C185,'TL19'!$J$10:$J$224),0),
IF('TL19'!$B$229=J$3,SUMIF('TL19'!$C$238:$C$451,$C185,'TL19'!$J$238:$J$451),0)
),0)</f>
        <v/>
      </c>
      <c r="K185" s="9">
        <f>IFERROR(SUM(
IF('TL01'!$B$3=K$3,SUMIF('TL01'!$C$10:$C$224,$C185,'TL01'!$J$10:$J$224),0),
IF('TL01'!$B$229=K$3,SUMIF('TL01'!$C$238:$C$451,$C185,'TL01'!$J$238:$J$451),0),
IF('TL02'!$B$3=K$3,SUMIF('TL02'!$C$10:$C$224,$C185,'TL02'!$J$10:$J$224),0),
IF('TL02'!$B$229=K$3,SUMIF('TL02'!$C$238:$C$451,$C185,'TL02'!$J$238:$J$451),0),
IF('TL03'!$B$3=K$3,SUMIF('TL03'!$C$10:$C$224,$C185,'TL03'!$J$10:$J$224),0),
IF('TL03'!$B$229=K$3,SUMIF('TL03'!$C$238:$C$451,$C185,'TL03'!$J$238:$J$451),0),
IF('TL04'!$B$3=K$3,SUMIF('TL04'!$C$10:$C$224,$C185,'TL04'!$J$10:$J$224),0),
IF('TL04'!$B$229=K$3,SUMIF('TL04'!$C$238:$C$451,$C185,'TL04'!$J$238:$J$451),0),
IF('TL05'!$B$3=K$3,SUMIF('TL05'!$C$10:$C$224,$C185,'TL05'!$J$10:$J$224),0),
IF('TL05'!$B$229=K$3,SUMIF('TL05'!$C$238:$C$451,$C185,'TL05'!$J$238:$J$451),0),
IF('TL06'!$B$3=K$3,SUMIF('TL06'!$C$10:$C$224,$C185,'TL06'!$J$10:$J$224),0),
IF('TL06'!$B$229=K$3,SUMIF('TL06'!$C$238:$C$451,$C185,'TL06'!$J$238:$J$451),0),
IF('TL07'!$B$3=K$3,SUMIF('TL07'!$C$10:$C$224,$C185,'TL07'!$J$10:$J$224),0),
IF('TL07'!$B$229=K$3,SUMIF('TL07'!$C$238:$C$451,$C185,'TL07'!$J$238:$J$451),0),
IF('TL08'!$B$3=K$3,SUMIF('TL08'!$C$10:$C$224,$C185,'TL08'!$J$10:$J$224),0),
IF('TL08'!$B$229=K$3,SUMIF('TL08'!$C$238:$C$451,$C185,'TL08'!$J$238:$J$451),0),
IF('TL09'!$B$3=K$3,SUMIF('TL09'!$C$10:$C$224,$C185,'TL09'!$J$10:$J$224),0),
IF('TL09'!$B$229=K$3,SUMIF('TL09'!$C$238:$C$451,$C185,'TL09'!$J$238:$J$451),0),
IF('TL10'!$B$3=K$3,SUMIF('TL10'!$C$10:$C$224,$C185,'TL10'!$J$10:$J$224),0),
IF('TL10'!$B$229=K$3,SUMIF('TL10'!$C$238:$C$451,$C185,'TL10'!$J$238:$J$451),0),
IF('TL11'!$B$3=K$3,SUMIF('TL11'!$C$10:$C$224,$C185,'TL11'!$J$10:$J$224),0),
IF('TL11'!$B$229=K$3,SUMIF('TL11'!$C$238:$C$451,$C185,'TL11'!$J$238:$J$451),0),
IF('TL12'!$B$3=K$3,SUMIF('TL12'!$C$10:$C$224,$C185,'TL12'!$J$10:$J$224),0),
IF('TL12'!$B$229=K$3,SUMIF('TL12'!$C$238:$C$451,$C185,'TL12'!$J$238:$J$451),0),
IF('TL13'!$B$3=K$3,SUMIF('TL13'!$C$10:$C$224,$C185,'TL13'!$J$10:$J$224),0),
IF('TL13'!$B$229=K$3,SUMIF('TL13'!$C$238:$C$451,$C185,'TL13'!$J$238:$J$451),0),
IF('TL14'!$B$3=K$3,SUMIF('TL14'!$C$10:$C$224,$C185,'TL14'!$J$10:$J$224),0),
IF('TL14'!$B$229=K$3,SUMIF('TL14'!$C$238:$C$451,$C185,'TL14'!$J$238:$J$451),0),
IF('TL15'!$B$3=K$3,SUMIF('TL15'!$C$10:$C$224,$C185,'TL15'!$J$10:$J$224),0),
IF('TL15'!$B$229=K$3,SUMIF('TL15'!$C$238:$C$451,$C185,'TL15'!$J$238:$J$451),0),
IF('TL16'!$B$3=K$3,SUMIF('TL16'!$C$10:$C$224,$C185,'TL16'!$J$10:$J$224),0),
IF('TL16'!$B$229=K$3,SUMIF('TL16'!$C$238:$C$451,$C185,'TL16'!$J$238:$J$451),0),
IF('TL17'!$B$3=K$3,SUMIF('TL17'!$C$10:$C$224,$C185,'TL17'!$J$10:$J$224),0),
IF('TL17'!$B$229=K$3,SUMIF('TL17'!$C$238:$C$451,$C185,'TL17'!$J$238:$J$451),0),
IF('TL18'!$B$3=K$3,SUMIF('TL18'!$C$10:$C$224,$C185,'TL18'!$J$10:$J$224),0),
IF('TL18'!$B$229=K$3,SUMIF('TL18'!$C$238:$C$451,$C185,'TL18'!$J$238:$J$451),0),
IF('TL19'!$B$3=K$3,SUMIF('TL19'!$C$10:$C$224,$C185,'TL19'!$J$10:$J$224),0),
IF('TL19'!$B$229=K$3,SUMIF('TL19'!$C$238:$C$451,$C185,'TL19'!$J$238:$J$451),0)
),0)</f>
        <v/>
      </c>
      <c r="L185" s="9">
        <f>IFERROR(SUM(
IF('TL01'!$B$3=L$3,SUMIF('TL01'!$C$10:$C$224,$C185,'TL01'!$J$10:$J$224),0),
IF('TL01'!$B$229=L$3,SUMIF('TL01'!$C$238:$C$451,$C185,'TL01'!$J$238:$J$451),0),
IF('TL02'!$B$3=L$3,SUMIF('TL02'!$C$10:$C$224,$C185,'TL02'!$J$10:$J$224),0),
IF('TL02'!$B$229=L$3,SUMIF('TL02'!$C$238:$C$451,$C185,'TL02'!$J$238:$J$451),0),
IF('TL03'!$B$3=L$3,SUMIF('TL03'!$C$10:$C$224,$C185,'TL03'!$J$10:$J$224),0),
IF('TL03'!$B$229=L$3,SUMIF('TL03'!$C$238:$C$451,$C185,'TL03'!$J$238:$J$451),0),
IF('TL04'!$B$3=L$3,SUMIF('TL04'!$C$10:$C$224,$C185,'TL04'!$J$10:$J$224),0),
IF('TL04'!$B$229=L$3,SUMIF('TL04'!$C$238:$C$451,$C185,'TL04'!$J$238:$J$451),0),
IF('TL05'!$B$3=L$3,SUMIF('TL05'!$C$10:$C$224,$C185,'TL05'!$J$10:$J$224),0),
IF('TL05'!$B$229=L$3,SUMIF('TL05'!$C$238:$C$451,$C185,'TL05'!$J$238:$J$451),0),
IF('TL06'!$B$3=L$3,SUMIF('TL06'!$C$10:$C$224,$C185,'TL06'!$J$10:$J$224),0),
IF('TL06'!$B$229=L$3,SUMIF('TL06'!$C$238:$C$451,$C185,'TL06'!$J$238:$J$451),0),
IF('TL07'!$B$3=L$3,SUMIF('TL07'!$C$10:$C$224,$C185,'TL07'!$J$10:$J$224),0),
IF('TL07'!$B$229=L$3,SUMIF('TL07'!$C$238:$C$451,$C185,'TL07'!$J$238:$J$451),0),
IF('TL08'!$B$3=L$3,SUMIF('TL08'!$C$10:$C$224,$C185,'TL08'!$J$10:$J$224),0),
IF('TL08'!$B$229=L$3,SUMIF('TL08'!$C$238:$C$451,$C185,'TL08'!$J$238:$J$451),0),
IF('TL09'!$B$3=L$3,SUMIF('TL09'!$C$10:$C$224,$C185,'TL09'!$J$10:$J$224),0),
IF('TL09'!$B$229=L$3,SUMIF('TL09'!$C$238:$C$451,$C185,'TL09'!$J$238:$J$451),0),
IF('TL10'!$B$3=L$3,SUMIF('TL10'!$C$10:$C$224,$C185,'TL10'!$J$10:$J$224),0),
IF('TL10'!$B$229=L$3,SUMIF('TL10'!$C$238:$C$451,$C185,'TL10'!$J$238:$J$451),0),
IF('TL11'!$B$3=L$3,SUMIF('TL11'!$C$10:$C$224,$C185,'TL11'!$J$10:$J$224),0),
IF('TL11'!$B$229=L$3,SUMIF('TL11'!$C$238:$C$451,$C185,'TL11'!$J$238:$J$451),0),
IF('TL12'!$B$3=L$3,SUMIF('TL12'!$C$10:$C$224,$C185,'TL12'!$J$10:$J$224),0),
IF('TL12'!$B$229=L$3,SUMIF('TL12'!$C$238:$C$451,$C185,'TL12'!$J$238:$J$451),0),
IF('TL13'!$B$3=L$3,SUMIF('TL13'!$C$10:$C$224,$C185,'TL13'!$J$10:$J$224),0),
IF('TL13'!$B$229=L$3,SUMIF('TL13'!$C$238:$C$451,$C185,'TL13'!$J$238:$J$451),0),
IF('TL14'!$B$3=L$3,SUMIF('TL14'!$C$10:$C$224,$C185,'TL14'!$J$10:$J$224),0),
IF('TL14'!$B$229=L$3,SUMIF('TL14'!$C$238:$C$451,$C185,'TL14'!$J$238:$J$451),0),
IF('TL15'!$B$3=L$3,SUMIF('TL15'!$C$10:$C$224,$C185,'TL15'!$J$10:$J$224),0),
IF('TL15'!$B$229=L$3,SUMIF('TL15'!$C$238:$C$451,$C185,'TL15'!$J$238:$J$451),0),
IF('TL16'!$B$3=L$3,SUMIF('TL16'!$C$10:$C$224,$C185,'TL16'!$J$10:$J$224),0),
IF('TL16'!$B$229=L$3,SUMIF('TL16'!$C$238:$C$451,$C185,'TL16'!$J$238:$J$451),0),
IF('TL17'!$B$3=L$3,SUMIF('TL17'!$C$10:$C$224,$C185,'TL17'!$J$10:$J$224),0),
IF('TL17'!$B$229=L$3,SUMIF('TL17'!$C$238:$C$451,$C185,'TL17'!$J$238:$J$451),0),
IF('TL18'!$B$3=L$3,SUMIF('TL18'!$C$10:$C$224,$C185,'TL18'!$J$10:$J$224),0),
IF('TL18'!$B$229=L$3,SUMIF('TL18'!$C$238:$C$451,$C185,'TL18'!$J$238:$J$451),0),
IF('TL19'!$B$3=L$3,SUMIF('TL19'!$C$10:$C$224,$C185,'TL19'!$J$10:$J$224),0),
IF('TL19'!$B$229=L$3,SUMIF('TL19'!$C$238:$C$451,$C185,'TL19'!$J$238:$J$451),0)
),0)</f>
        <v/>
      </c>
      <c r="M185" s="9">
        <f>IFERROR(SUM(
IF('TL01'!$B$3=M$3,SUMIF('TL01'!$C$10:$C$224,$C185,'TL01'!$J$10:$J$224),0),
IF('TL01'!$B$229=M$3,SUMIF('TL01'!$C$238:$C$451,$C185,'TL01'!$J$238:$J$451),0),
IF('TL02'!$B$3=M$3,SUMIF('TL02'!$C$10:$C$224,$C185,'TL02'!$J$10:$J$224),0),
IF('TL02'!$B$229=M$3,SUMIF('TL02'!$C$238:$C$451,$C185,'TL02'!$J$238:$J$451),0),
IF('TL03'!$B$3=M$3,SUMIF('TL03'!$C$10:$C$224,$C185,'TL03'!$J$10:$J$224),0),
IF('TL03'!$B$229=M$3,SUMIF('TL03'!$C$238:$C$451,$C185,'TL03'!$J$238:$J$451),0),
IF('TL04'!$B$3=M$3,SUMIF('TL04'!$C$10:$C$224,$C185,'TL04'!$J$10:$J$224),0),
IF('TL04'!$B$229=M$3,SUMIF('TL04'!$C$238:$C$451,$C185,'TL04'!$J$238:$J$451),0),
IF('TL05'!$B$3=M$3,SUMIF('TL05'!$C$10:$C$224,$C185,'TL05'!$J$10:$J$224),0),
IF('TL05'!$B$229=M$3,SUMIF('TL05'!$C$238:$C$451,$C185,'TL05'!$J$238:$J$451),0),
IF('TL06'!$B$3=M$3,SUMIF('TL06'!$C$10:$C$224,$C185,'TL06'!$J$10:$J$224),0),
IF('TL06'!$B$229=M$3,SUMIF('TL06'!$C$238:$C$451,$C185,'TL06'!$J$238:$J$451),0),
IF('TL07'!$B$3=M$3,SUMIF('TL07'!$C$10:$C$224,$C185,'TL07'!$J$10:$J$224),0),
IF('TL07'!$B$229=M$3,SUMIF('TL07'!$C$238:$C$451,$C185,'TL07'!$J$238:$J$451),0),
IF('TL08'!$B$3=M$3,SUMIF('TL08'!$C$10:$C$224,$C185,'TL08'!$J$10:$J$224),0),
IF('TL08'!$B$229=M$3,SUMIF('TL08'!$C$238:$C$451,$C185,'TL08'!$J$238:$J$451),0),
IF('TL09'!$B$3=M$3,SUMIF('TL09'!$C$10:$C$224,$C185,'TL09'!$J$10:$J$224),0),
IF('TL09'!$B$229=M$3,SUMIF('TL09'!$C$238:$C$451,$C185,'TL09'!$J$238:$J$451),0),
IF('TL10'!$B$3=M$3,SUMIF('TL10'!$C$10:$C$224,$C185,'TL10'!$J$10:$J$224),0),
IF('TL10'!$B$229=M$3,SUMIF('TL10'!$C$238:$C$451,$C185,'TL10'!$J$238:$J$451),0),
IF('TL11'!$B$3=M$3,SUMIF('TL11'!$C$10:$C$224,$C185,'TL11'!$J$10:$J$224),0),
IF('TL11'!$B$229=M$3,SUMIF('TL11'!$C$238:$C$451,$C185,'TL11'!$J$238:$J$451),0),
IF('TL12'!$B$3=M$3,SUMIF('TL12'!$C$10:$C$224,$C185,'TL12'!$J$10:$J$224),0),
IF('TL12'!$B$229=M$3,SUMIF('TL12'!$C$238:$C$451,$C185,'TL12'!$J$238:$J$451),0),
IF('TL13'!$B$3=M$3,SUMIF('TL13'!$C$10:$C$224,$C185,'TL13'!$J$10:$J$224),0),
IF('TL13'!$B$229=M$3,SUMIF('TL13'!$C$238:$C$451,$C185,'TL13'!$J$238:$J$451),0),
IF('TL14'!$B$3=M$3,SUMIF('TL14'!$C$10:$C$224,$C185,'TL14'!$J$10:$J$224),0),
IF('TL14'!$B$229=M$3,SUMIF('TL14'!$C$238:$C$451,$C185,'TL14'!$J$238:$J$451),0),
IF('TL15'!$B$3=M$3,SUMIF('TL15'!$C$10:$C$224,$C185,'TL15'!$J$10:$J$224),0),
IF('TL15'!$B$229=M$3,SUMIF('TL15'!$C$238:$C$451,$C185,'TL15'!$J$238:$J$451),0),
IF('TL16'!$B$3=M$3,SUMIF('TL16'!$C$10:$C$224,$C185,'TL16'!$J$10:$J$224),0),
IF('TL16'!$B$229=M$3,SUMIF('TL16'!$C$238:$C$451,$C185,'TL16'!$J$238:$J$451),0),
IF('TL17'!$B$3=M$3,SUMIF('TL17'!$C$10:$C$224,$C185,'TL17'!$J$10:$J$224),0),
IF('TL17'!$B$229=M$3,SUMIF('TL17'!$C$238:$C$451,$C185,'TL17'!$J$238:$J$451),0),
IF('TL18'!$B$3=M$3,SUMIF('TL18'!$C$10:$C$224,$C185,'TL18'!$J$10:$J$224),0),
IF('TL18'!$B$229=M$3,SUMIF('TL18'!$C$238:$C$451,$C185,'TL18'!$J$238:$J$451),0),
IF('TL19'!$B$3=M$3,SUMIF('TL19'!$C$10:$C$224,$C185,'TL19'!$J$10:$J$224),0),
IF('TL19'!$B$229=M$3,SUMIF('TL19'!$C$238:$C$451,$C185,'TL19'!$J$238:$J$451),0)
),0)</f>
        <v/>
      </c>
      <c r="N185" s="9">
        <f>IFERROR(SUM(
IF('TL01'!$B$3=N$3,SUMIF('TL01'!$C$10:$C$224,$C185,'TL01'!$J$10:$J$224),0),
IF('TL01'!$B$229=N$3,SUMIF('TL01'!$C$238:$C$451,$C185,'TL01'!$J$238:$J$451),0),
IF('TL02'!$B$3=N$3,SUMIF('TL02'!$C$10:$C$224,$C185,'TL02'!$J$10:$J$224),0),
IF('TL02'!$B$229=N$3,SUMIF('TL02'!$C$238:$C$451,$C185,'TL02'!$J$238:$J$451),0),
IF('TL03'!$B$3=N$3,SUMIF('TL03'!$C$10:$C$224,$C185,'TL03'!$J$10:$J$224),0),
IF('TL03'!$B$229=N$3,SUMIF('TL03'!$C$238:$C$451,$C185,'TL03'!$J$238:$J$451),0),
IF('TL04'!$B$3=N$3,SUMIF('TL04'!$C$10:$C$224,$C185,'TL04'!$J$10:$J$224),0),
IF('TL04'!$B$229=N$3,SUMIF('TL04'!$C$238:$C$451,$C185,'TL04'!$J$238:$J$451),0),
IF('TL05'!$B$3=N$3,SUMIF('TL05'!$C$10:$C$224,$C185,'TL05'!$J$10:$J$224),0),
IF('TL05'!$B$229=N$3,SUMIF('TL05'!$C$238:$C$451,$C185,'TL05'!$J$238:$J$451),0),
IF('TL06'!$B$3=N$3,SUMIF('TL06'!$C$10:$C$224,$C185,'TL06'!$J$10:$J$224),0),
IF('TL06'!$B$229=N$3,SUMIF('TL06'!$C$238:$C$451,$C185,'TL06'!$J$238:$J$451),0),
IF('TL07'!$B$3=N$3,SUMIF('TL07'!$C$10:$C$224,$C185,'TL07'!$J$10:$J$224),0),
IF('TL07'!$B$229=N$3,SUMIF('TL07'!$C$238:$C$451,$C185,'TL07'!$J$238:$J$451),0),
IF('TL08'!$B$3=N$3,SUMIF('TL08'!$C$10:$C$224,$C185,'TL08'!$J$10:$J$224),0),
IF('TL08'!$B$229=N$3,SUMIF('TL08'!$C$238:$C$451,$C185,'TL08'!$J$238:$J$451),0),
IF('TL09'!$B$3=N$3,SUMIF('TL09'!$C$10:$C$224,$C185,'TL09'!$J$10:$J$224),0),
IF('TL09'!$B$229=N$3,SUMIF('TL09'!$C$238:$C$451,$C185,'TL09'!$J$238:$J$451),0),
IF('TL10'!$B$3=N$3,SUMIF('TL10'!$C$10:$C$224,$C185,'TL10'!$J$10:$J$224),0),
IF('TL10'!$B$229=N$3,SUMIF('TL10'!$C$238:$C$451,$C185,'TL10'!$J$238:$J$451),0),
IF('TL11'!$B$3=N$3,SUMIF('TL11'!$C$10:$C$224,$C185,'TL11'!$J$10:$J$224),0),
IF('TL11'!$B$229=N$3,SUMIF('TL11'!$C$238:$C$451,$C185,'TL11'!$J$238:$J$451),0),
IF('TL12'!$B$3=N$3,SUMIF('TL12'!$C$10:$C$224,$C185,'TL12'!$J$10:$J$224),0),
IF('TL12'!$B$229=N$3,SUMIF('TL12'!$C$238:$C$451,$C185,'TL12'!$J$238:$J$451),0),
IF('TL13'!$B$3=N$3,SUMIF('TL13'!$C$10:$C$224,$C185,'TL13'!$J$10:$J$224),0),
IF('TL13'!$B$229=N$3,SUMIF('TL13'!$C$238:$C$451,$C185,'TL13'!$J$238:$J$451),0),
IF('TL14'!$B$3=N$3,SUMIF('TL14'!$C$10:$C$224,$C185,'TL14'!$J$10:$J$224),0),
IF('TL14'!$B$229=N$3,SUMIF('TL14'!$C$238:$C$451,$C185,'TL14'!$J$238:$J$451),0),
IF('TL15'!$B$3=N$3,SUMIF('TL15'!$C$10:$C$224,$C185,'TL15'!$J$10:$J$224),0),
IF('TL15'!$B$229=N$3,SUMIF('TL15'!$C$238:$C$451,$C185,'TL15'!$J$238:$J$451),0),
IF('TL16'!$B$3=N$3,SUMIF('TL16'!$C$10:$C$224,$C185,'TL16'!$J$10:$J$224),0),
IF('TL16'!$B$229=N$3,SUMIF('TL16'!$C$238:$C$451,$C185,'TL16'!$J$238:$J$451),0),
IF('TL17'!$B$3=N$3,SUMIF('TL17'!$C$10:$C$224,$C185,'TL17'!$J$10:$J$224),0),
IF('TL17'!$B$229=N$3,SUMIF('TL17'!$C$238:$C$451,$C185,'TL17'!$J$238:$J$451),0),
IF('TL18'!$B$3=N$3,SUMIF('TL18'!$C$10:$C$224,$C185,'TL18'!$J$10:$J$224),0),
IF('TL18'!$B$229=N$3,SUMIF('TL18'!$C$238:$C$451,$C185,'TL18'!$J$238:$J$451),0),
IF('TL19'!$B$3=N$3,SUMIF('TL19'!$C$10:$C$224,$C185,'TL19'!$J$10:$J$224),0),
IF('TL19'!$B$229=N$3,SUMIF('TL19'!$C$238:$C$451,$C185,'TL19'!$J$238:$J$451),0)
),0)</f>
        <v/>
      </c>
      <c r="O185" s="9">
        <f>IFERROR(SUM(
IF('TL01'!$B$3=O$3,SUMIF('TL01'!$C$10:$C$224,$C185,'TL01'!$J$10:$J$224),0),
IF('TL01'!$B$229=O$3,SUMIF('TL01'!$C$238:$C$451,$C185,'TL01'!$J$238:$J$451),0),
IF('TL02'!$B$3=O$3,SUMIF('TL02'!$C$10:$C$224,$C185,'TL02'!$J$10:$J$224),0),
IF('TL02'!$B$229=O$3,SUMIF('TL02'!$C$238:$C$451,$C185,'TL02'!$J$238:$J$451),0),
IF('TL03'!$B$3=O$3,SUMIF('TL03'!$C$10:$C$224,$C185,'TL03'!$J$10:$J$224),0),
IF('TL03'!$B$229=O$3,SUMIF('TL03'!$C$238:$C$451,$C185,'TL03'!$J$238:$J$451),0),
IF('TL04'!$B$3=O$3,SUMIF('TL04'!$C$10:$C$224,$C185,'TL04'!$J$10:$J$224),0),
IF('TL04'!$B$229=O$3,SUMIF('TL04'!$C$238:$C$451,$C185,'TL04'!$J$238:$J$451),0),
IF('TL05'!$B$3=O$3,SUMIF('TL05'!$C$10:$C$224,$C185,'TL05'!$J$10:$J$224),0),
IF('TL05'!$B$229=O$3,SUMIF('TL05'!$C$238:$C$451,$C185,'TL05'!$J$238:$J$451),0),
IF('TL06'!$B$3=O$3,SUMIF('TL06'!$C$10:$C$224,$C185,'TL06'!$J$10:$J$224),0),
IF('TL06'!$B$229=O$3,SUMIF('TL06'!$C$238:$C$451,$C185,'TL06'!$J$238:$J$451),0),
IF('TL07'!$B$3=O$3,SUMIF('TL07'!$C$10:$C$224,$C185,'TL07'!$J$10:$J$224),0),
IF('TL07'!$B$229=O$3,SUMIF('TL07'!$C$238:$C$451,$C185,'TL07'!$J$238:$J$451),0),
IF('TL08'!$B$3=O$3,SUMIF('TL08'!$C$10:$C$224,$C185,'TL08'!$J$10:$J$224),0),
IF('TL08'!$B$229=O$3,SUMIF('TL08'!$C$238:$C$451,$C185,'TL08'!$J$238:$J$451),0),
IF('TL09'!$B$3=O$3,SUMIF('TL09'!$C$10:$C$224,$C185,'TL09'!$J$10:$J$224),0),
IF('TL09'!$B$229=O$3,SUMIF('TL09'!$C$238:$C$451,$C185,'TL09'!$J$238:$J$451),0),
IF('TL10'!$B$3=O$3,SUMIF('TL10'!$C$10:$C$224,$C185,'TL10'!$J$10:$J$224),0),
IF('TL10'!$B$229=O$3,SUMIF('TL10'!$C$238:$C$451,$C185,'TL10'!$J$238:$J$451),0),
IF('TL11'!$B$3=O$3,SUMIF('TL11'!$C$10:$C$224,$C185,'TL11'!$J$10:$J$224),0),
IF('TL11'!$B$229=O$3,SUMIF('TL11'!$C$238:$C$451,$C185,'TL11'!$J$238:$J$451),0),
IF('TL12'!$B$3=O$3,SUMIF('TL12'!$C$10:$C$224,$C185,'TL12'!$J$10:$J$224),0),
IF('TL12'!$B$229=O$3,SUMIF('TL12'!$C$238:$C$451,$C185,'TL12'!$J$238:$J$451),0),
IF('TL13'!$B$3=O$3,SUMIF('TL13'!$C$10:$C$224,$C185,'TL13'!$J$10:$J$224),0),
IF('TL13'!$B$229=O$3,SUMIF('TL13'!$C$238:$C$451,$C185,'TL13'!$J$238:$J$451),0),
IF('TL14'!$B$3=O$3,SUMIF('TL14'!$C$10:$C$224,$C185,'TL14'!$J$10:$J$224),0),
IF('TL14'!$B$229=O$3,SUMIF('TL14'!$C$238:$C$451,$C185,'TL14'!$J$238:$J$451),0),
IF('TL15'!$B$3=O$3,SUMIF('TL15'!$C$10:$C$224,$C185,'TL15'!$J$10:$J$224),0),
IF('TL15'!$B$229=O$3,SUMIF('TL15'!$C$238:$C$451,$C185,'TL15'!$J$238:$J$451),0),
IF('TL16'!$B$3=O$3,SUMIF('TL16'!$C$10:$C$224,$C185,'TL16'!$J$10:$J$224),0),
IF('TL16'!$B$229=O$3,SUMIF('TL16'!$C$238:$C$451,$C185,'TL16'!$J$238:$J$451),0),
IF('TL17'!$B$3=O$3,SUMIF('TL17'!$C$10:$C$224,$C185,'TL17'!$J$10:$J$224),0),
IF('TL17'!$B$229=O$3,SUMIF('TL17'!$C$238:$C$451,$C185,'TL17'!$J$238:$J$451),0),
IF('TL18'!$B$3=O$3,SUMIF('TL18'!$C$10:$C$224,$C185,'TL18'!$J$10:$J$224),0),
IF('TL18'!$B$229=O$3,SUMIF('TL18'!$C$238:$C$451,$C185,'TL18'!$J$238:$J$451),0),
IF('TL19'!$B$3=O$3,SUMIF('TL19'!$C$10:$C$224,$C185,'TL19'!$J$10:$J$224),0),
IF('TL19'!$B$229=O$3,SUMIF('TL19'!$C$238:$C$451,$C185,'TL19'!$J$238:$J$451),0)
),0)</f>
        <v/>
      </c>
      <c r="P185" s="9">
        <f>IFERROR(SUM(
IF('TL01'!$B$3=P$3,SUMIF('TL01'!$C$10:$C$224,$C185,'TL01'!$J$10:$J$224),0),
IF('TL01'!$B$229=P$3,SUMIF('TL01'!$C$238:$C$451,$C185,'TL01'!$J$238:$J$451),0),
IF('TL02'!$B$3=P$3,SUMIF('TL02'!$C$10:$C$224,$C185,'TL02'!$J$10:$J$224),0),
IF('TL02'!$B$229=P$3,SUMIF('TL02'!$C$238:$C$451,$C185,'TL02'!$J$238:$J$451),0),
IF('TL03'!$B$3=P$3,SUMIF('TL03'!$C$10:$C$224,$C185,'TL03'!$J$10:$J$224),0),
IF('TL03'!$B$229=P$3,SUMIF('TL03'!$C$238:$C$451,$C185,'TL03'!$J$238:$J$451),0),
IF('TL04'!$B$3=P$3,SUMIF('TL04'!$C$10:$C$224,$C185,'TL04'!$J$10:$J$224),0),
IF('TL04'!$B$229=P$3,SUMIF('TL04'!$C$238:$C$451,$C185,'TL04'!$J$238:$J$451),0),
IF('TL05'!$B$3=P$3,SUMIF('TL05'!$C$10:$C$224,$C185,'TL05'!$J$10:$J$224),0),
IF('TL05'!$B$229=P$3,SUMIF('TL05'!$C$238:$C$451,$C185,'TL05'!$J$238:$J$451),0),
IF('TL06'!$B$3=P$3,SUMIF('TL06'!$C$10:$C$224,$C185,'TL06'!$J$10:$J$224),0),
IF('TL06'!$B$229=P$3,SUMIF('TL06'!$C$238:$C$451,$C185,'TL06'!$J$238:$J$451),0),
IF('TL07'!$B$3=P$3,SUMIF('TL07'!$C$10:$C$224,$C185,'TL07'!$J$10:$J$224),0),
IF('TL07'!$B$229=P$3,SUMIF('TL07'!$C$238:$C$451,$C185,'TL07'!$J$238:$J$451),0),
IF('TL08'!$B$3=P$3,SUMIF('TL08'!$C$10:$C$224,$C185,'TL08'!$J$10:$J$224),0),
IF('TL08'!$B$229=P$3,SUMIF('TL08'!$C$238:$C$451,$C185,'TL08'!$J$238:$J$451),0),
IF('TL09'!$B$3=P$3,SUMIF('TL09'!$C$10:$C$224,$C185,'TL09'!$J$10:$J$224),0),
IF('TL09'!$B$229=P$3,SUMIF('TL09'!$C$238:$C$451,$C185,'TL09'!$J$238:$J$451),0),
IF('TL10'!$B$3=P$3,SUMIF('TL10'!$C$10:$C$224,$C185,'TL10'!$J$10:$J$224),0),
IF('TL10'!$B$229=P$3,SUMIF('TL10'!$C$238:$C$451,$C185,'TL10'!$J$238:$J$451),0),
IF('TL11'!$B$3=P$3,SUMIF('TL11'!$C$10:$C$224,$C185,'TL11'!$J$10:$J$224),0),
IF('TL11'!$B$229=P$3,SUMIF('TL11'!$C$238:$C$451,$C185,'TL11'!$J$238:$J$451),0),
IF('TL12'!$B$3=P$3,SUMIF('TL12'!$C$10:$C$224,$C185,'TL12'!$J$10:$J$224),0),
IF('TL12'!$B$229=P$3,SUMIF('TL12'!$C$238:$C$451,$C185,'TL12'!$J$238:$J$451),0),
IF('TL13'!$B$3=P$3,SUMIF('TL13'!$C$10:$C$224,$C185,'TL13'!$J$10:$J$224),0),
IF('TL13'!$B$229=P$3,SUMIF('TL13'!$C$238:$C$451,$C185,'TL13'!$J$238:$J$451),0),
IF('TL14'!$B$3=P$3,SUMIF('TL14'!$C$10:$C$224,$C185,'TL14'!$J$10:$J$224),0),
IF('TL14'!$B$229=P$3,SUMIF('TL14'!$C$238:$C$451,$C185,'TL14'!$J$238:$J$451),0),
IF('TL15'!$B$3=P$3,SUMIF('TL15'!$C$10:$C$224,$C185,'TL15'!$J$10:$J$224),0),
IF('TL15'!$B$229=P$3,SUMIF('TL15'!$C$238:$C$451,$C185,'TL15'!$J$238:$J$451),0),
IF('TL16'!$B$3=P$3,SUMIF('TL16'!$C$10:$C$224,$C185,'TL16'!$J$10:$J$224),0),
IF('TL16'!$B$229=P$3,SUMIF('TL16'!$C$238:$C$451,$C185,'TL16'!$J$238:$J$451),0),
IF('TL17'!$B$3=P$3,SUMIF('TL17'!$C$10:$C$224,$C185,'TL17'!$J$10:$J$224),0),
IF('TL17'!$B$229=P$3,SUMIF('TL17'!$C$238:$C$451,$C185,'TL17'!$J$238:$J$451),0),
IF('TL18'!$B$3=P$3,SUMIF('TL18'!$C$10:$C$224,$C185,'TL18'!$J$10:$J$224),0),
IF('TL18'!$B$229=P$3,SUMIF('TL18'!$C$238:$C$451,$C185,'TL18'!$J$238:$J$451),0),
IF('TL19'!$B$3=P$3,SUMIF('TL19'!$C$10:$C$224,$C185,'TL19'!$J$10:$J$224),0),
IF('TL19'!$B$229=P$3,SUMIF('TL19'!$C$238:$C$451,$C185,'TL19'!$J$238:$J$451),0)
),0)</f>
        <v/>
      </c>
      <c r="Q185" s="9">
        <f>IFERROR(SUM(
IF('TL01'!$B$3=Q$3,SUMIF('TL01'!$C$10:$C$224,$C185,'TL01'!$J$10:$J$224),0),
IF('TL01'!$B$229=Q$3,SUMIF('TL01'!$C$238:$C$451,$C185,'TL01'!$J$238:$J$451),0),
IF('TL02'!$B$3=Q$3,SUMIF('TL02'!$C$10:$C$224,$C185,'TL02'!$J$10:$J$224),0),
IF('TL02'!$B$229=Q$3,SUMIF('TL02'!$C$238:$C$451,$C185,'TL02'!$J$238:$J$451),0),
IF('TL03'!$B$3=Q$3,SUMIF('TL03'!$C$10:$C$224,$C185,'TL03'!$J$10:$J$224),0),
IF('TL03'!$B$229=Q$3,SUMIF('TL03'!$C$238:$C$451,$C185,'TL03'!$J$238:$J$451),0),
IF('TL04'!$B$3=Q$3,SUMIF('TL04'!$C$10:$C$224,$C185,'TL04'!$J$10:$J$224),0),
IF('TL04'!$B$229=Q$3,SUMIF('TL04'!$C$238:$C$451,$C185,'TL04'!$J$238:$J$451),0),
IF('TL05'!$B$3=Q$3,SUMIF('TL05'!$C$10:$C$224,$C185,'TL05'!$J$10:$J$224),0),
IF('TL05'!$B$229=Q$3,SUMIF('TL05'!$C$238:$C$451,$C185,'TL05'!$J$238:$J$451),0),
IF('TL06'!$B$3=Q$3,SUMIF('TL06'!$C$10:$C$224,$C185,'TL06'!$J$10:$J$224),0),
IF('TL06'!$B$229=Q$3,SUMIF('TL06'!$C$238:$C$451,$C185,'TL06'!$J$238:$J$451),0),
IF('TL07'!$B$3=Q$3,SUMIF('TL07'!$C$10:$C$224,$C185,'TL07'!$J$10:$J$224),0),
IF('TL07'!$B$229=Q$3,SUMIF('TL07'!$C$238:$C$451,$C185,'TL07'!$J$238:$J$451),0),
IF('TL08'!$B$3=Q$3,SUMIF('TL08'!$C$10:$C$224,$C185,'TL08'!$J$10:$J$224),0),
IF('TL08'!$B$229=Q$3,SUMIF('TL08'!$C$238:$C$451,$C185,'TL08'!$J$238:$J$451),0),
IF('TL09'!$B$3=Q$3,SUMIF('TL09'!$C$10:$C$224,$C185,'TL09'!$J$10:$J$224),0),
IF('TL09'!$B$229=Q$3,SUMIF('TL09'!$C$238:$C$451,$C185,'TL09'!$J$238:$J$451),0),
IF('TL10'!$B$3=Q$3,SUMIF('TL10'!$C$10:$C$224,$C185,'TL10'!$J$10:$J$224),0),
IF('TL10'!$B$229=Q$3,SUMIF('TL10'!$C$238:$C$451,$C185,'TL10'!$J$238:$J$451),0),
IF('TL11'!$B$3=Q$3,SUMIF('TL11'!$C$10:$C$224,$C185,'TL11'!$J$10:$J$224),0),
IF('TL11'!$B$229=Q$3,SUMIF('TL11'!$C$238:$C$451,$C185,'TL11'!$J$238:$J$451),0),
IF('TL12'!$B$3=Q$3,SUMIF('TL12'!$C$10:$C$224,$C185,'TL12'!$J$10:$J$224),0),
IF('TL12'!$B$229=Q$3,SUMIF('TL12'!$C$238:$C$451,$C185,'TL12'!$J$238:$J$451),0),
IF('TL13'!$B$3=Q$3,SUMIF('TL13'!$C$10:$C$224,$C185,'TL13'!$J$10:$J$224),0),
IF('TL13'!$B$229=Q$3,SUMIF('TL13'!$C$238:$C$451,$C185,'TL13'!$J$238:$J$451),0),
IF('TL14'!$B$3=Q$3,SUMIF('TL14'!$C$10:$C$224,$C185,'TL14'!$J$10:$J$224),0),
IF('TL14'!$B$229=Q$3,SUMIF('TL14'!$C$238:$C$451,$C185,'TL14'!$J$238:$J$451),0),
IF('TL15'!$B$3=Q$3,SUMIF('TL15'!$C$10:$C$224,$C185,'TL15'!$J$10:$J$224),0),
IF('TL15'!$B$229=Q$3,SUMIF('TL15'!$C$238:$C$451,$C185,'TL15'!$J$238:$J$451),0),
IF('TL16'!$B$3=Q$3,SUMIF('TL16'!$C$10:$C$224,$C185,'TL16'!$J$10:$J$224),0),
IF('TL16'!$B$229=Q$3,SUMIF('TL16'!$C$238:$C$451,$C185,'TL16'!$J$238:$J$451),0),
IF('TL17'!$B$3=Q$3,SUMIF('TL17'!$C$10:$C$224,$C185,'TL17'!$J$10:$J$224),0),
IF('TL17'!$B$229=Q$3,SUMIF('TL17'!$C$238:$C$451,$C185,'TL17'!$J$238:$J$451),0),
IF('TL18'!$B$3=Q$3,SUMIF('TL18'!$C$10:$C$224,$C185,'TL18'!$J$10:$J$224),0),
IF('TL18'!$B$229=Q$3,SUMIF('TL18'!$C$238:$C$451,$C185,'TL18'!$J$238:$J$451),0),
IF('TL19'!$B$3=Q$3,SUMIF('TL19'!$C$10:$C$224,$C185,'TL19'!$J$10:$J$224),0),
IF('TL19'!$B$229=Q$3,SUMIF('TL19'!$C$238:$C$451,$C185,'TL19'!$J$238:$J$451),0)
),0)</f>
        <v/>
      </c>
      <c r="R185" s="9">
        <f>IFERROR(
SUM(
SUMIF('TL01'!C:C,C185,'TL01'!J:J),
SUMIF('TL02'!C:C,C185,'TL02'!J:J),
SUMIF('TL03'!C:C,C185,'TL03'!J:J),
SUMIF('TL04'!C:C,C185,'TL04'!J:J),
SUMIF('TL05'!C:C,C185,'TL05'!J:J),
SUMIF('TL06'!C:C,C185,'TL06'!J:J),
SUMIF('TL07'!C:C,C185,'TL07'!J:J),
SUMIF('TL08'!C:C,C185,'TL08'!J:J),
SUMIF('TL09'!C:C,C185,'TL09'!J:J),
SUMIF('TL10'!C:C,C185,'TL10'!J:J),
SUMIF('TL11'!C:C,C185,'TL11'!J:J),
SUMIF('TL12'!C:C,C185,'TL12'!J:J),
SUMIF('TL13'!C:C,C185,'TL13'!J:J),
SUMIF('TL14'!C:C,C185,'TL14'!J:J),
SUMIF('TL15'!C:C,C185,'TL15'!J:J),
SUMIF('TL16'!C:C,C185,'TL16'!J:J),
SUMIF('TL17'!C:C,C185,'TL17'!J:J),
SUMIF('TL18'!C:C,C185,'TL18'!J:J),SUMIF('TL19'!C:C,C185,'TL19'!J:J))
,0)</f>
        <v/>
      </c>
      <c r="S185" s="17">
        <f>IFERROR(__xludf.DUMMYFUNCTION("IFERROR(VLOOKUP(C185,
IMPORTRANGE(""1wULbzX32WdYsx-lj2U3uUNBBe2INVIRDtcK0d-Dvl90"",
""26-27!C:G""),
5,
FALSE),
"""")"),48.20589)</f>
        <v/>
      </c>
      <c r="T185" s="9" t="n"/>
      <c r="U185" s="92">
        <f>MAX(0,R185-T185)</f>
        <v/>
      </c>
      <c r="V185" s="93">
        <f>U185*S185</f>
        <v/>
      </c>
    </row>
    <row r="186" hidden="1" ht="15.75" customHeight="1" s="297">
      <c r="A186" s="87" t="inlineStr">
        <is>
          <t>BAYER</t>
        </is>
      </c>
      <c r="B186" s="88" t="inlineStr">
        <is>
          <t>INSETICIDA</t>
        </is>
      </c>
      <c r="C186" s="89" t="inlineStr">
        <is>
          <t>OBERON</t>
        </is>
      </c>
      <c r="D186" s="89" t="inlineStr">
        <is>
          <t>ESPIROMESIFENO</t>
        </is>
      </c>
      <c r="E186" s="89" t="n">
        <v>240</v>
      </c>
      <c r="F186" s="4" t="inlineStr">
        <is>
          <t>L</t>
        </is>
      </c>
      <c r="G186" s="90">
        <f>HYPERLINK("https://www.google.com/search?q=" &amp; C186 &amp; "+bula+agrofit+pdf", "📄 Ver bula")</f>
        <v/>
      </c>
      <c r="H186" s="9">
        <f>IFERROR(__xludf.DUMMYFUNCTION("IFERROR(VLOOKUP(C186,
IMPORTRANGE(""1wULbzX32WdYsx-lj2U3uUNBBe2INVIRDtcK0d-Dvl90"",
""26-27!C:K""),
8,
FALSE),
"""")"),0.4)</f>
        <v/>
      </c>
      <c r="I186" s="91" t="inlineStr">
        <is>
          <t>4x5</t>
        </is>
      </c>
      <c r="J186" s="9">
        <f>IFERROR(SUM(
IF('TL01'!$B$3=J$3,SUMIF('TL01'!$C$10:$C$224,$C186,'TL01'!$J$10:$J$224),0),
IF('TL01'!$B$229=J$3,SUMIF('TL01'!$C$238:$C$451,$C186,'TL01'!$J$238:$J$451),0),
IF('TL02'!$B$3=J$3,SUMIF('TL02'!$C$10:$C$224,$C186,'TL02'!$J$10:$J$224),0),
IF('TL02'!$B$229=J$3,SUMIF('TL02'!$C$238:$C$451,$C186,'TL02'!$J$238:$J$451),0),
IF('TL03'!$B$3=J$3,SUMIF('TL03'!$C$10:$C$224,$C186,'TL03'!$J$10:$J$224),0),
IF('TL03'!$B$229=J$3,SUMIF('TL03'!$C$238:$C$451,$C186,'TL03'!$J$238:$J$451),0),
IF('TL04'!$B$3=J$3,SUMIF('TL04'!$C$10:$C$224,$C186,'TL04'!$J$10:$J$224),0),
IF('TL04'!$B$229=J$3,SUMIF('TL04'!$C$238:$C$451,$C186,'TL04'!$J$238:$J$451),0),
IF('TL05'!$B$3=J$3,SUMIF('TL05'!$C$10:$C$224,$C186,'TL05'!$J$10:$J$224),0),
IF('TL05'!$B$229=J$3,SUMIF('TL05'!$C$238:$C$451,$C186,'TL05'!$J$238:$J$451),0),
IF('TL06'!$B$3=J$3,SUMIF('TL06'!$C$10:$C$224,$C186,'TL06'!$J$10:$J$224),0),
IF('TL06'!$B$229=J$3,SUMIF('TL06'!$C$238:$C$451,$C186,'TL06'!$J$238:$J$451),0),
IF('TL07'!$B$3=J$3,SUMIF('TL07'!$C$10:$C$224,$C186,'TL07'!$J$10:$J$224),0),
IF('TL07'!$B$229=J$3,SUMIF('TL07'!$C$238:$C$451,$C186,'TL07'!$J$238:$J$451),0),
IF('TL08'!$B$3=J$3,SUMIF('TL08'!$C$10:$C$224,$C186,'TL08'!$J$10:$J$224),0),
IF('TL08'!$B$229=J$3,SUMIF('TL08'!$C$238:$C$451,$C186,'TL08'!$J$238:$J$451),0),
IF('TL09'!$B$3=J$3,SUMIF('TL09'!$C$10:$C$224,$C186,'TL09'!$J$10:$J$224),0),
IF('TL09'!$B$229=J$3,SUMIF('TL09'!$C$238:$C$451,$C186,'TL09'!$J$238:$J$451),0),
IF('TL10'!$B$3=J$3,SUMIF('TL10'!$C$10:$C$224,$C186,'TL10'!$J$10:$J$224),0),
IF('TL10'!$B$229=J$3,SUMIF('TL10'!$C$238:$C$451,$C186,'TL10'!$J$238:$J$451),0),
IF('TL11'!$B$3=J$3,SUMIF('TL11'!$C$10:$C$224,$C186,'TL11'!$J$10:$J$224),0),
IF('TL11'!$B$229=J$3,SUMIF('TL11'!$C$238:$C$451,$C186,'TL11'!$J$238:$J$451),0),
IF('TL12'!$B$3=J$3,SUMIF('TL12'!$C$10:$C$224,$C186,'TL12'!$J$10:$J$224),0),
IF('TL12'!$B$229=J$3,SUMIF('TL12'!$C$238:$C$451,$C186,'TL12'!$J$238:$J$451),0),
IF('TL13'!$B$3=J$3,SUMIF('TL13'!$C$10:$C$224,$C186,'TL13'!$J$10:$J$224),0),
IF('TL13'!$B$229=J$3,SUMIF('TL13'!$C$238:$C$451,$C186,'TL13'!$J$238:$J$451),0),
IF('TL14'!$B$3=J$3,SUMIF('TL14'!$C$10:$C$224,$C186,'TL14'!$J$10:$J$224),0),
IF('TL14'!$B$229=J$3,SUMIF('TL14'!$C$238:$C$451,$C186,'TL14'!$J$238:$J$451),0),
IF('TL15'!$B$3=J$3,SUMIF('TL15'!$C$10:$C$224,$C186,'TL15'!$J$10:$J$224),0),
IF('TL15'!$B$229=J$3,SUMIF('TL15'!$C$238:$C$451,$C186,'TL15'!$J$238:$J$451),0),
IF('TL16'!$B$3=J$3,SUMIF('TL16'!$C$10:$C$224,$C186,'TL16'!$J$10:$J$224),0),
IF('TL16'!$B$229=J$3,SUMIF('TL16'!$C$238:$C$451,$C186,'TL16'!$J$238:$J$451),0),
IF('TL17'!$B$3=J$3,SUMIF('TL17'!$C$10:$C$224,$C186,'TL17'!$J$10:$J$224),0),
IF('TL17'!$B$229=J$3,SUMIF('TL17'!$C$238:$C$451,$C186,'TL17'!$J$238:$J$451),0),
IF('TL18'!$B$3=J$3,SUMIF('TL18'!$C$10:$C$224,$C186,'TL18'!$J$10:$J$224),0),
IF('TL18'!$B$229=J$3,SUMIF('TL18'!$C$238:$C$451,$C186,'TL18'!$J$238:$J$451),0),
IF('TL19'!$B$3=J$3,SUMIF('TL19'!$C$10:$C$224,$C186,'TL19'!$J$10:$J$224),0),
IF('TL19'!$B$229=J$3,SUMIF('TL19'!$C$238:$C$451,$C186,'TL19'!$J$238:$J$451),0)
),0)</f>
        <v/>
      </c>
      <c r="K186" s="9">
        <f>IFERROR(SUM(
IF('TL01'!$B$3=K$3,SUMIF('TL01'!$C$10:$C$224,$C186,'TL01'!$J$10:$J$224),0),
IF('TL01'!$B$229=K$3,SUMIF('TL01'!$C$238:$C$451,$C186,'TL01'!$J$238:$J$451),0),
IF('TL02'!$B$3=K$3,SUMIF('TL02'!$C$10:$C$224,$C186,'TL02'!$J$10:$J$224),0),
IF('TL02'!$B$229=K$3,SUMIF('TL02'!$C$238:$C$451,$C186,'TL02'!$J$238:$J$451),0),
IF('TL03'!$B$3=K$3,SUMIF('TL03'!$C$10:$C$224,$C186,'TL03'!$J$10:$J$224),0),
IF('TL03'!$B$229=K$3,SUMIF('TL03'!$C$238:$C$451,$C186,'TL03'!$J$238:$J$451),0),
IF('TL04'!$B$3=K$3,SUMIF('TL04'!$C$10:$C$224,$C186,'TL04'!$J$10:$J$224),0),
IF('TL04'!$B$229=K$3,SUMIF('TL04'!$C$238:$C$451,$C186,'TL04'!$J$238:$J$451),0),
IF('TL05'!$B$3=K$3,SUMIF('TL05'!$C$10:$C$224,$C186,'TL05'!$J$10:$J$224),0),
IF('TL05'!$B$229=K$3,SUMIF('TL05'!$C$238:$C$451,$C186,'TL05'!$J$238:$J$451),0),
IF('TL06'!$B$3=K$3,SUMIF('TL06'!$C$10:$C$224,$C186,'TL06'!$J$10:$J$224),0),
IF('TL06'!$B$229=K$3,SUMIF('TL06'!$C$238:$C$451,$C186,'TL06'!$J$238:$J$451),0),
IF('TL07'!$B$3=K$3,SUMIF('TL07'!$C$10:$C$224,$C186,'TL07'!$J$10:$J$224),0),
IF('TL07'!$B$229=K$3,SUMIF('TL07'!$C$238:$C$451,$C186,'TL07'!$J$238:$J$451),0),
IF('TL08'!$B$3=K$3,SUMIF('TL08'!$C$10:$C$224,$C186,'TL08'!$J$10:$J$224),0),
IF('TL08'!$B$229=K$3,SUMIF('TL08'!$C$238:$C$451,$C186,'TL08'!$J$238:$J$451),0),
IF('TL09'!$B$3=K$3,SUMIF('TL09'!$C$10:$C$224,$C186,'TL09'!$J$10:$J$224),0),
IF('TL09'!$B$229=K$3,SUMIF('TL09'!$C$238:$C$451,$C186,'TL09'!$J$238:$J$451),0),
IF('TL10'!$B$3=K$3,SUMIF('TL10'!$C$10:$C$224,$C186,'TL10'!$J$10:$J$224),0),
IF('TL10'!$B$229=K$3,SUMIF('TL10'!$C$238:$C$451,$C186,'TL10'!$J$238:$J$451),0),
IF('TL11'!$B$3=K$3,SUMIF('TL11'!$C$10:$C$224,$C186,'TL11'!$J$10:$J$224),0),
IF('TL11'!$B$229=K$3,SUMIF('TL11'!$C$238:$C$451,$C186,'TL11'!$J$238:$J$451),0),
IF('TL12'!$B$3=K$3,SUMIF('TL12'!$C$10:$C$224,$C186,'TL12'!$J$10:$J$224),0),
IF('TL12'!$B$229=K$3,SUMIF('TL12'!$C$238:$C$451,$C186,'TL12'!$J$238:$J$451),0),
IF('TL13'!$B$3=K$3,SUMIF('TL13'!$C$10:$C$224,$C186,'TL13'!$J$10:$J$224),0),
IF('TL13'!$B$229=K$3,SUMIF('TL13'!$C$238:$C$451,$C186,'TL13'!$J$238:$J$451),0),
IF('TL14'!$B$3=K$3,SUMIF('TL14'!$C$10:$C$224,$C186,'TL14'!$J$10:$J$224),0),
IF('TL14'!$B$229=K$3,SUMIF('TL14'!$C$238:$C$451,$C186,'TL14'!$J$238:$J$451),0),
IF('TL15'!$B$3=K$3,SUMIF('TL15'!$C$10:$C$224,$C186,'TL15'!$J$10:$J$224),0),
IF('TL15'!$B$229=K$3,SUMIF('TL15'!$C$238:$C$451,$C186,'TL15'!$J$238:$J$451),0),
IF('TL16'!$B$3=K$3,SUMIF('TL16'!$C$10:$C$224,$C186,'TL16'!$J$10:$J$224),0),
IF('TL16'!$B$229=K$3,SUMIF('TL16'!$C$238:$C$451,$C186,'TL16'!$J$238:$J$451),0),
IF('TL17'!$B$3=K$3,SUMIF('TL17'!$C$10:$C$224,$C186,'TL17'!$J$10:$J$224),0),
IF('TL17'!$B$229=K$3,SUMIF('TL17'!$C$238:$C$451,$C186,'TL17'!$J$238:$J$451),0),
IF('TL18'!$B$3=K$3,SUMIF('TL18'!$C$10:$C$224,$C186,'TL18'!$J$10:$J$224),0),
IF('TL18'!$B$229=K$3,SUMIF('TL18'!$C$238:$C$451,$C186,'TL18'!$J$238:$J$451),0),
IF('TL19'!$B$3=K$3,SUMIF('TL19'!$C$10:$C$224,$C186,'TL19'!$J$10:$J$224),0),
IF('TL19'!$B$229=K$3,SUMIF('TL19'!$C$238:$C$451,$C186,'TL19'!$J$238:$J$451),0)
),0)</f>
        <v/>
      </c>
      <c r="L186" s="9">
        <f>IFERROR(SUM(
IF('TL01'!$B$3=L$3,SUMIF('TL01'!$C$10:$C$224,$C186,'TL01'!$J$10:$J$224),0),
IF('TL01'!$B$229=L$3,SUMIF('TL01'!$C$238:$C$451,$C186,'TL01'!$J$238:$J$451),0),
IF('TL02'!$B$3=L$3,SUMIF('TL02'!$C$10:$C$224,$C186,'TL02'!$J$10:$J$224),0),
IF('TL02'!$B$229=L$3,SUMIF('TL02'!$C$238:$C$451,$C186,'TL02'!$J$238:$J$451),0),
IF('TL03'!$B$3=L$3,SUMIF('TL03'!$C$10:$C$224,$C186,'TL03'!$J$10:$J$224),0),
IF('TL03'!$B$229=L$3,SUMIF('TL03'!$C$238:$C$451,$C186,'TL03'!$J$238:$J$451),0),
IF('TL04'!$B$3=L$3,SUMIF('TL04'!$C$10:$C$224,$C186,'TL04'!$J$10:$J$224),0),
IF('TL04'!$B$229=L$3,SUMIF('TL04'!$C$238:$C$451,$C186,'TL04'!$J$238:$J$451),0),
IF('TL05'!$B$3=L$3,SUMIF('TL05'!$C$10:$C$224,$C186,'TL05'!$J$10:$J$224),0),
IF('TL05'!$B$229=L$3,SUMIF('TL05'!$C$238:$C$451,$C186,'TL05'!$J$238:$J$451),0),
IF('TL06'!$B$3=L$3,SUMIF('TL06'!$C$10:$C$224,$C186,'TL06'!$J$10:$J$224),0),
IF('TL06'!$B$229=L$3,SUMIF('TL06'!$C$238:$C$451,$C186,'TL06'!$J$238:$J$451),0),
IF('TL07'!$B$3=L$3,SUMIF('TL07'!$C$10:$C$224,$C186,'TL07'!$J$10:$J$224),0),
IF('TL07'!$B$229=L$3,SUMIF('TL07'!$C$238:$C$451,$C186,'TL07'!$J$238:$J$451),0),
IF('TL08'!$B$3=L$3,SUMIF('TL08'!$C$10:$C$224,$C186,'TL08'!$J$10:$J$224),0),
IF('TL08'!$B$229=L$3,SUMIF('TL08'!$C$238:$C$451,$C186,'TL08'!$J$238:$J$451),0),
IF('TL09'!$B$3=L$3,SUMIF('TL09'!$C$10:$C$224,$C186,'TL09'!$J$10:$J$224),0),
IF('TL09'!$B$229=L$3,SUMIF('TL09'!$C$238:$C$451,$C186,'TL09'!$J$238:$J$451),0),
IF('TL10'!$B$3=L$3,SUMIF('TL10'!$C$10:$C$224,$C186,'TL10'!$J$10:$J$224),0),
IF('TL10'!$B$229=L$3,SUMIF('TL10'!$C$238:$C$451,$C186,'TL10'!$J$238:$J$451),0),
IF('TL11'!$B$3=L$3,SUMIF('TL11'!$C$10:$C$224,$C186,'TL11'!$J$10:$J$224),0),
IF('TL11'!$B$229=L$3,SUMIF('TL11'!$C$238:$C$451,$C186,'TL11'!$J$238:$J$451),0),
IF('TL12'!$B$3=L$3,SUMIF('TL12'!$C$10:$C$224,$C186,'TL12'!$J$10:$J$224),0),
IF('TL12'!$B$229=L$3,SUMIF('TL12'!$C$238:$C$451,$C186,'TL12'!$J$238:$J$451),0),
IF('TL13'!$B$3=L$3,SUMIF('TL13'!$C$10:$C$224,$C186,'TL13'!$J$10:$J$224),0),
IF('TL13'!$B$229=L$3,SUMIF('TL13'!$C$238:$C$451,$C186,'TL13'!$J$238:$J$451),0),
IF('TL14'!$B$3=L$3,SUMIF('TL14'!$C$10:$C$224,$C186,'TL14'!$J$10:$J$224),0),
IF('TL14'!$B$229=L$3,SUMIF('TL14'!$C$238:$C$451,$C186,'TL14'!$J$238:$J$451),0),
IF('TL15'!$B$3=L$3,SUMIF('TL15'!$C$10:$C$224,$C186,'TL15'!$J$10:$J$224),0),
IF('TL15'!$B$229=L$3,SUMIF('TL15'!$C$238:$C$451,$C186,'TL15'!$J$238:$J$451),0),
IF('TL16'!$B$3=L$3,SUMIF('TL16'!$C$10:$C$224,$C186,'TL16'!$J$10:$J$224),0),
IF('TL16'!$B$229=L$3,SUMIF('TL16'!$C$238:$C$451,$C186,'TL16'!$J$238:$J$451),0),
IF('TL17'!$B$3=L$3,SUMIF('TL17'!$C$10:$C$224,$C186,'TL17'!$J$10:$J$224),0),
IF('TL17'!$B$229=L$3,SUMIF('TL17'!$C$238:$C$451,$C186,'TL17'!$J$238:$J$451),0),
IF('TL18'!$B$3=L$3,SUMIF('TL18'!$C$10:$C$224,$C186,'TL18'!$J$10:$J$224),0),
IF('TL18'!$B$229=L$3,SUMIF('TL18'!$C$238:$C$451,$C186,'TL18'!$J$238:$J$451),0),
IF('TL19'!$B$3=L$3,SUMIF('TL19'!$C$10:$C$224,$C186,'TL19'!$J$10:$J$224),0),
IF('TL19'!$B$229=L$3,SUMIF('TL19'!$C$238:$C$451,$C186,'TL19'!$J$238:$J$451),0)
),0)</f>
        <v/>
      </c>
      <c r="M186" s="9">
        <f>IFERROR(SUM(
IF('TL01'!$B$3=M$3,SUMIF('TL01'!$C$10:$C$224,$C186,'TL01'!$J$10:$J$224),0),
IF('TL01'!$B$229=M$3,SUMIF('TL01'!$C$238:$C$451,$C186,'TL01'!$J$238:$J$451),0),
IF('TL02'!$B$3=M$3,SUMIF('TL02'!$C$10:$C$224,$C186,'TL02'!$J$10:$J$224),0),
IF('TL02'!$B$229=M$3,SUMIF('TL02'!$C$238:$C$451,$C186,'TL02'!$J$238:$J$451),0),
IF('TL03'!$B$3=M$3,SUMIF('TL03'!$C$10:$C$224,$C186,'TL03'!$J$10:$J$224),0),
IF('TL03'!$B$229=M$3,SUMIF('TL03'!$C$238:$C$451,$C186,'TL03'!$J$238:$J$451),0),
IF('TL04'!$B$3=M$3,SUMIF('TL04'!$C$10:$C$224,$C186,'TL04'!$J$10:$J$224),0),
IF('TL04'!$B$229=M$3,SUMIF('TL04'!$C$238:$C$451,$C186,'TL04'!$J$238:$J$451),0),
IF('TL05'!$B$3=M$3,SUMIF('TL05'!$C$10:$C$224,$C186,'TL05'!$J$10:$J$224),0),
IF('TL05'!$B$229=M$3,SUMIF('TL05'!$C$238:$C$451,$C186,'TL05'!$J$238:$J$451),0),
IF('TL06'!$B$3=M$3,SUMIF('TL06'!$C$10:$C$224,$C186,'TL06'!$J$10:$J$224),0),
IF('TL06'!$B$229=M$3,SUMIF('TL06'!$C$238:$C$451,$C186,'TL06'!$J$238:$J$451),0),
IF('TL07'!$B$3=M$3,SUMIF('TL07'!$C$10:$C$224,$C186,'TL07'!$J$10:$J$224),0),
IF('TL07'!$B$229=M$3,SUMIF('TL07'!$C$238:$C$451,$C186,'TL07'!$J$238:$J$451),0),
IF('TL08'!$B$3=M$3,SUMIF('TL08'!$C$10:$C$224,$C186,'TL08'!$J$10:$J$224),0),
IF('TL08'!$B$229=M$3,SUMIF('TL08'!$C$238:$C$451,$C186,'TL08'!$J$238:$J$451),0),
IF('TL09'!$B$3=M$3,SUMIF('TL09'!$C$10:$C$224,$C186,'TL09'!$J$10:$J$224),0),
IF('TL09'!$B$229=M$3,SUMIF('TL09'!$C$238:$C$451,$C186,'TL09'!$J$238:$J$451),0),
IF('TL10'!$B$3=M$3,SUMIF('TL10'!$C$10:$C$224,$C186,'TL10'!$J$10:$J$224),0),
IF('TL10'!$B$229=M$3,SUMIF('TL10'!$C$238:$C$451,$C186,'TL10'!$J$238:$J$451),0),
IF('TL11'!$B$3=M$3,SUMIF('TL11'!$C$10:$C$224,$C186,'TL11'!$J$10:$J$224),0),
IF('TL11'!$B$229=M$3,SUMIF('TL11'!$C$238:$C$451,$C186,'TL11'!$J$238:$J$451),0),
IF('TL12'!$B$3=M$3,SUMIF('TL12'!$C$10:$C$224,$C186,'TL12'!$J$10:$J$224),0),
IF('TL12'!$B$229=M$3,SUMIF('TL12'!$C$238:$C$451,$C186,'TL12'!$J$238:$J$451),0),
IF('TL13'!$B$3=M$3,SUMIF('TL13'!$C$10:$C$224,$C186,'TL13'!$J$10:$J$224),0),
IF('TL13'!$B$229=M$3,SUMIF('TL13'!$C$238:$C$451,$C186,'TL13'!$J$238:$J$451),0),
IF('TL14'!$B$3=M$3,SUMIF('TL14'!$C$10:$C$224,$C186,'TL14'!$J$10:$J$224),0),
IF('TL14'!$B$229=M$3,SUMIF('TL14'!$C$238:$C$451,$C186,'TL14'!$J$238:$J$451),0),
IF('TL15'!$B$3=M$3,SUMIF('TL15'!$C$10:$C$224,$C186,'TL15'!$J$10:$J$224),0),
IF('TL15'!$B$229=M$3,SUMIF('TL15'!$C$238:$C$451,$C186,'TL15'!$J$238:$J$451),0),
IF('TL16'!$B$3=M$3,SUMIF('TL16'!$C$10:$C$224,$C186,'TL16'!$J$10:$J$224),0),
IF('TL16'!$B$229=M$3,SUMIF('TL16'!$C$238:$C$451,$C186,'TL16'!$J$238:$J$451),0),
IF('TL17'!$B$3=M$3,SUMIF('TL17'!$C$10:$C$224,$C186,'TL17'!$J$10:$J$224),0),
IF('TL17'!$B$229=M$3,SUMIF('TL17'!$C$238:$C$451,$C186,'TL17'!$J$238:$J$451),0),
IF('TL18'!$B$3=M$3,SUMIF('TL18'!$C$10:$C$224,$C186,'TL18'!$J$10:$J$224),0),
IF('TL18'!$B$229=M$3,SUMIF('TL18'!$C$238:$C$451,$C186,'TL18'!$J$238:$J$451),0),
IF('TL19'!$B$3=M$3,SUMIF('TL19'!$C$10:$C$224,$C186,'TL19'!$J$10:$J$224),0),
IF('TL19'!$B$229=M$3,SUMIF('TL19'!$C$238:$C$451,$C186,'TL19'!$J$238:$J$451),0)
),0)</f>
        <v/>
      </c>
      <c r="N186" s="9">
        <f>IFERROR(SUM(
IF('TL01'!$B$3=N$3,SUMIF('TL01'!$C$10:$C$224,$C186,'TL01'!$J$10:$J$224),0),
IF('TL01'!$B$229=N$3,SUMIF('TL01'!$C$238:$C$451,$C186,'TL01'!$J$238:$J$451),0),
IF('TL02'!$B$3=N$3,SUMIF('TL02'!$C$10:$C$224,$C186,'TL02'!$J$10:$J$224),0),
IF('TL02'!$B$229=N$3,SUMIF('TL02'!$C$238:$C$451,$C186,'TL02'!$J$238:$J$451),0),
IF('TL03'!$B$3=N$3,SUMIF('TL03'!$C$10:$C$224,$C186,'TL03'!$J$10:$J$224),0),
IF('TL03'!$B$229=N$3,SUMIF('TL03'!$C$238:$C$451,$C186,'TL03'!$J$238:$J$451),0),
IF('TL04'!$B$3=N$3,SUMIF('TL04'!$C$10:$C$224,$C186,'TL04'!$J$10:$J$224),0),
IF('TL04'!$B$229=N$3,SUMIF('TL04'!$C$238:$C$451,$C186,'TL04'!$J$238:$J$451),0),
IF('TL05'!$B$3=N$3,SUMIF('TL05'!$C$10:$C$224,$C186,'TL05'!$J$10:$J$224),0),
IF('TL05'!$B$229=N$3,SUMIF('TL05'!$C$238:$C$451,$C186,'TL05'!$J$238:$J$451),0),
IF('TL06'!$B$3=N$3,SUMIF('TL06'!$C$10:$C$224,$C186,'TL06'!$J$10:$J$224),0),
IF('TL06'!$B$229=N$3,SUMIF('TL06'!$C$238:$C$451,$C186,'TL06'!$J$238:$J$451),0),
IF('TL07'!$B$3=N$3,SUMIF('TL07'!$C$10:$C$224,$C186,'TL07'!$J$10:$J$224),0),
IF('TL07'!$B$229=N$3,SUMIF('TL07'!$C$238:$C$451,$C186,'TL07'!$J$238:$J$451),0),
IF('TL08'!$B$3=N$3,SUMIF('TL08'!$C$10:$C$224,$C186,'TL08'!$J$10:$J$224),0),
IF('TL08'!$B$229=N$3,SUMIF('TL08'!$C$238:$C$451,$C186,'TL08'!$J$238:$J$451),0),
IF('TL09'!$B$3=N$3,SUMIF('TL09'!$C$10:$C$224,$C186,'TL09'!$J$10:$J$224),0),
IF('TL09'!$B$229=N$3,SUMIF('TL09'!$C$238:$C$451,$C186,'TL09'!$J$238:$J$451),0),
IF('TL10'!$B$3=N$3,SUMIF('TL10'!$C$10:$C$224,$C186,'TL10'!$J$10:$J$224),0),
IF('TL10'!$B$229=N$3,SUMIF('TL10'!$C$238:$C$451,$C186,'TL10'!$J$238:$J$451),0),
IF('TL11'!$B$3=N$3,SUMIF('TL11'!$C$10:$C$224,$C186,'TL11'!$J$10:$J$224),0),
IF('TL11'!$B$229=N$3,SUMIF('TL11'!$C$238:$C$451,$C186,'TL11'!$J$238:$J$451),0),
IF('TL12'!$B$3=N$3,SUMIF('TL12'!$C$10:$C$224,$C186,'TL12'!$J$10:$J$224),0),
IF('TL12'!$B$229=N$3,SUMIF('TL12'!$C$238:$C$451,$C186,'TL12'!$J$238:$J$451),0),
IF('TL13'!$B$3=N$3,SUMIF('TL13'!$C$10:$C$224,$C186,'TL13'!$J$10:$J$224),0),
IF('TL13'!$B$229=N$3,SUMIF('TL13'!$C$238:$C$451,$C186,'TL13'!$J$238:$J$451),0),
IF('TL14'!$B$3=N$3,SUMIF('TL14'!$C$10:$C$224,$C186,'TL14'!$J$10:$J$224),0),
IF('TL14'!$B$229=N$3,SUMIF('TL14'!$C$238:$C$451,$C186,'TL14'!$J$238:$J$451),0),
IF('TL15'!$B$3=N$3,SUMIF('TL15'!$C$10:$C$224,$C186,'TL15'!$J$10:$J$224),0),
IF('TL15'!$B$229=N$3,SUMIF('TL15'!$C$238:$C$451,$C186,'TL15'!$J$238:$J$451),0),
IF('TL16'!$B$3=N$3,SUMIF('TL16'!$C$10:$C$224,$C186,'TL16'!$J$10:$J$224),0),
IF('TL16'!$B$229=N$3,SUMIF('TL16'!$C$238:$C$451,$C186,'TL16'!$J$238:$J$451),0),
IF('TL17'!$B$3=N$3,SUMIF('TL17'!$C$10:$C$224,$C186,'TL17'!$J$10:$J$224),0),
IF('TL17'!$B$229=N$3,SUMIF('TL17'!$C$238:$C$451,$C186,'TL17'!$J$238:$J$451),0),
IF('TL18'!$B$3=N$3,SUMIF('TL18'!$C$10:$C$224,$C186,'TL18'!$J$10:$J$224),0),
IF('TL18'!$B$229=N$3,SUMIF('TL18'!$C$238:$C$451,$C186,'TL18'!$J$238:$J$451),0),
IF('TL19'!$B$3=N$3,SUMIF('TL19'!$C$10:$C$224,$C186,'TL19'!$J$10:$J$224),0),
IF('TL19'!$B$229=N$3,SUMIF('TL19'!$C$238:$C$451,$C186,'TL19'!$J$238:$J$451),0)
),0)</f>
        <v/>
      </c>
      <c r="O186" s="9">
        <f>IFERROR(SUM(
IF('TL01'!$B$3=O$3,SUMIF('TL01'!$C$10:$C$224,$C186,'TL01'!$J$10:$J$224),0),
IF('TL01'!$B$229=O$3,SUMIF('TL01'!$C$238:$C$451,$C186,'TL01'!$J$238:$J$451),0),
IF('TL02'!$B$3=O$3,SUMIF('TL02'!$C$10:$C$224,$C186,'TL02'!$J$10:$J$224),0),
IF('TL02'!$B$229=O$3,SUMIF('TL02'!$C$238:$C$451,$C186,'TL02'!$J$238:$J$451),0),
IF('TL03'!$B$3=O$3,SUMIF('TL03'!$C$10:$C$224,$C186,'TL03'!$J$10:$J$224),0),
IF('TL03'!$B$229=O$3,SUMIF('TL03'!$C$238:$C$451,$C186,'TL03'!$J$238:$J$451),0),
IF('TL04'!$B$3=O$3,SUMIF('TL04'!$C$10:$C$224,$C186,'TL04'!$J$10:$J$224),0),
IF('TL04'!$B$229=O$3,SUMIF('TL04'!$C$238:$C$451,$C186,'TL04'!$J$238:$J$451),0),
IF('TL05'!$B$3=O$3,SUMIF('TL05'!$C$10:$C$224,$C186,'TL05'!$J$10:$J$224),0),
IF('TL05'!$B$229=O$3,SUMIF('TL05'!$C$238:$C$451,$C186,'TL05'!$J$238:$J$451),0),
IF('TL06'!$B$3=O$3,SUMIF('TL06'!$C$10:$C$224,$C186,'TL06'!$J$10:$J$224),0),
IF('TL06'!$B$229=O$3,SUMIF('TL06'!$C$238:$C$451,$C186,'TL06'!$J$238:$J$451),0),
IF('TL07'!$B$3=O$3,SUMIF('TL07'!$C$10:$C$224,$C186,'TL07'!$J$10:$J$224),0),
IF('TL07'!$B$229=O$3,SUMIF('TL07'!$C$238:$C$451,$C186,'TL07'!$J$238:$J$451),0),
IF('TL08'!$B$3=O$3,SUMIF('TL08'!$C$10:$C$224,$C186,'TL08'!$J$10:$J$224),0),
IF('TL08'!$B$229=O$3,SUMIF('TL08'!$C$238:$C$451,$C186,'TL08'!$J$238:$J$451),0),
IF('TL09'!$B$3=O$3,SUMIF('TL09'!$C$10:$C$224,$C186,'TL09'!$J$10:$J$224),0),
IF('TL09'!$B$229=O$3,SUMIF('TL09'!$C$238:$C$451,$C186,'TL09'!$J$238:$J$451),0),
IF('TL10'!$B$3=O$3,SUMIF('TL10'!$C$10:$C$224,$C186,'TL10'!$J$10:$J$224),0),
IF('TL10'!$B$229=O$3,SUMIF('TL10'!$C$238:$C$451,$C186,'TL10'!$J$238:$J$451),0),
IF('TL11'!$B$3=O$3,SUMIF('TL11'!$C$10:$C$224,$C186,'TL11'!$J$10:$J$224),0),
IF('TL11'!$B$229=O$3,SUMIF('TL11'!$C$238:$C$451,$C186,'TL11'!$J$238:$J$451),0),
IF('TL12'!$B$3=O$3,SUMIF('TL12'!$C$10:$C$224,$C186,'TL12'!$J$10:$J$224),0),
IF('TL12'!$B$229=O$3,SUMIF('TL12'!$C$238:$C$451,$C186,'TL12'!$J$238:$J$451),0),
IF('TL13'!$B$3=O$3,SUMIF('TL13'!$C$10:$C$224,$C186,'TL13'!$J$10:$J$224),0),
IF('TL13'!$B$229=O$3,SUMIF('TL13'!$C$238:$C$451,$C186,'TL13'!$J$238:$J$451),0),
IF('TL14'!$B$3=O$3,SUMIF('TL14'!$C$10:$C$224,$C186,'TL14'!$J$10:$J$224),0),
IF('TL14'!$B$229=O$3,SUMIF('TL14'!$C$238:$C$451,$C186,'TL14'!$J$238:$J$451),0),
IF('TL15'!$B$3=O$3,SUMIF('TL15'!$C$10:$C$224,$C186,'TL15'!$J$10:$J$224),0),
IF('TL15'!$B$229=O$3,SUMIF('TL15'!$C$238:$C$451,$C186,'TL15'!$J$238:$J$451),0),
IF('TL16'!$B$3=O$3,SUMIF('TL16'!$C$10:$C$224,$C186,'TL16'!$J$10:$J$224),0),
IF('TL16'!$B$229=O$3,SUMIF('TL16'!$C$238:$C$451,$C186,'TL16'!$J$238:$J$451),0),
IF('TL17'!$B$3=O$3,SUMIF('TL17'!$C$10:$C$224,$C186,'TL17'!$J$10:$J$224),0),
IF('TL17'!$B$229=O$3,SUMIF('TL17'!$C$238:$C$451,$C186,'TL17'!$J$238:$J$451),0),
IF('TL18'!$B$3=O$3,SUMIF('TL18'!$C$10:$C$224,$C186,'TL18'!$J$10:$J$224),0),
IF('TL18'!$B$229=O$3,SUMIF('TL18'!$C$238:$C$451,$C186,'TL18'!$J$238:$J$451),0),
IF('TL19'!$B$3=O$3,SUMIF('TL19'!$C$10:$C$224,$C186,'TL19'!$J$10:$J$224),0),
IF('TL19'!$B$229=O$3,SUMIF('TL19'!$C$238:$C$451,$C186,'TL19'!$J$238:$J$451),0)
),0)</f>
        <v/>
      </c>
      <c r="P186" s="9">
        <f>IFERROR(SUM(
IF('TL01'!$B$3=P$3,SUMIF('TL01'!$C$10:$C$224,$C186,'TL01'!$J$10:$J$224),0),
IF('TL01'!$B$229=P$3,SUMIF('TL01'!$C$238:$C$451,$C186,'TL01'!$J$238:$J$451),0),
IF('TL02'!$B$3=P$3,SUMIF('TL02'!$C$10:$C$224,$C186,'TL02'!$J$10:$J$224),0),
IF('TL02'!$B$229=P$3,SUMIF('TL02'!$C$238:$C$451,$C186,'TL02'!$J$238:$J$451),0),
IF('TL03'!$B$3=P$3,SUMIF('TL03'!$C$10:$C$224,$C186,'TL03'!$J$10:$J$224),0),
IF('TL03'!$B$229=P$3,SUMIF('TL03'!$C$238:$C$451,$C186,'TL03'!$J$238:$J$451),0),
IF('TL04'!$B$3=P$3,SUMIF('TL04'!$C$10:$C$224,$C186,'TL04'!$J$10:$J$224),0),
IF('TL04'!$B$229=P$3,SUMIF('TL04'!$C$238:$C$451,$C186,'TL04'!$J$238:$J$451),0),
IF('TL05'!$B$3=P$3,SUMIF('TL05'!$C$10:$C$224,$C186,'TL05'!$J$10:$J$224),0),
IF('TL05'!$B$229=P$3,SUMIF('TL05'!$C$238:$C$451,$C186,'TL05'!$J$238:$J$451),0),
IF('TL06'!$B$3=P$3,SUMIF('TL06'!$C$10:$C$224,$C186,'TL06'!$J$10:$J$224),0),
IF('TL06'!$B$229=P$3,SUMIF('TL06'!$C$238:$C$451,$C186,'TL06'!$J$238:$J$451),0),
IF('TL07'!$B$3=P$3,SUMIF('TL07'!$C$10:$C$224,$C186,'TL07'!$J$10:$J$224),0),
IF('TL07'!$B$229=P$3,SUMIF('TL07'!$C$238:$C$451,$C186,'TL07'!$J$238:$J$451),0),
IF('TL08'!$B$3=P$3,SUMIF('TL08'!$C$10:$C$224,$C186,'TL08'!$J$10:$J$224),0),
IF('TL08'!$B$229=P$3,SUMIF('TL08'!$C$238:$C$451,$C186,'TL08'!$J$238:$J$451),0),
IF('TL09'!$B$3=P$3,SUMIF('TL09'!$C$10:$C$224,$C186,'TL09'!$J$10:$J$224),0),
IF('TL09'!$B$229=P$3,SUMIF('TL09'!$C$238:$C$451,$C186,'TL09'!$J$238:$J$451),0),
IF('TL10'!$B$3=P$3,SUMIF('TL10'!$C$10:$C$224,$C186,'TL10'!$J$10:$J$224),0),
IF('TL10'!$B$229=P$3,SUMIF('TL10'!$C$238:$C$451,$C186,'TL10'!$J$238:$J$451),0),
IF('TL11'!$B$3=P$3,SUMIF('TL11'!$C$10:$C$224,$C186,'TL11'!$J$10:$J$224),0),
IF('TL11'!$B$229=P$3,SUMIF('TL11'!$C$238:$C$451,$C186,'TL11'!$J$238:$J$451),0),
IF('TL12'!$B$3=P$3,SUMIF('TL12'!$C$10:$C$224,$C186,'TL12'!$J$10:$J$224),0),
IF('TL12'!$B$229=P$3,SUMIF('TL12'!$C$238:$C$451,$C186,'TL12'!$J$238:$J$451),0),
IF('TL13'!$B$3=P$3,SUMIF('TL13'!$C$10:$C$224,$C186,'TL13'!$J$10:$J$224),0),
IF('TL13'!$B$229=P$3,SUMIF('TL13'!$C$238:$C$451,$C186,'TL13'!$J$238:$J$451),0),
IF('TL14'!$B$3=P$3,SUMIF('TL14'!$C$10:$C$224,$C186,'TL14'!$J$10:$J$224),0),
IF('TL14'!$B$229=P$3,SUMIF('TL14'!$C$238:$C$451,$C186,'TL14'!$J$238:$J$451),0),
IF('TL15'!$B$3=P$3,SUMIF('TL15'!$C$10:$C$224,$C186,'TL15'!$J$10:$J$224),0),
IF('TL15'!$B$229=P$3,SUMIF('TL15'!$C$238:$C$451,$C186,'TL15'!$J$238:$J$451),0),
IF('TL16'!$B$3=P$3,SUMIF('TL16'!$C$10:$C$224,$C186,'TL16'!$J$10:$J$224),0),
IF('TL16'!$B$229=P$3,SUMIF('TL16'!$C$238:$C$451,$C186,'TL16'!$J$238:$J$451),0),
IF('TL17'!$B$3=P$3,SUMIF('TL17'!$C$10:$C$224,$C186,'TL17'!$J$10:$J$224),0),
IF('TL17'!$B$229=P$3,SUMIF('TL17'!$C$238:$C$451,$C186,'TL17'!$J$238:$J$451),0),
IF('TL18'!$B$3=P$3,SUMIF('TL18'!$C$10:$C$224,$C186,'TL18'!$J$10:$J$224),0),
IF('TL18'!$B$229=P$3,SUMIF('TL18'!$C$238:$C$451,$C186,'TL18'!$J$238:$J$451),0),
IF('TL19'!$B$3=P$3,SUMIF('TL19'!$C$10:$C$224,$C186,'TL19'!$J$10:$J$224),0),
IF('TL19'!$B$229=P$3,SUMIF('TL19'!$C$238:$C$451,$C186,'TL19'!$J$238:$J$451),0)
),0)</f>
        <v/>
      </c>
      <c r="Q186" s="9">
        <f>IFERROR(SUM(
IF('TL01'!$B$3=Q$3,SUMIF('TL01'!$C$10:$C$224,$C186,'TL01'!$J$10:$J$224),0),
IF('TL01'!$B$229=Q$3,SUMIF('TL01'!$C$238:$C$451,$C186,'TL01'!$J$238:$J$451),0),
IF('TL02'!$B$3=Q$3,SUMIF('TL02'!$C$10:$C$224,$C186,'TL02'!$J$10:$J$224),0),
IF('TL02'!$B$229=Q$3,SUMIF('TL02'!$C$238:$C$451,$C186,'TL02'!$J$238:$J$451),0),
IF('TL03'!$B$3=Q$3,SUMIF('TL03'!$C$10:$C$224,$C186,'TL03'!$J$10:$J$224),0),
IF('TL03'!$B$229=Q$3,SUMIF('TL03'!$C$238:$C$451,$C186,'TL03'!$J$238:$J$451),0),
IF('TL04'!$B$3=Q$3,SUMIF('TL04'!$C$10:$C$224,$C186,'TL04'!$J$10:$J$224),0),
IF('TL04'!$B$229=Q$3,SUMIF('TL04'!$C$238:$C$451,$C186,'TL04'!$J$238:$J$451),0),
IF('TL05'!$B$3=Q$3,SUMIF('TL05'!$C$10:$C$224,$C186,'TL05'!$J$10:$J$224),0),
IF('TL05'!$B$229=Q$3,SUMIF('TL05'!$C$238:$C$451,$C186,'TL05'!$J$238:$J$451),0),
IF('TL06'!$B$3=Q$3,SUMIF('TL06'!$C$10:$C$224,$C186,'TL06'!$J$10:$J$224),0),
IF('TL06'!$B$229=Q$3,SUMIF('TL06'!$C$238:$C$451,$C186,'TL06'!$J$238:$J$451),0),
IF('TL07'!$B$3=Q$3,SUMIF('TL07'!$C$10:$C$224,$C186,'TL07'!$J$10:$J$224),0),
IF('TL07'!$B$229=Q$3,SUMIF('TL07'!$C$238:$C$451,$C186,'TL07'!$J$238:$J$451),0),
IF('TL08'!$B$3=Q$3,SUMIF('TL08'!$C$10:$C$224,$C186,'TL08'!$J$10:$J$224),0),
IF('TL08'!$B$229=Q$3,SUMIF('TL08'!$C$238:$C$451,$C186,'TL08'!$J$238:$J$451),0),
IF('TL09'!$B$3=Q$3,SUMIF('TL09'!$C$10:$C$224,$C186,'TL09'!$J$10:$J$224),0),
IF('TL09'!$B$229=Q$3,SUMIF('TL09'!$C$238:$C$451,$C186,'TL09'!$J$238:$J$451),0),
IF('TL10'!$B$3=Q$3,SUMIF('TL10'!$C$10:$C$224,$C186,'TL10'!$J$10:$J$224),0),
IF('TL10'!$B$229=Q$3,SUMIF('TL10'!$C$238:$C$451,$C186,'TL10'!$J$238:$J$451),0),
IF('TL11'!$B$3=Q$3,SUMIF('TL11'!$C$10:$C$224,$C186,'TL11'!$J$10:$J$224),0),
IF('TL11'!$B$229=Q$3,SUMIF('TL11'!$C$238:$C$451,$C186,'TL11'!$J$238:$J$451),0),
IF('TL12'!$B$3=Q$3,SUMIF('TL12'!$C$10:$C$224,$C186,'TL12'!$J$10:$J$224),0),
IF('TL12'!$B$229=Q$3,SUMIF('TL12'!$C$238:$C$451,$C186,'TL12'!$J$238:$J$451),0),
IF('TL13'!$B$3=Q$3,SUMIF('TL13'!$C$10:$C$224,$C186,'TL13'!$J$10:$J$224),0),
IF('TL13'!$B$229=Q$3,SUMIF('TL13'!$C$238:$C$451,$C186,'TL13'!$J$238:$J$451),0),
IF('TL14'!$B$3=Q$3,SUMIF('TL14'!$C$10:$C$224,$C186,'TL14'!$J$10:$J$224),0),
IF('TL14'!$B$229=Q$3,SUMIF('TL14'!$C$238:$C$451,$C186,'TL14'!$J$238:$J$451),0),
IF('TL15'!$B$3=Q$3,SUMIF('TL15'!$C$10:$C$224,$C186,'TL15'!$J$10:$J$224),0),
IF('TL15'!$B$229=Q$3,SUMIF('TL15'!$C$238:$C$451,$C186,'TL15'!$J$238:$J$451),0),
IF('TL16'!$B$3=Q$3,SUMIF('TL16'!$C$10:$C$224,$C186,'TL16'!$J$10:$J$224),0),
IF('TL16'!$B$229=Q$3,SUMIF('TL16'!$C$238:$C$451,$C186,'TL16'!$J$238:$J$451),0),
IF('TL17'!$B$3=Q$3,SUMIF('TL17'!$C$10:$C$224,$C186,'TL17'!$J$10:$J$224),0),
IF('TL17'!$B$229=Q$3,SUMIF('TL17'!$C$238:$C$451,$C186,'TL17'!$J$238:$J$451),0),
IF('TL18'!$B$3=Q$3,SUMIF('TL18'!$C$10:$C$224,$C186,'TL18'!$J$10:$J$224),0),
IF('TL18'!$B$229=Q$3,SUMIF('TL18'!$C$238:$C$451,$C186,'TL18'!$J$238:$J$451),0),
IF('TL19'!$B$3=Q$3,SUMIF('TL19'!$C$10:$C$224,$C186,'TL19'!$J$10:$J$224),0),
IF('TL19'!$B$229=Q$3,SUMIF('TL19'!$C$238:$C$451,$C186,'TL19'!$J$238:$J$451),0)
),0)</f>
        <v/>
      </c>
      <c r="R186" s="9">
        <f>IFERROR(
SUM(
SUMIF('TL01'!C:C,C186,'TL01'!J:J),
SUMIF('TL02'!C:C,C186,'TL02'!J:J),
SUMIF('TL03'!C:C,C186,'TL03'!J:J),
SUMIF('TL04'!C:C,C186,'TL04'!J:J),
SUMIF('TL05'!C:C,C186,'TL05'!J:J),
SUMIF('TL06'!C:C,C186,'TL06'!J:J),
SUMIF('TL07'!C:C,C186,'TL07'!J:J),
SUMIF('TL08'!C:C,C186,'TL08'!J:J),
SUMIF('TL09'!C:C,C186,'TL09'!J:J),
SUMIF('TL10'!C:C,C186,'TL10'!J:J),
SUMIF('TL11'!C:C,C186,'TL11'!J:J),
SUMIF('TL12'!C:C,C186,'TL12'!J:J),
SUMIF('TL13'!C:C,C186,'TL13'!J:J),
SUMIF('TL14'!C:C,C186,'TL14'!J:J),
SUMIF('TL15'!C:C,C186,'TL15'!J:J),
SUMIF('TL16'!C:C,C186,'TL16'!J:J),
SUMIF('TL17'!C:C,C186,'TL17'!J:J),
SUMIF('TL18'!C:C,C186,'TL18'!J:J),SUMIF('TL19'!C:C,C186,'TL19'!J:J))
,0)</f>
        <v/>
      </c>
      <c r="S186" s="17">
        <f>IFERROR(__xludf.DUMMYFUNCTION("IFERROR(VLOOKUP(C186,
IMPORTRANGE(""1wULbzX32WdYsx-lj2U3uUNBBe2INVIRDtcK0d-Dvl90"",
""26-27!C:G""),
5,
FALSE),
"""")"),89.064)</f>
        <v/>
      </c>
      <c r="T186" s="9" t="n"/>
      <c r="U186" s="92">
        <f>MAX(0,R186-T186)</f>
        <v/>
      </c>
      <c r="V186" s="93">
        <f>U186*S186</f>
        <v/>
      </c>
    </row>
    <row r="187" hidden="1" ht="15.75" customHeight="1" s="297">
      <c r="A187" s="94" t="inlineStr">
        <is>
          <t>CCAB</t>
        </is>
      </c>
      <c r="B187" s="95" t="inlineStr">
        <is>
          <t>INSETICIDA</t>
        </is>
      </c>
      <c r="C187" s="96" t="inlineStr">
        <is>
          <t>ACETAMIPRID CCAB 200 SP</t>
        </is>
      </c>
      <c r="D187" s="96" t="inlineStr">
        <is>
          <t>ACETAMIPRIDO</t>
        </is>
      </c>
      <c r="E187" s="96" t="n">
        <v>200</v>
      </c>
      <c r="F187" s="4" t="inlineStr">
        <is>
          <t>KG</t>
        </is>
      </c>
      <c r="G187" s="90">
        <f>HYPERLINK("https://www.google.com/search?q=" &amp; C187 &amp; "+bula+agrofit+pdf", "📄 Ver bula")</f>
        <v/>
      </c>
      <c r="H187" s="9">
        <f>IFERROR(__xludf.DUMMYFUNCTION("IFERROR(VLOOKUP(C187,
IMPORTRANGE(""1wULbzX32WdYsx-lj2U3uUNBBe2INVIRDtcK0d-Dvl90"",
""26-27!C:K""),
8,
FALSE),
"""")"),0.3)</f>
        <v/>
      </c>
      <c r="I187" s="97" t="inlineStr">
        <is>
          <t>4x5</t>
        </is>
      </c>
      <c r="J187" s="9">
        <f>IFERROR(SUM(
IF('TL01'!$B$3=J$3,SUMIF('TL01'!$C$10:$C$224,$C187,'TL01'!$J$10:$J$224),0),
IF('TL01'!$B$229=J$3,SUMIF('TL01'!$C$238:$C$451,$C187,'TL01'!$J$238:$J$451),0),
IF('TL02'!$B$3=J$3,SUMIF('TL02'!$C$10:$C$224,$C187,'TL02'!$J$10:$J$224),0),
IF('TL02'!$B$229=J$3,SUMIF('TL02'!$C$238:$C$451,$C187,'TL02'!$J$238:$J$451),0),
IF('TL03'!$B$3=J$3,SUMIF('TL03'!$C$10:$C$224,$C187,'TL03'!$J$10:$J$224),0),
IF('TL03'!$B$229=J$3,SUMIF('TL03'!$C$238:$C$451,$C187,'TL03'!$J$238:$J$451),0),
IF('TL04'!$B$3=J$3,SUMIF('TL04'!$C$10:$C$224,$C187,'TL04'!$J$10:$J$224),0),
IF('TL04'!$B$229=J$3,SUMIF('TL04'!$C$238:$C$451,$C187,'TL04'!$J$238:$J$451),0),
IF('TL05'!$B$3=J$3,SUMIF('TL05'!$C$10:$C$224,$C187,'TL05'!$J$10:$J$224),0),
IF('TL05'!$B$229=J$3,SUMIF('TL05'!$C$238:$C$451,$C187,'TL05'!$J$238:$J$451),0),
IF('TL06'!$B$3=J$3,SUMIF('TL06'!$C$10:$C$224,$C187,'TL06'!$J$10:$J$224),0),
IF('TL06'!$B$229=J$3,SUMIF('TL06'!$C$238:$C$451,$C187,'TL06'!$J$238:$J$451),0),
IF('TL07'!$B$3=J$3,SUMIF('TL07'!$C$10:$C$224,$C187,'TL07'!$J$10:$J$224),0),
IF('TL07'!$B$229=J$3,SUMIF('TL07'!$C$238:$C$451,$C187,'TL07'!$J$238:$J$451),0),
IF('TL08'!$B$3=J$3,SUMIF('TL08'!$C$10:$C$224,$C187,'TL08'!$J$10:$J$224),0),
IF('TL08'!$B$229=J$3,SUMIF('TL08'!$C$238:$C$451,$C187,'TL08'!$J$238:$J$451),0),
IF('TL09'!$B$3=J$3,SUMIF('TL09'!$C$10:$C$224,$C187,'TL09'!$J$10:$J$224),0),
IF('TL09'!$B$229=J$3,SUMIF('TL09'!$C$238:$C$451,$C187,'TL09'!$J$238:$J$451),0),
IF('TL10'!$B$3=J$3,SUMIF('TL10'!$C$10:$C$224,$C187,'TL10'!$J$10:$J$224),0),
IF('TL10'!$B$229=J$3,SUMIF('TL10'!$C$238:$C$451,$C187,'TL10'!$J$238:$J$451),0),
IF('TL11'!$B$3=J$3,SUMIF('TL11'!$C$10:$C$224,$C187,'TL11'!$J$10:$J$224),0),
IF('TL11'!$B$229=J$3,SUMIF('TL11'!$C$238:$C$451,$C187,'TL11'!$J$238:$J$451),0),
IF('TL12'!$B$3=J$3,SUMIF('TL12'!$C$10:$C$224,$C187,'TL12'!$J$10:$J$224),0),
IF('TL12'!$B$229=J$3,SUMIF('TL12'!$C$238:$C$451,$C187,'TL12'!$J$238:$J$451),0),
IF('TL13'!$B$3=J$3,SUMIF('TL13'!$C$10:$C$224,$C187,'TL13'!$J$10:$J$224),0),
IF('TL13'!$B$229=J$3,SUMIF('TL13'!$C$238:$C$451,$C187,'TL13'!$J$238:$J$451),0),
IF('TL14'!$B$3=J$3,SUMIF('TL14'!$C$10:$C$224,$C187,'TL14'!$J$10:$J$224),0),
IF('TL14'!$B$229=J$3,SUMIF('TL14'!$C$238:$C$451,$C187,'TL14'!$J$238:$J$451),0),
IF('TL15'!$B$3=J$3,SUMIF('TL15'!$C$10:$C$224,$C187,'TL15'!$J$10:$J$224),0),
IF('TL15'!$B$229=J$3,SUMIF('TL15'!$C$238:$C$451,$C187,'TL15'!$J$238:$J$451),0),
IF('TL16'!$B$3=J$3,SUMIF('TL16'!$C$10:$C$224,$C187,'TL16'!$J$10:$J$224),0),
IF('TL16'!$B$229=J$3,SUMIF('TL16'!$C$238:$C$451,$C187,'TL16'!$J$238:$J$451),0),
IF('TL17'!$B$3=J$3,SUMIF('TL17'!$C$10:$C$224,$C187,'TL17'!$J$10:$J$224),0),
IF('TL17'!$B$229=J$3,SUMIF('TL17'!$C$238:$C$451,$C187,'TL17'!$J$238:$J$451),0),
IF('TL18'!$B$3=J$3,SUMIF('TL18'!$C$10:$C$224,$C187,'TL18'!$J$10:$J$224),0),
IF('TL18'!$B$229=J$3,SUMIF('TL18'!$C$238:$C$451,$C187,'TL18'!$J$238:$J$451),0),
IF('TL19'!$B$3=J$3,SUMIF('TL19'!$C$10:$C$224,$C187,'TL19'!$J$10:$J$224),0),
IF('TL19'!$B$229=J$3,SUMIF('TL19'!$C$238:$C$451,$C187,'TL19'!$J$238:$J$451),0)
),0)</f>
        <v/>
      </c>
      <c r="K187" s="9">
        <f>IFERROR(SUM(
IF('TL01'!$B$3=K$3,SUMIF('TL01'!$C$10:$C$224,$C187,'TL01'!$J$10:$J$224),0),
IF('TL01'!$B$229=K$3,SUMIF('TL01'!$C$238:$C$451,$C187,'TL01'!$J$238:$J$451),0),
IF('TL02'!$B$3=K$3,SUMIF('TL02'!$C$10:$C$224,$C187,'TL02'!$J$10:$J$224),0),
IF('TL02'!$B$229=K$3,SUMIF('TL02'!$C$238:$C$451,$C187,'TL02'!$J$238:$J$451),0),
IF('TL03'!$B$3=K$3,SUMIF('TL03'!$C$10:$C$224,$C187,'TL03'!$J$10:$J$224),0),
IF('TL03'!$B$229=K$3,SUMIF('TL03'!$C$238:$C$451,$C187,'TL03'!$J$238:$J$451),0),
IF('TL04'!$B$3=K$3,SUMIF('TL04'!$C$10:$C$224,$C187,'TL04'!$J$10:$J$224),0),
IF('TL04'!$B$229=K$3,SUMIF('TL04'!$C$238:$C$451,$C187,'TL04'!$J$238:$J$451),0),
IF('TL05'!$B$3=K$3,SUMIF('TL05'!$C$10:$C$224,$C187,'TL05'!$J$10:$J$224),0),
IF('TL05'!$B$229=K$3,SUMIF('TL05'!$C$238:$C$451,$C187,'TL05'!$J$238:$J$451),0),
IF('TL06'!$B$3=K$3,SUMIF('TL06'!$C$10:$C$224,$C187,'TL06'!$J$10:$J$224),0),
IF('TL06'!$B$229=K$3,SUMIF('TL06'!$C$238:$C$451,$C187,'TL06'!$J$238:$J$451),0),
IF('TL07'!$B$3=K$3,SUMIF('TL07'!$C$10:$C$224,$C187,'TL07'!$J$10:$J$224),0),
IF('TL07'!$B$229=K$3,SUMIF('TL07'!$C$238:$C$451,$C187,'TL07'!$J$238:$J$451),0),
IF('TL08'!$B$3=K$3,SUMIF('TL08'!$C$10:$C$224,$C187,'TL08'!$J$10:$J$224),0),
IF('TL08'!$B$229=K$3,SUMIF('TL08'!$C$238:$C$451,$C187,'TL08'!$J$238:$J$451),0),
IF('TL09'!$B$3=K$3,SUMIF('TL09'!$C$10:$C$224,$C187,'TL09'!$J$10:$J$224),0),
IF('TL09'!$B$229=K$3,SUMIF('TL09'!$C$238:$C$451,$C187,'TL09'!$J$238:$J$451),0),
IF('TL10'!$B$3=K$3,SUMIF('TL10'!$C$10:$C$224,$C187,'TL10'!$J$10:$J$224),0),
IF('TL10'!$B$229=K$3,SUMIF('TL10'!$C$238:$C$451,$C187,'TL10'!$J$238:$J$451),0),
IF('TL11'!$B$3=K$3,SUMIF('TL11'!$C$10:$C$224,$C187,'TL11'!$J$10:$J$224),0),
IF('TL11'!$B$229=K$3,SUMIF('TL11'!$C$238:$C$451,$C187,'TL11'!$J$238:$J$451),0),
IF('TL12'!$B$3=K$3,SUMIF('TL12'!$C$10:$C$224,$C187,'TL12'!$J$10:$J$224),0),
IF('TL12'!$B$229=K$3,SUMIF('TL12'!$C$238:$C$451,$C187,'TL12'!$J$238:$J$451),0),
IF('TL13'!$B$3=K$3,SUMIF('TL13'!$C$10:$C$224,$C187,'TL13'!$J$10:$J$224),0),
IF('TL13'!$B$229=K$3,SUMIF('TL13'!$C$238:$C$451,$C187,'TL13'!$J$238:$J$451),0),
IF('TL14'!$B$3=K$3,SUMIF('TL14'!$C$10:$C$224,$C187,'TL14'!$J$10:$J$224),0),
IF('TL14'!$B$229=K$3,SUMIF('TL14'!$C$238:$C$451,$C187,'TL14'!$J$238:$J$451),0),
IF('TL15'!$B$3=K$3,SUMIF('TL15'!$C$10:$C$224,$C187,'TL15'!$J$10:$J$224),0),
IF('TL15'!$B$229=K$3,SUMIF('TL15'!$C$238:$C$451,$C187,'TL15'!$J$238:$J$451),0),
IF('TL16'!$B$3=K$3,SUMIF('TL16'!$C$10:$C$224,$C187,'TL16'!$J$10:$J$224),0),
IF('TL16'!$B$229=K$3,SUMIF('TL16'!$C$238:$C$451,$C187,'TL16'!$J$238:$J$451),0),
IF('TL17'!$B$3=K$3,SUMIF('TL17'!$C$10:$C$224,$C187,'TL17'!$J$10:$J$224),0),
IF('TL17'!$B$229=K$3,SUMIF('TL17'!$C$238:$C$451,$C187,'TL17'!$J$238:$J$451),0),
IF('TL18'!$B$3=K$3,SUMIF('TL18'!$C$10:$C$224,$C187,'TL18'!$J$10:$J$224),0),
IF('TL18'!$B$229=K$3,SUMIF('TL18'!$C$238:$C$451,$C187,'TL18'!$J$238:$J$451),0),
IF('TL19'!$B$3=K$3,SUMIF('TL19'!$C$10:$C$224,$C187,'TL19'!$J$10:$J$224),0),
IF('TL19'!$B$229=K$3,SUMIF('TL19'!$C$238:$C$451,$C187,'TL19'!$J$238:$J$451),0)
),0)</f>
        <v/>
      </c>
      <c r="L187" s="9">
        <f>IFERROR(SUM(
IF('TL01'!$B$3=L$3,SUMIF('TL01'!$C$10:$C$224,$C187,'TL01'!$J$10:$J$224),0),
IF('TL01'!$B$229=L$3,SUMIF('TL01'!$C$238:$C$451,$C187,'TL01'!$J$238:$J$451),0),
IF('TL02'!$B$3=L$3,SUMIF('TL02'!$C$10:$C$224,$C187,'TL02'!$J$10:$J$224),0),
IF('TL02'!$B$229=L$3,SUMIF('TL02'!$C$238:$C$451,$C187,'TL02'!$J$238:$J$451),0),
IF('TL03'!$B$3=L$3,SUMIF('TL03'!$C$10:$C$224,$C187,'TL03'!$J$10:$J$224),0),
IF('TL03'!$B$229=L$3,SUMIF('TL03'!$C$238:$C$451,$C187,'TL03'!$J$238:$J$451),0),
IF('TL04'!$B$3=L$3,SUMIF('TL04'!$C$10:$C$224,$C187,'TL04'!$J$10:$J$224),0),
IF('TL04'!$B$229=L$3,SUMIF('TL04'!$C$238:$C$451,$C187,'TL04'!$J$238:$J$451),0),
IF('TL05'!$B$3=L$3,SUMIF('TL05'!$C$10:$C$224,$C187,'TL05'!$J$10:$J$224),0),
IF('TL05'!$B$229=L$3,SUMIF('TL05'!$C$238:$C$451,$C187,'TL05'!$J$238:$J$451),0),
IF('TL06'!$B$3=L$3,SUMIF('TL06'!$C$10:$C$224,$C187,'TL06'!$J$10:$J$224),0),
IF('TL06'!$B$229=L$3,SUMIF('TL06'!$C$238:$C$451,$C187,'TL06'!$J$238:$J$451),0),
IF('TL07'!$B$3=L$3,SUMIF('TL07'!$C$10:$C$224,$C187,'TL07'!$J$10:$J$224),0),
IF('TL07'!$B$229=L$3,SUMIF('TL07'!$C$238:$C$451,$C187,'TL07'!$J$238:$J$451),0),
IF('TL08'!$B$3=L$3,SUMIF('TL08'!$C$10:$C$224,$C187,'TL08'!$J$10:$J$224),0),
IF('TL08'!$B$229=L$3,SUMIF('TL08'!$C$238:$C$451,$C187,'TL08'!$J$238:$J$451),0),
IF('TL09'!$B$3=L$3,SUMIF('TL09'!$C$10:$C$224,$C187,'TL09'!$J$10:$J$224),0),
IF('TL09'!$B$229=L$3,SUMIF('TL09'!$C$238:$C$451,$C187,'TL09'!$J$238:$J$451),0),
IF('TL10'!$B$3=L$3,SUMIF('TL10'!$C$10:$C$224,$C187,'TL10'!$J$10:$J$224),0),
IF('TL10'!$B$229=L$3,SUMIF('TL10'!$C$238:$C$451,$C187,'TL10'!$J$238:$J$451),0),
IF('TL11'!$B$3=L$3,SUMIF('TL11'!$C$10:$C$224,$C187,'TL11'!$J$10:$J$224),0),
IF('TL11'!$B$229=L$3,SUMIF('TL11'!$C$238:$C$451,$C187,'TL11'!$J$238:$J$451),0),
IF('TL12'!$B$3=L$3,SUMIF('TL12'!$C$10:$C$224,$C187,'TL12'!$J$10:$J$224),0),
IF('TL12'!$B$229=L$3,SUMIF('TL12'!$C$238:$C$451,$C187,'TL12'!$J$238:$J$451),0),
IF('TL13'!$B$3=L$3,SUMIF('TL13'!$C$10:$C$224,$C187,'TL13'!$J$10:$J$224),0),
IF('TL13'!$B$229=L$3,SUMIF('TL13'!$C$238:$C$451,$C187,'TL13'!$J$238:$J$451),0),
IF('TL14'!$B$3=L$3,SUMIF('TL14'!$C$10:$C$224,$C187,'TL14'!$J$10:$J$224),0),
IF('TL14'!$B$229=L$3,SUMIF('TL14'!$C$238:$C$451,$C187,'TL14'!$J$238:$J$451),0),
IF('TL15'!$B$3=L$3,SUMIF('TL15'!$C$10:$C$224,$C187,'TL15'!$J$10:$J$224),0),
IF('TL15'!$B$229=L$3,SUMIF('TL15'!$C$238:$C$451,$C187,'TL15'!$J$238:$J$451),0),
IF('TL16'!$B$3=L$3,SUMIF('TL16'!$C$10:$C$224,$C187,'TL16'!$J$10:$J$224),0),
IF('TL16'!$B$229=L$3,SUMIF('TL16'!$C$238:$C$451,$C187,'TL16'!$J$238:$J$451),0),
IF('TL17'!$B$3=L$3,SUMIF('TL17'!$C$10:$C$224,$C187,'TL17'!$J$10:$J$224),0),
IF('TL17'!$B$229=L$3,SUMIF('TL17'!$C$238:$C$451,$C187,'TL17'!$J$238:$J$451),0),
IF('TL18'!$B$3=L$3,SUMIF('TL18'!$C$10:$C$224,$C187,'TL18'!$J$10:$J$224),0),
IF('TL18'!$B$229=L$3,SUMIF('TL18'!$C$238:$C$451,$C187,'TL18'!$J$238:$J$451),0),
IF('TL19'!$B$3=L$3,SUMIF('TL19'!$C$10:$C$224,$C187,'TL19'!$J$10:$J$224),0),
IF('TL19'!$B$229=L$3,SUMIF('TL19'!$C$238:$C$451,$C187,'TL19'!$J$238:$J$451),0)
),0)</f>
        <v/>
      </c>
      <c r="M187" s="9">
        <f>IFERROR(SUM(
IF('TL01'!$B$3=M$3,SUMIF('TL01'!$C$10:$C$224,$C187,'TL01'!$J$10:$J$224),0),
IF('TL01'!$B$229=M$3,SUMIF('TL01'!$C$238:$C$451,$C187,'TL01'!$J$238:$J$451),0),
IF('TL02'!$B$3=M$3,SUMIF('TL02'!$C$10:$C$224,$C187,'TL02'!$J$10:$J$224),0),
IF('TL02'!$B$229=M$3,SUMIF('TL02'!$C$238:$C$451,$C187,'TL02'!$J$238:$J$451),0),
IF('TL03'!$B$3=M$3,SUMIF('TL03'!$C$10:$C$224,$C187,'TL03'!$J$10:$J$224),0),
IF('TL03'!$B$229=M$3,SUMIF('TL03'!$C$238:$C$451,$C187,'TL03'!$J$238:$J$451),0),
IF('TL04'!$B$3=M$3,SUMIF('TL04'!$C$10:$C$224,$C187,'TL04'!$J$10:$J$224),0),
IF('TL04'!$B$229=M$3,SUMIF('TL04'!$C$238:$C$451,$C187,'TL04'!$J$238:$J$451),0),
IF('TL05'!$B$3=M$3,SUMIF('TL05'!$C$10:$C$224,$C187,'TL05'!$J$10:$J$224),0),
IF('TL05'!$B$229=M$3,SUMIF('TL05'!$C$238:$C$451,$C187,'TL05'!$J$238:$J$451),0),
IF('TL06'!$B$3=M$3,SUMIF('TL06'!$C$10:$C$224,$C187,'TL06'!$J$10:$J$224),0),
IF('TL06'!$B$229=M$3,SUMIF('TL06'!$C$238:$C$451,$C187,'TL06'!$J$238:$J$451),0),
IF('TL07'!$B$3=M$3,SUMIF('TL07'!$C$10:$C$224,$C187,'TL07'!$J$10:$J$224),0),
IF('TL07'!$B$229=M$3,SUMIF('TL07'!$C$238:$C$451,$C187,'TL07'!$J$238:$J$451),0),
IF('TL08'!$B$3=M$3,SUMIF('TL08'!$C$10:$C$224,$C187,'TL08'!$J$10:$J$224),0),
IF('TL08'!$B$229=M$3,SUMIF('TL08'!$C$238:$C$451,$C187,'TL08'!$J$238:$J$451),0),
IF('TL09'!$B$3=M$3,SUMIF('TL09'!$C$10:$C$224,$C187,'TL09'!$J$10:$J$224),0),
IF('TL09'!$B$229=M$3,SUMIF('TL09'!$C$238:$C$451,$C187,'TL09'!$J$238:$J$451),0),
IF('TL10'!$B$3=M$3,SUMIF('TL10'!$C$10:$C$224,$C187,'TL10'!$J$10:$J$224),0),
IF('TL10'!$B$229=M$3,SUMIF('TL10'!$C$238:$C$451,$C187,'TL10'!$J$238:$J$451),0),
IF('TL11'!$B$3=M$3,SUMIF('TL11'!$C$10:$C$224,$C187,'TL11'!$J$10:$J$224),0),
IF('TL11'!$B$229=M$3,SUMIF('TL11'!$C$238:$C$451,$C187,'TL11'!$J$238:$J$451),0),
IF('TL12'!$B$3=M$3,SUMIF('TL12'!$C$10:$C$224,$C187,'TL12'!$J$10:$J$224),0),
IF('TL12'!$B$229=M$3,SUMIF('TL12'!$C$238:$C$451,$C187,'TL12'!$J$238:$J$451),0),
IF('TL13'!$B$3=M$3,SUMIF('TL13'!$C$10:$C$224,$C187,'TL13'!$J$10:$J$224),0),
IF('TL13'!$B$229=M$3,SUMIF('TL13'!$C$238:$C$451,$C187,'TL13'!$J$238:$J$451),0),
IF('TL14'!$B$3=M$3,SUMIF('TL14'!$C$10:$C$224,$C187,'TL14'!$J$10:$J$224),0),
IF('TL14'!$B$229=M$3,SUMIF('TL14'!$C$238:$C$451,$C187,'TL14'!$J$238:$J$451),0),
IF('TL15'!$B$3=M$3,SUMIF('TL15'!$C$10:$C$224,$C187,'TL15'!$J$10:$J$224),0),
IF('TL15'!$B$229=M$3,SUMIF('TL15'!$C$238:$C$451,$C187,'TL15'!$J$238:$J$451),0),
IF('TL16'!$B$3=M$3,SUMIF('TL16'!$C$10:$C$224,$C187,'TL16'!$J$10:$J$224),0),
IF('TL16'!$B$229=M$3,SUMIF('TL16'!$C$238:$C$451,$C187,'TL16'!$J$238:$J$451),0),
IF('TL17'!$B$3=M$3,SUMIF('TL17'!$C$10:$C$224,$C187,'TL17'!$J$10:$J$224),0),
IF('TL17'!$B$229=M$3,SUMIF('TL17'!$C$238:$C$451,$C187,'TL17'!$J$238:$J$451),0),
IF('TL18'!$B$3=M$3,SUMIF('TL18'!$C$10:$C$224,$C187,'TL18'!$J$10:$J$224),0),
IF('TL18'!$B$229=M$3,SUMIF('TL18'!$C$238:$C$451,$C187,'TL18'!$J$238:$J$451),0),
IF('TL19'!$B$3=M$3,SUMIF('TL19'!$C$10:$C$224,$C187,'TL19'!$J$10:$J$224),0),
IF('TL19'!$B$229=M$3,SUMIF('TL19'!$C$238:$C$451,$C187,'TL19'!$J$238:$J$451),0)
),0)</f>
        <v/>
      </c>
      <c r="N187" s="9">
        <f>IFERROR(SUM(
IF('TL01'!$B$3=N$3,SUMIF('TL01'!$C$10:$C$224,$C187,'TL01'!$J$10:$J$224),0),
IF('TL01'!$B$229=N$3,SUMIF('TL01'!$C$238:$C$451,$C187,'TL01'!$J$238:$J$451),0),
IF('TL02'!$B$3=N$3,SUMIF('TL02'!$C$10:$C$224,$C187,'TL02'!$J$10:$J$224),0),
IF('TL02'!$B$229=N$3,SUMIF('TL02'!$C$238:$C$451,$C187,'TL02'!$J$238:$J$451),0),
IF('TL03'!$B$3=N$3,SUMIF('TL03'!$C$10:$C$224,$C187,'TL03'!$J$10:$J$224),0),
IF('TL03'!$B$229=N$3,SUMIF('TL03'!$C$238:$C$451,$C187,'TL03'!$J$238:$J$451),0),
IF('TL04'!$B$3=N$3,SUMIF('TL04'!$C$10:$C$224,$C187,'TL04'!$J$10:$J$224),0),
IF('TL04'!$B$229=N$3,SUMIF('TL04'!$C$238:$C$451,$C187,'TL04'!$J$238:$J$451),0),
IF('TL05'!$B$3=N$3,SUMIF('TL05'!$C$10:$C$224,$C187,'TL05'!$J$10:$J$224),0),
IF('TL05'!$B$229=N$3,SUMIF('TL05'!$C$238:$C$451,$C187,'TL05'!$J$238:$J$451),0),
IF('TL06'!$B$3=N$3,SUMIF('TL06'!$C$10:$C$224,$C187,'TL06'!$J$10:$J$224),0),
IF('TL06'!$B$229=N$3,SUMIF('TL06'!$C$238:$C$451,$C187,'TL06'!$J$238:$J$451),0),
IF('TL07'!$B$3=N$3,SUMIF('TL07'!$C$10:$C$224,$C187,'TL07'!$J$10:$J$224),0),
IF('TL07'!$B$229=N$3,SUMIF('TL07'!$C$238:$C$451,$C187,'TL07'!$J$238:$J$451),0),
IF('TL08'!$B$3=N$3,SUMIF('TL08'!$C$10:$C$224,$C187,'TL08'!$J$10:$J$224),0),
IF('TL08'!$B$229=N$3,SUMIF('TL08'!$C$238:$C$451,$C187,'TL08'!$J$238:$J$451),0),
IF('TL09'!$B$3=N$3,SUMIF('TL09'!$C$10:$C$224,$C187,'TL09'!$J$10:$J$224),0),
IF('TL09'!$B$229=N$3,SUMIF('TL09'!$C$238:$C$451,$C187,'TL09'!$J$238:$J$451),0),
IF('TL10'!$B$3=N$3,SUMIF('TL10'!$C$10:$C$224,$C187,'TL10'!$J$10:$J$224),0),
IF('TL10'!$B$229=N$3,SUMIF('TL10'!$C$238:$C$451,$C187,'TL10'!$J$238:$J$451),0),
IF('TL11'!$B$3=N$3,SUMIF('TL11'!$C$10:$C$224,$C187,'TL11'!$J$10:$J$224),0),
IF('TL11'!$B$229=N$3,SUMIF('TL11'!$C$238:$C$451,$C187,'TL11'!$J$238:$J$451),0),
IF('TL12'!$B$3=N$3,SUMIF('TL12'!$C$10:$C$224,$C187,'TL12'!$J$10:$J$224),0),
IF('TL12'!$B$229=N$3,SUMIF('TL12'!$C$238:$C$451,$C187,'TL12'!$J$238:$J$451),0),
IF('TL13'!$B$3=N$3,SUMIF('TL13'!$C$10:$C$224,$C187,'TL13'!$J$10:$J$224),0),
IF('TL13'!$B$229=N$3,SUMIF('TL13'!$C$238:$C$451,$C187,'TL13'!$J$238:$J$451),0),
IF('TL14'!$B$3=N$3,SUMIF('TL14'!$C$10:$C$224,$C187,'TL14'!$J$10:$J$224),0),
IF('TL14'!$B$229=N$3,SUMIF('TL14'!$C$238:$C$451,$C187,'TL14'!$J$238:$J$451),0),
IF('TL15'!$B$3=N$3,SUMIF('TL15'!$C$10:$C$224,$C187,'TL15'!$J$10:$J$224),0),
IF('TL15'!$B$229=N$3,SUMIF('TL15'!$C$238:$C$451,$C187,'TL15'!$J$238:$J$451),0),
IF('TL16'!$B$3=N$3,SUMIF('TL16'!$C$10:$C$224,$C187,'TL16'!$J$10:$J$224),0),
IF('TL16'!$B$229=N$3,SUMIF('TL16'!$C$238:$C$451,$C187,'TL16'!$J$238:$J$451),0),
IF('TL17'!$B$3=N$3,SUMIF('TL17'!$C$10:$C$224,$C187,'TL17'!$J$10:$J$224),0),
IF('TL17'!$B$229=N$3,SUMIF('TL17'!$C$238:$C$451,$C187,'TL17'!$J$238:$J$451),0),
IF('TL18'!$B$3=N$3,SUMIF('TL18'!$C$10:$C$224,$C187,'TL18'!$J$10:$J$224),0),
IF('TL18'!$B$229=N$3,SUMIF('TL18'!$C$238:$C$451,$C187,'TL18'!$J$238:$J$451),0),
IF('TL19'!$B$3=N$3,SUMIF('TL19'!$C$10:$C$224,$C187,'TL19'!$J$10:$J$224),0),
IF('TL19'!$B$229=N$3,SUMIF('TL19'!$C$238:$C$451,$C187,'TL19'!$J$238:$J$451),0)
),0)</f>
        <v/>
      </c>
      <c r="O187" s="9">
        <f>IFERROR(SUM(
IF('TL01'!$B$3=O$3,SUMIF('TL01'!$C$10:$C$224,$C187,'TL01'!$J$10:$J$224),0),
IF('TL01'!$B$229=O$3,SUMIF('TL01'!$C$238:$C$451,$C187,'TL01'!$J$238:$J$451),0),
IF('TL02'!$B$3=O$3,SUMIF('TL02'!$C$10:$C$224,$C187,'TL02'!$J$10:$J$224),0),
IF('TL02'!$B$229=O$3,SUMIF('TL02'!$C$238:$C$451,$C187,'TL02'!$J$238:$J$451),0),
IF('TL03'!$B$3=O$3,SUMIF('TL03'!$C$10:$C$224,$C187,'TL03'!$J$10:$J$224),0),
IF('TL03'!$B$229=O$3,SUMIF('TL03'!$C$238:$C$451,$C187,'TL03'!$J$238:$J$451),0),
IF('TL04'!$B$3=O$3,SUMIF('TL04'!$C$10:$C$224,$C187,'TL04'!$J$10:$J$224),0),
IF('TL04'!$B$229=O$3,SUMIF('TL04'!$C$238:$C$451,$C187,'TL04'!$J$238:$J$451),0),
IF('TL05'!$B$3=O$3,SUMIF('TL05'!$C$10:$C$224,$C187,'TL05'!$J$10:$J$224),0),
IF('TL05'!$B$229=O$3,SUMIF('TL05'!$C$238:$C$451,$C187,'TL05'!$J$238:$J$451),0),
IF('TL06'!$B$3=O$3,SUMIF('TL06'!$C$10:$C$224,$C187,'TL06'!$J$10:$J$224),0),
IF('TL06'!$B$229=O$3,SUMIF('TL06'!$C$238:$C$451,$C187,'TL06'!$J$238:$J$451),0),
IF('TL07'!$B$3=O$3,SUMIF('TL07'!$C$10:$C$224,$C187,'TL07'!$J$10:$J$224),0),
IF('TL07'!$B$229=O$3,SUMIF('TL07'!$C$238:$C$451,$C187,'TL07'!$J$238:$J$451),0),
IF('TL08'!$B$3=O$3,SUMIF('TL08'!$C$10:$C$224,$C187,'TL08'!$J$10:$J$224),0),
IF('TL08'!$B$229=O$3,SUMIF('TL08'!$C$238:$C$451,$C187,'TL08'!$J$238:$J$451),0),
IF('TL09'!$B$3=O$3,SUMIF('TL09'!$C$10:$C$224,$C187,'TL09'!$J$10:$J$224),0),
IF('TL09'!$B$229=O$3,SUMIF('TL09'!$C$238:$C$451,$C187,'TL09'!$J$238:$J$451),0),
IF('TL10'!$B$3=O$3,SUMIF('TL10'!$C$10:$C$224,$C187,'TL10'!$J$10:$J$224),0),
IF('TL10'!$B$229=O$3,SUMIF('TL10'!$C$238:$C$451,$C187,'TL10'!$J$238:$J$451),0),
IF('TL11'!$B$3=O$3,SUMIF('TL11'!$C$10:$C$224,$C187,'TL11'!$J$10:$J$224),0),
IF('TL11'!$B$229=O$3,SUMIF('TL11'!$C$238:$C$451,$C187,'TL11'!$J$238:$J$451),0),
IF('TL12'!$B$3=O$3,SUMIF('TL12'!$C$10:$C$224,$C187,'TL12'!$J$10:$J$224),0),
IF('TL12'!$B$229=O$3,SUMIF('TL12'!$C$238:$C$451,$C187,'TL12'!$J$238:$J$451),0),
IF('TL13'!$B$3=O$3,SUMIF('TL13'!$C$10:$C$224,$C187,'TL13'!$J$10:$J$224),0),
IF('TL13'!$B$229=O$3,SUMIF('TL13'!$C$238:$C$451,$C187,'TL13'!$J$238:$J$451),0),
IF('TL14'!$B$3=O$3,SUMIF('TL14'!$C$10:$C$224,$C187,'TL14'!$J$10:$J$224),0),
IF('TL14'!$B$229=O$3,SUMIF('TL14'!$C$238:$C$451,$C187,'TL14'!$J$238:$J$451),0),
IF('TL15'!$B$3=O$3,SUMIF('TL15'!$C$10:$C$224,$C187,'TL15'!$J$10:$J$224),0),
IF('TL15'!$B$229=O$3,SUMIF('TL15'!$C$238:$C$451,$C187,'TL15'!$J$238:$J$451),0),
IF('TL16'!$B$3=O$3,SUMIF('TL16'!$C$10:$C$224,$C187,'TL16'!$J$10:$J$224),0),
IF('TL16'!$B$229=O$3,SUMIF('TL16'!$C$238:$C$451,$C187,'TL16'!$J$238:$J$451),0),
IF('TL17'!$B$3=O$3,SUMIF('TL17'!$C$10:$C$224,$C187,'TL17'!$J$10:$J$224),0),
IF('TL17'!$B$229=O$3,SUMIF('TL17'!$C$238:$C$451,$C187,'TL17'!$J$238:$J$451),0),
IF('TL18'!$B$3=O$3,SUMIF('TL18'!$C$10:$C$224,$C187,'TL18'!$J$10:$J$224),0),
IF('TL18'!$B$229=O$3,SUMIF('TL18'!$C$238:$C$451,$C187,'TL18'!$J$238:$J$451),0),
IF('TL19'!$B$3=O$3,SUMIF('TL19'!$C$10:$C$224,$C187,'TL19'!$J$10:$J$224),0),
IF('TL19'!$B$229=O$3,SUMIF('TL19'!$C$238:$C$451,$C187,'TL19'!$J$238:$J$451),0)
),0)</f>
        <v/>
      </c>
      <c r="P187" s="9">
        <f>IFERROR(SUM(
IF('TL01'!$B$3=P$3,SUMIF('TL01'!$C$10:$C$224,$C187,'TL01'!$J$10:$J$224),0),
IF('TL01'!$B$229=P$3,SUMIF('TL01'!$C$238:$C$451,$C187,'TL01'!$J$238:$J$451),0),
IF('TL02'!$B$3=P$3,SUMIF('TL02'!$C$10:$C$224,$C187,'TL02'!$J$10:$J$224),0),
IF('TL02'!$B$229=P$3,SUMIF('TL02'!$C$238:$C$451,$C187,'TL02'!$J$238:$J$451),0),
IF('TL03'!$B$3=P$3,SUMIF('TL03'!$C$10:$C$224,$C187,'TL03'!$J$10:$J$224),0),
IF('TL03'!$B$229=P$3,SUMIF('TL03'!$C$238:$C$451,$C187,'TL03'!$J$238:$J$451),0),
IF('TL04'!$B$3=P$3,SUMIF('TL04'!$C$10:$C$224,$C187,'TL04'!$J$10:$J$224),0),
IF('TL04'!$B$229=P$3,SUMIF('TL04'!$C$238:$C$451,$C187,'TL04'!$J$238:$J$451),0),
IF('TL05'!$B$3=P$3,SUMIF('TL05'!$C$10:$C$224,$C187,'TL05'!$J$10:$J$224),0),
IF('TL05'!$B$229=P$3,SUMIF('TL05'!$C$238:$C$451,$C187,'TL05'!$J$238:$J$451),0),
IF('TL06'!$B$3=P$3,SUMIF('TL06'!$C$10:$C$224,$C187,'TL06'!$J$10:$J$224),0),
IF('TL06'!$B$229=P$3,SUMIF('TL06'!$C$238:$C$451,$C187,'TL06'!$J$238:$J$451),0),
IF('TL07'!$B$3=P$3,SUMIF('TL07'!$C$10:$C$224,$C187,'TL07'!$J$10:$J$224),0),
IF('TL07'!$B$229=P$3,SUMIF('TL07'!$C$238:$C$451,$C187,'TL07'!$J$238:$J$451),0),
IF('TL08'!$B$3=P$3,SUMIF('TL08'!$C$10:$C$224,$C187,'TL08'!$J$10:$J$224),0),
IF('TL08'!$B$229=P$3,SUMIF('TL08'!$C$238:$C$451,$C187,'TL08'!$J$238:$J$451),0),
IF('TL09'!$B$3=P$3,SUMIF('TL09'!$C$10:$C$224,$C187,'TL09'!$J$10:$J$224),0),
IF('TL09'!$B$229=P$3,SUMIF('TL09'!$C$238:$C$451,$C187,'TL09'!$J$238:$J$451),0),
IF('TL10'!$B$3=P$3,SUMIF('TL10'!$C$10:$C$224,$C187,'TL10'!$J$10:$J$224),0),
IF('TL10'!$B$229=P$3,SUMIF('TL10'!$C$238:$C$451,$C187,'TL10'!$J$238:$J$451),0),
IF('TL11'!$B$3=P$3,SUMIF('TL11'!$C$10:$C$224,$C187,'TL11'!$J$10:$J$224),0),
IF('TL11'!$B$229=P$3,SUMIF('TL11'!$C$238:$C$451,$C187,'TL11'!$J$238:$J$451),0),
IF('TL12'!$B$3=P$3,SUMIF('TL12'!$C$10:$C$224,$C187,'TL12'!$J$10:$J$224),0),
IF('TL12'!$B$229=P$3,SUMIF('TL12'!$C$238:$C$451,$C187,'TL12'!$J$238:$J$451),0),
IF('TL13'!$B$3=P$3,SUMIF('TL13'!$C$10:$C$224,$C187,'TL13'!$J$10:$J$224),0),
IF('TL13'!$B$229=P$3,SUMIF('TL13'!$C$238:$C$451,$C187,'TL13'!$J$238:$J$451),0),
IF('TL14'!$B$3=P$3,SUMIF('TL14'!$C$10:$C$224,$C187,'TL14'!$J$10:$J$224),0),
IF('TL14'!$B$229=P$3,SUMIF('TL14'!$C$238:$C$451,$C187,'TL14'!$J$238:$J$451),0),
IF('TL15'!$B$3=P$3,SUMIF('TL15'!$C$10:$C$224,$C187,'TL15'!$J$10:$J$224),0),
IF('TL15'!$B$229=P$3,SUMIF('TL15'!$C$238:$C$451,$C187,'TL15'!$J$238:$J$451),0),
IF('TL16'!$B$3=P$3,SUMIF('TL16'!$C$10:$C$224,$C187,'TL16'!$J$10:$J$224),0),
IF('TL16'!$B$229=P$3,SUMIF('TL16'!$C$238:$C$451,$C187,'TL16'!$J$238:$J$451),0),
IF('TL17'!$B$3=P$3,SUMIF('TL17'!$C$10:$C$224,$C187,'TL17'!$J$10:$J$224),0),
IF('TL17'!$B$229=P$3,SUMIF('TL17'!$C$238:$C$451,$C187,'TL17'!$J$238:$J$451),0),
IF('TL18'!$B$3=P$3,SUMIF('TL18'!$C$10:$C$224,$C187,'TL18'!$J$10:$J$224),0),
IF('TL18'!$B$229=P$3,SUMIF('TL18'!$C$238:$C$451,$C187,'TL18'!$J$238:$J$451),0),
IF('TL19'!$B$3=P$3,SUMIF('TL19'!$C$10:$C$224,$C187,'TL19'!$J$10:$J$224),0),
IF('TL19'!$B$229=P$3,SUMIF('TL19'!$C$238:$C$451,$C187,'TL19'!$J$238:$J$451),0)
),0)</f>
        <v/>
      </c>
      <c r="Q187" s="9">
        <f>IFERROR(SUM(
IF('TL01'!$B$3=Q$3,SUMIF('TL01'!$C$10:$C$224,$C187,'TL01'!$J$10:$J$224),0),
IF('TL01'!$B$229=Q$3,SUMIF('TL01'!$C$238:$C$451,$C187,'TL01'!$J$238:$J$451),0),
IF('TL02'!$B$3=Q$3,SUMIF('TL02'!$C$10:$C$224,$C187,'TL02'!$J$10:$J$224),0),
IF('TL02'!$B$229=Q$3,SUMIF('TL02'!$C$238:$C$451,$C187,'TL02'!$J$238:$J$451),0),
IF('TL03'!$B$3=Q$3,SUMIF('TL03'!$C$10:$C$224,$C187,'TL03'!$J$10:$J$224),0),
IF('TL03'!$B$229=Q$3,SUMIF('TL03'!$C$238:$C$451,$C187,'TL03'!$J$238:$J$451),0),
IF('TL04'!$B$3=Q$3,SUMIF('TL04'!$C$10:$C$224,$C187,'TL04'!$J$10:$J$224),0),
IF('TL04'!$B$229=Q$3,SUMIF('TL04'!$C$238:$C$451,$C187,'TL04'!$J$238:$J$451),0),
IF('TL05'!$B$3=Q$3,SUMIF('TL05'!$C$10:$C$224,$C187,'TL05'!$J$10:$J$224),0),
IF('TL05'!$B$229=Q$3,SUMIF('TL05'!$C$238:$C$451,$C187,'TL05'!$J$238:$J$451),0),
IF('TL06'!$B$3=Q$3,SUMIF('TL06'!$C$10:$C$224,$C187,'TL06'!$J$10:$J$224),0),
IF('TL06'!$B$229=Q$3,SUMIF('TL06'!$C$238:$C$451,$C187,'TL06'!$J$238:$J$451),0),
IF('TL07'!$B$3=Q$3,SUMIF('TL07'!$C$10:$C$224,$C187,'TL07'!$J$10:$J$224),0),
IF('TL07'!$B$229=Q$3,SUMIF('TL07'!$C$238:$C$451,$C187,'TL07'!$J$238:$J$451),0),
IF('TL08'!$B$3=Q$3,SUMIF('TL08'!$C$10:$C$224,$C187,'TL08'!$J$10:$J$224),0),
IF('TL08'!$B$229=Q$3,SUMIF('TL08'!$C$238:$C$451,$C187,'TL08'!$J$238:$J$451),0),
IF('TL09'!$B$3=Q$3,SUMIF('TL09'!$C$10:$C$224,$C187,'TL09'!$J$10:$J$224),0),
IF('TL09'!$B$229=Q$3,SUMIF('TL09'!$C$238:$C$451,$C187,'TL09'!$J$238:$J$451),0),
IF('TL10'!$B$3=Q$3,SUMIF('TL10'!$C$10:$C$224,$C187,'TL10'!$J$10:$J$224),0),
IF('TL10'!$B$229=Q$3,SUMIF('TL10'!$C$238:$C$451,$C187,'TL10'!$J$238:$J$451),0),
IF('TL11'!$B$3=Q$3,SUMIF('TL11'!$C$10:$C$224,$C187,'TL11'!$J$10:$J$224),0),
IF('TL11'!$B$229=Q$3,SUMIF('TL11'!$C$238:$C$451,$C187,'TL11'!$J$238:$J$451),0),
IF('TL12'!$B$3=Q$3,SUMIF('TL12'!$C$10:$C$224,$C187,'TL12'!$J$10:$J$224),0),
IF('TL12'!$B$229=Q$3,SUMIF('TL12'!$C$238:$C$451,$C187,'TL12'!$J$238:$J$451),0),
IF('TL13'!$B$3=Q$3,SUMIF('TL13'!$C$10:$C$224,$C187,'TL13'!$J$10:$J$224),0),
IF('TL13'!$B$229=Q$3,SUMIF('TL13'!$C$238:$C$451,$C187,'TL13'!$J$238:$J$451),0),
IF('TL14'!$B$3=Q$3,SUMIF('TL14'!$C$10:$C$224,$C187,'TL14'!$J$10:$J$224),0),
IF('TL14'!$B$229=Q$3,SUMIF('TL14'!$C$238:$C$451,$C187,'TL14'!$J$238:$J$451),0),
IF('TL15'!$B$3=Q$3,SUMIF('TL15'!$C$10:$C$224,$C187,'TL15'!$J$10:$J$224),0),
IF('TL15'!$B$229=Q$3,SUMIF('TL15'!$C$238:$C$451,$C187,'TL15'!$J$238:$J$451),0),
IF('TL16'!$B$3=Q$3,SUMIF('TL16'!$C$10:$C$224,$C187,'TL16'!$J$10:$J$224),0),
IF('TL16'!$B$229=Q$3,SUMIF('TL16'!$C$238:$C$451,$C187,'TL16'!$J$238:$J$451),0),
IF('TL17'!$B$3=Q$3,SUMIF('TL17'!$C$10:$C$224,$C187,'TL17'!$J$10:$J$224),0),
IF('TL17'!$B$229=Q$3,SUMIF('TL17'!$C$238:$C$451,$C187,'TL17'!$J$238:$J$451),0),
IF('TL18'!$B$3=Q$3,SUMIF('TL18'!$C$10:$C$224,$C187,'TL18'!$J$10:$J$224),0),
IF('TL18'!$B$229=Q$3,SUMIF('TL18'!$C$238:$C$451,$C187,'TL18'!$J$238:$J$451),0),
IF('TL19'!$B$3=Q$3,SUMIF('TL19'!$C$10:$C$224,$C187,'TL19'!$J$10:$J$224),0),
IF('TL19'!$B$229=Q$3,SUMIF('TL19'!$C$238:$C$451,$C187,'TL19'!$J$238:$J$451),0)
),0)</f>
        <v/>
      </c>
      <c r="R187" s="9">
        <f>IFERROR(
SUM(
SUMIF('TL01'!C:C,C187,'TL01'!J:J),
SUMIF('TL02'!C:C,C187,'TL02'!J:J),
SUMIF('TL03'!C:C,C187,'TL03'!J:J),
SUMIF('TL04'!C:C,C187,'TL04'!J:J),
SUMIF('TL05'!C:C,C187,'TL05'!J:J),
SUMIF('TL06'!C:C,C187,'TL06'!J:J),
SUMIF('TL07'!C:C,C187,'TL07'!J:J),
SUMIF('TL08'!C:C,C187,'TL08'!J:J),
SUMIF('TL09'!C:C,C187,'TL09'!J:J),
SUMIF('TL10'!C:C,C187,'TL10'!J:J),
SUMIF('TL11'!C:C,C187,'TL11'!J:J),
SUMIF('TL12'!C:C,C187,'TL12'!J:J),
SUMIF('TL13'!C:C,C187,'TL13'!J:J),
SUMIF('TL14'!C:C,C187,'TL14'!J:J),
SUMIF('TL15'!C:C,C187,'TL15'!J:J),
SUMIF('TL16'!C:C,C187,'TL16'!J:J),
SUMIF('TL17'!C:C,C187,'TL17'!J:J),
SUMIF('TL18'!C:C,C187,'TL18'!J:J),SUMIF('TL19'!C:C,C187,'TL19'!J:J))
,0)</f>
        <v/>
      </c>
      <c r="S187" s="17">
        <f>IFERROR(__xludf.DUMMYFUNCTION("IFERROR(VLOOKUP(C187,
IMPORTRANGE(""1wULbzX32WdYsx-lj2U3uUNBBe2INVIRDtcK0d-Dvl90"",
""26-27!C:G""),
5,
FALSE),
"""")"),19.70541)</f>
        <v/>
      </c>
      <c r="T187" s="9" t="n"/>
      <c r="U187" s="92">
        <f>MAX(0,R187-T187)</f>
        <v/>
      </c>
      <c r="V187" s="93">
        <f>U187*S187</f>
        <v/>
      </c>
    </row>
    <row r="188" hidden="1" ht="15.75" customHeight="1" s="297">
      <c r="A188" s="87" t="inlineStr">
        <is>
          <t>CCAB</t>
        </is>
      </c>
      <c r="B188" s="88" t="inlineStr">
        <is>
          <t>INSETICIDA</t>
        </is>
      </c>
      <c r="C188" s="89" t="inlineStr">
        <is>
          <t>DIFLUBENZURON CCAB 480 SC</t>
        </is>
      </c>
      <c r="D188" s="89" t="inlineStr">
        <is>
          <t>DIFLUBENZUROM</t>
        </is>
      </c>
      <c r="E188" s="89" t="n">
        <v>480</v>
      </c>
      <c r="F188" s="4" t="inlineStr">
        <is>
          <t>KG</t>
        </is>
      </c>
      <c r="G188" s="90">
        <f>HYPERLINK("https://www.google.com/search?q=" &amp; C188 &amp; "+bula+agrofit+pdf", "📄 Ver bula")</f>
        <v/>
      </c>
      <c r="H188" s="9">
        <f>IFERROR(__xludf.DUMMYFUNCTION("IFERROR(VLOOKUP(C188,
IMPORTRANGE(""1wULbzX32WdYsx-lj2U3uUNBBe2INVIRDtcK0d-Dvl90"",
""26-27!C:K""),
8,
FALSE),
"""")"),0.04)</f>
        <v/>
      </c>
      <c r="I188" s="91" t="inlineStr">
        <is>
          <t>1x20</t>
        </is>
      </c>
      <c r="J188" s="9">
        <f>IFERROR(SUM(
IF('TL01'!$B$3=J$3,SUMIF('TL01'!$C$10:$C$224,$C188,'TL01'!$J$10:$J$224),0),
IF('TL01'!$B$229=J$3,SUMIF('TL01'!$C$238:$C$451,$C188,'TL01'!$J$238:$J$451),0),
IF('TL02'!$B$3=J$3,SUMIF('TL02'!$C$10:$C$224,$C188,'TL02'!$J$10:$J$224),0),
IF('TL02'!$B$229=J$3,SUMIF('TL02'!$C$238:$C$451,$C188,'TL02'!$J$238:$J$451),0),
IF('TL03'!$B$3=J$3,SUMIF('TL03'!$C$10:$C$224,$C188,'TL03'!$J$10:$J$224),0),
IF('TL03'!$B$229=J$3,SUMIF('TL03'!$C$238:$C$451,$C188,'TL03'!$J$238:$J$451),0),
IF('TL04'!$B$3=J$3,SUMIF('TL04'!$C$10:$C$224,$C188,'TL04'!$J$10:$J$224),0),
IF('TL04'!$B$229=J$3,SUMIF('TL04'!$C$238:$C$451,$C188,'TL04'!$J$238:$J$451),0),
IF('TL05'!$B$3=J$3,SUMIF('TL05'!$C$10:$C$224,$C188,'TL05'!$J$10:$J$224),0),
IF('TL05'!$B$229=J$3,SUMIF('TL05'!$C$238:$C$451,$C188,'TL05'!$J$238:$J$451),0),
IF('TL06'!$B$3=J$3,SUMIF('TL06'!$C$10:$C$224,$C188,'TL06'!$J$10:$J$224),0),
IF('TL06'!$B$229=J$3,SUMIF('TL06'!$C$238:$C$451,$C188,'TL06'!$J$238:$J$451),0),
IF('TL07'!$B$3=J$3,SUMIF('TL07'!$C$10:$C$224,$C188,'TL07'!$J$10:$J$224),0),
IF('TL07'!$B$229=J$3,SUMIF('TL07'!$C$238:$C$451,$C188,'TL07'!$J$238:$J$451),0),
IF('TL08'!$B$3=J$3,SUMIF('TL08'!$C$10:$C$224,$C188,'TL08'!$J$10:$J$224),0),
IF('TL08'!$B$229=J$3,SUMIF('TL08'!$C$238:$C$451,$C188,'TL08'!$J$238:$J$451),0),
IF('TL09'!$B$3=J$3,SUMIF('TL09'!$C$10:$C$224,$C188,'TL09'!$J$10:$J$224),0),
IF('TL09'!$B$229=J$3,SUMIF('TL09'!$C$238:$C$451,$C188,'TL09'!$J$238:$J$451),0),
IF('TL10'!$B$3=J$3,SUMIF('TL10'!$C$10:$C$224,$C188,'TL10'!$J$10:$J$224),0),
IF('TL10'!$B$229=J$3,SUMIF('TL10'!$C$238:$C$451,$C188,'TL10'!$J$238:$J$451),0),
IF('TL11'!$B$3=J$3,SUMIF('TL11'!$C$10:$C$224,$C188,'TL11'!$J$10:$J$224),0),
IF('TL11'!$B$229=J$3,SUMIF('TL11'!$C$238:$C$451,$C188,'TL11'!$J$238:$J$451),0),
IF('TL12'!$B$3=J$3,SUMIF('TL12'!$C$10:$C$224,$C188,'TL12'!$J$10:$J$224),0),
IF('TL12'!$B$229=J$3,SUMIF('TL12'!$C$238:$C$451,$C188,'TL12'!$J$238:$J$451),0),
IF('TL13'!$B$3=J$3,SUMIF('TL13'!$C$10:$C$224,$C188,'TL13'!$J$10:$J$224),0),
IF('TL13'!$B$229=J$3,SUMIF('TL13'!$C$238:$C$451,$C188,'TL13'!$J$238:$J$451),0),
IF('TL14'!$B$3=J$3,SUMIF('TL14'!$C$10:$C$224,$C188,'TL14'!$J$10:$J$224),0),
IF('TL14'!$B$229=J$3,SUMIF('TL14'!$C$238:$C$451,$C188,'TL14'!$J$238:$J$451),0),
IF('TL15'!$B$3=J$3,SUMIF('TL15'!$C$10:$C$224,$C188,'TL15'!$J$10:$J$224),0),
IF('TL15'!$B$229=J$3,SUMIF('TL15'!$C$238:$C$451,$C188,'TL15'!$J$238:$J$451),0),
IF('TL16'!$B$3=J$3,SUMIF('TL16'!$C$10:$C$224,$C188,'TL16'!$J$10:$J$224),0),
IF('TL16'!$B$229=J$3,SUMIF('TL16'!$C$238:$C$451,$C188,'TL16'!$J$238:$J$451),0),
IF('TL17'!$B$3=J$3,SUMIF('TL17'!$C$10:$C$224,$C188,'TL17'!$J$10:$J$224),0),
IF('TL17'!$B$229=J$3,SUMIF('TL17'!$C$238:$C$451,$C188,'TL17'!$J$238:$J$451),0),
IF('TL18'!$B$3=J$3,SUMIF('TL18'!$C$10:$C$224,$C188,'TL18'!$J$10:$J$224),0),
IF('TL18'!$B$229=J$3,SUMIF('TL18'!$C$238:$C$451,$C188,'TL18'!$J$238:$J$451),0),
IF('TL19'!$B$3=J$3,SUMIF('TL19'!$C$10:$C$224,$C188,'TL19'!$J$10:$J$224),0),
IF('TL19'!$B$229=J$3,SUMIF('TL19'!$C$238:$C$451,$C188,'TL19'!$J$238:$J$451),0)
),0)</f>
        <v/>
      </c>
      <c r="K188" s="9">
        <f>IFERROR(SUM(
IF('TL01'!$B$3=K$3,SUMIF('TL01'!$C$10:$C$224,$C188,'TL01'!$J$10:$J$224),0),
IF('TL01'!$B$229=K$3,SUMIF('TL01'!$C$238:$C$451,$C188,'TL01'!$J$238:$J$451),0),
IF('TL02'!$B$3=K$3,SUMIF('TL02'!$C$10:$C$224,$C188,'TL02'!$J$10:$J$224),0),
IF('TL02'!$B$229=K$3,SUMIF('TL02'!$C$238:$C$451,$C188,'TL02'!$J$238:$J$451),0),
IF('TL03'!$B$3=K$3,SUMIF('TL03'!$C$10:$C$224,$C188,'TL03'!$J$10:$J$224),0),
IF('TL03'!$B$229=K$3,SUMIF('TL03'!$C$238:$C$451,$C188,'TL03'!$J$238:$J$451),0),
IF('TL04'!$B$3=K$3,SUMIF('TL04'!$C$10:$C$224,$C188,'TL04'!$J$10:$J$224),0),
IF('TL04'!$B$229=K$3,SUMIF('TL04'!$C$238:$C$451,$C188,'TL04'!$J$238:$J$451),0),
IF('TL05'!$B$3=K$3,SUMIF('TL05'!$C$10:$C$224,$C188,'TL05'!$J$10:$J$224),0),
IF('TL05'!$B$229=K$3,SUMIF('TL05'!$C$238:$C$451,$C188,'TL05'!$J$238:$J$451),0),
IF('TL06'!$B$3=K$3,SUMIF('TL06'!$C$10:$C$224,$C188,'TL06'!$J$10:$J$224),0),
IF('TL06'!$B$229=K$3,SUMIF('TL06'!$C$238:$C$451,$C188,'TL06'!$J$238:$J$451),0),
IF('TL07'!$B$3=K$3,SUMIF('TL07'!$C$10:$C$224,$C188,'TL07'!$J$10:$J$224),0),
IF('TL07'!$B$229=K$3,SUMIF('TL07'!$C$238:$C$451,$C188,'TL07'!$J$238:$J$451),0),
IF('TL08'!$B$3=K$3,SUMIF('TL08'!$C$10:$C$224,$C188,'TL08'!$J$10:$J$224),0),
IF('TL08'!$B$229=K$3,SUMIF('TL08'!$C$238:$C$451,$C188,'TL08'!$J$238:$J$451),0),
IF('TL09'!$B$3=K$3,SUMIF('TL09'!$C$10:$C$224,$C188,'TL09'!$J$10:$J$224),0),
IF('TL09'!$B$229=K$3,SUMIF('TL09'!$C$238:$C$451,$C188,'TL09'!$J$238:$J$451),0),
IF('TL10'!$B$3=K$3,SUMIF('TL10'!$C$10:$C$224,$C188,'TL10'!$J$10:$J$224),0),
IF('TL10'!$B$229=K$3,SUMIF('TL10'!$C$238:$C$451,$C188,'TL10'!$J$238:$J$451),0),
IF('TL11'!$B$3=K$3,SUMIF('TL11'!$C$10:$C$224,$C188,'TL11'!$J$10:$J$224),0),
IF('TL11'!$B$229=K$3,SUMIF('TL11'!$C$238:$C$451,$C188,'TL11'!$J$238:$J$451),0),
IF('TL12'!$B$3=K$3,SUMIF('TL12'!$C$10:$C$224,$C188,'TL12'!$J$10:$J$224),0),
IF('TL12'!$B$229=K$3,SUMIF('TL12'!$C$238:$C$451,$C188,'TL12'!$J$238:$J$451),0),
IF('TL13'!$B$3=K$3,SUMIF('TL13'!$C$10:$C$224,$C188,'TL13'!$J$10:$J$224),0),
IF('TL13'!$B$229=K$3,SUMIF('TL13'!$C$238:$C$451,$C188,'TL13'!$J$238:$J$451),0),
IF('TL14'!$B$3=K$3,SUMIF('TL14'!$C$10:$C$224,$C188,'TL14'!$J$10:$J$224),0),
IF('TL14'!$B$229=K$3,SUMIF('TL14'!$C$238:$C$451,$C188,'TL14'!$J$238:$J$451),0),
IF('TL15'!$B$3=K$3,SUMIF('TL15'!$C$10:$C$224,$C188,'TL15'!$J$10:$J$224),0),
IF('TL15'!$B$229=K$3,SUMIF('TL15'!$C$238:$C$451,$C188,'TL15'!$J$238:$J$451),0),
IF('TL16'!$B$3=K$3,SUMIF('TL16'!$C$10:$C$224,$C188,'TL16'!$J$10:$J$224),0),
IF('TL16'!$B$229=K$3,SUMIF('TL16'!$C$238:$C$451,$C188,'TL16'!$J$238:$J$451),0),
IF('TL17'!$B$3=K$3,SUMIF('TL17'!$C$10:$C$224,$C188,'TL17'!$J$10:$J$224),0),
IF('TL17'!$B$229=K$3,SUMIF('TL17'!$C$238:$C$451,$C188,'TL17'!$J$238:$J$451),0),
IF('TL18'!$B$3=K$3,SUMIF('TL18'!$C$10:$C$224,$C188,'TL18'!$J$10:$J$224),0),
IF('TL18'!$B$229=K$3,SUMIF('TL18'!$C$238:$C$451,$C188,'TL18'!$J$238:$J$451),0),
IF('TL19'!$B$3=K$3,SUMIF('TL19'!$C$10:$C$224,$C188,'TL19'!$J$10:$J$224),0),
IF('TL19'!$B$229=K$3,SUMIF('TL19'!$C$238:$C$451,$C188,'TL19'!$J$238:$J$451),0)
),0)</f>
        <v/>
      </c>
      <c r="L188" s="9">
        <f>IFERROR(SUM(
IF('TL01'!$B$3=L$3,SUMIF('TL01'!$C$10:$C$224,$C188,'TL01'!$J$10:$J$224),0),
IF('TL01'!$B$229=L$3,SUMIF('TL01'!$C$238:$C$451,$C188,'TL01'!$J$238:$J$451),0),
IF('TL02'!$B$3=L$3,SUMIF('TL02'!$C$10:$C$224,$C188,'TL02'!$J$10:$J$224),0),
IF('TL02'!$B$229=L$3,SUMIF('TL02'!$C$238:$C$451,$C188,'TL02'!$J$238:$J$451),0),
IF('TL03'!$B$3=L$3,SUMIF('TL03'!$C$10:$C$224,$C188,'TL03'!$J$10:$J$224),0),
IF('TL03'!$B$229=L$3,SUMIF('TL03'!$C$238:$C$451,$C188,'TL03'!$J$238:$J$451),0),
IF('TL04'!$B$3=L$3,SUMIF('TL04'!$C$10:$C$224,$C188,'TL04'!$J$10:$J$224),0),
IF('TL04'!$B$229=L$3,SUMIF('TL04'!$C$238:$C$451,$C188,'TL04'!$J$238:$J$451),0),
IF('TL05'!$B$3=L$3,SUMIF('TL05'!$C$10:$C$224,$C188,'TL05'!$J$10:$J$224),0),
IF('TL05'!$B$229=L$3,SUMIF('TL05'!$C$238:$C$451,$C188,'TL05'!$J$238:$J$451),0),
IF('TL06'!$B$3=L$3,SUMIF('TL06'!$C$10:$C$224,$C188,'TL06'!$J$10:$J$224),0),
IF('TL06'!$B$229=L$3,SUMIF('TL06'!$C$238:$C$451,$C188,'TL06'!$J$238:$J$451),0),
IF('TL07'!$B$3=L$3,SUMIF('TL07'!$C$10:$C$224,$C188,'TL07'!$J$10:$J$224),0),
IF('TL07'!$B$229=L$3,SUMIF('TL07'!$C$238:$C$451,$C188,'TL07'!$J$238:$J$451),0),
IF('TL08'!$B$3=L$3,SUMIF('TL08'!$C$10:$C$224,$C188,'TL08'!$J$10:$J$224),0),
IF('TL08'!$B$229=L$3,SUMIF('TL08'!$C$238:$C$451,$C188,'TL08'!$J$238:$J$451),0),
IF('TL09'!$B$3=L$3,SUMIF('TL09'!$C$10:$C$224,$C188,'TL09'!$J$10:$J$224),0),
IF('TL09'!$B$229=L$3,SUMIF('TL09'!$C$238:$C$451,$C188,'TL09'!$J$238:$J$451),0),
IF('TL10'!$B$3=L$3,SUMIF('TL10'!$C$10:$C$224,$C188,'TL10'!$J$10:$J$224),0),
IF('TL10'!$B$229=L$3,SUMIF('TL10'!$C$238:$C$451,$C188,'TL10'!$J$238:$J$451),0),
IF('TL11'!$B$3=L$3,SUMIF('TL11'!$C$10:$C$224,$C188,'TL11'!$J$10:$J$224),0),
IF('TL11'!$B$229=L$3,SUMIF('TL11'!$C$238:$C$451,$C188,'TL11'!$J$238:$J$451),0),
IF('TL12'!$B$3=L$3,SUMIF('TL12'!$C$10:$C$224,$C188,'TL12'!$J$10:$J$224),0),
IF('TL12'!$B$229=L$3,SUMIF('TL12'!$C$238:$C$451,$C188,'TL12'!$J$238:$J$451),0),
IF('TL13'!$B$3=L$3,SUMIF('TL13'!$C$10:$C$224,$C188,'TL13'!$J$10:$J$224),0),
IF('TL13'!$B$229=L$3,SUMIF('TL13'!$C$238:$C$451,$C188,'TL13'!$J$238:$J$451),0),
IF('TL14'!$B$3=L$3,SUMIF('TL14'!$C$10:$C$224,$C188,'TL14'!$J$10:$J$224),0),
IF('TL14'!$B$229=L$3,SUMIF('TL14'!$C$238:$C$451,$C188,'TL14'!$J$238:$J$451),0),
IF('TL15'!$B$3=L$3,SUMIF('TL15'!$C$10:$C$224,$C188,'TL15'!$J$10:$J$224),0),
IF('TL15'!$B$229=L$3,SUMIF('TL15'!$C$238:$C$451,$C188,'TL15'!$J$238:$J$451),0),
IF('TL16'!$B$3=L$3,SUMIF('TL16'!$C$10:$C$224,$C188,'TL16'!$J$10:$J$224),0),
IF('TL16'!$B$229=L$3,SUMIF('TL16'!$C$238:$C$451,$C188,'TL16'!$J$238:$J$451),0),
IF('TL17'!$B$3=L$3,SUMIF('TL17'!$C$10:$C$224,$C188,'TL17'!$J$10:$J$224),0),
IF('TL17'!$B$229=L$3,SUMIF('TL17'!$C$238:$C$451,$C188,'TL17'!$J$238:$J$451),0),
IF('TL18'!$B$3=L$3,SUMIF('TL18'!$C$10:$C$224,$C188,'TL18'!$J$10:$J$224),0),
IF('TL18'!$B$229=L$3,SUMIF('TL18'!$C$238:$C$451,$C188,'TL18'!$J$238:$J$451),0),
IF('TL19'!$B$3=L$3,SUMIF('TL19'!$C$10:$C$224,$C188,'TL19'!$J$10:$J$224),0),
IF('TL19'!$B$229=L$3,SUMIF('TL19'!$C$238:$C$451,$C188,'TL19'!$J$238:$J$451),0)
),0)</f>
        <v/>
      </c>
      <c r="M188" s="9">
        <f>IFERROR(SUM(
IF('TL01'!$B$3=M$3,SUMIF('TL01'!$C$10:$C$224,$C188,'TL01'!$J$10:$J$224),0),
IF('TL01'!$B$229=M$3,SUMIF('TL01'!$C$238:$C$451,$C188,'TL01'!$J$238:$J$451),0),
IF('TL02'!$B$3=M$3,SUMIF('TL02'!$C$10:$C$224,$C188,'TL02'!$J$10:$J$224),0),
IF('TL02'!$B$229=M$3,SUMIF('TL02'!$C$238:$C$451,$C188,'TL02'!$J$238:$J$451),0),
IF('TL03'!$B$3=M$3,SUMIF('TL03'!$C$10:$C$224,$C188,'TL03'!$J$10:$J$224),0),
IF('TL03'!$B$229=M$3,SUMIF('TL03'!$C$238:$C$451,$C188,'TL03'!$J$238:$J$451),0),
IF('TL04'!$B$3=M$3,SUMIF('TL04'!$C$10:$C$224,$C188,'TL04'!$J$10:$J$224),0),
IF('TL04'!$B$229=M$3,SUMIF('TL04'!$C$238:$C$451,$C188,'TL04'!$J$238:$J$451),0),
IF('TL05'!$B$3=M$3,SUMIF('TL05'!$C$10:$C$224,$C188,'TL05'!$J$10:$J$224),0),
IF('TL05'!$B$229=M$3,SUMIF('TL05'!$C$238:$C$451,$C188,'TL05'!$J$238:$J$451),0),
IF('TL06'!$B$3=M$3,SUMIF('TL06'!$C$10:$C$224,$C188,'TL06'!$J$10:$J$224),0),
IF('TL06'!$B$229=M$3,SUMIF('TL06'!$C$238:$C$451,$C188,'TL06'!$J$238:$J$451),0),
IF('TL07'!$B$3=M$3,SUMIF('TL07'!$C$10:$C$224,$C188,'TL07'!$J$10:$J$224),0),
IF('TL07'!$B$229=M$3,SUMIF('TL07'!$C$238:$C$451,$C188,'TL07'!$J$238:$J$451),0),
IF('TL08'!$B$3=M$3,SUMIF('TL08'!$C$10:$C$224,$C188,'TL08'!$J$10:$J$224),0),
IF('TL08'!$B$229=M$3,SUMIF('TL08'!$C$238:$C$451,$C188,'TL08'!$J$238:$J$451),0),
IF('TL09'!$B$3=M$3,SUMIF('TL09'!$C$10:$C$224,$C188,'TL09'!$J$10:$J$224),0),
IF('TL09'!$B$229=M$3,SUMIF('TL09'!$C$238:$C$451,$C188,'TL09'!$J$238:$J$451),0),
IF('TL10'!$B$3=M$3,SUMIF('TL10'!$C$10:$C$224,$C188,'TL10'!$J$10:$J$224),0),
IF('TL10'!$B$229=M$3,SUMIF('TL10'!$C$238:$C$451,$C188,'TL10'!$J$238:$J$451),0),
IF('TL11'!$B$3=M$3,SUMIF('TL11'!$C$10:$C$224,$C188,'TL11'!$J$10:$J$224),0),
IF('TL11'!$B$229=M$3,SUMIF('TL11'!$C$238:$C$451,$C188,'TL11'!$J$238:$J$451),0),
IF('TL12'!$B$3=M$3,SUMIF('TL12'!$C$10:$C$224,$C188,'TL12'!$J$10:$J$224),0),
IF('TL12'!$B$229=M$3,SUMIF('TL12'!$C$238:$C$451,$C188,'TL12'!$J$238:$J$451),0),
IF('TL13'!$B$3=M$3,SUMIF('TL13'!$C$10:$C$224,$C188,'TL13'!$J$10:$J$224),0),
IF('TL13'!$B$229=M$3,SUMIF('TL13'!$C$238:$C$451,$C188,'TL13'!$J$238:$J$451),0),
IF('TL14'!$B$3=M$3,SUMIF('TL14'!$C$10:$C$224,$C188,'TL14'!$J$10:$J$224),0),
IF('TL14'!$B$229=M$3,SUMIF('TL14'!$C$238:$C$451,$C188,'TL14'!$J$238:$J$451),0),
IF('TL15'!$B$3=M$3,SUMIF('TL15'!$C$10:$C$224,$C188,'TL15'!$J$10:$J$224),0),
IF('TL15'!$B$229=M$3,SUMIF('TL15'!$C$238:$C$451,$C188,'TL15'!$J$238:$J$451),0),
IF('TL16'!$B$3=M$3,SUMIF('TL16'!$C$10:$C$224,$C188,'TL16'!$J$10:$J$224),0),
IF('TL16'!$B$229=M$3,SUMIF('TL16'!$C$238:$C$451,$C188,'TL16'!$J$238:$J$451),0),
IF('TL17'!$B$3=M$3,SUMIF('TL17'!$C$10:$C$224,$C188,'TL17'!$J$10:$J$224),0),
IF('TL17'!$B$229=M$3,SUMIF('TL17'!$C$238:$C$451,$C188,'TL17'!$J$238:$J$451),0),
IF('TL18'!$B$3=M$3,SUMIF('TL18'!$C$10:$C$224,$C188,'TL18'!$J$10:$J$224),0),
IF('TL18'!$B$229=M$3,SUMIF('TL18'!$C$238:$C$451,$C188,'TL18'!$J$238:$J$451),0),
IF('TL19'!$B$3=M$3,SUMIF('TL19'!$C$10:$C$224,$C188,'TL19'!$J$10:$J$224),0),
IF('TL19'!$B$229=M$3,SUMIF('TL19'!$C$238:$C$451,$C188,'TL19'!$J$238:$J$451),0)
),0)</f>
        <v/>
      </c>
      <c r="N188" s="9">
        <f>IFERROR(SUM(
IF('TL01'!$B$3=N$3,SUMIF('TL01'!$C$10:$C$224,$C188,'TL01'!$J$10:$J$224),0),
IF('TL01'!$B$229=N$3,SUMIF('TL01'!$C$238:$C$451,$C188,'TL01'!$J$238:$J$451),0),
IF('TL02'!$B$3=N$3,SUMIF('TL02'!$C$10:$C$224,$C188,'TL02'!$J$10:$J$224),0),
IF('TL02'!$B$229=N$3,SUMIF('TL02'!$C$238:$C$451,$C188,'TL02'!$J$238:$J$451),0),
IF('TL03'!$B$3=N$3,SUMIF('TL03'!$C$10:$C$224,$C188,'TL03'!$J$10:$J$224),0),
IF('TL03'!$B$229=N$3,SUMIF('TL03'!$C$238:$C$451,$C188,'TL03'!$J$238:$J$451),0),
IF('TL04'!$B$3=N$3,SUMIF('TL04'!$C$10:$C$224,$C188,'TL04'!$J$10:$J$224),0),
IF('TL04'!$B$229=N$3,SUMIF('TL04'!$C$238:$C$451,$C188,'TL04'!$J$238:$J$451),0),
IF('TL05'!$B$3=N$3,SUMIF('TL05'!$C$10:$C$224,$C188,'TL05'!$J$10:$J$224),0),
IF('TL05'!$B$229=N$3,SUMIF('TL05'!$C$238:$C$451,$C188,'TL05'!$J$238:$J$451),0),
IF('TL06'!$B$3=N$3,SUMIF('TL06'!$C$10:$C$224,$C188,'TL06'!$J$10:$J$224),0),
IF('TL06'!$B$229=N$3,SUMIF('TL06'!$C$238:$C$451,$C188,'TL06'!$J$238:$J$451),0),
IF('TL07'!$B$3=N$3,SUMIF('TL07'!$C$10:$C$224,$C188,'TL07'!$J$10:$J$224),0),
IF('TL07'!$B$229=N$3,SUMIF('TL07'!$C$238:$C$451,$C188,'TL07'!$J$238:$J$451),0),
IF('TL08'!$B$3=N$3,SUMIF('TL08'!$C$10:$C$224,$C188,'TL08'!$J$10:$J$224),0),
IF('TL08'!$B$229=N$3,SUMIF('TL08'!$C$238:$C$451,$C188,'TL08'!$J$238:$J$451),0),
IF('TL09'!$B$3=N$3,SUMIF('TL09'!$C$10:$C$224,$C188,'TL09'!$J$10:$J$224),0),
IF('TL09'!$B$229=N$3,SUMIF('TL09'!$C$238:$C$451,$C188,'TL09'!$J$238:$J$451),0),
IF('TL10'!$B$3=N$3,SUMIF('TL10'!$C$10:$C$224,$C188,'TL10'!$J$10:$J$224),0),
IF('TL10'!$B$229=N$3,SUMIF('TL10'!$C$238:$C$451,$C188,'TL10'!$J$238:$J$451),0),
IF('TL11'!$B$3=N$3,SUMIF('TL11'!$C$10:$C$224,$C188,'TL11'!$J$10:$J$224),0),
IF('TL11'!$B$229=N$3,SUMIF('TL11'!$C$238:$C$451,$C188,'TL11'!$J$238:$J$451),0),
IF('TL12'!$B$3=N$3,SUMIF('TL12'!$C$10:$C$224,$C188,'TL12'!$J$10:$J$224),0),
IF('TL12'!$B$229=N$3,SUMIF('TL12'!$C$238:$C$451,$C188,'TL12'!$J$238:$J$451),0),
IF('TL13'!$B$3=N$3,SUMIF('TL13'!$C$10:$C$224,$C188,'TL13'!$J$10:$J$224),0),
IF('TL13'!$B$229=N$3,SUMIF('TL13'!$C$238:$C$451,$C188,'TL13'!$J$238:$J$451),0),
IF('TL14'!$B$3=N$3,SUMIF('TL14'!$C$10:$C$224,$C188,'TL14'!$J$10:$J$224),0),
IF('TL14'!$B$229=N$3,SUMIF('TL14'!$C$238:$C$451,$C188,'TL14'!$J$238:$J$451),0),
IF('TL15'!$B$3=N$3,SUMIF('TL15'!$C$10:$C$224,$C188,'TL15'!$J$10:$J$224),0),
IF('TL15'!$B$229=N$3,SUMIF('TL15'!$C$238:$C$451,$C188,'TL15'!$J$238:$J$451),0),
IF('TL16'!$B$3=N$3,SUMIF('TL16'!$C$10:$C$224,$C188,'TL16'!$J$10:$J$224),0),
IF('TL16'!$B$229=N$3,SUMIF('TL16'!$C$238:$C$451,$C188,'TL16'!$J$238:$J$451),0),
IF('TL17'!$B$3=N$3,SUMIF('TL17'!$C$10:$C$224,$C188,'TL17'!$J$10:$J$224),0),
IF('TL17'!$B$229=N$3,SUMIF('TL17'!$C$238:$C$451,$C188,'TL17'!$J$238:$J$451),0),
IF('TL18'!$B$3=N$3,SUMIF('TL18'!$C$10:$C$224,$C188,'TL18'!$J$10:$J$224),0),
IF('TL18'!$B$229=N$3,SUMIF('TL18'!$C$238:$C$451,$C188,'TL18'!$J$238:$J$451),0),
IF('TL19'!$B$3=N$3,SUMIF('TL19'!$C$10:$C$224,$C188,'TL19'!$J$10:$J$224),0),
IF('TL19'!$B$229=N$3,SUMIF('TL19'!$C$238:$C$451,$C188,'TL19'!$J$238:$J$451),0)
),0)</f>
        <v/>
      </c>
      <c r="O188" s="9">
        <f>IFERROR(SUM(
IF('TL01'!$B$3=O$3,SUMIF('TL01'!$C$10:$C$224,$C188,'TL01'!$J$10:$J$224),0),
IF('TL01'!$B$229=O$3,SUMIF('TL01'!$C$238:$C$451,$C188,'TL01'!$J$238:$J$451),0),
IF('TL02'!$B$3=O$3,SUMIF('TL02'!$C$10:$C$224,$C188,'TL02'!$J$10:$J$224),0),
IF('TL02'!$B$229=O$3,SUMIF('TL02'!$C$238:$C$451,$C188,'TL02'!$J$238:$J$451),0),
IF('TL03'!$B$3=O$3,SUMIF('TL03'!$C$10:$C$224,$C188,'TL03'!$J$10:$J$224),0),
IF('TL03'!$B$229=O$3,SUMIF('TL03'!$C$238:$C$451,$C188,'TL03'!$J$238:$J$451),0),
IF('TL04'!$B$3=O$3,SUMIF('TL04'!$C$10:$C$224,$C188,'TL04'!$J$10:$J$224),0),
IF('TL04'!$B$229=O$3,SUMIF('TL04'!$C$238:$C$451,$C188,'TL04'!$J$238:$J$451),0),
IF('TL05'!$B$3=O$3,SUMIF('TL05'!$C$10:$C$224,$C188,'TL05'!$J$10:$J$224),0),
IF('TL05'!$B$229=O$3,SUMIF('TL05'!$C$238:$C$451,$C188,'TL05'!$J$238:$J$451),0),
IF('TL06'!$B$3=O$3,SUMIF('TL06'!$C$10:$C$224,$C188,'TL06'!$J$10:$J$224),0),
IF('TL06'!$B$229=O$3,SUMIF('TL06'!$C$238:$C$451,$C188,'TL06'!$J$238:$J$451),0),
IF('TL07'!$B$3=O$3,SUMIF('TL07'!$C$10:$C$224,$C188,'TL07'!$J$10:$J$224),0),
IF('TL07'!$B$229=O$3,SUMIF('TL07'!$C$238:$C$451,$C188,'TL07'!$J$238:$J$451),0),
IF('TL08'!$B$3=O$3,SUMIF('TL08'!$C$10:$C$224,$C188,'TL08'!$J$10:$J$224),0),
IF('TL08'!$B$229=O$3,SUMIF('TL08'!$C$238:$C$451,$C188,'TL08'!$J$238:$J$451),0),
IF('TL09'!$B$3=O$3,SUMIF('TL09'!$C$10:$C$224,$C188,'TL09'!$J$10:$J$224),0),
IF('TL09'!$B$229=O$3,SUMIF('TL09'!$C$238:$C$451,$C188,'TL09'!$J$238:$J$451),0),
IF('TL10'!$B$3=O$3,SUMIF('TL10'!$C$10:$C$224,$C188,'TL10'!$J$10:$J$224),0),
IF('TL10'!$B$229=O$3,SUMIF('TL10'!$C$238:$C$451,$C188,'TL10'!$J$238:$J$451),0),
IF('TL11'!$B$3=O$3,SUMIF('TL11'!$C$10:$C$224,$C188,'TL11'!$J$10:$J$224),0),
IF('TL11'!$B$229=O$3,SUMIF('TL11'!$C$238:$C$451,$C188,'TL11'!$J$238:$J$451),0),
IF('TL12'!$B$3=O$3,SUMIF('TL12'!$C$10:$C$224,$C188,'TL12'!$J$10:$J$224),0),
IF('TL12'!$B$229=O$3,SUMIF('TL12'!$C$238:$C$451,$C188,'TL12'!$J$238:$J$451),0),
IF('TL13'!$B$3=O$3,SUMIF('TL13'!$C$10:$C$224,$C188,'TL13'!$J$10:$J$224),0),
IF('TL13'!$B$229=O$3,SUMIF('TL13'!$C$238:$C$451,$C188,'TL13'!$J$238:$J$451),0),
IF('TL14'!$B$3=O$3,SUMIF('TL14'!$C$10:$C$224,$C188,'TL14'!$J$10:$J$224),0),
IF('TL14'!$B$229=O$3,SUMIF('TL14'!$C$238:$C$451,$C188,'TL14'!$J$238:$J$451),0),
IF('TL15'!$B$3=O$3,SUMIF('TL15'!$C$10:$C$224,$C188,'TL15'!$J$10:$J$224),0),
IF('TL15'!$B$229=O$3,SUMIF('TL15'!$C$238:$C$451,$C188,'TL15'!$J$238:$J$451),0),
IF('TL16'!$B$3=O$3,SUMIF('TL16'!$C$10:$C$224,$C188,'TL16'!$J$10:$J$224),0),
IF('TL16'!$B$229=O$3,SUMIF('TL16'!$C$238:$C$451,$C188,'TL16'!$J$238:$J$451),0),
IF('TL17'!$B$3=O$3,SUMIF('TL17'!$C$10:$C$224,$C188,'TL17'!$J$10:$J$224),0),
IF('TL17'!$B$229=O$3,SUMIF('TL17'!$C$238:$C$451,$C188,'TL17'!$J$238:$J$451),0),
IF('TL18'!$B$3=O$3,SUMIF('TL18'!$C$10:$C$224,$C188,'TL18'!$J$10:$J$224),0),
IF('TL18'!$B$229=O$3,SUMIF('TL18'!$C$238:$C$451,$C188,'TL18'!$J$238:$J$451),0),
IF('TL19'!$B$3=O$3,SUMIF('TL19'!$C$10:$C$224,$C188,'TL19'!$J$10:$J$224),0),
IF('TL19'!$B$229=O$3,SUMIF('TL19'!$C$238:$C$451,$C188,'TL19'!$J$238:$J$451),0)
),0)</f>
        <v/>
      </c>
      <c r="P188" s="9">
        <f>IFERROR(SUM(
IF('TL01'!$B$3=P$3,SUMIF('TL01'!$C$10:$C$224,$C188,'TL01'!$J$10:$J$224),0),
IF('TL01'!$B$229=P$3,SUMIF('TL01'!$C$238:$C$451,$C188,'TL01'!$J$238:$J$451),0),
IF('TL02'!$B$3=P$3,SUMIF('TL02'!$C$10:$C$224,$C188,'TL02'!$J$10:$J$224),0),
IF('TL02'!$B$229=P$3,SUMIF('TL02'!$C$238:$C$451,$C188,'TL02'!$J$238:$J$451),0),
IF('TL03'!$B$3=P$3,SUMIF('TL03'!$C$10:$C$224,$C188,'TL03'!$J$10:$J$224),0),
IF('TL03'!$B$229=P$3,SUMIF('TL03'!$C$238:$C$451,$C188,'TL03'!$J$238:$J$451),0),
IF('TL04'!$B$3=P$3,SUMIF('TL04'!$C$10:$C$224,$C188,'TL04'!$J$10:$J$224),0),
IF('TL04'!$B$229=P$3,SUMIF('TL04'!$C$238:$C$451,$C188,'TL04'!$J$238:$J$451),0),
IF('TL05'!$B$3=P$3,SUMIF('TL05'!$C$10:$C$224,$C188,'TL05'!$J$10:$J$224),0),
IF('TL05'!$B$229=P$3,SUMIF('TL05'!$C$238:$C$451,$C188,'TL05'!$J$238:$J$451),0),
IF('TL06'!$B$3=P$3,SUMIF('TL06'!$C$10:$C$224,$C188,'TL06'!$J$10:$J$224),0),
IF('TL06'!$B$229=P$3,SUMIF('TL06'!$C$238:$C$451,$C188,'TL06'!$J$238:$J$451),0),
IF('TL07'!$B$3=P$3,SUMIF('TL07'!$C$10:$C$224,$C188,'TL07'!$J$10:$J$224),0),
IF('TL07'!$B$229=P$3,SUMIF('TL07'!$C$238:$C$451,$C188,'TL07'!$J$238:$J$451),0),
IF('TL08'!$B$3=P$3,SUMIF('TL08'!$C$10:$C$224,$C188,'TL08'!$J$10:$J$224),0),
IF('TL08'!$B$229=P$3,SUMIF('TL08'!$C$238:$C$451,$C188,'TL08'!$J$238:$J$451),0),
IF('TL09'!$B$3=P$3,SUMIF('TL09'!$C$10:$C$224,$C188,'TL09'!$J$10:$J$224),0),
IF('TL09'!$B$229=P$3,SUMIF('TL09'!$C$238:$C$451,$C188,'TL09'!$J$238:$J$451),0),
IF('TL10'!$B$3=P$3,SUMIF('TL10'!$C$10:$C$224,$C188,'TL10'!$J$10:$J$224),0),
IF('TL10'!$B$229=P$3,SUMIF('TL10'!$C$238:$C$451,$C188,'TL10'!$J$238:$J$451),0),
IF('TL11'!$B$3=P$3,SUMIF('TL11'!$C$10:$C$224,$C188,'TL11'!$J$10:$J$224),0),
IF('TL11'!$B$229=P$3,SUMIF('TL11'!$C$238:$C$451,$C188,'TL11'!$J$238:$J$451),0),
IF('TL12'!$B$3=P$3,SUMIF('TL12'!$C$10:$C$224,$C188,'TL12'!$J$10:$J$224),0),
IF('TL12'!$B$229=P$3,SUMIF('TL12'!$C$238:$C$451,$C188,'TL12'!$J$238:$J$451),0),
IF('TL13'!$B$3=P$3,SUMIF('TL13'!$C$10:$C$224,$C188,'TL13'!$J$10:$J$224),0),
IF('TL13'!$B$229=P$3,SUMIF('TL13'!$C$238:$C$451,$C188,'TL13'!$J$238:$J$451),0),
IF('TL14'!$B$3=P$3,SUMIF('TL14'!$C$10:$C$224,$C188,'TL14'!$J$10:$J$224),0),
IF('TL14'!$B$229=P$3,SUMIF('TL14'!$C$238:$C$451,$C188,'TL14'!$J$238:$J$451),0),
IF('TL15'!$B$3=P$3,SUMIF('TL15'!$C$10:$C$224,$C188,'TL15'!$J$10:$J$224),0),
IF('TL15'!$B$229=P$3,SUMIF('TL15'!$C$238:$C$451,$C188,'TL15'!$J$238:$J$451),0),
IF('TL16'!$B$3=P$3,SUMIF('TL16'!$C$10:$C$224,$C188,'TL16'!$J$10:$J$224),0),
IF('TL16'!$B$229=P$3,SUMIF('TL16'!$C$238:$C$451,$C188,'TL16'!$J$238:$J$451),0),
IF('TL17'!$B$3=P$3,SUMIF('TL17'!$C$10:$C$224,$C188,'TL17'!$J$10:$J$224),0),
IF('TL17'!$B$229=P$3,SUMIF('TL17'!$C$238:$C$451,$C188,'TL17'!$J$238:$J$451),0),
IF('TL18'!$B$3=P$3,SUMIF('TL18'!$C$10:$C$224,$C188,'TL18'!$J$10:$J$224),0),
IF('TL18'!$B$229=P$3,SUMIF('TL18'!$C$238:$C$451,$C188,'TL18'!$J$238:$J$451),0),
IF('TL19'!$B$3=P$3,SUMIF('TL19'!$C$10:$C$224,$C188,'TL19'!$J$10:$J$224),0),
IF('TL19'!$B$229=P$3,SUMIF('TL19'!$C$238:$C$451,$C188,'TL19'!$J$238:$J$451),0)
),0)</f>
        <v/>
      </c>
      <c r="Q188" s="9">
        <f>IFERROR(SUM(
IF('TL01'!$B$3=Q$3,SUMIF('TL01'!$C$10:$C$224,$C188,'TL01'!$J$10:$J$224),0),
IF('TL01'!$B$229=Q$3,SUMIF('TL01'!$C$238:$C$451,$C188,'TL01'!$J$238:$J$451),0),
IF('TL02'!$B$3=Q$3,SUMIF('TL02'!$C$10:$C$224,$C188,'TL02'!$J$10:$J$224),0),
IF('TL02'!$B$229=Q$3,SUMIF('TL02'!$C$238:$C$451,$C188,'TL02'!$J$238:$J$451),0),
IF('TL03'!$B$3=Q$3,SUMIF('TL03'!$C$10:$C$224,$C188,'TL03'!$J$10:$J$224),0),
IF('TL03'!$B$229=Q$3,SUMIF('TL03'!$C$238:$C$451,$C188,'TL03'!$J$238:$J$451),0),
IF('TL04'!$B$3=Q$3,SUMIF('TL04'!$C$10:$C$224,$C188,'TL04'!$J$10:$J$224),0),
IF('TL04'!$B$229=Q$3,SUMIF('TL04'!$C$238:$C$451,$C188,'TL04'!$J$238:$J$451),0),
IF('TL05'!$B$3=Q$3,SUMIF('TL05'!$C$10:$C$224,$C188,'TL05'!$J$10:$J$224),0),
IF('TL05'!$B$229=Q$3,SUMIF('TL05'!$C$238:$C$451,$C188,'TL05'!$J$238:$J$451),0),
IF('TL06'!$B$3=Q$3,SUMIF('TL06'!$C$10:$C$224,$C188,'TL06'!$J$10:$J$224),0),
IF('TL06'!$B$229=Q$3,SUMIF('TL06'!$C$238:$C$451,$C188,'TL06'!$J$238:$J$451),0),
IF('TL07'!$B$3=Q$3,SUMIF('TL07'!$C$10:$C$224,$C188,'TL07'!$J$10:$J$224),0),
IF('TL07'!$B$229=Q$3,SUMIF('TL07'!$C$238:$C$451,$C188,'TL07'!$J$238:$J$451),0),
IF('TL08'!$B$3=Q$3,SUMIF('TL08'!$C$10:$C$224,$C188,'TL08'!$J$10:$J$224),0),
IF('TL08'!$B$229=Q$3,SUMIF('TL08'!$C$238:$C$451,$C188,'TL08'!$J$238:$J$451),0),
IF('TL09'!$B$3=Q$3,SUMIF('TL09'!$C$10:$C$224,$C188,'TL09'!$J$10:$J$224),0),
IF('TL09'!$B$229=Q$3,SUMIF('TL09'!$C$238:$C$451,$C188,'TL09'!$J$238:$J$451),0),
IF('TL10'!$B$3=Q$3,SUMIF('TL10'!$C$10:$C$224,$C188,'TL10'!$J$10:$J$224),0),
IF('TL10'!$B$229=Q$3,SUMIF('TL10'!$C$238:$C$451,$C188,'TL10'!$J$238:$J$451),0),
IF('TL11'!$B$3=Q$3,SUMIF('TL11'!$C$10:$C$224,$C188,'TL11'!$J$10:$J$224),0),
IF('TL11'!$B$229=Q$3,SUMIF('TL11'!$C$238:$C$451,$C188,'TL11'!$J$238:$J$451),0),
IF('TL12'!$B$3=Q$3,SUMIF('TL12'!$C$10:$C$224,$C188,'TL12'!$J$10:$J$224),0),
IF('TL12'!$B$229=Q$3,SUMIF('TL12'!$C$238:$C$451,$C188,'TL12'!$J$238:$J$451),0),
IF('TL13'!$B$3=Q$3,SUMIF('TL13'!$C$10:$C$224,$C188,'TL13'!$J$10:$J$224),0),
IF('TL13'!$B$229=Q$3,SUMIF('TL13'!$C$238:$C$451,$C188,'TL13'!$J$238:$J$451),0),
IF('TL14'!$B$3=Q$3,SUMIF('TL14'!$C$10:$C$224,$C188,'TL14'!$J$10:$J$224),0),
IF('TL14'!$B$229=Q$3,SUMIF('TL14'!$C$238:$C$451,$C188,'TL14'!$J$238:$J$451),0),
IF('TL15'!$B$3=Q$3,SUMIF('TL15'!$C$10:$C$224,$C188,'TL15'!$J$10:$J$224),0),
IF('TL15'!$B$229=Q$3,SUMIF('TL15'!$C$238:$C$451,$C188,'TL15'!$J$238:$J$451),0),
IF('TL16'!$B$3=Q$3,SUMIF('TL16'!$C$10:$C$224,$C188,'TL16'!$J$10:$J$224),0),
IF('TL16'!$B$229=Q$3,SUMIF('TL16'!$C$238:$C$451,$C188,'TL16'!$J$238:$J$451),0),
IF('TL17'!$B$3=Q$3,SUMIF('TL17'!$C$10:$C$224,$C188,'TL17'!$J$10:$J$224),0),
IF('TL17'!$B$229=Q$3,SUMIF('TL17'!$C$238:$C$451,$C188,'TL17'!$J$238:$J$451),0),
IF('TL18'!$B$3=Q$3,SUMIF('TL18'!$C$10:$C$224,$C188,'TL18'!$J$10:$J$224),0),
IF('TL18'!$B$229=Q$3,SUMIF('TL18'!$C$238:$C$451,$C188,'TL18'!$J$238:$J$451),0),
IF('TL19'!$B$3=Q$3,SUMIF('TL19'!$C$10:$C$224,$C188,'TL19'!$J$10:$J$224),0),
IF('TL19'!$B$229=Q$3,SUMIF('TL19'!$C$238:$C$451,$C188,'TL19'!$J$238:$J$451),0)
),0)</f>
        <v/>
      </c>
      <c r="R188" s="9">
        <f>IFERROR(
SUM(
SUMIF('TL01'!C:C,C188,'TL01'!J:J),
SUMIF('TL02'!C:C,C188,'TL02'!J:J),
SUMIF('TL03'!C:C,C188,'TL03'!J:J),
SUMIF('TL04'!C:C,C188,'TL04'!J:J),
SUMIF('TL05'!C:C,C188,'TL05'!J:J),
SUMIF('TL06'!C:C,C188,'TL06'!J:J),
SUMIF('TL07'!C:C,C188,'TL07'!J:J),
SUMIF('TL08'!C:C,C188,'TL08'!J:J),
SUMIF('TL09'!C:C,C188,'TL09'!J:J),
SUMIF('TL10'!C:C,C188,'TL10'!J:J),
SUMIF('TL11'!C:C,C188,'TL11'!J:J),
SUMIF('TL12'!C:C,C188,'TL12'!J:J),
SUMIF('TL13'!C:C,C188,'TL13'!J:J),
SUMIF('TL14'!C:C,C188,'TL14'!J:J),
SUMIF('TL15'!C:C,C188,'TL15'!J:J),
SUMIF('TL16'!C:C,C188,'TL16'!J:J),
SUMIF('TL17'!C:C,C188,'TL17'!J:J),
SUMIF('TL18'!C:C,C188,'TL18'!J:J),SUMIF('TL19'!C:C,C188,'TL19'!J:J))
,0)</f>
        <v/>
      </c>
      <c r="S188" s="17">
        <f>IFERROR(__xludf.DUMMYFUNCTION("IFERROR(VLOOKUP(C188,
IMPORTRANGE(""1wULbzX32WdYsx-lj2U3uUNBBe2INVIRDtcK0d-Dvl90"",
""26-27!C:G""),
5,
FALSE),
"""")"),58.55958)</f>
        <v/>
      </c>
      <c r="T188" s="9" t="n"/>
      <c r="U188" s="92">
        <f>MAX(0,R188-T188)</f>
        <v/>
      </c>
      <c r="V188" s="93">
        <f>U188*S188</f>
        <v/>
      </c>
    </row>
    <row r="189" hidden="1" ht="15.75" customHeight="1" s="297">
      <c r="A189" s="94" t="inlineStr">
        <is>
          <t>CCAB</t>
        </is>
      </c>
      <c r="B189" s="95" t="inlineStr">
        <is>
          <t>INSETICIDA</t>
        </is>
      </c>
      <c r="C189" s="96" t="inlineStr">
        <is>
          <t>FIPRONIL 800 WG CCAB</t>
        </is>
      </c>
      <c r="D189" s="96" t="inlineStr">
        <is>
          <t>FIPRONIL</t>
        </is>
      </c>
      <c r="E189" s="96" t="n">
        <v>800</v>
      </c>
      <c r="F189" s="4" t="inlineStr">
        <is>
          <t>L</t>
        </is>
      </c>
      <c r="G189" s="90">
        <f>HYPERLINK("https://www.google.com/search?q=" &amp; C189 &amp; "+bula+agrofit+pdf", "📄 Ver bula")</f>
        <v/>
      </c>
      <c r="H189" s="9">
        <f>IFERROR(__xludf.DUMMYFUNCTION("IFERROR(VLOOKUP(C189,
IMPORTRANGE(""1wULbzX32WdYsx-lj2U3uUNBBe2INVIRDtcK0d-Dvl90"",
""26-27!C:K""),
8,
FALSE),
"""")"),0.04)</f>
        <v/>
      </c>
      <c r="I189" s="97" t="inlineStr">
        <is>
          <t>4x5</t>
        </is>
      </c>
      <c r="J189" s="9">
        <f>IFERROR(SUM(
IF('TL01'!$B$3=J$3,SUMIF('TL01'!$C$10:$C$224,$C189,'TL01'!$J$10:$J$224),0),
IF('TL01'!$B$229=J$3,SUMIF('TL01'!$C$238:$C$451,$C189,'TL01'!$J$238:$J$451),0),
IF('TL02'!$B$3=J$3,SUMIF('TL02'!$C$10:$C$224,$C189,'TL02'!$J$10:$J$224),0),
IF('TL02'!$B$229=J$3,SUMIF('TL02'!$C$238:$C$451,$C189,'TL02'!$J$238:$J$451),0),
IF('TL03'!$B$3=J$3,SUMIF('TL03'!$C$10:$C$224,$C189,'TL03'!$J$10:$J$224),0),
IF('TL03'!$B$229=J$3,SUMIF('TL03'!$C$238:$C$451,$C189,'TL03'!$J$238:$J$451),0),
IF('TL04'!$B$3=J$3,SUMIF('TL04'!$C$10:$C$224,$C189,'TL04'!$J$10:$J$224),0),
IF('TL04'!$B$229=J$3,SUMIF('TL04'!$C$238:$C$451,$C189,'TL04'!$J$238:$J$451),0),
IF('TL05'!$B$3=J$3,SUMIF('TL05'!$C$10:$C$224,$C189,'TL05'!$J$10:$J$224),0),
IF('TL05'!$B$229=J$3,SUMIF('TL05'!$C$238:$C$451,$C189,'TL05'!$J$238:$J$451),0),
IF('TL06'!$B$3=J$3,SUMIF('TL06'!$C$10:$C$224,$C189,'TL06'!$J$10:$J$224),0),
IF('TL06'!$B$229=J$3,SUMIF('TL06'!$C$238:$C$451,$C189,'TL06'!$J$238:$J$451),0),
IF('TL07'!$B$3=J$3,SUMIF('TL07'!$C$10:$C$224,$C189,'TL07'!$J$10:$J$224),0),
IF('TL07'!$B$229=J$3,SUMIF('TL07'!$C$238:$C$451,$C189,'TL07'!$J$238:$J$451),0),
IF('TL08'!$B$3=J$3,SUMIF('TL08'!$C$10:$C$224,$C189,'TL08'!$J$10:$J$224),0),
IF('TL08'!$B$229=J$3,SUMIF('TL08'!$C$238:$C$451,$C189,'TL08'!$J$238:$J$451),0),
IF('TL09'!$B$3=J$3,SUMIF('TL09'!$C$10:$C$224,$C189,'TL09'!$J$10:$J$224),0),
IF('TL09'!$B$229=J$3,SUMIF('TL09'!$C$238:$C$451,$C189,'TL09'!$J$238:$J$451),0),
IF('TL10'!$B$3=J$3,SUMIF('TL10'!$C$10:$C$224,$C189,'TL10'!$J$10:$J$224),0),
IF('TL10'!$B$229=J$3,SUMIF('TL10'!$C$238:$C$451,$C189,'TL10'!$J$238:$J$451),0),
IF('TL11'!$B$3=J$3,SUMIF('TL11'!$C$10:$C$224,$C189,'TL11'!$J$10:$J$224),0),
IF('TL11'!$B$229=J$3,SUMIF('TL11'!$C$238:$C$451,$C189,'TL11'!$J$238:$J$451),0),
IF('TL12'!$B$3=J$3,SUMIF('TL12'!$C$10:$C$224,$C189,'TL12'!$J$10:$J$224),0),
IF('TL12'!$B$229=J$3,SUMIF('TL12'!$C$238:$C$451,$C189,'TL12'!$J$238:$J$451),0),
IF('TL13'!$B$3=J$3,SUMIF('TL13'!$C$10:$C$224,$C189,'TL13'!$J$10:$J$224),0),
IF('TL13'!$B$229=J$3,SUMIF('TL13'!$C$238:$C$451,$C189,'TL13'!$J$238:$J$451),0),
IF('TL14'!$B$3=J$3,SUMIF('TL14'!$C$10:$C$224,$C189,'TL14'!$J$10:$J$224),0),
IF('TL14'!$B$229=J$3,SUMIF('TL14'!$C$238:$C$451,$C189,'TL14'!$J$238:$J$451),0),
IF('TL15'!$B$3=J$3,SUMIF('TL15'!$C$10:$C$224,$C189,'TL15'!$J$10:$J$224),0),
IF('TL15'!$B$229=J$3,SUMIF('TL15'!$C$238:$C$451,$C189,'TL15'!$J$238:$J$451),0),
IF('TL16'!$B$3=J$3,SUMIF('TL16'!$C$10:$C$224,$C189,'TL16'!$J$10:$J$224),0),
IF('TL16'!$B$229=J$3,SUMIF('TL16'!$C$238:$C$451,$C189,'TL16'!$J$238:$J$451),0),
IF('TL17'!$B$3=J$3,SUMIF('TL17'!$C$10:$C$224,$C189,'TL17'!$J$10:$J$224),0),
IF('TL17'!$B$229=J$3,SUMIF('TL17'!$C$238:$C$451,$C189,'TL17'!$J$238:$J$451),0),
IF('TL18'!$B$3=J$3,SUMIF('TL18'!$C$10:$C$224,$C189,'TL18'!$J$10:$J$224),0),
IF('TL18'!$B$229=J$3,SUMIF('TL18'!$C$238:$C$451,$C189,'TL18'!$J$238:$J$451),0),
IF('TL19'!$B$3=J$3,SUMIF('TL19'!$C$10:$C$224,$C189,'TL19'!$J$10:$J$224),0),
IF('TL19'!$B$229=J$3,SUMIF('TL19'!$C$238:$C$451,$C189,'TL19'!$J$238:$J$451),0)
),0)</f>
        <v/>
      </c>
      <c r="K189" s="9">
        <f>IFERROR(SUM(
IF('TL01'!$B$3=K$3,SUMIF('TL01'!$C$10:$C$224,$C189,'TL01'!$J$10:$J$224),0),
IF('TL01'!$B$229=K$3,SUMIF('TL01'!$C$238:$C$451,$C189,'TL01'!$J$238:$J$451),0),
IF('TL02'!$B$3=K$3,SUMIF('TL02'!$C$10:$C$224,$C189,'TL02'!$J$10:$J$224),0),
IF('TL02'!$B$229=K$3,SUMIF('TL02'!$C$238:$C$451,$C189,'TL02'!$J$238:$J$451),0),
IF('TL03'!$B$3=K$3,SUMIF('TL03'!$C$10:$C$224,$C189,'TL03'!$J$10:$J$224),0),
IF('TL03'!$B$229=K$3,SUMIF('TL03'!$C$238:$C$451,$C189,'TL03'!$J$238:$J$451),0),
IF('TL04'!$B$3=K$3,SUMIF('TL04'!$C$10:$C$224,$C189,'TL04'!$J$10:$J$224),0),
IF('TL04'!$B$229=K$3,SUMIF('TL04'!$C$238:$C$451,$C189,'TL04'!$J$238:$J$451),0),
IF('TL05'!$B$3=K$3,SUMIF('TL05'!$C$10:$C$224,$C189,'TL05'!$J$10:$J$224),0),
IF('TL05'!$B$229=K$3,SUMIF('TL05'!$C$238:$C$451,$C189,'TL05'!$J$238:$J$451),0),
IF('TL06'!$B$3=K$3,SUMIF('TL06'!$C$10:$C$224,$C189,'TL06'!$J$10:$J$224),0),
IF('TL06'!$B$229=K$3,SUMIF('TL06'!$C$238:$C$451,$C189,'TL06'!$J$238:$J$451),0),
IF('TL07'!$B$3=K$3,SUMIF('TL07'!$C$10:$C$224,$C189,'TL07'!$J$10:$J$224),0),
IF('TL07'!$B$229=K$3,SUMIF('TL07'!$C$238:$C$451,$C189,'TL07'!$J$238:$J$451),0),
IF('TL08'!$B$3=K$3,SUMIF('TL08'!$C$10:$C$224,$C189,'TL08'!$J$10:$J$224),0),
IF('TL08'!$B$229=K$3,SUMIF('TL08'!$C$238:$C$451,$C189,'TL08'!$J$238:$J$451),0),
IF('TL09'!$B$3=K$3,SUMIF('TL09'!$C$10:$C$224,$C189,'TL09'!$J$10:$J$224),0),
IF('TL09'!$B$229=K$3,SUMIF('TL09'!$C$238:$C$451,$C189,'TL09'!$J$238:$J$451),0),
IF('TL10'!$B$3=K$3,SUMIF('TL10'!$C$10:$C$224,$C189,'TL10'!$J$10:$J$224),0),
IF('TL10'!$B$229=K$3,SUMIF('TL10'!$C$238:$C$451,$C189,'TL10'!$J$238:$J$451),0),
IF('TL11'!$B$3=K$3,SUMIF('TL11'!$C$10:$C$224,$C189,'TL11'!$J$10:$J$224),0),
IF('TL11'!$B$229=K$3,SUMIF('TL11'!$C$238:$C$451,$C189,'TL11'!$J$238:$J$451),0),
IF('TL12'!$B$3=K$3,SUMIF('TL12'!$C$10:$C$224,$C189,'TL12'!$J$10:$J$224),0),
IF('TL12'!$B$229=K$3,SUMIF('TL12'!$C$238:$C$451,$C189,'TL12'!$J$238:$J$451),0),
IF('TL13'!$B$3=K$3,SUMIF('TL13'!$C$10:$C$224,$C189,'TL13'!$J$10:$J$224),0),
IF('TL13'!$B$229=K$3,SUMIF('TL13'!$C$238:$C$451,$C189,'TL13'!$J$238:$J$451),0),
IF('TL14'!$B$3=K$3,SUMIF('TL14'!$C$10:$C$224,$C189,'TL14'!$J$10:$J$224),0),
IF('TL14'!$B$229=K$3,SUMIF('TL14'!$C$238:$C$451,$C189,'TL14'!$J$238:$J$451),0),
IF('TL15'!$B$3=K$3,SUMIF('TL15'!$C$10:$C$224,$C189,'TL15'!$J$10:$J$224),0),
IF('TL15'!$B$229=K$3,SUMIF('TL15'!$C$238:$C$451,$C189,'TL15'!$J$238:$J$451),0),
IF('TL16'!$B$3=K$3,SUMIF('TL16'!$C$10:$C$224,$C189,'TL16'!$J$10:$J$224),0),
IF('TL16'!$B$229=K$3,SUMIF('TL16'!$C$238:$C$451,$C189,'TL16'!$J$238:$J$451),0),
IF('TL17'!$B$3=K$3,SUMIF('TL17'!$C$10:$C$224,$C189,'TL17'!$J$10:$J$224),0),
IF('TL17'!$B$229=K$3,SUMIF('TL17'!$C$238:$C$451,$C189,'TL17'!$J$238:$J$451),0),
IF('TL18'!$B$3=K$3,SUMIF('TL18'!$C$10:$C$224,$C189,'TL18'!$J$10:$J$224),0),
IF('TL18'!$B$229=K$3,SUMIF('TL18'!$C$238:$C$451,$C189,'TL18'!$J$238:$J$451),0),
IF('TL19'!$B$3=K$3,SUMIF('TL19'!$C$10:$C$224,$C189,'TL19'!$J$10:$J$224),0),
IF('TL19'!$B$229=K$3,SUMIF('TL19'!$C$238:$C$451,$C189,'TL19'!$J$238:$J$451),0)
),0)</f>
        <v/>
      </c>
      <c r="L189" s="9">
        <f>IFERROR(SUM(
IF('TL01'!$B$3=L$3,SUMIF('TL01'!$C$10:$C$224,$C189,'TL01'!$J$10:$J$224),0),
IF('TL01'!$B$229=L$3,SUMIF('TL01'!$C$238:$C$451,$C189,'TL01'!$J$238:$J$451),0),
IF('TL02'!$B$3=L$3,SUMIF('TL02'!$C$10:$C$224,$C189,'TL02'!$J$10:$J$224),0),
IF('TL02'!$B$229=L$3,SUMIF('TL02'!$C$238:$C$451,$C189,'TL02'!$J$238:$J$451),0),
IF('TL03'!$B$3=L$3,SUMIF('TL03'!$C$10:$C$224,$C189,'TL03'!$J$10:$J$224),0),
IF('TL03'!$B$229=L$3,SUMIF('TL03'!$C$238:$C$451,$C189,'TL03'!$J$238:$J$451),0),
IF('TL04'!$B$3=L$3,SUMIF('TL04'!$C$10:$C$224,$C189,'TL04'!$J$10:$J$224),0),
IF('TL04'!$B$229=L$3,SUMIF('TL04'!$C$238:$C$451,$C189,'TL04'!$J$238:$J$451),0),
IF('TL05'!$B$3=L$3,SUMIF('TL05'!$C$10:$C$224,$C189,'TL05'!$J$10:$J$224),0),
IF('TL05'!$B$229=L$3,SUMIF('TL05'!$C$238:$C$451,$C189,'TL05'!$J$238:$J$451),0),
IF('TL06'!$B$3=L$3,SUMIF('TL06'!$C$10:$C$224,$C189,'TL06'!$J$10:$J$224),0),
IF('TL06'!$B$229=L$3,SUMIF('TL06'!$C$238:$C$451,$C189,'TL06'!$J$238:$J$451),0),
IF('TL07'!$B$3=L$3,SUMIF('TL07'!$C$10:$C$224,$C189,'TL07'!$J$10:$J$224),0),
IF('TL07'!$B$229=L$3,SUMIF('TL07'!$C$238:$C$451,$C189,'TL07'!$J$238:$J$451),0),
IF('TL08'!$B$3=L$3,SUMIF('TL08'!$C$10:$C$224,$C189,'TL08'!$J$10:$J$224),0),
IF('TL08'!$B$229=L$3,SUMIF('TL08'!$C$238:$C$451,$C189,'TL08'!$J$238:$J$451),0),
IF('TL09'!$B$3=L$3,SUMIF('TL09'!$C$10:$C$224,$C189,'TL09'!$J$10:$J$224),0),
IF('TL09'!$B$229=L$3,SUMIF('TL09'!$C$238:$C$451,$C189,'TL09'!$J$238:$J$451),0),
IF('TL10'!$B$3=L$3,SUMIF('TL10'!$C$10:$C$224,$C189,'TL10'!$J$10:$J$224),0),
IF('TL10'!$B$229=L$3,SUMIF('TL10'!$C$238:$C$451,$C189,'TL10'!$J$238:$J$451),0),
IF('TL11'!$B$3=L$3,SUMIF('TL11'!$C$10:$C$224,$C189,'TL11'!$J$10:$J$224),0),
IF('TL11'!$B$229=L$3,SUMIF('TL11'!$C$238:$C$451,$C189,'TL11'!$J$238:$J$451),0),
IF('TL12'!$B$3=L$3,SUMIF('TL12'!$C$10:$C$224,$C189,'TL12'!$J$10:$J$224),0),
IF('TL12'!$B$229=L$3,SUMIF('TL12'!$C$238:$C$451,$C189,'TL12'!$J$238:$J$451),0),
IF('TL13'!$B$3=L$3,SUMIF('TL13'!$C$10:$C$224,$C189,'TL13'!$J$10:$J$224),0),
IF('TL13'!$B$229=L$3,SUMIF('TL13'!$C$238:$C$451,$C189,'TL13'!$J$238:$J$451),0),
IF('TL14'!$B$3=L$3,SUMIF('TL14'!$C$10:$C$224,$C189,'TL14'!$J$10:$J$224),0),
IF('TL14'!$B$229=L$3,SUMIF('TL14'!$C$238:$C$451,$C189,'TL14'!$J$238:$J$451),0),
IF('TL15'!$B$3=L$3,SUMIF('TL15'!$C$10:$C$224,$C189,'TL15'!$J$10:$J$224),0),
IF('TL15'!$B$229=L$3,SUMIF('TL15'!$C$238:$C$451,$C189,'TL15'!$J$238:$J$451),0),
IF('TL16'!$B$3=L$3,SUMIF('TL16'!$C$10:$C$224,$C189,'TL16'!$J$10:$J$224),0),
IF('TL16'!$B$229=L$3,SUMIF('TL16'!$C$238:$C$451,$C189,'TL16'!$J$238:$J$451),0),
IF('TL17'!$B$3=L$3,SUMIF('TL17'!$C$10:$C$224,$C189,'TL17'!$J$10:$J$224),0),
IF('TL17'!$B$229=L$3,SUMIF('TL17'!$C$238:$C$451,$C189,'TL17'!$J$238:$J$451),0),
IF('TL18'!$B$3=L$3,SUMIF('TL18'!$C$10:$C$224,$C189,'TL18'!$J$10:$J$224),0),
IF('TL18'!$B$229=L$3,SUMIF('TL18'!$C$238:$C$451,$C189,'TL18'!$J$238:$J$451),0),
IF('TL19'!$B$3=L$3,SUMIF('TL19'!$C$10:$C$224,$C189,'TL19'!$J$10:$J$224),0),
IF('TL19'!$B$229=L$3,SUMIF('TL19'!$C$238:$C$451,$C189,'TL19'!$J$238:$J$451),0)
),0)</f>
        <v/>
      </c>
      <c r="M189" s="9">
        <f>IFERROR(SUM(
IF('TL01'!$B$3=M$3,SUMIF('TL01'!$C$10:$C$224,$C189,'TL01'!$J$10:$J$224),0),
IF('TL01'!$B$229=M$3,SUMIF('TL01'!$C$238:$C$451,$C189,'TL01'!$J$238:$J$451),0),
IF('TL02'!$B$3=M$3,SUMIF('TL02'!$C$10:$C$224,$C189,'TL02'!$J$10:$J$224),0),
IF('TL02'!$B$229=M$3,SUMIF('TL02'!$C$238:$C$451,$C189,'TL02'!$J$238:$J$451),0),
IF('TL03'!$B$3=M$3,SUMIF('TL03'!$C$10:$C$224,$C189,'TL03'!$J$10:$J$224),0),
IF('TL03'!$B$229=M$3,SUMIF('TL03'!$C$238:$C$451,$C189,'TL03'!$J$238:$J$451),0),
IF('TL04'!$B$3=M$3,SUMIF('TL04'!$C$10:$C$224,$C189,'TL04'!$J$10:$J$224),0),
IF('TL04'!$B$229=M$3,SUMIF('TL04'!$C$238:$C$451,$C189,'TL04'!$J$238:$J$451),0),
IF('TL05'!$B$3=M$3,SUMIF('TL05'!$C$10:$C$224,$C189,'TL05'!$J$10:$J$224),0),
IF('TL05'!$B$229=M$3,SUMIF('TL05'!$C$238:$C$451,$C189,'TL05'!$J$238:$J$451),0),
IF('TL06'!$B$3=M$3,SUMIF('TL06'!$C$10:$C$224,$C189,'TL06'!$J$10:$J$224),0),
IF('TL06'!$B$229=M$3,SUMIF('TL06'!$C$238:$C$451,$C189,'TL06'!$J$238:$J$451),0),
IF('TL07'!$B$3=M$3,SUMIF('TL07'!$C$10:$C$224,$C189,'TL07'!$J$10:$J$224),0),
IF('TL07'!$B$229=M$3,SUMIF('TL07'!$C$238:$C$451,$C189,'TL07'!$J$238:$J$451),0),
IF('TL08'!$B$3=M$3,SUMIF('TL08'!$C$10:$C$224,$C189,'TL08'!$J$10:$J$224),0),
IF('TL08'!$B$229=M$3,SUMIF('TL08'!$C$238:$C$451,$C189,'TL08'!$J$238:$J$451),0),
IF('TL09'!$B$3=M$3,SUMIF('TL09'!$C$10:$C$224,$C189,'TL09'!$J$10:$J$224),0),
IF('TL09'!$B$229=M$3,SUMIF('TL09'!$C$238:$C$451,$C189,'TL09'!$J$238:$J$451),0),
IF('TL10'!$B$3=M$3,SUMIF('TL10'!$C$10:$C$224,$C189,'TL10'!$J$10:$J$224),0),
IF('TL10'!$B$229=M$3,SUMIF('TL10'!$C$238:$C$451,$C189,'TL10'!$J$238:$J$451),0),
IF('TL11'!$B$3=M$3,SUMIF('TL11'!$C$10:$C$224,$C189,'TL11'!$J$10:$J$224),0),
IF('TL11'!$B$229=M$3,SUMIF('TL11'!$C$238:$C$451,$C189,'TL11'!$J$238:$J$451),0),
IF('TL12'!$B$3=M$3,SUMIF('TL12'!$C$10:$C$224,$C189,'TL12'!$J$10:$J$224),0),
IF('TL12'!$B$229=M$3,SUMIF('TL12'!$C$238:$C$451,$C189,'TL12'!$J$238:$J$451),0),
IF('TL13'!$B$3=M$3,SUMIF('TL13'!$C$10:$C$224,$C189,'TL13'!$J$10:$J$224),0),
IF('TL13'!$B$229=M$3,SUMIF('TL13'!$C$238:$C$451,$C189,'TL13'!$J$238:$J$451),0),
IF('TL14'!$B$3=M$3,SUMIF('TL14'!$C$10:$C$224,$C189,'TL14'!$J$10:$J$224),0),
IF('TL14'!$B$229=M$3,SUMIF('TL14'!$C$238:$C$451,$C189,'TL14'!$J$238:$J$451),0),
IF('TL15'!$B$3=M$3,SUMIF('TL15'!$C$10:$C$224,$C189,'TL15'!$J$10:$J$224),0),
IF('TL15'!$B$229=M$3,SUMIF('TL15'!$C$238:$C$451,$C189,'TL15'!$J$238:$J$451),0),
IF('TL16'!$B$3=M$3,SUMIF('TL16'!$C$10:$C$224,$C189,'TL16'!$J$10:$J$224),0),
IF('TL16'!$B$229=M$3,SUMIF('TL16'!$C$238:$C$451,$C189,'TL16'!$J$238:$J$451),0),
IF('TL17'!$B$3=M$3,SUMIF('TL17'!$C$10:$C$224,$C189,'TL17'!$J$10:$J$224),0),
IF('TL17'!$B$229=M$3,SUMIF('TL17'!$C$238:$C$451,$C189,'TL17'!$J$238:$J$451),0),
IF('TL18'!$B$3=M$3,SUMIF('TL18'!$C$10:$C$224,$C189,'TL18'!$J$10:$J$224),0),
IF('TL18'!$B$229=M$3,SUMIF('TL18'!$C$238:$C$451,$C189,'TL18'!$J$238:$J$451),0),
IF('TL19'!$B$3=M$3,SUMIF('TL19'!$C$10:$C$224,$C189,'TL19'!$J$10:$J$224),0),
IF('TL19'!$B$229=M$3,SUMIF('TL19'!$C$238:$C$451,$C189,'TL19'!$J$238:$J$451),0)
),0)</f>
        <v/>
      </c>
      <c r="N189" s="9">
        <f>IFERROR(SUM(
IF('TL01'!$B$3=N$3,SUMIF('TL01'!$C$10:$C$224,$C189,'TL01'!$J$10:$J$224),0),
IF('TL01'!$B$229=N$3,SUMIF('TL01'!$C$238:$C$451,$C189,'TL01'!$J$238:$J$451),0),
IF('TL02'!$B$3=N$3,SUMIF('TL02'!$C$10:$C$224,$C189,'TL02'!$J$10:$J$224),0),
IF('TL02'!$B$229=N$3,SUMIF('TL02'!$C$238:$C$451,$C189,'TL02'!$J$238:$J$451),0),
IF('TL03'!$B$3=N$3,SUMIF('TL03'!$C$10:$C$224,$C189,'TL03'!$J$10:$J$224),0),
IF('TL03'!$B$229=N$3,SUMIF('TL03'!$C$238:$C$451,$C189,'TL03'!$J$238:$J$451),0),
IF('TL04'!$B$3=N$3,SUMIF('TL04'!$C$10:$C$224,$C189,'TL04'!$J$10:$J$224),0),
IF('TL04'!$B$229=N$3,SUMIF('TL04'!$C$238:$C$451,$C189,'TL04'!$J$238:$J$451),0),
IF('TL05'!$B$3=N$3,SUMIF('TL05'!$C$10:$C$224,$C189,'TL05'!$J$10:$J$224),0),
IF('TL05'!$B$229=N$3,SUMIF('TL05'!$C$238:$C$451,$C189,'TL05'!$J$238:$J$451),0),
IF('TL06'!$B$3=N$3,SUMIF('TL06'!$C$10:$C$224,$C189,'TL06'!$J$10:$J$224),0),
IF('TL06'!$B$229=N$3,SUMIF('TL06'!$C$238:$C$451,$C189,'TL06'!$J$238:$J$451),0),
IF('TL07'!$B$3=N$3,SUMIF('TL07'!$C$10:$C$224,$C189,'TL07'!$J$10:$J$224),0),
IF('TL07'!$B$229=N$3,SUMIF('TL07'!$C$238:$C$451,$C189,'TL07'!$J$238:$J$451),0),
IF('TL08'!$B$3=N$3,SUMIF('TL08'!$C$10:$C$224,$C189,'TL08'!$J$10:$J$224),0),
IF('TL08'!$B$229=N$3,SUMIF('TL08'!$C$238:$C$451,$C189,'TL08'!$J$238:$J$451),0),
IF('TL09'!$B$3=N$3,SUMIF('TL09'!$C$10:$C$224,$C189,'TL09'!$J$10:$J$224),0),
IF('TL09'!$B$229=N$3,SUMIF('TL09'!$C$238:$C$451,$C189,'TL09'!$J$238:$J$451),0),
IF('TL10'!$B$3=N$3,SUMIF('TL10'!$C$10:$C$224,$C189,'TL10'!$J$10:$J$224),0),
IF('TL10'!$B$229=N$3,SUMIF('TL10'!$C$238:$C$451,$C189,'TL10'!$J$238:$J$451),0),
IF('TL11'!$B$3=N$3,SUMIF('TL11'!$C$10:$C$224,$C189,'TL11'!$J$10:$J$224),0),
IF('TL11'!$B$229=N$3,SUMIF('TL11'!$C$238:$C$451,$C189,'TL11'!$J$238:$J$451),0),
IF('TL12'!$B$3=N$3,SUMIF('TL12'!$C$10:$C$224,$C189,'TL12'!$J$10:$J$224),0),
IF('TL12'!$B$229=N$3,SUMIF('TL12'!$C$238:$C$451,$C189,'TL12'!$J$238:$J$451),0),
IF('TL13'!$B$3=N$3,SUMIF('TL13'!$C$10:$C$224,$C189,'TL13'!$J$10:$J$224),0),
IF('TL13'!$B$229=N$3,SUMIF('TL13'!$C$238:$C$451,$C189,'TL13'!$J$238:$J$451),0),
IF('TL14'!$B$3=N$3,SUMIF('TL14'!$C$10:$C$224,$C189,'TL14'!$J$10:$J$224),0),
IF('TL14'!$B$229=N$3,SUMIF('TL14'!$C$238:$C$451,$C189,'TL14'!$J$238:$J$451),0),
IF('TL15'!$B$3=N$3,SUMIF('TL15'!$C$10:$C$224,$C189,'TL15'!$J$10:$J$224),0),
IF('TL15'!$B$229=N$3,SUMIF('TL15'!$C$238:$C$451,$C189,'TL15'!$J$238:$J$451),0),
IF('TL16'!$B$3=N$3,SUMIF('TL16'!$C$10:$C$224,$C189,'TL16'!$J$10:$J$224),0),
IF('TL16'!$B$229=N$3,SUMIF('TL16'!$C$238:$C$451,$C189,'TL16'!$J$238:$J$451),0),
IF('TL17'!$B$3=N$3,SUMIF('TL17'!$C$10:$C$224,$C189,'TL17'!$J$10:$J$224),0),
IF('TL17'!$B$229=N$3,SUMIF('TL17'!$C$238:$C$451,$C189,'TL17'!$J$238:$J$451),0),
IF('TL18'!$B$3=N$3,SUMIF('TL18'!$C$10:$C$224,$C189,'TL18'!$J$10:$J$224),0),
IF('TL18'!$B$229=N$3,SUMIF('TL18'!$C$238:$C$451,$C189,'TL18'!$J$238:$J$451),0),
IF('TL19'!$B$3=N$3,SUMIF('TL19'!$C$10:$C$224,$C189,'TL19'!$J$10:$J$224),0),
IF('TL19'!$B$229=N$3,SUMIF('TL19'!$C$238:$C$451,$C189,'TL19'!$J$238:$J$451),0)
),0)</f>
        <v/>
      </c>
      <c r="O189" s="9">
        <f>IFERROR(SUM(
IF('TL01'!$B$3=O$3,SUMIF('TL01'!$C$10:$C$224,$C189,'TL01'!$J$10:$J$224),0),
IF('TL01'!$B$229=O$3,SUMIF('TL01'!$C$238:$C$451,$C189,'TL01'!$J$238:$J$451),0),
IF('TL02'!$B$3=O$3,SUMIF('TL02'!$C$10:$C$224,$C189,'TL02'!$J$10:$J$224),0),
IF('TL02'!$B$229=O$3,SUMIF('TL02'!$C$238:$C$451,$C189,'TL02'!$J$238:$J$451),0),
IF('TL03'!$B$3=O$3,SUMIF('TL03'!$C$10:$C$224,$C189,'TL03'!$J$10:$J$224),0),
IF('TL03'!$B$229=O$3,SUMIF('TL03'!$C$238:$C$451,$C189,'TL03'!$J$238:$J$451),0),
IF('TL04'!$B$3=O$3,SUMIF('TL04'!$C$10:$C$224,$C189,'TL04'!$J$10:$J$224),0),
IF('TL04'!$B$229=O$3,SUMIF('TL04'!$C$238:$C$451,$C189,'TL04'!$J$238:$J$451),0),
IF('TL05'!$B$3=O$3,SUMIF('TL05'!$C$10:$C$224,$C189,'TL05'!$J$10:$J$224),0),
IF('TL05'!$B$229=O$3,SUMIF('TL05'!$C$238:$C$451,$C189,'TL05'!$J$238:$J$451),0),
IF('TL06'!$B$3=O$3,SUMIF('TL06'!$C$10:$C$224,$C189,'TL06'!$J$10:$J$224),0),
IF('TL06'!$B$229=O$3,SUMIF('TL06'!$C$238:$C$451,$C189,'TL06'!$J$238:$J$451),0),
IF('TL07'!$B$3=O$3,SUMIF('TL07'!$C$10:$C$224,$C189,'TL07'!$J$10:$J$224),0),
IF('TL07'!$B$229=O$3,SUMIF('TL07'!$C$238:$C$451,$C189,'TL07'!$J$238:$J$451),0),
IF('TL08'!$B$3=O$3,SUMIF('TL08'!$C$10:$C$224,$C189,'TL08'!$J$10:$J$224),0),
IF('TL08'!$B$229=O$3,SUMIF('TL08'!$C$238:$C$451,$C189,'TL08'!$J$238:$J$451),0),
IF('TL09'!$B$3=O$3,SUMIF('TL09'!$C$10:$C$224,$C189,'TL09'!$J$10:$J$224),0),
IF('TL09'!$B$229=O$3,SUMIF('TL09'!$C$238:$C$451,$C189,'TL09'!$J$238:$J$451),0),
IF('TL10'!$B$3=O$3,SUMIF('TL10'!$C$10:$C$224,$C189,'TL10'!$J$10:$J$224),0),
IF('TL10'!$B$229=O$3,SUMIF('TL10'!$C$238:$C$451,$C189,'TL10'!$J$238:$J$451),0),
IF('TL11'!$B$3=O$3,SUMIF('TL11'!$C$10:$C$224,$C189,'TL11'!$J$10:$J$224),0),
IF('TL11'!$B$229=O$3,SUMIF('TL11'!$C$238:$C$451,$C189,'TL11'!$J$238:$J$451),0),
IF('TL12'!$B$3=O$3,SUMIF('TL12'!$C$10:$C$224,$C189,'TL12'!$J$10:$J$224),0),
IF('TL12'!$B$229=O$3,SUMIF('TL12'!$C$238:$C$451,$C189,'TL12'!$J$238:$J$451),0),
IF('TL13'!$B$3=O$3,SUMIF('TL13'!$C$10:$C$224,$C189,'TL13'!$J$10:$J$224),0),
IF('TL13'!$B$229=O$3,SUMIF('TL13'!$C$238:$C$451,$C189,'TL13'!$J$238:$J$451),0),
IF('TL14'!$B$3=O$3,SUMIF('TL14'!$C$10:$C$224,$C189,'TL14'!$J$10:$J$224),0),
IF('TL14'!$B$229=O$3,SUMIF('TL14'!$C$238:$C$451,$C189,'TL14'!$J$238:$J$451),0),
IF('TL15'!$B$3=O$3,SUMIF('TL15'!$C$10:$C$224,$C189,'TL15'!$J$10:$J$224),0),
IF('TL15'!$B$229=O$3,SUMIF('TL15'!$C$238:$C$451,$C189,'TL15'!$J$238:$J$451),0),
IF('TL16'!$B$3=O$3,SUMIF('TL16'!$C$10:$C$224,$C189,'TL16'!$J$10:$J$224),0),
IF('TL16'!$B$229=O$3,SUMIF('TL16'!$C$238:$C$451,$C189,'TL16'!$J$238:$J$451),0),
IF('TL17'!$B$3=O$3,SUMIF('TL17'!$C$10:$C$224,$C189,'TL17'!$J$10:$J$224),0),
IF('TL17'!$B$229=O$3,SUMIF('TL17'!$C$238:$C$451,$C189,'TL17'!$J$238:$J$451),0),
IF('TL18'!$B$3=O$3,SUMIF('TL18'!$C$10:$C$224,$C189,'TL18'!$J$10:$J$224),0),
IF('TL18'!$B$229=O$3,SUMIF('TL18'!$C$238:$C$451,$C189,'TL18'!$J$238:$J$451),0),
IF('TL19'!$B$3=O$3,SUMIF('TL19'!$C$10:$C$224,$C189,'TL19'!$J$10:$J$224),0),
IF('TL19'!$B$229=O$3,SUMIF('TL19'!$C$238:$C$451,$C189,'TL19'!$J$238:$J$451),0)
),0)</f>
        <v/>
      </c>
      <c r="P189" s="9">
        <f>IFERROR(SUM(
IF('TL01'!$B$3=P$3,SUMIF('TL01'!$C$10:$C$224,$C189,'TL01'!$J$10:$J$224),0),
IF('TL01'!$B$229=P$3,SUMIF('TL01'!$C$238:$C$451,$C189,'TL01'!$J$238:$J$451),0),
IF('TL02'!$B$3=P$3,SUMIF('TL02'!$C$10:$C$224,$C189,'TL02'!$J$10:$J$224),0),
IF('TL02'!$B$229=P$3,SUMIF('TL02'!$C$238:$C$451,$C189,'TL02'!$J$238:$J$451),0),
IF('TL03'!$B$3=P$3,SUMIF('TL03'!$C$10:$C$224,$C189,'TL03'!$J$10:$J$224),0),
IF('TL03'!$B$229=P$3,SUMIF('TL03'!$C$238:$C$451,$C189,'TL03'!$J$238:$J$451),0),
IF('TL04'!$B$3=P$3,SUMIF('TL04'!$C$10:$C$224,$C189,'TL04'!$J$10:$J$224),0),
IF('TL04'!$B$229=P$3,SUMIF('TL04'!$C$238:$C$451,$C189,'TL04'!$J$238:$J$451),0),
IF('TL05'!$B$3=P$3,SUMIF('TL05'!$C$10:$C$224,$C189,'TL05'!$J$10:$J$224),0),
IF('TL05'!$B$229=P$3,SUMIF('TL05'!$C$238:$C$451,$C189,'TL05'!$J$238:$J$451),0),
IF('TL06'!$B$3=P$3,SUMIF('TL06'!$C$10:$C$224,$C189,'TL06'!$J$10:$J$224),0),
IF('TL06'!$B$229=P$3,SUMIF('TL06'!$C$238:$C$451,$C189,'TL06'!$J$238:$J$451),0),
IF('TL07'!$B$3=P$3,SUMIF('TL07'!$C$10:$C$224,$C189,'TL07'!$J$10:$J$224),0),
IF('TL07'!$B$229=P$3,SUMIF('TL07'!$C$238:$C$451,$C189,'TL07'!$J$238:$J$451),0),
IF('TL08'!$B$3=P$3,SUMIF('TL08'!$C$10:$C$224,$C189,'TL08'!$J$10:$J$224),0),
IF('TL08'!$B$229=P$3,SUMIF('TL08'!$C$238:$C$451,$C189,'TL08'!$J$238:$J$451),0),
IF('TL09'!$B$3=P$3,SUMIF('TL09'!$C$10:$C$224,$C189,'TL09'!$J$10:$J$224),0),
IF('TL09'!$B$229=P$3,SUMIF('TL09'!$C$238:$C$451,$C189,'TL09'!$J$238:$J$451),0),
IF('TL10'!$B$3=P$3,SUMIF('TL10'!$C$10:$C$224,$C189,'TL10'!$J$10:$J$224),0),
IF('TL10'!$B$229=P$3,SUMIF('TL10'!$C$238:$C$451,$C189,'TL10'!$J$238:$J$451),0),
IF('TL11'!$B$3=P$3,SUMIF('TL11'!$C$10:$C$224,$C189,'TL11'!$J$10:$J$224),0),
IF('TL11'!$B$229=P$3,SUMIF('TL11'!$C$238:$C$451,$C189,'TL11'!$J$238:$J$451),0),
IF('TL12'!$B$3=P$3,SUMIF('TL12'!$C$10:$C$224,$C189,'TL12'!$J$10:$J$224),0),
IF('TL12'!$B$229=P$3,SUMIF('TL12'!$C$238:$C$451,$C189,'TL12'!$J$238:$J$451),0),
IF('TL13'!$B$3=P$3,SUMIF('TL13'!$C$10:$C$224,$C189,'TL13'!$J$10:$J$224),0),
IF('TL13'!$B$229=P$3,SUMIF('TL13'!$C$238:$C$451,$C189,'TL13'!$J$238:$J$451),0),
IF('TL14'!$B$3=P$3,SUMIF('TL14'!$C$10:$C$224,$C189,'TL14'!$J$10:$J$224),0),
IF('TL14'!$B$229=P$3,SUMIF('TL14'!$C$238:$C$451,$C189,'TL14'!$J$238:$J$451),0),
IF('TL15'!$B$3=P$3,SUMIF('TL15'!$C$10:$C$224,$C189,'TL15'!$J$10:$J$224),0),
IF('TL15'!$B$229=P$3,SUMIF('TL15'!$C$238:$C$451,$C189,'TL15'!$J$238:$J$451),0),
IF('TL16'!$B$3=P$3,SUMIF('TL16'!$C$10:$C$224,$C189,'TL16'!$J$10:$J$224),0),
IF('TL16'!$B$229=P$3,SUMIF('TL16'!$C$238:$C$451,$C189,'TL16'!$J$238:$J$451),0),
IF('TL17'!$B$3=P$3,SUMIF('TL17'!$C$10:$C$224,$C189,'TL17'!$J$10:$J$224),0),
IF('TL17'!$B$229=P$3,SUMIF('TL17'!$C$238:$C$451,$C189,'TL17'!$J$238:$J$451),0),
IF('TL18'!$B$3=P$3,SUMIF('TL18'!$C$10:$C$224,$C189,'TL18'!$J$10:$J$224),0),
IF('TL18'!$B$229=P$3,SUMIF('TL18'!$C$238:$C$451,$C189,'TL18'!$J$238:$J$451),0),
IF('TL19'!$B$3=P$3,SUMIF('TL19'!$C$10:$C$224,$C189,'TL19'!$J$10:$J$224),0),
IF('TL19'!$B$229=P$3,SUMIF('TL19'!$C$238:$C$451,$C189,'TL19'!$J$238:$J$451),0)
),0)</f>
        <v/>
      </c>
      <c r="Q189" s="9">
        <f>IFERROR(SUM(
IF('TL01'!$B$3=Q$3,SUMIF('TL01'!$C$10:$C$224,$C189,'TL01'!$J$10:$J$224),0),
IF('TL01'!$B$229=Q$3,SUMIF('TL01'!$C$238:$C$451,$C189,'TL01'!$J$238:$J$451),0),
IF('TL02'!$B$3=Q$3,SUMIF('TL02'!$C$10:$C$224,$C189,'TL02'!$J$10:$J$224),0),
IF('TL02'!$B$229=Q$3,SUMIF('TL02'!$C$238:$C$451,$C189,'TL02'!$J$238:$J$451),0),
IF('TL03'!$B$3=Q$3,SUMIF('TL03'!$C$10:$C$224,$C189,'TL03'!$J$10:$J$224),0),
IF('TL03'!$B$229=Q$3,SUMIF('TL03'!$C$238:$C$451,$C189,'TL03'!$J$238:$J$451),0),
IF('TL04'!$B$3=Q$3,SUMIF('TL04'!$C$10:$C$224,$C189,'TL04'!$J$10:$J$224),0),
IF('TL04'!$B$229=Q$3,SUMIF('TL04'!$C$238:$C$451,$C189,'TL04'!$J$238:$J$451),0),
IF('TL05'!$B$3=Q$3,SUMIF('TL05'!$C$10:$C$224,$C189,'TL05'!$J$10:$J$224),0),
IF('TL05'!$B$229=Q$3,SUMIF('TL05'!$C$238:$C$451,$C189,'TL05'!$J$238:$J$451),0),
IF('TL06'!$B$3=Q$3,SUMIF('TL06'!$C$10:$C$224,$C189,'TL06'!$J$10:$J$224),0),
IF('TL06'!$B$229=Q$3,SUMIF('TL06'!$C$238:$C$451,$C189,'TL06'!$J$238:$J$451),0),
IF('TL07'!$B$3=Q$3,SUMIF('TL07'!$C$10:$C$224,$C189,'TL07'!$J$10:$J$224),0),
IF('TL07'!$B$229=Q$3,SUMIF('TL07'!$C$238:$C$451,$C189,'TL07'!$J$238:$J$451),0),
IF('TL08'!$B$3=Q$3,SUMIF('TL08'!$C$10:$C$224,$C189,'TL08'!$J$10:$J$224),0),
IF('TL08'!$B$229=Q$3,SUMIF('TL08'!$C$238:$C$451,$C189,'TL08'!$J$238:$J$451),0),
IF('TL09'!$B$3=Q$3,SUMIF('TL09'!$C$10:$C$224,$C189,'TL09'!$J$10:$J$224),0),
IF('TL09'!$B$229=Q$3,SUMIF('TL09'!$C$238:$C$451,$C189,'TL09'!$J$238:$J$451),0),
IF('TL10'!$B$3=Q$3,SUMIF('TL10'!$C$10:$C$224,$C189,'TL10'!$J$10:$J$224),0),
IF('TL10'!$B$229=Q$3,SUMIF('TL10'!$C$238:$C$451,$C189,'TL10'!$J$238:$J$451),0),
IF('TL11'!$B$3=Q$3,SUMIF('TL11'!$C$10:$C$224,$C189,'TL11'!$J$10:$J$224),0),
IF('TL11'!$B$229=Q$3,SUMIF('TL11'!$C$238:$C$451,$C189,'TL11'!$J$238:$J$451),0),
IF('TL12'!$B$3=Q$3,SUMIF('TL12'!$C$10:$C$224,$C189,'TL12'!$J$10:$J$224),0),
IF('TL12'!$B$229=Q$3,SUMIF('TL12'!$C$238:$C$451,$C189,'TL12'!$J$238:$J$451),0),
IF('TL13'!$B$3=Q$3,SUMIF('TL13'!$C$10:$C$224,$C189,'TL13'!$J$10:$J$224),0),
IF('TL13'!$B$229=Q$3,SUMIF('TL13'!$C$238:$C$451,$C189,'TL13'!$J$238:$J$451),0),
IF('TL14'!$B$3=Q$3,SUMIF('TL14'!$C$10:$C$224,$C189,'TL14'!$J$10:$J$224),0),
IF('TL14'!$B$229=Q$3,SUMIF('TL14'!$C$238:$C$451,$C189,'TL14'!$J$238:$J$451),0),
IF('TL15'!$B$3=Q$3,SUMIF('TL15'!$C$10:$C$224,$C189,'TL15'!$J$10:$J$224),0),
IF('TL15'!$B$229=Q$3,SUMIF('TL15'!$C$238:$C$451,$C189,'TL15'!$J$238:$J$451),0),
IF('TL16'!$B$3=Q$3,SUMIF('TL16'!$C$10:$C$224,$C189,'TL16'!$J$10:$J$224),0),
IF('TL16'!$B$229=Q$3,SUMIF('TL16'!$C$238:$C$451,$C189,'TL16'!$J$238:$J$451),0),
IF('TL17'!$B$3=Q$3,SUMIF('TL17'!$C$10:$C$224,$C189,'TL17'!$J$10:$J$224),0),
IF('TL17'!$B$229=Q$3,SUMIF('TL17'!$C$238:$C$451,$C189,'TL17'!$J$238:$J$451),0),
IF('TL18'!$B$3=Q$3,SUMIF('TL18'!$C$10:$C$224,$C189,'TL18'!$J$10:$J$224),0),
IF('TL18'!$B$229=Q$3,SUMIF('TL18'!$C$238:$C$451,$C189,'TL18'!$J$238:$J$451),0),
IF('TL19'!$B$3=Q$3,SUMIF('TL19'!$C$10:$C$224,$C189,'TL19'!$J$10:$J$224),0),
IF('TL19'!$B$229=Q$3,SUMIF('TL19'!$C$238:$C$451,$C189,'TL19'!$J$238:$J$451),0)
),0)</f>
        <v/>
      </c>
      <c r="R189" s="9">
        <f>IFERROR(
SUM(
SUMIF('TL01'!C:C,C189,'TL01'!J:J),
SUMIF('TL02'!C:C,C189,'TL02'!J:J),
SUMIF('TL03'!C:C,C189,'TL03'!J:J),
SUMIF('TL04'!C:C,C189,'TL04'!J:J),
SUMIF('TL05'!C:C,C189,'TL05'!J:J),
SUMIF('TL06'!C:C,C189,'TL06'!J:J),
SUMIF('TL07'!C:C,C189,'TL07'!J:J),
SUMIF('TL08'!C:C,C189,'TL08'!J:J),
SUMIF('TL09'!C:C,C189,'TL09'!J:J),
SUMIF('TL10'!C:C,C189,'TL10'!J:J),
SUMIF('TL11'!C:C,C189,'TL11'!J:J),
SUMIF('TL12'!C:C,C189,'TL12'!J:J),
SUMIF('TL13'!C:C,C189,'TL13'!J:J),
SUMIF('TL14'!C:C,C189,'TL14'!J:J),
SUMIF('TL15'!C:C,C189,'TL15'!J:J),
SUMIF('TL16'!C:C,C189,'TL16'!J:J),
SUMIF('TL17'!C:C,C189,'TL17'!J:J),
SUMIF('TL18'!C:C,C189,'TL18'!J:J),SUMIF('TL19'!C:C,C189,'TL19'!J:J))
,0)</f>
        <v/>
      </c>
      <c r="S189" s="17">
        <f>IFERROR(__xludf.DUMMYFUNCTION("IFERROR(VLOOKUP(C189,
IMPORTRANGE(""1wULbzX32WdYsx-lj2U3uUNBBe2INVIRDtcK0d-Dvl90"",
""26-27!C:G""),
5,
FALSE),
"""")"),247.63503)</f>
        <v/>
      </c>
      <c r="T189" s="9" t="n"/>
      <c r="U189" s="92">
        <f>MAX(0,R189-T189)</f>
        <v/>
      </c>
      <c r="V189" s="93">
        <f>U189*S189</f>
        <v/>
      </c>
    </row>
    <row r="190" hidden="1" ht="15.75" customHeight="1" s="297">
      <c r="A190" s="87" t="inlineStr">
        <is>
          <t>CCAB</t>
        </is>
      </c>
      <c r="B190" s="88" t="inlineStr">
        <is>
          <t>INSETICIDA</t>
        </is>
      </c>
      <c r="C190" s="89" t="inlineStr">
        <is>
          <t>INDOXACARB CCAB 150 SC</t>
        </is>
      </c>
      <c r="D190" s="89" t="inlineStr">
        <is>
          <t>INDOXACARBE</t>
        </is>
      </c>
      <c r="E190" s="89" t="n">
        <v>150</v>
      </c>
      <c r="F190" s="4" t="inlineStr">
        <is>
          <t>KG</t>
        </is>
      </c>
      <c r="G190" s="90">
        <f>HYPERLINK("https://www.google.com/search?q=" &amp; C190 &amp; "+bula+agrofit+pdf", "📄 Ver bula")</f>
        <v/>
      </c>
      <c r="H190" s="9">
        <f>IFERROR(__xludf.DUMMYFUNCTION("IFERROR(VLOOKUP(C190,
IMPORTRANGE(""1wULbzX32WdYsx-lj2U3uUNBBe2INVIRDtcK0d-Dvl90"",
""26-27!C:K""),
8,
FALSE),
"""")"),0.4)</f>
        <v/>
      </c>
      <c r="I190" s="91" t="inlineStr">
        <is>
          <t>1x20</t>
        </is>
      </c>
      <c r="J190" s="9">
        <f>IFERROR(SUM(
IF('TL01'!$B$3=J$3,SUMIF('TL01'!$C$10:$C$224,$C190,'TL01'!$J$10:$J$224),0),
IF('TL01'!$B$229=J$3,SUMIF('TL01'!$C$238:$C$451,$C190,'TL01'!$J$238:$J$451),0),
IF('TL02'!$B$3=J$3,SUMIF('TL02'!$C$10:$C$224,$C190,'TL02'!$J$10:$J$224),0),
IF('TL02'!$B$229=J$3,SUMIF('TL02'!$C$238:$C$451,$C190,'TL02'!$J$238:$J$451),0),
IF('TL03'!$B$3=J$3,SUMIF('TL03'!$C$10:$C$224,$C190,'TL03'!$J$10:$J$224),0),
IF('TL03'!$B$229=J$3,SUMIF('TL03'!$C$238:$C$451,$C190,'TL03'!$J$238:$J$451),0),
IF('TL04'!$B$3=J$3,SUMIF('TL04'!$C$10:$C$224,$C190,'TL04'!$J$10:$J$224),0),
IF('TL04'!$B$229=J$3,SUMIF('TL04'!$C$238:$C$451,$C190,'TL04'!$J$238:$J$451),0),
IF('TL05'!$B$3=J$3,SUMIF('TL05'!$C$10:$C$224,$C190,'TL05'!$J$10:$J$224),0),
IF('TL05'!$B$229=J$3,SUMIF('TL05'!$C$238:$C$451,$C190,'TL05'!$J$238:$J$451),0),
IF('TL06'!$B$3=J$3,SUMIF('TL06'!$C$10:$C$224,$C190,'TL06'!$J$10:$J$224),0),
IF('TL06'!$B$229=J$3,SUMIF('TL06'!$C$238:$C$451,$C190,'TL06'!$J$238:$J$451),0),
IF('TL07'!$B$3=J$3,SUMIF('TL07'!$C$10:$C$224,$C190,'TL07'!$J$10:$J$224),0),
IF('TL07'!$B$229=J$3,SUMIF('TL07'!$C$238:$C$451,$C190,'TL07'!$J$238:$J$451),0),
IF('TL08'!$B$3=J$3,SUMIF('TL08'!$C$10:$C$224,$C190,'TL08'!$J$10:$J$224),0),
IF('TL08'!$B$229=J$3,SUMIF('TL08'!$C$238:$C$451,$C190,'TL08'!$J$238:$J$451),0),
IF('TL09'!$B$3=J$3,SUMIF('TL09'!$C$10:$C$224,$C190,'TL09'!$J$10:$J$224),0),
IF('TL09'!$B$229=J$3,SUMIF('TL09'!$C$238:$C$451,$C190,'TL09'!$J$238:$J$451),0),
IF('TL10'!$B$3=J$3,SUMIF('TL10'!$C$10:$C$224,$C190,'TL10'!$J$10:$J$224),0),
IF('TL10'!$B$229=J$3,SUMIF('TL10'!$C$238:$C$451,$C190,'TL10'!$J$238:$J$451),0),
IF('TL11'!$B$3=J$3,SUMIF('TL11'!$C$10:$C$224,$C190,'TL11'!$J$10:$J$224),0),
IF('TL11'!$B$229=J$3,SUMIF('TL11'!$C$238:$C$451,$C190,'TL11'!$J$238:$J$451),0),
IF('TL12'!$B$3=J$3,SUMIF('TL12'!$C$10:$C$224,$C190,'TL12'!$J$10:$J$224),0),
IF('TL12'!$B$229=J$3,SUMIF('TL12'!$C$238:$C$451,$C190,'TL12'!$J$238:$J$451),0),
IF('TL13'!$B$3=J$3,SUMIF('TL13'!$C$10:$C$224,$C190,'TL13'!$J$10:$J$224),0),
IF('TL13'!$B$229=J$3,SUMIF('TL13'!$C$238:$C$451,$C190,'TL13'!$J$238:$J$451),0),
IF('TL14'!$B$3=J$3,SUMIF('TL14'!$C$10:$C$224,$C190,'TL14'!$J$10:$J$224),0),
IF('TL14'!$B$229=J$3,SUMIF('TL14'!$C$238:$C$451,$C190,'TL14'!$J$238:$J$451),0),
IF('TL15'!$B$3=J$3,SUMIF('TL15'!$C$10:$C$224,$C190,'TL15'!$J$10:$J$224),0),
IF('TL15'!$B$229=J$3,SUMIF('TL15'!$C$238:$C$451,$C190,'TL15'!$J$238:$J$451),0),
IF('TL16'!$B$3=J$3,SUMIF('TL16'!$C$10:$C$224,$C190,'TL16'!$J$10:$J$224),0),
IF('TL16'!$B$229=J$3,SUMIF('TL16'!$C$238:$C$451,$C190,'TL16'!$J$238:$J$451),0),
IF('TL17'!$B$3=J$3,SUMIF('TL17'!$C$10:$C$224,$C190,'TL17'!$J$10:$J$224),0),
IF('TL17'!$B$229=J$3,SUMIF('TL17'!$C$238:$C$451,$C190,'TL17'!$J$238:$J$451),0),
IF('TL18'!$B$3=J$3,SUMIF('TL18'!$C$10:$C$224,$C190,'TL18'!$J$10:$J$224),0),
IF('TL18'!$B$229=J$3,SUMIF('TL18'!$C$238:$C$451,$C190,'TL18'!$J$238:$J$451),0),
IF('TL19'!$B$3=J$3,SUMIF('TL19'!$C$10:$C$224,$C190,'TL19'!$J$10:$J$224),0),
IF('TL19'!$B$229=J$3,SUMIF('TL19'!$C$238:$C$451,$C190,'TL19'!$J$238:$J$451),0)
),0)</f>
        <v/>
      </c>
      <c r="K190" s="9">
        <f>IFERROR(SUM(
IF('TL01'!$B$3=K$3,SUMIF('TL01'!$C$10:$C$224,$C190,'TL01'!$J$10:$J$224),0),
IF('TL01'!$B$229=K$3,SUMIF('TL01'!$C$238:$C$451,$C190,'TL01'!$J$238:$J$451),0),
IF('TL02'!$B$3=K$3,SUMIF('TL02'!$C$10:$C$224,$C190,'TL02'!$J$10:$J$224),0),
IF('TL02'!$B$229=K$3,SUMIF('TL02'!$C$238:$C$451,$C190,'TL02'!$J$238:$J$451),0),
IF('TL03'!$B$3=K$3,SUMIF('TL03'!$C$10:$C$224,$C190,'TL03'!$J$10:$J$224),0),
IF('TL03'!$B$229=K$3,SUMIF('TL03'!$C$238:$C$451,$C190,'TL03'!$J$238:$J$451),0),
IF('TL04'!$B$3=K$3,SUMIF('TL04'!$C$10:$C$224,$C190,'TL04'!$J$10:$J$224),0),
IF('TL04'!$B$229=K$3,SUMIF('TL04'!$C$238:$C$451,$C190,'TL04'!$J$238:$J$451),0),
IF('TL05'!$B$3=K$3,SUMIF('TL05'!$C$10:$C$224,$C190,'TL05'!$J$10:$J$224),0),
IF('TL05'!$B$229=K$3,SUMIF('TL05'!$C$238:$C$451,$C190,'TL05'!$J$238:$J$451),0),
IF('TL06'!$B$3=K$3,SUMIF('TL06'!$C$10:$C$224,$C190,'TL06'!$J$10:$J$224),0),
IF('TL06'!$B$229=K$3,SUMIF('TL06'!$C$238:$C$451,$C190,'TL06'!$J$238:$J$451),0),
IF('TL07'!$B$3=K$3,SUMIF('TL07'!$C$10:$C$224,$C190,'TL07'!$J$10:$J$224),0),
IF('TL07'!$B$229=K$3,SUMIF('TL07'!$C$238:$C$451,$C190,'TL07'!$J$238:$J$451),0),
IF('TL08'!$B$3=K$3,SUMIF('TL08'!$C$10:$C$224,$C190,'TL08'!$J$10:$J$224),0),
IF('TL08'!$B$229=K$3,SUMIF('TL08'!$C$238:$C$451,$C190,'TL08'!$J$238:$J$451),0),
IF('TL09'!$B$3=K$3,SUMIF('TL09'!$C$10:$C$224,$C190,'TL09'!$J$10:$J$224),0),
IF('TL09'!$B$229=K$3,SUMIF('TL09'!$C$238:$C$451,$C190,'TL09'!$J$238:$J$451),0),
IF('TL10'!$B$3=K$3,SUMIF('TL10'!$C$10:$C$224,$C190,'TL10'!$J$10:$J$224),0),
IF('TL10'!$B$229=K$3,SUMIF('TL10'!$C$238:$C$451,$C190,'TL10'!$J$238:$J$451),0),
IF('TL11'!$B$3=K$3,SUMIF('TL11'!$C$10:$C$224,$C190,'TL11'!$J$10:$J$224),0),
IF('TL11'!$B$229=K$3,SUMIF('TL11'!$C$238:$C$451,$C190,'TL11'!$J$238:$J$451),0),
IF('TL12'!$B$3=K$3,SUMIF('TL12'!$C$10:$C$224,$C190,'TL12'!$J$10:$J$224),0),
IF('TL12'!$B$229=K$3,SUMIF('TL12'!$C$238:$C$451,$C190,'TL12'!$J$238:$J$451),0),
IF('TL13'!$B$3=K$3,SUMIF('TL13'!$C$10:$C$224,$C190,'TL13'!$J$10:$J$224),0),
IF('TL13'!$B$229=K$3,SUMIF('TL13'!$C$238:$C$451,$C190,'TL13'!$J$238:$J$451),0),
IF('TL14'!$B$3=K$3,SUMIF('TL14'!$C$10:$C$224,$C190,'TL14'!$J$10:$J$224),0),
IF('TL14'!$B$229=K$3,SUMIF('TL14'!$C$238:$C$451,$C190,'TL14'!$J$238:$J$451),0),
IF('TL15'!$B$3=K$3,SUMIF('TL15'!$C$10:$C$224,$C190,'TL15'!$J$10:$J$224),0),
IF('TL15'!$B$229=K$3,SUMIF('TL15'!$C$238:$C$451,$C190,'TL15'!$J$238:$J$451),0),
IF('TL16'!$B$3=K$3,SUMIF('TL16'!$C$10:$C$224,$C190,'TL16'!$J$10:$J$224),0),
IF('TL16'!$B$229=K$3,SUMIF('TL16'!$C$238:$C$451,$C190,'TL16'!$J$238:$J$451),0),
IF('TL17'!$B$3=K$3,SUMIF('TL17'!$C$10:$C$224,$C190,'TL17'!$J$10:$J$224),0),
IF('TL17'!$B$229=K$3,SUMIF('TL17'!$C$238:$C$451,$C190,'TL17'!$J$238:$J$451),0),
IF('TL18'!$B$3=K$3,SUMIF('TL18'!$C$10:$C$224,$C190,'TL18'!$J$10:$J$224),0),
IF('TL18'!$B$229=K$3,SUMIF('TL18'!$C$238:$C$451,$C190,'TL18'!$J$238:$J$451),0),
IF('TL19'!$B$3=K$3,SUMIF('TL19'!$C$10:$C$224,$C190,'TL19'!$J$10:$J$224),0),
IF('TL19'!$B$229=K$3,SUMIF('TL19'!$C$238:$C$451,$C190,'TL19'!$J$238:$J$451),0)
),0)</f>
        <v/>
      </c>
      <c r="L190" s="9">
        <f>IFERROR(SUM(
IF('TL01'!$B$3=L$3,SUMIF('TL01'!$C$10:$C$224,$C190,'TL01'!$J$10:$J$224),0),
IF('TL01'!$B$229=L$3,SUMIF('TL01'!$C$238:$C$451,$C190,'TL01'!$J$238:$J$451),0),
IF('TL02'!$B$3=L$3,SUMIF('TL02'!$C$10:$C$224,$C190,'TL02'!$J$10:$J$224),0),
IF('TL02'!$B$229=L$3,SUMIF('TL02'!$C$238:$C$451,$C190,'TL02'!$J$238:$J$451),0),
IF('TL03'!$B$3=L$3,SUMIF('TL03'!$C$10:$C$224,$C190,'TL03'!$J$10:$J$224),0),
IF('TL03'!$B$229=L$3,SUMIF('TL03'!$C$238:$C$451,$C190,'TL03'!$J$238:$J$451),0),
IF('TL04'!$B$3=L$3,SUMIF('TL04'!$C$10:$C$224,$C190,'TL04'!$J$10:$J$224),0),
IF('TL04'!$B$229=L$3,SUMIF('TL04'!$C$238:$C$451,$C190,'TL04'!$J$238:$J$451),0),
IF('TL05'!$B$3=L$3,SUMIF('TL05'!$C$10:$C$224,$C190,'TL05'!$J$10:$J$224),0),
IF('TL05'!$B$229=L$3,SUMIF('TL05'!$C$238:$C$451,$C190,'TL05'!$J$238:$J$451),0),
IF('TL06'!$B$3=L$3,SUMIF('TL06'!$C$10:$C$224,$C190,'TL06'!$J$10:$J$224),0),
IF('TL06'!$B$229=L$3,SUMIF('TL06'!$C$238:$C$451,$C190,'TL06'!$J$238:$J$451),0),
IF('TL07'!$B$3=L$3,SUMIF('TL07'!$C$10:$C$224,$C190,'TL07'!$J$10:$J$224),0),
IF('TL07'!$B$229=L$3,SUMIF('TL07'!$C$238:$C$451,$C190,'TL07'!$J$238:$J$451),0),
IF('TL08'!$B$3=L$3,SUMIF('TL08'!$C$10:$C$224,$C190,'TL08'!$J$10:$J$224),0),
IF('TL08'!$B$229=L$3,SUMIF('TL08'!$C$238:$C$451,$C190,'TL08'!$J$238:$J$451),0),
IF('TL09'!$B$3=L$3,SUMIF('TL09'!$C$10:$C$224,$C190,'TL09'!$J$10:$J$224),0),
IF('TL09'!$B$229=L$3,SUMIF('TL09'!$C$238:$C$451,$C190,'TL09'!$J$238:$J$451),0),
IF('TL10'!$B$3=L$3,SUMIF('TL10'!$C$10:$C$224,$C190,'TL10'!$J$10:$J$224),0),
IF('TL10'!$B$229=L$3,SUMIF('TL10'!$C$238:$C$451,$C190,'TL10'!$J$238:$J$451),0),
IF('TL11'!$B$3=L$3,SUMIF('TL11'!$C$10:$C$224,$C190,'TL11'!$J$10:$J$224),0),
IF('TL11'!$B$229=L$3,SUMIF('TL11'!$C$238:$C$451,$C190,'TL11'!$J$238:$J$451),0),
IF('TL12'!$B$3=L$3,SUMIF('TL12'!$C$10:$C$224,$C190,'TL12'!$J$10:$J$224),0),
IF('TL12'!$B$229=L$3,SUMIF('TL12'!$C$238:$C$451,$C190,'TL12'!$J$238:$J$451),0),
IF('TL13'!$B$3=L$3,SUMIF('TL13'!$C$10:$C$224,$C190,'TL13'!$J$10:$J$224),0),
IF('TL13'!$B$229=L$3,SUMIF('TL13'!$C$238:$C$451,$C190,'TL13'!$J$238:$J$451),0),
IF('TL14'!$B$3=L$3,SUMIF('TL14'!$C$10:$C$224,$C190,'TL14'!$J$10:$J$224),0),
IF('TL14'!$B$229=L$3,SUMIF('TL14'!$C$238:$C$451,$C190,'TL14'!$J$238:$J$451),0),
IF('TL15'!$B$3=L$3,SUMIF('TL15'!$C$10:$C$224,$C190,'TL15'!$J$10:$J$224),0),
IF('TL15'!$B$229=L$3,SUMIF('TL15'!$C$238:$C$451,$C190,'TL15'!$J$238:$J$451),0),
IF('TL16'!$B$3=L$3,SUMIF('TL16'!$C$10:$C$224,$C190,'TL16'!$J$10:$J$224),0),
IF('TL16'!$B$229=L$3,SUMIF('TL16'!$C$238:$C$451,$C190,'TL16'!$J$238:$J$451),0),
IF('TL17'!$B$3=L$3,SUMIF('TL17'!$C$10:$C$224,$C190,'TL17'!$J$10:$J$224),0),
IF('TL17'!$B$229=L$3,SUMIF('TL17'!$C$238:$C$451,$C190,'TL17'!$J$238:$J$451),0),
IF('TL18'!$B$3=L$3,SUMIF('TL18'!$C$10:$C$224,$C190,'TL18'!$J$10:$J$224),0),
IF('TL18'!$B$229=L$3,SUMIF('TL18'!$C$238:$C$451,$C190,'TL18'!$J$238:$J$451),0),
IF('TL19'!$B$3=L$3,SUMIF('TL19'!$C$10:$C$224,$C190,'TL19'!$J$10:$J$224),0),
IF('TL19'!$B$229=L$3,SUMIF('TL19'!$C$238:$C$451,$C190,'TL19'!$J$238:$J$451),0)
),0)</f>
        <v/>
      </c>
      <c r="M190" s="9">
        <f>IFERROR(SUM(
IF('TL01'!$B$3=M$3,SUMIF('TL01'!$C$10:$C$224,$C190,'TL01'!$J$10:$J$224),0),
IF('TL01'!$B$229=M$3,SUMIF('TL01'!$C$238:$C$451,$C190,'TL01'!$J$238:$J$451),0),
IF('TL02'!$B$3=M$3,SUMIF('TL02'!$C$10:$C$224,$C190,'TL02'!$J$10:$J$224),0),
IF('TL02'!$B$229=M$3,SUMIF('TL02'!$C$238:$C$451,$C190,'TL02'!$J$238:$J$451),0),
IF('TL03'!$B$3=M$3,SUMIF('TL03'!$C$10:$C$224,$C190,'TL03'!$J$10:$J$224),0),
IF('TL03'!$B$229=M$3,SUMIF('TL03'!$C$238:$C$451,$C190,'TL03'!$J$238:$J$451),0),
IF('TL04'!$B$3=M$3,SUMIF('TL04'!$C$10:$C$224,$C190,'TL04'!$J$10:$J$224),0),
IF('TL04'!$B$229=M$3,SUMIF('TL04'!$C$238:$C$451,$C190,'TL04'!$J$238:$J$451),0),
IF('TL05'!$B$3=M$3,SUMIF('TL05'!$C$10:$C$224,$C190,'TL05'!$J$10:$J$224),0),
IF('TL05'!$B$229=M$3,SUMIF('TL05'!$C$238:$C$451,$C190,'TL05'!$J$238:$J$451),0),
IF('TL06'!$B$3=M$3,SUMIF('TL06'!$C$10:$C$224,$C190,'TL06'!$J$10:$J$224),0),
IF('TL06'!$B$229=M$3,SUMIF('TL06'!$C$238:$C$451,$C190,'TL06'!$J$238:$J$451),0),
IF('TL07'!$B$3=M$3,SUMIF('TL07'!$C$10:$C$224,$C190,'TL07'!$J$10:$J$224),0),
IF('TL07'!$B$229=M$3,SUMIF('TL07'!$C$238:$C$451,$C190,'TL07'!$J$238:$J$451),0),
IF('TL08'!$B$3=M$3,SUMIF('TL08'!$C$10:$C$224,$C190,'TL08'!$J$10:$J$224),0),
IF('TL08'!$B$229=M$3,SUMIF('TL08'!$C$238:$C$451,$C190,'TL08'!$J$238:$J$451),0),
IF('TL09'!$B$3=M$3,SUMIF('TL09'!$C$10:$C$224,$C190,'TL09'!$J$10:$J$224),0),
IF('TL09'!$B$229=M$3,SUMIF('TL09'!$C$238:$C$451,$C190,'TL09'!$J$238:$J$451),0),
IF('TL10'!$B$3=M$3,SUMIF('TL10'!$C$10:$C$224,$C190,'TL10'!$J$10:$J$224),0),
IF('TL10'!$B$229=M$3,SUMIF('TL10'!$C$238:$C$451,$C190,'TL10'!$J$238:$J$451),0),
IF('TL11'!$B$3=M$3,SUMIF('TL11'!$C$10:$C$224,$C190,'TL11'!$J$10:$J$224),0),
IF('TL11'!$B$229=M$3,SUMIF('TL11'!$C$238:$C$451,$C190,'TL11'!$J$238:$J$451),0),
IF('TL12'!$B$3=M$3,SUMIF('TL12'!$C$10:$C$224,$C190,'TL12'!$J$10:$J$224),0),
IF('TL12'!$B$229=M$3,SUMIF('TL12'!$C$238:$C$451,$C190,'TL12'!$J$238:$J$451),0),
IF('TL13'!$B$3=M$3,SUMIF('TL13'!$C$10:$C$224,$C190,'TL13'!$J$10:$J$224),0),
IF('TL13'!$B$229=M$3,SUMIF('TL13'!$C$238:$C$451,$C190,'TL13'!$J$238:$J$451),0),
IF('TL14'!$B$3=M$3,SUMIF('TL14'!$C$10:$C$224,$C190,'TL14'!$J$10:$J$224),0),
IF('TL14'!$B$229=M$3,SUMIF('TL14'!$C$238:$C$451,$C190,'TL14'!$J$238:$J$451),0),
IF('TL15'!$B$3=M$3,SUMIF('TL15'!$C$10:$C$224,$C190,'TL15'!$J$10:$J$224),0),
IF('TL15'!$B$229=M$3,SUMIF('TL15'!$C$238:$C$451,$C190,'TL15'!$J$238:$J$451),0),
IF('TL16'!$B$3=M$3,SUMIF('TL16'!$C$10:$C$224,$C190,'TL16'!$J$10:$J$224),0),
IF('TL16'!$B$229=M$3,SUMIF('TL16'!$C$238:$C$451,$C190,'TL16'!$J$238:$J$451),0),
IF('TL17'!$B$3=M$3,SUMIF('TL17'!$C$10:$C$224,$C190,'TL17'!$J$10:$J$224),0),
IF('TL17'!$B$229=M$3,SUMIF('TL17'!$C$238:$C$451,$C190,'TL17'!$J$238:$J$451),0),
IF('TL18'!$B$3=M$3,SUMIF('TL18'!$C$10:$C$224,$C190,'TL18'!$J$10:$J$224),0),
IF('TL18'!$B$229=M$3,SUMIF('TL18'!$C$238:$C$451,$C190,'TL18'!$J$238:$J$451),0),
IF('TL19'!$B$3=M$3,SUMIF('TL19'!$C$10:$C$224,$C190,'TL19'!$J$10:$J$224),0),
IF('TL19'!$B$229=M$3,SUMIF('TL19'!$C$238:$C$451,$C190,'TL19'!$J$238:$J$451),0)
),0)</f>
        <v/>
      </c>
      <c r="N190" s="9">
        <f>IFERROR(SUM(
IF('TL01'!$B$3=N$3,SUMIF('TL01'!$C$10:$C$224,$C190,'TL01'!$J$10:$J$224),0),
IF('TL01'!$B$229=N$3,SUMIF('TL01'!$C$238:$C$451,$C190,'TL01'!$J$238:$J$451),0),
IF('TL02'!$B$3=N$3,SUMIF('TL02'!$C$10:$C$224,$C190,'TL02'!$J$10:$J$224),0),
IF('TL02'!$B$229=N$3,SUMIF('TL02'!$C$238:$C$451,$C190,'TL02'!$J$238:$J$451),0),
IF('TL03'!$B$3=N$3,SUMIF('TL03'!$C$10:$C$224,$C190,'TL03'!$J$10:$J$224),0),
IF('TL03'!$B$229=N$3,SUMIF('TL03'!$C$238:$C$451,$C190,'TL03'!$J$238:$J$451),0),
IF('TL04'!$B$3=N$3,SUMIF('TL04'!$C$10:$C$224,$C190,'TL04'!$J$10:$J$224),0),
IF('TL04'!$B$229=N$3,SUMIF('TL04'!$C$238:$C$451,$C190,'TL04'!$J$238:$J$451),0),
IF('TL05'!$B$3=N$3,SUMIF('TL05'!$C$10:$C$224,$C190,'TL05'!$J$10:$J$224),0),
IF('TL05'!$B$229=N$3,SUMIF('TL05'!$C$238:$C$451,$C190,'TL05'!$J$238:$J$451),0),
IF('TL06'!$B$3=N$3,SUMIF('TL06'!$C$10:$C$224,$C190,'TL06'!$J$10:$J$224),0),
IF('TL06'!$B$229=N$3,SUMIF('TL06'!$C$238:$C$451,$C190,'TL06'!$J$238:$J$451),0),
IF('TL07'!$B$3=N$3,SUMIF('TL07'!$C$10:$C$224,$C190,'TL07'!$J$10:$J$224),0),
IF('TL07'!$B$229=N$3,SUMIF('TL07'!$C$238:$C$451,$C190,'TL07'!$J$238:$J$451),0),
IF('TL08'!$B$3=N$3,SUMIF('TL08'!$C$10:$C$224,$C190,'TL08'!$J$10:$J$224),0),
IF('TL08'!$B$229=N$3,SUMIF('TL08'!$C$238:$C$451,$C190,'TL08'!$J$238:$J$451),0),
IF('TL09'!$B$3=N$3,SUMIF('TL09'!$C$10:$C$224,$C190,'TL09'!$J$10:$J$224),0),
IF('TL09'!$B$229=N$3,SUMIF('TL09'!$C$238:$C$451,$C190,'TL09'!$J$238:$J$451),0),
IF('TL10'!$B$3=N$3,SUMIF('TL10'!$C$10:$C$224,$C190,'TL10'!$J$10:$J$224),0),
IF('TL10'!$B$229=N$3,SUMIF('TL10'!$C$238:$C$451,$C190,'TL10'!$J$238:$J$451),0),
IF('TL11'!$B$3=N$3,SUMIF('TL11'!$C$10:$C$224,$C190,'TL11'!$J$10:$J$224),0),
IF('TL11'!$B$229=N$3,SUMIF('TL11'!$C$238:$C$451,$C190,'TL11'!$J$238:$J$451),0),
IF('TL12'!$B$3=N$3,SUMIF('TL12'!$C$10:$C$224,$C190,'TL12'!$J$10:$J$224),0),
IF('TL12'!$B$229=N$3,SUMIF('TL12'!$C$238:$C$451,$C190,'TL12'!$J$238:$J$451),0),
IF('TL13'!$B$3=N$3,SUMIF('TL13'!$C$10:$C$224,$C190,'TL13'!$J$10:$J$224),0),
IF('TL13'!$B$229=N$3,SUMIF('TL13'!$C$238:$C$451,$C190,'TL13'!$J$238:$J$451),0),
IF('TL14'!$B$3=N$3,SUMIF('TL14'!$C$10:$C$224,$C190,'TL14'!$J$10:$J$224),0),
IF('TL14'!$B$229=N$3,SUMIF('TL14'!$C$238:$C$451,$C190,'TL14'!$J$238:$J$451),0),
IF('TL15'!$B$3=N$3,SUMIF('TL15'!$C$10:$C$224,$C190,'TL15'!$J$10:$J$224),0),
IF('TL15'!$B$229=N$3,SUMIF('TL15'!$C$238:$C$451,$C190,'TL15'!$J$238:$J$451),0),
IF('TL16'!$B$3=N$3,SUMIF('TL16'!$C$10:$C$224,$C190,'TL16'!$J$10:$J$224),0),
IF('TL16'!$B$229=N$3,SUMIF('TL16'!$C$238:$C$451,$C190,'TL16'!$J$238:$J$451),0),
IF('TL17'!$B$3=N$3,SUMIF('TL17'!$C$10:$C$224,$C190,'TL17'!$J$10:$J$224),0),
IF('TL17'!$B$229=N$3,SUMIF('TL17'!$C$238:$C$451,$C190,'TL17'!$J$238:$J$451),0),
IF('TL18'!$B$3=N$3,SUMIF('TL18'!$C$10:$C$224,$C190,'TL18'!$J$10:$J$224),0),
IF('TL18'!$B$229=N$3,SUMIF('TL18'!$C$238:$C$451,$C190,'TL18'!$J$238:$J$451),0),
IF('TL19'!$B$3=N$3,SUMIF('TL19'!$C$10:$C$224,$C190,'TL19'!$J$10:$J$224),0),
IF('TL19'!$B$229=N$3,SUMIF('TL19'!$C$238:$C$451,$C190,'TL19'!$J$238:$J$451),0)
),0)</f>
        <v/>
      </c>
      <c r="O190" s="9">
        <f>IFERROR(SUM(
IF('TL01'!$B$3=O$3,SUMIF('TL01'!$C$10:$C$224,$C190,'TL01'!$J$10:$J$224),0),
IF('TL01'!$B$229=O$3,SUMIF('TL01'!$C$238:$C$451,$C190,'TL01'!$J$238:$J$451),0),
IF('TL02'!$B$3=O$3,SUMIF('TL02'!$C$10:$C$224,$C190,'TL02'!$J$10:$J$224),0),
IF('TL02'!$B$229=O$3,SUMIF('TL02'!$C$238:$C$451,$C190,'TL02'!$J$238:$J$451),0),
IF('TL03'!$B$3=O$3,SUMIF('TL03'!$C$10:$C$224,$C190,'TL03'!$J$10:$J$224),0),
IF('TL03'!$B$229=O$3,SUMIF('TL03'!$C$238:$C$451,$C190,'TL03'!$J$238:$J$451),0),
IF('TL04'!$B$3=O$3,SUMIF('TL04'!$C$10:$C$224,$C190,'TL04'!$J$10:$J$224),0),
IF('TL04'!$B$229=O$3,SUMIF('TL04'!$C$238:$C$451,$C190,'TL04'!$J$238:$J$451),0),
IF('TL05'!$B$3=O$3,SUMIF('TL05'!$C$10:$C$224,$C190,'TL05'!$J$10:$J$224),0),
IF('TL05'!$B$229=O$3,SUMIF('TL05'!$C$238:$C$451,$C190,'TL05'!$J$238:$J$451),0),
IF('TL06'!$B$3=O$3,SUMIF('TL06'!$C$10:$C$224,$C190,'TL06'!$J$10:$J$224),0),
IF('TL06'!$B$229=O$3,SUMIF('TL06'!$C$238:$C$451,$C190,'TL06'!$J$238:$J$451),0),
IF('TL07'!$B$3=O$3,SUMIF('TL07'!$C$10:$C$224,$C190,'TL07'!$J$10:$J$224),0),
IF('TL07'!$B$229=O$3,SUMIF('TL07'!$C$238:$C$451,$C190,'TL07'!$J$238:$J$451),0),
IF('TL08'!$B$3=O$3,SUMIF('TL08'!$C$10:$C$224,$C190,'TL08'!$J$10:$J$224),0),
IF('TL08'!$B$229=O$3,SUMIF('TL08'!$C$238:$C$451,$C190,'TL08'!$J$238:$J$451),0),
IF('TL09'!$B$3=O$3,SUMIF('TL09'!$C$10:$C$224,$C190,'TL09'!$J$10:$J$224),0),
IF('TL09'!$B$229=O$3,SUMIF('TL09'!$C$238:$C$451,$C190,'TL09'!$J$238:$J$451),0),
IF('TL10'!$B$3=O$3,SUMIF('TL10'!$C$10:$C$224,$C190,'TL10'!$J$10:$J$224),0),
IF('TL10'!$B$229=O$3,SUMIF('TL10'!$C$238:$C$451,$C190,'TL10'!$J$238:$J$451),0),
IF('TL11'!$B$3=O$3,SUMIF('TL11'!$C$10:$C$224,$C190,'TL11'!$J$10:$J$224),0),
IF('TL11'!$B$229=O$3,SUMIF('TL11'!$C$238:$C$451,$C190,'TL11'!$J$238:$J$451),0),
IF('TL12'!$B$3=O$3,SUMIF('TL12'!$C$10:$C$224,$C190,'TL12'!$J$10:$J$224),0),
IF('TL12'!$B$229=O$3,SUMIF('TL12'!$C$238:$C$451,$C190,'TL12'!$J$238:$J$451),0),
IF('TL13'!$B$3=O$3,SUMIF('TL13'!$C$10:$C$224,$C190,'TL13'!$J$10:$J$224),0),
IF('TL13'!$B$229=O$3,SUMIF('TL13'!$C$238:$C$451,$C190,'TL13'!$J$238:$J$451),0),
IF('TL14'!$B$3=O$3,SUMIF('TL14'!$C$10:$C$224,$C190,'TL14'!$J$10:$J$224),0),
IF('TL14'!$B$229=O$3,SUMIF('TL14'!$C$238:$C$451,$C190,'TL14'!$J$238:$J$451),0),
IF('TL15'!$B$3=O$3,SUMIF('TL15'!$C$10:$C$224,$C190,'TL15'!$J$10:$J$224),0),
IF('TL15'!$B$229=O$3,SUMIF('TL15'!$C$238:$C$451,$C190,'TL15'!$J$238:$J$451),0),
IF('TL16'!$B$3=O$3,SUMIF('TL16'!$C$10:$C$224,$C190,'TL16'!$J$10:$J$224),0),
IF('TL16'!$B$229=O$3,SUMIF('TL16'!$C$238:$C$451,$C190,'TL16'!$J$238:$J$451),0),
IF('TL17'!$B$3=O$3,SUMIF('TL17'!$C$10:$C$224,$C190,'TL17'!$J$10:$J$224),0),
IF('TL17'!$B$229=O$3,SUMIF('TL17'!$C$238:$C$451,$C190,'TL17'!$J$238:$J$451),0),
IF('TL18'!$B$3=O$3,SUMIF('TL18'!$C$10:$C$224,$C190,'TL18'!$J$10:$J$224),0),
IF('TL18'!$B$229=O$3,SUMIF('TL18'!$C$238:$C$451,$C190,'TL18'!$J$238:$J$451),0),
IF('TL19'!$B$3=O$3,SUMIF('TL19'!$C$10:$C$224,$C190,'TL19'!$J$10:$J$224),0),
IF('TL19'!$B$229=O$3,SUMIF('TL19'!$C$238:$C$451,$C190,'TL19'!$J$238:$J$451),0)
),0)</f>
        <v/>
      </c>
      <c r="P190" s="9">
        <f>IFERROR(SUM(
IF('TL01'!$B$3=P$3,SUMIF('TL01'!$C$10:$C$224,$C190,'TL01'!$J$10:$J$224),0),
IF('TL01'!$B$229=P$3,SUMIF('TL01'!$C$238:$C$451,$C190,'TL01'!$J$238:$J$451),0),
IF('TL02'!$B$3=P$3,SUMIF('TL02'!$C$10:$C$224,$C190,'TL02'!$J$10:$J$224),0),
IF('TL02'!$B$229=P$3,SUMIF('TL02'!$C$238:$C$451,$C190,'TL02'!$J$238:$J$451),0),
IF('TL03'!$B$3=P$3,SUMIF('TL03'!$C$10:$C$224,$C190,'TL03'!$J$10:$J$224),0),
IF('TL03'!$B$229=P$3,SUMIF('TL03'!$C$238:$C$451,$C190,'TL03'!$J$238:$J$451),0),
IF('TL04'!$B$3=P$3,SUMIF('TL04'!$C$10:$C$224,$C190,'TL04'!$J$10:$J$224),0),
IF('TL04'!$B$229=P$3,SUMIF('TL04'!$C$238:$C$451,$C190,'TL04'!$J$238:$J$451),0),
IF('TL05'!$B$3=P$3,SUMIF('TL05'!$C$10:$C$224,$C190,'TL05'!$J$10:$J$224),0),
IF('TL05'!$B$229=P$3,SUMIF('TL05'!$C$238:$C$451,$C190,'TL05'!$J$238:$J$451),0),
IF('TL06'!$B$3=P$3,SUMIF('TL06'!$C$10:$C$224,$C190,'TL06'!$J$10:$J$224),0),
IF('TL06'!$B$229=P$3,SUMIF('TL06'!$C$238:$C$451,$C190,'TL06'!$J$238:$J$451),0),
IF('TL07'!$B$3=P$3,SUMIF('TL07'!$C$10:$C$224,$C190,'TL07'!$J$10:$J$224),0),
IF('TL07'!$B$229=P$3,SUMIF('TL07'!$C$238:$C$451,$C190,'TL07'!$J$238:$J$451),0),
IF('TL08'!$B$3=P$3,SUMIF('TL08'!$C$10:$C$224,$C190,'TL08'!$J$10:$J$224),0),
IF('TL08'!$B$229=P$3,SUMIF('TL08'!$C$238:$C$451,$C190,'TL08'!$J$238:$J$451),0),
IF('TL09'!$B$3=P$3,SUMIF('TL09'!$C$10:$C$224,$C190,'TL09'!$J$10:$J$224),0),
IF('TL09'!$B$229=P$3,SUMIF('TL09'!$C$238:$C$451,$C190,'TL09'!$J$238:$J$451),0),
IF('TL10'!$B$3=P$3,SUMIF('TL10'!$C$10:$C$224,$C190,'TL10'!$J$10:$J$224),0),
IF('TL10'!$B$229=P$3,SUMIF('TL10'!$C$238:$C$451,$C190,'TL10'!$J$238:$J$451),0),
IF('TL11'!$B$3=P$3,SUMIF('TL11'!$C$10:$C$224,$C190,'TL11'!$J$10:$J$224),0),
IF('TL11'!$B$229=P$3,SUMIF('TL11'!$C$238:$C$451,$C190,'TL11'!$J$238:$J$451),0),
IF('TL12'!$B$3=P$3,SUMIF('TL12'!$C$10:$C$224,$C190,'TL12'!$J$10:$J$224),0),
IF('TL12'!$B$229=P$3,SUMIF('TL12'!$C$238:$C$451,$C190,'TL12'!$J$238:$J$451),0),
IF('TL13'!$B$3=P$3,SUMIF('TL13'!$C$10:$C$224,$C190,'TL13'!$J$10:$J$224),0),
IF('TL13'!$B$229=P$3,SUMIF('TL13'!$C$238:$C$451,$C190,'TL13'!$J$238:$J$451),0),
IF('TL14'!$B$3=P$3,SUMIF('TL14'!$C$10:$C$224,$C190,'TL14'!$J$10:$J$224),0),
IF('TL14'!$B$229=P$3,SUMIF('TL14'!$C$238:$C$451,$C190,'TL14'!$J$238:$J$451),0),
IF('TL15'!$B$3=P$3,SUMIF('TL15'!$C$10:$C$224,$C190,'TL15'!$J$10:$J$224),0),
IF('TL15'!$B$229=P$3,SUMIF('TL15'!$C$238:$C$451,$C190,'TL15'!$J$238:$J$451),0),
IF('TL16'!$B$3=P$3,SUMIF('TL16'!$C$10:$C$224,$C190,'TL16'!$J$10:$J$224),0),
IF('TL16'!$B$229=P$3,SUMIF('TL16'!$C$238:$C$451,$C190,'TL16'!$J$238:$J$451),0),
IF('TL17'!$B$3=P$3,SUMIF('TL17'!$C$10:$C$224,$C190,'TL17'!$J$10:$J$224),0),
IF('TL17'!$B$229=P$3,SUMIF('TL17'!$C$238:$C$451,$C190,'TL17'!$J$238:$J$451),0),
IF('TL18'!$B$3=P$3,SUMIF('TL18'!$C$10:$C$224,$C190,'TL18'!$J$10:$J$224),0),
IF('TL18'!$B$229=P$3,SUMIF('TL18'!$C$238:$C$451,$C190,'TL18'!$J$238:$J$451),0),
IF('TL19'!$B$3=P$3,SUMIF('TL19'!$C$10:$C$224,$C190,'TL19'!$J$10:$J$224),0),
IF('TL19'!$B$229=P$3,SUMIF('TL19'!$C$238:$C$451,$C190,'TL19'!$J$238:$J$451),0)
),0)</f>
        <v/>
      </c>
      <c r="Q190" s="9">
        <f>IFERROR(SUM(
IF('TL01'!$B$3=Q$3,SUMIF('TL01'!$C$10:$C$224,$C190,'TL01'!$J$10:$J$224),0),
IF('TL01'!$B$229=Q$3,SUMIF('TL01'!$C$238:$C$451,$C190,'TL01'!$J$238:$J$451),0),
IF('TL02'!$B$3=Q$3,SUMIF('TL02'!$C$10:$C$224,$C190,'TL02'!$J$10:$J$224),0),
IF('TL02'!$B$229=Q$3,SUMIF('TL02'!$C$238:$C$451,$C190,'TL02'!$J$238:$J$451),0),
IF('TL03'!$B$3=Q$3,SUMIF('TL03'!$C$10:$C$224,$C190,'TL03'!$J$10:$J$224),0),
IF('TL03'!$B$229=Q$3,SUMIF('TL03'!$C$238:$C$451,$C190,'TL03'!$J$238:$J$451),0),
IF('TL04'!$B$3=Q$3,SUMIF('TL04'!$C$10:$C$224,$C190,'TL04'!$J$10:$J$224),0),
IF('TL04'!$B$229=Q$3,SUMIF('TL04'!$C$238:$C$451,$C190,'TL04'!$J$238:$J$451),0),
IF('TL05'!$B$3=Q$3,SUMIF('TL05'!$C$10:$C$224,$C190,'TL05'!$J$10:$J$224),0),
IF('TL05'!$B$229=Q$3,SUMIF('TL05'!$C$238:$C$451,$C190,'TL05'!$J$238:$J$451),0),
IF('TL06'!$B$3=Q$3,SUMIF('TL06'!$C$10:$C$224,$C190,'TL06'!$J$10:$J$224),0),
IF('TL06'!$B$229=Q$3,SUMIF('TL06'!$C$238:$C$451,$C190,'TL06'!$J$238:$J$451),0),
IF('TL07'!$B$3=Q$3,SUMIF('TL07'!$C$10:$C$224,$C190,'TL07'!$J$10:$J$224),0),
IF('TL07'!$B$229=Q$3,SUMIF('TL07'!$C$238:$C$451,$C190,'TL07'!$J$238:$J$451),0),
IF('TL08'!$B$3=Q$3,SUMIF('TL08'!$C$10:$C$224,$C190,'TL08'!$J$10:$J$224),0),
IF('TL08'!$B$229=Q$3,SUMIF('TL08'!$C$238:$C$451,$C190,'TL08'!$J$238:$J$451),0),
IF('TL09'!$B$3=Q$3,SUMIF('TL09'!$C$10:$C$224,$C190,'TL09'!$J$10:$J$224),0),
IF('TL09'!$B$229=Q$3,SUMIF('TL09'!$C$238:$C$451,$C190,'TL09'!$J$238:$J$451),0),
IF('TL10'!$B$3=Q$3,SUMIF('TL10'!$C$10:$C$224,$C190,'TL10'!$J$10:$J$224),0),
IF('TL10'!$B$229=Q$3,SUMIF('TL10'!$C$238:$C$451,$C190,'TL10'!$J$238:$J$451),0),
IF('TL11'!$B$3=Q$3,SUMIF('TL11'!$C$10:$C$224,$C190,'TL11'!$J$10:$J$224),0),
IF('TL11'!$B$229=Q$3,SUMIF('TL11'!$C$238:$C$451,$C190,'TL11'!$J$238:$J$451),0),
IF('TL12'!$B$3=Q$3,SUMIF('TL12'!$C$10:$C$224,$C190,'TL12'!$J$10:$J$224),0),
IF('TL12'!$B$229=Q$3,SUMIF('TL12'!$C$238:$C$451,$C190,'TL12'!$J$238:$J$451),0),
IF('TL13'!$B$3=Q$3,SUMIF('TL13'!$C$10:$C$224,$C190,'TL13'!$J$10:$J$224),0),
IF('TL13'!$B$229=Q$3,SUMIF('TL13'!$C$238:$C$451,$C190,'TL13'!$J$238:$J$451),0),
IF('TL14'!$B$3=Q$3,SUMIF('TL14'!$C$10:$C$224,$C190,'TL14'!$J$10:$J$224),0),
IF('TL14'!$B$229=Q$3,SUMIF('TL14'!$C$238:$C$451,$C190,'TL14'!$J$238:$J$451),0),
IF('TL15'!$B$3=Q$3,SUMIF('TL15'!$C$10:$C$224,$C190,'TL15'!$J$10:$J$224),0),
IF('TL15'!$B$229=Q$3,SUMIF('TL15'!$C$238:$C$451,$C190,'TL15'!$J$238:$J$451),0),
IF('TL16'!$B$3=Q$3,SUMIF('TL16'!$C$10:$C$224,$C190,'TL16'!$J$10:$J$224),0),
IF('TL16'!$B$229=Q$3,SUMIF('TL16'!$C$238:$C$451,$C190,'TL16'!$J$238:$J$451),0),
IF('TL17'!$B$3=Q$3,SUMIF('TL17'!$C$10:$C$224,$C190,'TL17'!$J$10:$J$224),0),
IF('TL17'!$B$229=Q$3,SUMIF('TL17'!$C$238:$C$451,$C190,'TL17'!$J$238:$J$451),0),
IF('TL18'!$B$3=Q$3,SUMIF('TL18'!$C$10:$C$224,$C190,'TL18'!$J$10:$J$224),0),
IF('TL18'!$B$229=Q$3,SUMIF('TL18'!$C$238:$C$451,$C190,'TL18'!$J$238:$J$451),0),
IF('TL19'!$B$3=Q$3,SUMIF('TL19'!$C$10:$C$224,$C190,'TL19'!$J$10:$J$224),0),
IF('TL19'!$B$229=Q$3,SUMIF('TL19'!$C$238:$C$451,$C190,'TL19'!$J$238:$J$451),0)
),0)</f>
        <v/>
      </c>
      <c r="R190" s="9">
        <f>IFERROR(
SUM(
SUMIF('TL01'!C:C,C190,'TL01'!J:J),
SUMIF('TL02'!C:C,C190,'TL02'!J:J),
SUMIF('TL03'!C:C,C190,'TL03'!J:J),
SUMIF('TL04'!C:C,C190,'TL04'!J:J),
SUMIF('TL05'!C:C,C190,'TL05'!J:J),
SUMIF('TL06'!C:C,C190,'TL06'!J:J),
SUMIF('TL07'!C:C,C190,'TL07'!J:J),
SUMIF('TL08'!C:C,C190,'TL08'!J:J),
SUMIF('TL09'!C:C,C190,'TL09'!J:J),
SUMIF('TL10'!C:C,C190,'TL10'!J:J),
SUMIF('TL11'!C:C,C190,'TL11'!J:J),
SUMIF('TL12'!C:C,C190,'TL12'!J:J),
SUMIF('TL13'!C:C,C190,'TL13'!J:J),
SUMIF('TL14'!C:C,C190,'TL14'!J:J),
SUMIF('TL15'!C:C,C190,'TL15'!J:J),
SUMIF('TL16'!C:C,C190,'TL16'!J:J),
SUMIF('TL17'!C:C,C190,'TL17'!J:J),
SUMIF('TL18'!C:C,C190,'TL18'!J:J),SUMIF('TL19'!C:C,C190,'TL19'!J:J))
,0)</f>
        <v/>
      </c>
      <c r="S190" s="17">
        <f>IFERROR(__xludf.DUMMYFUNCTION("IFERROR(VLOOKUP(C190,
IMPORTRANGE(""1wULbzX32WdYsx-lj2U3uUNBBe2INVIRDtcK0d-Dvl90"",
""26-27!C:G""),
5,
FALSE),
"""")"),80.04627)</f>
        <v/>
      </c>
      <c r="T190" s="9" t="n"/>
      <c r="U190" s="92">
        <f>MAX(0,R190-T190)</f>
        <v/>
      </c>
      <c r="V190" s="93">
        <f>U190*S190</f>
        <v/>
      </c>
    </row>
    <row r="191" hidden="1" ht="15.75" customHeight="1" s="297">
      <c r="A191" s="94" t="inlineStr">
        <is>
          <t>CORTEVA</t>
        </is>
      </c>
      <c r="B191" s="95" t="inlineStr">
        <is>
          <t>INSETICIDA</t>
        </is>
      </c>
      <c r="C191" s="96" t="inlineStr">
        <is>
          <t>EXALT</t>
        </is>
      </c>
      <c r="D191" s="96" t="inlineStr">
        <is>
          <t>ESPINETORAM</t>
        </is>
      </c>
      <c r="E191" s="96" t="n">
        <v>120</v>
      </c>
      <c r="F191" s="4" t="inlineStr">
        <is>
          <t>KG</t>
        </is>
      </c>
      <c r="G191" s="90">
        <f>HYPERLINK("https://www.google.com/search?q=" &amp; C191 &amp; "+bula+agrofit+pdf", "📄 Ver bula")</f>
        <v/>
      </c>
      <c r="H191" s="9">
        <f>IFERROR(__xludf.DUMMYFUNCTION("IFERROR(VLOOKUP(C191,
IMPORTRANGE(""1wULbzX32WdYsx-lj2U3uUNBBe2INVIRDtcK0d-Dvl90"",
""26-27!C:K""),
8,
FALSE),
"""")"),0.15)</f>
        <v/>
      </c>
      <c r="I191" s="97" t="inlineStr">
        <is>
          <t>4X5</t>
        </is>
      </c>
      <c r="J191" s="9">
        <f>IFERROR(SUM(
IF('TL01'!$B$3=J$3,SUMIF('TL01'!$C$10:$C$224,$C191,'TL01'!$J$10:$J$224),0),
IF('TL01'!$B$229=J$3,SUMIF('TL01'!$C$238:$C$451,$C191,'TL01'!$J$238:$J$451),0),
IF('TL02'!$B$3=J$3,SUMIF('TL02'!$C$10:$C$224,$C191,'TL02'!$J$10:$J$224),0),
IF('TL02'!$B$229=J$3,SUMIF('TL02'!$C$238:$C$451,$C191,'TL02'!$J$238:$J$451),0),
IF('TL03'!$B$3=J$3,SUMIF('TL03'!$C$10:$C$224,$C191,'TL03'!$J$10:$J$224),0),
IF('TL03'!$B$229=J$3,SUMIF('TL03'!$C$238:$C$451,$C191,'TL03'!$J$238:$J$451),0),
IF('TL04'!$B$3=J$3,SUMIF('TL04'!$C$10:$C$224,$C191,'TL04'!$J$10:$J$224),0),
IF('TL04'!$B$229=J$3,SUMIF('TL04'!$C$238:$C$451,$C191,'TL04'!$J$238:$J$451),0),
IF('TL05'!$B$3=J$3,SUMIF('TL05'!$C$10:$C$224,$C191,'TL05'!$J$10:$J$224),0),
IF('TL05'!$B$229=J$3,SUMIF('TL05'!$C$238:$C$451,$C191,'TL05'!$J$238:$J$451),0),
IF('TL06'!$B$3=J$3,SUMIF('TL06'!$C$10:$C$224,$C191,'TL06'!$J$10:$J$224),0),
IF('TL06'!$B$229=J$3,SUMIF('TL06'!$C$238:$C$451,$C191,'TL06'!$J$238:$J$451),0),
IF('TL07'!$B$3=J$3,SUMIF('TL07'!$C$10:$C$224,$C191,'TL07'!$J$10:$J$224),0),
IF('TL07'!$B$229=J$3,SUMIF('TL07'!$C$238:$C$451,$C191,'TL07'!$J$238:$J$451),0),
IF('TL08'!$B$3=J$3,SUMIF('TL08'!$C$10:$C$224,$C191,'TL08'!$J$10:$J$224),0),
IF('TL08'!$B$229=J$3,SUMIF('TL08'!$C$238:$C$451,$C191,'TL08'!$J$238:$J$451),0),
IF('TL09'!$B$3=J$3,SUMIF('TL09'!$C$10:$C$224,$C191,'TL09'!$J$10:$J$224),0),
IF('TL09'!$B$229=J$3,SUMIF('TL09'!$C$238:$C$451,$C191,'TL09'!$J$238:$J$451),0),
IF('TL10'!$B$3=J$3,SUMIF('TL10'!$C$10:$C$224,$C191,'TL10'!$J$10:$J$224),0),
IF('TL10'!$B$229=J$3,SUMIF('TL10'!$C$238:$C$451,$C191,'TL10'!$J$238:$J$451),0),
IF('TL11'!$B$3=J$3,SUMIF('TL11'!$C$10:$C$224,$C191,'TL11'!$J$10:$J$224),0),
IF('TL11'!$B$229=J$3,SUMIF('TL11'!$C$238:$C$451,$C191,'TL11'!$J$238:$J$451),0),
IF('TL12'!$B$3=J$3,SUMIF('TL12'!$C$10:$C$224,$C191,'TL12'!$J$10:$J$224),0),
IF('TL12'!$B$229=J$3,SUMIF('TL12'!$C$238:$C$451,$C191,'TL12'!$J$238:$J$451),0),
IF('TL13'!$B$3=J$3,SUMIF('TL13'!$C$10:$C$224,$C191,'TL13'!$J$10:$J$224),0),
IF('TL13'!$B$229=J$3,SUMIF('TL13'!$C$238:$C$451,$C191,'TL13'!$J$238:$J$451),0),
IF('TL14'!$B$3=J$3,SUMIF('TL14'!$C$10:$C$224,$C191,'TL14'!$J$10:$J$224),0),
IF('TL14'!$B$229=J$3,SUMIF('TL14'!$C$238:$C$451,$C191,'TL14'!$J$238:$J$451),0),
IF('TL15'!$B$3=J$3,SUMIF('TL15'!$C$10:$C$224,$C191,'TL15'!$J$10:$J$224),0),
IF('TL15'!$B$229=J$3,SUMIF('TL15'!$C$238:$C$451,$C191,'TL15'!$J$238:$J$451),0),
IF('TL16'!$B$3=J$3,SUMIF('TL16'!$C$10:$C$224,$C191,'TL16'!$J$10:$J$224),0),
IF('TL16'!$B$229=J$3,SUMIF('TL16'!$C$238:$C$451,$C191,'TL16'!$J$238:$J$451),0),
IF('TL17'!$B$3=J$3,SUMIF('TL17'!$C$10:$C$224,$C191,'TL17'!$J$10:$J$224),0),
IF('TL17'!$B$229=J$3,SUMIF('TL17'!$C$238:$C$451,$C191,'TL17'!$J$238:$J$451),0),
IF('TL18'!$B$3=J$3,SUMIF('TL18'!$C$10:$C$224,$C191,'TL18'!$J$10:$J$224),0),
IF('TL18'!$B$229=J$3,SUMIF('TL18'!$C$238:$C$451,$C191,'TL18'!$J$238:$J$451),0),
IF('TL19'!$B$3=J$3,SUMIF('TL19'!$C$10:$C$224,$C191,'TL19'!$J$10:$J$224),0),
IF('TL19'!$B$229=J$3,SUMIF('TL19'!$C$238:$C$451,$C191,'TL19'!$J$238:$J$451),0)
),0)</f>
        <v/>
      </c>
      <c r="K191" s="9">
        <f>IFERROR(SUM(
IF('TL01'!$B$3=K$3,SUMIF('TL01'!$C$10:$C$224,$C191,'TL01'!$J$10:$J$224),0),
IF('TL01'!$B$229=K$3,SUMIF('TL01'!$C$238:$C$451,$C191,'TL01'!$J$238:$J$451),0),
IF('TL02'!$B$3=K$3,SUMIF('TL02'!$C$10:$C$224,$C191,'TL02'!$J$10:$J$224),0),
IF('TL02'!$B$229=K$3,SUMIF('TL02'!$C$238:$C$451,$C191,'TL02'!$J$238:$J$451),0),
IF('TL03'!$B$3=K$3,SUMIF('TL03'!$C$10:$C$224,$C191,'TL03'!$J$10:$J$224),0),
IF('TL03'!$B$229=K$3,SUMIF('TL03'!$C$238:$C$451,$C191,'TL03'!$J$238:$J$451),0),
IF('TL04'!$B$3=K$3,SUMIF('TL04'!$C$10:$C$224,$C191,'TL04'!$J$10:$J$224),0),
IF('TL04'!$B$229=K$3,SUMIF('TL04'!$C$238:$C$451,$C191,'TL04'!$J$238:$J$451),0),
IF('TL05'!$B$3=K$3,SUMIF('TL05'!$C$10:$C$224,$C191,'TL05'!$J$10:$J$224),0),
IF('TL05'!$B$229=K$3,SUMIF('TL05'!$C$238:$C$451,$C191,'TL05'!$J$238:$J$451),0),
IF('TL06'!$B$3=K$3,SUMIF('TL06'!$C$10:$C$224,$C191,'TL06'!$J$10:$J$224),0),
IF('TL06'!$B$229=K$3,SUMIF('TL06'!$C$238:$C$451,$C191,'TL06'!$J$238:$J$451),0),
IF('TL07'!$B$3=K$3,SUMIF('TL07'!$C$10:$C$224,$C191,'TL07'!$J$10:$J$224),0),
IF('TL07'!$B$229=K$3,SUMIF('TL07'!$C$238:$C$451,$C191,'TL07'!$J$238:$J$451),0),
IF('TL08'!$B$3=K$3,SUMIF('TL08'!$C$10:$C$224,$C191,'TL08'!$J$10:$J$224),0),
IF('TL08'!$B$229=K$3,SUMIF('TL08'!$C$238:$C$451,$C191,'TL08'!$J$238:$J$451),0),
IF('TL09'!$B$3=K$3,SUMIF('TL09'!$C$10:$C$224,$C191,'TL09'!$J$10:$J$224),0),
IF('TL09'!$B$229=K$3,SUMIF('TL09'!$C$238:$C$451,$C191,'TL09'!$J$238:$J$451),0),
IF('TL10'!$B$3=K$3,SUMIF('TL10'!$C$10:$C$224,$C191,'TL10'!$J$10:$J$224),0),
IF('TL10'!$B$229=K$3,SUMIF('TL10'!$C$238:$C$451,$C191,'TL10'!$J$238:$J$451),0),
IF('TL11'!$B$3=K$3,SUMIF('TL11'!$C$10:$C$224,$C191,'TL11'!$J$10:$J$224),0),
IF('TL11'!$B$229=K$3,SUMIF('TL11'!$C$238:$C$451,$C191,'TL11'!$J$238:$J$451),0),
IF('TL12'!$B$3=K$3,SUMIF('TL12'!$C$10:$C$224,$C191,'TL12'!$J$10:$J$224),0),
IF('TL12'!$B$229=K$3,SUMIF('TL12'!$C$238:$C$451,$C191,'TL12'!$J$238:$J$451),0),
IF('TL13'!$B$3=K$3,SUMIF('TL13'!$C$10:$C$224,$C191,'TL13'!$J$10:$J$224),0),
IF('TL13'!$B$229=K$3,SUMIF('TL13'!$C$238:$C$451,$C191,'TL13'!$J$238:$J$451),0),
IF('TL14'!$B$3=K$3,SUMIF('TL14'!$C$10:$C$224,$C191,'TL14'!$J$10:$J$224),0),
IF('TL14'!$B$229=K$3,SUMIF('TL14'!$C$238:$C$451,$C191,'TL14'!$J$238:$J$451),0),
IF('TL15'!$B$3=K$3,SUMIF('TL15'!$C$10:$C$224,$C191,'TL15'!$J$10:$J$224),0),
IF('TL15'!$B$229=K$3,SUMIF('TL15'!$C$238:$C$451,$C191,'TL15'!$J$238:$J$451),0),
IF('TL16'!$B$3=K$3,SUMIF('TL16'!$C$10:$C$224,$C191,'TL16'!$J$10:$J$224),0),
IF('TL16'!$B$229=K$3,SUMIF('TL16'!$C$238:$C$451,$C191,'TL16'!$J$238:$J$451),0),
IF('TL17'!$B$3=K$3,SUMIF('TL17'!$C$10:$C$224,$C191,'TL17'!$J$10:$J$224),0),
IF('TL17'!$B$229=K$3,SUMIF('TL17'!$C$238:$C$451,$C191,'TL17'!$J$238:$J$451),0),
IF('TL18'!$B$3=K$3,SUMIF('TL18'!$C$10:$C$224,$C191,'TL18'!$J$10:$J$224),0),
IF('TL18'!$B$229=K$3,SUMIF('TL18'!$C$238:$C$451,$C191,'TL18'!$J$238:$J$451),0),
IF('TL19'!$B$3=K$3,SUMIF('TL19'!$C$10:$C$224,$C191,'TL19'!$J$10:$J$224),0),
IF('TL19'!$B$229=K$3,SUMIF('TL19'!$C$238:$C$451,$C191,'TL19'!$J$238:$J$451),0)
),0)</f>
        <v/>
      </c>
      <c r="L191" s="9">
        <f>IFERROR(SUM(
IF('TL01'!$B$3=L$3,SUMIF('TL01'!$C$10:$C$224,$C191,'TL01'!$J$10:$J$224),0),
IF('TL01'!$B$229=L$3,SUMIF('TL01'!$C$238:$C$451,$C191,'TL01'!$J$238:$J$451),0),
IF('TL02'!$B$3=L$3,SUMIF('TL02'!$C$10:$C$224,$C191,'TL02'!$J$10:$J$224),0),
IF('TL02'!$B$229=L$3,SUMIF('TL02'!$C$238:$C$451,$C191,'TL02'!$J$238:$J$451),0),
IF('TL03'!$B$3=L$3,SUMIF('TL03'!$C$10:$C$224,$C191,'TL03'!$J$10:$J$224),0),
IF('TL03'!$B$229=L$3,SUMIF('TL03'!$C$238:$C$451,$C191,'TL03'!$J$238:$J$451),0),
IF('TL04'!$B$3=L$3,SUMIF('TL04'!$C$10:$C$224,$C191,'TL04'!$J$10:$J$224),0),
IF('TL04'!$B$229=L$3,SUMIF('TL04'!$C$238:$C$451,$C191,'TL04'!$J$238:$J$451),0),
IF('TL05'!$B$3=L$3,SUMIF('TL05'!$C$10:$C$224,$C191,'TL05'!$J$10:$J$224),0),
IF('TL05'!$B$229=L$3,SUMIF('TL05'!$C$238:$C$451,$C191,'TL05'!$J$238:$J$451),0),
IF('TL06'!$B$3=L$3,SUMIF('TL06'!$C$10:$C$224,$C191,'TL06'!$J$10:$J$224),0),
IF('TL06'!$B$229=L$3,SUMIF('TL06'!$C$238:$C$451,$C191,'TL06'!$J$238:$J$451),0),
IF('TL07'!$B$3=L$3,SUMIF('TL07'!$C$10:$C$224,$C191,'TL07'!$J$10:$J$224),0),
IF('TL07'!$B$229=L$3,SUMIF('TL07'!$C$238:$C$451,$C191,'TL07'!$J$238:$J$451),0),
IF('TL08'!$B$3=L$3,SUMIF('TL08'!$C$10:$C$224,$C191,'TL08'!$J$10:$J$224),0),
IF('TL08'!$B$229=L$3,SUMIF('TL08'!$C$238:$C$451,$C191,'TL08'!$J$238:$J$451),0),
IF('TL09'!$B$3=L$3,SUMIF('TL09'!$C$10:$C$224,$C191,'TL09'!$J$10:$J$224),0),
IF('TL09'!$B$229=L$3,SUMIF('TL09'!$C$238:$C$451,$C191,'TL09'!$J$238:$J$451),0),
IF('TL10'!$B$3=L$3,SUMIF('TL10'!$C$10:$C$224,$C191,'TL10'!$J$10:$J$224),0),
IF('TL10'!$B$229=L$3,SUMIF('TL10'!$C$238:$C$451,$C191,'TL10'!$J$238:$J$451),0),
IF('TL11'!$B$3=L$3,SUMIF('TL11'!$C$10:$C$224,$C191,'TL11'!$J$10:$J$224),0),
IF('TL11'!$B$229=L$3,SUMIF('TL11'!$C$238:$C$451,$C191,'TL11'!$J$238:$J$451),0),
IF('TL12'!$B$3=L$3,SUMIF('TL12'!$C$10:$C$224,$C191,'TL12'!$J$10:$J$224),0),
IF('TL12'!$B$229=L$3,SUMIF('TL12'!$C$238:$C$451,$C191,'TL12'!$J$238:$J$451),0),
IF('TL13'!$B$3=L$3,SUMIF('TL13'!$C$10:$C$224,$C191,'TL13'!$J$10:$J$224),0),
IF('TL13'!$B$229=L$3,SUMIF('TL13'!$C$238:$C$451,$C191,'TL13'!$J$238:$J$451),0),
IF('TL14'!$B$3=L$3,SUMIF('TL14'!$C$10:$C$224,$C191,'TL14'!$J$10:$J$224),0),
IF('TL14'!$B$229=L$3,SUMIF('TL14'!$C$238:$C$451,$C191,'TL14'!$J$238:$J$451),0),
IF('TL15'!$B$3=L$3,SUMIF('TL15'!$C$10:$C$224,$C191,'TL15'!$J$10:$J$224),0),
IF('TL15'!$B$229=L$3,SUMIF('TL15'!$C$238:$C$451,$C191,'TL15'!$J$238:$J$451),0),
IF('TL16'!$B$3=L$3,SUMIF('TL16'!$C$10:$C$224,$C191,'TL16'!$J$10:$J$224),0),
IF('TL16'!$B$229=L$3,SUMIF('TL16'!$C$238:$C$451,$C191,'TL16'!$J$238:$J$451),0),
IF('TL17'!$B$3=L$3,SUMIF('TL17'!$C$10:$C$224,$C191,'TL17'!$J$10:$J$224),0),
IF('TL17'!$B$229=L$3,SUMIF('TL17'!$C$238:$C$451,$C191,'TL17'!$J$238:$J$451),0),
IF('TL18'!$B$3=L$3,SUMIF('TL18'!$C$10:$C$224,$C191,'TL18'!$J$10:$J$224),0),
IF('TL18'!$B$229=L$3,SUMIF('TL18'!$C$238:$C$451,$C191,'TL18'!$J$238:$J$451),0),
IF('TL19'!$B$3=L$3,SUMIF('TL19'!$C$10:$C$224,$C191,'TL19'!$J$10:$J$224),0),
IF('TL19'!$B$229=L$3,SUMIF('TL19'!$C$238:$C$451,$C191,'TL19'!$J$238:$J$451),0)
),0)</f>
        <v/>
      </c>
      <c r="M191" s="9">
        <f>IFERROR(SUM(
IF('TL01'!$B$3=M$3,SUMIF('TL01'!$C$10:$C$224,$C191,'TL01'!$J$10:$J$224),0),
IF('TL01'!$B$229=M$3,SUMIF('TL01'!$C$238:$C$451,$C191,'TL01'!$J$238:$J$451),0),
IF('TL02'!$B$3=M$3,SUMIF('TL02'!$C$10:$C$224,$C191,'TL02'!$J$10:$J$224),0),
IF('TL02'!$B$229=M$3,SUMIF('TL02'!$C$238:$C$451,$C191,'TL02'!$J$238:$J$451),0),
IF('TL03'!$B$3=M$3,SUMIF('TL03'!$C$10:$C$224,$C191,'TL03'!$J$10:$J$224),0),
IF('TL03'!$B$229=M$3,SUMIF('TL03'!$C$238:$C$451,$C191,'TL03'!$J$238:$J$451),0),
IF('TL04'!$B$3=M$3,SUMIF('TL04'!$C$10:$C$224,$C191,'TL04'!$J$10:$J$224),0),
IF('TL04'!$B$229=M$3,SUMIF('TL04'!$C$238:$C$451,$C191,'TL04'!$J$238:$J$451),0),
IF('TL05'!$B$3=M$3,SUMIF('TL05'!$C$10:$C$224,$C191,'TL05'!$J$10:$J$224),0),
IF('TL05'!$B$229=M$3,SUMIF('TL05'!$C$238:$C$451,$C191,'TL05'!$J$238:$J$451),0),
IF('TL06'!$B$3=M$3,SUMIF('TL06'!$C$10:$C$224,$C191,'TL06'!$J$10:$J$224),0),
IF('TL06'!$B$229=M$3,SUMIF('TL06'!$C$238:$C$451,$C191,'TL06'!$J$238:$J$451),0),
IF('TL07'!$B$3=M$3,SUMIF('TL07'!$C$10:$C$224,$C191,'TL07'!$J$10:$J$224),0),
IF('TL07'!$B$229=M$3,SUMIF('TL07'!$C$238:$C$451,$C191,'TL07'!$J$238:$J$451),0),
IF('TL08'!$B$3=M$3,SUMIF('TL08'!$C$10:$C$224,$C191,'TL08'!$J$10:$J$224),0),
IF('TL08'!$B$229=M$3,SUMIF('TL08'!$C$238:$C$451,$C191,'TL08'!$J$238:$J$451),0),
IF('TL09'!$B$3=M$3,SUMIF('TL09'!$C$10:$C$224,$C191,'TL09'!$J$10:$J$224),0),
IF('TL09'!$B$229=M$3,SUMIF('TL09'!$C$238:$C$451,$C191,'TL09'!$J$238:$J$451),0),
IF('TL10'!$B$3=M$3,SUMIF('TL10'!$C$10:$C$224,$C191,'TL10'!$J$10:$J$224),0),
IF('TL10'!$B$229=M$3,SUMIF('TL10'!$C$238:$C$451,$C191,'TL10'!$J$238:$J$451),0),
IF('TL11'!$B$3=M$3,SUMIF('TL11'!$C$10:$C$224,$C191,'TL11'!$J$10:$J$224),0),
IF('TL11'!$B$229=M$3,SUMIF('TL11'!$C$238:$C$451,$C191,'TL11'!$J$238:$J$451),0),
IF('TL12'!$B$3=M$3,SUMIF('TL12'!$C$10:$C$224,$C191,'TL12'!$J$10:$J$224),0),
IF('TL12'!$B$229=M$3,SUMIF('TL12'!$C$238:$C$451,$C191,'TL12'!$J$238:$J$451),0),
IF('TL13'!$B$3=M$3,SUMIF('TL13'!$C$10:$C$224,$C191,'TL13'!$J$10:$J$224),0),
IF('TL13'!$B$229=M$3,SUMIF('TL13'!$C$238:$C$451,$C191,'TL13'!$J$238:$J$451),0),
IF('TL14'!$B$3=M$3,SUMIF('TL14'!$C$10:$C$224,$C191,'TL14'!$J$10:$J$224),0),
IF('TL14'!$B$229=M$3,SUMIF('TL14'!$C$238:$C$451,$C191,'TL14'!$J$238:$J$451),0),
IF('TL15'!$B$3=M$3,SUMIF('TL15'!$C$10:$C$224,$C191,'TL15'!$J$10:$J$224),0),
IF('TL15'!$B$229=M$3,SUMIF('TL15'!$C$238:$C$451,$C191,'TL15'!$J$238:$J$451),0),
IF('TL16'!$B$3=M$3,SUMIF('TL16'!$C$10:$C$224,$C191,'TL16'!$J$10:$J$224),0),
IF('TL16'!$B$229=M$3,SUMIF('TL16'!$C$238:$C$451,$C191,'TL16'!$J$238:$J$451),0),
IF('TL17'!$B$3=M$3,SUMIF('TL17'!$C$10:$C$224,$C191,'TL17'!$J$10:$J$224),0),
IF('TL17'!$B$229=M$3,SUMIF('TL17'!$C$238:$C$451,$C191,'TL17'!$J$238:$J$451),0),
IF('TL18'!$B$3=M$3,SUMIF('TL18'!$C$10:$C$224,$C191,'TL18'!$J$10:$J$224),0),
IF('TL18'!$B$229=M$3,SUMIF('TL18'!$C$238:$C$451,$C191,'TL18'!$J$238:$J$451),0),
IF('TL19'!$B$3=M$3,SUMIF('TL19'!$C$10:$C$224,$C191,'TL19'!$J$10:$J$224),0),
IF('TL19'!$B$229=M$3,SUMIF('TL19'!$C$238:$C$451,$C191,'TL19'!$J$238:$J$451),0)
),0)</f>
        <v/>
      </c>
      <c r="N191" s="9">
        <f>IFERROR(SUM(
IF('TL01'!$B$3=N$3,SUMIF('TL01'!$C$10:$C$224,$C191,'TL01'!$J$10:$J$224),0),
IF('TL01'!$B$229=N$3,SUMIF('TL01'!$C$238:$C$451,$C191,'TL01'!$J$238:$J$451),0),
IF('TL02'!$B$3=N$3,SUMIF('TL02'!$C$10:$C$224,$C191,'TL02'!$J$10:$J$224),0),
IF('TL02'!$B$229=N$3,SUMIF('TL02'!$C$238:$C$451,$C191,'TL02'!$J$238:$J$451),0),
IF('TL03'!$B$3=N$3,SUMIF('TL03'!$C$10:$C$224,$C191,'TL03'!$J$10:$J$224),0),
IF('TL03'!$B$229=N$3,SUMIF('TL03'!$C$238:$C$451,$C191,'TL03'!$J$238:$J$451),0),
IF('TL04'!$B$3=N$3,SUMIF('TL04'!$C$10:$C$224,$C191,'TL04'!$J$10:$J$224),0),
IF('TL04'!$B$229=N$3,SUMIF('TL04'!$C$238:$C$451,$C191,'TL04'!$J$238:$J$451),0),
IF('TL05'!$B$3=N$3,SUMIF('TL05'!$C$10:$C$224,$C191,'TL05'!$J$10:$J$224),0),
IF('TL05'!$B$229=N$3,SUMIF('TL05'!$C$238:$C$451,$C191,'TL05'!$J$238:$J$451),0),
IF('TL06'!$B$3=N$3,SUMIF('TL06'!$C$10:$C$224,$C191,'TL06'!$J$10:$J$224),0),
IF('TL06'!$B$229=N$3,SUMIF('TL06'!$C$238:$C$451,$C191,'TL06'!$J$238:$J$451),0),
IF('TL07'!$B$3=N$3,SUMIF('TL07'!$C$10:$C$224,$C191,'TL07'!$J$10:$J$224),0),
IF('TL07'!$B$229=N$3,SUMIF('TL07'!$C$238:$C$451,$C191,'TL07'!$J$238:$J$451),0),
IF('TL08'!$B$3=N$3,SUMIF('TL08'!$C$10:$C$224,$C191,'TL08'!$J$10:$J$224),0),
IF('TL08'!$B$229=N$3,SUMIF('TL08'!$C$238:$C$451,$C191,'TL08'!$J$238:$J$451),0),
IF('TL09'!$B$3=N$3,SUMIF('TL09'!$C$10:$C$224,$C191,'TL09'!$J$10:$J$224),0),
IF('TL09'!$B$229=N$3,SUMIF('TL09'!$C$238:$C$451,$C191,'TL09'!$J$238:$J$451),0),
IF('TL10'!$B$3=N$3,SUMIF('TL10'!$C$10:$C$224,$C191,'TL10'!$J$10:$J$224),0),
IF('TL10'!$B$229=N$3,SUMIF('TL10'!$C$238:$C$451,$C191,'TL10'!$J$238:$J$451),0),
IF('TL11'!$B$3=N$3,SUMIF('TL11'!$C$10:$C$224,$C191,'TL11'!$J$10:$J$224),0),
IF('TL11'!$B$229=N$3,SUMIF('TL11'!$C$238:$C$451,$C191,'TL11'!$J$238:$J$451),0),
IF('TL12'!$B$3=N$3,SUMIF('TL12'!$C$10:$C$224,$C191,'TL12'!$J$10:$J$224),0),
IF('TL12'!$B$229=N$3,SUMIF('TL12'!$C$238:$C$451,$C191,'TL12'!$J$238:$J$451),0),
IF('TL13'!$B$3=N$3,SUMIF('TL13'!$C$10:$C$224,$C191,'TL13'!$J$10:$J$224),0),
IF('TL13'!$B$229=N$3,SUMIF('TL13'!$C$238:$C$451,$C191,'TL13'!$J$238:$J$451),0),
IF('TL14'!$B$3=N$3,SUMIF('TL14'!$C$10:$C$224,$C191,'TL14'!$J$10:$J$224),0),
IF('TL14'!$B$229=N$3,SUMIF('TL14'!$C$238:$C$451,$C191,'TL14'!$J$238:$J$451),0),
IF('TL15'!$B$3=N$3,SUMIF('TL15'!$C$10:$C$224,$C191,'TL15'!$J$10:$J$224),0),
IF('TL15'!$B$229=N$3,SUMIF('TL15'!$C$238:$C$451,$C191,'TL15'!$J$238:$J$451),0),
IF('TL16'!$B$3=N$3,SUMIF('TL16'!$C$10:$C$224,$C191,'TL16'!$J$10:$J$224),0),
IF('TL16'!$B$229=N$3,SUMIF('TL16'!$C$238:$C$451,$C191,'TL16'!$J$238:$J$451),0),
IF('TL17'!$B$3=N$3,SUMIF('TL17'!$C$10:$C$224,$C191,'TL17'!$J$10:$J$224),0),
IF('TL17'!$B$229=N$3,SUMIF('TL17'!$C$238:$C$451,$C191,'TL17'!$J$238:$J$451),0),
IF('TL18'!$B$3=N$3,SUMIF('TL18'!$C$10:$C$224,$C191,'TL18'!$J$10:$J$224),0),
IF('TL18'!$B$229=N$3,SUMIF('TL18'!$C$238:$C$451,$C191,'TL18'!$J$238:$J$451),0),
IF('TL19'!$B$3=N$3,SUMIF('TL19'!$C$10:$C$224,$C191,'TL19'!$J$10:$J$224),0),
IF('TL19'!$B$229=N$3,SUMIF('TL19'!$C$238:$C$451,$C191,'TL19'!$J$238:$J$451),0)
),0)</f>
        <v/>
      </c>
      <c r="O191" s="9">
        <f>IFERROR(SUM(
IF('TL01'!$B$3=O$3,SUMIF('TL01'!$C$10:$C$224,$C191,'TL01'!$J$10:$J$224),0),
IF('TL01'!$B$229=O$3,SUMIF('TL01'!$C$238:$C$451,$C191,'TL01'!$J$238:$J$451),0),
IF('TL02'!$B$3=O$3,SUMIF('TL02'!$C$10:$C$224,$C191,'TL02'!$J$10:$J$224),0),
IF('TL02'!$B$229=O$3,SUMIF('TL02'!$C$238:$C$451,$C191,'TL02'!$J$238:$J$451),0),
IF('TL03'!$B$3=O$3,SUMIF('TL03'!$C$10:$C$224,$C191,'TL03'!$J$10:$J$224),0),
IF('TL03'!$B$229=O$3,SUMIF('TL03'!$C$238:$C$451,$C191,'TL03'!$J$238:$J$451),0),
IF('TL04'!$B$3=O$3,SUMIF('TL04'!$C$10:$C$224,$C191,'TL04'!$J$10:$J$224),0),
IF('TL04'!$B$229=O$3,SUMIF('TL04'!$C$238:$C$451,$C191,'TL04'!$J$238:$J$451),0),
IF('TL05'!$B$3=O$3,SUMIF('TL05'!$C$10:$C$224,$C191,'TL05'!$J$10:$J$224),0),
IF('TL05'!$B$229=O$3,SUMIF('TL05'!$C$238:$C$451,$C191,'TL05'!$J$238:$J$451),0),
IF('TL06'!$B$3=O$3,SUMIF('TL06'!$C$10:$C$224,$C191,'TL06'!$J$10:$J$224),0),
IF('TL06'!$B$229=O$3,SUMIF('TL06'!$C$238:$C$451,$C191,'TL06'!$J$238:$J$451),0),
IF('TL07'!$B$3=O$3,SUMIF('TL07'!$C$10:$C$224,$C191,'TL07'!$J$10:$J$224),0),
IF('TL07'!$B$229=O$3,SUMIF('TL07'!$C$238:$C$451,$C191,'TL07'!$J$238:$J$451),0),
IF('TL08'!$B$3=O$3,SUMIF('TL08'!$C$10:$C$224,$C191,'TL08'!$J$10:$J$224),0),
IF('TL08'!$B$229=O$3,SUMIF('TL08'!$C$238:$C$451,$C191,'TL08'!$J$238:$J$451),0),
IF('TL09'!$B$3=O$3,SUMIF('TL09'!$C$10:$C$224,$C191,'TL09'!$J$10:$J$224),0),
IF('TL09'!$B$229=O$3,SUMIF('TL09'!$C$238:$C$451,$C191,'TL09'!$J$238:$J$451),0),
IF('TL10'!$B$3=O$3,SUMIF('TL10'!$C$10:$C$224,$C191,'TL10'!$J$10:$J$224),0),
IF('TL10'!$B$229=O$3,SUMIF('TL10'!$C$238:$C$451,$C191,'TL10'!$J$238:$J$451),0),
IF('TL11'!$B$3=O$3,SUMIF('TL11'!$C$10:$C$224,$C191,'TL11'!$J$10:$J$224),0),
IF('TL11'!$B$229=O$3,SUMIF('TL11'!$C$238:$C$451,$C191,'TL11'!$J$238:$J$451),0),
IF('TL12'!$B$3=O$3,SUMIF('TL12'!$C$10:$C$224,$C191,'TL12'!$J$10:$J$224),0),
IF('TL12'!$B$229=O$3,SUMIF('TL12'!$C$238:$C$451,$C191,'TL12'!$J$238:$J$451),0),
IF('TL13'!$B$3=O$3,SUMIF('TL13'!$C$10:$C$224,$C191,'TL13'!$J$10:$J$224),0),
IF('TL13'!$B$229=O$3,SUMIF('TL13'!$C$238:$C$451,$C191,'TL13'!$J$238:$J$451),0),
IF('TL14'!$B$3=O$3,SUMIF('TL14'!$C$10:$C$224,$C191,'TL14'!$J$10:$J$224),0),
IF('TL14'!$B$229=O$3,SUMIF('TL14'!$C$238:$C$451,$C191,'TL14'!$J$238:$J$451),0),
IF('TL15'!$B$3=O$3,SUMIF('TL15'!$C$10:$C$224,$C191,'TL15'!$J$10:$J$224),0),
IF('TL15'!$B$229=O$3,SUMIF('TL15'!$C$238:$C$451,$C191,'TL15'!$J$238:$J$451),0),
IF('TL16'!$B$3=O$3,SUMIF('TL16'!$C$10:$C$224,$C191,'TL16'!$J$10:$J$224),0),
IF('TL16'!$B$229=O$3,SUMIF('TL16'!$C$238:$C$451,$C191,'TL16'!$J$238:$J$451),0),
IF('TL17'!$B$3=O$3,SUMIF('TL17'!$C$10:$C$224,$C191,'TL17'!$J$10:$J$224),0),
IF('TL17'!$B$229=O$3,SUMIF('TL17'!$C$238:$C$451,$C191,'TL17'!$J$238:$J$451),0),
IF('TL18'!$B$3=O$3,SUMIF('TL18'!$C$10:$C$224,$C191,'TL18'!$J$10:$J$224),0),
IF('TL18'!$B$229=O$3,SUMIF('TL18'!$C$238:$C$451,$C191,'TL18'!$J$238:$J$451),0),
IF('TL19'!$B$3=O$3,SUMIF('TL19'!$C$10:$C$224,$C191,'TL19'!$J$10:$J$224),0),
IF('TL19'!$B$229=O$3,SUMIF('TL19'!$C$238:$C$451,$C191,'TL19'!$J$238:$J$451),0)
),0)</f>
        <v/>
      </c>
      <c r="P191" s="9">
        <f>IFERROR(SUM(
IF('TL01'!$B$3=P$3,SUMIF('TL01'!$C$10:$C$224,$C191,'TL01'!$J$10:$J$224),0),
IF('TL01'!$B$229=P$3,SUMIF('TL01'!$C$238:$C$451,$C191,'TL01'!$J$238:$J$451),0),
IF('TL02'!$B$3=P$3,SUMIF('TL02'!$C$10:$C$224,$C191,'TL02'!$J$10:$J$224),0),
IF('TL02'!$B$229=P$3,SUMIF('TL02'!$C$238:$C$451,$C191,'TL02'!$J$238:$J$451),0),
IF('TL03'!$B$3=P$3,SUMIF('TL03'!$C$10:$C$224,$C191,'TL03'!$J$10:$J$224),0),
IF('TL03'!$B$229=P$3,SUMIF('TL03'!$C$238:$C$451,$C191,'TL03'!$J$238:$J$451),0),
IF('TL04'!$B$3=P$3,SUMIF('TL04'!$C$10:$C$224,$C191,'TL04'!$J$10:$J$224),0),
IF('TL04'!$B$229=P$3,SUMIF('TL04'!$C$238:$C$451,$C191,'TL04'!$J$238:$J$451),0),
IF('TL05'!$B$3=P$3,SUMIF('TL05'!$C$10:$C$224,$C191,'TL05'!$J$10:$J$224),0),
IF('TL05'!$B$229=P$3,SUMIF('TL05'!$C$238:$C$451,$C191,'TL05'!$J$238:$J$451),0),
IF('TL06'!$B$3=P$3,SUMIF('TL06'!$C$10:$C$224,$C191,'TL06'!$J$10:$J$224),0),
IF('TL06'!$B$229=P$3,SUMIF('TL06'!$C$238:$C$451,$C191,'TL06'!$J$238:$J$451),0),
IF('TL07'!$B$3=P$3,SUMIF('TL07'!$C$10:$C$224,$C191,'TL07'!$J$10:$J$224),0),
IF('TL07'!$B$229=P$3,SUMIF('TL07'!$C$238:$C$451,$C191,'TL07'!$J$238:$J$451),0),
IF('TL08'!$B$3=P$3,SUMIF('TL08'!$C$10:$C$224,$C191,'TL08'!$J$10:$J$224),0),
IF('TL08'!$B$229=P$3,SUMIF('TL08'!$C$238:$C$451,$C191,'TL08'!$J$238:$J$451),0),
IF('TL09'!$B$3=P$3,SUMIF('TL09'!$C$10:$C$224,$C191,'TL09'!$J$10:$J$224),0),
IF('TL09'!$B$229=P$3,SUMIF('TL09'!$C$238:$C$451,$C191,'TL09'!$J$238:$J$451),0),
IF('TL10'!$B$3=P$3,SUMIF('TL10'!$C$10:$C$224,$C191,'TL10'!$J$10:$J$224),0),
IF('TL10'!$B$229=P$3,SUMIF('TL10'!$C$238:$C$451,$C191,'TL10'!$J$238:$J$451),0),
IF('TL11'!$B$3=P$3,SUMIF('TL11'!$C$10:$C$224,$C191,'TL11'!$J$10:$J$224),0),
IF('TL11'!$B$229=P$3,SUMIF('TL11'!$C$238:$C$451,$C191,'TL11'!$J$238:$J$451),0),
IF('TL12'!$B$3=P$3,SUMIF('TL12'!$C$10:$C$224,$C191,'TL12'!$J$10:$J$224),0),
IF('TL12'!$B$229=P$3,SUMIF('TL12'!$C$238:$C$451,$C191,'TL12'!$J$238:$J$451),0),
IF('TL13'!$B$3=P$3,SUMIF('TL13'!$C$10:$C$224,$C191,'TL13'!$J$10:$J$224),0),
IF('TL13'!$B$229=P$3,SUMIF('TL13'!$C$238:$C$451,$C191,'TL13'!$J$238:$J$451),0),
IF('TL14'!$B$3=P$3,SUMIF('TL14'!$C$10:$C$224,$C191,'TL14'!$J$10:$J$224),0),
IF('TL14'!$B$229=P$3,SUMIF('TL14'!$C$238:$C$451,$C191,'TL14'!$J$238:$J$451),0),
IF('TL15'!$B$3=P$3,SUMIF('TL15'!$C$10:$C$224,$C191,'TL15'!$J$10:$J$224),0),
IF('TL15'!$B$229=P$3,SUMIF('TL15'!$C$238:$C$451,$C191,'TL15'!$J$238:$J$451),0),
IF('TL16'!$B$3=P$3,SUMIF('TL16'!$C$10:$C$224,$C191,'TL16'!$J$10:$J$224),0),
IF('TL16'!$B$229=P$3,SUMIF('TL16'!$C$238:$C$451,$C191,'TL16'!$J$238:$J$451),0),
IF('TL17'!$B$3=P$3,SUMIF('TL17'!$C$10:$C$224,$C191,'TL17'!$J$10:$J$224),0),
IF('TL17'!$B$229=P$3,SUMIF('TL17'!$C$238:$C$451,$C191,'TL17'!$J$238:$J$451),0),
IF('TL18'!$B$3=P$3,SUMIF('TL18'!$C$10:$C$224,$C191,'TL18'!$J$10:$J$224),0),
IF('TL18'!$B$229=P$3,SUMIF('TL18'!$C$238:$C$451,$C191,'TL18'!$J$238:$J$451),0),
IF('TL19'!$B$3=P$3,SUMIF('TL19'!$C$10:$C$224,$C191,'TL19'!$J$10:$J$224),0),
IF('TL19'!$B$229=P$3,SUMIF('TL19'!$C$238:$C$451,$C191,'TL19'!$J$238:$J$451),0)
),0)</f>
        <v/>
      </c>
      <c r="Q191" s="9">
        <f>IFERROR(SUM(
IF('TL01'!$B$3=Q$3,SUMIF('TL01'!$C$10:$C$224,$C191,'TL01'!$J$10:$J$224),0),
IF('TL01'!$B$229=Q$3,SUMIF('TL01'!$C$238:$C$451,$C191,'TL01'!$J$238:$J$451),0),
IF('TL02'!$B$3=Q$3,SUMIF('TL02'!$C$10:$C$224,$C191,'TL02'!$J$10:$J$224),0),
IF('TL02'!$B$229=Q$3,SUMIF('TL02'!$C$238:$C$451,$C191,'TL02'!$J$238:$J$451),0),
IF('TL03'!$B$3=Q$3,SUMIF('TL03'!$C$10:$C$224,$C191,'TL03'!$J$10:$J$224),0),
IF('TL03'!$B$229=Q$3,SUMIF('TL03'!$C$238:$C$451,$C191,'TL03'!$J$238:$J$451),0),
IF('TL04'!$B$3=Q$3,SUMIF('TL04'!$C$10:$C$224,$C191,'TL04'!$J$10:$J$224),0),
IF('TL04'!$B$229=Q$3,SUMIF('TL04'!$C$238:$C$451,$C191,'TL04'!$J$238:$J$451),0),
IF('TL05'!$B$3=Q$3,SUMIF('TL05'!$C$10:$C$224,$C191,'TL05'!$J$10:$J$224),0),
IF('TL05'!$B$229=Q$3,SUMIF('TL05'!$C$238:$C$451,$C191,'TL05'!$J$238:$J$451),0),
IF('TL06'!$B$3=Q$3,SUMIF('TL06'!$C$10:$C$224,$C191,'TL06'!$J$10:$J$224),0),
IF('TL06'!$B$229=Q$3,SUMIF('TL06'!$C$238:$C$451,$C191,'TL06'!$J$238:$J$451),0),
IF('TL07'!$B$3=Q$3,SUMIF('TL07'!$C$10:$C$224,$C191,'TL07'!$J$10:$J$224),0),
IF('TL07'!$B$229=Q$3,SUMIF('TL07'!$C$238:$C$451,$C191,'TL07'!$J$238:$J$451),0),
IF('TL08'!$B$3=Q$3,SUMIF('TL08'!$C$10:$C$224,$C191,'TL08'!$J$10:$J$224),0),
IF('TL08'!$B$229=Q$3,SUMIF('TL08'!$C$238:$C$451,$C191,'TL08'!$J$238:$J$451),0),
IF('TL09'!$B$3=Q$3,SUMIF('TL09'!$C$10:$C$224,$C191,'TL09'!$J$10:$J$224),0),
IF('TL09'!$B$229=Q$3,SUMIF('TL09'!$C$238:$C$451,$C191,'TL09'!$J$238:$J$451),0),
IF('TL10'!$B$3=Q$3,SUMIF('TL10'!$C$10:$C$224,$C191,'TL10'!$J$10:$J$224),0),
IF('TL10'!$B$229=Q$3,SUMIF('TL10'!$C$238:$C$451,$C191,'TL10'!$J$238:$J$451),0),
IF('TL11'!$B$3=Q$3,SUMIF('TL11'!$C$10:$C$224,$C191,'TL11'!$J$10:$J$224),0),
IF('TL11'!$B$229=Q$3,SUMIF('TL11'!$C$238:$C$451,$C191,'TL11'!$J$238:$J$451),0),
IF('TL12'!$B$3=Q$3,SUMIF('TL12'!$C$10:$C$224,$C191,'TL12'!$J$10:$J$224),0),
IF('TL12'!$B$229=Q$3,SUMIF('TL12'!$C$238:$C$451,$C191,'TL12'!$J$238:$J$451),0),
IF('TL13'!$B$3=Q$3,SUMIF('TL13'!$C$10:$C$224,$C191,'TL13'!$J$10:$J$224),0),
IF('TL13'!$B$229=Q$3,SUMIF('TL13'!$C$238:$C$451,$C191,'TL13'!$J$238:$J$451),0),
IF('TL14'!$B$3=Q$3,SUMIF('TL14'!$C$10:$C$224,$C191,'TL14'!$J$10:$J$224),0),
IF('TL14'!$B$229=Q$3,SUMIF('TL14'!$C$238:$C$451,$C191,'TL14'!$J$238:$J$451),0),
IF('TL15'!$B$3=Q$3,SUMIF('TL15'!$C$10:$C$224,$C191,'TL15'!$J$10:$J$224),0),
IF('TL15'!$B$229=Q$3,SUMIF('TL15'!$C$238:$C$451,$C191,'TL15'!$J$238:$J$451),0),
IF('TL16'!$B$3=Q$3,SUMIF('TL16'!$C$10:$C$224,$C191,'TL16'!$J$10:$J$224),0),
IF('TL16'!$B$229=Q$3,SUMIF('TL16'!$C$238:$C$451,$C191,'TL16'!$J$238:$J$451),0),
IF('TL17'!$B$3=Q$3,SUMIF('TL17'!$C$10:$C$224,$C191,'TL17'!$J$10:$J$224),0),
IF('TL17'!$B$229=Q$3,SUMIF('TL17'!$C$238:$C$451,$C191,'TL17'!$J$238:$J$451),0),
IF('TL18'!$B$3=Q$3,SUMIF('TL18'!$C$10:$C$224,$C191,'TL18'!$J$10:$J$224),0),
IF('TL18'!$B$229=Q$3,SUMIF('TL18'!$C$238:$C$451,$C191,'TL18'!$J$238:$J$451),0),
IF('TL19'!$B$3=Q$3,SUMIF('TL19'!$C$10:$C$224,$C191,'TL19'!$J$10:$J$224),0),
IF('TL19'!$B$229=Q$3,SUMIF('TL19'!$C$238:$C$451,$C191,'TL19'!$J$238:$J$451),0)
),0)</f>
        <v/>
      </c>
      <c r="R191" s="9">
        <f>IFERROR(
SUM(
SUMIF('TL01'!C:C,C191,'TL01'!J:J),
SUMIF('TL02'!C:C,C191,'TL02'!J:J),
SUMIF('TL03'!C:C,C191,'TL03'!J:J),
SUMIF('TL04'!C:C,C191,'TL04'!J:J),
SUMIF('TL05'!C:C,C191,'TL05'!J:J),
SUMIF('TL06'!C:C,C191,'TL06'!J:J),
SUMIF('TL07'!C:C,C191,'TL07'!J:J),
SUMIF('TL08'!C:C,C191,'TL08'!J:J),
SUMIF('TL09'!C:C,C191,'TL09'!J:J),
SUMIF('TL10'!C:C,C191,'TL10'!J:J),
SUMIF('TL11'!C:C,C191,'TL11'!J:J),
SUMIF('TL12'!C:C,C191,'TL12'!J:J),
SUMIF('TL13'!C:C,C191,'TL13'!J:J),
SUMIF('TL14'!C:C,C191,'TL14'!J:J),
SUMIF('TL15'!C:C,C191,'TL15'!J:J),
SUMIF('TL16'!C:C,C191,'TL16'!J:J),
SUMIF('TL17'!C:C,C191,'TL17'!J:J),
SUMIF('TL18'!C:C,C191,'TL18'!J:J),SUMIF('TL19'!C:C,C191,'TL19'!J:J))
,0)</f>
        <v/>
      </c>
      <c r="S191" s="17">
        <f>IFERROR(__xludf.DUMMYFUNCTION("IFERROR(VLOOKUP(C191,
IMPORTRANGE(""1wULbzX32WdYsx-lj2U3uUNBBe2INVIRDtcK0d-Dvl90"",
""26-27!C:G""),
5,
FALSE),
"""")"),510.11406)</f>
        <v/>
      </c>
      <c r="T191" s="9" t="n"/>
      <c r="U191" s="92">
        <f>MAX(0,R191-T191)</f>
        <v/>
      </c>
      <c r="V191" s="93">
        <f>U191*S191</f>
        <v/>
      </c>
    </row>
    <row r="192" hidden="1" ht="15.75" customHeight="1" s="297">
      <c r="A192" s="87" t="inlineStr">
        <is>
          <t>CORTEVA</t>
        </is>
      </c>
      <c r="B192" s="88" t="inlineStr">
        <is>
          <t>INSETICIDA</t>
        </is>
      </c>
      <c r="C192" s="89" t="inlineStr">
        <is>
          <t>EXPEDITION</t>
        </is>
      </c>
      <c r="D192" s="89" t="inlineStr">
        <is>
          <t>SULFOXAFLOR + LAMBDA-CIALOTRINA</t>
        </is>
      </c>
      <c r="E192" s="89" t="inlineStr">
        <is>
          <t>100 + 150</t>
        </is>
      </c>
      <c r="F192" s="4" t="inlineStr">
        <is>
          <t>KG</t>
        </is>
      </c>
      <c r="G192" s="90">
        <f>HYPERLINK("https://www.google.com/search?q=" &amp; C192 &amp; "+bula+agrofit+pdf", "📄 Ver bula")</f>
        <v/>
      </c>
      <c r="H192" s="9">
        <f>IFERROR(__xludf.DUMMYFUNCTION("IFERROR(VLOOKUP(C192,
IMPORTRANGE(""1wULbzX32WdYsx-lj2U3uUNBBe2INVIRDtcK0d-Dvl90"",
""26-27!C:K""),
8,
FALSE),
"""")"),0.3)</f>
        <v/>
      </c>
      <c r="I192" s="91" t="inlineStr">
        <is>
          <t>4X5 ou 1X10</t>
        </is>
      </c>
      <c r="J192" s="9">
        <f>IFERROR(SUM(
IF('TL01'!$B$3=J$3,SUMIF('TL01'!$C$10:$C$224,$C192,'TL01'!$J$10:$J$224),0),
IF('TL01'!$B$229=J$3,SUMIF('TL01'!$C$238:$C$451,$C192,'TL01'!$J$238:$J$451),0),
IF('TL02'!$B$3=J$3,SUMIF('TL02'!$C$10:$C$224,$C192,'TL02'!$J$10:$J$224),0),
IF('TL02'!$B$229=J$3,SUMIF('TL02'!$C$238:$C$451,$C192,'TL02'!$J$238:$J$451),0),
IF('TL03'!$B$3=J$3,SUMIF('TL03'!$C$10:$C$224,$C192,'TL03'!$J$10:$J$224),0),
IF('TL03'!$B$229=J$3,SUMIF('TL03'!$C$238:$C$451,$C192,'TL03'!$J$238:$J$451),0),
IF('TL04'!$B$3=J$3,SUMIF('TL04'!$C$10:$C$224,$C192,'TL04'!$J$10:$J$224),0),
IF('TL04'!$B$229=J$3,SUMIF('TL04'!$C$238:$C$451,$C192,'TL04'!$J$238:$J$451),0),
IF('TL05'!$B$3=J$3,SUMIF('TL05'!$C$10:$C$224,$C192,'TL05'!$J$10:$J$224),0),
IF('TL05'!$B$229=J$3,SUMIF('TL05'!$C$238:$C$451,$C192,'TL05'!$J$238:$J$451),0),
IF('TL06'!$B$3=J$3,SUMIF('TL06'!$C$10:$C$224,$C192,'TL06'!$J$10:$J$224),0),
IF('TL06'!$B$229=J$3,SUMIF('TL06'!$C$238:$C$451,$C192,'TL06'!$J$238:$J$451),0),
IF('TL07'!$B$3=J$3,SUMIF('TL07'!$C$10:$C$224,$C192,'TL07'!$J$10:$J$224),0),
IF('TL07'!$B$229=J$3,SUMIF('TL07'!$C$238:$C$451,$C192,'TL07'!$J$238:$J$451),0),
IF('TL08'!$B$3=J$3,SUMIF('TL08'!$C$10:$C$224,$C192,'TL08'!$J$10:$J$224),0),
IF('TL08'!$B$229=J$3,SUMIF('TL08'!$C$238:$C$451,$C192,'TL08'!$J$238:$J$451),0),
IF('TL09'!$B$3=J$3,SUMIF('TL09'!$C$10:$C$224,$C192,'TL09'!$J$10:$J$224),0),
IF('TL09'!$B$229=J$3,SUMIF('TL09'!$C$238:$C$451,$C192,'TL09'!$J$238:$J$451),0),
IF('TL10'!$B$3=J$3,SUMIF('TL10'!$C$10:$C$224,$C192,'TL10'!$J$10:$J$224),0),
IF('TL10'!$B$229=J$3,SUMIF('TL10'!$C$238:$C$451,$C192,'TL10'!$J$238:$J$451),0),
IF('TL11'!$B$3=J$3,SUMIF('TL11'!$C$10:$C$224,$C192,'TL11'!$J$10:$J$224),0),
IF('TL11'!$B$229=J$3,SUMIF('TL11'!$C$238:$C$451,$C192,'TL11'!$J$238:$J$451),0),
IF('TL12'!$B$3=J$3,SUMIF('TL12'!$C$10:$C$224,$C192,'TL12'!$J$10:$J$224),0),
IF('TL12'!$B$229=J$3,SUMIF('TL12'!$C$238:$C$451,$C192,'TL12'!$J$238:$J$451),0),
IF('TL13'!$B$3=J$3,SUMIF('TL13'!$C$10:$C$224,$C192,'TL13'!$J$10:$J$224),0),
IF('TL13'!$B$229=J$3,SUMIF('TL13'!$C$238:$C$451,$C192,'TL13'!$J$238:$J$451),0),
IF('TL14'!$B$3=J$3,SUMIF('TL14'!$C$10:$C$224,$C192,'TL14'!$J$10:$J$224),0),
IF('TL14'!$B$229=J$3,SUMIF('TL14'!$C$238:$C$451,$C192,'TL14'!$J$238:$J$451),0),
IF('TL15'!$B$3=J$3,SUMIF('TL15'!$C$10:$C$224,$C192,'TL15'!$J$10:$J$224),0),
IF('TL15'!$B$229=J$3,SUMIF('TL15'!$C$238:$C$451,$C192,'TL15'!$J$238:$J$451),0),
IF('TL16'!$B$3=J$3,SUMIF('TL16'!$C$10:$C$224,$C192,'TL16'!$J$10:$J$224),0),
IF('TL16'!$B$229=J$3,SUMIF('TL16'!$C$238:$C$451,$C192,'TL16'!$J$238:$J$451),0),
IF('TL17'!$B$3=J$3,SUMIF('TL17'!$C$10:$C$224,$C192,'TL17'!$J$10:$J$224),0),
IF('TL17'!$B$229=J$3,SUMIF('TL17'!$C$238:$C$451,$C192,'TL17'!$J$238:$J$451),0),
IF('TL18'!$B$3=J$3,SUMIF('TL18'!$C$10:$C$224,$C192,'TL18'!$J$10:$J$224),0),
IF('TL18'!$B$229=J$3,SUMIF('TL18'!$C$238:$C$451,$C192,'TL18'!$J$238:$J$451),0),
IF('TL19'!$B$3=J$3,SUMIF('TL19'!$C$10:$C$224,$C192,'TL19'!$J$10:$J$224),0),
IF('TL19'!$B$229=J$3,SUMIF('TL19'!$C$238:$C$451,$C192,'TL19'!$J$238:$J$451),0)
),0)</f>
        <v/>
      </c>
      <c r="K192" s="9">
        <f>IFERROR(SUM(
IF('TL01'!$B$3=K$3,SUMIF('TL01'!$C$10:$C$224,$C192,'TL01'!$J$10:$J$224),0),
IF('TL01'!$B$229=K$3,SUMIF('TL01'!$C$238:$C$451,$C192,'TL01'!$J$238:$J$451),0),
IF('TL02'!$B$3=K$3,SUMIF('TL02'!$C$10:$C$224,$C192,'TL02'!$J$10:$J$224),0),
IF('TL02'!$B$229=K$3,SUMIF('TL02'!$C$238:$C$451,$C192,'TL02'!$J$238:$J$451),0),
IF('TL03'!$B$3=K$3,SUMIF('TL03'!$C$10:$C$224,$C192,'TL03'!$J$10:$J$224),0),
IF('TL03'!$B$229=K$3,SUMIF('TL03'!$C$238:$C$451,$C192,'TL03'!$J$238:$J$451),0),
IF('TL04'!$B$3=K$3,SUMIF('TL04'!$C$10:$C$224,$C192,'TL04'!$J$10:$J$224),0),
IF('TL04'!$B$229=K$3,SUMIF('TL04'!$C$238:$C$451,$C192,'TL04'!$J$238:$J$451),0),
IF('TL05'!$B$3=K$3,SUMIF('TL05'!$C$10:$C$224,$C192,'TL05'!$J$10:$J$224),0),
IF('TL05'!$B$229=K$3,SUMIF('TL05'!$C$238:$C$451,$C192,'TL05'!$J$238:$J$451),0),
IF('TL06'!$B$3=K$3,SUMIF('TL06'!$C$10:$C$224,$C192,'TL06'!$J$10:$J$224),0),
IF('TL06'!$B$229=K$3,SUMIF('TL06'!$C$238:$C$451,$C192,'TL06'!$J$238:$J$451),0),
IF('TL07'!$B$3=K$3,SUMIF('TL07'!$C$10:$C$224,$C192,'TL07'!$J$10:$J$224),0),
IF('TL07'!$B$229=K$3,SUMIF('TL07'!$C$238:$C$451,$C192,'TL07'!$J$238:$J$451),0),
IF('TL08'!$B$3=K$3,SUMIF('TL08'!$C$10:$C$224,$C192,'TL08'!$J$10:$J$224),0),
IF('TL08'!$B$229=K$3,SUMIF('TL08'!$C$238:$C$451,$C192,'TL08'!$J$238:$J$451),0),
IF('TL09'!$B$3=K$3,SUMIF('TL09'!$C$10:$C$224,$C192,'TL09'!$J$10:$J$224),0),
IF('TL09'!$B$229=K$3,SUMIF('TL09'!$C$238:$C$451,$C192,'TL09'!$J$238:$J$451),0),
IF('TL10'!$B$3=K$3,SUMIF('TL10'!$C$10:$C$224,$C192,'TL10'!$J$10:$J$224),0),
IF('TL10'!$B$229=K$3,SUMIF('TL10'!$C$238:$C$451,$C192,'TL10'!$J$238:$J$451),0),
IF('TL11'!$B$3=K$3,SUMIF('TL11'!$C$10:$C$224,$C192,'TL11'!$J$10:$J$224),0),
IF('TL11'!$B$229=K$3,SUMIF('TL11'!$C$238:$C$451,$C192,'TL11'!$J$238:$J$451),0),
IF('TL12'!$B$3=K$3,SUMIF('TL12'!$C$10:$C$224,$C192,'TL12'!$J$10:$J$224),0),
IF('TL12'!$B$229=K$3,SUMIF('TL12'!$C$238:$C$451,$C192,'TL12'!$J$238:$J$451),0),
IF('TL13'!$B$3=K$3,SUMIF('TL13'!$C$10:$C$224,$C192,'TL13'!$J$10:$J$224),0),
IF('TL13'!$B$229=K$3,SUMIF('TL13'!$C$238:$C$451,$C192,'TL13'!$J$238:$J$451),0),
IF('TL14'!$B$3=K$3,SUMIF('TL14'!$C$10:$C$224,$C192,'TL14'!$J$10:$J$224),0),
IF('TL14'!$B$229=K$3,SUMIF('TL14'!$C$238:$C$451,$C192,'TL14'!$J$238:$J$451),0),
IF('TL15'!$B$3=K$3,SUMIF('TL15'!$C$10:$C$224,$C192,'TL15'!$J$10:$J$224),0),
IF('TL15'!$B$229=K$3,SUMIF('TL15'!$C$238:$C$451,$C192,'TL15'!$J$238:$J$451),0),
IF('TL16'!$B$3=K$3,SUMIF('TL16'!$C$10:$C$224,$C192,'TL16'!$J$10:$J$224),0),
IF('TL16'!$B$229=K$3,SUMIF('TL16'!$C$238:$C$451,$C192,'TL16'!$J$238:$J$451),0),
IF('TL17'!$B$3=K$3,SUMIF('TL17'!$C$10:$C$224,$C192,'TL17'!$J$10:$J$224),0),
IF('TL17'!$B$229=K$3,SUMIF('TL17'!$C$238:$C$451,$C192,'TL17'!$J$238:$J$451),0),
IF('TL18'!$B$3=K$3,SUMIF('TL18'!$C$10:$C$224,$C192,'TL18'!$J$10:$J$224),0),
IF('TL18'!$B$229=K$3,SUMIF('TL18'!$C$238:$C$451,$C192,'TL18'!$J$238:$J$451),0),
IF('TL19'!$B$3=K$3,SUMIF('TL19'!$C$10:$C$224,$C192,'TL19'!$J$10:$J$224),0),
IF('TL19'!$B$229=K$3,SUMIF('TL19'!$C$238:$C$451,$C192,'TL19'!$J$238:$J$451),0)
),0)</f>
        <v/>
      </c>
      <c r="L192" s="9">
        <f>IFERROR(SUM(
IF('TL01'!$B$3=L$3,SUMIF('TL01'!$C$10:$C$224,$C192,'TL01'!$J$10:$J$224),0),
IF('TL01'!$B$229=L$3,SUMIF('TL01'!$C$238:$C$451,$C192,'TL01'!$J$238:$J$451),0),
IF('TL02'!$B$3=L$3,SUMIF('TL02'!$C$10:$C$224,$C192,'TL02'!$J$10:$J$224),0),
IF('TL02'!$B$229=L$3,SUMIF('TL02'!$C$238:$C$451,$C192,'TL02'!$J$238:$J$451),0),
IF('TL03'!$B$3=L$3,SUMIF('TL03'!$C$10:$C$224,$C192,'TL03'!$J$10:$J$224),0),
IF('TL03'!$B$229=L$3,SUMIF('TL03'!$C$238:$C$451,$C192,'TL03'!$J$238:$J$451),0),
IF('TL04'!$B$3=L$3,SUMIF('TL04'!$C$10:$C$224,$C192,'TL04'!$J$10:$J$224),0),
IF('TL04'!$B$229=L$3,SUMIF('TL04'!$C$238:$C$451,$C192,'TL04'!$J$238:$J$451),0),
IF('TL05'!$B$3=L$3,SUMIF('TL05'!$C$10:$C$224,$C192,'TL05'!$J$10:$J$224),0),
IF('TL05'!$B$229=L$3,SUMIF('TL05'!$C$238:$C$451,$C192,'TL05'!$J$238:$J$451),0),
IF('TL06'!$B$3=L$3,SUMIF('TL06'!$C$10:$C$224,$C192,'TL06'!$J$10:$J$224),0),
IF('TL06'!$B$229=L$3,SUMIF('TL06'!$C$238:$C$451,$C192,'TL06'!$J$238:$J$451),0),
IF('TL07'!$B$3=L$3,SUMIF('TL07'!$C$10:$C$224,$C192,'TL07'!$J$10:$J$224),0),
IF('TL07'!$B$229=L$3,SUMIF('TL07'!$C$238:$C$451,$C192,'TL07'!$J$238:$J$451),0),
IF('TL08'!$B$3=L$3,SUMIF('TL08'!$C$10:$C$224,$C192,'TL08'!$J$10:$J$224),0),
IF('TL08'!$B$229=L$3,SUMIF('TL08'!$C$238:$C$451,$C192,'TL08'!$J$238:$J$451),0),
IF('TL09'!$B$3=L$3,SUMIF('TL09'!$C$10:$C$224,$C192,'TL09'!$J$10:$J$224),0),
IF('TL09'!$B$229=L$3,SUMIF('TL09'!$C$238:$C$451,$C192,'TL09'!$J$238:$J$451),0),
IF('TL10'!$B$3=L$3,SUMIF('TL10'!$C$10:$C$224,$C192,'TL10'!$J$10:$J$224),0),
IF('TL10'!$B$229=L$3,SUMIF('TL10'!$C$238:$C$451,$C192,'TL10'!$J$238:$J$451),0),
IF('TL11'!$B$3=L$3,SUMIF('TL11'!$C$10:$C$224,$C192,'TL11'!$J$10:$J$224),0),
IF('TL11'!$B$229=L$3,SUMIF('TL11'!$C$238:$C$451,$C192,'TL11'!$J$238:$J$451),0),
IF('TL12'!$B$3=L$3,SUMIF('TL12'!$C$10:$C$224,$C192,'TL12'!$J$10:$J$224),0),
IF('TL12'!$B$229=L$3,SUMIF('TL12'!$C$238:$C$451,$C192,'TL12'!$J$238:$J$451),0),
IF('TL13'!$B$3=L$3,SUMIF('TL13'!$C$10:$C$224,$C192,'TL13'!$J$10:$J$224),0),
IF('TL13'!$B$229=L$3,SUMIF('TL13'!$C$238:$C$451,$C192,'TL13'!$J$238:$J$451),0),
IF('TL14'!$B$3=L$3,SUMIF('TL14'!$C$10:$C$224,$C192,'TL14'!$J$10:$J$224),0),
IF('TL14'!$B$229=L$3,SUMIF('TL14'!$C$238:$C$451,$C192,'TL14'!$J$238:$J$451),0),
IF('TL15'!$B$3=L$3,SUMIF('TL15'!$C$10:$C$224,$C192,'TL15'!$J$10:$J$224),0),
IF('TL15'!$B$229=L$3,SUMIF('TL15'!$C$238:$C$451,$C192,'TL15'!$J$238:$J$451),0),
IF('TL16'!$B$3=L$3,SUMIF('TL16'!$C$10:$C$224,$C192,'TL16'!$J$10:$J$224),0),
IF('TL16'!$B$229=L$3,SUMIF('TL16'!$C$238:$C$451,$C192,'TL16'!$J$238:$J$451),0),
IF('TL17'!$B$3=L$3,SUMIF('TL17'!$C$10:$C$224,$C192,'TL17'!$J$10:$J$224),0),
IF('TL17'!$B$229=L$3,SUMIF('TL17'!$C$238:$C$451,$C192,'TL17'!$J$238:$J$451),0),
IF('TL18'!$B$3=L$3,SUMIF('TL18'!$C$10:$C$224,$C192,'TL18'!$J$10:$J$224),0),
IF('TL18'!$B$229=L$3,SUMIF('TL18'!$C$238:$C$451,$C192,'TL18'!$J$238:$J$451),0),
IF('TL19'!$B$3=L$3,SUMIF('TL19'!$C$10:$C$224,$C192,'TL19'!$J$10:$J$224),0),
IF('TL19'!$B$229=L$3,SUMIF('TL19'!$C$238:$C$451,$C192,'TL19'!$J$238:$J$451),0)
),0)</f>
        <v/>
      </c>
      <c r="M192" s="9">
        <f>IFERROR(SUM(
IF('TL01'!$B$3=M$3,SUMIF('TL01'!$C$10:$C$224,$C192,'TL01'!$J$10:$J$224),0),
IF('TL01'!$B$229=M$3,SUMIF('TL01'!$C$238:$C$451,$C192,'TL01'!$J$238:$J$451),0),
IF('TL02'!$B$3=M$3,SUMIF('TL02'!$C$10:$C$224,$C192,'TL02'!$J$10:$J$224),0),
IF('TL02'!$B$229=M$3,SUMIF('TL02'!$C$238:$C$451,$C192,'TL02'!$J$238:$J$451),0),
IF('TL03'!$B$3=M$3,SUMIF('TL03'!$C$10:$C$224,$C192,'TL03'!$J$10:$J$224),0),
IF('TL03'!$B$229=M$3,SUMIF('TL03'!$C$238:$C$451,$C192,'TL03'!$J$238:$J$451),0),
IF('TL04'!$B$3=M$3,SUMIF('TL04'!$C$10:$C$224,$C192,'TL04'!$J$10:$J$224),0),
IF('TL04'!$B$229=M$3,SUMIF('TL04'!$C$238:$C$451,$C192,'TL04'!$J$238:$J$451),0),
IF('TL05'!$B$3=M$3,SUMIF('TL05'!$C$10:$C$224,$C192,'TL05'!$J$10:$J$224),0),
IF('TL05'!$B$229=M$3,SUMIF('TL05'!$C$238:$C$451,$C192,'TL05'!$J$238:$J$451),0),
IF('TL06'!$B$3=M$3,SUMIF('TL06'!$C$10:$C$224,$C192,'TL06'!$J$10:$J$224),0),
IF('TL06'!$B$229=M$3,SUMIF('TL06'!$C$238:$C$451,$C192,'TL06'!$J$238:$J$451),0),
IF('TL07'!$B$3=M$3,SUMIF('TL07'!$C$10:$C$224,$C192,'TL07'!$J$10:$J$224),0),
IF('TL07'!$B$229=M$3,SUMIF('TL07'!$C$238:$C$451,$C192,'TL07'!$J$238:$J$451),0),
IF('TL08'!$B$3=M$3,SUMIF('TL08'!$C$10:$C$224,$C192,'TL08'!$J$10:$J$224),0),
IF('TL08'!$B$229=M$3,SUMIF('TL08'!$C$238:$C$451,$C192,'TL08'!$J$238:$J$451),0),
IF('TL09'!$B$3=M$3,SUMIF('TL09'!$C$10:$C$224,$C192,'TL09'!$J$10:$J$224),0),
IF('TL09'!$B$229=M$3,SUMIF('TL09'!$C$238:$C$451,$C192,'TL09'!$J$238:$J$451),0),
IF('TL10'!$B$3=M$3,SUMIF('TL10'!$C$10:$C$224,$C192,'TL10'!$J$10:$J$224),0),
IF('TL10'!$B$229=M$3,SUMIF('TL10'!$C$238:$C$451,$C192,'TL10'!$J$238:$J$451),0),
IF('TL11'!$B$3=M$3,SUMIF('TL11'!$C$10:$C$224,$C192,'TL11'!$J$10:$J$224),0),
IF('TL11'!$B$229=M$3,SUMIF('TL11'!$C$238:$C$451,$C192,'TL11'!$J$238:$J$451),0),
IF('TL12'!$B$3=M$3,SUMIF('TL12'!$C$10:$C$224,$C192,'TL12'!$J$10:$J$224),0),
IF('TL12'!$B$229=M$3,SUMIF('TL12'!$C$238:$C$451,$C192,'TL12'!$J$238:$J$451),0),
IF('TL13'!$B$3=M$3,SUMIF('TL13'!$C$10:$C$224,$C192,'TL13'!$J$10:$J$224),0),
IF('TL13'!$B$229=M$3,SUMIF('TL13'!$C$238:$C$451,$C192,'TL13'!$J$238:$J$451),0),
IF('TL14'!$B$3=M$3,SUMIF('TL14'!$C$10:$C$224,$C192,'TL14'!$J$10:$J$224),0),
IF('TL14'!$B$229=M$3,SUMIF('TL14'!$C$238:$C$451,$C192,'TL14'!$J$238:$J$451),0),
IF('TL15'!$B$3=M$3,SUMIF('TL15'!$C$10:$C$224,$C192,'TL15'!$J$10:$J$224),0),
IF('TL15'!$B$229=M$3,SUMIF('TL15'!$C$238:$C$451,$C192,'TL15'!$J$238:$J$451),0),
IF('TL16'!$B$3=M$3,SUMIF('TL16'!$C$10:$C$224,$C192,'TL16'!$J$10:$J$224),0),
IF('TL16'!$B$229=M$3,SUMIF('TL16'!$C$238:$C$451,$C192,'TL16'!$J$238:$J$451),0),
IF('TL17'!$B$3=M$3,SUMIF('TL17'!$C$10:$C$224,$C192,'TL17'!$J$10:$J$224),0),
IF('TL17'!$B$229=M$3,SUMIF('TL17'!$C$238:$C$451,$C192,'TL17'!$J$238:$J$451),0),
IF('TL18'!$B$3=M$3,SUMIF('TL18'!$C$10:$C$224,$C192,'TL18'!$J$10:$J$224),0),
IF('TL18'!$B$229=M$3,SUMIF('TL18'!$C$238:$C$451,$C192,'TL18'!$J$238:$J$451),0),
IF('TL19'!$B$3=M$3,SUMIF('TL19'!$C$10:$C$224,$C192,'TL19'!$J$10:$J$224),0),
IF('TL19'!$B$229=M$3,SUMIF('TL19'!$C$238:$C$451,$C192,'TL19'!$J$238:$J$451),0)
),0)</f>
        <v/>
      </c>
      <c r="N192" s="9">
        <f>IFERROR(SUM(
IF('TL01'!$B$3=N$3,SUMIF('TL01'!$C$10:$C$224,$C192,'TL01'!$J$10:$J$224),0),
IF('TL01'!$B$229=N$3,SUMIF('TL01'!$C$238:$C$451,$C192,'TL01'!$J$238:$J$451),0),
IF('TL02'!$B$3=N$3,SUMIF('TL02'!$C$10:$C$224,$C192,'TL02'!$J$10:$J$224),0),
IF('TL02'!$B$229=N$3,SUMIF('TL02'!$C$238:$C$451,$C192,'TL02'!$J$238:$J$451),0),
IF('TL03'!$B$3=N$3,SUMIF('TL03'!$C$10:$C$224,$C192,'TL03'!$J$10:$J$224),0),
IF('TL03'!$B$229=N$3,SUMIF('TL03'!$C$238:$C$451,$C192,'TL03'!$J$238:$J$451),0),
IF('TL04'!$B$3=N$3,SUMIF('TL04'!$C$10:$C$224,$C192,'TL04'!$J$10:$J$224),0),
IF('TL04'!$B$229=N$3,SUMIF('TL04'!$C$238:$C$451,$C192,'TL04'!$J$238:$J$451),0),
IF('TL05'!$B$3=N$3,SUMIF('TL05'!$C$10:$C$224,$C192,'TL05'!$J$10:$J$224),0),
IF('TL05'!$B$229=N$3,SUMIF('TL05'!$C$238:$C$451,$C192,'TL05'!$J$238:$J$451),0),
IF('TL06'!$B$3=N$3,SUMIF('TL06'!$C$10:$C$224,$C192,'TL06'!$J$10:$J$224),0),
IF('TL06'!$B$229=N$3,SUMIF('TL06'!$C$238:$C$451,$C192,'TL06'!$J$238:$J$451),0),
IF('TL07'!$B$3=N$3,SUMIF('TL07'!$C$10:$C$224,$C192,'TL07'!$J$10:$J$224),0),
IF('TL07'!$B$229=N$3,SUMIF('TL07'!$C$238:$C$451,$C192,'TL07'!$J$238:$J$451),0),
IF('TL08'!$B$3=N$3,SUMIF('TL08'!$C$10:$C$224,$C192,'TL08'!$J$10:$J$224),0),
IF('TL08'!$B$229=N$3,SUMIF('TL08'!$C$238:$C$451,$C192,'TL08'!$J$238:$J$451),0),
IF('TL09'!$B$3=N$3,SUMIF('TL09'!$C$10:$C$224,$C192,'TL09'!$J$10:$J$224),0),
IF('TL09'!$B$229=N$3,SUMIF('TL09'!$C$238:$C$451,$C192,'TL09'!$J$238:$J$451),0),
IF('TL10'!$B$3=N$3,SUMIF('TL10'!$C$10:$C$224,$C192,'TL10'!$J$10:$J$224),0),
IF('TL10'!$B$229=N$3,SUMIF('TL10'!$C$238:$C$451,$C192,'TL10'!$J$238:$J$451),0),
IF('TL11'!$B$3=N$3,SUMIF('TL11'!$C$10:$C$224,$C192,'TL11'!$J$10:$J$224),0),
IF('TL11'!$B$229=N$3,SUMIF('TL11'!$C$238:$C$451,$C192,'TL11'!$J$238:$J$451),0),
IF('TL12'!$B$3=N$3,SUMIF('TL12'!$C$10:$C$224,$C192,'TL12'!$J$10:$J$224),0),
IF('TL12'!$B$229=N$3,SUMIF('TL12'!$C$238:$C$451,$C192,'TL12'!$J$238:$J$451),0),
IF('TL13'!$B$3=N$3,SUMIF('TL13'!$C$10:$C$224,$C192,'TL13'!$J$10:$J$224),0),
IF('TL13'!$B$229=N$3,SUMIF('TL13'!$C$238:$C$451,$C192,'TL13'!$J$238:$J$451),0),
IF('TL14'!$B$3=N$3,SUMIF('TL14'!$C$10:$C$224,$C192,'TL14'!$J$10:$J$224),0),
IF('TL14'!$B$229=N$3,SUMIF('TL14'!$C$238:$C$451,$C192,'TL14'!$J$238:$J$451),0),
IF('TL15'!$B$3=N$3,SUMIF('TL15'!$C$10:$C$224,$C192,'TL15'!$J$10:$J$224),0),
IF('TL15'!$B$229=N$3,SUMIF('TL15'!$C$238:$C$451,$C192,'TL15'!$J$238:$J$451),0),
IF('TL16'!$B$3=N$3,SUMIF('TL16'!$C$10:$C$224,$C192,'TL16'!$J$10:$J$224),0),
IF('TL16'!$B$229=N$3,SUMIF('TL16'!$C$238:$C$451,$C192,'TL16'!$J$238:$J$451),0),
IF('TL17'!$B$3=N$3,SUMIF('TL17'!$C$10:$C$224,$C192,'TL17'!$J$10:$J$224),0),
IF('TL17'!$B$229=N$3,SUMIF('TL17'!$C$238:$C$451,$C192,'TL17'!$J$238:$J$451),0),
IF('TL18'!$B$3=N$3,SUMIF('TL18'!$C$10:$C$224,$C192,'TL18'!$J$10:$J$224),0),
IF('TL18'!$B$229=N$3,SUMIF('TL18'!$C$238:$C$451,$C192,'TL18'!$J$238:$J$451),0),
IF('TL19'!$B$3=N$3,SUMIF('TL19'!$C$10:$C$224,$C192,'TL19'!$J$10:$J$224),0),
IF('TL19'!$B$229=N$3,SUMIF('TL19'!$C$238:$C$451,$C192,'TL19'!$J$238:$J$451),0)
),0)</f>
        <v/>
      </c>
      <c r="O192" s="9">
        <f>IFERROR(SUM(
IF('TL01'!$B$3=O$3,SUMIF('TL01'!$C$10:$C$224,$C192,'TL01'!$J$10:$J$224),0),
IF('TL01'!$B$229=O$3,SUMIF('TL01'!$C$238:$C$451,$C192,'TL01'!$J$238:$J$451),0),
IF('TL02'!$B$3=O$3,SUMIF('TL02'!$C$10:$C$224,$C192,'TL02'!$J$10:$J$224),0),
IF('TL02'!$B$229=O$3,SUMIF('TL02'!$C$238:$C$451,$C192,'TL02'!$J$238:$J$451),0),
IF('TL03'!$B$3=O$3,SUMIF('TL03'!$C$10:$C$224,$C192,'TL03'!$J$10:$J$224),0),
IF('TL03'!$B$229=O$3,SUMIF('TL03'!$C$238:$C$451,$C192,'TL03'!$J$238:$J$451),0),
IF('TL04'!$B$3=O$3,SUMIF('TL04'!$C$10:$C$224,$C192,'TL04'!$J$10:$J$224),0),
IF('TL04'!$B$229=O$3,SUMIF('TL04'!$C$238:$C$451,$C192,'TL04'!$J$238:$J$451),0),
IF('TL05'!$B$3=O$3,SUMIF('TL05'!$C$10:$C$224,$C192,'TL05'!$J$10:$J$224),0),
IF('TL05'!$B$229=O$3,SUMIF('TL05'!$C$238:$C$451,$C192,'TL05'!$J$238:$J$451),0),
IF('TL06'!$B$3=O$3,SUMIF('TL06'!$C$10:$C$224,$C192,'TL06'!$J$10:$J$224),0),
IF('TL06'!$B$229=O$3,SUMIF('TL06'!$C$238:$C$451,$C192,'TL06'!$J$238:$J$451),0),
IF('TL07'!$B$3=O$3,SUMIF('TL07'!$C$10:$C$224,$C192,'TL07'!$J$10:$J$224),0),
IF('TL07'!$B$229=O$3,SUMIF('TL07'!$C$238:$C$451,$C192,'TL07'!$J$238:$J$451),0),
IF('TL08'!$B$3=O$3,SUMIF('TL08'!$C$10:$C$224,$C192,'TL08'!$J$10:$J$224),0),
IF('TL08'!$B$229=O$3,SUMIF('TL08'!$C$238:$C$451,$C192,'TL08'!$J$238:$J$451),0),
IF('TL09'!$B$3=O$3,SUMIF('TL09'!$C$10:$C$224,$C192,'TL09'!$J$10:$J$224),0),
IF('TL09'!$B$229=O$3,SUMIF('TL09'!$C$238:$C$451,$C192,'TL09'!$J$238:$J$451),0),
IF('TL10'!$B$3=O$3,SUMIF('TL10'!$C$10:$C$224,$C192,'TL10'!$J$10:$J$224),0),
IF('TL10'!$B$229=O$3,SUMIF('TL10'!$C$238:$C$451,$C192,'TL10'!$J$238:$J$451),0),
IF('TL11'!$B$3=O$3,SUMIF('TL11'!$C$10:$C$224,$C192,'TL11'!$J$10:$J$224),0),
IF('TL11'!$B$229=O$3,SUMIF('TL11'!$C$238:$C$451,$C192,'TL11'!$J$238:$J$451),0),
IF('TL12'!$B$3=O$3,SUMIF('TL12'!$C$10:$C$224,$C192,'TL12'!$J$10:$J$224),0),
IF('TL12'!$B$229=O$3,SUMIF('TL12'!$C$238:$C$451,$C192,'TL12'!$J$238:$J$451),0),
IF('TL13'!$B$3=O$3,SUMIF('TL13'!$C$10:$C$224,$C192,'TL13'!$J$10:$J$224),0),
IF('TL13'!$B$229=O$3,SUMIF('TL13'!$C$238:$C$451,$C192,'TL13'!$J$238:$J$451),0),
IF('TL14'!$B$3=O$3,SUMIF('TL14'!$C$10:$C$224,$C192,'TL14'!$J$10:$J$224),0),
IF('TL14'!$B$229=O$3,SUMIF('TL14'!$C$238:$C$451,$C192,'TL14'!$J$238:$J$451),0),
IF('TL15'!$B$3=O$3,SUMIF('TL15'!$C$10:$C$224,$C192,'TL15'!$J$10:$J$224),0),
IF('TL15'!$B$229=O$3,SUMIF('TL15'!$C$238:$C$451,$C192,'TL15'!$J$238:$J$451),0),
IF('TL16'!$B$3=O$3,SUMIF('TL16'!$C$10:$C$224,$C192,'TL16'!$J$10:$J$224),0),
IF('TL16'!$B$229=O$3,SUMIF('TL16'!$C$238:$C$451,$C192,'TL16'!$J$238:$J$451),0),
IF('TL17'!$B$3=O$3,SUMIF('TL17'!$C$10:$C$224,$C192,'TL17'!$J$10:$J$224),0),
IF('TL17'!$B$229=O$3,SUMIF('TL17'!$C$238:$C$451,$C192,'TL17'!$J$238:$J$451),0),
IF('TL18'!$B$3=O$3,SUMIF('TL18'!$C$10:$C$224,$C192,'TL18'!$J$10:$J$224),0),
IF('TL18'!$B$229=O$3,SUMIF('TL18'!$C$238:$C$451,$C192,'TL18'!$J$238:$J$451),0),
IF('TL19'!$B$3=O$3,SUMIF('TL19'!$C$10:$C$224,$C192,'TL19'!$J$10:$J$224),0),
IF('TL19'!$B$229=O$3,SUMIF('TL19'!$C$238:$C$451,$C192,'TL19'!$J$238:$J$451),0)
),0)</f>
        <v/>
      </c>
      <c r="P192" s="9">
        <f>IFERROR(SUM(
IF('TL01'!$B$3=P$3,SUMIF('TL01'!$C$10:$C$224,$C192,'TL01'!$J$10:$J$224),0),
IF('TL01'!$B$229=P$3,SUMIF('TL01'!$C$238:$C$451,$C192,'TL01'!$J$238:$J$451),0),
IF('TL02'!$B$3=P$3,SUMIF('TL02'!$C$10:$C$224,$C192,'TL02'!$J$10:$J$224),0),
IF('TL02'!$B$229=P$3,SUMIF('TL02'!$C$238:$C$451,$C192,'TL02'!$J$238:$J$451),0),
IF('TL03'!$B$3=P$3,SUMIF('TL03'!$C$10:$C$224,$C192,'TL03'!$J$10:$J$224),0),
IF('TL03'!$B$229=P$3,SUMIF('TL03'!$C$238:$C$451,$C192,'TL03'!$J$238:$J$451),0),
IF('TL04'!$B$3=P$3,SUMIF('TL04'!$C$10:$C$224,$C192,'TL04'!$J$10:$J$224),0),
IF('TL04'!$B$229=P$3,SUMIF('TL04'!$C$238:$C$451,$C192,'TL04'!$J$238:$J$451),0),
IF('TL05'!$B$3=P$3,SUMIF('TL05'!$C$10:$C$224,$C192,'TL05'!$J$10:$J$224),0),
IF('TL05'!$B$229=P$3,SUMIF('TL05'!$C$238:$C$451,$C192,'TL05'!$J$238:$J$451),0),
IF('TL06'!$B$3=P$3,SUMIF('TL06'!$C$10:$C$224,$C192,'TL06'!$J$10:$J$224),0),
IF('TL06'!$B$229=P$3,SUMIF('TL06'!$C$238:$C$451,$C192,'TL06'!$J$238:$J$451),0),
IF('TL07'!$B$3=P$3,SUMIF('TL07'!$C$10:$C$224,$C192,'TL07'!$J$10:$J$224),0),
IF('TL07'!$B$229=P$3,SUMIF('TL07'!$C$238:$C$451,$C192,'TL07'!$J$238:$J$451),0),
IF('TL08'!$B$3=P$3,SUMIF('TL08'!$C$10:$C$224,$C192,'TL08'!$J$10:$J$224),0),
IF('TL08'!$B$229=P$3,SUMIF('TL08'!$C$238:$C$451,$C192,'TL08'!$J$238:$J$451),0),
IF('TL09'!$B$3=P$3,SUMIF('TL09'!$C$10:$C$224,$C192,'TL09'!$J$10:$J$224),0),
IF('TL09'!$B$229=P$3,SUMIF('TL09'!$C$238:$C$451,$C192,'TL09'!$J$238:$J$451),0),
IF('TL10'!$B$3=P$3,SUMIF('TL10'!$C$10:$C$224,$C192,'TL10'!$J$10:$J$224),0),
IF('TL10'!$B$229=P$3,SUMIF('TL10'!$C$238:$C$451,$C192,'TL10'!$J$238:$J$451),0),
IF('TL11'!$B$3=P$3,SUMIF('TL11'!$C$10:$C$224,$C192,'TL11'!$J$10:$J$224),0),
IF('TL11'!$B$229=P$3,SUMIF('TL11'!$C$238:$C$451,$C192,'TL11'!$J$238:$J$451),0),
IF('TL12'!$B$3=P$3,SUMIF('TL12'!$C$10:$C$224,$C192,'TL12'!$J$10:$J$224),0),
IF('TL12'!$B$229=P$3,SUMIF('TL12'!$C$238:$C$451,$C192,'TL12'!$J$238:$J$451),0),
IF('TL13'!$B$3=P$3,SUMIF('TL13'!$C$10:$C$224,$C192,'TL13'!$J$10:$J$224),0),
IF('TL13'!$B$229=P$3,SUMIF('TL13'!$C$238:$C$451,$C192,'TL13'!$J$238:$J$451),0),
IF('TL14'!$B$3=P$3,SUMIF('TL14'!$C$10:$C$224,$C192,'TL14'!$J$10:$J$224),0),
IF('TL14'!$B$229=P$3,SUMIF('TL14'!$C$238:$C$451,$C192,'TL14'!$J$238:$J$451),0),
IF('TL15'!$B$3=P$3,SUMIF('TL15'!$C$10:$C$224,$C192,'TL15'!$J$10:$J$224),0),
IF('TL15'!$B$229=P$3,SUMIF('TL15'!$C$238:$C$451,$C192,'TL15'!$J$238:$J$451),0),
IF('TL16'!$B$3=P$3,SUMIF('TL16'!$C$10:$C$224,$C192,'TL16'!$J$10:$J$224),0),
IF('TL16'!$B$229=P$3,SUMIF('TL16'!$C$238:$C$451,$C192,'TL16'!$J$238:$J$451),0),
IF('TL17'!$B$3=P$3,SUMIF('TL17'!$C$10:$C$224,$C192,'TL17'!$J$10:$J$224),0),
IF('TL17'!$B$229=P$3,SUMIF('TL17'!$C$238:$C$451,$C192,'TL17'!$J$238:$J$451),0),
IF('TL18'!$B$3=P$3,SUMIF('TL18'!$C$10:$C$224,$C192,'TL18'!$J$10:$J$224),0),
IF('TL18'!$B$229=P$3,SUMIF('TL18'!$C$238:$C$451,$C192,'TL18'!$J$238:$J$451),0),
IF('TL19'!$B$3=P$3,SUMIF('TL19'!$C$10:$C$224,$C192,'TL19'!$J$10:$J$224),0),
IF('TL19'!$B$229=P$3,SUMIF('TL19'!$C$238:$C$451,$C192,'TL19'!$J$238:$J$451),0)
),0)</f>
        <v/>
      </c>
      <c r="Q192" s="9">
        <f>IFERROR(SUM(
IF('TL01'!$B$3=Q$3,SUMIF('TL01'!$C$10:$C$224,$C192,'TL01'!$J$10:$J$224),0),
IF('TL01'!$B$229=Q$3,SUMIF('TL01'!$C$238:$C$451,$C192,'TL01'!$J$238:$J$451),0),
IF('TL02'!$B$3=Q$3,SUMIF('TL02'!$C$10:$C$224,$C192,'TL02'!$J$10:$J$224),0),
IF('TL02'!$B$229=Q$3,SUMIF('TL02'!$C$238:$C$451,$C192,'TL02'!$J$238:$J$451),0),
IF('TL03'!$B$3=Q$3,SUMIF('TL03'!$C$10:$C$224,$C192,'TL03'!$J$10:$J$224),0),
IF('TL03'!$B$229=Q$3,SUMIF('TL03'!$C$238:$C$451,$C192,'TL03'!$J$238:$J$451),0),
IF('TL04'!$B$3=Q$3,SUMIF('TL04'!$C$10:$C$224,$C192,'TL04'!$J$10:$J$224),0),
IF('TL04'!$B$229=Q$3,SUMIF('TL04'!$C$238:$C$451,$C192,'TL04'!$J$238:$J$451),0),
IF('TL05'!$B$3=Q$3,SUMIF('TL05'!$C$10:$C$224,$C192,'TL05'!$J$10:$J$224),0),
IF('TL05'!$B$229=Q$3,SUMIF('TL05'!$C$238:$C$451,$C192,'TL05'!$J$238:$J$451),0),
IF('TL06'!$B$3=Q$3,SUMIF('TL06'!$C$10:$C$224,$C192,'TL06'!$J$10:$J$224),0),
IF('TL06'!$B$229=Q$3,SUMIF('TL06'!$C$238:$C$451,$C192,'TL06'!$J$238:$J$451),0),
IF('TL07'!$B$3=Q$3,SUMIF('TL07'!$C$10:$C$224,$C192,'TL07'!$J$10:$J$224),0),
IF('TL07'!$B$229=Q$3,SUMIF('TL07'!$C$238:$C$451,$C192,'TL07'!$J$238:$J$451),0),
IF('TL08'!$B$3=Q$3,SUMIF('TL08'!$C$10:$C$224,$C192,'TL08'!$J$10:$J$224),0),
IF('TL08'!$B$229=Q$3,SUMIF('TL08'!$C$238:$C$451,$C192,'TL08'!$J$238:$J$451),0),
IF('TL09'!$B$3=Q$3,SUMIF('TL09'!$C$10:$C$224,$C192,'TL09'!$J$10:$J$224),0),
IF('TL09'!$B$229=Q$3,SUMIF('TL09'!$C$238:$C$451,$C192,'TL09'!$J$238:$J$451),0),
IF('TL10'!$B$3=Q$3,SUMIF('TL10'!$C$10:$C$224,$C192,'TL10'!$J$10:$J$224),0),
IF('TL10'!$B$229=Q$3,SUMIF('TL10'!$C$238:$C$451,$C192,'TL10'!$J$238:$J$451),0),
IF('TL11'!$B$3=Q$3,SUMIF('TL11'!$C$10:$C$224,$C192,'TL11'!$J$10:$J$224),0),
IF('TL11'!$B$229=Q$3,SUMIF('TL11'!$C$238:$C$451,$C192,'TL11'!$J$238:$J$451),0),
IF('TL12'!$B$3=Q$3,SUMIF('TL12'!$C$10:$C$224,$C192,'TL12'!$J$10:$J$224),0),
IF('TL12'!$B$229=Q$3,SUMIF('TL12'!$C$238:$C$451,$C192,'TL12'!$J$238:$J$451),0),
IF('TL13'!$B$3=Q$3,SUMIF('TL13'!$C$10:$C$224,$C192,'TL13'!$J$10:$J$224),0),
IF('TL13'!$B$229=Q$3,SUMIF('TL13'!$C$238:$C$451,$C192,'TL13'!$J$238:$J$451),0),
IF('TL14'!$B$3=Q$3,SUMIF('TL14'!$C$10:$C$224,$C192,'TL14'!$J$10:$J$224),0),
IF('TL14'!$B$229=Q$3,SUMIF('TL14'!$C$238:$C$451,$C192,'TL14'!$J$238:$J$451),0),
IF('TL15'!$B$3=Q$3,SUMIF('TL15'!$C$10:$C$224,$C192,'TL15'!$J$10:$J$224),0),
IF('TL15'!$B$229=Q$3,SUMIF('TL15'!$C$238:$C$451,$C192,'TL15'!$J$238:$J$451),0),
IF('TL16'!$B$3=Q$3,SUMIF('TL16'!$C$10:$C$224,$C192,'TL16'!$J$10:$J$224),0),
IF('TL16'!$B$229=Q$3,SUMIF('TL16'!$C$238:$C$451,$C192,'TL16'!$J$238:$J$451),0),
IF('TL17'!$B$3=Q$3,SUMIF('TL17'!$C$10:$C$224,$C192,'TL17'!$J$10:$J$224),0),
IF('TL17'!$B$229=Q$3,SUMIF('TL17'!$C$238:$C$451,$C192,'TL17'!$J$238:$J$451),0),
IF('TL18'!$B$3=Q$3,SUMIF('TL18'!$C$10:$C$224,$C192,'TL18'!$J$10:$J$224),0),
IF('TL18'!$B$229=Q$3,SUMIF('TL18'!$C$238:$C$451,$C192,'TL18'!$J$238:$J$451),0),
IF('TL19'!$B$3=Q$3,SUMIF('TL19'!$C$10:$C$224,$C192,'TL19'!$J$10:$J$224),0),
IF('TL19'!$B$229=Q$3,SUMIF('TL19'!$C$238:$C$451,$C192,'TL19'!$J$238:$J$451),0)
),0)</f>
        <v/>
      </c>
      <c r="R192" s="9">
        <f>IFERROR(
SUM(
SUMIF('TL01'!C:C,C192,'TL01'!J:J),
SUMIF('TL02'!C:C,C192,'TL02'!J:J),
SUMIF('TL03'!C:C,C192,'TL03'!J:J),
SUMIF('TL04'!C:C,C192,'TL04'!J:J),
SUMIF('TL05'!C:C,C192,'TL05'!J:J),
SUMIF('TL06'!C:C,C192,'TL06'!J:J),
SUMIF('TL07'!C:C,C192,'TL07'!J:J),
SUMIF('TL08'!C:C,C192,'TL08'!J:J),
SUMIF('TL09'!C:C,C192,'TL09'!J:J),
SUMIF('TL10'!C:C,C192,'TL10'!J:J),
SUMIF('TL11'!C:C,C192,'TL11'!J:J),
SUMIF('TL12'!C:C,C192,'TL12'!J:J),
SUMIF('TL13'!C:C,C192,'TL13'!J:J),
SUMIF('TL14'!C:C,C192,'TL14'!J:J),
SUMIF('TL15'!C:C,C192,'TL15'!J:J),
SUMIF('TL16'!C:C,C192,'TL16'!J:J),
SUMIF('TL17'!C:C,C192,'TL17'!J:J),
SUMIF('TL18'!C:C,C192,'TL18'!J:J),SUMIF('TL19'!C:C,C192,'TL19'!J:J))
,0)</f>
        <v/>
      </c>
      <c r="S192" s="17">
        <f>IFERROR(__xludf.DUMMYFUNCTION("IFERROR(VLOOKUP(C192,
IMPORTRANGE(""1wULbzX32WdYsx-lj2U3uUNBBe2INVIRDtcK0d-Dvl90"",
""26-27!C:G""),
5,
FALSE),
"""")"),97.56219)</f>
        <v/>
      </c>
      <c r="T192" s="9" t="n"/>
      <c r="U192" s="92">
        <f>MAX(0,R192-T192)</f>
        <v/>
      </c>
      <c r="V192" s="93">
        <f>U192*S192</f>
        <v/>
      </c>
    </row>
    <row r="193" hidden="1" ht="15.75" customHeight="1" s="297">
      <c r="A193" s="94" t="inlineStr">
        <is>
          <t>CORTEVA</t>
        </is>
      </c>
      <c r="B193" s="95" t="inlineStr">
        <is>
          <t>INSETICIDA</t>
        </is>
      </c>
      <c r="C193" s="96" t="inlineStr">
        <is>
          <t>INTREPID 240 SC</t>
        </is>
      </c>
      <c r="D193" s="96" t="inlineStr">
        <is>
          <t>METOXIFENOZIDA</t>
        </is>
      </c>
      <c r="E193" s="96" t="n">
        <v>240</v>
      </c>
      <c r="F193" s="4" t="inlineStr">
        <is>
          <t>L</t>
        </is>
      </c>
      <c r="G193" s="90">
        <f>HYPERLINK("https://www.google.com/search?q=" &amp; C193 &amp; "+bula+agrofit+pdf", "📄 Ver bula")</f>
        <v/>
      </c>
      <c r="H193" s="9">
        <f>IFERROR(__xludf.DUMMYFUNCTION("IFERROR(VLOOKUP(C193,
IMPORTRANGE(""1wULbzX32WdYsx-lj2U3uUNBBe2INVIRDtcK0d-Dvl90"",
""26-27!C:K""),
8,
FALSE),
"""")"),0.5)</f>
        <v/>
      </c>
      <c r="I193" s="97" t="inlineStr">
        <is>
          <t>4X5</t>
        </is>
      </c>
      <c r="J193" s="9">
        <f>IFERROR(SUM(
IF('TL01'!$B$3=J$3,SUMIF('TL01'!$C$10:$C$224,$C193,'TL01'!$J$10:$J$224),0),
IF('TL01'!$B$229=J$3,SUMIF('TL01'!$C$238:$C$451,$C193,'TL01'!$J$238:$J$451),0),
IF('TL02'!$B$3=J$3,SUMIF('TL02'!$C$10:$C$224,$C193,'TL02'!$J$10:$J$224),0),
IF('TL02'!$B$229=J$3,SUMIF('TL02'!$C$238:$C$451,$C193,'TL02'!$J$238:$J$451),0),
IF('TL03'!$B$3=J$3,SUMIF('TL03'!$C$10:$C$224,$C193,'TL03'!$J$10:$J$224),0),
IF('TL03'!$B$229=J$3,SUMIF('TL03'!$C$238:$C$451,$C193,'TL03'!$J$238:$J$451),0),
IF('TL04'!$B$3=J$3,SUMIF('TL04'!$C$10:$C$224,$C193,'TL04'!$J$10:$J$224),0),
IF('TL04'!$B$229=J$3,SUMIF('TL04'!$C$238:$C$451,$C193,'TL04'!$J$238:$J$451),0),
IF('TL05'!$B$3=J$3,SUMIF('TL05'!$C$10:$C$224,$C193,'TL05'!$J$10:$J$224),0),
IF('TL05'!$B$229=J$3,SUMIF('TL05'!$C$238:$C$451,$C193,'TL05'!$J$238:$J$451),0),
IF('TL06'!$B$3=J$3,SUMIF('TL06'!$C$10:$C$224,$C193,'TL06'!$J$10:$J$224),0),
IF('TL06'!$B$229=J$3,SUMIF('TL06'!$C$238:$C$451,$C193,'TL06'!$J$238:$J$451),0),
IF('TL07'!$B$3=J$3,SUMIF('TL07'!$C$10:$C$224,$C193,'TL07'!$J$10:$J$224),0),
IF('TL07'!$B$229=J$3,SUMIF('TL07'!$C$238:$C$451,$C193,'TL07'!$J$238:$J$451),0),
IF('TL08'!$B$3=J$3,SUMIF('TL08'!$C$10:$C$224,$C193,'TL08'!$J$10:$J$224),0),
IF('TL08'!$B$229=J$3,SUMIF('TL08'!$C$238:$C$451,$C193,'TL08'!$J$238:$J$451),0),
IF('TL09'!$B$3=J$3,SUMIF('TL09'!$C$10:$C$224,$C193,'TL09'!$J$10:$J$224),0),
IF('TL09'!$B$229=J$3,SUMIF('TL09'!$C$238:$C$451,$C193,'TL09'!$J$238:$J$451),0),
IF('TL10'!$B$3=J$3,SUMIF('TL10'!$C$10:$C$224,$C193,'TL10'!$J$10:$J$224),0),
IF('TL10'!$B$229=J$3,SUMIF('TL10'!$C$238:$C$451,$C193,'TL10'!$J$238:$J$451),0),
IF('TL11'!$B$3=J$3,SUMIF('TL11'!$C$10:$C$224,$C193,'TL11'!$J$10:$J$224),0),
IF('TL11'!$B$229=J$3,SUMIF('TL11'!$C$238:$C$451,$C193,'TL11'!$J$238:$J$451),0),
IF('TL12'!$B$3=J$3,SUMIF('TL12'!$C$10:$C$224,$C193,'TL12'!$J$10:$J$224),0),
IF('TL12'!$B$229=J$3,SUMIF('TL12'!$C$238:$C$451,$C193,'TL12'!$J$238:$J$451),0),
IF('TL13'!$B$3=J$3,SUMIF('TL13'!$C$10:$C$224,$C193,'TL13'!$J$10:$J$224),0),
IF('TL13'!$B$229=J$3,SUMIF('TL13'!$C$238:$C$451,$C193,'TL13'!$J$238:$J$451),0),
IF('TL14'!$B$3=J$3,SUMIF('TL14'!$C$10:$C$224,$C193,'TL14'!$J$10:$J$224),0),
IF('TL14'!$B$229=J$3,SUMIF('TL14'!$C$238:$C$451,$C193,'TL14'!$J$238:$J$451),0),
IF('TL15'!$B$3=J$3,SUMIF('TL15'!$C$10:$C$224,$C193,'TL15'!$J$10:$J$224),0),
IF('TL15'!$B$229=J$3,SUMIF('TL15'!$C$238:$C$451,$C193,'TL15'!$J$238:$J$451),0),
IF('TL16'!$B$3=J$3,SUMIF('TL16'!$C$10:$C$224,$C193,'TL16'!$J$10:$J$224),0),
IF('TL16'!$B$229=J$3,SUMIF('TL16'!$C$238:$C$451,$C193,'TL16'!$J$238:$J$451),0),
IF('TL17'!$B$3=J$3,SUMIF('TL17'!$C$10:$C$224,$C193,'TL17'!$J$10:$J$224),0),
IF('TL17'!$B$229=J$3,SUMIF('TL17'!$C$238:$C$451,$C193,'TL17'!$J$238:$J$451),0),
IF('TL18'!$B$3=J$3,SUMIF('TL18'!$C$10:$C$224,$C193,'TL18'!$J$10:$J$224),0),
IF('TL18'!$B$229=J$3,SUMIF('TL18'!$C$238:$C$451,$C193,'TL18'!$J$238:$J$451),0),
IF('TL19'!$B$3=J$3,SUMIF('TL19'!$C$10:$C$224,$C193,'TL19'!$J$10:$J$224),0),
IF('TL19'!$B$229=J$3,SUMIF('TL19'!$C$238:$C$451,$C193,'TL19'!$J$238:$J$451),0)
),0)</f>
        <v/>
      </c>
      <c r="K193" s="9">
        <f>IFERROR(SUM(
IF('TL01'!$B$3=K$3,SUMIF('TL01'!$C$10:$C$224,$C193,'TL01'!$J$10:$J$224),0),
IF('TL01'!$B$229=K$3,SUMIF('TL01'!$C$238:$C$451,$C193,'TL01'!$J$238:$J$451),0),
IF('TL02'!$B$3=K$3,SUMIF('TL02'!$C$10:$C$224,$C193,'TL02'!$J$10:$J$224),0),
IF('TL02'!$B$229=K$3,SUMIF('TL02'!$C$238:$C$451,$C193,'TL02'!$J$238:$J$451),0),
IF('TL03'!$B$3=K$3,SUMIF('TL03'!$C$10:$C$224,$C193,'TL03'!$J$10:$J$224),0),
IF('TL03'!$B$229=K$3,SUMIF('TL03'!$C$238:$C$451,$C193,'TL03'!$J$238:$J$451),0),
IF('TL04'!$B$3=K$3,SUMIF('TL04'!$C$10:$C$224,$C193,'TL04'!$J$10:$J$224),0),
IF('TL04'!$B$229=K$3,SUMIF('TL04'!$C$238:$C$451,$C193,'TL04'!$J$238:$J$451),0),
IF('TL05'!$B$3=K$3,SUMIF('TL05'!$C$10:$C$224,$C193,'TL05'!$J$10:$J$224),0),
IF('TL05'!$B$229=K$3,SUMIF('TL05'!$C$238:$C$451,$C193,'TL05'!$J$238:$J$451),0),
IF('TL06'!$B$3=K$3,SUMIF('TL06'!$C$10:$C$224,$C193,'TL06'!$J$10:$J$224),0),
IF('TL06'!$B$229=K$3,SUMIF('TL06'!$C$238:$C$451,$C193,'TL06'!$J$238:$J$451),0),
IF('TL07'!$B$3=K$3,SUMIF('TL07'!$C$10:$C$224,$C193,'TL07'!$J$10:$J$224),0),
IF('TL07'!$B$229=K$3,SUMIF('TL07'!$C$238:$C$451,$C193,'TL07'!$J$238:$J$451),0),
IF('TL08'!$B$3=K$3,SUMIF('TL08'!$C$10:$C$224,$C193,'TL08'!$J$10:$J$224),0),
IF('TL08'!$B$229=K$3,SUMIF('TL08'!$C$238:$C$451,$C193,'TL08'!$J$238:$J$451),0),
IF('TL09'!$B$3=K$3,SUMIF('TL09'!$C$10:$C$224,$C193,'TL09'!$J$10:$J$224),0),
IF('TL09'!$B$229=K$3,SUMIF('TL09'!$C$238:$C$451,$C193,'TL09'!$J$238:$J$451),0),
IF('TL10'!$B$3=K$3,SUMIF('TL10'!$C$10:$C$224,$C193,'TL10'!$J$10:$J$224),0),
IF('TL10'!$B$229=K$3,SUMIF('TL10'!$C$238:$C$451,$C193,'TL10'!$J$238:$J$451),0),
IF('TL11'!$B$3=K$3,SUMIF('TL11'!$C$10:$C$224,$C193,'TL11'!$J$10:$J$224),0),
IF('TL11'!$B$229=K$3,SUMIF('TL11'!$C$238:$C$451,$C193,'TL11'!$J$238:$J$451),0),
IF('TL12'!$B$3=K$3,SUMIF('TL12'!$C$10:$C$224,$C193,'TL12'!$J$10:$J$224),0),
IF('TL12'!$B$229=K$3,SUMIF('TL12'!$C$238:$C$451,$C193,'TL12'!$J$238:$J$451),0),
IF('TL13'!$B$3=K$3,SUMIF('TL13'!$C$10:$C$224,$C193,'TL13'!$J$10:$J$224),0),
IF('TL13'!$B$229=K$3,SUMIF('TL13'!$C$238:$C$451,$C193,'TL13'!$J$238:$J$451),0),
IF('TL14'!$B$3=K$3,SUMIF('TL14'!$C$10:$C$224,$C193,'TL14'!$J$10:$J$224),0),
IF('TL14'!$B$229=K$3,SUMIF('TL14'!$C$238:$C$451,$C193,'TL14'!$J$238:$J$451),0),
IF('TL15'!$B$3=K$3,SUMIF('TL15'!$C$10:$C$224,$C193,'TL15'!$J$10:$J$224),0),
IF('TL15'!$B$229=K$3,SUMIF('TL15'!$C$238:$C$451,$C193,'TL15'!$J$238:$J$451),0),
IF('TL16'!$B$3=K$3,SUMIF('TL16'!$C$10:$C$224,$C193,'TL16'!$J$10:$J$224),0),
IF('TL16'!$B$229=K$3,SUMIF('TL16'!$C$238:$C$451,$C193,'TL16'!$J$238:$J$451),0),
IF('TL17'!$B$3=K$3,SUMIF('TL17'!$C$10:$C$224,$C193,'TL17'!$J$10:$J$224),0),
IF('TL17'!$B$229=K$3,SUMIF('TL17'!$C$238:$C$451,$C193,'TL17'!$J$238:$J$451),0),
IF('TL18'!$B$3=K$3,SUMIF('TL18'!$C$10:$C$224,$C193,'TL18'!$J$10:$J$224),0),
IF('TL18'!$B$229=K$3,SUMIF('TL18'!$C$238:$C$451,$C193,'TL18'!$J$238:$J$451),0),
IF('TL19'!$B$3=K$3,SUMIF('TL19'!$C$10:$C$224,$C193,'TL19'!$J$10:$J$224),0),
IF('TL19'!$B$229=K$3,SUMIF('TL19'!$C$238:$C$451,$C193,'TL19'!$J$238:$J$451),0)
),0)</f>
        <v/>
      </c>
      <c r="L193" s="9">
        <f>IFERROR(SUM(
IF('TL01'!$B$3=L$3,SUMIF('TL01'!$C$10:$C$224,$C193,'TL01'!$J$10:$J$224),0),
IF('TL01'!$B$229=L$3,SUMIF('TL01'!$C$238:$C$451,$C193,'TL01'!$J$238:$J$451),0),
IF('TL02'!$B$3=L$3,SUMIF('TL02'!$C$10:$C$224,$C193,'TL02'!$J$10:$J$224),0),
IF('TL02'!$B$229=L$3,SUMIF('TL02'!$C$238:$C$451,$C193,'TL02'!$J$238:$J$451),0),
IF('TL03'!$B$3=L$3,SUMIF('TL03'!$C$10:$C$224,$C193,'TL03'!$J$10:$J$224),0),
IF('TL03'!$B$229=L$3,SUMIF('TL03'!$C$238:$C$451,$C193,'TL03'!$J$238:$J$451),0),
IF('TL04'!$B$3=L$3,SUMIF('TL04'!$C$10:$C$224,$C193,'TL04'!$J$10:$J$224),0),
IF('TL04'!$B$229=L$3,SUMIF('TL04'!$C$238:$C$451,$C193,'TL04'!$J$238:$J$451),0),
IF('TL05'!$B$3=L$3,SUMIF('TL05'!$C$10:$C$224,$C193,'TL05'!$J$10:$J$224),0),
IF('TL05'!$B$229=L$3,SUMIF('TL05'!$C$238:$C$451,$C193,'TL05'!$J$238:$J$451),0),
IF('TL06'!$B$3=L$3,SUMIF('TL06'!$C$10:$C$224,$C193,'TL06'!$J$10:$J$224),0),
IF('TL06'!$B$229=L$3,SUMIF('TL06'!$C$238:$C$451,$C193,'TL06'!$J$238:$J$451),0),
IF('TL07'!$B$3=L$3,SUMIF('TL07'!$C$10:$C$224,$C193,'TL07'!$J$10:$J$224),0),
IF('TL07'!$B$229=L$3,SUMIF('TL07'!$C$238:$C$451,$C193,'TL07'!$J$238:$J$451),0),
IF('TL08'!$B$3=L$3,SUMIF('TL08'!$C$10:$C$224,$C193,'TL08'!$J$10:$J$224),0),
IF('TL08'!$B$229=L$3,SUMIF('TL08'!$C$238:$C$451,$C193,'TL08'!$J$238:$J$451),0),
IF('TL09'!$B$3=L$3,SUMIF('TL09'!$C$10:$C$224,$C193,'TL09'!$J$10:$J$224),0),
IF('TL09'!$B$229=L$3,SUMIF('TL09'!$C$238:$C$451,$C193,'TL09'!$J$238:$J$451),0),
IF('TL10'!$B$3=L$3,SUMIF('TL10'!$C$10:$C$224,$C193,'TL10'!$J$10:$J$224),0),
IF('TL10'!$B$229=L$3,SUMIF('TL10'!$C$238:$C$451,$C193,'TL10'!$J$238:$J$451),0),
IF('TL11'!$B$3=L$3,SUMIF('TL11'!$C$10:$C$224,$C193,'TL11'!$J$10:$J$224),0),
IF('TL11'!$B$229=L$3,SUMIF('TL11'!$C$238:$C$451,$C193,'TL11'!$J$238:$J$451),0),
IF('TL12'!$B$3=L$3,SUMIF('TL12'!$C$10:$C$224,$C193,'TL12'!$J$10:$J$224),0),
IF('TL12'!$B$229=L$3,SUMIF('TL12'!$C$238:$C$451,$C193,'TL12'!$J$238:$J$451),0),
IF('TL13'!$B$3=L$3,SUMIF('TL13'!$C$10:$C$224,$C193,'TL13'!$J$10:$J$224),0),
IF('TL13'!$B$229=L$3,SUMIF('TL13'!$C$238:$C$451,$C193,'TL13'!$J$238:$J$451),0),
IF('TL14'!$B$3=L$3,SUMIF('TL14'!$C$10:$C$224,$C193,'TL14'!$J$10:$J$224),0),
IF('TL14'!$B$229=L$3,SUMIF('TL14'!$C$238:$C$451,$C193,'TL14'!$J$238:$J$451),0),
IF('TL15'!$B$3=L$3,SUMIF('TL15'!$C$10:$C$224,$C193,'TL15'!$J$10:$J$224),0),
IF('TL15'!$B$229=L$3,SUMIF('TL15'!$C$238:$C$451,$C193,'TL15'!$J$238:$J$451),0),
IF('TL16'!$B$3=L$3,SUMIF('TL16'!$C$10:$C$224,$C193,'TL16'!$J$10:$J$224),0),
IF('TL16'!$B$229=L$3,SUMIF('TL16'!$C$238:$C$451,$C193,'TL16'!$J$238:$J$451),0),
IF('TL17'!$B$3=L$3,SUMIF('TL17'!$C$10:$C$224,$C193,'TL17'!$J$10:$J$224),0),
IF('TL17'!$B$229=L$3,SUMIF('TL17'!$C$238:$C$451,$C193,'TL17'!$J$238:$J$451),0),
IF('TL18'!$B$3=L$3,SUMIF('TL18'!$C$10:$C$224,$C193,'TL18'!$J$10:$J$224),0),
IF('TL18'!$B$229=L$3,SUMIF('TL18'!$C$238:$C$451,$C193,'TL18'!$J$238:$J$451),0),
IF('TL19'!$B$3=L$3,SUMIF('TL19'!$C$10:$C$224,$C193,'TL19'!$J$10:$J$224),0),
IF('TL19'!$B$229=L$3,SUMIF('TL19'!$C$238:$C$451,$C193,'TL19'!$J$238:$J$451),0)
),0)</f>
        <v/>
      </c>
      <c r="M193" s="9">
        <f>IFERROR(SUM(
IF('TL01'!$B$3=M$3,SUMIF('TL01'!$C$10:$C$224,$C193,'TL01'!$J$10:$J$224),0),
IF('TL01'!$B$229=M$3,SUMIF('TL01'!$C$238:$C$451,$C193,'TL01'!$J$238:$J$451),0),
IF('TL02'!$B$3=M$3,SUMIF('TL02'!$C$10:$C$224,$C193,'TL02'!$J$10:$J$224),0),
IF('TL02'!$B$229=M$3,SUMIF('TL02'!$C$238:$C$451,$C193,'TL02'!$J$238:$J$451),0),
IF('TL03'!$B$3=M$3,SUMIF('TL03'!$C$10:$C$224,$C193,'TL03'!$J$10:$J$224),0),
IF('TL03'!$B$229=M$3,SUMIF('TL03'!$C$238:$C$451,$C193,'TL03'!$J$238:$J$451),0),
IF('TL04'!$B$3=M$3,SUMIF('TL04'!$C$10:$C$224,$C193,'TL04'!$J$10:$J$224),0),
IF('TL04'!$B$229=M$3,SUMIF('TL04'!$C$238:$C$451,$C193,'TL04'!$J$238:$J$451),0),
IF('TL05'!$B$3=M$3,SUMIF('TL05'!$C$10:$C$224,$C193,'TL05'!$J$10:$J$224),0),
IF('TL05'!$B$229=M$3,SUMIF('TL05'!$C$238:$C$451,$C193,'TL05'!$J$238:$J$451),0),
IF('TL06'!$B$3=M$3,SUMIF('TL06'!$C$10:$C$224,$C193,'TL06'!$J$10:$J$224),0),
IF('TL06'!$B$229=M$3,SUMIF('TL06'!$C$238:$C$451,$C193,'TL06'!$J$238:$J$451),0),
IF('TL07'!$B$3=M$3,SUMIF('TL07'!$C$10:$C$224,$C193,'TL07'!$J$10:$J$224),0),
IF('TL07'!$B$229=M$3,SUMIF('TL07'!$C$238:$C$451,$C193,'TL07'!$J$238:$J$451),0),
IF('TL08'!$B$3=M$3,SUMIF('TL08'!$C$10:$C$224,$C193,'TL08'!$J$10:$J$224),0),
IF('TL08'!$B$229=M$3,SUMIF('TL08'!$C$238:$C$451,$C193,'TL08'!$J$238:$J$451),0),
IF('TL09'!$B$3=M$3,SUMIF('TL09'!$C$10:$C$224,$C193,'TL09'!$J$10:$J$224),0),
IF('TL09'!$B$229=M$3,SUMIF('TL09'!$C$238:$C$451,$C193,'TL09'!$J$238:$J$451),0),
IF('TL10'!$B$3=M$3,SUMIF('TL10'!$C$10:$C$224,$C193,'TL10'!$J$10:$J$224),0),
IF('TL10'!$B$229=M$3,SUMIF('TL10'!$C$238:$C$451,$C193,'TL10'!$J$238:$J$451),0),
IF('TL11'!$B$3=M$3,SUMIF('TL11'!$C$10:$C$224,$C193,'TL11'!$J$10:$J$224),0),
IF('TL11'!$B$229=M$3,SUMIF('TL11'!$C$238:$C$451,$C193,'TL11'!$J$238:$J$451),0),
IF('TL12'!$B$3=M$3,SUMIF('TL12'!$C$10:$C$224,$C193,'TL12'!$J$10:$J$224),0),
IF('TL12'!$B$229=M$3,SUMIF('TL12'!$C$238:$C$451,$C193,'TL12'!$J$238:$J$451),0),
IF('TL13'!$B$3=M$3,SUMIF('TL13'!$C$10:$C$224,$C193,'TL13'!$J$10:$J$224),0),
IF('TL13'!$B$229=M$3,SUMIF('TL13'!$C$238:$C$451,$C193,'TL13'!$J$238:$J$451),0),
IF('TL14'!$B$3=M$3,SUMIF('TL14'!$C$10:$C$224,$C193,'TL14'!$J$10:$J$224),0),
IF('TL14'!$B$229=M$3,SUMIF('TL14'!$C$238:$C$451,$C193,'TL14'!$J$238:$J$451),0),
IF('TL15'!$B$3=M$3,SUMIF('TL15'!$C$10:$C$224,$C193,'TL15'!$J$10:$J$224),0),
IF('TL15'!$B$229=M$3,SUMIF('TL15'!$C$238:$C$451,$C193,'TL15'!$J$238:$J$451),0),
IF('TL16'!$B$3=M$3,SUMIF('TL16'!$C$10:$C$224,$C193,'TL16'!$J$10:$J$224),0),
IF('TL16'!$B$229=M$3,SUMIF('TL16'!$C$238:$C$451,$C193,'TL16'!$J$238:$J$451),0),
IF('TL17'!$B$3=M$3,SUMIF('TL17'!$C$10:$C$224,$C193,'TL17'!$J$10:$J$224),0),
IF('TL17'!$B$229=M$3,SUMIF('TL17'!$C$238:$C$451,$C193,'TL17'!$J$238:$J$451),0),
IF('TL18'!$B$3=M$3,SUMIF('TL18'!$C$10:$C$224,$C193,'TL18'!$J$10:$J$224),0),
IF('TL18'!$B$229=M$3,SUMIF('TL18'!$C$238:$C$451,$C193,'TL18'!$J$238:$J$451),0),
IF('TL19'!$B$3=M$3,SUMIF('TL19'!$C$10:$C$224,$C193,'TL19'!$J$10:$J$224),0),
IF('TL19'!$B$229=M$3,SUMIF('TL19'!$C$238:$C$451,$C193,'TL19'!$J$238:$J$451),0)
),0)</f>
        <v/>
      </c>
      <c r="N193" s="9">
        <f>IFERROR(SUM(
IF('TL01'!$B$3=N$3,SUMIF('TL01'!$C$10:$C$224,$C193,'TL01'!$J$10:$J$224),0),
IF('TL01'!$B$229=N$3,SUMIF('TL01'!$C$238:$C$451,$C193,'TL01'!$J$238:$J$451),0),
IF('TL02'!$B$3=N$3,SUMIF('TL02'!$C$10:$C$224,$C193,'TL02'!$J$10:$J$224),0),
IF('TL02'!$B$229=N$3,SUMIF('TL02'!$C$238:$C$451,$C193,'TL02'!$J$238:$J$451),0),
IF('TL03'!$B$3=N$3,SUMIF('TL03'!$C$10:$C$224,$C193,'TL03'!$J$10:$J$224),0),
IF('TL03'!$B$229=N$3,SUMIF('TL03'!$C$238:$C$451,$C193,'TL03'!$J$238:$J$451),0),
IF('TL04'!$B$3=N$3,SUMIF('TL04'!$C$10:$C$224,$C193,'TL04'!$J$10:$J$224),0),
IF('TL04'!$B$229=N$3,SUMIF('TL04'!$C$238:$C$451,$C193,'TL04'!$J$238:$J$451),0),
IF('TL05'!$B$3=N$3,SUMIF('TL05'!$C$10:$C$224,$C193,'TL05'!$J$10:$J$224),0),
IF('TL05'!$B$229=N$3,SUMIF('TL05'!$C$238:$C$451,$C193,'TL05'!$J$238:$J$451),0),
IF('TL06'!$B$3=N$3,SUMIF('TL06'!$C$10:$C$224,$C193,'TL06'!$J$10:$J$224),0),
IF('TL06'!$B$229=N$3,SUMIF('TL06'!$C$238:$C$451,$C193,'TL06'!$J$238:$J$451),0),
IF('TL07'!$B$3=N$3,SUMIF('TL07'!$C$10:$C$224,$C193,'TL07'!$J$10:$J$224),0),
IF('TL07'!$B$229=N$3,SUMIF('TL07'!$C$238:$C$451,$C193,'TL07'!$J$238:$J$451),0),
IF('TL08'!$B$3=N$3,SUMIF('TL08'!$C$10:$C$224,$C193,'TL08'!$J$10:$J$224),0),
IF('TL08'!$B$229=N$3,SUMIF('TL08'!$C$238:$C$451,$C193,'TL08'!$J$238:$J$451),0),
IF('TL09'!$B$3=N$3,SUMIF('TL09'!$C$10:$C$224,$C193,'TL09'!$J$10:$J$224),0),
IF('TL09'!$B$229=N$3,SUMIF('TL09'!$C$238:$C$451,$C193,'TL09'!$J$238:$J$451),0),
IF('TL10'!$B$3=N$3,SUMIF('TL10'!$C$10:$C$224,$C193,'TL10'!$J$10:$J$224),0),
IF('TL10'!$B$229=N$3,SUMIF('TL10'!$C$238:$C$451,$C193,'TL10'!$J$238:$J$451),0),
IF('TL11'!$B$3=N$3,SUMIF('TL11'!$C$10:$C$224,$C193,'TL11'!$J$10:$J$224),0),
IF('TL11'!$B$229=N$3,SUMIF('TL11'!$C$238:$C$451,$C193,'TL11'!$J$238:$J$451),0),
IF('TL12'!$B$3=N$3,SUMIF('TL12'!$C$10:$C$224,$C193,'TL12'!$J$10:$J$224),0),
IF('TL12'!$B$229=N$3,SUMIF('TL12'!$C$238:$C$451,$C193,'TL12'!$J$238:$J$451),0),
IF('TL13'!$B$3=N$3,SUMIF('TL13'!$C$10:$C$224,$C193,'TL13'!$J$10:$J$224),0),
IF('TL13'!$B$229=N$3,SUMIF('TL13'!$C$238:$C$451,$C193,'TL13'!$J$238:$J$451),0),
IF('TL14'!$B$3=N$3,SUMIF('TL14'!$C$10:$C$224,$C193,'TL14'!$J$10:$J$224),0),
IF('TL14'!$B$229=N$3,SUMIF('TL14'!$C$238:$C$451,$C193,'TL14'!$J$238:$J$451),0),
IF('TL15'!$B$3=N$3,SUMIF('TL15'!$C$10:$C$224,$C193,'TL15'!$J$10:$J$224),0),
IF('TL15'!$B$229=N$3,SUMIF('TL15'!$C$238:$C$451,$C193,'TL15'!$J$238:$J$451),0),
IF('TL16'!$B$3=N$3,SUMIF('TL16'!$C$10:$C$224,$C193,'TL16'!$J$10:$J$224),0),
IF('TL16'!$B$229=N$3,SUMIF('TL16'!$C$238:$C$451,$C193,'TL16'!$J$238:$J$451),0),
IF('TL17'!$B$3=N$3,SUMIF('TL17'!$C$10:$C$224,$C193,'TL17'!$J$10:$J$224),0),
IF('TL17'!$B$229=N$3,SUMIF('TL17'!$C$238:$C$451,$C193,'TL17'!$J$238:$J$451),0),
IF('TL18'!$B$3=N$3,SUMIF('TL18'!$C$10:$C$224,$C193,'TL18'!$J$10:$J$224),0),
IF('TL18'!$B$229=N$3,SUMIF('TL18'!$C$238:$C$451,$C193,'TL18'!$J$238:$J$451),0),
IF('TL19'!$B$3=N$3,SUMIF('TL19'!$C$10:$C$224,$C193,'TL19'!$J$10:$J$224),0),
IF('TL19'!$B$229=N$3,SUMIF('TL19'!$C$238:$C$451,$C193,'TL19'!$J$238:$J$451),0)
),0)</f>
        <v/>
      </c>
      <c r="O193" s="9">
        <f>IFERROR(SUM(
IF('TL01'!$B$3=O$3,SUMIF('TL01'!$C$10:$C$224,$C193,'TL01'!$J$10:$J$224),0),
IF('TL01'!$B$229=O$3,SUMIF('TL01'!$C$238:$C$451,$C193,'TL01'!$J$238:$J$451),0),
IF('TL02'!$B$3=O$3,SUMIF('TL02'!$C$10:$C$224,$C193,'TL02'!$J$10:$J$224),0),
IF('TL02'!$B$229=O$3,SUMIF('TL02'!$C$238:$C$451,$C193,'TL02'!$J$238:$J$451),0),
IF('TL03'!$B$3=O$3,SUMIF('TL03'!$C$10:$C$224,$C193,'TL03'!$J$10:$J$224),0),
IF('TL03'!$B$229=O$3,SUMIF('TL03'!$C$238:$C$451,$C193,'TL03'!$J$238:$J$451),0),
IF('TL04'!$B$3=O$3,SUMIF('TL04'!$C$10:$C$224,$C193,'TL04'!$J$10:$J$224),0),
IF('TL04'!$B$229=O$3,SUMIF('TL04'!$C$238:$C$451,$C193,'TL04'!$J$238:$J$451),0),
IF('TL05'!$B$3=O$3,SUMIF('TL05'!$C$10:$C$224,$C193,'TL05'!$J$10:$J$224),0),
IF('TL05'!$B$229=O$3,SUMIF('TL05'!$C$238:$C$451,$C193,'TL05'!$J$238:$J$451),0),
IF('TL06'!$B$3=O$3,SUMIF('TL06'!$C$10:$C$224,$C193,'TL06'!$J$10:$J$224),0),
IF('TL06'!$B$229=O$3,SUMIF('TL06'!$C$238:$C$451,$C193,'TL06'!$J$238:$J$451),0),
IF('TL07'!$B$3=O$3,SUMIF('TL07'!$C$10:$C$224,$C193,'TL07'!$J$10:$J$224),0),
IF('TL07'!$B$229=O$3,SUMIF('TL07'!$C$238:$C$451,$C193,'TL07'!$J$238:$J$451),0),
IF('TL08'!$B$3=O$3,SUMIF('TL08'!$C$10:$C$224,$C193,'TL08'!$J$10:$J$224),0),
IF('TL08'!$B$229=O$3,SUMIF('TL08'!$C$238:$C$451,$C193,'TL08'!$J$238:$J$451),0),
IF('TL09'!$B$3=O$3,SUMIF('TL09'!$C$10:$C$224,$C193,'TL09'!$J$10:$J$224),0),
IF('TL09'!$B$229=O$3,SUMIF('TL09'!$C$238:$C$451,$C193,'TL09'!$J$238:$J$451),0),
IF('TL10'!$B$3=O$3,SUMIF('TL10'!$C$10:$C$224,$C193,'TL10'!$J$10:$J$224),0),
IF('TL10'!$B$229=O$3,SUMIF('TL10'!$C$238:$C$451,$C193,'TL10'!$J$238:$J$451),0),
IF('TL11'!$B$3=O$3,SUMIF('TL11'!$C$10:$C$224,$C193,'TL11'!$J$10:$J$224),0),
IF('TL11'!$B$229=O$3,SUMIF('TL11'!$C$238:$C$451,$C193,'TL11'!$J$238:$J$451),0),
IF('TL12'!$B$3=O$3,SUMIF('TL12'!$C$10:$C$224,$C193,'TL12'!$J$10:$J$224),0),
IF('TL12'!$B$229=O$3,SUMIF('TL12'!$C$238:$C$451,$C193,'TL12'!$J$238:$J$451),0),
IF('TL13'!$B$3=O$3,SUMIF('TL13'!$C$10:$C$224,$C193,'TL13'!$J$10:$J$224),0),
IF('TL13'!$B$229=O$3,SUMIF('TL13'!$C$238:$C$451,$C193,'TL13'!$J$238:$J$451),0),
IF('TL14'!$B$3=O$3,SUMIF('TL14'!$C$10:$C$224,$C193,'TL14'!$J$10:$J$224),0),
IF('TL14'!$B$229=O$3,SUMIF('TL14'!$C$238:$C$451,$C193,'TL14'!$J$238:$J$451),0),
IF('TL15'!$B$3=O$3,SUMIF('TL15'!$C$10:$C$224,$C193,'TL15'!$J$10:$J$224),0),
IF('TL15'!$B$229=O$3,SUMIF('TL15'!$C$238:$C$451,$C193,'TL15'!$J$238:$J$451),0),
IF('TL16'!$B$3=O$3,SUMIF('TL16'!$C$10:$C$224,$C193,'TL16'!$J$10:$J$224),0),
IF('TL16'!$B$229=O$3,SUMIF('TL16'!$C$238:$C$451,$C193,'TL16'!$J$238:$J$451),0),
IF('TL17'!$B$3=O$3,SUMIF('TL17'!$C$10:$C$224,$C193,'TL17'!$J$10:$J$224),0),
IF('TL17'!$B$229=O$3,SUMIF('TL17'!$C$238:$C$451,$C193,'TL17'!$J$238:$J$451),0),
IF('TL18'!$B$3=O$3,SUMIF('TL18'!$C$10:$C$224,$C193,'TL18'!$J$10:$J$224),0),
IF('TL18'!$B$229=O$3,SUMIF('TL18'!$C$238:$C$451,$C193,'TL18'!$J$238:$J$451),0),
IF('TL19'!$B$3=O$3,SUMIF('TL19'!$C$10:$C$224,$C193,'TL19'!$J$10:$J$224),0),
IF('TL19'!$B$229=O$3,SUMIF('TL19'!$C$238:$C$451,$C193,'TL19'!$J$238:$J$451),0)
),0)</f>
        <v/>
      </c>
      <c r="P193" s="9">
        <f>IFERROR(SUM(
IF('TL01'!$B$3=P$3,SUMIF('TL01'!$C$10:$C$224,$C193,'TL01'!$J$10:$J$224),0),
IF('TL01'!$B$229=P$3,SUMIF('TL01'!$C$238:$C$451,$C193,'TL01'!$J$238:$J$451),0),
IF('TL02'!$B$3=P$3,SUMIF('TL02'!$C$10:$C$224,$C193,'TL02'!$J$10:$J$224),0),
IF('TL02'!$B$229=P$3,SUMIF('TL02'!$C$238:$C$451,$C193,'TL02'!$J$238:$J$451),0),
IF('TL03'!$B$3=P$3,SUMIF('TL03'!$C$10:$C$224,$C193,'TL03'!$J$10:$J$224),0),
IF('TL03'!$B$229=P$3,SUMIF('TL03'!$C$238:$C$451,$C193,'TL03'!$J$238:$J$451),0),
IF('TL04'!$B$3=P$3,SUMIF('TL04'!$C$10:$C$224,$C193,'TL04'!$J$10:$J$224),0),
IF('TL04'!$B$229=P$3,SUMIF('TL04'!$C$238:$C$451,$C193,'TL04'!$J$238:$J$451),0),
IF('TL05'!$B$3=P$3,SUMIF('TL05'!$C$10:$C$224,$C193,'TL05'!$J$10:$J$224),0),
IF('TL05'!$B$229=P$3,SUMIF('TL05'!$C$238:$C$451,$C193,'TL05'!$J$238:$J$451),0),
IF('TL06'!$B$3=P$3,SUMIF('TL06'!$C$10:$C$224,$C193,'TL06'!$J$10:$J$224),0),
IF('TL06'!$B$229=P$3,SUMIF('TL06'!$C$238:$C$451,$C193,'TL06'!$J$238:$J$451),0),
IF('TL07'!$B$3=P$3,SUMIF('TL07'!$C$10:$C$224,$C193,'TL07'!$J$10:$J$224),0),
IF('TL07'!$B$229=P$3,SUMIF('TL07'!$C$238:$C$451,$C193,'TL07'!$J$238:$J$451),0),
IF('TL08'!$B$3=P$3,SUMIF('TL08'!$C$10:$C$224,$C193,'TL08'!$J$10:$J$224),0),
IF('TL08'!$B$229=P$3,SUMIF('TL08'!$C$238:$C$451,$C193,'TL08'!$J$238:$J$451),0),
IF('TL09'!$B$3=P$3,SUMIF('TL09'!$C$10:$C$224,$C193,'TL09'!$J$10:$J$224),0),
IF('TL09'!$B$229=P$3,SUMIF('TL09'!$C$238:$C$451,$C193,'TL09'!$J$238:$J$451),0),
IF('TL10'!$B$3=P$3,SUMIF('TL10'!$C$10:$C$224,$C193,'TL10'!$J$10:$J$224),0),
IF('TL10'!$B$229=P$3,SUMIF('TL10'!$C$238:$C$451,$C193,'TL10'!$J$238:$J$451),0),
IF('TL11'!$B$3=P$3,SUMIF('TL11'!$C$10:$C$224,$C193,'TL11'!$J$10:$J$224),0),
IF('TL11'!$B$229=P$3,SUMIF('TL11'!$C$238:$C$451,$C193,'TL11'!$J$238:$J$451),0),
IF('TL12'!$B$3=P$3,SUMIF('TL12'!$C$10:$C$224,$C193,'TL12'!$J$10:$J$224),0),
IF('TL12'!$B$229=P$3,SUMIF('TL12'!$C$238:$C$451,$C193,'TL12'!$J$238:$J$451),0),
IF('TL13'!$B$3=P$3,SUMIF('TL13'!$C$10:$C$224,$C193,'TL13'!$J$10:$J$224),0),
IF('TL13'!$B$229=P$3,SUMIF('TL13'!$C$238:$C$451,$C193,'TL13'!$J$238:$J$451),0),
IF('TL14'!$B$3=P$3,SUMIF('TL14'!$C$10:$C$224,$C193,'TL14'!$J$10:$J$224),0),
IF('TL14'!$B$229=P$3,SUMIF('TL14'!$C$238:$C$451,$C193,'TL14'!$J$238:$J$451),0),
IF('TL15'!$B$3=P$3,SUMIF('TL15'!$C$10:$C$224,$C193,'TL15'!$J$10:$J$224),0),
IF('TL15'!$B$229=P$3,SUMIF('TL15'!$C$238:$C$451,$C193,'TL15'!$J$238:$J$451),0),
IF('TL16'!$B$3=P$3,SUMIF('TL16'!$C$10:$C$224,$C193,'TL16'!$J$10:$J$224),0),
IF('TL16'!$B$229=P$3,SUMIF('TL16'!$C$238:$C$451,$C193,'TL16'!$J$238:$J$451),0),
IF('TL17'!$B$3=P$3,SUMIF('TL17'!$C$10:$C$224,$C193,'TL17'!$J$10:$J$224),0),
IF('TL17'!$B$229=P$3,SUMIF('TL17'!$C$238:$C$451,$C193,'TL17'!$J$238:$J$451),0),
IF('TL18'!$B$3=P$3,SUMIF('TL18'!$C$10:$C$224,$C193,'TL18'!$J$10:$J$224),0),
IF('TL18'!$B$229=P$3,SUMIF('TL18'!$C$238:$C$451,$C193,'TL18'!$J$238:$J$451),0),
IF('TL19'!$B$3=P$3,SUMIF('TL19'!$C$10:$C$224,$C193,'TL19'!$J$10:$J$224),0),
IF('TL19'!$B$229=P$3,SUMIF('TL19'!$C$238:$C$451,$C193,'TL19'!$J$238:$J$451),0)
),0)</f>
        <v/>
      </c>
      <c r="Q193" s="9">
        <f>IFERROR(SUM(
IF('TL01'!$B$3=Q$3,SUMIF('TL01'!$C$10:$C$224,$C193,'TL01'!$J$10:$J$224),0),
IF('TL01'!$B$229=Q$3,SUMIF('TL01'!$C$238:$C$451,$C193,'TL01'!$J$238:$J$451),0),
IF('TL02'!$B$3=Q$3,SUMIF('TL02'!$C$10:$C$224,$C193,'TL02'!$J$10:$J$224),0),
IF('TL02'!$B$229=Q$3,SUMIF('TL02'!$C$238:$C$451,$C193,'TL02'!$J$238:$J$451),0),
IF('TL03'!$B$3=Q$3,SUMIF('TL03'!$C$10:$C$224,$C193,'TL03'!$J$10:$J$224),0),
IF('TL03'!$B$229=Q$3,SUMIF('TL03'!$C$238:$C$451,$C193,'TL03'!$J$238:$J$451),0),
IF('TL04'!$B$3=Q$3,SUMIF('TL04'!$C$10:$C$224,$C193,'TL04'!$J$10:$J$224),0),
IF('TL04'!$B$229=Q$3,SUMIF('TL04'!$C$238:$C$451,$C193,'TL04'!$J$238:$J$451),0),
IF('TL05'!$B$3=Q$3,SUMIF('TL05'!$C$10:$C$224,$C193,'TL05'!$J$10:$J$224),0),
IF('TL05'!$B$229=Q$3,SUMIF('TL05'!$C$238:$C$451,$C193,'TL05'!$J$238:$J$451),0),
IF('TL06'!$B$3=Q$3,SUMIF('TL06'!$C$10:$C$224,$C193,'TL06'!$J$10:$J$224),0),
IF('TL06'!$B$229=Q$3,SUMIF('TL06'!$C$238:$C$451,$C193,'TL06'!$J$238:$J$451),0),
IF('TL07'!$B$3=Q$3,SUMIF('TL07'!$C$10:$C$224,$C193,'TL07'!$J$10:$J$224),0),
IF('TL07'!$B$229=Q$3,SUMIF('TL07'!$C$238:$C$451,$C193,'TL07'!$J$238:$J$451),0),
IF('TL08'!$B$3=Q$3,SUMIF('TL08'!$C$10:$C$224,$C193,'TL08'!$J$10:$J$224),0),
IF('TL08'!$B$229=Q$3,SUMIF('TL08'!$C$238:$C$451,$C193,'TL08'!$J$238:$J$451),0),
IF('TL09'!$B$3=Q$3,SUMIF('TL09'!$C$10:$C$224,$C193,'TL09'!$J$10:$J$224),0),
IF('TL09'!$B$229=Q$3,SUMIF('TL09'!$C$238:$C$451,$C193,'TL09'!$J$238:$J$451),0),
IF('TL10'!$B$3=Q$3,SUMIF('TL10'!$C$10:$C$224,$C193,'TL10'!$J$10:$J$224),0),
IF('TL10'!$B$229=Q$3,SUMIF('TL10'!$C$238:$C$451,$C193,'TL10'!$J$238:$J$451),0),
IF('TL11'!$B$3=Q$3,SUMIF('TL11'!$C$10:$C$224,$C193,'TL11'!$J$10:$J$224),0),
IF('TL11'!$B$229=Q$3,SUMIF('TL11'!$C$238:$C$451,$C193,'TL11'!$J$238:$J$451),0),
IF('TL12'!$B$3=Q$3,SUMIF('TL12'!$C$10:$C$224,$C193,'TL12'!$J$10:$J$224),0),
IF('TL12'!$B$229=Q$3,SUMIF('TL12'!$C$238:$C$451,$C193,'TL12'!$J$238:$J$451),0),
IF('TL13'!$B$3=Q$3,SUMIF('TL13'!$C$10:$C$224,$C193,'TL13'!$J$10:$J$224),0),
IF('TL13'!$B$229=Q$3,SUMIF('TL13'!$C$238:$C$451,$C193,'TL13'!$J$238:$J$451),0),
IF('TL14'!$B$3=Q$3,SUMIF('TL14'!$C$10:$C$224,$C193,'TL14'!$J$10:$J$224),0),
IF('TL14'!$B$229=Q$3,SUMIF('TL14'!$C$238:$C$451,$C193,'TL14'!$J$238:$J$451),0),
IF('TL15'!$B$3=Q$3,SUMIF('TL15'!$C$10:$C$224,$C193,'TL15'!$J$10:$J$224),0),
IF('TL15'!$B$229=Q$3,SUMIF('TL15'!$C$238:$C$451,$C193,'TL15'!$J$238:$J$451),0),
IF('TL16'!$B$3=Q$3,SUMIF('TL16'!$C$10:$C$224,$C193,'TL16'!$J$10:$J$224),0),
IF('TL16'!$B$229=Q$3,SUMIF('TL16'!$C$238:$C$451,$C193,'TL16'!$J$238:$J$451),0),
IF('TL17'!$B$3=Q$3,SUMIF('TL17'!$C$10:$C$224,$C193,'TL17'!$J$10:$J$224),0),
IF('TL17'!$B$229=Q$3,SUMIF('TL17'!$C$238:$C$451,$C193,'TL17'!$J$238:$J$451),0),
IF('TL18'!$B$3=Q$3,SUMIF('TL18'!$C$10:$C$224,$C193,'TL18'!$J$10:$J$224),0),
IF('TL18'!$B$229=Q$3,SUMIF('TL18'!$C$238:$C$451,$C193,'TL18'!$J$238:$J$451),0),
IF('TL19'!$B$3=Q$3,SUMIF('TL19'!$C$10:$C$224,$C193,'TL19'!$J$10:$J$224),0),
IF('TL19'!$B$229=Q$3,SUMIF('TL19'!$C$238:$C$451,$C193,'TL19'!$J$238:$J$451),0)
),0)</f>
        <v/>
      </c>
      <c r="R193" s="9">
        <f>IFERROR(
SUM(
SUMIF('TL01'!C:C,C193,'TL01'!J:J),
SUMIF('TL02'!C:C,C193,'TL02'!J:J),
SUMIF('TL03'!C:C,C193,'TL03'!J:J),
SUMIF('TL04'!C:C,C193,'TL04'!J:J),
SUMIF('TL05'!C:C,C193,'TL05'!J:J),
SUMIF('TL06'!C:C,C193,'TL06'!J:J),
SUMIF('TL07'!C:C,C193,'TL07'!J:J),
SUMIF('TL08'!C:C,C193,'TL08'!J:J),
SUMIF('TL09'!C:C,C193,'TL09'!J:J),
SUMIF('TL10'!C:C,C193,'TL10'!J:J),
SUMIF('TL11'!C:C,C193,'TL11'!J:J),
SUMIF('TL12'!C:C,C193,'TL12'!J:J),
SUMIF('TL13'!C:C,C193,'TL13'!J:J),
SUMIF('TL14'!C:C,C193,'TL14'!J:J),
SUMIF('TL15'!C:C,C193,'TL15'!J:J),
SUMIF('TL16'!C:C,C193,'TL16'!J:J),
SUMIF('TL17'!C:C,C193,'TL17'!J:J),
SUMIF('TL18'!C:C,C193,'TL18'!J:J),SUMIF('TL19'!C:C,C193,'TL19'!J:J))
,0)</f>
        <v/>
      </c>
      <c r="S193" s="17">
        <f>IFERROR(__xludf.DUMMYFUNCTION("IFERROR(VLOOKUP(C193,
IMPORTRANGE(""1wULbzX32WdYsx-lj2U3uUNBBe2INVIRDtcK0d-Dvl90"",
""26-27!C:G""),
5,
FALSE),
"""")"),82.42131)</f>
        <v/>
      </c>
      <c r="T193" s="9" t="n"/>
      <c r="U193" s="92">
        <f>MAX(0,R193-T193)</f>
        <v/>
      </c>
      <c r="V193" s="93">
        <f>U193*S193</f>
        <v/>
      </c>
    </row>
    <row r="194" hidden="1" ht="15.75" customHeight="1" s="297">
      <c r="A194" s="87" t="inlineStr">
        <is>
          <t>CORTEVA</t>
        </is>
      </c>
      <c r="B194" s="88" t="inlineStr">
        <is>
          <t>INSETICIDA</t>
        </is>
      </c>
      <c r="C194" s="89" t="inlineStr">
        <is>
          <t>INTREPID EDGE</t>
        </is>
      </c>
      <c r="D194" s="89" t="inlineStr">
        <is>
          <t>ESPINETORAM + METOXIFENOZIDA</t>
        </is>
      </c>
      <c r="E194" s="89" t="inlineStr">
        <is>
          <t>60 + 300</t>
        </is>
      </c>
      <c r="F194" s="4" t="inlineStr">
        <is>
          <t>KG</t>
        </is>
      </c>
      <c r="G194" s="90">
        <f>HYPERLINK("https://www.google.com/search?q=" &amp; C194 &amp; "+bula+agrofit+pdf", "📄 Ver bula")</f>
        <v/>
      </c>
      <c r="H194" s="9">
        <f>IFERROR(__xludf.DUMMYFUNCTION("IFERROR(VLOOKUP(C194,
IMPORTRANGE(""1wULbzX32WdYsx-lj2U3uUNBBe2INVIRDtcK0d-Dvl90"",
""26-27!C:K""),
8,
FALSE),
"""")"),0.25)</f>
        <v/>
      </c>
      <c r="I194" s="91" t="inlineStr">
        <is>
          <t>4X5</t>
        </is>
      </c>
      <c r="J194" s="9">
        <f>IFERROR(SUM(
IF('TL01'!$B$3=J$3,SUMIF('TL01'!$C$10:$C$224,$C194,'TL01'!$J$10:$J$224),0),
IF('TL01'!$B$229=J$3,SUMIF('TL01'!$C$238:$C$451,$C194,'TL01'!$J$238:$J$451),0),
IF('TL02'!$B$3=J$3,SUMIF('TL02'!$C$10:$C$224,$C194,'TL02'!$J$10:$J$224),0),
IF('TL02'!$B$229=J$3,SUMIF('TL02'!$C$238:$C$451,$C194,'TL02'!$J$238:$J$451),0),
IF('TL03'!$B$3=J$3,SUMIF('TL03'!$C$10:$C$224,$C194,'TL03'!$J$10:$J$224),0),
IF('TL03'!$B$229=J$3,SUMIF('TL03'!$C$238:$C$451,$C194,'TL03'!$J$238:$J$451),0),
IF('TL04'!$B$3=J$3,SUMIF('TL04'!$C$10:$C$224,$C194,'TL04'!$J$10:$J$224),0),
IF('TL04'!$B$229=J$3,SUMIF('TL04'!$C$238:$C$451,$C194,'TL04'!$J$238:$J$451),0),
IF('TL05'!$B$3=J$3,SUMIF('TL05'!$C$10:$C$224,$C194,'TL05'!$J$10:$J$224),0),
IF('TL05'!$B$229=J$3,SUMIF('TL05'!$C$238:$C$451,$C194,'TL05'!$J$238:$J$451),0),
IF('TL06'!$B$3=J$3,SUMIF('TL06'!$C$10:$C$224,$C194,'TL06'!$J$10:$J$224),0),
IF('TL06'!$B$229=J$3,SUMIF('TL06'!$C$238:$C$451,$C194,'TL06'!$J$238:$J$451),0),
IF('TL07'!$B$3=J$3,SUMIF('TL07'!$C$10:$C$224,$C194,'TL07'!$J$10:$J$224),0),
IF('TL07'!$B$229=J$3,SUMIF('TL07'!$C$238:$C$451,$C194,'TL07'!$J$238:$J$451),0),
IF('TL08'!$B$3=J$3,SUMIF('TL08'!$C$10:$C$224,$C194,'TL08'!$J$10:$J$224),0),
IF('TL08'!$B$229=J$3,SUMIF('TL08'!$C$238:$C$451,$C194,'TL08'!$J$238:$J$451),0),
IF('TL09'!$B$3=J$3,SUMIF('TL09'!$C$10:$C$224,$C194,'TL09'!$J$10:$J$224),0),
IF('TL09'!$B$229=J$3,SUMIF('TL09'!$C$238:$C$451,$C194,'TL09'!$J$238:$J$451),0),
IF('TL10'!$B$3=J$3,SUMIF('TL10'!$C$10:$C$224,$C194,'TL10'!$J$10:$J$224),0),
IF('TL10'!$B$229=J$3,SUMIF('TL10'!$C$238:$C$451,$C194,'TL10'!$J$238:$J$451),0),
IF('TL11'!$B$3=J$3,SUMIF('TL11'!$C$10:$C$224,$C194,'TL11'!$J$10:$J$224),0),
IF('TL11'!$B$229=J$3,SUMIF('TL11'!$C$238:$C$451,$C194,'TL11'!$J$238:$J$451),0),
IF('TL12'!$B$3=J$3,SUMIF('TL12'!$C$10:$C$224,$C194,'TL12'!$J$10:$J$224),0),
IF('TL12'!$B$229=J$3,SUMIF('TL12'!$C$238:$C$451,$C194,'TL12'!$J$238:$J$451),0),
IF('TL13'!$B$3=J$3,SUMIF('TL13'!$C$10:$C$224,$C194,'TL13'!$J$10:$J$224),0),
IF('TL13'!$B$229=J$3,SUMIF('TL13'!$C$238:$C$451,$C194,'TL13'!$J$238:$J$451),0),
IF('TL14'!$B$3=J$3,SUMIF('TL14'!$C$10:$C$224,$C194,'TL14'!$J$10:$J$224),0),
IF('TL14'!$B$229=J$3,SUMIF('TL14'!$C$238:$C$451,$C194,'TL14'!$J$238:$J$451),0),
IF('TL15'!$B$3=J$3,SUMIF('TL15'!$C$10:$C$224,$C194,'TL15'!$J$10:$J$224),0),
IF('TL15'!$B$229=J$3,SUMIF('TL15'!$C$238:$C$451,$C194,'TL15'!$J$238:$J$451),0),
IF('TL16'!$B$3=J$3,SUMIF('TL16'!$C$10:$C$224,$C194,'TL16'!$J$10:$J$224),0),
IF('TL16'!$B$229=J$3,SUMIF('TL16'!$C$238:$C$451,$C194,'TL16'!$J$238:$J$451),0),
IF('TL17'!$B$3=J$3,SUMIF('TL17'!$C$10:$C$224,$C194,'TL17'!$J$10:$J$224),0),
IF('TL17'!$B$229=J$3,SUMIF('TL17'!$C$238:$C$451,$C194,'TL17'!$J$238:$J$451),0),
IF('TL18'!$B$3=J$3,SUMIF('TL18'!$C$10:$C$224,$C194,'TL18'!$J$10:$J$224),0),
IF('TL18'!$B$229=J$3,SUMIF('TL18'!$C$238:$C$451,$C194,'TL18'!$J$238:$J$451),0),
IF('TL19'!$B$3=J$3,SUMIF('TL19'!$C$10:$C$224,$C194,'TL19'!$J$10:$J$224),0),
IF('TL19'!$B$229=J$3,SUMIF('TL19'!$C$238:$C$451,$C194,'TL19'!$J$238:$J$451),0)
),0)</f>
        <v/>
      </c>
      <c r="K194" s="9">
        <f>IFERROR(SUM(
IF('TL01'!$B$3=K$3,SUMIF('TL01'!$C$10:$C$224,$C194,'TL01'!$J$10:$J$224),0),
IF('TL01'!$B$229=K$3,SUMIF('TL01'!$C$238:$C$451,$C194,'TL01'!$J$238:$J$451),0),
IF('TL02'!$B$3=K$3,SUMIF('TL02'!$C$10:$C$224,$C194,'TL02'!$J$10:$J$224),0),
IF('TL02'!$B$229=K$3,SUMIF('TL02'!$C$238:$C$451,$C194,'TL02'!$J$238:$J$451),0),
IF('TL03'!$B$3=K$3,SUMIF('TL03'!$C$10:$C$224,$C194,'TL03'!$J$10:$J$224),0),
IF('TL03'!$B$229=K$3,SUMIF('TL03'!$C$238:$C$451,$C194,'TL03'!$J$238:$J$451),0),
IF('TL04'!$B$3=K$3,SUMIF('TL04'!$C$10:$C$224,$C194,'TL04'!$J$10:$J$224),0),
IF('TL04'!$B$229=K$3,SUMIF('TL04'!$C$238:$C$451,$C194,'TL04'!$J$238:$J$451),0),
IF('TL05'!$B$3=K$3,SUMIF('TL05'!$C$10:$C$224,$C194,'TL05'!$J$10:$J$224),0),
IF('TL05'!$B$229=K$3,SUMIF('TL05'!$C$238:$C$451,$C194,'TL05'!$J$238:$J$451),0),
IF('TL06'!$B$3=K$3,SUMIF('TL06'!$C$10:$C$224,$C194,'TL06'!$J$10:$J$224),0),
IF('TL06'!$B$229=K$3,SUMIF('TL06'!$C$238:$C$451,$C194,'TL06'!$J$238:$J$451),0),
IF('TL07'!$B$3=K$3,SUMIF('TL07'!$C$10:$C$224,$C194,'TL07'!$J$10:$J$224),0),
IF('TL07'!$B$229=K$3,SUMIF('TL07'!$C$238:$C$451,$C194,'TL07'!$J$238:$J$451),0),
IF('TL08'!$B$3=K$3,SUMIF('TL08'!$C$10:$C$224,$C194,'TL08'!$J$10:$J$224),0),
IF('TL08'!$B$229=K$3,SUMIF('TL08'!$C$238:$C$451,$C194,'TL08'!$J$238:$J$451),0),
IF('TL09'!$B$3=K$3,SUMIF('TL09'!$C$10:$C$224,$C194,'TL09'!$J$10:$J$224),0),
IF('TL09'!$B$229=K$3,SUMIF('TL09'!$C$238:$C$451,$C194,'TL09'!$J$238:$J$451),0),
IF('TL10'!$B$3=K$3,SUMIF('TL10'!$C$10:$C$224,$C194,'TL10'!$J$10:$J$224),0),
IF('TL10'!$B$229=K$3,SUMIF('TL10'!$C$238:$C$451,$C194,'TL10'!$J$238:$J$451),0),
IF('TL11'!$B$3=K$3,SUMIF('TL11'!$C$10:$C$224,$C194,'TL11'!$J$10:$J$224),0),
IF('TL11'!$B$229=K$3,SUMIF('TL11'!$C$238:$C$451,$C194,'TL11'!$J$238:$J$451),0),
IF('TL12'!$B$3=K$3,SUMIF('TL12'!$C$10:$C$224,$C194,'TL12'!$J$10:$J$224),0),
IF('TL12'!$B$229=K$3,SUMIF('TL12'!$C$238:$C$451,$C194,'TL12'!$J$238:$J$451),0),
IF('TL13'!$B$3=K$3,SUMIF('TL13'!$C$10:$C$224,$C194,'TL13'!$J$10:$J$224),0),
IF('TL13'!$B$229=K$3,SUMIF('TL13'!$C$238:$C$451,$C194,'TL13'!$J$238:$J$451),0),
IF('TL14'!$B$3=K$3,SUMIF('TL14'!$C$10:$C$224,$C194,'TL14'!$J$10:$J$224),0),
IF('TL14'!$B$229=K$3,SUMIF('TL14'!$C$238:$C$451,$C194,'TL14'!$J$238:$J$451),0),
IF('TL15'!$B$3=K$3,SUMIF('TL15'!$C$10:$C$224,$C194,'TL15'!$J$10:$J$224),0),
IF('TL15'!$B$229=K$3,SUMIF('TL15'!$C$238:$C$451,$C194,'TL15'!$J$238:$J$451),0),
IF('TL16'!$B$3=K$3,SUMIF('TL16'!$C$10:$C$224,$C194,'TL16'!$J$10:$J$224),0),
IF('TL16'!$B$229=K$3,SUMIF('TL16'!$C$238:$C$451,$C194,'TL16'!$J$238:$J$451),0),
IF('TL17'!$B$3=K$3,SUMIF('TL17'!$C$10:$C$224,$C194,'TL17'!$J$10:$J$224),0),
IF('TL17'!$B$229=K$3,SUMIF('TL17'!$C$238:$C$451,$C194,'TL17'!$J$238:$J$451),0),
IF('TL18'!$B$3=K$3,SUMIF('TL18'!$C$10:$C$224,$C194,'TL18'!$J$10:$J$224),0),
IF('TL18'!$B$229=K$3,SUMIF('TL18'!$C$238:$C$451,$C194,'TL18'!$J$238:$J$451),0),
IF('TL19'!$B$3=K$3,SUMIF('TL19'!$C$10:$C$224,$C194,'TL19'!$J$10:$J$224),0),
IF('TL19'!$B$229=K$3,SUMIF('TL19'!$C$238:$C$451,$C194,'TL19'!$J$238:$J$451),0)
),0)</f>
        <v/>
      </c>
      <c r="L194" s="9">
        <f>IFERROR(SUM(
IF('TL01'!$B$3=L$3,SUMIF('TL01'!$C$10:$C$224,$C194,'TL01'!$J$10:$J$224),0),
IF('TL01'!$B$229=L$3,SUMIF('TL01'!$C$238:$C$451,$C194,'TL01'!$J$238:$J$451),0),
IF('TL02'!$B$3=L$3,SUMIF('TL02'!$C$10:$C$224,$C194,'TL02'!$J$10:$J$224),0),
IF('TL02'!$B$229=L$3,SUMIF('TL02'!$C$238:$C$451,$C194,'TL02'!$J$238:$J$451),0),
IF('TL03'!$B$3=L$3,SUMIF('TL03'!$C$10:$C$224,$C194,'TL03'!$J$10:$J$224),0),
IF('TL03'!$B$229=L$3,SUMIF('TL03'!$C$238:$C$451,$C194,'TL03'!$J$238:$J$451),0),
IF('TL04'!$B$3=L$3,SUMIF('TL04'!$C$10:$C$224,$C194,'TL04'!$J$10:$J$224),0),
IF('TL04'!$B$229=L$3,SUMIF('TL04'!$C$238:$C$451,$C194,'TL04'!$J$238:$J$451),0),
IF('TL05'!$B$3=L$3,SUMIF('TL05'!$C$10:$C$224,$C194,'TL05'!$J$10:$J$224),0),
IF('TL05'!$B$229=L$3,SUMIF('TL05'!$C$238:$C$451,$C194,'TL05'!$J$238:$J$451),0),
IF('TL06'!$B$3=L$3,SUMIF('TL06'!$C$10:$C$224,$C194,'TL06'!$J$10:$J$224),0),
IF('TL06'!$B$229=L$3,SUMIF('TL06'!$C$238:$C$451,$C194,'TL06'!$J$238:$J$451),0),
IF('TL07'!$B$3=L$3,SUMIF('TL07'!$C$10:$C$224,$C194,'TL07'!$J$10:$J$224),0),
IF('TL07'!$B$229=L$3,SUMIF('TL07'!$C$238:$C$451,$C194,'TL07'!$J$238:$J$451),0),
IF('TL08'!$B$3=L$3,SUMIF('TL08'!$C$10:$C$224,$C194,'TL08'!$J$10:$J$224),0),
IF('TL08'!$B$229=L$3,SUMIF('TL08'!$C$238:$C$451,$C194,'TL08'!$J$238:$J$451),0),
IF('TL09'!$B$3=L$3,SUMIF('TL09'!$C$10:$C$224,$C194,'TL09'!$J$10:$J$224),0),
IF('TL09'!$B$229=L$3,SUMIF('TL09'!$C$238:$C$451,$C194,'TL09'!$J$238:$J$451),0),
IF('TL10'!$B$3=L$3,SUMIF('TL10'!$C$10:$C$224,$C194,'TL10'!$J$10:$J$224),0),
IF('TL10'!$B$229=L$3,SUMIF('TL10'!$C$238:$C$451,$C194,'TL10'!$J$238:$J$451),0),
IF('TL11'!$B$3=L$3,SUMIF('TL11'!$C$10:$C$224,$C194,'TL11'!$J$10:$J$224),0),
IF('TL11'!$B$229=L$3,SUMIF('TL11'!$C$238:$C$451,$C194,'TL11'!$J$238:$J$451),0),
IF('TL12'!$B$3=L$3,SUMIF('TL12'!$C$10:$C$224,$C194,'TL12'!$J$10:$J$224),0),
IF('TL12'!$B$229=L$3,SUMIF('TL12'!$C$238:$C$451,$C194,'TL12'!$J$238:$J$451),0),
IF('TL13'!$B$3=L$3,SUMIF('TL13'!$C$10:$C$224,$C194,'TL13'!$J$10:$J$224),0),
IF('TL13'!$B$229=L$3,SUMIF('TL13'!$C$238:$C$451,$C194,'TL13'!$J$238:$J$451),0),
IF('TL14'!$B$3=L$3,SUMIF('TL14'!$C$10:$C$224,$C194,'TL14'!$J$10:$J$224),0),
IF('TL14'!$B$229=L$3,SUMIF('TL14'!$C$238:$C$451,$C194,'TL14'!$J$238:$J$451),0),
IF('TL15'!$B$3=L$3,SUMIF('TL15'!$C$10:$C$224,$C194,'TL15'!$J$10:$J$224),0),
IF('TL15'!$B$229=L$3,SUMIF('TL15'!$C$238:$C$451,$C194,'TL15'!$J$238:$J$451),0),
IF('TL16'!$B$3=L$3,SUMIF('TL16'!$C$10:$C$224,$C194,'TL16'!$J$10:$J$224),0),
IF('TL16'!$B$229=L$3,SUMIF('TL16'!$C$238:$C$451,$C194,'TL16'!$J$238:$J$451),0),
IF('TL17'!$B$3=L$3,SUMIF('TL17'!$C$10:$C$224,$C194,'TL17'!$J$10:$J$224),0),
IF('TL17'!$B$229=L$3,SUMIF('TL17'!$C$238:$C$451,$C194,'TL17'!$J$238:$J$451),0),
IF('TL18'!$B$3=L$3,SUMIF('TL18'!$C$10:$C$224,$C194,'TL18'!$J$10:$J$224),0),
IF('TL18'!$B$229=L$3,SUMIF('TL18'!$C$238:$C$451,$C194,'TL18'!$J$238:$J$451),0),
IF('TL19'!$B$3=L$3,SUMIF('TL19'!$C$10:$C$224,$C194,'TL19'!$J$10:$J$224),0),
IF('TL19'!$B$229=L$3,SUMIF('TL19'!$C$238:$C$451,$C194,'TL19'!$J$238:$J$451),0)
),0)</f>
        <v/>
      </c>
      <c r="M194" s="9">
        <f>IFERROR(SUM(
IF('TL01'!$B$3=M$3,SUMIF('TL01'!$C$10:$C$224,$C194,'TL01'!$J$10:$J$224),0),
IF('TL01'!$B$229=M$3,SUMIF('TL01'!$C$238:$C$451,$C194,'TL01'!$J$238:$J$451),0),
IF('TL02'!$B$3=M$3,SUMIF('TL02'!$C$10:$C$224,$C194,'TL02'!$J$10:$J$224),0),
IF('TL02'!$B$229=M$3,SUMIF('TL02'!$C$238:$C$451,$C194,'TL02'!$J$238:$J$451),0),
IF('TL03'!$B$3=M$3,SUMIF('TL03'!$C$10:$C$224,$C194,'TL03'!$J$10:$J$224),0),
IF('TL03'!$B$229=M$3,SUMIF('TL03'!$C$238:$C$451,$C194,'TL03'!$J$238:$J$451),0),
IF('TL04'!$B$3=M$3,SUMIF('TL04'!$C$10:$C$224,$C194,'TL04'!$J$10:$J$224),0),
IF('TL04'!$B$229=M$3,SUMIF('TL04'!$C$238:$C$451,$C194,'TL04'!$J$238:$J$451),0),
IF('TL05'!$B$3=M$3,SUMIF('TL05'!$C$10:$C$224,$C194,'TL05'!$J$10:$J$224),0),
IF('TL05'!$B$229=M$3,SUMIF('TL05'!$C$238:$C$451,$C194,'TL05'!$J$238:$J$451),0),
IF('TL06'!$B$3=M$3,SUMIF('TL06'!$C$10:$C$224,$C194,'TL06'!$J$10:$J$224),0),
IF('TL06'!$B$229=M$3,SUMIF('TL06'!$C$238:$C$451,$C194,'TL06'!$J$238:$J$451),0),
IF('TL07'!$B$3=M$3,SUMIF('TL07'!$C$10:$C$224,$C194,'TL07'!$J$10:$J$224),0),
IF('TL07'!$B$229=M$3,SUMIF('TL07'!$C$238:$C$451,$C194,'TL07'!$J$238:$J$451),0),
IF('TL08'!$B$3=M$3,SUMIF('TL08'!$C$10:$C$224,$C194,'TL08'!$J$10:$J$224),0),
IF('TL08'!$B$229=M$3,SUMIF('TL08'!$C$238:$C$451,$C194,'TL08'!$J$238:$J$451),0),
IF('TL09'!$B$3=M$3,SUMIF('TL09'!$C$10:$C$224,$C194,'TL09'!$J$10:$J$224),0),
IF('TL09'!$B$229=M$3,SUMIF('TL09'!$C$238:$C$451,$C194,'TL09'!$J$238:$J$451),0),
IF('TL10'!$B$3=M$3,SUMIF('TL10'!$C$10:$C$224,$C194,'TL10'!$J$10:$J$224),0),
IF('TL10'!$B$229=M$3,SUMIF('TL10'!$C$238:$C$451,$C194,'TL10'!$J$238:$J$451),0),
IF('TL11'!$B$3=M$3,SUMIF('TL11'!$C$10:$C$224,$C194,'TL11'!$J$10:$J$224),0),
IF('TL11'!$B$229=M$3,SUMIF('TL11'!$C$238:$C$451,$C194,'TL11'!$J$238:$J$451),0),
IF('TL12'!$B$3=M$3,SUMIF('TL12'!$C$10:$C$224,$C194,'TL12'!$J$10:$J$224),0),
IF('TL12'!$B$229=M$3,SUMIF('TL12'!$C$238:$C$451,$C194,'TL12'!$J$238:$J$451),0),
IF('TL13'!$B$3=M$3,SUMIF('TL13'!$C$10:$C$224,$C194,'TL13'!$J$10:$J$224),0),
IF('TL13'!$B$229=M$3,SUMIF('TL13'!$C$238:$C$451,$C194,'TL13'!$J$238:$J$451),0),
IF('TL14'!$B$3=M$3,SUMIF('TL14'!$C$10:$C$224,$C194,'TL14'!$J$10:$J$224),0),
IF('TL14'!$B$229=M$3,SUMIF('TL14'!$C$238:$C$451,$C194,'TL14'!$J$238:$J$451),0),
IF('TL15'!$B$3=M$3,SUMIF('TL15'!$C$10:$C$224,$C194,'TL15'!$J$10:$J$224),0),
IF('TL15'!$B$229=M$3,SUMIF('TL15'!$C$238:$C$451,$C194,'TL15'!$J$238:$J$451),0),
IF('TL16'!$B$3=M$3,SUMIF('TL16'!$C$10:$C$224,$C194,'TL16'!$J$10:$J$224),0),
IF('TL16'!$B$229=M$3,SUMIF('TL16'!$C$238:$C$451,$C194,'TL16'!$J$238:$J$451),0),
IF('TL17'!$B$3=M$3,SUMIF('TL17'!$C$10:$C$224,$C194,'TL17'!$J$10:$J$224),0),
IF('TL17'!$B$229=M$3,SUMIF('TL17'!$C$238:$C$451,$C194,'TL17'!$J$238:$J$451),0),
IF('TL18'!$B$3=M$3,SUMIF('TL18'!$C$10:$C$224,$C194,'TL18'!$J$10:$J$224),0),
IF('TL18'!$B$229=M$3,SUMIF('TL18'!$C$238:$C$451,$C194,'TL18'!$J$238:$J$451),0),
IF('TL19'!$B$3=M$3,SUMIF('TL19'!$C$10:$C$224,$C194,'TL19'!$J$10:$J$224),0),
IF('TL19'!$B$229=M$3,SUMIF('TL19'!$C$238:$C$451,$C194,'TL19'!$J$238:$J$451),0)
),0)</f>
        <v/>
      </c>
      <c r="N194" s="9">
        <f>IFERROR(SUM(
IF('TL01'!$B$3=N$3,SUMIF('TL01'!$C$10:$C$224,$C194,'TL01'!$J$10:$J$224),0),
IF('TL01'!$B$229=N$3,SUMIF('TL01'!$C$238:$C$451,$C194,'TL01'!$J$238:$J$451),0),
IF('TL02'!$B$3=N$3,SUMIF('TL02'!$C$10:$C$224,$C194,'TL02'!$J$10:$J$224),0),
IF('TL02'!$B$229=N$3,SUMIF('TL02'!$C$238:$C$451,$C194,'TL02'!$J$238:$J$451),0),
IF('TL03'!$B$3=N$3,SUMIF('TL03'!$C$10:$C$224,$C194,'TL03'!$J$10:$J$224),0),
IF('TL03'!$B$229=N$3,SUMIF('TL03'!$C$238:$C$451,$C194,'TL03'!$J$238:$J$451),0),
IF('TL04'!$B$3=N$3,SUMIF('TL04'!$C$10:$C$224,$C194,'TL04'!$J$10:$J$224),0),
IF('TL04'!$B$229=N$3,SUMIF('TL04'!$C$238:$C$451,$C194,'TL04'!$J$238:$J$451),0),
IF('TL05'!$B$3=N$3,SUMIF('TL05'!$C$10:$C$224,$C194,'TL05'!$J$10:$J$224),0),
IF('TL05'!$B$229=N$3,SUMIF('TL05'!$C$238:$C$451,$C194,'TL05'!$J$238:$J$451),0),
IF('TL06'!$B$3=N$3,SUMIF('TL06'!$C$10:$C$224,$C194,'TL06'!$J$10:$J$224),0),
IF('TL06'!$B$229=N$3,SUMIF('TL06'!$C$238:$C$451,$C194,'TL06'!$J$238:$J$451),0),
IF('TL07'!$B$3=N$3,SUMIF('TL07'!$C$10:$C$224,$C194,'TL07'!$J$10:$J$224),0),
IF('TL07'!$B$229=N$3,SUMIF('TL07'!$C$238:$C$451,$C194,'TL07'!$J$238:$J$451),0),
IF('TL08'!$B$3=N$3,SUMIF('TL08'!$C$10:$C$224,$C194,'TL08'!$J$10:$J$224),0),
IF('TL08'!$B$229=N$3,SUMIF('TL08'!$C$238:$C$451,$C194,'TL08'!$J$238:$J$451),0),
IF('TL09'!$B$3=N$3,SUMIF('TL09'!$C$10:$C$224,$C194,'TL09'!$J$10:$J$224),0),
IF('TL09'!$B$229=N$3,SUMIF('TL09'!$C$238:$C$451,$C194,'TL09'!$J$238:$J$451),0),
IF('TL10'!$B$3=N$3,SUMIF('TL10'!$C$10:$C$224,$C194,'TL10'!$J$10:$J$224),0),
IF('TL10'!$B$229=N$3,SUMIF('TL10'!$C$238:$C$451,$C194,'TL10'!$J$238:$J$451),0),
IF('TL11'!$B$3=N$3,SUMIF('TL11'!$C$10:$C$224,$C194,'TL11'!$J$10:$J$224),0),
IF('TL11'!$B$229=N$3,SUMIF('TL11'!$C$238:$C$451,$C194,'TL11'!$J$238:$J$451),0),
IF('TL12'!$B$3=N$3,SUMIF('TL12'!$C$10:$C$224,$C194,'TL12'!$J$10:$J$224),0),
IF('TL12'!$B$229=N$3,SUMIF('TL12'!$C$238:$C$451,$C194,'TL12'!$J$238:$J$451),0),
IF('TL13'!$B$3=N$3,SUMIF('TL13'!$C$10:$C$224,$C194,'TL13'!$J$10:$J$224),0),
IF('TL13'!$B$229=N$3,SUMIF('TL13'!$C$238:$C$451,$C194,'TL13'!$J$238:$J$451),0),
IF('TL14'!$B$3=N$3,SUMIF('TL14'!$C$10:$C$224,$C194,'TL14'!$J$10:$J$224),0),
IF('TL14'!$B$229=N$3,SUMIF('TL14'!$C$238:$C$451,$C194,'TL14'!$J$238:$J$451),0),
IF('TL15'!$B$3=N$3,SUMIF('TL15'!$C$10:$C$224,$C194,'TL15'!$J$10:$J$224),0),
IF('TL15'!$B$229=N$3,SUMIF('TL15'!$C$238:$C$451,$C194,'TL15'!$J$238:$J$451),0),
IF('TL16'!$B$3=N$3,SUMIF('TL16'!$C$10:$C$224,$C194,'TL16'!$J$10:$J$224),0),
IF('TL16'!$B$229=N$3,SUMIF('TL16'!$C$238:$C$451,$C194,'TL16'!$J$238:$J$451),0),
IF('TL17'!$B$3=N$3,SUMIF('TL17'!$C$10:$C$224,$C194,'TL17'!$J$10:$J$224),0),
IF('TL17'!$B$229=N$3,SUMIF('TL17'!$C$238:$C$451,$C194,'TL17'!$J$238:$J$451),0),
IF('TL18'!$B$3=N$3,SUMIF('TL18'!$C$10:$C$224,$C194,'TL18'!$J$10:$J$224),0),
IF('TL18'!$B$229=N$3,SUMIF('TL18'!$C$238:$C$451,$C194,'TL18'!$J$238:$J$451),0),
IF('TL19'!$B$3=N$3,SUMIF('TL19'!$C$10:$C$224,$C194,'TL19'!$J$10:$J$224),0),
IF('TL19'!$B$229=N$3,SUMIF('TL19'!$C$238:$C$451,$C194,'TL19'!$J$238:$J$451),0)
),0)</f>
        <v/>
      </c>
      <c r="O194" s="9">
        <f>IFERROR(SUM(
IF('TL01'!$B$3=O$3,SUMIF('TL01'!$C$10:$C$224,$C194,'TL01'!$J$10:$J$224),0),
IF('TL01'!$B$229=O$3,SUMIF('TL01'!$C$238:$C$451,$C194,'TL01'!$J$238:$J$451),0),
IF('TL02'!$B$3=O$3,SUMIF('TL02'!$C$10:$C$224,$C194,'TL02'!$J$10:$J$224),0),
IF('TL02'!$B$229=O$3,SUMIF('TL02'!$C$238:$C$451,$C194,'TL02'!$J$238:$J$451),0),
IF('TL03'!$B$3=O$3,SUMIF('TL03'!$C$10:$C$224,$C194,'TL03'!$J$10:$J$224),0),
IF('TL03'!$B$229=O$3,SUMIF('TL03'!$C$238:$C$451,$C194,'TL03'!$J$238:$J$451),0),
IF('TL04'!$B$3=O$3,SUMIF('TL04'!$C$10:$C$224,$C194,'TL04'!$J$10:$J$224),0),
IF('TL04'!$B$229=O$3,SUMIF('TL04'!$C$238:$C$451,$C194,'TL04'!$J$238:$J$451),0),
IF('TL05'!$B$3=O$3,SUMIF('TL05'!$C$10:$C$224,$C194,'TL05'!$J$10:$J$224),0),
IF('TL05'!$B$229=O$3,SUMIF('TL05'!$C$238:$C$451,$C194,'TL05'!$J$238:$J$451),0),
IF('TL06'!$B$3=O$3,SUMIF('TL06'!$C$10:$C$224,$C194,'TL06'!$J$10:$J$224),0),
IF('TL06'!$B$229=O$3,SUMIF('TL06'!$C$238:$C$451,$C194,'TL06'!$J$238:$J$451),0),
IF('TL07'!$B$3=O$3,SUMIF('TL07'!$C$10:$C$224,$C194,'TL07'!$J$10:$J$224),0),
IF('TL07'!$B$229=O$3,SUMIF('TL07'!$C$238:$C$451,$C194,'TL07'!$J$238:$J$451),0),
IF('TL08'!$B$3=O$3,SUMIF('TL08'!$C$10:$C$224,$C194,'TL08'!$J$10:$J$224),0),
IF('TL08'!$B$229=O$3,SUMIF('TL08'!$C$238:$C$451,$C194,'TL08'!$J$238:$J$451),0),
IF('TL09'!$B$3=O$3,SUMIF('TL09'!$C$10:$C$224,$C194,'TL09'!$J$10:$J$224),0),
IF('TL09'!$B$229=O$3,SUMIF('TL09'!$C$238:$C$451,$C194,'TL09'!$J$238:$J$451),0),
IF('TL10'!$B$3=O$3,SUMIF('TL10'!$C$10:$C$224,$C194,'TL10'!$J$10:$J$224),0),
IF('TL10'!$B$229=O$3,SUMIF('TL10'!$C$238:$C$451,$C194,'TL10'!$J$238:$J$451),0),
IF('TL11'!$B$3=O$3,SUMIF('TL11'!$C$10:$C$224,$C194,'TL11'!$J$10:$J$224),0),
IF('TL11'!$B$229=O$3,SUMIF('TL11'!$C$238:$C$451,$C194,'TL11'!$J$238:$J$451),0),
IF('TL12'!$B$3=O$3,SUMIF('TL12'!$C$10:$C$224,$C194,'TL12'!$J$10:$J$224),0),
IF('TL12'!$B$229=O$3,SUMIF('TL12'!$C$238:$C$451,$C194,'TL12'!$J$238:$J$451),0),
IF('TL13'!$B$3=O$3,SUMIF('TL13'!$C$10:$C$224,$C194,'TL13'!$J$10:$J$224),0),
IF('TL13'!$B$229=O$3,SUMIF('TL13'!$C$238:$C$451,$C194,'TL13'!$J$238:$J$451),0),
IF('TL14'!$B$3=O$3,SUMIF('TL14'!$C$10:$C$224,$C194,'TL14'!$J$10:$J$224),0),
IF('TL14'!$B$229=O$3,SUMIF('TL14'!$C$238:$C$451,$C194,'TL14'!$J$238:$J$451),0),
IF('TL15'!$B$3=O$3,SUMIF('TL15'!$C$10:$C$224,$C194,'TL15'!$J$10:$J$224),0),
IF('TL15'!$B$229=O$3,SUMIF('TL15'!$C$238:$C$451,$C194,'TL15'!$J$238:$J$451),0),
IF('TL16'!$B$3=O$3,SUMIF('TL16'!$C$10:$C$224,$C194,'TL16'!$J$10:$J$224),0),
IF('TL16'!$B$229=O$3,SUMIF('TL16'!$C$238:$C$451,$C194,'TL16'!$J$238:$J$451),0),
IF('TL17'!$B$3=O$3,SUMIF('TL17'!$C$10:$C$224,$C194,'TL17'!$J$10:$J$224),0),
IF('TL17'!$B$229=O$3,SUMIF('TL17'!$C$238:$C$451,$C194,'TL17'!$J$238:$J$451),0),
IF('TL18'!$B$3=O$3,SUMIF('TL18'!$C$10:$C$224,$C194,'TL18'!$J$10:$J$224),0),
IF('TL18'!$B$229=O$3,SUMIF('TL18'!$C$238:$C$451,$C194,'TL18'!$J$238:$J$451),0),
IF('TL19'!$B$3=O$3,SUMIF('TL19'!$C$10:$C$224,$C194,'TL19'!$J$10:$J$224),0),
IF('TL19'!$B$229=O$3,SUMIF('TL19'!$C$238:$C$451,$C194,'TL19'!$J$238:$J$451),0)
),0)</f>
        <v/>
      </c>
      <c r="P194" s="9">
        <f>IFERROR(SUM(
IF('TL01'!$B$3=P$3,SUMIF('TL01'!$C$10:$C$224,$C194,'TL01'!$J$10:$J$224),0),
IF('TL01'!$B$229=P$3,SUMIF('TL01'!$C$238:$C$451,$C194,'TL01'!$J$238:$J$451),0),
IF('TL02'!$B$3=P$3,SUMIF('TL02'!$C$10:$C$224,$C194,'TL02'!$J$10:$J$224),0),
IF('TL02'!$B$229=P$3,SUMIF('TL02'!$C$238:$C$451,$C194,'TL02'!$J$238:$J$451),0),
IF('TL03'!$B$3=P$3,SUMIF('TL03'!$C$10:$C$224,$C194,'TL03'!$J$10:$J$224),0),
IF('TL03'!$B$229=P$3,SUMIF('TL03'!$C$238:$C$451,$C194,'TL03'!$J$238:$J$451),0),
IF('TL04'!$B$3=P$3,SUMIF('TL04'!$C$10:$C$224,$C194,'TL04'!$J$10:$J$224),0),
IF('TL04'!$B$229=P$3,SUMIF('TL04'!$C$238:$C$451,$C194,'TL04'!$J$238:$J$451),0),
IF('TL05'!$B$3=P$3,SUMIF('TL05'!$C$10:$C$224,$C194,'TL05'!$J$10:$J$224),0),
IF('TL05'!$B$229=P$3,SUMIF('TL05'!$C$238:$C$451,$C194,'TL05'!$J$238:$J$451),0),
IF('TL06'!$B$3=P$3,SUMIF('TL06'!$C$10:$C$224,$C194,'TL06'!$J$10:$J$224),0),
IF('TL06'!$B$229=P$3,SUMIF('TL06'!$C$238:$C$451,$C194,'TL06'!$J$238:$J$451),0),
IF('TL07'!$B$3=P$3,SUMIF('TL07'!$C$10:$C$224,$C194,'TL07'!$J$10:$J$224),0),
IF('TL07'!$B$229=P$3,SUMIF('TL07'!$C$238:$C$451,$C194,'TL07'!$J$238:$J$451),0),
IF('TL08'!$B$3=P$3,SUMIF('TL08'!$C$10:$C$224,$C194,'TL08'!$J$10:$J$224),0),
IF('TL08'!$B$229=P$3,SUMIF('TL08'!$C$238:$C$451,$C194,'TL08'!$J$238:$J$451),0),
IF('TL09'!$B$3=P$3,SUMIF('TL09'!$C$10:$C$224,$C194,'TL09'!$J$10:$J$224),0),
IF('TL09'!$B$229=P$3,SUMIF('TL09'!$C$238:$C$451,$C194,'TL09'!$J$238:$J$451),0),
IF('TL10'!$B$3=P$3,SUMIF('TL10'!$C$10:$C$224,$C194,'TL10'!$J$10:$J$224),0),
IF('TL10'!$B$229=P$3,SUMIF('TL10'!$C$238:$C$451,$C194,'TL10'!$J$238:$J$451),0),
IF('TL11'!$B$3=P$3,SUMIF('TL11'!$C$10:$C$224,$C194,'TL11'!$J$10:$J$224),0),
IF('TL11'!$B$229=P$3,SUMIF('TL11'!$C$238:$C$451,$C194,'TL11'!$J$238:$J$451),0),
IF('TL12'!$B$3=P$3,SUMIF('TL12'!$C$10:$C$224,$C194,'TL12'!$J$10:$J$224),0),
IF('TL12'!$B$229=P$3,SUMIF('TL12'!$C$238:$C$451,$C194,'TL12'!$J$238:$J$451),0),
IF('TL13'!$B$3=P$3,SUMIF('TL13'!$C$10:$C$224,$C194,'TL13'!$J$10:$J$224),0),
IF('TL13'!$B$229=P$3,SUMIF('TL13'!$C$238:$C$451,$C194,'TL13'!$J$238:$J$451),0),
IF('TL14'!$B$3=P$3,SUMIF('TL14'!$C$10:$C$224,$C194,'TL14'!$J$10:$J$224),0),
IF('TL14'!$B$229=P$3,SUMIF('TL14'!$C$238:$C$451,$C194,'TL14'!$J$238:$J$451),0),
IF('TL15'!$B$3=P$3,SUMIF('TL15'!$C$10:$C$224,$C194,'TL15'!$J$10:$J$224),0),
IF('TL15'!$B$229=P$3,SUMIF('TL15'!$C$238:$C$451,$C194,'TL15'!$J$238:$J$451),0),
IF('TL16'!$B$3=P$3,SUMIF('TL16'!$C$10:$C$224,$C194,'TL16'!$J$10:$J$224),0),
IF('TL16'!$B$229=P$3,SUMIF('TL16'!$C$238:$C$451,$C194,'TL16'!$J$238:$J$451),0),
IF('TL17'!$B$3=P$3,SUMIF('TL17'!$C$10:$C$224,$C194,'TL17'!$J$10:$J$224),0),
IF('TL17'!$B$229=P$3,SUMIF('TL17'!$C$238:$C$451,$C194,'TL17'!$J$238:$J$451),0),
IF('TL18'!$B$3=P$3,SUMIF('TL18'!$C$10:$C$224,$C194,'TL18'!$J$10:$J$224),0),
IF('TL18'!$B$229=P$3,SUMIF('TL18'!$C$238:$C$451,$C194,'TL18'!$J$238:$J$451),0),
IF('TL19'!$B$3=P$3,SUMIF('TL19'!$C$10:$C$224,$C194,'TL19'!$J$10:$J$224),0),
IF('TL19'!$B$229=P$3,SUMIF('TL19'!$C$238:$C$451,$C194,'TL19'!$J$238:$J$451),0)
),0)</f>
        <v/>
      </c>
      <c r="Q194" s="9">
        <f>IFERROR(SUM(
IF('TL01'!$B$3=Q$3,SUMIF('TL01'!$C$10:$C$224,$C194,'TL01'!$J$10:$J$224),0),
IF('TL01'!$B$229=Q$3,SUMIF('TL01'!$C$238:$C$451,$C194,'TL01'!$J$238:$J$451),0),
IF('TL02'!$B$3=Q$3,SUMIF('TL02'!$C$10:$C$224,$C194,'TL02'!$J$10:$J$224),0),
IF('TL02'!$B$229=Q$3,SUMIF('TL02'!$C$238:$C$451,$C194,'TL02'!$J$238:$J$451),0),
IF('TL03'!$B$3=Q$3,SUMIF('TL03'!$C$10:$C$224,$C194,'TL03'!$J$10:$J$224),0),
IF('TL03'!$B$229=Q$3,SUMIF('TL03'!$C$238:$C$451,$C194,'TL03'!$J$238:$J$451),0),
IF('TL04'!$B$3=Q$3,SUMIF('TL04'!$C$10:$C$224,$C194,'TL04'!$J$10:$J$224),0),
IF('TL04'!$B$229=Q$3,SUMIF('TL04'!$C$238:$C$451,$C194,'TL04'!$J$238:$J$451),0),
IF('TL05'!$B$3=Q$3,SUMIF('TL05'!$C$10:$C$224,$C194,'TL05'!$J$10:$J$224),0),
IF('TL05'!$B$229=Q$3,SUMIF('TL05'!$C$238:$C$451,$C194,'TL05'!$J$238:$J$451),0),
IF('TL06'!$B$3=Q$3,SUMIF('TL06'!$C$10:$C$224,$C194,'TL06'!$J$10:$J$224),0),
IF('TL06'!$B$229=Q$3,SUMIF('TL06'!$C$238:$C$451,$C194,'TL06'!$J$238:$J$451),0),
IF('TL07'!$B$3=Q$3,SUMIF('TL07'!$C$10:$C$224,$C194,'TL07'!$J$10:$J$224),0),
IF('TL07'!$B$229=Q$3,SUMIF('TL07'!$C$238:$C$451,$C194,'TL07'!$J$238:$J$451),0),
IF('TL08'!$B$3=Q$3,SUMIF('TL08'!$C$10:$C$224,$C194,'TL08'!$J$10:$J$224),0),
IF('TL08'!$B$229=Q$3,SUMIF('TL08'!$C$238:$C$451,$C194,'TL08'!$J$238:$J$451),0),
IF('TL09'!$B$3=Q$3,SUMIF('TL09'!$C$10:$C$224,$C194,'TL09'!$J$10:$J$224),0),
IF('TL09'!$B$229=Q$3,SUMIF('TL09'!$C$238:$C$451,$C194,'TL09'!$J$238:$J$451),0),
IF('TL10'!$B$3=Q$3,SUMIF('TL10'!$C$10:$C$224,$C194,'TL10'!$J$10:$J$224),0),
IF('TL10'!$B$229=Q$3,SUMIF('TL10'!$C$238:$C$451,$C194,'TL10'!$J$238:$J$451),0),
IF('TL11'!$B$3=Q$3,SUMIF('TL11'!$C$10:$C$224,$C194,'TL11'!$J$10:$J$224),0),
IF('TL11'!$B$229=Q$3,SUMIF('TL11'!$C$238:$C$451,$C194,'TL11'!$J$238:$J$451),0),
IF('TL12'!$B$3=Q$3,SUMIF('TL12'!$C$10:$C$224,$C194,'TL12'!$J$10:$J$224),0),
IF('TL12'!$B$229=Q$3,SUMIF('TL12'!$C$238:$C$451,$C194,'TL12'!$J$238:$J$451),0),
IF('TL13'!$B$3=Q$3,SUMIF('TL13'!$C$10:$C$224,$C194,'TL13'!$J$10:$J$224),0),
IF('TL13'!$B$229=Q$3,SUMIF('TL13'!$C$238:$C$451,$C194,'TL13'!$J$238:$J$451),0),
IF('TL14'!$B$3=Q$3,SUMIF('TL14'!$C$10:$C$224,$C194,'TL14'!$J$10:$J$224),0),
IF('TL14'!$B$229=Q$3,SUMIF('TL14'!$C$238:$C$451,$C194,'TL14'!$J$238:$J$451),0),
IF('TL15'!$B$3=Q$3,SUMIF('TL15'!$C$10:$C$224,$C194,'TL15'!$J$10:$J$224),0),
IF('TL15'!$B$229=Q$3,SUMIF('TL15'!$C$238:$C$451,$C194,'TL15'!$J$238:$J$451),0),
IF('TL16'!$B$3=Q$3,SUMIF('TL16'!$C$10:$C$224,$C194,'TL16'!$J$10:$J$224),0),
IF('TL16'!$B$229=Q$3,SUMIF('TL16'!$C$238:$C$451,$C194,'TL16'!$J$238:$J$451),0),
IF('TL17'!$B$3=Q$3,SUMIF('TL17'!$C$10:$C$224,$C194,'TL17'!$J$10:$J$224),0),
IF('TL17'!$B$229=Q$3,SUMIF('TL17'!$C$238:$C$451,$C194,'TL17'!$J$238:$J$451),0),
IF('TL18'!$B$3=Q$3,SUMIF('TL18'!$C$10:$C$224,$C194,'TL18'!$J$10:$J$224),0),
IF('TL18'!$B$229=Q$3,SUMIF('TL18'!$C$238:$C$451,$C194,'TL18'!$J$238:$J$451),0),
IF('TL19'!$B$3=Q$3,SUMIF('TL19'!$C$10:$C$224,$C194,'TL19'!$J$10:$J$224),0),
IF('TL19'!$B$229=Q$3,SUMIF('TL19'!$C$238:$C$451,$C194,'TL19'!$J$238:$J$451),0)
),0)</f>
        <v/>
      </c>
      <c r="R194" s="9">
        <f>IFERROR(
SUM(
SUMIF('TL01'!C:C,C194,'TL01'!J:J),
SUMIF('TL02'!C:C,C194,'TL02'!J:J),
SUMIF('TL03'!C:C,C194,'TL03'!J:J),
SUMIF('TL04'!C:C,C194,'TL04'!J:J),
SUMIF('TL05'!C:C,C194,'TL05'!J:J),
SUMIF('TL06'!C:C,C194,'TL06'!J:J),
SUMIF('TL07'!C:C,C194,'TL07'!J:J),
SUMIF('TL08'!C:C,C194,'TL08'!J:J),
SUMIF('TL09'!C:C,C194,'TL09'!J:J),
SUMIF('TL10'!C:C,C194,'TL10'!J:J),
SUMIF('TL11'!C:C,C194,'TL11'!J:J),
SUMIF('TL12'!C:C,C194,'TL12'!J:J),
SUMIF('TL13'!C:C,C194,'TL13'!J:J),
SUMIF('TL14'!C:C,C194,'TL14'!J:J),
SUMIF('TL15'!C:C,C194,'TL15'!J:J),
SUMIF('TL16'!C:C,C194,'TL16'!J:J),
SUMIF('TL17'!C:C,C194,'TL17'!J:J),
SUMIF('TL18'!C:C,C194,'TL18'!J:J),SUMIF('TL19'!C:C,C194,'TL19'!J:J))
,0)</f>
        <v/>
      </c>
      <c r="S194" s="17">
        <f>IFERROR(__xludf.DUMMYFUNCTION("IFERROR(VLOOKUP(C194,
IMPORTRANGE(""1wULbzX32WdYsx-lj2U3uUNBBe2INVIRDtcK0d-Dvl90"",
""26-27!C:G""),
5,
FALSE),
"""")"),333.06225)</f>
        <v/>
      </c>
      <c r="T194" s="9" t="n"/>
      <c r="U194" s="92">
        <f>MAX(0,R194-T194)</f>
        <v/>
      </c>
      <c r="V194" s="93">
        <f>U194*S194</f>
        <v/>
      </c>
    </row>
    <row r="195" hidden="1" ht="15.75" customHeight="1" s="297">
      <c r="A195" s="94" t="inlineStr">
        <is>
          <t>CORTEVA</t>
        </is>
      </c>
      <c r="B195" s="95" t="inlineStr">
        <is>
          <t>INSETICIDA</t>
        </is>
      </c>
      <c r="C195" s="96" t="inlineStr">
        <is>
          <t>LANNATE BR</t>
        </is>
      </c>
      <c r="D195" s="96" t="inlineStr">
        <is>
          <t>METOMIL</t>
        </is>
      </c>
      <c r="E195" s="96" t="n">
        <v>215</v>
      </c>
      <c r="F195" s="4" t="inlineStr">
        <is>
          <t>X</t>
        </is>
      </c>
      <c r="G195" s="90">
        <f>HYPERLINK("https://www.google.com/search?q=" &amp; C195 &amp; "+bula+agrofit+pdf", "📄 Ver bula")</f>
        <v/>
      </c>
      <c r="H195" s="9">
        <f>IFERROR(__xludf.DUMMYFUNCTION("IFERROR(VLOOKUP(C195,
IMPORTRANGE(""1wULbzX32WdYsx-lj2U3uUNBBe2INVIRDtcK0d-Dvl90"",
""26-27!C:K""),
8,
FALSE),
"""")"),1.0)</f>
        <v/>
      </c>
      <c r="I195" s="97" t="inlineStr">
        <is>
          <t>1x20</t>
        </is>
      </c>
      <c r="J195" s="9">
        <f>IFERROR(SUM(
IF('TL01'!$B$3=J$3,SUMIF('TL01'!$C$10:$C$224,$C195,'TL01'!$J$10:$J$224),0),
IF('TL01'!$B$229=J$3,SUMIF('TL01'!$C$238:$C$451,$C195,'TL01'!$J$238:$J$451),0),
IF('TL02'!$B$3=J$3,SUMIF('TL02'!$C$10:$C$224,$C195,'TL02'!$J$10:$J$224),0),
IF('TL02'!$B$229=J$3,SUMIF('TL02'!$C$238:$C$451,$C195,'TL02'!$J$238:$J$451),0),
IF('TL03'!$B$3=J$3,SUMIF('TL03'!$C$10:$C$224,$C195,'TL03'!$J$10:$J$224),0),
IF('TL03'!$B$229=J$3,SUMIF('TL03'!$C$238:$C$451,$C195,'TL03'!$J$238:$J$451),0),
IF('TL04'!$B$3=J$3,SUMIF('TL04'!$C$10:$C$224,$C195,'TL04'!$J$10:$J$224),0),
IF('TL04'!$B$229=J$3,SUMIF('TL04'!$C$238:$C$451,$C195,'TL04'!$J$238:$J$451),0),
IF('TL05'!$B$3=J$3,SUMIF('TL05'!$C$10:$C$224,$C195,'TL05'!$J$10:$J$224),0),
IF('TL05'!$B$229=J$3,SUMIF('TL05'!$C$238:$C$451,$C195,'TL05'!$J$238:$J$451),0),
IF('TL06'!$B$3=J$3,SUMIF('TL06'!$C$10:$C$224,$C195,'TL06'!$J$10:$J$224),0),
IF('TL06'!$B$229=J$3,SUMIF('TL06'!$C$238:$C$451,$C195,'TL06'!$J$238:$J$451),0),
IF('TL07'!$B$3=J$3,SUMIF('TL07'!$C$10:$C$224,$C195,'TL07'!$J$10:$J$224),0),
IF('TL07'!$B$229=J$3,SUMIF('TL07'!$C$238:$C$451,$C195,'TL07'!$J$238:$J$451),0),
IF('TL08'!$B$3=J$3,SUMIF('TL08'!$C$10:$C$224,$C195,'TL08'!$J$10:$J$224),0),
IF('TL08'!$B$229=J$3,SUMIF('TL08'!$C$238:$C$451,$C195,'TL08'!$J$238:$J$451),0),
IF('TL09'!$B$3=J$3,SUMIF('TL09'!$C$10:$C$224,$C195,'TL09'!$J$10:$J$224),0),
IF('TL09'!$B$229=J$3,SUMIF('TL09'!$C$238:$C$451,$C195,'TL09'!$J$238:$J$451),0),
IF('TL10'!$B$3=J$3,SUMIF('TL10'!$C$10:$C$224,$C195,'TL10'!$J$10:$J$224),0),
IF('TL10'!$B$229=J$3,SUMIF('TL10'!$C$238:$C$451,$C195,'TL10'!$J$238:$J$451),0),
IF('TL11'!$B$3=J$3,SUMIF('TL11'!$C$10:$C$224,$C195,'TL11'!$J$10:$J$224),0),
IF('TL11'!$B$229=J$3,SUMIF('TL11'!$C$238:$C$451,$C195,'TL11'!$J$238:$J$451),0),
IF('TL12'!$B$3=J$3,SUMIF('TL12'!$C$10:$C$224,$C195,'TL12'!$J$10:$J$224),0),
IF('TL12'!$B$229=J$3,SUMIF('TL12'!$C$238:$C$451,$C195,'TL12'!$J$238:$J$451),0),
IF('TL13'!$B$3=J$3,SUMIF('TL13'!$C$10:$C$224,$C195,'TL13'!$J$10:$J$224),0),
IF('TL13'!$B$229=J$3,SUMIF('TL13'!$C$238:$C$451,$C195,'TL13'!$J$238:$J$451),0),
IF('TL14'!$B$3=J$3,SUMIF('TL14'!$C$10:$C$224,$C195,'TL14'!$J$10:$J$224),0),
IF('TL14'!$B$229=J$3,SUMIF('TL14'!$C$238:$C$451,$C195,'TL14'!$J$238:$J$451),0),
IF('TL15'!$B$3=J$3,SUMIF('TL15'!$C$10:$C$224,$C195,'TL15'!$J$10:$J$224),0),
IF('TL15'!$B$229=J$3,SUMIF('TL15'!$C$238:$C$451,$C195,'TL15'!$J$238:$J$451),0),
IF('TL16'!$B$3=J$3,SUMIF('TL16'!$C$10:$C$224,$C195,'TL16'!$J$10:$J$224),0),
IF('TL16'!$B$229=J$3,SUMIF('TL16'!$C$238:$C$451,$C195,'TL16'!$J$238:$J$451),0),
IF('TL17'!$B$3=J$3,SUMIF('TL17'!$C$10:$C$224,$C195,'TL17'!$J$10:$J$224),0),
IF('TL17'!$B$229=J$3,SUMIF('TL17'!$C$238:$C$451,$C195,'TL17'!$J$238:$J$451),0),
IF('TL18'!$B$3=J$3,SUMIF('TL18'!$C$10:$C$224,$C195,'TL18'!$J$10:$J$224),0),
IF('TL18'!$B$229=J$3,SUMIF('TL18'!$C$238:$C$451,$C195,'TL18'!$J$238:$J$451),0),
IF('TL19'!$B$3=J$3,SUMIF('TL19'!$C$10:$C$224,$C195,'TL19'!$J$10:$J$224),0),
IF('TL19'!$B$229=J$3,SUMIF('TL19'!$C$238:$C$451,$C195,'TL19'!$J$238:$J$451),0)
),0)</f>
        <v/>
      </c>
      <c r="K195" s="9">
        <f>IFERROR(SUM(
IF('TL01'!$B$3=K$3,SUMIF('TL01'!$C$10:$C$224,$C195,'TL01'!$J$10:$J$224),0),
IF('TL01'!$B$229=K$3,SUMIF('TL01'!$C$238:$C$451,$C195,'TL01'!$J$238:$J$451),0),
IF('TL02'!$B$3=K$3,SUMIF('TL02'!$C$10:$C$224,$C195,'TL02'!$J$10:$J$224),0),
IF('TL02'!$B$229=K$3,SUMIF('TL02'!$C$238:$C$451,$C195,'TL02'!$J$238:$J$451),0),
IF('TL03'!$B$3=K$3,SUMIF('TL03'!$C$10:$C$224,$C195,'TL03'!$J$10:$J$224),0),
IF('TL03'!$B$229=K$3,SUMIF('TL03'!$C$238:$C$451,$C195,'TL03'!$J$238:$J$451),0),
IF('TL04'!$B$3=K$3,SUMIF('TL04'!$C$10:$C$224,$C195,'TL04'!$J$10:$J$224),0),
IF('TL04'!$B$229=K$3,SUMIF('TL04'!$C$238:$C$451,$C195,'TL04'!$J$238:$J$451),0),
IF('TL05'!$B$3=K$3,SUMIF('TL05'!$C$10:$C$224,$C195,'TL05'!$J$10:$J$224),0),
IF('TL05'!$B$229=K$3,SUMIF('TL05'!$C$238:$C$451,$C195,'TL05'!$J$238:$J$451),0),
IF('TL06'!$B$3=K$3,SUMIF('TL06'!$C$10:$C$224,$C195,'TL06'!$J$10:$J$224),0),
IF('TL06'!$B$229=K$3,SUMIF('TL06'!$C$238:$C$451,$C195,'TL06'!$J$238:$J$451),0),
IF('TL07'!$B$3=K$3,SUMIF('TL07'!$C$10:$C$224,$C195,'TL07'!$J$10:$J$224),0),
IF('TL07'!$B$229=K$3,SUMIF('TL07'!$C$238:$C$451,$C195,'TL07'!$J$238:$J$451),0),
IF('TL08'!$B$3=K$3,SUMIF('TL08'!$C$10:$C$224,$C195,'TL08'!$J$10:$J$224),0),
IF('TL08'!$B$229=K$3,SUMIF('TL08'!$C$238:$C$451,$C195,'TL08'!$J$238:$J$451),0),
IF('TL09'!$B$3=K$3,SUMIF('TL09'!$C$10:$C$224,$C195,'TL09'!$J$10:$J$224),0),
IF('TL09'!$B$229=K$3,SUMIF('TL09'!$C$238:$C$451,$C195,'TL09'!$J$238:$J$451),0),
IF('TL10'!$B$3=K$3,SUMIF('TL10'!$C$10:$C$224,$C195,'TL10'!$J$10:$J$224),0),
IF('TL10'!$B$229=K$3,SUMIF('TL10'!$C$238:$C$451,$C195,'TL10'!$J$238:$J$451),0),
IF('TL11'!$B$3=K$3,SUMIF('TL11'!$C$10:$C$224,$C195,'TL11'!$J$10:$J$224),0),
IF('TL11'!$B$229=K$3,SUMIF('TL11'!$C$238:$C$451,$C195,'TL11'!$J$238:$J$451),0),
IF('TL12'!$B$3=K$3,SUMIF('TL12'!$C$10:$C$224,$C195,'TL12'!$J$10:$J$224),0),
IF('TL12'!$B$229=K$3,SUMIF('TL12'!$C$238:$C$451,$C195,'TL12'!$J$238:$J$451),0),
IF('TL13'!$B$3=K$3,SUMIF('TL13'!$C$10:$C$224,$C195,'TL13'!$J$10:$J$224),0),
IF('TL13'!$B$229=K$3,SUMIF('TL13'!$C$238:$C$451,$C195,'TL13'!$J$238:$J$451),0),
IF('TL14'!$B$3=K$3,SUMIF('TL14'!$C$10:$C$224,$C195,'TL14'!$J$10:$J$224),0),
IF('TL14'!$B$229=K$3,SUMIF('TL14'!$C$238:$C$451,$C195,'TL14'!$J$238:$J$451),0),
IF('TL15'!$B$3=K$3,SUMIF('TL15'!$C$10:$C$224,$C195,'TL15'!$J$10:$J$224),0),
IF('TL15'!$B$229=K$3,SUMIF('TL15'!$C$238:$C$451,$C195,'TL15'!$J$238:$J$451),0),
IF('TL16'!$B$3=K$3,SUMIF('TL16'!$C$10:$C$224,$C195,'TL16'!$J$10:$J$224),0),
IF('TL16'!$B$229=K$3,SUMIF('TL16'!$C$238:$C$451,$C195,'TL16'!$J$238:$J$451),0),
IF('TL17'!$B$3=K$3,SUMIF('TL17'!$C$10:$C$224,$C195,'TL17'!$J$10:$J$224),0),
IF('TL17'!$B$229=K$3,SUMIF('TL17'!$C$238:$C$451,$C195,'TL17'!$J$238:$J$451),0),
IF('TL18'!$B$3=K$3,SUMIF('TL18'!$C$10:$C$224,$C195,'TL18'!$J$10:$J$224),0),
IF('TL18'!$B$229=K$3,SUMIF('TL18'!$C$238:$C$451,$C195,'TL18'!$J$238:$J$451),0),
IF('TL19'!$B$3=K$3,SUMIF('TL19'!$C$10:$C$224,$C195,'TL19'!$J$10:$J$224),0),
IF('TL19'!$B$229=K$3,SUMIF('TL19'!$C$238:$C$451,$C195,'TL19'!$J$238:$J$451),0)
),0)</f>
        <v/>
      </c>
      <c r="L195" s="9">
        <f>IFERROR(SUM(
IF('TL01'!$B$3=L$3,SUMIF('TL01'!$C$10:$C$224,$C195,'TL01'!$J$10:$J$224),0),
IF('TL01'!$B$229=L$3,SUMIF('TL01'!$C$238:$C$451,$C195,'TL01'!$J$238:$J$451),0),
IF('TL02'!$B$3=L$3,SUMIF('TL02'!$C$10:$C$224,$C195,'TL02'!$J$10:$J$224),0),
IF('TL02'!$B$229=L$3,SUMIF('TL02'!$C$238:$C$451,$C195,'TL02'!$J$238:$J$451),0),
IF('TL03'!$B$3=L$3,SUMIF('TL03'!$C$10:$C$224,$C195,'TL03'!$J$10:$J$224),0),
IF('TL03'!$B$229=L$3,SUMIF('TL03'!$C$238:$C$451,$C195,'TL03'!$J$238:$J$451),0),
IF('TL04'!$B$3=L$3,SUMIF('TL04'!$C$10:$C$224,$C195,'TL04'!$J$10:$J$224),0),
IF('TL04'!$B$229=L$3,SUMIF('TL04'!$C$238:$C$451,$C195,'TL04'!$J$238:$J$451),0),
IF('TL05'!$B$3=L$3,SUMIF('TL05'!$C$10:$C$224,$C195,'TL05'!$J$10:$J$224),0),
IF('TL05'!$B$229=L$3,SUMIF('TL05'!$C$238:$C$451,$C195,'TL05'!$J$238:$J$451),0),
IF('TL06'!$B$3=L$3,SUMIF('TL06'!$C$10:$C$224,$C195,'TL06'!$J$10:$J$224),0),
IF('TL06'!$B$229=L$3,SUMIF('TL06'!$C$238:$C$451,$C195,'TL06'!$J$238:$J$451),0),
IF('TL07'!$B$3=L$3,SUMIF('TL07'!$C$10:$C$224,$C195,'TL07'!$J$10:$J$224),0),
IF('TL07'!$B$229=L$3,SUMIF('TL07'!$C$238:$C$451,$C195,'TL07'!$J$238:$J$451),0),
IF('TL08'!$B$3=L$3,SUMIF('TL08'!$C$10:$C$224,$C195,'TL08'!$J$10:$J$224),0),
IF('TL08'!$B$229=L$3,SUMIF('TL08'!$C$238:$C$451,$C195,'TL08'!$J$238:$J$451),0),
IF('TL09'!$B$3=L$3,SUMIF('TL09'!$C$10:$C$224,$C195,'TL09'!$J$10:$J$224),0),
IF('TL09'!$B$229=L$3,SUMIF('TL09'!$C$238:$C$451,$C195,'TL09'!$J$238:$J$451),0),
IF('TL10'!$B$3=L$3,SUMIF('TL10'!$C$10:$C$224,$C195,'TL10'!$J$10:$J$224),0),
IF('TL10'!$B$229=L$3,SUMIF('TL10'!$C$238:$C$451,$C195,'TL10'!$J$238:$J$451),0),
IF('TL11'!$B$3=L$3,SUMIF('TL11'!$C$10:$C$224,$C195,'TL11'!$J$10:$J$224),0),
IF('TL11'!$B$229=L$3,SUMIF('TL11'!$C$238:$C$451,$C195,'TL11'!$J$238:$J$451),0),
IF('TL12'!$B$3=L$3,SUMIF('TL12'!$C$10:$C$224,$C195,'TL12'!$J$10:$J$224),0),
IF('TL12'!$B$229=L$3,SUMIF('TL12'!$C$238:$C$451,$C195,'TL12'!$J$238:$J$451),0),
IF('TL13'!$B$3=L$3,SUMIF('TL13'!$C$10:$C$224,$C195,'TL13'!$J$10:$J$224),0),
IF('TL13'!$B$229=L$3,SUMIF('TL13'!$C$238:$C$451,$C195,'TL13'!$J$238:$J$451),0),
IF('TL14'!$B$3=L$3,SUMIF('TL14'!$C$10:$C$224,$C195,'TL14'!$J$10:$J$224),0),
IF('TL14'!$B$229=L$3,SUMIF('TL14'!$C$238:$C$451,$C195,'TL14'!$J$238:$J$451),0),
IF('TL15'!$B$3=L$3,SUMIF('TL15'!$C$10:$C$224,$C195,'TL15'!$J$10:$J$224),0),
IF('TL15'!$B$229=L$3,SUMIF('TL15'!$C$238:$C$451,$C195,'TL15'!$J$238:$J$451),0),
IF('TL16'!$B$3=L$3,SUMIF('TL16'!$C$10:$C$224,$C195,'TL16'!$J$10:$J$224),0),
IF('TL16'!$B$229=L$3,SUMIF('TL16'!$C$238:$C$451,$C195,'TL16'!$J$238:$J$451),0),
IF('TL17'!$B$3=L$3,SUMIF('TL17'!$C$10:$C$224,$C195,'TL17'!$J$10:$J$224),0),
IF('TL17'!$B$229=L$3,SUMIF('TL17'!$C$238:$C$451,$C195,'TL17'!$J$238:$J$451),0),
IF('TL18'!$B$3=L$3,SUMIF('TL18'!$C$10:$C$224,$C195,'TL18'!$J$10:$J$224),0),
IF('TL18'!$B$229=L$3,SUMIF('TL18'!$C$238:$C$451,$C195,'TL18'!$J$238:$J$451),0),
IF('TL19'!$B$3=L$3,SUMIF('TL19'!$C$10:$C$224,$C195,'TL19'!$J$10:$J$224),0),
IF('TL19'!$B$229=L$3,SUMIF('TL19'!$C$238:$C$451,$C195,'TL19'!$J$238:$J$451),0)
),0)</f>
        <v/>
      </c>
      <c r="M195" s="9">
        <f>IFERROR(SUM(
IF('TL01'!$B$3=M$3,SUMIF('TL01'!$C$10:$C$224,$C195,'TL01'!$J$10:$J$224),0),
IF('TL01'!$B$229=M$3,SUMIF('TL01'!$C$238:$C$451,$C195,'TL01'!$J$238:$J$451),0),
IF('TL02'!$B$3=M$3,SUMIF('TL02'!$C$10:$C$224,$C195,'TL02'!$J$10:$J$224),0),
IF('TL02'!$B$229=M$3,SUMIF('TL02'!$C$238:$C$451,$C195,'TL02'!$J$238:$J$451),0),
IF('TL03'!$B$3=M$3,SUMIF('TL03'!$C$10:$C$224,$C195,'TL03'!$J$10:$J$224),0),
IF('TL03'!$B$229=M$3,SUMIF('TL03'!$C$238:$C$451,$C195,'TL03'!$J$238:$J$451),0),
IF('TL04'!$B$3=M$3,SUMIF('TL04'!$C$10:$C$224,$C195,'TL04'!$J$10:$J$224),0),
IF('TL04'!$B$229=M$3,SUMIF('TL04'!$C$238:$C$451,$C195,'TL04'!$J$238:$J$451),0),
IF('TL05'!$B$3=M$3,SUMIF('TL05'!$C$10:$C$224,$C195,'TL05'!$J$10:$J$224),0),
IF('TL05'!$B$229=M$3,SUMIF('TL05'!$C$238:$C$451,$C195,'TL05'!$J$238:$J$451),0),
IF('TL06'!$B$3=M$3,SUMIF('TL06'!$C$10:$C$224,$C195,'TL06'!$J$10:$J$224),0),
IF('TL06'!$B$229=M$3,SUMIF('TL06'!$C$238:$C$451,$C195,'TL06'!$J$238:$J$451),0),
IF('TL07'!$B$3=M$3,SUMIF('TL07'!$C$10:$C$224,$C195,'TL07'!$J$10:$J$224),0),
IF('TL07'!$B$229=M$3,SUMIF('TL07'!$C$238:$C$451,$C195,'TL07'!$J$238:$J$451),0),
IF('TL08'!$B$3=M$3,SUMIF('TL08'!$C$10:$C$224,$C195,'TL08'!$J$10:$J$224),0),
IF('TL08'!$B$229=M$3,SUMIF('TL08'!$C$238:$C$451,$C195,'TL08'!$J$238:$J$451),0),
IF('TL09'!$B$3=M$3,SUMIF('TL09'!$C$10:$C$224,$C195,'TL09'!$J$10:$J$224),0),
IF('TL09'!$B$229=M$3,SUMIF('TL09'!$C$238:$C$451,$C195,'TL09'!$J$238:$J$451),0),
IF('TL10'!$B$3=M$3,SUMIF('TL10'!$C$10:$C$224,$C195,'TL10'!$J$10:$J$224),0),
IF('TL10'!$B$229=M$3,SUMIF('TL10'!$C$238:$C$451,$C195,'TL10'!$J$238:$J$451),0),
IF('TL11'!$B$3=M$3,SUMIF('TL11'!$C$10:$C$224,$C195,'TL11'!$J$10:$J$224),0),
IF('TL11'!$B$229=M$3,SUMIF('TL11'!$C$238:$C$451,$C195,'TL11'!$J$238:$J$451),0),
IF('TL12'!$B$3=M$3,SUMIF('TL12'!$C$10:$C$224,$C195,'TL12'!$J$10:$J$224),0),
IF('TL12'!$B$229=M$3,SUMIF('TL12'!$C$238:$C$451,$C195,'TL12'!$J$238:$J$451),0),
IF('TL13'!$B$3=M$3,SUMIF('TL13'!$C$10:$C$224,$C195,'TL13'!$J$10:$J$224),0),
IF('TL13'!$B$229=M$3,SUMIF('TL13'!$C$238:$C$451,$C195,'TL13'!$J$238:$J$451),0),
IF('TL14'!$B$3=M$3,SUMIF('TL14'!$C$10:$C$224,$C195,'TL14'!$J$10:$J$224),0),
IF('TL14'!$B$229=M$3,SUMIF('TL14'!$C$238:$C$451,$C195,'TL14'!$J$238:$J$451),0),
IF('TL15'!$B$3=M$3,SUMIF('TL15'!$C$10:$C$224,$C195,'TL15'!$J$10:$J$224),0),
IF('TL15'!$B$229=M$3,SUMIF('TL15'!$C$238:$C$451,$C195,'TL15'!$J$238:$J$451),0),
IF('TL16'!$B$3=M$3,SUMIF('TL16'!$C$10:$C$224,$C195,'TL16'!$J$10:$J$224),0),
IF('TL16'!$B$229=M$3,SUMIF('TL16'!$C$238:$C$451,$C195,'TL16'!$J$238:$J$451),0),
IF('TL17'!$B$3=M$3,SUMIF('TL17'!$C$10:$C$224,$C195,'TL17'!$J$10:$J$224),0),
IF('TL17'!$B$229=M$3,SUMIF('TL17'!$C$238:$C$451,$C195,'TL17'!$J$238:$J$451),0),
IF('TL18'!$B$3=M$3,SUMIF('TL18'!$C$10:$C$224,$C195,'TL18'!$J$10:$J$224),0),
IF('TL18'!$B$229=M$3,SUMIF('TL18'!$C$238:$C$451,$C195,'TL18'!$J$238:$J$451),0),
IF('TL19'!$B$3=M$3,SUMIF('TL19'!$C$10:$C$224,$C195,'TL19'!$J$10:$J$224),0),
IF('TL19'!$B$229=M$3,SUMIF('TL19'!$C$238:$C$451,$C195,'TL19'!$J$238:$J$451),0)
),0)</f>
        <v/>
      </c>
      <c r="N195" s="9">
        <f>IFERROR(SUM(
IF('TL01'!$B$3=N$3,SUMIF('TL01'!$C$10:$C$224,$C195,'TL01'!$J$10:$J$224),0),
IF('TL01'!$B$229=N$3,SUMIF('TL01'!$C$238:$C$451,$C195,'TL01'!$J$238:$J$451),0),
IF('TL02'!$B$3=N$3,SUMIF('TL02'!$C$10:$C$224,$C195,'TL02'!$J$10:$J$224),0),
IF('TL02'!$B$229=N$3,SUMIF('TL02'!$C$238:$C$451,$C195,'TL02'!$J$238:$J$451),0),
IF('TL03'!$B$3=N$3,SUMIF('TL03'!$C$10:$C$224,$C195,'TL03'!$J$10:$J$224),0),
IF('TL03'!$B$229=N$3,SUMIF('TL03'!$C$238:$C$451,$C195,'TL03'!$J$238:$J$451),0),
IF('TL04'!$B$3=N$3,SUMIF('TL04'!$C$10:$C$224,$C195,'TL04'!$J$10:$J$224),0),
IF('TL04'!$B$229=N$3,SUMIF('TL04'!$C$238:$C$451,$C195,'TL04'!$J$238:$J$451),0),
IF('TL05'!$B$3=N$3,SUMIF('TL05'!$C$10:$C$224,$C195,'TL05'!$J$10:$J$224),0),
IF('TL05'!$B$229=N$3,SUMIF('TL05'!$C$238:$C$451,$C195,'TL05'!$J$238:$J$451),0),
IF('TL06'!$B$3=N$3,SUMIF('TL06'!$C$10:$C$224,$C195,'TL06'!$J$10:$J$224),0),
IF('TL06'!$B$229=N$3,SUMIF('TL06'!$C$238:$C$451,$C195,'TL06'!$J$238:$J$451),0),
IF('TL07'!$B$3=N$3,SUMIF('TL07'!$C$10:$C$224,$C195,'TL07'!$J$10:$J$224),0),
IF('TL07'!$B$229=N$3,SUMIF('TL07'!$C$238:$C$451,$C195,'TL07'!$J$238:$J$451),0),
IF('TL08'!$B$3=N$3,SUMIF('TL08'!$C$10:$C$224,$C195,'TL08'!$J$10:$J$224),0),
IF('TL08'!$B$229=N$3,SUMIF('TL08'!$C$238:$C$451,$C195,'TL08'!$J$238:$J$451),0),
IF('TL09'!$B$3=N$3,SUMIF('TL09'!$C$10:$C$224,$C195,'TL09'!$J$10:$J$224),0),
IF('TL09'!$B$229=N$3,SUMIF('TL09'!$C$238:$C$451,$C195,'TL09'!$J$238:$J$451),0),
IF('TL10'!$B$3=N$3,SUMIF('TL10'!$C$10:$C$224,$C195,'TL10'!$J$10:$J$224),0),
IF('TL10'!$B$229=N$3,SUMIF('TL10'!$C$238:$C$451,$C195,'TL10'!$J$238:$J$451),0),
IF('TL11'!$B$3=N$3,SUMIF('TL11'!$C$10:$C$224,$C195,'TL11'!$J$10:$J$224),0),
IF('TL11'!$B$229=N$3,SUMIF('TL11'!$C$238:$C$451,$C195,'TL11'!$J$238:$J$451),0),
IF('TL12'!$B$3=N$3,SUMIF('TL12'!$C$10:$C$224,$C195,'TL12'!$J$10:$J$224),0),
IF('TL12'!$B$229=N$3,SUMIF('TL12'!$C$238:$C$451,$C195,'TL12'!$J$238:$J$451),0),
IF('TL13'!$B$3=N$3,SUMIF('TL13'!$C$10:$C$224,$C195,'TL13'!$J$10:$J$224),0),
IF('TL13'!$B$229=N$3,SUMIF('TL13'!$C$238:$C$451,$C195,'TL13'!$J$238:$J$451),0),
IF('TL14'!$B$3=N$3,SUMIF('TL14'!$C$10:$C$224,$C195,'TL14'!$J$10:$J$224),0),
IF('TL14'!$B$229=N$3,SUMIF('TL14'!$C$238:$C$451,$C195,'TL14'!$J$238:$J$451),0),
IF('TL15'!$B$3=N$3,SUMIF('TL15'!$C$10:$C$224,$C195,'TL15'!$J$10:$J$224),0),
IF('TL15'!$B$229=N$3,SUMIF('TL15'!$C$238:$C$451,$C195,'TL15'!$J$238:$J$451),0),
IF('TL16'!$B$3=N$3,SUMIF('TL16'!$C$10:$C$224,$C195,'TL16'!$J$10:$J$224),0),
IF('TL16'!$B$229=N$3,SUMIF('TL16'!$C$238:$C$451,$C195,'TL16'!$J$238:$J$451),0),
IF('TL17'!$B$3=N$3,SUMIF('TL17'!$C$10:$C$224,$C195,'TL17'!$J$10:$J$224),0),
IF('TL17'!$B$229=N$3,SUMIF('TL17'!$C$238:$C$451,$C195,'TL17'!$J$238:$J$451),0),
IF('TL18'!$B$3=N$3,SUMIF('TL18'!$C$10:$C$224,$C195,'TL18'!$J$10:$J$224),0),
IF('TL18'!$B$229=N$3,SUMIF('TL18'!$C$238:$C$451,$C195,'TL18'!$J$238:$J$451),0),
IF('TL19'!$B$3=N$3,SUMIF('TL19'!$C$10:$C$224,$C195,'TL19'!$J$10:$J$224),0),
IF('TL19'!$B$229=N$3,SUMIF('TL19'!$C$238:$C$451,$C195,'TL19'!$J$238:$J$451),0)
),0)</f>
        <v/>
      </c>
      <c r="O195" s="9">
        <f>IFERROR(SUM(
IF('TL01'!$B$3=O$3,SUMIF('TL01'!$C$10:$C$224,$C195,'TL01'!$J$10:$J$224),0),
IF('TL01'!$B$229=O$3,SUMIF('TL01'!$C$238:$C$451,$C195,'TL01'!$J$238:$J$451),0),
IF('TL02'!$B$3=O$3,SUMIF('TL02'!$C$10:$C$224,$C195,'TL02'!$J$10:$J$224),0),
IF('TL02'!$B$229=O$3,SUMIF('TL02'!$C$238:$C$451,$C195,'TL02'!$J$238:$J$451),0),
IF('TL03'!$B$3=O$3,SUMIF('TL03'!$C$10:$C$224,$C195,'TL03'!$J$10:$J$224),0),
IF('TL03'!$B$229=O$3,SUMIF('TL03'!$C$238:$C$451,$C195,'TL03'!$J$238:$J$451),0),
IF('TL04'!$B$3=O$3,SUMIF('TL04'!$C$10:$C$224,$C195,'TL04'!$J$10:$J$224),0),
IF('TL04'!$B$229=O$3,SUMIF('TL04'!$C$238:$C$451,$C195,'TL04'!$J$238:$J$451),0),
IF('TL05'!$B$3=O$3,SUMIF('TL05'!$C$10:$C$224,$C195,'TL05'!$J$10:$J$224),0),
IF('TL05'!$B$229=O$3,SUMIF('TL05'!$C$238:$C$451,$C195,'TL05'!$J$238:$J$451),0),
IF('TL06'!$B$3=O$3,SUMIF('TL06'!$C$10:$C$224,$C195,'TL06'!$J$10:$J$224),0),
IF('TL06'!$B$229=O$3,SUMIF('TL06'!$C$238:$C$451,$C195,'TL06'!$J$238:$J$451),0),
IF('TL07'!$B$3=O$3,SUMIF('TL07'!$C$10:$C$224,$C195,'TL07'!$J$10:$J$224),0),
IF('TL07'!$B$229=O$3,SUMIF('TL07'!$C$238:$C$451,$C195,'TL07'!$J$238:$J$451),0),
IF('TL08'!$B$3=O$3,SUMIF('TL08'!$C$10:$C$224,$C195,'TL08'!$J$10:$J$224),0),
IF('TL08'!$B$229=O$3,SUMIF('TL08'!$C$238:$C$451,$C195,'TL08'!$J$238:$J$451),0),
IF('TL09'!$B$3=O$3,SUMIF('TL09'!$C$10:$C$224,$C195,'TL09'!$J$10:$J$224),0),
IF('TL09'!$B$229=O$3,SUMIF('TL09'!$C$238:$C$451,$C195,'TL09'!$J$238:$J$451),0),
IF('TL10'!$B$3=O$3,SUMIF('TL10'!$C$10:$C$224,$C195,'TL10'!$J$10:$J$224),0),
IF('TL10'!$B$229=O$3,SUMIF('TL10'!$C$238:$C$451,$C195,'TL10'!$J$238:$J$451),0),
IF('TL11'!$B$3=O$3,SUMIF('TL11'!$C$10:$C$224,$C195,'TL11'!$J$10:$J$224),0),
IF('TL11'!$B$229=O$3,SUMIF('TL11'!$C$238:$C$451,$C195,'TL11'!$J$238:$J$451),0),
IF('TL12'!$B$3=O$3,SUMIF('TL12'!$C$10:$C$224,$C195,'TL12'!$J$10:$J$224),0),
IF('TL12'!$B$229=O$3,SUMIF('TL12'!$C$238:$C$451,$C195,'TL12'!$J$238:$J$451),0),
IF('TL13'!$B$3=O$3,SUMIF('TL13'!$C$10:$C$224,$C195,'TL13'!$J$10:$J$224),0),
IF('TL13'!$B$229=O$3,SUMIF('TL13'!$C$238:$C$451,$C195,'TL13'!$J$238:$J$451),0),
IF('TL14'!$B$3=O$3,SUMIF('TL14'!$C$10:$C$224,$C195,'TL14'!$J$10:$J$224),0),
IF('TL14'!$B$229=O$3,SUMIF('TL14'!$C$238:$C$451,$C195,'TL14'!$J$238:$J$451),0),
IF('TL15'!$B$3=O$3,SUMIF('TL15'!$C$10:$C$224,$C195,'TL15'!$J$10:$J$224),0),
IF('TL15'!$B$229=O$3,SUMIF('TL15'!$C$238:$C$451,$C195,'TL15'!$J$238:$J$451),0),
IF('TL16'!$B$3=O$3,SUMIF('TL16'!$C$10:$C$224,$C195,'TL16'!$J$10:$J$224),0),
IF('TL16'!$B$229=O$3,SUMIF('TL16'!$C$238:$C$451,$C195,'TL16'!$J$238:$J$451),0),
IF('TL17'!$B$3=O$3,SUMIF('TL17'!$C$10:$C$224,$C195,'TL17'!$J$10:$J$224),0),
IF('TL17'!$B$229=O$3,SUMIF('TL17'!$C$238:$C$451,$C195,'TL17'!$J$238:$J$451),0),
IF('TL18'!$B$3=O$3,SUMIF('TL18'!$C$10:$C$224,$C195,'TL18'!$J$10:$J$224),0),
IF('TL18'!$B$229=O$3,SUMIF('TL18'!$C$238:$C$451,$C195,'TL18'!$J$238:$J$451),0),
IF('TL19'!$B$3=O$3,SUMIF('TL19'!$C$10:$C$224,$C195,'TL19'!$J$10:$J$224),0),
IF('TL19'!$B$229=O$3,SUMIF('TL19'!$C$238:$C$451,$C195,'TL19'!$J$238:$J$451),0)
),0)</f>
        <v/>
      </c>
      <c r="P195" s="9">
        <f>IFERROR(SUM(
IF('TL01'!$B$3=P$3,SUMIF('TL01'!$C$10:$C$224,$C195,'TL01'!$J$10:$J$224),0),
IF('TL01'!$B$229=P$3,SUMIF('TL01'!$C$238:$C$451,$C195,'TL01'!$J$238:$J$451),0),
IF('TL02'!$B$3=P$3,SUMIF('TL02'!$C$10:$C$224,$C195,'TL02'!$J$10:$J$224),0),
IF('TL02'!$B$229=P$3,SUMIF('TL02'!$C$238:$C$451,$C195,'TL02'!$J$238:$J$451),0),
IF('TL03'!$B$3=P$3,SUMIF('TL03'!$C$10:$C$224,$C195,'TL03'!$J$10:$J$224),0),
IF('TL03'!$B$229=P$3,SUMIF('TL03'!$C$238:$C$451,$C195,'TL03'!$J$238:$J$451),0),
IF('TL04'!$B$3=P$3,SUMIF('TL04'!$C$10:$C$224,$C195,'TL04'!$J$10:$J$224),0),
IF('TL04'!$B$229=P$3,SUMIF('TL04'!$C$238:$C$451,$C195,'TL04'!$J$238:$J$451),0),
IF('TL05'!$B$3=P$3,SUMIF('TL05'!$C$10:$C$224,$C195,'TL05'!$J$10:$J$224),0),
IF('TL05'!$B$229=P$3,SUMIF('TL05'!$C$238:$C$451,$C195,'TL05'!$J$238:$J$451),0),
IF('TL06'!$B$3=P$3,SUMIF('TL06'!$C$10:$C$224,$C195,'TL06'!$J$10:$J$224),0),
IF('TL06'!$B$229=P$3,SUMIF('TL06'!$C$238:$C$451,$C195,'TL06'!$J$238:$J$451),0),
IF('TL07'!$B$3=P$3,SUMIF('TL07'!$C$10:$C$224,$C195,'TL07'!$J$10:$J$224),0),
IF('TL07'!$B$229=P$3,SUMIF('TL07'!$C$238:$C$451,$C195,'TL07'!$J$238:$J$451),0),
IF('TL08'!$B$3=P$3,SUMIF('TL08'!$C$10:$C$224,$C195,'TL08'!$J$10:$J$224),0),
IF('TL08'!$B$229=P$3,SUMIF('TL08'!$C$238:$C$451,$C195,'TL08'!$J$238:$J$451),0),
IF('TL09'!$B$3=P$3,SUMIF('TL09'!$C$10:$C$224,$C195,'TL09'!$J$10:$J$224),0),
IF('TL09'!$B$229=P$3,SUMIF('TL09'!$C$238:$C$451,$C195,'TL09'!$J$238:$J$451),0),
IF('TL10'!$B$3=P$3,SUMIF('TL10'!$C$10:$C$224,$C195,'TL10'!$J$10:$J$224),0),
IF('TL10'!$B$229=P$3,SUMIF('TL10'!$C$238:$C$451,$C195,'TL10'!$J$238:$J$451),0),
IF('TL11'!$B$3=P$3,SUMIF('TL11'!$C$10:$C$224,$C195,'TL11'!$J$10:$J$224),0),
IF('TL11'!$B$229=P$3,SUMIF('TL11'!$C$238:$C$451,$C195,'TL11'!$J$238:$J$451),0),
IF('TL12'!$B$3=P$3,SUMIF('TL12'!$C$10:$C$224,$C195,'TL12'!$J$10:$J$224),0),
IF('TL12'!$B$229=P$3,SUMIF('TL12'!$C$238:$C$451,$C195,'TL12'!$J$238:$J$451),0),
IF('TL13'!$B$3=P$3,SUMIF('TL13'!$C$10:$C$224,$C195,'TL13'!$J$10:$J$224),0),
IF('TL13'!$B$229=P$3,SUMIF('TL13'!$C$238:$C$451,$C195,'TL13'!$J$238:$J$451),0),
IF('TL14'!$B$3=P$3,SUMIF('TL14'!$C$10:$C$224,$C195,'TL14'!$J$10:$J$224),0),
IF('TL14'!$B$229=P$3,SUMIF('TL14'!$C$238:$C$451,$C195,'TL14'!$J$238:$J$451),0),
IF('TL15'!$B$3=P$3,SUMIF('TL15'!$C$10:$C$224,$C195,'TL15'!$J$10:$J$224),0),
IF('TL15'!$B$229=P$3,SUMIF('TL15'!$C$238:$C$451,$C195,'TL15'!$J$238:$J$451),0),
IF('TL16'!$B$3=P$3,SUMIF('TL16'!$C$10:$C$224,$C195,'TL16'!$J$10:$J$224),0),
IF('TL16'!$B$229=P$3,SUMIF('TL16'!$C$238:$C$451,$C195,'TL16'!$J$238:$J$451),0),
IF('TL17'!$B$3=P$3,SUMIF('TL17'!$C$10:$C$224,$C195,'TL17'!$J$10:$J$224),0),
IF('TL17'!$B$229=P$3,SUMIF('TL17'!$C$238:$C$451,$C195,'TL17'!$J$238:$J$451),0),
IF('TL18'!$B$3=P$3,SUMIF('TL18'!$C$10:$C$224,$C195,'TL18'!$J$10:$J$224),0),
IF('TL18'!$B$229=P$3,SUMIF('TL18'!$C$238:$C$451,$C195,'TL18'!$J$238:$J$451),0),
IF('TL19'!$B$3=P$3,SUMIF('TL19'!$C$10:$C$224,$C195,'TL19'!$J$10:$J$224),0),
IF('TL19'!$B$229=P$3,SUMIF('TL19'!$C$238:$C$451,$C195,'TL19'!$J$238:$J$451),0)
),0)</f>
        <v/>
      </c>
      <c r="Q195" s="9">
        <f>IFERROR(SUM(
IF('TL01'!$B$3=Q$3,SUMIF('TL01'!$C$10:$C$224,$C195,'TL01'!$J$10:$J$224),0),
IF('TL01'!$B$229=Q$3,SUMIF('TL01'!$C$238:$C$451,$C195,'TL01'!$J$238:$J$451),0),
IF('TL02'!$B$3=Q$3,SUMIF('TL02'!$C$10:$C$224,$C195,'TL02'!$J$10:$J$224),0),
IF('TL02'!$B$229=Q$3,SUMIF('TL02'!$C$238:$C$451,$C195,'TL02'!$J$238:$J$451),0),
IF('TL03'!$B$3=Q$3,SUMIF('TL03'!$C$10:$C$224,$C195,'TL03'!$J$10:$J$224),0),
IF('TL03'!$B$229=Q$3,SUMIF('TL03'!$C$238:$C$451,$C195,'TL03'!$J$238:$J$451),0),
IF('TL04'!$B$3=Q$3,SUMIF('TL04'!$C$10:$C$224,$C195,'TL04'!$J$10:$J$224),0),
IF('TL04'!$B$229=Q$3,SUMIF('TL04'!$C$238:$C$451,$C195,'TL04'!$J$238:$J$451),0),
IF('TL05'!$B$3=Q$3,SUMIF('TL05'!$C$10:$C$224,$C195,'TL05'!$J$10:$J$224),0),
IF('TL05'!$B$229=Q$3,SUMIF('TL05'!$C$238:$C$451,$C195,'TL05'!$J$238:$J$451),0),
IF('TL06'!$B$3=Q$3,SUMIF('TL06'!$C$10:$C$224,$C195,'TL06'!$J$10:$J$224),0),
IF('TL06'!$B$229=Q$3,SUMIF('TL06'!$C$238:$C$451,$C195,'TL06'!$J$238:$J$451),0),
IF('TL07'!$B$3=Q$3,SUMIF('TL07'!$C$10:$C$224,$C195,'TL07'!$J$10:$J$224),0),
IF('TL07'!$B$229=Q$3,SUMIF('TL07'!$C$238:$C$451,$C195,'TL07'!$J$238:$J$451),0),
IF('TL08'!$B$3=Q$3,SUMIF('TL08'!$C$10:$C$224,$C195,'TL08'!$J$10:$J$224),0),
IF('TL08'!$B$229=Q$3,SUMIF('TL08'!$C$238:$C$451,$C195,'TL08'!$J$238:$J$451),0),
IF('TL09'!$B$3=Q$3,SUMIF('TL09'!$C$10:$C$224,$C195,'TL09'!$J$10:$J$224),0),
IF('TL09'!$B$229=Q$3,SUMIF('TL09'!$C$238:$C$451,$C195,'TL09'!$J$238:$J$451),0),
IF('TL10'!$B$3=Q$3,SUMIF('TL10'!$C$10:$C$224,$C195,'TL10'!$J$10:$J$224),0),
IF('TL10'!$B$229=Q$3,SUMIF('TL10'!$C$238:$C$451,$C195,'TL10'!$J$238:$J$451),0),
IF('TL11'!$B$3=Q$3,SUMIF('TL11'!$C$10:$C$224,$C195,'TL11'!$J$10:$J$224),0),
IF('TL11'!$B$229=Q$3,SUMIF('TL11'!$C$238:$C$451,$C195,'TL11'!$J$238:$J$451),0),
IF('TL12'!$B$3=Q$3,SUMIF('TL12'!$C$10:$C$224,$C195,'TL12'!$J$10:$J$224),0),
IF('TL12'!$B$229=Q$3,SUMIF('TL12'!$C$238:$C$451,$C195,'TL12'!$J$238:$J$451),0),
IF('TL13'!$B$3=Q$3,SUMIF('TL13'!$C$10:$C$224,$C195,'TL13'!$J$10:$J$224),0),
IF('TL13'!$B$229=Q$3,SUMIF('TL13'!$C$238:$C$451,$C195,'TL13'!$J$238:$J$451),0),
IF('TL14'!$B$3=Q$3,SUMIF('TL14'!$C$10:$C$224,$C195,'TL14'!$J$10:$J$224),0),
IF('TL14'!$B$229=Q$3,SUMIF('TL14'!$C$238:$C$451,$C195,'TL14'!$J$238:$J$451),0),
IF('TL15'!$B$3=Q$3,SUMIF('TL15'!$C$10:$C$224,$C195,'TL15'!$J$10:$J$224),0),
IF('TL15'!$B$229=Q$3,SUMIF('TL15'!$C$238:$C$451,$C195,'TL15'!$J$238:$J$451),0),
IF('TL16'!$B$3=Q$3,SUMIF('TL16'!$C$10:$C$224,$C195,'TL16'!$J$10:$J$224),0),
IF('TL16'!$B$229=Q$3,SUMIF('TL16'!$C$238:$C$451,$C195,'TL16'!$J$238:$J$451),0),
IF('TL17'!$B$3=Q$3,SUMIF('TL17'!$C$10:$C$224,$C195,'TL17'!$J$10:$J$224),0),
IF('TL17'!$B$229=Q$3,SUMIF('TL17'!$C$238:$C$451,$C195,'TL17'!$J$238:$J$451),0),
IF('TL18'!$B$3=Q$3,SUMIF('TL18'!$C$10:$C$224,$C195,'TL18'!$J$10:$J$224),0),
IF('TL18'!$B$229=Q$3,SUMIF('TL18'!$C$238:$C$451,$C195,'TL18'!$J$238:$J$451),0),
IF('TL19'!$B$3=Q$3,SUMIF('TL19'!$C$10:$C$224,$C195,'TL19'!$J$10:$J$224),0),
IF('TL19'!$B$229=Q$3,SUMIF('TL19'!$C$238:$C$451,$C195,'TL19'!$J$238:$J$451),0)
),0)</f>
        <v/>
      </c>
      <c r="R195" s="9">
        <f>IFERROR(
SUM(
SUMIF('TL01'!C:C,C195,'TL01'!J:J),
SUMIF('TL02'!C:C,C195,'TL02'!J:J),
SUMIF('TL03'!C:C,C195,'TL03'!J:J),
SUMIF('TL04'!C:C,C195,'TL04'!J:J),
SUMIF('TL05'!C:C,C195,'TL05'!J:J),
SUMIF('TL06'!C:C,C195,'TL06'!J:J),
SUMIF('TL07'!C:C,C195,'TL07'!J:J),
SUMIF('TL08'!C:C,C195,'TL08'!J:J),
SUMIF('TL09'!C:C,C195,'TL09'!J:J),
SUMIF('TL10'!C:C,C195,'TL10'!J:J),
SUMIF('TL11'!C:C,C195,'TL11'!J:J),
SUMIF('TL12'!C:C,C195,'TL12'!J:J),
SUMIF('TL13'!C:C,C195,'TL13'!J:J),
SUMIF('TL14'!C:C,C195,'TL14'!J:J),
SUMIF('TL15'!C:C,C195,'TL15'!J:J),
SUMIF('TL16'!C:C,C195,'TL16'!J:J),
SUMIF('TL17'!C:C,C195,'TL17'!J:J),
SUMIF('TL18'!C:C,C195,'TL18'!J:J),SUMIF('TL19'!C:C,C195,'TL19'!J:J))
,0)</f>
        <v/>
      </c>
      <c r="S195" s="17">
        <f>IFERROR(__xludf.DUMMYFUNCTION("IFERROR(VLOOKUP(C195,
IMPORTRANGE(""1wULbzX32WdYsx-lj2U3uUNBBe2INVIRDtcK0d-Dvl90"",
""26-27!C:G""),
5,
FALSE),
"""")"),14.95533)</f>
        <v/>
      </c>
      <c r="T195" s="9" t="n"/>
      <c r="U195" s="92">
        <f>MAX(0,R195-T195)</f>
        <v/>
      </c>
      <c r="V195" s="93">
        <f>U195*S195</f>
        <v/>
      </c>
    </row>
    <row r="196" hidden="1" ht="15.75" customHeight="1" s="297">
      <c r="A196" s="87" t="inlineStr">
        <is>
          <t>CORTEVA/SOMAX</t>
        </is>
      </c>
      <c r="B196" s="88" t="inlineStr">
        <is>
          <t>INSETICIDA</t>
        </is>
      </c>
      <c r="C196" s="89" t="inlineStr">
        <is>
          <t>ACETAMIPRID 250 G/KG + BIFENTHRIN
 250G/KG WG</t>
        </is>
      </c>
      <c r="D196" s="89" t="inlineStr">
        <is>
          <t>ACETAMIPRIDO + BIFENTRINA</t>
        </is>
      </c>
      <c r="E196" s="89" t="inlineStr">
        <is>
          <t>250 + 250</t>
        </is>
      </c>
      <c r="F196" s="4" t="inlineStr">
        <is>
          <t>PROTEINAS</t>
        </is>
      </c>
      <c r="G196" s="90">
        <f>HYPERLINK("https://www.google.com/search?q=" &amp; C196 &amp; "+bula+agrofit+pdf", "📄 Ver bula")</f>
        <v/>
      </c>
      <c r="H196" s="9">
        <f>IFERROR(__xludf.DUMMYFUNCTION("IFERROR(VLOOKUP(C196,
IMPORTRANGE(""1wULbzX32WdYsx-lj2U3uUNBBe2INVIRDtcK0d-Dvl90"",
""26-27!C:K""),
8,
FALSE),
"""")"),0.25)</f>
        <v/>
      </c>
      <c r="I196" s="91" t="inlineStr">
        <is>
          <t>1x20</t>
        </is>
      </c>
      <c r="J196" s="9">
        <f>IFERROR(SUM(
IF('TL01'!$B$3=J$3,SUMIF('TL01'!$C$10:$C$224,$C196,'TL01'!$J$10:$J$224),0),
IF('TL01'!$B$229=J$3,SUMIF('TL01'!$C$238:$C$451,$C196,'TL01'!$J$238:$J$451),0),
IF('TL02'!$B$3=J$3,SUMIF('TL02'!$C$10:$C$224,$C196,'TL02'!$J$10:$J$224),0),
IF('TL02'!$B$229=J$3,SUMIF('TL02'!$C$238:$C$451,$C196,'TL02'!$J$238:$J$451),0),
IF('TL03'!$B$3=J$3,SUMIF('TL03'!$C$10:$C$224,$C196,'TL03'!$J$10:$J$224),0),
IF('TL03'!$B$229=J$3,SUMIF('TL03'!$C$238:$C$451,$C196,'TL03'!$J$238:$J$451),0),
IF('TL04'!$B$3=J$3,SUMIF('TL04'!$C$10:$C$224,$C196,'TL04'!$J$10:$J$224),0),
IF('TL04'!$B$229=J$3,SUMIF('TL04'!$C$238:$C$451,$C196,'TL04'!$J$238:$J$451),0),
IF('TL05'!$B$3=J$3,SUMIF('TL05'!$C$10:$C$224,$C196,'TL05'!$J$10:$J$224),0),
IF('TL05'!$B$229=J$3,SUMIF('TL05'!$C$238:$C$451,$C196,'TL05'!$J$238:$J$451),0),
IF('TL06'!$B$3=J$3,SUMIF('TL06'!$C$10:$C$224,$C196,'TL06'!$J$10:$J$224),0),
IF('TL06'!$B$229=J$3,SUMIF('TL06'!$C$238:$C$451,$C196,'TL06'!$J$238:$J$451),0),
IF('TL07'!$B$3=J$3,SUMIF('TL07'!$C$10:$C$224,$C196,'TL07'!$J$10:$J$224),0),
IF('TL07'!$B$229=J$3,SUMIF('TL07'!$C$238:$C$451,$C196,'TL07'!$J$238:$J$451),0),
IF('TL08'!$B$3=J$3,SUMIF('TL08'!$C$10:$C$224,$C196,'TL08'!$J$10:$J$224),0),
IF('TL08'!$B$229=J$3,SUMIF('TL08'!$C$238:$C$451,$C196,'TL08'!$J$238:$J$451),0),
IF('TL09'!$B$3=J$3,SUMIF('TL09'!$C$10:$C$224,$C196,'TL09'!$J$10:$J$224),0),
IF('TL09'!$B$229=J$3,SUMIF('TL09'!$C$238:$C$451,$C196,'TL09'!$J$238:$J$451),0),
IF('TL10'!$B$3=J$3,SUMIF('TL10'!$C$10:$C$224,$C196,'TL10'!$J$10:$J$224),0),
IF('TL10'!$B$229=J$3,SUMIF('TL10'!$C$238:$C$451,$C196,'TL10'!$J$238:$J$451),0),
IF('TL11'!$B$3=J$3,SUMIF('TL11'!$C$10:$C$224,$C196,'TL11'!$J$10:$J$224),0),
IF('TL11'!$B$229=J$3,SUMIF('TL11'!$C$238:$C$451,$C196,'TL11'!$J$238:$J$451),0),
IF('TL12'!$B$3=J$3,SUMIF('TL12'!$C$10:$C$224,$C196,'TL12'!$J$10:$J$224),0),
IF('TL12'!$B$229=J$3,SUMIF('TL12'!$C$238:$C$451,$C196,'TL12'!$J$238:$J$451),0),
IF('TL13'!$B$3=J$3,SUMIF('TL13'!$C$10:$C$224,$C196,'TL13'!$J$10:$J$224),0),
IF('TL13'!$B$229=J$3,SUMIF('TL13'!$C$238:$C$451,$C196,'TL13'!$J$238:$J$451),0),
IF('TL14'!$B$3=J$3,SUMIF('TL14'!$C$10:$C$224,$C196,'TL14'!$J$10:$J$224),0),
IF('TL14'!$B$229=J$3,SUMIF('TL14'!$C$238:$C$451,$C196,'TL14'!$J$238:$J$451),0),
IF('TL15'!$B$3=J$3,SUMIF('TL15'!$C$10:$C$224,$C196,'TL15'!$J$10:$J$224),0),
IF('TL15'!$B$229=J$3,SUMIF('TL15'!$C$238:$C$451,$C196,'TL15'!$J$238:$J$451),0),
IF('TL16'!$B$3=J$3,SUMIF('TL16'!$C$10:$C$224,$C196,'TL16'!$J$10:$J$224),0),
IF('TL16'!$B$229=J$3,SUMIF('TL16'!$C$238:$C$451,$C196,'TL16'!$J$238:$J$451),0),
IF('TL17'!$B$3=J$3,SUMIF('TL17'!$C$10:$C$224,$C196,'TL17'!$J$10:$J$224),0),
IF('TL17'!$B$229=J$3,SUMIF('TL17'!$C$238:$C$451,$C196,'TL17'!$J$238:$J$451),0),
IF('TL18'!$B$3=J$3,SUMIF('TL18'!$C$10:$C$224,$C196,'TL18'!$J$10:$J$224),0),
IF('TL18'!$B$229=J$3,SUMIF('TL18'!$C$238:$C$451,$C196,'TL18'!$J$238:$J$451),0),
IF('TL19'!$B$3=J$3,SUMIF('TL19'!$C$10:$C$224,$C196,'TL19'!$J$10:$J$224),0),
IF('TL19'!$B$229=J$3,SUMIF('TL19'!$C$238:$C$451,$C196,'TL19'!$J$238:$J$451),0)
),0)</f>
        <v/>
      </c>
      <c r="K196" s="9">
        <f>IFERROR(SUM(
IF('TL01'!$B$3=K$3,SUMIF('TL01'!$C$10:$C$224,$C196,'TL01'!$J$10:$J$224),0),
IF('TL01'!$B$229=K$3,SUMIF('TL01'!$C$238:$C$451,$C196,'TL01'!$J$238:$J$451),0),
IF('TL02'!$B$3=K$3,SUMIF('TL02'!$C$10:$C$224,$C196,'TL02'!$J$10:$J$224),0),
IF('TL02'!$B$229=K$3,SUMIF('TL02'!$C$238:$C$451,$C196,'TL02'!$J$238:$J$451),0),
IF('TL03'!$B$3=K$3,SUMIF('TL03'!$C$10:$C$224,$C196,'TL03'!$J$10:$J$224),0),
IF('TL03'!$B$229=K$3,SUMIF('TL03'!$C$238:$C$451,$C196,'TL03'!$J$238:$J$451),0),
IF('TL04'!$B$3=K$3,SUMIF('TL04'!$C$10:$C$224,$C196,'TL04'!$J$10:$J$224),0),
IF('TL04'!$B$229=K$3,SUMIF('TL04'!$C$238:$C$451,$C196,'TL04'!$J$238:$J$451),0),
IF('TL05'!$B$3=K$3,SUMIF('TL05'!$C$10:$C$224,$C196,'TL05'!$J$10:$J$224),0),
IF('TL05'!$B$229=K$3,SUMIF('TL05'!$C$238:$C$451,$C196,'TL05'!$J$238:$J$451),0),
IF('TL06'!$B$3=K$3,SUMIF('TL06'!$C$10:$C$224,$C196,'TL06'!$J$10:$J$224),0),
IF('TL06'!$B$229=K$3,SUMIF('TL06'!$C$238:$C$451,$C196,'TL06'!$J$238:$J$451),0),
IF('TL07'!$B$3=K$3,SUMIF('TL07'!$C$10:$C$224,$C196,'TL07'!$J$10:$J$224),0),
IF('TL07'!$B$229=K$3,SUMIF('TL07'!$C$238:$C$451,$C196,'TL07'!$J$238:$J$451),0),
IF('TL08'!$B$3=K$3,SUMIF('TL08'!$C$10:$C$224,$C196,'TL08'!$J$10:$J$224),0),
IF('TL08'!$B$229=K$3,SUMIF('TL08'!$C$238:$C$451,$C196,'TL08'!$J$238:$J$451),0),
IF('TL09'!$B$3=K$3,SUMIF('TL09'!$C$10:$C$224,$C196,'TL09'!$J$10:$J$224),0),
IF('TL09'!$B$229=K$3,SUMIF('TL09'!$C$238:$C$451,$C196,'TL09'!$J$238:$J$451),0),
IF('TL10'!$B$3=K$3,SUMIF('TL10'!$C$10:$C$224,$C196,'TL10'!$J$10:$J$224),0),
IF('TL10'!$B$229=K$3,SUMIF('TL10'!$C$238:$C$451,$C196,'TL10'!$J$238:$J$451),0),
IF('TL11'!$B$3=K$3,SUMIF('TL11'!$C$10:$C$224,$C196,'TL11'!$J$10:$J$224),0),
IF('TL11'!$B$229=K$3,SUMIF('TL11'!$C$238:$C$451,$C196,'TL11'!$J$238:$J$451),0),
IF('TL12'!$B$3=K$3,SUMIF('TL12'!$C$10:$C$224,$C196,'TL12'!$J$10:$J$224),0),
IF('TL12'!$B$229=K$3,SUMIF('TL12'!$C$238:$C$451,$C196,'TL12'!$J$238:$J$451),0),
IF('TL13'!$B$3=K$3,SUMIF('TL13'!$C$10:$C$224,$C196,'TL13'!$J$10:$J$224),0),
IF('TL13'!$B$229=K$3,SUMIF('TL13'!$C$238:$C$451,$C196,'TL13'!$J$238:$J$451),0),
IF('TL14'!$B$3=K$3,SUMIF('TL14'!$C$10:$C$224,$C196,'TL14'!$J$10:$J$224),0),
IF('TL14'!$B$229=K$3,SUMIF('TL14'!$C$238:$C$451,$C196,'TL14'!$J$238:$J$451),0),
IF('TL15'!$B$3=K$3,SUMIF('TL15'!$C$10:$C$224,$C196,'TL15'!$J$10:$J$224),0),
IF('TL15'!$B$229=K$3,SUMIF('TL15'!$C$238:$C$451,$C196,'TL15'!$J$238:$J$451),0),
IF('TL16'!$B$3=K$3,SUMIF('TL16'!$C$10:$C$224,$C196,'TL16'!$J$10:$J$224),0),
IF('TL16'!$B$229=K$3,SUMIF('TL16'!$C$238:$C$451,$C196,'TL16'!$J$238:$J$451),0),
IF('TL17'!$B$3=K$3,SUMIF('TL17'!$C$10:$C$224,$C196,'TL17'!$J$10:$J$224),0),
IF('TL17'!$B$229=K$3,SUMIF('TL17'!$C$238:$C$451,$C196,'TL17'!$J$238:$J$451),0),
IF('TL18'!$B$3=K$3,SUMIF('TL18'!$C$10:$C$224,$C196,'TL18'!$J$10:$J$224),0),
IF('TL18'!$B$229=K$3,SUMIF('TL18'!$C$238:$C$451,$C196,'TL18'!$J$238:$J$451),0),
IF('TL19'!$B$3=K$3,SUMIF('TL19'!$C$10:$C$224,$C196,'TL19'!$J$10:$J$224),0),
IF('TL19'!$B$229=K$3,SUMIF('TL19'!$C$238:$C$451,$C196,'TL19'!$J$238:$J$451),0)
),0)</f>
        <v/>
      </c>
      <c r="L196" s="9">
        <f>IFERROR(SUM(
IF('TL01'!$B$3=L$3,SUMIF('TL01'!$C$10:$C$224,$C196,'TL01'!$J$10:$J$224),0),
IF('TL01'!$B$229=L$3,SUMIF('TL01'!$C$238:$C$451,$C196,'TL01'!$J$238:$J$451),0),
IF('TL02'!$B$3=L$3,SUMIF('TL02'!$C$10:$C$224,$C196,'TL02'!$J$10:$J$224),0),
IF('TL02'!$B$229=L$3,SUMIF('TL02'!$C$238:$C$451,$C196,'TL02'!$J$238:$J$451),0),
IF('TL03'!$B$3=L$3,SUMIF('TL03'!$C$10:$C$224,$C196,'TL03'!$J$10:$J$224),0),
IF('TL03'!$B$229=L$3,SUMIF('TL03'!$C$238:$C$451,$C196,'TL03'!$J$238:$J$451),0),
IF('TL04'!$B$3=L$3,SUMIF('TL04'!$C$10:$C$224,$C196,'TL04'!$J$10:$J$224),0),
IF('TL04'!$B$229=L$3,SUMIF('TL04'!$C$238:$C$451,$C196,'TL04'!$J$238:$J$451),0),
IF('TL05'!$B$3=L$3,SUMIF('TL05'!$C$10:$C$224,$C196,'TL05'!$J$10:$J$224),0),
IF('TL05'!$B$229=L$3,SUMIF('TL05'!$C$238:$C$451,$C196,'TL05'!$J$238:$J$451),0),
IF('TL06'!$B$3=L$3,SUMIF('TL06'!$C$10:$C$224,$C196,'TL06'!$J$10:$J$224),0),
IF('TL06'!$B$229=L$3,SUMIF('TL06'!$C$238:$C$451,$C196,'TL06'!$J$238:$J$451),0),
IF('TL07'!$B$3=L$3,SUMIF('TL07'!$C$10:$C$224,$C196,'TL07'!$J$10:$J$224),0),
IF('TL07'!$B$229=L$3,SUMIF('TL07'!$C$238:$C$451,$C196,'TL07'!$J$238:$J$451),0),
IF('TL08'!$B$3=L$3,SUMIF('TL08'!$C$10:$C$224,$C196,'TL08'!$J$10:$J$224),0),
IF('TL08'!$B$229=L$3,SUMIF('TL08'!$C$238:$C$451,$C196,'TL08'!$J$238:$J$451),0),
IF('TL09'!$B$3=L$3,SUMIF('TL09'!$C$10:$C$224,$C196,'TL09'!$J$10:$J$224),0),
IF('TL09'!$B$229=L$3,SUMIF('TL09'!$C$238:$C$451,$C196,'TL09'!$J$238:$J$451),0),
IF('TL10'!$B$3=L$3,SUMIF('TL10'!$C$10:$C$224,$C196,'TL10'!$J$10:$J$224),0),
IF('TL10'!$B$229=L$3,SUMIF('TL10'!$C$238:$C$451,$C196,'TL10'!$J$238:$J$451),0),
IF('TL11'!$B$3=L$3,SUMIF('TL11'!$C$10:$C$224,$C196,'TL11'!$J$10:$J$224),0),
IF('TL11'!$B$229=L$3,SUMIF('TL11'!$C$238:$C$451,$C196,'TL11'!$J$238:$J$451),0),
IF('TL12'!$B$3=L$3,SUMIF('TL12'!$C$10:$C$224,$C196,'TL12'!$J$10:$J$224),0),
IF('TL12'!$B$229=L$3,SUMIF('TL12'!$C$238:$C$451,$C196,'TL12'!$J$238:$J$451),0),
IF('TL13'!$B$3=L$3,SUMIF('TL13'!$C$10:$C$224,$C196,'TL13'!$J$10:$J$224),0),
IF('TL13'!$B$229=L$3,SUMIF('TL13'!$C$238:$C$451,$C196,'TL13'!$J$238:$J$451),0),
IF('TL14'!$B$3=L$3,SUMIF('TL14'!$C$10:$C$224,$C196,'TL14'!$J$10:$J$224),0),
IF('TL14'!$B$229=L$3,SUMIF('TL14'!$C$238:$C$451,$C196,'TL14'!$J$238:$J$451),0),
IF('TL15'!$B$3=L$3,SUMIF('TL15'!$C$10:$C$224,$C196,'TL15'!$J$10:$J$224),0),
IF('TL15'!$B$229=L$3,SUMIF('TL15'!$C$238:$C$451,$C196,'TL15'!$J$238:$J$451),0),
IF('TL16'!$B$3=L$3,SUMIF('TL16'!$C$10:$C$224,$C196,'TL16'!$J$10:$J$224),0),
IF('TL16'!$B$229=L$3,SUMIF('TL16'!$C$238:$C$451,$C196,'TL16'!$J$238:$J$451),0),
IF('TL17'!$B$3=L$3,SUMIF('TL17'!$C$10:$C$224,$C196,'TL17'!$J$10:$J$224),0),
IF('TL17'!$B$229=L$3,SUMIF('TL17'!$C$238:$C$451,$C196,'TL17'!$J$238:$J$451),0),
IF('TL18'!$B$3=L$3,SUMIF('TL18'!$C$10:$C$224,$C196,'TL18'!$J$10:$J$224),0),
IF('TL18'!$B$229=L$3,SUMIF('TL18'!$C$238:$C$451,$C196,'TL18'!$J$238:$J$451),0),
IF('TL19'!$B$3=L$3,SUMIF('TL19'!$C$10:$C$224,$C196,'TL19'!$J$10:$J$224),0),
IF('TL19'!$B$229=L$3,SUMIF('TL19'!$C$238:$C$451,$C196,'TL19'!$J$238:$J$451),0)
),0)</f>
        <v/>
      </c>
      <c r="M196" s="9">
        <f>IFERROR(SUM(
IF('TL01'!$B$3=M$3,SUMIF('TL01'!$C$10:$C$224,$C196,'TL01'!$J$10:$J$224),0),
IF('TL01'!$B$229=M$3,SUMIF('TL01'!$C$238:$C$451,$C196,'TL01'!$J$238:$J$451),0),
IF('TL02'!$B$3=M$3,SUMIF('TL02'!$C$10:$C$224,$C196,'TL02'!$J$10:$J$224),0),
IF('TL02'!$B$229=M$3,SUMIF('TL02'!$C$238:$C$451,$C196,'TL02'!$J$238:$J$451),0),
IF('TL03'!$B$3=M$3,SUMIF('TL03'!$C$10:$C$224,$C196,'TL03'!$J$10:$J$224),0),
IF('TL03'!$B$229=M$3,SUMIF('TL03'!$C$238:$C$451,$C196,'TL03'!$J$238:$J$451),0),
IF('TL04'!$B$3=M$3,SUMIF('TL04'!$C$10:$C$224,$C196,'TL04'!$J$10:$J$224),0),
IF('TL04'!$B$229=M$3,SUMIF('TL04'!$C$238:$C$451,$C196,'TL04'!$J$238:$J$451),0),
IF('TL05'!$B$3=M$3,SUMIF('TL05'!$C$10:$C$224,$C196,'TL05'!$J$10:$J$224),0),
IF('TL05'!$B$229=M$3,SUMIF('TL05'!$C$238:$C$451,$C196,'TL05'!$J$238:$J$451),0),
IF('TL06'!$B$3=M$3,SUMIF('TL06'!$C$10:$C$224,$C196,'TL06'!$J$10:$J$224),0),
IF('TL06'!$B$229=M$3,SUMIF('TL06'!$C$238:$C$451,$C196,'TL06'!$J$238:$J$451),0),
IF('TL07'!$B$3=M$3,SUMIF('TL07'!$C$10:$C$224,$C196,'TL07'!$J$10:$J$224),0),
IF('TL07'!$B$229=M$3,SUMIF('TL07'!$C$238:$C$451,$C196,'TL07'!$J$238:$J$451),0),
IF('TL08'!$B$3=M$3,SUMIF('TL08'!$C$10:$C$224,$C196,'TL08'!$J$10:$J$224),0),
IF('TL08'!$B$229=M$3,SUMIF('TL08'!$C$238:$C$451,$C196,'TL08'!$J$238:$J$451),0),
IF('TL09'!$B$3=M$3,SUMIF('TL09'!$C$10:$C$224,$C196,'TL09'!$J$10:$J$224),0),
IF('TL09'!$B$229=M$3,SUMIF('TL09'!$C$238:$C$451,$C196,'TL09'!$J$238:$J$451),0),
IF('TL10'!$B$3=M$3,SUMIF('TL10'!$C$10:$C$224,$C196,'TL10'!$J$10:$J$224),0),
IF('TL10'!$B$229=M$3,SUMIF('TL10'!$C$238:$C$451,$C196,'TL10'!$J$238:$J$451),0),
IF('TL11'!$B$3=M$3,SUMIF('TL11'!$C$10:$C$224,$C196,'TL11'!$J$10:$J$224),0),
IF('TL11'!$B$229=M$3,SUMIF('TL11'!$C$238:$C$451,$C196,'TL11'!$J$238:$J$451),0),
IF('TL12'!$B$3=M$3,SUMIF('TL12'!$C$10:$C$224,$C196,'TL12'!$J$10:$J$224),0),
IF('TL12'!$B$229=M$3,SUMIF('TL12'!$C$238:$C$451,$C196,'TL12'!$J$238:$J$451),0),
IF('TL13'!$B$3=M$3,SUMIF('TL13'!$C$10:$C$224,$C196,'TL13'!$J$10:$J$224),0),
IF('TL13'!$B$229=M$3,SUMIF('TL13'!$C$238:$C$451,$C196,'TL13'!$J$238:$J$451),0),
IF('TL14'!$B$3=M$3,SUMIF('TL14'!$C$10:$C$224,$C196,'TL14'!$J$10:$J$224),0),
IF('TL14'!$B$229=M$3,SUMIF('TL14'!$C$238:$C$451,$C196,'TL14'!$J$238:$J$451),0),
IF('TL15'!$B$3=M$3,SUMIF('TL15'!$C$10:$C$224,$C196,'TL15'!$J$10:$J$224),0),
IF('TL15'!$B$229=M$3,SUMIF('TL15'!$C$238:$C$451,$C196,'TL15'!$J$238:$J$451),0),
IF('TL16'!$B$3=M$3,SUMIF('TL16'!$C$10:$C$224,$C196,'TL16'!$J$10:$J$224),0),
IF('TL16'!$B$229=M$3,SUMIF('TL16'!$C$238:$C$451,$C196,'TL16'!$J$238:$J$451),0),
IF('TL17'!$B$3=M$3,SUMIF('TL17'!$C$10:$C$224,$C196,'TL17'!$J$10:$J$224),0),
IF('TL17'!$B$229=M$3,SUMIF('TL17'!$C$238:$C$451,$C196,'TL17'!$J$238:$J$451),0),
IF('TL18'!$B$3=M$3,SUMIF('TL18'!$C$10:$C$224,$C196,'TL18'!$J$10:$J$224),0),
IF('TL18'!$B$229=M$3,SUMIF('TL18'!$C$238:$C$451,$C196,'TL18'!$J$238:$J$451),0),
IF('TL19'!$B$3=M$3,SUMIF('TL19'!$C$10:$C$224,$C196,'TL19'!$J$10:$J$224),0),
IF('TL19'!$B$229=M$3,SUMIF('TL19'!$C$238:$C$451,$C196,'TL19'!$J$238:$J$451),0)
),0)</f>
        <v/>
      </c>
      <c r="N196" s="9">
        <f>IFERROR(SUM(
IF('TL01'!$B$3=N$3,SUMIF('TL01'!$C$10:$C$224,$C196,'TL01'!$J$10:$J$224),0),
IF('TL01'!$B$229=N$3,SUMIF('TL01'!$C$238:$C$451,$C196,'TL01'!$J$238:$J$451),0),
IF('TL02'!$B$3=N$3,SUMIF('TL02'!$C$10:$C$224,$C196,'TL02'!$J$10:$J$224),0),
IF('TL02'!$B$229=N$3,SUMIF('TL02'!$C$238:$C$451,$C196,'TL02'!$J$238:$J$451),0),
IF('TL03'!$B$3=N$3,SUMIF('TL03'!$C$10:$C$224,$C196,'TL03'!$J$10:$J$224),0),
IF('TL03'!$B$229=N$3,SUMIF('TL03'!$C$238:$C$451,$C196,'TL03'!$J$238:$J$451),0),
IF('TL04'!$B$3=N$3,SUMIF('TL04'!$C$10:$C$224,$C196,'TL04'!$J$10:$J$224),0),
IF('TL04'!$B$229=N$3,SUMIF('TL04'!$C$238:$C$451,$C196,'TL04'!$J$238:$J$451),0),
IF('TL05'!$B$3=N$3,SUMIF('TL05'!$C$10:$C$224,$C196,'TL05'!$J$10:$J$224),0),
IF('TL05'!$B$229=N$3,SUMIF('TL05'!$C$238:$C$451,$C196,'TL05'!$J$238:$J$451),0),
IF('TL06'!$B$3=N$3,SUMIF('TL06'!$C$10:$C$224,$C196,'TL06'!$J$10:$J$224),0),
IF('TL06'!$B$229=N$3,SUMIF('TL06'!$C$238:$C$451,$C196,'TL06'!$J$238:$J$451),0),
IF('TL07'!$B$3=N$3,SUMIF('TL07'!$C$10:$C$224,$C196,'TL07'!$J$10:$J$224),0),
IF('TL07'!$B$229=N$3,SUMIF('TL07'!$C$238:$C$451,$C196,'TL07'!$J$238:$J$451),0),
IF('TL08'!$B$3=N$3,SUMIF('TL08'!$C$10:$C$224,$C196,'TL08'!$J$10:$J$224),0),
IF('TL08'!$B$229=N$3,SUMIF('TL08'!$C$238:$C$451,$C196,'TL08'!$J$238:$J$451),0),
IF('TL09'!$B$3=N$3,SUMIF('TL09'!$C$10:$C$224,$C196,'TL09'!$J$10:$J$224),0),
IF('TL09'!$B$229=N$3,SUMIF('TL09'!$C$238:$C$451,$C196,'TL09'!$J$238:$J$451),0),
IF('TL10'!$B$3=N$3,SUMIF('TL10'!$C$10:$C$224,$C196,'TL10'!$J$10:$J$224),0),
IF('TL10'!$B$229=N$3,SUMIF('TL10'!$C$238:$C$451,$C196,'TL10'!$J$238:$J$451),0),
IF('TL11'!$B$3=N$3,SUMIF('TL11'!$C$10:$C$224,$C196,'TL11'!$J$10:$J$224),0),
IF('TL11'!$B$229=N$3,SUMIF('TL11'!$C$238:$C$451,$C196,'TL11'!$J$238:$J$451),0),
IF('TL12'!$B$3=N$3,SUMIF('TL12'!$C$10:$C$224,$C196,'TL12'!$J$10:$J$224),0),
IF('TL12'!$B$229=N$3,SUMIF('TL12'!$C$238:$C$451,$C196,'TL12'!$J$238:$J$451),0),
IF('TL13'!$B$3=N$3,SUMIF('TL13'!$C$10:$C$224,$C196,'TL13'!$J$10:$J$224),0),
IF('TL13'!$B$229=N$3,SUMIF('TL13'!$C$238:$C$451,$C196,'TL13'!$J$238:$J$451),0),
IF('TL14'!$B$3=N$3,SUMIF('TL14'!$C$10:$C$224,$C196,'TL14'!$J$10:$J$224),0),
IF('TL14'!$B$229=N$3,SUMIF('TL14'!$C$238:$C$451,$C196,'TL14'!$J$238:$J$451),0),
IF('TL15'!$B$3=N$3,SUMIF('TL15'!$C$10:$C$224,$C196,'TL15'!$J$10:$J$224),0),
IF('TL15'!$B$229=N$3,SUMIF('TL15'!$C$238:$C$451,$C196,'TL15'!$J$238:$J$451),0),
IF('TL16'!$B$3=N$3,SUMIF('TL16'!$C$10:$C$224,$C196,'TL16'!$J$10:$J$224),0),
IF('TL16'!$B$229=N$3,SUMIF('TL16'!$C$238:$C$451,$C196,'TL16'!$J$238:$J$451),0),
IF('TL17'!$B$3=N$3,SUMIF('TL17'!$C$10:$C$224,$C196,'TL17'!$J$10:$J$224),0),
IF('TL17'!$B$229=N$3,SUMIF('TL17'!$C$238:$C$451,$C196,'TL17'!$J$238:$J$451),0),
IF('TL18'!$B$3=N$3,SUMIF('TL18'!$C$10:$C$224,$C196,'TL18'!$J$10:$J$224),0),
IF('TL18'!$B$229=N$3,SUMIF('TL18'!$C$238:$C$451,$C196,'TL18'!$J$238:$J$451),0),
IF('TL19'!$B$3=N$3,SUMIF('TL19'!$C$10:$C$224,$C196,'TL19'!$J$10:$J$224),0),
IF('TL19'!$B$229=N$3,SUMIF('TL19'!$C$238:$C$451,$C196,'TL19'!$J$238:$J$451),0)
),0)</f>
        <v/>
      </c>
      <c r="O196" s="9">
        <f>IFERROR(SUM(
IF('TL01'!$B$3=O$3,SUMIF('TL01'!$C$10:$C$224,$C196,'TL01'!$J$10:$J$224),0),
IF('TL01'!$B$229=O$3,SUMIF('TL01'!$C$238:$C$451,$C196,'TL01'!$J$238:$J$451),0),
IF('TL02'!$B$3=O$3,SUMIF('TL02'!$C$10:$C$224,$C196,'TL02'!$J$10:$J$224),0),
IF('TL02'!$B$229=O$3,SUMIF('TL02'!$C$238:$C$451,$C196,'TL02'!$J$238:$J$451),0),
IF('TL03'!$B$3=O$3,SUMIF('TL03'!$C$10:$C$224,$C196,'TL03'!$J$10:$J$224),0),
IF('TL03'!$B$229=O$3,SUMIF('TL03'!$C$238:$C$451,$C196,'TL03'!$J$238:$J$451),0),
IF('TL04'!$B$3=O$3,SUMIF('TL04'!$C$10:$C$224,$C196,'TL04'!$J$10:$J$224),0),
IF('TL04'!$B$229=O$3,SUMIF('TL04'!$C$238:$C$451,$C196,'TL04'!$J$238:$J$451),0),
IF('TL05'!$B$3=O$3,SUMIF('TL05'!$C$10:$C$224,$C196,'TL05'!$J$10:$J$224),0),
IF('TL05'!$B$229=O$3,SUMIF('TL05'!$C$238:$C$451,$C196,'TL05'!$J$238:$J$451),0),
IF('TL06'!$B$3=O$3,SUMIF('TL06'!$C$10:$C$224,$C196,'TL06'!$J$10:$J$224),0),
IF('TL06'!$B$229=O$3,SUMIF('TL06'!$C$238:$C$451,$C196,'TL06'!$J$238:$J$451),0),
IF('TL07'!$B$3=O$3,SUMIF('TL07'!$C$10:$C$224,$C196,'TL07'!$J$10:$J$224),0),
IF('TL07'!$B$229=O$3,SUMIF('TL07'!$C$238:$C$451,$C196,'TL07'!$J$238:$J$451),0),
IF('TL08'!$B$3=O$3,SUMIF('TL08'!$C$10:$C$224,$C196,'TL08'!$J$10:$J$224),0),
IF('TL08'!$B$229=O$3,SUMIF('TL08'!$C$238:$C$451,$C196,'TL08'!$J$238:$J$451),0),
IF('TL09'!$B$3=O$3,SUMIF('TL09'!$C$10:$C$224,$C196,'TL09'!$J$10:$J$224),0),
IF('TL09'!$B$229=O$3,SUMIF('TL09'!$C$238:$C$451,$C196,'TL09'!$J$238:$J$451),0),
IF('TL10'!$B$3=O$3,SUMIF('TL10'!$C$10:$C$224,$C196,'TL10'!$J$10:$J$224),0),
IF('TL10'!$B$229=O$3,SUMIF('TL10'!$C$238:$C$451,$C196,'TL10'!$J$238:$J$451),0),
IF('TL11'!$B$3=O$3,SUMIF('TL11'!$C$10:$C$224,$C196,'TL11'!$J$10:$J$224),0),
IF('TL11'!$B$229=O$3,SUMIF('TL11'!$C$238:$C$451,$C196,'TL11'!$J$238:$J$451),0),
IF('TL12'!$B$3=O$3,SUMIF('TL12'!$C$10:$C$224,$C196,'TL12'!$J$10:$J$224),0),
IF('TL12'!$B$229=O$3,SUMIF('TL12'!$C$238:$C$451,$C196,'TL12'!$J$238:$J$451),0),
IF('TL13'!$B$3=O$3,SUMIF('TL13'!$C$10:$C$224,$C196,'TL13'!$J$10:$J$224),0),
IF('TL13'!$B$229=O$3,SUMIF('TL13'!$C$238:$C$451,$C196,'TL13'!$J$238:$J$451),0),
IF('TL14'!$B$3=O$3,SUMIF('TL14'!$C$10:$C$224,$C196,'TL14'!$J$10:$J$224),0),
IF('TL14'!$B$229=O$3,SUMIF('TL14'!$C$238:$C$451,$C196,'TL14'!$J$238:$J$451),0),
IF('TL15'!$B$3=O$3,SUMIF('TL15'!$C$10:$C$224,$C196,'TL15'!$J$10:$J$224),0),
IF('TL15'!$B$229=O$3,SUMIF('TL15'!$C$238:$C$451,$C196,'TL15'!$J$238:$J$451),0),
IF('TL16'!$B$3=O$3,SUMIF('TL16'!$C$10:$C$224,$C196,'TL16'!$J$10:$J$224),0),
IF('TL16'!$B$229=O$3,SUMIF('TL16'!$C$238:$C$451,$C196,'TL16'!$J$238:$J$451),0),
IF('TL17'!$B$3=O$3,SUMIF('TL17'!$C$10:$C$224,$C196,'TL17'!$J$10:$J$224),0),
IF('TL17'!$B$229=O$3,SUMIF('TL17'!$C$238:$C$451,$C196,'TL17'!$J$238:$J$451),0),
IF('TL18'!$B$3=O$3,SUMIF('TL18'!$C$10:$C$224,$C196,'TL18'!$J$10:$J$224),0),
IF('TL18'!$B$229=O$3,SUMIF('TL18'!$C$238:$C$451,$C196,'TL18'!$J$238:$J$451),0),
IF('TL19'!$B$3=O$3,SUMIF('TL19'!$C$10:$C$224,$C196,'TL19'!$J$10:$J$224),0),
IF('TL19'!$B$229=O$3,SUMIF('TL19'!$C$238:$C$451,$C196,'TL19'!$J$238:$J$451),0)
),0)</f>
        <v/>
      </c>
      <c r="P196" s="9">
        <f>IFERROR(SUM(
IF('TL01'!$B$3=P$3,SUMIF('TL01'!$C$10:$C$224,$C196,'TL01'!$J$10:$J$224),0),
IF('TL01'!$B$229=P$3,SUMIF('TL01'!$C$238:$C$451,$C196,'TL01'!$J$238:$J$451),0),
IF('TL02'!$B$3=P$3,SUMIF('TL02'!$C$10:$C$224,$C196,'TL02'!$J$10:$J$224),0),
IF('TL02'!$B$229=P$3,SUMIF('TL02'!$C$238:$C$451,$C196,'TL02'!$J$238:$J$451),0),
IF('TL03'!$B$3=P$3,SUMIF('TL03'!$C$10:$C$224,$C196,'TL03'!$J$10:$J$224),0),
IF('TL03'!$B$229=P$3,SUMIF('TL03'!$C$238:$C$451,$C196,'TL03'!$J$238:$J$451),0),
IF('TL04'!$B$3=P$3,SUMIF('TL04'!$C$10:$C$224,$C196,'TL04'!$J$10:$J$224),0),
IF('TL04'!$B$229=P$3,SUMIF('TL04'!$C$238:$C$451,$C196,'TL04'!$J$238:$J$451),0),
IF('TL05'!$B$3=P$3,SUMIF('TL05'!$C$10:$C$224,$C196,'TL05'!$J$10:$J$224),0),
IF('TL05'!$B$229=P$3,SUMIF('TL05'!$C$238:$C$451,$C196,'TL05'!$J$238:$J$451),0),
IF('TL06'!$B$3=P$3,SUMIF('TL06'!$C$10:$C$224,$C196,'TL06'!$J$10:$J$224),0),
IF('TL06'!$B$229=P$3,SUMIF('TL06'!$C$238:$C$451,$C196,'TL06'!$J$238:$J$451),0),
IF('TL07'!$B$3=P$3,SUMIF('TL07'!$C$10:$C$224,$C196,'TL07'!$J$10:$J$224),0),
IF('TL07'!$B$229=P$3,SUMIF('TL07'!$C$238:$C$451,$C196,'TL07'!$J$238:$J$451),0),
IF('TL08'!$B$3=P$3,SUMIF('TL08'!$C$10:$C$224,$C196,'TL08'!$J$10:$J$224),0),
IF('TL08'!$B$229=P$3,SUMIF('TL08'!$C$238:$C$451,$C196,'TL08'!$J$238:$J$451),0),
IF('TL09'!$B$3=P$3,SUMIF('TL09'!$C$10:$C$224,$C196,'TL09'!$J$10:$J$224),0),
IF('TL09'!$B$229=P$3,SUMIF('TL09'!$C$238:$C$451,$C196,'TL09'!$J$238:$J$451),0),
IF('TL10'!$B$3=P$3,SUMIF('TL10'!$C$10:$C$224,$C196,'TL10'!$J$10:$J$224),0),
IF('TL10'!$B$229=P$3,SUMIF('TL10'!$C$238:$C$451,$C196,'TL10'!$J$238:$J$451),0),
IF('TL11'!$B$3=P$3,SUMIF('TL11'!$C$10:$C$224,$C196,'TL11'!$J$10:$J$224),0),
IF('TL11'!$B$229=P$3,SUMIF('TL11'!$C$238:$C$451,$C196,'TL11'!$J$238:$J$451),0),
IF('TL12'!$B$3=P$3,SUMIF('TL12'!$C$10:$C$224,$C196,'TL12'!$J$10:$J$224),0),
IF('TL12'!$B$229=P$3,SUMIF('TL12'!$C$238:$C$451,$C196,'TL12'!$J$238:$J$451),0),
IF('TL13'!$B$3=P$3,SUMIF('TL13'!$C$10:$C$224,$C196,'TL13'!$J$10:$J$224),0),
IF('TL13'!$B$229=P$3,SUMIF('TL13'!$C$238:$C$451,$C196,'TL13'!$J$238:$J$451),0),
IF('TL14'!$B$3=P$3,SUMIF('TL14'!$C$10:$C$224,$C196,'TL14'!$J$10:$J$224),0),
IF('TL14'!$B$229=P$3,SUMIF('TL14'!$C$238:$C$451,$C196,'TL14'!$J$238:$J$451),0),
IF('TL15'!$B$3=P$3,SUMIF('TL15'!$C$10:$C$224,$C196,'TL15'!$J$10:$J$224),0),
IF('TL15'!$B$229=P$3,SUMIF('TL15'!$C$238:$C$451,$C196,'TL15'!$J$238:$J$451),0),
IF('TL16'!$B$3=P$3,SUMIF('TL16'!$C$10:$C$224,$C196,'TL16'!$J$10:$J$224),0),
IF('TL16'!$B$229=P$3,SUMIF('TL16'!$C$238:$C$451,$C196,'TL16'!$J$238:$J$451),0),
IF('TL17'!$B$3=P$3,SUMIF('TL17'!$C$10:$C$224,$C196,'TL17'!$J$10:$J$224),0),
IF('TL17'!$B$229=P$3,SUMIF('TL17'!$C$238:$C$451,$C196,'TL17'!$J$238:$J$451),0),
IF('TL18'!$B$3=P$3,SUMIF('TL18'!$C$10:$C$224,$C196,'TL18'!$J$10:$J$224),0),
IF('TL18'!$B$229=P$3,SUMIF('TL18'!$C$238:$C$451,$C196,'TL18'!$J$238:$J$451),0),
IF('TL19'!$B$3=P$3,SUMIF('TL19'!$C$10:$C$224,$C196,'TL19'!$J$10:$J$224),0),
IF('TL19'!$B$229=P$3,SUMIF('TL19'!$C$238:$C$451,$C196,'TL19'!$J$238:$J$451),0)
),0)</f>
        <v/>
      </c>
      <c r="Q196" s="9">
        <f>IFERROR(SUM(
IF('TL01'!$B$3=Q$3,SUMIF('TL01'!$C$10:$C$224,$C196,'TL01'!$J$10:$J$224),0),
IF('TL01'!$B$229=Q$3,SUMIF('TL01'!$C$238:$C$451,$C196,'TL01'!$J$238:$J$451),0),
IF('TL02'!$B$3=Q$3,SUMIF('TL02'!$C$10:$C$224,$C196,'TL02'!$J$10:$J$224),0),
IF('TL02'!$B$229=Q$3,SUMIF('TL02'!$C$238:$C$451,$C196,'TL02'!$J$238:$J$451),0),
IF('TL03'!$B$3=Q$3,SUMIF('TL03'!$C$10:$C$224,$C196,'TL03'!$J$10:$J$224),0),
IF('TL03'!$B$229=Q$3,SUMIF('TL03'!$C$238:$C$451,$C196,'TL03'!$J$238:$J$451),0),
IF('TL04'!$B$3=Q$3,SUMIF('TL04'!$C$10:$C$224,$C196,'TL04'!$J$10:$J$224),0),
IF('TL04'!$B$229=Q$3,SUMIF('TL04'!$C$238:$C$451,$C196,'TL04'!$J$238:$J$451),0),
IF('TL05'!$B$3=Q$3,SUMIF('TL05'!$C$10:$C$224,$C196,'TL05'!$J$10:$J$224),0),
IF('TL05'!$B$229=Q$3,SUMIF('TL05'!$C$238:$C$451,$C196,'TL05'!$J$238:$J$451),0),
IF('TL06'!$B$3=Q$3,SUMIF('TL06'!$C$10:$C$224,$C196,'TL06'!$J$10:$J$224),0),
IF('TL06'!$B$229=Q$3,SUMIF('TL06'!$C$238:$C$451,$C196,'TL06'!$J$238:$J$451),0),
IF('TL07'!$B$3=Q$3,SUMIF('TL07'!$C$10:$C$224,$C196,'TL07'!$J$10:$J$224),0),
IF('TL07'!$B$229=Q$3,SUMIF('TL07'!$C$238:$C$451,$C196,'TL07'!$J$238:$J$451),0),
IF('TL08'!$B$3=Q$3,SUMIF('TL08'!$C$10:$C$224,$C196,'TL08'!$J$10:$J$224),0),
IF('TL08'!$B$229=Q$3,SUMIF('TL08'!$C$238:$C$451,$C196,'TL08'!$J$238:$J$451),0),
IF('TL09'!$B$3=Q$3,SUMIF('TL09'!$C$10:$C$224,$C196,'TL09'!$J$10:$J$224),0),
IF('TL09'!$B$229=Q$3,SUMIF('TL09'!$C$238:$C$451,$C196,'TL09'!$J$238:$J$451),0),
IF('TL10'!$B$3=Q$3,SUMIF('TL10'!$C$10:$C$224,$C196,'TL10'!$J$10:$J$224),0),
IF('TL10'!$B$229=Q$3,SUMIF('TL10'!$C$238:$C$451,$C196,'TL10'!$J$238:$J$451),0),
IF('TL11'!$B$3=Q$3,SUMIF('TL11'!$C$10:$C$224,$C196,'TL11'!$J$10:$J$224),0),
IF('TL11'!$B$229=Q$3,SUMIF('TL11'!$C$238:$C$451,$C196,'TL11'!$J$238:$J$451),0),
IF('TL12'!$B$3=Q$3,SUMIF('TL12'!$C$10:$C$224,$C196,'TL12'!$J$10:$J$224),0),
IF('TL12'!$B$229=Q$3,SUMIF('TL12'!$C$238:$C$451,$C196,'TL12'!$J$238:$J$451),0),
IF('TL13'!$B$3=Q$3,SUMIF('TL13'!$C$10:$C$224,$C196,'TL13'!$J$10:$J$224),0),
IF('TL13'!$B$229=Q$3,SUMIF('TL13'!$C$238:$C$451,$C196,'TL13'!$J$238:$J$451),0),
IF('TL14'!$B$3=Q$3,SUMIF('TL14'!$C$10:$C$224,$C196,'TL14'!$J$10:$J$224),0),
IF('TL14'!$B$229=Q$3,SUMIF('TL14'!$C$238:$C$451,$C196,'TL14'!$J$238:$J$451),0),
IF('TL15'!$B$3=Q$3,SUMIF('TL15'!$C$10:$C$224,$C196,'TL15'!$J$10:$J$224),0),
IF('TL15'!$B$229=Q$3,SUMIF('TL15'!$C$238:$C$451,$C196,'TL15'!$J$238:$J$451),0),
IF('TL16'!$B$3=Q$3,SUMIF('TL16'!$C$10:$C$224,$C196,'TL16'!$J$10:$J$224),0),
IF('TL16'!$B$229=Q$3,SUMIF('TL16'!$C$238:$C$451,$C196,'TL16'!$J$238:$J$451),0),
IF('TL17'!$B$3=Q$3,SUMIF('TL17'!$C$10:$C$224,$C196,'TL17'!$J$10:$J$224),0),
IF('TL17'!$B$229=Q$3,SUMIF('TL17'!$C$238:$C$451,$C196,'TL17'!$J$238:$J$451),0),
IF('TL18'!$B$3=Q$3,SUMIF('TL18'!$C$10:$C$224,$C196,'TL18'!$J$10:$J$224),0),
IF('TL18'!$B$229=Q$3,SUMIF('TL18'!$C$238:$C$451,$C196,'TL18'!$J$238:$J$451),0),
IF('TL19'!$B$3=Q$3,SUMIF('TL19'!$C$10:$C$224,$C196,'TL19'!$J$10:$J$224),0),
IF('TL19'!$B$229=Q$3,SUMIF('TL19'!$C$238:$C$451,$C196,'TL19'!$J$238:$J$451),0)
),0)</f>
        <v/>
      </c>
      <c r="R196" s="9">
        <f>IFERROR(
SUM(
SUMIF('TL01'!C:C,C196,'TL01'!J:J),
SUMIF('TL02'!C:C,C196,'TL02'!J:J),
SUMIF('TL03'!C:C,C196,'TL03'!J:J),
SUMIF('TL04'!C:C,C196,'TL04'!J:J),
SUMIF('TL05'!C:C,C196,'TL05'!J:J),
SUMIF('TL06'!C:C,C196,'TL06'!J:J),
SUMIF('TL07'!C:C,C196,'TL07'!J:J),
SUMIF('TL08'!C:C,C196,'TL08'!J:J),
SUMIF('TL09'!C:C,C196,'TL09'!J:J),
SUMIF('TL10'!C:C,C196,'TL10'!J:J),
SUMIF('TL11'!C:C,C196,'TL11'!J:J),
SUMIF('TL12'!C:C,C196,'TL12'!J:J),
SUMIF('TL13'!C:C,C196,'TL13'!J:J),
SUMIF('TL14'!C:C,C196,'TL14'!J:J),
SUMIF('TL15'!C:C,C196,'TL15'!J:J),
SUMIF('TL16'!C:C,C196,'TL16'!J:J),
SUMIF('TL17'!C:C,C196,'TL17'!J:J),
SUMIF('TL18'!C:C,C196,'TL18'!J:J),SUMIF('TL19'!C:C,C196,'TL19'!J:J))
,0)</f>
        <v/>
      </c>
      <c r="S196" s="17">
        <f>IFERROR(__xludf.DUMMYFUNCTION("IFERROR(VLOOKUP(C196,
IMPORTRANGE(""1wULbzX32WdYsx-lj2U3uUNBBe2INVIRDtcK0d-Dvl90"",
""26-27!C:G""),
5,
FALSE),
"""")"),70.39767)</f>
        <v/>
      </c>
      <c r="T196" s="9" t="n"/>
      <c r="U196" s="92">
        <f>MAX(0,R196-T196)</f>
        <v/>
      </c>
      <c r="V196" s="93">
        <f>U196*S196</f>
        <v/>
      </c>
    </row>
    <row r="197" hidden="1" ht="15.75" customHeight="1" s="297">
      <c r="A197" s="94" t="inlineStr">
        <is>
          <t>CROPCHEM</t>
        </is>
      </c>
      <c r="B197" s="95" t="inlineStr">
        <is>
          <t>INSETICIDA</t>
        </is>
      </c>
      <c r="C197" s="96" t="inlineStr">
        <is>
          <t>BAKANA 400 SC</t>
        </is>
      </c>
      <c r="D197" s="96" t="inlineStr">
        <is>
          <t>ETIPROLE</t>
        </is>
      </c>
      <c r="E197" s="96" t="n">
        <v>400</v>
      </c>
      <c r="F197" s="4" t="n"/>
      <c r="G197" s="90">
        <f>HYPERLINK("https://www.google.com/search?q=" &amp; C197 &amp; "+bula+agrofit+pdf", "📄 Ver bula")</f>
        <v/>
      </c>
      <c r="H197" s="9">
        <f>IFERROR(__xludf.DUMMYFUNCTION("IFERROR(VLOOKUP(C197,
IMPORTRANGE(""1wULbzX32WdYsx-lj2U3uUNBBe2INVIRDtcK0d-Dvl90"",
""26-27!C:K""),
8,
FALSE),
"""")"),0.5)</f>
        <v/>
      </c>
      <c r="I197" s="97" t="inlineStr">
        <is>
          <t>4X5</t>
        </is>
      </c>
      <c r="J197" s="9">
        <f>IFERROR(SUM(
IF('TL01'!$B$3=J$3,SUMIF('TL01'!$C$10:$C$224,$C197,'TL01'!$J$10:$J$224),0),
IF('TL01'!$B$229=J$3,SUMIF('TL01'!$C$238:$C$451,$C197,'TL01'!$J$238:$J$451),0),
IF('TL02'!$B$3=J$3,SUMIF('TL02'!$C$10:$C$224,$C197,'TL02'!$J$10:$J$224),0),
IF('TL02'!$B$229=J$3,SUMIF('TL02'!$C$238:$C$451,$C197,'TL02'!$J$238:$J$451),0),
IF('TL03'!$B$3=J$3,SUMIF('TL03'!$C$10:$C$224,$C197,'TL03'!$J$10:$J$224),0),
IF('TL03'!$B$229=J$3,SUMIF('TL03'!$C$238:$C$451,$C197,'TL03'!$J$238:$J$451),0),
IF('TL04'!$B$3=J$3,SUMIF('TL04'!$C$10:$C$224,$C197,'TL04'!$J$10:$J$224),0),
IF('TL04'!$B$229=J$3,SUMIF('TL04'!$C$238:$C$451,$C197,'TL04'!$J$238:$J$451),0),
IF('TL05'!$B$3=J$3,SUMIF('TL05'!$C$10:$C$224,$C197,'TL05'!$J$10:$J$224),0),
IF('TL05'!$B$229=J$3,SUMIF('TL05'!$C$238:$C$451,$C197,'TL05'!$J$238:$J$451),0),
IF('TL06'!$B$3=J$3,SUMIF('TL06'!$C$10:$C$224,$C197,'TL06'!$J$10:$J$224),0),
IF('TL06'!$B$229=J$3,SUMIF('TL06'!$C$238:$C$451,$C197,'TL06'!$J$238:$J$451),0),
IF('TL07'!$B$3=J$3,SUMIF('TL07'!$C$10:$C$224,$C197,'TL07'!$J$10:$J$224),0),
IF('TL07'!$B$229=J$3,SUMIF('TL07'!$C$238:$C$451,$C197,'TL07'!$J$238:$J$451),0),
IF('TL08'!$B$3=J$3,SUMIF('TL08'!$C$10:$C$224,$C197,'TL08'!$J$10:$J$224),0),
IF('TL08'!$B$229=J$3,SUMIF('TL08'!$C$238:$C$451,$C197,'TL08'!$J$238:$J$451),0),
IF('TL09'!$B$3=J$3,SUMIF('TL09'!$C$10:$C$224,$C197,'TL09'!$J$10:$J$224),0),
IF('TL09'!$B$229=J$3,SUMIF('TL09'!$C$238:$C$451,$C197,'TL09'!$J$238:$J$451),0),
IF('TL10'!$B$3=J$3,SUMIF('TL10'!$C$10:$C$224,$C197,'TL10'!$J$10:$J$224),0),
IF('TL10'!$B$229=J$3,SUMIF('TL10'!$C$238:$C$451,$C197,'TL10'!$J$238:$J$451),0),
IF('TL11'!$B$3=J$3,SUMIF('TL11'!$C$10:$C$224,$C197,'TL11'!$J$10:$J$224),0),
IF('TL11'!$B$229=J$3,SUMIF('TL11'!$C$238:$C$451,$C197,'TL11'!$J$238:$J$451),0),
IF('TL12'!$B$3=J$3,SUMIF('TL12'!$C$10:$C$224,$C197,'TL12'!$J$10:$J$224),0),
IF('TL12'!$B$229=J$3,SUMIF('TL12'!$C$238:$C$451,$C197,'TL12'!$J$238:$J$451),0),
IF('TL13'!$B$3=J$3,SUMIF('TL13'!$C$10:$C$224,$C197,'TL13'!$J$10:$J$224),0),
IF('TL13'!$B$229=J$3,SUMIF('TL13'!$C$238:$C$451,$C197,'TL13'!$J$238:$J$451),0),
IF('TL14'!$B$3=J$3,SUMIF('TL14'!$C$10:$C$224,$C197,'TL14'!$J$10:$J$224),0),
IF('TL14'!$B$229=J$3,SUMIF('TL14'!$C$238:$C$451,$C197,'TL14'!$J$238:$J$451),0),
IF('TL15'!$B$3=J$3,SUMIF('TL15'!$C$10:$C$224,$C197,'TL15'!$J$10:$J$224),0),
IF('TL15'!$B$229=J$3,SUMIF('TL15'!$C$238:$C$451,$C197,'TL15'!$J$238:$J$451),0),
IF('TL16'!$B$3=J$3,SUMIF('TL16'!$C$10:$C$224,$C197,'TL16'!$J$10:$J$224),0),
IF('TL16'!$B$229=J$3,SUMIF('TL16'!$C$238:$C$451,$C197,'TL16'!$J$238:$J$451),0),
IF('TL17'!$B$3=J$3,SUMIF('TL17'!$C$10:$C$224,$C197,'TL17'!$J$10:$J$224),0),
IF('TL17'!$B$229=J$3,SUMIF('TL17'!$C$238:$C$451,$C197,'TL17'!$J$238:$J$451),0),
IF('TL18'!$B$3=J$3,SUMIF('TL18'!$C$10:$C$224,$C197,'TL18'!$J$10:$J$224),0),
IF('TL18'!$B$229=J$3,SUMIF('TL18'!$C$238:$C$451,$C197,'TL18'!$J$238:$J$451),0),
IF('TL19'!$B$3=J$3,SUMIF('TL19'!$C$10:$C$224,$C197,'TL19'!$J$10:$J$224),0),
IF('TL19'!$B$229=J$3,SUMIF('TL19'!$C$238:$C$451,$C197,'TL19'!$J$238:$J$451),0)
),0)</f>
        <v/>
      </c>
      <c r="K197" s="9">
        <f>IFERROR(SUM(
IF('TL01'!$B$3=K$3,SUMIF('TL01'!$C$10:$C$224,$C197,'TL01'!$J$10:$J$224),0),
IF('TL01'!$B$229=K$3,SUMIF('TL01'!$C$238:$C$451,$C197,'TL01'!$J$238:$J$451),0),
IF('TL02'!$B$3=K$3,SUMIF('TL02'!$C$10:$C$224,$C197,'TL02'!$J$10:$J$224),0),
IF('TL02'!$B$229=K$3,SUMIF('TL02'!$C$238:$C$451,$C197,'TL02'!$J$238:$J$451),0),
IF('TL03'!$B$3=K$3,SUMIF('TL03'!$C$10:$C$224,$C197,'TL03'!$J$10:$J$224),0),
IF('TL03'!$B$229=K$3,SUMIF('TL03'!$C$238:$C$451,$C197,'TL03'!$J$238:$J$451),0),
IF('TL04'!$B$3=K$3,SUMIF('TL04'!$C$10:$C$224,$C197,'TL04'!$J$10:$J$224),0),
IF('TL04'!$B$229=K$3,SUMIF('TL04'!$C$238:$C$451,$C197,'TL04'!$J$238:$J$451),0),
IF('TL05'!$B$3=K$3,SUMIF('TL05'!$C$10:$C$224,$C197,'TL05'!$J$10:$J$224),0),
IF('TL05'!$B$229=K$3,SUMIF('TL05'!$C$238:$C$451,$C197,'TL05'!$J$238:$J$451),0),
IF('TL06'!$B$3=K$3,SUMIF('TL06'!$C$10:$C$224,$C197,'TL06'!$J$10:$J$224),0),
IF('TL06'!$B$229=K$3,SUMIF('TL06'!$C$238:$C$451,$C197,'TL06'!$J$238:$J$451),0),
IF('TL07'!$B$3=K$3,SUMIF('TL07'!$C$10:$C$224,$C197,'TL07'!$J$10:$J$224),0),
IF('TL07'!$B$229=K$3,SUMIF('TL07'!$C$238:$C$451,$C197,'TL07'!$J$238:$J$451),0),
IF('TL08'!$B$3=K$3,SUMIF('TL08'!$C$10:$C$224,$C197,'TL08'!$J$10:$J$224),0),
IF('TL08'!$B$229=K$3,SUMIF('TL08'!$C$238:$C$451,$C197,'TL08'!$J$238:$J$451),0),
IF('TL09'!$B$3=K$3,SUMIF('TL09'!$C$10:$C$224,$C197,'TL09'!$J$10:$J$224),0),
IF('TL09'!$B$229=K$3,SUMIF('TL09'!$C$238:$C$451,$C197,'TL09'!$J$238:$J$451),0),
IF('TL10'!$B$3=K$3,SUMIF('TL10'!$C$10:$C$224,$C197,'TL10'!$J$10:$J$224),0),
IF('TL10'!$B$229=K$3,SUMIF('TL10'!$C$238:$C$451,$C197,'TL10'!$J$238:$J$451),0),
IF('TL11'!$B$3=K$3,SUMIF('TL11'!$C$10:$C$224,$C197,'TL11'!$J$10:$J$224),0),
IF('TL11'!$B$229=K$3,SUMIF('TL11'!$C$238:$C$451,$C197,'TL11'!$J$238:$J$451),0),
IF('TL12'!$B$3=K$3,SUMIF('TL12'!$C$10:$C$224,$C197,'TL12'!$J$10:$J$224),0),
IF('TL12'!$B$229=K$3,SUMIF('TL12'!$C$238:$C$451,$C197,'TL12'!$J$238:$J$451),0),
IF('TL13'!$B$3=K$3,SUMIF('TL13'!$C$10:$C$224,$C197,'TL13'!$J$10:$J$224),0),
IF('TL13'!$B$229=K$3,SUMIF('TL13'!$C$238:$C$451,$C197,'TL13'!$J$238:$J$451),0),
IF('TL14'!$B$3=K$3,SUMIF('TL14'!$C$10:$C$224,$C197,'TL14'!$J$10:$J$224),0),
IF('TL14'!$B$229=K$3,SUMIF('TL14'!$C$238:$C$451,$C197,'TL14'!$J$238:$J$451),0),
IF('TL15'!$B$3=K$3,SUMIF('TL15'!$C$10:$C$224,$C197,'TL15'!$J$10:$J$224),0),
IF('TL15'!$B$229=K$3,SUMIF('TL15'!$C$238:$C$451,$C197,'TL15'!$J$238:$J$451),0),
IF('TL16'!$B$3=K$3,SUMIF('TL16'!$C$10:$C$224,$C197,'TL16'!$J$10:$J$224),0),
IF('TL16'!$B$229=K$3,SUMIF('TL16'!$C$238:$C$451,$C197,'TL16'!$J$238:$J$451),0),
IF('TL17'!$B$3=K$3,SUMIF('TL17'!$C$10:$C$224,$C197,'TL17'!$J$10:$J$224),0),
IF('TL17'!$B$229=K$3,SUMIF('TL17'!$C$238:$C$451,$C197,'TL17'!$J$238:$J$451),0),
IF('TL18'!$B$3=K$3,SUMIF('TL18'!$C$10:$C$224,$C197,'TL18'!$J$10:$J$224),0),
IF('TL18'!$B$229=K$3,SUMIF('TL18'!$C$238:$C$451,$C197,'TL18'!$J$238:$J$451),0),
IF('TL19'!$B$3=K$3,SUMIF('TL19'!$C$10:$C$224,$C197,'TL19'!$J$10:$J$224),0),
IF('TL19'!$B$229=K$3,SUMIF('TL19'!$C$238:$C$451,$C197,'TL19'!$J$238:$J$451),0)
),0)</f>
        <v/>
      </c>
      <c r="L197" s="9">
        <f>IFERROR(SUM(
IF('TL01'!$B$3=L$3,SUMIF('TL01'!$C$10:$C$224,$C197,'TL01'!$J$10:$J$224),0),
IF('TL01'!$B$229=L$3,SUMIF('TL01'!$C$238:$C$451,$C197,'TL01'!$J$238:$J$451),0),
IF('TL02'!$B$3=L$3,SUMIF('TL02'!$C$10:$C$224,$C197,'TL02'!$J$10:$J$224),0),
IF('TL02'!$B$229=L$3,SUMIF('TL02'!$C$238:$C$451,$C197,'TL02'!$J$238:$J$451),0),
IF('TL03'!$B$3=L$3,SUMIF('TL03'!$C$10:$C$224,$C197,'TL03'!$J$10:$J$224),0),
IF('TL03'!$B$229=L$3,SUMIF('TL03'!$C$238:$C$451,$C197,'TL03'!$J$238:$J$451),0),
IF('TL04'!$B$3=L$3,SUMIF('TL04'!$C$10:$C$224,$C197,'TL04'!$J$10:$J$224),0),
IF('TL04'!$B$229=L$3,SUMIF('TL04'!$C$238:$C$451,$C197,'TL04'!$J$238:$J$451),0),
IF('TL05'!$B$3=L$3,SUMIF('TL05'!$C$10:$C$224,$C197,'TL05'!$J$10:$J$224),0),
IF('TL05'!$B$229=L$3,SUMIF('TL05'!$C$238:$C$451,$C197,'TL05'!$J$238:$J$451),0),
IF('TL06'!$B$3=L$3,SUMIF('TL06'!$C$10:$C$224,$C197,'TL06'!$J$10:$J$224),0),
IF('TL06'!$B$229=L$3,SUMIF('TL06'!$C$238:$C$451,$C197,'TL06'!$J$238:$J$451),0),
IF('TL07'!$B$3=L$3,SUMIF('TL07'!$C$10:$C$224,$C197,'TL07'!$J$10:$J$224),0),
IF('TL07'!$B$229=L$3,SUMIF('TL07'!$C$238:$C$451,$C197,'TL07'!$J$238:$J$451),0),
IF('TL08'!$B$3=L$3,SUMIF('TL08'!$C$10:$C$224,$C197,'TL08'!$J$10:$J$224),0),
IF('TL08'!$B$229=L$3,SUMIF('TL08'!$C$238:$C$451,$C197,'TL08'!$J$238:$J$451),0),
IF('TL09'!$B$3=L$3,SUMIF('TL09'!$C$10:$C$224,$C197,'TL09'!$J$10:$J$224),0),
IF('TL09'!$B$229=L$3,SUMIF('TL09'!$C$238:$C$451,$C197,'TL09'!$J$238:$J$451),0),
IF('TL10'!$B$3=L$3,SUMIF('TL10'!$C$10:$C$224,$C197,'TL10'!$J$10:$J$224),0),
IF('TL10'!$B$229=L$3,SUMIF('TL10'!$C$238:$C$451,$C197,'TL10'!$J$238:$J$451),0),
IF('TL11'!$B$3=L$3,SUMIF('TL11'!$C$10:$C$224,$C197,'TL11'!$J$10:$J$224),0),
IF('TL11'!$B$229=L$3,SUMIF('TL11'!$C$238:$C$451,$C197,'TL11'!$J$238:$J$451),0),
IF('TL12'!$B$3=L$3,SUMIF('TL12'!$C$10:$C$224,$C197,'TL12'!$J$10:$J$224),0),
IF('TL12'!$B$229=L$3,SUMIF('TL12'!$C$238:$C$451,$C197,'TL12'!$J$238:$J$451),0),
IF('TL13'!$B$3=L$3,SUMIF('TL13'!$C$10:$C$224,$C197,'TL13'!$J$10:$J$224),0),
IF('TL13'!$B$229=L$3,SUMIF('TL13'!$C$238:$C$451,$C197,'TL13'!$J$238:$J$451),0),
IF('TL14'!$B$3=L$3,SUMIF('TL14'!$C$10:$C$224,$C197,'TL14'!$J$10:$J$224),0),
IF('TL14'!$B$229=L$3,SUMIF('TL14'!$C$238:$C$451,$C197,'TL14'!$J$238:$J$451),0),
IF('TL15'!$B$3=L$3,SUMIF('TL15'!$C$10:$C$224,$C197,'TL15'!$J$10:$J$224),0),
IF('TL15'!$B$229=L$3,SUMIF('TL15'!$C$238:$C$451,$C197,'TL15'!$J$238:$J$451),0),
IF('TL16'!$B$3=L$3,SUMIF('TL16'!$C$10:$C$224,$C197,'TL16'!$J$10:$J$224),0),
IF('TL16'!$B$229=L$3,SUMIF('TL16'!$C$238:$C$451,$C197,'TL16'!$J$238:$J$451),0),
IF('TL17'!$B$3=L$3,SUMIF('TL17'!$C$10:$C$224,$C197,'TL17'!$J$10:$J$224),0),
IF('TL17'!$B$229=L$3,SUMIF('TL17'!$C$238:$C$451,$C197,'TL17'!$J$238:$J$451),0),
IF('TL18'!$B$3=L$3,SUMIF('TL18'!$C$10:$C$224,$C197,'TL18'!$J$10:$J$224),0),
IF('TL18'!$B$229=L$3,SUMIF('TL18'!$C$238:$C$451,$C197,'TL18'!$J$238:$J$451),0),
IF('TL19'!$B$3=L$3,SUMIF('TL19'!$C$10:$C$224,$C197,'TL19'!$J$10:$J$224),0),
IF('TL19'!$B$229=L$3,SUMIF('TL19'!$C$238:$C$451,$C197,'TL19'!$J$238:$J$451),0)
),0)</f>
        <v/>
      </c>
      <c r="M197" s="9">
        <f>IFERROR(SUM(
IF('TL01'!$B$3=M$3,SUMIF('TL01'!$C$10:$C$224,$C197,'TL01'!$J$10:$J$224),0),
IF('TL01'!$B$229=M$3,SUMIF('TL01'!$C$238:$C$451,$C197,'TL01'!$J$238:$J$451),0),
IF('TL02'!$B$3=M$3,SUMIF('TL02'!$C$10:$C$224,$C197,'TL02'!$J$10:$J$224),0),
IF('TL02'!$B$229=M$3,SUMIF('TL02'!$C$238:$C$451,$C197,'TL02'!$J$238:$J$451),0),
IF('TL03'!$B$3=M$3,SUMIF('TL03'!$C$10:$C$224,$C197,'TL03'!$J$10:$J$224),0),
IF('TL03'!$B$229=M$3,SUMIF('TL03'!$C$238:$C$451,$C197,'TL03'!$J$238:$J$451),0),
IF('TL04'!$B$3=M$3,SUMIF('TL04'!$C$10:$C$224,$C197,'TL04'!$J$10:$J$224),0),
IF('TL04'!$B$229=M$3,SUMIF('TL04'!$C$238:$C$451,$C197,'TL04'!$J$238:$J$451),0),
IF('TL05'!$B$3=M$3,SUMIF('TL05'!$C$10:$C$224,$C197,'TL05'!$J$10:$J$224),0),
IF('TL05'!$B$229=M$3,SUMIF('TL05'!$C$238:$C$451,$C197,'TL05'!$J$238:$J$451),0),
IF('TL06'!$B$3=M$3,SUMIF('TL06'!$C$10:$C$224,$C197,'TL06'!$J$10:$J$224),0),
IF('TL06'!$B$229=M$3,SUMIF('TL06'!$C$238:$C$451,$C197,'TL06'!$J$238:$J$451),0),
IF('TL07'!$B$3=M$3,SUMIF('TL07'!$C$10:$C$224,$C197,'TL07'!$J$10:$J$224),0),
IF('TL07'!$B$229=M$3,SUMIF('TL07'!$C$238:$C$451,$C197,'TL07'!$J$238:$J$451),0),
IF('TL08'!$B$3=M$3,SUMIF('TL08'!$C$10:$C$224,$C197,'TL08'!$J$10:$J$224),0),
IF('TL08'!$B$229=M$3,SUMIF('TL08'!$C$238:$C$451,$C197,'TL08'!$J$238:$J$451),0),
IF('TL09'!$B$3=M$3,SUMIF('TL09'!$C$10:$C$224,$C197,'TL09'!$J$10:$J$224),0),
IF('TL09'!$B$229=M$3,SUMIF('TL09'!$C$238:$C$451,$C197,'TL09'!$J$238:$J$451),0),
IF('TL10'!$B$3=M$3,SUMIF('TL10'!$C$10:$C$224,$C197,'TL10'!$J$10:$J$224),0),
IF('TL10'!$B$229=M$3,SUMIF('TL10'!$C$238:$C$451,$C197,'TL10'!$J$238:$J$451),0),
IF('TL11'!$B$3=M$3,SUMIF('TL11'!$C$10:$C$224,$C197,'TL11'!$J$10:$J$224),0),
IF('TL11'!$B$229=M$3,SUMIF('TL11'!$C$238:$C$451,$C197,'TL11'!$J$238:$J$451),0),
IF('TL12'!$B$3=M$3,SUMIF('TL12'!$C$10:$C$224,$C197,'TL12'!$J$10:$J$224),0),
IF('TL12'!$B$229=M$3,SUMIF('TL12'!$C$238:$C$451,$C197,'TL12'!$J$238:$J$451),0),
IF('TL13'!$B$3=M$3,SUMIF('TL13'!$C$10:$C$224,$C197,'TL13'!$J$10:$J$224),0),
IF('TL13'!$B$229=M$3,SUMIF('TL13'!$C$238:$C$451,$C197,'TL13'!$J$238:$J$451),0),
IF('TL14'!$B$3=M$3,SUMIF('TL14'!$C$10:$C$224,$C197,'TL14'!$J$10:$J$224),0),
IF('TL14'!$B$229=M$3,SUMIF('TL14'!$C$238:$C$451,$C197,'TL14'!$J$238:$J$451),0),
IF('TL15'!$B$3=M$3,SUMIF('TL15'!$C$10:$C$224,$C197,'TL15'!$J$10:$J$224),0),
IF('TL15'!$B$229=M$3,SUMIF('TL15'!$C$238:$C$451,$C197,'TL15'!$J$238:$J$451),0),
IF('TL16'!$B$3=M$3,SUMIF('TL16'!$C$10:$C$224,$C197,'TL16'!$J$10:$J$224),0),
IF('TL16'!$B$229=M$3,SUMIF('TL16'!$C$238:$C$451,$C197,'TL16'!$J$238:$J$451),0),
IF('TL17'!$B$3=M$3,SUMIF('TL17'!$C$10:$C$224,$C197,'TL17'!$J$10:$J$224),0),
IF('TL17'!$B$229=M$3,SUMIF('TL17'!$C$238:$C$451,$C197,'TL17'!$J$238:$J$451),0),
IF('TL18'!$B$3=M$3,SUMIF('TL18'!$C$10:$C$224,$C197,'TL18'!$J$10:$J$224),0),
IF('TL18'!$B$229=M$3,SUMIF('TL18'!$C$238:$C$451,$C197,'TL18'!$J$238:$J$451),0),
IF('TL19'!$B$3=M$3,SUMIF('TL19'!$C$10:$C$224,$C197,'TL19'!$J$10:$J$224),0),
IF('TL19'!$B$229=M$3,SUMIF('TL19'!$C$238:$C$451,$C197,'TL19'!$J$238:$J$451),0)
),0)</f>
        <v/>
      </c>
      <c r="N197" s="9">
        <f>IFERROR(SUM(
IF('TL01'!$B$3=N$3,SUMIF('TL01'!$C$10:$C$224,$C197,'TL01'!$J$10:$J$224),0),
IF('TL01'!$B$229=N$3,SUMIF('TL01'!$C$238:$C$451,$C197,'TL01'!$J$238:$J$451),0),
IF('TL02'!$B$3=N$3,SUMIF('TL02'!$C$10:$C$224,$C197,'TL02'!$J$10:$J$224),0),
IF('TL02'!$B$229=N$3,SUMIF('TL02'!$C$238:$C$451,$C197,'TL02'!$J$238:$J$451),0),
IF('TL03'!$B$3=N$3,SUMIF('TL03'!$C$10:$C$224,$C197,'TL03'!$J$10:$J$224),0),
IF('TL03'!$B$229=N$3,SUMIF('TL03'!$C$238:$C$451,$C197,'TL03'!$J$238:$J$451),0),
IF('TL04'!$B$3=N$3,SUMIF('TL04'!$C$10:$C$224,$C197,'TL04'!$J$10:$J$224),0),
IF('TL04'!$B$229=N$3,SUMIF('TL04'!$C$238:$C$451,$C197,'TL04'!$J$238:$J$451),0),
IF('TL05'!$B$3=N$3,SUMIF('TL05'!$C$10:$C$224,$C197,'TL05'!$J$10:$J$224),0),
IF('TL05'!$B$229=N$3,SUMIF('TL05'!$C$238:$C$451,$C197,'TL05'!$J$238:$J$451),0),
IF('TL06'!$B$3=N$3,SUMIF('TL06'!$C$10:$C$224,$C197,'TL06'!$J$10:$J$224),0),
IF('TL06'!$B$229=N$3,SUMIF('TL06'!$C$238:$C$451,$C197,'TL06'!$J$238:$J$451),0),
IF('TL07'!$B$3=N$3,SUMIF('TL07'!$C$10:$C$224,$C197,'TL07'!$J$10:$J$224),0),
IF('TL07'!$B$229=N$3,SUMIF('TL07'!$C$238:$C$451,$C197,'TL07'!$J$238:$J$451),0),
IF('TL08'!$B$3=N$3,SUMIF('TL08'!$C$10:$C$224,$C197,'TL08'!$J$10:$J$224),0),
IF('TL08'!$B$229=N$3,SUMIF('TL08'!$C$238:$C$451,$C197,'TL08'!$J$238:$J$451),0),
IF('TL09'!$B$3=N$3,SUMIF('TL09'!$C$10:$C$224,$C197,'TL09'!$J$10:$J$224),0),
IF('TL09'!$B$229=N$3,SUMIF('TL09'!$C$238:$C$451,$C197,'TL09'!$J$238:$J$451),0),
IF('TL10'!$B$3=N$3,SUMIF('TL10'!$C$10:$C$224,$C197,'TL10'!$J$10:$J$224),0),
IF('TL10'!$B$229=N$3,SUMIF('TL10'!$C$238:$C$451,$C197,'TL10'!$J$238:$J$451),0),
IF('TL11'!$B$3=N$3,SUMIF('TL11'!$C$10:$C$224,$C197,'TL11'!$J$10:$J$224),0),
IF('TL11'!$B$229=N$3,SUMIF('TL11'!$C$238:$C$451,$C197,'TL11'!$J$238:$J$451),0),
IF('TL12'!$B$3=N$3,SUMIF('TL12'!$C$10:$C$224,$C197,'TL12'!$J$10:$J$224),0),
IF('TL12'!$B$229=N$3,SUMIF('TL12'!$C$238:$C$451,$C197,'TL12'!$J$238:$J$451),0),
IF('TL13'!$B$3=N$3,SUMIF('TL13'!$C$10:$C$224,$C197,'TL13'!$J$10:$J$224),0),
IF('TL13'!$B$229=N$3,SUMIF('TL13'!$C$238:$C$451,$C197,'TL13'!$J$238:$J$451),0),
IF('TL14'!$B$3=N$3,SUMIF('TL14'!$C$10:$C$224,$C197,'TL14'!$J$10:$J$224),0),
IF('TL14'!$B$229=N$3,SUMIF('TL14'!$C$238:$C$451,$C197,'TL14'!$J$238:$J$451),0),
IF('TL15'!$B$3=N$3,SUMIF('TL15'!$C$10:$C$224,$C197,'TL15'!$J$10:$J$224),0),
IF('TL15'!$B$229=N$3,SUMIF('TL15'!$C$238:$C$451,$C197,'TL15'!$J$238:$J$451),0),
IF('TL16'!$B$3=N$3,SUMIF('TL16'!$C$10:$C$224,$C197,'TL16'!$J$10:$J$224),0),
IF('TL16'!$B$229=N$3,SUMIF('TL16'!$C$238:$C$451,$C197,'TL16'!$J$238:$J$451),0),
IF('TL17'!$B$3=N$3,SUMIF('TL17'!$C$10:$C$224,$C197,'TL17'!$J$10:$J$224),0),
IF('TL17'!$B$229=N$3,SUMIF('TL17'!$C$238:$C$451,$C197,'TL17'!$J$238:$J$451),0),
IF('TL18'!$B$3=N$3,SUMIF('TL18'!$C$10:$C$224,$C197,'TL18'!$J$10:$J$224),0),
IF('TL18'!$B$229=N$3,SUMIF('TL18'!$C$238:$C$451,$C197,'TL18'!$J$238:$J$451),0),
IF('TL19'!$B$3=N$3,SUMIF('TL19'!$C$10:$C$224,$C197,'TL19'!$J$10:$J$224),0),
IF('TL19'!$B$229=N$3,SUMIF('TL19'!$C$238:$C$451,$C197,'TL19'!$J$238:$J$451),0)
),0)</f>
        <v/>
      </c>
      <c r="O197" s="9">
        <f>IFERROR(SUM(
IF('TL01'!$B$3=O$3,SUMIF('TL01'!$C$10:$C$224,$C197,'TL01'!$J$10:$J$224),0),
IF('TL01'!$B$229=O$3,SUMIF('TL01'!$C$238:$C$451,$C197,'TL01'!$J$238:$J$451),0),
IF('TL02'!$B$3=O$3,SUMIF('TL02'!$C$10:$C$224,$C197,'TL02'!$J$10:$J$224),0),
IF('TL02'!$B$229=O$3,SUMIF('TL02'!$C$238:$C$451,$C197,'TL02'!$J$238:$J$451),0),
IF('TL03'!$B$3=O$3,SUMIF('TL03'!$C$10:$C$224,$C197,'TL03'!$J$10:$J$224),0),
IF('TL03'!$B$229=O$3,SUMIF('TL03'!$C$238:$C$451,$C197,'TL03'!$J$238:$J$451),0),
IF('TL04'!$B$3=O$3,SUMIF('TL04'!$C$10:$C$224,$C197,'TL04'!$J$10:$J$224),0),
IF('TL04'!$B$229=O$3,SUMIF('TL04'!$C$238:$C$451,$C197,'TL04'!$J$238:$J$451),0),
IF('TL05'!$B$3=O$3,SUMIF('TL05'!$C$10:$C$224,$C197,'TL05'!$J$10:$J$224),0),
IF('TL05'!$B$229=O$3,SUMIF('TL05'!$C$238:$C$451,$C197,'TL05'!$J$238:$J$451),0),
IF('TL06'!$B$3=O$3,SUMIF('TL06'!$C$10:$C$224,$C197,'TL06'!$J$10:$J$224),0),
IF('TL06'!$B$229=O$3,SUMIF('TL06'!$C$238:$C$451,$C197,'TL06'!$J$238:$J$451),0),
IF('TL07'!$B$3=O$3,SUMIF('TL07'!$C$10:$C$224,$C197,'TL07'!$J$10:$J$224),0),
IF('TL07'!$B$229=O$3,SUMIF('TL07'!$C$238:$C$451,$C197,'TL07'!$J$238:$J$451),0),
IF('TL08'!$B$3=O$3,SUMIF('TL08'!$C$10:$C$224,$C197,'TL08'!$J$10:$J$224),0),
IF('TL08'!$B$229=O$3,SUMIF('TL08'!$C$238:$C$451,$C197,'TL08'!$J$238:$J$451),0),
IF('TL09'!$B$3=O$3,SUMIF('TL09'!$C$10:$C$224,$C197,'TL09'!$J$10:$J$224),0),
IF('TL09'!$B$229=O$3,SUMIF('TL09'!$C$238:$C$451,$C197,'TL09'!$J$238:$J$451),0),
IF('TL10'!$B$3=O$3,SUMIF('TL10'!$C$10:$C$224,$C197,'TL10'!$J$10:$J$224),0),
IF('TL10'!$B$229=O$3,SUMIF('TL10'!$C$238:$C$451,$C197,'TL10'!$J$238:$J$451),0),
IF('TL11'!$B$3=O$3,SUMIF('TL11'!$C$10:$C$224,$C197,'TL11'!$J$10:$J$224),0),
IF('TL11'!$B$229=O$3,SUMIF('TL11'!$C$238:$C$451,$C197,'TL11'!$J$238:$J$451),0),
IF('TL12'!$B$3=O$3,SUMIF('TL12'!$C$10:$C$224,$C197,'TL12'!$J$10:$J$224),0),
IF('TL12'!$B$229=O$3,SUMIF('TL12'!$C$238:$C$451,$C197,'TL12'!$J$238:$J$451),0),
IF('TL13'!$B$3=O$3,SUMIF('TL13'!$C$10:$C$224,$C197,'TL13'!$J$10:$J$224),0),
IF('TL13'!$B$229=O$3,SUMIF('TL13'!$C$238:$C$451,$C197,'TL13'!$J$238:$J$451),0),
IF('TL14'!$B$3=O$3,SUMIF('TL14'!$C$10:$C$224,$C197,'TL14'!$J$10:$J$224),0),
IF('TL14'!$B$229=O$3,SUMIF('TL14'!$C$238:$C$451,$C197,'TL14'!$J$238:$J$451),0),
IF('TL15'!$B$3=O$3,SUMIF('TL15'!$C$10:$C$224,$C197,'TL15'!$J$10:$J$224),0),
IF('TL15'!$B$229=O$3,SUMIF('TL15'!$C$238:$C$451,$C197,'TL15'!$J$238:$J$451),0),
IF('TL16'!$B$3=O$3,SUMIF('TL16'!$C$10:$C$224,$C197,'TL16'!$J$10:$J$224),0),
IF('TL16'!$B$229=O$3,SUMIF('TL16'!$C$238:$C$451,$C197,'TL16'!$J$238:$J$451),0),
IF('TL17'!$B$3=O$3,SUMIF('TL17'!$C$10:$C$224,$C197,'TL17'!$J$10:$J$224),0),
IF('TL17'!$B$229=O$3,SUMIF('TL17'!$C$238:$C$451,$C197,'TL17'!$J$238:$J$451),0),
IF('TL18'!$B$3=O$3,SUMIF('TL18'!$C$10:$C$224,$C197,'TL18'!$J$10:$J$224),0),
IF('TL18'!$B$229=O$3,SUMIF('TL18'!$C$238:$C$451,$C197,'TL18'!$J$238:$J$451),0),
IF('TL19'!$B$3=O$3,SUMIF('TL19'!$C$10:$C$224,$C197,'TL19'!$J$10:$J$224),0),
IF('TL19'!$B$229=O$3,SUMIF('TL19'!$C$238:$C$451,$C197,'TL19'!$J$238:$J$451),0)
),0)</f>
        <v/>
      </c>
      <c r="P197" s="9">
        <f>IFERROR(SUM(
IF('TL01'!$B$3=P$3,SUMIF('TL01'!$C$10:$C$224,$C197,'TL01'!$J$10:$J$224),0),
IF('TL01'!$B$229=P$3,SUMIF('TL01'!$C$238:$C$451,$C197,'TL01'!$J$238:$J$451),0),
IF('TL02'!$B$3=P$3,SUMIF('TL02'!$C$10:$C$224,$C197,'TL02'!$J$10:$J$224),0),
IF('TL02'!$B$229=P$3,SUMIF('TL02'!$C$238:$C$451,$C197,'TL02'!$J$238:$J$451),0),
IF('TL03'!$B$3=P$3,SUMIF('TL03'!$C$10:$C$224,$C197,'TL03'!$J$10:$J$224),0),
IF('TL03'!$B$229=P$3,SUMIF('TL03'!$C$238:$C$451,$C197,'TL03'!$J$238:$J$451),0),
IF('TL04'!$B$3=P$3,SUMIF('TL04'!$C$10:$C$224,$C197,'TL04'!$J$10:$J$224),0),
IF('TL04'!$B$229=P$3,SUMIF('TL04'!$C$238:$C$451,$C197,'TL04'!$J$238:$J$451),0),
IF('TL05'!$B$3=P$3,SUMIF('TL05'!$C$10:$C$224,$C197,'TL05'!$J$10:$J$224),0),
IF('TL05'!$B$229=P$3,SUMIF('TL05'!$C$238:$C$451,$C197,'TL05'!$J$238:$J$451),0),
IF('TL06'!$B$3=P$3,SUMIF('TL06'!$C$10:$C$224,$C197,'TL06'!$J$10:$J$224),0),
IF('TL06'!$B$229=P$3,SUMIF('TL06'!$C$238:$C$451,$C197,'TL06'!$J$238:$J$451),0),
IF('TL07'!$B$3=P$3,SUMIF('TL07'!$C$10:$C$224,$C197,'TL07'!$J$10:$J$224),0),
IF('TL07'!$B$229=P$3,SUMIF('TL07'!$C$238:$C$451,$C197,'TL07'!$J$238:$J$451),0),
IF('TL08'!$B$3=P$3,SUMIF('TL08'!$C$10:$C$224,$C197,'TL08'!$J$10:$J$224),0),
IF('TL08'!$B$229=P$3,SUMIF('TL08'!$C$238:$C$451,$C197,'TL08'!$J$238:$J$451),0),
IF('TL09'!$B$3=P$3,SUMIF('TL09'!$C$10:$C$224,$C197,'TL09'!$J$10:$J$224),0),
IF('TL09'!$B$229=P$3,SUMIF('TL09'!$C$238:$C$451,$C197,'TL09'!$J$238:$J$451),0),
IF('TL10'!$B$3=P$3,SUMIF('TL10'!$C$10:$C$224,$C197,'TL10'!$J$10:$J$224),0),
IF('TL10'!$B$229=P$3,SUMIF('TL10'!$C$238:$C$451,$C197,'TL10'!$J$238:$J$451),0),
IF('TL11'!$B$3=P$3,SUMIF('TL11'!$C$10:$C$224,$C197,'TL11'!$J$10:$J$224),0),
IF('TL11'!$B$229=P$3,SUMIF('TL11'!$C$238:$C$451,$C197,'TL11'!$J$238:$J$451),0),
IF('TL12'!$B$3=P$3,SUMIF('TL12'!$C$10:$C$224,$C197,'TL12'!$J$10:$J$224),0),
IF('TL12'!$B$229=P$3,SUMIF('TL12'!$C$238:$C$451,$C197,'TL12'!$J$238:$J$451),0),
IF('TL13'!$B$3=P$3,SUMIF('TL13'!$C$10:$C$224,$C197,'TL13'!$J$10:$J$224),0),
IF('TL13'!$B$229=P$3,SUMIF('TL13'!$C$238:$C$451,$C197,'TL13'!$J$238:$J$451),0),
IF('TL14'!$B$3=P$3,SUMIF('TL14'!$C$10:$C$224,$C197,'TL14'!$J$10:$J$224),0),
IF('TL14'!$B$229=P$3,SUMIF('TL14'!$C$238:$C$451,$C197,'TL14'!$J$238:$J$451),0),
IF('TL15'!$B$3=P$3,SUMIF('TL15'!$C$10:$C$224,$C197,'TL15'!$J$10:$J$224),0),
IF('TL15'!$B$229=P$3,SUMIF('TL15'!$C$238:$C$451,$C197,'TL15'!$J$238:$J$451),0),
IF('TL16'!$B$3=P$3,SUMIF('TL16'!$C$10:$C$224,$C197,'TL16'!$J$10:$J$224),0),
IF('TL16'!$B$229=P$3,SUMIF('TL16'!$C$238:$C$451,$C197,'TL16'!$J$238:$J$451),0),
IF('TL17'!$B$3=P$3,SUMIF('TL17'!$C$10:$C$224,$C197,'TL17'!$J$10:$J$224),0),
IF('TL17'!$B$229=P$3,SUMIF('TL17'!$C$238:$C$451,$C197,'TL17'!$J$238:$J$451),0),
IF('TL18'!$B$3=P$3,SUMIF('TL18'!$C$10:$C$224,$C197,'TL18'!$J$10:$J$224),0),
IF('TL18'!$B$229=P$3,SUMIF('TL18'!$C$238:$C$451,$C197,'TL18'!$J$238:$J$451),0),
IF('TL19'!$B$3=P$3,SUMIF('TL19'!$C$10:$C$224,$C197,'TL19'!$J$10:$J$224),0),
IF('TL19'!$B$229=P$3,SUMIF('TL19'!$C$238:$C$451,$C197,'TL19'!$J$238:$J$451),0)
),0)</f>
        <v/>
      </c>
      <c r="Q197" s="9">
        <f>IFERROR(SUM(
IF('TL01'!$B$3=Q$3,SUMIF('TL01'!$C$10:$C$224,$C197,'TL01'!$J$10:$J$224),0),
IF('TL01'!$B$229=Q$3,SUMIF('TL01'!$C$238:$C$451,$C197,'TL01'!$J$238:$J$451),0),
IF('TL02'!$B$3=Q$3,SUMIF('TL02'!$C$10:$C$224,$C197,'TL02'!$J$10:$J$224),0),
IF('TL02'!$B$229=Q$3,SUMIF('TL02'!$C$238:$C$451,$C197,'TL02'!$J$238:$J$451),0),
IF('TL03'!$B$3=Q$3,SUMIF('TL03'!$C$10:$C$224,$C197,'TL03'!$J$10:$J$224),0),
IF('TL03'!$B$229=Q$3,SUMIF('TL03'!$C$238:$C$451,$C197,'TL03'!$J$238:$J$451),0),
IF('TL04'!$B$3=Q$3,SUMIF('TL04'!$C$10:$C$224,$C197,'TL04'!$J$10:$J$224),0),
IF('TL04'!$B$229=Q$3,SUMIF('TL04'!$C$238:$C$451,$C197,'TL04'!$J$238:$J$451),0),
IF('TL05'!$B$3=Q$3,SUMIF('TL05'!$C$10:$C$224,$C197,'TL05'!$J$10:$J$224),0),
IF('TL05'!$B$229=Q$3,SUMIF('TL05'!$C$238:$C$451,$C197,'TL05'!$J$238:$J$451),0),
IF('TL06'!$B$3=Q$3,SUMIF('TL06'!$C$10:$C$224,$C197,'TL06'!$J$10:$J$224),0),
IF('TL06'!$B$229=Q$3,SUMIF('TL06'!$C$238:$C$451,$C197,'TL06'!$J$238:$J$451),0),
IF('TL07'!$B$3=Q$3,SUMIF('TL07'!$C$10:$C$224,$C197,'TL07'!$J$10:$J$224),0),
IF('TL07'!$B$229=Q$3,SUMIF('TL07'!$C$238:$C$451,$C197,'TL07'!$J$238:$J$451),0),
IF('TL08'!$B$3=Q$3,SUMIF('TL08'!$C$10:$C$224,$C197,'TL08'!$J$10:$J$224),0),
IF('TL08'!$B$229=Q$3,SUMIF('TL08'!$C$238:$C$451,$C197,'TL08'!$J$238:$J$451),0),
IF('TL09'!$B$3=Q$3,SUMIF('TL09'!$C$10:$C$224,$C197,'TL09'!$J$10:$J$224),0),
IF('TL09'!$B$229=Q$3,SUMIF('TL09'!$C$238:$C$451,$C197,'TL09'!$J$238:$J$451),0),
IF('TL10'!$B$3=Q$3,SUMIF('TL10'!$C$10:$C$224,$C197,'TL10'!$J$10:$J$224),0),
IF('TL10'!$B$229=Q$3,SUMIF('TL10'!$C$238:$C$451,$C197,'TL10'!$J$238:$J$451),0),
IF('TL11'!$B$3=Q$3,SUMIF('TL11'!$C$10:$C$224,$C197,'TL11'!$J$10:$J$224),0),
IF('TL11'!$B$229=Q$3,SUMIF('TL11'!$C$238:$C$451,$C197,'TL11'!$J$238:$J$451),0),
IF('TL12'!$B$3=Q$3,SUMIF('TL12'!$C$10:$C$224,$C197,'TL12'!$J$10:$J$224),0),
IF('TL12'!$B$229=Q$3,SUMIF('TL12'!$C$238:$C$451,$C197,'TL12'!$J$238:$J$451),0),
IF('TL13'!$B$3=Q$3,SUMIF('TL13'!$C$10:$C$224,$C197,'TL13'!$J$10:$J$224),0),
IF('TL13'!$B$229=Q$3,SUMIF('TL13'!$C$238:$C$451,$C197,'TL13'!$J$238:$J$451),0),
IF('TL14'!$B$3=Q$3,SUMIF('TL14'!$C$10:$C$224,$C197,'TL14'!$J$10:$J$224),0),
IF('TL14'!$B$229=Q$3,SUMIF('TL14'!$C$238:$C$451,$C197,'TL14'!$J$238:$J$451),0),
IF('TL15'!$B$3=Q$3,SUMIF('TL15'!$C$10:$C$224,$C197,'TL15'!$J$10:$J$224),0),
IF('TL15'!$B$229=Q$3,SUMIF('TL15'!$C$238:$C$451,$C197,'TL15'!$J$238:$J$451),0),
IF('TL16'!$B$3=Q$3,SUMIF('TL16'!$C$10:$C$224,$C197,'TL16'!$J$10:$J$224),0),
IF('TL16'!$B$229=Q$3,SUMIF('TL16'!$C$238:$C$451,$C197,'TL16'!$J$238:$J$451),0),
IF('TL17'!$B$3=Q$3,SUMIF('TL17'!$C$10:$C$224,$C197,'TL17'!$J$10:$J$224),0),
IF('TL17'!$B$229=Q$3,SUMIF('TL17'!$C$238:$C$451,$C197,'TL17'!$J$238:$J$451),0),
IF('TL18'!$B$3=Q$3,SUMIF('TL18'!$C$10:$C$224,$C197,'TL18'!$J$10:$J$224),0),
IF('TL18'!$B$229=Q$3,SUMIF('TL18'!$C$238:$C$451,$C197,'TL18'!$J$238:$J$451),0),
IF('TL19'!$B$3=Q$3,SUMIF('TL19'!$C$10:$C$224,$C197,'TL19'!$J$10:$J$224),0),
IF('TL19'!$B$229=Q$3,SUMIF('TL19'!$C$238:$C$451,$C197,'TL19'!$J$238:$J$451),0)
),0)</f>
        <v/>
      </c>
      <c r="R197" s="9">
        <f>IFERROR(
SUM(
SUMIF('TL01'!C:C,C197,'TL01'!J:J),
SUMIF('TL02'!C:C,C197,'TL02'!J:J),
SUMIF('TL03'!C:C,C197,'TL03'!J:J),
SUMIF('TL04'!C:C,C197,'TL04'!J:J),
SUMIF('TL05'!C:C,C197,'TL05'!J:J),
SUMIF('TL06'!C:C,C197,'TL06'!J:J),
SUMIF('TL07'!C:C,C197,'TL07'!J:J),
SUMIF('TL08'!C:C,C197,'TL08'!J:J),
SUMIF('TL09'!C:C,C197,'TL09'!J:J),
SUMIF('TL10'!C:C,C197,'TL10'!J:J),
SUMIF('TL11'!C:C,C197,'TL11'!J:J),
SUMIF('TL12'!C:C,C197,'TL12'!J:J),
SUMIF('TL13'!C:C,C197,'TL13'!J:J),
SUMIF('TL14'!C:C,C197,'TL14'!J:J),
SUMIF('TL15'!C:C,C197,'TL15'!J:J),
SUMIF('TL16'!C:C,C197,'TL16'!J:J),
SUMIF('TL17'!C:C,C197,'TL17'!J:J),
SUMIF('TL18'!C:C,C197,'TL18'!J:J),SUMIF('TL19'!C:C,C197,'TL19'!J:J))
,0)</f>
        <v/>
      </c>
      <c r="S197" s="17">
        <f>IFERROR(__xludf.DUMMYFUNCTION("IFERROR(VLOOKUP(C197,
IMPORTRANGE(""1wULbzX32WdYsx-lj2U3uUNBBe2INVIRDtcK0d-Dvl90"",
""26-27!C:G""),
5,
FALSE),
"""")"),102.7947)</f>
        <v/>
      </c>
      <c r="T197" s="9" t="n"/>
      <c r="U197" s="92">
        <f>MAX(0,R197-T197)</f>
        <v/>
      </c>
      <c r="V197" s="93">
        <f>U197*S197</f>
        <v/>
      </c>
    </row>
    <row r="198" hidden="1" ht="15.75" customHeight="1" s="297">
      <c r="A198" s="87" t="inlineStr">
        <is>
          <t>CROPCHEM</t>
        </is>
      </c>
      <c r="B198" s="88" t="inlineStr">
        <is>
          <t>INSETICIDA</t>
        </is>
      </c>
      <c r="C198" s="89" t="inlineStr">
        <is>
          <t>KRATON 100 EC</t>
        </is>
      </c>
      <c r="D198" s="89" t="inlineStr">
        <is>
          <t>LUFENUROM</t>
        </is>
      </c>
      <c r="E198" s="89" t="n">
        <v>100</v>
      </c>
      <c r="F198" s="4" t="n"/>
      <c r="G198" s="90">
        <f>HYPERLINK("https://www.google.com/search?q=" &amp; C198 &amp; "+bula+agrofit+pdf", "📄 Ver bula")</f>
        <v/>
      </c>
      <c r="H198" s="9">
        <f>IFERROR(__xludf.DUMMYFUNCTION("IFERROR(VLOOKUP(C198,
IMPORTRANGE(""1wULbzX32WdYsx-lj2U3uUNBBe2INVIRDtcK0d-Dvl90"",
""26-27!C:K""),
8,
FALSE),
"""")"),0.15)</f>
        <v/>
      </c>
      <c r="I198" s="91" t="inlineStr">
        <is>
          <t>4X5</t>
        </is>
      </c>
      <c r="J198" s="9">
        <f>IFERROR(SUM(
IF('TL01'!$B$3=J$3,SUMIF('TL01'!$C$10:$C$224,$C198,'TL01'!$J$10:$J$224),0),
IF('TL01'!$B$229=J$3,SUMIF('TL01'!$C$238:$C$451,$C198,'TL01'!$J$238:$J$451),0),
IF('TL02'!$B$3=J$3,SUMIF('TL02'!$C$10:$C$224,$C198,'TL02'!$J$10:$J$224),0),
IF('TL02'!$B$229=J$3,SUMIF('TL02'!$C$238:$C$451,$C198,'TL02'!$J$238:$J$451),0),
IF('TL03'!$B$3=J$3,SUMIF('TL03'!$C$10:$C$224,$C198,'TL03'!$J$10:$J$224),0),
IF('TL03'!$B$229=J$3,SUMIF('TL03'!$C$238:$C$451,$C198,'TL03'!$J$238:$J$451),0),
IF('TL04'!$B$3=J$3,SUMIF('TL04'!$C$10:$C$224,$C198,'TL04'!$J$10:$J$224),0),
IF('TL04'!$B$229=J$3,SUMIF('TL04'!$C$238:$C$451,$C198,'TL04'!$J$238:$J$451),0),
IF('TL05'!$B$3=J$3,SUMIF('TL05'!$C$10:$C$224,$C198,'TL05'!$J$10:$J$224),0),
IF('TL05'!$B$229=J$3,SUMIF('TL05'!$C$238:$C$451,$C198,'TL05'!$J$238:$J$451),0),
IF('TL06'!$B$3=J$3,SUMIF('TL06'!$C$10:$C$224,$C198,'TL06'!$J$10:$J$224),0),
IF('TL06'!$B$229=J$3,SUMIF('TL06'!$C$238:$C$451,$C198,'TL06'!$J$238:$J$451),0),
IF('TL07'!$B$3=J$3,SUMIF('TL07'!$C$10:$C$224,$C198,'TL07'!$J$10:$J$224),0),
IF('TL07'!$B$229=J$3,SUMIF('TL07'!$C$238:$C$451,$C198,'TL07'!$J$238:$J$451),0),
IF('TL08'!$B$3=J$3,SUMIF('TL08'!$C$10:$C$224,$C198,'TL08'!$J$10:$J$224),0),
IF('TL08'!$B$229=J$3,SUMIF('TL08'!$C$238:$C$451,$C198,'TL08'!$J$238:$J$451),0),
IF('TL09'!$B$3=J$3,SUMIF('TL09'!$C$10:$C$224,$C198,'TL09'!$J$10:$J$224),0),
IF('TL09'!$B$229=J$3,SUMIF('TL09'!$C$238:$C$451,$C198,'TL09'!$J$238:$J$451),0),
IF('TL10'!$B$3=J$3,SUMIF('TL10'!$C$10:$C$224,$C198,'TL10'!$J$10:$J$224),0),
IF('TL10'!$B$229=J$3,SUMIF('TL10'!$C$238:$C$451,$C198,'TL10'!$J$238:$J$451),0),
IF('TL11'!$B$3=J$3,SUMIF('TL11'!$C$10:$C$224,$C198,'TL11'!$J$10:$J$224),0),
IF('TL11'!$B$229=J$3,SUMIF('TL11'!$C$238:$C$451,$C198,'TL11'!$J$238:$J$451),0),
IF('TL12'!$B$3=J$3,SUMIF('TL12'!$C$10:$C$224,$C198,'TL12'!$J$10:$J$224),0),
IF('TL12'!$B$229=J$3,SUMIF('TL12'!$C$238:$C$451,$C198,'TL12'!$J$238:$J$451),0),
IF('TL13'!$B$3=J$3,SUMIF('TL13'!$C$10:$C$224,$C198,'TL13'!$J$10:$J$224),0),
IF('TL13'!$B$229=J$3,SUMIF('TL13'!$C$238:$C$451,$C198,'TL13'!$J$238:$J$451),0),
IF('TL14'!$B$3=J$3,SUMIF('TL14'!$C$10:$C$224,$C198,'TL14'!$J$10:$J$224),0),
IF('TL14'!$B$229=J$3,SUMIF('TL14'!$C$238:$C$451,$C198,'TL14'!$J$238:$J$451),0),
IF('TL15'!$B$3=J$3,SUMIF('TL15'!$C$10:$C$224,$C198,'TL15'!$J$10:$J$224),0),
IF('TL15'!$B$229=J$3,SUMIF('TL15'!$C$238:$C$451,$C198,'TL15'!$J$238:$J$451),0),
IF('TL16'!$B$3=J$3,SUMIF('TL16'!$C$10:$C$224,$C198,'TL16'!$J$10:$J$224),0),
IF('TL16'!$B$229=J$3,SUMIF('TL16'!$C$238:$C$451,$C198,'TL16'!$J$238:$J$451),0),
IF('TL17'!$B$3=J$3,SUMIF('TL17'!$C$10:$C$224,$C198,'TL17'!$J$10:$J$224),0),
IF('TL17'!$B$229=J$3,SUMIF('TL17'!$C$238:$C$451,$C198,'TL17'!$J$238:$J$451),0),
IF('TL18'!$B$3=J$3,SUMIF('TL18'!$C$10:$C$224,$C198,'TL18'!$J$10:$J$224),0),
IF('TL18'!$B$229=J$3,SUMIF('TL18'!$C$238:$C$451,$C198,'TL18'!$J$238:$J$451),0),
IF('TL19'!$B$3=J$3,SUMIF('TL19'!$C$10:$C$224,$C198,'TL19'!$J$10:$J$224),0),
IF('TL19'!$B$229=J$3,SUMIF('TL19'!$C$238:$C$451,$C198,'TL19'!$J$238:$J$451),0)
),0)</f>
        <v/>
      </c>
      <c r="K198" s="9">
        <f>IFERROR(SUM(
IF('TL01'!$B$3=K$3,SUMIF('TL01'!$C$10:$C$224,$C198,'TL01'!$J$10:$J$224),0),
IF('TL01'!$B$229=K$3,SUMIF('TL01'!$C$238:$C$451,$C198,'TL01'!$J$238:$J$451),0),
IF('TL02'!$B$3=K$3,SUMIF('TL02'!$C$10:$C$224,$C198,'TL02'!$J$10:$J$224),0),
IF('TL02'!$B$229=K$3,SUMIF('TL02'!$C$238:$C$451,$C198,'TL02'!$J$238:$J$451),0),
IF('TL03'!$B$3=K$3,SUMIF('TL03'!$C$10:$C$224,$C198,'TL03'!$J$10:$J$224),0),
IF('TL03'!$B$229=K$3,SUMIF('TL03'!$C$238:$C$451,$C198,'TL03'!$J$238:$J$451),0),
IF('TL04'!$B$3=K$3,SUMIF('TL04'!$C$10:$C$224,$C198,'TL04'!$J$10:$J$224),0),
IF('TL04'!$B$229=K$3,SUMIF('TL04'!$C$238:$C$451,$C198,'TL04'!$J$238:$J$451),0),
IF('TL05'!$B$3=K$3,SUMIF('TL05'!$C$10:$C$224,$C198,'TL05'!$J$10:$J$224),0),
IF('TL05'!$B$229=K$3,SUMIF('TL05'!$C$238:$C$451,$C198,'TL05'!$J$238:$J$451),0),
IF('TL06'!$B$3=K$3,SUMIF('TL06'!$C$10:$C$224,$C198,'TL06'!$J$10:$J$224),0),
IF('TL06'!$B$229=K$3,SUMIF('TL06'!$C$238:$C$451,$C198,'TL06'!$J$238:$J$451),0),
IF('TL07'!$B$3=K$3,SUMIF('TL07'!$C$10:$C$224,$C198,'TL07'!$J$10:$J$224),0),
IF('TL07'!$B$229=K$3,SUMIF('TL07'!$C$238:$C$451,$C198,'TL07'!$J$238:$J$451),0),
IF('TL08'!$B$3=K$3,SUMIF('TL08'!$C$10:$C$224,$C198,'TL08'!$J$10:$J$224),0),
IF('TL08'!$B$229=K$3,SUMIF('TL08'!$C$238:$C$451,$C198,'TL08'!$J$238:$J$451),0),
IF('TL09'!$B$3=K$3,SUMIF('TL09'!$C$10:$C$224,$C198,'TL09'!$J$10:$J$224),0),
IF('TL09'!$B$229=K$3,SUMIF('TL09'!$C$238:$C$451,$C198,'TL09'!$J$238:$J$451),0),
IF('TL10'!$B$3=K$3,SUMIF('TL10'!$C$10:$C$224,$C198,'TL10'!$J$10:$J$224),0),
IF('TL10'!$B$229=K$3,SUMIF('TL10'!$C$238:$C$451,$C198,'TL10'!$J$238:$J$451),0),
IF('TL11'!$B$3=K$3,SUMIF('TL11'!$C$10:$C$224,$C198,'TL11'!$J$10:$J$224),0),
IF('TL11'!$B$229=K$3,SUMIF('TL11'!$C$238:$C$451,$C198,'TL11'!$J$238:$J$451),0),
IF('TL12'!$B$3=K$3,SUMIF('TL12'!$C$10:$C$224,$C198,'TL12'!$J$10:$J$224),0),
IF('TL12'!$B$229=K$3,SUMIF('TL12'!$C$238:$C$451,$C198,'TL12'!$J$238:$J$451),0),
IF('TL13'!$B$3=K$3,SUMIF('TL13'!$C$10:$C$224,$C198,'TL13'!$J$10:$J$224),0),
IF('TL13'!$B$229=K$3,SUMIF('TL13'!$C$238:$C$451,$C198,'TL13'!$J$238:$J$451),0),
IF('TL14'!$B$3=K$3,SUMIF('TL14'!$C$10:$C$224,$C198,'TL14'!$J$10:$J$224),0),
IF('TL14'!$B$229=K$3,SUMIF('TL14'!$C$238:$C$451,$C198,'TL14'!$J$238:$J$451),0),
IF('TL15'!$B$3=K$3,SUMIF('TL15'!$C$10:$C$224,$C198,'TL15'!$J$10:$J$224),0),
IF('TL15'!$B$229=K$3,SUMIF('TL15'!$C$238:$C$451,$C198,'TL15'!$J$238:$J$451),0),
IF('TL16'!$B$3=K$3,SUMIF('TL16'!$C$10:$C$224,$C198,'TL16'!$J$10:$J$224),0),
IF('TL16'!$B$229=K$3,SUMIF('TL16'!$C$238:$C$451,$C198,'TL16'!$J$238:$J$451),0),
IF('TL17'!$B$3=K$3,SUMIF('TL17'!$C$10:$C$224,$C198,'TL17'!$J$10:$J$224),0),
IF('TL17'!$B$229=K$3,SUMIF('TL17'!$C$238:$C$451,$C198,'TL17'!$J$238:$J$451),0),
IF('TL18'!$B$3=K$3,SUMIF('TL18'!$C$10:$C$224,$C198,'TL18'!$J$10:$J$224),0),
IF('TL18'!$B$229=K$3,SUMIF('TL18'!$C$238:$C$451,$C198,'TL18'!$J$238:$J$451),0),
IF('TL19'!$B$3=K$3,SUMIF('TL19'!$C$10:$C$224,$C198,'TL19'!$J$10:$J$224),0),
IF('TL19'!$B$229=K$3,SUMIF('TL19'!$C$238:$C$451,$C198,'TL19'!$J$238:$J$451),0)
),0)</f>
        <v/>
      </c>
      <c r="L198" s="9">
        <f>IFERROR(SUM(
IF('TL01'!$B$3=L$3,SUMIF('TL01'!$C$10:$C$224,$C198,'TL01'!$J$10:$J$224),0),
IF('TL01'!$B$229=L$3,SUMIF('TL01'!$C$238:$C$451,$C198,'TL01'!$J$238:$J$451),0),
IF('TL02'!$B$3=L$3,SUMIF('TL02'!$C$10:$C$224,$C198,'TL02'!$J$10:$J$224),0),
IF('TL02'!$B$229=L$3,SUMIF('TL02'!$C$238:$C$451,$C198,'TL02'!$J$238:$J$451),0),
IF('TL03'!$B$3=L$3,SUMIF('TL03'!$C$10:$C$224,$C198,'TL03'!$J$10:$J$224),0),
IF('TL03'!$B$229=L$3,SUMIF('TL03'!$C$238:$C$451,$C198,'TL03'!$J$238:$J$451),0),
IF('TL04'!$B$3=L$3,SUMIF('TL04'!$C$10:$C$224,$C198,'TL04'!$J$10:$J$224),0),
IF('TL04'!$B$229=L$3,SUMIF('TL04'!$C$238:$C$451,$C198,'TL04'!$J$238:$J$451),0),
IF('TL05'!$B$3=L$3,SUMIF('TL05'!$C$10:$C$224,$C198,'TL05'!$J$10:$J$224),0),
IF('TL05'!$B$229=L$3,SUMIF('TL05'!$C$238:$C$451,$C198,'TL05'!$J$238:$J$451),0),
IF('TL06'!$B$3=L$3,SUMIF('TL06'!$C$10:$C$224,$C198,'TL06'!$J$10:$J$224),0),
IF('TL06'!$B$229=L$3,SUMIF('TL06'!$C$238:$C$451,$C198,'TL06'!$J$238:$J$451),0),
IF('TL07'!$B$3=L$3,SUMIF('TL07'!$C$10:$C$224,$C198,'TL07'!$J$10:$J$224),0),
IF('TL07'!$B$229=L$3,SUMIF('TL07'!$C$238:$C$451,$C198,'TL07'!$J$238:$J$451),0),
IF('TL08'!$B$3=L$3,SUMIF('TL08'!$C$10:$C$224,$C198,'TL08'!$J$10:$J$224),0),
IF('TL08'!$B$229=L$3,SUMIF('TL08'!$C$238:$C$451,$C198,'TL08'!$J$238:$J$451),0),
IF('TL09'!$B$3=L$3,SUMIF('TL09'!$C$10:$C$224,$C198,'TL09'!$J$10:$J$224),0),
IF('TL09'!$B$229=L$3,SUMIF('TL09'!$C$238:$C$451,$C198,'TL09'!$J$238:$J$451),0),
IF('TL10'!$B$3=L$3,SUMIF('TL10'!$C$10:$C$224,$C198,'TL10'!$J$10:$J$224),0),
IF('TL10'!$B$229=L$3,SUMIF('TL10'!$C$238:$C$451,$C198,'TL10'!$J$238:$J$451),0),
IF('TL11'!$B$3=L$3,SUMIF('TL11'!$C$10:$C$224,$C198,'TL11'!$J$10:$J$224),0),
IF('TL11'!$B$229=L$3,SUMIF('TL11'!$C$238:$C$451,$C198,'TL11'!$J$238:$J$451),0),
IF('TL12'!$B$3=L$3,SUMIF('TL12'!$C$10:$C$224,$C198,'TL12'!$J$10:$J$224),0),
IF('TL12'!$B$229=L$3,SUMIF('TL12'!$C$238:$C$451,$C198,'TL12'!$J$238:$J$451),0),
IF('TL13'!$B$3=L$3,SUMIF('TL13'!$C$10:$C$224,$C198,'TL13'!$J$10:$J$224),0),
IF('TL13'!$B$229=L$3,SUMIF('TL13'!$C$238:$C$451,$C198,'TL13'!$J$238:$J$451),0),
IF('TL14'!$B$3=L$3,SUMIF('TL14'!$C$10:$C$224,$C198,'TL14'!$J$10:$J$224),0),
IF('TL14'!$B$229=L$3,SUMIF('TL14'!$C$238:$C$451,$C198,'TL14'!$J$238:$J$451),0),
IF('TL15'!$B$3=L$3,SUMIF('TL15'!$C$10:$C$224,$C198,'TL15'!$J$10:$J$224),0),
IF('TL15'!$B$229=L$3,SUMIF('TL15'!$C$238:$C$451,$C198,'TL15'!$J$238:$J$451),0),
IF('TL16'!$B$3=L$3,SUMIF('TL16'!$C$10:$C$224,$C198,'TL16'!$J$10:$J$224),0),
IF('TL16'!$B$229=L$3,SUMIF('TL16'!$C$238:$C$451,$C198,'TL16'!$J$238:$J$451),0),
IF('TL17'!$B$3=L$3,SUMIF('TL17'!$C$10:$C$224,$C198,'TL17'!$J$10:$J$224),0),
IF('TL17'!$B$229=L$3,SUMIF('TL17'!$C$238:$C$451,$C198,'TL17'!$J$238:$J$451),0),
IF('TL18'!$B$3=L$3,SUMIF('TL18'!$C$10:$C$224,$C198,'TL18'!$J$10:$J$224),0),
IF('TL18'!$B$229=L$3,SUMIF('TL18'!$C$238:$C$451,$C198,'TL18'!$J$238:$J$451),0),
IF('TL19'!$B$3=L$3,SUMIF('TL19'!$C$10:$C$224,$C198,'TL19'!$J$10:$J$224),0),
IF('TL19'!$B$229=L$3,SUMIF('TL19'!$C$238:$C$451,$C198,'TL19'!$J$238:$J$451),0)
),0)</f>
        <v/>
      </c>
      <c r="M198" s="9">
        <f>IFERROR(SUM(
IF('TL01'!$B$3=M$3,SUMIF('TL01'!$C$10:$C$224,$C198,'TL01'!$J$10:$J$224),0),
IF('TL01'!$B$229=M$3,SUMIF('TL01'!$C$238:$C$451,$C198,'TL01'!$J$238:$J$451),0),
IF('TL02'!$B$3=M$3,SUMIF('TL02'!$C$10:$C$224,$C198,'TL02'!$J$10:$J$224),0),
IF('TL02'!$B$229=M$3,SUMIF('TL02'!$C$238:$C$451,$C198,'TL02'!$J$238:$J$451),0),
IF('TL03'!$B$3=M$3,SUMIF('TL03'!$C$10:$C$224,$C198,'TL03'!$J$10:$J$224),0),
IF('TL03'!$B$229=M$3,SUMIF('TL03'!$C$238:$C$451,$C198,'TL03'!$J$238:$J$451),0),
IF('TL04'!$B$3=M$3,SUMIF('TL04'!$C$10:$C$224,$C198,'TL04'!$J$10:$J$224),0),
IF('TL04'!$B$229=M$3,SUMIF('TL04'!$C$238:$C$451,$C198,'TL04'!$J$238:$J$451),0),
IF('TL05'!$B$3=M$3,SUMIF('TL05'!$C$10:$C$224,$C198,'TL05'!$J$10:$J$224),0),
IF('TL05'!$B$229=M$3,SUMIF('TL05'!$C$238:$C$451,$C198,'TL05'!$J$238:$J$451),0),
IF('TL06'!$B$3=M$3,SUMIF('TL06'!$C$10:$C$224,$C198,'TL06'!$J$10:$J$224),0),
IF('TL06'!$B$229=M$3,SUMIF('TL06'!$C$238:$C$451,$C198,'TL06'!$J$238:$J$451),0),
IF('TL07'!$B$3=M$3,SUMIF('TL07'!$C$10:$C$224,$C198,'TL07'!$J$10:$J$224),0),
IF('TL07'!$B$229=M$3,SUMIF('TL07'!$C$238:$C$451,$C198,'TL07'!$J$238:$J$451),0),
IF('TL08'!$B$3=M$3,SUMIF('TL08'!$C$10:$C$224,$C198,'TL08'!$J$10:$J$224),0),
IF('TL08'!$B$229=M$3,SUMIF('TL08'!$C$238:$C$451,$C198,'TL08'!$J$238:$J$451),0),
IF('TL09'!$B$3=M$3,SUMIF('TL09'!$C$10:$C$224,$C198,'TL09'!$J$10:$J$224),0),
IF('TL09'!$B$229=M$3,SUMIF('TL09'!$C$238:$C$451,$C198,'TL09'!$J$238:$J$451),0),
IF('TL10'!$B$3=M$3,SUMIF('TL10'!$C$10:$C$224,$C198,'TL10'!$J$10:$J$224),0),
IF('TL10'!$B$229=M$3,SUMIF('TL10'!$C$238:$C$451,$C198,'TL10'!$J$238:$J$451),0),
IF('TL11'!$B$3=M$3,SUMIF('TL11'!$C$10:$C$224,$C198,'TL11'!$J$10:$J$224),0),
IF('TL11'!$B$229=M$3,SUMIF('TL11'!$C$238:$C$451,$C198,'TL11'!$J$238:$J$451),0),
IF('TL12'!$B$3=M$3,SUMIF('TL12'!$C$10:$C$224,$C198,'TL12'!$J$10:$J$224),0),
IF('TL12'!$B$229=M$3,SUMIF('TL12'!$C$238:$C$451,$C198,'TL12'!$J$238:$J$451),0),
IF('TL13'!$B$3=M$3,SUMIF('TL13'!$C$10:$C$224,$C198,'TL13'!$J$10:$J$224),0),
IF('TL13'!$B$229=M$3,SUMIF('TL13'!$C$238:$C$451,$C198,'TL13'!$J$238:$J$451),0),
IF('TL14'!$B$3=M$3,SUMIF('TL14'!$C$10:$C$224,$C198,'TL14'!$J$10:$J$224),0),
IF('TL14'!$B$229=M$3,SUMIF('TL14'!$C$238:$C$451,$C198,'TL14'!$J$238:$J$451),0),
IF('TL15'!$B$3=M$3,SUMIF('TL15'!$C$10:$C$224,$C198,'TL15'!$J$10:$J$224),0),
IF('TL15'!$B$229=M$3,SUMIF('TL15'!$C$238:$C$451,$C198,'TL15'!$J$238:$J$451),0),
IF('TL16'!$B$3=M$3,SUMIF('TL16'!$C$10:$C$224,$C198,'TL16'!$J$10:$J$224),0),
IF('TL16'!$B$229=M$3,SUMIF('TL16'!$C$238:$C$451,$C198,'TL16'!$J$238:$J$451),0),
IF('TL17'!$B$3=M$3,SUMIF('TL17'!$C$10:$C$224,$C198,'TL17'!$J$10:$J$224),0),
IF('TL17'!$B$229=M$3,SUMIF('TL17'!$C$238:$C$451,$C198,'TL17'!$J$238:$J$451),0),
IF('TL18'!$B$3=M$3,SUMIF('TL18'!$C$10:$C$224,$C198,'TL18'!$J$10:$J$224),0),
IF('TL18'!$B$229=M$3,SUMIF('TL18'!$C$238:$C$451,$C198,'TL18'!$J$238:$J$451),0),
IF('TL19'!$B$3=M$3,SUMIF('TL19'!$C$10:$C$224,$C198,'TL19'!$J$10:$J$224),0),
IF('TL19'!$B$229=M$3,SUMIF('TL19'!$C$238:$C$451,$C198,'TL19'!$J$238:$J$451),0)
),0)</f>
        <v/>
      </c>
      <c r="N198" s="9">
        <f>IFERROR(SUM(
IF('TL01'!$B$3=N$3,SUMIF('TL01'!$C$10:$C$224,$C198,'TL01'!$J$10:$J$224),0),
IF('TL01'!$B$229=N$3,SUMIF('TL01'!$C$238:$C$451,$C198,'TL01'!$J$238:$J$451),0),
IF('TL02'!$B$3=N$3,SUMIF('TL02'!$C$10:$C$224,$C198,'TL02'!$J$10:$J$224),0),
IF('TL02'!$B$229=N$3,SUMIF('TL02'!$C$238:$C$451,$C198,'TL02'!$J$238:$J$451),0),
IF('TL03'!$B$3=N$3,SUMIF('TL03'!$C$10:$C$224,$C198,'TL03'!$J$10:$J$224),0),
IF('TL03'!$B$229=N$3,SUMIF('TL03'!$C$238:$C$451,$C198,'TL03'!$J$238:$J$451),0),
IF('TL04'!$B$3=N$3,SUMIF('TL04'!$C$10:$C$224,$C198,'TL04'!$J$10:$J$224),0),
IF('TL04'!$B$229=N$3,SUMIF('TL04'!$C$238:$C$451,$C198,'TL04'!$J$238:$J$451),0),
IF('TL05'!$B$3=N$3,SUMIF('TL05'!$C$10:$C$224,$C198,'TL05'!$J$10:$J$224),0),
IF('TL05'!$B$229=N$3,SUMIF('TL05'!$C$238:$C$451,$C198,'TL05'!$J$238:$J$451),0),
IF('TL06'!$B$3=N$3,SUMIF('TL06'!$C$10:$C$224,$C198,'TL06'!$J$10:$J$224),0),
IF('TL06'!$B$229=N$3,SUMIF('TL06'!$C$238:$C$451,$C198,'TL06'!$J$238:$J$451),0),
IF('TL07'!$B$3=N$3,SUMIF('TL07'!$C$10:$C$224,$C198,'TL07'!$J$10:$J$224),0),
IF('TL07'!$B$229=N$3,SUMIF('TL07'!$C$238:$C$451,$C198,'TL07'!$J$238:$J$451),0),
IF('TL08'!$B$3=N$3,SUMIF('TL08'!$C$10:$C$224,$C198,'TL08'!$J$10:$J$224),0),
IF('TL08'!$B$229=N$3,SUMIF('TL08'!$C$238:$C$451,$C198,'TL08'!$J$238:$J$451),0),
IF('TL09'!$B$3=N$3,SUMIF('TL09'!$C$10:$C$224,$C198,'TL09'!$J$10:$J$224),0),
IF('TL09'!$B$229=N$3,SUMIF('TL09'!$C$238:$C$451,$C198,'TL09'!$J$238:$J$451),0),
IF('TL10'!$B$3=N$3,SUMIF('TL10'!$C$10:$C$224,$C198,'TL10'!$J$10:$J$224),0),
IF('TL10'!$B$229=N$3,SUMIF('TL10'!$C$238:$C$451,$C198,'TL10'!$J$238:$J$451),0),
IF('TL11'!$B$3=N$3,SUMIF('TL11'!$C$10:$C$224,$C198,'TL11'!$J$10:$J$224),0),
IF('TL11'!$B$229=N$3,SUMIF('TL11'!$C$238:$C$451,$C198,'TL11'!$J$238:$J$451),0),
IF('TL12'!$B$3=N$3,SUMIF('TL12'!$C$10:$C$224,$C198,'TL12'!$J$10:$J$224),0),
IF('TL12'!$B$229=N$3,SUMIF('TL12'!$C$238:$C$451,$C198,'TL12'!$J$238:$J$451),0),
IF('TL13'!$B$3=N$3,SUMIF('TL13'!$C$10:$C$224,$C198,'TL13'!$J$10:$J$224),0),
IF('TL13'!$B$229=N$3,SUMIF('TL13'!$C$238:$C$451,$C198,'TL13'!$J$238:$J$451),0),
IF('TL14'!$B$3=N$3,SUMIF('TL14'!$C$10:$C$224,$C198,'TL14'!$J$10:$J$224),0),
IF('TL14'!$B$229=N$3,SUMIF('TL14'!$C$238:$C$451,$C198,'TL14'!$J$238:$J$451),0),
IF('TL15'!$B$3=N$3,SUMIF('TL15'!$C$10:$C$224,$C198,'TL15'!$J$10:$J$224),0),
IF('TL15'!$B$229=N$3,SUMIF('TL15'!$C$238:$C$451,$C198,'TL15'!$J$238:$J$451),0),
IF('TL16'!$B$3=N$3,SUMIF('TL16'!$C$10:$C$224,$C198,'TL16'!$J$10:$J$224),0),
IF('TL16'!$B$229=N$3,SUMIF('TL16'!$C$238:$C$451,$C198,'TL16'!$J$238:$J$451),0),
IF('TL17'!$B$3=N$3,SUMIF('TL17'!$C$10:$C$224,$C198,'TL17'!$J$10:$J$224),0),
IF('TL17'!$B$229=N$3,SUMIF('TL17'!$C$238:$C$451,$C198,'TL17'!$J$238:$J$451),0),
IF('TL18'!$B$3=N$3,SUMIF('TL18'!$C$10:$C$224,$C198,'TL18'!$J$10:$J$224),0),
IF('TL18'!$B$229=N$3,SUMIF('TL18'!$C$238:$C$451,$C198,'TL18'!$J$238:$J$451),0),
IF('TL19'!$B$3=N$3,SUMIF('TL19'!$C$10:$C$224,$C198,'TL19'!$J$10:$J$224),0),
IF('TL19'!$B$229=N$3,SUMIF('TL19'!$C$238:$C$451,$C198,'TL19'!$J$238:$J$451),0)
),0)</f>
        <v/>
      </c>
      <c r="O198" s="9">
        <f>IFERROR(SUM(
IF('TL01'!$B$3=O$3,SUMIF('TL01'!$C$10:$C$224,$C198,'TL01'!$J$10:$J$224),0),
IF('TL01'!$B$229=O$3,SUMIF('TL01'!$C$238:$C$451,$C198,'TL01'!$J$238:$J$451),0),
IF('TL02'!$B$3=O$3,SUMIF('TL02'!$C$10:$C$224,$C198,'TL02'!$J$10:$J$224),0),
IF('TL02'!$B$229=O$3,SUMIF('TL02'!$C$238:$C$451,$C198,'TL02'!$J$238:$J$451),0),
IF('TL03'!$B$3=O$3,SUMIF('TL03'!$C$10:$C$224,$C198,'TL03'!$J$10:$J$224),0),
IF('TL03'!$B$229=O$3,SUMIF('TL03'!$C$238:$C$451,$C198,'TL03'!$J$238:$J$451),0),
IF('TL04'!$B$3=O$3,SUMIF('TL04'!$C$10:$C$224,$C198,'TL04'!$J$10:$J$224),0),
IF('TL04'!$B$229=O$3,SUMIF('TL04'!$C$238:$C$451,$C198,'TL04'!$J$238:$J$451),0),
IF('TL05'!$B$3=O$3,SUMIF('TL05'!$C$10:$C$224,$C198,'TL05'!$J$10:$J$224),0),
IF('TL05'!$B$229=O$3,SUMIF('TL05'!$C$238:$C$451,$C198,'TL05'!$J$238:$J$451),0),
IF('TL06'!$B$3=O$3,SUMIF('TL06'!$C$10:$C$224,$C198,'TL06'!$J$10:$J$224),0),
IF('TL06'!$B$229=O$3,SUMIF('TL06'!$C$238:$C$451,$C198,'TL06'!$J$238:$J$451),0),
IF('TL07'!$B$3=O$3,SUMIF('TL07'!$C$10:$C$224,$C198,'TL07'!$J$10:$J$224),0),
IF('TL07'!$B$229=O$3,SUMIF('TL07'!$C$238:$C$451,$C198,'TL07'!$J$238:$J$451),0),
IF('TL08'!$B$3=O$3,SUMIF('TL08'!$C$10:$C$224,$C198,'TL08'!$J$10:$J$224),0),
IF('TL08'!$B$229=O$3,SUMIF('TL08'!$C$238:$C$451,$C198,'TL08'!$J$238:$J$451),0),
IF('TL09'!$B$3=O$3,SUMIF('TL09'!$C$10:$C$224,$C198,'TL09'!$J$10:$J$224),0),
IF('TL09'!$B$229=O$3,SUMIF('TL09'!$C$238:$C$451,$C198,'TL09'!$J$238:$J$451),0),
IF('TL10'!$B$3=O$3,SUMIF('TL10'!$C$10:$C$224,$C198,'TL10'!$J$10:$J$224),0),
IF('TL10'!$B$229=O$3,SUMIF('TL10'!$C$238:$C$451,$C198,'TL10'!$J$238:$J$451),0),
IF('TL11'!$B$3=O$3,SUMIF('TL11'!$C$10:$C$224,$C198,'TL11'!$J$10:$J$224),0),
IF('TL11'!$B$229=O$3,SUMIF('TL11'!$C$238:$C$451,$C198,'TL11'!$J$238:$J$451),0),
IF('TL12'!$B$3=O$3,SUMIF('TL12'!$C$10:$C$224,$C198,'TL12'!$J$10:$J$224),0),
IF('TL12'!$B$229=O$3,SUMIF('TL12'!$C$238:$C$451,$C198,'TL12'!$J$238:$J$451),0),
IF('TL13'!$B$3=O$3,SUMIF('TL13'!$C$10:$C$224,$C198,'TL13'!$J$10:$J$224),0),
IF('TL13'!$B$229=O$3,SUMIF('TL13'!$C$238:$C$451,$C198,'TL13'!$J$238:$J$451),0),
IF('TL14'!$B$3=O$3,SUMIF('TL14'!$C$10:$C$224,$C198,'TL14'!$J$10:$J$224),0),
IF('TL14'!$B$229=O$3,SUMIF('TL14'!$C$238:$C$451,$C198,'TL14'!$J$238:$J$451),0),
IF('TL15'!$B$3=O$3,SUMIF('TL15'!$C$10:$C$224,$C198,'TL15'!$J$10:$J$224),0),
IF('TL15'!$B$229=O$3,SUMIF('TL15'!$C$238:$C$451,$C198,'TL15'!$J$238:$J$451),0),
IF('TL16'!$B$3=O$3,SUMIF('TL16'!$C$10:$C$224,$C198,'TL16'!$J$10:$J$224),0),
IF('TL16'!$B$229=O$3,SUMIF('TL16'!$C$238:$C$451,$C198,'TL16'!$J$238:$J$451),0),
IF('TL17'!$B$3=O$3,SUMIF('TL17'!$C$10:$C$224,$C198,'TL17'!$J$10:$J$224),0),
IF('TL17'!$B$229=O$3,SUMIF('TL17'!$C$238:$C$451,$C198,'TL17'!$J$238:$J$451),0),
IF('TL18'!$B$3=O$3,SUMIF('TL18'!$C$10:$C$224,$C198,'TL18'!$J$10:$J$224),0),
IF('TL18'!$B$229=O$3,SUMIF('TL18'!$C$238:$C$451,$C198,'TL18'!$J$238:$J$451),0),
IF('TL19'!$B$3=O$3,SUMIF('TL19'!$C$10:$C$224,$C198,'TL19'!$J$10:$J$224),0),
IF('TL19'!$B$229=O$3,SUMIF('TL19'!$C$238:$C$451,$C198,'TL19'!$J$238:$J$451),0)
),0)</f>
        <v/>
      </c>
      <c r="P198" s="9">
        <f>IFERROR(SUM(
IF('TL01'!$B$3=P$3,SUMIF('TL01'!$C$10:$C$224,$C198,'TL01'!$J$10:$J$224),0),
IF('TL01'!$B$229=P$3,SUMIF('TL01'!$C$238:$C$451,$C198,'TL01'!$J$238:$J$451),0),
IF('TL02'!$B$3=P$3,SUMIF('TL02'!$C$10:$C$224,$C198,'TL02'!$J$10:$J$224),0),
IF('TL02'!$B$229=P$3,SUMIF('TL02'!$C$238:$C$451,$C198,'TL02'!$J$238:$J$451),0),
IF('TL03'!$B$3=P$3,SUMIF('TL03'!$C$10:$C$224,$C198,'TL03'!$J$10:$J$224),0),
IF('TL03'!$B$229=P$3,SUMIF('TL03'!$C$238:$C$451,$C198,'TL03'!$J$238:$J$451),0),
IF('TL04'!$B$3=P$3,SUMIF('TL04'!$C$10:$C$224,$C198,'TL04'!$J$10:$J$224),0),
IF('TL04'!$B$229=P$3,SUMIF('TL04'!$C$238:$C$451,$C198,'TL04'!$J$238:$J$451),0),
IF('TL05'!$B$3=P$3,SUMIF('TL05'!$C$10:$C$224,$C198,'TL05'!$J$10:$J$224),0),
IF('TL05'!$B$229=P$3,SUMIF('TL05'!$C$238:$C$451,$C198,'TL05'!$J$238:$J$451),0),
IF('TL06'!$B$3=P$3,SUMIF('TL06'!$C$10:$C$224,$C198,'TL06'!$J$10:$J$224),0),
IF('TL06'!$B$229=P$3,SUMIF('TL06'!$C$238:$C$451,$C198,'TL06'!$J$238:$J$451),0),
IF('TL07'!$B$3=P$3,SUMIF('TL07'!$C$10:$C$224,$C198,'TL07'!$J$10:$J$224),0),
IF('TL07'!$B$229=P$3,SUMIF('TL07'!$C$238:$C$451,$C198,'TL07'!$J$238:$J$451),0),
IF('TL08'!$B$3=P$3,SUMIF('TL08'!$C$10:$C$224,$C198,'TL08'!$J$10:$J$224),0),
IF('TL08'!$B$229=P$3,SUMIF('TL08'!$C$238:$C$451,$C198,'TL08'!$J$238:$J$451),0),
IF('TL09'!$B$3=P$3,SUMIF('TL09'!$C$10:$C$224,$C198,'TL09'!$J$10:$J$224),0),
IF('TL09'!$B$229=P$3,SUMIF('TL09'!$C$238:$C$451,$C198,'TL09'!$J$238:$J$451),0),
IF('TL10'!$B$3=P$3,SUMIF('TL10'!$C$10:$C$224,$C198,'TL10'!$J$10:$J$224),0),
IF('TL10'!$B$229=P$3,SUMIF('TL10'!$C$238:$C$451,$C198,'TL10'!$J$238:$J$451),0),
IF('TL11'!$B$3=P$3,SUMIF('TL11'!$C$10:$C$224,$C198,'TL11'!$J$10:$J$224),0),
IF('TL11'!$B$229=P$3,SUMIF('TL11'!$C$238:$C$451,$C198,'TL11'!$J$238:$J$451),0),
IF('TL12'!$B$3=P$3,SUMIF('TL12'!$C$10:$C$224,$C198,'TL12'!$J$10:$J$224),0),
IF('TL12'!$B$229=P$3,SUMIF('TL12'!$C$238:$C$451,$C198,'TL12'!$J$238:$J$451),0),
IF('TL13'!$B$3=P$3,SUMIF('TL13'!$C$10:$C$224,$C198,'TL13'!$J$10:$J$224),0),
IF('TL13'!$B$229=P$3,SUMIF('TL13'!$C$238:$C$451,$C198,'TL13'!$J$238:$J$451),0),
IF('TL14'!$B$3=P$3,SUMIF('TL14'!$C$10:$C$224,$C198,'TL14'!$J$10:$J$224),0),
IF('TL14'!$B$229=P$3,SUMIF('TL14'!$C$238:$C$451,$C198,'TL14'!$J$238:$J$451),0),
IF('TL15'!$B$3=P$3,SUMIF('TL15'!$C$10:$C$224,$C198,'TL15'!$J$10:$J$224),0),
IF('TL15'!$B$229=P$3,SUMIF('TL15'!$C$238:$C$451,$C198,'TL15'!$J$238:$J$451),0),
IF('TL16'!$B$3=P$3,SUMIF('TL16'!$C$10:$C$224,$C198,'TL16'!$J$10:$J$224),0),
IF('TL16'!$B$229=P$3,SUMIF('TL16'!$C$238:$C$451,$C198,'TL16'!$J$238:$J$451),0),
IF('TL17'!$B$3=P$3,SUMIF('TL17'!$C$10:$C$224,$C198,'TL17'!$J$10:$J$224),0),
IF('TL17'!$B$229=P$3,SUMIF('TL17'!$C$238:$C$451,$C198,'TL17'!$J$238:$J$451),0),
IF('TL18'!$B$3=P$3,SUMIF('TL18'!$C$10:$C$224,$C198,'TL18'!$J$10:$J$224),0),
IF('TL18'!$B$229=P$3,SUMIF('TL18'!$C$238:$C$451,$C198,'TL18'!$J$238:$J$451),0),
IF('TL19'!$B$3=P$3,SUMIF('TL19'!$C$10:$C$224,$C198,'TL19'!$J$10:$J$224),0),
IF('TL19'!$B$229=P$3,SUMIF('TL19'!$C$238:$C$451,$C198,'TL19'!$J$238:$J$451),0)
),0)</f>
        <v/>
      </c>
      <c r="Q198" s="9">
        <f>IFERROR(SUM(
IF('TL01'!$B$3=Q$3,SUMIF('TL01'!$C$10:$C$224,$C198,'TL01'!$J$10:$J$224),0),
IF('TL01'!$B$229=Q$3,SUMIF('TL01'!$C$238:$C$451,$C198,'TL01'!$J$238:$J$451),0),
IF('TL02'!$B$3=Q$3,SUMIF('TL02'!$C$10:$C$224,$C198,'TL02'!$J$10:$J$224),0),
IF('TL02'!$B$229=Q$3,SUMIF('TL02'!$C$238:$C$451,$C198,'TL02'!$J$238:$J$451),0),
IF('TL03'!$B$3=Q$3,SUMIF('TL03'!$C$10:$C$224,$C198,'TL03'!$J$10:$J$224),0),
IF('TL03'!$B$229=Q$3,SUMIF('TL03'!$C$238:$C$451,$C198,'TL03'!$J$238:$J$451),0),
IF('TL04'!$B$3=Q$3,SUMIF('TL04'!$C$10:$C$224,$C198,'TL04'!$J$10:$J$224),0),
IF('TL04'!$B$229=Q$3,SUMIF('TL04'!$C$238:$C$451,$C198,'TL04'!$J$238:$J$451),0),
IF('TL05'!$B$3=Q$3,SUMIF('TL05'!$C$10:$C$224,$C198,'TL05'!$J$10:$J$224),0),
IF('TL05'!$B$229=Q$3,SUMIF('TL05'!$C$238:$C$451,$C198,'TL05'!$J$238:$J$451),0),
IF('TL06'!$B$3=Q$3,SUMIF('TL06'!$C$10:$C$224,$C198,'TL06'!$J$10:$J$224),0),
IF('TL06'!$B$229=Q$3,SUMIF('TL06'!$C$238:$C$451,$C198,'TL06'!$J$238:$J$451),0),
IF('TL07'!$B$3=Q$3,SUMIF('TL07'!$C$10:$C$224,$C198,'TL07'!$J$10:$J$224),0),
IF('TL07'!$B$229=Q$3,SUMIF('TL07'!$C$238:$C$451,$C198,'TL07'!$J$238:$J$451),0),
IF('TL08'!$B$3=Q$3,SUMIF('TL08'!$C$10:$C$224,$C198,'TL08'!$J$10:$J$224),0),
IF('TL08'!$B$229=Q$3,SUMIF('TL08'!$C$238:$C$451,$C198,'TL08'!$J$238:$J$451),0),
IF('TL09'!$B$3=Q$3,SUMIF('TL09'!$C$10:$C$224,$C198,'TL09'!$J$10:$J$224),0),
IF('TL09'!$B$229=Q$3,SUMIF('TL09'!$C$238:$C$451,$C198,'TL09'!$J$238:$J$451),0),
IF('TL10'!$B$3=Q$3,SUMIF('TL10'!$C$10:$C$224,$C198,'TL10'!$J$10:$J$224),0),
IF('TL10'!$B$229=Q$3,SUMIF('TL10'!$C$238:$C$451,$C198,'TL10'!$J$238:$J$451),0),
IF('TL11'!$B$3=Q$3,SUMIF('TL11'!$C$10:$C$224,$C198,'TL11'!$J$10:$J$224),0),
IF('TL11'!$B$229=Q$3,SUMIF('TL11'!$C$238:$C$451,$C198,'TL11'!$J$238:$J$451),0),
IF('TL12'!$B$3=Q$3,SUMIF('TL12'!$C$10:$C$224,$C198,'TL12'!$J$10:$J$224),0),
IF('TL12'!$B$229=Q$3,SUMIF('TL12'!$C$238:$C$451,$C198,'TL12'!$J$238:$J$451),0),
IF('TL13'!$B$3=Q$3,SUMIF('TL13'!$C$10:$C$224,$C198,'TL13'!$J$10:$J$224),0),
IF('TL13'!$B$229=Q$3,SUMIF('TL13'!$C$238:$C$451,$C198,'TL13'!$J$238:$J$451),0),
IF('TL14'!$B$3=Q$3,SUMIF('TL14'!$C$10:$C$224,$C198,'TL14'!$J$10:$J$224),0),
IF('TL14'!$B$229=Q$3,SUMIF('TL14'!$C$238:$C$451,$C198,'TL14'!$J$238:$J$451),0),
IF('TL15'!$B$3=Q$3,SUMIF('TL15'!$C$10:$C$224,$C198,'TL15'!$J$10:$J$224),0),
IF('TL15'!$B$229=Q$3,SUMIF('TL15'!$C$238:$C$451,$C198,'TL15'!$J$238:$J$451),0),
IF('TL16'!$B$3=Q$3,SUMIF('TL16'!$C$10:$C$224,$C198,'TL16'!$J$10:$J$224),0),
IF('TL16'!$B$229=Q$3,SUMIF('TL16'!$C$238:$C$451,$C198,'TL16'!$J$238:$J$451),0),
IF('TL17'!$B$3=Q$3,SUMIF('TL17'!$C$10:$C$224,$C198,'TL17'!$J$10:$J$224),0),
IF('TL17'!$B$229=Q$3,SUMIF('TL17'!$C$238:$C$451,$C198,'TL17'!$J$238:$J$451),0),
IF('TL18'!$B$3=Q$3,SUMIF('TL18'!$C$10:$C$224,$C198,'TL18'!$J$10:$J$224),0),
IF('TL18'!$B$229=Q$3,SUMIF('TL18'!$C$238:$C$451,$C198,'TL18'!$J$238:$J$451),0),
IF('TL19'!$B$3=Q$3,SUMIF('TL19'!$C$10:$C$224,$C198,'TL19'!$J$10:$J$224),0),
IF('TL19'!$B$229=Q$3,SUMIF('TL19'!$C$238:$C$451,$C198,'TL19'!$J$238:$J$451),0)
),0)</f>
        <v/>
      </c>
      <c r="R198" s="9">
        <f>IFERROR(
SUM(
SUMIF('TL01'!C:C,C198,'TL01'!J:J),
SUMIF('TL02'!C:C,C198,'TL02'!J:J),
SUMIF('TL03'!C:C,C198,'TL03'!J:J),
SUMIF('TL04'!C:C,C198,'TL04'!J:J),
SUMIF('TL05'!C:C,C198,'TL05'!J:J),
SUMIF('TL06'!C:C,C198,'TL06'!J:J),
SUMIF('TL07'!C:C,C198,'TL07'!J:J),
SUMIF('TL08'!C:C,C198,'TL08'!J:J),
SUMIF('TL09'!C:C,C198,'TL09'!J:J),
SUMIF('TL10'!C:C,C198,'TL10'!J:J),
SUMIF('TL11'!C:C,C198,'TL11'!J:J),
SUMIF('TL12'!C:C,C198,'TL12'!J:J),
SUMIF('TL13'!C:C,C198,'TL13'!J:J),
SUMIF('TL14'!C:C,C198,'TL14'!J:J),
SUMIF('TL15'!C:C,C198,'TL15'!J:J),
SUMIF('TL16'!C:C,C198,'TL16'!J:J),
SUMIF('TL17'!C:C,C198,'TL17'!J:J),
SUMIF('TL18'!C:C,C198,'TL18'!J:J),SUMIF('TL19'!C:C,C198,'TL19'!J:J))
,0)</f>
        <v/>
      </c>
      <c r="S198" s="17">
        <f>IFERROR(__xludf.DUMMYFUNCTION("IFERROR(VLOOKUP(C198,
IMPORTRANGE(""1wULbzX32WdYsx-lj2U3uUNBBe2INVIRDtcK0d-Dvl90"",
""26-27!C:G""),
5,
FALSE),
"""")"),43.08471)</f>
        <v/>
      </c>
      <c r="T198" s="9" t="n"/>
      <c r="U198" s="92">
        <f>MAX(0,R198-T198)</f>
        <v/>
      </c>
      <c r="V198" s="93">
        <f>U198*S198</f>
        <v/>
      </c>
    </row>
    <row r="199" hidden="1" ht="15.75" customHeight="1" s="297">
      <c r="A199" s="94" t="inlineStr">
        <is>
          <t>CROPCHEM</t>
        </is>
      </c>
      <c r="B199" s="95" t="inlineStr">
        <is>
          <t>INSETICIDA</t>
        </is>
      </c>
      <c r="C199" s="96" t="inlineStr">
        <is>
          <t>TAURA 200 EC</t>
        </is>
      </c>
      <c r="D199" s="96" t="inlineStr">
        <is>
          <t>PIRIPROXIFEM</t>
        </is>
      </c>
      <c r="E199" s="96" t="n">
        <v>200</v>
      </c>
      <c r="F199" s="4" t="n"/>
      <c r="G199" s="90">
        <f>HYPERLINK("https://www.google.com/search?q=" &amp; C199 &amp; "+bula+agrofit+pdf", "📄 Ver bula")</f>
        <v/>
      </c>
      <c r="H199" s="9">
        <f>IFERROR(__xludf.DUMMYFUNCTION("IFERROR(VLOOKUP(C199,
IMPORTRANGE(""1wULbzX32WdYsx-lj2U3uUNBBe2INVIRDtcK0d-Dvl90"",
""26-27!C:K""),
8,
FALSE),
"""")"),0.125)</f>
        <v/>
      </c>
      <c r="I199" s="97" t="inlineStr">
        <is>
          <t>4X5</t>
        </is>
      </c>
      <c r="J199" s="9">
        <f>IFERROR(SUM(
IF('TL01'!$B$3=J$3,SUMIF('TL01'!$C$10:$C$224,$C199,'TL01'!$J$10:$J$224),0),
IF('TL01'!$B$229=J$3,SUMIF('TL01'!$C$238:$C$451,$C199,'TL01'!$J$238:$J$451),0),
IF('TL02'!$B$3=J$3,SUMIF('TL02'!$C$10:$C$224,$C199,'TL02'!$J$10:$J$224),0),
IF('TL02'!$B$229=J$3,SUMIF('TL02'!$C$238:$C$451,$C199,'TL02'!$J$238:$J$451),0),
IF('TL03'!$B$3=J$3,SUMIF('TL03'!$C$10:$C$224,$C199,'TL03'!$J$10:$J$224),0),
IF('TL03'!$B$229=J$3,SUMIF('TL03'!$C$238:$C$451,$C199,'TL03'!$J$238:$J$451),0),
IF('TL04'!$B$3=J$3,SUMIF('TL04'!$C$10:$C$224,$C199,'TL04'!$J$10:$J$224),0),
IF('TL04'!$B$229=J$3,SUMIF('TL04'!$C$238:$C$451,$C199,'TL04'!$J$238:$J$451),0),
IF('TL05'!$B$3=J$3,SUMIF('TL05'!$C$10:$C$224,$C199,'TL05'!$J$10:$J$224),0),
IF('TL05'!$B$229=J$3,SUMIF('TL05'!$C$238:$C$451,$C199,'TL05'!$J$238:$J$451),0),
IF('TL06'!$B$3=J$3,SUMIF('TL06'!$C$10:$C$224,$C199,'TL06'!$J$10:$J$224),0),
IF('TL06'!$B$229=J$3,SUMIF('TL06'!$C$238:$C$451,$C199,'TL06'!$J$238:$J$451),0),
IF('TL07'!$B$3=J$3,SUMIF('TL07'!$C$10:$C$224,$C199,'TL07'!$J$10:$J$224),0),
IF('TL07'!$B$229=J$3,SUMIF('TL07'!$C$238:$C$451,$C199,'TL07'!$J$238:$J$451),0),
IF('TL08'!$B$3=J$3,SUMIF('TL08'!$C$10:$C$224,$C199,'TL08'!$J$10:$J$224),0),
IF('TL08'!$B$229=J$3,SUMIF('TL08'!$C$238:$C$451,$C199,'TL08'!$J$238:$J$451),0),
IF('TL09'!$B$3=J$3,SUMIF('TL09'!$C$10:$C$224,$C199,'TL09'!$J$10:$J$224),0),
IF('TL09'!$B$229=J$3,SUMIF('TL09'!$C$238:$C$451,$C199,'TL09'!$J$238:$J$451),0),
IF('TL10'!$B$3=J$3,SUMIF('TL10'!$C$10:$C$224,$C199,'TL10'!$J$10:$J$224),0),
IF('TL10'!$B$229=J$3,SUMIF('TL10'!$C$238:$C$451,$C199,'TL10'!$J$238:$J$451),0),
IF('TL11'!$B$3=J$3,SUMIF('TL11'!$C$10:$C$224,$C199,'TL11'!$J$10:$J$224),0),
IF('TL11'!$B$229=J$3,SUMIF('TL11'!$C$238:$C$451,$C199,'TL11'!$J$238:$J$451),0),
IF('TL12'!$B$3=J$3,SUMIF('TL12'!$C$10:$C$224,$C199,'TL12'!$J$10:$J$224),0),
IF('TL12'!$B$229=J$3,SUMIF('TL12'!$C$238:$C$451,$C199,'TL12'!$J$238:$J$451),0),
IF('TL13'!$B$3=J$3,SUMIF('TL13'!$C$10:$C$224,$C199,'TL13'!$J$10:$J$224),0),
IF('TL13'!$B$229=J$3,SUMIF('TL13'!$C$238:$C$451,$C199,'TL13'!$J$238:$J$451),0),
IF('TL14'!$B$3=J$3,SUMIF('TL14'!$C$10:$C$224,$C199,'TL14'!$J$10:$J$224),0),
IF('TL14'!$B$229=J$3,SUMIF('TL14'!$C$238:$C$451,$C199,'TL14'!$J$238:$J$451),0),
IF('TL15'!$B$3=J$3,SUMIF('TL15'!$C$10:$C$224,$C199,'TL15'!$J$10:$J$224),0),
IF('TL15'!$B$229=J$3,SUMIF('TL15'!$C$238:$C$451,$C199,'TL15'!$J$238:$J$451),0),
IF('TL16'!$B$3=J$3,SUMIF('TL16'!$C$10:$C$224,$C199,'TL16'!$J$10:$J$224),0),
IF('TL16'!$B$229=J$3,SUMIF('TL16'!$C$238:$C$451,$C199,'TL16'!$J$238:$J$451),0),
IF('TL17'!$B$3=J$3,SUMIF('TL17'!$C$10:$C$224,$C199,'TL17'!$J$10:$J$224),0),
IF('TL17'!$B$229=J$3,SUMIF('TL17'!$C$238:$C$451,$C199,'TL17'!$J$238:$J$451),0),
IF('TL18'!$B$3=J$3,SUMIF('TL18'!$C$10:$C$224,$C199,'TL18'!$J$10:$J$224),0),
IF('TL18'!$B$229=J$3,SUMIF('TL18'!$C$238:$C$451,$C199,'TL18'!$J$238:$J$451),0),
IF('TL19'!$B$3=J$3,SUMIF('TL19'!$C$10:$C$224,$C199,'TL19'!$J$10:$J$224),0),
IF('TL19'!$B$229=J$3,SUMIF('TL19'!$C$238:$C$451,$C199,'TL19'!$J$238:$J$451),0)
),0)</f>
        <v/>
      </c>
      <c r="K199" s="9">
        <f>IFERROR(SUM(
IF('TL01'!$B$3=K$3,SUMIF('TL01'!$C$10:$C$224,$C199,'TL01'!$J$10:$J$224),0),
IF('TL01'!$B$229=K$3,SUMIF('TL01'!$C$238:$C$451,$C199,'TL01'!$J$238:$J$451),0),
IF('TL02'!$B$3=K$3,SUMIF('TL02'!$C$10:$C$224,$C199,'TL02'!$J$10:$J$224),0),
IF('TL02'!$B$229=K$3,SUMIF('TL02'!$C$238:$C$451,$C199,'TL02'!$J$238:$J$451),0),
IF('TL03'!$B$3=K$3,SUMIF('TL03'!$C$10:$C$224,$C199,'TL03'!$J$10:$J$224),0),
IF('TL03'!$B$229=K$3,SUMIF('TL03'!$C$238:$C$451,$C199,'TL03'!$J$238:$J$451),0),
IF('TL04'!$B$3=K$3,SUMIF('TL04'!$C$10:$C$224,$C199,'TL04'!$J$10:$J$224),0),
IF('TL04'!$B$229=K$3,SUMIF('TL04'!$C$238:$C$451,$C199,'TL04'!$J$238:$J$451),0),
IF('TL05'!$B$3=K$3,SUMIF('TL05'!$C$10:$C$224,$C199,'TL05'!$J$10:$J$224),0),
IF('TL05'!$B$229=K$3,SUMIF('TL05'!$C$238:$C$451,$C199,'TL05'!$J$238:$J$451),0),
IF('TL06'!$B$3=K$3,SUMIF('TL06'!$C$10:$C$224,$C199,'TL06'!$J$10:$J$224),0),
IF('TL06'!$B$229=K$3,SUMIF('TL06'!$C$238:$C$451,$C199,'TL06'!$J$238:$J$451),0),
IF('TL07'!$B$3=K$3,SUMIF('TL07'!$C$10:$C$224,$C199,'TL07'!$J$10:$J$224),0),
IF('TL07'!$B$229=K$3,SUMIF('TL07'!$C$238:$C$451,$C199,'TL07'!$J$238:$J$451),0),
IF('TL08'!$B$3=K$3,SUMIF('TL08'!$C$10:$C$224,$C199,'TL08'!$J$10:$J$224),0),
IF('TL08'!$B$229=K$3,SUMIF('TL08'!$C$238:$C$451,$C199,'TL08'!$J$238:$J$451),0),
IF('TL09'!$B$3=K$3,SUMIF('TL09'!$C$10:$C$224,$C199,'TL09'!$J$10:$J$224),0),
IF('TL09'!$B$229=K$3,SUMIF('TL09'!$C$238:$C$451,$C199,'TL09'!$J$238:$J$451),0),
IF('TL10'!$B$3=K$3,SUMIF('TL10'!$C$10:$C$224,$C199,'TL10'!$J$10:$J$224),0),
IF('TL10'!$B$229=K$3,SUMIF('TL10'!$C$238:$C$451,$C199,'TL10'!$J$238:$J$451),0),
IF('TL11'!$B$3=K$3,SUMIF('TL11'!$C$10:$C$224,$C199,'TL11'!$J$10:$J$224),0),
IF('TL11'!$B$229=K$3,SUMIF('TL11'!$C$238:$C$451,$C199,'TL11'!$J$238:$J$451),0),
IF('TL12'!$B$3=K$3,SUMIF('TL12'!$C$10:$C$224,$C199,'TL12'!$J$10:$J$224),0),
IF('TL12'!$B$229=K$3,SUMIF('TL12'!$C$238:$C$451,$C199,'TL12'!$J$238:$J$451),0),
IF('TL13'!$B$3=K$3,SUMIF('TL13'!$C$10:$C$224,$C199,'TL13'!$J$10:$J$224),0),
IF('TL13'!$B$229=K$3,SUMIF('TL13'!$C$238:$C$451,$C199,'TL13'!$J$238:$J$451),0),
IF('TL14'!$B$3=K$3,SUMIF('TL14'!$C$10:$C$224,$C199,'TL14'!$J$10:$J$224),0),
IF('TL14'!$B$229=K$3,SUMIF('TL14'!$C$238:$C$451,$C199,'TL14'!$J$238:$J$451),0),
IF('TL15'!$B$3=K$3,SUMIF('TL15'!$C$10:$C$224,$C199,'TL15'!$J$10:$J$224),0),
IF('TL15'!$B$229=K$3,SUMIF('TL15'!$C$238:$C$451,$C199,'TL15'!$J$238:$J$451),0),
IF('TL16'!$B$3=K$3,SUMIF('TL16'!$C$10:$C$224,$C199,'TL16'!$J$10:$J$224),0),
IF('TL16'!$B$229=K$3,SUMIF('TL16'!$C$238:$C$451,$C199,'TL16'!$J$238:$J$451),0),
IF('TL17'!$B$3=K$3,SUMIF('TL17'!$C$10:$C$224,$C199,'TL17'!$J$10:$J$224),0),
IF('TL17'!$B$229=K$3,SUMIF('TL17'!$C$238:$C$451,$C199,'TL17'!$J$238:$J$451),0),
IF('TL18'!$B$3=K$3,SUMIF('TL18'!$C$10:$C$224,$C199,'TL18'!$J$10:$J$224),0),
IF('TL18'!$B$229=K$3,SUMIF('TL18'!$C$238:$C$451,$C199,'TL18'!$J$238:$J$451),0),
IF('TL19'!$B$3=K$3,SUMIF('TL19'!$C$10:$C$224,$C199,'TL19'!$J$10:$J$224),0),
IF('TL19'!$B$229=K$3,SUMIF('TL19'!$C$238:$C$451,$C199,'TL19'!$J$238:$J$451),0)
),0)</f>
        <v/>
      </c>
      <c r="L199" s="9">
        <f>IFERROR(SUM(
IF('TL01'!$B$3=L$3,SUMIF('TL01'!$C$10:$C$224,$C199,'TL01'!$J$10:$J$224),0),
IF('TL01'!$B$229=L$3,SUMIF('TL01'!$C$238:$C$451,$C199,'TL01'!$J$238:$J$451),0),
IF('TL02'!$B$3=L$3,SUMIF('TL02'!$C$10:$C$224,$C199,'TL02'!$J$10:$J$224),0),
IF('TL02'!$B$229=L$3,SUMIF('TL02'!$C$238:$C$451,$C199,'TL02'!$J$238:$J$451),0),
IF('TL03'!$B$3=L$3,SUMIF('TL03'!$C$10:$C$224,$C199,'TL03'!$J$10:$J$224),0),
IF('TL03'!$B$229=L$3,SUMIF('TL03'!$C$238:$C$451,$C199,'TL03'!$J$238:$J$451),0),
IF('TL04'!$B$3=L$3,SUMIF('TL04'!$C$10:$C$224,$C199,'TL04'!$J$10:$J$224),0),
IF('TL04'!$B$229=L$3,SUMIF('TL04'!$C$238:$C$451,$C199,'TL04'!$J$238:$J$451),0),
IF('TL05'!$B$3=L$3,SUMIF('TL05'!$C$10:$C$224,$C199,'TL05'!$J$10:$J$224),0),
IF('TL05'!$B$229=L$3,SUMIF('TL05'!$C$238:$C$451,$C199,'TL05'!$J$238:$J$451),0),
IF('TL06'!$B$3=L$3,SUMIF('TL06'!$C$10:$C$224,$C199,'TL06'!$J$10:$J$224),0),
IF('TL06'!$B$229=L$3,SUMIF('TL06'!$C$238:$C$451,$C199,'TL06'!$J$238:$J$451),0),
IF('TL07'!$B$3=L$3,SUMIF('TL07'!$C$10:$C$224,$C199,'TL07'!$J$10:$J$224),0),
IF('TL07'!$B$229=L$3,SUMIF('TL07'!$C$238:$C$451,$C199,'TL07'!$J$238:$J$451),0),
IF('TL08'!$B$3=L$3,SUMIF('TL08'!$C$10:$C$224,$C199,'TL08'!$J$10:$J$224),0),
IF('TL08'!$B$229=L$3,SUMIF('TL08'!$C$238:$C$451,$C199,'TL08'!$J$238:$J$451),0),
IF('TL09'!$B$3=L$3,SUMIF('TL09'!$C$10:$C$224,$C199,'TL09'!$J$10:$J$224),0),
IF('TL09'!$B$229=L$3,SUMIF('TL09'!$C$238:$C$451,$C199,'TL09'!$J$238:$J$451),0),
IF('TL10'!$B$3=L$3,SUMIF('TL10'!$C$10:$C$224,$C199,'TL10'!$J$10:$J$224),0),
IF('TL10'!$B$229=L$3,SUMIF('TL10'!$C$238:$C$451,$C199,'TL10'!$J$238:$J$451),0),
IF('TL11'!$B$3=L$3,SUMIF('TL11'!$C$10:$C$224,$C199,'TL11'!$J$10:$J$224),0),
IF('TL11'!$B$229=L$3,SUMIF('TL11'!$C$238:$C$451,$C199,'TL11'!$J$238:$J$451),0),
IF('TL12'!$B$3=L$3,SUMIF('TL12'!$C$10:$C$224,$C199,'TL12'!$J$10:$J$224),0),
IF('TL12'!$B$229=L$3,SUMIF('TL12'!$C$238:$C$451,$C199,'TL12'!$J$238:$J$451),0),
IF('TL13'!$B$3=L$3,SUMIF('TL13'!$C$10:$C$224,$C199,'TL13'!$J$10:$J$224),0),
IF('TL13'!$B$229=L$3,SUMIF('TL13'!$C$238:$C$451,$C199,'TL13'!$J$238:$J$451),0),
IF('TL14'!$B$3=L$3,SUMIF('TL14'!$C$10:$C$224,$C199,'TL14'!$J$10:$J$224),0),
IF('TL14'!$B$229=L$3,SUMIF('TL14'!$C$238:$C$451,$C199,'TL14'!$J$238:$J$451),0),
IF('TL15'!$B$3=L$3,SUMIF('TL15'!$C$10:$C$224,$C199,'TL15'!$J$10:$J$224),0),
IF('TL15'!$B$229=L$3,SUMIF('TL15'!$C$238:$C$451,$C199,'TL15'!$J$238:$J$451),0),
IF('TL16'!$B$3=L$3,SUMIF('TL16'!$C$10:$C$224,$C199,'TL16'!$J$10:$J$224),0),
IF('TL16'!$B$229=L$3,SUMIF('TL16'!$C$238:$C$451,$C199,'TL16'!$J$238:$J$451),0),
IF('TL17'!$B$3=L$3,SUMIF('TL17'!$C$10:$C$224,$C199,'TL17'!$J$10:$J$224),0),
IF('TL17'!$B$229=L$3,SUMIF('TL17'!$C$238:$C$451,$C199,'TL17'!$J$238:$J$451),0),
IF('TL18'!$B$3=L$3,SUMIF('TL18'!$C$10:$C$224,$C199,'TL18'!$J$10:$J$224),0),
IF('TL18'!$B$229=L$3,SUMIF('TL18'!$C$238:$C$451,$C199,'TL18'!$J$238:$J$451),0),
IF('TL19'!$B$3=L$3,SUMIF('TL19'!$C$10:$C$224,$C199,'TL19'!$J$10:$J$224),0),
IF('TL19'!$B$229=L$3,SUMIF('TL19'!$C$238:$C$451,$C199,'TL19'!$J$238:$J$451),0)
),0)</f>
        <v/>
      </c>
      <c r="M199" s="9">
        <f>IFERROR(SUM(
IF('TL01'!$B$3=M$3,SUMIF('TL01'!$C$10:$C$224,$C199,'TL01'!$J$10:$J$224),0),
IF('TL01'!$B$229=M$3,SUMIF('TL01'!$C$238:$C$451,$C199,'TL01'!$J$238:$J$451),0),
IF('TL02'!$B$3=M$3,SUMIF('TL02'!$C$10:$C$224,$C199,'TL02'!$J$10:$J$224),0),
IF('TL02'!$B$229=M$3,SUMIF('TL02'!$C$238:$C$451,$C199,'TL02'!$J$238:$J$451),0),
IF('TL03'!$B$3=M$3,SUMIF('TL03'!$C$10:$C$224,$C199,'TL03'!$J$10:$J$224),0),
IF('TL03'!$B$229=M$3,SUMIF('TL03'!$C$238:$C$451,$C199,'TL03'!$J$238:$J$451),0),
IF('TL04'!$B$3=M$3,SUMIF('TL04'!$C$10:$C$224,$C199,'TL04'!$J$10:$J$224),0),
IF('TL04'!$B$229=M$3,SUMIF('TL04'!$C$238:$C$451,$C199,'TL04'!$J$238:$J$451),0),
IF('TL05'!$B$3=M$3,SUMIF('TL05'!$C$10:$C$224,$C199,'TL05'!$J$10:$J$224),0),
IF('TL05'!$B$229=M$3,SUMIF('TL05'!$C$238:$C$451,$C199,'TL05'!$J$238:$J$451),0),
IF('TL06'!$B$3=M$3,SUMIF('TL06'!$C$10:$C$224,$C199,'TL06'!$J$10:$J$224),0),
IF('TL06'!$B$229=M$3,SUMIF('TL06'!$C$238:$C$451,$C199,'TL06'!$J$238:$J$451),0),
IF('TL07'!$B$3=M$3,SUMIF('TL07'!$C$10:$C$224,$C199,'TL07'!$J$10:$J$224),0),
IF('TL07'!$B$229=M$3,SUMIF('TL07'!$C$238:$C$451,$C199,'TL07'!$J$238:$J$451),0),
IF('TL08'!$B$3=M$3,SUMIF('TL08'!$C$10:$C$224,$C199,'TL08'!$J$10:$J$224),0),
IF('TL08'!$B$229=M$3,SUMIF('TL08'!$C$238:$C$451,$C199,'TL08'!$J$238:$J$451),0),
IF('TL09'!$B$3=M$3,SUMIF('TL09'!$C$10:$C$224,$C199,'TL09'!$J$10:$J$224),0),
IF('TL09'!$B$229=M$3,SUMIF('TL09'!$C$238:$C$451,$C199,'TL09'!$J$238:$J$451),0),
IF('TL10'!$B$3=M$3,SUMIF('TL10'!$C$10:$C$224,$C199,'TL10'!$J$10:$J$224),0),
IF('TL10'!$B$229=M$3,SUMIF('TL10'!$C$238:$C$451,$C199,'TL10'!$J$238:$J$451),0),
IF('TL11'!$B$3=M$3,SUMIF('TL11'!$C$10:$C$224,$C199,'TL11'!$J$10:$J$224),0),
IF('TL11'!$B$229=M$3,SUMIF('TL11'!$C$238:$C$451,$C199,'TL11'!$J$238:$J$451),0),
IF('TL12'!$B$3=M$3,SUMIF('TL12'!$C$10:$C$224,$C199,'TL12'!$J$10:$J$224),0),
IF('TL12'!$B$229=M$3,SUMIF('TL12'!$C$238:$C$451,$C199,'TL12'!$J$238:$J$451),0),
IF('TL13'!$B$3=M$3,SUMIF('TL13'!$C$10:$C$224,$C199,'TL13'!$J$10:$J$224),0),
IF('TL13'!$B$229=M$3,SUMIF('TL13'!$C$238:$C$451,$C199,'TL13'!$J$238:$J$451),0),
IF('TL14'!$B$3=M$3,SUMIF('TL14'!$C$10:$C$224,$C199,'TL14'!$J$10:$J$224),0),
IF('TL14'!$B$229=M$3,SUMIF('TL14'!$C$238:$C$451,$C199,'TL14'!$J$238:$J$451),0),
IF('TL15'!$B$3=M$3,SUMIF('TL15'!$C$10:$C$224,$C199,'TL15'!$J$10:$J$224),0),
IF('TL15'!$B$229=M$3,SUMIF('TL15'!$C$238:$C$451,$C199,'TL15'!$J$238:$J$451),0),
IF('TL16'!$B$3=M$3,SUMIF('TL16'!$C$10:$C$224,$C199,'TL16'!$J$10:$J$224),0),
IF('TL16'!$B$229=M$3,SUMIF('TL16'!$C$238:$C$451,$C199,'TL16'!$J$238:$J$451),0),
IF('TL17'!$B$3=M$3,SUMIF('TL17'!$C$10:$C$224,$C199,'TL17'!$J$10:$J$224),0),
IF('TL17'!$B$229=M$3,SUMIF('TL17'!$C$238:$C$451,$C199,'TL17'!$J$238:$J$451),0),
IF('TL18'!$B$3=M$3,SUMIF('TL18'!$C$10:$C$224,$C199,'TL18'!$J$10:$J$224),0),
IF('TL18'!$B$229=M$3,SUMIF('TL18'!$C$238:$C$451,$C199,'TL18'!$J$238:$J$451),0),
IF('TL19'!$B$3=M$3,SUMIF('TL19'!$C$10:$C$224,$C199,'TL19'!$J$10:$J$224),0),
IF('TL19'!$B$229=M$3,SUMIF('TL19'!$C$238:$C$451,$C199,'TL19'!$J$238:$J$451),0)
),0)</f>
        <v/>
      </c>
      <c r="N199" s="9">
        <f>IFERROR(SUM(
IF('TL01'!$B$3=N$3,SUMIF('TL01'!$C$10:$C$224,$C199,'TL01'!$J$10:$J$224),0),
IF('TL01'!$B$229=N$3,SUMIF('TL01'!$C$238:$C$451,$C199,'TL01'!$J$238:$J$451),0),
IF('TL02'!$B$3=N$3,SUMIF('TL02'!$C$10:$C$224,$C199,'TL02'!$J$10:$J$224),0),
IF('TL02'!$B$229=N$3,SUMIF('TL02'!$C$238:$C$451,$C199,'TL02'!$J$238:$J$451),0),
IF('TL03'!$B$3=N$3,SUMIF('TL03'!$C$10:$C$224,$C199,'TL03'!$J$10:$J$224),0),
IF('TL03'!$B$229=N$3,SUMIF('TL03'!$C$238:$C$451,$C199,'TL03'!$J$238:$J$451),0),
IF('TL04'!$B$3=N$3,SUMIF('TL04'!$C$10:$C$224,$C199,'TL04'!$J$10:$J$224),0),
IF('TL04'!$B$229=N$3,SUMIF('TL04'!$C$238:$C$451,$C199,'TL04'!$J$238:$J$451),0),
IF('TL05'!$B$3=N$3,SUMIF('TL05'!$C$10:$C$224,$C199,'TL05'!$J$10:$J$224),0),
IF('TL05'!$B$229=N$3,SUMIF('TL05'!$C$238:$C$451,$C199,'TL05'!$J$238:$J$451),0),
IF('TL06'!$B$3=N$3,SUMIF('TL06'!$C$10:$C$224,$C199,'TL06'!$J$10:$J$224),0),
IF('TL06'!$B$229=N$3,SUMIF('TL06'!$C$238:$C$451,$C199,'TL06'!$J$238:$J$451),0),
IF('TL07'!$B$3=N$3,SUMIF('TL07'!$C$10:$C$224,$C199,'TL07'!$J$10:$J$224),0),
IF('TL07'!$B$229=N$3,SUMIF('TL07'!$C$238:$C$451,$C199,'TL07'!$J$238:$J$451),0),
IF('TL08'!$B$3=N$3,SUMIF('TL08'!$C$10:$C$224,$C199,'TL08'!$J$10:$J$224),0),
IF('TL08'!$B$229=N$3,SUMIF('TL08'!$C$238:$C$451,$C199,'TL08'!$J$238:$J$451),0),
IF('TL09'!$B$3=N$3,SUMIF('TL09'!$C$10:$C$224,$C199,'TL09'!$J$10:$J$224),0),
IF('TL09'!$B$229=N$3,SUMIF('TL09'!$C$238:$C$451,$C199,'TL09'!$J$238:$J$451),0),
IF('TL10'!$B$3=N$3,SUMIF('TL10'!$C$10:$C$224,$C199,'TL10'!$J$10:$J$224),0),
IF('TL10'!$B$229=N$3,SUMIF('TL10'!$C$238:$C$451,$C199,'TL10'!$J$238:$J$451),0),
IF('TL11'!$B$3=N$3,SUMIF('TL11'!$C$10:$C$224,$C199,'TL11'!$J$10:$J$224),0),
IF('TL11'!$B$229=N$3,SUMIF('TL11'!$C$238:$C$451,$C199,'TL11'!$J$238:$J$451),0),
IF('TL12'!$B$3=N$3,SUMIF('TL12'!$C$10:$C$224,$C199,'TL12'!$J$10:$J$224),0),
IF('TL12'!$B$229=N$3,SUMIF('TL12'!$C$238:$C$451,$C199,'TL12'!$J$238:$J$451),0),
IF('TL13'!$B$3=N$3,SUMIF('TL13'!$C$10:$C$224,$C199,'TL13'!$J$10:$J$224),0),
IF('TL13'!$B$229=N$3,SUMIF('TL13'!$C$238:$C$451,$C199,'TL13'!$J$238:$J$451),0),
IF('TL14'!$B$3=N$3,SUMIF('TL14'!$C$10:$C$224,$C199,'TL14'!$J$10:$J$224),0),
IF('TL14'!$B$229=N$3,SUMIF('TL14'!$C$238:$C$451,$C199,'TL14'!$J$238:$J$451),0),
IF('TL15'!$B$3=N$3,SUMIF('TL15'!$C$10:$C$224,$C199,'TL15'!$J$10:$J$224),0),
IF('TL15'!$B$229=N$3,SUMIF('TL15'!$C$238:$C$451,$C199,'TL15'!$J$238:$J$451),0),
IF('TL16'!$B$3=N$3,SUMIF('TL16'!$C$10:$C$224,$C199,'TL16'!$J$10:$J$224),0),
IF('TL16'!$B$229=N$3,SUMIF('TL16'!$C$238:$C$451,$C199,'TL16'!$J$238:$J$451),0),
IF('TL17'!$B$3=N$3,SUMIF('TL17'!$C$10:$C$224,$C199,'TL17'!$J$10:$J$224),0),
IF('TL17'!$B$229=N$3,SUMIF('TL17'!$C$238:$C$451,$C199,'TL17'!$J$238:$J$451),0),
IF('TL18'!$B$3=N$3,SUMIF('TL18'!$C$10:$C$224,$C199,'TL18'!$J$10:$J$224),0),
IF('TL18'!$B$229=N$3,SUMIF('TL18'!$C$238:$C$451,$C199,'TL18'!$J$238:$J$451),0),
IF('TL19'!$B$3=N$3,SUMIF('TL19'!$C$10:$C$224,$C199,'TL19'!$J$10:$J$224),0),
IF('TL19'!$B$229=N$3,SUMIF('TL19'!$C$238:$C$451,$C199,'TL19'!$J$238:$J$451),0)
),0)</f>
        <v/>
      </c>
      <c r="O199" s="9">
        <f>IFERROR(SUM(
IF('TL01'!$B$3=O$3,SUMIF('TL01'!$C$10:$C$224,$C199,'TL01'!$J$10:$J$224),0),
IF('TL01'!$B$229=O$3,SUMIF('TL01'!$C$238:$C$451,$C199,'TL01'!$J$238:$J$451),0),
IF('TL02'!$B$3=O$3,SUMIF('TL02'!$C$10:$C$224,$C199,'TL02'!$J$10:$J$224),0),
IF('TL02'!$B$229=O$3,SUMIF('TL02'!$C$238:$C$451,$C199,'TL02'!$J$238:$J$451),0),
IF('TL03'!$B$3=O$3,SUMIF('TL03'!$C$10:$C$224,$C199,'TL03'!$J$10:$J$224),0),
IF('TL03'!$B$229=O$3,SUMIF('TL03'!$C$238:$C$451,$C199,'TL03'!$J$238:$J$451),0),
IF('TL04'!$B$3=O$3,SUMIF('TL04'!$C$10:$C$224,$C199,'TL04'!$J$10:$J$224),0),
IF('TL04'!$B$229=O$3,SUMIF('TL04'!$C$238:$C$451,$C199,'TL04'!$J$238:$J$451),0),
IF('TL05'!$B$3=O$3,SUMIF('TL05'!$C$10:$C$224,$C199,'TL05'!$J$10:$J$224),0),
IF('TL05'!$B$229=O$3,SUMIF('TL05'!$C$238:$C$451,$C199,'TL05'!$J$238:$J$451),0),
IF('TL06'!$B$3=O$3,SUMIF('TL06'!$C$10:$C$224,$C199,'TL06'!$J$10:$J$224),0),
IF('TL06'!$B$229=O$3,SUMIF('TL06'!$C$238:$C$451,$C199,'TL06'!$J$238:$J$451),0),
IF('TL07'!$B$3=O$3,SUMIF('TL07'!$C$10:$C$224,$C199,'TL07'!$J$10:$J$224),0),
IF('TL07'!$B$229=O$3,SUMIF('TL07'!$C$238:$C$451,$C199,'TL07'!$J$238:$J$451),0),
IF('TL08'!$B$3=O$3,SUMIF('TL08'!$C$10:$C$224,$C199,'TL08'!$J$10:$J$224),0),
IF('TL08'!$B$229=O$3,SUMIF('TL08'!$C$238:$C$451,$C199,'TL08'!$J$238:$J$451),0),
IF('TL09'!$B$3=O$3,SUMIF('TL09'!$C$10:$C$224,$C199,'TL09'!$J$10:$J$224),0),
IF('TL09'!$B$229=O$3,SUMIF('TL09'!$C$238:$C$451,$C199,'TL09'!$J$238:$J$451),0),
IF('TL10'!$B$3=O$3,SUMIF('TL10'!$C$10:$C$224,$C199,'TL10'!$J$10:$J$224),0),
IF('TL10'!$B$229=O$3,SUMIF('TL10'!$C$238:$C$451,$C199,'TL10'!$J$238:$J$451),0),
IF('TL11'!$B$3=O$3,SUMIF('TL11'!$C$10:$C$224,$C199,'TL11'!$J$10:$J$224),0),
IF('TL11'!$B$229=O$3,SUMIF('TL11'!$C$238:$C$451,$C199,'TL11'!$J$238:$J$451),0),
IF('TL12'!$B$3=O$3,SUMIF('TL12'!$C$10:$C$224,$C199,'TL12'!$J$10:$J$224),0),
IF('TL12'!$B$229=O$3,SUMIF('TL12'!$C$238:$C$451,$C199,'TL12'!$J$238:$J$451),0),
IF('TL13'!$B$3=O$3,SUMIF('TL13'!$C$10:$C$224,$C199,'TL13'!$J$10:$J$224),0),
IF('TL13'!$B$229=O$3,SUMIF('TL13'!$C$238:$C$451,$C199,'TL13'!$J$238:$J$451),0),
IF('TL14'!$B$3=O$3,SUMIF('TL14'!$C$10:$C$224,$C199,'TL14'!$J$10:$J$224),0),
IF('TL14'!$B$229=O$3,SUMIF('TL14'!$C$238:$C$451,$C199,'TL14'!$J$238:$J$451),0),
IF('TL15'!$B$3=O$3,SUMIF('TL15'!$C$10:$C$224,$C199,'TL15'!$J$10:$J$224),0),
IF('TL15'!$B$229=O$3,SUMIF('TL15'!$C$238:$C$451,$C199,'TL15'!$J$238:$J$451),0),
IF('TL16'!$B$3=O$3,SUMIF('TL16'!$C$10:$C$224,$C199,'TL16'!$J$10:$J$224),0),
IF('TL16'!$B$229=O$3,SUMIF('TL16'!$C$238:$C$451,$C199,'TL16'!$J$238:$J$451),0),
IF('TL17'!$B$3=O$3,SUMIF('TL17'!$C$10:$C$224,$C199,'TL17'!$J$10:$J$224),0),
IF('TL17'!$B$229=O$3,SUMIF('TL17'!$C$238:$C$451,$C199,'TL17'!$J$238:$J$451),0),
IF('TL18'!$B$3=O$3,SUMIF('TL18'!$C$10:$C$224,$C199,'TL18'!$J$10:$J$224),0),
IF('TL18'!$B$229=O$3,SUMIF('TL18'!$C$238:$C$451,$C199,'TL18'!$J$238:$J$451),0),
IF('TL19'!$B$3=O$3,SUMIF('TL19'!$C$10:$C$224,$C199,'TL19'!$J$10:$J$224),0),
IF('TL19'!$B$229=O$3,SUMIF('TL19'!$C$238:$C$451,$C199,'TL19'!$J$238:$J$451),0)
),0)</f>
        <v/>
      </c>
      <c r="P199" s="9">
        <f>IFERROR(SUM(
IF('TL01'!$B$3=P$3,SUMIF('TL01'!$C$10:$C$224,$C199,'TL01'!$J$10:$J$224),0),
IF('TL01'!$B$229=P$3,SUMIF('TL01'!$C$238:$C$451,$C199,'TL01'!$J$238:$J$451),0),
IF('TL02'!$B$3=P$3,SUMIF('TL02'!$C$10:$C$224,$C199,'TL02'!$J$10:$J$224),0),
IF('TL02'!$B$229=P$3,SUMIF('TL02'!$C$238:$C$451,$C199,'TL02'!$J$238:$J$451),0),
IF('TL03'!$B$3=P$3,SUMIF('TL03'!$C$10:$C$224,$C199,'TL03'!$J$10:$J$224),0),
IF('TL03'!$B$229=P$3,SUMIF('TL03'!$C$238:$C$451,$C199,'TL03'!$J$238:$J$451),0),
IF('TL04'!$B$3=P$3,SUMIF('TL04'!$C$10:$C$224,$C199,'TL04'!$J$10:$J$224),0),
IF('TL04'!$B$229=P$3,SUMIF('TL04'!$C$238:$C$451,$C199,'TL04'!$J$238:$J$451),0),
IF('TL05'!$B$3=P$3,SUMIF('TL05'!$C$10:$C$224,$C199,'TL05'!$J$10:$J$224),0),
IF('TL05'!$B$229=P$3,SUMIF('TL05'!$C$238:$C$451,$C199,'TL05'!$J$238:$J$451),0),
IF('TL06'!$B$3=P$3,SUMIF('TL06'!$C$10:$C$224,$C199,'TL06'!$J$10:$J$224),0),
IF('TL06'!$B$229=P$3,SUMIF('TL06'!$C$238:$C$451,$C199,'TL06'!$J$238:$J$451),0),
IF('TL07'!$B$3=P$3,SUMIF('TL07'!$C$10:$C$224,$C199,'TL07'!$J$10:$J$224),0),
IF('TL07'!$B$229=P$3,SUMIF('TL07'!$C$238:$C$451,$C199,'TL07'!$J$238:$J$451),0),
IF('TL08'!$B$3=P$3,SUMIF('TL08'!$C$10:$C$224,$C199,'TL08'!$J$10:$J$224),0),
IF('TL08'!$B$229=P$3,SUMIF('TL08'!$C$238:$C$451,$C199,'TL08'!$J$238:$J$451),0),
IF('TL09'!$B$3=P$3,SUMIF('TL09'!$C$10:$C$224,$C199,'TL09'!$J$10:$J$224),0),
IF('TL09'!$B$229=P$3,SUMIF('TL09'!$C$238:$C$451,$C199,'TL09'!$J$238:$J$451),0),
IF('TL10'!$B$3=P$3,SUMIF('TL10'!$C$10:$C$224,$C199,'TL10'!$J$10:$J$224),0),
IF('TL10'!$B$229=P$3,SUMIF('TL10'!$C$238:$C$451,$C199,'TL10'!$J$238:$J$451),0),
IF('TL11'!$B$3=P$3,SUMIF('TL11'!$C$10:$C$224,$C199,'TL11'!$J$10:$J$224),0),
IF('TL11'!$B$229=P$3,SUMIF('TL11'!$C$238:$C$451,$C199,'TL11'!$J$238:$J$451),0),
IF('TL12'!$B$3=P$3,SUMIF('TL12'!$C$10:$C$224,$C199,'TL12'!$J$10:$J$224),0),
IF('TL12'!$B$229=P$3,SUMIF('TL12'!$C$238:$C$451,$C199,'TL12'!$J$238:$J$451),0),
IF('TL13'!$B$3=P$3,SUMIF('TL13'!$C$10:$C$224,$C199,'TL13'!$J$10:$J$224),0),
IF('TL13'!$B$229=P$3,SUMIF('TL13'!$C$238:$C$451,$C199,'TL13'!$J$238:$J$451),0),
IF('TL14'!$B$3=P$3,SUMIF('TL14'!$C$10:$C$224,$C199,'TL14'!$J$10:$J$224),0),
IF('TL14'!$B$229=P$3,SUMIF('TL14'!$C$238:$C$451,$C199,'TL14'!$J$238:$J$451),0),
IF('TL15'!$B$3=P$3,SUMIF('TL15'!$C$10:$C$224,$C199,'TL15'!$J$10:$J$224),0),
IF('TL15'!$B$229=P$3,SUMIF('TL15'!$C$238:$C$451,$C199,'TL15'!$J$238:$J$451),0),
IF('TL16'!$B$3=P$3,SUMIF('TL16'!$C$10:$C$224,$C199,'TL16'!$J$10:$J$224),0),
IF('TL16'!$B$229=P$3,SUMIF('TL16'!$C$238:$C$451,$C199,'TL16'!$J$238:$J$451),0),
IF('TL17'!$B$3=P$3,SUMIF('TL17'!$C$10:$C$224,$C199,'TL17'!$J$10:$J$224),0),
IF('TL17'!$B$229=P$3,SUMIF('TL17'!$C$238:$C$451,$C199,'TL17'!$J$238:$J$451),0),
IF('TL18'!$B$3=P$3,SUMIF('TL18'!$C$10:$C$224,$C199,'TL18'!$J$10:$J$224),0),
IF('TL18'!$B$229=P$3,SUMIF('TL18'!$C$238:$C$451,$C199,'TL18'!$J$238:$J$451),0),
IF('TL19'!$B$3=P$3,SUMIF('TL19'!$C$10:$C$224,$C199,'TL19'!$J$10:$J$224),0),
IF('TL19'!$B$229=P$3,SUMIF('TL19'!$C$238:$C$451,$C199,'TL19'!$J$238:$J$451),0)
),0)</f>
        <v/>
      </c>
      <c r="Q199" s="9">
        <f>IFERROR(SUM(
IF('TL01'!$B$3=Q$3,SUMIF('TL01'!$C$10:$C$224,$C199,'TL01'!$J$10:$J$224),0),
IF('TL01'!$B$229=Q$3,SUMIF('TL01'!$C$238:$C$451,$C199,'TL01'!$J$238:$J$451),0),
IF('TL02'!$B$3=Q$3,SUMIF('TL02'!$C$10:$C$224,$C199,'TL02'!$J$10:$J$224),0),
IF('TL02'!$B$229=Q$3,SUMIF('TL02'!$C$238:$C$451,$C199,'TL02'!$J$238:$J$451),0),
IF('TL03'!$B$3=Q$3,SUMIF('TL03'!$C$10:$C$224,$C199,'TL03'!$J$10:$J$224),0),
IF('TL03'!$B$229=Q$3,SUMIF('TL03'!$C$238:$C$451,$C199,'TL03'!$J$238:$J$451),0),
IF('TL04'!$B$3=Q$3,SUMIF('TL04'!$C$10:$C$224,$C199,'TL04'!$J$10:$J$224),0),
IF('TL04'!$B$229=Q$3,SUMIF('TL04'!$C$238:$C$451,$C199,'TL04'!$J$238:$J$451),0),
IF('TL05'!$B$3=Q$3,SUMIF('TL05'!$C$10:$C$224,$C199,'TL05'!$J$10:$J$224),0),
IF('TL05'!$B$229=Q$3,SUMIF('TL05'!$C$238:$C$451,$C199,'TL05'!$J$238:$J$451),0),
IF('TL06'!$B$3=Q$3,SUMIF('TL06'!$C$10:$C$224,$C199,'TL06'!$J$10:$J$224),0),
IF('TL06'!$B$229=Q$3,SUMIF('TL06'!$C$238:$C$451,$C199,'TL06'!$J$238:$J$451),0),
IF('TL07'!$B$3=Q$3,SUMIF('TL07'!$C$10:$C$224,$C199,'TL07'!$J$10:$J$224),0),
IF('TL07'!$B$229=Q$3,SUMIF('TL07'!$C$238:$C$451,$C199,'TL07'!$J$238:$J$451),0),
IF('TL08'!$B$3=Q$3,SUMIF('TL08'!$C$10:$C$224,$C199,'TL08'!$J$10:$J$224),0),
IF('TL08'!$B$229=Q$3,SUMIF('TL08'!$C$238:$C$451,$C199,'TL08'!$J$238:$J$451),0),
IF('TL09'!$B$3=Q$3,SUMIF('TL09'!$C$10:$C$224,$C199,'TL09'!$J$10:$J$224),0),
IF('TL09'!$B$229=Q$3,SUMIF('TL09'!$C$238:$C$451,$C199,'TL09'!$J$238:$J$451),0),
IF('TL10'!$B$3=Q$3,SUMIF('TL10'!$C$10:$C$224,$C199,'TL10'!$J$10:$J$224),0),
IF('TL10'!$B$229=Q$3,SUMIF('TL10'!$C$238:$C$451,$C199,'TL10'!$J$238:$J$451),0),
IF('TL11'!$B$3=Q$3,SUMIF('TL11'!$C$10:$C$224,$C199,'TL11'!$J$10:$J$224),0),
IF('TL11'!$B$229=Q$3,SUMIF('TL11'!$C$238:$C$451,$C199,'TL11'!$J$238:$J$451),0),
IF('TL12'!$B$3=Q$3,SUMIF('TL12'!$C$10:$C$224,$C199,'TL12'!$J$10:$J$224),0),
IF('TL12'!$B$229=Q$3,SUMIF('TL12'!$C$238:$C$451,$C199,'TL12'!$J$238:$J$451),0),
IF('TL13'!$B$3=Q$3,SUMIF('TL13'!$C$10:$C$224,$C199,'TL13'!$J$10:$J$224),0),
IF('TL13'!$B$229=Q$3,SUMIF('TL13'!$C$238:$C$451,$C199,'TL13'!$J$238:$J$451),0),
IF('TL14'!$B$3=Q$3,SUMIF('TL14'!$C$10:$C$224,$C199,'TL14'!$J$10:$J$224),0),
IF('TL14'!$B$229=Q$3,SUMIF('TL14'!$C$238:$C$451,$C199,'TL14'!$J$238:$J$451),0),
IF('TL15'!$B$3=Q$3,SUMIF('TL15'!$C$10:$C$224,$C199,'TL15'!$J$10:$J$224),0),
IF('TL15'!$B$229=Q$3,SUMIF('TL15'!$C$238:$C$451,$C199,'TL15'!$J$238:$J$451),0),
IF('TL16'!$B$3=Q$3,SUMIF('TL16'!$C$10:$C$224,$C199,'TL16'!$J$10:$J$224),0),
IF('TL16'!$B$229=Q$3,SUMIF('TL16'!$C$238:$C$451,$C199,'TL16'!$J$238:$J$451),0),
IF('TL17'!$B$3=Q$3,SUMIF('TL17'!$C$10:$C$224,$C199,'TL17'!$J$10:$J$224),0),
IF('TL17'!$B$229=Q$3,SUMIF('TL17'!$C$238:$C$451,$C199,'TL17'!$J$238:$J$451),0),
IF('TL18'!$B$3=Q$3,SUMIF('TL18'!$C$10:$C$224,$C199,'TL18'!$J$10:$J$224),0),
IF('TL18'!$B$229=Q$3,SUMIF('TL18'!$C$238:$C$451,$C199,'TL18'!$J$238:$J$451),0),
IF('TL19'!$B$3=Q$3,SUMIF('TL19'!$C$10:$C$224,$C199,'TL19'!$J$10:$J$224),0),
IF('TL19'!$B$229=Q$3,SUMIF('TL19'!$C$238:$C$451,$C199,'TL19'!$J$238:$J$451),0)
),0)</f>
        <v/>
      </c>
      <c r="R199" s="9">
        <f>IFERROR(
SUM(
SUMIF('TL01'!C:C,C199,'TL01'!J:J),
SUMIF('TL02'!C:C,C199,'TL02'!J:J),
SUMIF('TL03'!C:C,C199,'TL03'!J:J),
SUMIF('TL04'!C:C,C199,'TL04'!J:J),
SUMIF('TL05'!C:C,C199,'TL05'!J:J),
SUMIF('TL06'!C:C,C199,'TL06'!J:J),
SUMIF('TL07'!C:C,C199,'TL07'!J:J),
SUMIF('TL08'!C:C,C199,'TL08'!J:J),
SUMIF('TL09'!C:C,C199,'TL09'!J:J),
SUMIF('TL10'!C:C,C199,'TL10'!J:J),
SUMIF('TL11'!C:C,C199,'TL11'!J:J),
SUMIF('TL12'!C:C,C199,'TL12'!J:J),
SUMIF('TL13'!C:C,C199,'TL13'!J:J),
SUMIF('TL14'!C:C,C199,'TL14'!J:J),
SUMIF('TL15'!C:C,C199,'TL15'!J:J),
SUMIF('TL16'!C:C,C199,'TL16'!J:J),
SUMIF('TL17'!C:C,C199,'TL17'!J:J),
SUMIF('TL18'!C:C,C199,'TL18'!J:J),SUMIF('TL19'!C:C,C199,'TL19'!J:J))
,0)</f>
        <v/>
      </c>
      <c r="S199" s="17">
        <f>IFERROR(__xludf.DUMMYFUNCTION("IFERROR(VLOOKUP(C199,
IMPORTRANGE(""1wULbzX32WdYsx-lj2U3uUNBBe2INVIRDtcK0d-Dvl90"",
""26-27!C:G""),
5,
FALSE),
"""")"),49.95006)</f>
        <v/>
      </c>
      <c r="T199" s="9" t="n"/>
      <c r="U199" s="92">
        <f>MAX(0,R199-T199)</f>
        <v/>
      </c>
      <c r="V199" s="93">
        <f>U199*S199</f>
        <v/>
      </c>
    </row>
    <row r="200" hidden="1" ht="15.75" customHeight="1" s="297">
      <c r="A200" s="87" t="inlineStr">
        <is>
          <t>FMC</t>
        </is>
      </c>
      <c r="B200" s="88" t="inlineStr">
        <is>
          <t>INSETICIDA</t>
        </is>
      </c>
      <c r="C200" s="89" t="inlineStr">
        <is>
          <t>BENEVIA</t>
        </is>
      </c>
      <c r="D200" s="89" t="inlineStr">
        <is>
          <t>CIANTRANILIPROLE</t>
        </is>
      </c>
      <c r="E200" s="89" t="n">
        <v>100</v>
      </c>
      <c r="F200" s="4" t="inlineStr">
        <is>
          <t>L</t>
        </is>
      </c>
      <c r="G200" s="90">
        <f>HYPERLINK("https://www.google.com/search?q=" &amp; C200 &amp; "+bula+agrofit+pdf", "📄 Ver bula")</f>
        <v/>
      </c>
      <c r="H200" s="9">
        <f>IFERROR(__xludf.DUMMYFUNCTION("IFERROR(VLOOKUP(C200,
IMPORTRANGE(""1wULbzX32WdYsx-lj2U3uUNBBe2INVIRDtcK0d-Dvl90"",
""26-27!C:K""),
8,
FALSE),
"""")"),0.25)</f>
        <v/>
      </c>
      <c r="I200" s="91" t="inlineStr">
        <is>
          <t>4X5</t>
        </is>
      </c>
      <c r="J200" s="9">
        <f>IFERROR(SUM(
IF('TL01'!$B$3=J$3,SUMIF('TL01'!$C$10:$C$224,$C200,'TL01'!$J$10:$J$224),0),
IF('TL01'!$B$229=J$3,SUMIF('TL01'!$C$238:$C$451,$C200,'TL01'!$J$238:$J$451),0),
IF('TL02'!$B$3=J$3,SUMIF('TL02'!$C$10:$C$224,$C200,'TL02'!$J$10:$J$224),0),
IF('TL02'!$B$229=J$3,SUMIF('TL02'!$C$238:$C$451,$C200,'TL02'!$J$238:$J$451),0),
IF('TL03'!$B$3=J$3,SUMIF('TL03'!$C$10:$C$224,$C200,'TL03'!$J$10:$J$224),0),
IF('TL03'!$B$229=J$3,SUMIF('TL03'!$C$238:$C$451,$C200,'TL03'!$J$238:$J$451),0),
IF('TL04'!$B$3=J$3,SUMIF('TL04'!$C$10:$C$224,$C200,'TL04'!$J$10:$J$224),0),
IF('TL04'!$B$229=J$3,SUMIF('TL04'!$C$238:$C$451,$C200,'TL04'!$J$238:$J$451),0),
IF('TL05'!$B$3=J$3,SUMIF('TL05'!$C$10:$C$224,$C200,'TL05'!$J$10:$J$224),0),
IF('TL05'!$B$229=J$3,SUMIF('TL05'!$C$238:$C$451,$C200,'TL05'!$J$238:$J$451),0),
IF('TL06'!$B$3=J$3,SUMIF('TL06'!$C$10:$C$224,$C200,'TL06'!$J$10:$J$224),0),
IF('TL06'!$B$229=J$3,SUMIF('TL06'!$C$238:$C$451,$C200,'TL06'!$J$238:$J$451),0),
IF('TL07'!$B$3=J$3,SUMIF('TL07'!$C$10:$C$224,$C200,'TL07'!$J$10:$J$224),0),
IF('TL07'!$B$229=J$3,SUMIF('TL07'!$C$238:$C$451,$C200,'TL07'!$J$238:$J$451),0),
IF('TL08'!$B$3=J$3,SUMIF('TL08'!$C$10:$C$224,$C200,'TL08'!$J$10:$J$224),0),
IF('TL08'!$B$229=J$3,SUMIF('TL08'!$C$238:$C$451,$C200,'TL08'!$J$238:$J$451),0),
IF('TL09'!$B$3=J$3,SUMIF('TL09'!$C$10:$C$224,$C200,'TL09'!$J$10:$J$224),0),
IF('TL09'!$B$229=J$3,SUMIF('TL09'!$C$238:$C$451,$C200,'TL09'!$J$238:$J$451),0),
IF('TL10'!$B$3=J$3,SUMIF('TL10'!$C$10:$C$224,$C200,'TL10'!$J$10:$J$224),0),
IF('TL10'!$B$229=J$3,SUMIF('TL10'!$C$238:$C$451,$C200,'TL10'!$J$238:$J$451),0),
IF('TL11'!$B$3=J$3,SUMIF('TL11'!$C$10:$C$224,$C200,'TL11'!$J$10:$J$224),0),
IF('TL11'!$B$229=J$3,SUMIF('TL11'!$C$238:$C$451,$C200,'TL11'!$J$238:$J$451),0),
IF('TL12'!$B$3=J$3,SUMIF('TL12'!$C$10:$C$224,$C200,'TL12'!$J$10:$J$224),0),
IF('TL12'!$B$229=J$3,SUMIF('TL12'!$C$238:$C$451,$C200,'TL12'!$J$238:$J$451),0),
IF('TL13'!$B$3=J$3,SUMIF('TL13'!$C$10:$C$224,$C200,'TL13'!$J$10:$J$224),0),
IF('TL13'!$B$229=J$3,SUMIF('TL13'!$C$238:$C$451,$C200,'TL13'!$J$238:$J$451),0),
IF('TL14'!$B$3=J$3,SUMIF('TL14'!$C$10:$C$224,$C200,'TL14'!$J$10:$J$224),0),
IF('TL14'!$B$229=J$3,SUMIF('TL14'!$C$238:$C$451,$C200,'TL14'!$J$238:$J$451),0),
IF('TL15'!$B$3=J$3,SUMIF('TL15'!$C$10:$C$224,$C200,'TL15'!$J$10:$J$224),0),
IF('TL15'!$B$229=J$3,SUMIF('TL15'!$C$238:$C$451,$C200,'TL15'!$J$238:$J$451),0),
IF('TL16'!$B$3=J$3,SUMIF('TL16'!$C$10:$C$224,$C200,'TL16'!$J$10:$J$224),0),
IF('TL16'!$B$229=J$3,SUMIF('TL16'!$C$238:$C$451,$C200,'TL16'!$J$238:$J$451),0),
IF('TL17'!$B$3=J$3,SUMIF('TL17'!$C$10:$C$224,$C200,'TL17'!$J$10:$J$224),0),
IF('TL17'!$B$229=J$3,SUMIF('TL17'!$C$238:$C$451,$C200,'TL17'!$J$238:$J$451),0),
IF('TL18'!$B$3=J$3,SUMIF('TL18'!$C$10:$C$224,$C200,'TL18'!$J$10:$J$224),0),
IF('TL18'!$B$229=J$3,SUMIF('TL18'!$C$238:$C$451,$C200,'TL18'!$J$238:$J$451),0),
IF('TL19'!$B$3=J$3,SUMIF('TL19'!$C$10:$C$224,$C200,'TL19'!$J$10:$J$224),0),
IF('TL19'!$B$229=J$3,SUMIF('TL19'!$C$238:$C$451,$C200,'TL19'!$J$238:$J$451),0)
),0)</f>
        <v/>
      </c>
      <c r="K200" s="9">
        <f>IFERROR(SUM(
IF('TL01'!$B$3=K$3,SUMIF('TL01'!$C$10:$C$224,$C200,'TL01'!$J$10:$J$224),0),
IF('TL01'!$B$229=K$3,SUMIF('TL01'!$C$238:$C$451,$C200,'TL01'!$J$238:$J$451),0),
IF('TL02'!$B$3=K$3,SUMIF('TL02'!$C$10:$C$224,$C200,'TL02'!$J$10:$J$224),0),
IF('TL02'!$B$229=K$3,SUMIF('TL02'!$C$238:$C$451,$C200,'TL02'!$J$238:$J$451),0),
IF('TL03'!$B$3=K$3,SUMIF('TL03'!$C$10:$C$224,$C200,'TL03'!$J$10:$J$224),0),
IF('TL03'!$B$229=K$3,SUMIF('TL03'!$C$238:$C$451,$C200,'TL03'!$J$238:$J$451),0),
IF('TL04'!$B$3=K$3,SUMIF('TL04'!$C$10:$C$224,$C200,'TL04'!$J$10:$J$224),0),
IF('TL04'!$B$229=K$3,SUMIF('TL04'!$C$238:$C$451,$C200,'TL04'!$J$238:$J$451),0),
IF('TL05'!$B$3=K$3,SUMIF('TL05'!$C$10:$C$224,$C200,'TL05'!$J$10:$J$224),0),
IF('TL05'!$B$229=K$3,SUMIF('TL05'!$C$238:$C$451,$C200,'TL05'!$J$238:$J$451),0),
IF('TL06'!$B$3=K$3,SUMIF('TL06'!$C$10:$C$224,$C200,'TL06'!$J$10:$J$224),0),
IF('TL06'!$B$229=K$3,SUMIF('TL06'!$C$238:$C$451,$C200,'TL06'!$J$238:$J$451),0),
IF('TL07'!$B$3=K$3,SUMIF('TL07'!$C$10:$C$224,$C200,'TL07'!$J$10:$J$224),0),
IF('TL07'!$B$229=K$3,SUMIF('TL07'!$C$238:$C$451,$C200,'TL07'!$J$238:$J$451),0),
IF('TL08'!$B$3=K$3,SUMIF('TL08'!$C$10:$C$224,$C200,'TL08'!$J$10:$J$224),0),
IF('TL08'!$B$229=K$3,SUMIF('TL08'!$C$238:$C$451,$C200,'TL08'!$J$238:$J$451),0),
IF('TL09'!$B$3=K$3,SUMIF('TL09'!$C$10:$C$224,$C200,'TL09'!$J$10:$J$224),0),
IF('TL09'!$B$229=K$3,SUMIF('TL09'!$C$238:$C$451,$C200,'TL09'!$J$238:$J$451),0),
IF('TL10'!$B$3=K$3,SUMIF('TL10'!$C$10:$C$224,$C200,'TL10'!$J$10:$J$224),0),
IF('TL10'!$B$229=K$3,SUMIF('TL10'!$C$238:$C$451,$C200,'TL10'!$J$238:$J$451),0),
IF('TL11'!$B$3=K$3,SUMIF('TL11'!$C$10:$C$224,$C200,'TL11'!$J$10:$J$224),0),
IF('TL11'!$B$229=K$3,SUMIF('TL11'!$C$238:$C$451,$C200,'TL11'!$J$238:$J$451),0),
IF('TL12'!$B$3=K$3,SUMIF('TL12'!$C$10:$C$224,$C200,'TL12'!$J$10:$J$224),0),
IF('TL12'!$B$229=K$3,SUMIF('TL12'!$C$238:$C$451,$C200,'TL12'!$J$238:$J$451),0),
IF('TL13'!$B$3=K$3,SUMIF('TL13'!$C$10:$C$224,$C200,'TL13'!$J$10:$J$224),0),
IF('TL13'!$B$229=K$3,SUMIF('TL13'!$C$238:$C$451,$C200,'TL13'!$J$238:$J$451),0),
IF('TL14'!$B$3=K$3,SUMIF('TL14'!$C$10:$C$224,$C200,'TL14'!$J$10:$J$224),0),
IF('TL14'!$B$229=K$3,SUMIF('TL14'!$C$238:$C$451,$C200,'TL14'!$J$238:$J$451),0),
IF('TL15'!$B$3=K$3,SUMIF('TL15'!$C$10:$C$224,$C200,'TL15'!$J$10:$J$224),0),
IF('TL15'!$B$229=K$3,SUMIF('TL15'!$C$238:$C$451,$C200,'TL15'!$J$238:$J$451),0),
IF('TL16'!$B$3=K$3,SUMIF('TL16'!$C$10:$C$224,$C200,'TL16'!$J$10:$J$224),0),
IF('TL16'!$B$229=K$3,SUMIF('TL16'!$C$238:$C$451,$C200,'TL16'!$J$238:$J$451),0),
IF('TL17'!$B$3=K$3,SUMIF('TL17'!$C$10:$C$224,$C200,'TL17'!$J$10:$J$224),0),
IF('TL17'!$B$229=K$3,SUMIF('TL17'!$C$238:$C$451,$C200,'TL17'!$J$238:$J$451),0),
IF('TL18'!$B$3=K$3,SUMIF('TL18'!$C$10:$C$224,$C200,'TL18'!$J$10:$J$224),0),
IF('TL18'!$B$229=K$3,SUMIF('TL18'!$C$238:$C$451,$C200,'TL18'!$J$238:$J$451),0),
IF('TL19'!$B$3=K$3,SUMIF('TL19'!$C$10:$C$224,$C200,'TL19'!$J$10:$J$224),0),
IF('TL19'!$B$229=K$3,SUMIF('TL19'!$C$238:$C$451,$C200,'TL19'!$J$238:$J$451),0)
),0)</f>
        <v/>
      </c>
      <c r="L200" s="9">
        <f>IFERROR(SUM(
IF('TL01'!$B$3=L$3,SUMIF('TL01'!$C$10:$C$224,$C200,'TL01'!$J$10:$J$224),0),
IF('TL01'!$B$229=L$3,SUMIF('TL01'!$C$238:$C$451,$C200,'TL01'!$J$238:$J$451),0),
IF('TL02'!$B$3=L$3,SUMIF('TL02'!$C$10:$C$224,$C200,'TL02'!$J$10:$J$224),0),
IF('TL02'!$B$229=L$3,SUMIF('TL02'!$C$238:$C$451,$C200,'TL02'!$J$238:$J$451),0),
IF('TL03'!$B$3=L$3,SUMIF('TL03'!$C$10:$C$224,$C200,'TL03'!$J$10:$J$224),0),
IF('TL03'!$B$229=L$3,SUMIF('TL03'!$C$238:$C$451,$C200,'TL03'!$J$238:$J$451),0),
IF('TL04'!$B$3=L$3,SUMIF('TL04'!$C$10:$C$224,$C200,'TL04'!$J$10:$J$224),0),
IF('TL04'!$B$229=L$3,SUMIF('TL04'!$C$238:$C$451,$C200,'TL04'!$J$238:$J$451),0),
IF('TL05'!$B$3=L$3,SUMIF('TL05'!$C$10:$C$224,$C200,'TL05'!$J$10:$J$224),0),
IF('TL05'!$B$229=L$3,SUMIF('TL05'!$C$238:$C$451,$C200,'TL05'!$J$238:$J$451),0),
IF('TL06'!$B$3=L$3,SUMIF('TL06'!$C$10:$C$224,$C200,'TL06'!$J$10:$J$224),0),
IF('TL06'!$B$229=L$3,SUMIF('TL06'!$C$238:$C$451,$C200,'TL06'!$J$238:$J$451),0),
IF('TL07'!$B$3=L$3,SUMIF('TL07'!$C$10:$C$224,$C200,'TL07'!$J$10:$J$224),0),
IF('TL07'!$B$229=L$3,SUMIF('TL07'!$C$238:$C$451,$C200,'TL07'!$J$238:$J$451),0),
IF('TL08'!$B$3=L$3,SUMIF('TL08'!$C$10:$C$224,$C200,'TL08'!$J$10:$J$224),0),
IF('TL08'!$B$229=L$3,SUMIF('TL08'!$C$238:$C$451,$C200,'TL08'!$J$238:$J$451),0),
IF('TL09'!$B$3=L$3,SUMIF('TL09'!$C$10:$C$224,$C200,'TL09'!$J$10:$J$224),0),
IF('TL09'!$B$229=L$3,SUMIF('TL09'!$C$238:$C$451,$C200,'TL09'!$J$238:$J$451),0),
IF('TL10'!$B$3=L$3,SUMIF('TL10'!$C$10:$C$224,$C200,'TL10'!$J$10:$J$224),0),
IF('TL10'!$B$229=L$3,SUMIF('TL10'!$C$238:$C$451,$C200,'TL10'!$J$238:$J$451),0),
IF('TL11'!$B$3=L$3,SUMIF('TL11'!$C$10:$C$224,$C200,'TL11'!$J$10:$J$224),0),
IF('TL11'!$B$229=L$3,SUMIF('TL11'!$C$238:$C$451,$C200,'TL11'!$J$238:$J$451),0),
IF('TL12'!$B$3=L$3,SUMIF('TL12'!$C$10:$C$224,$C200,'TL12'!$J$10:$J$224),0),
IF('TL12'!$B$229=L$3,SUMIF('TL12'!$C$238:$C$451,$C200,'TL12'!$J$238:$J$451),0),
IF('TL13'!$B$3=L$3,SUMIF('TL13'!$C$10:$C$224,$C200,'TL13'!$J$10:$J$224),0),
IF('TL13'!$B$229=L$3,SUMIF('TL13'!$C$238:$C$451,$C200,'TL13'!$J$238:$J$451),0),
IF('TL14'!$B$3=L$3,SUMIF('TL14'!$C$10:$C$224,$C200,'TL14'!$J$10:$J$224),0),
IF('TL14'!$B$229=L$3,SUMIF('TL14'!$C$238:$C$451,$C200,'TL14'!$J$238:$J$451),0),
IF('TL15'!$B$3=L$3,SUMIF('TL15'!$C$10:$C$224,$C200,'TL15'!$J$10:$J$224),0),
IF('TL15'!$B$229=L$3,SUMIF('TL15'!$C$238:$C$451,$C200,'TL15'!$J$238:$J$451),0),
IF('TL16'!$B$3=L$3,SUMIF('TL16'!$C$10:$C$224,$C200,'TL16'!$J$10:$J$224),0),
IF('TL16'!$B$229=L$3,SUMIF('TL16'!$C$238:$C$451,$C200,'TL16'!$J$238:$J$451),0),
IF('TL17'!$B$3=L$3,SUMIF('TL17'!$C$10:$C$224,$C200,'TL17'!$J$10:$J$224),0),
IF('TL17'!$B$229=L$3,SUMIF('TL17'!$C$238:$C$451,$C200,'TL17'!$J$238:$J$451),0),
IF('TL18'!$B$3=L$3,SUMIF('TL18'!$C$10:$C$224,$C200,'TL18'!$J$10:$J$224),0),
IF('TL18'!$B$229=L$3,SUMIF('TL18'!$C$238:$C$451,$C200,'TL18'!$J$238:$J$451),0),
IF('TL19'!$B$3=L$3,SUMIF('TL19'!$C$10:$C$224,$C200,'TL19'!$J$10:$J$224),0),
IF('TL19'!$B$229=L$3,SUMIF('TL19'!$C$238:$C$451,$C200,'TL19'!$J$238:$J$451),0)
),0)</f>
        <v/>
      </c>
      <c r="M200" s="9">
        <f>IFERROR(SUM(
IF('TL01'!$B$3=M$3,SUMIF('TL01'!$C$10:$C$224,$C200,'TL01'!$J$10:$J$224),0),
IF('TL01'!$B$229=M$3,SUMIF('TL01'!$C$238:$C$451,$C200,'TL01'!$J$238:$J$451),0),
IF('TL02'!$B$3=M$3,SUMIF('TL02'!$C$10:$C$224,$C200,'TL02'!$J$10:$J$224),0),
IF('TL02'!$B$229=M$3,SUMIF('TL02'!$C$238:$C$451,$C200,'TL02'!$J$238:$J$451),0),
IF('TL03'!$B$3=M$3,SUMIF('TL03'!$C$10:$C$224,$C200,'TL03'!$J$10:$J$224),0),
IF('TL03'!$B$229=M$3,SUMIF('TL03'!$C$238:$C$451,$C200,'TL03'!$J$238:$J$451),0),
IF('TL04'!$B$3=M$3,SUMIF('TL04'!$C$10:$C$224,$C200,'TL04'!$J$10:$J$224),0),
IF('TL04'!$B$229=M$3,SUMIF('TL04'!$C$238:$C$451,$C200,'TL04'!$J$238:$J$451),0),
IF('TL05'!$B$3=M$3,SUMIF('TL05'!$C$10:$C$224,$C200,'TL05'!$J$10:$J$224),0),
IF('TL05'!$B$229=M$3,SUMIF('TL05'!$C$238:$C$451,$C200,'TL05'!$J$238:$J$451),0),
IF('TL06'!$B$3=M$3,SUMIF('TL06'!$C$10:$C$224,$C200,'TL06'!$J$10:$J$224),0),
IF('TL06'!$B$229=M$3,SUMIF('TL06'!$C$238:$C$451,$C200,'TL06'!$J$238:$J$451),0),
IF('TL07'!$B$3=M$3,SUMIF('TL07'!$C$10:$C$224,$C200,'TL07'!$J$10:$J$224),0),
IF('TL07'!$B$229=M$3,SUMIF('TL07'!$C$238:$C$451,$C200,'TL07'!$J$238:$J$451),0),
IF('TL08'!$B$3=M$3,SUMIF('TL08'!$C$10:$C$224,$C200,'TL08'!$J$10:$J$224),0),
IF('TL08'!$B$229=M$3,SUMIF('TL08'!$C$238:$C$451,$C200,'TL08'!$J$238:$J$451),0),
IF('TL09'!$B$3=M$3,SUMIF('TL09'!$C$10:$C$224,$C200,'TL09'!$J$10:$J$224),0),
IF('TL09'!$B$229=M$3,SUMIF('TL09'!$C$238:$C$451,$C200,'TL09'!$J$238:$J$451),0),
IF('TL10'!$B$3=M$3,SUMIF('TL10'!$C$10:$C$224,$C200,'TL10'!$J$10:$J$224),0),
IF('TL10'!$B$229=M$3,SUMIF('TL10'!$C$238:$C$451,$C200,'TL10'!$J$238:$J$451),0),
IF('TL11'!$B$3=M$3,SUMIF('TL11'!$C$10:$C$224,$C200,'TL11'!$J$10:$J$224),0),
IF('TL11'!$B$229=M$3,SUMIF('TL11'!$C$238:$C$451,$C200,'TL11'!$J$238:$J$451),0),
IF('TL12'!$B$3=M$3,SUMIF('TL12'!$C$10:$C$224,$C200,'TL12'!$J$10:$J$224),0),
IF('TL12'!$B$229=M$3,SUMIF('TL12'!$C$238:$C$451,$C200,'TL12'!$J$238:$J$451),0),
IF('TL13'!$B$3=M$3,SUMIF('TL13'!$C$10:$C$224,$C200,'TL13'!$J$10:$J$224),0),
IF('TL13'!$B$229=M$3,SUMIF('TL13'!$C$238:$C$451,$C200,'TL13'!$J$238:$J$451),0),
IF('TL14'!$B$3=M$3,SUMIF('TL14'!$C$10:$C$224,$C200,'TL14'!$J$10:$J$224),0),
IF('TL14'!$B$229=M$3,SUMIF('TL14'!$C$238:$C$451,$C200,'TL14'!$J$238:$J$451),0),
IF('TL15'!$B$3=M$3,SUMIF('TL15'!$C$10:$C$224,$C200,'TL15'!$J$10:$J$224),0),
IF('TL15'!$B$229=M$3,SUMIF('TL15'!$C$238:$C$451,$C200,'TL15'!$J$238:$J$451),0),
IF('TL16'!$B$3=M$3,SUMIF('TL16'!$C$10:$C$224,$C200,'TL16'!$J$10:$J$224),0),
IF('TL16'!$B$229=M$3,SUMIF('TL16'!$C$238:$C$451,$C200,'TL16'!$J$238:$J$451),0),
IF('TL17'!$B$3=M$3,SUMIF('TL17'!$C$10:$C$224,$C200,'TL17'!$J$10:$J$224),0),
IF('TL17'!$B$229=M$3,SUMIF('TL17'!$C$238:$C$451,$C200,'TL17'!$J$238:$J$451),0),
IF('TL18'!$B$3=M$3,SUMIF('TL18'!$C$10:$C$224,$C200,'TL18'!$J$10:$J$224),0),
IF('TL18'!$B$229=M$3,SUMIF('TL18'!$C$238:$C$451,$C200,'TL18'!$J$238:$J$451),0),
IF('TL19'!$B$3=M$3,SUMIF('TL19'!$C$10:$C$224,$C200,'TL19'!$J$10:$J$224),0),
IF('TL19'!$B$229=M$3,SUMIF('TL19'!$C$238:$C$451,$C200,'TL19'!$J$238:$J$451),0)
),0)</f>
        <v/>
      </c>
      <c r="N200" s="9">
        <f>IFERROR(SUM(
IF('TL01'!$B$3=N$3,SUMIF('TL01'!$C$10:$C$224,$C200,'TL01'!$J$10:$J$224),0),
IF('TL01'!$B$229=N$3,SUMIF('TL01'!$C$238:$C$451,$C200,'TL01'!$J$238:$J$451),0),
IF('TL02'!$B$3=N$3,SUMIF('TL02'!$C$10:$C$224,$C200,'TL02'!$J$10:$J$224),0),
IF('TL02'!$B$229=N$3,SUMIF('TL02'!$C$238:$C$451,$C200,'TL02'!$J$238:$J$451),0),
IF('TL03'!$B$3=N$3,SUMIF('TL03'!$C$10:$C$224,$C200,'TL03'!$J$10:$J$224),0),
IF('TL03'!$B$229=N$3,SUMIF('TL03'!$C$238:$C$451,$C200,'TL03'!$J$238:$J$451),0),
IF('TL04'!$B$3=N$3,SUMIF('TL04'!$C$10:$C$224,$C200,'TL04'!$J$10:$J$224),0),
IF('TL04'!$B$229=N$3,SUMIF('TL04'!$C$238:$C$451,$C200,'TL04'!$J$238:$J$451),0),
IF('TL05'!$B$3=N$3,SUMIF('TL05'!$C$10:$C$224,$C200,'TL05'!$J$10:$J$224),0),
IF('TL05'!$B$229=N$3,SUMIF('TL05'!$C$238:$C$451,$C200,'TL05'!$J$238:$J$451),0),
IF('TL06'!$B$3=N$3,SUMIF('TL06'!$C$10:$C$224,$C200,'TL06'!$J$10:$J$224),0),
IF('TL06'!$B$229=N$3,SUMIF('TL06'!$C$238:$C$451,$C200,'TL06'!$J$238:$J$451),0),
IF('TL07'!$B$3=N$3,SUMIF('TL07'!$C$10:$C$224,$C200,'TL07'!$J$10:$J$224),0),
IF('TL07'!$B$229=N$3,SUMIF('TL07'!$C$238:$C$451,$C200,'TL07'!$J$238:$J$451),0),
IF('TL08'!$B$3=N$3,SUMIF('TL08'!$C$10:$C$224,$C200,'TL08'!$J$10:$J$224),0),
IF('TL08'!$B$229=N$3,SUMIF('TL08'!$C$238:$C$451,$C200,'TL08'!$J$238:$J$451),0),
IF('TL09'!$B$3=N$3,SUMIF('TL09'!$C$10:$C$224,$C200,'TL09'!$J$10:$J$224),0),
IF('TL09'!$B$229=N$3,SUMIF('TL09'!$C$238:$C$451,$C200,'TL09'!$J$238:$J$451),0),
IF('TL10'!$B$3=N$3,SUMIF('TL10'!$C$10:$C$224,$C200,'TL10'!$J$10:$J$224),0),
IF('TL10'!$B$229=N$3,SUMIF('TL10'!$C$238:$C$451,$C200,'TL10'!$J$238:$J$451),0),
IF('TL11'!$B$3=N$3,SUMIF('TL11'!$C$10:$C$224,$C200,'TL11'!$J$10:$J$224),0),
IF('TL11'!$B$229=N$3,SUMIF('TL11'!$C$238:$C$451,$C200,'TL11'!$J$238:$J$451),0),
IF('TL12'!$B$3=N$3,SUMIF('TL12'!$C$10:$C$224,$C200,'TL12'!$J$10:$J$224),0),
IF('TL12'!$B$229=N$3,SUMIF('TL12'!$C$238:$C$451,$C200,'TL12'!$J$238:$J$451),0),
IF('TL13'!$B$3=N$3,SUMIF('TL13'!$C$10:$C$224,$C200,'TL13'!$J$10:$J$224),0),
IF('TL13'!$B$229=N$3,SUMIF('TL13'!$C$238:$C$451,$C200,'TL13'!$J$238:$J$451),0),
IF('TL14'!$B$3=N$3,SUMIF('TL14'!$C$10:$C$224,$C200,'TL14'!$J$10:$J$224),0),
IF('TL14'!$B$229=N$3,SUMIF('TL14'!$C$238:$C$451,$C200,'TL14'!$J$238:$J$451),0),
IF('TL15'!$B$3=N$3,SUMIF('TL15'!$C$10:$C$224,$C200,'TL15'!$J$10:$J$224),0),
IF('TL15'!$B$229=N$3,SUMIF('TL15'!$C$238:$C$451,$C200,'TL15'!$J$238:$J$451),0),
IF('TL16'!$B$3=N$3,SUMIF('TL16'!$C$10:$C$224,$C200,'TL16'!$J$10:$J$224),0),
IF('TL16'!$B$229=N$3,SUMIF('TL16'!$C$238:$C$451,$C200,'TL16'!$J$238:$J$451),0),
IF('TL17'!$B$3=N$3,SUMIF('TL17'!$C$10:$C$224,$C200,'TL17'!$J$10:$J$224),0),
IF('TL17'!$B$229=N$3,SUMIF('TL17'!$C$238:$C$451,$C200,'TL17'!$J$238:$J$451),0),
IF('TL18'!$B$3=N$3,SUMIF('TL18'!$C$10:$C$224,$C200,'TL18'!$J$10:$J$224),0),
IF('TL18'!$B$229=N$3,SUMIF('TL18'!$C$238:$C$451,$C200,'TL18'!$J$238:$J$451),0),
IF('TL19'!$B$3=N$3,SUMIF('TL19'!$C$10:$C$224,$C200,'TL19'!$J$10:$J$224),0),
IF('TL19'!$B$229=N$3,SUMIF('TL19'!$C$238:$C$451,$C200,'TL19'!$J$238:$J$451),0)
),0)</f>
        <v/>
      </c>
      <c r="O200" s="9">
        <f>IFERROR(SUM(
IF('TL01'!$B$3=O$3,SUMIF('TL01'!$C$10:$C$224,$C200,'TL01'!$J$10:$J$224),0),
IF('TL01'!$B$229=O$3,SUMIF('TL01'!$C$238:$C$451,$C200,'TL01'!$J$238:$J$451),0),
IF('TL02'!$B$3=O$3,SUMIF('TL02'!$C$10:$C$224,$C200,'TL02'!$J$10:$J$224),0),
IF('TL02'!$B$229=O$3,SUMIF('TL02'!$C$238:$C$451,$C200,'TL02'!$J$238:$J$451),0),
IF('TL03'!$B$3=O$3,SUMIF('TL03'!$C$10:$C$224,$C200,'TL03'!$J$10:$J$224),0),
IF('TL03'!$B$229=O$3,SUMIF('TL03'!$C$238:$C$451,$C200,'TL03'!$J$238:$J$451),0),
IF('TL04'!$B$3=O$3,SUMIF('TL04'!$C$10:$C$224,$C200,'TL04'!$J$10:$J$224),0),
IF('TL04'!$B$229=O$3,SUMIF('TL04'!$C$238:$C$451,$C200,'TL04'!$J$238:$J$451),0),
IF('TL05'!$B$3=O$3,SUMIF('TL05'!$C$10:$C$224,$C200,'TL05'!$J$10:$J$224),0),
IF('TL05'!$B$229=O$3,SUMIF('TL05'!$C$238:$C$451,$C200,'TL05'!$J$238:$J$451),0),
IF('TL06'!$B$3=O$3,SUMIF('TL06'!$C$10:$C$224,$C200,'TL06'!$J$10:$J$224),0),
IF('TL06'!$B$229=O$3,SUMIF('TL06'!$C$238:$C$451,$C200,'TL06'!$J$238:$J$451),0),
IF('TL07'!$B$3=O$3,SUMIF('TL07'!$C$10:$C$224,$C200,'TL07'!$J$10:$J$224),0),
IF('TL07'!$B$229=O$3,SUMIF('TL07'!$C$238:$C$451,$C200,'TL07'!$J$238:$J$451),0),
IF('TL08'!$B$3=O$3,SUMIF('TL08'!$C$10:$C$224,$C200,'TL08'!$J$10:$J$224),0),
IF('TL08'!$B$229=O$3,SUMIF('TL08'!$C$238:$C$451,$C200,'TL08'!$J$238:$J$451),0),
IF('TL09'!$B$3=O$3,SUMIF('TL09'!$C$10:$C$224,$C200,'TL09'!$J$10:$J$224),0),
IF('TL09'!$B$229=O$3,SUMIF('TL09'!$C$238:$C$451,$C200,'TL09'!$J$238:$J$451),0),
IF('TL10'!$B$3=O$3,SUMIF('TL10'!$C$10:$C$224,$C200,'TL10'!$J$10:$J$224),0),
IF('TL10'!$B$229=O$3,SUMIF('TL10'!$C$238:$C$451,$C200,'TL10'!$J$238:$J$451),0),
IF('TL11'!$B$3=O$3,SUMIF('TL11'!$C$10:$C$224,$C200,'TL11'!$J$10:$J$224),0),
IF('TL11'!$B$229=O$3,SUMIF('TL11'!$C$238:$C$451,$C200,'TL11'!$J$238:$J$451),0),
IF('TL12'!$B$3=O$3,SUMIF('TL12'!$C$10:$C$224,$C200,'TL12'!$J$10:$J$224),0),
IF('TL12'!$B$229=O$3,SUMIF('TL12'!$C$238:$C$451,$C200,'TL12'!$J$238:$J$451),0),
IF('TL13'!$B$3=O$3,SUMIF('TL13'!$C$10:$C$224,$C200,'TL13'!$J$10:$J$224),0),
IF('TL13'!$B$229=O$3,SUMIF('TL13'!$C$238:$C$451,$C200,'TL13'!$J$238:$J$451),0),
IF('TL14'!$B$3=O$3,SUMIF('TL14'!$C$10:$C$224,$C200,'TL14'!$J$10:$J$224),0),
IF('TL14'!$B$229=O$3,SUMIF('TL14'!$C$238:$C$451,$C200,'TL14'!$J$238:$J$451),0),
IF('TL15'!$B$3=O$3,SUMIF('TL15'!$C$10:$C$224,$C200,'TL15'!$J$10:$J$224),0),
IF('TL15'!$B$229=O$3,SUMIF('TL15'!$C$238:$C$451,$C200,'TL15'!$J$238:$J$451),0),
IF('TL16'!$B$3=O$3,SUMIF('TL16'!$C$10:$C$224,$C200,'TL16'!$J$10:$J$224),0),
IF('TL16'!$B$229=O$3,SUMIF('TL16'!$C$238:$C$451,$C200,'TL16'!$J$238:$J$451),0),
IF('TL17'!$B$3=O$3,SUMIF('TL17'!$C$10:$C$224,$C200,'TL17'!$J$10:$J$224),0),
IF('TL17'!$B$229=O$3,SUMIF('TL17'!$C$238:$C$451,$C200,'TL17'!$J$238:$J$451),0),
IF('TL18'!$B$3=O$3,SUMIF('TL18'!$C$10:$C$224,$C200,'TL18'!$J$10:$J$224),0),
IF('TL18'!$B$229=O$3,SUMIF('TL18'!$C$238:$C$451,$C200,'TL18'!$J$238:$J$451),0),
IF('TL19'!$B$3=O$3,SUMIF('TL19'!$C$10:$C$224,$C200,'TL19'!$J$10:$J$224),0),
IF('TL19'!$B$229=O$3,SUMIF('TL19'!$C$238:$C$451,$C200,'TL19'!$J$238:$J$451),0)
),0)</f>
        <v/>
      </c>
      <c r="P200" s="9">
        <f>IFERROR(SUM(
IF('TL01'!$B$3=P$3,SUMIF('TL01'!$C$10:$C$224,$C200,'TL01'!$J$10:$J$224),0),
IF('TL01'!$B$229=P$3,SUMIF('TL01'!$C$238:$C$451,$C200,'TL01'!$J$238:$J$451),0),
IF('TL02'!$B$3=P$3,SUMIF('TL02'!$C$10:$C$224,$C200,'TL02'!$J$10:$J$224),0),
IF('TL02'!$B$229=P$3,SUMIF('TL02'!$C$238:$C$451,$C200,'TL02'!$J$238:$J$451),0),
IF('TL03'!$B$3=P$3,SUMIF('TL03'!$C$10:$C$224,$C200,'TL03'!$J$10:$J$224),0),
IF('TL03'!$B$229=P$3,SUMIF('TL03'!$C$238:$C$451,$C200,'TL03'!$J$238:$J$451),0),
IF('TL04'!$B$3=P$3,SUMIF('TL04'!$C$10:$C$224,$C200,'TL04'!$J$10:$J$224),0),
IF('TL04'!$B$229=P$3,SUMIF('TL04'!$C$238:$C$451,$C200,'TL04'!$J$238:$J$451),0),
IF('TL05'!$B$3=P$3,SUMIF('TL05'!$C$10:$C$224,$C200,'TL05'!$J$10:$J$224),0),
IF('TL05'!$B$229=P$3,SUMIF('TL05'!$C$238:$C$451,$C200,'TL05'!$J$238:$J$451),0),
IF('TL06'!$B$3=P$3,SUMIF('TL06'!$C$10:$C$224,$C200,'TL06'!$J$10:$J$224),0),
IF('TL06'!$B$229=P$3,SUMIF('TL06'!$C$238:$C$451,$C200,'TL06'!$J$238:$J$451),0),
IF('TL07'!$B$3=P$3,SUMIF('TL07'!$C$10:$C$224,$C200,'TL07'!$J$10:$J$224),0),
IF('TL07'!$B$229=P$3,SUMIF('TL07'!$C$238:$C$451,$C200,'TL07'!$J$238:$J$451),0),
IF('TL08'!$B$3=P$3,SUMIF('TL08'!$C$10:$C$224,$C200,'TL08'!$J$10:$J$224),0),
IF('TL08'!$B$229=P$3,SUMIF('TL08'!$C$238:$C$451,$C200,'TL08'!$J$238:$J$451),0),
IF('TL09'!$B$3=P$3,SUMIF('TL09'!$C$10:$C$224,$C200,'TL09'!$J$10:$J$224),0),
IF('TL09'!$B$229=P$3,SUMIF('TL09'!$C$238:$C$451,$C200,'TL09'!$J$238:$J$451),0),
IF('TL10'!$B$3=P$3,SUMIF('TL10'!$C$10:$C$224,$C200,'TL10'!$J$10:$J$224),0),
IF('TL10'!$B$229=P$3,SUMIF('TL10'!$C$238:$C$451,$C200,'TL10'!$J$238:$J$451),0),
IF('TL11'!$B$3=P$3,SUMIF('TL11'!$C$10:$C$224,$C200,'TL11'!$J$10:$J$224),0),
IF('TL11'!$B$229=P$3,SUMIF('TL11'!$C$238:$C$451,$C200,'TL11'!$J$238:$J$451),0),
IF('TL12'!$B$3=P$3,SUMIF('TL12'!$C$10:$C$224,$C200,'TL12'!$J$10:$J$224),0),
IF('TL12'!$B$229=P$3,SUMIF('TL12'!$C$238:$C$451,$C200,'TL12'!$J$238:$J$451),0),
IF('TL13'!$B$3=P$3,SUMIF('TL13'!$C$10:$C$224,$C200,'TL13'!$J$10:$J$224),0),
IF('TL13'!$B$229=P$3,SUMIF('TL13'!$C$238:$C$451,$C200,'TL13'!$J$238:$J$451),0),
IF('TL14'!$B$3=P$3,SUMIF('TL14'!$C$10:$C$224,$C200,'TL14'!$J$10:$J$224),0),
IF('TL14'!$B$229=P$3,SUMIF('TL14'!$C$238:$C$451,$C200,'TL14'!$J$238:$J$451),0),
IF('TL15'!$B$3=P$3,SUMIF('TL15'!$C$10:$C$224,$C200,'TL15'!$J$10:$J$224),0),
IF('TL15'!$B$229=P$3,SUMIF('TL15'!$C$238:$C$451,$C200,'TL15'!$J$238:$J$451),0),
IF('TL16'!$B$3=P$3,SUMIF('TL16'!$C$10:$C$224,$C200,'TL16'!$J$10:$J$224),0),
IF('TL16'!$B$229=P$3,SUMIF('TL16'!$C$238:$C$451,$C200,'TL16'!$J$238:$J$451),0),
IF('TL17'!$B$3=P$3,SUMIF('TL17'!$C$10:$C$224,$C200,'TL17'!$J$10:$J$224),0),
IF('TL17'!$B$229=P$3,SUMIF('TL17'!$C$238:$C$451,$C200,'TL17'!$J$238:$J$451),0),
IF('TL18'!$B$3=P$3,SUMIF('TL18'!$C$10:$C$224,$C200,'TL18'!$J$10:$J$224),0),
IF('TL18'!$B$229=P$3,SUMIF('TL18'!$C$238:$C$451,$C200,'TL18'!$J$238:$J$451),0),
IF('TL19'!$B$3=P$3,SUMIF('TL19'!$C$10:$C$224,$C200,'TL19'!$J$10:$J$224),0),
IF('TL19'!$B$229=P$3,SUMIF('TL19'!$C$238:$C$451,$C200,'TL19'!$J$238:$J$451),0)
),0)</f>
        <v/>
      </c>
      <c r="Q200" s="9">
        <f>IFERROR(SUM(
IF('TL01'!$B$3=Q$3,SUMIF('TL01'!$C$10:$C$224,$C200,'TL01'!$J$10:$J$224),0),
IF('TL01'!$B$229=Q$3,SUMIF('TL01'!$C$238:$C$451,$C200,'TL01'!$J$238:$J$451),0),
IF('TL02'!$B$3=Q$3,SUMIF('TL02'!$C$10:$C$224,$C200,'TL02'!$J$10:$J$224),0),
IF('TL02'!$B$229=Q$3,SUMIF('TL02'!$C$238:$C$451,$C200,'TL02'!$J$238:$J$451),0),
IF('TL03'!$B$3=Q$3,SUMIF('TL03'!$C$10:$C$224,$C200,'TL03'!$J$10:$J$224),0),
IF('TL03'!$B$229=Q$3,SUMIF('TL03'!$C$238:$C$451,$C200,'TL03'!$J$238:$J$451),0),
IF('TL04'!$B$3=Q$3,SUMIF('TL04'!$C$10:$C$224,$C200,'TL04'!$J$10:$J$224),0),
IF('TL04'!$B$229=Q$3,SUMIF('TL04'!$C$238:$C$451,$C200,'TL04'!$J$238:$J$451),0),
IF('TL05'!$B$3=Q$3,SUMIF('TL05'!$C$10:$C$224,$C200,'TL05'!$J$10:$J$224),0),
IF('TL05'!$B$229=Q$3,SUMIF('TL05'!$C$238:$C$451,$C200,'TL05'!$J$238:$J$451),0),
IF('TL06'!$B$3=Q$3,SUMIF('TL06'!$C$10:$C$224,$C200,'TL06'!$J$10:$J$224),0),
IF('TL06'!$B$229=Q$3,SUMIF('TL06'!$C$238:$C$451,$C200,'TL06'!$J$238:$J$451),0),
IF('TL07'!$B$3=Q$3,SUMIF('TL07'!$C$10:$C$224,$C200,'TL07'!$J$10:$J$224),0),
IF('TL07'!$B$229=Q$3,SUMIF('TL07'!$C$238:$C$451,$C200,'TL07'!$J$238:$J$451),0),
IF('TL08'!$B$3=Q$3,SUMIF('TL08'!$C$10:$C$224,$C200,'TL08'!$J$10:$J$224),0),
IF('TL08'!$B$229=Q$3,SUMIF('TL08'!$C$238:$C$451,$C200,'TL08'!$J$238:$J$451),0),
IF('TL09'!$B$3=Q$3,SUMIF('TL09'!$C$10:$C$224,$C200,'TL09'!$J$10:$J$224),0),
IF('TL09'!$B$229=Q$3,SUMIF('TL09'!$C$238:$C$451,$C200,'TL09'!$J$238:$J$451),0),
IF('TL10'!$B$3=Q$3,SUMIF('TL10'!$C$10:$C$224,$C200,'TL10'!$J$10:$J$224),0),
IF('TL10'!$B$229=Q$3,SUMIF('TL10'!$C$238:$C$451,$C200,'TL10'!$J$238:$J$451),0),
IF('TL11'!$B$3=Q$3,SUMIF('TL11'!$C$10:$C$224,$C200,'TL11'!$J$10:$J$224),0),
IF('TL11'!$B$229=Q$3,SUMIF('TL11'!$C$238:$C$451,$C200,'TL11'!$J$238:$J$451),0),
IF('TL12'!$B$3=Q$3,SUMIF('TL12'!$C$10:$C$224,$C200,'TL12'!$J$10:$J$224),0),
IF('TL12'!$B$229=Q$3,SUMIF('TL12'!$C$238:$C$451,$C200,'TL12'!$J$238:$J$451),0),
IF('TL13'!$B$3=Q$3,SUMIF('TL13'!$C$10:$C$224,$C200,'TL13'!$J$10:$J$224),0),
IF('TL13'!$B$229=Q$3,SUMIF('TL13'!$C$238:$C$451,$C200,'TL13'!$J$238:$J$451),0),
IF('TL14'!$B$3=Q$3,SUMIF('TL14'!$C$10:$C$224,$C200,'TL14'!$J$10:$J$224),0),
IF('TL14'!$B$229=Q$3,SUMIF('TL14'!$C$238:$C$451,$C200,'TL14'!$J$238:$J$451),0),
IF('TL15'!$B$3=Q$3,SUMIF('TL15'!$C$10:$C$224,$C200,'TL15'!$J$10:$J$224),0),
IF('TL15'!$B$229=Q$3,SUMIF('TL15'!$C$238:$C$451,$C200,'TL15'!$J$238:$J$451),0),
IF('TL16'!$B$3=Q$3,SUMIF('TL16'!$C$10:$C$224,$C200,'TL16'!$J$10:$J$224),0),
IF('TL16'!$B$229=Q$3,SUMIF('TL16'!$C$238:$C$451,$C200,'TL16'!$J$238:$J$451),0),
IF('TL17'!$B$3=Q$3,SUMIF('TL17'!$C$10:$C$224,$C200,'TL17'!$J$10:$J$224),0),
IF('TL17'!$B$229=Q$3,SUMIF('TL17'!$C$238:$C$451,$C200,'TL17'!$J$238:$J$451),0),
IF('TL18'!$B$3=Q$3,SUMIF('TL18'!$C$10:$C$224,$C200,'TL18'!$J$10:$J$224),0),
IF('TL18'!$B$229=Q$3,SUMIF('TL18'!$C$238:$C$451,$C200,'TL18'!$J$238:$J$451),0),
IF('TL19'!$B$3=Q$3,SUMIF('TL19'!$C$10:$C$224,$C200,'TL19'!$J$10:$J$224),0),
IF('TL19'!$B$229=Q$3,SUMIF('TL19'!$C$238:$C$451,$C200,'TL19'!$J$238:$J$451),0)
),0)</f>
        <v/>
      </c>
      <c r="R200" s="9">
        <f>IFERROR(
SUM(
SUMIF('TL01'!C:C,C200,'TL01'!J:J),
SUMIF('TL02'!C:C,C200,'TL02'!J:J),
SUMIF('TL03'!C:C,C200,'TL03'!J:J),
SUMIF('TL04'!C:C,C200,'TL04'!J:J),
SUMIF('TL05'!C:C,C200,'TL05'!J:J),
SUMIF('TL06'!C:C,C200,'TL06'!J:J),
SUMIF('TL07'!C:C,C200,'TL07'!J:J),
SUMIF('TL08'!C:C,C200,'TL08'!J:J),
SUMIF('TL09'!C:C,C200,'TL09'!J:J),
SUMIF('TL10'!C:C,C200,'TL10'!J:J),
SUMIF('TL11'!C:C,C200,'TL11'!J:J),
SUMIF('TL12'!C:C,C200,'TL12'!J:J),
SUMIF('TL13'!C:C,C200,'TL13'!J:J),
SUMIF('TL14'!C:C,C200,'TL14'!J:J),
SUMIF('TL15'!C:C,C200,'TL15'!J:J),
SUMIF('TL16'!C:C,C200,'TL16'!J:J),
SUMIF('TL17'!C:C,C200,'TL17'!J:J),
SUMIF('TL18'!C:C,C200,'TL18'!J:J),SUMIF('TL19'!C:C,C200,'TL19'!J:J))
,0)</f>
        <v/>
      </c>
      <c r="S200" s="17">
        <f>IFERROR(__xludf.DUMMYFUNCTION("IFERROR(VLOOKUP(C200,
IMPORTRANGE(""1wULbzX32WdYsx-lj2U3uUNBBe2INVIRDtcK0d-Dvl90"",
""26-27!C:G""),
5,
FALSE),
"""")"),147.54936)</f>
        <v/>
      </c>
      <c r="T200" s="9" t="n"/>
      <c r="U200" s="92">
        <f>MAX(0,R200-T200)</f>
        <v/>
      </c>
      <c r="V200" s="93">
        <f>U200*S200</f>
        <v/>
      </c>
    </row>
    <row r="201" hidden="1" ht="15.75" customHeight="1" s="297">
      <c r="A201" s="94" t="inlineStr">
        <is>
          <t>FMC</t>
        </is>
      </c>
      <c r="B201" s="95" t="inlineStr">
        <is>
          <t>INSETICIDA</t>
        </is>
      </c>
      <c r="C201" s="96" t="inlineStr">
        <is>
          <t>HERO</t>
        </is>
      </c>
      <c r="D201" s="96" t="inlineStr">
        <is>
          <t>ZETA-CIPERMETRINA + BIFENTRINA</t>
        </is>
      </c>
      <c r="E201" s="96" t="inlineStr">
        <is>
          <t>200 + 180</t>
        </is>
      </c>
      <c r="F201" s="4" t="inlineStr">
        <is>
          <t>L</t>
        </is>
      </c>
      <c r="G201" s="90">
        <f>HYPERLINK("https://www.google.com/search?q=" &amp; C201 &amp; "+bula+agrofit+pdf", "📄 Ver bula")</f>
        <v/>
      </c>
      <c r="H201" s="9">
        <f>IFERROR(__xludf.DUMMYFUNCTION("IFERROR(VLOOKUP(C201,
IMPORTRANGE(""1wULbzX32WdYsx-lj2U3uUNBBe2INVIRDtcK0d-Dvl90"",
""26-27!C:K""),
8,
FALSE),
"""")"),0.2)</f>
        <v/>
      </c>
      <c r="I201" s="97" t="inlineStr">
        <is>
          <t>4X5 ou 15X1</t>
        </is>
      </c>
      <c r="J201" s="9">
        <f>IFERROR(SUM(
IF('TL01'!$B$3=J$3,SUMIF('TL01'!$C$10:$C$224,$C201,'TL01'!$J$10:$J$224),0),
IF('TL01'!$B$229=J$3,SUMIF('TL01'!$C$238:$C$451,$C201,'TL01'!$J$238:$J$451),0),
IF('TL02'!$B$3=J$3,SUMIF('TL02'!$C$10:$C$224,$C201,'TL02'!$J$10:$J$224),0),
IF('TL02'!$B$229=J$3,SUMIF('TL02'!$C$238:$C$451,$C201,'TL02'!$J$238:$J$451),0),
IF('TL03'!$B$3=J$3,SUMIF('TL03'!$C$10:$C$224,$C201,'TL03'!$J$10:$J$224),0),
IF('TL03'!$B$229=J$3,SUMIF('TL03'!$C$238:$C$451,$C201,'TL03'!$J$238:$J$451),0),
IF('TL04'!$B$3=J$3,SUMIF('TL04'!$C$10:$C$224,$C201,'TL04'!$J$10:$J$224),0),
IF('TL04'!$B$229=J$3,SUMIF('TL04'!$C$238:$C$451,$C201,'TL04'!$J$238:$J$451),0),
IF('TL05'!$B$3=J$3,SUMIF('TL05'!$C$10:$C$224,$C201,'TL05'!$J$10:$J$224),0),
IF('TL05'!$B$229=J$3,SUMIF('TL05'!$C$238:$C$451,$C201,'TL05'!$J$238:$J$451),0),
IF('TL06'!$B$3=J$3,SUMIF('TL06'!$C$10:$C$224,$C201,'TL06'!$J$10:$J$224),0),
IF('TL06'!$B$229=J$3,SUMIF('TL06'!$C$238:$C$451,$C201,'TL06'!$J$238:$J$451),0),
IF('TL07'!$B$3=J$3,SUMIF('TL07'!$C$10:$C$224,$C201,'TL07'!$J$10:$J$224),0),
IF('TL07'!$B$229=J$3,SUMIF('TL07'!$C$238:$C$451,$C201,'TL07'!$J$238:$J$451),0),
IF('TL08'!$B$3=J$3,SUMIF('TL08'!$C$10:$C$224,$C201,'TL08'!$J$10:$J$224),0),
IF('TL08'!$B$229=J$3,SUMIF('TL08'!$C$238:$C$451,$C201,'TL08'!$J$238:$J$451),0),
IF('TL09'!$B$3=J$3,SUMIF('TL09'!$C$10:$C$224,$C201,'TL09'!$J$10:$J$224),0),
IF('TL09'!$B$229=J$3,SUMIF('TL09'!$C$238:$C$451,$C201,'TL09'!$J$238:$J$451),0),
IF('TL10'!$B$3=J$3,SUMIF('TL10'!$C$10:$C$224,$C201,'TL10'!$J$10:$J$224),0),
IF('TL10'!$B$229=J$3,SUMIF('TL10'!$C$238:$C$451,$C201,'TL10'!$J$238:$J$451),0),
IF('TL11'!$B$3=J$3,SUMIF('TL11'!$C$10:$C$224,$C201,'TL11'!$J$10:$J$224),0),
IF('TL11'!$B$229=J$3,SUMIF('TL11'!$C$238:$C$451,$C201,'TL11'!$J$238:$J$451),0),
IF('TL12'!$B$3=J$3,SUMIF('TL12'!$C$10:$C$224,$C201,'TL12'!$J$10:$J$224),0),
IF('TL12'!$B$229=J$3,SUMIF('TL12'!$C$238:$C$451,$C201,'TL12'!$J$238:$J$451),0),
IF('TL13'!$B$3=J$3,SUMIF('TL13'!$C$10:$C$224,$C201,'TL13'!$J$10:$J$224),0),
IF('TL13'!$B$229=J$3,SUMIF('TL13'!$C$238:$C$451,$C201,'TL13'!$J$238:$J$451),0),
IF('TL14'!$B$3=J$3,SUMIF('TL14'!$C$10:$C$224,$C201,'TL14'!$J$10:$J$224),0),
IF('TL14'!$B$229=J$3,SUMIF('TL14'!$C$238:$C$451,$C201,'TL14'!$J$238:$J$451),0),
IF('TL15'!$B$3=J$3,SUMIF('TL15'!$C$10:$C$224,$C201,'TL15'!$J$10:$J$224),0),
IF('TL15'!$B$229=J$3,SUMIF('TL15'!$C$238:$C$451,$C201,'TL15'!$J$238:$J$451),0),
IF('TL16'!$B$3=J$3,SUMIF('TL16'!$C$10:$C$224,$C201,'TL16'!$J$10:$J$224),0),
IF('TL16'!$B$229=J$3,SUMIF('TL16'!$C$238:$C$451,$C201,'TL16'!$J$238:$J$451),0),
IF('TL17'!$B$3=J$3,SUMIF('TL17'!$C$10:$C$224,$C201,'TL17'!$J$10:$J$224),0),
IF('TL17'!$B$229=J$3,SUMIF('TL17'!$C$238:$C$451,$C201,'TL17'!$J$238:$J$451),0),
IF('TL18'!$B$3=J$3,SUMIF('TL18'!$C$10:$C$224,$C201,'TL18'!$J$10:$J$224),0),
IF('TL18'!$B$229=J$3,SUMIF('TL18'!$C$238:$C$451,$C201,'TL18'!$J$238:$J$451),0),
IF('TL19'!$B$3=J$3,SUMIF('TL19'!$C$10:$C$224,$C201,'TL19'!$J$10:$J$224),0),
IF('TL19'!$B$229=J$3,SUMIF('TL19'!$C$238:$C$451,$C201,'TL19'!$J$238:$J$451),0)
),0)</f>
        <v/>
      </c>
      <c r="K201" s="9">
        <f>IFERROR(SUM(
IF('TL01'!$B$3=K$3,SUMIF('TL01'!$C$10:$C$224,$C201,'TL01'!$J$10:$J$224),0),
IF('TL01'!$B$229=K$3,SUMIF('TL01'!$C$238:$C$451,$C201,'TL01'!$J$238:$J$451),0),
IF('TL02'!$B$3=K$3,SUMIF('TL02'!$C$10:$C$224,$C201,'TL02'!$J$10:$J$224),0),
IF('TL02'!$B$229=K$3,SUMIF('TL02'!$C$238:$C$451,$C201,'TL02'!$J$238:$J$451),0),
IF('TL03'!$B$3=K$3,SUMIF('TL03'!$C$10:$C$224,$C201,'TL03'!$J$10:$J$224),0),
IF('TL03'!$B$229=K$3,SUMIF('TL03'!$C$238:$C$451,$C201,'TL03'!$J$238:$J$451),0),
IF('TL04'!$B$3=K$3,SUMIF('TL04'!$C$10:$C$224,$C201,'TL04'!$J$10:$J$224),0),
IF('TL04'!$B$229=K$3,SUMIF('TL04'!$C$238:$C$451,$C201,'TL04'!$J$238:$J$451),0),
IF('TL05'!$B$3=K$3,SUMIF('TL05'!$C$10:$C$224,$C201,'TL05'!$J$10:$J$224),0),
IF('TL05'!$B$229=K$3,SUMIF('TL05'!$C$238:$C$451,$C201,'TL05'!$J$238:$J$451),0),
IF('TL06'!$B$3=K$3,SUMIF('TL06'!$C$10:$C$224,$C201,'TL06'!$J$10:$J$224),0),
IF('TL06'!$B$229=K$3,SUMIF('TL06'!$C$238:$C$451,$C201,'TL06'!$J$238:$J$451),0),
IF('TL07'!$B$3=K$3,SUMIF('TL07'!$C$10:$C$224,$C201,'TL07'!$J$10:$J$224),0),
IF('TL07'!$B$229=K$3,SUMIF('TL07'!$C$238:$C$451,$C201,'TL07'!$J$238:$J$451),0),
IF('TL08'!$B$3=K$3,SUMIF('TL08'!$C$10:$C$224,$C201,'TL08'!$J$10:$J$224),0),
IF('TL08'!$B$229=K$3,SUMIF('TL08'!$C$238:$C$451,$C201,'TL08'!$J$238:$J$451),0),
IF('TL09'!$B$3=K$3,SUMIF('TL09'!$C$10:$C$224,$C201,'TL09'!$J$10:$J$224),0),
IF('TL09'!$B$229=K$3,SUMIF('TL09'!$C$238:$C$451,$C201,'TL09'!$J$238:$J$451),0),
IF('TL10'!$B$3=K$3,SUMIF('TL10'!$C$10:$C$224,$C201,'TL10'!$J$10:$J$224),0),
IF('TL10'!$B$229=K$3,SUMIF('TL10'!$C$238:$C$451,$C201,'TL10'!$J$238:$J$451),0),
IF('TL11'!$B$3=K$3,SUMIF('TL11'!$C$10:$C$224,$C201,'TL11'!$J$10:$J$224),0),
IF('TL11'!$B$229=K$3,SUMIF('TL11'!$C$238:$C$451,$C201,'TL11'!$J$238:$J$451),0),
IF('TL12'!$B$3=K$3,SUMIF('TL12'!$C$10:$C$224,$C201,'TL12'!$J$10:$J$224),0),
IF('TL12'!$B$229=K$3,SUMIF('TL12'!$C$238:$C$451,$C201,'TL12'!$J$238:$J$451),0),
IF('TL13'!$B$3=K$3,SUMIF('TL13'!$C$10:$C$224,$C201,'TL13'!$J$10:$J$224),0),
IF('TL13'!$B$229=K$3,SUMIF('TL13'!$C$238:$C$451,$C201,'TL13'!$J$238:$J$451),0),
IF('TL14'!$B$3=K$3,SUMIF('TL14'!$C$10:$C$224,$C201,'TL14'!$J$10:$J$224),0),
IF('TL14'!$B$229=K$3,SUMIF('TL14'!$C$238:$C$451,$C201,'TL14'!$J$238:$J$451),0),
IF('TL15'!$B$3=K$3,SUMIF('TL15'!$C$10:$C$224,$C201,'TL15'!$J$10:$J$224),0),
IF('TL15'!$B$229=K$3,SUMIF('TL15'!$C$238:$C$451,$C201,'TL15'!$J$238:$J$451),0),
IF('TL16'!$B$3=K$3,SUMIF('TL16'!$C$10:$C$224,$C201,'TL16'!$J$10:$J$224),0),
IF('TL16'!$B$229=K$3,SUMIF('TL16'!$C$238:$C$451,$C201,'TL16'!$J$238:$J$451),0),
IF('TL17'!$B$3=K$3,SUMIF('TL17'!$C$10:$C$224,$C201,'TL17'!$J$10:$J$224),0),
IF('TL17'!$B$229=K$3,SUMIF('TL17'!$C$238:$C$451,$C201,'TL17'!$J$238:$J$451),0),
IF('TL18'!$B$3=K$3,SUMIF('TL18'!$C$10:$C$224,$C201,'TL18'!$J$10:$J$224),0),
IF('TL18'!$B$229=K$3,SUMIF('TL18'!$C$238:$C$451,$C201,'TL18'!$J$238:$J$451),0),
IF('TL19'!$B$3=K$3,SUMIF('TL19'!$C$10:$C$224,$C201,'TL19'!$J$10:$J$224),0),
IF('TL19'!$B$229=K$3,SUMIF('TL19'!$C$238:$C$451,$C201,'TL19'!$J$238:$J$451),0)
),0)</f>
        <v/>
      </c>
      <c r="L201" s="9">
        <f>IFERROR(SUM(
IF('TL01'!$B$3=L$3,SUMIF('TL01'!$C$10:$C$224,$C201,'TL01'!$J$10:$J$224),0),
IF('TL01'!$B$229=L$3,SUMIF('TL01'!$C$238:$C$451,$C201,'TL01'!$J$238:$J$451),0),
IF('TL02'!$B$3=L$3,SUMIF('TL02'!$C$10:$C$224,$C201,'TL02'!$J$10:$J$224),0),
IF('TL02'!$B$229=L$3,SUMIF('TL02'!$C$238:$C$451,$C201,'TL02'!$J$238:$J$451),0),
IF('TL03'!$B$3=L$3,SUMIF('TL03'!$C$10:$C$224,$C201,'TL03'!$J$10:$J$224),0),
IF('TL03'!$B$229=L$3,SUMIF('TL03'!$C$238:$C$451,$C201,'TL03'!$J$238:$J$451),0),
IF('TL04'!$B$3=L$3,SUMIF('TL04'!$C$10:$C$224,$C201,'TL04'!$J$10:$J$224),0),
IF('TL04'!$B$229=L$3,SUMIF('TL04'!$C$238:$C$451,$C201,'TL04'!$J$238:$J$451),0),
IF('TL05'!$B$3=L$3,SUMIF('TL05'!$C$10:$C$224,$C201,'TL05'!$J$10:$J$224),0),
IF('TL05'!$B$229=L$3,SUMIF('TL05'!$C$238:$C$451,$C201,'TL05'!$J$238:$J$451),0),
IF('TL06'!$B$3=L$3,SUMIF('TL06'!$C$10:$C$224,$C201,'TL06'!$J$10:$J$224),0),
IF('TL06'!$B$229=L$3,SUMIF('TL06'!$C$238:$C$451,$C201,'TL06'!$J$238:$J$451),0),
IF('TL07'!$B$3=L$3,SUMIF('TL07'!$C$10:$C$224,$C201,'TL07'!$J$10:$J$224),0),
IF('TL07'!$B$229=L$3,SUMIF('TL07'!$C$238:$C$451,$C201,'TL07'!$J$238:$J$451),0),
IF('TL08'!$B$3=L$3,SUMIF('TL08'!$C$10:$C$224,$C201,'TL08'!$J$10:$J$224),0),
IF('TL08'!$B$229=L$3,SUMIF('TL08'!$C$238:$C$451,$C201,'TL08'!$J$238:$J$451),0),
IF('TL09'!$B$3=L$3,SUMIF('TL09'!$C$10:$C$224,$C201,'TL09'!$J$10:$J$224),0),
IF('TL09'!$B$229=L$3,SUMIF('TL09'!$C$238:$C$451,$C201,'TL09'!$J$238:$J$451),0),
IF('TL10'!$B$3=L$3,SUMIF('TL10'!$C$10:$C$224,$C201,'TL10'!$J$10:$J$224),0),
IF('TL10'!$B$229=L$3,SUMIF('TL10'!$C$238:$C$451,$C201,'TL10'!$J$238:$J$451),0),
IF('TL11'!$B$3=L$3,SUMIF('TL11'!$C$10:$C$224,$C201,'TL11'!$J$10:$J$224),0),
IF('TL11'!$B$229=L$3,SUMIF('TL11'!$C$238:$C$451,$C201,'TL11'!$J$238:$J$451),0),
IF('TL12'!$B$3=L$3,SUMIF('TL12'!$C$10:$C$224,$C201,'TL12'!$J$10:$J$224),0),
IF('TL12'!$B$229=L$3,SUMIF('TL12'!$C$238:$C$451,$C201,'TL12'!$J$238:$J$451),0),
IF('TL13'!$B$3=L$3,SUMIF('TL13'!$C$10:$C$224,$C201,'TL13'!$J$10:$J$224),0),
IF('TL13'!$B$229=L$3,SUMIF('TL13'!$C$238:$C$451,$C201,'TL13'!$J$238:$J$451),0),
IF('TL14'!$B$3=L$3,SUMIF('TL14'!$C$10:$C$224,$C201,'TL14'!$J$10:$J$224),0),
IF('TL14'!$B$229=L$3,SUMIF('TL14'!$C$238:$C$451,$C201,'TL14'!$J$238:$J$451),0),
IF('TL15'!$B$3=L$3,SUMIF('TL15'!$C$10:$C$224,$C201,'TL15'!$J$10:$J$224),0),
IF('TL15'!$B$229=L$3,SUMIF('TL15'!$C$238:$C$451,$C201,'TL15'!$J$238:$J$451),0),
IF('TL16'!$B$3=L$3,SUMIF('TL16'!$C$10:$C$224,$C201,'TL16'!$J$10:$J$224),0),
IF('TL16'!$B$229=L$3,SUMIF('TL16'!$C$238:$C$451,$C201,'TL16'!$J$238:$J$451),0),
IF('TL17'!$B$3=L$3,SUMIF('TL17'!$C$10:$C$224,$C201,'TL17'!$J$10:$J$224),0),
IF('TL17'!$B$229=L$3,SUMIF('TL17'!$C$238:$C$451,$C201,'TL17'!$J$238:$J$451),0),
IF('TL18'!$B$3=L$3,SUMIF('TL18'!$C$10:$C$224,$C201,'TL18'!$J$10:$J$224),0),
IF('TL18'!$B$229=L$3,SUMIF('TL18'!$C$238:$C$451,$C201,'TL18'!$J$238:$J$451),0),
IF('TL19'!$B$3=L$3,SUMIF('TL19'!$C$10:$C$224,$C201,'TL19'!$J$10:$J$224),0),
IF('TL19'!$B$229=L$3,SUMIF('TL19'!$C$238:$C$451,$C201,'TL19'!$J$238:$J$451),0)
),0)</f>
        <v/>
      </c>
      <c r="M201" s="9">
        <f>IFERROR(SUM(
IF('TL01'!$B$3=M$3,SUMIF('TL01'!$C$10:$C$224,$C201,'TL01'!$J$10:$J$224),0),
IF('TL01'!$B$229=M$3,SUMIF('TL01'!$C$238:$C$451,$C201,'TL01'!$J$238:$J$451),0),
IF('TL02'!$B$3=M$3,SUMIF('TL02'!$C$10:$C$224,$C201,'TL02'!$J$10:$J$224),0),
IF('TL02'!$B$229=M$3,SUMIF('TL02'!$C$238:$C$451,$C201,'TL02'!$J$238:$J$451),0),
IF('TL03'!$B$3=M$3,SUMIF('TL03'!$C$10:$C$224,$C201,'TL03'!$J$10:$J$224),0),
IF('TL03'!$B$229=M$3,SUMIF('TL03'!$C$238:$C$451,$C201,'TL03'!$J$238:$J$451),0),
IF('TL04'!$B$3=M$3,SUMIF('TL04'!$C$10:$C$224,$C201,'TL04'!$J$10:$J$224),0),
IF('TL04'!$B$229=M$3,SUMIF('TL04'!$C$238:$C$451,$C201,'TL04'!$J$238:$J$451),0),
IF('TL05'!$B$3=M$3,SUMIF('TL05'!$C$10:$C$224,$C201,'TL05'!$J$10:$J$224),0),
IF('TL05'!$B$229=M$3,SUMIF('TL05'!$C$238:$C$451,$C201,'TL05'!$J$238:$J$451),0),
IF('TL06'!$B$3=M$3,SUMIF('TL06'!$C$10:$C$224,$C201,'TL06'!$J$10:$J$224),0),
IF('TL06'!$B$229=M$3,SUMIF('TL06'!$C$238:$C$451,$C201,'TL06'!$J$238:$J$451),0),
IF('TL07'!$B$3=M$3,SUMIF('TL07'!$C$10:$C$224,$C201,'TL07'!$J$10:$J$224),0),
IF('TL07'!$B$229=M$3,SUMIF('TL07'!$C$238:$C$451,$C201,'TL07'!$J$238:$J$451),0),
IF('TL08'!$B$3=M$3,SUMIF('TL08'!$C$10:$C$224,$C201,'TL08'!$J$10:$J$224),0),
IF('TL08'!$B$229=M$3,SUMIF('TL08'!$C$238:$C$451,$C201,'TL08'!$J$238:$J$451),0),
IF('TL09'!$B$3=M$3,SUMIF('TL09'!$C$10:$C$224,$C201,'TL09'!$J$10:$J$224),0),
IF('TL09'!$B$229=M$3,SUMIF('TL09'!$C$238:$C$451,$C201,'TL09'!$J$238:$J$451),0),
IF('TL10'!$B$3=M$3,SUMIF('TL10'!$C$10:$C$224,$C201,'TL10'!$J$10:$J$224),0),
IF('TL10'!$B$229=M$3,SUMIF('TL10'!$C$238:$C$451,$C201,'TL10'!$J$238:$J$451),0),
IF('TL11'!$B$3=M$3,SUMIF('TL11'!$C$10:$C$224,$C201,'TL11'!$J$10:$J$224),0),
IF('TL11'!$B$229=M$3,SUMIF('TL11'!$C$238:$C$451,$C201,'TL11'!$J$238:$J$451),0),
IF('TL12'!$B$3=M$3,SUMIF('TL12'!$C$10:$C$224,$C201,'TL12'!$J$10:$J$224),0),
IF('TL12'!$B$229=M$3,SUMIF('TL12'!$C$238:$C$451,$C201,'TL12'!$J$238:$J$451),0),
IF('TL13'!$B$3=M$3,SUMIF('TL13'!$C$10:$C$224,$C201,'TL13'!$J$10:$J$224),0),
IF('TL13'!$B$229=M$3,SUMIF('TL13'!$C$238:$C$451,$C201,'TL13'!$J$238:$J$451),0),
IF('TL14'!$B$3=M$3,SUMIF('TL14'!$C$10:$C$224,$C201,'TL14'!$J$10:$J$224),0),
IF('TL14'!$B$229=M$3,SUMIF('TL14'!$C$238:$C$451,$C201,'TL14'!$J$238:$J$451),0),
IF('TL15'!$B$3=M$3,SUMIF('TL15'!$C$10:$C$224,$C201,'TL15'!$J$10:$J$224),0),
IF('TL15'!$B$229=M$3,SUMIF('TL15'!$C$238:$C$451,$C201,'TL15'!$J$238:$J$451),0),
IF('TL16'!$B$3=M$3,SUMIF('TL16'!$C$10:$C$224,$C201,'TL16'!$J$10:$J$224),0),
IF('TL16'!$B$229=M$3,SUMIF('TL16'!$C$238:$C$451,$C201,'TL16'!$J$238:$J$451),0),
IF('TL17'!$B$3=M$3,SUMIF('TL17'!$C$10:$C$224,$C201,'TL17'!$J$10:$J$224),0),
IF('TL17'!$B$229=M$3,SUMIF('TL17'!$C$238:$C$451,$C201,'TL17'!$J$238:$J$451),0),
IF('TL18'!$B$3=M$3,SUMIF('TL18'!$C$10:$C$224,$C201,'TL18'!$J$10:$J$224),0),
IF('TL18'!$B$229=M$3,SUMIF('TL18'!$C$238:$C$451,$C201,'TL18'!$J$238:$J$451),0),
IF('TL19'!$B$3=M$3,SUMIF('TL19'!$C$10:$C$224,$C201,'TL19'!$J$10:$J$224),0),
IF('TL19'!$B$229=M$3,SUMIF('TL19'!$C$238:$C$451,$C201,'TL19'!$J$238:$J$451),0)
),0)</f>
        <v/>
      </c>
      <c r="N201" s="9">
        <f>IFERROR(SUM(
IF('TL01'!$B$3=N$3,SUMIF('TL01'!$C$10:$C$224,$C201,'TL01'!$J$10:$J$224),0),
IF('TL01'!$B$229=N$3,SUMIF('TL01'!$C$238:$C$451,$C201,'TL01'!$J$238:$J$451),0),
IF('TL02'!$B$3=N$3,SUMIF('TL02'!$C$10:$C$224,$C201,'TL02'!$J$10:$J$224),0),
IF('TL02'!$B$229=N$3,SUMIF('TL02'!$C$238:$C$451,$C201,'TL02'!$J$238:$J$451),0),
IF('TL03'!$B$3=N$3,SUMIF('TL03'!$C$10:$C$224,$C201,'TL03'!$J$10:$J$224),0),
IF('TL03'!$B$229=N$3,SUMIF('TL03'!$C$238:$C$451,$C201,'TL03'!$J$238:$J$451),0),
IF('TL04'!$B$3=N$3,SUMIF('TL04'!$C$10:$C$224,$C201,'TL04'!$J$10:$J$224),0),
IF('TL04'!$B$229=N$3,SUMIF('TL04'!$C$238:$C$451,$C201,'TL04'!$J$238:$J$451),0),
IF('TL05'!$B$3=N$3,SUMIF('TL05'!$C$10:$C$224,$C201,'TL05'!$J$10:$J$224),0),
IF('TL05'!$B$229=N$3,SUMIF('TL05'!$C$238:$C$451,$C201,'TL05'!$J$238:$J$451),0),
IF('TL06'!$B$3=N$3,SUMIF('TL06'!$C$10:$C$224,$C201,'TL06'!$J$10:$J$224),0),
IF('TL06'!$B$229=N$3,SUMIF('TL06'!$C$238:$C$451,$C201,'TL06'!$J$238:$J$451),0),
IF('TL07'!$B$3=N$3,SUMIF('TL07'!$C$10:$C$224,$C201,'TL07'!$J$10:$J$224),0),
IF('TL07'!$B$229=N$3,SUMIF('TL07'!$C$238:$C$451,$C201,'TL07'!$J$238:$J$451),0),
IF('TL08'!$B$3=N$3,SUMIF('TL08'!$C$10:$C$224,$C201,'TL08'!$J$10:$J$224),0),
IF('TL08'!$B$229=N$3,SUMIF('TL08'!$C$238:$C$451,$C201,'TL08'!$J$238:$J$451),0),
IF('TL09'!$B$3=N$3,SUMIF('TL09'!$C$10:$C$224,$C201,'TL09'!$J$10:$J$224),0),
IF('TL09'!$B$229=N$3,SUMIF('TL09'!$C$238:$C$451,$C201,'TL09'!$J$238:$J$451),0),
IF('TL10'!$B$3=N$3,SUMIF('TL10'!$C$10:$C$224,$C201,'TL10'!$J$10:$J$224),0),
IF('TL10'!$B$229=N$3,SUMIF('TL10'!$C$238:$C$451,$C201,'TL10'!$J$238:$J$451),0),
IF('TL11'!$B$3=N$3,SUMIF('TL11'!$C$10:$C$224,$C201,'TL11'!$J$10:$J$224),0),
IF('TL11'!$B$229=N$3,SUMIF('TL11'!$C$238:$C$451,$C201,'TL11'!$J$238:$J$451),0),
IF('TL12'!$B$3=N$3,SUMIF('TL12'!$C$10:$C$224,$C201,'TL12'!$J$10:$J$224),0),
IF('TL12'!$B$229=N$3,SUMIF('TL12'!$C$238:$C$451,$C201,'TL12'!$J$238:$J$451),0),
IF('TL13'!$B$3=N$3,SUMIF('TL13'!$C$10:$C$224,$C201,'TL13'!$J$10:$J$224),0),
IF('TL13'!$B$229=N$3,SUMIF('TL13'!$C$238:$C$451,$C201,'TL13'!$J$238:$J$451),0),
IF('TL14'!$B$3=N$3,SUMIF('TL14'!$C$10:$C$224,$C201,'TL14'!$J$10:$J$224),0),
IF('TL14'!$B$229=N$3,SUMIF('TL14'!$C$238:$C$451,$C201,'TL14'!$J$238:$J$451),0),
IF('TL15'!$B$3=N$3,SUMIF('TL15'!$C$10:$C$224,$C201,'TL15'!$J$10:$J$224),0),
IF('TL15'!$B$229=N$3,SUMIF('TL15'!$C$238:$C$451,$C201,'TL15'!$J$238:$J$451),0),
IF('TL16'!$B$3=N$3,SUMIF('TL16'!$C$10:$C$224,$C201,'TL16'!$J$10:$J$224),0),
IF('TL16'!$B$229=N$3,SUMIF('TL16'!$C$238:$C$451,$C201,'TL16'!$J$238:$J$451),0),
IF('TL17'!$B$3=N$3,SUMIF('TL17'!$C$10:$C$224,$C201,'TL17'!$J$10:$J$224),0),
IF('TL17'!$B$229=N$3,SUMIF('TL17'!$C$238:$C$451,$C201,'TL17'!$J$238:$J$451),0),
IF('TL18'!$B$3=N$3,SUMIF('TL18'!$C$10:$C$224,$C201,'TL18'!$J$10:$J$224),0),
IF('TL18'!$B$229=N$3,SUMIF('TL18'!$C$238:$C$451,$C201,'TL18'!$J$238:$J$451),0),
IF('TL19'!$B$3=N$3,SUMIF('TL19'!$C$10:$C$224,$C201,'TL19'!$J$10:$J$224),0),
IF('TL19'!$B$229=N$3,SUMIF('TL19'!$C$238:$C$451,$C201,'TL19'!$J$238:$J$451),0)
),0)</f>
        <v/>
      </c>
      <c r="O201" s="9">
        <f>IFERROR(SUM(
IF('TL01'!$B$3=O$3,SUMIF('TL01'!$C$10:$C$224,$C201,'TL01'!$J$10:$J$224),0),
IF('TL01'!$B$229=O$3,SUMIF('TL01'!$C$238:$C$451,$C201,'TL01'!$J$238:$J$451),0),
IF('TL02'!$B$3=O$3,SUMIF('TL02'!$C$10:$C$224,$C201,'TL02'!$J$10:$J$224),0),
IF('TL02'!$B$229=O$3,SUMIF('TL02'!$C$238:$C$451,$C201,'TL02'!$J$238:$J$451),0),
IF('TL03'!$B$3=O$3,SUMIF('TL03'!$C$10:$C$224,$C201,'TL03'!$J$10:$J$224),0),
IF('TL03'!$B$229=O$3,SUMIF('TL03'!$C$238:$C$451,$C201,'TL03'!$J$238:$J$451),0),
IF('TL04'!$B$3=O$3,SUMIF('TL04'!$C$10:$C$224,$C201,'TL04'!$J$10:$J$224),0),
IF('TL04'!$B$229=O$3,SUMIF('TL04'!$C$238:$C$451,$C201,'TL04'!$J$238:$J$451),0),
IF('TL05'!$B$3=O$3,SUMIF('TL05'!$C$10:$C$224,$C201,'TL05'!$J$10:$J$224),0),
IF('TL05'!$B$229=O$3,SUMIF('TL05'!$C$238:$C$451,$C201,'TL05'!$J$238:$J$451),0),
IF('TL06'!$B$3=O$3,SUMIF('TL06'!$C$10:$C$224,$C201,'TL06'!$J$10:$J$224),0),
IF('TL06'!$B$229=O$3,SUMIF('TL06'!$C$238:$C$451,$C201,'TL06'!$J$238:$J$451),0),
IF('TL07'!$B$3=O$3,SUMIF('TL07'!$C$10:$C$224,$C201,'TL07'!$J$10:$J$224),0),
IF('TL07'!$B$229=O$3,SUMIF('TL07'!$C$238:$C$451,$C201,'TL07'!$J$238:$J$451),0),
IF('TL08'!$B$3=O$3,SUMIF('TL08'!$C$10:$C$224,$C201,'TL08'!$J$10:$J$224),0),
IF('TL08'!$B$229=O$3,SUMIF('TL08'!$C$238:$C$451,$C201,'TL08'!$J$238:$J$451),0),
IF('TL09'!$B$3=O$3,SUMIF('TL09'!$C$10:$C$224,$C201,'TL09'!$J$10:$J$224),0),
IF('TL09'!$B$229=O$3,SUMIF('TL09'!$C$238:$C$451,$C201,'TL09'!$J$238:$J$451),0),
IF('TL10'!$B$3=O$3,SUMIF('TL10'!$C$10:$C$224,$C201,'TL10'!$J$10:$J$224),0),
IF('TL10'!$B$229=O$3,SUMIF('TL10'!$C$238:$C$451,$C201,'TL10'!$J$238:$J$451),0),
IF('TL11'!$B$3=O$3,SUMIF('TL11'!$C$10:$C$224,$C201,'TL11'!$J$10:$J$224),0),
IF('TL11'!$B$229=O$3,SUMIF('TL11'!$C$238:$C$451,$C201,'TL11'!$J$238:$J$451),0),
IF('TL12'!$B$3=O$3,SUMIF('TL12'!$C$10:$C$224,$C201,'TL12'!$J$10:$J$224),0),
IF('TL12'!$B$229=O$3,SUMIF('TL12'!$C$238:$C$451,$C201,'TL12'!$J$238:$J$451),0),
IF('TL13'!$B$3=O$3,SUMIF('TL13'!$C$10:$C$224,$C201,'TL13'!$J$10:$J$224),0),
IF('TL13'!$B$229=O$3,SUMIF('TL13'!$C$238:$C$451,$C201,'TL13'!$J$238:$J$451),0),
IF('TL14'!$B$3=O$3,SUMIF('TL14'!$C$10:$C$224,$C201,'TL14'!$J$10:$J$224),0),
IF('TL14'!$B$229=O$3,SUMIF('TL14'!$C$238:$C$451,$C201,'TL14'!$J$238:$J$451),0),
IF('TL15'!$B$3=O$3,SUMIF('TL15'!$C$10:$C$224,$C201,'TL15'!$J$10:$J$224),0),
IF('TL15'!$B$229=O$3,SUMIF('TL15'!$C$238:$C$451,$C201,'TL15'!$J$238:$J$451),0),
IF('TL16'!$B$3=O$3,SUMIF('TL16'!$C$10:$C$224,$C201,'TL16'!$J$10:$J$224),0),
IF('TL16'!$B$229=O$3,SUMIF('TL16'!$C$238:$C$451,$C201,'TL16'!$J$238:$J$451),0),
IF('TL17'!$B$3=O$3,SUMIF('TL17'!$C$10:$C$224,$C201,'TL17'!$J$10:$J$224),0),
IF('TL17'!$B$229=O$3,SUMIF('TL17'!$C$238:$C$451,$C201,'TL17'!$J$238:$J$451),0),
IF('TL18'!$B$3=O$3,SUMIF('TL18'!$C$10:$C$224,$C201,'TL18'!$J$10:$J$224),0),
IF('TL18'!$B$229=O$3,SUMIF('TL18'!$C$238:$C$451,$C201,'TL18'!$J$238:$J$451),0),
IF('TL19'!$B$3=O$3,SUMIF('TL19'!$C$10:$C$224,$C201,'TL19'!$J$10:$J$224),0),
IF('TL19'!$B$229=O$3,SUMIF('TL19'!$C$238:$C$451,$C201,'TL19'!$J$238:$J$451),0)
),0)</f>
        <v/>
      </c>
      <c r="P201" s="9">
        <f>IFERROR(SUM(
IF('TL01'!$B$3=P$3,SUMIF('TL01'!$C$10:$C$224,$C201,'TL01'!$J$10:$J$224),0),
IF('TL01'!$B$229=P$3,SUMIF('TL01'!$C$238:$C$451,$C201,'TL01'!$J$238:$J$451),0),
IF('TL02'!$B$3=P$3,SUMIF('TL02'!$C$10:$C$224,$C201,'TL02'!$J$10:$J$224),0),
IF('TL02'!$B$229=P$3,SUMIF('TL02'!$C$238:$C$451,$C201,'TL02'!$J$238:$J$451),0),
IF('TL03'!$B$3=P$3,SUMIF('TL03'!$C$10:$C$224,$C201,'TL03'!$J$10:$J$224),0),
IF('TL03'!$B$229=P$3,SUMIF('TL03'!$C$238:$C$451,$C201,'TL03'!$J$238:$J$451),0),
IF('TL04'!$B$3=P$3,SUMIF('TL04'!$C$10:$C$224,$C201,'TL04'!$J$10:$J$224),0),
IF('TL04'!$B$229=P$3,SUMIF('TL04'!$C$238:$C$451,$C201,'TL04'!$J$238:$J$451),0),
IF('TL05'!$B$3=P$3,SUMIF('TL05'!$C$10:$C$224,$C201,'TL05'!$J$10:$J$224),0),
IF('TL05'!$B$229=P$3,SUMIF('TL05'!$C$238:$C$451,$C201,'TL05'!$J$238:$J$451),0),
IF('TL06'!$B$3=P$3,SUMIF('TL06'!$C$10:$C$224,$C201,'TL06'!$J$10:$J$224),0),
IF('TL06'!$B$229=P$3,SUMIF('TL06'!$C$238:$C$451,$C201,'TL06'!$J$238:$J$451),0),
IF('TL07'!$B$3=P$3,SUMIF('TL07'!$C$10:$C$224,$C201,'TL07'!$J$10:$J$224),0),
IF('TL07'!$B$229=P$3,SUMIF('TL07'!$C$238:$C$451,$C201,'TL07'!$J$238:$J$451),0),
IF('TL08'!$B$3=P$3,SUMIF('TL08'!$C$10:$C$224,$C201,'TL08'!$J$10:$J$224),0),
IF('TL08'!$B$229=P$3,SUMIF('TL08'!$C$238:$C$451,$C201,'TL08'!$J$238:$J$451),0),
IF('TL09'!$B$3=P$3,SUMIF('TL09'!$C$10:$C$224,$C201,'TL09'!$J$10:$J$224),0),
IF('TL09'!$B$229=P$3,SUMIF('TL09'!$C$238:$C$451,$C201,'TL09'!$J$238:$J$451),0),
IF('TL10'!$B$3=P$3,SUMIF('TL10'!$C$10:$C$224,$C201,'TL10'!$J$10:$J$224),0),
IF('TL10'!$B$229=P$3,SUMIF('TL10'!$C$238:$C$451,$C201,'TL10'!$J$238:$J$451),0),
IF('TL11'!$B$3=P$3,SUMIF('TL11'!$C$10:$C$224,$C201,'TL11'!$J$10:$J$224),0),
IF('TL11'!$B$229=P$3,SUMIF('TL11'!$C$238:$C$451,$C201,'TL11'!$J$238:$J$451),0),
IF('TL12'!$B$3=P$3,SUMIF('TL12'!$C$10:$C$224,$C201,'TL12'!$J$10:$J$224),0),
IF('TL12'!$B$229=P$3,SUMIF('TL12'!$C$238:$C$451,$C201,'TL12'!$J$238:$J$451),0),
IF('TL13'!$B$3=P$3,SUMIF('TL13'!$C$10:$C$224,$C201,'TL13'!$J$10:$J$224),0),
IF('TL13'!$B$229=P$3,SUMIF('TL13'!$C$238:$C$451,$C201,'TL13'!$J$238:$J$451),0),
IF('TL14'!$B$3=P$3,SUMIF('TL14'!$C$10:$C$224,$C201,'TL14'!$J$10:$J$224),0),
IF('TL14'!$B$229=P$3,SUMIF('TL14'!$C$238:$C$451,$C201,'TL14'!$J$238:$J$451),0),
IF('TL15'!$B$3=P$3,SUMIF('TL15'!$C$10:$C$224,$C201,'TL15'!$J$10:$J$224),0),
IF('TL15'!$B$229=P$3,SUMIF('TL15'!$C$238:$C$451,$C201,'TL15'!$J$238:$J$451),0),
IF('TL16'!$B$3=P$3,SUMIF('TL16'!$C$10:$C$224,$C201,'TL16'!$J$10:$J$224),0),
IF('TL16'!$B$229=P$3,SUMIF('TL16'!$C$238:$C$451,$C201,'TL16'!$J$238:$J$451),0),
IF('TL17'!$B$3=P$3,SUMIF('TL17'!$C$10:$C$224,$C201,'TL17'!$J$10:$J$224),0),
IF('TL17'!$B$229=P$3,SUMIF('TL17'!$C$238:$C$451,$C201,'TL17'!$J$238:$J$451),0),
IF('TL18'!$B$3=P$3,SUMIF('TL18'!$C$10:$C$224,$C201,'TL18'!$J$10:$J$224),0),
IF('TL18'!$B$229=P$3,SUMIF('TL18'!$C$238:$C$451,$C201,'TL18'!$J$238:$J$451),0),
IF('TL19'!$B$3=P$3,SUMIF('TL19'!$C$10:$C$224,$C201,'TL19'!$J$10:$J$224),0),
IF('TL19'!$B$229=P$3,SUMIF('TL19'!$C$238:$C$451,$C201,'TL19'!$J$238:$J$451),0)
),0)</f>
        <v/>
      </c>
      <c r="Q201" s="9">
        <f>IFERROR(SUM(
IF('TL01'!$B$3=Q$3,SUMIF('TL01'!$C$10:$C$224,$C201,'TL01'!$J$10:$J$224),0),
IF('TL01'!$B$229=Q$3,SUMIF('TL01'!$C$238:$C$451,$C201,'TL01'!$J$238:$J$451),0),
IF('TL02'!$B$3=Q$3,SUMIF('TL02'!$C$10:$C$224,$C201,'TL02'!$J$10:$J$224),0),
IF('TL02'!$B$229=Q$3,SUMIF('TL02'!$C$238:$C$451,$C201,'TL02'!$J$238:$J$451),0),
IF('TL03'!$B$3=Q$3,SUMIF('TL03'!$C$10:$C$224,$C201,'TL03'!$J$10:$J$224),0),
IF('TL03'!$B$229=Q$3,SUMIF('TL03'!$C$238:$C$451,$C201,'TL03'!$J$238:$J$451),0),
IF('TL04'!$B$3=Q$3,SUMIF('TL04'!$C$10:$C$224,$C201,'TL04'!$J$10:$J$224),0),
IF('TL04'!$B$229=Q$3,SUMIF('TL04'!$C$238:$C$451,$C201,'TL04'!$J$238:$J$451),0),
IF('TL05'!$B$3=Q$3,SUMIF('TL05'!$C$10:$C$224,$C201,'TL05'!$J$10:$J$224),0),
IF('TL05'!$B$229=Q$3,SUMIF('TL05'!$C$238:$C$451,$C201,'TL05'!$J$238:$J$451),0),
IF('TL06'!$B$3=Q$3,SUMIF('TL06'!$C$10:$C$224,$C201,'TL06'!$J$10:$J$224),0),
IF('TL06'!$B$229=Q$3,SUMIF('TL06'!$C$238:$C$451,$C201,'TL06'!$J$238:$J$451),0),
IF('TL07'!$B$3=Q$3,SUMIF('TL07'!$C$10:$C$224,$C201,'TL07'!$J$10:$J$224),0),
IF('TL07'!$B$229=Q$3,SUMIF('TL07'!$C$238:$C$451,$C201,'TL07'!$J$238:$J$451),0),
IF('TL08'!$B$3=Q$3,SUMIF('TL08'!$C$10:$C$224,$C201,'TL08'!$J$10:$J$224),0),
IF('TL08'!$B$229=Q$3,SUMIF('TL08'!$C$238:$C$451,$C201,'TL08'!$J$238:$J$451),0),
IF('TL09'!$B$3=Q$3,SUMIF('TL09'!$C$10:$C$224,$C201,'TL09'!$J$10:$J$224),0),
IF('TL09'!$B$229=Q$3,SUMIF('TL09'!$C$238:$C$451,$C201,'TL09'!$J$238:$J$451),0),
IF('TL10'!$B$3=Q$3,SUMIF('TL10'!$C$10:$C$224,$C201,'TL10'!$J$10:$J$224),0),
IF('TL10'!$B$229=Q$3,SUMIF('TL10'!$C$238:$C$451,$C201,'TL10'!$J$238:$J$451),0),
IF('TL11'!$B$3=Q$3,SUMIF('TL11'!$C$10:$C$224,$C201,'TL11'!$J$10:$J$224),0),
IF('TL11'!$B$229=Q$3,SUMIF('TL11'!$C$238:$C$451,$C201,'TL11'!$J$238:$J$451),0),
IF('TL12'!$B$3=Q$3,SUMIF('TL12'!$C$10:$C$224,$C201,'TL12'!$J$10:$J$224),0),
IF('TL12'!$B$229=Q$3,SUMIF('TL12'!$C$238:$C$451,$C201,'TL12'!$J$238:$J$451),0),
IF('TL13'!$B$3=Q$3,SUMIF('TL13'!$C$10:$C$224,$C201,'TL13'!$J$10:$J$224),0),
IF('TL13'!$B$229=Q$3,SUMIF('TL13'!$C$238:$C$451,$C201,'TL13'!$J$238:$J$451),0),
IF('TL14'!$B$3=Q$3,SUMIF('TL14'!$C$10:$C$224,$C201,'TL14'!$J$10:$J$224),0),
IF('TL14'!$B$229=Q$3,SUMIF('TL14'!$C$238:$C$451,$C201,'TL14'!$J$238:$J$451),0),
IF('TL15'!$B$3=Q$3,SUMIF('TL15'!$C$10:$C$224,$C201,'TL15'!$J$10:$J$224),0),
IF('TL15'!$B$229=Q$3,SUMIF('TL15'!$C$238:$C$451,$C201,'TL15'!$J$238:$J$451),0),
IF('TL16'!$B$3=Q$3,SUMIF('TL16'!$C$10:$C$224,$C201,'TL16'!$J$10:$J$224),0),
IF('TL16'!$B$229=Q$3,SUMIF('TL16'!$C$238:$C$451,$C201,'TL16'!$J$238:$J$451),0),
IF('TL17'!$B$3=Q$3,SUMIF('TL17'!$C$10:$C$224,$C201,'TL17'!$J$10:$J$224),0),
IF('TL17'!$B$229=Q$3,SUMIF('TL17'!$C$238:$C$451,$C201,'TL17'!$J$238:$J$451),0),
IF('TL18'!$B$3=Q$3,SUMIF('TL18'!$C$10:$C$224,$C201,'TL18'!$J$10:$J$224),0),
IF('TL18'!$B$229=Q$3,SUMIF('TL18'!$C$238:$C$451,$C201,'TL18'!$J$238:$J$451),0),
IF('TL19'!$B$3=Q$3,SUMIF('TL19'!$C$10:$C$224,$C201,'TL19'!$J$10:$J$224),0),
IF('TL19'!$B$229=Q$3,SUMIF('TL19'!$C$238:$C$451,$C201,'TL19'!$J$238:$J$451),0)
),0)</f>
        <v/>
      </c>
      <c r="R201" s="9">
        <f>IFERROR(
SUM(
SUMIF('TL01'!C:C,C201,'TL01'!J:J),
SUMIF('TL02'!C:C,C201,'TL02'!J:J),
SUMIF('TL03'!C:C,C201,'TL03'!J:J),
SUMIF('TL04'!C:C,C201,'TL04'!J:J),
SUMIF('TL05'!C:C,C201,'TL05'!J:J),
SUMIF('TL06'!C:C,C201,'TL06'!J:J),
SUMIF('TL07'!C:C,C201,'TL07'!J:J),
SUMIF('TL08'!C:C,C201,'TL08'!J:J),
SUMIF('TL09'!C:C,C201,'TL09'!J:J),
SUMIF('TL10'!C:C,C201,'TL10'!J:J),
SUMIF('TL11'!C:C,C201,'TL11'!J:J),
SUMIF('TL12'!C:C,C201,'TL12'!J:J),
SUMIF('TL13'!C:C,C201,'TL13'!J:J),
SUMIF('TL14'!C:C,C201,'TL14'!J:J),
SUMIF('TL15'!C:C,C201,'TL15'!J:J),
SUMIF('TL16'!C:C,C201,'TL16'!J:J),
SUMIF('TL17'!C:C,C201,'TL17'!J:J),
SUMIF('TL18'!C:C,C201,'TL18'!J:J),SUMIF('TL19'!C:C,C201,'TL19'!J:J))
,0)</f>
        <v/>
      </c>
      <c r="S201" s="17">
        <f>IFERROR(__xludf.DUMMYFUNCTION("IFERROR(VLOOKUP(C201,
IMPORTRANGE(""1wULbzX32WdYsx-lj2U3uUNBBe2INVIRDtcK0d-Dvl90"",
""26-27!C:G""),
5,
FALSE),
"""")"),94.29651)</f>
        <v/>
      </c>
      <c r="T201" s="9" t="n"/>
      <c r="U201" s="92">
        <f>MAX(0,R201-T201)</f>
        <v/>
      </c>
      <c r="V201" s="93">
        <f>U201*S201</f>
        <v/>
      </c>
    </row>
    <row r="202" hidden="1" ht="15.75" customHeight="1" s="297">
      <c r="A202" s="87" t="inlineStr">
        <is>
          <t>FMC</t>
        </is>
      </c>
      <c r="B202" s="88" t="inlineStr">
        <is>
          <t>INSETICIDA</t>
        </is>
      </c>
      <c r="C202" s="89" t="inlineStr">
        <is>
          <t>MALATHION UL</t>
        </is>
      </c>
      <c r="D202" s="89" t="inlineStr">
        <is>
          <t>MALATIONA</t>
        </is>
      </c>
      <c r="E202" s="89" t="n">
        <v>1170</v>
      </c>
      <c r="F202" s="4" t="inlineStr">
        <is>
          <t>L</t>
        </is>
      </c>
      <c r="G202" s="90">
        <f>HYPERLINK("https://www.google.com/search?q=" &amp; C202 &amp; "+bula+agrofit+pdf", "📄 Ver bula")</f>
        <v/>
      </c>
      <c r="H202" s="9">
        <f>IFERROR(__xludf.DUMMYFUNCTION("IFERROR(VLOOKUP(C202,
IMPORTRANGE(""1wULbzX32WdYsx-lj2U3uUNBBe2INVIRDtcK0d-Dvl90"",
""26-27!C:K""),
8,
FALSE),
"""")"),"")</f>
        <v/>
      </c>
      <c r="I202" s="91" t="inlineStr">
        <is>
          <t>10 ou IBC</t>
        </is>
      </c>
      <c r="J202" s="9">
        <f>IFERROR(SUM(
IF('TL01'!$B$3=J$3,SUMIF('TL01'!$C$10:$C$224,$C202,'TL01'!$J$10:$J$224),0),
IF('TL01'!$B$229=J$3,SUMIF('TL01'!$C$238:$C$451,$C202,'TL01'!$J$238:$J$451),0),
IF('TL02'!$B$3=J$3,SUMIF('TL02'!$C$10:$C$224,$C202,'TL02'!$J$10:$J$224),0),
IF('TL02'!$B$229=J$3,SUMIF('TL02'!$C$238:$C$451,$C202,'TL02'!$J$238:$J$451),0),
IF('TL03'!$B$3=J$3,SUMIF('TL03'!$C$10:$C$224,$C202,'TL03'!$J$10:$J$224),0),
IF('TL03'!$B$229=J$3,SUMIF('TL03'!$C$238:$C$451,$C202,'TL03'!$J$238:$J$451),0),
IF('TL04'!$B$3=J$3,SUMIF('TL04'!$C$10:$C$224,$C202,'TL04'!$J$10:$J$224),0),
IF('TL04'!$B$229=J$3,SUMIF('TL04'!$C$238:$C$451,$C202,'TL04'!$J$238:$J$451),0),
IF('TL05'!$B$3=J$3,SUMIF('TL05'!$C$10:$C$224,$C202,'TL05'!$J$10:$J$224),0),
IF('TL05'!$B$229=J$3,SUMIF('TL05'!$C$238:$C$451,$C202,'TL05'!$J$238:$J$451),0),
IF('TL06'!$B$3=J$3,SUMIF('TL06'!$C$10:$C$224,$C202,'TL06'!$J$10:$J$224),0),
IF('TL06'!$B$229=J$3,SUMIF('TL06'!$C$238:$C$451,$C202,'TL06'!$J$238:$J$451),0),
IF('TL07'!$B$3=J$3,SUMIF('TL07'!$C$10:$C$224,$C202,'TL07'!$J$10:$J$224),0),
IF('TL07'!$B$229=J$3,SUMIF('TL07'!$C$238:$C$451,$C202,'TL07'!$J$238:$J$451),0),
IF('TL08'!$B$3=J$3,SUMIF('TL08'!$C$10:$C$224,$C202,'TL08'!$J$10:$J$224),0),
IF('TL08'!$B$229=J$3,SUMIF('TL08'!$C$238:$C$451,$C202,'TL08'!$J$238:$J$451),0),
IF('TL09'!$B$3=J$3,SUMIF('TL09'!$C$10:$C$224,$C202,'TL09'!$J$10:$J$224),0),
IF('TL09'!$B$229=J$3,SUMIF('TL09'!$C$238:$C$451,$C202,'TL09'!$J$238:$J$451),0),
IF('TL10'!$B$3=J$3,SUMIF('TL10'!$C$10:$C$224,$C202,'TL10'!$J$10:$J$224),0),
IF('TL10'!$B$229=J$3,SUMIF('TL10'!$C$238:$C$451,$C202,'TL10'!$J$238:$J$451),0),
IF('TL11'!$B$3=J$3,SUMIF('TL11'!$C$10:$C$224,$C202,'TL11'!$J$10:$J$224),0),
IF('TL11'!$B$229=J$3,SUMIF('TL11'!$C$238:$C$451,$C202,'TL11'!$J$238:$J$451),0),
IF('TL12'!$B$3=J$3,SUMIF('TL12'!$C$10:$C$224,$C202,'TL12'!$J$10:$J$224),0),
IF('TL12'!$B$229=J$3,SUMIF('TL12'!$C$238:$C$451,$C202,'TL12'!$J$238:$J$451),0),
IF('TL13'!$B$3=J$3,SUMIF('TL13'!$C$10:$C$224,$C202,'TL13'!$J$10:$J$224),0),
IF('TL13'!$B$229=J$3,SUMIF('TL13'!$C$238:$C$451,$C202,'TL13'!$J$238:$J$451),0),
IF('TL14'!$B$3=J$3,SUMIF('TL14'!$C$10:$C$224,$C202,'TL14'!$J$10:$J$224),0),
IF('TL14'!$B$229=J$3,SUMIF('TL14'!$C$238:$C$451,$C202,'TL14'!$J$238:$J$451),0),
IF('TL15'!$B$3=J$3,SUMIF('TL15'!$C$10:$C$224,$C202,'TL15'!$J$10:$J$224),0),
IF('TL15'!$B$229=J$3,SUMIF('TL15'!$C$238:$C$451,$C202,'TL15'!$J$238:$J$451),0),
IF('TL16'!$B$3=J$3,SUMIF('TL16'!$C$10:$C$224,$C202,'TL16'!$J$10:$J$224),0),
IF('TL16'!$B$229=J$3,SUMIF('TL16'!$C$238:$C$451,$C202,'TL16'!$J$238:$J$451),0),
IF('TL17'!$B$3=J$3,SUMIF('TL17'!$C$10:$C$224,$C202,'TL17'!$J$10:$J$224),0),
IF('TL17'!$B$229=J$3,SUMIF('TL17'!$C$238:$C$451,$C202,'TL17'!$J$238:$J$451),0),
IF('TL18'!$B$3=J$3,SUMIF('TL18'!$C$10:$C$224,$C202,'TL18'!$J$10:$J$224),0),
IF('TL18'!$B$229=J$3,SUMIF('TL18'!$C$238:$C$451,$C202,'TL18'!$J$238:$J$451),0),
IF('TL19'!$B$3=J$3,SUMIF('TL19'!$C$10:$C$224,$C202,'TL19'!$J$10:$J$224),0),
IF('TL19'!$B$229=J$3,SUMIF('TL19'!$C$238:$C$451,$C202,'TL19'!$J$238:$J$451),0)
),0)</f>
        <v/>
      </c>
      <c r="K202" s="9">
        <f>IFERROR(SUM(
IF('TL01'!$B$3=K$3,SUMIF('TL01'!$C$10:$C$224,$C202,'TL01'!$J$10:$J$224),0),
IF('TL01'!$B$229=K$3,SUMIF('TL01'!$C$238:$C$451,$C202,'TL01'!$J$238:$J$451),0),
IF('TL02'!$B$3=K$3,SUMIF('TL02'!$C$10:$C$224,$C202,'TL02'!$J$10:$J$224),0),
IF('TL02'!$B$229=K$3,SUMIF('TL02'!$C$238:$C$451,$C202,'TL02'!$J$238:$J$451),0),
IF('TL03'!$B$3=K$3,SUMIF('TL03'!$C$10:$C$224,$C202,'TL03'!$J$10:$J$224),0),
IF('TL03'!$B$229=K$3,SUMIF('TL03'!$C$238:$C$451,$C202,'TL03'!$J$238:$J$451),0),
IF('TL04'!$B$3=K$3,SUMIF('TL04'!$C$10:$C$224,$C202,'TL04'!$J$10:$J$224),0),
IF('TL04'!$B$229=K$3,SUMIF('TL04'!$C$238:$C$451,$C202,'TL04'!$J$238:$J$451),0),
IF('TL05'!$B$3=K$3,SUMIF('TL05'!$C$10:$C$224,$C202,'TL05'!$J$10:$J$224),0),
IF('TL05'!$B$229=K$3,SUMIF('TL05'!$C$238:$C$451,$C202,'TL05'!$J$238:$J$451),0),
IF('TL06'!$B$3=K$3,SUMIF('TL06'!$C$10:$C$224,$C202,'TL06'!$J$10:$J$224),0),
IF('TL06'!$B$229=K$3,SUMIF('TL06'!$C$238:$C$451,$C202,'TL06'!$J$238:$J$451),0),
IF('TL07'!$B$3=K$3,SUMIF('TL07'!$C$10:$C$224,$C202,'TL07'!$J$10:$J$224),0),
IF('TL07'!$B$229=K$3,SUMIF('TL07'!$C$238:$C$451,$C202,'TL07'!$J$238:$J$451),0),
IF('TL08'!$B$3=K$3,SUMIF('TL08'!$C$10:$C$224,$C202,'TL08'!$J$10:$J$224),0),
IF('TL08'!$B$229=K$3,SUMIF('TL08'!$C$238:$C$451,$C202,'TL08'!$J$238:$J$451),0),
IF('TL09'!$B$3=K$3,SUMIF('TL09'!$C$10:$C$224,$C202,'TL09'!$J$10:$J$224),0),
IF('TL09'!$B$229=K$3,SUMIF('TL09'!$C$238:$C$451,$C202,'TL09'!$J$238:$J$451),0),
IF('TL10'!$B$3=K$3,SUMIF('TL10'!$C$10:$C$224,$C202,'TL10'!$J$10:$J$224),0),
IF('TL10'!$B$229=K$3,SUMIF('TL10'!$C$238:$C$451,$C202,'TL10'!$J$238:$J$451),0),
IF('TL11'!$B$3=K$3,SUMIF('TL11'!$C$10:$C$224,$C202,'TL11'!$J$10:$J$224),0),
IF('TL11'!$B$229=K$3,SUMIF('TL11'!$C$238:$C$451,$C202,'TL11'!$J$238:$J$451),0),
IF('TL12'!$B$3=K$3,SUMIF('TL12'!$C$10:$C$224,$C202,'TL12'!$J$10:$J$224),0),
IF('TL12'!$B$229=K$3,SUMIF('TL12'!$C$238:$C$451,$C202,'TL12'!$J$238:$J$451),0),
IF('TL13'!$B$3=K$3,SUMIF('TL13'!$C$10:$C$224,$C202,'TL13'!$J$10:$J$224),0),
IF('TL13'!$B$229=K$3,SUMIF('TL13'!$C$238:$C$451,$C202,'TL13'!$J$238:$J$451),0),
IF('TL14'!$B$3=K$3,SUMIF('TL14'!$C$10:$C$224,$C202,'TL14'!$J$10:$J$224),0),
IF('TL14'!$B$229=K$3,SUMIF('TL14'!$C$238:$C$451,$C202,'TL14'!$J$238:$J$451),0),
IF('TL15'!$B$3=K$3,SUMIF('TL15'!$C$10:$C$224,$C202,'TL15'!$J$10:$J$224),0),
IF('TL15'!$B$229=K$3,SUMIF('TL15'!$C$238:$C$451,$C202,'TL15'!$J$238:$J$451),0),
IF('TL16'!$B$3=K$3,SUMIF('TL16'!$C$10:$C$224,$C202,'TL16'!$J$10:$J$224),0),
IF('TL16'!$B$229=K$3,SUMIF('TL16'!$C$238:$C$451,$C202,'TL16'!$J$238:$J$451),0),
IF('TL17'!$B$3=K$3,SUMIF('TL17'!$C$10:$C$224,$C202,'TL17'!$J$10:$J$224),0),
IF('TL17'!$B$229=K$3,SUMIF('TL17'!$C$238:$C$451,$C202,'TL17'!$J$238:$J$451),0),
IF('TL18'!$B$3=K$3,SUMIF('TL18'!$C$10:$C$224,$C202,'TL18'!$J$10:$J$224),0),
IF('TL18'!$B$229=K$3,SUMIF('TL18'!$C$238:$C$451,$C202,'TL18'!$J$238:$J$451),0),
IF('TL19'!$B$3=K$3,SUMIF('TL19'!$C$10:$C$224,$C202,'TL19'!$J$10:$J$224),0),
IF('TL19'!$B$229=K$3,SUMIF('TL19'!$C$238:$C$451,$C202,'TL19'!$J$238:$J$451),0)
),0)</f>
        <v/>
      </c>
      <c r="L202" s="9">
        <f>IFERROR(SUM(
IF('TL01'!$B$3=L$3,SUMIF('TL01'!$C$10:$C$224,$C202,'TL01'!$J$10:$J$224),0),
IF('TL01'!$B$229=L$3,SUMIF('TL01'!$C$238:$C$451,$C202,'TL01'!$J$238:$J$451),0),
IF('TL02'!$B$3=L$3,SUMIF('TL02'!$C$10:$C$224,$C202,'TL02'!$J$10:$J$224),0),
IF('TL02'!$B$229=L$3,SUMIF('TL02'!$C$238:$C$451,$C202,'TL02'!$J$238:$J$451),0),
IF('TL03'!$B$3=L$3,SUMIF('TL03'!$C$10:$C$224,$C202,'TL03'!$J$10:$J$224),0),
IF('TL03'!$B$229=L$3,SUMIF('TL03'!$C$238:$C$451,$C202,'TL03'!$J$238:$J$451),0),
IF('TL04'!$B$3=L$3,SUMIF('TL04'!$C$10:$C$224,$C202,'TL04'!$J$10:$J$224),0),
IF('TL04'!$B$229=L$3,SUMIF('TL04'!$C$238:$C$451,$C202,'TL04'!$J$238:$J$451),0),
IF('TL05'!$B$3=L$3,SUMIF('TL05'!$C$10:$C$224,$C202,'TL05'!$J$10:$J$224),0),
IF('TL05'!$B$229=L$3,SUMIF('TL05'!$C$238:$C$451,$C202,'TL05'!$J$238:$J$451),0),
IF('TL06'!$B$3=L$3,SUMIF('TL06'!$C$10:$C$224,$C202,'TL06'!$J$10:$J$224),0),
IF('TL06'!$B$229=L$3,SUMIF('TL06'!$C$238:$C$451,$C202,'TL06'!$J$238:$J$451),0),
IF('TL07'!$B$3=L$3,SUMIF('TL07'!$C$10:$C$224,$C202,'TL07'!$J$10:$J$224),0),
IF('TL07'!$B$229=L$3,SUMIF('TL07'!$C$238:$C$451,$C202,'TL07'!$J$238:$J$451),0),
IF('TL08'!$B$3=L$3,SUMIF('TL08'!$C$10:$C$224,$C202,'TL08'!$J$10:$J$224),0),
IF('TL08'!$B$229=L$3,SUMIF('TL08'!$C$238:$C$451,$C202,'TL08'!$J$238:$J$451),0),
IF('TL09'!$B$3=L$3,SUMIF('TL09'!$C$10:$C$224,$C202,'TL09'!$J$10:$J$224),0),
IF('TL09'!$B$229=L$3,SUMIF('TL09'!$C$238:$C$451,$C202,'TL09'!$J$238:$J$451),0),
IF('TL10'!$B$3=L$3,SUMIF('TL10'!$C$10:$C$224,$C202,'TL10'!$J$10:$J$224),0),
IF('TL10'!$B$229=L$3,SUMIF('TL10'!$C$238:$C$451,$C202,'TL10'!$J$238:$J$451),0),
IF('TL11'!$B$3=L$3,SUMIF('TL11'!$C$10:$C$224,$C202,'TL11'!$J$10:$J$224),0),
IF('TL11'!$B$229=L$3,SUMIF('TL11'!$C$238:$C$451,$C202,'TL11'!$J$238:$J$451),0),
IF('TL12'!$B$3=L$3,SUMIF('TL12'!$C$10:$C$224,$C202,'TL12'!$J$10:$J$224),0),
IF('TL12'!$B$229=L$3,SUMIF('TL12'!$C$238:$C$451,$C202,'TL12'!$J$238:$J$451),0),
IF('TL13'!$B$3=L$3,SUMIF('TL13'!$C$10:$C$224,$C202,'TL13'!$J$10:$J$224),0),
IF('TL13'!$B$229=L$3,SUMIF('TL13'!$C$238:$C$451,$C202,'TL13'!$J$238:$J$451),0),
IF('TL14'!$B$3=L$3,SUMIF('TL14'!$C$10:$C$224,$C202,'TL14'!$J$10:$J$224),0),
IF('TL14'!$B$229=L$3,SUMIF('TL14'!$C$238:$C$451,$C202,'TL14'!$J$238:$J$451),0),
IF('TL15'!$B$3=L$3,SUMIF('TL15'!$C$10:$C$224,$C202,'TL15'!$J$10:$J$224),0),
IF('TL15'!$B$229=L$3,SUMIF('TL15'!$C$238:$C$451,$C202,'TL15'!$J$238:$J$451),0),
IF('TL16'!$B$3=L$3,SUMIF('TL16'!$C$10:$C$224,$C202,'TL16'!$J$10:$J$224),0),
IF('TL16'!$B$229=L$3,SUMIF('TL16'!$C$238:$C$451,$C202,'TL16'!$J$238:$J$451),0),
IF('TL17'!$B$3=L$3,SUMIF('TL17'!$C$10:$C$224,$C202,'TL17'!$J$10:$J$224),0),
IF('TL17'!$B$229=L$3,SUMIF('TL17'!$C$238:$C$451,$C202,'TL17'!$J$238:$J$451),0),
IF('TL18'!$B$3=L$3,SUMIF('TL18'!$C$10:$C$224,$C202,'TL18'!$J$10:$J$224),0),
IF('TL18'!$B$229=L$3,SUMIF('TL18'!$C$238:$C$451,$C202,'TL18'!$J$238:$J$451),0),
IF('TL19'!$B$3=L$3,SUMIF('TL19'!$C$10:$C$224,$C202,'TL19'!$J$10:$J$224),0),
IF('TL19'!$B$229=L$3,SUMIF('TL19'!$C$238:$C$451,$C202,'TL19'!$J$238:$J$451),0)
),0)</f>
        <v/>
      </c>
      <c r="M202" s="9">
        <f>IFERROR(SUM(
IF('TL01'!$B$3=M$3,SUMIF('TL01'!$C$10:$C$224,$C202,'TL01'!$J$10:$J$224),0),
IF('TL01'!$B$229=M$3,SUMIF('TL01'!$C$238:$C$451,$C202,'TL01'!$J$238:$J$451),0),
IF('TL02'!$B$3=M$3,SUMIF('TL02'!$C$10:$C$224,$C202,'TL02'!$J$10:$J$224),0),
IF('TL02'!$B$229=M$3,SUMIF('TL02'!$C$238:$C$451,$C202,'TL02'!$J$238:$J$451),0),
IF('TL03'!$B$3=M$3,SUMIF('TL03'!$C$10:$C$224,$C202,'TL03'!$J$10:$J$224),0),
IF('TL03'!$B$229=M$3,SUMIF('TL03'!$C$238:$C$451,$C202,'TL03'!$J$238:$J$451),0),
IF('TL04'!$B$3=M$3,SUMIF('TL04'!$C$10:$C$224,$C202,'TL04'!$J$10:$J$224),0),
IF('TL04'!$B$229=M$3,SUMIF('TL04'!$C$238:$C$451,$C202,'TL04'!$J$238:$J$451),0),
IF('TL05'!$B$3=M$3,SUMIF('TL05'!$C$10:$C$224,$C202,'TL05'!$J$10:$J$224),0),
IF('TL05'!$B$229=M$3,SUMIF('TL05'!$C$238:$C$451,$C202,'TL05'!$J$238:$J$451),0),
IF('TL06'!$B$3=M$3,SUMIF('TL06'!$C$10:$C$224,$C202,'TL06'!$J$10:$J$224),0),
IF('TL06'!$B$229=M$3,SUMIF('TL06'!$C$238:$C$451,$C202,'TL06'!$J$238:$J$451),0),
IF('TL07'!$B$3=M$3,SUMIF('TL07'!$C$10:$C$224,$C202,'TL07'!$J$10:$J$224),0),
IF('TL07'!$B$229=M$3,SUMIF('TL07'!$C$238:$C$451,$C202,'TL07'!$J$238:$J$451),0),
IF('TL08'!$B$3=M$3,SUMIF('TL08'!$C$10:$C$224,$C202,'TL08'!$J$10:$J$224),0),
IF('TL08'!$B$229=M$3,SUMIF('TL08'!$C$238:$C$451,$C202,'TL08'!$J$238:$J$451),0),
IF('TL09'!$B$3=M$3,SUMIF('TL09'!$C$10:$C$224,$C202,'TL09'!$J$10:$J$224),0),
IF('TL09'!$B$229=M$3,SUMIF('TL09'!$C$238:$C$451,$C202,'TL09'!$J$238:$J$451),0),
IF('TL10'!$B$3=M$3,SUMIF('TL10'!$C$10:$C$224,$C202,'TL10'!$J$10:$J$224),0),
IF('TL10'!$B$229=M$3,SUMIF('TL10'!$C$238:$C$451,$C202,'TL10'!$J$238:$J$451),0),
IF('TL11'!$B$3=M$3,SUMIF('TL11'!$C$10:$C$224,$C202,'TL11'!$J$10:$J$224),0),
IF('TL11'!$B$229=M$3,SUMIF('TL11'!$C$238:$C$451,$C202,'TL11'!$J$238:$J$451),0),
IF('TL12'!$B$3=M$3,SUMIF('TL12'!$C$10:$C$224,$C202,'TL12'!$J$10:$J$224),0),
IF('TL12'!$B$229=M$3,SUMIF('TL12'!$C$238:$C$451,$C202,'TL12'!$J$238:$J$451),0),
IF('TL13'!$B$3=M$3,SUMIF('TL13'!$C$10:$C$224,$C202,'TL13'!$J$10:$J$224),0),
IF('TL13'!$B$229=M$3,SUMIF('TL13'!$C$238:$C$451,$C202,'TL13'!$J$238:$J$451),0),
IF('TL14'!$B$3=M$3,SUMIF('TL14'!$C$10:$C$224,$C202,'TL14'!$J$10:$J$224),0),
IF('TL14'!$B$229=M$3,SUMIF('TL14'!$C$238:$C$451,$C202,'TL14'!$J$238:$J$451),0),
IF('TL15'!$B$3=M$3,SUMIF('TL15'!$C$10:$C$224,$C202,'TL15'!$J$10:$J$224),0),
IF('TL15'!$B$229=M$3,SUMIF('TL15'!$C$238:$C$451,$C202,'TL15'!$J$238:$J$451),0),
IF('TL16'!$B$3=M$3,SUMIF('TL16'!$C$10:$C$224,$C202,'TL16'!$J$10:$J$224),0),
IF('TL16'!$B$229=M$3,SUMIF('TL16'!$C$238:$C$451,$C202,'TL16'!$J$238:$J$451),0),
IF('TL17'!$B$3=M$3,SUMIF('TL17'!$C$10:$C$224,$C202,'TL17'!$J$10:$J$224),0),
IF('TL17'!$B$229=M$3,SUMIF('TL17'!$C$238:$C$451,$C202,'TL17'!$J$238:$J$451),0),
IF('TL18'!$B$3=M$3,SUMIF('TL18'!$C$10:$C$224,$C202,'TL18'!$J$10:$J$224),0),
IF('TL18'!$B$229=M$3,SUMIF('TL18'!$C$238:$C$451,$C202,'TL18'!$J$238:$J$451),0),
IF('TL19'!$B$3=M$3,SUMIF('TL19'!$C$10:$C$224,$C202,'TL19'!$J$10:$J$224),0),
IF('TL19'!$B$229=M$3,SUMIF('TL19'!$C$238:$C$451,$C202,'TL19'!$J$238:$J$451),0)
),0)</f>
        <v/>
      </c>
      <c r="N202" s="9">
        <f>IFERROR(SUM(
IF('TL01'!$B$3=N$3,SUMIF('TL01'!$C$10:$C$224,$C202,'TL01'!$J$10:$J$224),0),
IF('TL01'!$B$229=N$3,SUMIF('TL01'!$C$238:$C$451,$C202,'TL01'!$J$238:$J$451),0),
IF('TL02'!$B$3=N$3,SUMIF('TL02'!$C$10:$C$224,$C202,'TL02'!$J$10:$J$224),0),
IF('TL02'!$B$229=N$3,SUMIF('TL02'!$C$238:$C$451,$C202,'TL02'!$J$238:$J$451),0),
IF('TL03'!$B$3=N$3,SUMIF('TL03'!$C$10:$C$224,$C202,'TL03'!$J$10:$J$224),0),
IF('TL03'!$B$229=N$3,SUMIF('TL03'!$C$238:$C$451,$C202,'TL03'!$J$238:$J$451),0),
IF('TL04'!$B$3=N$3,SUMIF('TL04'!$C$10:$C$224,$C202,'TL04'!$J$10:$J$224),0),
IF('TL04'!$B$229=N$3,SUMIF('TL04'!$C$238:$C$451,$C202,'TL04'!$J$238:$J$451),0),
IF('TL05'!$B$3=N$3,SUMIF('TL05'!$C$10:$C$224,$C202,'TL05'!$J$10:$J$224),0),
IF('TL05'!$B$229=N$3,SUMIF('TL05'!$C$238:$C$451,$C202,'TL05'!$J$238:$J$451),0),
IF('TL06'!$B$3=N$3,SUMIF('TL06'!$C$10:$C$224,$C202,'TL06'!$J$10:$J$224),0),
IF('TL06'!$B$229=N$3,SUMIF('TL06'!$C$238:$C$451,$C202,'TL06'!$J$238:$J$451),0),
IF('TL07'!$B$3=N$3,SUMIF('TL07'!$C$10:$C$224,$C202,'TL07'!$J$10:$J$224),0),
IF('TL07'!$B$229=N$3,SUMIF('TL07'!$C$238:$C$451,$C202,'TL07'!$J$238:$J$451),0),
IF('TL08'!$B$3=N$3,SUMIF('TL08'!$C$10:$C$224,$C202,'TL08'!$J$10:$J$224),0),
IF('TL08'!$B$229=N$3,SUMIF('TL08'!$C$238:$C$451,$C202,'TL08'!$J$238:$J$451),0),
IF('TL09'!$B$3=N$3,SUMIF('TL09'!$C$10:$C$224,$C202,'TL09'!$J$10:$J$224),0),
IF('TL09'!$B$229=N$3,SUMIF('TL09'!$C$238:$C$451,$C202,'TL09'!$J$238:$J$451),0),
IF('TL10'!$B$3=N$3,SUMIF('TL10'!$C$10:$C$224,$C202,'TL10'!$J$10:$J$224),0),
IF('TL10'!$B$229=N$3,SUMIF('TL10'!$C$238:$C$451,$C202,'TL10'!$J$238:$J$451),0),
IF('TL11'!$B$3=N$3,SUMIF('TL11'!$C$10:$C$224,$C202,'TL11'!$J$10:$J$224),0),
IF('TL11'!$B$229=N$3,SUMIF('TL11'!$C$238:$C$451,$C202,'TL11'!$J$238:$J$451),0),
IF('TL12'!$B$3=N$3,SUMIF('TL12'!$C$10:$C$224,$C202,'TL12'!$J$10:$J$224),0),
IF('TL12'!$B$229=N$3,SUMIF('TL12'!$C$238:$C$451,$C202,'TL12'!$J$238:$J$451),0),
IF('TL13'!$B$3=N$3,SUMIF('TL13'!$C$10:$C$224,$C202,'TL13'!$J$10:$J$224),0),
IF('TL13'!$B$229=N$3,SUMIF('TL13'!$C$238:$C$451,$C202,'TL13'!$J$238:$J$451),0),
IF('TL14'!$B$3=N$3,SUMIF('TL14'!$C$10:$C$224,$C202,'TL14'!$J$10:$J$224),0),
IF('TL14'!$B$229=N$3,SUMIF('TL14'!$C$238:$C$451,$C202,'TL14'!$J$238:$J$451),0),
IF('TL15'!$B$3=N$3,SUMIF('TL15'!$C$10:$C$224,$C202,'TL15'!$J$10:$J$224),0),
IF('TL15'!$B$229=N$3,SUMIF('TL15'!$C$238:$C$451,$C202,'TL15'!$J$238:$J$451),0),
IF('TL16'!$B$3=N$3,SUMIF('TL16'!$C$10:$C$224,$C202,'TL16'!$J$10:$J$224),0),
IF('TL16'!$B$229=N$3,SUMIF('TL16'!$C$238:$C$451,$C202,'TL16'!$J$238:$J$451),0),
IF('TL17'!$B$3=N$3,SUMIF('TL17'!$C$10:$C$224,$C202,'TL17'!$J$10:$J$224),0),
IF('TL17'!$B$229=N$3,SUMIF('TL17'!$C$238:$C$451,$C202,'TL17'!$J$238:$J$451),0),
IF('TL18'!$B$3=N$3,SUMIF('TL18'!$C$10:$C$224,$C202,'TL18'!$J$10:$J$224),0),
IF('TL18'!$B$229=N$3,SUMIF('TL18'!$C$238:$C$451,$C202,'TL18'!$J$238:$J$451),0),
IF('TL19'!$B$3=N$3,SUMIF('TL19'!$C$10:$C$224,$C202,'TL19'!$J$10:$J$224),0),
IF('TL19'!$B$229=N$3,SUMIF('TL19'!$C$238:$C$451,$C202,'TL19'!$J$238:$J$451),0)
),0)</f>
        <v/>
      </c>
      <c r="O202" s="9">
        <f>IFERROR(SUM(
IF('TL01'!$B$3=O$3,SUMIF('TL01'!$C$10:$C$224,$C202,'TL01'!$J$10:$J$224),0),
IF('TL01'!$B$229=O$3,SUMIF('TL01'!$C$238:$C$451,$C202,'TL01'!$J$238:$J$451),0),
IF('TL02'!$B$3=O$3,SUMIF('TL02'!$C$10:$C$224,$C202,'TL02'!$J$10:$J$224),0),
IF('TL02'!$B$229=O$3,SUMIF('TL02'!$C$238:$C$451,$C202,'TL02'!$J$238:$J$451),0),
IF('TL03'!$B$3=O$3,SUMIF('TL03'!$C$10:$C$224,$C202,'TL03'!$J$10:$J$224),0),
IF('TL03'!$B$229=O$3,SUMIF('TL03'!$C$238:$C$451,$C202,'TL03'!$J$238:$J$451),0),
IF('TL04'!$B$3=O$3,SUMIF('TL04'!$C$10:$C$224,$C202,'TL04'!$J$10:$J$224),0),
IF('TL04'!$B$229=O$3,SUMIF('TL04'!$C$238:$C$451,$C202,'TL04'!$J$238:$J$451),0),
IF('TL05'!$B$3=O$3,SUMIF('TL05'!$C$10:$C$224,$C202,'TL05'!$J$10:$J$224),0),
IF('TL05'!$B$229=O$3,SUMIF('TL05'!$C$238:$C$451,$C202,'TL05'!$J$238:$J$451),0),
IF('TL06'!$B$3=O$3,SUMIF('TL06'!$C$10:$C$224,$C202,'TL06'!$J$10:$J$224),0),
IF('TL06'!$B$229=O$3,SUMIF('TL06'!$C$238:$C$451,$C202,'TL06'!$J$238:$J$451),0),
IF('TL07'!$B$3=O$3,SUMIF('TL07'!$C$10:$C$224,$C202,'TL07'!$J$10:$J$224),0),
IF('TL07'!$B$229=O$3,SUMIF('TL07'!$C$238:$C$451,$C202,'TL07'!$J$238:$J$451),0),
IF('TL08'!$B$3=O$3,SUMIF('TL08'!$C$10:$C$224,$C202,'TL08'!$J$10:$J$224),0),
IF('TL08'!$B$229=O$3,SUMIF('TL08'!$C$238:$C$451,$C202,'TL08'!$J$238:$J$451),0),
IF('TL09'!$B$3=O$3,SUMIF('TL09'!$C$10:$C$224,$C202,'TL09'!$J$10:$J$224),0),
IF('TL09'!$B$229=O$3,SUMIF('TL09'!$C$238:$C$451,$C202,'TL09'!$J$238:$J$451),0),
IF('TL10'!$B$3=O$3,SUMIF('TL10'!$C$10:$C$224,$C202,'TL10'!$J$10:$J$224),0),
IF('TL10'!$B$229=O$3,SUMIF('TL10'!$C$238:$C$451,$C202,'TL10'!$J$238:$J$451),0),
IF('TL11'!$B$3=O$3,SUMIF('TL11'!$C$10:$C$224,$C202,'TL11'!$J$10:$J$224),0),
IF('TL11'!$B$229=O$3,SUMIF('TL11'!$C$238:$C$451,$C202,'TL11'!$J$238:$J$451),0),
IF('TL12'!$B$3=O$3,SUMIF('TL12'!$C$10:$C$224,$C202,'TL12'!$J$10:$J$224),0),
IF('TL12'!$B$229=O$3,SUMIF('TL12'!$C$238:$C$451,$C202,'TL12'!$J$238:$J$451),0),
IF('TL13'!$B$3=O$3,SUMIF('TL13'!$C$10:$C$224,$C202,'TL13'!$J$10:$J$224),0),
IF('TL13'!$B$229=O$3,SUMIF('TL13'!$C$238:$C$451,$C202,'TL13'!$J$238:$J$451),0),
IF('TL14'!$B$3=O$3,SUMIF('TL14'!$C$10:$C$224,$C202,'TL14'!$J$10:$J$224),0),
IF('TL14'!$B$229=O$3,SUMIF('TL14'!$C$238:$C$451,$C202,'TL14'!$J$238:$J$451),0),
IF('TL15'!$B$3=O$3,SUMIF('TL15'!$C$10:$C$224,$C202,'TL15'!$J$10:$J$224),0),
IF('TL15'!$B$229=O$3,SUMIF('TL15'!$C$238:$C$451,$C202,'TL15'!$J$238:$J$451),0),
IF('TL16'!$B$3=O$3,SUMIF('TL16'!$C$10:$C$224,$C202,'TL16'!$J$10:$J$224),0),
IF('TL16'!$B$229=O$3,SUMIF('TL16'!$C$238:$C$451,$C202,'TL16'!$J$238:$J$451),0),
IF('TL17'!$B$3=O$3,SUMIF('TL17'!$C$10:$C$224,$C202,'TL17'!$J$10:$J$224),0),
IF('TL17'!$B$229=O$3,SUMIF('TL17'!$C$238:$C$451,$C202,'TL17'!$J$238:$J$451),0),
IF('TL18'!$B$3=O$3,SUMIF('TL18'!$C$10:$C$224,$C202,'TL18'!$J$10:$J$224),0),
IF('TL18'!$B$229=O$3,SUMIF('TL18'!$C$238:$C$451,$C202,'TL18'!$J$238:$J$451),0),
IF('TL19'!$B$3=O$3,SUMIF('TL19'!$C$10:$C$224,$C202,'TL19'!$J$10:$J$224),0),
IF('TL19'!$B$229=O$3,SUMIF('TL19'!$C$238:$C$451,$C202,'TL19'!$J$238:$J$451),0)
),0)</f>
        <v/>
      </c>
      <c r="P202" s="9">
        <f>IFERROR(SUM(
IF('TL01'!$B$3=P$3,SUMIF('TL01'!$C$10:$C$224,$C202,'TL01'!$J$10:$J$224),0),
IF('TL01'!$B$229=P$3,SUMIF('TL01'!$C$238:$C$451,$C202,'TL01'!$J$238:$J$451),0),
IF('TL02'!$B$3=P$3,SUMIF('TL02'!$C$10:$C$224,$C202,'TL02'!$J$10:$J$224),0),
IF('TL02'!$B$229=P$3,SUMIF('TL02'!$C$238:$C$451,$C202,'TL02'!$J$238:$J$451),0),
IF('TL03'!$B$3=P$3,SUMIF('TL03'!$C$10:$C$224,$C202,'TL03'!$J$10:$J$224),0),
IF('TL03'!$B$229=P$3,SUMIF('TL03'!$C$238:$C$451,$C202,'TL03'!$J$238:$J$451),0),
IF('TL04'!$B$3=P$3,SUMIF('TL04'!$C$10:$C$224,$C202,'TL04'!$J$10:$J$224),0),
IF('TL04'!$B$229=P$3,SUMIF('TL04'!$C$238:$C$451,$C202,'TL04'!$J$238:$J$451),0),
IF('TL05'!$B$3=P$3,SUMIF('TL05'!$C$10:$C$224,$C202,'TL05'!$J$10:$J$224),0),
IF('TL05'!$B$229=P$3,SUMIF('TL05'!$C$238:$C$451,$C202,'TL05'!$J$238:$J$451),0),
IF('TL06'!$B$3=P$3,SUMIF('TL06'!$C$10:$C$224,$C202,'TL06'!$J$10:$J$224),0),
IF('TL06'!$B$229=P$3,SUMIF('TL06'!$C$238:$C$451,$C202,'TL06'!$J$238:$J$451),0),
IF('TL07'!$B$3=P$3,SUMIF('TL07'!$C$10:$C$224,$C202,'TL07'!$J$10:$J$224),0),
IF('TL07'!$B$229=P$3,SUMIF('TL07'!$C$238:$C$451,$C202,'TL07'!$J$238:$J$451),0),
IF('TL08'!$B$3=P$3,SUMIF('TL08'!$C$10:$C$224,$C202,'TL08'!$J$10:$J$224),0),
IF('TL08'!$B$229=P$3,SUMIF('TL08'!$C$238:$C$451,$C202,'TL08'!$J$238:$J$451),0),
IF('TL09'!$B$3=P$3,SUMIF('TL09'!$C$10:$C$224,$C202,'TL09'!$J$10:$J$224),0),
IF('TL09'!$B$229=P$3,SUMIF('TL09'!$C$238:$C$451,$C202,'TL09'!$J$238:$J$451),0),
IF('TL10'!$B$3=P$3,SUMIF('TL10'!$C$10:$C$224,$C202,'TL10'!$J$10:$J$224),0),
IF('TL10'!$B$229=P$3,SUMIF('TL10'!$C$238:$C$451,$C202,'TL10'!$J$238:$J$451),0),
IF('TL11'!$B$3=P$3,SUMIF('TL11'!$C$10:$C$224,$C202,'TL11'!$J$10:$J$224),0),
IF('TL11'!$B$229=P$3,SUMIF('TL11'!$C$238:$C$451,$C202,'TL11'!$J$238:$J$451),0),
IF('TL12'!$B$3=P$3,SUMIF('TL12'!$C$10:$C$224,$C202,'TL12'!$J$10:$J$224),0),
IF('TL12'!$B$229=P$3,SUMIF('TL12'!$C$238:$C$451,$C202,'TL12'!$J$238:$J$451),0),
IF('TL13'!$B$3=P$3,SUMIF('TL13'!$C$10:$C$224,$C202,'TL13'!$J$10:$J$224),0),
IF('TL13'!$B$229=P$3,SUMIF('TL13'!$C$238:$C$451,$C202,'TL13'!$J$238:$J$451),0),
IF('TL14'!$B$3=P$3,SUMIF('TL14'!$C$10:$C$224,$C202,'TL14'!$J$10:$J$224),0),
IF('TL14'!$B$229=P$3,SUMIF('TL14'!$C$238:$C$451,$C202,'TL14'!$J$238:$J$451),0),
IF('TL15'!$B$3=P$3,SUMIF('TL15'!$C$10:$C$224,$C202,'TL15'!$J$10:$J$224),0),
IF('TL15'!$B$229=P$3,SUMIF('TL15'!$C$238:$C$451,$C202,'TL15'!$J$238:$J$451),0),
IF('TL16'!$B$3=P$3,SUMIF('TL16'!$C$10:$C$224,$C202,'TL16'!$J$10:$J$224),0),
IF('TL16'!$B$229=P$3,SUMIF('TL16'!$C$238:$C$451,$C202,'TL16'!$J$238:$J$451),0),
IF('TL17'!$B$3=P$3,SUMIF('TL17'!$C$10:$C$224,$C202,'TL17'!$J$10:$J$224),0),
IF('TL17'!$B$229=P$3,SUMIF('TL17'!$C$238:$C$451,$C202,'TL17'!$J$238:$J$451),0),
IF('TL18'!$B$3=P$3,SUMIF('TL18'!$C$10:$C$224,$C202,'TL18'!$J$10:$J$224),0),
IF('TL18'!$B$229=P$3,SUMIF('TL18'!$C$238:$C$451,$C202,'TL18'!$J$238:$J$451),0),
IF('TL19'!$B$3=P$3,SUMIF('TL19'!$C$10:$C$224,$C202,'TL19'!$J$10:$J$224),0),
IF('TL19'!$B$229=P$3,SUMIF('TL19'!$C$238:$C$451,$C202,'TL19'!$J$238:$J$451),0)
),0)</f>
        <v/>
      </c>
      <c r="Q202" s="9">
        <f>IFERROR(SUM(
IF('TL01'!$B$3=Q$3,SUMIF('TL01'!$C$10:$C$224,$C202,'TL01'!$J$10:$J$224),0),
IF('TL01'!$B$229=Q$3,SUMIF('TL01'!$C$238:$C$451,$C202,'TL01'!$J$238:$J$451),0),
IF('TL02'!$B$3=Q$3,SUMIF('TL02'!$C$10:$C$224,$C202,'TL02'!$J$10:$J$224),0),
IF('TL02'!$B$229=Q$3,SUMIF('TL02'!$C$238:$C$451,$C202,'TL02'!$J$238:$J$451),0),
IF('TL03'!$B$3=Q$3,SUMIF('TL03'!$C$10:$C$224,$C202,'TL03'!$J$10:$J$224),0),
IF('TL03'!$B$229=Q$3,SUMIF('TL03'!$C$238:$C$451,$C202,'TL03'!$J$238:$J$451),0),
IF('TL04'!$B$3=Q$3,SUMIF('TL04'!$C$10:$C$224,$C202,'TL04'!$J$10:$J$224),0),
IF('TL04'!$B$229=Q$3,SUMIF('TL04'!$C$238:$C$451,$C202,'TL04'!$J$238:$J$451),0),
IF('TL05'!$B$3=Q$3,SUMIF('TL05'!$C$10:$C$224,$C202,'TL05'!$J$10:$J$224),0),
IF('TL05'!$B$229=Q$3,SUMIF('TL05'!$C$238:$C$451,$C202,'TL05'!$J$238:$J$451),0),
IF('TL06'!$B$3=Q$3,SUMIF('TL06'!$C$10:$C$224,$C202,'TL06'!$J$10:$J$224),0),
IF('TL06'!$B$229=Q$3,SUMIF('TL06'!$C$238:$C$451,$C202,'TL06'!$J$238:$J$451),0),
IF('TL07'!$B$3=Q$3,SUMIF('TL07'!$C$10:$C$224,$C202,'TL07'!$J$10:$J$224),0),
IF('TL07'!$B$229=Q$3,SUMIF('TL07'!$C$238:$C$451,$C202,'TL07'!$J$238:$J$451),0),
IF('TL08'!$B$3=Q$3,SUMIF('TL08'!$C$10:$C$224,$C202,'TL08'!$J$10:$J$224),0),
IF('TL08'!$B$229=Q$3,SUMIF('TL08'!$C$238:$C$451,$C202,'TL08'!$J$238:$J$451),0),
IF('TL09'!$B$3=Q$3,SUMIF('TL09'!$C$10:$C$224,$C202,'TL09'!$J$10:$J$224),0),
IF('TL09'!$B$229=Q$3,SUMIF('TL09'!$C$238:$C$451,$C202,'TL09'!$J$238:$J$451),0),
IF('TL10'!$B$3=Q$3,SUMIF('TL10'!$C$10:$C$224,$C202,'TL10'!$J$10:$J$224),0),
IF('TL10'!$B$229=Q$3,SUMIF('TL10'!$C$238:$C$451,$C202,'TL10'!$J$238:$J$451),0),
IF('TL11'!$B$3=Q$3,SUMIF('TL11'!$C$10:$C$224,$C202,'TL11'!$J$10:$J$224),0),
IF('TL11'!$B$229=Q$3,SUMIF('TL11'!$C$238:$C$451,$C202,'TL11'!$J$238:$J$451),0),
IF('TL12'!$B$3=Q$3,SUMIF('TL12'!$C$10:$C$224,$C202,'TL12'!$J$10:$J$224),0),
IF('TL12'!$B$229=Q$3,SUMIF('TL12'!$C$238:$C$451,$C202,'TL12'!$J$238:$J$451),0),
IF('TL13'!$B$3=Q$3,SUMIF('TL13'!$C$10:$C$224,$C202,'TL13'!$J$10:$J$224),0),
IF('TL13'!$B$229=Q$3,SUMIF('TL13'!$C$238:$C$451,$C202,'TL13'!$J$238:$J$451),0),
IF('TL14'!$B$3=Q$3,SUMIF('TL14'!$C$10:$C$224,$C202,'TL14'!$J$10:$J$224),0),
IF('TL14'!$B$229=Q$3,SUMIF('TL14'!$C$238:$C$451,$C202,'TL14'!$J$238:$J$451),0),
IF('TL15'!$B$3=Q$3,SUMIF('TL15'!$C$10:$C$224,$C202,'TL15'!$J$10:$J$224),0),
IF('TL15'!$B$229=Q$3,SUMIF('TL15'!$C$238:$C$451,$C202,'TL15'!$J$238:$J$451),0),
IF('TL16'!$B$3=Q$3,SUMIF('TL16'!$C$10:$C$224,$C202,'TL16'!$J$10:$J$224),0),
IF('TL16'!$B$229=Q$3,SUMIF('TL16'!$C$238:$C$451,$C202,'TL16'!$J$238:$J$451),0),
IF('TL17'!$B$3=Q$3,SUMIF('TL17'!$C$10:$C$224,$C202,'TL17'!$J$10:$J$224),0),
IF('TL17'!$B$229=Q$3,SUMIF('TL17'!$C$238:$C$451,$C202,'TL17'!$J$238:$J$451),0),
IF('TL18'!$B$3=Q$3,SUMIF('TL18'!$C$10:$C$224,$C202,'TL18'!$J$10:$J$224),0),
IF('TL18'!$B$229=Q$3,SUMIF('TL18'!$C$238:$C$451,$C202,'TL18'!$J$238:$J$451),0),
IF('TL19'!$B$3=Q$3,SUMIF('TL19'!$C$10:$C$224,$C202,'TL19'!$J$10:$J$224),0),
IF('TL19'!$B$229=Q$3,SUMIF('TL19'!$C$238:$C$451,$C202,'TL19'!$J$238:$J$451),0)
),0)</f>
        <v/>
      </c>
      <c r="R202" s="9">
        <f>IFERROR(
SUM(
SUMIF('TL01'!C:C,C202,'TL01'!J:J),
SUMIF('TL02'!C:C,C202,'TL02'!J:J),
SUMIF('TL03'!C:C,C202,'TL03'!J:J),
SUMIF('TL04'!C:C,C202,'TL04'!J:J),
SUMIF('TL05'!C:C,C202,'TL05'!J:J),
SUMIF('TL06'!C:C,C202,'TL06'!J:J),
SUMIF('TL07'!C:C,C202,'TL07'!J:J),
SUMIF('TL08'!C:C,C202,'TL08'!J:J),
SUMIF('TL09'!C:C,C202,'TL09'!J:J),
SUMIF('TL10'!C:C,C202,'TL10'!J:J),
SUMIF('TL11'!C:C,C202,'TL11'!J:J),
SUMIF('TL12'!C:C,C202,'TL12'!J:J),
SUMIF('TL13'!C:C,C202,'TL13'!J:J),
SUMIF('TL14'!C:C,C202,'TL14'!J:J),
SUMIF('TL15'!C:C,C202,'TL15'!J:J),
SUMIF('TL16'!C:C,C202,'TL16'!J:J),
SUMIF('TL17'!C:C,C202,'TL17'!J:J),
SUMIF('TL18'!C:C,C202,'TL18'!J:J),SUMIF('TL19'!C:C,C202,'TL19'!J:J))
,0)</f>
        <v/>
      </c>
      <c r="S202" s="17">
        <f>IFERROR(__xludf.DUMMYFUNCTION("IFERROR(VLOOKUP(C202,
IMPORTRANGE(""1wULbzX32WdYsx-lj2U3uUNBBe2INVIRDtcK0d-Dvl90"",
""26-27!C:G""),
5,
FALSE),
"""")"),32.80524)</f>
        <v/>
      </c>
      <c r="T202" s="9" t="n"/>
      <c r="U202" s="92">
        <f>MAX(0,R202-T202)</f>
        <v/>
      </c>
      <c r="V202" s="93">
        <f>U202*S202</f>
        <v/>
      </c>
    </row>
    <row r="203" hidden="1" ht="15.75" customHeight="1" s="297">
      <c r="A203" s="94" t="inlineStr">
        <is>
          <t>FMC</t>
        </is>
      </c>
      <c r="B203" s="95" t="inlineStr">
        <is>
          <t>INSETICIDA</t>
        </is>
      </c>
      <c r="C203" s="96" t="inlineStr">
        <is>
          <t>MUSTANG 350 EC</t>
        </is>
      </c>
      <c r="D203" s="96" t="inlineStr">
        <is>
          <t>ZETA-CIPERMETRINA</t>
        </is>
      </c>
      <c r="E203" s="96" t="n">
        <v>350</v>
      </c>
      <c r="F203" s="4" t="inlineStr">
        <is>
          <t>L</t>
        </is>
      </c>
      <c r="G203" s="90">
        <f>HYPERLINK("https://www.google.com/search?q=" &amp; C203 &amp; "+bula+agrofit+pdf", "📄 Ver bula")</f>
        <v/>
      </c>
      <c r="H203" s="9">
        <f>IFERROR(__xludf.DUMMYFUNCTION("IFERROR(VLOOKUP(C203,
IMPORTRANGE(""1wULbzX32WdYsx-lj2U3uUNBBe2INVIRDtcK0d-Dvl90"",
""26-27!C:K""),
8,
FALSE),
"""")"),0.2)</f>
        <v/>
      </c>
      <c r="I203" s="97" t="inlineStr">
        <is>
          <t>4X5 ou 10</t>
        </is>
      </c>
      <c r="J203" s="9">
        <f>IFERROR(SUM(
IF('TL01'!$B$3=J$3,SUMIF('TL01'!$C$10:$C$224,$C203,'TL01'!$J$10:$J$224),0),
IF('TL01'!$B$229=J$3,SUMIF('TL01'!$C$238:$C$451,$C203,'TL01'!$J$238:$J$451),0),
IF('TL02'!$B$3=J$3,SUMIF('TL02'!$C$10:$C$224,$C203,'TL02'!$J$10:$J$224),0),
IF('TL02'!$B$229=J$3,SUMIF('TL02'!$C$238:$C$451,$C203,'TL02'!$J$238:$J$451),0),
IF('TL03'!$B$3=J$3,SUMIF('TL03'!$C$10:$C$224,$C203,'TL03'!$J$10:$J$224),0),
IF('TL03'!$B$229=J$3,SUMIF('TL03'!$C$238:$C$451,$C203,'TL03'!$J$238:$J$451),0),
IF('TL04'!$B$3=J$3,SUMIF('TL04'!$C$10:$C$224,$C203,'TL04'!$J$10:$J$224),0),
IF('TL04'!$B$229=J$3,SUMIF('TL04'!$C$238:$C$451,$C203,'TL04'!$J$238:$J$451),0),
IF('TL05'!$B$3=J$3,SUMIF('TL05'!$C$10:$C$224,$C203,'TL05'!$J$10:$J$224),0),
IF('TL05'!$B$229=J$3,SUMIF('TL05'!$C$238:$C$451,$C203,'TL05'!$J$238:$J$451),0),
IF('TL06'!$B$3=J$3,SUMIF('TL06'!$C$10:$C$224,$C203,'TL06'!$J$10:$J$224),0),
IF('TL06'!$B$229=J$3,SUMIF('TL06'!$C$238:$C$451,$C203,'TL06'!$J$238:$J$451),0),
IF('TL07'!$B$3=J$3,SUMIF('TL07'!$C$10:$C$224,$C203,'TL07'!$J$10:$J$224),0),
IF('TL07'!$B$229=J$3,SUMIF('TL07'!$C$238:$C$451,$C203,'TL07'!$J$238:$J$451),0),
IF('TL08'!$B$3=J$3,SUMIF('TL08'!$C$10:$C$224,$C203,'TL08'!$J$10:$J$224),0),
IF('TL08'!$B$229=J$3,SUMIF('TL08'!$C$238:$C$451,$C203,'TL08'!$J$238:$J$451),0),
IF('TL09'!$B$3=J$3,SUMIF('TL09'!$C$10:$C$224,$C203,'TL09'!$J$10:$J$224),0),
IF('TL09'!$B$229=J$3,SUMIF('TL09'!$C$238:$C$451,$C203,'TL09'!$J$238:$J$451),0),
IF('TL10'!$B$3=J$3,SUMIF('TL10'!$C$10:$C$224,$C203,'TL10'!$J$10:$J$224),0),
IF('TL10'!$B$229=J$3,SUMIF('TL10'!$C$238:$C$451,$C203,'TL10'!$J$238:$J$451),0),
IF('TL11'!$B$3=J$3,SUMIF('TL11'!$C$10:$C$224,$C203,'TL11'!$J$10:$J$224),0),
IF('TL11'!$B$229=J$3,SUMIF('TL11'!$C$238:$C$451,$C203,'TL11'!$J$238:$J$451),0),
IF('TL12'!$B$3=J$3,SUMIF('TL12'!$C$10:$C$224,$C203,'TL12'!$J$10:$J$224),0),
IF('TL12'!$B$229=J$3,SUMIF('TL12'!$C$238:$C$451,$C203,'TL12'!$J$238:$J$451),0),
IF('TL13'!$B$3=J$3,SUMIF('TL13'!$C$10:$C$224,$C203,'TL13'!$J$10:$J$224),0),
IF('TL13'!$B$229=J$3,SUMIF('TL13'!$C$238:$C$451,$C203,'TL13'!$J$238:$J$451),0),
IF('TL14'!$B$3=J$3,SUMIF('TL14'!$C$10:$C$224,$C203,'TL14'!$J$10:$J$224),0),
IF('TL14'!$B$229=J$3,SUMIF('TL14'!$C$238:$C$451,$C203,'TL14'!$J$238:$J$451),0),
IF('TL15'!$B$3=J$3,SUMIF('TL15'!$C$10:$C$224,$C203,'TL15'!$J$10:$J$224),0),
IF('TL15'!$B$229=J$3,SUMIF('TL15'!$C$238:$C$451,$C203,'TL15'!$J$238:$J$451),0),
IF('TL16'!$B$3=J$3,SUMIF('TL16'!$C$10:$C$224,$C203,'TL16'!$J$10:$J$224),0),
IF('TL16'!$B$229=J$3,SUMIF('TL16'!$C$238:$C$451,$C203,'TL16'!$J$238:$J$451),0),
IF('TL17'!$B$3=J$3,SUMIF('TL17'!$C$10:$C$224,$C203,'TL17'!$J$10:$J$224),0),
IF('TL17'!$B$229=J$3,SUMIF('TL17'!$C$238:$C$451,$C203,'TL17'!$J$238:$J$451),0),
IF('TL18'!$B$3=J$3,SUMIF('TL18'!$C$10:$C$224,$C203,'TL18'!$J$10:$J$224),0),
IF('TL18'!$B$229=J$3,SUMIF('TL18'!$C$238:$C$451,$C203,'TL18'!$J$238:$J$451),0),
IF('TL19'!$B$3=J$3,SUMIF('TL19'!$C$10:$C$224,$C203,'TL19'!$J$10:$J$224),0),
IF('TL19'!$B$229=J$3,SUMIF('TL19'!$C$238:$C$451,$C203,'TL19'!$J$238:$J$451),0)
),0)</f>
        <v/>
      </c>
      <c r="K203" s="9">
        <f>IFERROR(SUM(
IF('TL01'!$B$3=K$3,SUMIF('TL01'!$C$10:$C$224,$C203,'TL01'!$J$10:$J$224),0),
IF('TL01'!$B$229=K$3,SUMIF('TL01'!$C$238:$C$451,$C203,'TL01'!$J$238:$J$451),0),
IF('TL02'!$B$3=K$3,SUMIF('TL02'!$C$10:$C$224,$C203,'TL02'!$J$10:$J$224),0),
IF('TL02'!$B$229=K$3,SUMIF('TL02'!$C$238:$C$451,$C203,'TL02'!$J$238:$J$451),0),
IF('TL03'!$B$3=K$3,SUMIF('TL03'!$C$10:$C$224,$C203,'TL03'!$J$10:$J$224),0),
IF('TL03'!$B$229=K$3,SUMIF('TL03'!$C$238:$C$451,$C203,'TL03'!$J$238:$J$451),0),
IF('TL04'!$B$3=K$3,SUMIF('TL04'!$C$10:$C$224,$C203,'TL04'!$J$10:$J$224),0),
IF('TL04'!$B$229=K$3,SUMIF('TL04'!$C$238:$C$451,$C203,'TL04'!$J$238:$J$451),0),
IF('TL05'!$B$3=K$3,SUMIF('TL05'!$C$10:$C$224,$C203,'TL05'!$J$10:$J$224),0),
IF('TL05'!$B$229=K$3,SUMIF('TL05'!$C$238:$C$451,$C203,'TL05'!$J$238:$J$451),0),
IF('TL06'!$B$3=K$3,SUMIF('TL06'!$C$10:$C$224,$C203,'TL06'!$J$10:$J$224),0),
IF('TL06'!$B$229=K$3,SUMIF('TL06'!$C$238:$C$451,$C203,'TL06'!$J$238:$J$451),0),
IF('TL07'!$B$3=K$3,SUMIF('TL07'!$C$10:$C$224,$C203,'TL07'!$J$10:$J$224),0),
IF('TL07'!$B$229=K$3,SUMIF('TL07'!$C$238:$C$451,$C203,'TL07'!$J$238:$J$451),0),
IF('TL08'!$B$3=K$3,SUMIF('TL08'!$C$10:$C$224,$C203,'TL08'!$J$10:$J$224),0),
IF('TL08'!$B$229=K$3,SUMIF('TL08'!$C$238:$C$451,$C203,'TL08'!$J$238:$J$451),0),
IF('TL09'!$B$3=K$3,SUMIF('TL09'!$C$10:$C$224,$C203,'TL09'!$J$10:$J$224),0),
IF('TL09'!$B$229=K$3,SUMIF('TL09'!$C$238:$C$451,$C203,'TL09'!$J$238:$J$451),0),
IF('TL10'!$B$3=K$3,SUMIF('TL10'!$C$10:$C$224,$C203,'TL10'!$J$10:$J$224),0),
IF('TL10'!$B$229=K$3,SUMIF('TL10'!$C$238:$C$451,$C203,'TL10'!$J$238:$J$451),0),
IF('TL11'!$B$3=K$3,SUMIF('TL11'!$C$10:$C$224,$C203,'TL11'!$J$10:$J$224),0),
IF('TL11'!$B$229=K$3,SUMIF('TL11'!$C$238:$C$451,$C203,'TL11'!$J$238:$J$451),0),
IF('TL12'!$B$3=K$3,SUMIF('TL12'!$C$10:$C$224,$C203,'TL12'!$J$10:$J$224),0),
IF('TL12'!$B$229=K$3,SUMIF('TL12'!$C$238:$C$451,$C203,'TL12'!$J$238:$J$451),0),
IF('TL13'!$B$3=K$3,SUMIF('TL13'!$C$10:$C$224,$C203,'TL13'!$J$10:$J$224),0),
IF('TL13'!$B$229=K$3,SUMIF('TL13'!$C$238:$C$451,$C203,'TL13'!$J$238:$J$451),0),
IF('TL14'!$B$3=K$3,SUMIF('TL14'!$C$10:$C$224,$C203,'TL14'!$J$10:$J$224),0),
IF('TL14'!$B$229=K$3,SUMIF('TL14'!$C$238:$C$451,$C203,'TL14'!$J$238:$J$451),0),
IF('TL15'!$B$3=K$3,SUMIF('TL15'!$C$10:$C$224,$C203,'TL15'!$J$10:$J$224),0),
IF('TL15'!$B$229=K$3,SUMIF('TL15'!$C$238:$C$451,$C203,'TL15'!$J$238:$J$451),0),
IF('TL16'!$B$3=K$3,SUMIF('TL16'!$C$10:$C$224,$C203,'TL16'!$J$10:$J$224),0),
IF('TL16'!$B$229=K$3,SUMIF('TL16'!$C$238:$C$451,$C203,'TL16'!$J$238:$J$451),0),
IF('TL17'!$B$3=K$3,SUMIF('TL17'!$C$10:$C$224,$C203,'TL17'!$J$10:$J$224),0),
IF('TL17'!$B$229=K$3,SUMIF('TL17'!$C$238:$C$451,$C203,'TL17'!$J$238:$J$451),0),
IF('TL18'!$B$3=K$3,SUMIF('TL18'!$C$10:$C$224,$C203,'TL18'!$J$10:$J$224),0),
IF('TL18'!$B$229=K$3,SUMIF('TL18'!$C$238:$C$451,$C203,'TL18'!$J$238:$J$451),0),
IF('TL19'!$B$3=K$3,SUMIF('TL19'!$C$10:$C$224,$C203,'TL19'!$J$10:$J$224),0),
IF('TL19'!$B$229=K$3,SUMIF('TL19'!$C$238:$C$451,$C203,'TL19'!$J$238:$J$451),0)
),0)</f>
        <v/>
      </c>
      <c r="L203" s="9">
        <f>IFERROR(SUM(
IF('TL01'!$B$3=L$3,SUMIF('TL01'!$C$10:$C$224,$C203,'TL01'!$J$10:$J$224),0),
IF('TL01'!$B$229=L$3,SUMIF('TL01'!$C$238:$C$451,$C203,'TL01'!$J$238:$J$451),0),
IF('TL02'!$B$3=L$3,SUMIF('TL02'!$C$10:$C$224,$C203,'TL02'!$J$10:$J$224),0),
IF('TL02'!$B$229=L$3,SUMIF('TL02'!$C$238:$C$451,$C203,'TL02'!$J$238:$J$451),0),
IF('TL03'!$B$3=L$3,SUMIF('TL03'!$C$10:$C$224,$C203,'TL03'!$J$10:$J$224),0),
IF('TL03'!$B$229=L$3,SUMIF('TL03'!$C$238:$C$451,$C203,'TL03'!$J$238:$J$451),0),
IF('TL04'!$B$3=L$3,SUMIF('TL04'!$C$10:$C$224,$C203,'TL04'!$J$10:$J$224),0),
IF('TL04'!$B$229=L$3,SUMIF('TL04'!$C$238:$C$451,$C203,'TL04'!$J$238:$J$451),0),
IF('TL05'!$B$3=L$3,SUMIF('TL05'!$C$10:$C$224,$C203,'TL05'!$J$10:$J$224),0),
IF('TL05'!$B$229=L$3,SUMIF('TL05'!$C$238:$C$451,$C203,'TL05'!$J$238:$J$451),0),
IF('TL06'!$B$3=L$3,SUMIF('TL06'!$C$10:$C$224,$C203,'TL06'!$J$10:$J$224),0),
IF('TL06'!$B$229=L$3,SUMIF('TL06'!$C$238:$C$451,$C203,'TL06'!$J$238:$J$451),0),
IF('TL07'!$B$3=L$3,SUMIF('TL07'!$C$10:$C$224,$C203,'TL07'!$J$10:$J$224),0),
IF('TL07'!$B$229=L$3,SUMIF('TL07'!$C$238:$C$451,$C203,'TL07'!$J$238:$J$451),0),
IF('TL08'!$B$3=L$3,SUMIF('TL08'!$C$10:$C$224,$C203,'TL08'!$J$10:$J$224),0),
IF('TL08'!$B$229=L$3,SUMIF('TL08'!$C$238:$C$451,$C203,'TL08'!$J$238:$J$451),0),
IF('TL09'!$B$3=L$3,SUMIF('TL09'!$C$10:$C$224,$C203,'TL09'!$J$10:$J$224),0),
IF('TL09'!$B$229=L$3,SUMIF('TL09'!$C$238:$C$451,$C203,'TL09'!$J$238:$J$451),0),
IF('TL10'!$B$3=L$3,SUMIF('TL10'!$C$10:$C$224,$C203,'TL10'!$J$10:$J$224),0),
IF('TL10'!$B$229=L$3,SUMIF('TL10'!$C$238:$C$451,$C203,'TL10'!$J$238:$J$451),0),
IF('TL11'!$B$3=L$3,SUMIF('TL11'!$C$10:$C$224,$C203,'TL11'!$J$10:$J$224),0),
IF('TL11'!$B$229=L$3,SUMIF('TL11'!$C$238:$C$451,$C203,'TL11'!$J$238:$J$451),0),
IF('TL12'!$B$3=L$3,SUMIF('TL12'!$C$10:$C$224,$C203,'TL12'!$J$10:$J$224),0),
IF('TL12'!$B$229=L$3,SUMIF('TL12'!$C$238:$C$451,$C203,'TL12'!$J$238:$J$451),0),
IF('TL13'!$B$3=L$3,SUMIF('TL13'!$C$10:$C$224,$C203,'TL13'!$J$10:$J$224),0),
IF('TL13'!$B$229=L$3,SUMIF('TL13'!$C$238:$C$451,$C203,'TL13'!$J$238:$J$451),0),
IF('TL14'!$B$3=L$3,SUMIF('TL14'!$C$10:$C$224,$C203,'TL14'!$J$10:$J$224),0),
IF('TL14'!$B$229=L$3,SUMIF('TL14'!$C$238:$C$451,$C203,'TL14'!$J$238:$J$451),0),
IF('TL15'!$B$3=L$3,SUMIF('TL15'!$C$10:$C$224,$C203,'TL15'!$J$10:$J$224),0),
IF('TL15'!$B$229=L$3,SUMIF('TL15'!$C$238:$C$451,$C203,'TL15'!$J$238:$J$451),0),
IF('TL16'!$B$3=L$3,SUMIF('TL16'!$C$10:$C$224,$C203,'TL16'!$J$10:$J$224),0),
IF('TL16'!$B$229=L$3,SUMIF('TL16'!$C$238:$C$451,$C203,'TL16'!$J$238:$J$451),0),
IF('TL17'!$B$3=L$3,SUMIF('TL17'!$C$10:$C$224,$C203,'TL17'!$J$10:$J$224),0),
IF('TL17'!$B$229=L$3,SUMIF('TL17'!$C$238:$C$451,$C203,'TL17'!$J$238:$J$451),0),
IF('TL18'!$B$3=L$3,SUMIF('TL18'!$C$10:$C$224,$C203,'TL18'!$J$10:$J$224),0),
IF('TL18'!$B$229=L$3,SUMIF('TL18'!$C$238:$C$451,$C203,'TL18'!$J$238:$J$451),0),
IF('TL19'!$B$3=L$3,SUMIF('TL19'!$C$10:$C$224,$C203,'TL19'!$J$10:$J$224),0),
IF('TL19'!$B$229=L$3,SUMIF('TL19'!$C$238:$C$451,$C203,'TL19'!$J$238:$J$451),0)
),0)</f>
        <v/>
      </c>
      <c r="M203" s="9">
        <f>IFERROR(SUM(
IF('TL01'!$B$3=M$3,SUMIF('TL01'!$C$10:$C$224,$C203,'TL01'!$J$10:$J$224),0),
IF('TL01'!$B$229=M$3,SUMIF('TL01'!$C$238:$C$451,$C203,'TL01'!$J$238:$J$451),0),
IF('TL02'!$B$3=M$3,SUMIF('TL02'!$C$10:$C$224,$C203,'TL02'!$J$10:$J$224),0),
IF('TL02'!$B$229=M$3,SUMIF('TL02'!$C$238:$C$451,$C203,'TL02'!$J$238:$J$451),0),
IF('TL03'!$B$3=M$3,SUMIF('TL03'!$C$10:$C$224,$C203,'TL03'!$J$10:$J$224),0),
IF('TL03'!$B$229=M$3,SUMIF('TL03'!$C$238:$C$451,$C203,'TL03'!$J$238:$J$451),0),
IF('TL04'!$B$3=M$3,SUMIF('TL04'!$C$10:$C$224,$C203,'TL04'!$J$10:$J$224),0),
IF('TL04'!$B$229=M$3,SUMIF('TL04'!$C$238:$C$451,$C203,'TL04'!$J$238:$J$451),0),
IF('TL05'!$B$3=M$3,SUMIF('TL05'!$C$10:$C$224,$C203,'TL05'!$J$10:$J$224),0),
IF('TL05'!$B$229=M$3,SUMIF('TL05'!$C$238:$C$451,$C203,'TL05'!$J$238:$J$451),0),
IF('TL06'!$B$3=M$3,SUMIF('TL06'!$C$10:$C$224,$C203,'TL06'!$J$10:$J$224),0),
IF('TL06'!$B$229=M$3,SUMIF('TL06'!$C$238:$C$451,$C203,'TL06'!$J$238:$J$451),0),
IF('TL07'!$B$3=M$3,SUMIF('TL07'!$C$10:$C$224,$C203,'TL07'!$J$10:$J$224),0),
IF('TL07'!$B$229=M$3,SUMIF('TL07'!$C$238:$C$451,$C203,'TL07'!$J$238:$J$451),0),
IF('TL08'!$B$3=M$3,SUMIF('TL08'!$C$10:$C$224,$C203,'TL08'!$J$10:$J$224),0),
IF('TL08'!$B$229=M$3,SUMIF('TL08'!$C$238:$C$451,$C203,'TL08'!$J$238:$J$451),0),
IF('TL09'!$B$3=M$3,SUMIF('TL09'!$C$10:$C$224,$C203,'TL09'!$J$10:$J$224),0),
IF('TL09'!$B$229=M$3,SUMIF('TL09'!$C$238:$C$451,$C203,'TL09'!$J$238:$J$451),0),
IF('TL10'!$B$3=M$3,SUMIF('TL10'!$C$10:$C$224,$C203,'TL10'!$J$10:$J$224),0),
IF('TL10'!$B$229=M$3,SUMIF('TL10'!$C$238:$C$451,$C203,'TL10'!$J$238:$J$451),0),
IF('TL11'!$B$3=M$3,SUMIF('TL11'!$C$10:$C$224,$C203,'TL11'!$J$10:$J$224),0),
IF('TL11'!$B$229=M$3,SUMIF('TL11'!$C$238:$C$451,$C203,'TL11'!$J$238:$J$451),0),
IF('TL12'!$B$3=M$3,SUMIF('TL12'!$C$10:$C$224,$C203,'TL12'!$J$10:$J$224),0),
IF('TL12'!$B$229=M$3,SUMIF('TL12'!$C$238:$C$451,$C203,'TL12'!$J$238:$J$451),0),
IF('TL13'!$B$3=M$3,SUMIF('TL13'!$C$10:$C$224,$C203,'TL13'!$J$10:$J$224),0),
IF('TL13'!$B$229=M$3,SUMIF('TL13'!$C$238:$C$451,$C203,'TL13'!$J$238:$J$451),0),
IF('TL14'!$B$3=M$3,SUMIF('TL14'!$C$10:$C$224,$C203,'TL14'!$J$10:$J$224),0),
IF('TL14'!$B$229=M$3,SUMIF('TL14'!$C$238:$C$451,$C203,'TL14'!$J$238:$J$451),0),
IF('TL15'!$B$3=M$3,SUMIF('TL15'!$C$10:$C$224,$C203,'TL15'!$J$10:$J$224),0),
IF('TL15'!$B$229=M$3,SUMIF('TL15'!$C$238:$C$451,$C203,'TL15'!$J$238:$J$451),0),
IF('TL16'!$B$3=M$3,SUMIF('TL16'!$C$10:$C$224,$C203,'TL16'!$J$10:$J$224),0),
IF('TL16'!$B$229=M$3,SUMIF('TL16'!$C$238:$C$451,$C203,'TL16'!$J$238:$J$451),0),
IF('TL17'!$B$3=M$3,SUMIF('TL17'!$C$10:$C$224,$C203,'TL17'!$J$10:$J$224),0),
IF('TL17'!$B$229=M$3,SUMIF('TL17'!$C$238:$C$451,$C203,'TL17'!$J$238:$J$451),0),
IF('TL18'!$B$3=M$3,SUMIF('TL18'!$C$10:$C$224,$C203,'TL18'!$J$10:$J$224),0),
IF('TL18'!$B$229=M$3,SUMIF('TL18'!$C$238:$C$451,$C203,'TL18'!$J$238:$J$451),0),
IF('TL19'!$B$3=M$3,SUMIF('TL19'!$C$10:$C$224,$C203,'TL19'!$J$10:$J$224),0),
IF('TL19'!$B$229=M$3,SUMIF('TL19'!$C$238:$C$451,$C203,'TL19'!$J$238:$J$451),0)
),0)</f>
        <v/>
      </c>
      <c r="N203" s="9">
        <f>IFERROR(SUM(
IF('TL01'!$B$3=N$3,SUMIF('TL01'!$C$10:$C$224,$C203,'TL01'!$J$10:$J$224),0),
IF('TL01'!$B$229=N$3,SUMIF('TL01'!$C$238:$C$451,$C203,'TL01'!$J$238:$J$451),0),
IF('TL02'!$B$3=N$3,SUMIF('TL02'!$C$10:$C$224,$C203,'TL02'!$J$10:$J$224),0),
IF('TL02'!$B$229=N$3,SUMIF('TL02'!$C$238:$C$451,$C203,'TL02'!$J$238:$J$451),0),
IF('TL03'!$B$3=N$3,SUMIF('TL03'!$C$10:$C$224,$C203,'TL03'!$J$10:$J$224),0),
IF('TL03'!$B$229=N$3,SUMIF('TL03'!$C$238:$C$451,$C203,'TL03'!$J$238:$J$451),0),
IF('TL04'!$B$3=N$3,SUMIF('TL04'!$C$10:$C$224,$C203,'TL04'!$J$10:$J$224),0),
IF('TL04'!$B$229=N$3,SUMIF('TL04'!$C$238:$C$451,$C203,'TL04'!$J$238:$J$451),0),
IF('TL05'!$B$3=N$3,SUMIF('TL05'!$C$10:$C$224,$C203,'TL05'!$J$10:$J$224),0),
IF('TL05'!$B$229=N$3,SUMIF('TL05'!$C$238:$C$451,$C203,'TL05'!$J$238:$J$451),0),
IF('TL06'!$B$3=N$3,SUMIF('TL06'!$C$10:$C$224,$C203,'TL06'!$J$10:$J$224),0),
IF('TL06'!$B$229=N$3,SUMIF('TL06'!$C$238:$C$451,$C203,'TL06'!$J$238:$J$451),0),
IF('TL07'!$B$3=N$3,SUMIF('TL07'!$C$10:$C$224,$C203,'TL07'!$J$10:$J$224),0),
IF('TL07'!$B$229=N$3,SUMIF('TL07'!$C$238:$C$451,$C203,'TL07'!$J$238:$J$451),0),
IF('TL08'!$B$3=N$3,SUMIF('TL08'!$C$10:$C$224,$C203,'TL08'!$J$10:$J$224),0),
IF('TL08'!$B$229=N$3,SUMIF('TL08'!$C$238:$C$451,$C203,'TL08'!$J$238:$J$451),0),
IF('TL09'!$B$3=N$3,SUMIF('TL09'!$C$10:$C$224,$C203,'TL09'!$J$10:$J$224),0),
IF('TL09'!$B$229=N$3,SUMIF('TL09'!$C$238:$C$451,$C203,'TL09'!$J$238:$J$451),0),
IF('TL10'!$B$3=N$3,SUMIF('TL10'!$C$10:$C$224,$C203,'TL10'!$J$10:$J$224),0),
IF('TL10'!$B$229=N$3,SUMIF('TL10'!$C$238:$C$451,$C203,'TL10'!$J$238:$J$451),0),
IF('TL11'!$B$3=N$3,SUMIF('TL11'!$C$10:$C$224,$C203,'TL11'!$J$10:$J$224),0),
IF('TL11'!$B$229=N$3,SUMIF('TL11'!$C$238:$C$451,$C203,'TL11'!$J$238:$J$451),0),
IF('TL12'!$B$3=N$3,SUMIF('TL12'!$C$10:$C$224,$C203,'TL12'!$J$10:$J$224),0),
IF('TL12'!$B$229=N$3,SUMIF('TL12'!$C$238:$C$451,$C203,'TL12'!$J$238:$J$451),0),
IF('TL13'!$B$3=N$3,SUMIF('TL13'!$C$10:$C$224,$C203,'TL13'!$J$10:$J$224),0),
IF('TL13'!$B$229=N$3,SUMIF('TL13'!$C$238:$C$451,$C203,'TL13'!$J$238:$J$451),0),
IF('TL14'!$B$3=N$3,SUMIF('TL14'!$C$10:$C$224,$C203,'TL14'!$J$10:$J$224),0),
IF('TL14'!$B$229=N$3,SUMIF('TL14'!$C$238:$C$451,$C203,'TL14'!$J$238:$J$451),0),
IF('TL15'!$B$3=N$3,SUMIF('TL15'!$C$10:$C$224,$C203,'TL15'!$J$10:$J$224),0),
IF('TL15'!$B$229=N$3,SUMIF('TL15'!$C$238:$C$451,$C203,'TL15'!$J$238:$J$451),0),
IF('TL16'!$B$3=N$3,SUMIF('TL16'!$C$10:$C$224,$C203,'TL16'!$J$10:$J$224),0),
IF('TL16'!$B$229=N$3,SUMIF('TL16'!$C$238:$C$451,$C203,'TL16'!$J$238:$J$451),0),
IF('TL17'!$B$3=N$3,SUMIF('TL17'!$C$10:$C$224,$C203,'TL17'!$J$10:$J$224),0),
IF('TL17'!$B$229=N$3,SUMIF('TL17'!$C$238:$C$451,$C203,'TL17'!$J$238:$J$451),0),
IF('TL18'!$B$3=N$3,SUMIF('TL18'!$C$10:$C$224,$C203,'TL18'!$J$10:$J$224),0),
IF('TL18'!$B$229=N$3,SUMIF('TL18'!$C$238:$C$451,$C203,'TL18'!$J$238:$J$451),0),
IF('TL19'!$B$3=N$3,SUMIF('TL19'!$C$10:$C$224,$C203,'TL19'!$J$10:$J$224),0),
IF('TL19'!$B$229=N$3,SUMIF('TL19'!$C$238:$C$451,$C203,'TL19'!$J$238:$J$451),0)
),0)</f>
        <v/>
      </c>
      <c r="O203" s="9">
        <f>IFERROR(SUM(
IF('TL01'!$B$3=O$3,SUMIF('TL01'!$C$10:$C$224,$C203,'TL01'!$J$10:$J$224),0),
IF('TL01'!$B$229=O$3,SUMIF('TL01'!$C$238:$C$451,$C203,'TL01'!$J$238:$J$451),0),
IF('TL02'!$B$3=O$3,SUMIF('TL02'!$C$10:$C$224,$C203,'TL02'!$J$10:$J$224),0),
IF('TL02'!$B$229=O$3,SUMIF('TL02'!$C$238:$C$451,$C203,'TL02'!$J$238:$J$451),0),
IF('TL03'!$B$3=O$3,SUMIF('TL03'!$C$10:$C$224,$C203,'TL03'!$J$10:$J$224),0),
IF('TL03'!$B$229=O$3,SUMIF('TL03'!$C$238:$C$451,$C203,'TL03'!$J$238:$J$451),0),
IF('TL04'!$B$3=O$3,SUMIF('TL04'!$C$10:$C$224,$C203,'TL04'!$J$10:$J$224),0),
IF('TL04'!$B$229=O$3,SUMIF('TL04'!$C$238:$C$451,$C203,'TL04'!$J$238:$J$451),0),
IF('TL05'!$B$3=O$3,SUMIF('TL05'!$C$10:$C$224,$C203,'TL05'!$J$10:$J$224),0),
IF('TL05'!$B$229=O$3,SUMIF('TL05'!$C$238:$C$451,$C203,'TL05'!$J$238:$J$451),0),
IF('TL06'!$B$3=O$3,SUMIF('TL06'!$C$10:$C$224,$C203,'TL06'!$J$10:$J$224),0),
IF('TL06'!$B$229=O$3,SUMIF('TL06'!$C$238:$C$451,$C203,'TL06'!$J$238:$J$451),0),
IF('TL07'!$B$3=O$3,SUMIF('TL07'!$C$10:$C$224,$C203,'TL07'!$J$10:$J$224),0),
IF('TL07'!$B$229=O$3,SUMIF('TL07'!$C$238:$C$451,$C203,'TL07'!$J$238:$J$451),0),
IF('TL08'!$B$3=O$3,SUMIF('TL08'!$C$10:$C$224,$C203,'TL08'!$J$10:$J$224),0),
IF('TL08'!$B$229=O$3,SUMIF('TL08'!$C$238:$C$451,$C203,'TL08'!$J$238:$J$451),0),
IF('TL09'!$B$3=O$3,SUMIF('TL09'!$C$10:$C$224,$C203,'TL09'!$J$10:$J$224),0),
IF('TL09'!$B$229=O$3,SUMIF('TL09'!$C$238:$C$451,$C203,'TL09'!$J$238:$J$451),0),
IF('TL10'!$B$3=O$3,SUMIF('TL10'!$C$10:$C$224,$C203,'TL10'!$J$10:$J$224),0),
IF('TL10'!$B$229=O$3,SUMIF('TL10'!$C$238:$C$451,$C203,'TL10'!$J$238:$J$451),0),
IF('TL11'!$B$3=O$3,SUMIF('TL11'!$C$10:$C$224,$C203,'TL11'!$J$10:$J$224),0),
IF('TL11'!$B$229=O$3,SUMIF('TL11'!$C$238:$C$451,$C203,'TL11'!$J$238:$J$451),0),
IF('TL12'!$B$3=O$3,SUMIF('TL12'!$C$10:$C$224,$C203,'TL12'!$J$10:$J$224),0),
IF('TL12'!$B$229=O$3,SUMIF('TL12'!$C$238:$C$451,$C203,'TL12'!$J$238:$J$451),0),
IF('TL13'!$B$3=O$3,SUMIF('TL13'!$C$10:$C$224,$C203,'TL13'!$J$10:$J$224),0),
IF('TL13'!$B$229=O$3,SUMIF('TL13'!$C$238:$C$451,$C203,'TL13'!$J$238:$J$451),0),
IF('TL14'!$B$3=O$3,SUMIF('TL14'!$C$10:$C$224,$C203,'TL14'!$J$10:$J$224),0),
IF('TL14'!$B$229=O$3,SUMIF('TL14'!$C$238:$C$451,$C203,'TL14'!$J$238:$J$451),0),
IF('TL15'!$B$3=O$3,SUMIF('TL15'!$C$10:$C$224,$C203,'TL15'!$J$10:$J$224),0),
IF('TL15'!$B$229=O$3,SUMIF('TL15'!$C$238:$C$451,$C203,'TL15'!$J$238:$J$451),0),
IF('TL16'!$B$3=O$3,SUMIF('TL16'!$C$10:$C$224,$C203,'TL16'!$J$10:$J$224),0),
IF('TL16'!$B$229=O$3,SUMIF('TL16'!$C$238:$C$451,$C203,'TL16'!$J$238:$J$451),0),
IF('TL17'!$B$3=O$3,SUMIF('TL17'!$C$10:$C$224,$C203,'TL17'!$J$10:$J$224),0),
IF('TL17'!$B$229=O$3,SUMIF('TL17'!$C$238:$C$451,$C203,'TL17'!$J$238:$J$451),0),
IF('TL18'!$B$3=O$3,SUMIF('TL18'!$C$10:$C$224,$C203,'TL18'!$J$10:$J$224),0),
IF('TL18'!$B$229=O$3,SUMIF('TL18'!$C$238:$C$451,$C203,'TL18'!$J$238:$J$451),0),
IF('TL19'!$B$3=O$3,SUMIF('TL19'!$C$10:$C$224,$C203,'TL19'!$J$10:$J$224),0),
IF('TL19'!$B$229=O$3,SUMIF('TL19'!$C$238:$C$451,$C203,'TL19'!$J$238:$J$451),0)
),0)</f>
        <v/>
      </c>
      <c r="P203" s="9">
        <f>IFERROR(SUM(
IF('TL01'!$B$3=P$3,SUMIF('TL01'!$C$10:$C$224,$C203,'TL01'!$J$10:$J$224),0),
IF('TL01'!$B$229=P$3,SUMIF('TL01'!$C$238:$C$451,$C203,'TL01'!$J$238:$J$451),0),
IF('TL02'!$B$3=P$3,SUMIF('TL02'!$C$10:$C$224,$C203,'TL02'!$J$10:$J$224),0),
IF('TL02'!$B$229=P$3,SUMIF('TL02'!$C$238:$C$451,$C203,'TL02'!$J$238:$J$451),0),
IF('TL03'!$B$3=P$3,SUMIF('TL03'!$C$10:$C$224,$C203,'TL03'!$J$10:$J$224),0),
IF('TL03'!$B$229=P$3,SUMIF('TL03'!$C$238:$C$451,$C203,'TL03'!$J$238:$J$451),0),
IF('TL04'!$B$3=P$3,SUMIF('TL04'!$C$10:$C$224,$C203,'TL04'!$J$10:$J$224),0),
IF('TL04'!$B$229=P$3,SUMIF('TL04'!$C$238:$C$451,$C203,'TL04'!$J$238:$J$451),0),
IF('TL05'!$B$3=P$3,SUMIF('TL05'!$C$10:$C$224,$C203,'TL05'!$J$10:$J$224),0),
IF('TL05'!$B$229=P$3,SUMIF('TL05'!$C$238:$C$451,$C203,'TL05'!$J$238:$J$451),0),
IF('TL06'!$B$3=P$3,SUMIF('TL06'!$C$10:$C$224,$C203,'TL06'!$J$10:$J$224),0),
IF('TL06'!$B$229=P$3,SUMIF('TL06'!$C$238:$C$451,$C203,'TL06'!$J$238:$J$451),0),
IF('TL07'!$B$3=P$3,SUMIF('TL07'!$C$10:$C$224,$C203,'TL07'!$J$10:$J$224),0),
IF('TL07'!$B$229=P$3,SUMIF('TL07'!$C$238:$C$451,$C203,'TL07'!$J$238:$J$451),0),
IF('TL08'!$B$3=P$3,SUMIF('TL08'!$C$10:$C$224,$C203,'TL08'!$J$10:$J$224),0),
IF('TL08'!$B$229=P$3,SUMIF('TL08'!$C$238:$C$451,$C203,'TL08'!$J$238:$J$451),0),
IF('TL09'!$B$3=P$3,SUMIF('TL09'!$C$10:$C$224,$C203,'TL09'!$J$10:$J$224),0),
IF('TL09'!$B$229=P$3,SUMIF('TL09'!$C$238:$C$451,$C203,'TL09'!$J$238:$J$451),0),
IF('TL10'!$B$3=P$3,SUMIF('TL10'!$C$10:$C$224,$C203,'TL10'!$J$10:$J$224),0),
IF('TL10'!$B$229=P$3,SUMIF('TL10'!$C$238:$C$451,$C203,'TL10'!$J$238:$J$451),0),
IF('TL11'!$B$3=P$3,SUMIF('TL11'!$C$10:$C$224,$C203,'TL11'!$J$10:$J$224),0),
IF('TL11'!$B$229=P$3,SUMIF('TL11'!$C$238:$C$451,$C203,'TL11'!$J$238:$J$451),0),
IF('TL12'!$B$3=P$3,SUMIF('TL12'!$C$10:$C$224,$C203,'TL12'!$J$10:$J$224),0),
IF('TL12'!$B$229=P$3,SUMIF('TL12'!$C$238:$C$451,$C203,'TL12'!$J$238:$J$451),0),
IF('TL13'!$B$3=P$3,SUMIF('TL13'!$C$10:$C$224,$C203,'TL13'!$J$10:$J$224),0),
IF('TL13'!$B$229=P$3,SUMIF('TL13'!$C$238:$C$451,$C203,'TL13'!$J$238:$J$451),0),
IF('TL14'!$B$3=P$3,SUMIF('TL14'!$C$10:$C$224,$C203,'TL14'!$J$10:$J$224),0),
IF('TL14'!$B$229=P$3,SUMIF('TL14'!$C$238:$C$451,$C203,'TL14'!$J$238:$J$451),0),
IF('TL15'!$B$3=P$3,SUMIF('TL15'!$C$10:$C$224,$C203,'TL15'!$J$10:$J$224),0),
IF('TL15'!$B$229=P$3,SUMIF('TL15'!$C$238:$C$451,$C203,'TL15'!$J$238:$J$451),0),
IF('TL16'!$B$3=P$3,SUMIF('TL16'!$C$10:$C$224,$C203,'TL16'!$J$10:$J$224),0),
IF('TL16'!$B$229=P$3,SUMIF('TL16'!$C$238:$C$451,$C203,'TL16'!$J$238:$J$451),0),
IF('TL17'!$B$3=P$3,SUMIF('TL17'!$C$10:$C$224,$C203,'TL17'!$J$10:$J$224),0),
IF('TL17'!$B$229=P$3,SUMIF('TL17'!$C$238:$C$451,$C203,'TL17'!$J$238:$J$451),0),
IF('TL18'!$B$3=P$3,SUMIF('TL18'!$C$10:$C$224,$C203,'TL18'!$J$10:$J$224),0),
IF('TL18'!$B$229=P$3,SUMIF('TL18'!$C$238:$C$451,$C203,'TL18'!$J$238:$J$451),0),
IF('TL19'!$B$3=P$3,SUMIF('TL19'!$C$10:$C$224,$C203,'TL19'!$J$10:$J$224),0),
IF('TL19'!$B$229=P$3,SUMIF('TL19'!$C$238:$C$451,$C203,'TL19'!$J$238:$J$451),0)
),0)</f>
        <v/>
      </c>
      <c r="Q203" s="9">
        <f>IFERROR(SUM(
IF('TL01'!$B$3=Q$3,SUMIF('TL01'!$C$10:$C$224,$C203,'TL01'!$J$10:$J$224),0),
IF('TL01'!$B$229=Q$3,SUMIF('TL01'!$C$238:$C$451,$C203,'TL01'!$J$238:$J$451),0),
IF('TL02'!$B$3=Q$3,SUMIF('TL02'!$C$10:$C$224,$C203,'TL02'!$J$10:$J$224),0),
IF('TL02'!$B$229=Q$3,SUMIF('TL02'!$C$238:$C$451,$C203,'TL02'!$J$238:$J$451),0),
IF('TL03'!$B$3=Q$3,SUMIF('TL03'!$C$10:$C$224,$C203,'TL03'!$J$10:$J$224),0),
IF('TL03'!$B$229=Q$3,SUMIF('TL03'!$C$238:$C$451,$C203,'TL03'!$J$238:$J$451),0),
IF('TL04'!$B$3=Q$3,SUMIF('TL04'!$C$10:$C$224,$C203,'TL04'!$J$10:$J$224),0),
IF('TL04'!$B$229=Q$3,SUMIF('TL04'!$C$238:$C$451,$C203,'TL04'!$J$238:$J$451),0),
IF('TL05'!$B$3=Q$3,SUMIF('TL05'!$C$10:$C$224,$C203,'TL05'!$J$10:$J$224),0),
IF('TL05'!$B$229=Q$3,SUMIF('TL05'!$C$238:$C$451,$C203,'TL05'!$J$238:$J$451),0),
IF('TL06'!$B$3=Q$3,SUMIF('TL06'!$C$10:$C$224,$C203,'TL06'!$J$10:$J$224),0),
IF('TL06'!$B$229=Q$3,SUMIF('TL06'!$C$238:$C$451,$C203,'TL06'!$J$238:$J$451),0),
IF('TL07'!$B$3=Q$3,SUMIF('TL07'!$C$10:$C$224,$C203,'TL07'!$J$10:$J$224),0),
IF('TL07'!$B$229=Q$3,SUMIF('TL07'!$C$238:$C$451,$C203,'TL07'!$J$238:$J$451),0),
IF('TL08'!$B$3=Q$3,SUMIF('TL08'!$C$10:$C$224,$C203,'TL08'!$J$10:$J$224),0),
IF('TL08'!$B$229=Q$3,SUMIF('TL08'!$C$238:$C$451,$C203,'TL08'!$J$238:$J$451),0),
IF('TL09'!$B$3=Q$3,SUMIF('TL09'!$C$10:$C$224,$C203,'TL09'!$J$10:$J$224),0),
IF('TL09'!$B$229=Q$3,SUMIF('TL09'!$C$238:$C$451,$C203,'TL09'!$J$238:$J$451),0),
IF('TL10'!$B$3=Q$3,SUMIF('TL10'!$C$10:$C$224,$C203,'TL10'!$J$10:$J$224),0),
IF('TL10'!$B$229=Q$3,SUMIF('TL10'!$C$238:$C$451,$C203,'TL10'!$J$238:$J$451),0),
IF('TL11'!$B$3=Q$3,SUMIF('TL11'!$C$10:$C$224,$C203,'TL11'!$J$10:$J$224),0),
IF('TL11'!$B$229=Q$3,SUMIF('TL11'!$C$238:$C$451,$C203,'TL11'!$J$238:$J$451),0),
IF('TL12'!$B$3=Q$3,SUMIF('TL12'!$C$10:$C$224,$C203,'TL12'!$J$10:$J$224),0),
IF('TL12'!$B$229=Q$3,SUMIF('TL12'!$C$238:$C$451,$C203,'TL12'!$J$238:$J$451),0),
IF('TL13'!$B$3=Q$3,SUMIF('TL13'!$C$10:$C$224,$C203,'TL13'!$J$10:$J$224),0),
IF('TL13'!$B$229=Q$3,SUMIF('TL13'!$C$238:$C$451,$C203,'TL13'!$J$238:$J$451),0),
IF('TL14'!$B$3=Q$3,SUMIF('TL14'!$C$10:$C$224,$C203,'TL14'!$J$10:$J$224),0),
IF('TL14'!$B$229=Q$3,SUMIF('TL14'!$C$238:$C$451,$C203,'TL14'!$J$238:$J$451),0),
IF('TL15'!$B$3=Q$3,SUMIF('TL15'!$C$10:$C$224,$C203,'TL15'!$J$10:$J$224),0),
IF('TL15'!$B$229=Q$3,SUMIF('TL15'!$C$238:$C$451,$C203,'TL15'!$J$238:$J$451),0),
IF('TL16'!$B$3=Q$3,SUMIF('TL16'!$C$10:$C$224,$C203,'TL16'!$J$10:$J$224),0),
IF('TL16'!$B$229=Q$3,SUMIF('TL16'!$C$238:$C$451,$C203,'TL16'!$J$238:$J$451),0),
IF('TL17'!$B$3=Q$3,SUMIF('TL17'!$C$10:$C$224,$C203,'TL17'!$J$10:$J$224),0),
IF('TL17'!$B$229=Q$3,SUMIF('TL17'!$C$238:$C$451,$C203,'TL17'!$J$238:$J$451),0),
IF('TL18'!$B$3=Q$3,SUMIF('TL18'!$C$10:$C$224,$C203,'TL18'!$J$10:$J$224),0),
IF('TL18'!$B$229=Q$3,SUMIF('TL18'!$C$238:$C$451,$C203,'TL18'!$J$238:$J$451),0),
IF('TL19'!$B$3=Q$3,SUMIF('TL19'!$C$10:$C$224,$C203,'TL19'!$J$10:$J$224),0),
IF('TL19'!$B$229=Q$3,SUMIF('TL19'!$C$238:$C$451,$C203,'TL19'!$J$238:$J$451),0)
),0)</f>
        <v/>
      </c>
      <c r="R203" s="9">
        <f>IFERROR(
SUM(
SUMIF('TL01'!C:C,C203,'TL01'!J:J),
SUMIF('TL02'!C:C,C203,'TL02'!J:J),
SUMIF('TL03'!C:C,C203,'TL03'!J:J),
SUMIF('TL04'!C:C,C203,'TL04'!J:J),
SUMIF('TL05'!C:C,C203,'TL05'!J:J),
SUMIF('TL06'!C:C,C203,'TL06'!J:J),
SUMIF('TL07'!C:C,C203,'TL07'!J:J),
SUMIF('TL08'!C:C,C203,'TL08'!J:J),
SUMIF('TL09'!C:C,C203,'TL09'!J:J),
SUMIF('TL10'!C:C,C203,'TL10'!J:J),
SUMIF('TL11'!C:C,C203,'TL11'!J:J),
SUMIF('TL12'!C:C,C203,'TL12'!J:J),
SUMIF('TL13'!C:C,C203,'TL13'!J:J),
SUMIF('TL14'!C:C,C203,'TL14'!J:J),
SUMIF('TL15'!C:C,C203,'TL15'!J:J),
SUMIF('TL16'!C:C,C203,'TL16'!J:J),
SUMIF('TL17'!C:C,C203,'TL17'!J:J),
SUMIF('TL18'!C:C,C203,'TL18'!J:J),SUMIF('TL19'!C:C,C203,'TL19'!J:J))
,0)</f>
        <v/>
      </c>
      <c r="S203" s="17">
        <f>IFERROR(__xludf.DUMMYFUNCTION("IFERROR(VLOOKUP(C203,
IMPORTRANGE(""1wULbzX32WdYsx-lj2U3uUNBBe2INVIRDtcK0d-Dvl90"",
""26-27!C:G""),
5,
FALSE),
"""")"),69.69258)</f>
        <v/>
      </c>
      <c r="T203" s="9" t="n"/>
      <c r="U203" s="92">
        <f>MAX(0,R203-T203)</f>
        <v/>
      </c>
      <c r="V203" s="93">
        <f>U203*S203</f>
        <v/>
      </c>
    </row>
    <row r="204" hidden="1" ht="15.75" customHeight="1" s="297">
      <c r="A204" s="87" t="inlineStr">
        <is>
          <t>FMC</t>
        </is>
      </c>
      <c r="B204" s="88" t="inlineStr">
        <is>
          <t>INSETICIDA</t>
        </is>
      </c>
      <c r="C204" s="89" t="inlineStr">
        <is>
          <t>PREMIO</t>
        </is>
      </c>
      <c r="D204" s="89" t="inlineStr">
        <is>
          <t>CLORANTRANILIPROLE</t>
        </is>
      </c>
      <c r="E204" s="89" t="n">
        <v>200</v>
      </c>
      <c r="F204" s="4" t="inlineStr">
        <is>
          <t>L</t>
        </is>
      </c>
      <c r="G204" s="90">
        <f>HYPERLINK("https://www.google.com/search?q=" &amp; C204 &amp; "+bula+agrofit+pdf", "📄 Ver bula")</f>
        <v/>
      </c>
      <c r="H204" s="9">
        <f>IFERROR(__xludf.DUMMYFUNCTION("IFERROR(VLOOKUP(C204,
IMPORTRANGE(""1wULbzX32WdYsx-lj2U3uUNBBe2INVIRDtcK0d-Dvl90"",
""26-27!C:K""),
8,
FALSE),
"""")"),0.1)</f>
        <v/>
      </c>
      <c r="I204" s="91" t="inlineStr">
        <is>
          <t>4X5</t>
        </is>
      </c>
      <c r="J204" s="9">
        <f>IFERROR(SUM(
IF('TL01'!$B$3=J$3,SUMIF('TL01'!$C$10:$C$224,$C204,'TL01'!$J$10:$J$224),0),
IF('TL01'!$B$229=J$3,SUMIF('TL01'!$C$238:$C$451,$C204,'TL01'!$J$238:$J$451),0),
IF('TL02'!$B$3=J$3,SUMIF('TL02'!$C$10:$C$224,$C204,'TL02'!$J$10:$J$224),0),
IF('TL02'!$B$229=J$3,SUMIF('TL02'!$C$238:$C$451,$C204,'TL02'!$J$238:$J$451),0),
IF('TL03'!$B$3=J$3,SUMIF('TL03'!$C$10:$C$224,$C204,'TL03'!$J$10:$J$224),0),
IF('TL03'!$B$229=J$3,SUMIF('TL03'!$C$238:$C$451,$C204,'TL03'!$J$238:$J$451),0),
IF('TL04'!$B$3=J$3,SUMIF('TL04'!$C$10:$C$224,$C204,'TL04'!$J$10:$J$224),0),
IF('TL04'!$B$229=J$3,SUMIF('TL04'!$C$238:$C$451,$C204,'TL04'!$J$238:$J$451),0),
IF('TL05'!$B$3=J$3,SUMIF('TL05'!$C$10:$C$224,$C204,'TL05'!$J$10:$J$224),0),
IF('TL05'!$B$229=J$3,SUMIF('TL05'!$C$238:$C$451,$C204,'TL05'!$J$238:$J$451),0),
IF('TL06'!$B$3=J$3,SUMIF('TL06'!$C$10:$C$224,$C204,'TL06'!$J$10:$J$224),0),
IF('TL06'!$B$229=J$3,SUMIF('TL06'!$C$238:$C$451,$C204,'TL06'!$J$238:$J$451),0),
IF('TL07'!$B$3=J$3,SUMIF('TL07'!$C$10:$C$224,$C204,'TL07'!$J$10:$J$224),0),
IF('TL07'!$B$229=J$3,SUMIF('TL07'!$C$238:$C$451,$C204,'TL07'!$J$238:$J$451),0),
IF('TL08'!$B$3=J$3,SUMIF('TL08'!$C$10:$C$224,$C204,'TL08'!$J$10:$J$224),0),
IF('TL08'!$B$229=J$3,SUMIF('TL08'!$C$238:$C$451,$C204,'TL08'!$J$238:$J$451),0),
IF('TL09'!$B$3=J$3,SUMIF('TL09'!$C$10:$C$224,$C204,'TL09'!$J$10:$J$224),0),
IF('TL09'!$B$229=J$3,SUMIF('TL09'!$C$238:$C$451,$C204,'TL09'!$J$238:$J$451),0),
IF('TL10'!$B$3=J$3,SUMIF('TL10'!$C$10:$C$224,$C204,'TL10'!$J$10:$J$224),0),
IF('TL10'!$B$229=J$3,SUMIF('TL10'!$C$238:$C$451,$C204,'TL10'!$J$238:$J$451),0),
IF('TL11'!$B$3=J$3,SUMIF('TL11'!$C$10:$C$224,$C204,'TL11'!$J$10:$J$224),0),
IF('TL11'!$B$229=J$3,SUMIF('TL11'!$C$238:$C$451,$C204,'TL11'!$J$238:$J$451),0),
IF('TL12'!$B$3=J$3,SUMIF('TL12'!$C$10:$C$224,$C204,'TL12'!$J$10:$J$224),0),
IF('TL12'!$B$229=J$3,SUMIF('TL12'!$C$238:$C$451,$C204,'TL12'!$J$238:$J$451),0),
IF('TL13'!$B$3=J$3,SUMIF('TL13'!$C$10:$C$224,$C204,'TL13'!$J$10:$J$224),0),
IF('TL13'!$B$229=J$3,SUMIF('TL13'!$C$238:$C$451,$C204,'TL13'!$J$238:$J$451),0),
IF('TL14'!$B$3=J$3,SUMIF('TL14'!$C$10:$C$224,$C204,'TL14'!$J$10:$J$224),0),
IF('TL14'!$B$229=J$3,SUMIF('TL14'!$C$238:$C$451,$C204,'TL14'!$J$238:$J$451),0),
IF('TL15'!$B$3=J$3,SUMIF('TL15'!$C$10:$C$224,$C204,'TL15'!$J$10:$J$224),0),
IF('TL15'!$B$229=J$3,SUMIF('TL15'!$C$238:$C$451,$C204,'TL15'!$J$238:$J$451),0),
IF('TL16'!$B$3=J$3,SUMIF('TL16'!$C$10:$C$224,$C204,'TL16'!$J$10:$J$224),0),
IF('TL16'!$B$229=J$3,SUMIF('TL16'!$C$238:$C$451,$C204,'TL16'!$J$238:$J$451),0),
IF('TL17'!$B$3=J$3,SUMIF('TL17'!$C$10:$C$224,$C204,'TL17'!$J$10:$J$224),0),
IF('TL17'!$B$229=J$3,SUMIF('TL17'!$C$238:$C$451,$C204,'TL17'!$J$238:$J$451),0),
IF('TL18'!$B$3=J$3,SUMIF('TL18'!$C$10:$C$224,$C204,'TL18'!$J$10:$J$224),0),
IF('TL18'!$B$229=J$3,SUMIF('TL18'!$C$238:$C$451,$C204,'TL18'!$J$238:$J$451),0),
IF('TL19'!$B$3=J$3,SUMIF('TL19'!$C$10:$C$224,$C204,'TL19'!$J$10:$J$224),0),
IF('TL19'!$B$229=J$3,SUMIF('TL19'!$C$238:$C$451,$C204,'TL19'!$J$238:$J$451),0)
),0)</f>
        <v/>
      </c>
      <c r="K204" s="9">
        <f>IFERROR(SUM(
IF('TL01'!$B$3=K$3,SUMIF('TL01'!$C$10:$C$224,$C204,'TL01'!$J$10:$J$224),0),
IF('TL01'!$B$229=K$3,SUMIF('TL01'!$C$238:$C$451,$C204,'TL01'!$J$238:$J$451),0),
IF('TL02'!$B$3=K$3,SUMIF('TL02'!$C$10:$C$224,$C204,'TL02'!$J$10:$J$224),0),
IF('TL02'!$B$229=K$3,SUMIF('TL02'!$C$238:$C$451,$C204,'TL02'!$J$238:$J$451),0),
IF('TL03'!$B$3=K$3,SUMIF('TL03'!$C$10:$C$224,$C204,'TL03'!$J$10:$J$224),0),
IF('TL03'!$B$229=K$3,SUMIF('TL03'!$C$238:$C$451,$C204,'TL03'!$J$238:$J$451),0),
IF('TL04'!$B$3=K$3,SUMIF('TL04'!$C$10:$C$224,$C204,'TL04'!$J$10:$J$224),0),
IF('TL04'!$B$229=K$3,SUMIF('TL04'!$C$238:$C$451,$C204,'TL04'!$J$238:$J$451),0),
IF('TL05'!$B$3=K$3,SUMIF('TL05'!$C$10:$C$224,$C204,'TL05'!$J$10:$J$224),0),
IF('TL05'!$B$229=K$3,SUMIF('TL05'!$C$238:$C$451,$C204,'TL05'!$J$238:$J$451),0),
IF('TL06'!$B$3=K$3,SUMIF('TL06'!$C$10:$C$224,$C204,'TL06'!$J$10:$J$224),0),
IF('TL06'!$B$229=K$3,SUMIF('TL06'!$C$238:$C$451,$C204,'TL06'!$J$238:$J$451),0),
IF('TL07'!$B$3=K$3,SUMIF('TL07'!$C$10:$C$224,$C204,'TL07'!$J$10:$J$224),0),
IF('TL07'!$B$229=K$3,SUMIF('TL07'!$C$238:$C$451,$C204,'TL07'!$J$238:$J$451),0),
IF('TL08'!$B$3=K$3,SUMIF('TL08'!$C$10:$C$224,$C204,'TL08'!$J$10:$J$224),0),
IF('TL08'!$B$229=K$3,SUMIF('TL08'!$C$238:$C$451,$C204,'TL08'!$J$238:$J$451),0),
IF('TL09'!$B$3=K$3,SUMIF('TL09'!$C$10:$C$224,$C204,'TL09'!$J$10:$J$224),0),
IF('TL09'!$B$229=K$3,SUMIF('TL09'!$C$238:$C$451,$C204,'TL09'!$J$238:$J$451),0),
IF('TL10'!$B$3=K$3,SUMIF('TL10'!$C$10:$C$224,$C204,'TL10'!$J$10:$J$224),0),
IF('TL10'!$B$229=K$3,SUMIF('TL10'!$C$238:$C$451,$C204,'TL10'!$J$238:$J$451),0),
IF('TL11'!$B$3=K$3,SUMIF('TL11'!$C$10:$C$224,$C204,'TL11'!$J$10:$J$224),0),
IF('TL11'!$B$229=K$3,SUMIF('TL11'!$C$238:$C$451,$C204,'TL11'!$J$238:$J$451),0),
IF('TL12'!$B$3=K$3,SUMIF('TL12'!$C$10:$C$224,$C204,'TL12'!$J$10:$J$224),0),
IF('TL12'!$B$229=K$3,SUMIF('TL12'!$C$238:$C$451,$C204,'TL12'!$J$238:$J$451),0),
IF('TL13'!$B$3=K$3,SUMIF('TL13'!$C$10:$C$224,$C204,'TL13'!$J$10:$J$224),0),
IF('TL13'!$B$229=K$3,SUMIF('TL13'!$C$238:$C$451,$C204,'TL13'!$J$238:$J$451),0),
IF('TL14'!$B$3=K$3,SUMIF('TL14'!$C$10:$C$224,$C204,'TL14'!$J$10:$J$224),0),
IF('TL14'!$B$229=K$3,SUMIF('TL14'!$C$238:$C$451,$C204,'TL14'!$J$238:$J$451),0),
IF('TL15'!$B$3=K$3,SUMIF('TL15'!$C$10:$C$224,$C204,'TL15'!$J$10:$J$224),0),
IF('TL15'!$B$229=K$3,SUMIF('TL15'!$C$238:$C$451,$C204,'TL15'!$J$238:$J$451),0),
IF('TL16'!$B$3=K$3,SUMIF('TL16'!$C$10:$C$224,$C204,'TL16'!$J$10:$J$224),0),
IF('TL16'!$B$229=K$3,SUMIF('TL16'!$C$238:$C$451,$C204,'TL16'!$J$238:$J$451),0),
IF('TL17'!$B$3=K$3,SUMIF('TL17'!$C$10:$C$224,$C204,'TL17'!$J$10:$J$224),0),
IF('TL17'!$B$229=K$3,SUMIF('TL17'!$C$238:$C$451,$C204,'TL17'!$J$238:$J$451),0),
IF('TL18'!$B$3=K$3,SUMIF('TL18'!$C$10:$C$224,$C204,'TL18'!$J$10:$J$224),0),
IF('TL18'!$B$229=K$3,SUMIF('TL18'!$C$238:$C$451,$C204,'TL18'!$J$238:$J$451),0),
IF('TL19'!$B$3=K$3,SUMIF('TL19'!$C$10:$C$224,$C204,'TL19'!$J$10:$J$224),0),
IF('TL19'!$B$229=K$3,SUMIF('TL19'!$C$238:$C$451,$C204,'TL19'!$J$238:$J$451),0)
),0)</f>
        <v/>
      </c>
      <c r="L204" s="9">
        <f>IFERROR(SUM(
IF('TL01'!$B$3=L$3,SUMIF('TL01'!$C$10:$C$224,$C204,'TL01'!$J$10:$J$224),0),
IF('TL01'!$B$229=L$3,SUMIF('TL01'!$C$238:$C$451,$C204,'TL01'!$J$238:$J$451),0),
IF('TL02'!$B$3=L$3,SUMIF('TL02'!$C$10:$C$224,$C204,'TL02'!$J$10:$J$224),0),
IF('TL02'!$B$229=L$3,SUMIF('TL02'!$C$238:$C$451,$C204,'TL02'!$J$238:$J$451),0),
IF('TL03'!$B$3=L$3,SUMIF('TL03'!$C$10:$C$224,$C204,'TL03'!$J$10:$J$224),0),
IF('TL03'!$B$229=L$3,SUMIF('TL03'!$C$238:$C$451,$C204,'TL03'!$J$238:$J$451),0),
IF('TL04'!$B$3=L$3,SUMIF('TL04'!$C$10:$C$224,$C204,'TL04'!$J$10:$J$224),0),
IF('TL04'!$B$229=L$3,SUMIF('TL04'!$C$238:$C$451,$C204,'TL04'!$J$238:$J$451),0),
IF('TL05'!$B$3=L$3,SUMIF('TL05'!$C$10:$C$224,$C204,'TL05'!$J$10:$J$224),0),
IF('TL05'!$B$229=L$3,SUMIF('TL05'!$C$238:$C$451,$C204,'TL05'!$J$238:$J$451),0),
IF('TL06'!$B$3=L$3,SUMIF('TL06'!$C$10:$C$224,$C204,'TL06'!$J$10:$J$224),0),
IF('TL06'!$B$229=L$3,SUMIF('TL06'!$C$238:$C$451,$C204,'TL06'!$J$238:$J$451),0),
IF('TL07'!$B$3=L$3,SUMIF('TL07'!$C$10:$C$224,$C204,'TL07'!$J$10:$J$224),0),
IF('TL07'!$B$229=L$3,SUMIF('TL07'!$C$238:$C$451,$C204,'TL07'!$J$238:$J$451),0),
IF('TL08'!$B$3=L$3,SUMIF('TL08'!$C$10:$C$224,$C204,'TL08'!$J$10:$J$224),0),
IF('TL08'!$B$229=L$3,SUMIF('TL08'!$C$238:$C$451,$C204,'TL08'!$J$238:$J$451),0),
IF('TL09'!$B$3=L$3,SUMIF('TL09'!$C$10:$C$224,$C204,'TL09'!$J$10:$J$224),0),
IF('TL09'!$B$229=L$3,SUMIF('TL09'!$C$238:$C$451,$C204,'TL09'!$J$238:$J$451),0),
IF('TL10'!$B$3=L$3,SUMIF('TL10'!$C$10:$C$224,$C204,'TL10'!$J$10:$J$224),0),
IF('TL10'!$B$229=L$3,SUMIF('TL10'!$C$238:$C$451,$C204,'TL10'!$J$238:$J$451),0),
IF('TL11'!$B$3=L$3,SUMIF('TL11'!$C$10:$C$224,$C204,'TL11'!$J$10:$J$224),0),
IF('TL11'!$B$229=L$3,SUMIF('TL11'!$C$238:$C$451,$C204,'TL11'!$J$238:$J$451),0),
IF('TL12'!$B$3=L$3,SUMIF('TL12'!$C$10:$C$224,$C204,'TL12'!$J$10:$J$224),0),
IF('TL12'!$B$229=L$3,SUMIF('TL12'!$C$238:$C$451,$C204,'TL12'!$J$238:$J$451),0),
IF('TL13'!$B$3=L$3,SUMIF('TL13'!$C$10:$C$224,$C204,'TL13'!$J$10:$J$224),0),
IF('TL13'!$B$229=L$3,SUMIF('TL13'!$C$238:$C$451,$C204,'TL13'!$J$238:$J$451),0),
IF('TL14'!$B$3=L$3,SUMIF('TL14'!$C$10:$C$224,$C204,'TL14'!$J$10:$J$224),0),
IF('TL14'!$B$229=L$3,SUMIF('TL14'!$C$238:$C$451,$C204,'TL14'!$J$238:$J$451),0),
IF('TL15'!$B$3=L$3,SUMIF('TL15'!$C$10:$C$224,$C204,'TL15'!$J$10:$J$224),0),
IF('TL15'!$B$229=L$3,SUMIF('TL15'!$C$238:$C$451,$C204,'TL15'!$J$238:$J$451),0),
IF('TL16'!$B$3=L$3,SUMIF('TL16'!$C$10:$C$224,$C204,'TL16'!$J$10:$J$224),0),
IF('TL16'!$B$229=L$3,SUMIF('TL16'!$C$238:$C$451,$C204,'TL16'!$J$238:$J$451),0),
IF('TL17'!$B$3=L$3,SUMIF('TL17'!$C$10:$C$224,$C204,'TL17'!$J$10:$J$224),0),
IF('TL17'!$B$229=L$3,SUMIF('TL17'!$C$238:$C$451,$C204,'TL17'!$J$238:$J$451),0),
IF('TL18'!$B$3=L$3,SUMIF('TL18'!$C$10:$C$224,$C204,'TL18'!$J$10:$J$224),0),
IF('TL18'!$B$229=L$3,SUMIF('TL18'!$C$238:$C$451,$C204,'TL18'!$J$238:$J$451),0),
IF('TL19'!$B$3=L$3,SUMIF('TL19'!$C$10:$C$224,$C204,'TL19'!$J$10:$J$224),0),
IF('TL19'!$B$229=L$3,SUMIF('TL19'!$C$238:$C$451,$C204,'TL19'!$J$238:$J$451),0)
),0)</f>
        <v/>
      </c>
      <c r="M204" s="9">
        <f>IFERROR(SUM(
IF('TL01'!$B$3=M$3,SUMIF('TL01'!$C$10:$C$224,$C204,'TL01'!$J$10:$J$224),0),
IF('TL01'!$B$229=M$3,SUMIF('TL01'!$C$238:$C$451,$C204,'TL01'!$J$238:$J$451),0),
IF('TL02'!$B$3=M$3,SUMIF('TL02'!$C$10:$C$224,$C204,'TL02'!$J$10:$J$224),0),
IF('TL02'!$B$229=M$3,SUMIF('TL02'!$C$238:$C$451,$C204,'TL02'!$J$238:$J$451),0),
IF('TL03'!$B$3=M$3,SUMIF('TL03'!$C$10:$C$224,$C204,'TL03'!$J$10:$J$224),0),
IF('TL03'!$B$229=M$3,SUMIF('TL03'!$C$238:$C$451,$C204,'TL03'!$J$238:$J$451),0),
IF('TL04'!$B$3=M$3,SUMIF('TL04'!$C$10:$C$224,$C204,'TL04'!$J$10:$J$224),0),
IF('TL04'!$B$229=M$3,SUMIF('TL04'!$C$238:$C$451,$C204,'TL04'!$J$238:$J$451),0),
IF('TL05'!$B$3=M$3,SUMIF('TL05'!$C$10:$C$224,$C204,'TL05'!$J$10:$J$224),0),
IF('TL05'!$B$229=M$3,SUMIF('TL05'!$C$238:$C$451,$C204,'TL05'!$J$238:$J$451),0),
IF('TL06'!$B$3=M$3,SUMIF('TL06'!$C$10:$C$224,$C204,'TL06'!$J$10:$J$224),0),
IF('TL06'!$B$229=M$3,SUMIF('TL06'!$C$238:$C$451,$C204,'TL06'!$J$238:$J$451),0),
IF('TL07'!$B$3=M$3,SUMIF('TL07'!$C$10:$C$224,$C204,'TL07'!$J$10:$J$224),0),
IF('TL07'!$B$229=M$3,SUMIF('TL07'!$C$238:$C$451,$C204,'TL07'!$J$238:$J$451),0),
IF('TL08'!$B$3=M$3,SUMIF('TL08'!$C$10:$C$224,$C204,'TL08'!$J$10:$J$224),0),
IF('TL08'!$B$229=M$3,SUMIF('TL08'!$C$238:$C$451,$C204,'TL08'!$J$238:$J$451),0),
IF('TL09'!$B$3=M$3,SUMIF('TL09'!$C$10:$C$224,$C204,'TL09'!$J$10:$J$224),0),
IF('TL09'!$B$229=M$3,SUMIF('TL09'!$C$238:$C$451,$C204,'TL09'!$J$238:$J$451),0),
IF('TL10'!$B$3=M$3,SUMIF('TL10'!$C$10:$C$224,$C204,'TL10'!$J$10:$J$224),0),
IF('TL10'!$B$229=M$3,SUMIF('TL10'!$C$238:$C$451,$C204,'TL10'!$J$238:$J$451),0),
IF('TL11'!$B$3=M$3,SUMIF('TL11'!$C$10:$C$224,$C204,'TL11'!$J$10:$J$224),0),
IF('TL11'!$B$229=M$3,SUMIF('TL11'!$C$238:$C$451,$C204,'TL11'!$J$238:$J$451),0),
IF('TL12'!$B$3=M$3,SUMIF('TL12'!$C$10:$C$224,$C204,'TL12'!$J$10:$J$224),0),
IF('TL12'!$B$229=M$3,SUMIF('TL12'!$C$238:$C$451,$C204,'TL12'!$J$238:$J$451),0),
IF('TL13'!$B$3=M$3,SUMIF('TL13'!$C$10:$C$224,$C204,'TL13'!$J$10:$J$224),0),
IF('TL13'!$B$229=M$3,SUMIF('TL13'!$C$238:$C$451,$C204,'TL13'!$J$238:$J$451),0),
IF('TL14'!$B$3=M$3,SUMIF('TL14'!$C$10:$C$224,$C204,'TL14'!$J$10:$J$224),0),
IF('TL14'!$B$229=M$3,SUMIF('TL14'!$C$238:$C$451,$C204,'TL14'!$J$238:$J$451),0),
IF('TL15'!$B$3=M$3,SUMIF('TL15'!$C$10:$C$224,$C204,'TL15'!$J$10:$J$224),0),
IF('TL15'!$B$229=M$3,SUMIF('TL15'!$C$238:$C$451,$C204,'TL15'!$J$238:$J$451),0),
IF('TL16'!$B$3=M$3,SUMIF('TL16'!$C$10:$C$224,$C204,'TL16'!$J$10:$J$224),0),
IF('TL16'!$B$229=M$3,SUMIF('TL16'!$C$238:$C$451,$C204,'TL16'!$J$238:$J$451),0),
IF('TL17'!$B$3=M$3,SUMIF('TL17'!$C$10:$C$224,$C204,'TL17'!$J$10:$J$224),0),
IF('TL17'!$B$229=M$3,SUMIF('TL17'!$C$238:$C$451,$C204,'TL17'!$J$238:$J$451),0),
IF('TL18'!$B$3=M$3,SUMIF('TL18'!$C$10:$C$224,$C204,'TL18'!$J$10:$J$224),0),
IF('TL18'!$B$229=M$3,SUMIF('TL18'!$C$238:$C$451,$C204,'TL18'!$J$238:$J$451),0),
IF('TL19'!$B$3=M$3,SUMIF('TL19'!$C$10:$C$224,$C204,'TL19'!$J$10:$J$224),0),
IF('TL19'!$B$229=M$3,SUMIF('TL19'!$C$238:$C$451,$C204,'TL19'!$J$238:$J$451),0)
),0)</f>
        <v/>
      </c>
      <c r="N204" s="9">
        <f>IFERROR(SUM(
IF('TL01'!$B$3=N$3,SUMIF('TL01'!$C$10:$C$224,$C204,'TL01'!$J$10:$J$224),0),
IF('TL01'!$B$229=N$3,SUMIF('TL01'!$C$238:$C$451,$C204,'TL01'!$J$238:$J$451),0),
IF('TL02'!$B$3=N$3,SUMIF('TL02'!$C$10:$C$224,$C204,'TL02'!$J$10:$J$224),0),
IF('TL02'!$B$229=N$3,SUMIF('TL02'!$C$238:$C$451,$C204,'TL02'!$J$238:$J$451),0),
IF('TL03'!$B$3=N$3,SUMIF('TL03'!$C$10:$C$224,$C204,'TL03'!$J$10:$J$224),0),
IF('TL03'!$B$229=N$3,SUMIF('TL03'!$C$238:$C$451,$C204,'TL03'!$J$238:$J$451),0),
IF('TL04'!$B$3=N$3,SUMIF('TL04'!$C$10:$C$224,$C204,'TL04'!$J$10:$J$224),0),
IF('TL04'!$B$229=N$3,SUMIF('TL04'!$C$238:$C$451,$C204,'TL04'!$J$238:$J$451),0),
IF('TL05'!$B$3=N$3,SUMIF('TL05'!$C$10:$C$224,$C204,'TL05'!$J$10:$J$224),0),
IF('TL05'!$B$229=N$3,SUMIF('TL05'!$C$238:$C$451,$C204,'TL05'!$J$238:$J$451),0),
IF('TL06'!$B$3=N$3,SUMIF('TL06'!$C$10:$C$224,$C204,'TL06'!$J$10:$J$224),0),
IF('TL06'!$B$229=N$3,SUMIF('TL06'!$C$238:$C$451,$C204,'TL06'!$J$238:$J$451),0),
IF('TL07'!$B$3=N$3,SUMIF('TL07'!$C$10:$C$224,$C204,'TL07'!$J$10:$J$224),0),
IF('TL07'!$B$229=N$3,SUMIF('TL07'!$C$238:$C$451,$C204,'TL07'!$J$238:$J$451),0),
IF('TL08'!$B$3=N$3,SUMIF('TL08'!$C$10:$C$224,$C204,'TL08'!$J$10:$J$224),0),
IF('TL08'!$B$229=N$3,SUMIF('TL08'!$C$238:$C$451,$C204,'TL08'!$J$238:$J$451),0),
IF('TL09'!$B$3=N$3,SUMIF('TL09'!$C$10:$C$224,$C204,'TL09'!$J$10:$J$224),0),
IF('TL09'!$B$229=N$3,SUMIF('TL09'!$C$238:$C$451,$C204,'TL09'!$J$238:$J$451),0),
IF('TL10'!$B$3=N$3,SUMIF('TL10'!$C$10:$C$224,$C204,'TL10'!$J$10:$J$224),0),
IF('TL10'!$B$229=N$3,SUMIF('TL10'!$C$238:$C$451,$C204,'TL10'!$J$238:$J$451),0),
IF('TL11'!$B$3=N$3,SUMIF('TL11'!$C$10:$C$224,$C204,'TL11'!$J$10:$J$224),0),
IF('TL11'!$B$229=N$3,SUMIF('TL11'!$C$238:$C$451,$C204,'TL11'!$J$238:$J$451),0),
IF('TL12'!$B$3=N$3,SUMIF('TL12'!$C$10:$C$224,$C204,'TL12'!$J$10:$J$224),0),
IF('TL12'!$B$229=N$3,SUMIF('TL12'!$C$238:$C$451,$C204,'TL12'!$J$238:$J$451),0),
IF('TL13'!$B$3=N$3,SUMIF('TL13'!$C$10:$C$224,$C204,'TL13'!$J$10:$J$224),0),
IF('TL13'!$B$229=N$3,SUMIF('TL13'!$C$238:$C$451,$C204,'TL13'!$J$238:$J$451),0),
IF('TL14'!$B$3=N$3,SUMIF('TL14'!$C$10:$C$224,$C204,'TL14'!$J$10:$J$224),0),
IF('TL14'!$B$229=N$3,SUMIF('TL14'!$C$238:$C$451,$C204,'TL14'!$J$238:$J$451),0),
IF('TL15'!$B$3=N$3,SUMIF('TL15'!$C$10:$C$224,$C204,'TL15'!$J$10:$J$224),0),
IF('TL15'!$B$229=N$3,SUMIF('TL15'!$C$238:$C$451,$C204,'TL15'!$J$238:$J$451),0),
IF('TL16'!$B$3=N$3,SUMIF('TL16'!$C$10:$C$224,$C204,'TL16'!$J$10:$J$224),0),
IF('TL16'!$B$229=N$3,SUMIF('TL16'!$C$238:$C$451,$C204,'TL16'!$J$238:$J$451),0),
IF('TL17'!$B$3=N$3,SUMIF('TL17'!$C$10:$C$224,$C204,'TL17'!$J$10:$J$224),0),
IF('TL17'!$B$229=N$3,SUMIF('TL17'!$C$238:$C$451,$C204,'TL17'!$J$238:$J$451),0),
IF('TL18'!$B$3=N$3,SUMIF('TL18'!$C$10:$C$224,$C204,'TL18'!$J$10:$J$224),0),
IF('TL18'!$B$229=N$3,SUMIF('TL18'!$C$238:$C$451,$C204,'TL18'!$J$238:$J$451),0),
IF('TL19'!$B$3=N$3,SUMIF('TL19'!$C$10:$C$224,$C204,'TL19'!$J$10:$J$224),0),
IF('TL19'!$B$229=N$3,SUMIF('TL19'!$C$238:$C$451,$C204,'TL19'!$J$238:$J$451),0)
),0)</f>
        <v/>
      </c>
      <c r="O204" s="9">
        <f>IFERROR(SUM(
IF('TL01'!$B$3=O$3,SUMIF('TL01'!$C$10:$C$224,$C204,'TL01'!$J$10:$J$224),0),
IF('TL01'!$B$229=O$3,SUMIF('TL01'!$C$238:$C$451,$C204,'TL01'!$J$238:$J$451),0),
IF('TL02'!$B$3=O$3,SUMIF('TL02'!$C$10:$C$224,$C204,'TL02'!$J$10:$J$224),0),
IF('TL02'!$B$229=O$3,SUMIF('TL02'!$C$238:$C$451,$C204,'TL02'!$J$238:$J$451),0),
IF('TL03'!$B$3=O$3,SUMIF('TL03'!$C$10:$C$224,$C204,'TL03'!$J$10:$J$224),0),
IF('TL03'!$B$229=O$3,SUMIF('TL03'!$C$238:$C$451,$C204,'TL03'!$J$238:$J$451),0),
IF('TL04'!$B$3=O$3,SUMIF('TL04'!$C$10:$C$224,$C204,'TL04'!$J$10:$J$224),0),
IF('TL04'!$B$229=O$3,SUMIF('TL04'!$C$238:$C$451,$C204,'TL04'!$J$238:$J$451),0),
IF('TL05'!$B$3=O$3,SUMIF('TL05'!$C$10:$C$224,$C204,'TL05'!$J$10:$J$224),0),
IF('TL05'!$B$229=O$3,SUMIF('TL05'!$C$238:$C$451,$C204,'TL05'!$J$238:$J$451),0),
IF('TL06'!$B$3=O$3,SUMIF('TL06'!$C$10:$C$224,$C204,'TL06'!$J$10:$J$224),0),
IF('TL06'!$B$229=O$3,SUMIF('TL06'!$C$238:$C$451,$C204,'TL06'!$J$238:$J$451),0),
IF('TL07'!$B$3=O$3,SUMIF('TL07'!$C$10:$C$224,$C204,'TL07'!$J$10:$J$224),0),
IF('TL07'!$B$229=O$3,SUMIF('TL07'!$C$238:$C$451,$C204,'TL07'!$J$238:$J$451),0),
IF('TL08'!$B$3=O$3,SUMIF('TL08'!$C$10:$C$224,$C204,'TL08'!$J$10:$J$224),0),
IF('TL08'!$B$229=O$3,SUMIF('TL08'!$C$238:$C$451,$C204,'TL08'!$J$238:$J$451),0),
IF('TL09'!$B$3=O$3,SUMIF('TL09'!$C$10:$C$224,$C204,'TL09'!$J$10:$J$224),0),
IF('TL09'!$B$229=O$3,SUMIF('TL09'!$C$238:$C$451,$C204,'TL09'!$J$238:$J$451),0),
IF('TL10'!$B$3=O$3,SUMIF('TL10'!$C$10:$C$224,$C204,'TL10'!$J$10:$J$224),0),
IF('TL10'!$B$229=O$3,SUMIF('TL10'!$C$238:$C$451,$C204,'TL10'!$J$238:$J$451),0),
IF('TL11'!$B$3=O$3,SUMIF('TL11'!$C$10:$C$224,$C204,'TL11'!$J$10:$J$224),0),
IF('TL11'!$B$229=O$3,SUMIF('TL11'!$C$238:$C$451,$C204,'TL11'!$J$238:$J$451),0),
IF('TL12'!$B$3=O$3,SUMIF('TL12'!$C$10:$C$224,$C204,'TL12'!$J$10:$J$224),0),
IF('TL12'!$B$229=O$3,SUMIF('TL12'!$C$238:$C$451,$C204,'TL12'!$J$238:$J$451),0),
IF('TL13'!$B$3=O$3,SUMIF('TL13'!$C$10:$C$224,$C204,'TL13'!$J$10:$J$224),0),
IF('TL13'!$B$229=O$3,SUMIF('TL13'!$C$238:$C$451,$C204,'TL13'!$J$238:$J$451),0),
IF('TL14'!$B$3=O$3,SUMIF('TL14'!$C$10:$C$224,$C204,'TL14'!$J$10:$J$224),0),
IF('TL14'!$B$229=O$3,SUMIF('TL14'!$C$238:$C$451,$C204,'TL14'!$J$238:$J$451),0),
IF('TL15'!$B$3=O$3,SUMIF('TL15'!$C$10:$C$224,$C204,'TL15'!$J$10:$J$224),0),
IF('TL15'!$B$229=O$3,SUMIF('TL15'!$C$238:$C$451,$C204,'TL15'!$J$238:$J$451),0),
IF('TL16'!$B$3=O$3,SUMIF('TL16'!$C$10:$C$224,$C204,'TL16'!$J$10:$J$224),0),
IF('TL16'!$B$229=O$3,SUMIF('TL16'!$C$238:$C$451,$C204,'TL16'!$J$238:$J$451),0),
IF('TL17'!$B$3=O$3,SUMIF('TL17'!$C$10:$C$224,$C204,'TL17'!$J$10:$J$224),0),
IF('TL17'!$B$229=O$3,SUMIF('TL17'!$C$238:$C$451,$C204,'TL17'!$J$238:$J$451),0),
IF('TL18'!$B$3=O$3,SUMIF('TL18'!$C$10:$C$224,$C204,'TL18'!$J$10:$J$224),0),
IF('TL18'!$B$229=O$3,SUMIF('TL18'!$C$238:$C$451,$C204,'TL18'!$J$238:$J$451),0),
IF('TL19'!$B$3=O$3,SUMIF('TL19'!$C$10:$C$224,$C204,'TL19'!$J$10:$J$224),0),
IF('TL19'!$B$229=O$3,SUMIF('TL19'!$C$238:$C$451,$C204,'TL19'!$J$238:$J$451),0)
),0)</f>
        <v/>
      </c>
      <c r="P204" s="9">
        <f>IFERROR(SUM(
IF('TL01'!$B$3=P$3,SUMIF('TL01'!$C$10:$C$224,$C204,'TL01'!$J$10:$J$224),0),
IF('TL01'!$B$229=P$3,SUMIF('TL01'!$C$238:$C$451,$C204,'TL01'!$J$238:$J$451),0),
IF('TL02'!$B$3=P$3,SUMIF('TL02'!$C$10:$C$224,$C204,'TL02'!$J$10:$J$224),0),
IF('TL02'!$B$229=P$3,SUMIF('TL02'!$C$238:$C$451,$C204,'TL02'!$J$238:$J$451),0),
IF('TL03'!$B$3=P$3,SUMIF('TL03'!$C$10:$C$224,$C204,'TL03'!$J$10:$J$224),0),
IF('TL03'!$B$229=P$3,SUMIF('TL03'!$C$238:$C$451,$C204,'TL03'!$J$238:$J$451),0),
IF('TL04'!$B$3=P$3,SUMIF('TL04'!$C$10:$C$224,$C204,'TL04'!$J$10:$J$224),0),
IF('TL04'!$B$229=P$3,SUMIF('TL04'!$C$238:$C$451,$C204,'TL04'!$J$238:$J$451),0),
IF('TL05'!$B$3=P$3,SUMIF('TL05'!$C$10:$C$224,$C204,'TL05'!$J$10:$J$224),0),
IF('TL05'!$B$229=P$3,SUMIF('TL05'!$C$238:$C$451,$C204,'TL05'!$J$238:$J$451),0),
IF('TL06'!$B$3=P$3,SUMIF('TL06'!$C$10:$C$224,$C204,'TL06'!$J$10:$J$224),0),
IF('TL06'!$B$229=P$3,SUMIF('TL06'!$C$238:$C$451,$C204,'TL06'!$J$238:$J$451),0),
IF('TL07'!$B$3=P$3,SUMIF('TL07'!$C$10:$C$224,$C204,'TL07'!$J$10:$J$224),0),
IF('TL07'!$B$229=P$3,SUMIF('TL07'!$C$238:$C$451,$C204,'TL07'!$J$238:$J$451),0),
IF('TL08'!$B$3=P$3,SUMIF('TL08'!$C$10:$C$224,$C204,'TL08'!$J$10:$J$224),0),
IF('TL08'!$B$229=P$3,SUMIF('TL08'!$C$238:$C$451,$C204,'TL08'!$J$238:$J$451),0),
IF('TL09'!$B$3=P$3,SUMIF('TL09'!$C$10:$C$224,$C204,'TL09'!$J$10:$J$224),0),
IF('TL09'!$B$229=P$3,SUMIF('TL09'!$C$238:$C$451,$C204,'TL09'!$J$238:$J$451),0),
IF('TL10'!$B$3=P$3,SUMIF('TL10'!$C$10:$C$224,$C204,'TL10'!$J$10:$J$224),0),
IF('TL10'!$B$229=P$3,SUMIF('TL10'!$C$238:$C$451,$C204,'TL10'!$J$238:$J$451),0),
IF('TL11'!$B$3=P$3,SUMIF('TL11'!$C$10:$C$224,$C204,'TL11'!$J$10:$J$224),0),
IF('TL11'!$B$229=P$3,SUMIF('TL11'!$C$238:$C$451,$C204,'TL11'!$J$238:$J$451),0),
IF('TL12'!$B$3=P$3,SUMIF('TL12'!$C$10:$C$224,$C204,'TL12'!$J$10:$J$224),0),
IF('TL12'!$B$229=P$3,SUMIF('TL12'!$C$238:$C$451,$C204,'TL12'!$J$238:$J$451),0),
IF('TL13'!$B$3=P$3,SUMIF('TL13'!$C$10:$C$224,$C204,'TL13'!$J$10:$J$224),0),
IF('TL13'!$B$229=P$3,SUMIF('TL13'!$C$238:$C$451,$C204,'TL13'!$J$238:$J$451),0),
IF('TL14'!$B$3=P$3,SUMIF('TL14'!$C$10:$C$224,$C204,'TL14'!$J$10:$J$224),0),
IF('TL14'!$B$229=P$3,SUMIF('TL14'!$C$238:$C$451,$C204,'TL14'!$J$238:$J$451),0),
IF('TL15'!$B$3=P$3,SUMIF('TL15'!$C$10:$C$224,$C204,'TL15'!$J$10:$J$224),0),
IF('TL15'!$B$229=P$3,SUMIF('TL15'!$C$238:$C$451,$C204,'TL15'!$J$238:$J$451),0),
IF('TL16'!$B$3=P$3,SUMIF('TL16'!$C$10:$C$224,$C204,'TL16'!$J$10:$J$224),0),
IF('TL16'!$B$229=P$3,SUMIF('TL16'!$C$238:$C$451,$C204,'TL16'!$J$238:$J$451),0),
IF('TL17'!$B$3=P$3,SUMIF('TL17'!$C$10:$C$224,$C204,'TL17'!$J$10:$J$224),0),
IF('TL17'!$B$229=P$3,SUMIF('TL17'!$C$238:$C$451,$C204,'TL17'!$J$238:$J$451),0),
IF('TL18'!$B$3=P$3,SUMIF('TL18'!$C$10:$C$224,$C204,'TL18'!$J$10:$J$224),0),
IF('TL18'!$B$229=P$3,SUMIF('TL18'!$C$238:$C$451,$C204,'TL18'!$J$238:$J$451),0),
IF('TL19'!$B$3=P$3,SUMIF('TL19'!$C$10:$C$224,$C204,'TL19'!$J$10:$J$224),0),
IF('TL19'!$B$229=P$3,SUMIF('TL19'!$C$238:$C$451,$C204,'TL19'!$J$238:$J$451),0)
),0)</f>
        <v/>
      </c>
      <c r="Q204" s="9">
        <f>IFERROR(SUM(
IF('TL01'!$B$3=Q$3,SUMIF('TL01'!$C$10:$C$224,$C204,'TL01'!$J$10:$J$224),0),
IF('TL01'!$B$229=Q$3,SUMIF('TL01'!$C$238:$C$451,$C204,'TL01'!$J$238:$J$451),0),
IF('TL02'!$B$3=Q$3,SUMIF('TL02'!$C$10:$C$224,$C204,'TL02'!$J$10:$J$224),0),
IF('TL02'!$B$229=Q$3,SUMIF('TL02'!$C$238:$C$451,$C204,'TL02'!$J$238:$J$451),0),
IF('TL03'!$B$3=Q$3,SUMIF('TL03'!$C$10:$C$224,$C204,'TL03'!$J$10:$J$224),0),
IF('TL03'!$B$229=Q$3,SUMIF('TL03'!$C$238:$C$451,$C204,'TL03'!$J$238:$J$451),0),
IF('TL04'!$B$3=Q$3,SUMIF('TL04'!$C$10:$C$224,$C204,'TL04'!$J$10:$J$224),0),
IF('TL04'!$B$229=Q$3,SUMIF('TL04'!$C$238:$C$451,$C204,'TL04'!$J$238:$J$451),0),
IF('TL05'!$B$3=Q$3,SUMIF('TL05'!$C$10:$C$224,$C204,'TL05'!$J$10:$J$224),0),
IF('TL05'!$B$229=Q$3,SUMIF('TL05'!$C$238:$C$451,$C204,'TL05'!$J$238:$J$451),0),
IF('TL06'!$B$3=Q$3,SUMIF('TL06'!$C$10:$C$224,$C204,'TL06'!$J$10:$J$224),0),
IF('TL06'!$B$229=Q$3,SUMIF('TL06'!$C$238:$C$451,$C204,'TL06'!$J$238:$J$451),0),
IF('TL07'!$B$3=Q$3,SUMIF('TL07'!$C$10:$C$224,$C204,'TL07'!$J$10:$J$224),0),
IF('TL07'!$B$229=Q$3,SUMIF('TL07'!$C$238:$C$451,$C204,'TL07'!$J$238:$J$451),0),
IF('TL08'!$B$3=Q$3,SUMIF('TL08'!$C$10:$C$224,$C204,'TL08'!$J$10:$J$224),0),
IF('TL08'!$B$229=Q$3,SUMIF('TL08'!$C$238:$C$451,$C204,'TL08'!$J$238:$J$451),0),
IF('TL09'!$B$3=Q$3,SUMIF('TL09'!$C$10:$C$224,$C204,'TL09'!$J$10:$J$224),0),
IF('TL09'!$B$229=Q$3,SUMIF('TL09'!$C$238:$C$451,$C204,'TL09'!$J$238:$J$451),0),
IF('TL10'!$B$3=Q$3,SUMIF('TL10'!$C$10:$C$224,$C204,'TL10'!$J$10:$J$224),0),
IF('TL10'!$B$229=Q$3,SUMIF('TL10'!$C$238:$C$451,$C204,'TL10'!$J$238:$J$451),0),
IF('TL11'!$B$3=Q$3,SUMIF('TL11'!$C$10:$C$224,$C204,'TL11'!$J$10:$J$224),0),
IF('TL11'!$B$229=Q$3,SUMIF('TL11'!$C$238:$C$451,$C204,'TL11'!$J$238:$J$451),0),
IF('TL12'!$B$3=Q$3,SUMIF('TL12'!$C$10:$C$224,$C204,'TL12'!$J$10:$J$224),0),
IF('TL12'!$B$229=Q$3,SUMIF('TL12'!$C$238:$C$451,$C204,'TL12'!$J$238:$J$451),0),
IF('TL13'!$B$3=Q$3,SUMIF('TL13'!$C$10:$C$224,$C204,'TL13'!$J$10:$J$224),0),
IF('TL13'!$B$229=Q$3,SUMIF('TL13'!$C$238:$C$451,$C204,'TL13'!$J$238:$J$451),0),
IF('TL14'!$B$3=Q$3,SUMIF('TL14'!$C$10:$C$224,$C204,'TL14'!$J$10:$J$224),0),
IF('TL14'!$B$229=Q$3,SUMIF('TL14'!$C$238:$C$451,$C204,'TL14'!$J$238:$J$451),0),
IF('TL15'!$B$3=Q$3,SUMIF('TL15'!$C$10:$C$224,$C204,'TL15'!$J$10:$J$224),0),
IF('TL15'!$B$229=Q$3,SUMIF('TL15'!$C$238:$C$451,$C204,'TL15'!$J$238:$J$451),0),
IF('TL16'!$B$3=Q$3,SUMIF('TL16'!$C$10:$C$224,$C204,'TL16'!$J$10:$J$224),0),
IF('TL16'!$B$229=Q$3,SUMIF('TL16'!$C$238:$C$451,$C204,'TL16'!$J$238:$J$451),0),
IF('TL17'!$B$3=Q$3,SUMIF('TL17'!$C$10:$C$224,$C204,'TL17'!$J$10:$J$224),0),
IF('TL17'!$B$229=Q$3,SUMIF('TL17'!$C$238:$C$451,$C204,'TL17'!$J$238:$J$451),0),
IF('TL18'!$B$3=Q$3,SUMIF('TL18'!$C$10:$C$224,$C204,'TL18'!$J$10:$J$224),0),
IF('TL18'!$B$229=Q$3,SUMIF('TL18'!$C$238:$C$451,$C204,'TL18'!$J$238:$J$451),0),
IF('TL19'!$B$3=Q$3,SUMIF('TL19'!$C$10:$C$224,$C204,'TL19'!$J$10:$J$224),0),
IF('TL19'!$B$229=Q$3,SUMIF('TL19'!$C$238:$C$451,$C204,'TL19'!$J$238:$J$451),0)
),0)</f>
        <v/>
      </c>
      <c r="R204" s="9">
        <f>IFERROR(
SUM(
SUMIF('TL01'!C:C,C204,'TL01'!J:J),
SUMIF('TL02'!C:C,C204,'TL02'!J:J),
SUMIF('TL03'!C:C,C204,'TL03'!J:J),
SUMIF('TL04'!C:C,C204,'TL04'!J:J),
SUMIF('TL05'!C:C,C204,'TL05'!J:J),
SUMIF('TL06'!C:C,C204,'TL06'!J:J),
SUMIF('TL07'!C:C,C204,'TL07'!J:J),
SUMIF('TL08'!C:C,C204,'TL08'!J:J),
SUMIF('TL09'!C:C,C204,'TL09'!J:J),
SUMIF('TL10'!C:C,C204,'TL10'!J:J),
SUMIF('TL11'!C:C,C204,'TL11'!J:J),
SUMIF('TL12'!C:C,C204,'TL12'!J:J),
SUMIF('TL13'!C:C,C204,'TL13'!J:J),
SUMIF('TL14'!C:C,C204,'TL14'!J:J),
SUMIF('TL15'!C:C,C204,'TL15'!J:J),
SUMIF('TL16'!C:C,C204,'TL16'!J:J),
SUMIF('TL17'!C:C,C204,'TL17'!J:J),
SUMIF('TL18'!C:C,C204,'TL18'!J:J),SUMIF('TL19'!C:C,C204,'TL19'!J:J))
,0)</f>
        <v/>
      </c>
      <c r="S204" s="17">
        <f>IFERROR(__xludf.DUMMYFUNCTION("IFERROR(VLOOKUP(C204,
IMPORTRANGE(""1wULbzX32WdYsx-lj2U3uUNBBe2INVIRDtcK0d-Dvl90"",
""26-27!C:G""),
5,
FALSE),
"""")"),282.96375)</f>
        <v/>
      </c>
      <c r="T204" s="9" t="n"/>
      <c r="U204" s="92">
        <f>MAX(0,R204-T204)</f>
        <v/>
      </c>
      <c r="V204" s="93">
        <f>U204*S204</f>
        <v/>
      </c>
    </row>
    <row r="205" hidden="1" ht="15.75" customHeight="1" s="297">
      <c r="A205" s="94" t="inlineStr">
        <is>
          <t>FMC</t>
        </is>
      </c>
      <c r="B205" s="95" t="inlineStr">
        <is>
          <t>INSETICIDA</t>
        </is>
      </c>
      <c r="C205" s="96" t="inlineStr">
        <is>
          <t>TALISMAN</t>
        </is>
      </c>
      <c r="D205" s="96" t="inlineStr">
        <is>
          <t>BIFENTRINA + CARBOSSULFANO</t>
        </is>
      </c>
      <c r="E205" s="96" t="inlineStr">
        <is>
          <t>50 + 150</t>
        </is>
      </c>
      <c r="F205" s="4" t="inlineStr">
        <is>
          <t>L</t>
        </is>
      </c>
      <c r="G205" s="90">
        <f>HYPERLINK("https://www.google.com/search?q=" &amp; C205 &amp; "+bula+agrofit+pdf", "📄 Ver bula")</f>
        <v/>
      </c>
      <c r="H205" s="9">
        <f>IFERROR(__xludf.DUMMYFUNCTION("IFERROR(VLOOKUP(C205,
IMPORTRANGE(""1wULbzX32WdYsx-lj2U3uUNBBe2INVIRDtcK0d-Dvl90"",
""26-27!C:K""),
8,
FALSE),
"""")"),0.5)</f>
        <v/>
      </c>
      <c r="I205" s="97" t="inlineStr">
        <is>
          <t>1x20</t>
        </is>
      </c>
      <c r="J205" s="9">
        <f>IFERROR(SUM(
IF('TL01'!$B$3=J$3,SUMIF('TL01'!$C$10:$C$224,$C205,'TL01'!$J$10:$J$224),0),
IF('TL01'!$B$229=J$3,SUMIF('TL01'!$C$238:$C$451,$C205,'TL01'!$J$238:$J$451),0),
IF('TL02'!$B$3=J$3,SUMIF('TL02'!$C$10:$C$224,$C205,'TL02'!$J$10:$J$224),0),
IF('TL02'!$B$229=J$3,SUMIF('TL02'!$C$238:$C$451,$C205,'TL02'!$J$238:$J$451),0),
IF('TL03'!$B$3=J$3,SUMIF('TL03'!$C$10:$C$224,$C205,'TL03'!$J$10:$J$224),0),
IF('TL03'!$B$229=J$3,SUMIF('TL03'!$C$238:$C$451,$C205,'TL03'!$J$238:$J$451),0),
IF('TL04'!$B$3=J$3,SUMIF('TL04'!$C$10:$C$224,$C205,'TL04'!$J$10:$J$224),0),
IF('TL04'!$B$229=J$3,SUMIF('TL04'!$C$238:$C$451,$C205,'TL04'!$J$238:$J$451),0),
IF('TL05'!$B$3=J$3,SUMIF('TL05'!$C$10:$C$224,$C205,'TL05'!$J$10:$J$224),0),
IF('TL05'!$B$229=J$3,SUMIF('TL05'!$C$238:$C$451,$C205,'TL05'!$J$238:$J$451),0),
IF('TL06'!$B$3=J$3,SUMIF('TL06'!$C$10:$C$224,$C205,'TL06'!$J$10:$J$224),0),
IF('TL06'!$B$229=J$3,SUMIF('TL06'!$C$238:$C$451,$C205,'TL06'!$J$238:$J$451),0),
IF('TL07'!$B$3=J$3,SUMIF('TL07'!$C$10:$C$224,$C205,'TL07'!$J$10:$J$224),0),
IF('TL07'!$B$229=J$3,SUMIF('TL07'!$C$238:$C$451,$C205,'TL07'!$J$238:$J$451),0),
IF('TL08'!$B$3=J$3,SUMIF('TL08'!$C$10:$C$224,$C205,'TL08'!$J$10:$J$224),0),
IF('TL08'!$B$229=J$3,SUMIF('TL08'!$C$238:$C$451,$C205,'TL08'!$J$238:$J$451),0),
IF('TL09'!$B$3=J$3,SUMIF('TL09'!$C$10:$C$224,$C205,'TL09'!$J$10:$J$224),0),
IF('TL09'!$B$229=J$3,SUMIF('TL09'!$C$238:$C$451,$C205,'TL09'!$J$238:$J$451),0),
IF('TL10'!$B$3=J$3,SUMIF('TL10'!$C$10:$C$224,$C205,'TL10'!$J$10:$J$224),0),
IF('TL10'!$B$229=J$3,SUMIF('TL10'!$C$238:$C$451,$C205,'TL10'!$J$238:$J$451),0),
IF('TL11'!$B$3=J$3,SUMIF('TL11'!$C$10:$C$224,$C205,'TL11'!$J$10:$J$224),0),
IF('TL11'!$B$229=J$3,SUMIF('TL11'!$C$238:$C$451,$C205,'TL11'!$J$238:$J$451),0),
IF('TL12'!$B$3=J$3,SUMIF('TL12'!$C$10:$C$224,$C205,'TL12'!$J$10:$J$224),0),
IF('TL12'!$B$229=J$3,SUMIF('TL12'!$C$238:$C$451,$C205,'TL12'!$J$238:$J$451),0),
IF('TL13'!$B$3=J$3,SUMIF('TL13'!$C$10:$C$224,$C205,'TL13'!$J$10:$J$224),0),
IF('TL13'!$B$229=J$3,SUMIF('TL13'!$C$238:$C$451,$C205,'TL13'!$J$238:$J$451),0),
IF('TL14'!$B$3=J$3,SUMIF('TL14'!$C$10:$C$224,$C205,'TL14'!$J$10:$J$224),0),
IF('TL14'!$B$229=J$3,SUMIF('TL14'!$C$238:$C$451,$C205,'TL14'!$J$238:$J$451),0),
IF('TL15'!$B$3=J$3,SUMIF('TL15'!$C$10:$C$224,$C205,'TL15'!$J$10:$J$224),0),
IF('TL15'!$B$229=J$3,SUMIF('TL15'!$C$238:$C$451,$C205,'TL15'!$J$238:$J$451),0),
IF('TL16'!$B$3=J$3,SUMIF('TL16'!$C$10:$C$224,$C205,'TL16'!$J$10:$J$224),0),
IF('TL16'!$B$229=J$3,SUMIF('TL16'!$C$238:$C$451,$C205,'TL16'!$J$238:$J$451),0),
IF('TL17'!$B$3=J$3,SUMIF('TL17'!$C$10:$C$224,$C205,'TL17'!$J$10:$J$224),0),
IF('TL17'!$B$229=J$3,SUMIF('TL17'!$C$238:$C$451,$C205,'TL17'!$J$238:$J$451),0),
IF('TL18'!$B$3=J$3,SUMIF('TL18'!$C$10:$C$224,$C205,'TL18'!$J$10:$J$224),0),
IF('TL18'!$B$229=J$3,SUMIF('TL18'!$C$238:$C$451,$C205,'TL18'!$J$238:$J$451),0),
IF('TL19'!$B$3=J$3,SUMIF('TL19'!$C$10:$C$224,$C205,'TL19'!$J$10:$J$224),0),
IF('TL19'!$B$229=J$3,SUMIF('TL19'!$C$238:$C$451,$C205,'TL19'!$J$238:$J$451),0)
),0)</f>
        <v/>
      </c>
      <c r="K205" s="9">
        <f>IFERROR(SUM(
IF('TL01'!$B$3=K$3,SUMIF('TL01'!$C$10:$C$224,$C205,'TL01'!$J$10:$J$224),0),
IF('TL01'!$B$229=K$3,SUMIF('TL01'!$C$238:$C$451,$C205,'TL01'!$J$238:$J$451),0),
IF('TL02'!$B$3=K$3,SUMIF('TL02'!$C$10:$C$224,$C205,'TL02'!$J$10:$J$224),0),
IF('TL02'!$B$229=K$3,SUMIF('TL02'!$C$238:$C$451,$C205,'TL02'!$J$238:$J$451),0),
IF('TL03'!$B$3=K$3,SUMIF('TL03'!$C$10:$C$224,$C205,'TL03'!$J$10:$J$224),0),
IF('TL03'!$B$229=K$3,SUMIF('TL03'!$C$238:$C$451,$C205,'TL03'!$J$238:$J$451),0),
IF('TL04'!$B$3=K$3,SUMIF('TL04'!$C$10:$C$224,$C205,'TL04'!$J$10:$J$224),0),
IF('TL04'!$B$229=K$3,SUMIF('TL04'!$C$238:$C$451,$C205,'TL04'!$J$238:$J$451),0),
IF('TL05'!$B$3=K$3,SUMIF('TL05'!$C$10:$C$224,$C205,'TL05'!$J$10:$J$224),0),
IF('TL05'!$B$229=K$3,SUMIF('TL05'!$C$238:$C$451,$C205,'TL05'!$J$238:$J$451),0),
IF('TL06'!$B$3=K$3,SUMIF('TL06'!$C$10:$C$224,$C205,'TL06'!$J$10:$J$224),0),
IF('TL06'!$B$229=K$3,SUMIF('TL06'!$C$238:$C$451,$C205,'TL06'!$J$238:$J$451),0),
IF('TL07'!$B$3=K$3,SUMIF('TL07'!$C$10:$C$224,$C205,'TL07'!$J$10:$J$224),0),
IF('TL07'!$B$229=K$3,SUMIF('TL07'!$C$238:$C$451,$C205,'TL07'!$J$238:$J$451),0),
IF('TL08'!$B$3=K$3,SUMIF('TL08'!$C$10:$C$224,$C205,'TL08'!$J$10:$J$224),0),
IF('TL08'!$B$229=K$3,SUMIF('TL08'!$C$238:$C$451,$C205,'TL08'!$J$238:$J$451),0),
IF('TL09'!$B$3=K$3,SUMIF('TL09'!$C$10:$C$224,$C205,'TL09'!$J$10:$J$224),0),
IF('TL09'!$B$229=K$3,SUMIF('TL09'!$C$238:$C$451,$C205,'TL09'!$J$238:$J$451),0),
IF('TL10'!$B$3=K$3,SUMIF('TL10'!$C$10:$C$224,$C205,'TL10'!$J$10:$J$224),0),
IF('TL10'!$B$229=K$3,SUMIF('TL10'!$C$238:$C$451,$C205,'TL10'!$J$238:$J$451),0),
IF('TL11'!$B$3=K$3,SUMIF('TL11'!$C$10:$C$224,$C205,'TL11'!$J$10:$J$224),0),
IF('TL11'!$B$229=K$3,SUMIF('TL11'!$C$238:$C$451,$C205,'TL11'!$J$238:$J$451),0),
IF('TL12'!$B$3=K$3,SUMIF('TL12'!$C$10:$C$224,$C205,'TL12'!$J$10:$J$224),0),
IF('TL12'!$B$229=K$3,SUMIF('TL12'!$C$238:$C$451,$C205,'TL12'!$J$238:$J$451),0),
IF('TL13'!$B$3=K$3,SUMIF('TL13'!$C$10:$C$224,$C205,'TL13'!$J$10:$J$224),0),
IF('TL13'!$B$229=K$3,SUMIF('TL13'!$C$238:$C$451,$C205,'TL13'!$J$238:$J$451),0),
IF('TL14'!$B$3=K$3,SUMIF('TL14'!$C$10:$C$224,$C205,'TL14'!$J$10:$J$224),0),
IF('TL14'!$B$229=K$3,SUMIF('TL14'!$C$238:$C$451,$C205,'TL14'!$J$238:$J$451),0),
IF('TL15'!$B$3=K$3,SUMIF('TL15'!$C$10:$C$224,$C205,'TL15'!$J$10:$J$224),0),
IF('TL15'!$B$229=K$3,SUMIF('TL15'!$C$238:$C$451,$C205,'TL15'!$J$238:$J$451),0),
IF('TL16'!$B$3=K$3,SUMIF('TL16'!$C$10:$C$224,$C205,'TL16'!$J$10:$J$224),0),
IF('TL16'!$B$229=K$3,SUMIF('TL16'!$C$238:$C$451,$C205,'TL16'!$J$238:$J$451),0),
IF('TL17'!$B$3=K$3,SUMIF('TL17'!$C$10:$C$224,$C205,'TL17'!$J$10:$J$224),0),
IF('TL17'!$B$229=K$3,SUMIF('TL17'!$C$238:$C$451,$C205,'TL17'!$J$238:$J$451),0),
IF('TL18'!$B$3=K$3,SUMIF('TL18'!$C$10:$C$224,$C205,'TL18'!$J$10:$J$224),0),
IF('TL18'!$B$229=K$3,SUMIF('TL18'!$C$238:$C$451,$C205,'TL18'!$J$238:$J$451),0),
IF('TL19'!$B$3=K$3,SUMIF('TL19'!$C$10:$C$224,$C205,'TL19'!$J$10:$J$224),0),
IF('TL19'!$B$229=K$3,SUMIF('TL19'!$C$238:$C$451,$C205,'TL19'!$J$238:$J$451),0)
),0)</f>
        <v/>
      </c>
      <c r="L205" s="9">
        <f>IFERROR(SUM(
IF('TL01'!$B$3=L$3,SUMIF('TL01'!$C$10:$C$224,$C205,'TL01'!$J$10:$J$224),0),
IF('TL01'!$B$229=L$3,SUMIF('TL01'!$C$238:$C$451,$C205,'TL01'!$J$238:$J$451),0),
IF('TL02'!$B$3=L$3,SUMIF('TL02'!$C$10:$C$224,$C205,'TL02'!$J$10:$J$224),0),
IF('TL02'!$B$229=L$3,SUMIF('TL02'!$C$238:$C$451,$C205,'TL02'!$J$238:$J$451),0),
IF('TL03'!$B$3=L$3,SUMIF('TL03'!$C$10:$C$224,$C205,'TL03'!$J$10:$J$224),0),
IF('TL03'!$B$229=L$3,SUMIF('TL03'!$C$238:$C$451,$C205,'TL03'!$J$238:$J$451),0),
IF('TL04'!$B$3=L$3,SUMIF('TL04'!$C$10:$C$224,$C205,'TL04'!$J$10:$J$224),0),
IF('TL04'!$B$229=L$3,SUMIF('TL04'!$C$238:$C$451,$C205,'TL04'!$J$238:$J$451),0),
IF('TL05'!$B$3=L$3,SUMIF('TL05'!$C$10:$C$224,$C205,'TL05'!$J$10:$J$224),0),
IF('TL05'!$B$229=L$3,SUMIF('TL05'!$C$238:$C$451,$C205,'TL05'!$J$238:$J$451),0),
IF('TL06'!$B$3=L$3,SUMIF('TL06'!$C$10:$C$224,$C205,'TL06'!$J$10:$J$224),0),
IF('TL06'!$B$229=L$3,SUMIF('TL06'!$C$238:$C$451,$C205,'TL06'!$J$238:$J$451),0),
IF('TL07'!$B$3=L$3,SUMIF('TL07'!$C$10:$C$224,$C205,'TL07'!$J$10:$J$224),0),
IF('TL07'!$B$229=L$3,SUMIF('TL07'!$C$238:$C$451,$C205,'TL07'!$J$238:$J$451),0),
IF('TL08'!$B$3=L$3,SUMIF('TL08'!$C$10:$C$224,$C205,'TL08'!$J$10:$J$224),0),
IF('TL08'!$B$229=L$3,SUMIF('TL08'!$C$238:$C$451,$C205,'TL08'!$J$238:$J$451),0),
IF('TL09'!$B$3=L$3,SUMIF('TL09'!$C$10:$C$224,$C205,'TL09'!$J$10:$J$224),0),
IF('TL09'!$B$229=L$3,SUMIF('TL09'!$C$238:$C$451,$C205,'TL09'!$J$238:$J$451),0),
IF('TL10'!$B$3=L$3,SUMIF('TL10'!$C$10:$C$224,$C205,'TL10'!$J$10:$J$224),0),
IF('TL10'!$B$229=L$3,SUMIF('TL10'!$C$238:$C$451,$C205,'TL10'!$J$238:$J$451),0),
IF('TL11'!$B$3=L$3,SUMIF('TL11'!$C$10:$C$224,$C205,'TL11'!$J$10:$J$224),0),
IF('TL11'!$B$229=L$3,SUMIF('TL11'!$C$238:$C$451,$C205,'TL11'!$J$238:$J$451),0),
IF('TL12'!$B$3=L$3,SUMIF('TL12'!$C$10:$C$224,$C205,'TL12'!$J$10:$J$224),0),
IF('TL12'!$B$229=L$3,SUMIF('TL12'!$C$238:$C$451,$C205,'TL12'!$J$238:$J$451),0),
IF('TL13'!$B$3=L$3,SUMIF('TL13'!$C$10:$C$224,$C205,'TL13'!$J$10:$J$224),0),
IF('TL13'!$B$229=L$3,SUMIF('TL13'!$C$238:$C$451,$C205,'TL13'!$J$238:$J$451),0),
IF('TL14'!$B$3=L$3,SUMIF('TL14'!$C$10:$C$224,$C205,'TL14'!$J$10:$J$224),0),
IF('TL14'!$B$229=L$3,SUMIF('TL14'!$C$238:$C$451,$C205,'TL14'!$J$238:$J$451),0),
IF('TL15'!$B$3=L$3,SUMIF('TL15'!$C$10:$C$224,$C205,'TL15'!$J$10:$J$224),0),
IF('TL15'!$B$229=L$3,SUMIF('TL15'!$C$238:$C$451,$C205,'TL15'!$J$238:$J$451),0),
IF('TL16'!$B$3=L$3,SUMIF('TL16'!$C$10:$C$224,$C205,'TL16'!$J$10:$J$224),0),
IF('TL16'!$B$229=L$3,SUMIF('TL16'!$C$238:$C$451,$C205,'TL16'!$J$238:$J$451),0),
IF('TL17'!$B$3=L$3,SUMIF('TL17'!$C$10:$C$224,$C205,'TL17'!$J$10:$J$224),0),
IF('TL17'!$B$229=L$3,SUMIF('TL17'!$C$238:$C$451,$C205,'TL17'!$J$238:$J$451),0),
IF('TL18'!$B$3=L$3,SUMIF('TL18'!$C$10:$C$224,$C205,'TL18'!$J$10:$J$224),0),
IF('TL18'!$B$229=L$3,SUMIF('TL18'!$C$238:$C$451,$C205,'TL18'!$J$238:$J$451),0),
IF('TL19'!$B$3=L$3,SUMIF('TL19'!$C$10:$C$224,$C205,'TL19'!$J$10:$J$224),0),
IF('TL19'!$B$229=L$3,SUMIF('TL19'!$C$238:$C$451,$C205,'TL19'!$J$238:$J$451),0)
),0)</f>
        <v/>
      </c>
      <c r="M205" s="9">
        <f>IFERROR(SUM(
IF('TL01'!$B$3=M$3,SUMIF('TL01'!$C$10:$C$224,$C205,'TL01'!$J$10:$J$224),0),
IF('TL01'!$B$229=M$3,SUMIF('TL01'!$C$238:$C$451,$C205,'TL01'!$J$238:$J$451),0),
IF('TL02'!$B$3=M$3,SUMIF('TL02'!$C$10:$C$224,$C205,'TL02'!$J$10:$J$224),0),
IF('TL02'!$B$229=M$3,SUMIF('TL02'!$C$238:$C$451,$C205,'TL02'!$J$238:$J$451),0),
IF('TL03'!$B$3=M$3,SUMIF('TL03'!$C$10:$C$224,$C205,'TL03'!$J$10:$J$224),0),
IF('TL03'!$B$229=M$3,SUMIF('TL03'!$C$238:$C$451,$C205,'TL03'!$J$238:$J$451),0),
IF('TL04'!$B$3=M$3,SUMIF('TL04'!$C$10:$C$224,$C205,'TL04'!$J$10:$J$224),0),
IF('TL04'!$B$229=M$3,SUMIF('TL04'!$C$238:$C$451,$C205,'TL04'!$J$238:$J$451),0),
IF('TL05'!$B$3=M$3,SUMIF('TL05'!$C$10:$C$224,$C205,'TL05'!$J$10:$J$224),0),
IF('TL05'!$B$229=M$3,SUMIF('TL05'!$C$238:$C$451,$C205,'TL05'!$J$238:$J$451),0),
IF('TL06'!$B$3=M$3,SUMIF('TL06'!$C$10:$C$224,$C205,'TL06'!$J$10:$J$224),0),
IF('TL06'!$B$229=M$3,SUMIF('TL06'!$C$238:$C$451,$C205,'TL06'!$J$238:$J$451),0),
IF('TL07'!$B$3=M$3,SUMIF('TL07'!$C$10:$C$224,$C205,'TL07'!$J$10:$J$224),0),
IF('TL07'!$B$229=M$3,SUMIF('TL07'!$C$238:$C$451,$C205,'TL07'!$J$238:$J$451),0),
IF('TL08'!$B$3=M$3,SUMIF('TL08'!$C$10:$C$224,$C205,'TL08'!$J$10:$J$224),0),
IF('TL08'!$B$229=M$3,SUMIF('TL08'!$C$238:$C$451,$C205,'TL08'!$J$238:$J$451),0),
IF('TL09'!$B$3=M$3,SUMIF('TL09'!$C$10:$C$224,$C205,'TL09'!$J$10:$J$224),0),
IF('TL09'!$B$229=M$3,SUMIF('TL09'!$C$238:$C$451,$C205,'TL09'!$J$238:$J$451),0),
IF('TL10'!$B$3=M$3,SUMIF('TL10'!$C$10:$C$224,$C205,'TL10'!$J$10:$J$224),0),
IF('TL10'!$B$229=M$3,SUMIF('TL10'!$C$238:$C$451,$C205,'TL10'!$J$238:$J$451),0),
IF('TL11'!$B$3=M$3,SUMIF('TL11'!$C$10:$C$224,$C205,'TL11'!$J$10:$J$224),0),
IF('TL11'!$B$229=M$3,SUMIF('TL11'!$C$238:$C$451,$C205,'TL11'!$J$238:$J$451),0),
IF('TL12'!$B$3=M$3,SUMIF('TL12'!$C$10:$C$224,$C205,'TL12'!$J$10:$J$224),0),
IF('TL12'!$B$229=M$3,SUMIF('TL12'!$C$238:$C$451,$C205,'TL12'!$J$238:$J$451),0),
IF('TL13'!$B$3=M$3,SUMIF('TL13'!$C$10:$C$224,$C205,'TL13'!$J$10:$J$224),0),
IF('TL13'!$B$229=M$3,SUMIF('TL13'!$C$238:$C$451,$C205,'TL13'!$J$238:$J$451),0),
IF('TL14'!$B$3=M$3,SUMIF('TL14'!$C$10:$C$224,$C205,'TL14'!$J$10:$J$224),0),
IF('TL14'!$B$229=M$3,SUMIF('TL14'!$C$238:$C$451,$C205,'TL14'!$J$238:$J$451),0),
IF('TL15'!$B$3=M$3,SUMIF('TL15'!$C$10:$C$224,$C205,'TL15'!$J$10:$J$224),0),
IF('TL15'!$B$229=M$3,SUMIF('TL15'!$C$238:$C$451,$C205,'TL15'!$J$238:$J$451),0),
IF('TL16'!$B$3=M$3,SUMIF('TL16'!$C$10:$C$224,$C205,'TL16'!$J$10:$J$224),0),
IF('TL16'!$B$229=M$3,SUMIF('TL16'!$C$238:$C$451,$C205,'TL16'!$J$238:$J$451),0),
IF('TL17'!$B$3=M$3,SUMIF('TL17'!$C$10:$C$224,$C205,'TL17'!$J$10:$J$224),0),
IF('TL17'!$B$229=M$3,SUMIF('TL17'!$C$238:$C$451,$C205,'TL17'!$J$238:$J$451),0),
IF('TL18'!$B$3=M$3,SUMIF('TL18'!$C$10:$C$224,$C205,'TL18'!$J$10:$J$224),0),
IF('TL18'!$B$229=M$3,SUMIF('TL18'!$C$238:$C$451,$C205,'TL18'!$J$238:$J$451),0),
IF('TL19'!$B$3=M$3,SUMIF('TL19'!$C$10:$C$224,$C205,'TL19'!$J$10:$J$224),0),
IF('TL19'!$B$229=M$3,SUMIF('TL19'!$C$238:$C$451,$C205,'TL19'!$J$238:$J$451),0)
),0)</f>
        <v/>
      </c>
      <c r="N205" s="9">
        <f>IFERROR(SUM(
IF('TL01'!$B$3=N$3,SUMIF('TL01'!$C$10:$C$224,$C205,'TL01'!$J$10:$J$224),0),
IF('TL01'!$B$229=N$3,SUMIF('TL01'!$C$238:$C$451,$C205,'TL01'!$J$238:$J$451),0),
IF('TL02'!$B$3=N$3,SUMIF('TL02'!$C$10:$C$224,$C205,'TL02'!$J$10:$J$224),0),
IF('TL02'!$B$229=N$3,SUMIF('TL02'!$C$238:$C$451,$C205,'TL02'!$J$238:$J$451),0),
IF('TL03'!$B$3=N$3,SUMIF('TL03'!$C$10:$C$224,$C205,'TL03'!$J$10:$J$224),0),
IF('TL03'!$B$229=N$3,SUMIF('TL03'!$C$238:$C$451,$C205,'TL03'!$J$238:$J$451),0),
IF('TL04'!$B$3=N$3,SUMIF('TL04'!$C$10:$C$224,$C205,'TL04'!$J$10:$J$224),0),
IF('TL04'!$B$229=N$3,SUMIF('TL04'!$C$238:$C$451,$C205,'TL04'!$J$238:$J$451),0),
IF('TL05'!$B$3=N$3,SUMIF('TL05'!$C$10:$C$224,$C205,'TL05'!$J$10:$J$224),0),
IF('TL05'!$B$229=N$3,SUMIF('TL05'!$C$238:$C$451,$C205,'TL05'!$J$238:$J$451),0),
IF('TL06'!$B$3=N$3,SUMIF('TL06'!$C$10:$C$224,$C205,'TL06'!$J$10:$J$224),0),
IF('TL06'!$B$229=N$3,SUMIF('TL06'!$C$238:$C$451,$C205,'TL06'!$J$238:$J$451),0),
IF('TL07'!$B$3=N$3,SUMIF('TL07'!$C$10:$C$224,$C205,'TL07'!$J$10:$J$224),0),
IF('TL07'!$B$229=N$3,SUMIF('TL07'!$C$238:$C$451,$C205,'TL07'!$J$238:$J$451),0),
IF('TL08'!$B$3=N$3,SUMIF('TL08'!$C$10:$C$224,$C205,'TL08'!$J$10:$J$224),0),
IF('TL08'!$B$229=N$3,SUMIF('TL08'!$C$238:$C$451,$C205,'TL08'!$J$238:$J$451),0),
IF('TL09'!$B$3=N$3,SUMIF('TL09'!$C$10:$C$224,$C205,'TL09'!$J$10:$J$224),0),
IF('TL09'!$B$229=N$3,SUMIF('TL09'!$C$238:$C$451,$C205,'TL09'!$J$238:$J$451),0),
IF('TL10'!$B$3=N$3,SUMIF('TL10'!$C$10:$C$224,$C205,'TL10'!$J$10:$J$224),0),
IF('TL10'!$B$229=N$3,SUMIF('TL10'!$C$238:$C$451,$C205,'TL10'!$J$238:$J$451),0),
IF('TL11'!$B$3=N$3,SUMIF('TL11'!$C$10:$C$224,$C205,'TL11'!$J$10:$J$224),0),
IF('TL11'!$B$229=N$3,SUMIF('TL11'!$C$238:$C$451,$C205,'TL11'!$J$238:$J$451),0),
IF('TL12'!$B$3=N$3,SUMIF('TL12'!$C$10:$C$224,$C205,'TL12'!$J$10:$J$224),0),
IF('TL12'!$B$229=N$3,SUMIF('TL12'!$C$238:$C$451,$C205,'TL12'!$J$238:$J$451),0),
IF('TL13'!$B$3=N$3,SUMIF('TL13'!$C$10:$C$224,$C205,'TL13'!$J$10:$J$224),0),
IF('TL13'!$B$229=N$3,SUMIF('TL13'!$C$238:$C$451,$C205,'TL13'!$J$238:$J$451),0),
IF('TL14'!$B$3=N$3,SUMIF('TL14'!$C$10:$C$224,$C205,'TL14'!$J$10:$J$224),0),
IF('TL14'!$B$229=N$3,SUMIF('TL14'!$C$238:$C$451,$C205,'TL14'!$J$238:$J$451),0),
IF('TL15'!$B$3=N$3,SUMIF('TL15'!$C$10:$C$224,$C205,'TL15'!$J$10:$J$224),0),
IF('TL15'!$B$229=N$3,SUMIF('TL15'!$C$238:$C$451,$C205,'TL15'!$J$238:$J$451),0),
IF('TL16'!$B$3=N$3,SUMIF('TL16'!$C$10:$C$224,$C205,'TL16'!$J$10:$J$224),0),
IF('TL16'!$B$229=N$3,SUMIF('TL16'!$C$238:$C$451,$C205,'TL16'!$J$238:$J$451),0),
IF('TL17'!$B$3=N$3,SUMIF('TL17'!$C$10:$C$224,$C205,'TL17'!$J$10:$J$224),0),
IF('TL17'!$B$229=N$3,SUMIF('TL17'!$C$238:$C$451,$C205,'TL17'!$J$238:$J$451),0),
IF('TL18'!$B$3=N$3,SUMIF('TL18'!$C$10:$C$224,$C205,'TL18'!$J$10:$J$224),0),
IF('TL18'!$B$229=N$3,SUMIF('TL18'!$C$238:$C$451,$C205,'TL18'!$J$238:$J$451),0),
IF('TL19'!$B$3=N$3,SUMIF('TL19'!$C$10:$C$224,$C205,'TL19'!$J$10:$J$224),0),
IF('TL19'!$B$229=N$3,SUMIF('TL19'!$C$238:$C$451,$C205,'TL19'!$J$238:$J$451),0)
),0)</f>
        <v/>
      </c>
      <c r="O205" s="9">
        <f>IFERROR(SUM(
IF('TL01'!$B$3=O$3,SUMIF('TL01'!$C$10:$C$224,$C205,'TL01'!$J$10:$J$224),0),
IF('TL01'!$B$229=O$3,SUMIF('TL01'!$C$238:$C$451,$C205,'TL01'!$J$238:$J$451),0),
IF('TL02'!$B$3=O$3,SUMIF('TL02'!$C$10:$C$224,$C205,'TL02'!$J$10:$J$224),0),
IF('TL02'!$B$229=O$3,SUMIF('TL02'!$C$238:$C$451,$C205,'TL02'!$J$238:$J$451),0),
IF('TL03'!$B$3=O$3,SUMIF('TL03'!$C$10:$C$224,$C205,'TL03'!$J$10:$J$224),0),
IF('TL03'!$B$229=O$3,SUMIF('TL03'!$C$238:$C$451,$C205,'TL03'!$J$238:$J$451),0),
IF('TL04'!$B$3=O$3,SUMIF('TL04'!$C$10:$C$224,$C205,'TL04'!$J$10:$J$224),0),
IF('TL04'!$B$229=O$3,SUMIF('TL04'!$C$238:$C$451,$C205,'TL04'!$J$238:$J$451),0),
IF('TL05'!$B$3=O$3,SUMIF('TL05'!$C$10:$C$224,$C205,'TL05'!$J$10:$J$224),0),
IF('TL05'!$B$229=O$3,SUMIF('TL05'!$C$238:$C$451,$C205,'TL05'!$J$238:$J$451),0),
IF('TL06'!$B$3=O$3,SUMIF('TL06'!$C$10:$C$224,$C205,'TL06'!$J$10:$J$224),0),
IF('TL06'!$B$229=O$3,SUMIF('TL06'!$C$238:$C$451,$C205,'TL06'!$J$238:$J$451),0),
IF('TL07'!$B$3=O$3,SUMIF('TL07'!$C$10:$C$224,$C205,'TL07'!$J$10:$J$224),0),
IF('TL07'!$B$229=O$3,SUMIF('TL07'!$C$238:$C$451,$C205,'TL07'!$J$238:$J$451),0),
IF('TL08'!$B$3=O$3,SUMIF('TL08'!$C$10:$C$224,$C205,'TL08'!$J$10:$J$224),0),
IF('TL08'!$B$229=O$3,SUMIF('TL08'!$C$238:$C$451,$C205,'TL08'!$J$238:$J$451),0),
IF('TL09'!$B$3=O$3,SUMIF('TL09'!$C$10:$C$224,$C205,'TL09'!$J$10:$J$224),0),
IF('TL09'!$B$229=O$3,SUMIF('TL09'!$C$238:$C$451,$C205,'TL09'!$J$238:$J$451),0),
IF('TL10'!$B$3=O$3,SUMIF('TL10'!$C$10:$C$224,$C205,'TL10'!$J$10:$J$224),0),
IF('TL10'!$B$229=O$3,SUMIF('TL10'!$C$238:$C$451,$C205,'TL10'!$J$238:$J$451),0),
IF('TL11'!$B$3=O$3,SUMIF('TL11'!$C$10:$C$224,$C205,'TL11'!$J$10:$J$224),0),
IF('TL11'!$B$229=O$3,SUMIF('TL11'!$C$238:$C$451,$C205,'TL11'!$J$238:$J$451),0),
IF('TL12'!$B$3=O$3,SUMIF('TL12'!$C$10:$C$224,$C205,'TL12'!$J$10:$J$224),0),
IF('TL12'!$B$229=O$3,SUMIF('TL12'!$C$238:$C$451,$C205,'TL12'!$J$238:$J$451),0),
IF('TL13'!$B$3=O$3,SUMIF('TL13'!$C$10:$C$224,$C205,'TL13'!$J$10:$J$224),0),
IF('TL13'!$B$229=O$3,SUMIF('TL13'!$C$238:$C$451,$C205,'TL13'!$J$238:$J$451),0),
IF('TL14'!$B$3=O$3,SUMIF('TL14'!$C$10:$C$224,$C205,'TL14'!$J$10:$J$224),0),
IF('TL14'!$B$229=O$3,SUMIF('TL14'!$C$238:$C$451,$C205,'TL14'!$J$238:$J$451),0),
IF('TL15'!$B$3=O$3,SUMIF('TL15'!$C$10:$C$224,$C205,'TL15'!$J$10:$J$224),0),
IF('TL15'!$B$229=O$3,SUMIF('TL15'!$C$238:$C$451,$C205,'TL15'!$J$238:$J$451),0),
IF('TL16'!$B$3=O$3,SUMIF('TL16'!$C$10:$C$224,$C205,'TL16'!$J$10:$J$224),0),
IF('TL16'!$B$229=O$3,SUMIF('TL16'!$C$238:$C$451,$C205,'TL16'!$J$238:$J$451),0),
IF('TL17'!$B$3=O$3,SUMIF('TL17'!$C$10:$C$224,$C205,'TL17'!$J$10:$J$224),0),
IF('TL17'!$B$229=O$3,SUMIF('TL17'!$C$238:$C$451,$C205,'TL17'!$J$238:$J$451),0),
IF('TL18'!$B$3=O$3,SUMIF('TL18'!$C$10:$C$224,$C205,'TL18'!$J$10:$J$224),0),
IF('TL18'!$B$229=O$3,SUMIF('TL18'!$C$238:$C$451,$C205,'TL18'!$J$238:$J$451),0),
IF('TL19'!$B$3=O$3,SUMIF('TL19'!$C$10:$C$224,$C205,'TL19'!$J$10:$J$224),0),
IF('TL19'!$B$229=O$3,SUMIF('TL19'!$C$238:$C$451,$C205,'TL19'!$J$238:$J$451),0)
),0)</f>
        <v/>
      </c>
      <c r="P205" s="9">
        <f>IFERROR(SUM(
IF('TL01'!$B$3=P$3,SUMIF('TL01'!$C$10:$C$224,$C205,'TL01'!$J$10:$J$224),0),
IF('TL01'!$B$229=P$3,SUMIF('TL01'!$C$238:$C$451,$C205,'TL01'!$J$238:$J$451),0),
IF('TL02'!$B$3=P$3,SUMIF('TL02'!$C$10:$C$224,$C205,'TL02'!$J$10:$J$224),0),
IF('TL02'!$B$229=P$3,SUMIF('TL02'!$C$238:$C$451,$C205,'TL02'!$J$238:$J$451),0),
IF('TL03'!$B$3=P$3,SUMIF('TL03'!$C$10:$C$224,$C205,'TL03'!$J$10:$J$224),0),
IF('TL03'!$B$229=P$3,SUMIF('TL03'!$C$238:$C$451,$C205,'TL03'!$J$238:$J$451),0),
IF('TL04'!$B$3=P$3,SUMIF('TL04'!$C$10:$C$224,$C205,'TL04'!$J$10:$J$224),0),
IF('TL04'!$B$229=P$3,SUMIF('TL04'!$C$238:$C$451,$C205,'TL04'!$J$238:$J$451),0),
IF('TL05'!$B$3=P$3,SUMIF('TL05'!$C$10:$C$224,$C205,'TL05'!$J$10:$J$224),0),
IF('TL05'!$B$229=P$3,SUMIF('TL05'!$C$238:$C$451,$C205,'TL05'!$J$238:$J$451),0),
IF('TL06'!$B$3=P$3,SUMIF('TL06'!$C$10:$C$224,$C205,'TL06'!$J$10:$J$224),0),
IF('TL06'!$B$229=P$3,SUMIF('TL06'!$C$238:$C$451,$C205,'TL06'!$J$238:$J$451),0),
IF('TL07'!$B$3=P$3,SUMIF('TL07'!$C$10:$C$224,$C205,'TL07'!$J$10:$J$224),0),
IF('TL07'!$B$229=P$3,SUMIF('TL07'!$C$238:$C$451,$C205,'TL07'!$J$238:$J$451),0),
IF('TL08'!$B$3=P$3,SUMIF('TL08'!$C$10:$C$224,$C205,'TL08'!$J$10:$J$224),0),
IF('TL08'!$B$229=P$3,SUMIF('TL08'!$C$238:$C$451,$C205,'TL08'!$J$238:$J$451),0),
IF('TL09'!$B$3=P$3,SUMIF('TL09'!$C$10:$C$224,$C205,'TL09'!$J$10:$J$224),0),
IF('TL09'!$B$229=P$3,SUMIF('TL09'!$C$238:$C$451,$C205,'TL09'!$J$238:$J$451),0),
IF('TL10'!$B$3=P$3,SUMIF('TL10'!$C$10:$C$224,$C205,'TL10'!$J$10:$J$224),0),
IF('TL10'!$B$229=P$3,SUMIF('TL10'!$C$238:$C$451,$C205,'TL10'!$J$238:$J$451),0),
IF('TL11'!$B$3=P$3,SUMIF('TL11'!$C$10:$C$224,$C205,'TL11'!$J$10:$J$224),0),
IF('TL11'!$B$229=P$3,SUMIF('TL11'!$C$238:$C$451,$C205,'TL11'!$J$238:$J$451),0),
IF('TL12'!$B$3=P$3,SUMIF('TL12'!$C$10:$C$224,$C205,'TL12'!$J$10:$J$224),0),
IF('TL12'!$B$229=P$3,SUMIF('TL12'!$C$238:$C$451,$C205,'TL12'!$J$238:$J$451),0),
IF('TL13'!$B$3=P$3,SUMIF('TL13'!$C$10:$C$224,$C205,'TL13'!$J$10:$J$224),0),
IF('TL13'!$B$229=P$3,SUMIF('TL13'!$C$238:$C$451,$C205,'TL13'!$J$238:$J$451),0),
IF('TL14'!$B$3=P$3,SUMIF('TL14'!$C$10:$C$224,$C205,'TL14'!$J$10:$J$224),0),
IF('TL14'!$B$229=P$3,SUMIF('TL14'!$C$238:$C$451,$C205,'TL14'!$J$238:$J$451),0),
IF('TL15'!$B$3=P$3,SUMIF('TL15'!$C$10:$C$224,$C205,'TL15'!$J$10:$J$224),0),
IF('TL15'!$B$229=P$3,SUMIF('TL15'!$C$238:$C$451,$C205,'TL15'!$J$238:$J$451),0),
IF('TL16'!$B$3=P$3,SUMIF('TL16'!$C$10:$C$224,$C205,'TL16'!$J$10:$J$224),0),
IF('TL16'!$B$229=P$3,SUMIF('TL16'!$C$238:$C$451,$C205,'TL16'!$J$238:$J$451),0),
IF('TL17'!$B$3=P$3,SUMIF('TL17'!$C$10:$C$224,$C205,'TL17'!$J$10:$J$224),0),
IF('TL17'!$B$229=P$3,SUMIF('TL17'!$C$238:$C$451,$C205,'TL17'!$J$238:$J$451),0),
IF('TL18'!$B$3=P$3,SUMIF('TL18'!$C$10:$C$224,$C205,'TL18'!$J$10:$J$224),0),
IF('TL18'!$B$229=P$3,SUMIF('TL18'!$C$238:$C$451,$C205,'TL18'!$J$238:$J$451),0),
IF('TL19'!$B$3=P$3,SUMIF('TL19'!$C$10:$C$224,$C205,'TL19'!$J$10:$J$224),0),
IF('TL19'!$B$229=P$3,SUMIF('TL19'!$C$238:$C$451,$C205,'TL19'!$J$238:$J$451),0)
),0)</f>
        <v/>
      </c>
      <c r="Q205" s="9">
        <f>IFERROR(SUM(
IF('TL01'!$B$3=Q$3,SUMIF('TL01'!$C$10:$C$224,$C205,'TL01'!$J$10:$J$224),0),
IF('TL01'!$B$229=Q$3,SUMIF('TL01'!$C$238:$C$451,$C205,'TL01'!$J$238:$J$451),0),
IF('TL02'!$B$3=Q$3,SUMIF('TL02'!$C$10:$C$224,$C205,'TL02'!$J$10:$J$224),0),
IF('TL02'!$B$229=Q$3,SUMIF('TL02'!$C$238:$C$451,$C205,'TL02'!$J$238:$J$451),0),
IF('TL03'!$B$3=Q$3,SUMIF('TL03'!$C$10:$C$224,$C205,'TL03'!$J$10:$J$224),0),
IF('TL03'!$B$229=Q$3,SUMIF('TL03'!$C$238:$C$451,$C205,'TL03'!$J$238:$J$451),0),
IF('TL04'!$B$3=Q$3,SUMIF('TL04'!$C$10:$C$224,$C205,'TL04'!$J$10:$J$224),0),
IF('TL04'!$B$229=Q$3,SUMIF('TL04'!$C$238:$C$451,$C205,'TL04'!$J$238:$J$451),0),
IF('TL05'!$B$3=Q$3,SUMIF('TL05'!$C$10:$C$224,$C205,'TL05'!$J$10:$J$224),0),
IF('TL05'!$B$229=Q$3,SUMIF('TL05'!$C$238:$C$451,$C205,'TL05'!$J$238:$J$451),0),
IF('TL06'!$B$3=Q$3,SUMIF('TL06'!$C$10:$C$224,$C205,'TL06'!$J$10:$J$224),0),
IF('TL06'!$B$229=Q$3,SUMIF('TL06'!$C$238:$C$451,$C205,'TL06'!$J$238:$J$451),0),
IF('TL07'!$B$3=Q$3,SUMIF('TL07'!$C$10:$C$224,$C205,'TL07'!$J$10:$J$224),0),
IF('TL07'!$B$229=Q$3,SUMIF('TL07'!$C$238:$C$451,$C205,'TL07'!$J$238:$J$451),0),
IF('TL08'!$B$3=Q$3,SUMIF('TL08'!$C$10:$C$224,$C205,'TL08'!$J$10:$J$224),0),
IF('TL08'!$B$229=Q$3,SUMIF('TL08'!$C$238:$C$451,$C205,'TL08'!$J$238:$J$451),0),
IF('TL09'!$B$3=Q$3,SUMIF('TL09'!$C$10:$C$224,$C205,'TL09'!$J$10:$J$224),0),
IF('TL09'!$B$229=Q$3,SUMIF('TL09'!$C$238:$C$451,$C205,'TL09'!$J$238:$J$451),0),
IF('TL10'!$B$3=Q$3,SUMIF('TL10'!$C$10:$C$224,$C205,'TL10'!$J$10:$J$224),0),
IF('TL10'!$B$229=Q$3,SUMIF('TL10'!$C$238:$C$451,$C205,'TL10'!$J$238:$J$451),0),
IF('TL11'!$B$3=Q$3,SUMIF('TL11'!$C$10:$C$224,$C205,'TL11'!$J$10:$J$224),0),
IF('TL11'!$B$229=Q$3,SUMIF('TL11'!$C$238:$C$451,$C205,'TL11'!$J$238:$J$451),0),
IF('TL12'!$B$3=Q$3,SUMIF('TL12'!$C$10:$C$224,$C205,'TL12'!$J$10:$J$224),0),
IF('TL12'!$B$229=Q$3,SUMIF('TL12'!$C$238:$C$451,$C205,'TL12'!$J$238:$J$451),0),
IF('TL13'!$B$3=Q$3,SUMIF('TL13'!$C$10:$C$224,$C205,'TL13'!$J$10:$J$224),0),
IF('TL13'!$B$229=Q$3,SUMIF('TL13'!$C$238:$C$451,$C205,'TL13'!$J$238:$J$451),0),
IF('TL14'!$B$3=Q$3,SUMIF('TL14'!$C$10:$C$224,$C205,'TL14'!$J$10:$J$224),0),
IF('TL14'!$B$229=Q$3,SUMIF('TL14'!$C$238:$C$451,$C205,'TL14'!$J$238:$J$451),0),
IF('TL15'!$B$3=Q$3,SUMIF('TL15'!$C$10:$C$224,$C205,'TL15'!$J$10:$J$224),0),
IF('TL15'!$B$229=Q$3,SUMIF('TL15'!$C$238:$C$451,$C205,'TL15'!$J$238:$J$451),0),
IF('TL16'!$B$3=Q$3,SUMIF('TL16'!$C$10:$C$224,$C205,'TL16'!$J$10:$J$224),0),
IF('TL16'!$B$229=Q$3,SUMIF('TL16'!$C$238:$C$451,$C205,'TL16'!$J$238:$J$451),0),
IF('TL17'!$B$3=Q$3,SUMIF('TL17'!$C$10:$C$224,$C205,'TL17'!$J$10:$J$224),0),
IF('TL17'!$B$229=Q$3,SUMIF('TL17'!$C$238:$C$451,$C205,'TL17'!$J$238:$J$451),0),
IF('TL18'!$B$3=Q$3,SUMIF('TL18'!$C$10:$C$224,$C205,'TL18'!$J$10:$J$224),0),
IF('TL18'!$B$229=Q$3,SUMIF('TL18'!$C$238:$C$451,$C205,'TL18'!$J$238:$J$451),0),
IF('TL19'!$B$3=Q$3,SUMIF('TL19'!$C$10:$C$224,$C205,'TL19'!$J$10:$J$224),0),
IF('TL19'!$B$229=Q$3,SUMIF('TL19'!$C$238:$C$451,$C205,'TL19'!$J$238:$J$451),0)
),0)</f>
        <v/>
      </c>
      <c r="R205" s="9">
        <f>IFERROR(
SUM(
SUMIF('TL01'!C:C,C205,'TL01'!J:J),
SUMIF('TL02'!C:C,C205,'TL02'!J:J),
SUMIF('TL03'!C:C,C205,'TL03'!J:J),
SUMIF('TL04'!C:C,C205,'TL04'!J:J),
SUMIF('TL05'!C:C,C205,'TL05'!J:J),
SUMIF('TL06'!C:C,C205,'TL06'!J:J),
SUMIF('TL07'!C:C,C205,'TL07'!J:J),
SUMIF('TL08'!C:C,C205,'TL08'!J:J),
SUMIF('TL09'!C:C,C205,'TL09'!J:J),
SUMIF('TL10'!C:C,C205,'TL10'!J:J),
SUMIF('TL11'!C:C,C205,'TL11'!J:J),
SUMIF('TL12'!C:C,C205,'TL12'!J:J),
SUMIF('TL13'!C:C,C205,'TL13'!J:J),
SUMIF('TL14'!C:C,C205,'TL14'!J:J),
SUMIF('TL15'!C:C,C205,'TL15'!J:J),
SUMIF('TL16'!C:C,C205,'TL16'!J:J),
SUMIF('TL17'!C:C,C205,'TL17'!J:J),
SUMIF('TL18'!C:C,C205,'TL18'!J:J),SUMIF('TL19'!C:C,C205,'TL19'!J:J))
,0)</f>
        <v/>
      </c>
      <c r="S205" s="17">
        <f>IFERROR(__xludf.DUMMYFUNCTION("IFERROR(VLOOKUP(C205,
IMPORTRANGE(""1wULbzX32WdYsx-lj2U3uUNBBe2INVIRDtcK0d-Dvl90"",
""26-27!C:G""),
5,
FALSE),
"""")"),39.41082)</f>
        <v/>
      </c>
      <c r="T205" s="9" t="n"/>
      <c r="U205" s="92">
        <f>MAX(0,R205-T205)</f>
        <v/>
      </c>
      <c r="V205" s="93">
        <f>U205*S205</f>
        <v/>
      </c>
    </row>
    <row r="206" hidden="1" ht="15.75" customHeight="1" s="297">
      <c r="A206" s="87" t="inlineStr">
        <is>
          <t>FMC</t>
        </is>
      </c>
      <c r="B206" s="88" t="inlineStr">
        <is>
          <t>INSETICIDA</t>
        </is>
      </c>
      <c r="C206" s="89" t="inlineStr">
        <is>
          <t>TALSTAR 400</t>
        </is>
      </c>
      <c r="D206" s="89" t="inlineStr">
        <is>
          <t>BIFENTRINA</t>
        </is>
      </c>
      <c r="E206" s="89" t="n">
        <v>400</v>
      </c>
      <c r="F206" s="4" t="inlineStr">
        <is>
          <t>L</t>
        </is>
      </c>
      <c r="G206" s="90">
        <f>HYPERLINK("https://www.google.com/search?q=" &amp; C206 &amp; "+bula+agrofit+pdf", "📄 Ver bula")</f>
        <v/>
      </c>
      <c r="H206" s="9">
        <f>IFERROR(__xludf.DUMMYFUNCTION("IFERROR(VLOOKUP(C206,
IMPORTRANGE(""1wULbzX32WdYsx-lj2U3uUNBBe2INVIRDtcK0d-Dvl90"",
""26-27!C:K""),
8,
FALSE),
"""")"),0.05)</f>
        <v/>
      </c>
      <c r="I206" s="91" t="inlineStr">
        <is>
          <t>4X5</t>
        </is>
      </c>
      <c r="J206" s="9">
        <f>IFERROR(SUM(
IF('TL01'!$B$3=J$3,SUMIF('TL01'!$C$10:$C$224,$C206,'TL01'!$J$10:$J$224),0),
IF('TL01'!$B$229=J$3,SUMIF('TL01'!$C$238:$C$451,$C206,'TL01'!$J$238:$J$451),0),
IF('TL02'!$B$3=J$3,SUMIF('TL02'!$C$10:$C$224,$C206,'TL02'!$J$10:$J$224),0),
IF('TL02'!$B$229=J$3,SUMIF('TL02'!$C$238:$C$451,$C206,'TL02'!$J$238:$J$451),0),
IF('TL03'!$B$3=J$3,SUMIF('TL03'!$C$10:$C$224,$C206,'TL03'!$J$10:$J$224),0),
IF('TL03'!$B$229=J$3,SUMIF('TL03'!$C$238:$C$451,$C206,'TL03'!$J$238:$J$451),0),
IF('TL04'!$B$3=J$3,SUMIF('TL04'!$C$10:$C$224,$C206,'TL04'!$J$10:$J$224),0),
IF('TL04'!$B$229=J$3,SUMIF('TL04'!$C$238:$C$451,$C206,'TL04'!$J$238:$J$451),0),
IF('TL05'!$B$3=J$3,SUMIF('TL05'!$C$10:$C$224,$C206,'TL05'!$J$10:$J$224),0),
IF('TL05'!$B$229=J$3,SUMIF('TL05'!$C$238:$C$451,$C206,'TL05'!$J$238:$J$451),0),
IF('TL06'!$B$3=J$3,SUMIF('TL06'!$C$10:$C$224,$C206,'TL06'!$J$10:$J$224),0),
IF('TL06'!$B$229=J$3,SUMIF('TL06'!$C$238:$C$451,$C206,'TL06'!$J$238:$J$451),0),
IF('TL07'!$B$3=J$3,SUMIF('TL07'!$C$10:$C$224,$C206,'TL07'!$J$10:$J$224),0),
IF('TL07'!$B$229=J$3,SUMIF('TL07'!$C$238:$C$451,$C206,'TL07'!$J$238:$J$451),0),
IF('TL08'!$B$3=J$3,SUMIF('TL08'!$C$10:$C$224,$C206,'TL08'!$J$10:$J$224),0),
IF('TL08'!$B$229=J$3,SUMIF('TL08'!$C$238:$C$451,$C206,'TL08'!$J$238:$J$451),0),
IF('TL09'!$B$3=J$3,SUMIF('TL09'!$C$10:$C$224,$C206,'TL09'!$J$10:$J$224),0),
IF('TL09'!$B$229=J$3,SUMIF('TL09'!$C$238:$C$451,$C206,'TL09'!$J$238:$J$451),0),
IF('TL10'!$B$3=J$3,SUMIF('TL10'!$C$10:$C$224,$C206,'TL10'!$J$10:$J$224),0),
IF('TL10'!$B$229=J$3,SUMIF('TL10'!$C$238:$C$451,$C206,'TL10'!$J$238:$J$451),0),
IF('TL11'!$B$3=J$3,SUMIF('TL11'!$C$10:$C$224,$C206,'TL11'!$J$10:$J$224),0),
IF('TL11'!$B$229=J$3,SUMIF('TL11'!$C$238:$C$451,$C206,'TL11'!$J$238:$J$451),0),
IF('TL12'!$B$3=J$3,SUMIF('TL12'!$C$10:$C$224,$C206,'TL12'!$J$10:$J$224),0),
IF('TL12'!$B$229=J$3,SUMIF('TL12'!$C$238:$C$451,$C206,'TL12'!$J$238:$J$451),0),
IF('TL13'!$B$3=J$3,SUMIF('TL13'!$C$10:$C$224,$C206,'TL13'!$J$10:$J$224),0),
IF('TL13'!$B$229=J$3,SUMIF('TL13'!$C$238:$C$451,$C206,'TL13'!$J$238:$J$451),0),
IF('TL14'!$B$3=J$3,SUMIF('TL14'!$C$10:$C$224,$C206,'TL14'!$J$10:$J$224),0),
IF('TL14'!$B$229=J$3,SUMIF('TL14'!$C$238:$C$451,$C206,'TL14'!$J$238:$J$451),0),
IF('TL15'!$B$3=J$3,SUMIF('TL15'!$C$10:$C$224,$C206,'TL15'!$J$10:$J$224),0),
IF('TL15'!$B$229=J$3,SUMIF('TL15'!$C$238:$C$451,$C206,'TL15'!$J$238:$J$451),0),
IF('TL16'!$B$3=J$3,SUMIF('TL16'!$C$10:$C$224,$C206,'TL16'!$J$10:$J$224),0),
IF('TL16'!$B$229=J$3,SUMIF('TL16'!$C$238:$C$451,$C206,'TL16'!$J$238:$J$451),0),
IF('TL17'!$B$3=J$3,SUMIF('TL17'!$C$10:$C$224,$C206,'TL17'!$J$10:$J$224),0),
IF('TL17'!$B$229=J$3,SUMIF('TL17'!$C$238:$C$451,$C206,'TL17'!$J$238:$J$451),0),
IF('TL18'!$B$3=J$3,SUMIF('TL18'!$C$10:$C$224,$C206,'TL18'!$J$10:$J$224),0),
IF('TL18'!$B$229=J$3,SUMIF('TL18'!$C$238:$C$451,$C206,'TL18'!$J$238:$J$451),0),
IF('TL19'!$B$3=J$3,SUMIF('TL19'!$C$10:$C$224,$C206,'TL19'!$J$10:$J$224),0),
IF('TL19'!$B$229=J$3,SUMIF('TL19'!$C$238:$C$451,$C206,'TL19'!$J$238:$J$451),0)
),0)</f>
        <v/>
      </c>
      <c r="K206" s="9">
        <f>IFERROR(SUM(
IF('TL01'!$B$3=K$3,SUMIF('TL01'!$C$10:$C$224,$C206,'TL01'!$J$10:$J$224),0),
IF('TL01'!$B$229=K$3,SUMIF('TL01'!$C$238:$C$451,$C206,'TL01'!$J$238:$J$451),0),
IF('TL02'!$B$3=K$3,SUMIF('TL02'!$C$10:$C$224,$C206,'TL02'!$J$10:$J$224),0),
IF('TL02'!$B$229=K$3,SUMIF('TL02'!$C$238:$C$451,$C206,'TL02'!$J$238:$J$451),0),
IF('TL03'!$B$3=K$3,SUMIF('TL03'!$C$10:$C$224,$C206,'TL03'!$J$10:$J$224),0),
IF('TL03'!$B$229=K$3,SUMIF('TL03'!$C$238:$C$451,$C206,'TL03'!$J$238:$J$451),0),
IF('TL04'!$B$3=K$3,SUMIF('TL04'!$C$10:$C$224,$C206,'TL04'!$J$10:$J$224),0),
IF('TL04'!$B$229=K$3,SUMIF('TL04'!$C$238:$C$451,$C206,'TL04'!$J$238:$J$451),0),
IF('TL05'!$B$3=K$3,SUMIF('TL05'!$C$10:$C$224,$C206,'TL05'!$J$10:$J$224),0),
IF('TL05'!$B$229=K$3,SUMIF('TL05'!$C$238:$C$451,$C206,'TL05'!$J$238:$J$451),0),
IF('TL06'!$B$3=K$3,SUMIF('TL06'!$C$10:$C$224,$C206,'TL06'!$J$10:$J$224),0),
IF('TL06'!$B$229=K$3,SUMIF('TL06'!$C$238:$C$451,$C206,'TL06'!$J$238:$J$451),0),
IF('TL07'!$B$3=K$3,SUMIF('TL07'!$C$10:$C$224,$C206,'TL07'!$J$10:$J$224),0),
IF('TL07'!$B$229=K$3,SUMIF('TL07'!$C$238:$C$451,$C206,'TL07'!$J$238:$J$451),0),
IF('TL08'!$B$3=K$3,SUMIF('TL08'!$C$10:$C$224,$C206,'TL08'!$J$10:$J$224),0),
IF('TL08'!$B$229=K$3,SUMIF('TL08'!$C$238:$C$451,$C206,'TL08'!$J$238:$J$451),0),
IF('TL09'!$B$3=K$3,SUMIF('TL09'!$C$10:$C$224,$C206,'TL09'!$J$10:$J$224),0),
IF('TL09'!$B$229=K$3,SUMIF('TL09'!$C$238:$C$451,$C206,'TL09'!$J$238:$J$451),0),
IF('TL10'!$B$3=K$3,SUMIF('TL10'!$C$10:$C$224,$C206,'TL10'!$J$10:$J$224),0),
IF('TL10'!$B$229=K$3,SUMIF('TL10'!$C$238:$C$451,$C206,'TL10'!$J$238:$J$451),0),
IF('TL11'!$B$3=K$3,SUMIF('TL11'!$C$10:$C$224,$C206,'TL11'!$J$10:$J$224),0),
IF('TL11'!$B$229=K$3,SUMIF('TL11'!$C$238:$C$451,$C206,'TL11'!$J$238:$J$451),0),
IF('TL12'!$B$3=K$3,SUMIF('TL12'!$C$10:$C$224,$C206,'TL12'!$J$10:$J$224),0),
IF('TL12'!$B$229=K$3,SUMIF('TL12'!$C$238:$C$451,$C206,'TL12'!$J$238:$J$451),0),
IF('TL13'!$B$3=K$3,SUMIF('TL13'!$C$10:$C$224,$C206,'TL13'!$J$10:$J$224),0),
IF('TL13'!$B$229=K$3,SUMIF('TL13'!$C$238:$C$451,$C206,'TL13'!$J$238:$J$451),0),
IF('TL14'!$B$3=K$3,SUMIF('TL14'!$C$10:$C$224,$C206,'TL14'!$J$10:$J$224),0),
IF('TL14'!$B$229=K$3,SUMIF('TL14'!$C$238:$C$451,$C206,'TL14'!$J$238:$J$451),0),
IF('TL15'!$B$3=K$3,SUMIF('TL15'!$C$10:$C$224,$C206,'TL15'!$J$10:$J$224),0),
IF('TL15'!$B$229=K$3,SUMIF('TL15'!$C$238:$C$451,$C206,'TL15'!$J$238:$J$451),0),
IF('TL16'!$B$3=K$3,SUMIF('TL16'!$C$10:$C$224,$C206,'TL16'!$J$10:$J$224),0),
IF('TL16'!$B$229=K$3,SUMIF('TL16'!$C$238:$C$451,$C206,'TL16'!$J$238:$J$451),0),
IF('TL17'!$B$3=K$3,SUMIF('TL17'!$C$10:$C$224,$C206,'TL17'!$J$10:$J$224),0),
IF('TL17'!$B$229=K$3,SUMIF('TL17'!$C$238:$C$451,$C206,'TL17'!$J$238:$J$451),0),
IF('TL18'!$B$3=K$3,SUMIF('TL18'!$C$10:$C$224,$C206,'TL18'!$J$10:$J$224),0),
IF('TL18'!$B$229=K$3,SUMIF('TL18'!$C$238:$C$451,$C206,'TL18'!$J$238:$J$451),0),
IF('TL19'!$B$3=K$3,SUMIF('TL19'!$C$10:$C$224,$C206,'TL19'!$J$10:$J$224),0),
IF('TL19'!$B$229=K$3,SUMIF('TL19'!$C$238:$C$451,$C206,'TL19'!$J$238:$J$451),0)
),0)</f>
        <v/>
      </c>
      <c r="L206" s="9">
        <f>IFERROR(SUM(
IF('TL01'!$B$3=L$3,SUMIF('TL01'!$C$10:$C$224,$C206,'TL01'!$J$10:$J$224),0),
IF('TL01'!$B$229=L$3,SUMIF('TL01'!$C$238:$C$451,$C206,'TL01'!$J$238:$J$451),0),
IF('TL02'!$B$3=L$3,SUMIF('TL02'!$C$10:$C$224,$C206,'TL02'!$J$10:$J$224),0),
IF('TL02'!$B$229=L$3,SUMIF('TL02'!$C$238:$C$451,$C206,'TL02'!$J$238:$J$451),0),
IF('TL03'!$B$3=L$3,SUMIF('TL03'!$C$10:$C$224,$C206,'TL03'!$J$10:$J$224),0),
IF('TL03'!$B$229=L$3,SUMIF('TL03'!$C$238:$C$451,$C206,'TL03'!$J$238:$J$451),0),
IF('TL04'!$B$3=L$3,SUMIF('TL04'!$C$10:$C$224,$C206,'TL04'!$J$10:$J$224),0),
IF('TL04'!$B$229=L$3,SUMIF('TL04'!$C$238:$C$451,$C206,'TL04'!$J$238:$J$451),0),
IF('TL05'!$B$3=L$3,SUMIF('TL05'!$C$10:$C$224,$C206,'TL05'!$J$10:$J$224),0),
IF('TL05'!$B$229=L$3,SUMIF('TL05'!$C$238:$C$451,$C206,'TL05'!$J$238:$J$451),0),
IF('TL06'!$B$3=L$3,SUMIF('TL06'!$C$10:$C$224,$C206,'TL06'!$J$10:$J$224),0),
IF('TL06'!$B$229=L$3,SUMIF('TL06'!$C$238:$C$451,$C206,'TL06'!$J$238:$J$451),0),
IF('TL07'!$B$3=L$3,SUMIF('TL07'!$C$10:$C$224,$C206,'TL07'!$J$10:$J$224),0),
IF('TL07'!$B$229=L$3,SUMIF('TL07'!$C$238:$C$451,$C206,'TL07'!$J$238:$J$451),0),
IF('TL08'!$B$3=L$3,SUMIF('TL08'!$C$10:$C$224,$C206,'TL08'!$J$10:$J$224),0),
IF('TL08'!$B$229=L$3,SUMIF('TL08'!$C$238:$C$451,$C206,'TL08'!$J$238:$J$451),0),
IF('TL09'!$B$3=L$3,SUMIF('TL09'!$C$10:$C$224,$C206,'TL09'!$J$10:$J$224),0),
IF('TL09'!$B$229=L$3,SUMIF('TL09'!$C$238:$C$451,$C206,'TL09'!$J$238:$J$451),0),
IF('TL10'!$B$3=L$3,SUMIF('TL10'!$C$10:$C$224,$C206,'TL10'!$J$10:$J$224),0),
IF('TL10'!$B$229=L$3,SUMIF('TL10'!$C$238:$C$451,$C206,'TL10'!$J$238:$J$451),0),
IF('TL11'!$B$3=L$3,SUMIF('TL11'!$C$10:$C$224,$C206,'TL11'!$J$10:$J$224),0),
IF('TL11'!$B$229=L$3,SUMIF('TL11'!$C$238:$C$451,$C206,'TL11'!$J$238:$J$451),0),
IF('TL12'!$B$3=L$3,SUMIF('TL12'!$C$10:$C$224,$C206,'TL12'!$J$10:$J$224),0),
IF('TL12'!$B$229=L$3,SUMIF('TL12'!$C$238:$C$451,$C206,'TL12'!$J$238:$J$451),0),
IF('TL13'!$B$3=L$3,SUMIF('TL13'!$C$10:$C$224,$C206,'TL13'!$J$10:$J$224),0),
IF('TL13'!$B$229=L$3,SUMIF('TL13'!$C$238:$C$451,$C206,'TL13'!$J$238:$J$451),0),
IF('TL14'!$B$3=L$3,SUMIF('TL14'!$C$10:$C$224,$C206,'TL14'!$J$10:$J$224),0),
IF('TL14'!$B$229=L$3,SUMIF('TL14'!$C$238:$C$451,$C206,'TL14'!$J$238:$J$451),0),
IF('TL15'!$B$3=L$3,SUMIF('TL15'!$C$10:$C$224,$C206,'TL15'!$J$10:$J$224),0),
IF('TL15'!$B$229=L$3,SUMIF('TL15'!$C$238:$C$451,$C206,'TL15'!$J$238:$J$451),0),
IF('TL16'!$B$3=L$3,SUMIF('TL16'!$C$10:$C$224,$C206,'TL16'!$J$10:$J$224),0),
IF('TL16'!$B$229=L$3,SUMIF('TL16'!$C$238:$C$451,$C206,'TL16'!$J$238:$J$451),0),
IF('TL17'!$B$3=L$3,SUMIF('TL17'!$C$10:$C$224,$C206,'TL17'!$J$10:$J$224),0),
IF('TL17'!$B$229=L$3,SUMIF('TL17'!$C$238:$C$451,$C206,'TL17'!$J$238:$J$451),0),
IF('TL18'!$B$3=L$3,SUMIF('TL18'!$C$10:$C$224,$C206,'TL18'!$J$10:$J$224),0),
IF('TL18'!$B$229=L$3,SUMIF('TL18'!$C$238:$C$451,$C206,'TL18'!$J$238:$J$451),0),
IF('TL19'!$B$3=L$3,SUMIF('TL19'!$C$10:$C$224,$C206,'TL19'!$J$10:$J$224),0),
IF('TL19'!$B$229=L$3,SUMIF('TL19'!$C$238:$C$451,$C206,'TL19'!$J$238:$J$451),0)
),0)</f>
        <v/>
      </c>
      <c r="M206" s="9">
        <f>IFERROR(SUM(
IF('TL01'!$B$3=M$3,SUMIF('TL01'!$C$10:$C$224,$C206,'TL01'!$J$10:$J$224),0),
IF('TL01'!$B$229=M$3,SUMIF('TL01'!$C$238:$C$451,$C206,'TL01'!$J$238:$J$451),0),
IF('TL02'!$B$3=M$3,SUMIF('TL02'!$C$10:$C$224,$C206,'TL02'!$J$10:$J$224),0),
IF('TL02'!$B$229=M$3,SUMIF('TL02'!$C$238:$C$451,$C206,'TL02'!$J$238:$J$451),0),
IF('TL03'!$B$3=M$3,SUMIF('TL03'!$C$10:$C$224,$C206,'TL03'!$J$10:$J$224),0),
IF('TL03'!$B$229=M$3,SUMIF('TL03'!$C$238:$C$451,$C206,'TL03'!$J$238:$J$451),0),
IF('TL04'!$B$3=M$3,SUMIF('TL04'!$C$10:$C$224,$C206,'TL04'!$J$10:$J$224),0),
IF('TL04'!$B$229=M$3,SUMIF('TL04'!$C$238:$C$451,$C206,'TL04'!$J$238:$J$451),0),
IF('TL05'!$B$3=M$3,SUMIF('TL05'!$C$10:$C$224,$C206,'TL05'!$J$10:$J$224),0),
IF('TL05'!$B$229=M$3,SUMIF('TL05'!$C$238:$C$451,$C206,'TL05'!$J$238:$J$451),0),
IF('TL06'!$B$3=M$3,SUMIF('TL06'!$C$10:$C$224,$C206,'TL06'!$J$10:$J$224),0),
IF('TL06'!$B$229=M$3,SUMIF('TL06'!$C$238:$C$451,$C206,'TL06'!$J$238:$J$451),0),
IF('TL07'!$B$3=M$3,SUMIF('TL07'!$C$10:$C$224,$C206,'TL07'!$J$10:$J$224),0),
IF('TL07'!$B$229=M$3,SUMIF('TL07'!$C$238:$C$451,$C206,'TL07'!$J$238:$J$451),0),
IF('TL08'!$B$3=M$3,SUMIF('TL08'!$C$10:$C$224,$C206,'TL08'!$J$10:$J$224),0),
IF('TL08'!$B$229=M$3,SUMIF('TL08'!$C$238:$C$451,$C206,'TL08'!$J$238:$J$451),0),
IF('TL09'!$B$3=M$3,SUMIF('TL09'!$C$10:$C$224,$C206,'TL09'!$J$10:$J$224),0),
IF('TL09'!$B$229=M$3,SUMIF('TL09'!$C$238:$C$451,$C206,'TL09'!$J$238:$J$451),0),
IF('TL10'!$B$3=M$3,SUMIF('TL10'!$C$10:$C$224,$C206,'TL10'!$J$10:$J$224),0),
IF('TL10'!$B$229=M$3,SUMIF('TL10'!$C$238:$C$451,$C206,'TL10'!$J$238:$J$451),0),
IF('TL11'!$B$3=M$3,SUMIF('TL11'!$C$10:$C$224,$C206,'TL11'!$J$10:$J$224),0),
IF('TL11'!$B$229=M$3,SUMIF('TL11'!$C$238:$C$451,$C206,'TL11'!$J$238:$J$451),0),
IF('TL12'!$B$3=M$3,SUMIF('TL12'!$C$10:$C$224,$C206,'TL12'!$J$10:$J$224),0),
IF('TL12'!$B$229=M$3,SUMIF('TL12'!$C$238:$C$451,$C206,'TL12'!$J$238:$J$451),0),
IF('TL13'!$B$3=M$3,SUMIF('TL13'!$C$10:$C$224,$C206,'TL13'!$J$10:$J$224),0),
IF('TL13'!$B$229=M$3,SUMIF('TL13'!$C$238:$C$451,$C206,'TL13'!$J$238:$J$451),0),
IF('TL14'!$B$3=M$3,SUMIF('TL14'!$C$10:$C$224,$C206,'TL14'!$J$10:$J$224),0),
IF('TL14'!$B$229=M$3,SUMIF('TL14'!$C$238:$C$451,$C206,'TL14'!$J$238:$J$451),0),
IF('TL15'!$B$3=M$3,SUMIF('TL15'!$C$10:$C$224,$C206,'TL15'!$J$10:$J$224),0),
IF('TL15'!$B$229=M$3,SUMIF('TL15'!$C$238:$C$451,$C206,'TL15'!$J$238:$J$451),0),
IF('TL16'!$B$3=M$3,SUMIF('TL16'!$C$10:$C$224,$C206,'TL16'!$J$10:$J$224),0),
IF('TL16'!$B$229=M$3,SUMIF('TL16'!$C$238:$C$451,$C206,'TL16'!$J$238:$J$451),0),
IF('TL17'!$B$3=M$3,SUMIF('TL17'!$C$10:$C$224,$C206,'TL17'!$J$10:$J$224),0),
IF('TL17'!$B$229=M$3,SUMIF('TL17'!$C$238:$C$451,$C206,'TL17'!$J$238:$J$451),0),
IF('TL18'!$B$3=M$3,SUMIF('TL18'!$C$10:$C$224,$C206,'TL18'!$J$10:$J$224),0),
IF('TL18'!$B$229=M$3,SUMIF('TL18'!$C$238:$C$451,$C206,'TL18'!$J$238:$J$451),0),
IF('TL19'!$B$3=M$3,SUMIF('TL19'!$C$10:$C$224,$C206,'TL19'!$J$10:$J$224),0),
IF('TL19'!$B$229=M$3,SUMIF('TL19'!$C$238:$C$451,$C206,'TL19'!$J$238:$J$451),0)
),0)</f>
        <v/>
      </c>
      <c r="N206" s="9">
        <f>IFERROR(SUM(
IF('TL01'!$B$3=N$3,SUMIF('TL01'!$C$10:$C$224,$C206,'TL01'!$J$10:$J$224),0),
IF('TL01'!$B$229=N$3,SUMIF('TL01'!$C$238:$C$451,$C206,'TL01'!$J$238:$J$451),0),
IF('TL02'!$B$3=N$3,SUMIF('TL02'!$C$10:$C$224,$C206,'TL02'!$J$10:$J$224),0),
IF('TL02'!$B$229=N$3,SUMIF('TL02'!$C$238:$C$451,$C206,'TL02'!$J$238:$J$451),0),
IF('TL03'!$B$3=N$3,SUMIF('TL03'!$C$10:$C$224,$C206,'TL03'!$J$10:$J$224),0),
IF('TL03'!$B$229=N$3,SUMIF('TL03'!$C$238:$C$451,$C206,'TL03'!$J$238:$J$451),0),
IF('TL04'!$B$3=N$3,SUMIF('TL04'!$C$10:$C$224,$C206,'TL04'!$J$10:$J$224),0),
IF('TL04'!$B$229=N$3,SUMIF('TL04'!$C$238:$C$451,$C206,'TL04'!$J$238:$J$451),0),
IF('TL05'!$B$3=N$3,SUMIF('TL05'!$C$10:$C$224,$C206,'TL05'!$J$10:$J$224),0),
IF('TL05'!$B$229=N$3,SUMIF('TL05'!$C$238:$C$451,$C206,'TL05'!$J$238:$J$451),0),
IF('TL06'!$B$3=N$3,SUMIF('TL06'!$C$10:$C$224,$C206,'TL06'!$J$10:$J$224),0),
IF('TL06'!$B$229=N$3,SUMIF('TL06'!$C$238:$C$451,$C206,'TL06'!$J$238:$J$451),0),
IF('TL07'!$B$3=N$3,SUMIF('TL07'!$C$10:$C$224,$C206,'TL07'!$J$10:$J$224),0),
IF('TL07'!$B$229=N$3,SUMIF('TL07'!$C$238:$C$451,$C206,'TL07'!$J$238:$J$451),0),
IF('TL08'!$B$3=N$3,SUMIF('TL08'!$C$10:$C$224,$C206,'TL08'!$J$10:$J$224),0),
IF('TL08'!$B$229=N$3,SUMIF('TL08'!$C$238:$C$451,$C206,'TL08'!$J$238:$J$451),0),
IF('TL09'!$B$3=N$3,SUMIF('TL09'!$C$10:$C$224,$C206,'TL09'!$J$10:$J$224),0),
IF('TL09'!$B$229=N$3,SUMIF('TL09'!$C$238:$C$451,$C206,'TL09'!$J$238:$J$451),0),
IF('TL10'!$B$3=N$3,SUMIF('TL10'!$C$10:$C$224,$C206,'TL10'!$J$10:$J$224),0),
IF('TL10'!$B$229=N$3,SUMIF('TL10'!$C$238:$C$451,$C206,'TL10'!$J$238:$J$451),0),
IF('TL11'!$B$3=N$3,SUMIF('TL11'!$C$10:$C$224,$C206,'TL11'!$J$10:$J$224),0),
IF('TL11'!$B$229=N$3,SUMIF('TL11'!$C$238:$C$451,$C206,'TL11'!$J$238:$J$451),0),
IF('TL12'!$B$3=N$3,SUMIF('TL12'!$C$10:$C$224,$C206,'TL12'!$J$10:$J$224),0),
IF('TL12'!$B$229=N$3,SUMIF('TL12'!$C$238:$C$451,$C206,'TL12'!$J$238:$J$451),0),
IF('TL13'!$B$3=N$3,SUMIF('TL13'!$C$10:$C$224,$C206,'TL13'!$J$10:$J$224),0),
IF('TL13'!$B$229=N$3,SUMIF('TL13'!$C$238:$C$451,$C206,'TL13'!$J$238:$J$451),0),
IF('TL14'!$B$3=N$3,SUMIF('TL14'!$C$10:$C$224,$C206,'TL14'!$J$10:$J$224),0),
IF('TL14'!$B$229=N$3,SUMIF('TL14'!$C$238:$C$451,$C206,'TL14'!$J$238:$J$451),0),
IF('TL15'!$B$3=N$3,SUMIF('TL15'!$C$10:$C$224,$C206,'TL15'!$J$10:$J$224),0),
IF('TL15'!$B$229=N$3,SUMIF('TL15'!$C$238:$C$451,$C206,'TL15'!$J$238:$J$451),0),
IF('TL16'!$B$3=N$3,SUMIF('TL16'!$C$10:$C$224,$C206,'TL16'!$J$10:$J$224),0),
IF('TL16'!$B$229=N$3,SUMIF('TL16'!$C$238:$C$451,$C206,'TL16'!$J$238:$J$451),0),
IF('TL17'!$B$3=N$3,SUMIF('TL17'!$C$10:$C$224,$C206,'TL17'!$J$10:$J$224),0),
IF('TL17'!$B$229=N$3,SUMIF('TL17'!$C$238:$C$451,$C206,'TL17'!$J$238:$J$451),0),
IF('TL18'!$B$3=N$3,SUMIF('TL18'!$C$10:$C$224,$C206,'TL18'!$J$10:$J$224),0),
IF('TL18'!$B$229=N$3,SUMIF('TL18'!$C$238:$C$451,$C206,'TL18'!$J$238:$J$451),0),
IF('TL19'!$B$3=N$3,SUMIF('TL19'!$C$10:$C$224,$C206,'TL19'!$J$10:$J$224),0),
IF('TL19'!$B$229=N$3,SUMIF('TL19'!$C$238:$C$451,$C206,'TL19'!$J$238:$J$451),0)
),0)</f>
        <v/>
      </c>
      <c r="O206" s="9">
        <f>IFERROR(SUM(
IF('TL01'!$B$3=O$3,SUMIF('TL01'!$C$10:$C$224,$C206,'TL01'!$J$10:$J$224),0),
IF('TL01'!$B$229=O$3,SUMIF('TL01'!$C$238:$C$451,$C206,'TL01'!$J$238:$J$451),0),
IF('TL02'!$B$3=O$3,SUMIF('TL02'!$C$10:$C$224,$C206,'TL02'!$J$10:$J$224),0),
IF('TL02'!$B$229=O$3,SUMIF('TL02'!$C$238:$C$451,$C206,'TL02'!$J$238:$J$451),0),
IF('TL03'!$B$3=O$3,SUMIF('TL03'!$C$10:$C$224,$C206,'TL03'!$J$10:$J$224),0),
IF('TL03'!$B$229=O$3,SUMIF('TL03'!$C$238:$C$451,$C206,'TL03'!$J$238:$J$451),0),
IF('TL04'!$B$3=O$3,SUMIF('TL04'!$C$10:$C$224,$C206,'TL04'!$J$10:$J$224),0),
IF('TL04'!$B$229=O$3,SUMIF('TL04'!$C$238:$C$451,$C206,'TL04'!$J$238:$J$451),0),
IF('TL05'!$B$3=O$3,SUMIF('TL05'!$C$10:$C$224,$C206,'TL05'!$J$10:$J$224),0),
IF('TL05'!$B$229=O$3,SUMIF('TL05'!$C$238:$C$451,$C206,'TL05'!$J$238:$J$451),0),
IF('TL06'!$B$3=O$3,SUMIF('TL06'!$C$10:$C$224,$C206,'TL06'!$J$10:$J$224),0),
IF('TL06'!$B$229=O$3,SUMIF('TL06'!$C$238:$C$451,$C206,'TL06'!$J$238:$J$451),0),
IF('TL07'!$B$3=O$3,SUMIF('TL07'!$C$10:$C$224,$C206,'TL07'!$J$10:$J$224),0),
IF('TL07'!$B$229=O$3,SUMIF('TL07'!$C$238:$C$451,$C206,'TL07'!$J$238:$J$451),0),
IF('TL08'!$B$3=O$3,SUMIF('TL08'!$C$10:$C$224,$C206,'TL08'!$J$10:$J$224),0),
IF('TL08'!$B$229=O$3,SUMIF('TL08'!$C$238:$C$451,$C206,'TL08'!$J$238:$J$451),0),
IF('TL09'!$B$3=O$3,SUMIF('TL09'!$C$10:$C$224,$C206,'TL09'!$J$10:$J$224),0),
IF('TL09'!$B$229=O$3,SUMIF('TL09'!$C$238:$C$451,$C206,'TL09'!$J$238:$J$451),0),
IF('TL10'!$B$3=O$3,SUMIF('TL10'!$C$10:$C$224,$C206,'TL10'!$J$10:$J$224),0),
IF('TL10'!$B$229=O$3,SUMIF('TL10'!$C$238:$C$451,$C206,'TL10'!$J$238:$J$451),0),
IF('TL11'!$B$3=O$3,SUMIF('TL11'!$C$10:$C$224,$C206,'TL11'!$J$10:$J$224),0),
IF('TL11'!$B$229=O$3,SUMIF('TL11'!$C$238:$C$451,$C206,'TL11'!$J$238:$J$451),0),
IF('TL12'!$B$3=O$3,SUMIF('TL12'!$C$10:$C$224,$C206,'TL12'!$J$10:$J$224),0),
IF('TL12'!$B$229=O$3,SUMIF('TL12'!$C$238:$C$451,$C206,'TL12'!$J$238:$J$451),0),
IF('TL13'!$B$3=O$3,SUMIF('TL13'!$C$10:$C$224,$C206,'TL13'!$J$10:$J$224),0),
IF('TL13'!$B$229=O$3,SUMIF('TL13'!$C$238:$C$451,$C206,'TL13'!$J$238:$J$451),0),
IF('TL14'!$B$3=O$3,SUMIF('TL14'!$C$10:$C$224,$C206,'TL14'!$J$10:$J$224),0),
IF('TL14'!$B$229=O$3,SUMIF('TL14'!$C$238:$C$451,$C206,'TL14'!$J$238:$J$451),0),
IF('TL15'!$B$3=O$3,SUMIF('TL15'!$C$10:$C$224,$C206,'TL15'!$J$10:$J$224),0),
IF('TL15'!$B$229=O$3,SUMIF('TL15'!$C$238:$C$451,$C206,'TL15'!$J$238:$J$451),0),
IF('TL16'!$B$3=O$3,SUMIF('TL16'!$C$10:$C$224,$C206,'TL16'!$J$10:$J$224),0),
IF('TL16'!$B$229=O$3,SUMIF('TL16'!$C$238:$C$451,$C206,'TL16'!$J$238:$J$451),0),
IF('TL17'!$B$3=O$3,SUMIF('TL17'!$C$10:$C$224,$C206,'TL17'!$J$10:$J$224),0),
IF('TL17'!$B$229=O$3,SUMIF('TL17'!$C$238:$C$451,$C206,'TL17'!$J$238:$J$451),0),
IF('TL18'!$B$3=O$3,SUMIF('TL18'!$C$10:$C$224,$C206,'TL18'!$J$10:$J$224),0),
IF('TL18'!$B$229=O$3,SUMIF('TL18'!$C$238:$C$451,$C206,'TL18'!$J$238:$J$451),0),
IF('TL19'!$B$3=O$3,SUMIF('TL19'!$C$10:$C$224,$C206,'TL19'!$J$10:$J$224),0),
IF('TL19'!$B$229=O$3,SUMIF('TL19'!$C$238:$C$451,$C206,'TL19'!$J$238:$J$451),0)
),0)</f>
        <v/>
      </c>
      <c r="P206" s="9">
        <f>IFERROR(SUM(
IF('TL01'!$B$3=P$3,SUMIF('TL01'!$C$10:$C$224,$C206,'TL01'!$J$10:$J$224),0),
IF('TL01'!$B$229=P$3,SUMIF('TL01'!$C$238:$C$451,$C206,'TL01'!$J$238:$J$451),0),
IF('TL02'!$B$3=P$3,SUMIF('TL02'!$C$10:$C$224,$C206,'TL02'!$J$10:$J$224),0),
IF('TL02'!$B$229=P$3,SUMIF('TL02'!$C$238:$C$451,$C206,'TL02'!$J$238:$J$451),0),
IF('TL03'!$B$3=P$3,SUMIF('TL03'!$C$10:$C$224,$C206,'TL03'!$J$10:$J$224),0),
IF('TL03'!$B$229=P$3,SUMIF('TL03'!$C$238:$C$451,$C206,'TL03'!$J$238:$J$451),0),
IF('TL04'!$B$3=P$3,SUMIF('TL04'!$C$10:$C$224,$C206,'TL04'!$J$10:$J$224),0),
IF('TL04'!$B$229=P$3,SUMIF('TL04'!$C$238:$C$451,$C206,'TL04'!$J$238:$J$451),0),
IF('TL05'!$B$3=P$3,SUMIF('TL05'!$C$10:$C$224,$C206,'TL05'!$J$10:$J$224),0),
IF('TL05'!$B$229=P$3,SUMIF('TL05'!$C$238:$C$451,$C206,'TL05'!$J$238:$J$451),0),
IF('TL06'!$B$3=P$3,SUMIF('TL06'!$C$10:$C$224,$C206,'TL06'!$J$10:$J$224),0),
IF('TL06'!$B$229=P$3,SUMIF('TL06'!$C$238:$C$451,$C206,'TL06'!$J$238:$J$451),0),
IF('TL07'!$B$3=P$3,SUMIF('TL07'!$C$10:$C$224,$C206,'TL07'!$J$10:$J$224),0),
IF('TL07'!$B$229=P$3,SUMIF('TL07'!$C$238:$C$451,$C206,'TL07'!$J$238:$J$451),0),
IF('TL08'!$B$3=P$3,SUMIF('TL08'!$C$10:$C$224,$C206,'TL08'!$J$10:$J$224),0),
IF('TL08'!$B$229=P$3,SUMIF('TL08'!$C$238:$C$451,$C206,'TL08'!$J$238:$J$451),0),
IF('TL09'!$B$3=P$3,SUMIF('TL09'!$C$10:$C$224,$C206,'TL09'!$J$10:$J$224),0),
IF('TL09'!$B$229=P$3,SUMIF('TL09'!$C$238:$C$451,$C206,'TL09'!$J$238:$J$451),0),
IF('TL10'!$B$3=P$3,SUMIF('TL10'!$C$10:$C$224,$C206,'TL10'!$J$10:$J$224),0),
IF('TL10'!$B$229=P$3,SUMIF('TL10'!$C$238:$C$451,$C206,'TL10'!$J$238:$J$451),0),
IF('TL11'!$B$3=P$3,SUMIF('TL11'!$C$10:$C$224,$C206,'TL11'!$J$10:$J$224),0),
IF('TL11'!$B$229=P$3,SUMIF('TL11'!$C$238:$C$451,$C206,'TL11'!$J$238:$J$451),0),
IF('TL12'!$B$3=P$3,SUMIF('TL12'!$C$10:$C$224,$C206,'TL12'!$J$10:$J$224),0),
IF('TL12'!$B$229=P$3,SUMIF('TL12'!$C$238:$C$451,$C206,'TL12'!$J$238:$J$451),0),
IF('TL13'!$B$3=P$3,SUMIF('TL13'!$C$10:$C$224,$C206,'TL13'!$J$10:$J$224),0),
IF('TL13'!$B$229=P$3,SUMIF('TL13'!$C$238:$C$451,$C206,'TL13'!$J$238:$J$451),0),
IF('TL14'!$B$3=P$3,SUMIF('TL14'!$C$10:$C$224,$C206,'TL14'!$J$10:$J$224),0),
IF('TL14'!$B$229=P$3,SUMIF('TL14'!$C$238:$C$451,$C206,'TL14'!$J$238:$J$451),0),
IF('TL15'!$B$3=P$3,SUMIF('TL15'!$C$10:$C$224,$C206,'TL15'!$J$10:$J$224),0),
IF('TL15'!$B$229=P$3,SUMIF('TL15'!$C$238:$C$451,$C206,'TL15'!$J$238:$J$451),0),
IF('TL16'!$B$3=P$3,SUMIF('TL16'!$C$10:$C$224,$C206,'TL16'!$J$10:$J$224),0),
IF('TL16'!$B$229=P$3,SUMIF('TL16'!$C$238:$C$451,$C206,'TL16'!$J$238:$J$451),0),
IF('TL17'!$B$3=P$3,SUMIF('TL17'!$C$10:$C$224,$C206,'TL17'!$J$10:$J$224),0),
IF('TL17'!$B$229=P$3,SUMIF('TL17'!$C$238:$C$451,$C206,'TL17'!$J$238:$J$451),0),
IF('TL18'!$B$3=P$3,SUMIF('TL18'!$C$10:$C$224,$C206,'TL18'!$J$10:$J$224),0),
IF('TL18'!$B$229=P$3,SUMIF('TL18'!$C$238:$C$451,$C206,'TL18'!$J$238:$J$451),0),
IF('TL19'!$B$3=P$3,SUMIF('TL19'!$C$10:$C$224,$C206,'TL19'!$J$10:$J$224),0),
IF('TL19'!$B$229=P$3,SUMIF('TL19'!$C$238:$C$451,$C206,'TL19'!$J$238:$J$451),0)
),0)</f>
        <v/>
      </c>
      <c r="Q206" s="9">
        <f>IFERROR(SUM(
IF('TL01'!$B$3=Q$3,SUMIF('TL01'!$C$10:$C$224,$C206,'TL01'!$J$10:$J$224),0),
IF('TL01'!$B$229=Q$3,SUMIF('TL01'!$C$238:$C$451,$C206,'TL01'!$J$238:$J$451),0),
IF('TL02'!$B$3=Q$3,SUMIF('TL02'!$C$10:$C$224,$C206,'TL02'!$J$10:$J$224),0),
IF('TL02'!$B$229=Q$3,SUMIF('TL02'!$C$238:$C$451,$C206,'TL02'!$J$238:$J$451),0),
IF('TL03'!$B$3=Q$3,SUMIF('TL03'!$C$10:$C$224,$C206,'TL03'!$J$10:$J$224),0),
IF('TL03'!$B$229=Q$3,SUMIF('TL03'!$C$238:$C$451,$C206,'TL03'!$J$238:$J$451),0),
IF('TL04'!$B$3=Q$3,SUMIF('TL04'!$C$10:$C$224,$C206,'TL04'!$J$10:$J$224),0),
IF('TL04'!$B$229=Q$3,SUMIF('TL04'!$C$238:$C$451,$C206,'TL04'!$J$238:$J$451),0),
IF('TL05'!$B$3=Q$3,SUMIF('TL05'!$C$10:$C$224,$C206,'TL05'!$J$10:$J$224),0),
IF('TL05'!$B$229=Q$3,SUMIF('TL05'!$C$238:$C$451,$C206,'TL05'!$J$238:$J$451),0),
IF('TL06'!$B$3=Q$3,SUMIF('TL06'!$C$10:$C$224,$C206,'TL06'!$J$10:$J$224),0),
IF('TL06'!$B$229=Q$3,SUMIF('TL06'!$C$238:$C$451,$C206,'TL06'!$J$238:$J$451),0),
IF('TL07'!$B$3=Q$3,SUMIF('TL07'!$C$10:$C$224,$C206,'TL07'!$J$10:$J$224),0),
IF('TL07'!$B$229=Q$3,SUMIF('TL07'!$C$238:$C$451,$C206,'TL07'!$J$238:$J$451),0),
IF('TL08'!$B$3=Q$3,SUMIF('TL08'!$C$10:$C$224,$C206,'TL08'!$J$10:$J$224),0),
IF('TL08'!$B$229=Q$3,SUMIF('TL08'!$C$238:$C$451,$C206,'TL08'!$J$238:$J$451),0),
IF('TL09'!$B$3=Q$3,SUMIF('TL09'!$C$10:$C$224,$C206,'TL09'!$J$10:$J$224),0),
IF('TL09'!$B$229=Q$3,SUMIF('TL09'!$C$238:$C$451,$C206,'TL09'!$J$238:$J$451),0),
IF('TL10'!$B$3=Q$3,SUMIF('TL10'!$C$10:$C$224,$C206,'TL10'!$J$10:$J$224),0),
IF('TL10'!$B$229=Q$3,SUMIF('TL10'!$C$238:$C$451,$C206,'TL10'!$J$238:$J$451),0),
IF('TL11'!$B$3=Q$3,SUMIF('TL11'!$C$10:$C$224,$C206,'TL11'!$J$10:$J$224),0),
IF('TL11'!$B$229=Q$3,SUMIF('TL11'!$C$238:$C$451,$C206,'TL11'!$J$238:$J$451),0),
IF('TL12'!$B$3=Q$3,SUMIF('TL12'!$C$10:$C$224,$C206,'TL12'!$J$10:$J$224),0),
IF('TL12'!$B$229=Q$3,SUMIF('TL12'!$C$238:$C$451,$C206,'TL12'!$J$238:$J$451),0),
IF('TL13'!$B$3=Q$3,SUMIF('TL13'!$C$10:$C$224,$C206,'TL13'!$J$10:$J$224),0),
IF('TL13'!$B$229=Q$3,SUMIF('TL13'!$C$238:$C$451,$C206,'TL13'!$J$238:$J$451),0),
IF('TL14'!$B$3=Q$3,SUMIF('TL14'!$C$10:$C$224,$C206,'TL14'!$J$10:$J$224),0),
IF('TL14'!$B$229=Q$3,SUMIF('TL14'!$C$238:$C$451,$C206,'TL14'!$J$238:$J$451),0),
IF('TL15'!$B$3=Q$3,SUMIF('TL15'!$C$10:$C$224,$C206,'TL15'!$J$10:$J$224),0),
IF('TL15'!$B$229=Q$3,SUMIF('TL15'!$C$238:$C$451,$C206,'TL15'!$J$238:$J$451),0),
IF('TL16'!$B$3=Q$3,SUMIF('TL16'!$C$10:$C$224,$C206,'TL16'!$J$10:$J$224),0),
IF('TL16'!$B$229=Q$3,SUMIF('TL16'!$C$238:$C$451,$C206,'TL16'!$J$238:$J$451),0),
IF('TL17'!$B$3=Q$3,SUMIF('TL17'!$C$10:$C$224,$C206,'TL17'!$J$10:$J$224),0),
IF('TL17'!$B$229=Q$3,SUMIF('TL17'!$C$238:$C$451,$C206,'TL17'!$J$238:$J$451),0),
IF('TL18'!$B$3=Q$3,SUMIF('TL18'!$C$10:$C$224,$C206,'TL18'!$J$10:$J$224),0),
IF('TL18'!$B$229=Q$3,SUMIF('TL18'!$C$238:$C$451,$C206,'TL18'!$J$238:$J$451),0),
IF('TL19'!$B$3=Q$3,SUMIF('TL19'!$C$10:$C$224,$C206,'TL19'!$J$10:$J$224),0),
IF('TL19'!$B$229=Q$3,SUMIF('TL19'!$C$238:$C$451,$C206,'TL19'!$J$238:$J$451),0)
),0)</f>
        <v/>
      </c>
      <c r="R206" s="9">
        <f>IFERROR(
SUM(
SUMIF('TL01'!C:C,C206,'TL01'!J:J),
SUMIF('TL02'!C:C,C206,'TL02'!J:J),
SUMIF('TL03'!C:C,C206,'TL03'!J:J),
SUMIF('TL04'!C:C,C206,'TL04'!J:J),
SUMIF('TL05'!C:C,C206,'TL05'!J:J),
SUMIF('TL06'!C:C,C206,'TL06'!J:J),
SUMIF('TL07'!C:C,C206,'TL07'!J:J),
SUMIF('TL08'!C:C,C206,'TL08'!J:J),
SUMIF('TL09'!C:C,C206,'TL09'!J:J),
SUMIF('TL10'!C:C,C206,'TL10'!J:J),
SUMIF('TL11'!C:C,C206,'TL11'!J:J),
SUMIF('TL12'!C:C,C206,'TL12'!J:J),
SUMIF('TL13'!C:C,C206,'TL13'!J:J),
SUMIF('TL14'!C:C,C206,'TL14'!J:J),
SUMIF('TL15'!C:C,C206,'TL15'!J:J),
SUMIF('TL16'!C:C,C206,'TL16'!J:J),
SUMIF('TL17'!C:C,C206,'TL17'!J:J),
SUMIF('TL18'!C:C,C206,'TL18'!J:J),SUMIF('TL19'!C:C,C206,'TL19'!J:J))
,0)</f>
        <v/>
      </c>
      <c r="S206" s="17">
        <f>IFERROR(__xludf.DUMMYFUNCTION("IFERROR(VLOOKUP(C206,
IMPORTRANGE(""1wULbzX32WdYsx-lj2U3uUNBBe2INVIRDtcK0d-Dvl90"",
""26-27!C:G""),
5,
FALSE),
"""")"),61.52838)</f>
        <v/>
      </c>
      <c r="T206" s="9" t="n">
        <v>230</v>
      </c>
      <c r="U206" s="92">
        <f>MAX(0,R206-T206)</f>
        <v/>
      </c>
      <c r="V206" s="93">
        <f>U206*S206</f>
        <v/>
      </c>
    </row>
    <row r="207" hidden="1" ht="15.75" customHeight="1" s="297">
      <c r="A207" s="94" t="inlineStr">
        <is>
          <t>FMC</t>
        </is>
      </c>
      <c r="B207" s="95" t="inlineStr">
        <is>
          <t>INSETICIDA</t>
        </is>
      </c>
      <c r="C207" s="96" t="inlineStr">
        <is>
          <t>VERIMARK</t>
        </is>
      </c>
      <c r="D207" s="96" t="inlineStr">
        <is>
          <t>CIANTRANILIPROLE</t>
        </is>
      </c>
      <c r="E207" s="96" t="n">
        <v>200</v>
      </c>
      <c r="F207" s="4" t="inlineStr">
        <is>
          <t>L</t>
        </is>
      </c>
      <c r="G207" s="90">
        <f>HYPERLINK("https://www.google.com/search?q=" &amp; C207 &amp; "+bula+agrofit+pdf", "📄 Ver bula")</f>
        <v/>
      </c>
      <c r="H207" s="9">
        <f>IFERROR(__xludf.DUMMYFUNCTION("IFERROR(VLOOKUP(C207,
IMPORTRANGE(""1wULbzX32WdYsx-lj2U3uUNBBe2INVIRDtcK0d-Dvl90"",
""26-27!C:K""),
8,
FALSE),
"""")"),0.2)</f>
        <v/>
      </c>
      <c r="I207" s="97" t="inlineStr">
        <is>
          <t>4x5</t>
        </is>
      </c>
      <c r="J207" s="9">
        <f>IFERROR(SUM(
IF('TL01'!$B$3=J$3,SUMIF('TL01'!$C$10:$C$224,$C207,'TL01'!$J$10:$J$224),0),
IF('TL01'!$B$229=J$3,SUMIF('TL01'!$C$238:$C$451,$C207,'TL01'!$J$238:$J$451),0),
IF('TL02'!$B$3=J$3,SUMIF('TL02'!$C$10:$C$224,$C207,'TL02'!$J$10:$J$224),0),
IF('TL02'!$B$229=J$3,SUMIF('TL02'!$C$238:$C$451,$C207,'TL02'!$J$238:$J$451),0),
IF('TL03'!$B$3=J$3,SUMIF('TL03'!$C$10:$C$224,$C207,'TL03'!$J$10:$J$224),0),
IF('TL03'!$B$229=J$3,SUMIF('TL03'!$C$238:$C$451,$C207,'TL03'!$J$238:$J$451),0),
IF('TL04'!$B$3=J$3,SUMIF('TL04'!$C$10:$C$224,$C207,'TL04'!$J$10:$J$224),0),
IF('TL04'!$B$229=J$3,SUMIF('TL04'!$C$238:$C$451,$C207,'TL04'!$J$238:$J$451),0),
IF('TL05'!$B$3=J$3,SUMIF('TL05'!$C$10:$C$224,$C207,'TL05'!$J$10:$J$224),0),
IF('TL05'!$B$229=J$3,SUMIF('TL05'!$C$238:$C$451,$C207,'TL05'!$J$238:$J$451),0),
IF('TL06'!$B$3=J$3,SUMIF('TL06'!$C$10:$C$224,$C207,'TL06'!$J$10:$J$224),0),
IF('TL06'!$B$229=J$3,SUMIF('TL06'!$C$238:$C$451,$C207,'TL06'!$J$238:$J$451),0),
IF('TL07'!$B$3=J$3,SUMIF('TL07'!$C$10:$C$224,$C207,'TL07'!$J$10:$J$224),0),
IF('TL07'!$B$229=J$3,SUMIF('TL07'!$C$238:$C$451,$C207,'TL07'!$J$238:$J$451),0),
IF('TL08'!$B$3=J$3,SUMIF('TL08'!$C$10:$C$224,$C207,'TL08'!$J$10:$J$224),0),
IF('TL08'!$B$229=J$3,SUMIF('TL08'!$C$238:$C$451,$C207,'TL08'!$J$238:$J$451),0),
IF('TL09'!$B$3=J$3,SUMIF('TL09'!$C$10:$C$224,$C207,'TL09'!$J$10:$J$224),0),
IF('TL09'!$B$229=J$3,SUMIF('TL09'!$C$238:$C$451,$C207,'TL09'!$J$238:$J$451),0),
IF('TL10'!$B$3=J$3,SUMIF('TL10'!$C$10:$C$224,$C207,'TL10'!$J$10:$J$224),0),
IF('TL10'!$B$229=J$3,SUMIF('TL10'!$C$238:$C$451,$C207,'TL10'!$J$238:$J$451),0),
IF('TL11'!$B$3=J$3,SUMIF('TL11'!$C$10:$C$224,$C207,'TL11'!$J$10:$J$224),0),
IF('TL11'!$B$229=J$3,SUMIF('TL11'!$C$238:$C$451,$C207,'TL11'!$J$238:$J$451),0),
IF('TL12'!$B$3=J$3,SUMIF('TL12'!$C$10:$C$224,$C207,'TL12'!$J$10:$J$224),0),
IF('TL12'!$B$229=J$3,SUMIF('TL12'!$C$238:$C$451,$C207,'TL12'!$J$238:$J$451),0),
IF('TL13'!$B$3=J$3,SUMIF('TL13'!$C$10:$C$224,$C207,'TL13'!$J$10:$J$224),0),
IF('TL13'!$B$229=J$3,SUMIF('TL13'!$C$238:$C$451,$C207,'TL13'!$J$238:$J$451),0),
IF('TL14'!$B$3=J$3,SUMIF('TL14'!$C$10:$C$224,$C207,'TL14'!$J$10:$J$224),0),
IF('TL14'!$B$229=J$3,SUMIF('TL14'!$C$238:$C$451,$C207,'TL14'!$J$238:$J$451),0),
IF('TL15'!$B$3=J$3,SUMIF('TL15'!$C$10:$C$224,$C207,'TL15'!$J$10:$J$224),0),
IF('TL15'!$B$229=J$3,SUMIF('TL15'!$C$238:$C$451,$C207,'TL15'!$J$238:$J$451),0),
IF('TL16'!$B$3=J$3,SUMIF('TL16'!$C$10:$C$224,$C207,'TL16'!$J$10:$J$224),0),
IF('TL16'!$B$229=J$3,SUMIF('TL16'!$C$238:$C$451,$C207,'TL16'!$J$238:$J$451),0),
IF('TL17'!$B$3=J$3,SUMIF('TL17'!$C$10:$C$224,$C207,'TL17'!$J$10:$J$224),0),
IF('TL17'!$B$229=J$3,SUMIF('TL17'!$C$238:$C$451,$C207,'TL17'!$J$238:$J$451),0),
IF('TL18'!$B$3=J$3,SUMIF('TL18'!$C$10:$C$224,$C207,'TL18'!$J$10:$J$224),0),
IF('TL18'!$B$229=J$3,SUMIF('TL18'!$C$238:$C$451,$C207,'TL18'!$J$238:$J$451),0),
IF('TL19'!$B$3=J$3,SUMIF('TL19'!$C$10:$C$224,$C207,'TL19'!$J$10:$J$224),0),
IF('TL19'!$B$229=J$3,SUMIF('TL19'!$C$238:$C$451,$C207,'TL19'!$J$238:$J$451),0)
),0)</f>
        <v/>
      </c>
      <c r="K207" s="9">
        <f>IFERROR(SUM(
IF('TL01'!$B$3=K$3,SUMIF('TL01'!$C$10:$C$224,$C207,'TL01'!$J$10:$J$224),0),
IF('TL01'!$B$229=K$3,SUMIF('TL01'!$C$238:$C$451,$C207,'TL01'!$J$238:$J$451),0),
IF('TL02'!$B$3=K$3,SUMIF('TL02'!$C$10:$C$224,$C207,'TL02'!$J$10:$J$224),0),
IF('TL02'!$B$229=K$3,SUMIF('TL02'!$C$238:$C$451,$C207,'TL02'!$J$238:$J$451),0),
IF('TL03'!$B$3=K$3,SUMIF('TL03'!$C$10:$C$224,$C207,'TL03'!$J$10:$J$224),0),
IF('TL03'!$B$229=K$3,SUMIF('TL03'!$C$238:$C$451,$C207,'TL03'!$J$238:$J$451),0),
IF('TL04'!$B$3=K$3,SUMIF('TL04'!$C$10:$C$224,$C207,'TL04'!$J$10:$J$224),0),
IF('TL04'!$B$229=K$3,SUMIF('TL04'!$C$238:$C$451,$C207,'TL04'!$J$238:$J$451),0),
IF('TL05'!$B$3=K$3,SUMIF('TL05'!$C$10:$C$224,$C207,'TL05'!$J$10:$J$224),0),
IF('TL05'!$B$229=K$3,SUMIF('TL05'!$C$238:$C$451,$C207,'TL05'!$J$238:$J$451),0),
IF('TL06'!$B$3=K$3,SUMIF('TL06'!$C$10:$C$224,$C207,'TL06'!$J$10:$J$224),0),
IF('TL06'!$B$229=K$3,SUMIF('TL06'!$C$238:$C$451,$C207,'TL06'!$J$238:$J$451),0),
IF('TL07'!$B$3=K$3,SUMIF('TL07'!$C$10:$C$224,$C207,'TL07'!$J$10:$J$224),0),
IF('TL07'!$B$229=K$3,SUMIF('TL07'!$C$238:$C$451,$C207,'TL07'!$J$238:$J$451),0),
IF('TL08'!$B$3=K$3,SUMIF('TL08'!$C$10:$C$224,$C207,'TL08'!$J$10:$J$224),0),
IF('TL08'!$B$229=K$3,SUMIF('TL08'!$C$238:$C$451,$C207,'TL08'!$J$238:$J$451),0),
IF('TL09'!$B$3=K$3,SUMIF('TL09'!$C$10:$C$224,$C207,'TL09'!$J$10:$J$224),0),
IF('TL09'!$B$229=K$3,SUMIF('TL09'!$C$238:$C$451,$C207,'TL09'!$J$238:$J$451),0),
IF('TL10'!$B$3=K$3,SUMIF('TL10'!$C$10:$C$224,$C207,'TL10'!$J$10:$J$224),0),
IF('TL10'!$B$229=K$3,SUMIF('TL10'!$C$238:$C$451,$C207,'TL10'!$J$238:$J$451),0),
IF('TL11'!$B$3=K$3,SUMIF('TL11'!$C$10:$C$224,$C207,'TL11'!$J$10:$J$224),0),
IF('TL11'!$B$229=K$3,SUMIF('TL11'!$C$238:$C$451,$C207,'TL11'!$J$238:$J$451),0),
IF('TL12'!$B$3=K$3,SUMIF('TL12'!$C$10:$C$224,$C207,'TL12'!$J$10:$J$224),0),
IF('TL12'!$B$229=K$3,SUMIF('TL12'!$C$238:$C$451,$C207,'TL12'!$J$238:$J$451),0),
IF('TL13'!$B$3=K$3,SUMIF('TL13'!$C$10:$C$224,$C207,'TL13'!$J$10:$J$224),0),
IF('TL13'!$B$229=K$3,SUMIF('TL13'!$C$238:$C$451,$C207,'TL13'!$J$238:$J$451),0),
IF('TL14'!$B$3=K$3,SUMIF('TL14'!$C$10:$C$224,$C207,'TL14'!$J$10:$J$224),0),
IF('TL14'!$B$229=K$3,SUMIF('TL14'!$C$238:$C$451,$C207,'TL14'!$J$238:$J$451),0),
IF('TL15'!$B$3=K$3,SUMIF('TL15'!$C$10:$C$224,$C207,'TL15'!$J$10:$J$224),0),
IF('TL15'!$B$229=K$3,SUMIF('TL15'!$C$238:$C$451,$C207,'TL15'!$J$238:$J$451),0),
IF('TL16'!$B$3=K$3,SUMIF('TL16'!$C$10:$C$224,$C207,'TL16'!$J$10:$J$224),0),
IF('TL16'!$B$229=K$3,SUMIF('TL16'!$C$238:$C$451,$C207,'TL16'!$J$238:$J$451),0),
IF('TL17'!$B$3=K$3,SUMIF('TL17'!$C$10:$C$224,$C207,'TL17'!$J$10:$J$224),0),
IF('TL17'!$B$229=K$3,SUMIF('TL17'!$C$238:$C$451,$C207,'TL17'!$J$238:$J$451),0),
IF('TL18'!$B$3=K$3,SUMIF('TL18'!$C$10:$C$224,$C207,'TL18'!$J$10:$J$224),0),
IF('TL18'!$B$229=K$3,SUMIF('TL18'!$C$238:$C$451,$C207,'TL18'!$J$238:$J$451),0),
IF('TL19'!$B$3=K$3,SUMIF('TL19'!$C$10:$C$224,$C207,'TL19'!$J$10:$J$224),0),
IF('TL19'!$B$229=K$3,SUMIF('TL19'!$C$238:$C$451,$C207,'TL19'!$J$238:$J$451),0)
),0)</f>
        <v/>
      </c>
      <c r="L207" s="9">
        <f>IFERROR(SUM(
IF('TL01'!$B$3=L$3,SUMIF('TL01'!$C$10:$C$224,$C207,'TL01'!$J$10:$J$224),0),
IF('TL01'!$B$229=L$3,SUMIF('TL01'!$C$238:$C$451,$C207,'TL01'!$J$238:$J$451),0),
IF('TL02'!$B$3=L$3,SUMIF('TL02'!$C$10:$C$224,$C207,'TL02'!$J$10:$J$224),0),
IF('TL02'!$B$229=L$3,SUMIF('TL02'!$C$238:$C$451,$C207,'TL02'!$J$238:$J$451),0),
IF('TL03'!$B$3=L$3,SUMIF('TL03'!$C$10:$C$224,$C207,'TL03'!$J$10:$J$224),0),
IF('TL03'!$B$229=L$3,SUMIF('TL03'!$C$238:$C$451,$C207,'TL03'!$J$238:$J$451),0),
IF('TL04'!$B$3=L$3,SUMIF('TL04'!$C$10:$C$224,$C207,'TL04'!$J$10:$J$224),0),
IF('TL04'!$B$229=L$3,SUMIF('TL04'!$C$238:$C$451,$C207,'TL04'!$J$238:$J$451),0),
IF('TL05'!$B$3=L$3,SUMIF('TL05'!$C$10:$C$224,$C207,'TL05'!$J$10:$J$224),0),
IF('TL05'!$B$229=L$3,SUMIF('TL05'!$C$238:$C$451,$C207,'TL05'!$J$238:$J$451),0),
IF('TL06'!$B$3=L$3,SUMIF('TL06'!$C$10:$C$224,$C207,'TL06'!$J$10:$J$224),0),
IF('TL06'!$B$229=L$3,SUMIF('TL06'!$C$238:$C$451,$C207,'TL06'!$J$238:$J$451),0),
IF('TL07'!$B$3=L$3,SUMIF('TL07'!$C$10:$C$224,$C207,'TL07'!$J$10:$J$224),0),
IF('TL07'!$B$229=L$3,SUMIF('TL07'!$C$238:$C$451,$C207,'TL07'!$J$238:$J$451),0),
IF('TL08'!$B$3=L$3,SUMIF('TL08'!$C$10:$C$224,$C207,'TL08'!$J$10:$J$224),0),
IF('TL08'!$B$229=L$3,SUMIF('TL08'!$C$238:$C$451,$C207,'TL08'!$J$238:$J$451),0),
IF('TL09'!$B$3=L$3,SUMIF('TL09'!$C$10:$C$224,$C207,'TL09'!$J$10:$J$224),0),
IF('TL09'!$B$229=L$3,SUMIF('TL09'!$C$238:$C$451,$C207,'TL09'!$J$238:$J$451),0),
IF('TL10'!$B$3=L$3,SUMIF('TL10'!$C$10:$C$224,$C207,'TL10'!$J$10:$J$224),0),
IF('TL10'!$B$229=L$3,SUMIF('TL10'!$C$238:$C$451,$C207,'TL10'!$J$238:$J$451),0),
IF('TL11'!$B$3=L$3,SUMIF('TL11'!$C$10:$C$224,$C207,'TL11'!$J$10:$J$224),0),
IF('TL11'!$B$229=L$3,SUMIF('TL11'!$C$238:$C$451,$C207,'TL11'!$J$238:$J$451),0),
IF('TL12'!$B$3=L$3,SUMIF('TL12'!$C$10:$C$224,$C207,'TL12'!$J$10:$J$224),0),
IF('TL12'!$B$229=L$3,SUMIF('TL12'!$C$238:$C$451,$C207,'TL12'!$J$238:$J$451),0),
IF('TL13'!$B$3=L$3,SUMIF('TL13'!$C$10:$C$224,$C207,'TL13'!$J$10:$J$224),0),
IF('TL13'!$B$229=L$3,SUMIF('TL13'!$C$238:$C$451,$C207,'TL13'!$J$238:$J$451),0),
IF('TL14'!$B$3=L$3,SUMIF('TL14'!$C$10:$C$224,$C207,'TL14'!$J$10:$J$224),0),
IF('TL14'!$B$229=L$3,SUMIF('TL14'!$C$238:$C$451,$C207,'TL14'!$J$238:$J$451),0),
IF('TL15'!$B$3=L$3,SUMIF('TL15'!$C$10:$C$224,$C207,'TL15'!$J$10:$J$224),0),
IF('TL15'!$B$229=L$3,SUMIF('TL15'!$C$238:$C$451,$C207,'TL15'!$J$238:$J$451),0),
IF('TL16'!$B$3=L$3,SUMIF('TL16'!$C$10:$C$224,$C207,'TL16'!$J$10:$J$224),0),
IF('TL16'!$B$229=L$3,SUMIF('TL16'!$C$238:$C$451,$C207,'TL16'!$J$238:$J$451),0),
IF('TL17'!$B$3=L$3,SUMIF('TL17'!$C$10:$C$224,$C207,'TL17'!$J$10:$J$224),0),
IF('TL17'!$B$229=L$3,SUMIF('TL17'!$C$238:$C$451,$C207,'TL17'!$J$238:$J$451),0),
IF('TL18'!$B$3=L$3,SUMIF('TL18'!$C$10:$C$224,$C207,'TL18'!$J$10:$J$224),0),
IF('TL18'!$B$229=L$3,SUMIF('TL18'!$C$238:$C$451,$C207,'TL18'!$J$238:$J$451),0),
IF('TL19'!$B$3=L$3,SUMIF('TL19'!$C$10:$C$224,$C207,'TL19'!$J$10:$J$224),0),
IF('TL19'!$B$229=L$3,SUMIF('TL19'!$C$238:$C$451,$C207,'TL19'!$J$238:$J$451),0)
),0)</f>
        <v/>
      </c>
      <c r="M207" s="9">
        <f>IFERROR(SUM(
IF('TL01'!$B$3=M$3,SUMIF('TL01'!$C$10:$C$224,$C207,'TL01'!$J$10:$J$224),0),
IF('TL01'!$B$229=M$3,SUMIF('TL01'!$C$238:$C$451,$C207,'TL01'!$J$238:$J$451),0),
IF('TL02'!$B$3=M$3,SUMIF('TL02'!$C$10:$C$224,$C207,'TL02'!$J$10:$J$224),0),
IF('TL02'!$B$229=M$3,SUMIF('TL02'!$C$238:$C$451,$C207,'TL02'!$J$238:$J$451),0),
IF('TL03'!$B$3=M$3,SUMIF('TL03'!$C$10:$C$224,$C207,'TL03'!$J$10:$J$224),0),
IF('TL03'!$B$229=M$3,SUMIF('TL03'!$C$238:$C$451,$C207,'TL03'!$J$238:$J$451),0),
IF('TL04'!$B$3=M$3,SUMIF('TL04'!$C$10:$C$224,$C207,'TL04'!$J$10:$J$224),0),
IF('TL04'!$B$229=M$3,SUMIF('TL04'!$C$238:$C$451,$C207,'TL04'!$J$238:$J$451),0),
IF('TL05'!$B$3=M$3,SUMIF('TL05'!$C$10:$C$224,$C207,'TL05'!$J$10:$J$224),0),
IF('TL05'!$B$229=M$3,SUMIF('TL05'!$C$238:$C$451,$C207,'TL05'!$J$238:$J$451),0),
IF('TL06'!$B$3=M$3,SUMIF('TL06'!$C$10:$C$224,$C207,'TL06'!$J$10:$J$224),0),
IF('TL06'!$B$229=M$3,SUMIF('TL06'!$C$238:$C$451,$C207,'TL06'!$J$238:$J$451),0),
IF('TL07'!$B$3=M$3,SUMIF('TL07'!$C$10:$C$224,$C207,'TL07'!$J$10:$J$224),0),
IF('TL07'!$B$229=M$3,SUMIF('TL07'!$C$238:$C$451,$C207,'TL07'!$J$238:$J$451),0),
IF('TL08'!$B$3=M$3,SUMIF('TL08'!$C$10:$C$224,$C207,'TL08'!$J$10:$J$224),0),
IF('TL08'!$B$229=M$3,SUMIF('TL08'!$C$238:$C$451,$C207,'TL08'!$J$238:$J$451),0),
IF('TL09'!$B$3=M$3,SUMIF('TL09'!$C$10:$C$224,$C207,'TL09'!$J$10:$J$224),0),
IF('TL09'!$B$229=M$3,SUMIF('TL09'!$C$238:$C$451,$C207,'TL09'!$J$238:$J$451),0),
IF('TL10'!$B$3=M$3,SUMIF('TL10'!$C$10:$C$224,$C207,'TL10'!$J$10:$J$224),0),
IF('TL10'!$B$229=M$3,SUMIF('TL10'!$C$238:$C$451,$C207,'TL10'!$J$238:$J$451),0),
IF('TL11'!$B$3=M$3,SUMIF('TL11'!$C$10:$C$224,$C207,'TL11'!$J$10:$J$224),0),
IF('TL11'!$B$229=M$3,SUMIF('TL11'!$C$238:$C$451,$C207,'TL11'!$J$238:$J$451),0),
IF('TL12'!$B$3=M$3,SUMIF('TL12'!$C$10:$C$224,$C207,'TL12'!$J$10:$J$224),0),
IF('TL12'!$B$229=M$3,SUMIF('TL12'!$C$238:$C$451,$C207,'TL12'!$J$238:$J$451),0),
IF('TL13'!$B$3=M$3,SUMIF('TL13'!$C$10:$C$224,$C207,'TL13'!$J$10:$J$224),0),
IF('TL13'!$B$229=M$3,SUMIF('TL13'!$C$238:$C$451,$C207,'TL13'!$J$238:$J$451),0),
IF('TL14'!$B$3=M$3,SUMIF('TL14'!$C$10:$C$224,$C207,'TL14'!$J$10:$J$224),0),
IF('TL14'!$B$229=M$3,SUMIF('TL14'!$C$238:$C$451,$C207,'TL14'!$J$238:$J$451),0),
IF('TL15'!$B$3=M$3,SUMIF('TL15'!$C$10:$C$224,$C207,'TL15'!$J$10:$J$224),0),
IF('TL15'!$B$229=M$3,SUMIF('TL15'!$C$238:$C$451,$C207,'TL15'!$J$238:$J$451),0),
IF('TL16'!$B$3=M$3,SUMIF('TL16'!$C$10:$C$224,$C207,'TL16'!$J$10:$J$224),0),
IF('TL16'!$B$229=M$3,SUMIF('TL16'!$C$238:$C$451,$C207,'TL16'!$J$238:$J$451),0),
IF('TL17'!$B$3=M$3,SUMIF('TL17'!$C$10:$C$224,$C207,'TL17'!$J$10:$J$224),0),
IF('TL17'!$B$229=M$3,SUMIF('TL17'!$C$238:$C$451,$C207,'TL17'!$J$238:$J$451),0),
IF('TL18'!$B$3=M$3,SUMIF('TL18'!$C$10:$C$224,$C207,'TL18'!$J$10:$J$224),0),
IF('TL18'!$B$229=M$3,SUMIF('TL18'!$C$238:$C$451,$C207,'TL18'!$J$238:$J$451),0),
IF('TL19'!$B$3=M$3,SUMIF('TL19'!$C$10:$C$224,$C207,'TL19'!$J$10:$J$224),0),
IF('TL19'!$B$229=M$3,SUMIF('TL19'!$C$238:$C$451,$C207,'TL19'!$J$238:$J$451),0)
),0)</f>
        <v/>
      </c>
      <c r="N207" s="9">
        <f>IFERROR(SUM(
IF('TL01'!$B$3=N$3,SUMIF('TL01'!$C$10:$C$224,$C207,'TL01'!$J$10:$J$224),0),
IF('TL01'!$B$229=N$3,SUMIF('TL01'!$C$238:$C$451,$C207,'TL01'!$J$238:$J$451),0),
IF('TL02'!$B$3=N$3,SUMIF('TL02'!$C$10:$C$224,$C207,'TL02'!$J$10:$J$224),0),
IF('TL02'!$B$229=N$3,SUMIF('TL02'!$C$238:$C$451,$C207,'TL02'!$J$238:$J$451),0),
IF('TL03'!$B$3=N$3,SUMIF('TL03'!$C$10:$C$224,$C207,'TL03'!$J$10:$J$224),0),
IF('TL03'!$B$229=N$3,SUMIF('TL03'!$C$238:$C$451,$C207,'TL03'!$J$238:$J$451),0),
IF('TL04'!$B$3=N$3,SUMIF('TL04'!$C$10:$C$224,$C207,'TL04'!$J$10:$J$224),0),
IF('TL04'!$B$229=N$3,SUMIF('TL04'!$C$238:$C$451,$C207,'TL04'!$J$238:$J$451),0),
IF('TL05'!$B$3=N$3,SUMIF('TL05'!$C$10:$C$224,$C207,'TL05'!$J$10:$J$224),0),
IF('TL05'!$B$229=N$3,SUMIF('TL05'!$C$238:$C$451,$C207,'TL05'!$J$238:$J$451),0),
IF('TL06'!$B$3=N$3,SUMIF('TL06'!$C$10:$C$224,$C207,'TL06'!$J$10:$J$224),0),
IF('TL06'!$B$229=N$3,SUMIF('TL06'!$C$238:$C$451,$C207,'TL06'!$J$238:$J$451),0),
IF('TL07'!$B$3=N$3,SUMIF('TL07'!$C$10:$C$224,$C207,'TL07'!$J$10:$J$224),0),
IF('TL07'!$B$229=N$3,SUMIF('TL07'!$C$238:$C$451,$C207,'TL07'!$J$238:$J$451),0),
IF('TL08'!$B$3=N$3,SUMIF('TL08'!$C$10:$C$224,$C207,'TL08'!$J$10:$J$224),0),
IF('TL08'!$B$229=N$3,SUMIF('TL08'!$C$238:$C$451,$C207,'TL08'!$J$238:$J$451),0),
IF('TL09'!$B$3=N$3,SUMIF('TL09'!$C$10:$C$224,$C207,'TL09'!$J$10:$J$224),0),
IF('TL09'!$B$229=N$3,SUMIF('TL09'!$C$238:$C$451,$C207,'TL09'!$J$238:$J$451),0),
IF('TL10'!$B$3=N$3,SUMIF('TL10'!$C$10:$C$224,$C207,'TL10'!$J$10:$J$224),0),
IF('TL10'!$B$229=N$3,SUMIF('TL10'!$C$238:$C$451,$C207,'TL10'!$J$238:$J$451),0),
IF('TL11'!$B$3=N$3,SUMIF('TL11'!$C$10:$C$224,$C207,'TL11'!$J$10:$J$224),0),
IF('TL11'!$B$229=N$3,SUMIF('TL11'!$C$238:$C$451,$C207,'TL11'!$J$238:$J$451),0),
IF('TL12'!$B$3=N$3,SUMIF('TL12'!$C$10:$C$224,$C207,'TL12'!$J$10:$J$224),0),
IF('TL12'!$B$229=N$3,SUMIF('TL12'!$C$238:$C$451,$C207,'TL12'!$J$238:$J$451),0),
IF('TL13'!$B$3=N$3,SUMIF('TL13'!$C$10:$C$224,$C207,'TL13'!$J$10:$J$224),0),
IF('TL13'!$B$229=N$3,SUMIF('TL13'!$C$238:$C$451,$C207,'TL13'!$J$238:$J$451),0),
IF('TL14'!$B$3=N$3,SUMIF('TL14'!$C$10:$C$224,$C207,'TL14'!$J$10:$J$224),0),
IF('TL14'!$B$229=N$3,SUMIF('TL14'!$C$238:$C$451,$C207,'TL14'!$J$238:$J$451),0),
IF('TL15'!$B$3=N$3,SUMIF('TL15'!$C$10:$C$224,$C207,'TL15'!$J$10:$J$224),0),
IF('TL15'!$B$229=N$3,SUMIF('TL15'!$C$238:$C$451,$C207,'TL15'!$J$238:$J$451),0),
IF('TL16'!$B$3=N$3,SUMIF('TL16'!$C$10:$C$224,$C207,'TL16'!$J$10:$J$224),0),
IF('TL16'!$B$229=N$3,SUMIF('TL16'!$C$238:$C$451,$C207,'TL16'!$J$238:$J$451),0),
IF('TL17'!$B$3=N$3,SUMIF('TL17'!$C$10:$C$224,$C207,'TL17'!$J$10:$J$224),0),
IF('TL17'!$B$229=N$3,SUMIF('TL17'!$C$238:$C$451,$C207,'TL17'!$J$238:$J$451),0),
IF('TL18'!$B$3=N$3,SUMIF('TL18'!$C$10:$C$224,$C207,'TL18'!$J$10:$J$224),0),
IF('TL18'!$B$229=N$3,SUMIF('TL18'!$C$238:$C$451,$C207,'TL18'!$J$238:$J$451),0),
IF('TL19'!$B$3=N$3,SUMIF('TL19'!$C$10:$C$224,$C207,'TL19'!$J$10:$J$224),0),
IF('TL19'!$B$229=N$3,SUMIF('TL19'!$C$238:$C$451,$C207,'TL19'!$J$238:$J$451),0)
),0)</f>
        <v/>
      </c>
      <c r="O207" s="9">
        <f>IFERROR(SUM(
IF('TL01'!$B$3=O$3,SUMIF('TL01'!$C$10:$C$224,$C207,'TL01'!$J$10:$J$224),0),
IF('TL01'!$B$229=O$3,SUMIF('TL01'!$C$238:$C$451,$C207,'TL01'!$J$238:$J$451),0),
IF('TL02'!$B$3=O$3,SUMIF('TL02'!$C$10:$C$224,$C207,'TL02'!$J$10:$J$224),0),
IF('TL02'!$B$229=O$3,SUMIF('TL02'!$C$238:$C$451,$C207,'TL02'!$J$238:$J$451),0),
IF('TL03'!$B$3=O$3,SUMIF('TL03'!$C$10:$C$224,$C207,'TL03'!$J$10:$J$224),0),
IF('TL03'!$B$229=O$3,SUMIF('TL03'!$C$238:$C$451,$C207,'TL03'!$J$238:$J$451),0),
IF('TL04'!$B$3=O$3,SUMIF('TL04'!$C$10:$C$224,$C207,'TL04'!$J$10:$J$224),0),
IF('TL04'!$B$229=O$3,SUMIF('TL04'!$C$238:$C$451,$C207,'TL04'!$J$238:$J$451),0),
IF('TL05'!$B$3=O$3,SUMIF('TL05'!$C$10:$C$224,$C207,'TL05'!$J$10:$J$224),0),
IF('TL05'!$B$229=O$3,SUMIF('TL05'!$C$238:$C$451,$C207,'TL05'!$J$238:$J$451),0),
IF('TL06'!$B$3=O$3,SUMIF('TL06'!$C$10:$C$224,$C207,'TL06'!$J$10:$J$224),0),
IF('TL06'!$B$229=O$3,SUMIF('TL06'!$C$238:$C$451,$C207,'TL06'!$J$238:$J$451),0),
IF('TL07'!$B$3=O$3,SUMIF('TL07'!$C$10:$C$224,$C207,'TL07'!$J$10:$J$224),0),
IF('TL07'!$B$229=O$3,SUMIF('TL07'!$C$238:$C$451,$C207,'TL07'!$J$238:$J$451),0),
IF('TL08'!$B$3=O$3,SUMIF('TL08'!$C$10:$C$224,$C207,'TL08'!$J$10:$J$224),0),
IF('TL08'!$B$229=O$3,SUMIF('TL08'!$C$238:$C$451,$C207,'TL08'!$J$238:$J$451),0),
IF('TL09'!$B$3=O$3,SUMIF('TL09'!$C$10:$C$224,$C207,'TL09'!$J$10:$J$224),0),
IF('TL09'!$B$229=O$3,SUMIF('TL09'!$C$238:$C$451,$C207,'TL09'!$J$238:$J$451),0),
IF('TL10'!$B$3=O$3,SUMIF('TL10'!$C$10:$C$224,$C207,'TL10'!$J$10:$J$224),0),
IF('TL10'!$B$229=O$3,SUMIF('TL10'!$C$238:$C$451,$C207,'TL10'!$J$238:$J$451),0),
IF('TL11'!$B$3=O$3,SUMIF('TL11'!$C$10:$C$224,$C207,'TL11'!$J$10:$J$224),0),
IF('TL11'!$B$229=O$3,SUMIF('TL11'!$C$238:$C$451,$C207,'TL11'!$J$238:$J$451),0),
IF('TL12'!$B$3=O$3,SUMIF('TL12'!$C$10:$C$224,$C207,'TL12'!$J$10:$J$224),0),
IF('TL12'!$B$229=O$3,SUMIF('TL12'!$C$238:$C$451,$C207,'TL12'!$J$238:$J$451),0),
IF('TL13'!$B$3=O$3,SUMIF('TL13'!$C$10:$C$224,$C207,'TL13'!$J$10:$J$224),0),
IF('TL13'!$B$229=O$3,SUMIF('TL13'!$C$238:$C$451,$C207,'TL13'!$J$238:$J$451),0),
IF('TL14'!$B$3=O$3,SUMIF('TL14'!$C$10:$C$224,$C207,'TL14'!$J$10:$J$224),0),
IF('TL14'!$B$229=O$3,SUMIF('TL14'!$C$238:$C$451,$C207,'TL14'!$J$238:$J$451),0),
IF('TL15'!$B$3=O$3,SUMIF('TL15'!$C$10:$C$224,$C207,'TL15'!$J$10:$J$224),0),
IF('TL15'!$B$229=O$3,SUMIF('TL15'!$C$238:$C$451,$C207,'TL15'!$J$238:$J$451),0),
IF('TL16'!$B$3=O$3,SUMIF('TL16'!$C$10:$C$224,$C207,'TL16'!$J$10:$J$224),0),
IF('TL16'!$B$229=O$3,SUMIF('TL16'!$C$238:$C$451,$C207,'TL16'!$J$238:$J$451),0),
IF('TL17'!$B$3=O$3,SUMIF('TL17'!$C$10:$C$224,$C207,'TL17'!$J$10:$J$224),0),
IF('TL17'!$B$229=O$3,SUMIF('TL17'!$C$238:$C$451,$C207,'TL17'!$J$238:$J$451),0),
IF('TL18'!$B$3=O$3,SUMIF('TL18'!$C$10:$C$224,$C207,'TL18'!$J$10:$J$224),0),
IF('TL18'!$B$229=O$3,SUMIF('TL18'!$C$238:$C$451,$C207,'TL18'!$J$238:$J$451),0),
IF('TL19'!$B$3=O$3,SUMIF('TL19'!$C$10:$C$224,$C207,'TL19'!$J$10:$J$224),0),
IF('TL19'!$B$229=O$3,SUMIF('TL19'!$C$238:$C$451,$C207,'TL19'!$J$238:$J$451),0)
),0)</f>
        <v/>
      </c>
      <c r="P207" s="9">
        <f>IFERROR(SUM(
IF('TL01'!$B$3=P$3,SUMIF('TL01'!$C$10:$C$224,$C207,'TL01'!$J$10:$J$224),0),
IF('TL01'!$B$229=P$3,SUMIF('TL01'!$C$238:$C$451,$C207,'TL01'!$J$238:$J$451),0),
IF('TL02'!$B$3=P$3,SUMIF('TL02'!$C$10:$C$224,$C207,'TL02'!$J$10:$J$224),0),
IF('TL02'!$B$229=P$3,SUMIF('TL02'!$C$238:$C$451,$C207,'TL02'!$J$238:$J$451),0),
IF('TL03'!$B$3=P$3,SUMIF('TL03'!$C$10:$C$224,$C207,'TL03'!$J$10:$J$224),0),
IF('TL03'!$B$229=P$3,SUMIF('TL03'!$C$238:$C$451,$C207,'TL03'!$J$238:$J$451),0),
IF('TL04'!$B$3=P$3,SUMIF('TL04'!$C$10:$C$224,$C207,'TL04'!$J$10:$J$224),0),
IF('TL04'!$B$229=P$3,SUMIF('TL04'!$C$238:$C$451,$C207,'TL04'!$J$238:$J$451),0),
IF('TL05'!$B$3=P$3,SUMIF('TL05'!$C$10:$C$224,$C207,'TL05'!$J$10:$J$224),0),
IF('TL05'!$B$229=P$3,SUMIF('TL05'!$C$238:$C$451,$C207,'TL05'!$J$238:$J$451),0),
IF('TL06'!$B$3=P$3,SUMIF('TL06'!$C$10:$C$224,$C207,'TL06'!$J$10:$J$224),0),
IF('TL06'!$B$229=P$3,SUMIF('TL06'!$C$238:$C$451,$C207,'TL06'!$J$238:$J$451),0),
IF('TL07'!$B$3=P$3,SUMIF('TL07'!$C$10:$C$224,$C207,'TL07'!$J$10:$J$224),0),
IF('TL07'!$B$229=P$3,SUMIF('TL07'!$C$238:$C$451,$C207,'TL07'!$J$238:$J$451),0),
IF('TL08'!$B$3=P$3,SUMIF('TL08'!$C$10:$C$224,$C207,'TL08'!$J$10:$J$224),0),
IF('TL08'!$B$229=P$3,SUMIF('TL08'!$C$238:$C$451,$C207,'TL08'!$J$238:$J$451),0),
IF('TL09'!$B$3=P$3,SUMIF('TL09'!$C$10:$C$224,$C207,'TL09'!$J$10:$J$224),0),
IF('TL09'!$B$229=P$3,SUMIF('TL09'!$C$238:$C$451,$C207,'TL09'!$J$238:$J$451),0),
IF('TL10'!$B$3=P$3,SUMIF('TL10'!$C$10:$C$224,$C207,'TL10'!$J$10:$J$224),0),
IF('TL10'!$B$229=P$3,SUMIF('TL10'!$C$238:$C$451,$C207,'TL10'!$J$238:$J$451),0),
IF('TL11'!$B$3=P$3,SUMIF('TL11'!$C$10:$C$224,$C207,'TL11'!$J$10:$J$224),0),
IF('TL11'!$B$229=P$3,SUMIF('TL11'!$C$238:$C$451,$C207,'TL11'!$J$238:$J$451),0),
IF('TL12'!$B$3=P$3,SUMIF('TL12'!$C$10:$C$224,$C207,'TL12'!$J$10:$J$224),0),
IF('TL12'!$B$229=P$3,SUMIF('TL12'!$C$238:$C$451,$C207,'TL12'!$J$238:$J$451),0),
IF('TL13'!$B$3=P$3,SUMIF('TL13'!$C$10:$C$224,$C207,'TL13'!$J$10:$J$224),0),
IF('TL13'!$B$229=P$3,SUMIF('TL13'!$C$238:$C$451,$C207,'TL13'!$J$238:$J$451),0),
IF('TL14'!$B$3=P$3,SUMIF('TL14'!$C$10:$C$224,$C207,'TL14'!$J$10:$J$224),0),
IF('TL14'!$B$229=P$3,SUMIF('TL14'!$C$238:$C$451,$C207,'TL14'!$J$238:$J$451),0),
IF('TL15'!$B$3=P$3,SUMIF('TL15'!$C$10:$C$224,$C207,'TL15'!$J$10:$J$224),0),
IF('TL15'!$B$229=P$3,SUMIF('TL15'!$C$238:$C$451,$C207,'TL15'!$J$238:$J$451),0),
IF('TL16'!$B$3=P$3,SUMIF('TL16'!$C$10:$C$224,$C207,'TL16'!$J$10:$J$224),0),
IF('TL16'!$B$229=P$3,SUMIF('TL16'!$C$238:$C$451,$C207,'TL16'!$J$238:$J$451),0),
IF('TL17'!$B$3=P$3,SUMIF('TL17'!$C$10:$C$224,$C207,'TL17'!$J$10:$J$224),0),
IF('TL17'!$B$229=P$3,SUMIF('TL17'!$C$238:$C$451,$C207,'TL17'!$J$238:$J$451),0),
IF('TL18'!$B$3=P$3,SUMIF('TL18'!$C$10:$C$224,$C207,'TL18'!$J$10:$J$224),0),
IF('TL18'!$B$229=P$3,SUMIF('TL18'!$C$238:$C$451,$C207,'TL18'!$J$238:$J$451),0),
IF('TL19'!$B$3=P$3,SUMIF('TL19'!$C$10:$C$224,$C207,'TL19'!$J$10:$J$224),0),
IF('TL19'!$B$229=P$3,SUMIF('TL19'!$C$238:$C$451,$C207,'TL19'!$J$238:$J$451),0)
),0)</f>
        <v/>
      </c>
      <c r="Q207" s="9">
        <f>IFERROR(SUM(
IF('TL01'!$B$3=Q$3,SUMIF('TL01'!$C$10:$C$224,$C207,'TL01'!$J$10:$J$224),0),
IF('TL01'!$B$229=Q$3,SUMIF('TL01'!$C$238:$C$451,$C207,'TL01'!$J$238:$J$451),0),
IF('TL02'!$B$3=Q$3,SUMIF('TL02'!$C$10:$C$224,$C207,'TL02'!$J$10:$J$224),0),
IF('TL02'!$B$229=Q$3,SUMIF('TL02'!$C$238:$C$451,$C207,'TL02'!$J$238:$J$451),0),
IF('TL03'!$B$3=Q$3,SUMIF('TL03'!$C$10:$C$224,$C207,'TL03'!$J$10:$J$224),0),
IF('TL03'!$B$229=Q$3,SUMIF('TL03'!$C$238:$C$451,$C207,'TL03'!$J$238:$J$451),0),
IF('TL04'!$B$3=Q$3,SUMIF('TL04'!$C$10:$C$224,$C207,'TL04'!$J$10:$J$224),0),
IF('TL04'!$B$229=Q$3,SUMIF('TL04'!$C$238:$C$451,$C207,'TL04'!$J$238:$J$451),0),
IF('TL05'!$B$3=Q$3,SUMIF('TL05'!$C$10:$C$224,$C207,'TL05'!$J$10:$J$224),0),
IF('TL05'!$B$229=Q$3,SUMIF('TL05'!$C$238:$C$451,$C207,'TL05'!$J$238:$J$451),0),
IF('TL06'!$B$3=Q$3,SUMIF('TL06'!$C$10:$C$224,$C207,'TL06'!$J$10:$J$224),0),
IF('TL06'!$B$229=Q$3,SUMIF('TL06'!$C$238:$C$451,$C207,'TL06'!$J$238:$J$451),0),
IF('TL07'!$B$3=Q$3,SUMIF('TL07'!$C$10:$C$224,$C207,'TL07'!$J$10:$J$224),0),
IF('TL07'!$B$229=Q$3,SUMIF('TL07'!$C$238:$C$451,$C207,'TL07'!$J$238:$J$451),0),
IF('TL08'!$B$3=Q$3,SUMIF('TL08'!$C$10:$C$224,$C207,'TL08'!$J$10:$J$224),0),
IF('TL08'!$B$229=Q$3,SUMIF('TL08'!$C$238:$C$451,$C207,'TL08'!$J$238:$J$451),0),
IF('TL09'!$B$3=Q$3,SUMIF('TL09'!$C$10:$C$224,$C207,'TL09'!$J$10:$J$224),0),
IF('TL09'!$B$229=Q$3,SUMIF('TL09'!$C$238:$C$451,$C207,'TL09'!$J$238:$J$451),0),
IF('TL10'!$B$3=Q$3,SUMIF('TL10'!$C$10:$C$224,$C207,'TL10'!$J$10:$J$224),0),
IF('TL10'!$B$229=Q$3,SUMIF('TL10'!$C$238:$C$451,$C207,'TL10'!$J$238:$J$451),0),
IF('TL11'!$B$3=Q$3,SUMIF('TL11'!$C$10:$C$224,$C207,'TL11'!$J$10:$J$224),0),
IF('TL11'!$B$229=Q$3,SUMIF('TL11'!$C$238:$C$451,$C207,'TL11'!$J$238:$J$451),0),
IF('TL12'!$B$3=Q$3,SUMIF('TL12'!$C$10:$C$224,$C207,'TL12'!$J$10:$J$224),0),
IF('TL12'!$B$229=Q$3,SUMIF('TL12'!$C$238:$C$451,$C207,'TL12'!$J$238:$J$451),0),
IF('TL13'!$B$3=Q$3,SUMIF('TL13'!$C$10:$C$224,$C207,'TL13'!$J$10:$J$224),0),
IF('TL13'!$B$229=Q$3,SUMIF('TL13'!$C$238:$C$451,$C207,'TL13'!$J$238:$J$451),0),
IF('TL14'!$B$3=Q$3,SUMIF('TL14'!$C$10:$C$224,$C207,'TL14'!$J$10:$J$224),0),
IF('TL14'!$B$229=Q$3,SUMIF('TL14'!$C$238:$C$451,$C207,'TL14'!$J$238:$J$451),0),
IF('TL15'!$B$3=Q$3,SUMIF('TL15'!$C$10:$C$224,$C207,'TL15'!$J$10:$J$224),0),
IF('TL15'!$B$229=Q$3,SUMIF('TL15'!$C$238:$C$451,$C207,'TL15'!$J$238:$J$451),0),
IF('TL16'!$B$3=Q$3,SUMIF('TL16'!$C$10:$C$224,$C207,'TL16'!$J$10:$J$224),0),
IF('TL16'!$B$229=Q$3,SUMIF('TL16'!$C$238:$C$451,$C207,'TL16'!$J$238:$J$451),0),
IF('TL17'!$B$3=Q$3,SUMIF('TL17'!$C$10:$C$224,$C207,'TL17'!$J$10:$J$224),0),
IF('TL17'!$B$229=Q$3,SUMIF('TL17'!$C$238:$C$451,$C207,'TL17'!$J$238:$J$451),0),
IF('TL18'!$B$3=Q$3,SUMIF('TL18'!$C$10:$C$224,$C207,'TL18'!$J$10:$J$224),0),
IF('TL18'!$B$229=Q$3,SUMIF('TL18'!$C$238:$C$451,$C207,'TL18'!$J$238:$J$451),0),
IF('TL19'!$B$3=Q$3,SUMIF('TL19'!$C$10:$C$224,$C207,'TL19'!$J$10:$J$224),0),
IF('TL19'!$B$229=Q$3,SUMIF('TL19'!$C$238:$C$451,$C207,'TL19'!$J$238:$J$451),0)
),0)</f>
        <v/>
      </c>
      <c r="R207" s="9">
        <f>IFERROR(
SUM(
SUMIF('TL01'!C:C,C207,'TL01'!J:J),
SUMIF('TL02'!C:C,C207,'TL02'!J:J),
SUMIF('TL03'!C:C,C207,'TL03'!J:J),
SUMIF('TL04'!C:C,C207,'TL04'!J:J),
SUMIF('TL05'!C:C,C207,'TL05'!J:J),
SUMIF('TL06'!C:C,C207,'TL06'!J:J),
SUMIF('TL07'!C:C,C207,'TL07'!J:J),
SUMIF('TL08'!C:C,C207,'TL08'!J:J),
SUMIF('TL09'!C:C,C207,'TL09'!J:J),
SUMIF('TL10'!C:C,C207,'TL10'!J:J),
SUMIF('TL11'!C:C,C207,'TL11'!J:J),
SUMIF('TL12'!C:C,C207,'TL12'!J:J),
SUMIF('TL13'!C:C,C207,'TL13'!J:J),
SUMIF('TL14'!C:C,C207,'TL14'!J:J),
SUMIF('TL15'!C:C,C207,'TL15'!J:J),
SUMIF('TL16'!C:C,C207,'TL16'!J:J),
SUMIF('TL17'!C:C,C207,'TL17'!J:J),
SUMIF('TL18'!C:C,C207,'TL18'!J:J),SUMIF('TL19'!C:C,C207,'TL19'!J:J))
,0)</f>
        <v/>
      </c>
      <c r="S207" s="17">
        <f>IFERROR(__xludf.DUMMYFUNCTION("IFERROR(VLOOKUP(C207,
IMPORTRANGE(""1wULbzX32WdYsx-lj2U3uUNBBe2INVIRDtcK0d-Dvl90"",
""26-27!C:G""),
5,
FALSE),
"""")"),241.10367)</f>
        <v/>
      </c>
      <c r="T207" s="9" t="n"/>
      <c r="U207" s="92">
        <f>MAX(0,R207-T207)</f>
        <v/>
      </c>
      <c r="V207" s="93">
        <f>U207*S207</f>
        <v/>
      </c>
    </row>
    <row r="208" hidden="1" ht="15.75" customHeight="1" s="297">
      <c r="A208" s="87" t="inlineStr">
        <is>
          <t>NORTOX</t>
        </is>
      </c>
      <c r="B208" s="88" t="inlineStr">
        <is>
          <t>INSETICIDA</t>
        </is>
      </c>
      <c r="C208" s="89" t="inlineStr">
        <is>
          <t>ABAMECTIN 72 EC NORTOX</t>
        </is>
      </c>
      <c r="D208" s="89" t="inlineStr">
        <is>
          <t>ABAMECTINA</t>
        </is>
      </c>
      <c r="E208" s="89" t="n">
        <v>72</v>
      </c>
      <c r="F208" s="4" t="inlineStr">
        <is>
          <t>L</t>
        </is>
      </c>
      <c r="G208" s="90">
        <f>HYPERLINK("https://www.google.com/search?q=" &amp; C208 &amp; "+bula+agrofit+pdf", "📄 Ver bula")</f>
        <v/>
      </c>
      <c r="H208" s="9">
        <f>IFERROR(__xludf.DUMMYFUNCTION("IFERROR(VLOOKUP(C208,
IMPORTRANGE(""1wULbzX32WdYsx-lj2U3uUNBBe2INVIRDtcK0d-Dvl90"",
""26-27!C:K""),
8,
FALSE),
"""")"),"")</f>
        <v/>
      </c>
      <c r="I208" s="91" t="inlineStr">
        <is>
          <t>4X5</t>
        </is>
      </c>
      <c r="J208" s="9">
        <f>IFERROR(SUM(
IF('TL01'!$B$3=J$3,SUMIF('TL01'!$C$10:$C$224,$C208,'TL01'!$J$10:$J$224),0),
IF('TL01'!$B$229=J$3,SUMIF('TL01'!$C$238:$C$451,$C208,'TL01'!$J$238:$J$451),0),
IF('TL02'!$B$3=J$3,SUMIF('TL02'!$C$10:$C$224,$C208,'TL02'!$J$10:$J$224),0),
IF('TL02'!$B$229=J$3,SUMIF('TL02'!$C$238:$C$451,$C208,'TL02'!$J$238:$J$451),0),
IF('TL03'!$B$3=J$3,SUMIF('TL03'!$C$10:$C$224,$C208,'TL03'!$J$10:$J$224),0),
IF('TL03'!$B$229=J$3,SUMIF('TL03'!$C$238:$C$451,$C208,'TL03'!$J$238:$J$451),0),
IF('TL04'!$B$3=J$3,SUMIF('TL04'!$C$10:$C$224,$C208,'TL04'!$J$10:$J$224),0),
IF('TL04'!$B$229=J$3,SUMIF('TL04'!$C$238:$C$451,$C208,'TL04'!$J$238:$J$451),0),
IF('TL05'!$B$3=J$3,SUMIF('TL05'!$C$10:$C$224,$C208,'TL05'!$J$10:$J$224),0),
IF('TL05'!$B$229=J$3,SUMIF('TL05'!$C$238:$C$451,$C208,'TL05'!$J$238:$J$451),0),
IF('TL06'!$B$3=J$3,SUMIF('TL06'!$C$10:$C$224,$C208,'TL06'!$J$10:$J$224),0),
IF('TL06'!$B$229=J$3,SUMIF('TL06'!$C$238:$C$451,$C208,'TL06'!$J$238:$J$451),0),
IF('TL07'!$B$3=J$3,SUMIF('TL07'!$C$10:$C$224,$C208,'TL07'!$J$10:$J$224),0),
IF('TL07'!$B$229=J$3,SUMIF('TL07'!$C$238:$C$451,$C208,'TL07'!$J$238:$J$451),0),
IF('TL08'!$B$3=J$3,SUMIF('TL08'!$C$10:$C$224,$C208,'TL08'!$J$10:$J$224),0),
IF('TL08'!$B$229=J$3,SUMIF('TL08'!$C$238:$C$451,$C208,'TL08'!$J$238:$J$451),0),
IF('TL09'!$B$3=J$3,SUMIF('TL09'!$C$10:$C$224,$C208,'TL09'!$J$10:$J$224),0),
IF('TL09'!$B$229=J$3,SUMIF('TL09'!$C$238:$C$451,$C208,'TL09'!$J$238:$J$451),0),
IF('TL10'!$B$3=J$3,SUMIF('TL10'!$C$10:$C$224,$C208,'TL10'!$J$10:$J$224),0),
IF('TL10'!$B$229=J$3,SUMIF('TL10'!$C$238:$C$451,$C208,'TL10'!$J$238:$J$451),0),
IF('TL11'!$B$3=J$3,SUMIF('TL11'!$C$10:$C$224,$C208,'TL11'!$J$10:$J$224),0),
IF('TL11'!$B$229=J$3,SUMIF('TL11'!$C$238:$C$451,$C208,'TL11'!$J$238:$J$451),0),
IF('TL12'!$B$3=J$3,SUMIF('TL12'!$C$10:$C$224,$C208,'TL12'!$J$10:$J$224),0),
IF('TL12'!$B$229=J$3,SUMIF('TL12'!$C$238:$C$451,$C208,'TL12'!$J$238:$J$451),0),
IF('TL13'!$B$3=J$3,SUMIF('TL13'!$C$10:$C$224,$C208,'TL13'!$J$10:$J$224),0),
IF('TL13'!$B$229=J$3,SUMIF('TL13'!$C$238:$C$451,$C208,'TL13'!$J$238:$J$451),0),
IF('TL14'!$B$3=J$3,SUMIF('TL14'!$C$10:$C$224,$C208,'TL14'!$J$10:$J$224),0),
IF('TL14'!$B$229=J$3,SUMIF('TL14'!$C$238:$C$451,$C208,'TL14'!$J$238:$J$451),0),
IF('TL15'!$B$3=J$3,SUMIF('TL15'!$C$10:$C$224,$C208,'TL15'!$J$10:$J$224),0),
IF('TL15'!$B$229=J$3,SUMIF('TL15'!$C$238:$C$451,$C208,'TL15'!$J$238:$J$451),0),
IF('TL16'!$B$3=J$3,SUMIF('TL16'!$C$10:$C$224,$C208,'TL16'!$J$10:$J$224),0),
IF('TL16'!$B$229=J$3,SUMIF('TL16'!$C$238:$C$451,$C208,'TL16'!$J$238:$J$451),0),
IF('TL17'!$B$3=J$3,SUMIF('TL17'!$C$10:$C$224,$C208,'TL17'!$J$10:$J$224),0),
IF('TL17'!$B$229=J$3,SUMIF('TL17'!$C$238:$C$451,$C208,'TL17'!$J$238:$J$451),0),
IF('TL18'!$B$3=J$3,SUMIF('TL18'!$C$10:$C$224,$C208,'TL18'!$J$10:$J$224),0),
IF('TL18'!$B$229=J$3,SUMIF('TL18'!$C$238:$C$451,$C208,'TL18'!$J$238:$J$451),0),
IF('TL19'!$B$3=J$3,SUMIF('TL19'!$C$10:$C$224,$C208,'TL19'!$J$10:$J$224),0),
IF('TL19'!$B$229=J$3,SUMIF('TL19'!$C$238:$C$451,$C208,'TL19'!$J$238:$J$451),0)
),0)</f>
        <v/>
      </c>
      <c r="K208" s="9">
        <f>IFERROR(SUM(
IF('TL01'!$B$3=K$3,SUMIF('TL01'!$C$10:$C$224,$C208,'TL01'!$J$10:$J$224),0),
IF('TL01'!$B$229=K$3,SUMIF('TL01'!$C$238:$C$451,$C208,'TL01'!$J$238:$J$451),0),
IF('TL02'!$B$3=K$3,SUMIF('TL02'!$C$10:$C$224,$C208,'TL02'!$J$10:$J$224),0),
IF('TL02'!$B$229=K$3,SUMIF('TL02'!$C$238:$C$451,$C208,'TL02'!$J$238:$J$451),0),
IF('TL03'!$B$3=K$3,SUMIF('TL03'!$C$10:$C$224,$C208,'TL03'!$J$10:$J$224),0),
IF('TL03'!$B$229=K$3,SUMIF('TL03'!$C$238:$C$451,$C208,'TL03'!$J$238:$J$451),0),
IF('TL04'!$B$3=K$3,SUMIF('TL04'!$C$10:$C$224,$C208,'TL04'!$J$10:$J$224),0),
IF('TL04'!$B$229=K$3,SUMIF('TL04'!$C$238:$C$451,$C208,'TL04'!$J$238:$J$451),0),
IF('TL05'!$B$3=K$3,SUMIF('TL05'!$C$10:$C$224,$C208,'TL05'!$J$10:$J$224),0),
IF('TL05'!$B$229=K$3,SUMIF('TL05'!$C$238:$C$451,$C208,'TL05'!$J$238:$J$451),0),
IF('TL06'!$B$3=K$3,SUMIF('TL06'!$C$10:$C$224,$C208,'TL06'!$J$10:$J$224),0),
IF('TL06'!$B$229=K$3,SUMIF('TL06'!$C$238:$C$451,$C208,'TL06'!$J$238:$J$451),0),
IF('TL07'!$B$3=K$3,SUMIF('TL07'!$C$10:$C$224,$C208,'TL07'!$J$10:$J$224),0),
IF('TL07'!$B$229=K$3,SUMIF('TL07'!$C$238:$C$451,$C208,'TL07'!$J$238:$J$451),0),
IF('TL08'!$B$3=K$3,SUMIF('TL08'!$C$10:$C$224,$C208,'TL08'!$J$10:$J$224),0),
IF('TL08'!$B$229=K$3,SUMIF('TL08'!$C$238:$C$451,$C208,'TL08'!$J$238:$J$451),0),
IF('TL09'!$B$3=K$3,SUMIF('TL09'!$C$10:$C$224,$C208,'TL09'!$J$10:$J$224),0),
IF('TL09'!$B$229=K$3,SUMIF('TL09'!$C$238:$C$451,$C208,'TL09'!$J$238:$J$451),0),
IF('TL10'!$B$3=K$3,SUMIF('TL10'!$C$10:$C$224,$C208,'TL10'!$J$10:$J$224),0),
IF('TL10'!$B$229=K$3,SUMIF('TL10'!$C$238:$C$451,$C208,'TL10'!$J$238:$J$451),0),
IF('TL11'!$B$3=K$3,SUMIF('TL11'!$C$10:$C$224,$C208,'TL11'!$J$10:$J$224),0),
IF('TL11'!$B$229=K$3,SUMIF('TL11'!$C$238:$C$451,$C208,'TL11'!$J$238:$J$451),0),
IF('TL12'!$B$3=K$3,SUMIF('TL12'!$C$10:$C$224,$C208,'TL12'!$J$10:$J$224),0),
IF('TL12'!$B$229=K$3,SUMIF('TL12'!$C$238:$C$451,$C208,'TL12'!$J$238:$J$451),0),
IF('TL13'!$B$3=K$3,SUMIF('TL13'!$C$10:$C$224,$C208,'TL13'!$J$10:$J$224),0),
IF('TL13'!$B$229=K$3,SUMIF('TL13'!$C$238:$C$451,$C208,'TL13'!$J$238:$J$451),0),
IF('TL14'!$B$3=K$3,SUMIF('TL14'!$C$10:$C$224,$C208,'TL14'!$J$10:$J$224),0),
IF('TL14'!$B$229=K$3,SUMIF('TL14'!$C$238:$C$451,$C208,'TL14'!$J$238:$J$451),0),
IF('TL15'!$B$3=K$3,SUMIF('TL15'!$C$10:$C$224,$C208,'TL15'!$J$10:$J$224),0),
IF('TL15'!$B$229=K$3,SUMIF('TL15'!$C$238:$C$451,$C208,'TL15'!$J$238:$J$451),0),
IF('TL16'!$B$3=K$3,SUMIF('TL16'!$C$10:$C$224,$C208,'TL16'!$J$10:$J$224),0),
IF('TL16'!$B$229=K$3,SUMIF('TL16'!$C$238:$C$451,$C208,'TL16'!$J$238:$J$451),0),
IF('TL17'!$B$3=K$3,SUMIF('TL17'!$C$10:$C$224,$C208,'TL17'!$J$10:$J$224),0),
IF('TL17'!$B$229=K$3,SUMIF('TL17'!$C$238:$C$451,$C208,'TL17'!$J$238:$J$451),0),
IF('TL18'!$B$3=K$3,SUMIF('TL18'!$C$10:$C$224,$C208,'TL18'!$J$10:$J$224),0),
IF('TL18'!$B$229=K$3,SUMIF('TL18'!$C$238:$C$451,$C208,'TL18'!$J$238:$J$451),0),
IF('TL19'!$B$3=K$3,SUMIF('TL19'!$C$10:$C$224,$C208,'TL19'!$J$10:$J$224),0),
IF('TL19'!$B$229=K$3,SUMIF('TL19'!$C$238:$C$451,$C208,'TL19'!$J$238:$J$451),0)
),0)</f>
        <v/>
      </c>
      <c r="L208" s="9">
        <f>IFERROR(SUM(
IF('TL01'!$B$3=L$3,SUMIF('TL01'!$C$10:$C$224,$C208,'TL01'!$J$10:$J$224),0),
IF('TL01'!$B$229=L$3,SUMIF('TL01'!$C$238:$C$451,$C208,'TL01'!$J$238:$J$451),0),
IF('TL02'!$B$3=L$3,SUMIF('TL02'!$C$10:$C$224,$C208,'TL02'!$J$10:$J$224),0),
IF('TL02'!$B$229=L$3,SUMIF('TL02'!$C$238:$C$451,$C208,'TL02'!$J$238:$J$451),0),
IF('TL03'!$B$3=L$3,SUMIF('TL03'!$C$10:$C$224,$C208,'TL03'!$J$10:$J$224),0),
IF('TL03'!$B$229=L$3,SUMIF('TL03'!$C$238:$C$451,$C208,'TL03'!$J$238:$J$451),0),
IF('TL04'!$B$3=L$3,SUMIF('TL04'!$C$10:$C$224,$C208,'TL04'!$J$10:$J$224),0),
IF('TL04'!$B$229=L$3,SUMIF('TL04'!$C$238:$C$451,$C208,'TL04'!$J$238:$J$451),0),
IF('TL05'!$B$3=L$3,SUMIF('TL05'!$C$10:$C$224,$C208,'TL05'!$J$10:$J$224),0),
IF('TL05'!$B$229=L$3,SUMIF('TL05'!$C$238:$C$451,$C208,'TL05'!$J$238:$J$451),0),
IF('TL06'!$B$3=L$3,SUMIF('TL06'!$C$10:$C$224,$C208,'TL06'!$J$10:$J$224),0),
IF('TL06'!$B$229=L$3,SUMIF('TL06'!$C$238:$C$451,$C208,'TL06'!$J$238:$J$451),0),
IF('TL07'!$B$3=L$3,SUMIF('TL07'!$C$10:$C$224,$C208,'TL07'!$J$10:$J$224),0),
IF('TL07'!$B$229=L$3,SUMIF('TL07'!$C$238:$C$451,$C208,'TL07'!$J$238:$J$451),0),
IF('TL08'!$B$3=L$3,SUMIF('TL08'!$C$10:$C$224,$C208,'TL08'!$J$10:$J$224),0),
IF('TL08'!$B$229=L$3,SUMIF('TL08'!$C$238:$C$451,$C208,'TL08'!$J$238:$J$451),0),
IF('TL09'!$B$3=L$3,SUMIF('TL09'!$C$10:$C$224,$C208,'TL09'!$J$10:$J$224),0),
IF('TL09'!$B$229=L$3,SUMIF('TL09'!$C$238:$C$451,$C208,'TL09'!$J$238:$J$451),0),
IF('TL10'!$B$3=L$3,SUMIF('TL10'!$C$10:$C$224,$C208,'TL10'!$J$10:$J$224),0),
IF('TL10'!$B$229=L$3,SUMIF('TL10'!$C$238:$C$451,$C208,'TL10'!$J$238:$J$451),0),
IF('TL11'!$B$3=L$3,SUMIF('TL11'!$C$10:$C$224,$C208,'TL11'!$J$10:$J$224),0),
IF('TL11'!$B$229=L$3,SUMIF('TL11'!$C$238:$C$451,$C208,'TL11'!$J$238:$J$451),0),
IF('TL12'!$B$3=L$3,SUMIF('TL12'!$C$10:$C$224,$C208,'TL12'!$J$10:$J$224),0),
IF('TL12'!$B$229=L$3,SUMIF('TL12'!$C$238:$C$451,$C208,'TL12'!$J$238:$J$451),0),
IF('TL13'!$B$3=L$3,SUMIF('TL13'!$C$10:$C$224,$C208,'TL13'!$J$10:$J$224),0),
IF('TL13'!$B$229=L$3,SUMIF('TL13'!$C$238:$C$451,$C208,'TL13'!$J$238:$J$451),0),
IF('TL14'!$B$3=L$3,SUMIF('TL14'!$C$10:$C$224,$C208,'TL14'!$J$10:$J$224),0),
IF('TL14'!$B$229=L$3,SUMIF('TL14'!$C$238:$C$451,$C208,'TL14'!$J$238:$J$451),0),
IF('TL15'!$B$3=L$3,SUMIF('TL15'!$C$10:$C$224,$C208,'TL15'!$J$10:$J$224),0),
IF('TL15'!$B$229=L$3,SUMIF('TL15'!$C$238:$C$451,$C208,'TL15'!$J$238:$J$451),0),
IF('TL16'!$B$3=L$3,SUMIF('TL16'!$C$10:$C$224,$C208,'TL16'!$J$10:$J$224),0),
IF('TL16'!$B$229=L$3,SUMIF('TL16'!$C$238:$C$451,$C208,'TL16'!$J$238:$J$451),0),
IF('TL17'!$B$3=L$3,SUMIF('TL17'!$C$10:$C$224,$C208,'TL17'!$J$10:$J$224),0),
IF('TL17'!$B$229=L$3,SUMIF('TL17'!$C$238:$C$451,$C208,'TL17'!$J$238:$J$451),0),
IF('TL18'!$B$3=L$3,SUMIF('TL18'!$C$10:$C$224,$C208,'TL18'!$J$10:$J$224),0),
IF('TL18'!$B$229=L$3,SUMIF('TL18'!$C$238:$C$451,$C208,'TL18'!$J$238:$J$451),0),
IF('TL19'!$B$3=L$3,SUMIF('TL19'!$C$10:$C$224,$C208,'TL19'!$J$10:$J$224),0),
IF('TL19'!$B$229=L$3,SUMIF('TL19'!$C$238:$C$451,$C208,'TL19'!$J$238:$J$451),0)
),0)</f>
        <v/>
      </c>
      <c r="M208" s="9">
        <f>IFERROR(SUM(
IF('TL01'!$B$3=M$3,SUMIF('TL01'!$C$10:$C$224,$C208,'TL01'!$J$10:$J$224),0),
IF('TL01'!$B$229=M$3,SUMIF('TL01'!$C$238:$C$451,$C208,'TL01'!$J$238:$J$451),0),
IF('TL02'!$B$3=M$3,SUMIF('TL02'!$C$10:$C$224,$C208,'TL02'!$J$10:$J$224),0),
IF('TL02'!$B$229=M$3,SUMIF('TL02'!$C$238:$C$451,$C208,'TL02'!$J$238:$J$451),0),
IF('TL03'!$B$3=M$3,SUMIF('TL03'!$C$10:$C$224,$C208,'TL03'!$J$10:$J$224),0),
IF('TL03'!$B$229=M$3,SUMIF('TL03'!$C$238:$C$451,$C208,'TL03'!$J$238:$J$451),0),
IF('TL04'!$B$3=M$3,SUMIF('TL04'!$C$10:$C$224,$C208,'TL04'!$J$10:$J$224),0),
IF('TL04'!$B$229=M$3,SUMIF('TL04'!$C$238:$C$451,$C208,'TL04'!$J$238:$J$451),0),
IF('TL05'!$B$3=M$3,SUMIF('TL05'!$C$10:$C$224,$C208,'TL05'!$J$10:$J$224),0),
IF('TL05'!$B$229=M$3,SUMIF('TL05'!$C$238:$C$451,$C208,'TL05'!$J$238:$J$451),0),
IF('TL06'!$B$3=M$3,SUMIF('TL06'!$C$10:$C$224,$C208,'TL06'!$J$10:$J$224),0),
IF('TL06'!$B$229=M$3,SUMIF('TL06'!$C$238:$C$451,$C208,'TL06'!$J$238:$J$451),0),
IF('TL07'!$B$3=M$3,SUMIF('TL07'!$C$10:$C$224,$C208,'TL07'!$J$10:$J$224),0),
IF('TL07'!$B$229=M$3,SUMIF('TL07'!$C$238:$C$451,$C208,'TL07'!$J$238:$J$451),0),
IF('TL08'!$B$3=M$3,SUMIF('TL08'!$C$10:$C$224,$C208,'TL08'!$J$10:$J$224),0),
IF('TL08'!$B$229=M$3,SUMIF('TL08'!$C$238:$C$451,$C208,'TL08'!$J$238:$J$451),0),
IF('TL09'!$B$3=M$3,SUMIF('TL09'!$C$10:$C$224,$C208,'TL09'!$J$10:$J$224),0),
IF('TL09'!$B$229=M$3,SUMIF('TL09'!$C$238:$C$451,$C208,'TL09'!$J$238:$J$451),0),
IF('TL10'!$B$3=M$3,SUMIF('TL10'!$C$10:$C$224,$C208,'TL10'!$J$10:$J$224),0),
IF('TL10'!$B$229=M$3,SUMIF('TL10'!$C$238:$C$451,$C208,'TL10'!$J$238:$J$451),0),
IF('TL11'!$B$3=M$3,SUMIF('TL11'!$C$10:$C$224,$C208,'TL11'!$J$10:$J$224),0),
IF('TL11'!$B$229=M$3,SUMIF('TL11'!$C$238:$C$451,$C208,'TL11'!$J$238:$J$451),0),
IF('TL12'!$B$3=M$3,SUMIF('TL12'!$C$10:$C$224,$C208,'TL12'!$J$10:$J$224),0),
IF('TL12'!$B$229=M$3,SUMIF('TL12'!$C$238:$C$451,$C208,'TL12'!$J$238:$J$451),0),
IF('TL13'!$B$3=M$3,SUMIF('TL13'!$C$10:$C$224,$C208,'TL13'!$J$10:$J$224),0),
IF('TL13'!$B$229=M$3,SUMIF('TL13'!$C$238:$C$451,$C208,'TL13'!$J$238:$J$451),0),
IF('TL14'!$B$3=M$3,SUMIF('TL14'!$C$10:$C$224,$C208,'TL14'!$J$10:$J$224),0),
IF('TL14'!$B$229=M$3,SUMIF('TL14'!$C$238:$C$451,$C208,'TL14'!$J$238:$J$451),0),
IF('TL15'!$B$3=M$3,SUMIF('TL15'!$C$10:$C$224,$C208,'TL15'!$J$10:$J$224),0),
IF('TL15'!$B$229=M$3,SUMIF('TL15'!$C$238:$C$451,$C208,'TL15'!$J$238:$J$451),0),
IF('TL16'!$B$3=M$3,SUMIF('TL16'!$C$10:$C$224,$C208,'TL16'!$J$10:$J$224),0),
IF('TL16'!$B$229=M$3,SUMIF('TL16'!$C$238:$C$451,$C208,'TL16'!$J$238:$J$451),0),
IF('TL17'!$B$3=M$3,SUMIF('TL17'!$C$10:$C$224,$C208,'TL17'!$J$10:$J$224),0),
IF('TL17'!$B$229=M$3,SUMIF('TL17'!$C$238:$C$451,$C208,'TL17'!$J$238:$J$451),0),
IF('TL18'!$B$3=M$3,SUMIF('TL18'!$C$10:$C$224,$C208,'TL18'!$J$10:$J$224),0),
IF('TL18'!$B$229=M$3,SUMIF('TL18'!$C$238:$C$451,$C208,'TL18'!$J$238:$J$451),0),
IF('TL19'!$B$3=M$3,SUMIF('TL19'!$C$10:$C$224,$C208,'TL19'!$J$10:$J$224),0),
IF('TL19'!$B$229=M$3,SUMIF('TL19'!$C$238:$C$451,$C208,'TL19'!$J$238:$J$451),0)
),0)</f>
        <v/>
      </c>
      <c r="N208" s="9">
        <f>IFERROR(SUM(
IF('TL01'!$B$3=N$3,SUMIF('TL01'!$C$10:$C$224,$C208,'TL01'!$J$10:$J$224),0),
IF('TL01'!$B$229=N$3,SUMIF('TL01'!$C$238:$C$451,$C208,'TL01'!$J$238:$J$451),0),
IF('TL02'!$B$3=N$3,SUMIF('TL02'!$C$10:$C$224,$C208,'TL02'!$J$10:$J$224),0),
IF('TL02'!$B$229=N$3,SUMIF('TL02'!$C$238:$C$451,$C208,'TL02'!$J$238:$J$451),0),
IF('TL03'!$B$3=N$3,SUMIF('TL03'!$C$10:$C$224,$C208,'TL03'!$J$10:$J$224),0),
IF('TL03'!$B$229=N$3,SUMIF('TL03'!$C$238:$C$451,$C208,'TL03'!$J$238:$J$451),0),
IF('TL04'!$B$3=N$3,SUMIF('TL04'!$C$10:$C$224,$C208,'TL04'!$J$10:$J$224),0),
IF('TL04'!$B$229=N$3,SUMIF('TL04'!$C$238:$C$451,$C208,'TL04'!$J$238:$J$451),0),
IF('TL05'!$B$3=N$3,SUMIF('TL05'!$C$10:$C$224,$C208,'TL05'!$J$10:$J$224),0),
IF('TL05'!$B$229=N$3,SUMIF('TL05'!$C$238:$C$451,$C208,'TL05'!$J$238:$J$451),0),
IF('TL06'!$B$3=N$3,SUMIF('TL06'!$C$10:$C$224,$C208,'TL06'!$J$10:$J$224),0),
IF('TL06'!$B$229=N$3,SUMIF('TL06'!$C$238:$C$451,$C208,'TL06'!$J$238:$J$451),0),
IF('TL07'!$B$3=N$3,SUMIF('TL07'!$C$10:$C$224,$C208,'TL07'!$J$10:$J$224),0),
IF('TL07'!$B$229=N$3,SUMIF('TL07'!$C$238:$C$451,$C208,'TL07'!$J$238:$J$451),0),
IF('TL08'!$B$3=N$3,SUMIF('TL08'!$C$10:$C$224,$C208,'TL08'!$J$10:$J$224),0),
IF('TL08'!$B$229=N$3,SUMIF('TL08'!$C$238:$C$451,$C208,'TL08'!$J$238:$J$451),0),
IF('TL09'!$B$3=N$3,SUMIF('TL09'!$C$10:$C$224,$C208,'TL09'!$J$10:$J$224),0),
IF('TL09'!$B$229=N$3,SUMIF('TL09'!$C$238:$C$451,$C208,'TL09'!$J$238:$J$451),0),
IF('TL10'!$B$3=N$3,SUMIF('TL10'!$C$10:$C$224,$C208,'TL10'!$J$10:$J$224),0),
IF('TL10'!$B$229=N$3,SUMIF('TL10'!$C$238:$C$451,$C208,'TL10'!$J$238:$J$451),0),
IF('TL11'!$B$3=N$3,SUMIF('TL11'!$C$10:$C$224,$C208,'TL11'!$J$10:$J$224),0),
IF('TL11'!$B$229=N$3,SUMIF('TL11'!$C$238:$C$451,$C208,'TL11'!$J$238:$J$451),0),
IF('TL12'!$B$3=N$3,SUMIF('TL12'!$C$10:$C$224,$C208,'TL12'!$J$10:$J$224),0),
IF('TL12'!$B$229=N$3,SUMIF('TL12'!$C$238:$C$451,$C208,'TL12'!$J$238:$J$451),0),
IF('TL13'!$B$3=N$3,SUMIF('TL13'!$C$10:$C$224,$C208,'TL13'!$J$10:$J$224),0),
IF('TL13'!$B$229=N$3,SUMIF('TL13'!$C$238:$C$451,$C208,'TL13'!$J$238:$J$451),0),
IF('TL14'!$B$3=N$3,SUMIF('TL14'!$C$10:$C$224,$C208,'TL14'!$J$10:$J$224),0),
IF('TL14'!$B$229=N$3,SUMIF('TL14'!$C$238:$C$451,$C208,'TL14'!$J$238:$J$451),0),
IF('TL15'!$B$3=N$3,SUMIF('TL15'!$C$10:$C$224,$C208,'TL15'!$J$10:$J$224),0),
IF('TL15'!$B$229=N$3,SUMIF('TL15'!$C$238:$C$451,$C208,'TL15'!$J$238:$J$451),0),
IF('TL16'!$B$3=N$3,SUMIF('TL16'!$C$10:$C$224,$C208,'TL16'!$J$10:$J$224),0),
IF('TL16'!$B$229=N$3,SUMIF('TL16'!$C$238:$C$451,$C208,'TL16'!$J$238:$J$451),0),
IF('TL17'!$B$3=N$3,SUMIF('TL17'!$C$10:$C$224,$C208,'TL17'!$J$10:$J$224),0),
IF('TL17'!$B$229=N$3,SUMIF('TL17'!$C$238:$C$451,$C208,'TL17'!$J$238:$J$451),0),
IF('TL18'!$B$3=N$3,SUMIF('TL18'!$C$10:$C$224,$C208,'TL18'!$J$10:$J$224),0),
IF('TL18'!$B$229=N$3,SUMIF('TL18'!$C$238:$C$451,$C208,'TL18'!$J$238:$J$451),0),
IF('TL19'!$B$3=N$3,SUMIF('TL19'!$C$10:$C$224,$C208,'TL19'!$J$10:$J$224),0),
IF('TL19'!$B$229=N$3,SUMIF('TL19'!$C$238:$C$451,$C208,'TL19'!$J$238:$J$451),0)
),0)</f>
        <v/>
      </c>
      <c r="O208" s="9">
        <f>IFERROR(SUM(
IF('TL01'!$B$3=O$3,SUMIF('TL01'!$C$10:$C$224,$C208,'TL01'!$J$10:$J$224),0),
IF('TL01'!$B$229=O$3,SUMIF('TL01'!$C$238:$C$451,$C208,'TL01'!$J$238:$J$451),0),
IF('TL02'!$B$3=O$3,SUMIF('TL02'!$C$10:$C$224,$C208,'TL02'!$J$10:$J$224),0),
IF('TL02'!$B$229=O$3,SUMIF('TL02'!$C$238:$C$451,$C208,'TL02'!$J$238:$J$451),0),
IF('TL03'!$B$3=O$3,SUMIF('TL03'!$C$10:$C$224,$C208,'TL03'!$J$10:$J$224),0),
IF('TL03'!$B$229=O$3,SUMIF('TL03'!$C$238:$C$451,$C208,'TL03'!$J$238:$J$451),0),
IF('TL04'!$B$3=O$3,SUMIF('TL04'!$C$10:$C$224,$C208,'TL04'!$J$10:$J$224),0),
IF('TL04'!$B$229=O$3,SUMIF('TL04'!$C$238:$C$451,$C208,'TL04'!$J$238:$J$451),0),
IF('TL05'!$B$3=O$3,SUMIF('TL05'!$C$10:$C$224,$C208,'TL05'!$J$10:$J$224),0),
IF('TL05'!$B$229=O$3,SUMIF('TL05'!$C$238:$C$451,$C208,'TL05'!$J$238:$J$451),0),
IF('TL06'!$B$3=O$3,SUMIF('TL06'!$C$10:$C$224,$C208,'TL06'!$J$10:$J$224),0),
IF('TL06'!$B$229=O$3,SUMIF('TL06'!$C$238:$C$451,$C208,'TL06'!$J$238:$J$451),0),
IF('TL07'!$B$3=O$3,SUMIF('TL07'!$C$10:$C$224,$C208,'TL07'!$J$10:$J$224),0),
IF('TL07'!$B$229=O$3,SUMIF('TL07'!$C$238:$C$451,$C208,'TL07'!$J$238:$J$451),0),
IF('TL08'!$B$3=O$3,SUMIF('TL08'!$C$10:$C$224,$C208,'TL08'!$J$10:$J$224),0),
IF('TL08'!$B$229=O$3,SUMIF('TL08'!$C$238:$C$451,$C208,'TL08'!$J$238:$J$451),0),
IF('TL09'!$B$3=O$3,SUMIF('TL09'!$C$10:$C$224,$C208,'TL09'!$J$10:$J$224),0),
IF('TL09'!$B$229=O$3,SUMIF('TL09'!$C$238:$C$451,$C208,'TL09'!$J$238:$J$451),0),
IF('TL10'!$B$3=O$3,SUMIF('TL10'!$C$10:$C$224,$C208,'TL10'!$J$10:$J$224),0),
IF('TL10'!$B$229=O$3,SUMIF('TL10'!$C$238:$C$451,$C208,'TL10'!$J$238:$J$451),0),
IF('TL11'!$B$3=O$3,SUMIF('TL11'!$C$10:$C$224,$C208,'TL11'!$J$10:$J$224),0),
IF('TL11'!$B$229=O$3,SUMIF('TL11'!$C$238:$C$451,$C208,'TL11'!$J$238:$J$451),0),
IF('TL12'!$B$3=O$3,SUMIF('TL12'!$C$10:$C$224,$C208,'TL12'!$J$10:$J$224),0),
IF('TL12'!$B$229=O$3,SUMIF('TL12'!$C$238:$C$451,$C208,'TL12'!$J$238:$J$451),0),
IF('TL13'!$B$3=O$3,SUMIF('TL13'!$C$10:$C$224,$C208,'TL13'!$J$10:$J$224),0),
IF('TL13'!$B$229=O$3,SUMIF('TL13'!$C$238:$C$451,$C208,'TL13'!$J$238:$J$451),0),
IF('TL14'!$B$3=O$3,SUMIF('TL14'!$C$10:$C$224,$C208,'TL14'!$J$10:$J$224),0),
IF('TL14'!$B$229=O$3,SUMIF('TL14'!$C$238:$C$451,$C208,'TL14'!$J$238:$J$451),0),
IF('TL15'!$B$3=O$3,SUMIF('TL15'!$C$10:$C$224,$C208,'TL15'!$J$10:$J$224),0),
IF('TL15'!$B$229=O$3,SUMIF('TL15'!$C$238:$C$451,$C208,'TL15'!$J$238:$J$451),0),
IF('TL16'!$B$3=O$3,SUMIF('TL16'!$C$10:$C$224,$C208,'TL16'!$J$10:$J$224),0),
IF('TL16'!$B$229=O$3,SUMIF('TL16'!$C$238:$C$451,$C208,'TL16'!$J$238:$J$451),0),
IF('TL17'!$B$3=O$3,SUMIF('TL17'!$C$10:$C$224,$C208,'TL17'!$J$10:$J$224),0),
IF('TL17'!$B$229=O$3,SUMIF('TL17'!$C$238:$C$451,$C208,'TL17'!$J$238:$J$451),0),
IF('TL18'!$B$3=O$3,SUMIF('TL18'!$C$10:$C$224,$C208,'TL18'!$J$10:$J$224),0),
IF('TL18'!$B$229=O$3,SUMIF('TL18'!$C$238:$C$451,$C208,'TL18'!$J$238:$J$451),0),
IF('TL19'!$B$3=O$3,SUMIF('TL19'!$C$10:$C$224,$C208,'TL19'!$J$10:$J$224),0),
IF('TL19'!$B$229=O$3,SUMIF('TL19'!$C$238:$C$451,$C208,'TL19'!$J$238:$J$451),0)
),0)</f>
        <v/>
      </c>
      <c r="P208" s="9">
        <f>IFERROR(SUM(
IF('TL01'!$B$3=P$3,SUMIF('TL01'!$C$10:$C$224,$C208,'TL01'!$J$10:$J$224),0),
IF('TL01'!$B$229=P$3,SUMIF('TL01'!$C$238:$C$451,$C208,'TL01'!$J$238:$J$451),0),
IF('TL02'!$B$3=P$3,SUMIF('TL02'!$C$10:$C$224,$C208,'TL02'!$J$10:$J$224),0),
IF('TL02'!$B$229=P$3,SUMIF('TL02'!$C$238:$C$451,$C208,'TL02'!$J$238:$J$451),0),
IF('TL03'!$B$3=P$3,SUMIF('TL03'!$C$10:$C$224,$C208,'TL03'!$J$10:$J$224),0),
IF('TL03'!$B$229=P$3,SUMIF('TL03'!$C$238:$C$451,$C208,'TL03'!$J$238:$J$451),0),
IF('TL04'!$B$3=P$3,SUMIF('TL04'!$C$10:$C$224,$C208,'TL04'!$J$10:$J$224),0),
IF('TL04'!$B$229=P$3,SUMIF('TL04'!$C$238:$C$451,$C208,'TL04'!$J$238:$J$451),0),
IF('TL05'!$B$3=P$3,SUMIF('TL05'!$C$10:$C$224,$C208,'TL05'!$J$10:$J$224),0),
IF('TL05'!$B$229=P$3,SUMIF('TL05'!$C$238:$C$451,$C208,'TL05'!$J$238:$J$451),0),
IF('TL06'!$B$3=P$3,SUMIF('TL06'!$C$10:$C$224,$C208,'TL06'!$J$10:$J$224),0),
IF('TL06'!$B$229=P$3,SUMIF('TL06'!$C$238:$C$451,$C208,'TL06'!$J$238:$J$451),0),
IF('TL07'!$B$3=P$3,SUMIF('TL07'!$C$10:$C$224,$C208,'TL07'!$J$10:$J$224),0),
IF('TL07'!$B$229=P$3,SUMIF('TL07'!$C$238:$C$451,$C208,'TL07'!$J$238:$J$451),0),
IF('TL08'!$B$3=P$3,SUMIF('TL08'!$C$10:$C$224,$C208,'TL08'!$J$10:$J$224),0),
IF('TL08'!$B$229=P$3,SUMIF('TL08'!$C$238:$C$451,$C208,'TL08'!$J$238:$J$451),0),
IF('TL09'!$B$3=P$3,SUMIF('TL09'!$C$10:$C$224,$C208,'TL09'!$J$10:$J$224),0),
IF('TL09'!$B$229=P$3,SUMIF('TL09'!$C$238:$C$451,$C208,'TL09'!$J$238:$J$451),0),
IF('TL10'!$B$3=P$3,SUMIF('TL10'!$C$10:$C$224,$C208,'TL10'!$J$10:$J$224),0),
IF('TL10'!$B$229=P$3,SUMIF('TL10'!$C$238:$C$451,$C208,'TL10'!$J$238:$J$451),0),
IF('TL11'!$B$3=P$3,SUMIF('TL11'!$C$10:$C$224,$C208,'TL11'!$J$10:$J$224),0),
IF('TL11'!$B$229=P$3,SUMIF('TL11'!$C$238:$C$451,$C208,'TL11'!$J$238:$J$451),0),
IF('TL12'!$B$3=P$3,SUMIF('TL12'!$C$10:$C$224,$C208,'TL12'!$J$10:$J$224),0),
IF('TL12'!$B$229=P$3,SUMIF('TL12'!$C$238:$C$451,$C208,'TL12'!$J$238:$J$451),0),
IF('TL13'!$B$3=P$3,SUMIF('TL13'!$C$10:$C$224,$C208,'TL13'!$J$10:$J$224),0),
IF('TL13'!$B$229=P$3,SUMIF('TL13'!$C$238:$C$451,$C208,'TL13'!$J$238:$J$451),0),
IF('TL14'!$B$3=P$3,SUMIF('TL14'!$C$10:$C$224,$C208,'TL14'!$J$10:$J$224),0),
IF('TL14'!$B$229=P$3,SUMIF('TL14'!$C$238:$C$451,$C208,'TL14'!$J$238:$J$451),0),
IF('TL15'!$B$3=P$3,SUMIF('TL15'!$C$10:$C$224,$C208,'TL15'!$J$10:$J$224),0),
IF('TL15'!$B$229=P$3,SUMIF('TL15'!$C$238:$C$451,$C208,'TL15'!$J$238:$J$451),0),
IF('TL16'!$B$3=P$3,SUMIF('TL16'!$C$10:$C$224,$C208,'TL16'!$J$10:$J$224),0),
IF('TL16'!$B$229=P$3,SUMIF('TL16'!$C$238:$C$451,$C208,'TL16'!$J$238:$J$451),0),
IF('TL17'!$B$3=P$3,SUMIF('TL17'!$C$10:$C$224,$C208,'TL17'!$J$10:$J$224),0),
IF('TL17'!$B$229=P$3,SUMIF('TL17'!$C$238:$C$451,$C208,'TL17'!$J$238:$J$451),0),
IF('TL18'!$B$3=P$3,SUMIF('TL18'!$C$10:$C$224,$C208,'TL18'!$J$10:$J$224),0),
IF('TL18'!$B$229=P$3,SUMIF('TL18'!$C$238:$C$451,$C208,'TL18'!$J$238:$J$451),0),
IF('TL19'!$B$3=P$3,SUMIF('TL19'!$C$10:$C$224,$C208,'TL19'!$J$10:$J$224),0),
IF('TL19'!$B$229=P$3,SUMIF('TL19'!$C$238:$C$451,$C208,'TL19'!$J$238:$J$451),0)
),0)</f>
        <v/>
      </c>
      <c r="Q208" s="9">
        <f>IFERROR(SUM(
IF('TL01'!$B$3=Q$3,SUMIF('TL01'!$C$10:$C$224,$C208,'TL01'!$J$10:$J$224),0),
IF('TL01'!$B$229=Q$3,SUMIF('TL01'!$C$238:$C$451,$C208,'TL01'!$J$238:$J$451),0),
IF('TL02'!$B$3=Q$3,SUMIF('TL02'!$C$10:$C$224,$C208,'TL02'!$J$10:$J$224),0),
IF('TL02'!$B$229=Q$3,SUMIF('TL02'!$C$238:$C$451,$C208,'TL02'!$J$238:$J$451),0),
IF('TL03'!$B$3=Q$3,SUMIF('TL03'!$C$10:$C$224,$C208,'TL03'!$J$10:$J$224),0),
IF('TL03'!$B$229=Q$3,SUMIF('TL03'!$C$238:$C$451,$C208,'TL03'!$J$238:$J$451),0),
IF('TL04'!$B$3=Q$3,SUMIF('TL04'!$C$10:$C$224,$C208,'TL04'!$J$10:$J$224),0),
IF('TL04'!$B$229=Q$3,SUMIF('TL04'!$C$238:$C$451,$C208,'TL04'!$J$238:$J$451),0),
IF('TL05'!$B$3=Q$3,SUMIF('TL05'!$C$10:$C$224,$C208,'TL05'!$J$10:$J$224),0),
IF('TL05'!$B$229=Q$3,SUMIF('TL05'!$C$238:$C$451,$C208,'TL05'!$J$238:$J$451),0),
IF('TL06'!$B$3=Q$3,SUMIF('TL06'!$C$10:$C$224,$C208,'TL06'!$J$10:$J$224),0),
IF('TL06'!$B$229=Q$3,SUMIF('TL06'!$C$238:$C$451,$C208,'TL06'!$J$238:$J$451),0),
IF('TL07'!$B$3=Q$3,SUMIF('TL07'!$C$10:$C$224,$C208,'TL07'!$J$10:$J$224),0),
IF('TL07'!$B$229=Q$3,SUMIF('TL07'!$C$238:$C$451,$C208,'TL07'!$J$238:$J$451),0),
IF('TL08'!$B$3=Q$3,SUMIF('TL08'!$C$10:$C$224,$C208,'TL08'!$J$10:$J$224),0),
IF('TL08'!$B$229=Q$3,SUMIF('TL08'!$C$238:$C$451,$C208,'TL08'!$J$238:$J$451),0),
IF('TL09'!$B$3=Q$3,SUMIF('TL09'!$C$10:$C$224,$C208,'TL09'!$J$10:$J$224),0),
IF('TL09'!$B$229=Q$3,SUMIF('TL09'!$C$238:$C$451,$C208,'TL09'!$J$238:$J$451),0),
IF('TL10'!$B$3=Q$3,SUMIF('TL10'!$C$10:$C$224,$C208,'TL10'!$J$10:$J$224),0),
IF('TL10'!$B$229=Q$3,SUMIF('TL10'!$C$238:$C$451,$C208,'TL10'!$J$238:$J$451),0),
IF('TL11'!$B$3=Q$3,SUMIF('TL11'!$C$10:$C$224,$C208,'TL11'!$J$10:$J$224),0),
IF('TL11'!$B$229=Q$3,SUMIF('TL11'!$C$238:$C$451,$C208,'TL11'!$J$238:$J$451),0),
IF('TL12'!$B$3=Q$3,SUMIF('TL12'!$C$10:$C$224,$C208,'TL12'!$J$10:$J$224),0),
IF('TL12'!$B$229=Q$3,SUMIF('TL12'!$C$238:$C$451,$C208,'TL12'!$J$238:$J$451),0),
IF('TL13'!$B$3=Q$3,SUMIF('TL13'!$C$10:$C$224,$C208,'TL13'!$J$10:$J$224),0),
IF('TL13'!$B$229=Q$3,SUMIF('TL13'!$C$238:$C$451,$C208,'TL13'!$J$238:$J$451),0),
IF('TL14'!$B$3=Q$3,SUMIF('TL14'!$C$10:$C$224,$C208,'TL14'!$J$10:$J$224),0),
IF('TL14'!$B$229=Q$3,SUMIF('TL14'!$C$238:$C$451,$C208,'TL14'!$J$238:$J$451),0),
IF('TL15'!$B$3=Q$3,SUMIF('TL15'!$C$10:$C$224,$C208,'TL15'!$J$10:$J$224),0),
IF('TL15'!$B$229=Q$3,SUMIF('TL15'!$C$238:$C$451,$C208,'TL15'!$J$238:$J$451),0),
IF('TL16'!$B$3=Q$3,SUMIF('TL16'!$C$10:$C$224,$C208,'TL16'!$J$10:$J$224),0),
IF('TL16'!$B$229=Q$3,SUMIF('TL16'!$C$238:$C$451,$C208,'TL16'!$J$238:$J$451),0),
IF('TL17'!$B$3=Q$3,SUMIF('TL17'!$C$10:$C$224,$C208,'TL17'!$J$10:$J$224),0),
IF('TL17'!$B$229=Q$3,SUMIF('TL17'!$C$238:$C$451,$C208,'TL17'!$J$238:$J$451),0),
IF('TL18'!$B$3=Q$3,SUMIF('TL18'!$C$10:$C$224,$C208,'TL18'!$J$10:$J$224),0),
IF('TL18'!$B$229=Q$3,SUMIF('TL18'!$C$238:$C$451,$C208,'TL18'!$J$238:$J$451),0),
IF('TL19'!$B$3=Q$3,SUMIF('TL19'!$C$10:$C$224,$C208,'TL19'!$J$10:$J$224),0),
IF('TL19'!$B$229=Q$3,SUMIF('TL19'!$C$238:$C$451,$C208,'TL19'!$J$238:$J$451),0)
),0)</f>
        <v/>
      </c>
      <c r="R208" s="9">
        <f>IFERROR(
SUM(
SUMIF('TL01'!C:C,C208,'TL01'!J:J),
SUMIF('TL02'!C:C,C208,'TL02'!J:J),
SUMIF('TL03'!C:C,C208,'TL03'!J:J),
SUMIF('TL04'!C:C,C208,'TL04'!J:J),
SUMIF('TL05'!C:C,C208,'TL05'!J:J),
SUMIF('TL06'!C:C,C208,'TL06'!J:J),
SUMIF('TL07'!C:C,C208,'TL07'!J:J),
SUMIF('TL08'!C:C,C208,'TL08'!J:J),
SUMIF('TL09'!C:C,C208,'TL09'!J:J),
SUMIF('TL10'!C:C,C208,'TL10'!J:J),
SUMIF('TL11'!C:C,C208,'TL11'!J:J),
SUMIF('TL12'!C:C,C208,'TL12'!J:J),
SUMIF('TL13'!C:C,C208,'TL13'!J:J),
SUMIF('TL14'!C:C,C208,'TL14'!J:J),
SUMIF('TL15'!C:C,C208,'TL15'!J:J),
SUMIF('TL16'!C:C,C208,'TL16'!J:J),
SUMIF('TL17'!C:C,C208,'TL17'!J:J),
SUMIF('TL18'!C:C,C208,'TL18'!J:J),SUMIF('TL19'!C:C,C208,'TL19'!J:J))
,0)</f>
        <v/>
      </c>
      <c r="S208" s="17">
        <f>IFERROR(__xludf.DUMMYFUNCTION("IFERROR(VLOOKUP(C208,
IMPORTRANGE(""1wULbzX32WdYsx-lj2U3uUNBBe2INVIRDtcK0d-Dvl90"",
""26-27!C:G""),
5,
FALSE),
"""")"),58.00293)</f>
        <v/>
      </c>
      <c r="T208" s="9" t="n"/>
      <c r="U208" s="92">
        <f>MAX(0,R208-T208)</f>
        <v/>
      </c>
      <c r="V208" s="93">
        <f>U208*S208</f>
        <v/>
      </c>
    </row>
    <row r="209" hidden="1" ht="15.75" customHeight="1" s="297">
      <c r="A209" s="94" t="inlineStr">
        <is>
          <t>NORTOX</t>
        </is>
      </c>
      <c r="B209" s="95" t="inlineStr">
        <is>
          <t>INSETICIDA</t>
        </is>
      </c>
      <c r="C209" s="96" t="inlineStr">
        <is>
          <t>CIPERMETRINA NORTOX</t>
        </is>
      </c>
      <c r="D209" s="96" t="inlineStr">
        <is>
          <t>CIPERMETRINA</t>
        </is>
      </c>
      <c r="E209" s="96" t="n">
        <v>250</v>
      </c>
      <c r="F209" s="4" t="inlineStr">
        <is>
          <t>L</t>
        </is>
      </c>
      <c r="G209" s="90">
        <f>HYPERLINK("https://www.google.com/search?q=" &amp; C209 &amp; "+bula+agrofit+pdf", "📄 Ver bula")</f>
        <v/>
      </c>
      <c r="H209" s="9">
        <f>IFERROR(__xludf.DUMMYFUNCTION("IFERROR(VLOOKUP(C209,
IMPORTRANGE(""1wULbzX32WdYsx-lj2U3uUNBBe2INVIRDtcK0d-Dvl90"",
""26-27!C:K""),
8,
FALSE),
"""")"),"")</f>
        <v/>
      </c>
      <c r="I209" s="97" t="inlineStr">
        <is>
          <t>4X5</t>
        </is>
      </c>
      <c r="J209" s="9">
        <f>IFERROR(SUM(
IF('TL01'!$B$3=J$3,SUMIF('TL01'!$C$10:$C$224,$C209,'TL01'!$J$10:$J$224),0),
IF('TL01'!$B$229=J$3,SUMIF('TL01'!$C$238:$C$451,$C209,'TL01'!$J$238:$J$451),0),
IF('TL02'!$B$3=J$3,SUMIF('TL02'!$C$10:$C$224,$C209,'TL02'!$J$10:$J$224),0),
IF('TL02'!$B$229=J$3,SUMIF('TL02'!$C$238:$C$451,$C209,'TL02'!$J$238:$J$451),0),
IF('TL03'!$B$3=J$3,SUMIF('TL03'!$C$10:$C$224,$C209,'TL03'!$J$10:$J$224),0),
IF('TL03'!$B$229=J$3,SUMIF('TL03'!$C$238:$C$451,$C209,'TL03'!$J$238:$J$451),0),
IF('TL04'!$B$3=J$3,SUMIF('TL04'!$C$10:$C$224,$C209,'TL04'!$J$10:$J$224),0),
IF('TL04'!$B$229=J$3,SUMIF('TL04'!$C$238:$C$451,$C209,'TL04'!$J$238:$J$451),0),
IF('TL05'!$B$3=J$3,SUMIF('TL05'!$C$10:$C$224,$C209,'TL05'!$J$10:$J$224),0),
IF('TL05'!$B$229=J$3,SUMIF('TL05'!$C$238:$C$451,$C209,'TL05'!$J$238:$J$451),0),
IF('TL06'!$B$3=J$3,SUMIF('TL06'!$C$10:$C$224,$C209,'TL06'!$J$10:$J$224),0),
IF('TL06'!$B$229=J$3,SUMIF('TL06'!$C$238:$C$451,$C209,'TL06'!$J$238:$J$451),0),
IF('TL07'!$B$3=J$3,SUMIF('TL07'!$C$10:$C$224,$C209,'TL07'!$J$10:$J$224),0),
IF('TL07'!$B$229=J$3,SUMIF('TL07'!$C$238:$C$451,$C209,'TL07'!$J$238:$J$451),0),
IF('TL08'!$B$3=J$3,SUMIF('TL08'!$C$10:$C$224,$C209,'TL08'!$J$10:$J$224),0),
IF('TL08'!$B$229=J$3,SUMIF('TL08'!$C$238:$C$451,$C209,'TL08'!$J$238:$J$451),0),
IF('TL09'!$B$3=J$3,SUMIF('TL09'!$C$10:$C$224,$C209,'TL09'!$J$10:$J$224),0),
IF('TL09'!$B$229=J$3,SUMIF('TL09'!$C$238:$C$451,$C209,'TL09'!$J$238:$J$451),0),
IF('TL10'!$B$3=J$3,SUMIF('TL10'!$C$10:$C$224,$C209,'TL10'!$J$10:$J$224),0),
IF('TL10'!$B$229=J$3,SUMIF('TL10'!$C$238:$C$451,$C209,'TL10'!$J$238:$J$451),0),
IF('TL11'!$B$3=J$3,SUMIF('TL11'!$C$10:$C$224,$C209,'TL11'!$J$10:$J$224),0),
IF('TL11'!$B$229=J$3,SUMIF('TL11'!$C$238:$C$451,$C209,'TL11'!$J$238:$J$451),0),
IF('TL12'!$B$3=J$3,SUMIF('TL12'!$C$10:$C$224,$C209,'TL12'!$J$10:$J$224),0),
IF('TL12'!$B$229=J$3,SUMIF('TL12'!$C$238:$C$451,$C209,'TL12'!$J$238:$J$451),0),
IF('TL13'!$B$3=J$3,SUMIF('TL13'!$C$10:$C$224,$C209,'TL13'!$J$10:$J$224),0),
IF('TL13'!$B$229=J$3,SUMIF('TL13'!$C$238:$C$451,$C209,'TL13'!$J$238:$J$451),0),
IF('TL14'!$B$3=J$3,SUMIF('TL14'!$C$10:$C$224,$C209,'TL14'!$J$10:$J$224),0),
IF('TL14'!$B$229=J$3,SUMIF('TL14'!$C$238:$C$451,$C209,'TL14'!$J$238:$J$451),0),
IF('TL15'!$B$3=J$3,SUMIF('TL15'!$C$10:$C$224,$C209,'TL15'!$J$10:$J$224),0),
IF('TL15'!$B$229=J$3,SUMIF('TL15'!$C$238:$C$451,$C209,'TL15'!$J$238:$J$451),0),
IF('TL16'!$B$3=J$3,SUMIF('TL16'!$C$10:$C$224,$C209,'TL16'!$J$10:$J$224),0),
IF('TL16'!$B$229=J$3,SUMIF('TL16'!$C$238:$C$451,$C209,'TL16'!$J$238:$J$451),0),
IF('TL17'!$B$3=J$3,SUMIF('TL17'!$C$10:$C$224,$C209,'TL17'!$J$10:$J$224),0),
IF('TL17'!$B$229=J$3,SUMIF('TL17'!$C$238:$C$451,$C209,'TL17'!$J$238:$J$451),0),
IF('TL18'!$B$3=J$3,SUMIF('TL18'!$C$10:$C$224,$C209,'TL18'!$J$10:$J$224),0),
IF('TL18'!$B$229=J$3,SUMIF('TL18'!$C$238:$C$451,$C209,'TL18'!$J$238:$J$451),0),
IF('TL19'!$B$3=J$3,SUMIF('TL19'!$C$10:$C$224,$C209,'TL19'!$J$10:$J$224),0),
IF('TL19'!$B$229=J$3,SUMIF('TL19'!$C$238:$C$451,$C209,'TL19'!$J$238:$J$451),0)
),0)</f>
        <v/>
      </c>
      <c r="K209" s="9">
        <f>IFERROR(SUM(
IF('TL01'!$B$3=K$3,SUMIF('TL01'!$C$10:$C$224,$C209,'TL01'!$J$10:$J$224),0),
IF('TL01'!$B$229=K$3,SUMIF('TL01'!$C$238:$C$451,$C209,'TL01'!$J$238:$J$451),0),
IF('TL02'!$B$3=K$3,SUMIF('TL02'!$C$10:$C$224,$C209,'TL02'!$J$10:$J$224),0),
IF('TL02'!$B$229=K$3,SUMIF('TL02'!$C$238:$C$451,$C209,'TL02'!$J$238:$J$451),0),
IF('TL03'!$B$3=K$3,SUMIF('TL03'!$C$10:$C$224,$C209,'TL03'!$J$10:$J$224),0),
IF('TL03'!$B$229=K$3,SUMIF('TL03'!$C$238:$C$451,$C209,'TL03'!$J$238:$J$451),0),
IF('TL04'!$B$3=K$3,SUMIF('TL04'!$C$10:$C$224,$C209,'TL04'!$J$10:$J$224),0),
IF('TL04'!$B$229=K$3,SUMIF('TL04'!$C$238:$C$451,$C209,'TL04'!$J$238:$J$451),0),
IF('TL05'!$B$3=K$3,SUMIF('TL05'!$C$10:$C$224,$C209,'TL05'!$J$10:$J$224),0),
IF('TL05'!$B$229=K$3,SUMIF('TL05'!$C$238:$C$451,$C209,'TL05'!$J$238:$J$451),0),
IF('TL06'!$B$3=K$3,SUMIF('TL06'!$C$10:$C$224,$C209,'TL06'!$J$10:$J$224),0),
IF('TL06'!$B$229=K$3,SUMIF('TL06'!$C$238:$C$451,$C209,'TL06'!$J$238:$J$451),0),
IF('TL07'!$B$3=K$3,SUMIF('TL07'!$C$10:$C$224,$C209,'TL07'!$J$10:$J$224),0),
IF('TL07'!$B$229=K$3,SUMIF('TL07'!$C$238:$C$451,$C209,'TL07'!$J$238:$J$451),0),
IF('TL08'!$B$3=K$3,SUMIF('TL08'!$C$10:$C$224,$C209,'TL08'!$J$10:$J$224),0),
IF('TL08'!$B$229=K$3,SUMIF('TL08'!$C$238:$C$451,$C209,'TL08'!$J$238:$J$451),0),
IF('TL09'!$B$3=K$3,SUMIF('TL09'!$C$10:$C$224,$C209,'TL09'!$J$10:$J$224),0),
IF('TL09'!$B$229=K$3,SUMIF('TL09'!$C$238:$C$451,$C209,'TL09'!$J$238:$J$451),0),
IF('TL10'!$B$3=K$3,SUMIF('TL10'!$C$10:$C$224,$C209,'TL10'!$J$10:$J$224),0),
IF('TL10'!$B$229=K$3,SUMIF('TL10'!$C$238:$C$451,$C209,'TL10'!$J$238:$J$451),0),
IF('TL11'!$B$3=K$3,SUMIF('TL11'!$C$10:$C$224,$C209,'TL11'!$J$10:$J$224),0),
IF('TL11'!$B$229=K$3,SUMIF('TL11'!$C$238:$C$451,$C209,'TL11'!$J$238:$J$451),0),
IF('TL12'!$B$3=K$3,SUMIF('TL12'!$C$10:$C$224,$C209,'TL12'!$J$10:$J$224),0),
IF('TL12'!$B$229=K$3,SUMIF('TL12'!$C$238:$C$451,$C209,'TL12'!$J$238:$J$451),0),
IF('TL13'!$B$3=K$3,SUMIF('TL13'!$C$10:$C$224,$C209,'TL13'!$J$10:$J$224),0),
IF('TL13'!$B$229=K$3,SUMIF('TL13'!$C$238:$C$451,$C209,'TL13'!$J$238:$J$451),0),
IF('TL14'!$B$3=K$3,SUMIF('TL14'!$C$10:$C$224,$C209,'TL14'!$J$10:$J$224),0),
IF('TL14'!$B$229=K$3,SUMIF('TL14'!$C$238:$C$451,$C209,'TL14'!$J$238:$J$451),0),
IF('TL15'!$B$3=K$3,SUMIF('TL15'!$C$10:$C$224,$C209,'TL15'!$J$10:$J$224),0),
IF('TL15'!$B$229=K$3,SUMIF('TL15'!$C$238:$C$451,$C209,'TL15'!$J$238:$J$451),0),
IF('TL16'!$B$3=K$3,SUMIF('TL16'!$C$10:$C$224,$C209,'TL16'!$J$10:$J$224),0),
IF('TL16'!$B$229=K$3,SUMIF('TL16'!$C$238:$C$451,$C209,'TL16'!$J$238:$J$451),0),
IF('TL17'!$B$3=K$3,SUMIF('TL17'!$C$10:$C$224,$C209,'TL17'!$J$10:$J$224),0),
IF('TL17'!$B$229=K$3,SUMIF('TL17'!$C$238:$C$451,$C209,'TL17'!$J$238:$J$451),0),
IF('TL18'!$B$3=K$3,SUMIF('TL18'!$C$10:$C$224,$C209,'TL18'!$J$10:$J$224),0),
IF('TL18'!$B$229=K$3,SUMIF('TL18'!$C$238:$C$451,$C209,'TL18'!$J$238:$J$451),0),
IF('TL19'!$B$3=K$3,SUMIF('TL19'!$C$10:$C$224,$C209,'TL19'!$J$10:$J$224),0),
IF('TL19'!$B$229=K$3,SUMIF('TL19'!$C$238:$C$451,$C209,'TL19'!$J$238:$J$451),0)
),0)</f>
        <v/>
      </c>
      <c r="L209" s="9">
        <f>IFERROR(SUM(
IF('TL01'!$B$3=L$3,SUMIF('TL01'!$C$10:$C$224,$C209,'TL01'!$J$10:$J$224),0),
IF('TL01'!$B$229=L$3,SUMIF('TL01'!$C$238:$C$451,$C209,'TL01'!$J$238:$J$451),0),
IF('TL02'!$B$3=L$3,SUMIF('TL02'!$C$10:$C$224,$C209,'TL02'!$J$10:$J$224),0),
IF('TL02'!$B$229=L$3,SUMIF('TL02'!$C$238:$C$451,$C209,'TL02'!$J$238:$J$451),0),
IF('TL03'!$B$3=L$3,SUMIF('TL03'!$C$10:$C$224,$C209,'TL03'!$J$10:$J$224),0),
IF('TL03'!$B$229=L$3,SUMIF('TL03'!$C$238:$C$451,$C209,'TL03'!$J$238:$J$451),0),
IF('TL04'!$B$3=L$3,SUMIF('TL04'!$C$10:$C$224,$C209,'TL04'!$J$10:$J$224),0),
IF('TL04'!$B$229=L$3,SUMIF('TL04'!$C$238:$C$451,$C209,'TL04'!$J$238:$J$451),0),
IF('TL05'!$B$3=L$3,SUMIF('TL05'!$C$10:$C$224,$C209,'TL05'!$J$10:$J$224),0),
IF('TL05'!$B$229=L$3,SUMIF('TL05'!$C$238:$C$451,$C209,'TL05'!$J$238:$J$451),0),
IF('TL06'!$B$3=L$3,SUMIF('TL06'!$C$10:$C$224,$C209,'TL06'!$J$10:$J$224),0),
IF('TL06'!$B$229=L$3,SUMIF('TL06'!$C$238:$C$451,$C209,'TL06'!$J$238:$J$451),0),
IF('TL07'!$B$3=L$3,SUMIF('TL07'!$C$10:$C$224,$C209,'TL07'!$J$10:$J$224),0),
IF('TL07'!$B$229=L$3,SUMIF('TL07'!$C$238:$C$451,$C209,'TL07'!$J$238:$J$451),0),
IF('TL08'!$B$3=L$3,SUMIF('TL08'!$C$10:$C$224,$C209,'TL08'!$J$10:$J$224),0),
IF('TL08'!$B$229=L$3,SUMIF('TL08'!$C$238:$C$451,$C209,'TL08'!$J$238:$J$451),0),
IF('TL09'!$B$3=L$3,SUMIF('TL09'!$C$10:$C$224,$C209,'TL09'!$J$10:$J$224),0),
IF('TL09'!$B$229=L$3,SUMIF('TL09'!$C$238:$C$451,$C209,'TL09'!$J$238:$J$451),0),
IF('TL10'!$B$3=L$3,SUMIF('TL10'!$C$10:$C$224,$C209,'TL10'!$J$10:$J$224),0),
IF('TL10'!$B$229=L$3,SUMIF('TL10'!$C$238:$C$451,$C209,'TL10'!$J$238:$J$451),0),
IF('TL11'!$B$3=L$3,SUMIF('TL11'!$C$10:$C$224,$C209,'TL11'!$J$10:$J$224),0),
IF('TL11'!$B$229=L$3,SUMIF('TL11'!$C$238:$C$451,$C209,'TL11'!$J$238:$J$451),0),
IF('TL12'!$B$3=L$3,SUMIF('TL12'!$C$10:$C$224,$C209,'TL12'!$J$10:$J$224),0),
IF('TL12'!$B$229=L$3,SUMIF('TL12'!$C$238:$C$451,$C209,'TL12'!$J$238:$J$451),0),
IF('TL13'!$B$3=L$3,SUMIF('TL13'!$C$10:$C$224,$C209,'TL13'!$J$10:$J$224),0),
IF('TL13'!$B$229=L$3,SUMIF('TL13'!$C$238:$C$451,$C209,'TL13'!$J$238:$J$451),0),
IF('TL14'!$B$3=L$3,SUMIF('TL14'!$C$10:$C$224,$C209,'TL14'!$J$10:$J$224),0),
IF('TL14'!$B$229=L$3,SUMIF('TL14'!$C$238:$C$451,$C209,'TL14'!$J$238:$J$451),0),
IF('TL15'!$B$3=L$3,SUMIF('TL15'!$C$10:$C$224,$C209,'TL15'!$J$10:$J$224),0),
IF('TL15'!$B$229=L$3,SUMIF('TL15'!$C$238:$C$451,$C209,'TL15'!$J$238:$J$451),0),
IF('TL16'!$B$3=L$3,SUMIF('TL16'!$C$10:$C$224,$C209,'TL16'!$J$10:$J$224),0),
IF('TL16'!$B$229=L$3,SUMIF('TL16'!$C$238:$C$451,$C209,'TL16'!$J$238:$J$451),0),
IF('TL17'!$B$3=L$3,SUMIF('TL17'!$C$10:$C$224,$C209,'TL17'!$J$10:$J$224),0),
IF('TL17'!$B$229=L$3,SUMIF('TL17'!$C$238:$C$451,$C209,'TL17'!$J$238:$J$451),0),
IF('TL18'!$B$3=L$3,SUMIF('TL18'!$C$10:$C$224,$C209,'TL18'!$J$10:$J$224),0),
IF('TL18'!$B$229=L$3,SUMIF('TL18'!$C$238:$C$451,$C209,'TL18'!$J$238:$J$451),0),
IF('TL19'!$B$3=L$3,SUMIF('TL19'!$C$10:$C$224,$C209,'TL19'!$J$10:$J$224),0),
IF('TL19'!$B$229=L$3,SUMIF('TL19'!$C$238:$C$451,$C209,'TL19'!$J$238:$J$451),0)
),0)</f>
        <v/>
      </c>
      <c r="M209" s="9">
        <f>IFERROR(SUM(
IF('TL01'!$B$3=M$3,SUMIF('TL01'!$C$10:$C$224,$C209,'TL01'!$J$10:$J$224),0),
IF('TL01'!$B$229=M$3,SUMIF('TL01'!$C$238:$C$451,$C209,'TL01'!$J$238:$J$451),0),
IF('TL02'!$B$3=M$3,SUMIF('TL02'!$C$10:$C$224,$C209,'TL02'!$J$10:$J$224),0),
IF('TL02'!$B$229=M$3,SUMIF('TL02'!$C$238:$C$451,$C209,'TL02'!$J$238:$J$451),0),
IF('TL03'!$B$3=M$3,SUMIF('TL03'!$C$10:$C$224,$C209,'TL03'!$J$10:$J$224),0),
IF('TL03'!$B$229=M$3,SUMIF('TL03'!$C$238:$C$451,$C209,'TL03'!$J$238:$J$451),0),
IF('TL04'!$B$3=M$3,SUMIF('TL04'!$C$10:$C$224,$C209,'TL04'!$J$10:$J$224),0),
IF('TL04'!$B$229=M$3,SUMIF('TL04'!$C$238:$C$451,$C209,'TL04'!$J$238:$J$451),0),
IF('TL05'!$B$3=M$3,SUMIF('TL05'!$C$10:$C$224,$C209,'TL05'!$J$10:$J$224),0),
IF('TL05'!$B$229=M$3,SUMIF('TL05'!$C$238:$C$451,$C209,'TL05'!$J$238:$J$451),0),
IF('TL06'!$B$3=M$3,SUMIF('TL06'!$C$10:$C$224,$C209,'TL06'!$J$10:$J$224),0),
IF('TL06'!$B$229=M$3,SUMIF('TL06'!$C$238:$C$451,$C209,'TL06'!$J$238:$J$451),0),
IF('TL07'!$B$3=M$3,SUMIF('TL07'!$C$10:$C$224,$C209,'TL07'!$J$10:$J$224),0),
IF('TL07'!$B$229=M$3,SUMIF('TL07'!$C$238:$C$451,$C209,'TL07'!$J$238:$J$451),0),
IF('TL08'!$B$3=M$3,SUMIF('TL08'!$C$10:$C$224,$C209,'TL08'!$J$10:$J$224),0),
IF('TL08'!$B$229=M$3,SUMIF('TL08'!$C$238:$C$451,$C209,'TL08'!$J$238:$J$451),0),
IF('TL09'!$B$3=M$3,SUMIF('TL09'!$C$10:$C$224,$C209,'TL09'!$J$10:$J$224),0),
IF('TL09'!$B$229=M$3,SUMIF('TL09'!$C$238:$C$451,$C209,'TL09'!$J$238:$J$451),0),
IF('TL10'!$B$3=M$3,SUMIF('TL10'!$C$10:$C$224,$C209,'TL10'!$J$10:$J$224),0),
IF('TL10'!$B$229=M$3,SUMIF('TL10'!$C$238:$C$451,$C209,'TL10'!$J$238:$J$451),0),
IF('TL11'!$B$3=M$3,SUMIF('TL11'!$C$10:$C$224,$C209,'TL11'!$J$10:$J$224),0),
IF('TL11'!$B$229=M$3,SUMIF('TL11'!$C$238:$C$451,$C209,'TL11'!$J$238:$J$451),0),
IF('TL12'!$B$3=M$3,SUMIF('TL12'!$C$10:$C$224,$C209,'TL12'!$J$10:$J$224),0),
IF('TL12'!$B$229=M$3,SUMIF('TL12'!$C$238:$C$451,$C209,'TL12'!$J$238:$J$451),0),
IF('TL13'!$B$3=M$3,SUMIF('TL13'!$C$10:$C$224,$C209,'TL13'!$J$10:$J$224),0),
IF('TL13'!$B$229=M$3,SUMIF('TL13'!$C$238:$C$451,$C209,'TL13'!$J$238:$J$451),0),
IF('TL14'!$B$3=M$3,SUMIF('TL14'!$C$10:$C$224,$C209,'TL14'!$J$10:$J$224),0),
IF('TL14'!$B$229=M$3,SUMIF('TL14'!$C$238:$C$451,$C209,'TL14'!$J$238:$J$451),0),
IF('TL15'!$B$3=M$3,SUMIF('TL15'!$C$10:$C$224,$C209,'TL15'!$J$10:$J$224),0),
IF('TL15'!$B$229=M$3,SUMIF('TL15'!$C$238:$C$451,$C209,'TL15'!$J$238:$J$451),0),
IF('TL16'!$B$3=M$3,SUMIF('TL16'!$C$10:$C$224,$C209,'TL16'!$J$10:$J$224),0),
IF('TL16'!$B$229=M$3,SUMIF('TL16'!$C$238:$C$451,$C209,'TL16'!$J$238:$J$451),0),
IF('TL17'!$B$3=M$3,SUMIF('TL17'!$C$10:$C$224,$C209,'TL17'!$J$10:$J$224),0),
IF('TL17'!$B$229=M$3,SUMIF('TL17'!$C$238:$C$451,$C209,'TL17'!$J$238:$J$451),0),
IF('TL18'!$B$3=M$3,SUMIF('TL18'!$C$10:$C$224,$C209,'TL18'!$J$10:$J$224),0),
IF('TL18'!$B$229=M$3,SUMIF('TL18'!$C$238:$C$451,$C209,'TL18'!$J$238:$J$451),0),
IF('TL19'!$B$3=M$3,SUMIF('TL19'!$C$10:$C$224,$C209,'TL19'!$J$10:$J$224),0),
IF('TL19'!$B$229=M$3,SUMIF('TL19'!$C$238:$C$451,$C209,'TL19'!$J$238:$J$451),0)
),0)</f>
        <v/>
      </c>
      <c r="N209" s="9">
        <f>IFERROR(SUM(
IF('TL01'!$B$3=N$3,SUMIF('TL01'!$C$10:$C$224,$C209,'TL01'!$J$10:$J$224),0),
IF('TL01'!$B$229=N$3,SUMIF('TL01'!$C$238:$C$451,$C209,'TL01'!$J$238:$J$451),0),
IF('TL02'!$B$3=N$3,SUMIF('TL02'!$C$10:$C$224,$C209,'TL02'!$J$10:$J$224),0),
IF('TL02'!$B$229=N$3,SUMIF('TL02'!$C$238:$C$451,$C209,'TL02'!$J$238:$J$451),0),
IF('TL03'!$B$3=N$3,SUMIF('TL03'!$C$10:$C$224,$C209,'TL03'!$J$10:$J$224),0),
IF('TL03'!$B$229=N$3,SUMIF('TL03'!$C$238:$C$451,$C209,'TL03'!$J$238:$J$451),0),
IF('TL04'!$B$3=N$3,SUMIF('TL04'!$C$10:$C$224,$C209,'TL04'!$J$10:$J$224),0),
IF('TL04'!$B$229=N$3,SUMIF('TL04'!$C$238:$C$451,$C209,'TL04'!$J$238:$J$451),0),
IF('TL05'!$B$3=N$3,SUMIF('TL05'!$C$10:$C$224,$C209,'TL05'!$J$10:$J$224),0),
IF('TL05'!$B$229=N$3,SUMIF('TL05'!$C$238:$C$451,$C209,'TL05'!$J$238:$J$451),0),
IF('TL06'!$B$3=N$3,SUMIF('TL06'!$C$10:$C$224,$C209,'TL06'!$J$10:$J$224),0),
IF('TL06'!$B$229=N$3,SUMIF('TL06'!$C$238:$C$451,$C209,'TL06'!$J$238:$J$451),0),
IF('TL07'!$B$3=N$3,SUMIF('TL07'!$C$10:$C$224,$C209,'TL07'!$J$10:$J$224),0),
IF('TL07'!$B$229=N$3,SUMIF('TL07'!$C$238:$C$451,$C209,'TL07'!$J$238:$J$451),0),
IF('TL08'!$B$3=N$3,SUMIF('TL08'!$C$10:$C$224,$C209,'TL08'!$J$10:$J$224),0),
IF('TL08'!$B$229=N$3,SUMIF('TL08'!$C$238:$C$451,$C209,'TL08'!$J$238:$J$451),0),
IF('TL09'!$B$3=N$3,SUMIF('TL09'!$C$10:$C$224,$C209,'TL09'!$J$10:$J$224),0),
IF('TL09'!$B$229=N$3,SUMIF('TL09'!$C$238:$C$451,$C209,'TL09'!$J$238:$J$451),0),
IF('TL10'!$B$3=N$3,SUMIF('TL10'!$C$10:$C$224,$C209,'TL10'!$J$10:$J$224),0),
IF('TL10'!$B$229=N$3,SUMIF('TL10'!$C$238:$C$451,$C209,'TL10'!$J$238:$J$451),0),
IF('TL11'!$B$3=N$3,SUMIF('TL11'!$C$10:$C$224,$C209,'TL11'!$J$10:$J$224),0),
IF('TL11'!$B$229=N$3,SUMIF('TL11'!$C$238:$C$451,$C209,'TL11'!$J$238:$J$451),0),
IF('TL12'!$B$3=N$3,SUMIF('TL12'!$C$10:$C$224,$C209,'TL12'!$J$10:$J$224),0),
IF('TL12'!$B$229=N$3,SUMIF('TL12'!$C$238:$C$451,$C209,'TL12'!$J$238:$J$451),0),
IF('TL13'!$B$3=N$3,SUMIF('TL13'!$C$10:$C$224,$C209,'TL13'!$J$10:$J$224),0),
IF('TL13'!$B$229=N$3,SUMIF('TL13'!$C$238:$C$451,$C209,'TL13'!$J$238:$J$451),0),
IF('TL14'!$B$3=N$3,SUMIF('TL14'!$C$10:$C$224,$C209,'TL14'!$J$10:$J$224),0),
IF('TL14'!$B$229=N$3,SUMIF('TL14'!$C$238:$C$451,$C209,'TL14'!$J$238:$J$451),0),
IF('TL15'!$B$3=N$3,SUMIF('TL15'!$C$10:$C$224,$C209,'TL15'!$J$10:$J$224),0),
IF('TL15'!$B$229=N$3,SUMIF('TL15'!$C$238:$C$451,$C209,'TL15'!$J$238:$J$451),0),
IF('TL16'!$B$3=N$3,SUMIF('TL16'!$C$10:$C$224,$C209,'TL16'!$J$10:$J$224),0),
IF('TL16'!$B$229=N$3,SUMIF('TL16'!$C$238:$C$451,$C209,'TL16'!$J$238:$J$451),0),
IF('TL17'!$B$3=N$3,SUMIF('TL17'!$C$10:$C$224,$C209,'TL17'!$J$10:$J$224),0),
IF('TL17'!$B$229=N$3,SUMIF('TL17'!$C$238:$C$451,$C209,'TL17'!$J$238:$J$451),0),
IF('TL18'!$B$3=N$3,SUMIF('TL18'!$C$10:$C$224,$C209,'TL18'!$J$10:$J$224),0),
IF('TL18'!$B$229=N$3,SUMIF('TL18'!$C$238:$C$451,$C209,'TL18'!$J$238:$J$451),0),
IF('TL19'!$B$3=N$3,SUMIF('TL19'!$C$10:$C$224,$C209,'TL19'!$J$10:$J$224),0),
IF('TL19'!$B$229=N$3,SUMIF('TL19'!$C$238:$C$451,$C209,'TL19'!$J$238:$J$451),0)
),0)</f>
        <v/>
      </c>
      <c r="O209" s="9">
        <f>IFERROR(SUM(
IF('TL01'!$B$3=O$3,SUMIF('TL01'!$C$10:$C$224,$C209,'TL01'!$J$10:$J$224),0),
IF('TL01'!$B$229=O$3,SUMIF('TL01'!$C$238:$C$451,$C209,'TL01'!$J$238:$J$451),0),
IF('TL02'!$B$3=O$3,SUMIF('TL02'!$C$10:$C$224,$C209,'TL02'!$J$10:$J$224),0),
IF('TL02'!$B$229=O$3,SUMIF('TL02'!$C$238:$C$451,$C209,'TL02'!$J$238:$J$451),0),
IF('TL03'!$B$3=O$3,SUMIF('TL03'!$C$10:$C$224,$C209,'TL03'!$J$10:$J$224),0),
IF('TL03'!$B$229=O$3,SUMIF('TL03'!$C$238:$C$451,$C209,'TL03'!$J$238:$J$451),0),
IF('TL04'!$B$3=O$3,SUMIF('TL04'!$C$10:$C$224,$C209,'TL04'!$J$10:$J$224),0),
IF('TL04'!$B$229=O$3,SUMIF('TL04'!$C$238:$C$451,$C209,'TL04'!$J$238:$J$451),0),
IF('TL05'!$B$3=O$3,SUMIF('TL05'!$C$10:$C$224,$C209,'TL05'!$J$10:$J$224),0),
IF('TL05'!$B$229=O$3,SUMIF('TL05'!$C$238:$C$451,$C209,'TL05'!$J$238:$J$451),0),
IF('TL06'!$B$3=O$3,SUMIF('TL06'!$C$10:$C$224,$C209,'TL06'!$J$10:$J$224),0),
IF('TL06'!$B$229=O$3,SUMIF('TL06'!$C$238:$C$451,$C209,'TL06'!$J$238:$J$451),0),
IF('TL07'!$B$3=O$3,SUMIF('TL07'!$C$10:$C$224,$C209,'TL07'!$J$10:$J$224),0),
IF('TL07'!$B$229=O$3,SUMIF('TL07'!$C$238:$C$451,$C209,'TL07'!$J$238:$J$451),0),
IF('TL08'!$B$3=O$3,SUMIF('TL08'!$C$10:$C$224,$C209,'TL08'!$J$10:$J$224),0),
IF('TL08'!$B$229=O$3,SUMIF('TL08'!$C$238:$C$451,$C209,'TL08'!$J$238:$J$451),0),
IF('TL09'!$B$3=O$3,SUMIF('TL09'!$C$10:$C$224,$C209,'TL09'!$J$10:$J$224),0),
IF('TL09'!$B$229=O$3,SUMIF('TL09'!$C$238:$C$451,$C209,'TL09'!$J$238:$J$451),0),
IF('TL10'!$B$3=O$3,SUMIF('TL10'!$C$10:$C$224,$C209,'TL10'!$J$10:$J$224),0),
IF('TL10'!$B$229=O$3,SUMIF('TL10'!$C$238:$C$451,$C209,'TL10'!$J$238:$J$451),0),
IF('TL11'!$B$3=O$3,SUMIF('TL11'!$C$10:$C$224,$C209,'TL11'!$J$10:$J$224),0),
IF('TL11'!$B$229=O$3,SUMIF('TL11'!$C$238:$C$451,$C209,'TL11'!$J$238:$J$451),0),
IF('TL12'!$B$3=O$3,SUMIF('TL12'!$C$10:$C$224,$C209,'TL12'!$J$10:$J$224),0),
IF('TL12'!$B$229=O$3,SUMIF('TL12'!$C$238:$C$451,$C209,'TL12'!$J$238:$J$451),0),
IF('TL13'!$B$3=O$3,SUMIF('TL13'!$C$10:$C$224,$C209,'TL13'!$J$10:$J$224),0),
IF('TL13'!$B$229=O$3,SUMIF('TL13'!$C$238:$C$451,$C209,'TL13'!$J$238:$J$451),0),
IF('TL14'!$B$3=O$3,SUMIF('TL14'!$C$10:$C$224,$C209,'TL14'!$J$10:$J$224),0),
IF('TL14'!$B$229=O$3,SUMIF('TL14'!$C$238:$C$451,$C209,'TL14'!$J$238:$J$451),0),
IF('TL15'!$B$3=O$3,SUMIF('TL15'!$C$10:$C$224,$C209,'TL15'!$J$10:$J$224),0),
IF('TL15'!$B$229=O$3,SUMIF('TL15'!$C$238:$C$451,$C209,'TL15'!$J$238:$J$451),0),
IF('TL16'!$B$3=O$3,SUMIF('TL16'!$C$10:$C$224,$C209,'TL16'!$J$10:$J$224),0),
IF('TL16'!$B$229=O$3,SUMIF('TL16'!$C$238:$C$451,$C209,'TL16'!$J$238:$J$451),0),
IF('TL17'!$B$3=O$3,SUMIF('TL17'!$C$10:$C$224,$C209,'TL17'!$J$10:$J$224),0),
IF('TL17'!$B$229=O$3,SUMIF('TL17'!$C$238:$C$451,$C209,'TL17'!$J$238:$J$451),0),
IF('TL18'!$B$3=O$3,SUMIF('TL18'!$C$10:$C$224,$C209,'TL18'!$J$10:$J$224),0),
IF('TL18'!$B$229=O$3,SUMIF('TL18'!$C$238:$C$451,$C209,'TL18'!$J$238:$J$451),0),
IF('TL19'!$B$3=O$3,SUMIF('TL19'!$C$10:$C$224,$C209,'TL19'!$J$10:$J$224),0),
IF('TL19'!$B$229=O$3,SUMIF('TL19'!$C$238:$C$451,$C209,'TL19'!$J$238:$J$451),0)
),0)</f>
        <v/>
      </c>
      <c r="P209" s="9">
        <f>IFERROR(SUM(
IF('TL01'!$B$3=P$3,SUMIF('TL01'!$C$10:$C$224,$C209,'TL01'!$J$10:$J$224),0),
IF('TL01'!$B$229=P$3,SUMIF('TL01'!$C$238:$C$451,$C209,'TL01'!$J$238:$J$451),0),
IF('TL02'!$B$3=P$3,SUMIF('TL02'!$C$10:$C$224,$C209,'TL02'!$J$10:$J$224),0),
IF('TL02'!$B$229=P$3,SUMIF('TL02'!$C$238:$C$451,$C209,'TL02'!$J$238:$J$451),0),
IF('TL03'!$B$3=P$3,SUMIF('TL03'!$C$10:$C$224,$C209,'TL03'!$J$10:$J$224),0),
IF('TL03'!$B$229=P$3,SUMIF('TL03'!$C$238:$C$451,$C209,'TL03'!$J$238:$J$451),0),
IF('TL04'!$B$3=P$3,SUMIF('TL04'!$C$10:$C$224,$C209,'TL04'!$J$10:$J$224),0),
IF('TL04'!$B$229=P$3,SUMIF('TL04'!$C$238:$C$451,$C209,'TL04'!$J$238:$J$451),0),
IF('TL05'!$B$3=P$3,SUMIF('TL05'!$C$10:$C$224,$C209,'TL05'!$J$10:$J$224),0),
IF('TL05'!$B$229=P$3,SUMIF('TL05'!$C$238:$C$451,$C209,'TL05'!$J$238:$J$451),0),
IF('TL06'!$B$3=P$3,SUMIF('TL06'!$C$10:$C$224,$C209,'TL06'!$J$10:$J$224),0),
IF('TL06'!$B$229=P$3,SUMIF('TL06'!$C$238:$C$451,$C209,'TL06'!$J$238:$J$451),0),
IF('TL07'!$B$3=P$3,SUMIF('TL07'!$C$10:$C$224,$C209,'TL07'!$J$10:$J$224),0),
IF('TL07'!$B$229=P$3,SUMIF('TL07'!$C$238:$C$451,$C209,'TL07'!$J$238:$J$451),0),
IF('TL08'!$B$3=P$3,SUMIF('TL08'!$C$10:$C$224,$C209,'TL08'!$J$10:$J$224),0),
IF('TL08'!$B$229=P$3,SUMIF('TL08'!$C$238:$C$451,$C209,'TL08'!$J$238:$J$451),0),
IF('TL09'!$B$3=P$3,SUMIF('TL09'!$C$10:$C$224,$C209,'TL09'!$J$10:$J$224),0),
IF('TL09'!$B$229=P$3,SUMIF('TL09'!$C$238:$C$451,$C209,'TL09'!$J$238:$J$451),0),
IF('TL10'!$B$3=P$3,SUMIF('TL10'!$C$10:$C$224,$C209,'TL10'!$J$10:$J$224),0),
IF('TL10'!$B$229=P$3,SUMIF('TL10'!$C$238:$C$451,$C209,'TL10'!$J$238:$J$451),0),
IF('TL11'!$B$3=P$3,SUMIF('TL11'!$C$10:$C$224,$C209,'TL11'!$J$10:$J$224),0),
IF('TL11'!$B$229=P$3,SUMIF('TL11'!$C$238:$C$451,$C209,'TL11'!$J$238:$J$451),0),
IF('TL12'!$B$3=P$3,SUMIF('TL12'!$C$10:$C$224,$C209,'TL12'!$J$10:$J$224),0),
IF('TL12'!$B$229=P$3,SUMIF('TL12'!$C$238:$C$451,$C209,'TL12'!$J$238:$J$451),0),
IF('TL13'!$B$3=P$3,SUMIF('TL13'!$C$10:$C$224,$C209,'TL13'!$J$10:$J$224),0),
IF('TL13'!$B$229=P$3,SUMIF('TL13'!$C$238:$C$451,$C209,'TL13'!$J$238:$J$451),0),
IF('TL14'!$B$3=P$3,SUMIF('TL14'!$C$10:$C$224,$C209,'TL14'!$J$10:$J$224),0),
IF('TL14'!$B$229=P$3,SUMIF('TL14'!$C$238:$C$451,$C209,'TL14'!$J$238:$J$451),0),
IF('TL15'!$B$3=P$3,SUMIF('TL15'!$C$10:$C$224,$C209,'TL15'!$J$10:$J$224),0),
IF('TL15'!$B$229=P$3,SUMIF('TL15'!$C$238:$C$451,$C209,'TL15'!$J$238:$J$451),0),
IF('TL16'!$B$3=P$3,SUMIF('TL16'!$C$10:$C$224,$C209,'TL16'!$J$10:$J$224),0),
IF('TL16'!$B$229=P$3,SUMIF('TL16'!$C$238:$C$451,$C209,'TL16'!$J$238:$J$451),0),
IF('TL17'!$B$3=P$3,SUMIF('TL17'!$C$10:$C$224,$C209,'TL17'!$J$10:$J$224),0),
IF('TL17'!$B$229=P$3,SUMIF('TL17'!$C$238:$C$451,$C209,'TL17'!$J$238:$J$451),0),
IF('TL18'!$B$3=P$3,SUMIF('TL18'!$C$10:$C$224,$C209,'TL18'!$J$10:$J$224),0),
IF('TL18'!$B$229=P$3,SUMIF('TL18'!$C$238:$C$451,$C209,'TL18'!$J$238:$J$451),0),
IF('TL19'!$B$3=P$3,SUMIF('TL19'!$C$10:$C$224,$C209,'TL19'!$J$10:$J$224),0),
IF('TL19'!$B$229=P$3,SUMIF('TL19'!$C$238:$C$451,$C209,'TL19'!$J$238:$J$451),0)
),0)</f>
        <v/>
      </c>
      <c r="Q209" s="9">
        <f>IFERROR(SUM(
IF('TL01'!$B$3=Q$3,SUMIF('TL01'!$C$10:$C$224,$C209,'TL01'!$J$10:$J$224),0),
IF('TL01'!$B$229=Q$3,SUMIF('TL01'!$C$238:$C$451,$C209,'TL01'!$J$238:$J$451),0),
IF('TL02'!$B$3=Q$3,SUMIF('TL02'!$C$10:$C$224,$C209,'TL02'!$J$10:$J$224),0),
IF('TL02'!$B$229=Q$3,SUMIF('TL02'!$C$238:$C$451,$C209,'TL02'!$J$238:$J$451),0),
IF('TL03'!$B$3=Q$3,SUMIF('TL03'!$C$10:$C$224,$C209,'TL03'!$J$10:$J$224),0),
IF('TL03'!$B$229=Q$3,SUMIF('TL03'!$C$238:$C$451,$C209,'TL03'!$J$238:$J$451),0),
IF('TL04'!$B$3=Q$3,SUMIF('TL04'!$C$10:$C$224,$C209,'TL04'!$J$10:$J$224),0),
IF('TL04'!$B$229=Q$3,SUMIF('TL04'!$C$238:$C$451,$C209,'TL04'!$J$238:$J$451),0),
IF('TL05'!$B$3=Q$3,SUMIF('TL05'!$C$10:$C$224,$C209,'TL05'!$J$10:$J$224),0),
IF('TL05'!$B$229=Q$3,SUMIF('TL05'!$C$238:$C$451,$C209,'TL05'!$J$238:$J$451),0),
IF('TL06'!$B$3=Q$3,SUMIF('TL06'!$C$10:$C$224,$C209,'TL06'!$J$10:$J$224),0),
IF('TL06'!$B$229=Q$3,SUMIF('TL06'!$C$238:$C$451,$C209,'TL06'!$J$238:$J$451),0),
IF('TL07'!$B$3=Q$3,SUMIF('TL07'!$C$10:$C$224,$C209,'TL07'!$J$10:$J$224),0),
IF('TL07'!$B$229=Q$3,SUMIF('TL07'!$C$238:$C$451,$C209,'TL07'!$J$238:$J$451),0),
IF('TL08'!$B$3=Q$3,SUMIF('TL08'!$C$10:$C$224,$C209,'TL08'!$J$10:$J$224),0),
IF('TL08'!$B$229=Q$3,SUMIF('TL08'!$C$238:$C$451,$C209,'TL08'!$J$238:$J$451),0),
IF('TL09'!$B$3=Q$3,SUMIF('TL09'!$C$10:$C$224,$C209,'TL09'!$J$10:$J$224),0),
IF('TL09'!$B$229=Q$3,SUMIF('TL09'!$C$238:$C$451,$C209,'TL09'!$J$238:$J$451),0),
IF('TL10'!$B$3=Q$3,SUMIF('TL10'!$C$10:$C$224,$C209,'TL10'!$J$10:$J$224),0),
IF('TL10'!$B$229=Q$3,SUMIF('TL10'!$C$238:$C$451,$C209,'TL10'!$J$238:$J$451),0),
IF('TL11'!$B$3=Q$3,SUMIF('TL11'!$C$10:$C$224,$C209,'TL11'!$J$10:$J$224),0),
IF('TL11'!$B$229=Q$3,SUMIF('TL11'!$C$238:$C$451,$C209,'TL11'!$J$238:$J$451),0),
IF('TL12'!$B$3=Q$3,SUMIF('TL12'!$C$10:$C$224,$C209,'TL12'!$J$10:$J$224),0),
IF('TL12'!$B$229=Q$3,SUMIF('TL12'!$C$238:$C$451,$C209,'TL12'!$J$238:$J$451),0),
IF('TL13'!$B$3=Q$3,SUMIF('TL13'!$C$10:$C$224,$C209,'TL13'!$J$10:$J$224),0),
IF('TL13'!$B$229=Q$3,SUMIF('TL13'!$C$238:$C$451,$C209,'TL13'!$J$238:$J$451),0),
IF('TL14'!$B$3=Q$3,SUMIF('TL14'!$C$10:$C$224,$C209,'TL14'!$J$10:$J$224),0),
IF('TL14'!$B$229=Q$3,SUMIF('TL14'!$C$238:$C$451,$C209,'TL14'!$J$238:$J$451),0),
IF('TL15'!$B$3=Q$3,SUMIF('TL15'!$C$10:$C$224,$C209,'TL15'!$J$10:$J$224),0),
IF('TL15'!$B$229=Q$3,SUMIF('TL15'!$C$238:$C$451,$C209,'TL15'!$J$238:$J$451),0),
IF('TL16'!$B$3=Q$3,SUMIF('TL16'!$C$10:$C$224,$C209,'TL16'!$J$10:$J$224),0),
IF('TL16'!$B$229=Q$3,SUMIF('TL16'!$C$238:$C$451,$C209,'TL16'!$J$238:$J$451),0),
IF('TL17'!$B$3=Q$3,SUMIF('TL17'!$C$10:$C$224,$C209,'TL17'!$J$10:$J$224),0),
IF('TL17'!$B$229=Q$3,SUMIF('TL17'!$C$238:$C$451,$C209,'TL17'!$J$238:$J$451),0),
IF('TL18'!$B$3=Q$3,SUMIF('TL18'!$C$10:$C$224,$C209,'TL18'!$J$10:$J$224),0),
IF('TL18'!$B$229=Q$3,SUMIF('TL18'!$C$238:$C$451,$C209,'TL18'!$J$238:$J$451),0),
IF('TL19'!$B$3=Q$3,SUMIF('TL19'!$C$10:$C$224,$C209,'TL19'!$J$10:$J$224),0),
IF('TL19'!$B$229=Q$3,SUMIF('TL19'!$C$238:$C$451,$C209,'TL19'!$J$238:$J$451),0)
),0)</f>
        <v/>
      </c>
      <c r="R209" s="9">
        <f>IFERROR(
SUM(
SUMIF('TL01'!C:C,C209,'TL01'!J:J),
SUMIF('TL02'!C:C,C209,'TL02'!J:J),
SUMIF('TL03'!C:C,C209,'TL03'!J:J),
SUMIF('TL04'!C:C,C209,'TL04'!J:J),
SUMIF('TL05'!C:C,C209,'TL05'!J:J),
SUMIF('TL06'!C:C,C209,'TL06'!J:J),
SUMIF('TL07'!C:C,C209,'TL07'!J:J),
SUMIF('TL08'!C:C,C209,'TL08'!J:J),
SUMIF('TL09'!C:C,C209,'TL09'!J:J),
SUMIF('TL10'!C:C,C209,'TL10'!J:J),
SUMIF('TL11'!C:C,C209,'TL11'!J:J),
SUMIF('TL12'!C:C,C209,'TL12'!J:J),
SUMIF('TL13'!C:C,C209,'TL13'!J:J),
SUMIF('TL14'!C:C,C209,'TL14'!J:J),
SUMIF('TL15'!C:C,C209,'TL15'!J:J),
SUMIF('TL16'!C:C,C209,'TL16'!J:J),
SUMIF('TL17'!C:C,C209,'TL17'!J:J),
SUMIF('TL18'!C:C,C209,'TL18'!J:J),SUMIF('TL19'!C:C,C209,'TL19'!J:J))
,0)</f>
        <v/>
      </c>
      <c r="S209" s="17">
        <f>IFERROR(__xludf.DUMMYFUNCTION("IFERROR(VLOOKUP(C209,
IMPORTRANGE(""1wULbzX32WdYsx-lj2U3uUNBBe2INVIRDtcK0d-Dvl90"",
""26-27!C:G""),
5,
FALSE),
"""")"),25.383239999999997)</f>
        <v/>
      </c>
      <c r="T209" s="9" t="n"/>
      <c r="U209" s="92">
        <f>MAX(0,R209-T209)</f>
        <v/>
      </c>
      <c r="V209" s="93">
        <f>U209*S209</f>
        <v/>
      </c>
    </row>
    <row r="210" hidden="1" ht="15.75" customHeight="1" s="297">
      <c r="A210" s="87" t="inlineStr">
        <is>
          <t>NORTOX</t>
        </is>
      </c>
      <c r="B210" s="88" t="inlineStr">
        <is>
          <t>INSETICIDA</t>
        </is>
      </c>
      <c r="C210" s="89" t="inlineStr">
        <is>
          <t>CLORANTRANILIPROLE NORTOX 400 SC</t>
        </is>
      </c>
      <c r="D210" s="89" t="inlineStr">
        <is>
          <t>CLORANTRANILIPROLE</t>
        </is>
      </c>
      <c r="E210" s="89" t="n">
        <v>400</v>
      </c>
      <c r="F210" s="4" t="inlineStr">
        <is>
          <t>L</t>
        </is>
      </c>
      <c r="G210" s="90">
        <f>HYPERLINK("https://www.google.com/search?q=" &amp; C210 &amp; "+bula+agrofit+pdf", "📄 Ver bula")</f>
        <v/>
      </c>
      <c r="H210" s="9">
        <f>IFERROR(__xludf.DUMMYFUNCTION("IFERROR(VLOOKUP(C210,
IMPORTRANGE(""1wULbzX32WdYsx-lj2U3uUNBBe2INVIRDtcK0d-Dvl90"",
""26-27!C:K""),
8,
FALSE),
"""")"),0.025)</f>
        <v/>
      </c>
      <c r="I210" s="91" t="inlineStr">
        <is>
          <t>4X5</t>
        </is>
      </c>
      <c r="J210" s="9">
        <f>IFERROR(SUM(
IF('TL01'!$B$3=J$3,SUMIF('TL01'!$C$10:$C$224,$C210,'TL01'!$J$10:$J$224),0),
IF('TL01'!$B$229=J$3,SUMIF('TL01'!$C$238:$C$451,$C210,'TL01'!$J$238:$J$451),0),
IF('TL02'!$B$3=J$3,SUMIF('TL02'!$C$10:$C$224,$C210,'TL02'!$J$10:$J$224),0),
IF('TL02'!$B$229=J$3,SUMIF('TL02'!$C$238:$C$451,$C210,'TL02'!$J$238:$J$451),0),
IF('TL03'!$B$3=J$3,SUMIF('TL03'!$C$10:$C$224,$C210,'TL03'!$J$10:$J$224),0),
IF('TL03'!$B$229=J$3,SUMIF('TL03'!$C$238:$C$451,$C210,'TL03'!$J$238:$J$451),0),
IF('TL04'!$B$3=J$3,SUMIF('TL04'!$C$10:$C$224,$C210,'TL04'!$J$10:$J$224),0),
IF('TL04'!$B$229=J$3,SUMIF('TL04'!$C$238:$C$451,$C210,'TL04'!$J$238:$J$451),0),
IF('TL05'!$B$3=J$3,SUMIF('TL05'!$C$10:$C$224,$C210,'TL05'!$J$10:$J$224),0),
IF('TL05'!$B$229=J$3,SUMIF('TL05'!$C$238:$C$451,$C210,'TL05'!$J$238:$J$451),0),
IF('TL06'!$B$3=J$3,SUMIF('TL06'!$C$10:$C$224,$C210,'TL06'!$J$10:$J$224),0),
IF('TL06'!$B$229=J$3,SUMIF('TL06'!$C$238:$C$451,$C210,'TL06'!$J$238:$J$451),0),
IF('TL07'!$B$3=J$3,SUMIF('TL07'!$C$10:$C$224,$C210,'TL07'!$J$10:$J$224),0),
IF('TL07'!$B$229=J$3,SUMIF('TL07'!$C$238:$C$451,$C210,'TL07'!$J$238:$J$451),0),
IF('TL08'!$B$3=J$3,SUMIF('TL08'!$C$10:$C$224,$C210,'TL08'!$J$10:$J$224),0),
IF('TL08'!$B$229=J$3,SUMIF('TL08'!$C$238:$C$451,$C210,'TL08'!$J$238:$J$451),0),
IF('TL09'!$B$3=J$3,SUMIF('TL09'!$C$10:$C$224,$C210,'TL09'!$J$10:$J$224),0),
IF('TL09'!$B$229=J$3,SUMIF('TL09'!$C$238:$C$451,$C210,'TL09'!$J$238:$J$451),0),
IF('TL10'!$B$3=J$3,SUMIF('TL10'!$C$10:$C$224,$C210,'TL10'!$J$10:$J$224),0),
IF('TL10'!$B$229=J$3,SUMIF('TL10'!$C$238:$C$451,$C210,'TL10'!$J$238:$J$451),0),
IF('TL11'!$B$3=J$3,SUMIF('TL11'!$C$10:$C$224,$C210,'TL11'!$J$10:$J$224),0),
IF('TL11'!$B$229=J$3,SUMIF('TL11'!$C$238:$C$451,$C210,'TL11'!$J$238:$J$451),0),
IF('TL12'!$B$3=J$3,SUMIF('TL12'!$C$10:$C$224,$C210,'TL12'!$J$10:$J$224),0),
IF('TL12'!$B$229=J$3,SUMIF('TL12'!$C$238:$C$451,$C210,'TL12'!$J$238:$J$451),0),
IF('TL13'!$B$3=J$3,SUMIF('TL13'!$C$10:$C$224,$C210,'TL13'!$J$10:$J$224),0),
IF('TL13'!$B$229=J$3,SUMIF('TL13'!$C$238:$C$451,$C210,'TL13'!$J$238:$J$451),0),
IF('TL14'!$B$3=J$3,SUMIF('TL14'!$C$10:$C$224,$C210,'TL14'!$J$10:$J$224),0),
IF('TL14'!$B$229=J$3,SUMIF('TL14'!$C$238:$C$451,$C210,'TL14'!$J$238:$J$451),0),
IF('TL15'!$B$3=J$3,SUMIF('TL15'!$C$10:$C$224,$C210,'TL15'!$J$10:$J$224),0),
IF('TL15'!$B$229=J$3,SUMIF('TL15'!$C$238:$C$451,$C210,'TL15'!$J$238:$J$451),0),
IF('TL16'!$B$3=J$3,SUMIF('TL16'!$C$10:$C$224,$C210,'TL16'!$J$10:$J$224),0),
IF('TL16'!$B$229=J$3,SUMIF('TL16'!$C$238:$C$451,$C210,'TL16'!$J$238:$J$451),0),
IF('TL17'!$B$3=J$3,SUMIF('TL17'!$C$10:$C$224,$C210,'TL17'!$J$10:$J$224),0),
IF('TL17'!$B$229=J$3,SUMIF('TL17'!$C$238:$C$451,$C210,'TL17'!$J$238:$J$451),0),
IF('TL18'!$B$3=J$3,SUMIF('TL18'!$C$10:$C$224,$C210,'TL18'!$J$10:$J$224),0),
IF('TL18'!$B$229=J$3,SUMIF('TL18'!$C$238:$C$451,$C210,'TL18'!$J$238:$J$451),0),
IF('TL19'!$B$3=J$3,SUMIF('TL19'!$C$10:$C$224,$C210,'TL19'!$J$10:$J$224),0),
IF('TL19'!$B$229=J$3,SUMIF('TL19'!$C$238:$C$451,$C210,'TL19'!$J$238:$J$451),0)
),0)</f>
        <v/>
      </c>
      <c r="K210" s="9">
        <f>IFERROR(SUM(
IF('TL01'!$B$3=K$3,SUMIF('TL01'!$C$10:$C$224,$C210,'TL01'!$J$10:$J$224),0),
IF('TL01'!$B$229=K$3,SUMIF('TL01'!$C$238:$C$451,$C210,'TL01'!$J$238:$J$451),0),
IF('TL02'!$B$3=K$3,SUMIF('TL02'!$C$10:$C$224,$C210,'TL02'!$J$10:$J$224),0),
IF('TL02'!$B$229=K$3,SUMIF('TL02'!$C$238:$C$451,$C210,'TL02'!$J$238:$J$451),0),
IF('TL03'!$B$3=K$3,SUMIF('TL03'!$C$10:$C$224,$C210,'TL03'!$J$10:$J$224),0),
IF('TL03'!$B$229=K$3,SUMIF('TL03'!$C$238:$C$451,$C210,'TL03'!$J$238:$J$451),0),
IF('TL04'!$B$3=K$3,SUMIF('TL04'!$C$10:$C$224,$C210,'TL04'!$J$10:$J$224),0),
IF('TL04'!$B$229=K$3,SUMIF('TL04'!$C$238:$C$451,$C210,'TL04'!$J$238:$J$451),0),
IF('TL05'!$B$3=K$3,SUMIF('TL05'!$C$10:$C$224,$C210,'TL05'!$J$10:$J$224),0),
IF('TL05'!$B$229=K$3,SUMIF('TL05'!$C$238:$C$451,$C210,'TL05'!$J$238:$J$451),0),
IF('TL06'!$B$3=K$3,SUMIF('TL06'!$C$10:$C$224,$C210,'TL06'!$J$10:$J$224),0),
IF('TL06'!$B$229=K$3,SUMIF('TL06'!$C$238:$C$451,$C210,'TL06'!$J$238:$J$451),0),
IF('TL07'!$B$3=K$3,SUMIF('TL07'!$C$10:$C$224,$C210,'TL07'!$J$10:$J$224),0),
IF('TL07'!$B$229=K$3,SUMIF('TL07'!$C$238:$C$451,$C210,'TL07'!$J$238:$J$451),0),
IF('TL08'!$B$3=K$3,SUMIF('TL08'!$C$10:$C$224,$C210,'TL08'!$J$10:$J$224),0),
IF('TL08'!$B$229=K$3,SUMIF('TL08'!$C$238:$C$451,$C210,'TL08'!$J$238:$J$451),0),
IF('TL09'!$B$3=K$3,SUMIF('TL09'!$C$10:$C$224,$C210,'TL09'!$J$10:$J$224),0),
IF('TL09'!$B$229=K$3,SUMIF('TL09'!$C$238:$C$451,$C210,'TL09'!$J$238:$J$451),0),
IF('TL10'!$B$3=K$3,SUMIF('TL10'!$C$10:$C$224,$C210,'TL10'!$J$10:$J$224),0),
IF('TL10'!$B$229=K$3,SUMIF('TL10'!$C$238:$C$451,$C210,'TL10'!$J$238:$J$451),0),
IF('TL11'!$B$3=K$3,SUMIF('TL11'!$C$10:$C$224,$C210,'TL11'!$J$10:$J$224),0),
IF('TL11'!$B$229=K$3,SUMIF('TL11'!$C$238:$C$451,$C210,'TL11'!$J$238:$J$451),0),
IF('TL12'!$B$3=K$3,SUMIF('TL12'!$C$10:$C$224,$C210,'TL12'!$J$10:$J$224),0),
IF('TL12'!$B$229=K$3,SUMIF('TL12'!$C$238:$C$451,$C210,'TL12'!$J$238:$J$451),0),
IF('TL13'!$B$3=K$3,SUMIF('TL13'!$C$10:$C$224,$C210,'TL13'!$J$10:$J$224),0),
IF('TL13'!$B$229=K$3,SUMIF('TL13'!$C$238:$C$451,$C210,'TL13'!$J$238:$J$451),0),
IF('TL14'!$B$3=K$3,SUMIF('TL14'!$C$10:$C$224,$C210,'TL14'!$J$10:$J$224),0),
IF('TL14'!$B$229=K$3,SUMIF('TL14'!$C$238:$C$451,$C210,'TL14'!$J$238:$J$451),0),
IF('TL15'!$B$3=K$3,SUMIF('TL15'!$C$10:$C$224,$C210,'TL15'!$J$10:$J$224),0),
IF('TL15'!$B$229=K$3,SUMIF('TL15'!$C$238:$C$451,$C210,'TL15'!$J$238:$J$451),0),
IF('TL16'!$B$3=K$3,SUMIF('TL16'!$C$10:$C$224,$C210,'TL16'!$J$10:$J$224),0),
IF('TL16'!$B$229=K$3,SUMIF('TL16'!$C$238:$C$451,$C210,'TL16'!$J$238:$J$451),0),
IF('TL17'!$B$3=K$3,SUMIF('TL17'!$C$10:$C$224,$C210,'TL17'!$J$10:$J$224),0),
IF('TL17'!$B$229=K$3,SUMIF('TL17'!$C$238:$C$451,$C210,'TL17'!$J$238:$J$451),0),
IF('TL18'!$B$3=K$3,SUMIF('TL18'!$C$10:$C$224,$C210,'TL18'!$J$10:$J$224),0),
IF('TL18'!$B$229=K$3,SUMIF('TL18'!$C$238:$C$451,$C210,'TL18'!$J$238:$J$451),0),
IF('TL19'!$B$3=K$3,SUMIF('TL19'!$C$10:$C$224,$C210,'TL19'!$J$10:$J$224),0),
IF('TL19'!$B$229=K$3,SUMIF('TL19'!$C$238:$C$451,$C210,'TL19'!$J$238:$J$451),0)
),0)</f>
        <v/>
      </c>
      <c r="L210" s="9">
        <f>IFERROR(SUM(
IF('TL01'!$B$3=L$3,SUMIF('TL01'!$C$10:$C$224,$C210,'TL01'!$J$10:$J$224),0),
IF('TL01'!$B$229=L$3,SUMIF('TL01'!$C$238:$C$451,$C210,'TL01'!$J$238:$J$451),0),
IF('TL02'!$B$3=L$3,SUMIF('TL02'!$C$10:$C$224,$C210,'TL02'!$J$10:$J$224),0),
IF('TL02'!$B$229=L$3,SUMIF('TL02'!$C$238:$C$451,$C210,'TL02'!$J$238:$J$451),0),
IF('TL03'!$B$3=L$3,SUMIF('TL03'!$C$10:$C$224,$C210,'TL03'!$J$10:$J$224),0),
IF('TL03'!$B$229=L$3,SUMIF('TL03'!$C$238:$C$451,$C210,'TL03'!$J$238:$J$451),0),
IF('TL04'!$B$3=L$3,SUMIF('TL04'!$C$10:$C$224,$C210,'TL04'!$J$10:$J$224),0),
IF('TL04'!$B$229=L$3,SUMIF('TL04'!$C$238:$C$451,$C210,'TL04'!$J$238:$J$451),0),
IF('TL05'!$B$3=L$3,SUMIF('TL05'!$C$10:$C$224,$C210,'TL05'!$J$10:$J$224),0),
IF('TL05'!$B$229=L$3,SUMIF('TL05'!$C$238:$C$451,$C210,'TL05'!$J$238:$J$451),0),
IF('TL06'!$B$3=L$3,SUMIF('TL06'!$C$10:$C$224,$C210,'TL06'!$J$10:$J$224),0),
IF('TL06'!$B$229=L$3,SUMIF('TL06'!$C$238:$C$451,$C210,'TL06'!$J$238:$J$451),0),
IF('TL07'!$B$3=L$3,SUMIF('TL07'!$C$10:$C$224,$C210,'TL07'!$J$10:$J$224),0),
IF('TL07'!$B$229=L$3,SUMIF('TL07'!$C$238:$C$451,$C210,'TL07'!$J$238:$J$451),0),
IF('TL08'!$B$3=L$3,SUMIF('TL08'!$C$10:$C$224,$C210,'TL08'!$J$10:$J$224),0),
IF('TL08'!$B$229=L$3,SUMIF('TL08'!$C$238:$C$451,$C210,'TL08'!$J$238:$J$451),0),
IF('TL09'!$B$3=L$3,SUMIF('TL09'!$C$10:$C$224,$C210,'TL09'!$J$10:$J$224),0),
IF('TL09'!$B$229=L$3,SUMIF('TL09'!$C$238:$C$451,$C210,'TL09'!$J$238:$J$451),0),
IF('TL10'!$B$3=L$3,SUMIF('TL10'!$C$10:$C$224,$C210,'TL10'!$J$10:$J$224),0),
IF('TL10'!$B$229=L$3,SUMIF('TL10'!$C$238:$C$451,$C210,'TL10'!$J$238:$J$451),0),
IF('TL11'!$B$3=L$3,SUMIF('TL11'!$C$10:$C$224,$C210,'TL11'!$J$10:$J$224),0),
IF('TL11'!$B$229=L$3,SUMIF('TL11'!$C$238:$C$451,$C210,'TL11'!$J$238:$J$451),0),
IF('TL12'!$B$3=L$3,SUMIF('TL12'!$C$10:$C$224,$C210,'TL12'!$J$10:$J$224),0),
IF('TL12'!$B$229=L$3,SUMIF('TL12'!$C$238:$C$451,$C210,'TL12'!$J$238:$J$451),0),
IF('TL13'!$B$3=L$3,SUMIF('TL13'!$C$10:$C$224,$C210,'TL13'!$J$10:$J$224),0),
IF('TL13'!$B$229=L$3,SUMIF('TL13'!$C$238:$C$451,$C210,'TL13'!$J$238:$J$451),0),
IF('TL14'!$B$3=L$3,SUMIF('TL14'!$C$10:$C$224,$C210,'TL14'!$J$10:$J$224),0),
IF('TL14'!$B$229=L$3,SUMIF('TL14'!$C$238:$C$451,$C210,'TL14'!$J$238:$J$451),0),
IF('TL15'!$B$3=L$3,SUMIF('TL15'!$C$10:$C$224,$C210,'TL15'!$J$10:$J$224),0),
IF('TL15'!$B$229=L$3,SUMIF('TL15'!$C$238:$C$451,$C210,'TL15'!$J$238:$J$451),0),
IF('TL16'!$B$3=L$3,SUMIF('TL16'!$C$10:$C$224,$C210,'TL16'!$J$10:$J$224),0),
IF('TL16'!$B$229=L$3,SUMIF('TL16'!$C$238:$C$451,$C210,'TL16'!$J$238:$J$451),0),
IF('TL17'!$B$3=L$3,SUMIF('TL17'!$C$10:$C$224,$C210,'TL17'!$J$10:$J$224),0),
IF('TL17'!$B$229=L$3,SUMIF('TL17'!$C$238:$C$451,$C210,'TL17'!$J$238:$J$451),0),
IF('TL18'!$B$3=L$3,SUMIF('TL18'!$C$10:$C$224,$C210,'TL18'!$J$10:$J$224),0),
IF('TL18'!$B$229=L$3,SUMIF('TL18'!$C$238:$C$451,$C210,'TL18'!$J$238:$J$451),0),
IF('TL19'!$B$3=L$3,SUMIF('TL19'!$C$10:$C$224,$C210,'TL19'!$J$10:$J$224),0),
IF('TL19'!$B$229=L$3,SUMIF('TL19'!$C$238:$C$451,$C210,'TL19'!$J$238:$J$451),0)
),0)</f>
        <v/>
      </c>
      <c r="M210" s="9">
        <f>IFERROR(SUM(
IF('TL01'!$B$3=M$3,SUMIF('TL01'!$C$10:$C$224,$C210,'TL01'!$J$10:$J$224),0),
IF('TL01'!$B$229=M$3,SUMIF('TL01'!$C$238:$C$451,$C210,'TL01'!$J$238:$J$451),0),
IF('TL02'!$B$3=M$3,SUMIF('TL02'!$C$10:$C$224,$C210,'TL02'!$J$10:$J$224),0),
IF('TL02'!$B$229=M$3,SUMIF('TL02'!$C$238:$C$451,$C210,'TL02'!$J$238:$J$451),0),
IF('TL03'!$B$3=M$3,SUMIF('TL03'!$C$10:$C$224,$C210,'TL03'!$J$10:$J$224),0),
IF('TL03'!$B$229=M$3,SUMIF('TL03'!$C$238:$C$451,$C210,'TL03'!$J$238:$J$451),0),
IF('TL04'!$B$3=M$3,SUMIF('TL04'!$C$10:$C$224,$C210,'TL04'!$J$10:$J$224),0),
IF('TL04'!$B$229=M$3,SUMIF('TL04'!$C$238:$C$451,$C210,'TL04'!$J$238:$J$451),0),
IF('TL05'!$B$3=M$3,SUMIF('TL05'!$C$10:$C$224,$C210,'TL05'!$J$10:$J$224),0),
IF('TL05'!$B$229=M$3,SUMIF('TL05'!$C$238:$C$451,$C210,'TL05'!$J$238:$J$451),0),
IF('TL06'!$B$3=M$3,SUMIF('TL06'!$C$10:$C$224,$C210,'TL06'!$J$10:$J$224),0),
IF('TL06'!$B$229=M$3,SUMIF('TL06'!$C$238:$C$451,$C210,'TL06'!$J$238:$J$451),0),
IF('TL07'!$B$3=M$3,SUMIF('TL07'!$C$10:$C$224,$C210,'TL07'!$J$10:$J$224),0),
IF('TL07'!$B$229=M$3,SUMIF('TL07'!$C$238:$C$451,$C210,'TL07'!$J$238:$J$451),0),
IF('TL08'!$B$3=M$3,SUMIF('TL08'!$C$10:$C$224,$C210,'TL08'!$J$10:$J$224),0),
IF('TL08'!$B$229=M$3,SUMIF('TL08'!$C$238:$C$451,$C210,'TL08'!$J$238:$J$451),0),
IF('TL09'!$B$3=M$3,SUMIF('TL09'!$C$10:$C$224,$C210,'TL09'!$J$10:$J$224),0),
IF('TL09'!$B$229=M$3,SUMIF('TL09'!$C$238:$C$451,$C210,'TL09'!$J$238:$J$451),0),
IF('TL10'!$B$3=M$3,SUMIF('TL10'!$C$10:$C$224,$C210,'TL10'!$J$10:$J$224),0),
IF('TL10'!$B$229=M$3,SUMIF('TL10'!$C$238:$C$451,$C210,'TL10'!$J$238:$J$451),0),
IF('TL11'!$B$3=M$3,SUMIF('TL11'!$C$10:$C$224,$C210,'TL11'!$J$10:$J$224),0),
IF('TL11'!$B$229=M$3,SUMIF('TL11'!$C$238:$C$451,$C210,'TL11'!$J$238:$J$451),0),
IF('TL12'!$B$3=M$3,SUMIF('TL12'!$C$10:$C$224,$C210,'TL12'!$J$10:$J$224),0),
IF('TL12'!$B$229=M$3,SUMIF('TL12'!$C$238:$C$451,$C210,'TL12'!$J$238:$J$451),0),
IF('TL13'!$B$3=M$3,SUMIF('TL13'!$C$10:$C$224,$C210,'TL13'!$J$10:$J$224),0),
IF('TL13'!$B$229=M$3,SUMIF('TL13'!$C$238:$C$451,$C210,'TL13'!$J$238:$J$451),0),
IF('TL14'!$B$3=M$3,SUMIF('TL14'!$C$10:$C$224,$C210,'TL14'!$J$10:$J$224),0),
IF('TL14'!$B$229=M$3,SUMIF('TL14'!$C$238:$C$451,$C210,'TL14'!$J$238:$J$451),0),
IF('TL15'!$B$3=M$3,SUMIF('TL15'!$C$10:$C$224,$C210,'TL15'!$J$10:$J$224),0),
IF('TL15'!$B$229=M$3,SUMIF('TL15'!$C$238:$C$451,$C210,'TL15'!$J$238:$J$451),0),
IF('TL16'!$B$3=M$3,SUMIF('TL16'!$C$10:$C$224,$C210,'TL16'!$J$10:$J$224),0),
IF('TL16'!$B$229=M$3,SUMIF('TL16'!$C$238:$C$451,$C210,'TL16'!$J$238:$J$451),0),
IF('TL17'!$B$3=M$3,SUMIF('TL17'!$C$10:$C$224,$C210,'TL17'!$J$10:$J$224),0),
IF('TL17'!$B$229=M$3,SUMIF('TL17'!$C$238:$C$451,$C210,'TL17'!$J$238:$J$451),0),
IF('TL18'!$B$3=M$3,SUMIF('TL18'!$C$10:$C$224,$C210,'TL18'!$J$10:$J$224),0),
IF('TL18'!$B$229=M$3,SUMIF('TL18'!$C$238:$C$451,$C210,'TL18'!$J$238:$J$451),0),
IF('TL19'!$B$3=M$3,SUMIF('TL19'!$C$10:$C$224,$C210,'TL19'!$J$10:$J$224),0),
IF('TL19'!$B$229=M$3,SUMIF('TL19'!$C$238:$C$451,$C210,'TL19'!$J$238:$J$451),0)
),0)</f>
        <v/>
      </c>
      <c r="N210" s="9">
        <f>IFERROR(SUM(
IF('TL01'!$B$3=N$3,SUMIF('TL01'!$C$10:$C$224,$C210,'TL01'!$J$10:$J$224),0),
IF('TL01'!$B$229=N$3,SUMIF('TL01'!$C$238:$C$451,$C210,'TL01'!$J$238:$J$451),0),
IF('TL02'!$B$3=N$3,SUMIF('TL02'!$C$10:$C$224,$C210,'TL02'!$J$10:$J$224),0),
IF('TL02'!$B$229=N$3,SUMIF('TL02'!$C$238:$C$451,$C210,'TL02'!$J$238:$J$451),0),
IF('TL03'!$B$3=N$3,SUMIF('TL03'!$C$10:$C$224,$C210,'TL03'!$J$10:$J$224),0),
IF('TL03'!$B$229=N$3,SUMIF('TL03'!$C$238:$C$451,$C210,'TL03'!$J$238:$J$451),0),
IF('TL04'!$B$3=N$3,SUMIF('TL04'!$C$10:$C$224,$C210,'TL04'!$J$10:$J$224),0),
IF('TL04'!$B$229=N$3,SUMIF('TL04'!$C$238:$C$451,$C210,'TL04'!$J$238:$J$451),0),
IF('TL05'!$B$3=N$3,SUMIF('TL05'!$C$10:$C$224,$C210,'TL05'!$J$10:$J$224),0),
IF('TL05'!$B$229=N$3,SUMIF('TL05'!$C$238:$C$451,$C210,'TL05'!$J$238:$J$451),0),
IF('TL06'!$B$3=N$3,SUMIF('TL06'!$C$10:$C$224,$C210,'TL06'!$J$10:$J$224),0),
IF('TL06'!$B$229=N$3,SUMIF('TL06'!$C$238:$C$451,$C210,'TL06'!$J$238:$J$451),0),
IF('TL07'!$B$3=N$3,SUMIF('TL07'!$C$10:$C$224,$C210,'TL07'!$J$10:$J$224),0),
IF('TL07'!$B$229=N$3,SUMIF('TL07'!$C$238:$C$451,$C210,'TL07'!$J$238:$J$451),0),
IF('TL08'!$B$3=N$3,SUMIF('TL08'!$C$10:$C$224,$C210,'TL08'!$J$10:$J$224),0),
IF('TL08'!$B$229=N$3,SUMIF('TL08'!$C$238:$C$451,$C210,'TL08'!$J$238:$J$451),0),
IF('TL09'!$B$3=N$3,SUMIF('TL09'!$C$10:$C$224,$C210,'TL09'!$J$10:$J$224),0),
IF('TL09'!$B$229=N$3,SUMIF('TL09'!$C$238:$C$451,$C210,'TL09'!$J$238:$J$451),0),
IF('TL10'!$B$3=N$3,SUMIF('TL10'!$C$10:$C$224,$C210,'TL10'!$J$10:$J$224),0),
IF('TL10'!$B$229=N$3,SUMIF('TL10'!$C$238:$C$451,$C210,'TL10'!$J$238:$J$451),0),
IF('TL11'!$B$3=N$3,SUMIF('TL11'!$C$10:$C$224,$C210,'TL11'!$J$10:$J$224),0),
IF('TL11'!$B$229=N$3,SUMIF('TL11'!$C$238:$C$451,$C210,'TL11'!$J$238:$J$451),0),
IF('TL12'!$B$3=N$3,SUMIF('TL12'!$C$10:$C$224,$C210,'TL12'!$J$10:$J$224),0),
IF('TL12'!$B$229=N$3,SUMIF('TL12'!$C$238:$C$451,$C210,'TL12'!$J$238:$J$451),0),
IF('TL13'!$B$3=N$3,SUMIF('TL13'!$C$10:$C$224,$C210,'TL13'!$J$10:$J$224),0),
IF('TL13'!$B$229=N$3,SUMIF('TL13'!$C$238:$C$451,$C210,'TL13'!$J$238:$J$451),0),
IF('TL14'!$B$3=N$3,SUMIF('TL14'!$C$10:$C$224,$C210,'TL14'!$J$10:$J$224),0),
IF('TL14'!$B$229=N$3,SUMIF('TL14'!$C$238:$C$451,$C210,'TL14'!$J$238:$J$451),0),
IF('TL15'!$B$3=N$3,SUMIF('TL15'!$C$10:$C$224,$C210,'TL15'!$J$10:$J$224),0),
IF('TL15'!$B$229=N$3,SUMIF('TL15'!$C$238:$C$451,$C210,'TL15'!$J$238:$J$451),0),
IF('TL16'!$B$3=N$3,SUMIF('TL16'!$C$10:$C$224,$C210,'TL16'!$J$10:$J$224),0),
IF('TL16'!$B$229=N$3,SUMIF('TL16'!$C$238:$C$451,$C210,'TL16'!$J$238:$J$451),0),
IF('TL17'!$B$3=N$3,SUMIF('TL17'!$C$10:$C$224,$C210,'TL17'!$J$10:$J$224),0),
IF('TL17'!$B$229=N$3,SUMIF('TL17'!$C$238:$C$451,$C210,'TL17'!$J$238:$J$451),0),
IF('TL18'!$B$3=N$3,SUMIF('TL18'!$C$10:$C$224,$C210,'TL18'!$J$10:$J$224),0),
IF('TL18'!$B$229=N$3,SUMIF('TL18'!$C$238:$C$451,$C210,'TL18'!$J$238:$J$451),0),
IF('TL19'!$B$3=N$3,SUMIF('TL19'!$C$10:$C$224,$C210,'TL19'!$J$10:$J$224),0),
IF('TL19'!$B$229=N$3,SUMIF('TL19'!$C$238:$C$451,$C210,'TL19'!$J$238:$J$451),0)
),0)</f>
        <v/>
      </c>
      <c r="O210" s="9">
        <f>IFERROR(SUM(
IF('TL01'!$B$3=O$3,SUMIF('TL01'!$C$10:$C$224,$C210,'TL01'!$J$10:$J$224),0),
IF('TL01'!$B$229=O$3,SUMIF('TL01'!$C$238:$C$451,$C210,'TL01'!$J$238:$J$451),0),
IF('TL02'!$B$3=O$3,SUMIF('TL02'!$C$10:$C$224,$C210,'TL02'!$J$10:$J$224),0),
IF('TL02'!$B$229=O$3,SUMIF('TL02'!$C$238:$C$451,$C210,'TL02'!$J$238:$J$451),0),
IF('TL03'!$B$3=O$3,SUMIF('TL03'!$C$10:$C$224,$C210,'TL03'!$J$10:$J$224),0),
IF('TL03'!$B$229=O$3,SUMIF('TL03'!$C$238:$C$451,$C210,'TL03'!$J$238:$J$451),0),
IF('TL04'!$B$3=O$3,SUMIF('TL04'!$C$10:$C$224,$C210,'TL04'!$J$10:$J$224),0),
IF('TL04'!$B$229=O$3,SUMIF('TL04'!$C$238:$C$451,$C210,'TL04'!$J$238:$J$451),0),
IF('TL05'!$B$3=O$3,SUMIF('TL05'!$C$10:$C$224,$C210,'TL05'!$J$10:$J$224),0),
IF('TL05'!$B$229=O$3,SUMIF('TL05'!$C$238:$C$451,$C210,'TL05'!$J$238:$J$451),0),
IF('TL06'!$B$3=O$3,SUMIF('TL06'!$C$10:$C$224,$C210,'TL06'!$J$10:$J$224),0),
IF('TL06'!$B$229=O$3,SUMIF('TL06'!$C$238:$C$451,$C210,'TL06'!$J$238:$J$451),0),
IF('TL07'!$B$3=O$3,SUMIF('TL07'!$C$10:$C$224,$C210,'TL07'!$J$10:$J$224),0),
IF('TL07'!$B$229=O$3,SUMIF('TL07'!$C$238:$C$451,$C210,'TL07'!$J$238:$J$451),0),
IF('TL08'!$B$3=O$3,SUMIF('TL08'!$C$10:$C$224,$C210,'TL08'!$J$10:$J$224),0),
IF('TL08'!$B$229=O$3,SUMIF('TL08'!$C$238:$C$451,$C210,'TL08'!$J$238:$J$451),0),
IF('TL09'!$B$3=O$3,SUMIF('TL09'!$C$10:$C$224,$C210,'TL09'!$J$10:$J$224),0),
IF('TL09'!$B$229=O$3,SUMIF('TL09'!$C$238:$C$451,$C210,'TL09'!$J$238:$J$451),0),
IF('TL10'!$B$3=O$3,SUMIF('TL10'!$C$10:$C$224,$C210,'TL10'!$J$10:$J$224),0),
IF('TL10'!$B$229=O$3,SUMIF('TL10'!$C$238:$C$451,$C210,'TL10'!$J$238:$J$451),0),
IF('TL11'!$B$3=O$3,SUMIF('TL11'!$C$10:$C$224,$C210,'TL11'!$J$10:$J$224),0),
IF('TL11'!$B$229=O$3,SUMIF('TL11'!$C$238:$C$451,$C210,'TL11'!$J$238:$J$451),0),
IF('TL12'!$B$3=O$3,SUMIF('TL12'!$C$10:$C$224,$C210,'TL12'!$J$10:$J$224),0),
IF('TL12'!$B$229=O$3,SUMIF('TL12'!$C$238:$C$451,$C210,'TL12'!$J$238:$J$451),0),
IF('TL13'!$B$3=O$3,SUMIF('TL13'!$C$10:$C$224,$C210,'TL13'!$J$10:$J$224),0),
IF('TL13'!$B$229=O$3,SUMIF('TL13'!$C$238:$C$451,$C210,'TL13'!$J$238:$J$451),0),
IF('TL14'!$B$3=O$3,SUMIF('TL14'!$C$10:$C$224,$C210,'TL14'!$J$10:$J$224),0),
IF('TL14'!$B$229=O$3,SUMIF('TL14'!$C$238:$C$451,$C210,'TL14'!$J$238:$J$451),0),
IF('TL15'!$B$3=O$3,SUMIF('TL15'!$C$10:$C$224,$C210,'TL15'!$J$10:$J$224),0),
IF('TL15'!$B$229=O$3,SUMIF('TL15'!$C$238:$C$451,$C210,'TL15'!$J$238:$J$451),0),
IF('TL16'!$B$3=O$3,SUMIF('TL16'!$C$10:$C$224,$C210,'TL16'!$J$10:$J$224),0),
IF('TL16'!$B$229=O$3,SUMIF('TL16'!$C$238:$C$451,$C210,'TL16'!$J$238:$J$451),0),
IF('TL17'!$B$3=O$3,SUMIF('TL17'!$C$10:$C$224,$C210,'TL17'!$J$10:$J$224),0),
IF('TL17'!$B$229=O$3,SUMIF('TL17'!$C$238:$C$451,$C210,'TL17'!$J$238:$J$451),0),
IF('TL18'!$B$3=O$3,SUMIF('TL18'!$C$10:$C$224,$C210,'TL18'!$J$10:$J$224),0),
IF('TL18'!$B$229=O$3,SUMIF('TL18'!$C$238:$C$451,$C210,'TL18'!$J$238:$J$451),0),
IF('TL19'!$B$3=O$3,SUMIF('TL19'!$C$10:$C$224,$C210,'TL19'!$J$10:$J$224),0),
IF('TL19'!$B$229=O$3,SUMIF('TL19'!$C$238:$C$451,$C210,'TL19'!$J$238:$J$451),0)
),0)</f>
        <v/>
      </c>
      <c r="P210" s="9">
        <f>IFERROR(SUM(
IF('TL01'!$B$3=P$3,SUMIF('TL01'!$C$10:$C$224,$C210,'TL01'!$J$10:$J$224),0),
IF('TL01'!$B$229=P$3,SUMIF('TL01'!$C$238:$C$451,$C210,'TL01'!$J$238:$J$451),0),
IF('TL02'!$B$3=P$3,SUMIF('TL02'!$C$10:$C$224,$C210,'TL02'!$J$10:$J$224),0),
IF('TL02'!$B$229=P$3,SUMIF('TL02'!$C$238:$C$451,$C210,'TL02'!$J$238:$J$451),0),
IF('TL03'!$B$3=P$3,SUMIF('TL03'!$C$10:$C$224,$C210,'TL03'!$J$10:$J$224),0),
IF('TL03'!$B$229=P$3,SUMIF('TL03'!$C$238:$C$451,$C210,'TL03'!$J$238:$J$451),0),
IF('TL04'!$B$3=P$3,SUMIF('TL04'!$C$10:$C$224,$C210,'TL04'!$J$10:$J$224),0),
IF('TL04'!$B$229=P$3,SUMIF('TL04'!$C$238:$C$451,$C210,'TL04'!$J$238:$J$451),0),
IF('TL05'!$B$3=P$3,SUMIF('TL05'!$C$10:$C$224,$C210,'TL05'!$J$10:$J$224),0),
IF('TL05'!$B$229=P$3,SUMIF('TL05'!$C$238:$C$451,$C210,'TL05'!$J$238:$J$451),0),
IF('TL06'!$B$3=P$3,SUMIF('TL06'!$C$10:$C$224,$C210,'TL06'!$J$10:$J$224),0),
IF('TL06'!$B$229=P$3,SUMIF('TL06'!$C$238:$C$451,$C210,'TL06'!$J$238:$J$451),0),
IF('TL07'!$B$3=P$3,SUMIF('TL07'!$C$10:$C$224,$C210,'TL07'!$J$10:$J$224),0),
IF('TL07'!$B$229=P$3,SUMIF('TL07'!$C$238:$C$451,$C210,'TL07'!$J$238:$J$451),0),
IF('TL08'!$B$3=P$3,SUMIF('TL08'!$C$10:$C$224,$C210,'TL08'!$J$10:$J$224),0),
IF('TL08'!$B$229=P$3,SUMIF('TL08'!$C$238:$C$451,$C210,'TL08'!$J$238:$J$451),0),
IF('TL09'!$B$3=P$3,SUMIF('TL09'!$C$10:$C$224,$C210,'TL09'!$J$10:$J$224),0),
IF('TL09'!$B$229=P$3,SUMIF('TL09'!$C$238:$C$451,$C210,'TL09'!$J$238:$J$451),0),
IF('TL10'!$B$3=P$3,SUMIF('TL10'!$C$10:$C$224,$C210,'TL10'!$J$10:$J$224),0),
IF('TL10'!$B$229=P$3,SUMIF('TL10'!$C$238:$C$451,$C210,'TL10'!$J$238:$J$451),0),
IF('TL11'!$B$3=P$3,SUMIF('TL11'!$C$10:$C$224,$C210,'TL11'!$J$10:$J$224),0),
IF('TL11'!$B$229=P$3,SUMIF('TL11'!$C$238:$C$451,$C210,'TL11'!$J$238:$J$451),0),
IF('TL12'!$B$3=P$3,SUMIF('TL12'!$C$10:$C$224,$C210,'TL12'!$J$10:$J$224),0),
IF('TL12'!$B$229=P$3,SUMIF('TL12'!$C$238:$C$451,$C210,'TL12'!$J$238:$J$451),0),
IF('TL13'!$B$3=P$3,SUMIF('TL13'!$C$10:$C$224,$C210,'TL13'!$J$10:$J$224),0),
IF('TL13'!$B$229=P$3,SUMIF('TL13'!$C$238:$C$451,$C210,'TL13'!$J$238:$J$451),0),
IF('TL14'!$B$3=P$3,SUMIF('TL14'!$C$10:$C$224,$C210,'TL14'!$J$10:$J$224),0),
IF('TL14'!$B$229=P$3,SUMIF('TL14'!$C$238:$C$451,$C210,'TL14'!$J$238:$J$451),0),
IF('TL15'!$B$3=P$3,SUMIF('TL15'!$C$10:$C$224,$C210,'TL15'!$J$10:$J$224),0),
IF('TL15'!$B$229=P$3,SUMIF('TL15'!$C$238:$C$451,$C210,'TL15'!$J$238:$J$451),0),
IF('TL16'!$B$3=P$3,SUMIF('TL16'!$C$10:$C$224,$C210,'TL16'!$J$10:$J$224),0),
IF('TL16'!$B$229=P$3,SUMIF('TL16'!$C$238:$C$451,$C210,'TL16'!$J$238:$J$451),0),
IF('TL17'!$B$3=P$3,SUMIF('TL17'!$C$10:$C$224,$C210,'TL17'!$J$10:$J$224),0),
IF('TL17'!$B$229=P$3,SUMIF('TL17'!$C$238:$C$451,$C210,'TL17'!$J$238:$J$451),0),
IF('TL18'!$B$3=P$3,SUMIF('TL18'!$C$10:$C$224,$C210,'TL18'!$J$10:$J$224),0),
IF('TL18'!$B$229=P$3,SUMIF('TL18'!$C$238:$C$451,$C210,'TL18'!$J$238:$J$451),0),
IF('TL19'!$B$3=P$3,SUMIF('TL19'!$C$10:$C$224,$C210,'TL19'!$J$10:$J$224),0),
IF('TL19'!$B$229=P$3,SUMIF('TL19'!$C$238:$C$451,$C210,'TL19'!$J$238:$J$451),0)
),0)</f>
        <v/>
      </c>
      <c r="Q210" s="9">
        <f>IFERROR(SUM(
IF('TL01'!$B$3=Q$3,SUMIF('TL01'!$C$10:$C$224,$C210,'TL01'!$J$10:$J$224),0),
IF('TL01'!$B$229=Q$3,SUMIF('TL01'!$C$238:$C$451,$C210,'TL01'!$J$238:$J$451),0),
IF('TL02'!$B$3=Q$3,SUMIF('TL02'!$C$10:$C$224,$C210,'TL02'!$J$10:$J$224),0),
IF('TL02'!$B$229=Q$3,SUMIF('TL02'!$C$238:$C$451,$C210,'TL02'!$J$238:$J$451),0),
IF('TL03'!$B$3=Q$3,SUMIF('TL03'!$C$10:$C$224,$C210,'TL03'!$J$10:$J$224),0),
IF('TL03'!$B$229=Q$3,SUMIF('TL03'!$C$238:$C$451,$C210,'TL03'!$J$238:$J$451),0),
IF('TL04'!$B$3=Q$3,SUMIF('TL04'!$C$10:$C$224,$C210,'TL04'!$J$10:$J$224),0),
IF('TL04'!$B$229=Q$3,SUMIF('TL04'!$C$238:$C$451,$C210,'TL04'!$J$238:$J$451),0),
IF('TL05'!$B$3=Q$3,SUMIF('TL05'!$C$10:$C$224,$C210,'TL05'!$J$10:$J$224),0),
IF('TL05'!$B$229=Q$3,SUMIF('TL05'!$C$238:$C$451,$C210,'TL05'!$J$238:$J$451),0),
IF('TL06'!$B$3=Q$3,SUMIF('TL06'!$C$10:$C$224,$C210,'TL06'!$J$10:$J$224),0),
IF('TL06'!$B$229=Q$3,SUMIF('TL06'!$C$238:$C$451,$C210,'TL06'!$J$238:$J$451),0),
IF('TL07'!$B$3=Q$3,SUMIF('TL07'!$C$10:$C$224,$C210,'TL07'!$J$10:$J$224),0),
IF('TL07'!$B$229=Q$3,SUMIF('TL07'!$C$238:$C$451,$C210,'TL07'!$J$238:$J$451),0),
IF('TL08'!$B$3=Q$3,SUMIF('TL08'!$C$10:$C$224,$C210,'TL08'!$J$10:$J$224),0),
IF('TL08'!$B$229=Q$3,SUMIF('TL08'!$C$238:$C$451,$C210,'TL08'!$J$238:$J$451),0),
IF('TL09'!$B$3=Q$3,SUMIF('TL09'!$C$10:$C$224,$C210,'TL09'!$J$10:$J$224),0),
IF('TL09'!$B$229=Q$3,SUMIF('TL09'!$C$238:$C$451,$C210,'TL09'!$J$238:$J$451),0),
IF('TL10'!$B$3=Q$3,SUMIF('TL10'!$C$10:$C$224,$C210,'TL10'!$J$10:$J$224),0),
IF('TL10'!$B$229=Q$3,SUMIF('TL10'!$C$238:$C$451,$C210,'TL10'!$J$238:$J$451),0),
IF('TL11'!$B$3=Q$3,SUMIF('TL11'!$C$10:$C$224,$C210,'TL11'!$J$10:$J$224),0),
IF('TL11'!$B$229=Q$3,SUMIF('TL11'!$C$238:$C$451,$C210,'TL11'!$J$238:$J$451),0),
IF('TL12'!$B$3=Q$3,SUMIF('TL12'!$C$10:$C$224,$C210,'TL12'!$J$10:$J$224),0),
IF('TL12'!$B$229=Q$3,SUMIF('TL12'!$C$238:$C$451,$C210,'TL12'!$J$238:$J$451),0),
IF('TL13'!$B$3=Q$3,SUMIF('TL13'!$C$10:$C$224,$C210,'TL13'!$J$10:$J$224),0),
IF('TL13'!$B$229=Q$3,SUMIF('TL13'!$C$238:$C$451,$C210,'TL13'!$J$238:$J$451),0),
IF('TL14'!$B$3=Q$3,SUMIF('TL14'!$C$10:$C$224,$C210,'TL14'!$J$10:$J$224),0),
IF('TL14'!$B$229=Q$3,SUMIF('TL14'!$C$238:$C$451,$C210,'TL14'!$J$238:$J$451),0),
IF('TL15'!$B$3=Q$3,SUMIF('TL15'!$C$10:$C$224,$C210,'TL15'!$J$10:$J$224),0),
IF('TL15'!$B$229=Q$3,SUMIF('TL15'!$C$238:$C$451,$C210,'TL15'!$J$238:$J$451),0),
IF('TL16'!$B$3=Q$3,SUMIF('TL16'!$C$10:$C$224,$C210,'TL16'!$J$10:$J$224),0),
IF('TL16'!$B$229=Q$3,SUMIF('TL16'!$C$238:$C$451,$C210,'TL16'!$J$238:$J$451),0),
IF('TL17'!$B$3=Q$3,SUMIF('TL17'!$C$10:$C$224,$C210,'TL17'!$J$10:$J$224),0),
IF('TL17'!$B$229=Q$3,SUMIF('TL17'!$C$238:$C$451,$C210,'TL17'!$J$238:$J$451),0),
IF('TL18'!$B$3=Q$3,SUMIF('TL18'!$C$10:$C$224,$C210,'TL18'!$J$10:$J$224),0),
IF('TL18'!$B$229=Q$3,SUMIF('TL18'!$C$238:$C$451,$C210,'TL18'!$J$238:$J$451),0),
IF('TL19'!$B$3=Q$3,SUMIF('TL19'!$C$10:$C$224,$C210,'TL19'!$J$10:$J$224),0),
IF('TL19'!$B$229=Q$3,SUMIF('TL19'!$C$238:$C$451,$C210,'TL19'!$J$238:$J$451),0)
),0)</f>
        <v/>
      </c>
      <c r="R210" s="9">
        <f>IFERROR(
SUM(
SUMIF('TL01'!C:C,C210,'TL01'!J:J),
SUMIF('TL02'!C:C,C210,'TL02'!J:J),
SUMIF('TL03'!C:C,C210,'TL03'!J:J),
SUMIF('TL04'!C:C,C210,'TL04'!J:J),
SUMIF('TL05'!C:C,C210,'TL05'!J:J),
SUMIF('TL06'!C:C,C210,'TL06'!J:J),
SUMIF('TL07'!C:C,C210,'TL07'!J:J),
SUMIF('TL08'!C:C,C210,'TL08'!J:J),
SUMIF('TL09'!C:C,C210,'TL09'!J:J),
SUMIF('TL10'!C:C,C210,'TL10'!J:J),
SUMIF('TL11'!C:C,C210,'TL11'!J:J),
SUMIF('TL12'!C:C,C210,'TL12'!J:J),
SUMIF('TL13'!C:C,C210,'TL13'!J:J),
SUMIF('TL14'!C:C,C210,'TL14'!J:J),
SUMIF('TL15'!C:C,C210,'TL15'!J:J),
SUMIF('TL16'!C:C,C210,'TL16'!J:J),
SUMIF('TL17'!C:C,C210,'TL17'!J:J),
SUMIF('TL18'!C:C,C210,'TL18'!J:J),SUMIF('TL19'!C:C,C210,'TL19'!J:J))
,0)</f>
        <v/>
      </c>
      <c r="S210" s="17">
        <f>IFERROR(__xludf.DUMMYFUNCTION("IFERROR(VLOOKUP(C210,
IMPORTRANGE(""1wULbzX32WdYsx-lj2U3uUNBBe2INVIRDtcK0d-Dvl90"",
""26-27!C:G""),
5,
FALSE),
"""")"),498.60996)</f>
        <v/>
      </c>
      <c r="T210" s="9" t="n"/>
      <c r="U210" s="92">
        <f>MAX(0,R210-T210)</f>
        <v/>
      </c>
      <c r="V210" s="93">
        <f>U210*S210</f>
        <v/>
      </c>
    </row>
    <row r="211" hidden="1" ht="15.75" customHeight="1" s="297">
      <c r="A211" s="94" t="inlineStr">
        <is>
          <t>NORTOX</t>
        </is>
      </c>
      <c r="B211" s="95" t="inlineStr">
        <is>
          <t>INSETICIDA</t>
        </is>
      </c>
      <c r="C211" s="96" t="inlineStr">
        <is>
          <t>CLORFENAPIR NORTOX</t>
        </is>
      </c>
      <c r="D211" s="96" t="inlineStr">
        <is>
          <t>CLORFENAPIR</t>
        </is>
      </c>
      <c r="E211" s="96" t="n">
        <v>240</v>
      </c>
      <c r="F211" s="4" t="inlineStr">
        <is>
          <t>KG</t>
        </is>
      </c>
      <c r="G211" s="90">
        <f>HYPERLINK("https://www.google.com/search?q=" &amp; C211 &amp; "+bula+agrofit+pdf", "📄 Ver bula")</f>
        <v/>
      </c>
      <c r="H211" s="9">
        <f>IFERROR(__xludf.DUMMYFUNCTION("IFERROR(VLOOKUP(C211,
IMPORTRANGE(""1wULbzX32WdYsx-lj2U3uUNBBe2INVIRDtcK0d-Dvl90"",
""26-27!C:K""),
8,
FALSE),
"""")"),1.0)</f>
        <v/>
      </c>
      <c r="I211" s="97" t="inlineStr">
        <is>
          <t>2X10</t>
        </is>
      </c>
      <c r="J211" s="9">
        <f>IFERROR(SUM(
IF('TL01'!$B$3=J$3,SUMIF('TL01'!$C$10:$C$224,$C211,'TL01'!$J$10:$J$224),0),
IF('TL01'!$B$229=J$3,SUMIF('TL01'!$C$238:$C$451,$C211,'TL01'!$J$238:$J$451),0),
IF('TL02'!$B$3=J$3,SUMIF('TL02'!$C$10:$C$224,$C211,'TL02'!$J$10:$J$224),0),
IF('TL02'!$B$229=J$3,SUMIF('TL02'!$C$238:$C$451,$C211,'TL02'!$J$238:$J$451),0),
IF('TL03'!$B$3=J$3,SUMIF('TL03'!$C$10:$C$224,$C211,'TL03'!$J$10:$J$224),0),
IF('TL03'!$B$229=J$3,SUMIF('TL03'!$C$238:$C$451,$C211,'TL03'!$J$238:$J$451),0),
IF('TL04'!$B$3=J$3,SUMIF('TL04'!$C$10:$C$224,$C211,'TL04'!$J$10:$J$224),0),
IF('TL04'!$B$229=J$3,SUMIF('TL04'!$C$238:$C$451,$C211,'TL04'!$J$238:$J$451),0),
IF('TL05'!$B$3=J$3,SUMIF('TL05'!$C$10:$C$224,$C211,'TL05'!$J$10:$J$224),0),
IF('TL05'!$B$229=J$3,SUMIF('TL05'!$C$238:$C$451,$C211,'TL05'!$J$238:$J$451),0),
IF('TL06'!$B$3=J$3,SUMIF('TL06'!$C$10:$C$224,$C211,'TL06'!$J$10:$J$224),0),
IF('TL06'!$B$229=J$3,SUMIF('TL06'!$C$238:$C$451,$C211,'TL06'!$J$238:$J$451),0),
IF('TL07'!$B$3=J$3,SUMIF('TL07'!$C$10:$C$224,$C211,'TL07'!$J$10:$J$224),0),
IF('TL07'!$B$229=J$3,SUMIF('TL07'!$C$238:$C$451,$C211,'TL07'!$J$238:$J$451),0),
IF('TL08'!$B$3=J$3,SUMIF('TL08'!$C$10:$C$224,$C211,'TL08'!$J$10:$J$224),0),
IF('TL08'!$B$229=J$3,SUMIF('TL08'!$C$238:$C$451,$C211,'TL08'!$J$238:$J$451),0),
IF('TL09'!$B$3=J$3,SUMIF('TL09'!$C$10:$C$224,$C211,'TL09'!$J$10:$J$224),0),
IF('TL09'!$B$229=J$3,SUMIF('TL09'!$C$238:$C$451,$C211,'TL09'!$J$238:$J$451),0),
IF('TL10'!$B$3=J$3,SUMIF('TL10'!$C$10:$C$224,$C211,'TL10'!$J$10:$J$224),0),
IF('TL10'!$B$229=J$3,SUMIF('TL10'!$C$238:$C$451,$C211,'TL10'!$J$238:$J$451),0),
IF('TL11'!$B$3=J$3,SUMIF('TL11'!$C$10:$C$224,$C211,'TL11'!$J$10:$J$224),0),
IF('TL11'!$B$229=J$3,SUMIF('TL11'!$C$238:$C$451,$C211,'TL11'!$J$238:$J$451),0),
IF('TL12'!$B$3=J$3,SUMIF('TL12'!$C$10:$C$224,$C211,'TL12'!$J$10:$J$224),0),
IF('TL12'!$B$229=J$3,SUMIF('TL12'!$C$238:$C$451,$C211,'TL12'!$J$238:$J$451),0),
IF('TL13'!$B$3=J$3,SUMIF('TL13'!$C$10:$C$224,$C211,'TL13'!$J$10:$J$224),0),
IF('TL13'!$B$229=J$3,SUMIF('TL13'!$C$238:$C$451,$C211,'TL13'!$J$238:$J$451),0),
IF('TL14'!$B$3=J$3,SUMIF('TL14'!$C$10:$C$224,$C211,'TL14'!$J$10:$J$224),0),
IF('TL14'!$B$229=J$3,SUMIF('TL14'!$C$238:$C$451,$C211,'TL14'!$J$238:$J$451),0),
IF('TL15'!$B$3=J$3,SUMIF('TL15'!$C$10:$C$224,$C211,'TL15'!$J$10:$J$224),0),
IF('TL15'!$B$229=J$3,SUMIF('TL15'!$C$238:$C$451,$C211,'TL15'!$J$238:$J$451),0),
IF('TL16'!$B$3=J$3,SUMIF('TL16'!$C$10:$C$224,$C211,'TL16'!$J$10:$J$224),0),
IF('TL16'!$B$229=J$3,SUMIF('TL16'!$C$238:$C$451,$C211,'TL16'!$J$238:$J$451),0),
IF('TL17'!$B$3=J$3,SUMIF('TL17'!$C$10:$C$224,$C211,'TL17'!$J$10:$J$224),0),
IF('TL17'!$B$229=J$3,SUMIF('TL17'!$C$238:$C$451,$C211,'TL17'!$J$238:$J$451),0),
IF('TL18'!$B$3=J$3,SUMIF('TL18'!$C$10:$C$224,$C211,'TL18'!$J$10:$J$224),0),
IF('TL18'!$B$229=J$3,SUMIF('TL18'!$C$238:$C$451,$C211,'TL18'!$J$238:$J$451),0),
IF('TL19'!$B$3=J$3,SUMIF('TL19'!$C$10:$C$224,$C211,'TL19'!$J$10:$J$224),0),
IF('TL19'!$B$229=J$3,SUMIF('TL19'!$C$238:$C$451,$C211,'TL19'!$J$238:$J$451),0)
),0)</f>
        <v/>
      </c>
      <c r="K211" s="9">
        <f>IFERROR(SUM(
IF('TL01'!$B$3=K$3,SUMIF('TL01'!$C$10:$C$224,$C211,'TL01'!$J$10:$J$224),0),
IF('TL01'!$B$229=K$3,SUMIF('TL01'!$C$238:$C$451,$C211,'TL01'!$J$238:$J$451),0),
IF('TL02'!$B$3=K$3,SUMIF('TL02'!$C$10:$C$224,$C211,'TL02'!$J$10:$J$224),0),
IF('TL02'!$B$229=K$3,SUMIF('TL02'!$C$238:$C$451,$C211,'TL02'!$J$238:$J$451),0),
IF('TL03'!$B$3=K$3,SUMIF('TL03'!$C$10:$C$224,$C211,'TL03'!$J$10:$J$224),0),
IF('TL03'!$B$229=K$3,SUMIF('TL03'!$C$238:$C$451,$C211,'TL03'!$J$238:$J$451),0),
IF('TL04'!$B$3=K$3,SUMIF('TL04'!$C$10:$C$224,$C211,'TL04'!$J$10:$J$224),0),
IF('TL04'!$B$229=K$3,SUMIF('TL04'!$C$238:$C$451,$C211,'TL04'!$J$238:$J$451),0),
IF('TL05'!$B$3=K$3,SUMIF('TL05'!$C$10:$C$224,$C211,'TL05'!$J$10:$J$224),0),
IF('TL05'!$B$229=K$3,SUMIF('TL05'!$C$238:$C$451,$C211,'TL05'!$J$238:$J$451),0),
IF('TL06'!$B$3=K$3,SUMIF('TL06'!$C$10:$C$224,$C211,'TL06'!$J$10:$J$224),0),
IF('TL06'!$B$229=K$3,SUMIF('TL06'!$C$238:$C$451,$C211,'TL06'!$J$238:$J$451),0),
IF('TL07'!$B$3=K$3,SUMIF('TL07'!$C$10:$C$224,$C211,'TL07'!$J$10:$J$224),0),
IF('TL07'!$B$229=K$3,SUMIF('TL07'!$C$238:$C$451,$C211,'TL07'!$J$238:$J$451),0),
IF('TL08'!$B$3=K$3,SUMIF('TL08'!$C$10:$C$224,$C211,'TL08'!$J$10:$J$224),0),
IF('TL08'!$B$229=K$3,SUMIF('TL08'!$C$238:$C$451,$C211,'TL08'!$J$238:$J$451),0),
IF('TL09'!$B$3=K$3,SUMIF('TL09'!$C$10:$C$224,$C211,'TL09'!$J$10:$J$224),0),
IF('TL09'!$B$229=K$3,SUMIF('TL09'!$C$238:$C$451,$C211,'TL09'!$J$238:$J$451),0),
IF('TL10'!$B$3=K$3,SUMIF('TL10'!$C$10:$C$224,$C211,'TL10'!$J$10:$J$224),0),
IF('TL10'!$B$229=K$3,SUMIF('TL10'!$C$238:$C$451,$C211,'TL10'!$J$238:$J$451),0),
IF('TL11'!$B$3=K$3,SUMIF('TL11'!$C$10:$C$224,$C211,'TL11'!$J$10:$J$224),0),
IF('TL11'!$B$229=K$3,SUMIF('TL11'!$C$238:$C$451,$C211,'TL11'!$J$238:$J$451),0),
IF('TL12'!$B$3=K$3,SUMIF('TL12'!$C$10:$C$224,$C211,'TL12'!$J$10:$J$224),0),
IF('TL12'!$B$229=K$3,SUMIF('TL12'!$C$238:$C$451,$C211,'TL12'!$J$238:$J$451),0),
IF('TL13'!$B$3=K$3,SUMIF('TL13'!$C$10:$C$224,$C211,'TL13'!$J$10:$J$224),0),
IF('TL13'!$B$229=K$3,SUMIF('TL13'!$C$238:$C$451,$C211,'TL13'!$J$238:$J$451),0),
IF('TL14'!$B$3=K$3,SUMIF('TL14'!$C$10:$C$224,$C211,'TL14'!$J$10:$J$224),0),
IF('TL14'!$B$229=K$3,SUMIF('TL14'!$C$238:$C$451,$C211,'TL14'!$J$238:$J$451),0),
IF('TL15'!$B$3=K$3,SUMIF('TL15'!$C$10:$C$224,$C211,'TL15'!$J$10:$J$224),0),
IF('TL15'!$B$229=K$3,SUMIF('TL15'!$C$238:$C$451,$C211,'TL15'!$J$238:$J$451),0),
IF('TL16'!$B$3=K$3,SUMIF('TL16'!$C$10:$C$224,$C211,'TL16'!$J$10:$J$224),0),
IF('TL16'!$B$229=K$3,SUMIF('TL16'!$C$238:$C$451,$C211,'TL16'!$J$238:$J$451),0),
IF('TL17'!$B$3=K$3,SUMIF('TL17'!$C$10:$C$224,$C211,'TL17'!$J$10:$J$224),0),
IF('TL17'!$B$229=K$3,SUMIF('TL17'!$C$238:$C$451,$C211,'TL17'!$J$238:$J$451),0),
IF('TL18'!$B$3=K$3,SUMIF('TL18'!$C$10:$C$224,$C211,'TL18'!$J$10:$J$224),0),
IF('TL18'!$B$229=K$3,SUMIF('TL18'!$C$238:$C$451,$C211,'TL18'!$J$238:$J$451),0),
IF('TL19'!$B$3=K$3,SUMIF('TL19'!$C$10:$C$224,$C211,'TL19'!$J$10:$J$224),0),
IF('TL19'!$B$229=K$3,SUMIF('TL19'!$C$238:$C$451,$C211,'TL19'!$J$238:$J$451),0)
),0)</f>
        <v/>
      </c>
      <c r="L211" s="9">
        <f>IFERROR(SUM(
IF('TL01'!$B$3=L$3,SUMIF('TL01'!$C$10:$C$224,$C211,'TL01'!$J$10:$J$224),0),
IF('TL01'!$B$229=L$3,SUMIF('TL01'!$C$238:$C$451,$C211,'TL01'!$J$238:$J$451),0),
IF('TL02'!$B$3=L$3,SUMIF('TL02'!$C$10:$C$224,$C211,'TL02'!$J$10:$J$224),0),
IF('TL02'!$B$229=L$3,SUMIF('TL02'!$C$238:$C$451,$C211,'TL02'!$J$238:$J$451),0),
IF('TL03'!$B$3=L$3,SUMIF('TL03'!$C$10:$C$224,$C211,'TL03'!$J$10:$J$224),0),
IF('TL03'!$B$229=L$3,SUMIF('TL03'!$C$238:$C$451,$C211,'TL03'!$J$238:$J$451),0),
IF('TL04'!$B$3=L$3,SUMIF('TL04'!$C$10:$C$224,$C211,'TL04'!$J$10:$J$224),0),
IF('TL04'!$B$229=L$3,SUMIF('TL04'!$C$238:$C$451,$C211,'TL04'!$J$238:$J$451),0),
IF('TL05'!$B$3=L$3,SUMIF('TL05'!$C$10:$C$224,$C211,'TL05'!$J$10:$J$224),0),
IF('TL05'!$B$229=L$3,SUMIF('TL05'!$C$238:$C$451,$C211,'TL05'!$J$238:$J$451),0),
IF('TL06'!$B$3=L$3,SUMIF('TL06'!$C$10:$C$224,$C211,'TL06'!$J$10:$J$224),0),
IF('TL06'!$B$229=L$3,SUMIF('TL06'!$C$238:$C$451,$C211,'TL06'!$J$238:$J$451),0),
IF('TL07'!$B$3=L$3,SUMIF('TL07'!$C$10:$C$224,$C211,'TL07'!$J$10:$J$224),0),
IF('TL07'!$B$229=L$3,SUMIF('TL07'!$C$238:$C$451,$C211,'TL07'!$J$238:$J$451),0),
IF('TL08'!$B$3=L$3,SUMIF('TL08'!$C$10:$C$224,$C211,'TL08'!$J$10:$J$224),0),
IF('TL08'!$B$229=L$3,SUMIF('TL08'!$C$238:$C$451,$C211,'TL08'!$J$238:$J$451),0),
IF('TL09'!$B$3=L$3,SUMIF('TL09'!$C$10:$C$224,$C211,'TL09'!$J$10:$J$224),0),
IF('TL09'!$B$229=L$3,SUMIF('TL09'!$C$238:$C$451,$C211,'TL09'!$J$238:$J$451),0),
IF('TL10'!$B$3=L$3,SUMIF('TL10'!$C$10:$C$224,$C211,'TL10'!$J$10:$J$224),0),
IF('TL10'!$B$229=L$3,SUMIF('TL10'!$C$238:$C$451,$C211,'TL10'!$J$238:$J$451),0),
IF('TL11'!$B$3=L$3,SUMIF('TL11'!$C$10:$C$224,$C211,'TL11'!$J$10:$J$224),0),
IF('TL11'!$B$229=L$3,SUMIF('TL11'!$C$238:$C$451,$C211,'TL11'!$J$238:$J$451),0),
IF('TL12'!$B$3=L$3,SUMIF('TL12'!$C$10:$C$224,$C211,'TL12'!$J$10:$J$224),0),
IF('TL12'!$B$229=L$3,SUMIF('TL12'!$C$238:$C$451,$C211,'TL12'!$J$238:$J$451),0),
IF('TL13'!$B$3=L$3,SUMIF('TL13'!$C$10:$C$224,$C211,'TL13'!$J$10:$J$224),0),
IF('TL13'!$B$229=L$3,SUMIF('TL13'!$C$238:$C$451,$C211,'TL13'!$J$238:$J$451),0),
IF('TL14'!$B$3=L$3,SUMIF('TL14'!$C$10:$C$224,$C211,'TL14'!$J$10:$J$224),0),
IF('TL14'!$B$229=L$3,SUMIF('TL14'!$C$238:$C$451,$C211,'TL14'!$J$238:$J$451),0),
IF('TL15'!$B$3=L$3,SUMIF('TL15'!$C$10:$C$224,$C211,'TL15'!$J$10:$J$224),0),
IF('TL15'!$B$229=L$3,SUMIF('TL15'!$C$238:$C$451,$C211,'TL15'!$J$238:$J$451),0),
IF('TL16'!$B$3=L$3,SUMIF('TL16'!$C$10:$C$224,$C211,'TL16'!$J$10:$J$224),0),
IF('TL16'!$B$229=L$3,SUMIF('TL16'!$C$238:$C$451,$C211,'TL16'!$J$238:$J$451),0),
IF('TL17'!$B$3=L$3,SUMIF('TL17'!$C$10:$C$224,$C211,'TL17'!$J$10:$J$224),0),
IF('TL17'!$B$229=L$3,SUMIF('TL17'!$C$238:$C$451,$C211,'TL17'!$J$238:$J$451),0),
IF('TL18'!$B$3=L$3,SUMIF('TL18'!$C$10:$C$224,$C211,'TL18'!$J$10:$J$224),0),
IF('TL18'!$B$229=L$3,SUMIF('TL18'!$C$238:$C$451,$C211,'TL18'!$J$238:$J$451),0),
IF('TL19'!$B$3=L$3,SUMIF('TL19'!$C$10:$C$224,$C211,'TL19'!$J$10:$J$224),0),
IF('TL19'!$B$229=L$3,SUMIF('TL19'!$C$238:$C$451,$C211,'TL19'!$J$238:$J$451),0)
),0)</f>
        <v/>
      </c>
      <c r="M211" s="9">
        <f>IFERROR(SUM(
IF('TL01'!$B$3=M$3,SUMIF('TL01'!$C$10:$C$224,$C211,'TL01'!$J$10:$J$224),0),
IF('TL01'!$B$229=M$3,SUMIF('TL01'!$C$238:$C$451,$C211,'TL01'!$J$238:$J$451),0),
IF('TL02'!$B$3=M$3,SUMIF('TL02'!$C$10:$C$224,$C211,'TL02'!$J$10:$J$224),0),
IF('TL02'!$B$229=M$3,SUMIF('TL02'!$C$238:$C$451,$C211,'TL02'!$J$238:$J$451),0),
IF('TL03'!$B$3=M$3,SUMIF('TL03'!$C$10:$C$224,$C211,'TL03'!$J$10:$J$224),0),
IF('TL03'!$B$229=M$3,SUMIF('TL03'!$C$238:$C$451,$C211,'TL03'!$J$238:$J$451),0),
IF('TL04'!$B$3=M$3,SUMIF('TL04'!$C$10:$C$224,$C211,'TL04'!$J$10:$J$224),0),
IF('TL04'!$B$229=M$3,SUMIF('TL04'!$C$238:$C$451,$C211,'TL04'!$J$238:$J$451),0),
IF('TL05'!$B$3=M$3,SUMIF('TL05'!$C$10:$C$224,$C211,'TL05'!$J$10:$J$224),0),
IF('TL05'!$B$229=M$3,SUMIF('TL05'!$C$238:$C$451,$C211,'TL05'!$J$238:$J$451),0),
IF('TL06'!$B$3=M$3,SUMIF('TL06'!$C$10:$C$224,$C211,'TL06'!$J$10:$J$224),0),
IF('TL06'!$B$229=M$3,SUMIF('TL06'!$C$238:$C$451,$C211,'TL06'!$J$238:$J$451),0),
IF('TL07'!$B$3=M$3,SUMIF('TL07'!$C$10:$C$224,$C211,'TL07'!$J$10:$J$224),0),
IF('TL07'!$B$229=M$3,SUMIF('TL07'!$C$238:$C$451,$C211,'TL07'!$J$238:$J$451),0),
IF('TL08'!$B$3=M$3,SUMIF('TL08'!$C$10:$C$224,$C211,'TL08'!$J$10:$J$224),0),
IF('TL08'!$B$229=M$3,SUMIF('TL08'!$C$238:$C$451,$C211,'TL08'!$J$238:$J$451),0),
IF('TL09'!$B$3=M$3,SUMIF('TL09'!$C$10:$C$224,$C211,'TL09'!$J$10:$J$224),0),
IF('TL09'!$B$229=M$3,SUMIF('TL09'!$C$238:$C$451,$C211,'TL09'!$J$238:$J$451),0),
IF('TL10'!$B$3=M$3,SUMIF('TL10'!$C$10:$C$224,$C211,'TL10'!$J$10:$J$224),0),
IF('TL10'!$B$229=M$3,SUMIF('TL10'!$C$238:$C$451,$C211,'TL10'!$J$238:$J$451),0),
IF('TL11'!$B$3=M$3,SUMIF('TL11'!$C$10:$C$224,$C211,'TL11'!$J$10:$J$224),0),
IF('TL11'!$B$229=M$3,SUMIF('TL11'!$C$238:$C$451,$C211,'TL11'!$J$238:$J$451),0),
IF('TL12'!$B$3=M$3,SUMIF('TL12'!$C$10:$C$224,$C211,'TL12'!$J$10:$J$224),0),
IF('TL12'!$B$229=M$3,SUMIF('TL12'!$C$238:$C$451,$C211,'TL12'!$J$238:$J$451),0),
IF('TL13'!$B$3=M$3,SUMIF('TL13'!$C$10:$C$224,$C211,'TL13'!$J$10:$J$224),0),
IF('TL13'!$B$229=M$3,SUMIF('TL13'!$C$238:$C$451,$C211,'TL13'!$J$238:$J$451),0),
IF('TL14'!$B$3=M$3,SUMIF('TL14'!$C$10:$C$224,$C211,'TL14'!$J$10:$J$224),0),
IF('TL14'!$B$229=M$3,SUMIF('TL14'!$C$238:$C$451,$C211,'TL14'!$J$238:$J$451),0),
IF('TL15'!$B$3=M$3,SUMIF('TL15'!$C$10:$C$224,$C211,'TL15'!$J$10:$J$224),0),
IF('TL15'!$B$229=M$3,SUMIF('TL15'!$C$238:$C$451,$C211,'TL15'!$J$238:$J$451),0),
IF('TL16'!$B$3=M$3,SUMIF('TL16'!$C$10:$C$224,$C211,'TL16'!$J$10:$J$224),0),
IF('TL16'!$B$229=M$3,SUMIF('TL16'!$C$238:$C$451,$C211,'TL16'!$J$238:$J$451),0),
IF('TL17'!$B$3=M$3,SUMIF('TL17'!$C$10:$C$224,$C211,'TL17'!$J$10:$J$224),0),
IF('TL17'!$B$229=M$3,SUMIF('TL17'!$C$238:$C$451,$C211,'TL17'!$J$238:$J$451),0),
IF('TL18'!$B$3=M$3,SUMIF('TL18'!$C$10:$C$224,$C211,'TL18'!$J$10:$J$224),0),
IF('TL18'!$B$229=M$3,SUMIF('TL18'!$C$238:$C$451,$C211,'TL18'!$J$238:$J$451),0),
IF('TL19'!$B$3=M$3,SUMIF('TL19'!$C$10:$C$224,$C211,'TL19'!$J$10:$J$224),0),
IF('TL19'!$B$229=M$3,SUMIF('TL19'!$C$238:$C$451,$C211,'TL19'!$J$238:$J$451),0)
),0)</f>
        <v/>
      </c>
      <c r="N211" s="9">
        <f>IFERROR(SUM(
IF('TL01'!$B$3=N$3,SUMIF('TL01'!$C$10:$C$224,$C211,'TL01'!$J$10:$J$224),0),
IF('TL01'!$B$229=N$3,SUMIF('TL01'!$C$238:$C$451,$C211,'TL01'!$J$238:$J$451),0),
IF('TL02'!$B$3=N$3,SUMIF('TL02'!$C$10:$C$224,$C211,'TL02'!$J$10:$J$224),0),
IF('TL02'!$B$229=N$3,SUMIF('TL02'!$C$238:$C$451,$C211,'TL02'!$J$238:$J$451),0),
IF('TL03'!$B$3=N$3,SUMIF('TL03'!$C$10:$C$224,$C211,'TL03'!$J$10:$J$224),0),
IF('TL03'!$B$229=N$3,SUMIF('TL03'!$C$238:$C$451,$C211,'TL03'!$J$238:$J$451),0),
IF('TL04'!$B$3=N$3,SUMIF('TL04'!$C$10:$C$224,$C211,'TL04'!$J$10:$J$224),0),
IF('TL04'!$B$229=N$3,SUMIF('TL04'!$C$238:$C$451,$C211,'TL04'!$J$238:$J$451),0),
IF('TL05'!$B$3=N$3,SUMIF('TL05'!$C$10:$C$224,$C211,'TL05'!$J$10:$J$224),0),
IF('TL05'!$B$229=N$3,SUMIF('TL05'!$C$238:$C$451,$C211,'TL05'!$J$238:$J$451),0),
IF('TL06'!$B$3=N$3,SUMIF('TL06'!$C$10:$C$224,$C211,'TL06'!$J$10:$J$224),0),
IF('TL06'!$B$229=N$3,SUMIF('TL06'!$C$238:$C$451,$C211,'TL06'!$J$238:$J$451),0),
IF('TL07'!$B$3=N$3,SUMIF('TL07'!$C$10:$C$224,$C211,'TL07'!$J$10:$J$224),0),
IF('TL07'!$B$229=N$3,SUMIF('TL07'!$C$238:$C$451,$C211,'TL07'!$J$238:$J$451),0),
IF('TL08'!$B$3=N$3,SUMIF('TL08'!$C$10:$C$224,$C211,'TL08'!$J$10:$J$224),0),
IF('TL08'!$B$229=N$3,SUMIF('TL08'!$C$238:$C$451,$C211,'TL08'!$J$238:$J$451),0),
IF('TL09'!$B$3=N$3,SUMIF('TL09'!$C$10:$C$224,$C211,'TL09'!$J$10:$J$224),0),
IF('TL09'!$B$229=N$3,SUMIF('TL09'!$C$238:$C$451,$C211,'TL09'!$J$238:$J$451),0),
IF('TL10'!$B$3=N$3,SUMIF('TL10'!$C$10:$C$224,$C211,'TL10'!$J$10:$J$224),0),
IF('TL10'!$B$229=N$3,SUMIF('TL10'!$C$238:$C$451,$C211,'TL10'!$J$238:$J$451),0),
IF('TL11'!$B$3=N$3,SUMIF('TL11'!$C$10:$C$224,$C211,'TL11'!$J$10:$J$224),0),
IF('TL11'!$B$229=N$3,SUMIF('TL11'!$C$238:$C$451,$C211,'TL11'!$J$238:$J$451),0),
IF('TL12'!$B$3=N$3,SUMIF('TL12'!$C$10:$C$224,$C211,'TL12'!$J$10:$J$224),0),
IF('TL12'!$B$229=N$3,SUMIF('TL12'!$C$238:$C$451,$C211,'TL12'!$J$238:$J$451),0),
IF('TL13'!$B$3=N$3,SUMIF('TL13'!$C$10:$C$224,$C211,'TL13'!$J$10:$J$224),0),
IF('TL13'!$B$229=N$3,SUMIF('TL13'!$C$238:$C$451,$C211,'TL13'!$J$238:$J$451),0),
IF('TL14'!$B$3=N$3,SUMIF('TL14'!$C$10:$C$224,$C211,'TL14'!$J$10:$J$224),0),
IF('TL14'!$B$229=N$3,SUMIF('TL14'!$C$238:$C$451,$C211,'TL14'!$J$238:$J$451),0),
IF('TL15'!$B$3=N$3,SUMIF('TL15'!$C$10:$C$224,$C211,'TL15'!$J$10:$J$224),0),
IF('TL15'!$B$229=N$3,SUMIF('TL15'!$C$238:$C$451,$C211,'TL15'!$J$238:$J$451),0),
IF('TL16'!$B$3=N$3,SUMIF('TL16'!$C$10:$C$224,$C211,'TL16'!$J$10:$J$224),0),
IF('TL16'!$B$229=N$3,SUMIF('TL16'!$C$238:$C$451,$C211,'TL16'!$J$238:$J$451),0),
IF('TL17'!$B$3=N$3,SUMIF('TL17'!$C$10:$C$224,$C211,'TL17'!$J$10:$J$224),0),
IF('TL17'!$B$229=N$3,SUMIF('TL17'!$C$238:$C$451,$C211,'TL17'!$J$238:$J$451),0),
IF('TL18'!$B$3=N$3,SUMIF('TL18'!$C$10:$C$224,$C211,'TL18'!$J$10:$J$224),0),
IF('TL18'!$B$229=N$3,SUMIF('TL18'!$C$238:$C$451,$C211,'TL18'!$J$238:$J$451),0),
IF('TL19'!$B$3=N$3,SUMIF('TL19'!$C$10:$C$224,$C211,'TL19'!$J$10:$J$224),0),
IF('TL19'!$B$229=N$3,SUMIF('TL19'!$C$238:$C$451,$C211,'TL19'!$J$238:$J$451),0)
),0)</f>
        <v/>
      </c>
      <c r="O211" s="9">
        <f>IFERROR(SUM(
IF('TL01'!$B$3=O$3,SUMIF('TL01'!$C$10:$C$224,$C211,'TL01'!$J$10:$J$224),0),
IF('TL01'!$B$229=O$3,SUMIF('TL01'!$C$238:$C$451,$C211,'TL01'!$J$238:$J$451),0),
IF('TL02'!$B$3=O$3,SUMIF('TL02'!$C$10:$C$224,$C211,'TL02'!$J$10:$J$224),0),
IF('TL02'!$B$229=O$3,SUMIF('TL02'!$C$238:$C$451,$C211,'TL02'!$J$238:$J$451),0),
IF('TL03'!$B$3=O$3,SUMIF('TL03'!$C$10:$C$224,$C211,'TL03'!$J$10:$J$224),0),
IF('TL03'!$B$229=O$3,SUMIF('TL03'!$C$238:$C$451,$C211,'TL03'!$J$238:$J$451),0),
IF('TL04'!$B$3=O$3,SUMIF('TL04'!$C$10:$C$224,$C211,'TL04'!$J$10:$J$224),0),
IF('TL04'!$B$229=O$3,SUMIF('TL04'!$C$238:$C$451,$C211,'TL04'!$J$238:$J$451),0),
IF('TL05'!$B$3=O$3,SUMIF('TL05'!$C$10:$C$224,$C211,'TL05'!$J$10:$J$224),0),
IF('TL05'!$B$229=O$3,SUMIF('TL05'!$C$238:$C$451,$C211,'TL05'!$J$238:$J$451),0),
IF('TL06'!$B$3=O$3,SUMIF('TL06'!$C$10:$C$224,$C211,'TL06'!$J$10:$J$224),0),
IF('TL06'!$B$229=O$3,SUMIF('TL06'!$C$238:$C$451,$C211,'TL06'!$J$238:$J$451),0),
IF('TL07'!$B$3=O$3,SUMIF('TL07'!$C$10:$C$224,$C211,'TL07'!$J$10:$J$224),0),
IF('TL07'!$B$229=O$3,SUMIF('TL07'!$C$238:$C$451,$C211,'TL07'!$J$238:$J$451),0),
IF('TL08'!$B$3=O$3,SUMIF('TL08'!$C$10:$C$224,$C211,'TL08'!$J$10:$J$224),0),
IF('TL08'!$B$229=O$3,SUMIF('TL08'!$C$238:$C$451,$C211,'TL08'!$J$238:$J$451),0),
IF('TL09'!$B$3=O$3,SUMIF('TL09'!$C$10:$C$224,$C211,'TL09'!$J$10:$J$224),0),
IF('TL09'!$B$229=O$3,SUMIF('TL09'!$C$238:$C$451,$C211,'TL09'!$J$238:$J$451),0),
IF('TL10'!$B$3=O$3,SUMIF('TL10'!$C$10:$C$224,$C211,'TL10'!$J$10:$J$224),0),
IF('TL10'!$B$229=O$3,SUMIF('TL10'!$C$238:$C$451,$C211,'TL10'!$J$238:$J$451),0),
IF('TL11'!$B$3=O$3,SUMIF('TL11'!$C$10:$C$224,$C211,'TL11'!$J$10:$J$224),0),
IF('TL11'!$B$229=O$3,SUMIF('TL11'!$C$238:$C$451,$C211,'TL11'!$J$238:$J$451),0),
IF('TL12'!$B$3=O$3,SUMIF('TL12'!$C$10:$C$224,$C211,'TL12'!$J$10:$J$224),0),
IF('TL12'!$B$229=O$3,SUMIF('TL12'!$C$238:$C$451,$C211,'TL12'!$J$238:$J$451),0),
IF('TL13'!$B$3=O$3,SUMIF('TL13'!$C$10:$C$224,$C211,'TL13'!$J$10:$J$224),0),
IF('TL13'!$B$229=O$3,SUMIF('TL13'!$C$238:$C$451,$C211,'TL13'!$J$238:$J$451),0),
IF('TL14'!$B$3=O$3,SUMIF('TL14'!$C$10:$C$224,$C211,'TL14'!$J$10:$J$224),0),
IF('TL14'!$B$229=O$3,SUMIF('TL14'!$C$238:$C$451,$C211,'TL14'!$J$238:$J$451),0),
IF('TL15'!$B$3=O$3,SUMIF('TL15'!$C$10:$C$224,$C211,'TL15'!$J$10:$J$224),0),
IF('TL15'!$B$229=O$3,SUMIF('TL15'!$C$238:$C$451,$C211,'TL15'!$J$238:$J$451),0),
IF('TL16'!$B$3=O$3,SUMIF('TL16'!$C$10:$C$224,$C211,'TL16'!$J$10:$J$224),0),
IF('TL16'!$B$229=O$3,SUMIF('TL16'!$C$238:$C$451,$C211,'TL16'!$J$238:$J$451),0),
IF('TL17'!$B$3=O$3,SUMIF('TL17'!$C$10:$C$224,$C211,'TL17'!$J$10:$J$224),0),
IF('TL17'!$B$229=O$3,SUMIF('TL17'!$C$238:$C$451,$C211,'TL17'!$J$238:$J$451),0),
IF('TL18'!$B$3=O$3,SUMIF('TL18'!$C$10:$C$224,$C211,'TL18'!$J$10:$J$224),0),
IF('TL18'!$B$229=O$3,SUMIF('TL18'!$C$238:$C$451,$C211,'TL18'!$J$238:$J$451),0),
IF('TL19'!$B$3=O$3,SUMIF('TL19'!$C$10:$C$224,$C211,'TL19'!$J$10:$J$224),0),
IF('TL19'!$B$229=O$3,SUMIF('TL19'!$C$238:$C$451,$C211,'TL19'!$J$238:$J$451),0)
),0)</f>
        <v/>
      </c>
      <c r="P211" s="9">
        <f>IFERROR(SUM(
IF('TL01'!$B$3=P$3,SUMIF('TL01'!$C$10:$C$224,$C211,'TL01'!$J$10:$J$224),0),
IF('TL01'!$B$229=P$3,SUMIF('TL01'!$C$238:$C$451,$C211,'TL01'!$J$238:$J$451),0),
IF('TL02'!$B$3=P$3,SUMIF('TL02'!$C$10:$C$224,$C211,'TL02'!$J$10:$J$224),0),
IF('TL02'!$B$229=P$3,SUMIF('TL02'!$C$238:$C$451,$C211,'TL02'!$J$238:$J$451),0),
IF('TL03'!$B$3=P$3,SUMIF('TL03'!$C$10:$C$224,$C211,'TL03'!$J$10:$J$224),0),
IF('TL03'!$B$229=P$3,SUMIF('TL03'!$C$238:$C$451,$C211,'TL03'!$J$238:$J$451),0),
IF('TL04'!$B$3=P$3,SUMIF('TL04'!$C$10:$C$224,$C211,'TL04'!$J$10:$J$224),0),
IF('TL04'!$B$229=P$3,SUMIF('TL04'!$C$238:$C$451,$C211,'TL04'!$J$238:$J$451),0),
IF('TL05'!$B$3=P$3,SUMIF('TL05'!$C$10:$C$224,$C211,'TL05'!$J$10:$J$224),0),
IF('TL05'!$B$229=P$3,SUMIF('TL05'!$C$238:$C$451,$C211,'TL05'!$J$238:$J$451),0),
IF('TL06'!$B$3=P$3,SUMIF('TL06'!$C$10:$C$224,$C211,'TL06'!$J$10:$J$224),0),
IF('TL06'!$B$229=P$3,SUMIF('TL06'!$C$238:$C$451,$C211,'TL06'!$J$238:$J$451),0),
IF('TL07'!$B$3=P$3,SUMIF('TL07'!$C$10:$C$224,$C211,'TL07'!$J$10:$J$224),0),
IF('TL07'!$B$229=P$3,SUMIF('TL07'!$C$238:$C$451,$C211,'TL07'!$J$238:$J$451),0),
IF('TL08'!$B$3=P$3,SUMIF('TL08'!$C$10:$C$224,$C211,'TL08'!$J$10:$J$224),0),
IF('TL08'!$B$229=P$3,SUMIF('TL08'!$C$238:$C$451,$C211,'TL08'!$J$238:$J$451),0),
IF('TL09'!$B$3=P$3,SUMIF('TL09'!$C$10:$C$224,$C211,'TL09'!$J$10:$J$224),0),
IF('TL09'!$B$229=P$3,SUMIF('TL09'!$C$238:$C$451,$C211,'TL09'!$J$238:$J$451),0),
IF('TL10'!$B$3=P$3,SUMIF('TL10'!$C$10:$C$224,$C211,'TL10'!$J$10:$J$224),0),
IF('TL10'!$B$229=P$3,SUMIF('TL10'!$C$238:$C$451,$C211,'TL10'!$J$238:$J$451),0),
IF('TL11'!$B$3=P$3,SUMIF('TL11'!$C$10:$C$224,$C211,'TL11'!$J$10:$J$224),0),
IF('TL11'!$B$229=P$3,SUMIF('TL11'!$C$238:$C$451,$C211,'TL11'!$J$238:$J$451),0),
IF('TL12'!$B$3=P$3,SUMIF('TL12'!$C$10:$C$224,$C211,'TL12'!$J$10:$J$224),0),
IF('TL12'!$B$229=P$3,SUMIF('TL12'!$C$238:$C$451,$C211,'TL12'!$J$238:$J$451),0),
IF('TL13'!$B$3=P$3,SUMIF('TL13'!$C$10:$C$224,$C211,'TL13'!$J$10:$J$224),0),
IF('TL13'!$B$229=P$3,SUMIF('TL13'!$C$238:$C$451,$C211,'TL13'!$J$238:$J$451),0),
IF('TL14'!$B$3=P$3,SUMIF('TL14'!$C$10:$C$224,$C211,'TL14'!$J$10:$J$224),0),
IF('TL14'!$B$229=P$3,SUMIF('TL14'!$C$238:$C$451,$C211,'TL14'!$J$238:$J$451),0),
IF('TL15'!$B$3=P$3,SUMIF('TL15'!$C$10:$C$224,$C211,'TL15'!$J$10:$J$224),0),
IF('TL15'!$B$229=P$3,SUMIF('TL15'!$C$238:$C$451,$C211,'TL15'!$J$238:$J$451),0),
IF('TL16'!$B$3=P$3,SUMIF('TL16'!$C$10:$C$224,$C211,'TL16'!$J$10:$J$224),0),
IF('TL16'!$B$229=P$3,SUMIF('TL16'!$C$238:$C$451,$C211,'TL16'!$J$238:$J$451),0),
IF('TL17'!$B$3=P$3,SUMIF('TL17'!$C$10:$C$224,$C211,'TL17'!$J$10:$J$224),0),
IF('TL17'!$B$229=P$3,SUMIF('TL17'!$C$238:$C$451,$C211,'TL17'!$J$238:$J$451),0),
IF('TL18'!$B$3=P$3,SUMIF('TL18'!$C$10:$C$224,$C211,'TL18'!$J$10:$J$224),0),
IF('TL18'!$B$229=P$3,SUMIF('TL18'!$C$238:$C$451,$C211,'TL18'!$J$238:$J$451),0),
IF('TL19'!$B$3=P$3,SUMIF('TL19'!$C$10:$C$224,$C211,'TL19'!$J$10:$J$224),0),
IF('TL19'!$B$229=P$3,SUMIF('TL19'!$C$238:$C$451,$C211,'TL19'!$J$238:$J$451),0)
),0)</f>
        <v/>
      </c>
      <c r="Q211" s="9">
        <f>IFERROR(SUM(
IF('TL01'!$B$3=Q$3,SUMIF('TL01'!$C$10:$C$224,$C211,'TL01'!$J$10:$J$224),0),
IF('TL01'!$B$229=Q$3,SUMIF('TL01'!$C$238:$C$451,$C211,'TL01'!$J$238:$J$451),0),
IF('TL02'!$B$3=Q$3,SUMIF('TL02'!$C$10:$C$224,$C211,'TL02'!$J$10:$J$224),0),
IF('TL02'!$B$229=Q$3,SUMIF('TL02'!$C$238:$C$451,$C211,'TL02'!$J$238:$J$451),0),
IF('TL03'!$B$3=Q$3,SUMIF('TL03'!$C$10:$C$224,$C211,'TL03'!$J$10:$J$224),0),
IF('TL03'!$B$229=Q$3,SUMIF('TL03'!$C$238:$C$451,$C211,'TL03'!$J$238:$J$451),0),
IF('TL04'!$B$3=Q$3,SUMIF('TL04'!$C$10:$C$224,$C211,'TL04'!$J$10:$J$224),0),
IF('TL04'!$B$229=Q$3,SUMIF('TL04'!$C$238:$C$451,$C211,'TL04'!$J$238:$J$451),0),
IF('TL05'!$B$3=Q$3,SUMIF('TL05'!$C$10:$C$224,$C211,'TL05'!$J$10:$J$224),0),
IF('TL05'!$B$229=Q$3,SUMIF('TL05'!$C$238:$C$451,$C211,'TL05'!$J$238:$J$451),0),
IF('TL06'!$B$3=Q$3,SUMIF('TL06'!$C$10:$C$224,$C211,'TL06'!$J$10:$J$224),0),
IF('TL06'!$B$229=Q$3,SUMIF('TL06'!$C$238:$C$451,$C211,'TL06'!$J$238:$J$451),0),
IF('TL07'!$B$3=Q$3,SUMIF('TL07'!$C$10:$C$224,$C211,'TL07'!$J$10:$J$224),0),
IF('TL07'!$B$229=Q$3,SUMIF('TL07'!$C$238:$C$451,$C211,'TL07'!$J$238:$J$451),0),
IF('TL08'!$B$3=Q$3,SUMIF('TL08'!$C$10:$C$224,$C211,'TL08'!$J$10:$J$224),0),
IF('TL08'!$B$229=Q$3,SUMIF('TL08'!$C$238:$C$451,$C211,'TL08'!$J$238:$J$451),0),
IF('TL09'!$B$3=Q$3,SUMIF('TL09'!$C$10:$C$224,$C211,'TL09'!$J$10:$J$224),0),
IF('TL09'!$B$229=Q$3,SUMIF('TL09'!$C$238:$C$451,$C211,'TL09'!$J$238:$J$451),0),
IF('TL10'!$B$3=Q$3,SUMIF('TL10'!$C$10:$C$224,$C211,'TL10'!$J$10:$J$224),0),
IF('TL10'!$B$229=Q$3,SUMIF('TL10'!$C$238:$C$451,$C211,'TL10'!$J$238:$J$451),0),
IF('TL11'!$B$3=Q$3,SUMIF('TL11'!$C$10:$C$224,$C211,'TL11'!$J$10:$J$224),0),
IF('TL11'!$B$229=Q$3,SUMIF('TL11'!$C$238:$C$451,$C211,'TL11'!$J$238:$J$451),0),
IF('TL12'!$B$3=Q$3,SUMIF('TL12'!$C$10:$C$224,$C211,'TL12'!$J$10:$J$224),0),
IF('TL12'!$B$229=Q$3,SUMIF('TL12'!$C$238:$C$451,$C211,'TL12'!$J$238:$J$451),0),
IF('TL13'!$B$3=Q$3,SUMIF('TL13'!$C$10:$C$224,$C211,'TL13'!$J$10:$J$224),0),
IF('TL13'!$B$229=Q$3,SUMIF('TL13'!$C$238:$C$451,$C211,'TL13'!$J$238:$J$451),0),
IF('TL14'!$B$3=Q$3,SUMIF('TL14'!$C$10:$C$224,$C211,'TL14'!$J$10:$J$224),0),
IF('TL14'!$B$229=Q$3,SUMIF('TL14'!$C$238:$C$451,$C211,'TL14'!$J$238:$J$451),0),
IF('TL15'!$B$3=Q$3,SUMIF('TL15'!$C$10:$C$224,$C211,'TL15'!$J$10:$J$224),0),
IF('TL15'!$B$229=Q$3,SUMIF('TL15'!$C$238:$C$451,$C211,'TL15'!$J$238:$J$451),0),
IF('TL16'!$B$3=Q$3,SUMIF('TL16'!$C$10:$C$224,$C211,'TL16'!$J$10:$J$224),0),
IF('TL16'!$B$229=Q$3,SUMIF('TL16'!$C$238:$C$451,$C211,'TL16'!$J$238:$J$451),0),
IF('TL17'!$B$3=Q$3,SUMIF('TL17'!$C$10:$C$224,$C211,'TL17'!$J$10:$J$224),0),
IF('TL17'!$B$229=Q$3,SUMIF('TL17'!$C$238:$C$451,$C211,'TL17'!$J$238:$J$451),0),
IF('TL18'!$B$3=Q$3,SUMIF('TL18'!$C$10:$C$224,$C211,'TL18'!$J$10:$J$224),0),
IF('TL18'!$B$229=Q$3,SUMIF('TL18'!$C$238:$C$451,$C211,'TL18'!$J$238:$J$451),0),
IF('TL19'!$B$3=Q$3,SUMIF('TL19'!$C$10:$C$224,$C211,'TL19'!$J$10:$J$224),0),
IF('TL19'!$B$229=Q$3,SUMIF('TL19'!$C$238:$C$451,$C211,'TL19'!$J$238:$J$451),0)
),0)</f>
        <v/>
      </c>
      <c r="R211" s="9">
        <f>IFERROR(
SUM(
SUMIF('TL01'!C:C,C211,'TL01'!J:J),
SUMIF('TL02'!C:C,C211,'TL02'!J:J),
SUMIF('TL03'!C:C,C211,'TL03'!J:J),
SUMIF('TL04'!C:C,C211,'TL04'!J:J),
SUMIF('TL05'!C:C,C211,'TL05'!J:J),
SUMIF('TL06'!C:C,C211,'TL06'!J:J),
SUMIF('TL07'!C:C,C211,'TL07'!J:J),
SUMIF('TL08'!C:C,C211,'TL08'!J:J),
SUMIF('TL09'!C:C,C211,'TL09'!J:J),
SUMIF('TL10'!C:C,C211,'TL10'!J:J),
SUMIF('TL11'!C:C,C211,'TL11'!J:J),
SUMIF('TL12'!C:C,C211,'TL12'!J:J),
SUMIF('TL13'!C:C,C211,'TL13'!J:J),
SUMIF('TL14'!C:C,C211,'TL14'!J:J),
SUMIF('TL15'!C:C,C211,'TL15'!J:J),
SUMIF('TL16'!C:C,C211,'TL16'!J:J),
SUMIF('TL17'!C:C,C211,'TL17'!J:J),
SUMIF('TL18'!C:C,C211,'TL18'!J:J),SUMIF('TL19'!C:C,C211,'TL19'!J:J))
,0)</f>
        <v/>
      </c>
      <c r="S211" s="17">
        <f>IFERROR(__xludf.DUMMYFUNCTION("IFERROR(VLOOKUP(C211,
IMPORTRANGE(""1wULbzX32WdYsx-lj2U3uUNBBe2INVIRDtcK0d-Dvl90"",
""26-27!C:G""),
5,
FALSE),
"""")"),38.557289999999995)</f>
        <v/>
      </c>
      <c r="T211" s="9" t="n"/>
      <c r="U211" s="92">
        <f>MAX(0,R211-T211)</f>
        <v/>
      </c>
      <c r="V211" s="93">
        <f>U211*S211</f>
        <v/>
      </c>
    </row>
    <row r="212" hidden="1" ht="15.75" customHeight="1" s="297">
      <c r="A212" s="87" t="inlineStr">
        <is>
          <t>NORTOX</t>
        </is>
      </c>
      <c r="B212" s="88" t="inlineStr">
        <is>
          <t>INSETICIDA</t>
        </is>
      </c>
      <c r="C212" s="89" t="inlineStr">
        <is>
          <t>CLORPIRIFÓS NORTOX EC</t>
        </is>
      </c>
      <c r="D212" s="89" t="inlineStr">
        <is>
          <t>CLORPIRIFÓS</t>
        </is>
      </c>
      <c r="E212" s="89" t="n">
        <v>480</v>
      </c>
      <c r="F212" s="4" t="inlineStr">
        <is>
          <t>L</t>
        </is>
      </c>
      <c r="G212" s="90">
        <f>HYPERLINK("https://www.google.com/search?q=" &amp; C212 &amp; "+bula+agrofit+pdf", "📄 Ver bula")</f>
        <v/>
      </c>
      <c r="H212" s="9">
        <f>IFERROR(__xludf.DUMMYFUNCTION("IFERROR(VLOOKUP(C212,
IMPORTRANGE(""1wULbzX32WdYsx-lj2U3uUNBBe2INVIRDtcK0d-Dvl90"",
""26-27!C:K""),
8,
FALSE),
"""")"),1.0)</f>
        <v/>
      </c>
      <c r="I212" s="91" t="inlineStr">
        <is>
          <t>1x20</t>
        </is>
      </c>
      <c r="J212" s="9">
        <f>IFERROR(SUM(
IF('TL01'!$B$3=J$3,SUMIF('TL01'!$C$10:$C$224,$C212,'TL01'!$J$10:$J$224),0),
IF('TL01'!$B$229=J$3,SUMIF('TL01'!$C$238:$C$451,$C212,'TL01'!$J$238:$J$451),0),
IF('TL02'!$B$3=J$3,SUMIF('TL02'!$C$10:$C$224,$C212,'TL02'!$J$10:$J$224),0),
IF('TL02'!$B$229=J$3,SUMIF('TL02'!$C$238:$C$451,$C212,'TL02'!$J$238:$J$451),0),
IF('TL03'!$B$3=J$3,SUMIF('TL03'!$C$10:$C$224,$C212,'TL03'!$J$10:$J$224),0),
IF('TL03'!$B$229=J$3,SUMIF('TL03'!$C$238:$C$451,$C212,'TL03'!$J$238:$J$451),0),
IF('TL04'!$B$3=J$3,SUMIF('TL04'!$C$10:$C$224,$C212,'TL04'!$J$10:$J$224),0),
IF('TL04'!$B$229=J$3,SUMIF('TL04'!$C$238:$C$451,$C212,'TL04'!$J$238:$J$451),0),
IF('TL05'!$B$3=J$3,SUMIF('TL05'!$C$10:$C$224,$C212,'TL05'!$J$10:$J$224),0),
IF('TL05'!$B$229=J$3,SUMIF('TL05'!$C$238:$C$451,$C212,'TL05'!$J$238:$J$451),0),
IF('TL06'!$B$3=J$3,SUMIF('TL06'!$C$10:$C$224,$C212,'TL06'!$J$10:$J$224),0),
IF('TL06'!$B$229=J$3,SUMIF('TL06'!$C$238:$C$451,$C212,'TL06'!$J$238:$J$451),0),
IF('TL07'!$B$3=J$3,SUMIF('TL07'!$C$10:$C$224,$C212,'TL07'!$J$10:$J$224),0),
IF('TL07'!$B$229=J$3,SUMIF('TL07'!$C$238:$C$451,$C212,'TL07'!$J$238:$J$451),0),
IF('TL08'!$B$3=J$3,SUMIF('TL08'!$C$10:$C$224,$C212,'TL08'!$J$10:$J$224),0),
IF('TL08'!$B$229=J$3,SUMIF('TL08'!$C$238:$C$451,$C212,'TL08'!$J$238:$J$451),0),
IF('TL09'!$B$3=J$3,SUMIF('TL09'!$C$10:$C$224,$C212,'TL09'!$J$10:$J$224),0),
IF('TL09'!$B$229=J$3,SUMIF('TL09'!$C$238:$C$451,$C212,'TL09'!$J$238:$J$451),0),
IF('TL10'!$B$3=J$3,SUMIF('TL10'!$C$10:$C$224,$C212,'TL10'!$J$10:$J$224),0),
IF('TL10'!$B$229=J$3,SUMIF('TL10'!$C$238:$C$451,$C212,'TL10'!$J$238:$J$451),0),
IF('TL11'!$B$3=J$3,SUMIF('TL11'!$C$10:$C$224,$C212,'TL11'!$J$10:$J$224),0),
IF('TL11'!$B$229=J$3,SUMIF('TL11'!$C$238:$C$451,$C212,'TL11'!$J$238:$J$451),0),
IF('TL12'!$B$3=J$3,SUMIF('TL12'!$C$10:$C$224,$C212,'TL12'!$J$10:$J$224),0),
IF('TL12'!$B$229=J$3,SUMIF('TL12'!$C$238:$C$451,$C212,'TL12'!$J$238:$J$451),0),
IF('TL13'!$B$3=J$3,SUMIF('TL13'!$C$10:$C$224,$C212,'TL13'!$J$10:$J$224),0),
IF('TL13'!$B$229=J$3,SUMIF('TL13'!$C$238:$C$451,$C212,'TL13'!$J$238:$J$451),0),
IF('TL14'!$B$3=J$3,SUMIF('TL14'!$C$10:$C$224,$C212,'TL14'!$J$10:$J$224),0),
IF('TL14'!$B$229=J$3,SUMIF('TL14'!$C$238:$C$451,$C212,'TL14'!$J$238:$J$451),0),
IF('TL15'!$B$3=J$3,SUMIF('TL15'!$C$10:$C$224,$C212,'TL15'!$J$10:$J$224),0),
IF('TL15'!$B$229=J$3,SUMIF('TL15'!$C$238:$C$451,$C212,'TL15'!$J$238:$J$451),0),
IF('TL16'!$B$3=J$3,SUMIF('TL16'!$C$10:$C$224,$C212,'TL16'!$J$10:$J$224),0),
IF('TL16'!$B$229=J$3,SUMIF('TL16'!$C$238:$C$451,$C212,'TL16'!$J$238:$J$451),0),
IF('TL17'!$B$3=J$3,SUMIF('TL17'!$C$10:$C$224,$C212,'TL17'!$J$10:$J$224),0),
IF('TL17'!$B$229=J$3,SUMIF('TL17'!$C$238:$C$451,$C212,'TL17'!$J$238:$J$451),0),
IF('TL18'!$B$3=J$3,SUMIF('TL18'!$C$10:$C$224,$C212,'TL18'!$J$10:$J$224),0),
IF('TL18'!$B$229=J$3,SUMIF('TL18'!$C$238:$C$451,$C212,'TL18'!$J$238:$J$451),0),
IF('TL19'!$B$3=J$3,SUMIF('TL19'!$C$10:$C$224,$C212,'TL19'!$J$10:$J$224),0),
IF('TL19'!$B$229=J$3,SUMIF('TL19'!$C$238:$C$451,$C212,'TL19'!$J$238:$J$451),0)
),0)</f>
        <v/>
      </c>
      <c r="K212" s="9">
        <f>IFERROR(SUM(
IF('TL01'!$B$3=K$3,SUMIF('TL01'!$C$10:$C$224,$C212,'TL01'!$J$10:$J$224),0),
IF('TL01'!$B$229=K$3,SUMIF('TL01'!$C$238:$C$451,$C212,'TL01'!$J$238:$J$451),0),
IF('TL02'!$B$3=K$3,SUMIF('TL02'!$C$10:$C$224,$C212,'TL02'!$J$10:$J$224),0),
IF('TL02'!$B$229=K$3,SUMIF('TL02'!$C$238:$C$451,$C212,'TL02'!$J$238:$J$451),0),
IF('TL03'!$B$3=K$3,SUMIF('TL03'!$C$10:$C$224,$C212,'TL03'!$J$10:$J$224),0),
IF('TL03'!$B$229=K$3,SUMIF('TL03'!$C$238:$C$451,$C212,'TL03'!$J$238:$J$451),0),
IF('TL04'!$B$3=K$3,SUMIF('TL04'!$C$10:$C$224,$C212,'TL04'!$J$10:$J$224),0),
IF('TL04'!$B$229=K$3,SUMIF('TL04'!$C$238:$C$451,$C212,'TL04'!$J$238:$J$451),0),
IF('TL05'!$B$3=K$3,SUMIF('TL05'!$C$10:$C$224,$C212,'TL05'!$J$10:$J$224),0),
IF('TL05'!$B$229=K$3,SUMIF('TL05'!$C$238:$C$451,$C212,'TL05'!$J$238:$J$451),0),
IF('TL06'!$B$3=K$3,SUMIF('TL06'!$C$10:$C$224,$C212,'TL06'!$J$10:$J$224),0),
IF('TL06'!$B$229=K$3,SUMIF('TL06'!$C$238:$C$451,$C212,'TL06'!$J$238:$J$451),0),
IF('TL07'!$B$3=K$3,SUMIF('TL07'!$C$10:$C$224,$C212,'TL07'!$J$10:$J$224),0),
IF('TL07'!$B$229=K$3,SUMIF('TL07'!$C$238:$C$451,$C212,'TL07'!$J$238:$J$451),0),
IF('TL08'!$B$3=K$3,SUMIF('TL08'!$C$10:$C$224,$C212,'TL08'!$J$10:$J$224),0),
IF('TL08'!$B$229=K$3,SUMIF('TL08'!$C$238:$C$451,$C212,'TL08'!$J$238:$J$451),0),
IF('TL09'!$B$3=K$3,SUMIF('TL09'!$C$10:$C$224,$C212,'TL09'!$J$10:$J$224),0),
IF('TL09'!$B$229=K$3,SUMIF('TL09'!$C$238:$C$451,$C212,'TL09'!$J$238:$J$451),0),
IF('TL10'!$B$3=K$3,SUMIF('TL10'!$C$10:$C$224,$C212,'TL10'!$J$10:$J$224),0),
IF('TL10'!$B$229=K$3,SUMIF('TL10'!$C$238:$C$451,$C212,'TL10'!$J$238:$J$451),0),
IF('TL11'!$B$3=K$3,SUMIF('TL11'!$C$10:$C$224,$C212,'TL11'!$J$10:$J$224),0),
IF('TL11'!$B$229=K$3,SUMIF('TL11'!$C$238:$C$451,$C212,'TL11'!$J$238:$J$451),0),
IF('TL12'!$B$3=K$3,SUMIF('TL12'!$C$10:$C$224,$C212,'TL12'!$J$10:$J$224),0),
IF('TL12'!$B$229=K$3,SUMIF('TL12'!$C$238:$C$451,$C212,'TL12'!$J$238:$J$451),0),
IF('TL13'!$B$3=K$3,SUMIF('TL13'!$C$10:$C$224,$C212,'TL13'!$J$10:$J$224),0),
IF('TL13'!$B$229=K$3,SUMIF('TL13'!$C$238:$C$451,$C212,'TL13'!$J$238:$J$451),0),
IF('TL14'!$B$3=K$3,SUMIF('TL14'!$C$10:$C$224,$C212,'TL14'!$J$10:$J$224),0),
IF('TL14'!$B$229=K$3,SUMIF('TL14'!$C$238:$C$451,$C212,'TL14'!$J$238:$J$451),0),
IF('TL15'!$B$3=K$3,SUMIF('TL15'!$C$10:$C$224,$C212,'TL15'!$J$10:$J$224),0),
IF('TL15'!$B$229=K$3,SUMIF('TL15'!$C$238:$C$451,$C212,'TL15'!$J$238:$J$451),0),
IF('TL16'!$B$3=K$3,SUMIF('TL16'!$C$10:$C$224,$C212,'TL16'!$J$10:$J$224),0),
IF('TL16'!$B$229=K$3,SUMIF('TL16'!$C$238:$C$451,$C212,'TL16'!$J$238:$J$451),0),
IF('TL17'!$B$3=K$3,SUMIF('TL17'!$C$10:$C$224,$C212,'TL17'!$J$10:$J$224),0),
IF('TL17'!$B$229=K$3,SUMIF('TL17'!$C$238:$C$451,$C212,'TL17'!$J$238:$J$451),0),
IF('TL18'!$B$3=K$3,SUMIF('TL18'!$C$10:$C$224,$C212,'TL18'!$J$10:$J$224),0),
IF('TL18'!$B$229=K$3,SUMIF('TL18'!$C$238:$C$451,$C212,'TL18'!$J$238:$J$451),0),
IF('TL19'!$B$3=K$3,SUMIF('TL19'!$C$10:$C$224,$C212,'TL19'!$J$10:$J$224),0),
IF('TL19'!$B$229=K$3,SUMIF('TL19'!$C$238:$C$451,$C212,'TL19'!$J$238:$J$451),0)
),0)</f>
        <v/>
      </c>
      <c r="L212" s="9">
        <f>IFERROR(SUM(
IF('TL01'!$B$3=L$3,SUMIF('TL01'!$C$10:$C$224,$C212,'TL01'!$J$10:$J$224),0),
IF('TL01'!$B$229=L$3,SUMIF('TL01'!$C$238:$C$451,$C212,'TL01'!$J$238:$J$451),0),
IF('TL02'!$B$3=L$3,SUMIF('TL02'!$C$10:$C$224,$C212,'TL02'!$J$10:$J$224),0),
IF('TL02'!$B$229=L$3,SUMIF('TL02'!$C$238:$C$451,$C212,'TL02'!$J$238:$J$451),0),
IF('TL03'!$B$3=L$3,SUMIF('TL03'!$C$10:$C$224,$C212,'TL03'!$J$10:$J$224),0),
IF('TL03'!$B$229=L$3,SUMIF('TL03'!$C$238:$C$451,$C212,'TL03'!$J$238:$J$451),0),
IF('TL04'!$B$3=L$3,SUMIF('TL04'!$C$10:$C$224,$C212,'TL04'!$J$10:$J$224),0),
IF('TL04'!$B$229=L$3,SUMIF('TL04'!$C$238:$C$451,$C212,'TL04'!$J$238:$J$451),0),
IF('TL05'!$B$3=L$3,SUMIF('TL05'!$C$10:$C$224,$C212,'TL05'!$J$10:$J$224),0),
IF('TL05'!$B$229=L$3,SUMIF('TL05'!$C$238:$C$451,$C212,'TL05'!$J$238:$J$451),0),
IF('TL06'!$B$3=L$3,SUMIF('TL06'!$C$10:$C$224,$C212,'TL06'!$J$10:$J$224),0),
IF('TL06'!$B$229=L$3,SUMIF('TL06'!$C$238:$C$451,$C212,'TL06'!$J$238:$J$451),0),
IF('TL07'!$B$3=L$3,SUMIF('TL07'!$C$10:$C$224,$C212,'TL07'!$J$10:$J$224),0),
IF('TL07'!$B$229=L$3,SUMIF('TL07'!$C$238:$C$451,$C212,'TL07'!$J$238:$J$451),0),
IF('TL08'!$B$3=L$3,SUMIF('TL08'!$C$10:$C$224,$C212,'TL08'!$J$10:$J$224),0),
IF('TL08'!$B$229=L$3,SUMIF('TL08'!$C$238:$C$451,$C212,'TL08'!$J$238:$J$451),0),
IF('TL09'!$B$3=L$3,SUMIF('TL09'!$C$10:$C$224,$C212,'TL09'!$J$10:$J$224),0),
IF('TL09'!$B$229=L$3,SUMIF('TL09'!$C$238:$C$451,$C212,'TL09'!$J$238:$J$451),0),
IF('TL10'!$B$3=L$3,SUMIF('TL10'!$C$10:$C$224,$C212,'TL10'!$J$10:$J$224),0),
IF('TL10'!$B$229=L$3,SUMIF('TL10'!$C$238:$C$451,$C212,'TL10'!$J$238:$J$451),0),
IF('TL11'!$B$3=L$3,SUMIF('TL11'!$C$10:$C$224,$C212,'TL11'!$J$10:$J$224),0),
IF('TL11'!$B$229=L$3,SUMIF('TL11'!$C$238:$C$451,$C212,'TL11'!$J$238:$J$451),0),
IF('TL12'!$B$3=L$3,SUMIF('TL12'!$C$10:$C$224,$C212,'TL12'!$J$10:$J$224),0),
IF('TL12'!$B$229=L$3,SUMIF('TL12'!$C$238:$C$451,$C212,'TL12'!$J$238:$J$451),0),
IF('TL13'!$B$3=L$3,SUMIF('TL13'!$C$10:$C$224,$C212,'TL13'!$J$10:$J$224),0),
IF('TL13'!$B$229=L$3,SUMIF('TL13'!$C$238:$C$451,$C212,'TL13'!$J$238:$J$451),0),
IF('TL14'!$B$3=L$3,SUMIF('TL14'!$C$10:$C$224,$C212,'TL14'!$J$10:$J$224),0),
IF('TL14'!$B$229=L$3,SUMIF('TL14'!$C$238:$C$451,$C212,'TL14'!$J$238:$J$451),0),
IF('TL15'!$B$3=L$3,SUMIF('TL15'!$C$10:$C$224,$C212,'TL15'!$J$10:$J$224),0),
IF('TL15'!$B$229=L$3,SUMIF('TL15'!$C$238:$C$451,$C212,'TL15'!$J$238:$J$451),0),
IF('TL16'!$B$3=L$3,SUMIF('TL16'!$C$10:$C$224,$C212,'TL16'!$J$10:$J$224),0),
IF('TL16'!$B$229=L$3,SUMIF('TL16'!$C$238:$C$451,$C212,'TL16'!$J$238:$J$451),0),
IF('TL17'!$B$3=L$3,SUMIF('TL17'!$C$10:$C$224,$C212,'TL17'!$J$10:$J$224),0),
IF('TL17'!$B$229=L$3,SUMIF('TL17'!$C$238:$C$451,$C212,'TL17'!$J$238:$J$451),0),
IF('TL18'!$B$3=L$3,SUMIF('TL18'!$C$10:$C$224,$C212,'TL18'!$J$10:$J$224),0),
IF('TL18'!$B$229=L$3,SUMIF('TL18'!$C$238:$C$451,$C212,'TL18'!$J$238:$J$451),0),
IF('TL19'!$B$3=L$3,SUMIF('TL19'!$C$10:$C$224,$C212,'TL19'!$J$10:$J$224),0),
IF('TL19'!$B$229=L$3,SUMIF('TL19'!$C$238:$C$451,$C212,'TL19'!$J$238:$J$451),0)
),0)</f>
        <v/>
      </c>
      <c r="M212" s="9">
        <f>IFERROR(SUM(
IF('TL01'!$B$3=M$3,SUMIF('TL01'!$C$10:$C$224,$C212,'TL01'!$J$10:$J$224),0),
IF('TL01'!$B$229=M$3,SUMIF('TL01'!$C$238:$C$451,$C212,'TL01'!$J$238:$J$451),0),
IF('TL02'!$B$3=M$3,SUMIF('TL02'!$C$10:$C$224,$C212,'TL02'!$J$10:$J$224),0),
IF('TL02'!$B$229=M$3,SUMIF('TL02'!$C$238:$C$451,$C212,'TL02'!$J$238:$J$451),0),
IF('TL03'!$B$3=M$3,SUMIF('TL03'!$C$10:$C$224,$C212,'TL03'!$J$10:$J$224),0),
IF('TL03'!$B$229=M$3,SUMIF('TL03'!$C$238:$C$451,$C212,'TL03'!$J$238:$J$451),0),
IF('TL04'!$B$3=M$3,SUMIF('TL04'!$C$10:$C$224,$C212,'TL04'!$J$10:$J$224),0),
IF('TL04'!$B$229=M$3,SUMIF('TL04'!$C$238:$C$451,$C212,'TL04'!$J$238:$J$451),0),
IF('TL05'!$B$3=M$3,SUMIF('TL05'!$C$10:$C$224,$C212,'TL05'!$J$10:$J$224),0),
IF('TL05'!$B$229=M$3,SUMIF('TL05'!$C$238:$C$451,$C212,'TL05'!$J$238:$J$451),0),
IF('TL06'!$B$3=M$3,SUMIF('TL06'!$C$10:$C$224,$C212,'TL06'!$J$10:$J$224),0),
IF('TL06'!$B$229=M$3,SUMIF('TL06'!$C$238:$C$451,$C212,'TL06'!$J$238:$J$451),0),
IF('TL07'!$B$3=M$3,SUMIF('TL07'!$C$10:$C$224,$C212,'TL07'!$J$10:$J$224),0),
IF('TL07'!$B$229=M$3,SUMIF('TL07'!$C$238:$C$451,$C212,'TL07'!$J$238:$J$451),0),
IF('TL08'!$B$3=M$3,SUMIF('TL08'!$C$10:$C$224,$C212,'TL08'!$J$10:$J$224),0),
IF('TL08'!$B$229=M$3,SUMIF('TL08'!$C$238:$C$451,$C212,'TL08'!$J$238:$J$451),0),
IF('TL09'!$B$3=M$3,SUMIF('TL09'!$C$10:$C$224,$C212,'TL09'!$J$10:$J$224),0),
IF('TL09'!$B$229=M$3,SUMIF('TL09'!$C$238:$C$451,$C212,'TL09'!$J$238:$J$451),0),
IF('TL10'!$B$3=M$3,SUMIF('TL10'!$C$10:$C$224,$C212,'TL10'!$J$10:$J$224),0),
IF('TL10'!$B$229=M$3,SUMIF('TL10'!$C$238:$C$451,$C212,'TL10'!$J$238:$J$451),0),
IF('TL11'!$B$3=M$3,SUMIF('TL11'!$C$10:$C$224,$C212,'TL11'!$J$10:$J$224),0),
IF('TL11'!$B$229=M$3,SUMIF('TL11'!$C$238:$C$451,$C212,'TL11'!$J$238:$J$451),0),
IF('TL12'!$B$3=M$3,SUMIF('TL12'!$C$10:$C$224,$C212,'TL12'!$J$10:$J$224),0),
IF('TL12'!$B$229=M$3,SUMIF('TL12'!$C$238:$C$451,$C212,'TL12'!$J$238:$J$451),0),
IF('TL13'!$B$3=M$3,SUMIF('TL13'!$C$10:$C$224,$C212,'TL13'!$J$10:$J$224),0),
IF('TL13'!$B$229=M$3,SUMIF('TL13'!$C$238:$C$451,$C212,'TL13'!$J$238:$J$451),0),
IF('TL14'!$B$3=M$3,SUMIF('TL14'!$C$10:$C$224,$C212,'TL14'!$J$10:$J$224),0),
IF('TL14'!$B$229=M$3,SUMIF('TL14'!$C$238:$C$451,$C212,'TL14'!$J$238:$J$451),0),
IF('TL15'!$B$3=M$3,SUMIF('TL15'!$C$10:$C$224,$C212,'TL15'!$J$10:$J$224),0),
IF('TL15'!$B$229=M$3,SUMIF('TL15'!$C$238:$C$451,$C212,'TL15'!$J$238:$J$451),0),
IF('TL16'!$B$3=M$3,SUMIF('TL16'!$C$10:$C$224,$C212,'TL16'!$J$10:$J$224),0),
IF('TL16'!$B$229=M$3,SUMIF('TL16'!$C$238:$C$451,$C212,'TL16'!$J$238:$J$451),0),
IF('TL17'!$B$3=M$3,SUMIF('TL17'!$C$10:$C$224,$C212,'TL17'!$J$10:$J$224),0),
IF('TL17'!$B$229=M$3,SUMIF('TL17'!$C$238:$C$451,$C212,'TL17'!$J$238:$J$451),0),
IF('TL18'!$B$3=M$3,SUMIF('TL18'!$C$10:$C$224,$C212,'TL18'!$J$10:$J$224),0),
IF('TL18'!$B$229=M$3,SUMIF('TL18'!$C$238:$C$451,$C212,'TL18'!$J$238:$J$451),0),
IF('TL19'!$B$3=M$3,SUMIF('TL19'!$C$10:$C$224,$C212,'TL19'!$J$10:$J$224),0),
IF('TL19'!$B$229=M$3,SUMIF('TL19'!$C$238:$C$451,$C212,'TL19'!$J$238:$J$451),0)
),0)</f>
        <v/>
      </c>
      <c r="N212" s="9">
        <f>IFERROR(SUM(
IF('TL01'!$B$3=N$3,SUMIF('TL01'!$C$10:$C$224,$C212,'TL01'!$J$10:$J$224),0),
IF('TL01'!$B$229=N$3,SUMIF('TL01'!$C$238:$C$451,$C212,'TL01'!$J$238:$J$451),0),
IF('TL02'!$B$3=N$3,SUMIF('TL02'!$C$10:$C$224,$C212,'TL02'!$J$10:$J$224),0),
IF('TL02'!$B$229=N$3,SUMIF('TL02'!$C$238:$C$451,$C212,'TL02'!$J$238:$J$451),0),
IF('TL03'!$B$3=N$3,SUMIF('TL03'!$C$10:$C$224,$C212,'TL03'!$J$10:$J$224),0),
IF('TL03'!$B$229=N$3,SUMIF('TL03'!$C$238:$C$451,$C212,'TL03'!$J$238:$J$451),0),
IF('TL04'!$B$3=N$3,SUMIF('TL04'!$C$10:$C$224,$C212,'TL04'!$J$10:$J$224),0),
IF('TL04'!$B$229=N$3,SUMIF('TL04'!$C$238:$C$451,$C212,'TL04'!$J$238:$J$451),0),
IF('TL05'!$B$3=N$3,SUMIF('TL05'!$C$10:$C$224,$C212,'TL05'!$J$10:$J$224),0),
IF('TL05'!$B$229=N$3,SUMIF('TL05'!$C$238:$C$451,$C212,'TL05'!$J$238:$J$451),0),
IF('TL06'!$B$3=N$3,SUMIF('TL06'!$C$10:$C$224,$C212,'TL06'!$J$10:$J$224),0),
IF('TL06'!$B$229=N$3,SUMIF('TL06'!$C$238:$C$451,$C212,'TL06'!$J$238:$J$451),0),
IF('TL07'!$B$3=N$3,SUMIF('TL07'!$C$10:$C$224,$C212,'TL07'!$J$10:$J$224),0),
IF('TL07'!$B$229=N$3,SUMIF('TL07'!$C$238:$C$451,$C212,'TL07'!$J$238:$J$451),0),
IF('TL08'!$B$3=N$3,SUMIF('TL08'!$C$10:$C$224,$C212,'TL08'!$J$10:$J$224),0),
IF('TL08'!$B$229=N$3,SUMIF('TL08'!$C$238:$C$451,$C212,'TL08'!$J$238:$J$451),0),
IF('TL09'!$B$3=N$3,SUMIF('TL09'!$C$10:$C$224,$C212,'TL09'!$J$10:$J$224),0),
IF('TL09'!$B$229=N$3,SUMIF('TL09'!$C$238:$C$451,$C212,'TL09'!$J$238:$J$451),0),
IF('TL10'!$B$3=N$3,SUMIF('TL10'!$C$10:$C$224,$C212,'TL10'!$J$10:$J$224),0),
IF('TL10'!$B$229=N$3,SUMIF('TL10'!$C$238:$C$451,$C212,'TL10'!$J$238:$J$451),0),
IF('TL11'!$B$3=N$3,SUMIF('TL11'!$C$10:$C$224,$C212,'TL11'!$J$10:$J$224),0),
IF('TL11'!$B$229=N$3,SUMIF('TL11'!$C$238:$C$451,$C212,'TL11'!$J$238:$J$451),0),
IF('TL12'!$B$3=N$3,SUMIF('TL12'!$C$10:$C$224,$C212,'TL12'!$J$10:$J$224),0),
IF('TL12'!$B$229=N$3,SUMIF('TL12'!$C$238:$C$451,$C212,'TL12'!$J$238:$J$451),0),
IF('TL13'!$B$3=N$3,SUMIF('TL13'!$C$10:$C$224,$C212,'TL13'!$J$10:$J$224),0),
IF('TL13'!$B$229=N$3,SUMIF('TL13'!$C$238:$C$451,$C212,'TL13'!$J$238:$J$451),0),
IF('TL14'!$B$3=N$3,SUMIF('TL14'!$C$10:$C$224,$C212,'TL14'!$J$10:$J$224),0),
IF('TL14'!$B$229=N$3,SUMIF('TL14'!$C$238:$C$451,$C212,'TL14'!$J$238:$J$451),0),
IF('TL15'!$B$3=N$3,SUMIF('TL15'!$C$10:$C$224,$C212,'TL15'!$J$10:$J$224),0),
IF('TL15'!$B$229=N$3,SUMIF('TL15'!$C$238:$C$451,$C212,'TL15'!$J$238:$J$451),0),
IF('TL16'!$B$3=N$3,SUMIF('TL16'!$C$10:$C$224,$C212,'TL16'!$J$10:$J$224),0),
IF('TL16'!$B$229=N$3,SUMIF('TL16'!$C$238:$C$451,$C212,'TL16'!$J$238:$J$451),0),
IF('TL17'!$B$3=N$3,SUMIF('TL17'!$C$10:$C$224,$C212,'TL17'!$J$10:$J$224),0),
IF('TL17'!$B$229=N$3,SUMIF('TL17'!$C$238:$C$451,$C212,'TL17'!$J$238:$J$451),0),
IF('TL18'!$B$3=N$3,SUMIF('TL18'!$C$10:$C$224,$C212,'TL18'!$J$10:$J$224),0),
IF('TL18'!$B$229=N$3,SUMIF('TL18'!$C$238:$C$451,$C212,'TL18'!$J$238:$J$451),0),
IF('TL19'!$B$3=N$3,SUMIF('TL19'!$C$10:$C$224,$C212,'TL19'!$J$10:$J$224),0),
IF('TL19'!$B$229=N$3,SUMIF('TL19'!$C$238:$C$451,$C212,'TL19'!$J$238:$J$451),0)
),0)</f>
        <v/>
      </c>
      <c r="O212" s="9">
        <f>IFERROR(SUM(
IF('TL01'!$B$3=O$3,SUMIF('TL01'!$C$10:$C$224,$C212,'TL01'!$J$10:$J$224),0),
IF('TL01'!$B$229=O$3,SUMIF('TL01'!$C$238:$C$451,$C212,'TL01'!$J$238:$J$451),0),
IF('TL02'!$B$3=O$3,SUMIF('TL02'!$C$10:$C$224,$C212,'TL02'!$J$10:$J$224),0),
IF('TL02'!$B$229=O$3,SUMIF('TL02'!$C$238:$C$451,$C212,'TL02'!$J$238:$J$451),0),
IF('TL03'!$B$3=O$3,SUMIF('TL03'!$C$10:$C$224,$C212,'TL03'!$J$10:$J$224),0),
IF('TL03'!$B$229=O$3,SUMIF('TL03'!$C$238:$C$451,$C212,'TL03'!$J$238:$J$451),0),
IF('TL04'!$B$3=O$3,SUMIF('TL04'!$C$10:$C$224,$C212,'TL04'!$J$10:$J$224),0),
IF('TL04'!$B$229=O$3,SUMIF('TL04'!$C$238:$C$451,$C212,'TL04'!$J$238:$J$451),0),
IF('TL05'!$B$3=O$3,SUMIF('TL05'!$C$10:$C$224,$C212,'TL05'!$J$10:$J$224),0),
IF('TL05'!$B$229=O$3,SUMIF('TL05'!$C$238:$C$451,$C212,'TL05'!$J$238:$J$451),0),
IF('TL06'!$B$3=O$3,SUMIF('TL06'!$C$10:$C$224,$C212,'TL06'!$J$10:$J$224),0),
IF('TL06'!$B$229=O$3,SUMIF('TL06'!$C$238:$C$451,$C212,'TL06'!$J$238:$J$451),0),
IF('TL07'!$B$3=O$3,SUMIF('TL07'!$C$10:$C$224,$C212,'TL07'!$J$10:$J$224),0),
IF('TL07'!$B$229=O$3,SUMIF('TL07'!$C$238:$C$451,$C212,'TL07'!$J$238:$J$451),0),
IF('TL08'!$B$3=O$3,SUMIF('TL08'!$C$10:$C$224,$C212,'TL08'!$J$10:$J$224),0),
IF('TL08'!$B$229=O$3,SUMIF('TL08'!$C$238:$C$451,$C212,'TL08'!$J$238:$J$451),0),
IF('TL09'!$B$3=O$3,SUMIF('TL09'!$C$10:$C$224,$C212,'TL09'!$J$10:$J$224),0),
IF('TL09'!$B$229=O$3,SUMIF('TL09'!$C$238:$C$451,$C212,'TL09'!$J$238:$J$451),0),
IF('TL10'!$B$3=O$3,SUMIF('TL10'!$C$10:$C$224,$C212,'TL10'!$J$10:$J$224),0),
IF('TL10'!$B$229=O$3,SUMIF('TL10'!$C$238:$C$451,$C212,'TL10'!$J$238:$J$451),0),
IF('TL11'!$B$3=O$3,SUMIF('TL11'!$C$10:$C$224,$C212,'TL11'!$J$10:$J$224),0),
IF('TL11'!$B$229=O$3,SUMIF('TL11'!$C$238:$C$451,$C212,'TL11'!$J$238:$J$451),0),
IF('TL12'!$B$3=O$3,SUMIF('TL12'!$C$10:$C$224,$C212,'TL12'!$J$10:$J$224),0),
IF('TL12'!$B$229=O$3,SUMIF('TL12'!$C$238:$C$451,$C212,'TL12'!$J$238:$J$451),0),
IF('TL13'!$B$3=O$3,SUMIF('TL13'!$C$10:$C$224,$C212,'TL13'!$J$10:$J$224),0),
IF('TL13'!$B$229=O$3,SUMIF('TL13'!$C$238:$C$451,$C212,'TL13'!$J$238:$J$451),0),
IF('TL14'!$B$3=O$3,SUMIF('TL14'!$C$10:$C$224,$C212,'TL14'!$J$10:$J$224),0),
IF('TL14'!$B$229=O$3,SUMIF('TL14'!$C$238:$C$451,$C212,'TL14'!$J$238:$J$451),0),
IF('TL15'!$B$3=O$3,SUMIF('TL15'!$C$10:$C$224,$C212,'TL15'!$J$10:$J$224),0),
IF('TL15'!$B$229=O$3,SUMIF('TL15'!$C$238:$C$451,$C212,'TL15'!$J$238:$J$451),0),
IF('TL16'!$B$3=O$3,SUMIF('TL16'!$C$10:$C$224,$C212,'TL16'!$J$10:$J$224),0),
IF('TL16'!$B$229=O$3,SUMIF('TL16'!$C$238:$C$451,$C212,'TL16'!$J$238:$J$451),0),
IF('TL17'!$B$3=O$3,SUMIF('TL17'!$C$10:$C$224,$C212,'TL17'!$J$10:$J$224),0),
IF('TL17'!$B$229=O$3,SUMIF('TL17'!$C$238:$C$451,$C212,'TL17'!$J$238:$J$451),0),
IF('TL18'!$B$3=O$3,SUMIF('TL18'!$C$10:$C$224,$C212,'TL18'!$J$10:$J$224),0),
IF('TL18'!$B$229=O$3,SUMIF('TL18'!$C$238:$C$451,$C212,'TL18'!$J$238:$J$451),0),
IF('TL19'!$B$3=O$3,SUMIF('TL19'!$C$10:$C$224,$C212,'TL19'!$J$10:$J$224),0),
IF('TL19'!$B$229=O$3,SUMIF('TL19'!$C$238:$C$451,$C212,'TL19'!$J$238:$J$451),0)
),0)</f>
        <v/>
      </c>
      <c r="P212" s="9">
        <f>IFERROR(SUM(
IF('TL01'!$B$3=P$3,SUMIF('TL01'!$C$10:$C$224,$C212,'TL01'!$J$10:$J$224),0),
IF('TL01'!$B$229=P$3,SUMIF('TL01'!$C$238:$C$451,$C212,'TL01'!$J$238:$J$451),0),
IF('TL02'!$B$3=P$3,SUMIF('TL02'!$C$10:$C$224,$C212,'TL02'!$J$10:$J$224),0),
IF('TL02'!$B$229=P$3,SUMIF('TL02'!$C$238:$C$451,$C212,'TL02'!$J$238:$J$451),0),
IF('TL03'!$B$3=P$3,SUMIF('TL03'!$C$10:$C$224,$C212,'TL03'!$J$10:$J$224),0),
IF('TL03'!$B$229=P$3,SUMIF('TL03'!$C$238:$C$451,$C212,'TL03'!$J$238:$J$451),0),
IF('TL04'!$B$3=P$3,SUMIF('TL04'!$C$10:$C$224,$C212,'TL04'!$J$10:$J$224),0),
IF('TL04'!$B$229=P$3,SUMIF('TL04'!$C$238:$C$451,$C212,'TL04'!$J$238:$J$451),0),
IF('TL05'!$B$3=P$3,SUMIF('TL05'!$C$10:$C$224,$C212,'TL05'!$J$10:$J$224),0),
IF('TL05'!$B$229=P$3,SUMIF('TL05'!$C$238:$C$451,$C212,'TL05'!$J$238:$J$451),0),
IF('TL06'!$B$3=P$3,SUMIF('TL06'!$C$10:$C$224,$C212,'TL06'!$J$10:$J$224),0),
IF('TL06'!$B$229=P$3,SUMIF('TL06'!$C$238:$C$451,$C212,'TL06'!$J$238:$J$451),0),
IF('TL07'!$B$3=P$3,SUMIF('TL07'!$C$10:$C$224,$C212,'TL07'!$J$10:$J$224),0),
IF('TL07'!$B$229=P$3,SUMIF('TL07'!$C$238:$C$451,$C212,'TL07'!$J$238:$J$451),0),
IF('TL08'!$B$3=P$3,SUMIF('TL08'!$C$10:$C$224,$C212,'TL08'!$J$10:$J$224),0),
IF('TL08'!$B$229=P$3,SUMIF('TL08'!$C$238:$C$451,$C212,'TL08'!$J$238:$J$451),0),
IF('TL09'!$B$3=P$3,SUMIF('TL09'!$C$10:$C$224,$C212,'TL09'!$J$10:$J$224),0),
IF('TL09'!$B$229=P$3,SUMIF('TL09'!$C$238:$C$451,$C212,'TL09'!$J$238:$J$451),0),
IF('TL10'!$B$3=P$3,SUMIF('TL10'!$C$10:$C$224,$C212,'TL10'!$J$10:$J$224),0),
IF('TL10'!$B$229=P$3,SUMIF('TL10'!$C$238:$C$451,$C212,'TL10'!$J$238:$J$451),0),
IF('TL11'!$B$3=P$3,SUMIF('TL11'!$C$10:$C$224,$C212,'TL11'!$J$10:$J$224),0),
IF('TL11'!$B$229=P$3,SUMIF('TL11'!$C$238:$C$451,$C212,'TL11'!$J$238:$J$451),0),
IF('TL12'!$B$3=P$3,SUMIF('TL12'!$C$10:$C$224,$C212,'TL12'!$J$10:$J$224),0),
IF('TL12'!$B$229=P$3,SUMIF('TL12'!$C$238:$C$451,$C212,'TL12'!$J$238:$J$451),0),
IF('TL13'!$B$3=P$3,SUMIF('TL13'!$C$10:$C$224,$C212,'TL13'!$J$10:$J$224),0),
IF('TL13'!$B$229=P$3,SUMIF('TL13'!$C$238:$C$451,$C212,'TL13'!$J$238:$J$451),0),
IF('TL14'!$B$3=P$3,SUMIF('TL14'!$C$10:$C$224,$C212,'TL14'!$J$10:$J$224),0),
IF('TL14'!$B$229=P$3,SUMIF('TL14'!$C$238:$C$451,$C212,'TL14'!$J$238:$J$451),0),
IF('TL15'!$B$3=P$3,SUMIF('TL15'!$C$10:$C$224,$C212,'TL15'!$J$10:$J$224),0),
IF('TL15'!$B$229=P$3,SUMIF('TL15'!$C$238:$C$451,$C212,'TL15'!$J$238:$J$451),0),
IF('TL16'!$B$3=P$3,SUMIF('TL16'!$C$10:$C$224,$C212,'TL16'!$J$10:$J$224),0),
IF('TL16'!$B$229=P$3,SUMIF('TL16'!$C$238:$C$451,$C212,'TL16'!$J$238:$J$451),0),
IF('TL17'!$B$3=P$3,SUMIF('TL17'!$C$10:$C$224,$C212,'TL17'!$J$10:$J$224),0),
IF('TL17'!$B$229=P$3,SUMIF('TL17'!$C$238:$C$451,$C212,'TL17'!$J$238:$J$451),0),
IF('TL18'!$B$3=P$3,SUMIF('TL18'!$C$10:$C$224,$C212,'TL18'!$J$10:$J$224),0),
IF('TL18'!$B$229=P$3,SUMIF('TL18'!$C$238:$C$451,$C212,'TL18'!$J$238:$J$451),0),
IF('TL19'!$B$3=P$3,SUMIF('TL19'!$C$10:$C$224,$C212,'TL19'!$J$10:$J$224),0),
IF('TL19'!$B$229=P$3,SUMIF('TL19'!$C$238:$C$451,$C212,'TL19'!$J$238:$J$451),0)
),0)</f>
        <v/>
      </c>
      <c r="Q212" s="9">
        <f>IFERROR(SUM(
IF('TL01'!$B$3=Q$3,SUMIF('TL01'!$C$10:$C$224,$C212,'TL01'!$J$10:$J$224),0),
IF('TL01'!$B$229=Q$3,SUMIF('TL01'!$C$238:$C$451,$C212,'TL01'!$J$238:$J$451),0),
IF('TL02'!$B$3=Q$3,SUMIF('TL02'!$C$10:$C$224,$C212,'TL02'!$J$10:$J$224),0),
IF('TL02'!$B$229=Q$3,SUMIF('TL02'!$C$238:$C$451,$C212,'TL02'!$J$238:$J$451),0),
IF('TL03'!$B$3=Q$3,SUMIF('TL03'!$C$10:$C$224,$C212,'TL03'!$J$10:$J$224),0),
IF('TL03'!$B$229=Q$3,SUMIF('TL03'!$C$238:$C$451,$C212,'TL03'!$J$238:$J$451),0),
IF('TL04'!$B$3=Q$3,SUMIF('TL04'!$C$10:$C$224,$C212,'TL04'!$J$10:$J$224),0),
IF('TL04'!$B$229=Q$3,SUMIF('TL04'!$C$238:$C$451,$C212,'TL04'!$J$238:$J$451),0),
IF('TL05'!$B$3=Q$3,SUMIF('TL05'!$C$10:$C$224,$C212,'TL05'!$J$10:$J$224),0),
IF('TL05'!$B$229=Q$3,SUMIF('TL05'!$C$238:$C$451,$C212,'TL05'!$J$238:$J$451),0),
IF('TL06'!$B$3=Q$3,SUMIF('TL06'!$C$10:$C$224,$C212,'TL06'!$J$10:$J$224),0),
IF('TL06'!$B$229=Q$3,SUMIF('TL06'!$C$238:$C$451,$C212,'TL06'!$J$238:$J$451),0),
IF('TL07'!$B$3=Q$3,SUMIF('TL07'!$C$10:$C$224,$C212,'TL07'!$J$10:$J$224),0),
IF('TL07'!$B$229=Q$3,SUMIF('TL07'!$C$238:$C$451,$C212,'TL07'!$J$238:$J$451),0),
IF('TL08'!$B$3=Q$3,SUMIF('TL08'!$C$10:$C$224,$C212,'TL08'!$J$10:$J$224),0),
IF('TL08'!$B$229=Q$3,SUMIF('TL08'!$C$238:$C$451,$C212,'TL08'!$J$238:$J$451),0),
IF('TL09'!$B$3=Q$3,SUMIF('TL09'!$C$10:$C$224,$C212,'TL09'!$J$10:$J$224),0),
IF('TL09'!$B$229=Q$3,SUMIF('TL09'!$C$238:$C$451,$C212,'TL09'!$J$238:$J$451),0),
IF('TL10'!$B$3=Q$3,SUMIF('TL10'!$C$10:$C$224,$C212,'TL10'!$J$10:$J$224),0),
IF('TL10'!$B$229=Q$3,SUMIF('TL10'!$C$238:$C$451,$C212,'TL10'!$J$238:$J$451),0),
IF('TL11'!$B$3=Q$3,SUMIF('TL11'!$C$10:$C$224,$C212,'TL11'!$J$10:$J$224),0),
IF('TL11'!$B$229=Q$3,SUMIF('TL11'!$C$238:$C$451,$C212,'TL11'!$J$238:$J$451),0),
IF('TL12'!$B$3=Q$3,SUMIF('TL12'!$C$10:$C$224,$C212,'TL12'!$J$10:$J$224),0),
IF('TL12'!$B$229=Q$3,SUMIF('TL12'!$C$238:$C$451,$C212,'TL12'!$J$238:$J$451),0),
IF('TL13'!$B$3=Q$3,SUMIF('TL13'!$C$10:$C$224,$C212,'TL13'!$J$10:$J$224),0),
IF('TL13'!$B$229=Q$3,SUMIF('TL13'!$C$238:$C$451,$C212,'TL13'!$J$238:$J$451),0),
IF('TL14'!$B$3=Q$3,SUMIF('TL14'!$C$10:$C$224,$C212,'TL14'!$J$10:$J$224),0),
IF('TL14'!$B$229=Q$3,SUMIF('TL14'!$C$238:$C$451,$C212,'TL14'!$J$238:$J$451),0),
IF('TL15'!$B$3=Q$3,SUMIF('TL15'!$C$10:$C$224,$C212,'TL15'!$J$10:$J$224),0),
IF('TL15'!$B$229=Q$3,SUMIF('TL15'!$C$238:$C$451,$C212,'TL15'!$J$238:$J$451),0),
IF('TL16'!$B$3=Q$3,SUMIF('TL16'!$C$10:$C$224,$C212,'TL16'!$J$10:$J$224),0),
IF('TL16'!$B$229=Q$3,SUMIF('TL16'!$C$238:$C$451,$C212,'TL16'!$J$238:$J$451),0),
IF('TL17'!$B$3=Q$3,SUMIF('TL17'!$C$10:$C$224,$C212,'TL17'!$J$10:$J$224),0),
IF('TL17'!$B$229=Q$3,SUMIF('TL17'!$C$238:$C$451,$C212,'TL17'!$J$238:$J$451),0),
IF('TL18'!$B$3=Q$3,SUMIF('TL18'!$C$10:$C$224,$C212,'TL18'!$J$10:$J$224),0),
IF('TL18'!$B$229=Q$3,SUMIF('TL18'!$C$238:$C$451,$C212,'TL18'!$J$238:$J$451),0),
IF('TL19'!$B$3=Q$3,SUMIF('TL19'!$C$10:$C$224,$C212,'TL19'!$J$10:$J$224),0),
IF('TL19'!$B$229=Q$3,SUMIF('TL19'!$C$238:$C$451,$C212,'TL19'!$J$238:$J$451),0)
),0)</f>
        <v/>
      </c>
      <c r="R212" s="9">
        <f>IFERROR(
SUM(
SUMIF('TL01'!C:C,C212,'TL01'!J:J),
SUMIF('TL02'!C:C,C212,'TL02'!J:J),
SUMIF('TL03'!C:C,C212,'TL03'!J:J),
SUMIF('TL04'!C:C,C212,'TL04'!J:J),
SUMIF('TL05'!C:C,C212,'TL05'!J:J),
SUMIF('TL06'!C:C,C212,'TL06'!J:J),
SUMIF('TL07'!C:C,C212,'TL07'!J:J),
SUMIF('TL08'!C:C,C212,'TL08'!J:J),
SUMIF('TL09'!C:C,C212,'TL09'!J:J),
SUMIF('TL10'!C:C,C212,'TL10'!J:J),
SUMIF('TL11'!C:C,C212,'TL11'!J:J),
SUMIF('TL12'!C:C,C212,'TL12'!J:J),
SUMIF('TL13'!C:C,C212,'TL13'!J:J),
SUMIF('TL14'!C:C,C212,'TL14'!J:J),
SUMIF('TL15'!C:C,C212,'TL15'!J:J),
SUMIF('TL16'!C:C,C212,'TL16'!J:J),
SUMIF('TL17'!C:C,C212,'TL17'!J:J),
SUMIF('TL18'!C:C,C212,'TL18'!J:J),SUMIF('TL19'!C:C,C212,'TL19'!J:J))
,0)</f>
        <v/>
      </c>
      <c r="S212" s="17">
        <f>IFERROR(__xludf.DUMMYFUNCTION("IFERROR(VLOOKUP(C212,
IMPORTRANGE(""1wULbzX32WdYsx-lj2U3uUNBBe2INVIRDtcK0d-Dvl90"",
""26-27!C:G""),
5,
FALSE),
"""")"),26.27388)</f>
        <v/>
      </c>
      <c r="T212" s="9" t="n"/>
      <c r="U212" s="92">
        <f>MAX(0,R212-T212)</f>
        <v/>
      </c>
      <c r="V212" s="93">
        <f>U212*S212</f>
        <v/>
      </c>
    </row>
    <row r="213" hidden="1" ht="15.75" customHeight="1" s="297">
      <c r="A213" s="94" t="inlineStr">
        <is>
          <t>NORTOX</t>
        </is>
      </c>
      <c r="B213" s="95" t="inlineStr">
        <is>
          <t>INSETICIDA</t>
        </is>
      </c>
      <c r="C213" s="96" t="inlineStr">
        <is>
          <t>DIAFENTIURON NORTOX</t>
        </is>
      </c>
      <c r="D213" s="96" t="inlineStr">
        <is>
          <t>DIAFENTIUROM</t>
        </is>
      </c>
      <c r="E213" s="96" t="n">
        <v>500</v>
      </c>
      <c r="F213" s="4" t="inlineStr">
        <is>
          <t>L</t>
        </is>
      </c>
      <c r="G213" s="90">
        <f>HYPERLINK("https://www.google.com/search?q=" &amp; C213 &amp; "+bula+agrofit+pdf", "📄 Ver bula")</f>
        <v/>
      </c>
      <c r="H213" s="9">
        <f>IFERROR(__xludf.DUMMYFUNCTION("IFERROR(VLOOKUP(C213,
IMPORTRANGE(""1wULbzX32WdYsx-lj2U3uUNBBe2INVIRDtcK0d-Dvl90"",
""26-27!C:K""),
8,
FALSE),
"""")"),0.6)</f>
        <v/>
      </c>
      <c r="I213" s="97" t="inlineStr">
        <is>
          <t>4X5</t>
        </is>
      </c>
      <c r="J213" s="9">
        <f>IFERROR(SUM(
IF('TL01'!$B$3=J$3,SUMIF('TL01'!$C$10:$C$224,$C213,'TL01'!$J$10:$J$224),0),
IF('TL01'!$B$229=J$3,SUMIF('TL01'!$C$238:$C$451,$C213,'TL01'!$J$238:$J$451),0),
IF('TL02'!$B$3=J$3,SUMIF('TL02'!$C$10:$C$224,$C213,'TL02'!$J$10:$J$224),0),
IF('TL02'!$B$229=J$3,SUMIF('TL02'!$C$238:$C$451,$C213,'TL02'!$J$238:$J$451),0),
IF('TL03'!$B$3=J$3,SUMIF('TL03'!$C$10:$C$224,$C213,'TL03'!$J$10:$J$224),0),
IF('TL03'!$B$229=J$3,SUMIF('TL03'!$C$238:$C$451,$C213,'TL03'!$J$238:$J$451),0),
IF('TL04'!$B$3=J$3,SUMIF('TL04'!$C$10:$C$224,$C213,'TL04'!$J$10:$J$224),0),
IF('TL04'!$B$229=J$3,SUMIF('TL04'!$C$238:$C$451,$C213,'TL04'!$J$238:$J$451),0),
IF('TL05'!$B$3=J$3,SUMIF('TL05'!$C$10:$C$224,$C213,'TL05'!$J$10:$J$224),0),
IF('TL05'!$B$229=J$3,SUMIF('TL05'!$C$238:$C$451,$C213,'TL05'!$J$238:$J$451),0),
IF('TL06'!$B$3=J$3,SUMIF('TL06'!$C$10:$C$224,$C213,'TL06'!$J$10:$J$224),0),
IF('TL06'!$B$229=J$3,SUMIF('TL06'!$C$238:$C$451,$C213,'TL06'!$J$238:$J$451),0),
IF('TL07'!$B$3=J$3,SUMIF('TL07'!$C$10:$C$224,$C213,'TL07'!$J$10:$J$224),0),
IF('TL07'!$B$229=J$3,SUMIF('TL07'!$C$238:$C$451,$C213,'TL07'!$J$238:$J$451),0),
IF('TL08'!$B$3=J$3,SUMIF('TL08'!$C$10:$C$224,$C213,'TL08'!$J$10:$J$224),0),
IF('TL08'!$B$229=J$3,SUMIF('TL08'!$C$238:$C$451,$C213,'TL08'!$J$238:$J$451),0),
IF('TL09'!$B$3=J$3,SUMIF('TL09'!$C$10:$C$224,$C213,'TL09'!$J$10:$J$224),0),
IF('TL09'!$B$229=J$3,SUMIF('TL09'!$C$238:$C$451,$C213,'TL09'!$J$238:$J$451),0),
IF('TL10'!$B$3=J$3,SUMIF('TL10'!$C$10:$C$224,$C213,'TL10'!$J$10:$J$224),0),
IF('TL10'!$B$229=J$3,SUMIF('TL10'!$C$238:$C$451,$C213,'TL10'!$J$238:$J$451),0),
IF('TL11'!$B$3=J$3,SUMIF('TL11'!$C$10:$C$224,$C213,'TL11'!$J$10:$J$224),0),
IF('TL11'!$B$229=J$3,SUMIF('TL11'!$C$238:$C$451,$C213,'TL11'!$J$238:$J$451),0),
IF('TL12'!$B$3=J$3,SUMIF('TL12'!$C$10:$C$224,$C213,'TL12'!$J$10:$J$224),0),
IF('TL12'!$B$229=J$3,SUMIF('TL12'!$C$238:$C$451,$C213,'TL12'!$J$238:$J$451),0),
IF('TL13'!$B$3=J$3,SUMIF('TL13'!$C$10:$C$224,$C213,'TL13'!$J$10:$J$224),0),
IF('TL13'!$B$229=J$3,SUMIF('TL13'!$C$238:$C$451,$C213,'TL13'!$J$238:$J$451),0),
IF('TL14'!$B$3=J$3,SUMIF('TL14'!$C$10:$C$224,$C213,'TL14'!$J$10:$J$224),0),
IF('TL14'!$B$229=J$3,SUMIF('TL14'!$C$238:$C$451,$C213,'TL14'!$J$238:$J$451),0),
IF('TL15'!$B$3=J$3,SUMIF('TL15'!$C$10:$C$224,$C213,'TL15'!$J$10:$J$224),0),
IF('TL15'!$B$229=J$3,SUMIF('TL15'!$C$238:$C$451,$C213,'TL15'!$J$238:$J$451),0),
IF('TL16'!$B$3=J$3,SUMIF('TL16'!$C$10:$C$224,$C213,'TL16'!$J$10:$J$224),0),
IF('TL16'!$B$229=J$3,SUMIF('TL16'!$C$238:$C$451,$C213,'TL16'!$J$238:$J$451),0),
IF('TL17'!$B$3=J$3,SUMIF('TL17'!$C$10:$C$224,$C213,'TL17'!$J$10:$J$224),0),
IF('TL17'!$B$229=J$3,SUMIF('TL17'!$C$238:$C$451,$C213,'TL17'!$J$238:$J$451),0),
IF('TL18'!$B$3=J$3,SUMIF('TL18'!$C$10:$C$224,$C213,'TL18'!$J$10:$J$224),0),
IF('TL18'!$B$229=J$3,SUMIF('TL18'!$C$238:$C$451,$C213,'TL18'!$J$238:$J$451),0),
IF('TL19'!$B$3=J$3,SUMIF('TL19'!$C$10:$C$224,$C213,'TL19'!$J$10:$J$224),0),
IF('TL19'!$B$229=J$3,SUMIF('TL19'!$C$238:$C$451,$C213,'TL19'!$J$238:$J$451),0)
),0)</f>
        <v/>
      </c>
      <c r="K213" s="9">
        <f>IFERROR(SUM(
IF('TL01'!$B$3=K$3,SUMIF('TL01'!$C$10:$C$224,$C213,'TL01'!$J$10:$J$224),0),
IF('TL01'!$B$229=K$3,SUMIF('TL01'!$C$238:$C$451,$C213,'TL01'!$J$238:$J$451),0),
IF('TL02'!$B$3=K$3,SUMIF('TL02'!$C$10:$C$224,$C213,'TL02'!$J$10:$J$224),0),
IF('TL02'!$B$229=K$3,SUMIF('TL02'!$C$238:$C$451,$C213,'TL02'!$J$238:$J$451),0),
IF('TL03'!$B$3=K$3,SUMIF('TL03'!$C$10:$C$224,$C213,'TL03'!$J$10:$J$224),0),
IF('TL03'!$B$229=K$3,SUMIF('TL03'!$C$238:$C$451,$C213,'TL03'!$J$238:$J$451),0),
IF('TL04'!$B$3=K$3,SUMIF('TL04'!$C$10:$C$224,$C213,'TL04'!$J$10:$J$224),0),
IF('TL04'!$B$229=K$3,SUMIF('TL04'!$C$238:$C$451,$C213,'TL04'!$J$238:$J$451),0),
IF('TL05'!$B$3=K$3,SUMIF('TL05'!$C$10:$C$224,$C213,'TL05'!$J$10:$J$224),0),
IF('TL05'!$B$229=K$3,SUMIF('TL05'!$C$238:$C$451,$C213,'TL05'!$J$238:$J$451),0),
IF('TL06'!$B$3=K$3,SUMIF('TL06'!$C$10:$C$224,$C213,'TL06'!$J$10:$J$224),0),
IF('TL06'!$B$229=K$3,SUMIF('TL06'!$C$238:$C$451,$C213,'TL06'!$J$238:$J$451),0),
IF('TL07'!$B$3=K$3,SUMIF('TL07'!$C$10:$C$224,$C213,'TL07'!$J$10:$J$224),0),
IF('TL07'!$B$229=K$3,SUMIF('TL07'!$C$238:$C$451,$C213,'TL07'!$J$238:$J$451),0),
IF('TL08'!$B$3=K$3,SUMIF('TL08'!$C$10:$C$224,$C213,'TL08'!$J$10:$J$224),0),
IF('TL08'!$B$229=K$3,SUMIF('TL08'!$C$238:$C$451,$C213,'TL08'!$J$238:$J$451),0),
IF('TL09'!$B$3=K$3,SUMIF('TL09'!$C$10:$C$224,$C213,'TL09'!$J$10:$J$224),0),
IF('TL09'!$B$229=K$3,SUMIF('TL09'!$C$238:$C$451,$C213,'TL09'!$J$238:$J$451),0),
IF('TL10'!$B$3=K$3,SUMIF('TL10'!$C$10:$C$224,$C213,'TL10'!$J$10:$J$224),0),
IF('TL10'!$B$229=K$3,SUMIF('TL10'!$C$238:$C$451,$C213,'TL10'!$J$238:$J$451),0),
IF('TL11'!$B$3=K$3,SUMIF('TL11'!$C$10:$C$224,$C213,'TL11'!$J$10:$J$224),0),
IF('TL11'!$B$229=K$3,SUMIF('TL11'!$C$238:$C$451,$C213,'TL11'!$J$238:$J$451),0),
IF('TL12'!$B$3=K$3,SUMIF('TL12'!$C$10:$C$224,$C213,'TL12'!$J$10:$J$224),0),
IF('TL12'!$B$229=K$3,SUMIF('TL12'!$C$238:$C$451,$C213,'TL12'!$J$238:$J$451),0),
IF('TL13'!$B$3=K$3,SUMIF('TL13'!$C$10:$C$224,$C213,'TL13'!$J$10:$J$224),0),
IF('TL13'!$B$229=K$3,SUMIF('TL13'!$C$238:$C$451,$C213,'TL13'!$J$238:$J$451),0),
IF('TL14'!$B$3=K$3,SUMIF('TL14'!$C$10:$C$224,$C213,'TL14'!$J$10:$J$224),0),
IF('TL14'!$B$229=K$3,SUMIF('TL14'!$C$238:$C$451,$C213,'TL14'!$J$238:$J$451),0),
IF('TL15'!$B$3=K$3,SUMIF('TL15'!$C$10:$C$224,$C213,'TL15'!$J$10:$J$224),0),
IF('TL15'!$B$229=K$3,SUMIF('TL15'!$C$238:$C$451,$C213,'TL15'!$J$238:$J$451),0),
IF('TL16'!$B$3=K$3,SUMIF('TL16'!$C$10:$C$224,$C213,'TL16'!$J$10:$J$224),0),
IF('TL16'!$B$229=K$3,SUMIF('TL16'!$C$238:$C$451,$C213,'TL16'!$J$238:$J$451),0),
IF('TL17'!$B$3=K$3,SUMIF('TL17'!$C$10:$C$224,$C213,'TL17'!$J$10:$J$224),0),
IF('TL17'!$B$229=K$3,SUMIF('TL17'!$C$238:$C$451,$C213,'TL17'!$J$238:$J$451),0),
IF('TL18'!$B$3=K$3,SUMIF('TL18'!$C$10:$C$224,$C213,'TL18'!$J$10:$J$224),0),
IF('TL18'!$B$229=K$3,SUMIF('TL18'!$C$238:$C$451,$C213,'TL18'!$J$238:$J$451),0),
IF('TL19'!$B$3=K$3,SUMIF('TL19'!$C$10:$C$224,$C213,'TL19'!$J$10:$J$224),0),
IF('TL19'!$B$229=K$3,SUMIF('TL19'!$C$238:$C$451,$C213,'TL19'!$J$238:$J$451),0)
),0)</f>
        <v/>
      </c>
      <c r="L213" s="9">
        <f>IFERROR(SUM(
IF('TL01'!$B$3=L$3,SUMIF('TL01'!$C$10:$C$224,$C213,'TL01'!$J$10:$J$224),0),
IF('TL01'!$B$229=L$3,SUMIF('TL01'!$C$238:$C$451,$C213,'TL01'!$J$238:$J$451),0),
IF('TL02'!$B$3=L$3,SUMIF('TL02'!$C$10:$C$224,$C213,'TL02'!$J$10:$J$224),0),
IF('TL02'!$B$229=L$3,SUMIF('TL02'!$C$238:$C$451,$C213,'TL02'!$J$238:$J$451),0),
IF('TL03'!$B$3=L$3,SUMIF('TL03'!$C$10:$C$224,$C213,'TL03'!$J$10:$J$224),0),
IF('TL03'!$B$229=L$3,SUMIF('TL03'!$C$238:$C$451,$C213,'TL03'!$J$238:$J$451),0),
IF('TL04'!$B$3=L$3,SUMIF('TL04'!$C$10:$C$224,$C213,'TL04'!$J$10:$J$224),0),
IF('TL04'!$B$229=L$3,SUMIF('TL04'!$C$238:$C$451,$C213,'TL04'!$J$238:$J$451),0),
IF('TL05'!$B$3=L$3,SUMIF('TL05'!$C$10:$C$224,$C213,'TL05'!$J$10:$J$224),0),
IF('TL05'!$B$229=L$3,SUMIF('TL05'!$C$238:$C$451,$C213,'TL05'!$J$238:$J$451),0),
IF('TL06'!$B$3=L$3,SUMIF('TL06'!$C$10:$C$224,$C213,'TL06'!$J$10:$J$224),0),
IF('TL06'!$B$229=L$3,SUMIF('TL06'!$C$238:$C$451,$C213,'TL06'!$J$238:$J$451),0),
IF('TL07'!$B$3=L$3,SUMIF('TL07'!$C$10:$C$224,$C213,'TL07'!$J$10:$J$224),0),
IF('TL07'!$B$229=L$3,SUMIF('TL07'!$C$238:$C$451,$C213,'TL07'!$J$238:$J$451),0),
IF('TL08'!$B$3=L$3,SUMIF('TL08'!$C$10:$C$224,$C213,'TL08'!$J$10:$J$224),0),
IF('TL08'!$B$229=L$3,SUMIF('TL08'!$C$238:$C$451,$C213,'TL08'!$J$238:$J$451),0),
IF('TL09'!$B$3=L$3,SUMIF('TL09'!$C$10:$C$224,$C213,'TL09'!$J$10:$J$224),0),
IF('TL09'!$B$229=L$3,SUMIF('TL09'!$C$238:$C$451,$C213,'TL09'!$J$238:$J$451),0),
IF('TL10'!$B$3=L$3,SUMIF('TL10'!$C$10:$C$224,$C213,'TL10'!$J$10:$J$224),0),
IF('TL10'!$B$229=L$3,SUMIF('TL10'!$C$238:$C$451,$C213,'TL10'!$J$238:$J$451),0),
IF('TL11'!$B$3=L$3,SUMIF('TL11'!$C$10:$C$224,$C213,'TL11'!$J$10:$J$224),0),
IF('TL11'!$B$229=L$3,SUMIF('TL11'!$C$238:$C$451,$C213,'TL11'!$J$238:$J$451),0),
IF('TL12'!$B$3=L$3,SUMIF('TL12'!$C$10:$C$224,$C213,'TL12'!$J$10:$J$224),0),
IF('TL12'!$B$229=L$3,SUMIF('TL12'!$C$238:$C$451,$C213,'TL12'!$J$238:$J$451),0),
IF('TL13'!$B$3=L$3,SUMIF('TL13'!$C$10:$C$224,$C213,'TL13'!$J$10:$J$224),0),
IF('TL13'!$B$229=L$3,SUMIF('TL13'!$C$238:$C$451,$C213,'TL13'!$J$238:$J$451),0),
IF('TL14'!$B$3=L$3,SUMIF('TL14'!$C$10:$C$224,$C213,'TL14'!$J$10:$J$224),0),
IF('TL14'!$B$229=L$3,SUMIF('TL14'!$C$238:$C$451,$C213,'TL14'!$J$238:$J$451),0),
IF('TL15'!$B$3=L$3,SUMIF('TL15'!$C$10:$C$224,$C213,'TL15'!$J$10:$J$224),0),
IF('TL15'!$B$229=L$3,SUMIF('TL15'!$C$238:$C$451,$C213,'TL15'!$J$238:$J$451),0),
IF('TL16'!$B$3=L$3,SUMIF('TL16'!$C$10:$C$224,$C213,'TL16'!$J$10:$J$224),0),
IF('TL16'!$B$229=L$3,SUMIF('TL16'!$C$238:$C$451,$C213,'TL16'!$J$238:$J$451),0),
IF('TL17'!$B$3=L$3,SUMIF('TL17'!$C$10:$C$224,$C213,'TL17'!$J$10:$J$224),0),
IF('TL17'!$B$229=L$3,SUMIF('TL17'!$C$238:$C$451,$C213,'TL17'!$J$238:$J$451),0),
IF('TL18'!$B$3=L$3,SUMIF('TL18'!$C$10:$C$224,$C213,'TL18'!$J$10:$J$224),0),
IF('TL18'!$B$229=L$3,SUMIF('TL18'!$C$238:$C$451,$C213,'TL18'!$J$238:$J$451),0),
IF('TL19'!$B$3=L$3,SUMIF('TL19'!$C$10:$C$224,$C213,'TL19'!$J$10:$J$224),0),
IF('TL19'!$B$229=L$3,SUMIF('TL19'!$C$238:$C$451,$C213,'TL19'!$J$238:$J$451),0)
),0)</f>
        <v/>
      </c>
      <c r="M213" s="9">
        <f>IFERROR(SUM(
IF('TL01'!$B$3=M$3,SUMIF('TL01'!$C$10:$C$224,$C213,'TL01'!$J$10:$J$224),0),
IF('TL01'!$B$229=M$3,SUMIF('TL01'!$C$238:$C$451,$C213,'TL01'!$J$238:$J$451),0),
IF('TL02'!$B$3=M$3,SUMIF('TL02'!$C$10:$C$224,$C213,'TL02'!$J$10:$J$224),0),
IF('TL02'!$B$229=M$3,SUMIF('TL02'!$C$238:$C$451,$C213,'TL02'!$J$238:$J$451),0),
IF('TL03'!$B$3=M$3,SUMIF('TL03'!$C$10:$C$224,$C213,'TL03'!$J$10:$J$224),0),
IF('TL03'!$B$229=M$3,SUMIF('TL03'!$C$238:$C$451,$C213,'TL03'!$J$238:$J$451),0),
IF('TL04'!$B$3=M$3,SUMIF('TL04'!$C$10:$C$224,$C213,'TL04'!$J$10:$J$224),0),
IF('TL04'!$B$229=M$3,SUMIF('TL04'!$C$238:$C$451,$C213,'TL04'!$J$238:$J$451),0),
IF('TL05'!$B$3=M$3,SUMIF('TL05'!$C$10:$C$224,$C213,'TL05'!$J$10:$J$224),0),
IF('TL05'!$B$229=M$3,SUMIF('TL05'!$C$238:$C$451,$C213,'TL05'!$J$238:$J$451),0),
IF('TL06'!$B$3=M$3,SUMIF('TL06'!$C$10:$C$224,$C213,'TL06'!$J$10:$J$224),0),
IF('TL06'!$B$229=M$3,SUMIF('TL06'!$C$238:$C$451,$C213,'TL06'!$J$238:$J$451),0),
IF('TL07'!$B$3=M$3,SUMIF('TL07'!$C$10:$C$224,$C213,'TL07'!$J$10:$J$224),0),
IF('TL07'!$B$229=M$3,SUMIF('TL07'!$C$238:$C$451,$C213,'TL07'!$J$238:$J$451),0),
IF('TL08'!$B$3=M$3,SUMIF('TL08'!$C$10:$C$224,$C213,'TL08'!$J$10:$J$224),0),
IF('TL08'!$B$229=M$3,SUMIF('TL08'!$C$238:$C$451,$C213,'TL08'!$J$238:$J$451),0),
IF('TL09'!$B$3=M$3,SUMIF('TL09'!$C$10:$C$224,$C213,'TL09'!$J$10:$J$224),0),
IF('TL09'!$B$229=M$3,SUMIF('TL09'!$C$238:$C$451,$C213,'TL09'!$J$238:$J$451),0),
IF('TL10'!$B$3=M$3,SUMIF('TL10'!$C$10:$C$224,$C213,'TL10'!$J$10:$J$224),0),
IF('TL10'!$B$229=M$3,SUMIF('TL10'!$C$238:$C$451,$C213,'TL10'!$J$238:$J$451),0),
IF('TL11'!$B$3=M$3,SUMIF('TL11'!$C$10:$C$224,$C213,'TL11'!$J$10:$J$224),0),
IF('TL11'!$B$229=M$3,SUMIF('TL11'!$C$238:$C$451,$C213,'TL11'!$J$238:$J$451),0),
IF('TL12'!$B$3=M$3,SUMIF('TL12'!$C$10:$C$224,$C213,'TL12'!$J$10:$J$224),0),
IF('TL12'!$B$229=M$3,SUMIF('TL12'!$C$238:$C$451,$C213,'TL12'!$J$238:$J$451),0),
IF('TL13'!$B$3=M$3,SUMIF('TL13'!$C$10:$C$224,$C213,'TL13'!$J$10:$J$224),0),
IF('TL13'!$B$229=M$3,SUMIF('TL13'!$C$238:$C$451,$C213,'TL13'!$J$238:$J$451),0),
IF('TL14'!$B$3=M$3,SUMIF('TL14'!$C$10:$C$224,$C213,'TL14'!$J$10:$J$224),0),
IF('TL14'!$B$229=M$3,SUMIF('TL14'!$C$238:$C$451,$C213,'TL14'!$J$238:$J$451),0),
IF('TL15'!$B$3=M$3,SUMIF('TL15'!$C$10:$C$224,$C213,'TL15'!$J$10:$J$224),0),
IF('TL15'!$B$229=M$3,SUMIF('TL15'!$C$238:$C$451,$C213,'TL15'!$J$238:$J$451),0),
IF('TL16'!$B$3=M$3,SUMIF('TL16'!$C$10:$C$224,$C213,'TL16'!$J$10:$J$224),0),
IF('TL16'!$B$229=M$3,SUMIF('TL16'!$C$238:$C$451,$C213,'TL16'!$J$238:$J$451),0),
IF('TL17'!$B$3=M$3,SUMIF('TL17'!$C$10:$C$224,$C213,'TL17'!$J$10:$J$224),0),
IF('TL17'!$B$229=M$3,SUMIF('TL17'!$C$238:$C$451,$C213,'TL17'!$J$238:$J$451),0),
IF('TL18'!$B$3=M$3,SUMIF('TL18'!$C$10:$C$224,$C213,'TL18'!$J$10:$J$224),0),
IF('TL18'!$B$229=M$3,SUMIF('TL18'!$C$238:$C$451,$C213,'TL18'!$J$238:$J$451),0),
IF('TL19'!$B$3=M$3,SUMIF('TL19'!$C$10:$C$224,$C213,'TL19'!$J$10:$J$224),0),
IF('TL19'!$B$229=M$3,SUMIF('TL19'!$C$238:$C$451,$C213,'TL19'!$J$238:$J$451),0)
),0)</f>
        <v/>
      </c>
      <c r="N213" s="9">
        <f>IFERROR(SUM(
IF('TL01'!$B$3=N$3,SUMIF('TL01'!$C$10:$C$224,$C213,'TL01'!$J$10:$J$224),0),
IF('TL01'!$B$229=N$3,SUMIF('TL01'!$C$238:$C$451,$C213,'TL01'!$J$238:$J$451),0),
IF('TL02'!$B$3=N$3,SUMIF('TL02'!$C$10:$C$224,$C213,'TL02'!$J$10:$J$224),0),
IF('TL02'!$B$229=N$3,SUMIF('TL02'!$C$238:$C$451,$C213,'TL02'!$J$238:$J$451),0),
IF('TL03'!$B$3=N$3,SUMIF('TL03'!$C$10:$C$224,$C213,'TL03'!$J$10:$J$224),0),
IF('TL03'!$B$229=N$3,SUMIF('TL03'!$C$238:$C$451,$C213,'TL03'!$J$238:$J$451),0),
IF('TL04'!$B$3=N$3,SUMIF('TL04'!$C$10:$C$224,$C213,'TL04'!$J$10:$J$224),0),
IF('TL04'!$B$229=N$3,SUMIF('TL04'!$C$238:$C$451,$C213,'TL04'!$J$238:$J$451),0),
IF('TL05'!$B$3=N$3,SUMIF('TL05'!$C$10:$C$224,$C213,'TL05'!$J$10:$J$224),0),
IF('TL05'!$B$229=N$3,SUMIF('TL05'!$C$238:$C$451,$C213,'TL05'!$J$238:$J$451),0),
IF('TL06'!$B$3=N$3,SUMIF('TL06'!$C$10:$C$224,$C213,'TL06'!$J$10:$J$224),0),
IF('TL06'!$B$229=N$3,SUMIF('TL06'!$C$238:$C$451,$C213,'TL06'!$J$238:$J$451),0),
IF('TL07'!$B$3=N$3,SUMIF('TL07'!$C$10:$C$224,$C213,'TL07'!$J$10:$J$224),0),
IF('TL07'!$B$229=N$3,SUMIF('TL07'!$C$238:$C$451,$C213,'TL07'!$J$238:$J$451),0),
IF('TL08'!$B$3=N$3,SUMIF('TL08'!$C$10:$C$224,$C213,'TL08'!$J$10:$J$224),0),
IF('TL08'!$B$229=N$3,SUMIF('TL08'!$C$238:$C$451,$C213,'TL08'!$J$238:$J$451),0),
IF('TL09'!$B$3=N$3,SUMIF('TL09'!$C$10:$C$224,$C213,'TL09'!$J$10:$J$224),0),
IF('TL09'!$B$229=N$3,SUMIF('TL09'!$C$238:$C$451,$C213,'TL09'!$J$238:$J$451),0),
IF('TL10'!$B$3=N$3,SUMIF('TL10'!$C$10:$C$224,$C213,'TL10'!$J$10:$J$224),0),
IF('TL10'!$B$229=N$3,SUMIF('TL10'!$C$238:$C$451,$C213,'TL10'!$J$238:$J$451),0),
IF('TL11'!$B$3=N$3,SUMIF('TL11'!$C$10:$C$224,$C213,'TL11'!$J$10:$J$224),0),
IF('TL11'!$B$229=N$3,SUMIF('TL11'!$C$238:$C$451,$C213,'TL11'!$J$238:$J$451),0),
IF('TL12'!$B$3=N$3,SUMIF('TL12'!$C$10:$C$224,$C213,'TL12'!$J$10:$J$224),0),
IF('TL12'!$B$229=N$3,SUMIF('TL12'!$C$238:$C$451,$C213,'TL12'!$J$238:$J$451),0),
IF('TL13'!$B$3=N$3,SUMIF('TL13'!$C$10:$C$224,$C213,'TL13'!$J$10:$J$224),0),
IF('TL13'!$B$229=N$3,SUMIF('TL13'!$C$238:$C$451,$C213,'TL13'!$J$238:$J$451),0),
IF('TL14'!$B$3=N$3,SUMIF('TL14'!$C$10:$C$224,$C213,'TL14'!$J$10:$J$224),0),
IF('TL14'!$B$229=N$3,SUMIF('TL14'!$C$238:$C$451,$C213,'TL14'!$J$238:$J$451),0),
IF('TL15'!$B$3=N$3,SUMIF('TL15'!$C$10:$C$224,$C213,'TL15'!$J$10:$J$224),0),
IF('TL15'!$B$229=N$3,SUMIF('TL15'!$C$238:$C$451,$C213,'TL15'!$J$238:$J$451),0),
IF('TL16'!$B$3=N$3,SUMIF('TL16'!$C$10:$C$224,$C213,'TL16'!$J$10:$J$224),0),
IF('TL16'!$B$229=N$3,SUMIF('TL16'!$C$238:$C$451,$C213,'TL16'!$J$238:$J$451),0),
IF('TL17'!$B$3=N$3,SUMIF('TL17'!$C$10:$C$224,$C213,'TL17'!$J$10:$J$224),0),
IF('TL17'!$B$229=N$3,SUMIF('TL17'!$C$238:$C$451,$C213,'TL17'!$J$238:$J$451),0),
IF('TL18'!$B$3=N$3,SUMIF('TL18'!$C$10:$C$224,$C213,'TL18'!$J$10:$J$224),0),
IF('TL18'!$B$229=N$3,SUMIF('TL18'!$C$238:$C$451,$C213,'TL18'!$J$238:$J$451),0),
IF('TL19'!$B$3=N$3,SUMIF('TL19'!$C$10:$C$224,$C213,'TL19'!$J$10:$J$224),0),
IF('TL19'!$B$229=N$3,SUMIF('TL19'!$C$238:$C$451,$C213,'TL19'!$J$238:$J$451),0)
),0)</f>
        <v/>
      </c>
      <c r="O213" s="9">
        <f>IFERROR(SUM(
IF('TL01'!$B$3=O$3,SUMIF('TL01'!$C$10:$C$224,$C213,'TL01'!$J$10:$J$224),0),
IF('TL01'!$B$229=O$3,SUMIF('TL01'!$C$238:$C$451,$C213,'TL01'!$J$238:$J$451),0),
IF('TL02'!$B$3=O$3,SUMIF('TL02'!$C$10:$C$224,$C213,'TL02'!$J$10:$J$224),0),
IF('TL02'!$B$229=O$3,SUMIF('TL02'!$C$238:$C$451,$C213,'TL02'!$J$238:$J$451),0),
IF('TL03'!$B$3=O$3,SUMIF('TL03'!$C$10:$C$224,$C213,'TL03'!$J$10:$J$224),0),
IF('TL03'!$B$229=O$3,SUMIF('TL03'!$C$238:$C$451,$C213,'TL03'!$J$238:$J$451),0),
IF('TL04'!$B$3=O$3,SUMIF('TL04'!$C$10:$C$224,$C213,'TL04'!$J$10:$J$224),0),
IF('TL04'!$B$229=O$3,SUMIF('TL04'!$C$238:$C$451,$C213,'TL04'!$J$238:$J$451),0),
IF('TL05'!$B$3=O$3,SUMIF('TL05'!$C$10:$C$224,$C213,'TL05'!$J$10:$J$224),0),
IF('TL05'!$B$229=O$3,SUMIF('TL05'!$C$238:$C$451,$C213,'TL05'!$J$238:$J$451),0),
IF('TL06'!$B$3=O$3,SUMIF('TL06'!$C$10:$C$224,$C213,'TL06'!$J$10:$J$224),0),
IF('TL06'!$B$229=O$3,SUMIF('TL06'!$C$238:$C$451,$C213,'TL06'!$J$238:$J$451),0),
IF('TL07'!$B$3=O$3,SUMIF('TL07'!$C$10:$C$224,$C213,'TL07'!$J$10:$J$224),0),
IF('TL07'!$B$229=O$3,SUMIF('TL07'!$C$238:$C$451,$C213,'TL07'!$J$238:$J$451),0),
IF('TL08'!$B$3=O$3,SUMIF('TL08'!$C$10:$C$224,$C213,'TL08'!$J$10:$J$224),0),
IF('TL08'!$B$229=O$3,SUMIF('TL08'!$C$238:$C$451,$C213,'TL08'!$J$238:$J$451),0),
IF('TL09'!$B$3=O$3,SUMIF('TL09'!$C$10:$C$224,$C213,'TL09'!$J$10:$J$224),0),
IF('TL09'!$B$229=O$3,SUMIF('TL09'!$C$238:$C$451,$C213,'TL09'!$J$238:$J$451),0),
IF('TL10'!$B$3=O$3,SUMIF('TL10'!$C$10:$C$224,$C213,'TL10'!$J$10:$J$224),0),
IF('TL10'!$B$229=O$3,SUMIF('TL10'!$C$238:$C$451,$C213,'TL10'!$J$238:$J$451),0),
IF('TL11'!$B$3=O$3,SUMIF('TL11'!$C$10:$C$224,$C213,'TL11'!$J$10:$J$224),0),
IF('TL11'!$B$229=O$3,SUMIF('TL11'!$C$238:$C$451,$C213,'TL11'!$J$238:$J$451),0),
IF('TL12'!$B$3=O$3,SUMIF('TL12'!$C$10:$C$224,$C213,'TL12'!$J$10:$J$224),0),
IF('TL12'!$B$229=O$3,SUMIF('TL12'!$C$238:$C$451,$C213,'TL12'!$J$238:$J$451),0),
IF('TL13'!$B$3=O$3,SUMIF('TL13'!$C$10:$C$224,$C213,'TL13'!$J$10:$J$224),0),
IF('TL13'!$B$229=O$3,SUMIF('TL13'!$C$238:$C$451,$C213,'TL13'!$J$238:$J$451),0),
IF('TL14'!$B$3=O$3,SUMIF('TL14'!$C$10:$C$224,$C213,'TL14'!$J$10:$J$224),0),
IF('TL14'!$B$229=O$3,SUMIF('TL14'!$C$238:$C$451,$C213,'TL14'!$J$238:$J$451),0),
IF('TL15'!$B$3=O$3,SUMIF('TL15'!$C$10:$C$224,$C213,'TL15'!$J$10:$J$224),0),
IF('TL15'!$B$229=O$3,SUMIF('TL15'!$C$238:$C$451,$C213,'TL15'!$J$238:$J$451),0),
IF('TL16'!$B$3=O$3,SUMIF('TL16'!$C$10:$C$224,$C213,'TL16'!$J$10:$J$224),0),
IF('TL16'!$B$229=O$3,SUMIF('TL16'!$C$238:$C$451,$C213,'TL16'!$J$238:$J$451),0),
IF('TL17'!$B$3=O$3,SUMIF('TL17'!$C$10:$C$224,$C213,'TL17'!$J$10:$J$224),0),
IF('TL17'!$B$229=O$3,SUMIF('TL17'!$C$238:$C$451,$C213,'TL17'!$J$238:$J$451),0),
IF('TL18'!$B$3=O$3,SUMIF('TL18'!$C$10:$C$224,$C213,'TL18'!$J$10:$J$224),0),
IF('TL18'!$B$229=O$3,SUMIF('TL18'!$C$238:$C$451,$C213,'TL18'!$J$238:$J$451),0),
IF('TL19'!$B$3=O$3,SUMIF('TL19'!$C$10:$C$224,$C213,'TL19'!$J$10:$J$224),0),
IF('TL19'!$B$229=O$3,SUMIF('TL19'!$C$238:$C$451,$C213,'TL19'!$J$238:$J$451),0)
),0)</f>
        <v/>
      </c>
      <c r="P213" s="9">
        <f>IFERROR(SUM(
IF('TL01'!$B$3=P$3,SUMIF('TL01'!$C$10:$C$224,$C213,'TL01'!$J$10:$J$224),0),
IF('TL01'!$B$229=P$3,SUMIF('TL01'!$C$238:$C$451,$C213,'TL01'!$J$238:$J$451),0),
IF('TL02'!$B$3=P$3,SUMIF('TL02'!$C$10:$C$224,$C213,'TL02'!$J$10:$J$224),0),
IF('TL02'!$B$229=P$3,SUMIF('TL02'!$C$238:$C$451,$C213,'TL02'!$J$238:$J$451),0),
IF('TL03'!$B$3=P$3,SUMIF('TL03'!$C$10:$C$224,$C213,'TL03'!$J$10:$J$224),0),
IF('TL03'!$B$229=P$3,SUMIF('TL03'!$C$238:$C$451,$C213,'TL03'!$J$238:$J$451),0),
IF('TL04'!$B$3=P$3,SUMIF('TL04'!$C$10:$C$224,$C213,'TL04'!$J$10:$J$224),0),
IF('TL04'!$B$229=P$3,SUMIF('TL04'!$C$238:$C$451,$C213,'TL04'!$J$238:$J$451),0),
IF('TL05'!$B$3=P$3,SUMIF('TL05'!$C$10:$C$224,$C213,'TL05'!$J$10:$J$224),0),
IF('TL05'!$B$229=P$3,SUMIF('TL05'!$C$238:$C$451,$C213,'TL05'!$J$238:$J$451),0),
IF('TL06'!$B$3=P$3,SUMIF('TL06'!$C$10:$C$224,$C213,'TL06'!$J$10:$J$224),0),
IF('TL06'!$B$229=P$3,SUMIF('TL06'!$C$238:$C$451,$C213,'TL06'!$J$238:$J$451),0),
IF('TL07'!$B$3=P$3,SUMIF('TL07'!$C$10:$C$224,$C213,'TL07'!$J$10:$J$224),0),
IF('TL07'!$B$229=P$3,SUMIF('TL07'!$C$238:$C$451,$C213,'TL07'!$J$238:$J$451),0),
IF('TL08'!$B$3=P$3,SUMIF('TL08'!$C$10:$C$224,$C213,'TL08'!$J$10:$J$224),0),
IF('TL08'!$B$229=P$3,SUMIF('TL08'!$C$238:$C$451,$C213,'TL08'!$J$238:$J$451),0),
IF('TL09'!$B$3=P$3,SUMIF('TL09'!$C$10:$C$224,$C213,'TL09'!$J$10:$J$224),0),
IF('TL09'!$B$229=P$3,SUMIF('TL09'!$C$238:$C$451,$C213,'TL09'!$J$238:$J$451),0),
IF('TL10'!$B$3=P$3,SUMIF('TL10'!$C$10:$C$224,$C213,'TL10'!$J$10:$J$224),0),
IF('TL10'!$B$229=P$3,SUMIF('TL10'!$C$238:$C$451,$C213,'TL10'!$J$238:$J$451),0),
IF('TL11'!$B$3=P$3,SUMIF('TL11'!$C$10:$C$224,$C213,'TL11'!$J$10:$J$224),0),
IF('TL11'!$B$229=P$3,SUMIF('TL11'!$C$238:$C$451,$C213,'TL11'!$J$238:$J$451),0),
IF('TL12'!$B$3=P$3,SUMIF('TL12'!$C$10:$C$224,$C213,'TL12'!$J$10:$J$224),0),
IF('TL12'!$B$229=P$3,SUMIF('TL12'!$C$238:$C$451,$C213,'TL12'!$J$238:$J$451),0),
IF('TL13'!$B$3=P$3,SUMIF('TL13'!$C$10:$C$224,$C213,'TL13'!$J$10:$J$224),0),
IF('TL13'!$B$229=P$3,SUMIF('TL13'!$C$238:$C$451,$C213,'TL13'!$J$238:$J$451),0),
IF('TL14'!$B$3=P$3,SUMIF('TL14'!$C$10:$C$224,$C213,'TL14'!$J$10:$J$224),0),
IF('TL14'!$B$229=P$3,SUMIF('TL14'!$C$238:$C$451,$C213,'TL14'!$J$238:$J$451),0),
IF('TL15'!$B$3=P$3,SUMIF('TL15'!$C$10:$C$224,$C213,'TL15'!$J$10:$J$224),0),
IF('TL15'!$B$229=P$3,SUMIF('TL15'!$C$238:$C$451,$C213,'TL15'!$J$238:$J$451),0),
IF('TL16'!$B$3=P$3,SUMIF('TL16'!$C$10:$C$224,$C213,'TL16'!$J$10:$J$224),0),
IF('TL16'!$B$229=P$3,SUMIF('TL16'!$C$238:$C$451,$C213,'TL16'!$J$238:$J$451),0),
IF('TL17'!$B$3=P$3,SUMIF('TL17'!$C$10:$C$224,$C213,'TL17'!$J$10:$J$224),0),
IF('TL17'!$B$229=P$3,SUMIF('TL17'!$C$238:$C$451,$C213,'TL17'!$J$238:$J$451),0),
IF('TL18'!$B$3=P$3,SUMIF('TL18'!$C$10:$C$224,$C213,'TL18'!$J$10:$J$224),0),
IF('TL18'!$B$229=P$3,SUMIF('TL18'!$C$238:$C$451,$C213,'TL18'!$J$238:$J$451),0),
IF('TL19'!$B$3=P$3,SUMIF('TL19'!$C$10:$C$224,$C213,'TL19'!$J$10:$J$224),0),
IF('TL19'!$B$229=P$3,SUMIF('TL19'!$C$238:$C$451,$C213,'TL19'!$J$238:$J$451),0)
),0)</f>
        <v/>
      </c>
      <c r="Q213" s="9">
        <f>IFERROR(SUM(
IF('TL01'!$B$3=Q$3,SUMIF('TL01'!$C$10:$C$224,$C213,'TL01'!$J$10:$J$224),0),
IF('TL01'!$B$229=Q$3,SUMIF('TL01'!$C$238:$C$451,$C213,'TL01'!$J$238:$J$451),0),
IF('TL02'!$B$3=Q$3,SUMIF('TL02'!$C$10:$C$224,$C213,'TL02'!$J$10:$J$224),0),
IF('TL02'!$B$229=Q$3,SUMIF('TL02'!$C$238:$C$451,$C213,'TL02'!$J$238:$J$451),0),
IF('TL03'!$B$3=Q$3,SUMIF('TL03'!$C$10:$C$224,$C213,'TL03'!$J$10:$J$224),0),
IF('TL03'!$B$229=Q$3,SUMIF('TL03'!$C$238:$C$451,$C213,'TL03'!$J$238:$J$451),0),
IF('TL04'!$B$3=Q$3,SUMIF('TL04'!$C$10:$C$224,$C213,'TL04'!$J$10:$J$224),0),
IF('TL04'!$B$229=Q$3,SUMIF('TL04'!$C$238:$C$451,$C213,'TL04'!$J$238:$J$451),0),
IF('TL05'!$B$3=Q$3,SUMIF('TL05'!$C$10:$C$224,$C213,'TL05'!$J$10:$J$224),0),
IF('TL05'!$B$229=Q$3,SUMIF('TL05'!$C$238:$C$451,$C213,'TL05'!$J$238:$J$451),0),
IF('TL06'!$B$3=Q$3,SUMIF('TL06'!$C$10:$C$224,$C213,'TL06'!$J$10:$J$224),0),
IF('TL06'!$B$229=Q$3,SUMIF('TL06'!$C$238:$C$451,$C213,'TL06'!$J$238:$J$451),0),
IF('TL07'!$B$3=Q$3,SUMIF('TL07'!$C$10:$C$224,$C213,'TL07'!$J$10:$J$224),0),
IF('TL07'!$B$229=Q$3,SUMIF('TL07'!$C$238:$C$451,$C213,'TL07'!$J$238:$J$451),0),
IF('TL08'!$B$3=Q$3,SUMIF('TL08'!$C$10:$C$224,$C213,'TL08'!$J$10:$J$224),0),
IF('TL08'!$B$229=Q$3,SUMIF('TL08'!$C$238:$C$451,$C213,'TL08'!$J$238:$J$451),0),
IF('TL09'!$B$3=Q$3,SUMIF('TL09'!$C$10:$C$224,$C213,'TL09'!$J$10:$J$224),0),
IF('TL09'!$B$229=Q$3,SUMIF('TL09'!$C$238:$C$451,$C213,'TL09'!$J$238:$J$451),0),
IF('TL10'!$B$3=Q$3,SUMIF('TL10'!$C$10:$C$224,$C213,'TL10'!$J$10:$J$224),0),
IF('TL10'!$B$229=Q$3,SUMIF('TL10'!$C$238:$C$451,$C213,'TL10'!$J$238:$J$451),0),
IF('TL11'!$B$3=Q$3,SUMIF('TL11'!$C$10:$C$224,$C213,'TL11'!$J$10:$J$224),0),
IF('TL11'!$B$229=Q$3,SUMIF('TL11'!$C$238:$C$451,$C213,'TL11'!$J$238:$J$451),0),
IF('TL12'!$B$3=Q$3,SUMIF('TL12'!$C$10:$C$224,$C213,'TL12'!$J$10:$J$224),0),
IF('TL12'!$B$229=Q$3,SUMIF('TL12'!$C$238:$C$451,$C213,'TL12'!$J$238:$J$451),0),
IF('TL13'!$B$3=Q$3,SUMIF('TL13'!$C$10:$C$224,$C213,'TL13'!$J$10:$J$224),0),
IF('TL13'!$B$229=Q$3,SUMIF('TL13'!$C$238:$C$451,$C213,'TL13'!$J$238:$J$451),0),
IF('TL14'!$B$3=Q$3,SUMIF('TL14'!$C$10:$C$224,$C213,'TL14'!$J$10:$J$224),0),
IF('TL14'!$B$229=Q$3,SUMIF('TL14'!$C$238:$C$451,$C213,'TL14'!$J$238:$J$451),0),
IF('TL15'!$B$3=Q$3,SUMIF('TL15'!$C$10:$C$224,$C213,'TL15'!$J$10:$J$224),0),
IF('TL15'!$B$229=Q$3,SUMIF('TL15'!$C$238:$C$451,$C213,'TL15'!$J$238:$J$451),0),
IF('TL16'!$B$3=Q$3,SUMIF('TL16'!$C$10:$C$224,$C213,'TL16'!$J$10:$J$224),0),
IF('TL16'!$B$229=Q$3,SUMIF('TL16'!$C$238:$C$451,$C213,'TL16'!$J$238:$J$451),0),
IF('TL17'!$B$3=Q$3,SUMIF('TL17'!$C$10:$C$224,$C213,'TL17'!$J$10:$J$224),0),
IF('TL17'!$B$229=Q$3,SUMIF('TL17'!$C$238:$C$451,$C213,'TL17'!$J$238:$J$451),0),
IF('TL18'!$B$3=Q$3,SUMIF('TL18'!$C$10:$C$224,$C213,'TL18'!$J$10:$J$224),0),
IF('TL18'!$B$229=Q$3,SUMIF('TL18'!$C$238:$C$451,$C213,'TL18'!$J$238:$J$451),0),
IF('TL19'!$B$3=Q$3,SUMIF('TL19'!$C$10:$C$224,$C213,'TL19'!$J$10:$J$224),0),
IF('TL19'!$B$229=Q$3,SUMIF('TL19'!$C$238:$C$451,$C213,'TL19'!$J$238:$J$451),0)
),0)</f>
        <v/>
      </c>
      <c r="R213" s="9">
        <f>IFERROR(
SUM(
SUMIF('TL01'!C:C,C213,'TL01'!J:J),
SUMIF('TL02'!C:C,C213,'TL02'!J:J),
SUMIF('TL03'!C:C,C213,'TL03'!J:J),
SUMIF('TL04'!C:C,C213,'TL04'!J:J),
SUMIF('TL05'!C:C,C213,'TL05'!J:J),
SUMIF('TL06'!C:C,C213,'TL06'!J:J),
SUMIF('TL07'!C:C,C213,'TL07'!J:J),
SUMIF('TL08'!C:C,C213,'TL08'!J:J),
SUMIF('TL09'!C:C,C213,'TL09'!J:J),
SUMIF('TL10'!C:C,C213,'TL10'!J:J),
SUMIF('TL11'!C:C,C213,'TL11'!J:J),
SUMIF('TL12'!C:C,C213,'TL12'!J:J),
SUMIF('TL13'!C:C,C213,'TL13'!J:J),
SUMIF('TL14'!C:C,C213,'TL14'!J:J),
SUMIF('TL15'!C:C,C213,'TL15'!J:J),
SUMIF('TL16'!C:C,C213,'TL16'!J:J),
SUMIF('TL17'!C:C,C213,'TL17'!J:J),
SUMIF('TL18'!C:C,C213,'TL18'!J:J),SUMIF('TL19'!C:C,C213,'TL19'!J:J))
,0)</f>
        <v/>
      </c>
      <c r="S213" s="17">
        <f>IFERROR(__xludf.DUMMYFUNCTION("IFERROR(VLOOKUP(C213,
IMPORTRANGE(""1wULbzX32WdYsx-lj2U3uUNBBe2INVIRDtcK0d-Dvl90"",
""26-27!C:G""),
5,
FALSE),
"""")"),53.99505)</f>
        <v/>
      </c>
      <c r="T213" s="9" t="n"/>
      <c r="U213" s="92">
        <f>MAX(0,R213-T213)</f>
        <v/>
      </c>
      <c r="V213" s="93">
        <f>U213*S213</f>
        <v/>
      </c>
    </row>
    <row r="214" hidden="1" ht="15.75" customHeight="1" s="297">
      <c r="A214" s="87" t="inlineStr">
        <is>
          <t>NORTOX</t>
        </is>
      </c>
      <c r="B214" s="88" t="inlineStr">
        <is>
          <t>INSETICIDA</t>
        </is>
      </c>
      <c r="C214" s="89" t="inlineStr">
        <is>
          <t>IMIDACLOPRID NORTOX 480 SC</t>
        </is>
      </c>
      <c r="D214" s="89" t="inlineStr">
        <is>
          <t>IMIDACLOPRIDO</t>
        </is>
      </c>
      <c r="E214" s="89" t="n">
        <v>480</v>
      </c>
      <c r="F214" s="4" t="inlineStr">
        <is>
          <t>L</t>
        </is>
      </c>
      <c r="G214" s="90">
        <f>HYPERLINK("https://www.google.com/search?q=" &amp; C214 &amp; "+bula+agrofit+pdf", "📄 Ver bula")</f>
        <v/>
      </c>
      <c r="H214" s="9">
        <f>IFERROR(__xludf.DUMMYFUNCTION("IFERROR(VLOOKUP(C214,
IMPORTRANGE(""1wULbzX32WdYsx-lj2U3uUNBBe2INVIRDtcK0d-Dvl90"",
""26-27!C:K""),
8,
FALSE),
"""")"),0.25)</f>
        <v/>
      </c>
      <c r="I214" s="91" t="inlineStr">
        <is>
          <t>4X5</t>
        </is>
      </c>
      <c r="J214" s="9">
        <f>IFERROR(SUM(
IF('TL01'!$B$3=J$3,SUMIF('TL01'!$C$10:$C$224,$C214,'TL01'!$J$10:$J$224),0),
IF('TL01'!$B$229=J$3,SUMIF('TL01'!$C$238:$C$451,$C214,'TL01'!$J$238:$J$451),0),
IF('TL02'!$B$3=J$3,SUMIF('TL02'!$C$10:$C$224,$C214,'TL02'!$J$10:$J$224),0),
IF('TL02'!$B$229=J$3,SUMIF('TL02'!$C$238:$C$451,$C214,'TL02'!$J$238:$J$451),0),
IF('TL03'!$B$3=J$3,SUMIF('TL03'!$C$10:$C$224,$C214,'TL03'!$J$10:$J$224),0),
IF('TL03'!$B$229=J$3,SUMIF('TL03'!$C$238:$C$451,$C214,'TL03'!$J$238:$J$451),0),
IF('TL04'!$B$3=J$3,SUMIF('TL04'!$C$10:$C$224,$C214,'TL04'!$J$10:$J$224),0),
IF('TL04'!$B$229=J$3,SUMIF('TL04'!$C$238:$C$451,$C214,'TL04'!$J$238:$J$451),0),
IF('TL05'!$B$3=J$3,SUMIF('TL05'!$C$10:$C$224,$C214,'TL05'!$J$10:$J$224),0),
IF('TL05'!$B$229=J$3,SUMIF('TL05'!$C$238:$C$451,$C214,'TL05'!$J$238:$J$451),0),
IF('TL06'!$B$3=J$3,SUMIF('TL06'!$C$10:$C$224,$C214,'TL06'!$J$10:$J$224),0),
IF('TL06'!$B$229=J$3,SUMIF('TL06'!$C$238:$C$451,$C214,'TL06'!$J$238:$J$451),0),
IF('TL07'!$B$3=J$3,SUMIF('TL07'!$C$10:$C$224,$C214,'TL07'!$J$10:$J$224),0),
IF('TL07'!$B$229=J$3,SUMIF('TL07'!$C$238:$C$451,$C214,'TL07'!$J$238:$J$451),0),
IF('TL08'!$B$3=J$3,SUMIF('TL08'!$C$10:$C$224,$C214,'TL08'!$J$10:$J$224),0),
IF('TL08'!$B$229=J$3,SUMIF('TL08'!$C$238:$C$451,$C214,'TL08'!$J$238:$J$451),0),
IF('TL09'!$B$3=J$3,SUMIF('TL09'!$C$10:$C$224,$C214,'TL09'!$J$10:$J$224),0),
IF('TL09'!$B$229=J$3,SUMIF('TL09'!$C$238:$C$451,$C214,'TL09'!$J$238:$J$451),0),
IF('TL10'!$B$3=J$3,SUMIF('TL10'!$C$10:$C$224,$C214,'TL10'!$J$10:$J$224),0),
IF('TL10'!$B$229=J$3,SUMIF('TL10'!$C$238:$C$451,$C214,'TL10'!$J$238:$J$451),0),
IF('TL11'!$B$3=J$3,SUMIF('TL11'!$C$10:$C$224,$C214,'TL11'!$J$10:$J$224),0),
IF('TL11'!$B$229=J$3,SUMIF('TL11'!$C$238:$C$451,$C214,'TL11'!$J$238:$J$451),0),
IF('TL12'!$B$3=J$3,SUMIF('TL12'!$C$10:$C$224,$C214,'TL12'!$J$10:$J$224),0),
IF('TL12'!$B$229=J$3,SUMIF('TL12'!$C$238:$C$451,$C214,'TL12'!$J$238:$J$451),0),
IF('TL13'!$B$3=J$3,SUMIF('TL13'!$C$10:$C$224,$C214,'TL13'!$J$10:$J$224),0),
IF('TL13'!$B$229=J$3,SUMIF('TL13'!$C$238:$C$451,$C214,'TL13'!$J$238:$J$451),0),
IF('TL14'!$B$3=J$3,SUMIF('TL14'!$C$10:$C$224,$C214,'TL14'!$J$10:$J$224),0),
IF('TL14'!$B$229=J$3,SUMIF('TL14'!$C$238:$C$451,$C214,'TL14'!$J$238:$J$451),0),
IF('TL15'!$B$3=J$3,SUMIF('TL15'!$C$10:$C$224,$C214,'TL15'!$J$10:$J$224),0),
IF('TL15'!$B$229=J$3,SUMIF('TL15'!$C$238:$C$451,$C214,'TL15'!$J$238:$J$451),0),
IF('TL16'!$B$3=J$3,SUMIF('TL16'!$C$10:$C$224,$C214,'TL16'!$J$10:$J$224),0),
IF('TL16'!$B$229=J$3,SUMIF('TL16'!$C$238:$C$451,$C214,'TL16'!$J$238:$J$451),0),
IF('TL17'!$B$3=J$3,SUMIF('TL17'!$C$10:$C$224,$C214,'TL17'!$J$10:$J$224),0),
IF('TL17'!$B$229=J$3,SUMIF('TL17'!$C$238:$C$451,$C214,'TL17'!$J$238:$J$451),0),
IF('TL18'!$B$3=J$3,SUMIF('TL18'!$C$10:$C$224,$C214,'TL18'!$J$10:$J$224),0),
IF('TL18'!$B$229=J$3,SUMIF('TL18'!$C$238:$C$451,$C214,'TL18'!$J$238:$J$451),0),
IF('TL19'!$B$3=J$3,SUMIF('TL19'!$C$10:$C$224,$C214,'TL19'!$J$10:$J$224),0),
IF('TL19'!$B$229=J$3,SUMIF('TL19'!$C$238:$C$451,$C214,'TL19'!$J$238:$J$451),0)
),0)</f>
        <v/>
      </c>
      <c r="K214" s="9">
        <f>IFERROR(SUM(
IF('TL01'!$B$3=K$3,SUMIF('TL01'!$C$10:$C$224,$C214,'TL01'!$J$10:$J$224),0),
IF('TL01'!$B$229=K$3,SUMIF('TL01'!$C$238:$C$451,$C214,'TL01'!$J$238:$J$451),0),
IF('TL02'!$B$3=K$3,SUMIF('TL02'!$C$10:$C$224,$C214,'TL02'!$J$10:$J$224),0),
IF('TL02'!$B$229=K$3,SUMIF('TL02'!$C$238:$C$451,$C214,'TL02'!$J$238:$J$451),0),
IF('TL03'!$B$3=K$3,SUMIF('TL03'!$C$10:$C$224,$C214,'TL03'!$J$10:$J$224),0),
IF('TL03'!$B$229=K$3,SUMIF('TL03'!$C$238:$C$451,$C214,'TL03'!$J$238:$J$451),0),
IF('TL04'!$B$3=K$3,SUMIF('TL04'!$C$10:$C$224,$C214,'TL04'!$J$10:$J$224),0),
IF('TL04'!$B$229=K$3,SUMIF('TL04'!$C$238:$C$451,$C214,'TL04'!$J$238:$J$451),0),
IF('TL05'!$B$3=K$3,SUMIF('TL05'!$C$10:$C$224,$C214,'TL05'!$J$10:$J$224),0),
IF('TL05'!$B$229=K$3,SUMIF('TL05'!$C$238:$C$451,$C214,'TL05'!$J$238:$J$451),0),
IF('TL06'!$B$3=K$3,SUMIF('TL06'!$C$10:$C$224,$C214,'TL06'!$J$10:$J$224),0),
IF('TL06'!$B$229=K$3,SUMIF('TL06'!$C$238:$C$451,$C214,'TL06'!$J$238:$J$451),0),
IF('TL07'!$B$3=K$3,SUMIF('TL07'!$C$10:$C$224,$C214,'TL07'!$J$10:$J$224),0),
IF('TL07'!$B$229=K$3,SUMIF('TL07'!$C$238:$C$451,$C214,'TL07'!$J$238:$J$451),0),
IF('TL08'!$B$3=K$3,SUMIF('TL08'!$C$10:$C$224,$C214,'TL08'!$J$10:$J$224),0),
IF('TL08'!$B$229=K$3,SUMIF('TL08'!$C$238:$C$451,$C214,'TL08'!$J$238:$J$451),0),
IF('TL09'!$B$3=K$3,SUMIF('TL09'!$C$10:$C$224,$C214,'TL09'!$J$10:$J$224),0),
IF('TL09'!$B$229=K$3,SUMIF('TL09'!$C$238:$C$451,$C214,'TL09'!$J$238:$J$451),0),
IF('TL10'!$B$3=K$3,SUMIF('TL10'!$C$10:$C$224,$C214,'TL10'!$J$10:$J$224),0),
IF('TL10'!$B$229=K$3,SUMIF('TL10'!$C$238:$C$451,$C214,'TL10'!$J$238:$J$451),0),
IF('TL11'!$B$3=K$3,SUMIF('TL11'!$C$10:$C$224,$C214,'TL11'!$J$10:$J$224),0),
IF('TL11'!$B$229=K$3,SUMIF('TL11'!$C$238:$C$451,$C214,'TL11'!$J$238:$J$451),0),
IF('TL12'!$B$3=K$3,SUMIF('TL12'!$C$10:$C$224,$C214,'TL12'!$J$10:$J$224),0),
IF('TL12'!$B$229=K$3,SUMIF('TL12'!$C$238:$C$451,$C214,'TL12'!$J$238:$J$451),0),
IF('TL13'!$B$3=K$3,SUMIF('TL13'!$C$10:$C$224,$C214,'TL13'!$J$10:$J$224),0),
IF('TL13'!$B$229=K$3,SUMIF('TL13'!$C$238:$C$451,$C214,'TL13'!$J$238:$J$451),0),
IF('TL14'!$B$3=K$3,SUMIF('TL14'!$C$10:$C$224,$C214,'TL14'!$J$10:$J$224),0),
IF('TL14'!$B$229=K$3,SUMIF('TL14'!$C$238:$C$451,$C214,'TL14'!$J$238:$J$451),0),
IF('TL15'!$B$3=K$3,SUMIF('TL15'!$C$10:$C$224,$C214,'TL15'!$J$10:$J$224),0),
IF('TL15'!$B$229=K$3,SUMIF('TL15'!$C$238:$C$451,$C214,'TL15'!$J$238:$J$451),0),
IF('TL16'!$B$3=K$3,SUMIF('TL16'!$C$10:$C$224,$C214,'TL16'!$J$10:$J$224),0),
IF('TL16'!$B$229=K$3,SUMIF('TL16'!$C$238:$C$451,$C214,'TL16'!$J$238:$J$451),0),
IF('TL17'!$B$3=K$3,SUMIF('TL17'!$C$10:$C$224,$C214,'TL17'!$J$10:$J$224),0),
IF('TL17'!$B$229=K$3,SUMIF('TL17'!$C$238:$C$451,$C214,'TL17'!$J$238:$J$451),0),
IF('TL18'!$B$3=K$3,SUMIF('TL18'!$C$10:$C$224,$C214,'TL18'!$J$10:$J$224),0),
IF('TL18'!$B$229=K$3,SUMIF('TL18'!$C$238:$C$451,$C214,'TL18'!$J$238:$J$451),0),
IF('TL19'!$B$3=K$3,SUMIF('TL19'!$C$10:$C$224,$C214,'TL19'!$J$10:$J$224),0),
IF('TL19'!$B$229=K$3,SUMIF('TL19'!$C$238:$C$451,$C214,'TL19'!$J$238:$J$451),0)
),0)</f>
        <v/>
      </c>
      <c r="L214" s="9">
        <f>IFERROR(SUM(
IF('TL01'!$B$3=L$3,SUMIF('TL01'!$C$10:$C$224,$C214,'TL01'!$J$10:$J$224),0),
IF('TL01'!$B$229=L$3,SUMIF('TL01'!$C$238:$C$451,$C214,'TL01'!$J$238:$J$451),0),
IF('TL02'!$B$3=L$3,SUMIF('TL02'!$C$10:$C$224,$C214,'TL02'!$J$10:$J$224),0),
IF('TL02'!$B$229=L$3,SUMIF('TL02'!$C$238:$C$451,$C214,'TL02'!$J$238:$J$451),0),
IF('TL03'!$B$3=L$3,SUMIF('TL03'!$C$10:$C$224,$C214,'TL03'!$J$10:$J$224),0),
IF('TL03'!$B$229=L$3,SUMIF('TL03'!$C$238:$C$451,$C214,'TL03'!$J$238:$J$451),0),
IF('TL04'!$B$3=L$3,SUMIF('TL04'!$C$10:$C$224,$C214,'TL04'!$J$10:$J$224),0),
IF('TL04'!$B$229=L$3,SUMIF('TL04'!$C$238:$C$451,$C214,'TL04'!$J$238:$J$451),0),
IF('TL05'!$B$3=L$3,SUMIF('TL05'!$C$10:$C$224,$C214,'TL05'!$J$10:$J$224),0),
IF('TL05'!$B$229=L$3,SUMIF('TL05'!$C$238:$C$451,$C214,'TL05'!$J$238:$J$451),0),
IF('TL06'!$B$3=L$3,SUMIF('TL06'!$C$10:$C$224,$C214,'TL06'!$J$10:$J$224),0),
IF('TL06'!$B$229=L$3,SUMIF('TL06'!$C$238:$C$451,$C214,'TL06'!$J$238:$J$451),0),
IF('TL07'!$B$3=L$3,SUMIF('TL07'!$C$10:$C$224,$C214,'TL07'!$J$10:$J$224),0),
IF('TL07'!$B$229=L$3,SUMIF('TL07'!$C$238:$C$451,$C214,'TL07'!$J$238:$J$451),0),
IF('TL08'!$B$3=L$3,SUMIF('TL08'!$C$10:$C$224,$C214,'TL08'!$J$10:$J$224),0),
IF('TL08'!$B$229=L$3,SUMIF('TL08'!$C$238:$C$451,$C214,'TL08'!$J$238:$J$451),0),
IF('TL09'!$B$3=L$3,SUMIF('TL09'!$C$10:$C$224,$C214,'TL09'!$J$10:$J$224),0),
IF('TL09'!$B$229=L$3,SUMIF('TL09'!$C$238:$C$451,$C214,'TL09'!$J$238:$J$451),0),
IF('TL10'!$B$3=L$3,SUMIF('TL10'!$C$10:$C$224,$C214,'TL10'!$J$10:$J$224),0),
IF('TL10'!$B$229=L$3,SUMIF('TL10'!$C$238:$C$451,$C214,'TL10'!$J$238:$J$451),0),
IF('TL11'!$B$3=L$3,SUMIF('TL11'!$C$10:$C$224,$C214,'TL11'!$J$10:$J$224),0),
IF('TL11'!$B$229=L$3,SUMIF('TL11'!$C$238:$C$451,$C214,'TL11'!$J$238:$J$451),0),
IF('TL12'!$B$3=L$3,SUMIF('TL12'!$C$10:$C$224,$C214,'TL12'!$J$10:$J$224),0),
IF('TL12'!$B$229=L$3,SUMIF('TL12'!$C$238:$C$451,$C214,'TL12'!$J$238:$J$451),0),
IF('TL13'!$B$3=L$3,SUMIF('TL13'!$C$10:$C$224,$C214,'TL13'!$J$10:$J$224),0),
IF('TL13'!$B$229=L$3,SUMIF('TL13'!$C$238:$C$451,$C214,'TL13'!$J$238:$J$451),0),
IF('TL14'!$B$3=L$3,SUMIF('TL14'!$C$10:$C$224,$C214,'TL14'!$J$10:$J$224),0),
IF('TL14'!$B$229=L$3,SUMIF('TL14'!$C$238:$C$451,$C214,'TL14'!$J$238:$J$451),0),
IF('TL15'!$B$3=L$3,SUMIF('TL15'!$C$10:$C$224,$C214,'TL15'!$J$10:$J$224),0),
IF('TL15'!$B$229=L$3,SUMIF('TL15'!$C$238:$C$451,$C214,'TL15'!$J$238:$J$451),0),
IF('TL16'!$B$3=L$3,SUMIF('TL16'!$C$10:$C$224,$C214,'TL16'!$J$10:$J$224),0),
IF('TL16'!$B$229=L$3,SUMIF('TL16'!$C$238:$C$451,$C214,'TL16'!$J$238:$J$451),0),
IF('TL17'!$B$3=L$3,SUMIF('TL17'!$C$10:$C$224,$C214,'TL17'!$J$10:$J$224),0),
IF('TL17'!$B$229=L$3,SUMIF('TL17'!$C$238:$C$451,$C214,'TL17'!$J$238:$J$451),0),
IF('TL18'!$B$3=L$3,SUMIF('TL18'!$C$10:$C$224,$C214,'TL18'!$J$10:$J$224),0),
IF('TL18'!$B$229=L$3,SUMIF('TL18'!$C$238:$C$451,$C214,'TL18'!$J$238:$J$451),0),
IF('TL19'!$B$3=L$3,SUMIF('TL19'!$C$10:$C$224,$C214,'TL19'!$J$10:$J$224),0),
IF('TL19'!$B$229=L$3,SUMIF('TL19'!$C$238:$C$451,$C214,'TL19'!$J$238:$J$451),0)
),0)</f>
        <v/>
      </c>
      <c r="M214" s="9">
        <f>IFERROR(SUM(
IF('TL01'!$B$3=M$3,SUMIF('TL01'!$C$10:$C$224,$C214,'TL01'!$J$10:$J$224),0),
IF('TL01'!$B$229=M$3,SUMIF('TL01'!$C$238:$C$451,$C214,'TL01'!$J$238:$J$451),0),
IF('TL02'!$B$3=M$3,SUMIF('TL02'!$C$10:$C$224,$C214,'TL02'!$J$10:$J$224),0),
IF('TL02'!$B$229=M$3,SUMIF('TL02'!$C$238:$C$451,$C214,'TL02'!$J$238:$J$451),0),
IF('TL03'!$B$3=M$3,SUMIF('TL03'!$C$10:$C$224,$C214,'TL03'!$J$10:$J$224),0),
IF('TL03'!$B$229=M$3,SUMIF('TL03'!$C$238:$C$451,$C214,'TL03'!$J$238:$J$451),0),
IF('TL04'!$B$3=M$3,SUMIF('TL04'!$C$10:$C$224,$C214,'TL04'!$J$10:$J$224),0),
IF('TL04'!$B$229=M$3,SUMIF('TL04'!$C$238:$C$451,$C214,'TL04'!$J$238:$J$451),0),
IF('TL05'!$B$3=M$3,SUMIF('TL05'!$C$10:$C$224,$C214,'TL05'!$J$10:$J$224),0),
IF('TL05'!$B$229=M$3,SUMIF('TL05'!$C$238:$C$451,$C214,'TL05'!$J$238:$J$451),0),
IF('TL06'!$B$3=M$3,SUMIF('TL06'!$C$10:$C$224,$C214,'TL06'!$J$10:$J$224),0),
IF('TL06'!$B$229=M$3,SUMIF('TL06'!$C$238:$C$451,$C214,'TL06'!$J$238:$J$451),0),
IF('TL07'!$B$3=M$3,SUMIF('TL07'!$C$10:$C$224,$C214,'TL07'!$J$10:$J$224),0),
IF('TL07'!$B$229=M$3,SUMIF('TL07'!$C$238:$C$451,$C214,'TL07'!$J$238:$J$451),0),
IF('TL08'!$B$3=M$3,SUMIF('TL08'!$C$10:$C$224,$C214,'TL08'!$J$10:$J$224),0),
IF('TL08'!$B$229=M$3,SUMIF('TL08'!$C$238:$C$451,$C214,'TL08'!$J$238:$J$451),0),
IF('TL09'!$B$3=M$3,SUMIF('TL09'!$C$10:$C$224,$C214,'TL09'!$J$10:$J$224),0),
IF('TL09'!$B$229=M$3,SUMIF('TL09'!$C$238:$C$451,$C214,'TL09'!$J$238:$J$451),0),
IF('TL10'!$B$3=M$3,SUMIF('TL10'!$C$10:$C$224,$C214,'TL10'!$J$10:$J$224),0),
IF('TL10'!$B$229=M$3,SUMIF('TL10'!$C$238:$C$451,$C214,'TL10'!$J$238:$J$451),0),
IF('TL11'!$B$3=M$3,SUMIF('TL11'!$C$10:$C$224,$C214,'TL11'!$J$10:$J$224),0),
IF('TL11'!$B$229=M$3,SUMIF('TL11'!$C$238:$C$451,$C214,'TL11'!$J$238:$J$451),0),
IF('TL12'!$B$3=M$3,SUMIF('TL12'!$C$10:$C$224,$C214,'TL12'!$J$10:$J$224),0),
IF('TL12'!$B$229=M$3,SUMIF('TL12'!$C$238:$C$451,$C214,'TL12'!$J$238:$J$451),0),
IF('TL13'!$B$3=M$3,SUMIF('TL13'!$C$10:$C$224,$C214,'TL13'!$J$10:$J$224),0),
IF('TL13'!$B$229=M$3,SUMIF('TL13'!$C$238:$C$451,$C214,'TL13'!$J$238:$J$451),0),
IF('TL14'!$B$3=M$3,SUMIF('TL14'!$C$10:$C$224,$C214,'TL14'!$J$10:$J$224),0),
IF('TL14'!$B$229=M$3,SUMIF('TL14'!$C$238:$C$451,$C214,'TL14'!$J$238:$J$451),0),
IF('TL15'!$B$3=M$3,SUMIF('TL15'!$C$10:$C$224,$C214,'TL15'!$J$10:$J$224),0),
IF('TL15'!$B$229=M$3,SUMIF('TL15'!$C$238:$C$451,$C214,'TL15'!$J$238:$J$451),0),
IF('TL16'!$B$3=M$3,SUMIF('TL16'!$C$10:$C$224,$C214,'TL16'!$J$10:$J$224),0),
IF('TL16'!$B$229=M$3,SUMIF('TL16'!$C$238:$C$451,$C214,'TL16'!$J$238:$J$451),0),
IF('TL17'!$B$3=M$3,SUMIF('TL17'!$C$10:$C$224,$C214,'TL17'!$J$10:$J$224),0),
IF('TL17'!$B$229=M$3,SUMIF('TL17'!$C$238:$C$451,$C214,'TL17'!$J$238:$J$451),0),
IF('TL18'!$B$3=M$3,SUMIF('TL18'!$C$10:$C$224,$C214,'TL18'!$J$10:$J$224),0),
IF('TL18'!$B$229=M$3,SUMIF('TL18'!$C$238:$C$451,$C214,'TL18'!$J$238:$J$451),0),
IF('TL19'!$B$3=M$3,SUMIF('TL19'!$C$10:$C$224,$C214,'TL19'!$J$10:$J$224),0),
IF('TL19'!$B$229=M$3,SUMIF('TL19'!$C$238:$C$451,$C214,'TL19'!$J$238:$J$451),0)
),0)</f>
        <v/>
      </c>
      <c r="N214" s="9">
        <f>IFERROR(SUM(
IF('TL01'!$B$3=N$3,SUMIF('TL01'!$C$10:$C$224,$C214,'TL01'!$J$10:$J$224),0),
IF('TL01'!$B$229=N$3,SUMIF('TL01'!$C$238:$C$451,$C214,'TL01'!$J$238:$J$451),0),
IF('TL02'!$B$3=N$3,SUMIF('TL02'!$C$10:$C$224,$C214,'TL02'!$J$10:$J$224),0),
IF('TL02'!$B$229=N$3,SUMIF('TL02'!$C$238:$C$451,$C214,'TL02'!$J$238:$J$451),0),
IF('TL03'!$B$3=N$3,SUMIF('TL03'!$C$10:$C$224,$C214,'TL03'!$J$10:$J$224),0),
IF('TL03'!$B$229=N$3,SUMIF('TL03'!$C$238:$C$451,$C214,'TL03'!$J$238:$J$451),0),
IF('TL04'!$B$3=N$3,SUMIF('TL04'!$C$10:$C$224,$C214,'TL04'!$J$10:$J$224),0),
IF('TL04'!$B$229=N$3,SUMIF('TL04'!$C$238:$C$451,$C214,'TL04'!$J$238:$J$451),0),
IF('TL05'!$B$3=N$3,SUMIF('TL05'!$C$10:$C$224,$C214,'TL05'!$J$10:$J$224),0),
IF('TL05'!$B$229=N$3,SUMIF('TL05'!$C$238:$C$451,$C214,'TL05'!$J$238:$J$451),0),
IF('TL06'!$B$3=N$3,SUMIF('TL06'!$C$10:$C$224,$C214,'TL06'!$J$10:$J$224),0),
IF('TL06'!$B$229=N$3,SUMIF('TL06'!$C$238:$C$451,$C214,'TL06'!$J$238:$J$451),0),
IF('TL07'!$B$3=N$3,SUMIF('TL07'!$C$10:$C$224,$C214,'TL07'!$J$10:$J$224),0),
IF('TL07'!$B$229=N$3,SUMIF('TL07'!$C$238:$C$451,$C214,'TL07'!$J$238:$J$451),0),
IF('TL08'!$B$3=N$3,SUMIF('TL08'!$C$10:$C$224,$C214,'TL08'!$J$10:$J$224),0),
IF('TL08'!$B$229=N$3,SUMIF('TL08'!$C$238:$C$451,$C214,'TL08'!$J$238:$J$451),0),
IF('TL09'!$B$3=N$3,SUMIF('TL09'!$C$10:$C$224,$C214,'TL09'!$J$10:$J$224),0),
IF('TL09'!$B$229=N$3,SUMIF('TL09'!$C$238:$C$451,$C214,'TL09'!$J$238:$J$451),0),
IF('TL10'!$B$3=N$3,SUMIF('TL10'!$C$10:$C$224,$C214,'TL10'!$J$10:$J$224),0),
IF('TL10'!$B$229=N$3,SUMIF('TL10'!$C$238:$C$451,$C214,'TL10'!$J$238:$J$451),0),
IF('TL11'!$B$3=N$3,SUMIF('TL11'!$C$10:$C$224,$C214,'TL11'!$J$10:$J$224),0),
IF('TL11'!$B$229=N$3,SUMIF('TL11'!$C$238:$C$451,$C214,'TL11'!$J$238:$J$451),0),
IF('TL12'!$B$3=N$3,SUMIF('TL12'!$C$10:$C$224,$C214,'TL12'!$J$10:$J$224),0),
IF('TL12'!$B$229=N$3,SUMIF('TL12'!$C$238:$C$451,$C214,'TL12'!$J$238:$J$451),0),
IF('TL13'!$B$3=N$3,SUMIF('TL13'!$C$10:$C$224,$C214,'TL13'!$J$10:$J$224),0),
IF('TL13'!$B$229=N$3,SUMIF('TL13'!$C$238:$C$451,$C214,'TL13'!$J$238:$J$451),0),
IF('TL14'!$B$3=N$3,SUMIF('TL14'!$C$10:$C$224,$C214,'TL14'!$J$10:$J$224),0),
IF('TL14'!$B$229=N$3,SUMIF('TL14'!$C$238:$C$451,$C214,'TL14'!$J$238:$J$451),0),
IF('TL15'!$B$3=N$3,SUMIF('TL15'!$C$10:$C$224,$C214,'TL15'!$J$10:$J$224),0),
IF('TL15'!$B$229=N$3,SUMIF('TL15'!$C$238:$C$451,$C214,'TL15'!$J$238:$J$451),0),
IF('TL16'!$B$3=N$3,SUMIF('TL16'!$C$10:$C$224,$C214,'TL16'!$J$10:$J$224),0),
IF('TL16'!$B$229=N$3,SUMIF('TL16'!$C$238:$C$451,$C214,'TL16'!$J$238:$J$451),0),
IF('TL17'!$B$3=N$3,SUMIF('TL17'!$C$10:$C$224,$C214,'TL17'!$J$10:$J$224),0),
IF('TL17'!$B$229=N$3,SUMIF('TL17'!$C$238:$C$451,$C214,'TL17'!$J$238:$J$451),0),
IF('TL18'!$B$3=N$3,SUMIF('TL18'!$C$10:$C$224,$C214,'TL18'!$J$10:$J$224),0),
IF('TL18'!$B$229=N$3,SUMIF('TL18'!$C$238:$C$451,$C214,'TL18'!$J$238:$J$451),0),
IF('TL19'!$B$3=N$3,SUMIF('TL19'!$C$10:$C$224,$C214,'TL19'!$J$10:$J$224),0),
IF('TL19'!$B$229=N$3,SUMIF('TL19'!$C$238:$C$451,$C214,'TL19'!$J$238:$J$451),0)
),0)</f>
        <v/>
      </c>
      <c r="O214" s="9">
        <f>IFERROR(SUM(
IF('TL01'!$B$3=O$3,SUMIF('TL01'!$C$10:$C$224,$C214,'TL01'!$J$10:$J$224),0),
IF('TL01'!$B$229=O$3,SUMIF('TL01'!$C$238:$C$451,$C214,'TL01'!$J$238:$J$451),0),
IF('TL02'!$B$3=O$3,SUMIF('TL02'!$C$10:$C$224,$C214,'TL02'!$J$10:$J$224),0),
IF('TL02'!$B$229=O$3,SUMIF('TL02'!$C$238:$C$451,$C214,'TL02'!$J$238:$J$451),0),
IF('TL03'!$B$3=O$3,SUMIF('TL03'!$C$10:$C$224,$C214,'TL03'!$J$10:$J$224),0),
IF('TL03'!$B$229=O$3,SUMIF('TL03'!$C$238:$C$451,$C214,'TL03'!$J$238:$J$451),0),
IF('TL04'!$B$3=O$3,SUMIF('TL04'!$C$10:$C$224,$C214,'TL04'!$J$10:$J$224),0),
IF('TL04'!$B$229=O$3,SUMIF('TL04'!$C$238:$C$451,$C214,'TL04'!$J$238:$J$451),0),
IF('TL05'!$B$3=O$3,SUMIF('TL05'!$C$10:$C$224,$C214,'TL05'!$J$10:$J$224),0),
IF('TL05'!$B$229=O$3,SUMIF('TL05'!$C$238:$C$451,$C214,'TL05'!$J$238:$J$451),0),
IF('TL06'!$B$3=O$3,SUMIF('TL06'!$C$10:$C$224,$C214,'TL06'!$J$10:$J$224),0),
IF('TL06'!$B$229=O$3,SUMIF('TL06'!$C$238:$C$451,$C214,'TL06'!$J$238:$J$451),0),
IF('TL07'!$B$3=O$3,SUMIF('TL07'!$C$10:$C$224,$C214,'TL07'!$J$10:$J$224),0),
IF('TL07'!$B$229=O$3,SUMIF('TL07'!$C$238:$C$451,$C214,'TL07'!$J$238:$J$451),0),
IF('TL08'!$B$3=O$3,SUMIF('TL08'!$C$10:$C$224,$C214,'TL08'!$J$10:$J$224),0),
IF('TL08'!$B$229=O$3,SUMIF('TL08'!$C$238:$C$451,$C214,'TL08'!$J$238:$J$451),0),
IF('TL09'!$B$3=O$3,SUMIF('TL09'!$C$10:$C$224,$C214,'TL09'!$J$10:$J$224),0),
IF('TL09'!$B$229=O$3,SUMIF('TL09'!$C$238:$C$451,$C214,'TL09'!$J$238:$J$451),0),
IF('TL10'!$B$3=O$3,SUMIF('TL10'!$C$10:$C$224,$C214,'TL10'!$J$10:$J$224),0),
IF('TL10'!$B$229=O$3,SUMIF('TL10'!$C$238:$C$451,$C214,'TL10'!$J$238:$J$451),0),
IF('TL11'!$B$3=O$3,SUMIF('TL11'!$C$10:$C$224,$C214,'TL11'!$J$10:$J$224),0),
IF('TL11'!$B$229=O$3,SUMIF('TL11'!$C$238:$C$451,$C214,'TL11'!$J$238:$J$451),0),
IF('TL12'!$B$3=O$3,SUMIF('TL12'!$C$10:$C$224,$C214,'TL12'!$J$10:$J$224),0),
IF('TL12'!$B$229=O$3,SUMIF('TL12'!$C$238:$C$451,$C214,'TL12'!$J$238:$J$451),0),
IF('TL13'!$B$3=O$3,SUMIF('TL13'!$C$10:$C$224,$C214,'TL13'!$J$10:$J$224),0),
IF('TL13'!$B$229=O$3,SUMIF('TL13'!$C$238:$C$451,$C214,'TL13'!$J$238:$J$451),0),
IF('TL14'!$B$3=O$3,SUMIF('TL14'!$C$10:$C$224,$C214,'TL14'!$J$10:$J$224),0),
IF('TL14'!$B$229=O$3,SUMIF('TL14'!$C$238:$C$451,$C214,'TL14'!$J$238:$J$451),0),
IF('TL15'!$B$3=O$3,SUMIF('TL15'!$C$10:$C$224,$C214,'TL15'!$J$10:$J$224),0),
IF('TL15'!$B$229=O$3,SUMIF('TL15'!$C$238:$C$451,$C214,'TL15'!$J$238:$J$451),0),
IF('TL16'!$B$3=O$3,SUMIF('TL16'!$C$10:$C$224,$C214,'TL16'!$J$10:$J$224),0),
IF('TL16'!$B$229=O$3,SUMIF('TL16'!$C$238:$C$451,$C214,'TL16'!$J$238:$J$451),0),
IF('TL17'!$B$3=O$3,SUMIF('TL17'!$C$10:$C$224,$C214,'TL17'!$J$10:$J$224),0),
IF('TL17'!$B$229=O$3,SUMIF('TL17'!$C$238:$C$451,$C214,'TL17'!$J$238:$J$451),0),
IF('TL18'!$B$3=O$3,SUMIF('TL18'!$C$10:$C$224,$C214,'TL18'!$J$10:$J$224),0),
IF('TL18'!$B$229=O$3,SUMIF('TL18'!$C$238:$C$451,$C214,'TL18'!$J$238:$J$451),0),
IF('TL19'!$B$3=O$3,SUMIF('TL19'!$C$10:$C$224,$C214,'TL19'!$J$10:$J$224),0),
IF('TL19'!$B$229=O$3,SUMIF('TL19'!$C$238:$C$451,$C214,'TL19'!$J$238:$J$451),0)
),0)</f>
        <v/>
      </c>
      <c r="P214" s="9">
        <f>IFERROR(SUM(
IF('TL01'!$B$3=P$3,SUMIF('TL01'!$C$10:$C$224,$C214,'TL01'!$J$10:$J$224),0),
IF('TL01'!$B$229=P$3,SUMIF('TL01'!$C$238:$C$451,$C214,'TL01'!$J$238:$J$451),0),
IF('TL02'!$B$3=P$3,SUMIF('TL02'!$C$10:$C$224,$C214,'TL02'!$J$10:$J$224),0),
IF('TL02'!$B$229=P$3,SUMIF('TL02'!$C$238:$C$451,$C214,'TL02'!$J$238:$J$451),0),
IF('TL03'!$B$3=P$3,SUMIF('TL03'!$C$10:$C$224,$C214,'TL03'!$J$10:$J$224),0),
IF('TL03'!$B$229=P$3,SUMIF('TL03'!$C$238:$C$451,$C214,'TL03'!$J$238:$J$451),0),
IF('TL04'!$B$3=P$3,SUMIF('TL04'!$C$10:$C$224,$C214,'TL04'!$J$10:$J$224),0),
IF('TL04'!$B$229=P$3,SUMIF('TL04'!$C$238:$C$451,$C214,'TL04'!$J$238:$J$451),0),
IF('TL05'!$B$3=P$3,SUMIF('TL05'!$C$10:$C$224,$C214,'TL05'!$J$10:$J$224),0),
IF('TL05'!$B$229=P$3,SUMIF('TL05'!$C$238:$C$451,$C214,'TL05'!$J$238:$J$451),0),
IF('TL06'!$B$3=P$3,SUMIF('TL06'!$C$10:$C$224,$C214,'TL06'!$J$10:$J$224),0),
IF('TL06'!$B$229=P$3,SUMIF('TL06'!$C$238:$C$451,$C214,'TL06'!$J$238:$J$451),0),
IF('TL07'!$B$3=P$3,SUMIF('TL07'!$C$10:$C$224,$C214,'TL07'!$J$10:$J$224),0),
IF('TL07'!$B$229=P$3,SUMIF('TL07'!$C$238:$C$451,$C214,'TL07'!$J$238:$J$451),0),
IF('TL08'!$B$3=P$3,SUMIF('TL08'!$C$10:$C$224,$C214,'TL08'!$J$10:$J$224),0),
IF('TL08'!$B$229=P$3,SUMIF('TL08'!$C$238:$C$451,$C214,'TL08'!$J$238:$J$451),0),
IF('TL09'!$B$3=P$3,SUMIF('TL09'!$C$10:$C$224,$C214,'TL09'!$J$10:$J$224),0),
IF('TL09'!$B$229=P$3,SUMIF('TL09'!$C$238:$C$451,$C214,'TL09'!$J$238:$J$451),0),
IF('TL10'!$B$3=P$3,SUMIF('TL10'!$C$10:$C$224,$C214,'TL10'!$J$10:$J$224),0),
IF('TL10'!$B$229=P$3,SUMIF('TL10'!$C$238:$C$451,$C214,'TL10'!$J$238:$J$451),0),
IF('TL11'!$B$3=P$3,SUMIF('TL11'!$C$10:$C$224,$C214,'TL11'!$J$10:$J$224),0),
IF('TL11'!$B$229=P$3,SUMIF('TL11'!$C$238:$C$451,$C214,'TL11'!$J$238:$J$451),0),
IF('TL12'!$B$3=P$3,SUMIF('TL12'!$C$10:$C$224,$C214,'TL12'!$J$10:$J$224),0),
IF('TL12'!$B$229=P$3,SUMIF('TL12'!$C$238:$C$451,$C214,'TL12'!$J$238:$J$451),0),
IF('TL13'!$B$3=P$3,SUMIF('TL13'!$C$10:$C$224,$C214,'TL13'!$J$10:$J$224),0),
IF('TL13'!$B$229=P$3,SUMIF('TL13'!$C$238:$C$451,$C214,'TL13'!$J$238:$J$451),0),
IF('TL14'!$B$3=P$3,SUMIF('TL14'!$C$10:$C$224,$C214,'TL14'!$J$10:$J$224),0),
IF('TL14'!$B$229=P$3,SUMIF('TL14'!$C$238:$C$451,$C214,'TL14'!$J$238:$J$451),0),
IF('TL15'!$B$3=P$3,SUMIF('TL15'!$C$10:$C$224,$C214,'TL15'!$J$10:$J$224),0),
IF('TL15'!$B$229=P$3,SUMIF('TL15'!$C$238:$C$451,$C214,'TL15'!$J$238:$J$451),0),
IF('TL16'!$B$3=P$3,SUMIF('TL16'!$C$10:$C$224,$C214,'TL16'!$J$10:$J$224),0),
IF('TL16'!$B$229=P$3,SUMIF('TL16'!$C$238:$C$451,$C214,'TL16'!$J$238:$J$451),0),
IF('TL17'!$B$3=P$3,SUMIF('TL17'!$C$10:$C$224,$C214,'TL17'!$J$10:$J$224),0),
IF('TL17'!$B$229=P$3,SUMIF('TL17'!$C$238:$C$451,$C214,'TL17'!$J$238:$J$451),0),
IF('TL18'!$B$3=P$3,SUMIF('TL18'!$C$10:$C$224,$C214,'TL18'!$J$10:$J$224),0),
IF('TL18'!$B$229=P$3,SUMIF('TL18'!$C$238:$C$451,$C214,'TL18'!$J$238:$J$451),0),
IF('TL19'!$B$3=P$3,SUMIF('TL19'!$C$10:$C$224,$C214,'TL19'!$J$10:$J$224),0),
IF('TL19'!$B$229=P$3,SUMIF('TL19'!$C$238:$C$451,$C214,'TL19'!$J$238:$J$451),0)
),0)</f>
        <v/>
      </c>
      <c r="Q214" s="9">
        <f>IFERROR(SUM(
IF('TL01'!$B$3=Q$3,SUMIF('TL01'!$C$10:$C$224,$C214,'TL01'!$J$10:$J$224),0),
IF('TL01'!$B$229=Q$3,SUMIF('TL01'!$C$238:$C$451,$C214,'TL01'!$J$238:$J$451),0),
IF('TL02'!$B$3=Q$3,SUMIF('TL02'!$C$10:$C$224,$C214,'TL02'!$J$10:$J$224),0),
IF('TL02'!$B$229=Q$3,SUMIF('TL02'!$C$238:$C$451,$C214,'TL02'!$J$238:$J$451),0),
IF('TL03'!$B$3=Q$3,SUMIF('TL03'!$C$10:$C$224,$C214,'TL03'!$J$10:$J$224),0),
IF('TL03'!$B$229=Q$3,SUMIF('TL03'!$C$238:$C$451,$C214,'TL03'!$J$238:$J$451),0),
IF('TL04'!$B$3=Q$3,SUMIF('TL04'!$C$10:$C$224,$C214,'TL04'!$J$10:$J$224),0),
IF('TL04'!$B$229=Q$3,SUMIF('TL04'!$C$238:$C$451,$C214,'TL04'!$J$238:$J$451),0),
IF('TL05'!$B$3=Q$3,SUMIF('TL05'!$C$10:$C$224,$C214,'TL05'!$J$10:$J$224),0),
IF('TL05'!$B$229=Q$3,SUMIF('TL05'!$C$238:$C$451,$C214,'TL05'!$J$238:$J$451),0),
IF('TL06'!$B$3=Q$3,SUMIF('TL06'!$C$10:$C$224,$C214,'TL06'!$J$10:$J$224),0),
IF('TL06'!$B$229=Q$3,SUMIF('TL06'!$C$238:$C$451,$C214,'TL06'!$J$238:$J$451),0),
IF('TL07'!$B$3=Q$3,SUMIF('TL07'!$C$10:$C$224,$C214,'TL07'!$J$10:$J$224),0),
IF('TL07'!$B$229=Q$3,SUMIF('TL07'!$C$238:$C$451,$C214,'TL07'!$J$238:$J$451),0),
IF('TL08'!$B$3=Q$3,SUMIF('TL08'!$C$10:$C$224,$C214,'TL08'!$J$10:$J$224),0),
IF('TL08'!$B$229=Q$3,SUMIF('TL08'!$C$238:$C$451,$C214,'TL08'!$J$238:$J$451),0),
IF('TL09'!$B$3=Q$3,SUMIF('TL09'!$C$10:$C$224,$C214,'TL09'!$J$10:$J$224),0),
IF('TL09'!$B$229=Q$3,SUMIF('TL09'!$C$238:$C$451,$C214,'TL09'!$J$238:$J$451),0),
IF('TL10'!$B$3=Q$3,SUMIF('TL10'!$C$10:$C$224,$C214,'TL10'!$J$10:$J$224),0),
IF('TL10'!$B$229=Q$3,SUMIF('TL10'!$C$238:$C$451,$C214,'TL10'!$J$238:$J$451),0),
IF('TL11'!$B$3=Q$3,SUMIF('TL11'!$C$10:$C$224,$C214,'TL11'!$J$10:$J$224),0),
IF('TL11'!$B$229=Q$3,SUMIF('TL11'!$C$238:$C$451,$C214,'TL11'!$J$238:$J$451),0),
IF('TL12'!$B$3=Q$3,SUMIF('TL12'!$C$10:$C$224,$C214,'TL12'!$J$10:$J$224),0),
IF('TL12'!$B$229=Q$3,SUMIF('TL12'!$C$238:$C$451,$C214,'TL12'!$J$238:$J$451),0),
IF('TL13'!$B$3=Q$3,SUMIF('TL13'!$C$10:$C$224,$C214,'TL13'!$J$10:$J$224),0),
IF('TL13'!$B$229=Q$3,SUMIF('TL13'!$C$238:$C$451,$C214,'TL13'!$J$238:$J$451),0),
IF('TL14'!$B$3=Q$3,SUMIF('TL14'!$C$10:$C$224,$C214,'TL14'!$J$10:$J$224),0),
IF('TL14'!$B$229=Q$3,SUMIF('TL14'!$C$238:$C$451,$C214,'TL14'!$J$238:$J$451),0),
IF('TL15'!$B$3=Q$3,SUMIF('TL15'!$C$10:$C$224,$C214,'TL15'!$J$10:$J$224),0),
IF('TL15'!$B$229=Q$3,SUMIF('TL15'!$C$238:$C$451,$C214,'TL15'!$J$238:$J$451),0),
IF('TL16'!$B$3=Q$3,SUMIF('TL16'!$C$10:$C$224,$C214,'TL16'!$J$10:$J$224),0),
IF('TL16'!$B$229=Q$3,SUMIF('TL16'!$C$238:$C$451,$C214,'TL16'!$J$238:$J$451),0),
IF('TL17'!$B$3=Q$3,SUMIF('TL17'!$C$10:$C$224,$C214,'TL17'!$J$10:$J$224),0),
IF('TL17'!$B$229=Q$3,SUMIF('TL17'!$C$238:$C$451,$C214,'TL17'!$J$238:$J$451),0),
IF('TL18'!$B$3=Q$3,SUMIF('TL18'!$C$10:$C$224,$C214,'TL18'!$J$10:$J$224),0),
IF('TL18'!$B$229=Q$3,SUMIF('TL18'!$C$238:$C$451,$C214,'TL18'!$J$238:$J$451),0),
IF('TL19'!$B$3=Q$3,SUMIF('TL19'!$C$10:$C$224,$C214,'TL19'!$J$10:$J$224),0),
IF('TL19'!$B$229=Q$3,SUMIF('TL19'!$C$238:$C$451,$C214,'TL19'!$J$238:$J$451),0)
),0)</f>
        <v/>
      </c>
      <c r="R214" s="9">
        <f>IFERROR(
SUM(
SUMIF('TL01'!C:C,C214,'TL01'!J:J),
SUMIF('TL02'!C:C,C214,'TL02'!J:J),
SUMIF('TL03'!C:C,C214,'TL03'!J:J),
SUMIF('TL04'!C:C,C214,'TL04'!J:J),
SUMIF('TL05'!C:C,C214,'TL05'!J:J),
SUMIF('TL06'!C:C,C214,'TL06'!J:J),
SUMIF('TL07'!C:C,C214,'TL07'!J:J),
SUMIF('TL08'!C:C,C214,'TL08'!J:J),
SUMIF('TL09'!C:C,C214,'TL09'!J:J),
SUMIF('TL10'!C:C,C214,'TL10'!J:J),
SUMIF('TL11'!C:C,C214,'TL11'!J:J),
SUMIF('TL12'!C:C,C214,'TL12'!J:J),
SUMIF('TL13'!C:C,C214,'TL13'!J:J),
SUMIF('TL14'!C:C,C214,'TL14'!J:J),
SUMIF('TL15'!C:C,C214,'TL15'!J:J),
SUMIF('TL16'!C:C,C214,'TL16'!J:J),
SUMIF('TL17'!C:C,C214,'TL17'!J:J),
SUMIF('TL18'!C:C,C214,'TL18'!J:J),SUMIF('TL19'!C:C,C214,'TL19'!J:J))
,0)</f>
        <v/>
      </c>
      <c r="S214" s="17">
        <f>IFERROR(__xludf.DUMMYFUNCTION("IFERROR(VLOOKUP(C214,
IMPORTRANGE(""1wULbzX32WdYsx-lj2U3uUNBBe2INVIRDtcK0d-Dvl90"",
""26-27!C:G""),
5,
FALSE),
"""")"),56.221650000000004)</f>
        <v/>
      </c>
      <c r="T214" s="9" t="n"/>
      <c r="U214" s="92">
        <f>MAX(0,R214-T214)</f>
        <v/>
      </c>
      <c r="V214" s="93">
        <f>U214*S214</f>
        <v/>
      </c>
    </row>
    <row r="215" hidden="1" ht="15.75" customHeight="1" s="297">
      <c r="A215" s="94" t="inlineStr">
        <is>
          <t>NORTOX</t>
        </is>
      </c>
      <c r="B215" s="95" t="inlineStr">
        <is>
          <t>INSETICIDA</t>
        </is>
      </c>
      <c r="C215" s="96" t="inlineStr">
        <is>
          <t>METOMIL 215 SL NORTOX</t>
        </is>
      </c>
      <c r="D215" s="96" t="inlineStr">
        <is>
          <t>METOMIL</t>
        </is>
      </c>
      <c r="E215" s="96" t="n">
        <v>215</v>
      </c>
      <c r="F215" s="4" t="inlineStr">
        <is>
          <t>L</t>
        </is>
      </c>
      <c r="G215" s="90">
        <f>HYPERLINK("https://www.google.com/search?q=" &amp; C215 &amp; "+bula+agrofit+pdf", "📄 Ver bula")</f>
        <v/>
      </c>
      <c r="H215" s="9">
        <f>IFERROR(__xludf.DUMMYFUNCTION("IFERROR(VLOOKUP(C215,
IMPORTRANGE(""1wULbzX32WdYsx-lj2U3uUNBBe2INVIRDtcK0d-Dvl90"",
""26-27!C:K""),
8,
FALSE),
"""")"),1.0)</f>
        <v/>
      </c>
      <c r="I215" s="97" t="inlineStr">
        <is>
          <t>1x20</t>
        </is>
      </c>
      <c r="J215" s="9">
        <f>IFERROR(SUM(
IF('TL01'!$B$3=J$3,SUMIF('TL01'!$C$10:$C$224,$C215,'TL01'!$J$10:$J$224),0),
IF('TL01'!$B$229=J$3,SUMIF('TL01'!$C$238:$C$451,$C215,'TL01'!$J$238:$J$451),0),
IF('TL02'!$B$3=J$3,SUMIF('TL02'!$C$10:$C$224,$C215,'TL02'!$J$10:$J$224),0),
IF('TL02'!$B$229=J$3,SUMIF('TL02'!$C$238:$C$451,$C215,'TL02'!$J$238:$J$451),0),
IF('TL03'!$B$3=J$3,SUMIF('TL03'!$C$10:$C$224,$C215,'TL03'!$J$10:$J$224),0),
IF('TL03'!$B$229=J$3,SUMIF('TL03'!$C$238:$C$451,$C215,'TL03'!$J$238:$J$451),0),
IF('TL04'!$B$3=J$3,SUMIF('TL04'!$C$10:$C$224,$C215,'TL04'!$J$10:$J$224),0),
IF('TL04'!$B$229=J$3,SUMIF('TL04'!$C$238:$C$451,$C215,'TL04'!$J$238:$J$451),0),
IF('TL05'!$B$3=J$3,SUMIF('TL05'!$C$10:$C$224,$C215,'TL05'!$J$10:$J$224),0),
IF('TL05'!$B$229=J$3,SUMIF('TL05'!$C$238:$C$451,$C215,'TL05'!$J$238:$J$451),0),
IF('TL06'!$B$3=J$3,SUMIF('TL06'!$C$10:$C$224,$C215,'TL06'!$J$10:$J$224),0),
IF('TL06'!$B$229=J$3,SUMIF('TL06'!$C$238:$C$451,$C215,'TL06'!$J$238:$J$451),0),
IF('TL07'!$B$3=J$3,SUMIF('TL07'!$C$10:$C$224,$C215,'TL07'!$J$10:$J$224),0),
IF('TL07'!$B$229=J$3,SUMIF('TL07'!$C$238:$C$451,$C215,'TL07'!$J$238:$J$451),0),
IF('TL08'!$B$3=J$3,SUMIF('TL08'!$C$10:$C$224,$C215,'TL08'!$J$10:$J$224),0),
IF('TL08'!$B$229=J$3,SUMIF('TL08'!$C$238:$C$451,$C215,'TL08'!$J$238:$J$451),0),
IF('TL09'!$B$3=J$3,SUMIF('TL09'!$C$10:$C$224,$C215,'TL09'!$J$10:$J$224),0),
IF('TL09'!$B$229=J$3,SUMIF('TL09'!$C$238:$C$451,$C215,'TL09'!$J$238:$J$451),0),
IF('TL10'!$B$3=J$3,SUMIF('TL10'!$C$10:$C$224,$C215,'TL10'!$J$10:$J$224),0),
IF('TL10'!$B$229=J$3,SUMIF('TL10'!$C$238:$C$451,$C215,'TL10'!$J$238:$J$451),0),
IF('TL11'!$B$3=J$3,SUMIF('TL11'!$C$10:$C$224,$C215,'TL11'!$J$10:$J$224),0),
IF('TL11'!$B$229=J$3,SUMIF('TL11'!$C$238:$C$451,$C215,'TL11'!$J$238:$J$451),0),
IF('TL12'!$B$3=J$3,SUMIF('TL12'!$C$10:$C$224,$C215,'TL12'!$J$10:$J$224),0),
IF('TL12'!$B$229=J$3,SUMIF('TL12'!$C$238:$C$451,$C215,'TL12'!$J$238:$J$451),0),
IF('TL13'!$B$3=J$3,SUMIF('TL13'!$C$10:$C$224,$C215,'TL13'!$J$10:$J$224),0),
IF('TL13'!$B$229=J$3,SUMIF('TL13'!$C$238:$C$451,$C215,'TL13'!$J$238:$J$451),0),
IF('TL14'!$B$3=J$3,SUMIF('TL14'!$C$10:$C$224,$C215,'TL14'!$J$10:$J$224),0),
IF('TL14'!$B$229=J$3,SUMIF('TL14'!$C$238:$C$451,$C215,'TL14'!$J$238:$J$451),0),
IF('TL15'!$B$3=J$3,SUMIF('TL15'!$C$10:$C$224,$C215,'TL15'!$J$10:$J$224),0),
IF('TL15'!$B$229=J$3,SUMIF('TL15'!$C$238:$C$451,$C215,'TL15'!$J$238:$J$451),0),
IF('TL16'!$B$3=J$3,SUMIF('TL16'!$C$10:$C$224,$C215,'TL16'!$J$10:$J$224),0),
IF('TL16'!$B$229=J$3,SUMIF('TL16'!$C$238:$C$451,$C215,'TL16'!$J$238:$J$451),0),
IF('TL17'!$B$3=J$3,SUMIF('TL17'!$C$10:$C$224,$C215,'TL17'!$J$10:$J$224),0),
IF('TL17'!$B$229=J$3,SUMIF('TL17'!$C$238:$C$451,$C215,'TL17'!$J$238:$J$451),0),
IF('TL18'!$B$3=J$3,SUMIF('TL18'!$C$10:$C$224,$C215,'TL18'!$J$10:$J$224),0),
IF('TL18'!$B$229=J$3,SUMIF('TL18'!$C$238:$C$451,$C215,'TL18'!$J$238:$J$451),0),
IF('TL19'!$B$3=J$3,SUMIF('TL19'!$C$10:$C$224,$C215,'TL19'!$J$10:$J$224),0),
IF('TL19'!$B$229=J$3,SUMIF('TL19'!$C$238:$C$451,$C215,'TL19'!$J$238:$J$451),0)
),0)</f>
        <v/>
      </c>
      <c r="K215" s="9">
        <f>IFERROR(SUM(
IF('TL01'!$B$3=K$3,SUMIF('TL01'!$C$10:$C$224,$C215,'TL01'!$J$10:$J$224),0),
IF('TL01'!$B$229=K$3,SUMIF('TL01'!$C$238:$C$451,$C215,'TL01'!$J$238:$J$451),0),
IF('TL02'!$B$3=K$3,SUMIF('TL02'!$C$10:$C$224,$C215,'TL02'!$J$10:$J$224),0),
IF('TL02'!$B$229=K$3,SUMIF('TL02'!$C$238:$C$451,$C215,'TL02'!$J$238:$J$451),0),
IF('TL03'!$B$3=K$3,SUMIF('TL03'!$C$10:$C$224,$C215,'TL03'!$J$10:$J$224),0),
IF('TL03'!$B$229=K$3,SUMIF('TL03'!$C$238:$C$451,$C215,'TL03'!$J$238:$J$451),0),
IF('TL04'!$B$3=K$3,SUMIF('TL04'!$C$10:$C$224,$C215,'TL04'!$J$10:$J$224),0),
IF('TL04'!$B$229=K$3,SUMIF('TL04'!$C$238:$C$451,$C215,'TL04'!$J$238:$J$451),0),
IF('TL05'!$B$3=K$3,SUMIF('TL05'!$C$10:$C$224,$C215,'TL05'!$J$10:$J$224),0),
IF('TL05'!$B$229=K$3,SUMIF('TL05'!$C$238:$C$451,$C215,'TL05'!$J$238:$J$451),0),
IF('TL06'!$B$3=K$3,SUMIF('TL06'!$C$10:$C$224,$C215,'TL06'!$J$10:$J$224),0),
IF('TL06'!$B$229=K$3,SUMIF('TL06'!$C$238:$C$451,$C215,'TL06'!$J$238:$J$451),0),
IF('TL07'!$B$3=K$3,SUMIF('TL07'!$C$10:$C$224,$C215,'TL07'!$J$10:$J$224),0),
IF('TL07'!$B$229=K$3,SUMIF('TL07'!$C$238:$C$451,$C215,'TL07'!$J$238:$J$451),0),
IF('TL08'!$B$3=K$3,SUMIF('TL08'!$C$10:$C$224,$C215,'TL08'!$J$10:$J$224),0),
IF('TL08'!$B$229=K$3,SUMIF('TL08'!$C$238:$C$451,$C215,'TL08'!$J$238:$J$451),0),
IF('TL09'!$B$3=K$3,SUMIF('TL09'!$C$10:$C$224,$C215,'TL09'!$J$10:$J$224),0),
IF('TL09'!$B$229=K$3,SUMIF('TL09'!$C$238:$C$451,$C215,'TL09'!$J$238:$J$451),0),
IF('TL10'!$B$3=K$3,SUMIF('TL10'!$C$10:$C$224,$C215,'TL10'!$J$10:$J$224),0),
IF('TL10'!$B$229=K$3,SUMIF('TL10'!$C$238:$C$451,$C215,'TL10'!$J$238:$J$451),0),
IF('TL11'!$B$3=K$3,SUMIF('TL11'!$C$10:$C$224,$C215,'TL11'!$J$10:$J$224),0),
IF('TL11'!$B$229=K$3,SUMIF('TL11'!$C$238:$C$451,$C215,'TL11'!$J$238:$J$451),0),
IF('TL12'!$B$3=K$3,SUMIF('TL12'!$C$10:$C$224,$C215,'TL12'!$J$10:$J$224),0),
IF('TL12'!$B$229=K$3,SUMIF('TL12'!$C$238:$C$451,$C215,'TL12'!$J$238:$J$451),0),
IF('TL13'!$B$3=K$3,SUMIF('TL13'!$C$10:$C$224,$C215,'TL13'!$J$10:$J$224),0),
IF('TL13'!$B$229=K$3,SUMIF('TL13'!$C$238:$C$451,$C215,'TL13'!$J$238:$J$451),0),
IF('TL14'!$B$3=K$3,SUMIF('TL14'!$C$10:$C$224,$C215,'TL14'!$J$10:$J$224),0),
IF('TL14'!$B$229=K$3,SUMIF('TL14'!$C$238:$C$451,$C215,'TL14'!$J$238:$J$451),0),
IF('TL15'!$B$3=K$3,SUMIF('TL15'!$C$10:$C$224,$C215,'TL15'!$J$10:$J$224),0),
IF('TL15'!$B$229=K$3,SUMIF('TL15'!$C$238:$C$451,$C215,'TL15'!$J$238:$J$451),0),
IF('TL16'!$B$3=K$3,SUMIF('TL16'!$C$10:$C$224,$C215,'TL16'!$J$10:$J$224),0),
IF('TL16'!$B$229=K$3,SUMIF('TL16'!$C$238:$C$451,$C215,'TL16'!$J$238:$J$451),0),
IF('TL17'!$B$3=K$3,SUMIF('TL17'!$C$10:$C$224,$C215,'TL17'!$J$10:$J$224),0),
IF('TL17'!$B$229=K$3,SUMIF('TL17'!$C$238:$C$451,$C215,'TL17'!$J$238:$J$451),0),
IF('TL18'!$B$3=K$3,SUMIF('TL18'!$C$10:$C$224,$C215,'TL18'!$J$10:$J$224),0),
IF('TL18'!$B$229=K$3,SUMIF('TL18'!$C$238:$C$451,$C215,'TL18'!$J$238:$J$451),0),
IF('TL19'!$B$3=K$3,SUMIF('TL19'!$C$10:$C$224,$C215,'TL19'!$J$10:$J$224),0),
IF('TL19'!$B$229=K$3,SUMIF('TL19'!$C$238:$C$451,$C215,'TL19'!$J$238:$J$451),0)
),0)</f>
        <v/>
      </c>
      <c r="L215" s="9">
        <f>IFERROR(SUM(
IF('TL01'!$B$3=L$3,SUMIF('TL01'!$C$10:$C$224,$C215,'TL01'!$J$10:$J$224),0),
IF('TL01'!$B$229=L$3,SUMIF('TL01'!$C$238:$C$451,$C215,'TL01'!$J$238:$J$451),0),
IF('TL02'!$B$3=L$3,SUMIF('TL02'!$C$10:$C$224,$C215,'TL02'!$J$10:$J$224),0),
IF('TL02'!$B$229=L$3,SUMIF('TL02'!$C$238:$C$451,$C215,'TL02'!$J$238:$J$451),0),
IF('TL03'!$B$3=L$3,SUMIF('TL03'!$C$10:$C$224,$C215,'TL03'!$J$10:$J$224),0),
IF('TL03'!$B$229=L$3,SUMIF('TL03'!$C$238:$C$451,$C215,'TL03'!$J$238:$J$451),0),
IF('TL04'!$B$3=L$3,SUMIF('TL04'!$C$10:$C$224,$C215,'TL04'!$J$10:$J$224),0),
IF('TL04'!$B$229=L$3,SUMIF('TL04'!$C$238:$C$451,$C215,'TL04'!$J$238:$J$451),0),
IF('TL05'!$B$3=L$3,SUMIF('TL05'!$C$10:$C$224,$C215,'TL05'!$J$10:$J$224),0),
IF('TL05'!$B$229=L$3,SUMIF('TL05'!$C$238:$C$451,$C215,'TL05'!$J$238:$J$451),0),
IF('TL06'!$B$3=L$3,SUMIF('TL06'!$C$10:$C$224,$C215,'TL06'!$J$10:$J$224),0),
IF('TL06'!$B$229=L$3,SUMIF('TL06'!$C$238:$C$451,$C215,'TL06'!$J$238:$J$451),0),
IF('TL07'!$B$3=L$3,SUMIF('TL07'!$C$10:$C$224,$C215,'TL07'!$J$10:$J$224),0),
IF('TL07'!$B$229=L$3,SUMIF('TL07'!$C$238:$C$451,$C215,'TL07'!$J$238:$J$451),0),
IF('TL08'!$B$3=L$3,SUMIF('TL08'!$C$10:$C$224,$C215,'TL08'!$J$10:$J$224),0),
IF('TL08'!$B$229=L$3,SUMIF('TL08'!$C$238:$C$451,$C215,'TL08'!$J$238:$J$451),0),
IF('TL09'!$B$3=L$3,SUMIF('TL09'!$C$10:$C$224,$C215,'TL09'!$J$10:$J$224),0),
IF('TL09'!$B$229=L$3,SUMIF('TL09'!$C$238:$C$451,$C215,'TL09'!$J$238:$J$451),0),
IF('TL10'!$B$3=L$3,SUMIF('TL10'!$C$10:$C$224,$C215,'TL10'!$J$10:$J$224),0),
IF('TL10'!$B$229=L$3,SUMIF('TL10'!$C$238:$C$451,$C215,'TL10'!$J$238:$J$451),0),
IF('TL11'!$B$3=L$3,SUMIF('TL11'!$C$10:$C$224,$C215,'TL11'!$J$10:$J$224),0),
IF('TL11'!$B$229=L$3,SUMIF('TL11'!$C$238:$C$451,$C215,'TL11'!$J$238:$J$451),0),
IF('TL12'!$B$3=L$3,SUMIF('TL12'!$C$10:$C$224,$C215,'TL12'!$J$10:$J$224),0),
IF('TL12'!$B$229=L$3,SUMIF('TL12'!$C$238:$C$451,$C215,'TL12'!$J$238:$J$451),0),
IF('TL13'!$B$3=L$3,SUMIF('TL13'!$C$10:$C$224,$C215,'TL13'!$J$10:$J$224),0),
IF('TL13'!$B$229=L$3,SUMIF('TL13'!$C$238:$C$451,$C215,'TL13'!$J$238:$J$451),0),
IF('TL14'!$B$3=L$3,SUMIF('TL14'!$C$10:$C$224,$C215,'TL14'!$J$10:$J$224),0),
IF('TL14'!$B$229=L$3,SUMIF('TL14'!$C$238:$C$451,$C215,'TL14'!$J$238:$J$451),0),
IF('TL15'!$B$3=L$3,SUMIF('TL15'!$C$10:$C$224,$C215,'TL15'!$J$10:$J$224),0),
IF('TL15'!$B$229=L$3,SUMIF('TL15'!$C$238:$C$451,$C215,'TL15'!$J$238:$J$451),0),
IF('TL16'!$B$3=L$3,SUMIF('TL16'!$C$10:$C$224,$C215,'TL16'!$J$10:$J$224),0),
IF('TL16'!$B$229=L$3,SUMIF('TL16'!$C$238:$C$451,$C215,'TL16'!$J$238:$J$451),0),
IF('TL17'!$B$3=L$3,SUMIF('TL17'!$C$10:$C$224,$C215,'TL17'!$J$10:$J$224),0),
IF('TL17'!$B$229=L$3,SUMIF('TL17'!$C$238:$C$451,$C215,'TL17'!$J$238:$J$451),0),
IF('TL18'!$B$3=L$3,SUMIF('TL18'!$C$10:$C$224,$C215,'TL18'!$J$10:$J$224),0),
IF('TL18'!$B$229=L$3,SUMIF('TL18'!$C$238:$C$451,$C215,'TL18'!$J$238:$J$451),0),
IF('TL19'!$B$3=L$3,SUMIF('TL19'!$C$10:$C$224,$C215,'TL19'!$J$10:$J$224),0),
IF('TL19'!$B$229=L$3,SUMIF('TL19'!$C$238:$C$451,$C215,'TL19'!$J$238:$J$451),0)
),0)</f>
        <v/>
      </c>
      <c r="M215" s="9">
        <f>IFERROR(SUM(
IF('TL01'!$B$3=M$3,SUMIF('TL01'!$C$10:$C$224,$C215,'TL01'!$J$10:$J$224),0),
IF('TL01'!$B$229=M$3,SUMIF('TL01'!$C$238:$C$451,$C215,'TL01'!$J$238:$J$451),0),
IF('TL02'!$B$3=M$3,SUMIF('TL02'!$C$10:$C$224,$C215,'TL02'!$J$10:$J$224),0),
IF('TL02'!$B$229=M$3,SUMIF('TL02'!$C$238:$C$451,$C215,'TL02'!$J$238:$J$451),0),
IF('TL03'!$B$3=M$3,SUMIF('TL03'!$C$10:$C$224,$C215,'TL03'!$J$10:$J$224),0),
IF('TL03'!$B$229=M$3,SUMIF('TL03'!$C$238:$C$451,$C215,'TL03'!$J$238:$J$451),0),
IF('TL04'!$B$3=M$3,SUMIF('TL04'!$C$10:$C$224,$C215,'TL04'!$J$10:$J$224),0),
IF('TL04'!$B$229=M$3,SUMIF('TL04'!$C$238:$C$451,$C215,'TL04'!$J$238:$J$451),0),
IF('TL05'!$B$3=M$3,SUMIF('TL05'!$C$10:$C$224,$C215,'TL05'!$J$10:$J$224),0),
IF('TL05'!$B$229=M$3,SUMIF('TL05'!$C$238:$C$451,$C215,'TL05'!$J$238:$J$451),0),
IF('TL06'!$B$3=M$3,SUMIF('TL06'!$C$10:$C$224,$C215,'TL06'!$J$10:$J$224),0),
IF('TL06'!$B$229=M$3,SUMIF('TL06'!$C$238:$C$451,$C215,'TL06'!$J$238:$J$451),0),
IF('TL07'!$B$3=M$3,SUMIF('TL07'!$C$10:$C$224,$C215,'TL07'!$J$10:$J$224),0),
IF('TL07'!$B$229=M$3,SUMIF('TL07'!$C$238:$C$451,$C215,'TL07'!$J$238:$J$451),0),
IF('TL08'!$B$3=M$3,SUMIF('TL08'!$C$10:$C$224,$C215,'TL08'!$J$10:$J$224),0),
IF('TL08'!$B$229=M$3,SUMIF('TL08'!$C$238:$C$451,$C215,'TL08'!$J$238:$J$451),0),
IF('TL09'!$B$3=M$3,SUMIF('TL09'!$C$10:$C$224,$C215,'TL09'!$J$10:$J$224),0),
IF('TL09'!$B$229=M$3,SUMIF('TL09'!$C$238:$C$451,$C215,'TL09'!$J$238:$J$451),0),
IF('TL10'!$B$3=M$3,SUMIF('TL10'!$C$10:$C$224,$C215,'TL10'!$J$10:$J$224),0),
IF('TL10'!$B$229=M$3,SUMIF('TL10'!$C$238:$C$451,$C215,'TL10'!$J$238:$J$451),0),
IF('TL11'!$B$3=M$3,SUMIF('TL11'!$C$10:$C$224,$C215,'TL11'!$J$10:$J$224),0),
IF('TL11'!$B$229=M$3,SUMIF('TL11'!$C$238:$C$451,$C215,'TL11'!$J$238:$J$451),0),
IF('TL12'!$B$3=M$3,SUMIF('TL12'!$C$10:$C$224,$C215,'TL12'!$J$10:$J$224),0),
IF('TL12'!$B$229=M$3,SUMIF('TL12'!$C$238:$C$451,$C215,'TL12'!$J$238:$J$451),0),
IF('TL13'!$B$3=M$3,SUMIF('TL13'!$C$10:$C$224,$C215,'TL13'!$J$10:$J$224),0),
IF('TL13'!$B$229=M$3,SUMIF('TL13'!$C$238:$C$451,$C215,'TL13'!$J$238:$J$451),0),
IF('TL14'!$B$3=M$3,SUMIF('TL14'!$C$10:$C$224,$C215,'TL14'!$J$10:$J$224),0),
IF('TL14'!$B$229=M$3,SUMIF('TL14'!$C$238:$C$451,$C215,'TL14'!$J$238:$J$451),0),
IF('TL15'!$B$3=M$3,SUMIF('TL15'!$C$10:$C$224,$C215,'TL15'!$J$10:$J$224),0),
IF('TL15'!$B$229=M$3,SUMIF('TL15'!$C$238:$C$451,$C215,'TL15'!$J$238:$J$451),0),
IF('TL16'!$B$3=M$3,SUMIF('TL16'!$C$10:$C$224,$C215,'TL16'!$J$10:$J$224),0),
IF('TL16'!$B$229=M$3,SUMIF('TL16'!$C$238:$C$451,$C215,'TL16'!$J$238:$J$451),0),
IF('TL17'!$B$3=M$3,SUMIF('TL17'!$C$10:$C$224,$C215,'TL17'!$J$10:$J$224),0),
IF('TL17'!$B$229=M$3,SUMIF('TL17'!$C$238:$C$451,$C215,'TL17'!$J$238:$J$451),0),
IF('TL18'!$B$3=M$3,SUMIF('TL18'!$C$10:$C$224,$C215,'TL18'!$J$10:$J$224),0),
IF('TL18'!$B$229=M$3,SUMIF('TL18'!$C$238:$C$451,$C215,'TL18'!$J$238:$J$451),0),
IF('TL19'!$B$3=M$3,SUMIF('TL19'!$C$10:$C$224,$C215,'TL19'!$J$10:$J$224),0),
IF('TL19'!$B$229=M$3,SUMIF('TL19'!$C$238:$C$451,$C215,'TL19'!$J$238:$J$451),0)
),0)</f>
        <v/>
      </c>
      <c r="N215" s="9">
        <f>IFERROR(SUM(
IF('TL01'!$B$3=N$3,SUMIF('TL01'!$C$10:$C$224,$C215,'TL01'!$J$10:$J$224),0),
IF('TL01'!$B$229=N$3,SUMIF('TL01'!$C$238:$C$451,$C215,'TL01'!$J$238:$J$451),0),
IF('TL02'!$B$3=N$3,SUMIF('TL02'!$C$10:$C$224,$C215,'TL02'!$J$10:$J$224),0),
IF('TL02'!$B$229=N$3,SUMIF('TL02'!$C$238:$C$451,$C215,'TL02'!$J$238:$J$451),0),
IF('TL03'!$B$3=N$3,SUMIF('TL03'!$C$10:$C$224,$C215,'TL03'!$J$10:$J$224),0),
IF('TL03'!$B$229=N$3,SUMIF('TL03'!$C$238:$C$451,$C215,'TL03'!$J$238:$J$451),0),
IF('TL04'!$B$3=N$3,SUMIF('TL04'!$C$10:$C$224,$C215,'TL04'!$J$10:$J$224),0),
IF('TL04'!$B$229=N$3,SUMIF('TL04'!$C$238:$C$451,$C215,'TL04'!$J$238:$J$451),0),
IF('TL05'!$B$3=N$3,SUMIF('TL05'!$C$10:$C$224,$C215,'TL05'!$J$10:$J$224),0),
IF('TL05'!$B$229=N$3,SUMIF('TL05'!$C$238:$C$451,$C215,'TL05'!$J$238:$J$451),0),
IF('TL06'!$B$3=N$3,SUMIF('TL06'!$C$10:$C$224,$C215,'TL06'!$J$10:$J$224),0),
IF('TL06'!$B$229=N$3,SUMIF('TL06'!$C$238:$C$451,$C215,'TL06'!$J$238:$J$451),0),
IF('TL07'!$B$3=N$3,SUMIF('TL07'!$C$10:$C$224,$C215,'TL07'!$J$10:$J$224),0),
IF('TL07'!$B$229=N$3,SUMIF('TL07'!$C$238:$C$451,$C215,'TL07'!$J$238:$J$451),0),
IF('TL08'!$B$3=N$3,SUMIF('TL08'!$C$10:$C$224,$C215,'TL08'!$J$10:$J$224),0),
IF('TL08'!$B$229=N$3,SUMIF('TL08'!$C$238:$C$451,$C215,'TL08'!$J$238:$J$451),0),
IF('TL09'!$B$3=N$3,SUMIF('TL09'!$C$10:$C$224,$C215,'TL09'!$J$10:$J$224),0),
IF('TL09'!$B$229=N$3,SUMIF('TL09'!$C$238:$C$451,$C215,'TL09'!$J$238:$J$451),0),
IF('TL10'!$B$3=N$3,SUMIF('TL10'!$C$10:$C$224,$C215,'TL10'!$J$10:$J$224),0),
IF('TL10'!$B$229=N$3,SUMIF('TL10'!$C$238:$C$451,$C215,'TL10'!$J$238:$J$451),0),
IF('TL11'!$B$3=N$3,SUMIF('TL11'!$C$10:$C$224,$C215,'TL11'!$J$10:$J$224),0),
IF('TL11'!$B$229=N$3,SUMIF('TL11'!$C$238:$C$451,$C215,'TL11'!$J$238:$J$451),0),
IF('TL12'!$B$3=N$3,SUMIF('TL12'!$C$10:$C$224,$C215,'TL12'!$J$10:$J$224),0),
IF('TL12'!$B$229=N$3,SUMIF('TL12'!$C$238:$C$451,$C215,'TL12'!$J$238:$J$451),0),
IF('TL13'!$B$3=N$3,SUMIF('TL13'!$C$10:$C$224,$C215,'TL13'!$J$10:$J$224),0),
IF('TL13'!$B$229=N$3,SUMIF('TL13'!$C$238:$C$451,$C215,'TL13'!$J$238:$J$451),0),
IF('TL14'!$B$3=N$3,SUMIF('TL14'!$C$10:$C$224,$C215,'TL14'!$J$10:$J$224),0),
IF('TL14'!$B$229=N$3,SUMIF('TL14'!$C$238:$C$451,$C215,'TL14'!$J$238:$J$451),0),
IF('TL15'!$B$3=N$3,SUMIF('TL15'!$C$10:$C$224,$C215,'TL15'!$J$10:$J$224),0),
IF('TL15'!$B$229=N$3,SUMIF('TL15'!$C$238:$C$451,$C215,'TL15'!$J$238:$J$451),0),
IF('TL16'!$B$3=N$3,SUMIF('TL16'!$C$10:$C$224,$C215,'TL16'!$J$10:$J$224),0),
IF('TL16'!$B$229=N$3,SUMIF('TL16'!$C$238:$C$451,$C215,'TL16'!$J$238:$J$451),0),
IF('TL17'!$B$3=N$3,SUMIF('TL17'!$C$10:$C$224,$C215,'TL17'!$J$10:$J$224),0),
IF('TL17'!$B$229=N$3,SUMIF('TL17'!$C$238:$C$451,$C215,'TL17'!$J$238:$J$451),0),
IF('TL18'!$B$3=N$3,SUMIF('TL18'!$C$10:$C$224,$C215,'TL18'!$J$10:$J$224),0),
IF('TL18'!$B$229=N$3,SUMIF('TL18'!$C$238:$C$451,$C215,'TL18'!$J$238:$J$451),0),
IF('TL19'!$B$3=N$3,SUMIF('TL19'!$C$10:$C$224,$C215,'TL19'!$J$10:$J$224),0),
IF('TL19'!$B$229=N$3,SUMIF('TL19'!$C$238:$C$451,$C215,'TL19'!$J$238:$J$451),0)
),0)</f>
        <v/>
      </c>
      <c r="O215" s="9">
        <f>IFERROR(SUM(
IF('TL01'!$B$3=O$3,SUMIF('TL01'!$C$10:$C$224,$C215,'TL01'!$J$10:$J$224),0),
IF('TL01'!$B$229=O$3,SUMIF('TL01'!$C$238:$C$451,$C215,'TL01'!$J$238:$J$451),0),
IF('TL02'!$B$3=O$3,SUMIF('TL02'!$C$10:$C$224,$C215,'TL02'!$J$10:$J$224),0),
IF('TL02'!$B$229=O$3,SUMIF('TL02'!$C$238:$C$451,$C215,'TL02'!$J$238:$J$451),0),
IF('TL03'!$B$3=O$3,SUMIF('TL03'!$C$10:$C$224,$C215,'TL03'!$J$10:$J$224),0),
IF('TL03'!$B$229=O$3,SUMIF('TL03'!$C$238:$C$451,$C215,'TL03'!$J$238:$J$451),0),
IF('TL04'!$B$3=O$3,SUMIF('TL04'!$C$10:$C$224,$C215,'TL04'!$J$10:$J$224),0),
IF('TL04'!$B$229=O$3,SUMIF('TL04'!$C$238:$C$451,$C215,'TL04'!$J$238:$J$451),0),
IF('TL05'!$B$3=O$3,SUMIF('TL05'!$C$10:$C$224,$C215,'TL05'!$J$10:$J$224),0),
IF('TL05'!$B$229=O$3,SUMIF('TL05'!$C$238:$C$451,$C215,'TL05'!$J$238:$J$451),0),
IF('TL06'!$B$3=O$3,SUMIF('TL06'!$C$10:$C$224,$C215,'TL06'!$J$10:$J$224),0),
IF('TL06'!$B$229=O$3,SUMIF('TL06'!$C$238:$C$451,$C215,'TL06'!$J$238:$J$451),0),
IF('TL07'!$B$3=O$3,SUMIF('TL07'!$C$10:$C$224,$C215,'TL07'!$J$10:$J$224),0),
IF('TL07'!$B$229=O$3,SUMIF('TL07'!$C$238:$C$451,$C215,'TL07'!$J$238:$J$451),0),
IF('TL08'!$B$3=O$3,SUMIF('TL08'!$C$10:$C$224,$C215,'TL08'!$J$10:$J$224),0),
IF('TL08'!$B$229=O$3,SUMIF('TL08'!$C$238:$C$451,$C215,'TL08'!$J$238:$J$451),0),
IF('TL09'!$B$3=O$3,SUMIF('TL09'!$C$10:$C$224,$C215,'TL09'!$J$10:$J$224),0),
IF('TL09'!$B$229=O$3,SUMIF('TL09'!$C$238:$C$451,$C215,'TL09'!$J$238:$J$451),0),
IF('TL10'!$B$3=O$3,SUMIF('TL10'!$C$10:$C$224,$C215,'TL10'!$J$10:$J$224),0),
IF('TL10'!$B$229=O$3,SUMIF('TL10'!$C$238:$C$451,$C215,'TL10'!$J$238:$J$451),0),
IF('TL11'!$B$3=O$3,SUMIF('TL11'!$C$10:$C$224,$C215,'TL11'!$J$10:$J$224),0),
IF('TL11'!$B$229=O$3,SUMIF('TL11'!$C$238:$C$451,$C215,'TL11'!$J$238:$J$451),0),
IF('TL12'!$B$3=O$3,SUMIF('TL12'!$C$10:$C$224,$C215,'TL12'!$J$10:$J$224),0),
IF('TL12'!$B$229=O$3,SUMIF('TL12'!$C$238:$C$451,$C215,'TL12'!$J$238:$J$451),0),
IF('TL13'!$B$3=O$3,SUMIF('TL13'!$C$10:$C$224,$C215,'TL13'!$J$10:$J$224),0),
IF('TL13'!$B$229=O$3,SUMIF('TL13'!$C$238:$C$451,$C215,'TL13'!$J$238:$J$451),0),
IF('TL14'!$B$3=O$3,SUMIF('TL14'!$C$10:$C$224,$C215,'TL14'!$J$10:$J$224),0),
IF('TL14'!$B$229=O$3,SUMIF('TL14'!$C$238:$C$451,$C215,'TL14'!$J$238:$J$451),0),
IF('TL15'!$B$3=O$3,SUMIF('TL15'!$C$10:$C$224,$C215,'TL15'!$J$10:$J$224),0),
IF('TL15'!$B$229=O$3,SUMIF('TL15'!$C$238:$C$451,$C215,'TL15'!$J$238:$J$451),0),
IF('TL16'!$B$3=O$3,SUMIF('TL16'!$C$10:$C$224,$C215,'TL16'!$J$10:$J$224),0),
IF('TL16'!$B$229=O$3,SUMIF('TL16'!$C$238:$C$451,$C215,'TL16'!$J$238:$J$451),0),
IF('TL17'!$B$3=O$3,SUMIF('TL17'!$C$10:$C$224,$C215,'TL17'!$J$10:$J$224),0),
IF('TL17'!$B$229=O$3,SUMIF('TL17'!$C$238:$C$451,$C215,'TL17'!$J$238:$J$451),0),
IF('TL18'!$B$3=O$3,SUMIF('TL18'!$C$10:$C$224,$C215,'TL18'!$J$10:$J$224),0),
IF('TL18'!$B$229=O$3,SUMIF('TL18'!$C$238:$C$451,$C215,'TL18'!$J$238:$J$451),0),
IF('TL19'!$B$3=O$3,SUMIF('TL19'!$C$10:$C$224,$C215,'TL19'!$J$10:$J$224),0),
IF('TL19'!$B$229=O$3,SUMIF('TL19'!$C$238:$C$451,$C215,'TL19'!$J$238:$J$451),0)
),0)</f>
        <v/>
      </c>
      <c r="P215" s="9">
        <f>IFERROR(SUM(
IF('TL01'!$B$3=P$3,SUMIF('TL01'!$C$10:$C$224,$C215,'TL01'!$J$10:$J$224),0),
IF('TL01'!$B$229=P$3,SUMIF('TL01'!$C$238:$C$451,$C215,'TL01'!$J$238:$J$451),0),
IF('TL02'!$B$3=P$3,SUMIF('TL02'!$C$10:$C$224,$C215,'TL02'!$J$10:$J$224),0),
IF('TL02'!$B$229=P$3,SUMIF('TL02'!$C$238:$C$451,$C215,'TL02'!$J$238:$J$451),0),
IF('TL03'!$B$3=P$3,SUMIF('TL03'!$C$10:$C$224,$C215,'TL03'!$J$10:$J$224),0),
IF('TL03'!$B$229=P$3,SUMIF('TL03'!$C$238:$C$451,$C215,'TL03'!$J$238:$J$451),0),
IF('TL04'!$B$3=P$3,SUMIF('TL04'!$C$10:$C$224,$C215,'TL04'!$J$10:$J$224),0),
IF('TL04'!$B$229=P$3,SUMIF('TL04'!$C$238:$C$451,$C215,'TL04'!$J$238:$J$451),0),
IF('TL05'!$B$3=P$3,SUMIF('TL05'!$C$10:$C$224,$C215,'TL05'!$J$10:$J$224),0),
IF('TL05'!$B$229=P$3,SUMIF('TL05'!$C$238:$C$451,$C215,'TL05'!$J$238:$J$451),0),
IF('TL06'!$B$3=P$3,SUMIF('TL06'!$C$10:$C$224,$C215,'TL06'!$J$10:$J$224),0),
IF('TL06'!$B$229=P$3,SUMIF('TL06'!$C$238:$C$451,$C215,'TL06'!$J$238:$J$451),0),
IF('TL07'!$B$3=P$3,SUMIF('TL07'!$C$10:$C$224,$C215,'TL07'!$J$10:$J$224),0),
IF('TL07'!$B$229=P$3,SUMIF('TL07'!$C$238:$C$451,$C215,'TL07'!$J$238:$J$451),0),
IF('TL08'!$B$3=P$3,SUMIF('TL08'!$C$10:$C$224,$C215,'TL08'!$J$10:$J$224),0),
IF('TL08'!$B$229=P$3,SUMIF('TL08'!$C$238:$C$451,$C215,'TL08'!$J$238:$J$451),0),
IF('TL09'!$B$3=P$3,SUMIF('TL09'!$C$10:$C$224,$C215,'TL09'!$J$10:$J$224),0),
IF('TL09'!$B$229=P$3,SUMIF('TL09'!$C$238:$C$451,$C215,'TL09'!$J$238:$J$451),0),
IF('TL10'!$B$3=P$3,SUMIF('TL10'!$C$10:$C$224,$C215,'TL10'!$J$10:$J$224),0),
IF('TL10'!$B$229=P$3,SUMIF('TL10'!$C$238:$C$451,$C215,'TL10'!$J$238:$J$451),0),
IF('TL11'!$B$3=P$3,SUMIF('TL11'!$C$10:$C$224,$C215,'TL11'!$J$10:$J$224),0),
IF('TL11'!$B$229=P$3,SUMIF('TL11'!$C$238:$C$451,$C215,'TL11'!$J$238:$J$451),0),
IF('TL12'!$B$3=P$3,SUMIF('TL12'!$C$10:$C$224,$C215,'TL12'!$J$10:$J$224),0),
IF('TL12'!$B$229=P$3,SUMIF('TL12'!$C$238:$C$451,$C215,'TL12'!$J$238:$J$451),0),
IF('TL13'!$B$3=P$3,SUMIF('TL13'!$C$10:$C$224,$C215,'TL13'!$J$10:$J$224),0),
IF('TL13'!$B$229=P$3,SUMIF('TL13'!$C$238:$C$451,$C215,'TL13'!$J$238:$J$451),0),
IF('TL14'!$B$3=P$3,SUMIF('TL14'!$C$10:$C$224,$C215,'TL14'!$J$10:$J$224),0),
IF('TL14'!$B$229=P$3,SUMIF('TL14'!$C$238:$C$451,$C215,'TL14'!$J$238:$J$451),0),
IF('TL15'!$B$3=P$3,SUMIF('TL15'!$C$10:$C$224,$C215,'TL15'!$J$10:$J$224),0),
IF('TL15'!$B$229=P$3,SUMIF('TL15'!$C$238:$C$451,$C215,'TL15'!$J$238:$J$451),0),
IF('TL16'!$B$3=P$3,SUMIF('TL16'!$C$10:$C$224,$C215,'TL16'!$J$10:$J$224),0),
IF('TL16'!$B$229=P$3,SUMIF('TL16'!$C$238:$C$451,$C215,'TL16'!$J$238:$J$451),0),
IF('TL17'!$B$3=P$3,SUMIF('TL17'!$C$10:$C$224,$C215,'TL17'!$J$10:$J$224),0),
IF('TL17'!$B$229=P$3,SUMIF('TL17'!$C$238:$C$451,$C215,'TL17'!$J$238:$J$451),0),
IF('TL18'!$B$3=P$3,SUMIF('TL18'!$C$10:$C$224,$C215,'TL18'!$J$10:$J$224),0),
IF('TL18'!$B$229=P$3,SUMIF('TL18'!$C$238:$C$451,$C215,'TL18'!$J$238:$J$451),0),
IF('TL19'!$B$3=P$3,SUMIF('TL19'!$C$10:$C$224,$C215,'TL19'!$J$10:$J$224),0),
IF('TL19'!$B$229=P$3,SUMIF('TL19'!$C$238:$C$451,$C215,'TL19'!$J$238:$J$451),0)
),0)</f>
        <v/>
      </c>
      <c r="Q215" s="9">
        <f>IFERROR(SUM(
IF('TL01'!$B$3=Q$3,SUMIF('TL01'!$C$10:$C$224,$C215,'TL01'!$J$10:$J$224),0),
IF('TL01'!$B$229=Q$3,SUMIF('TL01'!$C$238:$C$451,$C215,'TL01'!$J$238:$J$451),0),
IF('TL02'!$B$3=Q$3,SUMIF('TL02'!$C$10:$C$224,$C215,'TL02'!$J$10:$J$224),0),
IF('TL02'!$B$229=Q$3,SUMIF('TL02'!$C$238:$C$451,$C215,'TL02'!$J$238:$J$451),0),
IF('TL03'!$B$3=Q$3,SUMIF('TL03'!$C$10:$C$224,$C215,'TL03'!$J$10:$J$224),0),
IF('TL03'!$B$229=Q$3,SUMIF('TL03'!$C$238:$C$451,$C215,'TL03'!$J$238:$J$451),0),
IF('TL04'!$B$3=Q$3,SUMIF('TL04'!$C$10:$C$224,$C215,'TL04'!$J$10:$J$224),0),
IF('TL04'!$B$229=Q$3,SUMIF('TL04'!$C$238:$C$451,$C215,'TL04'!$J$238:$J$451),0),
IF('TL05'!$B$3=Q$3,SUMIF('TL05'!$C$10:$C$224,$C215,'TL05'!$J$10:$J$224),0),
IF('TL05'!$B$229=Q$3,SUMIF('TL05'!$C$238:$C$451,$C215,'TL05'!$J$238:$J$451),0),
IF('TL06'!$B$3=Q$3,SUMIF('TL06'!$C$10:$C$224,$C215,'TL06'!$J$10:$J$224),0),
IF('TL06'!$B$229=Q$3,SUMIF('TL06'!$C$238:$C$451,$C215,'TL06'!$J$238:$J$451),0),
IF('TL07'!$B$3=Q$3,SUMIF('TL07'!$C$10:$C$224,$C215,'TL07'!$J$10:$J$224),0),
IF('TL07'!$B$229=Q$3,SUMIF('TL07'!$C$238:$C$451,$C215,'TL07'!$J$238:$J$451),0),
IF('TL08'!$B$3=Q$3,SUMIF('TL08'!$C$10:$C$224,$C215,'TL08'!$J$10:$J$224),0),
IF('TL08'!$B$229=Q$3,SUMIF('TL08'!$C$238:$C$451,$C215,'TL08'!$J$238:$J$451),0),
IF('TL09'!$B$3=Q$3,SUMIF('TL09'!$C$10:$C$224,$C215,'TL09'!$J$10:$J$224),0),
IF('TL09'!$B$229=Q$3,SUMIF('TL09'!$C$238:$C$451,$C215,'TL09'!$J$238:$J$451),0),
IF('TL10'!$B$3=Q$3,SUMIF('TL10'!$C$10:$C$224,$C215,'TL10'!$J$10:$J$224),0),
IF('TL10'!$B$229=Q$3,SUMIF('TL10'!$C$238:$C$451,$C215,'TL10'!$J$238:$J$451),0),
IF('TL11'!$B$3=Q$3,SUMIF('TL11'!$C$10:$C$224,$C215,'TL11'!$J$10:$J$224),0),
IF('TL11'!$B$229=Q$3,SUMIF('TL11'!$C$238:$C$451,$C215,'TL11'!$J$238:$J$451),0),
IF('TL12'!$B$3=Q$3,SUMIF('TL12'!$C$10:$C$224,$C215,'TL12'!$J$10:$J$224),0),
IF('TL12'!$B$229=Q$3,SUMIF('TL12'!$C$238:$C$451,$C215,'TL12'!$J$238:$J$451),0),
IF('TL13'!$B$3=Q$3,SUMIF('TL13'!$C$10:$C$224,$C215,'TL13'!$J$10:$J$224),0),
IF('TL13'!$B$229=Q$3,SUMIF('TL13'!$C$238:$C$451,$C215,'TL13'!$J$238:$J$451),0),
IF('TL14'!$B$3=Q$3,SUMIF('TL14'!$C$10:$C$224,$C215,'TL14'!$J$10:$J$224),0),
IF('TL14'!$B$229=Q$3,SUMIF('TL14'!$C$238:$C$451,$C215,'TL14'!$J$238:$J$451),0),
IF('TL15'!$B$3=Q$3,SUMIF('TL15'!$C$10:$C$224,$C215,'TL15'!$J$10:$J$224),0),
IF('TL15'!$B$229=Q$3,SUMIF('TL15'!$C$238:$C$451,$C215,'TL15'!$J$238:$J$451),0),
IF('TL16'!$B$3=Q$3,SUMIF('TL16'!$C$10:$C$224,$C215,'TL16'!$J$10:$J$224),0),
IF('TL16'!$B$229=Q$3,SUMIF('TL16'!$C$238:$C$451,$C215,'TL16'!$J$238:$J$451),0),
IF('TL17'!$B$3=Q$3,SUMIF('TL17'!$C$10:$C$224,$C215,'TL17'!$J$10:$J$224),0),
IF('TL17'!$B$229=Q$3,SUMIF('TL17'!$C$238:$C$451,$C215,'TL17'!$J$238:$J$451),0),
IF('TL18'!$B$3=Q$3,SUMIF('TL18'!$C$10:$C$224,$C215,'TL18'!$J$10:$J$224),0),
IF('TL18'!$B$229=Q$3,SUMIF('TL18'!$C$238:$C$451,$C215,'TL18'!$J$238:$J$451),0),
IF('TL19'!$B$3=Q$3,SUMIF('TL19'!$C$10:$C$224,$C215,'TL19'!$J$10:$J$224),0),
IF('TL19'!$B$229=Q$3,SUMIF('TL19'!$C$238:$C$451,$C215,'TL19'!$J$238:$J$451),0)
),0)</f>
        <v/>
      </c>
      <c r="R215" s="9">
        <f>IFERROR(
SUM(
SUMIF('TL01'!C:C,C215,'TL01'!J:J),
SUMIF('TL02'!C:C,C215,'TL02'!J:J),
SUMIF('TL03'!C:C,C215,'TL03'!J:J),
SUMIF('TL04'!C:C,C215,'TL04'!J:J),
SUMIF('TL05'!C:C,C215,'TL05'!J:J),
SUMIF('TL06'!C:C,C215,'TL06'!J:J),
SUMIF('TL07'!C:C,C215,'TL07'!J:J),
SUMIF('TL08'!C:C,C215,'TL08'!J:J),
SUMIF('TL09'!C:C,C215,'TL09'!J:J),
SUMIF('TL10'!C:C,C215,'TL10'!J:J),
SUMIF('TL11'!C:C,C215,'TL11'!J:J),
SUMIF('TL12'!C:C,C215,'TL12'!J:J),
SUMIF('TL13'!C:C,C215,'TL13'!J:J),
SUMIF('TL14'!C:C,C215,'TL14'!J:J),
SUMIF('TL15'!C:C,C215,'TL15'!J:J),
SUMIF('TL16'!C:C,C215,'TL16'!J:J),
SUMIF('TL17'!C:C,C215,'TL17'!J:J),
SUMIF('TL18'!C:C,C215,'TL18'!J:J),SUMIF('TL19'!C:C,C215,'TL19'!J:J))
,0)</f>
        <v/>
      </c>
      <c r="S215" s="17">
        <f>IFERROR(__xludf.DUMMYFUNCTION("IFERROR(VLOOKUP(C215,
IMPORTRANGE(""1wULbzX32WdYsx-lj2U3uUNBBe2INVIRDtcK0d-Dvl90"",
""26-27!C:G""),
5,
FALSE),
"""")"),14.95533)</f>
        <v/>
      </c>
      <c r="T215" s="9" t="n"/>
      <c r="U215" s="92">
        <f>MAX(0,R215-T215)</f>
        <v/>
      </c>
      <c r="V215" s="93">
        <f>U215*S215</f>
        <v/>
      </c>
    </row>
    <row r="216" hidden="1" ht="15.75" customHeight="1" s="297">
      <c r="A216" s="87" t="inlineStr">
        <is>
          <t>NORTOX</t>
        </is>
      </c>
      <c r="B216" s="88" t="inlineStr">
        <is>
          <t>INSETICIDA</t>
        </is>
      </c>
      <c r="C216" s="89" t="inlineStr">
        <is>
          <t>PIRIPROXIFEN NORTOX</t>
        </is>
      </c>
      <c r="D216" s="89" t="inlineStr">
        <is>
          <t>PIRIPROXIFEM</t>
        </is>
      </c>
      <c r="E216" s="89" t="n">
        <v>200</v>
      </c>
      <c r="F216" s="4" t="inlineStr">
        <is>
          <t>L</t>
        </is>
      </c>
      <c r="G216" s="90">
        <f>HYPERLINK("https://www.google.com/search?q=" &amp; C216 &amp; "+bula+agrofit+pdf", "📄 Ver bula")</f>
        <v/>
      </c>
      <c r="H216" s="9">
        <f>IFERROR(__xludf.DUMMYFUNCTION("IFERROR(VLOOKUP(C216,
IMPORTRANGE(""1wULbzX32WdYsx-lj2U3uUNBBe2INVIRDtcK0d-Dvl90"",
""26-27!C:K""),
8,
FALSE),
"""")"),0.125)</f>
        <v/>
      </c>
      <c r="I216" s="91" t="inlineStr">
        <is>
          <t>4X5</t>
        </is>
      </c>
      <c r="J216" s="9">
        <f>IFERROR(SUM(
IF('TL01'!$B$3=J$3,SUMIF('TL01'!$C$10:$C$224,$C216,'TL01'!$J$10:$J$224),0),
IF('TL01'!$B$229=J$3,SUMIF('TL01'!$C$238:$C$451,$C216,'TL01'!$J$238:$J$451),0),
IF('TL02'!$B$3=J$3,SUMIF('TL02'!$C$10:$C$224,$C216,'TL02'!$J$10:$J$224),0),
IF('TL02'!$B$229=J$3,SUMIF('TL02'!$C$238:$C$451,$C216,'TL02'!$J$238:$J$451),0),
IF('TL03'!$B$3=J$3,SUMIF('TL03'!$C$10:$C$224,$C216,'TL03'!$J$10:$J$224),0),
IF('TL03'!$B$229=J$3,SUMIF('TL03'!$C$238:$C$451,$C216,'TL03'!$J$238:$J$451),0),
IF('TL04'!$B$3=J$3,SUMIF('TL04'!$C$10:$C$224,$C216,'TL04'!$J$10:$J$224),0),
IF('TL04'!$B$229=J$3,SUMIF('TL04'!$C$238:$C$451,$C216,'TL04'!$J$238:$J$451),0),
IF('TL05'!$B$3=J$3,SUMIF('TL05'!$C$10:$C$224,$C216,'TL05'!$J$10:$J$224),0),
IF('TL05'!$B$229=J$3,SUMIF('TL05'!$C$238:$C$451,$C216,'TL05'!$J$238:$J$451),0),
IF('TL06'!$B$3=J$3,SUMIF('TL06'!$C$10:$C$224,$C216,'TL06'!$J$10:$J$224),0),
IF('TL06'!$B$229=J$3,SUMIF('TL06'!$C$238:$C$451,$C216,'TL06'!$J$238:$J$451),0),
IF('TL07'!$B$3=J$3,SUMIF('TL07'!$C$10:$C$224,$C216,'TL07'!$J$10:$J$224),0),
IF('TL07'!$B$229=J$3,SUMIF('TL07'!$C$238:$C$451,$C216,'TL07'!$J$238:$J$451),0),
IF('TL08'!$B$3=J$3,SUMIF('TL08'!$C$10:$C$224,$C216,'TL08'!$J$10:$J$224),0),
IF('TL08'!$B$229=J$3,SUMIF('TL08'!$C$238:$C$451,$C216,'TL08'!$J$238:$J$451),0),
IF('TL09'!$B$3=J$3,SUMIF('TL09'!$C$10:$C$224,$C216,'TL09'!$J$10:$J$224),0),
IF('TL09'!$B$229=J$3,SUMIF('TL09'!$C$238:$C$451,$C216,'TL09'!$J$238:$J$451),0),
IF('TL10'!$B$3=J$3,SUMIF('TL10'!$C$10:$C$224,$C216,'TL10'!$J$10:$J$224),0),
IF('TL10'!$B$229=J$3,SUMIF('TL10'!$C$238:$C$451,$C216,'TL10'!$J$238:$J$451),0),
IF('TL11'!$B$3=J$3,SUMIF('TL11'!$C$10:$C$224,$C216,'TL11'!$J$10:$J$224),0),
IF('TL11'!$B$229=J$3,SUMIF('TL11'!$C$238:$C$451,$C216,'TL11'!$J$238:$J$451),0),
IF('TL12'!$B$3=J$3,SUMIF('TL12'!$C$10:$C$224,$C216,'TL12'!$J$10:$J$224),0),
IF('TL12'!$B$229=J$3,SUMIF('TL12'!$C$238:$C$451,$C216,'TL12'!$J$238:$J$451),0),
IF('TL13'!$B$3=J$3,SUMIF('TL13'!$C$10:$C$224,$C216,'TL13'!$J$10:$J$224),0),
IF('TL13'!$B$229=J$3,SUMIF('TL13'!$C$238:$C$451,$C216,'TL13'!$J$238:$J$451),0),
IF('TL14'!$B$3=J$3,SUMIF('TL14'!$C$10:$C$224,$C216,'TL14'!$J$10:$J$224),0),
IF('TL14'!$B$229=J$3,SUMIF('TL14'!$C$238:$C$451,$C216,'TL14'!$J$238:$J$451),0),
IF('TL15'!$B$3=J$3,SUMIF('TL15'!$C$10:$C$224,$C216,'TL15'!$J$10:$J$224),0),
IF('TL15'!$B$229=J$3,SUMIF('TL15'!$C$238:$C$451,$C216,'TL15'!$J$238:$J$451),0),
IF('TL16'!$B$3=J$3,SUMIF('TL16'!$C$10:$C$224,$C216,'TL16'!$J$10:$J$224),0),
IF('TL16'!$B$229=J$3,SUMIF('TL16'!$C$238:$C$451,$C216,'TL16'!$J$238:$J$451),0),
IF('TL17'!$B$3=J$3,SUMIF('TL17'!$C$10:$C$224,$C216,'TL17'!$J$10:$J$224),0),
IF('TL17'!$B$229=J$3,SUMIF('TL17'!$C$238:$C$451,$C216,'TL17'!$J$238:$J$451),0),
IF('TL18'!$B$3=J$3,SUMIF('TL18'!$C$10:$C$224,$C216,'TL18'!$J$10:$J$224),0),
IF('TL18'!$B$229=J$3,SUMIF('TL18'!$C$238:$C$451,$C216,'TL18'!$J$238:$J$451),0),
IF('TL19'!$B$3=J$3,SUMIF('TL19'!$C$10:$C$224,$C216,'TL19'!$J$10:$J$224),0),
IF('TL19'!$B$229=J$3,SUMIF('TL19'!$C$238:$C$451,$C216,'TL19'!$J$238:$J$451),0)
),0)</f>
        <v/>
      </c>
      <c r="K216" s="9">
        <f>IFERROR(SUM(
IF('TL01'!$B$3=K$3,SUMIF('TL01'!$C$10:$C$224,$C216,'TL01'!$J$10:$J$224),0),
IF('TL01'!$B$229=K$3,SUMIF('TL01'!$C$238:$C$451,$C216,'TL01'!$J$238:$J$451),0),
IF('TL02'!$B$3=K$3,SUMIF('TL02'!$C$10:$C$224,$C216,'TL02'!$J$10:$J$224),0),
IF('TL02'!$B$229=K$3,SUMIF('TL02'!$C$238:$C$451,$C216,'TL02'!$J$238:$J$451),0),
IF('TL03'!$B$3=K$3,SUMIF('TL03'!$C$10:$C$224,$C216,'TL03'!$J$10:$J$224),0),
IF('TL03'!$B$229=K$3,SUMIF('TL03'!$C$238:$C$451,$C216,'TL03'!$J$238:$J$451),0),
IF('TL04'!$B$3=K$3,SUMIF('TL04'!$C$10:$C$224,$C216,'TL04'!$J$10:$J$224),0),
IF('TL04'!$B$229=K$3,SUMIF('TL04'!$C$238:$C$451,$C216,'TL04'!$J$238:$J$451),0),
IF('TL05'!$B$3=K$3,SUMIF('TL05'!$C$10:$C$224,$C216,'TL05'!$J$10:$J$224),0),
IF('TL05'!$B$229=K$3,SUMIF('TL05'!$C$238:$C$451,$C216,'TL05'!$J$238:$J$451),0),
IF('TL06'!$B$3=K$3,SUMIF('TL06'!$C$10:$C$224,$C216,'TL06'!$J$10:$J$224),0),
IF('TL06'!$B$229=K$3,SUMIF('TL06'!$C$238:$C$451,$C216,'TL06'!$J$238:$J$451),0),
IF('TL07'!$B$3=K$3,SUMIF('TL07'!$C$10:$C$224,$C216,'TL07'!$J$10:$J$224),0),
IF('TL07'!$B$229=K$3,SUMIF('TL07'!$C$238:$C$451,$C216,'TL07'!$J$238:$J$451),0),
IF('TL08'!$B$3=K$3,SUMIF('TL08'!$C$10:$C$224,$C216,'TL08'!$J$10:$J$224),0),
IF('TL08'!$B$229=K$3,SUMIF('TL08'!$C$238:$C$451,$C216,'TL08'!$J$238:$J$451),0),
IF('TL09'!$B$3=K$3,SUMIF('TL09'!$C$10:$C$224,$C216,'TL09'!$J$10:$J$224),0),
IF('TL09'!$B$229=K$3,SUMIF('TL09'!$C$238:$C$451,$C216,'TL09'!$J$238:$J$451),0),
IF('TL10'!$B$3=K$3,SUMIF('TL10'!$C$10:$C$224,$C216,'TL10'!$J$10:$J$224),0),
IF('TL10'!$B$229=K$3,SUMIF('TL10'!$C$238:$C$451,$C216,'TL10'!$J$238:$J$451),0),
IF('TL11'!$B$3=K$3,SUMIF('TL11'!$C$10:$C$224,$C216,'TL11'!$J$10:$J$224),0),
IF('TL11'!$B$229=K$3,SUMIF('TL11'!$C$238:$C$451,$C216,'TL11'!$J$238:$J$451),0),
IF('TL12'!$B$3=K$3,SUMIF('TL12'!$C$10:$C$224,$C216,'TL12'!$J$10:$J$224),0),
IF('TL12'!$B$229=K$3,SUMIF('TL12'!$C$238:$C$451,$C216,'TL12'!$J$238:$J$451),0),
IF('TL13'!$B$3=K$3,SUMIF('TL13'!$C$10:$C$224,$C216,'TL13'!$J$10:$J$224),0),
IF('TL13'!$B$229=K$3,SUMIF('TL13'!$C$238:$C$451,$C216,'TL13'!$J$238:$J$451),0),
IF('TL14'!$B$3=K$3,SUMIF('TL14'!$C$10:$C$224,$C216,'TL14'!$J$10:$J$224),0),
IF('TL14'!$B$229=K$3,SUMIF('TL14'!$C$238:$C$451,$C216,'TL14'!$J$238:$J$451),0),
IF('TL15'!$B$3=K$3,SUMIF('TL15'!$C$10:$C$224,$C216,'TL15'!$J$10:$J$224),0),
IF('TL15'!$B$229=K$3,SUMIF('TL15'!$C$238:$C$451,$C216,'TL15'!$J$238:$J$451),0),
IF('TL16'!$B$3=K$3,SUMIF('TL16'!$C$10:$C$224,$C216,'TL16'!$J$10:$J$224),0),
IF('TL16'!$B$229=K$3,SUMIF('TL16'!$C$238:$C$451,$C216,'TL16'!$J$238:$J$451),0),
IF('TL17'!$B$3=K$3,SUMIF('TL17'!$C$10:$C$224,$C216,'TL17'!$J$10:$J$224),0),
IF('TL17'!$B$229=K$3,SUMIF('TL17'!$C$238:$C$451,$C216,'TL17'!$J$238:$J$451),0),
IF('TL18'!$B$3=K$3,SUMIF('TL18'!$C$10:$C$224,$C216,'TL18'!$J$10:$J$224),0),
IF('TL18'!$B$229=K$3,SUMIF('TL18'!$C$238:$C$451,$C216,'TL18'!$J$238:$J$451),0),
IF('TL19'!$B$3=K$3,SUMIF('TL19'!$C$10:$C$224,$C216,'TL19'!$J$10:$J$224),0),
IF('TL19'!$B$229=K$3,SUMIF('TL19'!$C$238:$C$451,$C216,'TL19'!$J$238:$J$451),0)
),0)</f>
        <v/>
      </c>
      <c r="L216" s="9">
        <f>IFERROR(SUM(
IF('TL01'!$B$3=L$3,SUMIF('TL01'!$C$10:$C$224,$C216,'TL01'!$J$10:$J$224),0),
IF('TL01'!$B$229=L$3,SUMIF('TL01'!$C$238:$C$451,$C216,'TL01'!$J$238:$J$451),0),
IF('TL02'!$B$3=L$3,SUMIF('TL02'!$C$10:$C$224,$C216,'TL02'!$J$10:$J$224),0),
IF('TL02'!$B$229=L$3,SUMIF('TL02'!$C$238:$C$451,$C216,'TL02'!$J$238:$J$451),0),
IF('TL03'!$B$3=L$3,SUMIF('TL03'!$C$10:$C$224,$C216,'TL03'!$J$10:$J$224),0),
IF('TL03'!$B$229=L$3,SUMIF('TL03'!$C$238:$C$451,$C216,'TL03'!$J$238:$J$451),0),
IF('TL04'!$B$3=L$3,SUMIF('TL04'!$C$10:$C$224,$C216,'TL04'!$J$10:$J$224),0),
IF('TL04'!$B$229=L$3,SUMIF('TL04'!$C$238:$C$451,$C216,'TL04'!$J$238:$J$451),0),
IF('TL05'!$B$3=L$3,SUMIF('TL05'!$C$10:$C$224,$C216,'TL05'!$J$10:$J$224),0),
IF('TL05'!$B$229=L$3,SUMIF('TL05'!$C$238:$C$451,$C216,'TL05'!$J$238:$J$451),0),
IF('TL06'!$B$3=L$3,SUMIF('TL06'!$C$10:$C$224,$C216,'TL06'!$J$10:$J$224),0),
IF('TL06'!$B$229=L$3,SUMIF('TL06'!$C$238:$C$451,$C216,'TL06'!$J$238:$J$451),0),
IF('TL07'!$B$3=L$3,SUMIF('TL07'!$C$10:$C$224,$C216,'TL07'!$J$10:$J$224),0),
IF('TL07'!$B$229=L$3,SUMIF('TL07'!$C$238:$C$451,$C216,'TL07'!$J$238:$J$451),0),
IF('TL08'!$B$3=L$3,SUMIF('TL08'!$C$10:$C$224,$C216,'TL08'!$J$10:$J$224),0),
IF('TL08'!$B$229=L$3,SUMIF('TL08'!$C$238:$C$451,$C216,'TL08'!$J$238:$J$451),0),
IF('TL09'!$B$3=L$3,SUMIF('TL09'!$C$10:$C$224,$C216,'TL09'!$J$10:$J$224),0),
IF('TL09'!$B$229=L$3,SUMIF('TL09'!$C$238:$C$451,$C216,'TL09'!$J$238:$J$451),0),
IF('TL10'!$B$3=L$3,SUMIF('TL10'!$C$10:$C$224,$C216,'TL10'!$J$10:$J$224),0),
IF('TL10'!$B$229=L$3,SUMIF('TL10'!$C$238:$C$451,$C216,'TL10'!$J$238:$J$451),0),
IF('TL11'!$B$3=L$3,SUMIF('TL11'!$C$10:$C$224,$C216,'TL11'!$J$10:$J$224),0),
IF('TL11'!$B$229=L$3,SUMIF('TL11'!$C$238:$C$451,$C216,'TL11'!$J$238:$J$451),0),
IF('TL12'!$B$3=L$3,SUMIF('TL12'!$C$10:$C$224,$C216,'TL12'!$J$10:$J$224),0),
IF('TL12'!$B$229=L$3,SUMIF('TL12'!$C$238:$C$451,$C216,'TL12'!$J$238:$J$451),0),
IF('TL13'!$B$3=L$3,SUMIF('TL13'!$C$10:$C$224,$C216,'TL13'!$J$10:$J$224),0),
IF('TL13'!$B$229=L$3,SUMIF('TL13'!$C$238:$C$451,$C216,'TL13'!$J$238:$J$451),0),
IF('TL14'!$B$3=L$3,SUMIF('TL14'!$C$10:$C$224,$C216,'TL14'!$J$10:$J$224),0),
IF('TL14'!$B$229=L$3,SUMIF('TL14'!$C$238:$C$451,$C216,'TL14'!$J$238:$J$451),0),
IF('TL15'!$B$3=L$3,SUMIF('TL15'!$C$10:$C$224,$C216,'TL15'!$J$10:$J$224),0),
IF('TL15'!$B$229=L$3,SUMIF('TL15'!$C$238:$C$451,$C216,'TL15'!$J$238:$J$451),0),
IF('TL16'!$B$3=L$3,SUMIF('TL16'!$C$10:$C$224,$C216,'TL16'!$J$10:$J$224),0),
IF('TL16'!$B$229=L$3,SUMIF('TL16'!$C$238:$C$451,$C216,'TL16'!$J$238:$J$451),0),
IF('TL17'!$B$3=L$3,SUMIF('TL17'!$C$10:$C$224,$C216,'TL17'!$J$10:$J$224),0),
IF('TL17'!$B$229=L$3,SUMIF('TL17'!$C$238:$C$451,$C216,'TL17'!$J$238:$J$451),0),
IF('TL18'!$B$3=L$3,SUMIF('TL18'!$C$10:$C$224,$C216,'TL18'!$J$10:$J$224),0),
IF('TL18'!$B$229=L$3,SUMIF('TL18'!$C$238:$C$451,$C216,'TL18'!$J$238:$J$451),0),
IF('TL19'!$B$3=L$3,SUMIF('TL19'!$C$10:$C$224,$C216,'TL19'!$J$10:$J$224),0),
IF('TL19'!$B$229=L$3,SUMIF('TL19'!$C$238:$C$451,$C216,'TL19'!$J$238:$J$451),0)
),0)</f>
        <v/>
      </c>
      <c r="M216" s="9">
        <f>IFERROR(SUM(
IF('TL01'!$B$3=M$3,SUMIF('TL01'!$C$10:$C$224,$C216,'TL01'!$J$10:$J$224),0),
IF('TL01'!$B$229=M$3,SUMIF('TL01'!$C$238:$C$451,$C216,'TL01'!$J$238:$J$451),0),
IF('TL02'!$B$3=M$3,SUMIF('TL02'!$C$10:$C$224,$C216,'TL02'!$J$10:$J$224),0),
IF('TL02'!$B$229=M$3,SUMIF('TL02'!$C$238:$C$451,$C216,'TL02'!$J$238:$J$451),0),
IF('TL03'!$B$3=M$3,SUMIF('TL03'!$C$10:$C$224,$C216,'TL03'!$J$10:$J$224),0),
IF('TL03'!$B$229=M$3,SUMIF('TL03'!$C$238:$C$451,$C216,'TL03'!$J$238:$J$451),0),
IF('TL04'!$B$3=M$3,SUMIF('TL04'!$C$10:$C$224,$C216,'TL04'!$J$10:$J$224),0),
IF('TL04'!$B$229=M$3,SUMIF('TL04'!$C$238:$C$451,$C216,'TL04'!$J$238:$J$451),0),
IF('TL05'!$B$3=M$3,SUMIF('TL05'!$C$10:$C$224,$C216,'TL05'!$J$10:$J$224),0),
IF('TL05'!$B$229=M$3,SUMIF('TL05'!$C$238:$C$451,$C216,'TL05'!$J$238:$J$451),0),
IF('TL06'!$B$3=M$3,SUMIF('TL06'!$C$10:$C$224,$C216,'TL06'!$J$10:$J$224),0),
IF('TL06'!$B$229=M$3,SUMIF('TL06'!$C$238:$C$451,$C216,'TL06'!$J$238:$J$451),0),
IF('TL07'!$B$3=M$3,SUMIF('TL07'!$C$10:$C$224,$C216,'TL07'!$J$10:$J$224),0),
IF('TL07'!$B$229=M$3,SUMIF('TL07'!$C$238:$C$451,$C216,'TL07'!$J$238:$J$451),0),
IF('TL08'!$B$3=M$3,SUMIF('TL08'!$C$10:$C$224,$C216,'TL08'!$J$10:$J$224),0),
IF('TL08'!$B$229=M$3,SUMIF('TL08'!$C$238:$C$451,$C216,'TL08'!$J$238:$J$451),0),
IF('TL09'!$B$3=M$3,SUMIF('TL09'!$C$10:$C$224,$C216,'TL09'!$J$10:$J$224),0),
IF('TL09'!$B$229=M$3,SUMIF('TL09'!$C$238:$C$451,$C216,'TL09'!$J$238:$J$451),0),
IF('TL10'!$B$3=M$3,SUMIF('TL10'!$C$10:$C$224,$C216,'TL10'!$J$10:$J$224),0),
IF('TL10'!$B$229=M$3,SUMIF('TL10'!$C$238:$C$451,$C216,'TL10'!$J$238:$J$451),0),
IF('TL11'!$B$3=M$3,SUMIF('TL11'!$C$10:$C$224,$C216,'TL11'!$J$10:$J$224),0),
IF('TL11'!$B$229=M$3,SUMIF('TL11'!$C$238:$C$451,$C216,'TL11'!$J$238:$J$451),0),
IF('TL12'!$B$3=M$3,SUMIF('TL12'!$C$10:$C$224,$C216,'TL12'!$J$10:$J$224),0),
IF('TL12'!$B$229=M$3,SUMIF('TL12'!$C$238:$C$451,$C216,'TL12'!$J$238:$J$451),0),
IF('TL13'!$B$3=M$3,SUMIF('TL13'!$C$10:$C$224,$C216,'TL13'!$J$10:$J$224),0),
IF('TL13'!$B$229=M$3,SUMIF('TL13'!$C$238:$C$451,$C216,'TL13'!$J$238:$J$451),0),
IF('TL14'!$B$3=M$3,SUMIF('TL14'!$C$10:$C$224,$C216,'TL14'!$J$10:$J$224),0),
IF('TL14'!$B$229=M$3,SUMIF('TL14'!$C$238:$C$451,$C216,'TL14'!$J$238:$J$451),0),
IF('TL15'!$B$3=M$3,SUMIF('TL15'!$C$10:$C$224,$C216,'TL15'!$J$10:$J$224),0),
IF('TL15'!$B$229=M$3,SUMIF('TL15'!$C$238:$C$451,$C216,'TL15'!$J$238:$J$451),0),
IF('TL16'!$B$3=M$3,SUMIF('TL16'!$C$10:$C$224,$C216,'TL16'!$J$10:$J$224),0),
IF('TL16'!$B$229=M$3,SUMIF('TL16'!$C$238:$C$451,$C216,'TL16'!$J$238:$J$451),0),
IF('TL17'!$B$3=M$3,SUMIF('TL17'!$C$10:$C$224,$C216,'TL17'!$J$10:$J$224),0),
IF('TL17'!$B$229=M$3,SUMIF('TL17'!$C$238:$C$451,$C216,'TL17'!$J$238:$J$451),0),
IF('TL18'!$B$3=M$3,SUMIF('TL18'!$C$10:$C$224,$C216,'TL18'!$J$10:$J$224),0),
IF('TL18'!$B$229=M$3,SUMIF('TL18'!$C$238:$C$451,$C216,'TL18'!$J$238:$J$451),0),
IF('TL19'!$B$3=M$3,SUMIF('TL19'!$C$10:$C$224,$C216,'TL19'!$J$10:$J$224),0),
IF('TL19'!$B$229=M$3,SUMIF('TL19'!$C$238:$C$451,$C216,'TL19'!$J$238:$J$451),0)
),0)</f>
        <v/>
      </c>
      <c r="N216" s="9">
        <f>IFERROR(SUM(
IF('TL01'!$B$3=N$3,SUMIF('TL01'!$C$10:$C$224,$C216,'TL01'!$J$10:$J$224),0),
IF('TL01'!$B$229=N$3,SUMIF('TL01'!$C$238:$C$451,$C216,'TL01'!$J$238:$J$451),0),
IF('TL02'!$B$3=N$3,SUMIF('TL02'!$C$10:$C$224,$C216,'TL02'!$J$10:$J$224),0),
IF('TL02'!$B$229=N$3,SUMIF('TL02'!$C$238:$C$451,$C216,'TL02'!$J$238:$J$451),0),
IF('TL03'!$B$3=N$3,SUMIF('TL03'!$C$10:$C$224,$C216,'TL03'!$J$10:$J$224),0),
IF('TL03'!$B$229=N$3,SUMIF('TL03'!$C$238:$C$451,$C216,'TL03'!$J$238:$J$451),0),
IF('TL04'!$B$3=N$3,SUMIF('TL04'!$C$10:$C$224,$C216,'TL04'!$J$10:$J$224),0),
IF('TL04'!$B$229=N$3,SUMIF('TL04'!$C$238:$C$451,$C216,'TL04'!$J$238:$J$451),0),
IF('TL05'!$B$3=N$3,SUMIF('TL05'!$C$10:$C$224,$C216,'TL05'!$J$10:$J$224),0),
IF('TL05'!$B$229=N$3,SUMIF('TL05'!$C$238:$C$451,$C216,'TL05'!$J$238:$J$451),0),
IF('TL06'!$B$3=N$3,SUMIF('TL06'!$C$10:$C$224,$C216,'TL06'!$J$10:$J$224),0),
IF('TL06'!$B$229=N$3,SUMIF('TL06'!$C$238:$C$451,$C216,'TL06'!$J$238:$J$451),0),
IF('TL07'!$B$3=N$3,SUMIF('TL07'!$C$10:$C$224,$C216,'TL07'!$J$10:$J$224),0),
IF('TL07'!$B$229=N$3,SUMIF('TL07'!$C$238:$C$451,$C216,'TL07'!$J$238:$J$451),0),
IF('TL08'!$B$3=N$3,SUMIF('TL08'!$C$10:$C$224,$C216,'TL08'!$J$10:$J$224),0),
IF('TL08'!$B$229=N$3,SUMIF('TL08'!$C$238:$C$451,$C216,'TL08'!$J$238:$J$451),0),
IF('TL09'!$B$3=N$3,SUMIF('TL09'!$C$10:$C$224,$C216,'TL09'!$J$10:$J$224),0),
IF('TL09'!$B$229=N$3,SUMIF('TL09'!$C$238:$C$451,$C216,'TL09'!$J$238:$J$451),0),
IF('TL10'!$B$3=N$3,SUMIF('TL10'!$C$10:$C$224,$C216,'TL10'!$J$10:$J$224),0),
IF('TL10'!$B$229=N$3,SUMIF('TL10'!$C$238:$C$451,$C216,'TL10'!$J$238:$J$451),0),
IF('TL11'!$B$3=N$3,SUMIF('TL11'!$C$10:$C$224,$C216,'TL11'!$J$10:$J$224),0),
IF('TL11'!$B$229=N$3,SUMIF('TL11'!$C$238:$C$451,$C216,'TL11'!$J$238:$J$451),0),
IF('TL12'!$B$3=N$3,SUMIF('TL12'!$C$10:$C$224,$C216,'TL12'!$J$10:$J$224),0),
IF('TL12'!$B$229=N$3,SUMIF('TL12'!$C$238:$C$451,$C216,'TL12'!$J$238:$J$451),0),
IF('TL13'!$B$3=N$3,SUMIF('TL13'!$C$10:$C$224,$C216,'TL13'!$J$10:$J$224),0),
IF('TL13'!$B$229=N$3,SUMIF('TL13'!$C$238:$C$451,$C216,'TL13'!$J$238:$J$451),0),
IF('TL14'!$B$3=N$3,SUMIF('TL14'!$C$10:$C$224,$C216,'TL14'!$J$10:$J$224),0),
IF('TL14'!$B$229=N$3,SUMIF('TL14'!$C$238:$C$451,$C216,'TL14'!$J$238:$J$451),0),
IF('TL15'!$B$3=N$3,SUMIF('TL15'!$C$10:$C$224,$C216,'TL15'!$J$10:$J$224),0),
IF('TL15'!$B$229=N$3,SUMIF('TL15'!$C$238:$C$451,$C216,'TL15'!$J$238:$J$451),0),
IF('TL16'!$B$3=N$3,SUMIF('TL16'!$C$10:$C$224,$C216,'TL16'!$J$10:$J$224),0),
IF('TL16'!$B$229=N$3,SUMIF('TL16'!$C$238:$C$451,$C216,'TL16'!$J$238:$J$451),0),
IF('TL17'!$B$3=N$3,SUMIF('TL17'!$C$10:$C$224,$C216,'TL17'!$J$10:$J$224),0),
IF('TL17'!$B$229=N$3,SUMIF('TL17'!$C$238:$C$451,$C216,'TL17'!$J$238:$J$451),0),
IF('TL18'!$B$3=N$3,SUMIF('TL18'!$C$10:$C$224,$C216,'TL18'!$J$10:$J$224),0),
IF('TL18'!$B$229=N$3,SUMIF('TL18'!$C$238:$C$451,$C216,'TL18'!$J$238:$J$451),0),
IF('TL19'!$B$3=N$3,SUMIF('TL19'!$C$10:$C$224,$C216,'TL19'!$J$10:$J$224),0),
IF('TL19'!$B$229=N$3,SUMIF('TL19'!$C$238:$C$451,$C216,'TL19'!$J$238:$J$451),0)
),0)</f>
        <v/>
      </c>
      <c r="O216" s="9">
        <f>IFERROR(SUM(
IF('TL01'!$B$3=O$3,SUMIF('TL01'!$C$10:$C$224,$C216,'TL01'!$J$10:$J$224),0),
IF('TL01'!$B$229=O$3,SUMIF('TL01'!$C$238:$C$451,$C216,'TL01'!$J$238:$J$451),0),
IF('TL02'!$B$3=O$3,SUMIF('TL02'!$C$10:$C$224,$C216,'TL02'!$J$10:$J$224),0),
IF('TL02'!$B$229=O$3,SUMIF('TL02'!$C$238:$C$451,$C216,'TL02'!$J$238:$J$451),0),
IF('TL03'!$B$3=O$3,SUMIF('TL03'!$C$10:$C$224,$C216,'TL03'!$J$10:$J$224),0),
IF('TL03'!$B$229=O$3,SUMIF('TL03'!$C$238:$C$451,$C216,'TL03'!$J$238:$J$451),0),
IF('TL04'!$B$3=O$3,SUMIF('TL04'!$C$10:$C$224,$C216,'TL04'!$J$10:$J$224),0),
IF('TL04'!$B$229=O$3,SUMIF('TL04'!$C$238:$C$451,$C216,'TL04'!$J$238:$J$451),0),
IF('TL05'!$B$3=O$3,SUMIF('TL05'!$C$10:$C$224,$C216,'TL05'!$J$10:$J$224),0),
IF('TL05'!$B$229=O$3,SUMIF('TL05'!$C$238:$C$451,$C216,'TL05'!$J$238:$J$451),0),
IF('TL06'!$B$3=O$3,SUMIF('TL06'!$C$10:$C$224,$C216,'TL06'!$J$10:$J$224),0),
IF('TL06'!$B$229=O$3,SUMIF('TL06'!$C$238:$C$451,$C216,'TL06'!$J$238:$J$451),0),
IF('TL07'!$B$3=O$3,SUMIF('TL07'!$C$10:$C$224,$C216,'TL07'!$J$10:$J$224),0),
IF('TL07'!$B$229=O$3,SUMIF('TL07'!$C$238:$C$451,$C216,'TL07'!$J$238:$J$451),0),
IF('TL08'!$B$3=O$3,SUMIF('TL08'!$C$10:$C$224,$C216,'TL08'!$J$10:$J$224),0),
IF('TL08'!$B$229=O$3,SUMIF('TL08'!$C$238:$C$451,$C216,'TL08'!$J$238:$J$451),0),
IF('TL09'!$B$3=O$3,SUMIF('TL09'!$C$10:$C$224,$C216,'TL09'!$J$10:$J$224),0),
IF('TL09'!$B$229=O$3,SUMIF('TL09'!$C$238:$C$451,$C216,'TL09'!$J$238:$J$451),0),
IF('TL10'!$B$3=O$3,SUMIF('TL10'!$C$10:$C$224,$C216,'TL10'!$J$10:$J$224),0),
IF('TL10'!$B$229=O$3,SUMIF('TL10'!$C$238:$C$451,$C216,'TL10'!$J$238:$J$451),0),
IF('TL11'!$B$3=O$3,SUMIF('TL11'!$C$10:$C$224,$C216,'TL11'!$J$10:$J$224),0),
IF('TL11'!$B$229=O$3,SUMIF('TL11'!$C$238:$C$451,$C216,'TL11'!$J$238:$J$451),0),
IF('TL12'!$B$3=O$3,SUMIF('TL12'!$C$10:$C$224,$C216,'TL12'!$J$10:$J$224),0),
IF('TL12'!$B$229=O$3,SUMIF('TL12'!$C$238:$C$451,$C216,'TL12'!$J$238:$J$451),0),
IF('TL13'!$B$3=O$3,SUMIF('TL13'!$C$10:$C$224,$C216,'TL13'!$J$10:$J$224),0),
IF('TL13'!$B$229=O$3,SUMIF('TL13'!$C$238:$C$451,$C216,'TL13'!$J$238:$J$451),0),
IF('TL14'!$B$3=O$3,SUMIF('TL14'!$C$10:$C$224,$C216,'TL14'!$J$10:$J$224),0),
IF('TL14'!$B$229=O$3,SUMIF('TL14'!$C$238:$C$451,$C216,'TL14'!$J$238:$J$451),0),
IF('TL15'!$B$3=O$3,SUMIF('TL15'!$C$10:$C$224,$C216,'TL15'!$J$10:$J$224),0),
IF('TL15'!$B$229=O$3,SUMIF('TL15'!$C$238:$C$451,$C216,'TL15'!$J$238:$J$451),0),
IF('TL16'!$B$3=O$3,SUMIF('TL16'!$C$10:$C$224,$C216,'TL16'!$J$10:$J$224),0),
IF('TL16'!$B$229=O$3,SUMIF('TL16'!$C$238:$C$451,$C216,'TL16'!$J$238:$J$451),0),
IF('TL17'!$B$3=O$3,SUMIF('TL17'!$C$10:$C$224,$C216,'TL17'!$J$10:$J$224),0),
IF('TL17'!$B$229=O$3,SUMIF('TL17'!$C$238:$C$451,$C216,'TL17'!$J$238:$J$451),0),
IF('TL18'!$B$3=O$3,SUMIF('TL18'!$C$10:$C$224,$C216,'TL18'!$J$10:$J$224),0),
IF('TL18'!$B$229=O$3,SUMIF('TL18'!$C$238:$C$451,$C216,'TL18'!$J$238:$J$451),0),
IF('TL19'!$B$3=O$3,SUMIF('TL19'!$C$10:$C$224,$C216,'TL19'!$J$10:$J$224),0),
IF('TL19'!$B$229=O$3,SUMIF('TL19'!$C$238:$C$451,$C216,'TL19'!$J$238:$J$451),0)
),0)</f>
        <v/>
      </c>
      <c r="P216" s="9">
        <f>IFERROR(SUM(
IF('TL01'!$B$3=P$3,SUMIF('TL01'!$C$10:$C$224,$C216,'TL01'!$J$10:$J$224),0),
IF('TL01'!$B$229=P$3,SUMIF('TL01'!$C$238:$C$451,$C216,'TL01'!$J$238:$J$451),0),
IF('TL02'!$B$3=P$3,SUMIF('TL02'!$C$10:$C$224,$C216,'TL02'!$J$10:$J$224),0),
IF('TL02'!$B$229=P$3,SUMIF('TL02'!$C$238:$C$451,$C216,'TL02'!$J$238:$J$451),0),
IF('TL03'!$B$3=P$3,SUMIF('TL03'!$C$10:$C$224,$C216,'TL03'!$J$10:$J$224),0),
IF('TL03'!$B$229=P$3,SUMIF('TL03'!$C$238:$C$451,$C216,'TL03'!$J$238:$J$451),0),
IF('TL04'!$B$3=P$3,SUMIF('TL04'!$C$10:$C$224,$C216,'TL04'!$J$10:$J$224),0),
IF('TL04'!$B$229=P$3,SUMIF('TL04'!$C$238:$C$451,$C216,'TL04'!$J$238:$J$451),0),
IF('TL05'!$B$3=P$3,SUMIF('TL05'!$C$10:$C$224,$C216,'TL05'!$J$10:$J$224),0),
IF('TL05'!$B$229=P$3,SUMIF('TL05'!$C$238:$C$451,$C216,'TL05'!$J$238:$J$451),0),
IF('TL06'!$B$3=P$3,SUMIF('TL06'!$C$10:$C$224,$C216,'TL06'!$J$10:$J$224),0),
IF('TL06'!$B$229=P$3,SUMIF('TL06'!$C$238:$C$451,$C216,'TL06'!$J$238:$J$451),0),
IF('TL07'!$B$3=P$3,SUMIF('TL07'!$C$10:$C$224,$C216,'TL07'!$J$10:$J$224),0),
IF('TL07'!$B$229=P$3,SUMIF('TL07'!$C$238:$C$451,$C216,'TL07'!$J$238:$J$451),0),
IF('TL08'!$B$3=P$3,SUMIF('TL08'!$C$10:$C$224,$C216,'TL08'!$J$10:$J$224),0),
IF('TL08'!$B$229=P$3,SUMIF('TL08'!$C$238:$C$451,$C216,'TL08'!$J$238:$J$451),0),
IF('TL09'!$B$3=P$3,SUMIF('TL09'!$C$10:$C$224,$C216,'TL09'!$J$10:$J$224),0),
IF('TL09'!$B$229=P$3,SUMIF('TL09'!$C$238:$C$451,$C216,'TL09'!$J$238:$J$451),0),
IF('TL10'!$B$3=P$3,SUMIF('TL10'!$C$10:$C$224,$C216,'TL10'!$J$10:$J$224),0),
IF('TL10'!$B$229=P$3,SUMIF('TL10'!$C$238:$C$451,$C216,'TL10'!$J$238:$J$451),0),
IF('TL11'!$B$3=P$3,SUMIF('TL11'!$C$10:$C$224,$C216,'TL11'!$J$10:$J$224),0),
IF('TL11'!$B$229=P$3,SUMIF('TL11'!$C$238:$C$451,$C216,'TL11'!$J$238:$J$451),0),
IF('TL12'!$B$3=P$3,SUMIF('TL12'!$C$10:$C$224,$C216,'TL12'!$J$10:$J$224),0),
IF('TL12'!$B$229=P$3,SUMIF('TL12'!$C$238:$C$451,$C216,'TL12'!$J$238:$J$451),0),
IF('TL13'!$B$3=P$3,SUMIF('TL13'!$C$10:$C$224,$C216,'TL13'!$J$10:$J$224),0),
IF('TL13'!$B$229=P$3,SUMIF('TL13'!$C$238:$C$451,$C216,'TL13'!$J$238:$J$451),0),
IF('TL14'!$B$3=P$3,SUMIF('TL14'!$C$10:$C$224,$C216,'TL14'!$J$10:$J$224),0),
IF('TL14'!$B$229=P$3,SUMIF('TL14'!$C$238:$C$451,$C216,'TL14'!$J$238:$J$451),0),
IF('TL15'!$B$3=P$3,SUMIF('TL15'!$C$10:$C$224,$C216,'TL15'!$J$10:$J$224),0),
IF('TL15'!$B$229=P$3,SUMIF('TL15'!$C$238:$C$451,$C216,'TL15'!$J$238:$J$451),0),
IF('TL16'!$B$3=P$3,SUMIF('TL16'!$C$10:$C$224,$C216,'TL16'!$J$10:$J$224),0),
IF('TL16'!$B$229=P$3,SUMIF('TL16'!$C$238:$C$451,$C216,'TL16'!$J$238:$J$451),0),
IF('TL17'!$B$3=P$3,SUMIF('TL17'!$C$10:$C$224,$C216,'TL17'!$J$10:$J$224),0),
IF('TL17'!$B$229=P$3,SUMIF('TL17'!$C$238:$C$451,$C216,'TL17'!$J$238:$J$451),0),
IF('TL18'!$B$3=P$3,SUMIF('TL18'!$C$10:$C$224,$C216,'TL18'!$J$10:$J$224),0),
IF('TL18'!$B$229=P$3,SUMIF('TL18'!$C$238:$C$451,$C216,'TL18'!$J$238:$J$451),0),
IF('TL19'!$B$3=P$3,SUMIF('TL19'!$C$10:$C$224,$C216,'TL19'!$J$10:$J$224),0),
IF('TL19'!$B$229=P$3,SUMIF('TL19'!$C$238:$C$451,$C216,'TL19'!$J$238:$J$451),0)
),0)</f>
        <v/>
      </c>
      <c r="Q216" s="9">
        <f>IFERROR(SUM(
IF('TL01'!$B$3=Q$3,SUMIF('TL01'!$C$10:$C$224,$C216,'TL01'!$J$10:$J$224),0),
IF('TL01'!$B$229=Q$3,SUMIF('TL01'!$C$238:$C$451,$C216,'TL01'!$J$238:$J$451),0),
IF('TL02'!$B$3=Q$3,SUMIF('TL02'!$C$10:$C$224,$C216,'TL02'!$J$10:$J$224),0),
IF('TL02'!$B$229=Q$3,SUMIF('TL02'!$C$238:$C$451,$C216,'TL02'!$J$238:$J$451),0),
IF('TL03'!$B$3=Q$3,SUMIF('TL03'!$C$10:$C$224,$C216,'TL03'!$J$10:$J$224),0),
IF('TL03'!$B$229=Q$3,SUMIF('TL03'!$C$238:$C$451,$C216,'TL03'!$J$238:$J$451),0),
IF('TL04'!$B$3=Q$3,SUMIF('TL04'!$C$10:$C$224,$C216,'TL04'!$J$10:$J$224),0),
IF('TL04'!$B$229=Q$3,SUMIF('TL04'!$C$238:$C$451,$C216,'TL04'!$J$238:$J$451),0),
IF('TL05'!$B$3=Q$3,SUMIF('TL05'!$C$10:$C$224,$C216,'TL05'!$J$10:$J$224),0),
IF('TL05'!$B$229=Q$3,SUMIF('TL05'!$C$238:$C$451,$C216,'TL05'!$J$238:$J$451),0),
IF('TL06'!$B$3=Q$3,SUMIF('TL06'!$C$10:$C$224,$C216,'TL06'!$J$10:$J$224),0),
IF('TL06'!$B$229=Q$3,SUMIF('TL06'!$C$238:$C$451,$C216,'TL06'!$J$238:$J$451),0),
IF('TL07'!$B$3=Q$3,SUMIF('TL07'!$C$10:$C$224,$C216,'TL07'!$J$10:$J$224),0),
IF('TL07'!$B$229=Q$3,SUMIF('TL07'!$C$238:$C$451,$C216,'TL07'!$J$238:$J$451),0),
IF('TL08'!$B$3=Q$3,SUMIF('TL08'!$C$10:$C$224,$C216,'TL08'!$J$10:$J$224),0),
IF('TL08'!$B$229=Q$3,SUMIF('TL08'!$C$238:$C$451,$C216,'TL08'!$J$238:$J$451),0),
IF('TL09'!$B$3=Q$3,SUMIF('TL09'!$C$10:$C$224,$C216,'TL09'!$J$10:$J$224),0),
IF('TL09'!$B$229=Q$3,SUMIF('TL09'!$C$238:$C$451,$C216,'TL09'!$J$238:$J$451),0),
IF('TL10'!$B$3=Q$3,SUMIF('TL10'!$C$10:$C$224,$C216,'TL10'!$J$10:$J$224),0),
IF('TL10'!$B$229=Q$3,SUMIF('TL10'!$C$238:$C$451,$C216,'TL10'!$J$238:$J$451),0),
IF('TL11'!$B$3=Q$3,SUMIF('TL11'!$C$10:$C$224,$C216,'TL11'!$J$10:$J$224),0),
IF('TL11'!$B$229=Q$3,SUMIF('TL11'!$C$238:$C$451,$C216,'TL11'!$J$238:$J$451),0),
IF('TL12'!$B$3=Q$3,SUMIF('TL12'!$C$10:$C$224,$C216,'TL12'!$J$10:$J$224),0),
IF('TL12'!$B$229=Q$3,SUMIF('TL12'!$C$238:$C$451,$C216,'TL12'!$J$238:$J$451),0),
IF('TL13'!$B$3=Q$3,SUMIF('TL13'!$C$10:$C$224,$C216,'TL13'!$J$10:$J$224),0),
IF('TL13'!$B$229=Q$3,SUMIF('TL13'!$C$238:$C$451,$C216,'TL13'!$J$238:$J$451),0),
IF('TL14'!$B$3=Q$3,SUMIF('TL14'!$C$10:$C$224,$C216,'TL14'!$J$10:$J$224),0),
IF('TL14'!$B$229=Q$3,SUMIF('TL14'!$C$238:$C$451,$C216,'TL14'!$J$238:$J$451),0),
IF('TL15'!$B$3=Q$3,SUMIF('TL15'!$C$10:$C$224,$C216,'TL15'!$J$10:$J$224),0),
IF('TL15'!$B$229=Q$3,SUMIF('TL15'!$C$238:$C$451,$C216,'TL15'!$J$238:$J$451),0),
IF('TL16'!$B$3=Q$3,SUMIF('TL16'!$C$10:$C$224,$C216,'TL16'!$J$10:$J$224),0),
IF('TL16'!$B$229=Q$3,SUMIF('TL16'!$C$238:$C$451,$C216,'TL16'!$J$238:$J$451),0),
IF('TL17'!$B$3=Q$3,SUMIF('TL17'!$C$10:$C$224,$C216,'TL17'!$J$10:$J$224),0),
IF('TL17'!$B$229=Q$3,SUMIF('TL17'!$C$238:$C$451,$C216,'TL17'!$J$238:$J$451),0),
IF('TL18'!$B$3=Q$3,SUMIF('TL18'!$C$10:$C$224,$C216,'TL18'!$J$10:$J$224),0),
IF('TL18'!$B$229=Q$3,SUMIF('TL18'!$C$238:$C$451,$C216,'TL18'!$J$238:$J$451),0),
IF('TL19'!$B$3=Q$3,SUMIF('TL19'!$C$10:$C$224,$C216,'TL19'!$J$10:$J$224),0),
IF('TL19'!$B$229=Q$3,SUMIF('TL19'!$C$238:$C$451,$C216,'TL19'!$J$238:$J$451),0)
),0)</f>
        <v/>
      </c>
      <c r="R216" s="9">
        <f>IFERROR(
SUM(
SUMIF('TL01'!C:C,C216,'TL01'!J:J),
SUMIF('TL02'!C:C,C216,'TL02'!J:J),
SUMIF('TL03'!C:C,C216,'TL03'!J:J),
SUMIF('TL04'!C:C,C216,'TL04'!J:J),
SUMIF('TL05'!C:C,C216,'TL05'!J:J),
SUMIF('TL06'!C:C,C216,'TL06'!J:J),
SUMIF('TL07'!C:C,C216,'TL07'!J:J),
SUMIF('TL08'!C:C,C216,'TL08'!J:J),
SUMIF('TL09'!C:C,C216,'TL09'!J:J),
SUMIF('TL10'!C:C,C216,'TL10'!J:J),
SUMIF('TL11'!C:C,C216,'TL11'!J:J),
SUMIF('TL12'!C:C,C216,'TL12'!J:J),
SUMIF('TL13'!C:C,C216,'TL13'!J:J),
SUMIF('TL14'!C:C,C216,'TL14'!J:J),
SUMIF('TL15'!C:C,C216,'TL15'!J:J),
SUMIF('TL16'!C:C,C216,'TL16'!J:J),
SUMIF('TL17'!C:C,C216,'TL17'!J:J),
SUMIF('TL18'!C:C,C216,'TL18'!J:J),SUMIF('TL19'!C:C,C216,'TL19'!J:J))
,0)</f>
        <v/>
      </c>
      <c r="S216" s="17">
        <f>IFERROR(__xludf.DUMMYFUNCTION("IFERROR(VLOOKUP(C216,
IMPORTRANGE(""1wULbzX32WdYsx-lj2U3uUNBBe2INVIRDtcK0d-Dvl90"",
""26-27!C:G""),
5,
FALSE),
"""")"),52.58487)</f>
        <v/>
      </c>
      <c r="T216" s="9" t="n"/>
      <c r="U216" s="92">
        <f>MAX(0,R216-T216)</f>
        <v/>
      </c>
      <c r="V216" s="93">
        <f>U216*S216</f>
        <v/>
      </c>
    </row>
    <row r="217" hidden="1" ht="15.75" customHeight="1" s="297">
      <c r="A217" s="94" t="inlineStr">
        <is>
          <t>NORTOX</t>
        </is>
      </c>
      <c r="B217" s="95" t="inlineStr">
        <is>
          <t>INSETICIDA</t>
        </is>
      </c>
      <c r="C217" s="96" t="inlineStr">
        <is>
          <t>TEMPUS NORTOX</t>
        </is>
      </c>
      <c r="D217" s="96" t="inlineStr">
        <is>
          <t>CLORANTRANILIPROLE + CLORPIRIFÓS</t>
        </is>
      </c>
      <c r="E217" s="96" t="inlineStr">
        <is>
          <t>32 + 480</t>
        </is>
      </c>
      <c r="F217" s="4" t="inlineStr">
        <is>
          <t>L</t>
        </is>
      </c>
      <c r="G217" s="90">
        <f>HYPERLINK("https://www.google.com/search?q=" &amp; C217 &amp; "+bula+agrofit+pdf", "📄 Ver bula")</f>
        <v/>
      </c>
      <c r="H217" s="9">
        <f>IFERROR(__xludf.DUMMYFUNCTION("IFERROR(VLOOKUP(C217,
IMPORTRANGE(""1wULbzX32WdYsx-lj2U3uUNBBe2INVIRDtcK0d-Dvl90"",
""26-27!C:K""),
8,
FALSE),
"""")"),1.0)</f>
        <v/>
      </c>
      <c r="I217" s="97" t="inlineStr">
        <is>
          <t>4X5</t>
        </is>
      </c>
      <c r="J217" s="9">
        <f>IFERROR(SUM(
IF('TL01'!$B$3=J$3,SUMIF('TL01'!$C$10:$C$224,$C217,'TL01'!$J$10:$J$224),0),
IF('TL01'!$B$229=J$3,SUMIF('TL01'!$C$238:$C$451,$C217,'TL01'!$J$238:$J$451),0),
IF('TL02'!$B$3=J$3,SUMIF('TL02'!$C$10:$C$224,$C217,'TL02'!$J$10:$J$224),0),
IF('TL02'!$B$229=J$3,SUMIF('TL02'!$C$238:$C$451,$C217,'TL02'!$J$238:$J$451),0),
IF('TL03'!$B$3=J$3,SUMIF('TL03'!$C$10:$C$224,$C217,'TL03'!$J$10:$J$224),0),
IF('TL03'!$B$229=J$3,SUMIF('TL03'!$C$238:$C$451,$C217,'TL03'!$J$238:$J$451),0),
IF('TL04'!$B$3=J$3,SUMIF('TL04'!$C$10:$C$224,$C217,'TL04'!$J$10:$J$224),0),
IF('TL04'!$B$229=J$3,SUMIF('TL04'!$C$238:$C$451,$C217,'TL04'!$J$238:$J$451),0),
IF('TL05'!$B$3=J$3,SUMIF('TL05'!$C$10:$C$224,$C217,'TL05'!$J$10:$J$224),0),
IF('TL05'!$B$229=J$3,SUMIF('TL05'!$C$238:$C$451,$C217,'TL05'!$J$238:$J$451),0),
IF('TL06'!$B$3=J$3,SUMIF('TL06'!$C$10:$C$224,$C217,'TL06'!$J$10:$J$224),0),
IF('TL06'!$B$229=J$3,SUMIF('TL06'!$C$238:$C$451,$C217,'TL06'!$J$238:$J$451),0),
IF('TL07'!$B$3=J$3,SUMIF('TL07'!$C$10:$C$224,$C217,'TL07'!$J$10:$J$224),0),
IF('TL07'!$B$229=J$3,SUMIF('TL07'!$C$238:$C$451,$C217,'TL07'!$J$238:$J$451),0),
IF('TL08'!$B$3=J$3,SUMIF('TL08'!$C$10:$C$224,$C217,'TL08'!$J$10:$J$224),0),
IF('TL08'!$B$229=J$3,SUMIF('TL08'!$C$238:$C$451,$C217,'TL08'!$J$238:$J$451),0),
IF('TL09'!$B$3=J$3,SUMIF('TL09'!$C$10:$C$224,$C217,'TL09'!$J$10:$J$224),0),
IF('TL09'!$B$229=J$3,SUMIF('TL09'!$C$238:$C$451,$C217,'TL09'!$J$238:$J$451),0),
IF('TL10'!$B$3=J$3,SUMIF('TL10'!$C$10:$C$224,$C217,'TL10'!$J$10:$J$224),0),
IF('TL10'!$B$229=J$3,SUMIF('TL10'!$C$238:$C$451,$C217,'TL10'!$J$238:$J$451),0),
IF('TL11'!$B$3=J$3,SUMIF('TL11'!$C$10:$C$224,$C217,'TL11'!$J$10:$J$224),0),
IF('TL11'!$B$229=J$3,SUMIF('TL11'!$C$238:$C$451,$C217,'TL11'!$J$238:$J$451),0),
IF('TL12'!$B$3=J$3,SUMIF('TL12'!$C$10:$C$224,$C217,'TL12'!$J$10:$J$224),0),
IF('TL12'!$B$229=J$3,SUMIF('TL12'!$C$238:$C$451,$C217,'TL12'!$J$238:$J$451),0),
IF('TL13'!$B$3=J$3,SUMIF('TL13'!$C$10:$C$224,$C217,'TL13'!$J$10:$J$224),0),
IF('TL13'!$B$229=J$3,SUMIF('TL13'!$C$238:$C$451,$C217,'TL13'!$J$238:$J$451),0),
IF('TL14'!$B$3=J$3,SUMIF('TL14'!$C$10:$C$224,$C217,'TL14'!$J$10:$J$224),0),
IF('TL14'!$B$229=J$3,SUMIF('TL14'!$C$238:$C$451,$C217,'TL14'!$J$238:$J$451),0),
IF('TL15'!$B$3=J$3,SUMIF('TL15'!$C$10:$C$224,$C217,'TL15'!$J$10:$J$224),0),
IF('TL15'!$B$229=J$3,SUMIF('TL15'!$C$238:$C$451,$C217,'TL15'!$J$238:$J$451),0),
IF('TL16'!$B$3=J$3,SUMIF('TL16'!$C$10:$C$224,$C217,'TL16'!$J$10:$J$224),0),
IF('TL16'!$B$229=J$3,SUMIF('TL16'!$C$238:$C$451,$C217,'TL16'!$J$238:$J$451),0),
IF('TL17'!$B$3=J$3,SUMIF('TL17'!$C$10:$C$224,$C217,'TL17'!$J$10:$J$224),0),
IF('TL17'!$B$229=J$3,SUMIF('TL17'!$C$238:$C$451,$C217,'TL17'!$J$238:$J$451),0),
IF('TL18'!$B$3=J$3,SUMIF('TL18'!$C$10:$C$224,$C217,'TL18'!$J$10:$J$224),0),
IF('TL18'!$B$229=J$3,SUMIF('TL18'!$C$238:$C$451,$C217,'TL18'!$J$238:$J$451),0),
IF('TL19'!$B$3=J$3,SUMIF('TL19'!$C$10:$C$224,$C217,'TL19'!$J$10:$J$224),0),
IF('TL19'!$B$229=J$3,SUMIF('TL19'!$C$238:$C$451,$C217,'TL19'!$J$238:$J$451),0)
),0)</f>
        <v/>
      </c>
      <c r="K217" s="9">
        <f>IFERROR(SUM(
IF('TL01'!$B$3=K$3,SUMIF('TL01'!$C$10:$C$224,$C217,'TL01'!$J$10:$J$224),0),
IF('TL01'!$B$229=K$3,SUMIF('TL01'!$C$238:$C$451,$C217,'TL01'!$J$238:$J$451),0),
IF('TL02'!$B$3=K$3,SUMIF('TL02'!$C$10:$C$224,$C217,'TL02'!$J$10:$J$224),0),
IF('TL02'!$B$229=K$3,SUMIF('TL02'!$C$238:$C$451,$C217,'TL02'!$J$238:$J$451),0),
IF('TL03'!$B$3=K$3,SUMIF('TL03'!$C$10:$C$224,$C217,'TL03'!$J$10:$J$224),0),
IF('TL03'!$B$229=K$3,SUMIF('TL03'!$C$238:$C$451,$C217,'TL03'!$J$238:$J$451),0),
IF('TL04'!$B$3=K$3,SUMIF('TL04'!$C$10:$C$224,$C217,'TL04'!$J$10:$J$224),0),
IF('TL04'!$B$229=K$3,SUMIF('TL04'!$C$238:$C$451,$C217,'TL04'!$J$238:$J$451),0),
IF('TL05'!$B$3=K$3,SUMIF('TL05'!$C$10:$C$224,$C217,'TL05'!$J$10:$J$224),0),
IF('TL05'!$B$229=K$3,SUMIF('TL05'!$C$238:$C$451,$C217,'TL05'!$J$238:$J$451),0),
IF('TL06'!$B$3=K$3,SUMIF('TL06'!$C$10:$C$224,$C217,'TL06'!$J$10:$J$224),0),
IF('TL06'!$B$229=K$3,SUMIF('TL06'!$C$238:$C$451,$C217,'TL06'!$J$238:$J$451),0),
IF('TL07'!$B$3=K$3,SUMIF('TL07'!$C$10:$C$224,$C217,'TL07'!$J$10:$J$224),0),
IF('TL07'!$B$229=K$3,SUMIF('TL07'!$C$238:$C$451,$C217,'TL07'!$J$238:$J$451),0),
IF('TL08'!$B$3=K$3,SUMIF('TL08'!$C$10:$C$224,$C217,'TL08'!$J$10:$J$224),0),
IF('TL08'!$B$229=K$3,SUMIF('TL08'!$C$238:$C$451,$C217,'TL08'!$J$238:$J$451),0),
IF('TL09'!$B$3=K$3,SUMIF('TL09'!$C$10:$C$224,$C217,'TL09'!$J$10:$J$224),0),
IF('TL09'!$B$229=K$3,SUMIF('TL09'!$C$238:$C$451,$C217,'TL09'!$J$238:$J$451),0),
IF('TL10'!$B$3=K$3,SUMIF('TL10'!$C$10:$C$224,$C217,'TL10'!$J$10:$J$224),0),
IF('TL10'!$B$229=K$3,SUMIF('TL10'!$C$238:$C$451,$C217,'TL10'!$J$238:$J$451),0),
IF('TL11'!$B$3=K$3,SUMIF('TL11'!$C$10:$C$224,$C217,'TL11'!$J$10:$J$224),0),
IF('TL11'!$B$229=K$3,SUMIF('TL11'!$C$238:$C$451,$C217,'TL11'!$J$238:$J$451),0),
IF('TL12'!$B$3=K$3,SUMIF('TL12'!$C$10:$C$224,$C217,'TL12'!$J$10:$J$224),0),
IF('TL12'!$B$229=K$3,SUMIF('TL12'!$C$238:$C$451,$C217,'TL12'!$J$238:$J$451),0),
IF('TL13'!$B$3=K$3,SUMIF('TL13'!$C$10:$C$224,$C217,'TL13'!$J$10:$J$224),0),
IF('TL13'!$B$229=K$3,SUMIF('TL13'!$C$238:$C$451,$C217,'TL13'!$J$238:$J$451),0),
IF('TL14'!$B$3=K$3,SUMIF('TL14'!$C$10:$C$224,$C217,'TL14'!$J$10:$J$224),0),
IF('TL14'!$B$229=K$3,SUMIF('TL14'!$C$238:$C$451,$C217,'TL14'!$J$238:$J$451),0),
IF('TL15'!$B$3=K$3,SUMIF('TL15'!$C$10:$C$224,$C217,'TL15'!$J$10:$J$224),0),
IF('TL15'!$B$229=K$3,SUMIF('TL15'!$C$238:$C$451,$C217,'TL15'!$J$238:$J$451),0),
IF('TL16'!$B$3=K$3,SUMIF('TL16'!$C$10:$C$224,$C217,'TL16'!$J$10:$J$224),0),
IF('TL16'!$B$229=K$3,SUMIF('TL16'!$C$238:$C$451,$C217,'TL16'!$J$238:$J$451),0),
IF('TL17'!$B$3=K$3,SUMIF('TL17'!$C$10:$C$224,$C217,'TL17'!$J$10:$J$224),0),
IF('TL17'!$B$229=K$3,SUMIF('TL17'!$C$238:$C$451,$C217,'TL17'!$J$238:$J$451),0),
IF('TL18'!$B$3=K$3,SUMIF('TL18'!$C$10:$C$224,$C217,'TL18'!$J$10:$J$224),0),
IF('TL18'!$B$229=K$3,SUMIF('TL18'!$C$238:$C$451,$C217,'TL18'!$J$238:$J$451),0),
IF('TL19'!$B$3=K$3,SUMIF('TL19'!$C$10:$C$224,$C217,'TL19'!$J$10:$J$224),0),
IF('TL19'!$B$229=K$3,SUMIF('TL19'!$C$238:$C$451,$C217,'TL19'!$J$238:$J$451),0)
),0)</f>
        <v/>
      </c>
      <c r="L217" s="9">
        <f>IFERROR(SUM(
IF('TL01'!$B$3=L$3,SUMIF('TL01'!$C$10:$C$224,$C217,'TL01'!$J$10:$J$224),0),
IF('TL01'!$B$229=L$3,SUMIF('TL01'!$C$238:$C$451,$C217,'TL01'!$J$238:$J$451),0),
IF('TL02'!$B$3=L$3,SUMIF('TL02'!$C$10:$C$224,$C217,'TL02'!$J$10:$J$224),0),
IF('TL02'!$B$229=L$3,SUMIF('TL02'!$C$238:$C$451,$C217,'TL02'!$J$238:$J$451),0),
IF('TL03'!$B$3=L$3,SUMIF('TL03'!$C$10:$C$224,$C217,'TL03'!$J$10:$J$224),0),
IF('TL03'!$B$229=L$3,SUMIF('TL03'!$C$238:$C$451,$C217,'TL03'!$J$238:$J$451),0),
IF('TL04'!$B$3=L$3,SUMIF('TL04'!$C$10:$C$224,$C217,'TL04'!$J$10:$J$224),0),
IF('TL04'!$B$229=L$3,SUMIF('TL04'!$C$238:$C$451,$C217,'TL04'!$J$238:$J$451),0),
IF('TL05'!$B$3=L$3,SUMIF('TL05'!$C$10:$C$224,$C217,'TL05'!$J$10:$J$224),0),
IF('TL05'!$B$229=L$3,SUMIF('TL05'!$C$238:$C$451,$C217,'TL05'!$J$238:$J$451),0),
IF('TL06'!$B$3=L$3,SUMIF('TL06'!$C$10:$C$224,$C217,'TL06'!$J$10:$J$224),0),
IF('TL06'!$B$229=L$3,SUMIF('TL06'!$C$238:$C$451,$C217,'TL06'!$J$238:$J$451),0),
IF('TL07'!$B$3=L$3,SUMIF('TL07'!$C$10:$C$224,$C217,'TL07'!$J$10:$J$224),0),
IF('TL07'!$B$229=L$3,SUMIF('TL07'!$C$238:$C$451,$C217,'TL07'!$J$238:$J$451),0),
IF('TL08'!$B$3=L$3,SUMIF('TL08'!$C$10:$C$224,$C217,'TL08'!$J$10:$J$224),0),
IF('TL08'!$B$229=L$3,SUMIF('TL08'!$C$238:$C$451,$C217,'TL08'!$J$238:$J$451),0),
IF('TL09'!$B$3=L$3,SUMIF('TL09'!$C$10:$C$224,$C217,'TL09'!$J$10:$J$224),0),
IF('TL09'!$B$229=L$3,SUMIF('TL09'!$C$238:$C$451,$C217,'TL09'!$J$238:$J$451),0),
IF('TL10'!$B$3=L$3,SUMIF('TL10'!$C$10:$C$224,$C217,'TL10'!$J$10:$J$224),0),
IF('TL10'!$B$229=L$3,SUMIF('TL10'!$C$238:$C$451,$C217,'TL10'!$J$238:$J$451),0),
IF('TL11'!$B$3=L$3,SUMIF('TL11'!$C$10:$C$224,$C217,'TL11'!$J$10:$J$224),0),
IF('TL11'!$B$229=L$3,SUMIF('TL11'!$C$238:$C$451,$C217,'TL11'!$J$238:$J$451),0),
IF('TL12'!$B$3=L$3,SUMIF('TL12'!$C$10:$C$224,$C217,'TL12'!$J$10:$J$224),0),
IF('TL12'!$B$229=L$3,SUMIF('TL12'!$C$238:$C$451,$C217,'TL12'!$J$238:$J$451),0),
IF('TL13'!$B$3=L$3,SUMIF('TL13'!$C$10:$C$224,$C217,'TL13'!$J$10:$J$224),0),
IF('TL13'!$B$229=L$3,SUMIF('TL13'!$C$238:$C$451,$C217,'TL13'!$J$238:$J$451),0),
IF('TL14'!$B$3=L$3,SUMIF('TL14'!$C$10:$C$224,$C217,'TL14'!$J$10:$J$224),0),
IF('TL14'!$B$229=L$3,SUMIF('TL14'!$C$238:$C$451,$C217,'TL14'!$J$238:$J$451),0),
IF('TL15'!$B$3=L$3,SUMIF('TL15'!$C$10:$C$224,$C217,'TL15'!$J$10:$J$224),0),
IF('TL15'!$B$229=L$3,SUMIF('TL15'!$C$238:$C$451,$C217,'TL15'!$J$238:$J$451),0),
IF('TL16'!$B$3=L$3,SUMIF('TL16'!$C$10:$C$224,$C217,'TL16'!$J$10:$J$224),0),
IF('TL16'!$B$229=L$3,SUMIF('TL16'!$C$238:$C$451,$C217,'TL16'!$J$238:$J$451),0),
IF('TL17'!$B$3=L$3,SUMIF('TL17'!$C$10:$C$224,$C217,'TL17'!$J$10:$J$224),0),
IF('TL17'!$B$229=L$3,SUMIF('TL17'!$C$238:$C$451,$C217,'TL17'!$J$238:$J$451),0),
IF('TL18'!$B$3=L$3,SUMIF('TL18'!$C$10:$C$224,$C217,'TL18'!$J$10:$J$224),0),
IF('TL18'!$B$229=L$3,SUMIF('TL18'!$C$238:$C$451,$C217,'TL18'!$J$238:$J$451),0),
IF('TL19'!$B$3=L$3,SUMIF('TL19'!$C$10:$C$224,$C217,'TL19'!$J$10:$J$224),0),
IF('TL19'!$B$229=L$3,SUMIF('TL19'!$C$238:$C$451,$C217,'TL19'!$J$238:$J$451),0)
),0)</f>
        <v/>
      </c>
      <c r="M217" s="9">
        <f>IFERROR(SUM(
IF('TL01'!$B$3=M$3,SUMIF('TL01'!$C$10:$C$224,$C217,'TL01'!$J$10:$J$224),0),
IF('TL01'!$B$229=M$3,SUMIF('TL01'!$C$238:$C$451,$C217,'TL01'!$J$238:$J$451),0),
IF('TL02'!$B$3=M$3,SUMIF('TL02'!$C$10:$C$224,$C217,'TL02'!$J$10:$J$224),0),
IF('TL02'!$B$229=M$3,SUMIF('TL02'!$C$238:$C$451,$C217,'TL02'!$J$238:$J$451),0),
IF('TL03'!$B$3=M$3,SUMIF('TL03'!$C$10:$C$224,$C217,'TL03'!$J$10:$J$224),0),
IF('TL03'!$B$229=M$3,SUMIF('TL03'!$C$238:$C$451,$C217,'TL03'!$J$238:$J$451),0),
IF('TL04'!$B$3=M$3,SUMIF('TL04'!$C$10:$C$224,$C217,'TL04'!$J$10:$J$224),0),
IF('TL04'!$B$229=M$3,SUMIF('TL04'!$C$238:$C$451,$C217,'TL04'!$J$238:$J$451),0),
IF('TL05'!$B$3=M$3,SUMIF('TL05'!$C$10:$C$224,$C217,'TL05'!$J$10:$J$224),0),
IF('TL05'!$B$229=M$3,SUMIF('TL05'!$C$238:$C$451,$C217,'TL05'!$J$238:$J$451),0),
IF('TL06'!$B$3=M$3,SUMIF('TL06'!$C$10:$C$224,$C217,'TL06'!$J$10:$J$224),0),
IF('TL06'!$B$229=M$3,SUMIF('TL06'!$C$238:$C$451,$C217,'TL06'!$J$238:$J$451),0),
IF('TL07'!$B$3=M$3,SUMIF('TL07'!$C$10:$C$224,$C217,'TL07'!$J$10:$J$224),0),
IF('TL07'!$B$229=M$3,SUMIF('TL07'!$C$238:$C$451,$C217,'TL07'!$J$238:$J$451),0),
IF('TL08'!$B$3=M$3,SUMIF('TL08'!$C$10:$C$224,$C217,'TL08'!$J$10:$J$224),0),
IF('TL08'!$B$229=M$3,SUMIF('TL08'!$C$238:$C$451,$C217,'TL08'!$J$238:$J$451),0),
IF('TL09'!$B$3=M$3,SUMIF('TL09'!$C$10:$C$224,$C217,'TL09'!$J$10:$J$224),0),
IF('TL09'!$B$229=M$3,SUMIF('TL09'!$C$238:$C$451,$C217,'TL09'!$J$238:$J$451),0),
IF('TL10'!$B$3=M$3,SUMIF('TL10'!$C$10:$C$224,$C217,'TL10'!$J$10:$J$224),0),
IF('TL10'!$B$229=M$3,SUMIF('TL10'!$C$238:$C$451,$C217,'TL10'!$J$238:$J$451),0),
IF('TL11'!$B$3=M$3,SUMIF('TL11'!$C$10:$C$224,$C217,'TL11'!$J$10:$J$224),0),
IF('TL11'!$B$229=M$3,SUMIF('TL11'!$C$238:$C$451,$C217,'TL11'!$J$238:$J$451),0),
IF('TL12'!$B$3=M$3,SUMIF('TL12'!$C$10:$C$224,$C217,'TL12'!$J$10:$J$224),0),
IF('TL12'!$B$229=M$3,SUMIF('TL12'!$C$238:$C$451,$C217,'TL12'!$J$238:$J$451),0),
IF('TL13'!$B$3=M$3,SUMIF('TL13'!$C$10:$C$224,$C217,'TL13'!$J$10:$J$224),0),
IF('TL13'!$B$229=M$3,SUMIF('TL13'!$C$238:$C$451,$C217,'TL13'!$J$238:$J$451),0),
IF('TL14'!$B$3=M$3,SUMIF('TL14'!$C$10:$C$224,$C217,'TL14'!$J$10:$J$224),0),
IF('TL14'!$B$229=M$3,SUMIF('TL14'!$C$238:$C$451,$C217,'TL14'!$J$238:$J$451),0),
IF('TL15'!$B$3=M$3,SUMIF('TL15'!$C$10:$C$224,$C217,'TL15'!$J$10:$J$224),0),
IF('TL15'!$B$229=M$3,SUMIF('TL15'!$C$238:$C$451,$C217,'TL15'!$J$238:$J$451),0),
IF('TL16'!$B$3=M$3,SUMIF('TL16'!$C$10:$C$224,$C217,'TL16'!$J$10:$J$224),0),
IF('TL16'!$B$229=M$3,SUMIF('TL16'!$C$238:$C$451,$C217,'TL16'!$J$238:$J$451),0),
IF('TL17'!$B$3=M$3,SUMIF('TL17'!$C$10:$C$224,$C217,'TL17'!$J$10:$J$224),0),
IF('TL17'!$B$229=M$3,SUMIF('TL17'!$C$238:$C$451,$C217,'TL17'!$J$238:$J$451),0),
IF('TL18'!$B$3=M$3,SUMIF('TL18'!$C$10:$C$224,$C217,'TL18'!$J$10:$J$224),0),
IF('TL18'!$B$229=M$3,SUMIF('TL18'!$C$238:$C$451,$C217,'TL18'!$J$238:$J$451),0),
IF('TL19'!$B$3=M$3,SUMIF('TL19'!$C$10:$C$224,$C217,'TL19'!$J$10:$J$224),0),
IF('TL19'!$B$229=M$3,SUMIF('TL19'!$C$238:$C$451,$C217,'TL19'!$J$238:$J$451),0)
),0)</f>
        <v/>
      </c>
      <c r="N217" s="9">
        <f>IFERROR(SUM(
IF('TL01'!$B$3=N$3,SUMIF('TL01'!$C$10:$C$224,$C217,'TL01'!$J$10:$J$224),0),
IF('TL01'!$B$229=N$3,SUMIF('TL01'!$C$238:$C$451,$C217,'TL01'!$J$238:$J$451),0),
IF('TL02'!$B$3=N$3,SUMIF('TL02'!$C$10:$C$224,$C217,'TL02'!$J$10:$J$224),0),
IF('TL02'!$B$229=N$3,SUMIF('TL02'!$C$238:$C$451,$C217,'TL02'!$J$238:$J$451),0),
IF('TL03'!$B$3=N$3,SUMIF('TL03'!$C$10:$C$224,$C217,'TL03'!$J$10:$J$224),0),
IF('TL03'!$B$229=N$3,SUMIF('TL03'!$C$238:$C$451,$C217,'TL03'!$J$238:$J$451),0),
IF('TL04'!$B$3=N$3,SUMIF('TL04'!$C$10:$C$224,$C217,'TL04'!$J$10:$J$224),0),
IF('TL04'!$B$229=N$3,SUMIF('TL04'!$C$238:$C$451,$C217,'TL04'!$J$238:$J$451),0),
IF('TL05'!$B$3=N$3,SUMIF('TL05'!$C$10:$C$224,$C217,'TL05'!$J$10:$J$224),0),
IF('TL05'!$B$229=N$3,SUMIF('TL05'!$C$238:$C$451,$C217,'TL05'!$J$238:$J$451),0),
IF('TL06'!$B$3=N$3,SUMIF('TL06'!$C$10:$C$224,$C217,'TL06'!$J$10:$J$224),0),
IF('TL06'!$B$229=N$3,SUMIF('TL06'!$C$238:$C$451,$C217,'TL06'!$J$238:$J$451),0),
IF('TL07'!$B$3=N$3,SUMIF('TL07'!$C$10:$C$224,$C217,'TL07'!$J$10:$J$224),0),
IF('TL07'!$B$229=N$3,SUMIF('TL07'!$C$238:$C$451,$C217,'TL07'!$J$238:$J$451),0),
IF('TL08'!$B$3=N$3,SUMIF('TL08'!$C$10:$C$224,$C217,'TL08'!$J$10:$J$224),0),
IF('TL08'!$B$229=N$3,SUMIF('TL08'!$C$238:$C$451,$C217,'TL08'!$J$238:$J$451),0),
IF('TL09'!$B$3=N$3,SUMIF('TL09'!$C$10:$C$224,$C217,'TL09'!$J$10:$J$224),0),
IF('TL09'!$B$229=N$3,SUMIF('TL09'!$C$238:$C$451,$C217,'TL09'!$J$238:$J$451),0),
IF('TL10'!$B$3=N$3,SUMIF('TL10'!$C$10:$C$224,$C217,'TL10'!$J$10:$J$224),0),
IF('TL10'!$B$229=N$3,SUMIF('TL10'!$C$238:$C$451,$C217,'TL10'!$J$238:$J$451),0),
IF('TL11'!$B$3=N$3,SUMIF('TL11'!$C$10:$C$224,$C217,'TL11'!$J$10:$J$224),0),
IF('TL11'!$B$229=N$3,SUMIF('TL11'!$C$238:$C$451,$C217,'TL11'!$J$238:$J$451),0),
IF('TL12'!$B$3=N$3,SUMIF('TL12'!$C$10:$C$224,$C217,'TL12'!$J$10:$J$224),0),
IF('TL12'!$B$229=N$3,SUMIF('TL12'!$C$238:$C$451,$C217,'TL12'!$J$238:$J$451),0),
IF('TL13'!$B$3=N$3,SUMIF('TL13'!$C$10:$C$224,$C217,'TL13'!$J$10:$J$224),0),
IF('TL13'!$B$229=N$3,SUMIF('TL13'!$C$238:$C$451,$C217,'TL13'!$J$238:$J$451),0),
IF('TL14'!$B$3=N$3,SUMIF('TL14'!$C$10:$C$224,$C217,'TL14'!$J$10:$J$224),0),
IF('TL14'!$B$229=N$3,SUMIF('TL14'!$C$238:$C$451,$C217,'TL14'!$J$238:$J$451),0),
IF('TL15'!$B$3=N$3,SUMIF('TL15'!$C$10:$C$224,$C217,'TL15'!$J$10:$J$224),0),
IF('TL15'!$B$229=N$3,SUMIF('TL15'!$C$238:$C$451,$C217,'TL15'!$J$238:$J$451),0),
IF('TL16'!$B$3=N$3,SUMIF('TL16'!$C$10:$C$224,$C217,'TL16'!$J$10:$J$224),0),
IF('TL16'!$B$229=N$3,SUMIF('TL16'!$C$238:$C$451,$C217,'TL16'!$J$238:$J$451),0),
IF('TL17'!$B$3=N$3,SUMIF('TL17'!$C$10:$C$224,$C217,'TL17'!$J$10:$J$224),0),
IF('TL17'!$B$229=N$3,SUMIF('TL17'!$C$238:$C$451,$C217,'TL17'!$J$238:$J$451),0),
IF('TL18'!$B$3=N$3,SUMIF('TL18'!$C$10:$C$224,$C217,'TL18'!$J$10:$J$224),0),
IF('TL18'!$B$229=N$3,SUMIF('TL18'!$C$238:$C$451,$C217,'TL18'!$J$238:$J$451),0),
IF('TL19'!$B$3=N$3,SUMIF('TL19'!$C$10:$C$224,$C217,'TL19'!$J$10:$J$224),0),
IF('TL19'!$B$229=N$3,SUMIF('TL19'!$C$238:$C$451,$C217,'TL19'!$J$238:$J$451),0)
),0)</f>
        <v/>
      </c>
      <c r="O217" s="9">
        <f>IFERROR(SUM(
IF('TL01'!$B$3=O$3,SUMIF('TL01'!$C$10:$C$224,$C217,'TL01'!$J$10:$J$224),0),
IF('TL01'!$B$229=O$3,SUMIF('TL01'!$C$238:$C$451,$C217,'TL01'!$J$238:$J$451),0),
IF('TL02'!$B$3=O$3,SUMIF('TL02'!$C$10:$C$224,$C217,'TL02'!$J$10:$J$224),0),
IF('TL02'!$B$229=O$3,SUMIF('TL02'!$C$238:$C$451,$C217,'TL02'!$J$238:$J$451),0),
IF('TL03'!$B$3=O$3,SUMIF('TL03'!$C$10:$C$224,$C217,'TL03'!$J$10:$J$224),0),
IF('TL03'!$B$229=O$3,SUMIF('TL03'!$C$238:$C$451,$C217,'TL03'!$J$238:$J$451),0),
IF('TL04'!$B$3=O$3,SUMIF('TL04'!$C$10:$C$224,$C217,'TL04'!$J$10:$J$224),0),
IF('TL04'!$B$229=O$3,SUMIF('TL04'!$C$238:$C$451,$C217,'TL04'!$J$238:$J$451),0),
IF('TL05'!$B$3=O$3,SUMIF('TL05'!$C$10:$C$224,$C217,'TL05'!$J$10:$J$224),0),
IF('TL05'!$B$229=O$3,SUMIF('TL05'!$C$238:$C$451,$C217,'TL05'!$J$238:$J$451),0),
IF('TL06'!$B$3=O$3,SUMIF('TL06'!$C$10:$C$224,$C217,'TL06'!$J$10:$J$224),0),
IF('TL06'!$B$229=O$3,SUMIF('TL06'!$C$238:$C$451,$C217,'TL06'!$J$238:$J$451),0),
IF('TL07'!$B$3=O$3,SUMIF('TL07'!$C$10:$C$224,$C217,'TL07'!$J$10:$J$224),0),
IF('TL07'!$B$229=O$3,SUMIF('TL07'!$C$238:$C$451,$C217,'TL07'!$J$238:$J$451),0),
IF('TL08'!$B$3=O$3,SUMIF('TL08'!$C$10:$C$224,$C217,'TL08'!$J$10:$J$224),0),
IF('TL08'!$B$229=O$3,SUMIF('TL08'!$C$238:$C$451,$C217,'TL08'!$J$238:$J$451),0),
IF('TL09'!$B$3=O$3,SUMIF('TL09'!$C$10:$C$224,$C217,'TL09'!$J$10:$J$224),0),
IF('TL09'!$B$229=O$3,SUMIF('TL09'!$C$238:$C$451,$C217,'TL09'!$J$238:$J$451),0),
IF('TL10'!$B$3=O$3,SUMIF('TL10'!$C$10:$C$224,$C217,'TL10'!$J$10:$J$224),0),
IF('TL10'!$B$229=O$3,SUMIF('TL10'!$C$238:$C$451,$C217,'TL10'!$J$238:$J$451),0),
IF('TL11'!$B$3=O$3,SUMIF('TL11'!$C$10:$C$224,$C217,'TL11'!$J$10:$J$224),0),
IF('TL11'!$B$229=O$3,SUMIF('TL11'!$C$238:$C$451,$C217,'TL11'!$J$238:$J$451),0),
IF('TL12'!$B$3=O$3,SUMIF('TL12'!$C$10:$C$224,$C217,'TL12'!$J$10:$J$224),0),
IF('TL12'!$B$229=O$3,SUMIF('TL12'!$C$238:$C$451,$C217,'TL12'!$J$238:$J$451),0),
IF('TL13'!$B$3=O$3,SUMIF('TL13'!$C$10:$C$224,$C217,'TL13'!$J$10:$J$224),0),
IF('TL13'!$B$229=O$3,SUMIF('TL13'!$C$238:$C$451,$C217,'TL13'!$J$238:$J$451),0),
IF('TL14'!$B$3=O$3,SUMIF('TL14'!$C$10:$C$224,$C217,'TL14'!$J$10:$J$224),0),
IF('TL14'!$B$229=O$3,SUMIF('TL14'!$C$238:$C$451,$C217,'TL14'!$J$238:$J$451),0),
IF('TL15'!$B$3=O$3,SUMIF('TL15'!$C$10:$C$224,$C217,'TL15'!$J$10:$J$224),0),
IF('TL15'!$B$229=O$3,SUMIF('TL15'!$C$238:$C$451,$C217,'TL15'!$J$238:$J$451),0),
IF('TL16'!$B$3=O$3,SUMIF('TL16'!$C$10:$C$224,$C217,'TL16'!$J$10:$J$224),0),
IF('TL16'!$B$229=O$3,SUMIF('TL16'!$C$238:$C$451,$C217,'TL16'!$J$238:$J$451),0),
IF('TL17'!$B$3=O$3,SUMIF('TL17'!$C$10:$C$224,$C217,'TL17'!$J$10:$J$224),0),
IF('TL17'!$B$229=O$3,SUMIF('TL17'!$C$238:$C$451,$C217,'TL17'!$J$238:$J$451),0),
IF('TL18'!$B$3=O$3,SUMIF('TL18'!$C$10:$C$224,$C217,'TL18'!$J$10:$J$224),0),
IF('TL18'!$B$229=O$3,SUMIF('TL18'!$C$238:$C$451,$C217,'TL18'!$J$238:$J$451),0),
IF('TL19'!$B$3=O$3,SUMIF('TL19'!$C$10:$C$224,$C217,'TL19'!$J$10:$J$224),0),
IF('TL19'!$B$229=O$3,SUMIF('TL19'!$C$238:$C$451,$C217,'TL19'!$J$238:$J$451),0)
),0)</f>
        <v/>
      </c>
      <c r="P217" s="9">
        <f>IFERROR(SUM(
IF('TL01'!$B$3=P$3,SUMIF('TL01'!$C$10:$C$224,$C217,'TL01'!$J$10:$J$224),0),
IF('TL01'!$B$229=P$3,SUMIF('TL01'!$C$238:$C$451,$C217,'TL01'!$J$238:$J$451),0),
IF('TL02'!$B$3=P$3,SUMIF('TL02'!$C$10:$C$224,$C217,'TL02'!$J$10:$J$224),0),
IF('TL02'!$B$229=P$3,SUMIF('TL02'!$C$238:$C$451,$C217,'TL02'!$J$238:$J$451),0),
IF('TL03'!$B$3=P$3,SUMIF('TL03'!$C$10:$C$224,$C217,'TL03'!$J$10:$J$224),0),
IF('TL03'!$B$229=P$3,SUMIF('TL03'!$C$238:$C$451,$C217,'TL03'!$J$238:$J$451),0),
IF('TL04'!$B$3=P$3,SUMIF('TL04'!$C$10:$C$224,$C217,'TL04'!$J$10:$J$224),0),
IF('TL04'!$B$229=P$3,SUMIF('TL04'!$C$238:$C$451,$C217,'TL04'!$J$238:$J$451),0),
IF('TL05'!$B$3=P$3,SUMIF('TL05'!$C$10:$C$224,$C217,'TL05'!$J$10:$J$224),0),
IF('TL05'!$B$229=P$3,SUMIF('TL05'!$C$238:$C$451,$C217,'TL05'!$J$238:$J$451),0),
IF('TL06'!$B$3=P$3,SUMIF('TL06'!$C$10:$C$224,$C217,'TL06'!$J$10:$J$224),0),
IF('TL06'!$B$229=P$3,SUMIF('TL06'!$C$238:$C$451,$C217,'TL06'!$J$238:$J$451),0),
IF('TL07'!$B$3=P$3,SUMIF('TL07'!$C$10:$C$224,$C217,'TL07'!$J$10:$J$224),0),
IF('TL07'!$B$229=P$3,SUMIF('TL07'!$C$238:$C$451,$C217,'TL07'!$J$238:$J$451),0),
IF('TL08'!$B$3=P$3,SUMIF('TL08'!$C$10:$C$224,$C217,'TL08'!$J$10:$J$224),0),
IF('TL08'!$B$229=P$3,SUMIF('TL08'!$C$238:$C$451,$C217,'TL08'!$J$238:$J$451),0),
IF('TL09'!$B$3=P$3,SUMIF('TL09'!$C$10:$C$224,$C217,'TL09'!$J$10:$J$224),0),
IF('TL09'!$B$229=P$3,SUMIF('TL09'!$C$238:$C$451,$C217,'TL09'!$J$238:$J$451),0),
IF('TL10'!$B$3=P$3,SUMIF('TL10'!$C$10:$C$224,$C217,'TL10'!$J$10:$J$224),0),
IF('TL10'!$B$229=P$3,SUMIF('TL10'!$C$238:$C$451,$C217,'TL10'!$J$238:$J$451),0),
IF('TL11'!$B$3=P$3,SUMIF('TL11'!$C$10:$C$224,$C217,'TL11'!$J$10:$J$224),0),
IF('TL11'!$B$229=P$3,SUMIF('TL11'!$C$238:$C$451,$C217,'TL11'!$J$238:$J$451),0),
IF('TL12'!$B$3=P$3,SUMIF('TL12'!$C$10:$C$224,$C217,'TL12'!$J$10:$J$224),0),
IF('TL12'!$B$229=P$3,SUMIF('TL12'!$C$238:$C$451,$C217,'TL12'!$J$238:$J$451),0),
IF('TL13'!$B$3=P$3,SUMIF('TL13'!$C$10:$C$224,$C217,'TL13'!$J$10:$J$224),0),
IF('TL13'!$B$229=P$3,SUMIF('TL13'!$C$238:$C$451,$C217,'TL13'!$J$238:$J$451),0),
IF('TL14'!$B$3=P$3,SUMIF('TL14'!$C$10:$C$224,$C217,'TL14'!$J$10:$J$224),0),
IF('TL14'!$B$229=P$3,SUMIF('TL14'!$C$238:$C$451,$C217,'TL14'!$J$238:$J$451),0),
IF('TL15'!$B$3=P$3,SUMIF('TL15'!$C$10:$C$224,$C217,'TL15'!$J$10:$J$224),0),
IF('TL15'!$B$229=P$3,SUMIF('TL15'!$C$238:$C$451,$C217,'TL15'!$J$238:$J$451),0),
IF('TL16'!$B$3=P$3,SUMIF('TL16'!$C$10:$C$224,$C217,'TL16'!$J$10:$J$224),0),
IF('TL16'!$B$229=P$3,SUMIF('TL16'!$C$238:$C$451,$C217,'TL16'!$J$238:$J$451),0),
IF('TL17'!$B$3=P$3,SUMIF('TL17'!$C$10:$C$224,$C217,'TL17'!$J$10:$J$224),0),
IF('TL17'!$B$229=P$3,SUMIF('TL17'!$C$238:$C$451,$C217,'TL17'!$J$238:$J$451),0),
IF('TL18'!$B$3=P$3,SUMIF('TL18'!$C$10:$C$224,$C217,'TL18'!$J$10:$J$224),0),
IF('TL18'!$B$229=P$3,SUMIF('TL18'!$C$238:$C$451,$C217,'TL18'!$J$238:$J$451),0),
IF('TL19'!$B$3=P$3,SUMIF('TL19'!$C$10:$C$224,$C217,'TL19'!$J$10:$J$224),0),
IF('TL19'!$B$229=P$3,SUMIF('TL19'!$C$238:$C$451,$C217,'TL19'!$J$238:$J$451),0)
),0)</f>
        <v/>
      </c>
      <c r="Q217" s="9">
        <f>IFERROR(SUM(
IF('TL01'!$B$3=Q$3,SUMIF('TL01'!$C$10:$C$224,$C217,'TL01'!$J$10:$J$224),0),
IF('TL01'!$B$229=Q$3,SUMIF('TL01'!$C$238:$C$451,$C217,'TL01'!$J$238:$J$451),0),
IF('TL02'!$B$3=Q$3,SUMIF('TL02'!$C$10:$C$224,$C217,'TL02'!$J$10:$J$224),0),
IF('TL02'!$B$229=Q$3,SUMIF('TL02'!$C$238:$C$451,$C217,'TL02'!$J$238:$J$451),0),
IF('TL03'!$B$3=Q$3,SUMIF('TL03'!$C$10:$C$224,$C217,'TL03'!$J$10:$J$224),0),
IF('TL03'!$B$229=Q$3,SUMIF('TL03'!$C$238:$C$451,$C217,'TL03'!$J$238:$J$451),0),
IF('TL04'!$B$3=Q$3,SUMIF('TL04'!$C$10:$C$224,$C217,'TL04'!$J$10:$J$224),0),
IF('TL04'!$B$229=Q$3,SUMIF('TL04'!$C$238:$C$451,$C217,'TL04'!$J$238:$J$451),0),
IF('TL05'!$B$3=Q$3,SUMIF('TL05'!$C$10:$C$224,$C217,'TL05'!$J$10:$J$224),0),
IF('TL05'!$B$229=Q$3,SUMIF('TL05'!$C$238:$C$451,$C217,'TL05'!$J$238:$J$451),0),
IF('TL06'!$B$3=Q$3,SUMIF('TL06'!$C$10:$C$224,$C217,'TL06'!$J$10:$J$224),0),
IF('TL06'!$B$229=Q$3,SUMIF('TL06'!$C$238:$C$451,$C217,'TL06'!$J$238:$J$451),0),
IF('TL07'!$B$3=Q$3,SUMIF('TL07'!$C$10:$C$224,$C217,'TL07'!$J$10:$J$224),0),
IF('TL07'!$B$229=Q$3,SUMIF('TL07'!$C$238:$C$451,$C217,'TL07'!$J$238:$J$451),0),
IF('TL08'!$B$3=Q$3,SUMIF('TL08'!$C$10:$C$224,$C217,'TL08'!$J$10:$J$224),0),
IF('TL08'!$B$229=Q$3,SUMIF('TL08'!$C$238:$C$451,$C217,'TL08'!$J$238:$J$451),0),
IF('TL09'!$B$3=Q$3,SUMIF('TL09'!$C$10:$C$224,$C217,'TL09'!$J$10:$J$224),0),
IF('TL09'!$B$229=Q$3,SUMIF('TL09'!$C$238:$C$451,$C217,'TL09'!$J$238:$J$451),0),
IF('TL10'!$B$3=Q$3,SUMIF('TL10'!$C$10:$C$224,$C217,'TL10'!$J$10:$J$224),0),
IF('TL10'!$B$229=Q$3,SUMIF('TL10'!$C$238:$C$451,$C217,'TL10'!$J$238:$J$451),0),
IF('TL11'!$B$3=Q$3,SUMIF('TL11'!$C$10:$C$224,$C217,'TL11'!$J$10:$J$224),0),
IF('TL11'!$B$229=Q$3,SUMIF('TL11'!$C$238:$C$451,$C217,'TL11'!$J$238:$J$451),0),
IF('TL12'!$B$3=Q$3,SUMIF('TL12'!$C$10:$C$224,$C217,'TL12'!$J$10:$J$224),0),
IF('TL12'!$B$229=Q$3,SUMIF('TL12'!$C$238:$C$451,$C217,'TL12'!$J$238:$J$451),0),
IF('TL13'!$B$3=Q$3,SUMIF('TL13'!$C$10:$C$224,$C217,'TL13'!$J$10:$J$224),0),
IF('TL13'!$B$229=Q$3,SUMIF('TL13'!$C$238:$C$451,$C217,'TL13'!$J$238:$J$451),0),
IF('TL14'!$B$3=Q$3,SUMIF('TL14'!$C$10:$C$224,$C217,'TL14'!$J$10:$J$224),0),
IF('TL14'!$B$229=Q$3,SUMIF('TL14'!$C$238:$C$451,$C217,'TL14'!$J$238:$J$451),0),
IF('TL15'!$B$3=Q$3,SUMIF('TL15'!$C$10:$C$224,$C217,'TL15'!$J$10:$J$224),0),
IF('TL15'!$B$229=Q$3,SUMIF('TL15'!$C$238:$C$451,$C217,'TL15'!$J$238:$J$451),0),
IF('TL16'!$B$3=Q$3,SUMIF('TL16'!$C$10:$C$224,$C217,'TL16'!$J$10:$J$224),0),
IF('TL16'!$B$229=Q$3,SUMIF('TL16'!$C$238:$C$451,$C217,'TL16'!$J$238:$J$451),0),
IF('TL17'!$B$3=Q$3,SUMIF('TL17'!$C$10:$C$224,$C217,'TL17'!$J$10:$J$224),0),
IF('TL17'!$B$229=Q$3,SUMIF('TL17'!$C$238:$C$451,$C217,'TL17'!$J$238:$J$451),0),
IF('TL18'!$B$3=Q$3,SUMIF('TL18'!$C$10:$C$224,$C217,'TL18'!$J$10:$J$224),0),
IF('TL18'!$B$229=Q$3,SUMIF('TL18'!$C$238:$C$451,$C217,'TL18'!$J$238:$J$451),0),
IF('TL19'!$B$3=Q$3,SUMIF('TL19'!$C$10:$C$224,$C217,'TL19'!$J$10:$J$224),0),
IF('TL19'!$B$229=Q$3,SUMIF('TL19'!$C$238:$C$451,$C217,'TL19'!$J$238:$J$451),0)
),0)</f>
        <v/>
      </c>
      <c r="R217" s="9">
        <f>IFERROR(
SUM(
SUMIF('TL01'!C:C,C217,'TL01'!J:J),
SUMIF('TL02'!C:C,C217,'TL02'!J:J),
SUMIF('TL03'!C:C,C217,'TL03'!J:J),
SUMIF('TL04'!C:C,C217,'TL04'!J:J),
SUMIF('TL05'!C:C,C217,'TL05'!J:J),
SUMIF('TL06'!C:C,C217,'TL06'!J:J),
SUMIF('TL07'!C:C,C217,'TL07'!J:J),
SUMIF('TL08'!C:C,C217,'TL08'!J:J),
SUMIF('TL09'!C:C,C217,'TL09'!J:J),
SUMIF('TL10'!C:C,C217,'TL10'!J:J),
SUMIF('TL11'!C:C,C217,'TL11'!J:J),
SUMIF('TL12'!C:C,C217,'TL12'!J:J),
SUMIF('TL13'!C:C,C217,'TL13'!J:J),
SUMIF('TL14'!C:C,C217,'TL14'!J:J),
SUMIF('TL15'!C:C,C217,'TL15'!J:J),
SUMIF('TL16'!C:C,C217,'TL16'!J:J),
SUMIF('TL17'!C:C,C217,'TL17'!J:J),
SUMIF('TL18'!C:C,C217,'TL18'!J:J),SUMIF('TL19'!C:C,C217,'TL19'!J:J))
,0)</f>
        <v/>
      </c>
      <c r="S217" s="17">
        <f>IFERROR(__xludf.DUMMYFUNCTION("IFERROR(VLOOKUP(C217,
IMPORTRANGE(""1wULbzX32WdYsx-lj2U3uUNBBe2INVIRDtcK0d-Dvl90"",
""26-27!C:G""),
5,
FALSE),
"""")"),65.27649)</f>
        <v/>
      </c>
      <c r="T217" s="9" t="n"/>
      <c r="U217" s="92">
        <f>MAX(0,R217-T217)</f>
        <v/>
      </c>
      <c r="V217" s="93">
        <f>U217*S217</f>
        <v/>
      </c>
    </row>
    <row r="218" hidden="1" ht="15.75" customHeight="1" s="297">
      <c r="A218" s="87" t="inlineStr">
        <is>
          <t>NORTOX</t>
        </is>
      </c>
      <c r="B218" s="88" t="inlineStr">
        <is>
          <t>INSETICIDA</t>
        </is>
      </c>
      <c r="C218" s="89" t="inlineStr">
        <is>
          <t>TYPHOON NORTOX</t>
        </is>
      </c>
      <c r="D218" s="89" t="inlineStr">
        <is>
          <t>CLORANTRANILIPROLE + METOMIL</t>
        </is>
      </c>
      <c r="E218" s="89" t="inlineStr">
        <is>
          <t>21,5 + 215</t>
        </is>
      </c>
      <c r="F218" s="4" t="inlineStr">
        <is>
          <t>L</t>
        </is>
      </c>
      <c r="G218" s="90">
        <f>HYPERLINK("https://www.google.com/search?q=" &amp; C218 &amp; "+bula+agrofit+pdf", "📄 Ver bula")</f>
        <v/>
      </c>
      <c r="H218" s="9">
        <f>IFERROR(__xludf.DUMMYFUNCTION("IFERROR(VLOOKUP(C218,
IMPORTRANGE(""1wULbzX32WdYsx-lj2U3uUNBBe2INVIRDtcK0d-Dvl90"",
""26-27!C:K""),
8,
FALSE),
"""")"),1.0)</f>
        <v/>
      </c>
      <c r="I218" s="91" t="inlineStr">
        <is>
          <t>4x5</t>
        </is>
      </c>
      <c r="J218" s="9">
        <f>IFERROR(SUM(
IF('TL01'!$B$3=J$3,SUMIF('TL01'!$C$10:$C$224,$C218,'TL01'!$J$10:$J$224),0),
IF('TL01'!$B$229=J$3,SUMIF('TL01'!$C$238:$C$451,$C218,'TL01'!$J$238:$J$451),0),
IF('TL02'!$B$3=J$3,SUMIF('TL02'!$C$10:$C$224,$C218,'TL02'!$J$10:$J$224),0),
IF('TL02'!$B$229=J$3,SUMIF('TL02'!$C$238:$C$451,$C218,'TL02'!$J$238:$J$451),0),
IF('TL03'!$B$3=J$3,SUMIF('TL03'!$C$10:$C$224,$C218,'TL03'!$J$10:$J$224),0),
IF('TL03'!$B$229=J$3,SUMIF('TL03'!$C$238:$C$451,$C218,'TL03'!$J$238:$J$451),0),
IF('TL04'!$B$3=J$3,SUMIF('TL04'!$C$10:$C$224,$C218,'TL04'!$J$10:$J$224),0),
IF('TL04'!$B$229=J$3,SUMIF('TL04'!$C$238:$C$451,$C218,'TL04'!$J$238:$J$451),0),
IF('TL05'!$B$3=J$3,SUMIF('TL05'!$C$10:$C$224,$C218,'TL05'!$J$10:$J$224),0),
IF('TL05'!$B$229=J$3,SUMIF('TL05'!$C$238:$C$451,$C218,'TL05'!$J$238:$J$451),0),
IF('TL06'!$B$3=J$3,SUMIF('TL06'!$C$10:$C$224,$C218,'TL06'!$J$10:$J$224),0),
IF('TL06'!$B$229=J$3,SUMIF('TL06'!$C$238:$C$451,$C218,'TL06'!$J$238:$J$451),0),
IF('TL07'!$B$3=J$3,SUMIF('TL07'!$C$10:$C$224,$C218,'TL07'!$J$10:$J$224),0),
IF('TL07'!$B$229=J$3,SUMIF('TL07'!$C$238:$C$451,$C218,'TL07'!$J$238:$J$451),0),
IF('TL08'!$B$3=J$3,SUMIF('TL08'!$C$10:$C$224,$C218,'TL08'!$J$10:$J$224),0),
IF('TL08'!$B$229=J$3,SUMIF('TL08'!$C$238:$C$451,$C218,'TL08'!$J$238:$J$451),0),
IF('TL09'!$B$3=J$3,SUMIF('TL09'!$C$10:$C$224,$C218,'TL09'!$J$10:$J$224),0),
IF('TL09'!$B$229=J$3,SUMIF('TL09'!$C$238:$C$451,$C218,'TL09'!$J$238:$J$451),0),
IF('TL10'!$B$3=J$3,SUMIF('TL10'!$C$10:$C$224,$C218,'TL10'!$J$10:$J$224),0),
IF('TL10'!$B$229=J$3,SUMIF('TL10'!$C$238:$C$451,$C218,'TL10'!$J$238:$J$451),0),
IF('TL11'!$B$3=J$3,SUMIF('TL11'!$C$10:$C$224,$C218,'TL11'!$J$10:$J$224),0),
IF('TL11'!$B$229=J$3,SUMIF('TL11'!$C$238:$C$451,$C218,'TL11'!$J$238:$J$451),0),
IF('TL12'!$B$3=J$3,SUMIF('TL12'!$C$10:$C$224,$C218,'TL12'!$J$10:$J$224),0),
IF('TL12'!$B$229=J$3,SUMIF('TL12'!$C$238:$C$451,$C218,'TL12'!$J$238:$J$451),0),
IF('TL13'!$B$3=J$3,SUMIF('TL13'!$C$10:$C$224,$C218,'TL13'!$J$10:$J$224),0),
IF('TL13'!$B$229=J$3,SUMIF('TL13'!$C$238:$C$451,$C218,'TL13'!$J$238:$J$451),0),
IF('TL14'!$B$3=J$3,SUMIF('TL14'!$C$10:$C$224,$C218,'TL14'!$J$10:$J$224),0),
IF('TL14'!$B$229=J$3,SUMIF('TL14'!$C$238:$C$451,$C218,'TL14'!$J$238:$J$451),0),
IF('TL15'!$B$3=J$3,SUMIF('TL15'!$C$10:$C$224,$C218,'TL15'!$J$10:$J$224),0),
IF('TL15'!$B$229=J$3,SUMIF('TL15'!$C$238:$C$451,$C218,'TL15'!$J$238:$J$451),0),
IF('TL16'!$B$3=J$3,SUMIF('TL16'!$C$10:$C$224,$C218,'TL16'!$J$10:$J$224),0),
IF('TL16'!$B$229=J$3,SUMIF('TL16'!$C$238:$C$451,$C218,'TL16'!$J$238:$J$451),0),
IF('TL17'!$B$3=J$3,SUMIF('TL17'!$C$10:$C$224,$C218,'TL17'!$J$10:$J$224),0),
IF('TL17'!$B$229=J$3,SUMIF('TL17'!$C$238:$C$451,$C218,'TL17'!$J$238:$J$451),0),
IF('TL18'!$B$3=J$3,SUMIF('TL18'!$C$10:$C$224,$C218,'TL18'!$J$10:$J$224),0),
IF('TL18'!$B$229=J$3,SUMIF('TL18'!$C$238:$C$451,$C218,'TL18'!$J$238:$J$451),0),
IF('TL19'!$B$3=J$3,SUMIF('TL19'!$C$10:$C$224,$C218,'TL19'!$J$10:$J$224),0),
IF('TL19'!$B$229=J$3,SUMIF('TL19'!$C$238:$C$451,$C218,'TL19'!$J$238:$J$451),0)
),0)</f>
        <v/>
      </c>
      <c r="K218" s="9">
        <f>IFERROR(SUM(
IF('TL01'!$B$3=K$3,SUMIF('TL01'!$C$10:$C$224,$C218,'TL01'!$J$10:$J$224),0),
IF('TL01'!$B$229=K$3,SUMIF('TL01'!$C$238:$C$451,$C218,'TL01'!$J$238:$J$451),0),
IF('TL02'!$B$3=K$3,SUMIF('TL02'!$C$10:$C$224,$C218,'TL02'!$J$10:$J$224),0),
IF('TL02'!$B$229=K$3,SUMIF('TL02'!$C$238:$C$451,$C218,'TL02'!$J$238:$J$451),0),
IF('TL03'!$B$3=K$3,SUMIF('TL03'!$C$10:$C$224,$C218,'TL03'!$J$10:$J$224),0),
IF('TL03'!$B$229=K$3,SUMIF('TL03'!$C$238:$C$451,$C218,'TL03'!$J$238:$J$451),0),
IF('TL04'!$B$3=K$3,SUMIF('TL04'!$C$10:$C$224,$C218,'TL04'!$J$10:$J$224),0),
IF('TL04'!$B$229=K$3,SUMIF('TL04'!$C$238:$C$451,$C218,'TL04'!$J$238:$J$451),0),
IF('TL05'!$B$3=K$3,SUMIF('TL05'!$C$10:$C$224,$C218,'TL05'!$J$10:$J$224),0),
IF('TL05'!$B$229=K$3,SUMIF('TL05'!$C$238:$C$451,$C218,'TL05'!$J$238:$J$451),0),
IF('TL06'!$B$3=K$3,SUMIF('TL06'!$C$10:$C$224,$C218,'TL06'!$J$10:$J$224),0),
IF('TL06'!$B$229=K$3,SUMIF('TL06'!$C$238:$C$451,$C218,'TL06'!$J$238:$J$451),0),
IF('TL07'!$B$3=K$3,SUMIF('TL07'!$C$10:$C$224,$C218,'TL07'!$J$10:$J$224),0),
IF('TL07'!$B$229=K$3,SUMIF('TL07'!$C$238:$C$451,$C218,'TL07'!$J$238:$J$451),0),
IF('TL08'!$B$3=K$3,SUMIF('TL08'!$C$10:$C$224,$C218,'TL08'!$J$10:$J$224),0),
IF('TL08'!$B$229=K$3,SUMIF('TL08'!$C$238:$C$451,$C218,'TL08'!$J$238:$J$451),0),
IF('TL09'!$B$3=K$3,SUMIF('TL09'!$C$10:$C$224,$C218,'TL09'!$J$10:$J$224),0),
IF('TL09'!$B$229=K$3,SUMIF('TL09'!$C$238:$C$451,$C218,'TL09'!$J$238:$J$451),0),
IF('TL10'!$B$3=K$3,SUMIF('TL10'!$C$10:$C$224,$C218,'TL10'!$J$10:$J$224),0),
IF('TL10'!$B$229=K$3,SUMIF('TL10'!$C$238:$C$451,$C218,'TL10'!$J$238:$J$451),0),
IF('TL11'!$B$3=K$3,SUMIF('TL11'!$C$10:$C$224,$C218,'TL11'!$J$10:$J$224),0),
IF('TL11'!$B$229=K$3,SUMIF('TL11'!$C$238:$C$451,$C218,'TL11'!$J$238:$J$451),0),
IF('TL12'!$B$3=K$3,SUMIF('TL12'!$C$10:$C$224,$C218,'TL12'!$J$10:$J$224),0),
IF('TL12'!$B$229=K$3,SUMIF('TL12'!$C$238:$C$451,$C218,'TL12'!$J$238:$J$451),0),
IF('TL13'!$B$3=K$3,SUMIF('TL13'!$C$10:$C$224,$C218,'TL13'!$J$10:$J$224),0),
IF('TL13'!$B$229=K$3,SUMIF('TL13'!$C$238:$C$451,$C218,'TL13'!$J$238:$J$451),0),
IF('TL14'!$B$3=K$3,SUMIF('TL14'!$C$10:$C$224,$C218,'TL14'!$J$10:$J$224),0),
IF('TL14'!$B$229=K$3,SUMIF('TL14'!$C$238:$C$451,$C218,'TL14'!$J$238:$J$451),0),
IF('TL15'!$B$3=K$3,SUMIF('TL15'!$C$10:$C$224,$C218,'TL15'!$J$10:$J$224),0),
IF('TL15'!$B$229=K$3,SUMIF('TL15'!$C$238:$C$451,$C218,'TL15'!$J$238:$J$451),0),
IF('TL16'!$B$3=K$3,SUMIF('TL16'!$C$10:$C$224,$C218,'TL16'!$J$10:$J$224),0),
IF('TL16'!$B$229=K$3,SUMIF('TL16'!$C$238:$C$451,$C218,'TL16'!$J$238:$J$451),0),
IF('TL17'!$B$3=K$3,SUMIF('TL17'!$C$10:$C$224,$C218,'TL17'!$J$10:$J$224),0),
IF('TL17'!$B$229=K$3,SUMIF('TL17'!$C$238:$C$451,$C218,'TL17'!$J$238:$J$451),0),
IF('TL18'!$B$3=K$3,SUMIF('TL18'!$C$10:$C$224,$C218,'TL18'!$J$10:$J$224),0),
IF('TL18'!$B$229=K$3,SUMIF('TL18'!$C$238:$C$451,$C218,'TL18'!$J$238:$J$451),0),
IF('TL19'!$B$3=K$3,SUMIF('TL19'!$C$10:$C$224,$C218,'TL19'!$J$10:$J$224),0),
IF('TL19'!$B$229=K$3,SUMIF('TL19'!$C$238:$C$451,$C218,'TL19'!$J$238:$J$451),0)
),0)</f>
        <v/>
      </c>
      <c r="L218" s="9">
        <f>IFERROR(SUM(
IF('TL01'!$B$3=L$3,SUMIF('TL01'!$C$10:$C$224,$C218,'TL01'!$J$10:$J$224),0),
IF('TL01'!$B$229=L$3,SUMIF('TL01'!$C$238:$C$451,$C218,'TL01'!$J$238:$J$451),0),
IF('TL02'!$B$3=L$3,SUMIF('TL02'!$C$10:$C$224,$C218,'TL02'!$J$10:$J$224),0),
IF('TL02'!$B$229=L$3,SUMIF('TL02'!$C$238:$C$451,$C218,'TL02'!$J$238:$J$451),0),
IF('TL03'!$B$3=L$3,SUMIF('TL03'!$C$10:$C$224,$C218,'TL03'!$J$10:$J$224),0),
IF('TL03'!$B$229=L$3,SUMIF('TL03'!$C$238:$C$451,$C218,'TL03'!$J$238:$J$451),0),
IF('TL04'!$B$3=L$3,SUMIF('TL04'!$C$10:$C$224,$C218,'TL04'!$J$10:$J$224),0),
IF('TL04'!$B$229=L$3,SUMIF('TL04'!$C$238:$C$451,$C218,'TL04'!$J$238:$J$451),0),
IF('TL05'!$B$3=L$3,SUMIF('TL05'!$C$10:$C$224,$C218,'TL05'!$J$10:$J$224),0),
IF('TL05'!$B$229=L$3,SUMIF('TL05'!$C$238:$C$451,$C218,'TL05'!$J$238:$J$451),0),
IF('TL06'!$B$3=L$3,SUMIF('TL06'!$C$10:$C$224,$C218,'TL06'!$J$10:$J$224),0),
IF('TL06'!$B$229=L$3,SUMIF('TL06'!$C$238:$C$451,$C218,'TL06'!$J$238:$J$451),0),
IF('TL07'!$B$3=L$3,SUMIF('TL07'!$C$10:$C$224,$C218,'TL07'!$J$10:$J$224),0),
IF('TL07'!$B$229=L$3,SUMIF('TL07'!$C$238:$C$451,$C218,'TL07'!$J$238:$J$451),0),
IF('TL08'!$B$3=L$3,SUMIF('TL08'!$C$10:$C$224,$C218,'TL08'!$J$10:$J$224),0),
IF('TL08'!$B$229=L$3,SUMIF('TL08'!$C$238:$C$451,$C218,'TL08'!$J$238:$J$451),0),
IF('TL09'!$B$3=L$3,SUMIF('TL09'!$C$10:$C$224,$C218,'TL09'!$J$10:$J$224),0),
IF('TL09'!$B$229=L$3,SUMIF('TL09'!$C$238:$C$451,$C218,'TL09'!$J$238:$J$451),0),
IF('TL10'!$B$3=L$3,SUMIF('TL10'!$C$10:$C$224,$C218,'TL10'!$J$10:$J$224),0),
IF('TL10'!$B$229=L$3,SUMIF('TL10'!$C$238:$C$451,$C218,'TL10'!$J$238:$J$451),0),
IF('TL11'!$B$3=L$3,SUMIF('TL11'!$C$10:$C$224,$C218,'TL11'!$J$10:$J$224),0),
IF('TL11'!$B$229=L$3,SUMIF('TL11'!$C$238:$C$451,$C218,'TL11'!$J$238:$J$451),0),
IF('TL12'!$B$3=L$3,SUMIF('TL12'!$C$10:$C$224,$C218,'TL12'!$J$10:$J$224),0),
IF('TL12'!$B$229=L$3,SUMIF('TL12'!$C$238:$C$451,$C218,'TL12'!$J$238:$J$451),0),
IF('TL13'!$B$3=L$3,SUMIF('TL13'!$C$10:$C$224,$C218,'TL13'!$J$10:$J$224),0),
IF('TL13'!$B$229=L$3,SUMIF('TL13'!$C$238:$C$451,$C218,'TL13'!$J$238:$J$451),0),
IF('TL14'!$B$3=L$3,SUMIF('TL14'!$C$10:$C$224,$C218,'TL14'!$J$10:$J$224),0),
IF('TL14'!$B$229=L$3,SUMIF('TL14'!$C$238:$C$451,$C218,'TL14'!$J$238:$J$451),0),
IF('TL15'!$B$3=L$3,SUMIF('TL15'!$C$10:$C$224,$C218,'TL15'!$J$10:$J$224),0),
IF('TL15'!$B$229=L$3,SUMIF('TL15'!$C$238:$C$451,$C218,'TL15'!$J$238:$J$451),0),
IF('TL16'!$B$3=L$3,SUMIF('TL16'!$C$10:$C$224,$C218,'TL16'!$J$10:$J$224),0),
IF('TL16'!$B$229=L$3,SUMIF('TL16'!$C$238:$C$451,$C218,'TL16'!$J$238:$J$451),0),
IF('TL17'!$B$3=L$3,SUMIF('TL17'!$C$10:$C$224,$C218,'TL17'!$J$10:$J$224),0),
IF('TL17'!$B$229=L$3,SUMIF('TL17'!$C$238:$C$451,$C218,'TL17'!$J$238:$J$451),0),
IF('TL18'!$B$3=L$3,SUMIF('TL18'!$C$10:$C$224,$C218,'TL18'!$J$10:$J$224),0),
IF('TL18'!$B$229=L$3,SUMIF('TL18'!$C$238:$C$451,$C218,'TL18'!$J$238:$J$451),0),
IF('TL19'!$B$3=L$3,SUMIF('TL19'!$C$10:$C$224,$C218,'TL19'!$J$10:$J$224),0),
IF('TL19'!$B$229=L$3,SUMIF('TL19'!$C$238:$C$451,$C218,'TL19'!$J$238:$J$451),0)
),0)</f>
        <v/>
      </c>
      <c r="M218" s="9">
        <f>IFERROR(SUM(
IF('TL01'!$B$3=M$3,SUMIF('TL01'!$C$10:$C$224,$C218,'TL01'!$J$10:$J$224),0),
IF('TL01'!$B$229=M$3,SUMIF('TL01'!$C$238:$C$451,$C218,'TL01'!$J$238:$J$451),0),
IF('TL02'!$B$3=M$3,SUMIF('TL02'!$C$10:$C$224,$C218,'TL02'!$J$10:$J$224),0),
IF('TL02'!$B$229=M$3,SUMIF('TL02'!$C$238:$C$451,$C218,'TL02'!$J$238:$J$451),0),
IF('TL03'!$B$3=M$3,SUMIF('TL03'!$C$10:$C$224,$C218,'TL03'!$J$10:$J$224),0),
IF('TL03'!$B$229=M$3,SUMIF('TL03'!$C$238:$C$451,$C218,'TL03'!$J$238:$J$451),0),
IF('TL04'!$B$3=M$3,SUMIF('TL04'!$C$10:$C$224,$C218,'TL04'!$J$10:$J$224),0),
IF('TL04'!$B$229=M$3,SUMIF('TL04'!$C$238:$C$451,$C218,'TL04'!$J$238:$J$451),0),
IF('TL05'!$B$3=M$3,SUMIF('TL05'!$C$10:$C$224,$C218,'TL05'!$J$10:$J$224),0),
IF('TL05'!$B$229=M$3,SUMIF('TL05'!$C$238:$C$451,$C218,'TL05'!$J$238:$J$451),0),
IF('TL06'!$B$3=M$3,SUMIF('TL06'!$C$10:$C$224,$C218,'TL06'!$J$10:$J$224),0),
IF('TL06'!$B$229=M$3,SUMIF('TL06'!$C$238:$C$451,$C218,'TL06'!$J$238:$J$451),0),
IF('TL07'!$B$3=M$3,SUMIF('TL07'!$C$10:$C$224,$C218,'TL07'!$J$10:$J$224),0),
IF('TL07'!$B$229=M$3,SUMIF('TL07'!$C$238:$C$451,$C218,'TL07'!$J$238:$J$451),0),
IF('TL08'!$B$3=M$3,SUMIF('TL08'!$C$10:$C$224,$C218,'TL08'!$J$10:$J$224),0),
IF('TL08'!$B$229=M$3,SUMIF('TL08'!$C$238:$C$451,$C218,'TL08'!$J$238:$J$451),0),
IF('TL09'!$B$3=M$3,SUMIF('TL09'!$C$10:$C$224,$C218,'TL09'!$J$10:$J$224),0),
IF('TL09'!$B$229=M$3,SUMIF('TL09'!$C$238:$C$451,$C218,'TL09'!$J$238:$J$451),0),
IF('TL10'!$B$3=M$3,SUMIF('TL10'!$C$10:$C$224,$C218,'TL10'!$J$10:$J$224),0),
IF('TL10'!$B$229=M$3,SUMIF('TL10'!$C$238:$C$451,$C218,'TL10'!$J$238:$J$451),0),
IF('TL11'!$B$3=M$3,SUMIF('TL11'!$C$10:$C$224,$C218,'TL11'!$J$10:$J$224),0),
IF('TL11'!$B$229=M$3,SUMIF('TL11'!$C$238:$C$451,$C218,'TL11'!$J$238:$J$451),0),
IF('TL12'!$B$3=M$3,SUMIF('TL12'!$C$10:$C$224,$C218,'TL12'!$J$10:$J$224),0),
IF('TL12'!$B$229=M$3,SUMIF('TL12'!$C$238:$C$451,$C218,'TL12'!$J$238:$J$451),0),
IF('TL13'!$B$3=M$3,SUMIF('TL13'!$C$10:$C$224,$C218,'TL13'!$J$10:$J$224),0),
IF('TL13'!$B$229=M$3,SUMIF('TL13'!$C$238:$C$451,$C218,'TL13'!$J$238:$J$451),0),
IF('TL14'!$B$3=M$3,SUMIF('TL14'!$C$10:$C$224,$C218,'TL14'!$J$10:$J$224),0),
IF('TL14'!$B$229=M$3,SUMIF('TL14'!$C$238:$C$451,$C218,'TL14'!$J$238:$J$451),0),
IF('TL15'!$B$3=M$3,SUMIF('TL15'!$C$10:$C$224,$C218,'TL15'!$J$10:$J$224),0),
IF('TL15'!$B$229=M$3,SUMIF('TL15'!$C$238:$C$451,$C218,'TL15'!$J$238:$J$451),0),
IF('TL16'!$B$3=M$3,SUMIF('TL16'!$C$10:$C$224,$C218,'TL16'!$J$10:$J$224),0),
IF('TL16'!$B$229=M$3,SUMIF('TL16'!$C$238:$C$451,$C218,'TL16'!$J$238:$J$451),0),
IF('TL17'!$B$3=M$3,SUMIF('TL17'!$C$10:$C$224,$C218,'TL17'!$J$10:$J$224),0),
IF('TL17'!$B$229=M$3,SUMIF('TL17'!$C$238:$C$451,$C218,'TL17'!$J$238:$J$451),0),
IF('TL18'!$B$3=M$3,SUMIF('TL18'!$C$10:$C$224,$C218,'TL18'!$J$10:$J$224),0),
IF('TL18'!$B$229=M$3,SUMIF('TL18'!$C$238:$C$451,$C218,'TL18'!$J$238:$J$451),0),
IF('TL19'!$B$3=M$3,SUMIF('TL19'!$C$10:$C$224,$C218,'TL19'!$J$10:$J$224),0),
IF('TL19'!$B$229=M$3,SUMIF('TL19'!$C$238:$C$451,$C218,'TL19'!$J$238:$J$451),0)
),0)</f>
        <v/>
      </c>
      <c r="N218" s="9">
        <f>IFERROR(SUM(
IF('TL01'!$B$3=N$3,SUMIF('TL01'!$C$10:$C$224,$C218,'TL01'!$J$10:$J$224),0),
IF('TL01'!$B$229=N$3,SUMIF('TL01'!$C$238:$C$451,$C218,'TL01'!$J$238:$J$451),0),
IF('TL02'!$B$3=N$3,SUMIF('TL02'!$C$10:$C$224,$C218,'TL02'!$J$10:$J$224),0),
IF('TL02'!$B$229=N$3,SUMIF('TL02'!$C$238:$C$451,$C218,'TL02'!$J$238:$J$451),0),
IF('TL03'!$B$3=N$3,SUMIF('TL03'!$C$10:$C$224,$C218,'TL03'!$J$10:$J$224),0),
IF('TL03'!$B$229=N$3,SUMIF('TL03'!$C$238:$C$451,$C218,'TL03'!$J$238:$J$451),0),
IF('TL04'!$B$3=N$3,SUMIF('TL04'!$C$10:$C$224,$C218,'TL04'!$J$10:$J$224),0),
IF('TL04'!$B$229=N$3,SUMIF('TL04'!$C$238:$C$451,$C218,'TL04'!$J$238:$J$451),0),
IF('TL05'!$B$3=N$3,SUMIF('TL05'!$C$10:$C$224,$C218,'TL05'!$J$10:$J$224),0),
IF('TL05'!$B$229=N$3,SUMIF('TL05'!$C$238:$C$451,$C218,'TL05'!$J$238:$J$451),0),
IF('TL06'!$B$3=N$3,SUMIF('TL06'!$C$10:$C$224,$C218,'TL06'!$J$10:$J$224),0),
IF('TL06'!$B$229=N$3,SUMIF('TL06'!$C$238:$C$451,$C218,'TL06'!$J$238:$J$451),0),
IF('TL07'!$B$3=N$3,SUMIF('TL07'!$C$10:$C$224,$C218,'TL07'!$J$10:$J$224),0),
IF('TL07'!$B$229=N$3,SUMIF('TL07'!$C$238:$C$451,$C218,'TL07'!$J$238:$J$451),0),
IF('TL08'!$B$3=N$3,SUMIF('TL08'!$C$10:$C$224,$C218,'TL08'!$J$10:$J$224),0),
IF('TL08'!$B$229=N$3,SUMIF('TL08'!$C$238:$C$451,$C218,'TL08'!$J$238:$J$451),0),
IF('TL09'!$B$3=N$3,SUMIF('TL09'!$C$10:$C$224,$C218,'TL09'!$J$10:$J$224),0),
IF('TL09'!$B$229=N$3,SUMIF('TL09'!$C$238:$C$451,$C218,'TL09'!$J$238:$J$451),0),
IF('TL10'!$B$3=N$3,SUMIF('TL10'!$C$10:$C$224,$C218,'TL10'!$J$10:$J$224),0),
IF('TL10'!$B$229=N$3,SUMIF('TL10'!$C$238:$C$451,$C218,'TL10'!$J$238:$J$451),0),
IF('TL11'!$B$3=N$3,SUMIF('TL11'!$C$10:$C$224,$C218,'TL11'!$J$10:$J$224),0),
IF('TL11'!$B$229=N$3,SUMIF('TL11'!$C$238:$C$451,$C218,'TL11'!$J$238:$J$451),0),
IF('TL12'!$B$3=N$3,SUMIF('TL12'!$C$10:$C$224,$C218,'TL12'!$J$10:$J$224),0),
IF('TL12'!$B$229=N$3,SUMIF('TL12'!$C$238:$C$451,$C218,'TL12'!$J$238:$J$451),0),
IF('TL13'!$B$3=N$3,SUMIF('TL13'!$C$10:$C$224,$C218,'TL13'!$J$10:$J$224),0),
IF('TL13'!$B$229=N$3,SUMIF('TL13'!$C$238:$C$451,$C218,'TL13'!$J$238:$J$451),0),
IF('TL14'!$B$3=N$3,SUMIF('TL14'!$C$10:$C$224,$C218,'TL14'!$J$10:$J$224),0),
IF('TL14'!$B$229=N$3,SUMIF('TL14'!$C$238:$C$451,$C218,'TL14'!$J$238:$J$451),0),
IF('TL15'!$B$3=N$3,SUMIF('TL15'!$C$10:$C$224,$C218,'TL15'!$J$10:$J$224),0),
IF('TL15'!$B$229=N$3,SUMIF('TL15'!$C$238:$C$451,$C218,'TL15'!$J$238:$J$451),0),
IF('TL16'!$B$3=N$3,SUMIF('TL16'!$C$10:$C$224,$C218,'TL16'!$J$10:$J$224),0),
IF('TL16'!$B$229=N$3,SUMIF('TL16'!$C$238:$C$451,$C218,'TL16'!$J$238:$J$451),0),
IF('TL17'!$B$3=N$3,SUMIF('TL17'!$C$10:$C$224,$C218,'TL17'!$J$10:$J$224),0),
IF('TL17'!$B$229=N$3,SUMIF('TL17'!$C$238:$C$451,$C218,'TL17'!$J$238:$J$451),0),
IF('TL18'!$B$3=N$3,SUMIF('TL18'!$C$10:$C$224,$C218,'TL18'!$J$10:$J$224),0),
IF('TL18'!$B$229=N$3,SUMIF('TL18'!$C$238:$C$451,$C218,'TL18'!$J$238:$J$451),0),
IF('TL19'!$B$3=N$3,SUMIF('TL19'!$C$10:$C$224,$C218,'TL19'!$J$10:$J$224),0),
IF('TL19'!$B$229=N$3,SUMIF('TL19'!$C$238:$C$451,$C218,'TL19'!$J$238:$J$451),0)
),0)</f>
        <v/>
      </c>
      <c r="O218" s="9">
        <f>IFERROR(SUM(
IF('TL01'!$B$3=O$3,SUMIF('TL01'!$C$10:$C$224,$C218,'TL01'!$J$10:$J$224),0),
IF('TL01'!$B$229=O$3,SUMIF('TL01'!$C$238:$C$451,$C218,'TL01'!$J$238:$J$451),0),
IF('TL02'!$B$3=O$3,SUMIF('TL02'!$C$10:$C$224,$C218,'TL02'!$J$10:$J$224),0),
IF('TL02'!$B$229=O$3,SUMIF('TL02'!$C$238:$C$451,$C218,'TL02'!$J$238:$J$451),0),
IF('TL03'!$B$3=O$3,SUMIF('TL03'!$C$10:$C$224,$C218,'TL03'!$J$10:$J$224),0),
IF('TL03'!$B$229=O$3,SUMIF('TL03'!$C$238:$C$451,$C218,'TL03'!$J$238:$J$451),0),
IF('TL04'!$B$3=O$3,SUMIF('TL04'!$C$10:$C$224,$C218,'TL04'!$J$10:$J$224),0),
IF('TL04'!$B$229=O$3,SUMIF('TL04'!$C$238:$C$451,$C218,'TL04'!$J$238:$J$451),0),
IF('TL05'!$B$3=O$3,SUMIF('TL05'!$C$10:$C$224,$C218,'TL05'!$J$10:$J$224),0),
IF('TL05'!$B$229=O$3,SUMIF('TL05'!$C$238:$C$451,$C218,'TL05'!$J$238:$J$451),0),
IF('TL06'!$B$3=O$3,SUMIF('TL06'!$C$10:$C$224,$C218,'TL06'!$J$10:$J$224),0),
IF('TL06'!$B$229=O$3,SUMIF('TL06'!$C$238:$C$451,$C218,'TL06'!$J$238:$J$451),0),
IF('TL07'!$B$3=O$3,SUMIF('TL07'!$C$10:$C$224,$C218,'TL07'!$J$10:$J$224),0),
IF('TL07'!$B$229=O$3,SUMIF('TL07'!$C$238:$C$451,$C218,'TL07'!$J$238:$J$451),0),
IF('TL08'!$B$3=O$3,SUMIF('TL08'!$C$10:$C$224,$C218,'TL08'!$J$10:$J$224),0),
IF('TL08'!$B$229=O$3,SUMIF('TL08'!$C$238:$C$451,$C218,'TL08'!$J$238:$J$451),0),
IF('TL09'!$B$3=O$3,SUMIF('TL09'!$C$10:$C$224,$C218,'TL09'!$J$10:$J$224),0),
IF('TL09'!$B$229=O$3,SUMIF('TL09'!$C$238:$C$451,$C218,'TL09'!$J$238:$J$451),0),
IF('TL10'!$B$3=O$3,SUMIF('TL10'!$C$10:$C$224,$C218,'TL10'!$J$10:$J$224),0),
IF('TL10'!$B$229=O$3,SUMIF('TL10'!$C$238:$C$451,$C218,'TL10'!$J$238:$J$451),0),
IF('TL11'!$B$3=O$3,SUMIF('TL11'!$C$10:$C$224,$C218,'TL11'!$J$10:$J$224),0),
IF('TL11'!$B$229=O$3,SUMIF('TL11'!$C$238:$C$451,$C218,'TL11'!$J$238:$J$451),0),
IF('TL12'!$B$3=O$3,SUMIF('TL12'!$C$10:$C$224,$C218,'TL12'!$J$10:$J$224),0),
IF('TL12'!$B$229=O$3,SUMIF('TL12'!$C$238:$C$451,$C218,'TL12'!$J$238:$J$451),0),
IF('TL13'!$B$3=O$3,SUMIF('TL13'!$C$10:$C$224,$C218,'TL13'!$J$10:$J$224),0),
IF('TL13'!$B$229=O$3,SUMIF('TL13'!$C$238:$C$451,$C218,'TL13'!$J$238:$J$451),0),
IF('TL14'!$B$3=O$3,SUMIF('TL14'!$C$10:$C$224,$C218,'TL14'!$J$10:$J$224),0),
IF('TL14'!$B$229=O$3,SUMIF('TL14'!$C$238:$C$451,$C218,'TL14'!$J$238:$J$451),0),
IF('TL15'!$B$3=O$3,SUMIF('TL15'!$C$10:$C$224,$C218,'TL15'!$J$10:$J$224),0),
IF('TL15'!$B$229=O$3,SUMIF('TL15'!$C$238:$C$451,$C218,'TL15'!$J$238:$J$451),0),
IF('TL16'!$B$3=O$3,SUMIF('TL16'!$C$10:$C$224,$C218,'TL16'!$J$10:$J$224),0),
IF('TL16'!$B$229=O$3,SUMIF('TL16'!$C$238:$C$451,$C218,'TL16'!$J$238:$J$451),0),
IF('TL17'!$B$3=O$3,SUMIF('TL17'!$C$10:$C$224,$C218,'TL17'!$J$10:$J$224),0),
IF('TL17'!$B$229=O$3,SUMIF('TL17'!$C$238:$C$451,$C218,'TL17'!$J$238:$J$451),0),
IF('TL18'!$B$3=O$3,SUMIF('TL18'!$C$10:$C$224,$C218,'TL18'!$J$10:$J$224),0),
IF('TL18'!$B$229=O$3,SUMIF('TL18'!$C$238:$C$451,$C218,'TL18'!$J$238:$J$451),0),
IF('TL19'!$B$3=O$3,SUMIF('TL19'!$C$10:$C$224,$C218,'TL19'!$J$10:$J$224),0),
IF('TL19'!$B$229=O$3,SUMIF('TL19'!$C$238:$C$451,$C218,'TL19'!$J$238:$J$451),0)
),0)</f>
        <v/>
      </c>
      <c r="P218" s="9">
        <f>IFERROR(SUM(
IF('TL01'!$B$3=P$3,SUMIF('TL01'!$C$10:$C$224,$C218,'TL01'!$J$10:$J$224),0),
IF('TL01'!$B$229=P$3,SUMIF('TL01'!$C$238:$C$451,$C218,'TL01'!$J$238:$J$451),0),
IF('TL02'!$B$3=P$3,SUMIF('TL02'!$C$10:$C$224,$C218,'TL02'!$J$10:$J$224),0),
IF('TL02'!$B$229=P$3,SUMIF('TL02'!$C$238:$C$451,$C218,'TL02'!$J$238:$J$451),0),
IF('TL03'!$B$3=P$3,SUMIF('TL03'!$C$10:$C$224,$C218,'TL03'!$J$10:$J$224),0),
IF('TL03'!$B$229=P$3,SUMIF('TL03'!$C$238:$C$451,$C218,'TL03'!$J$238:$J$451),0),
IF('TL04'!$B$3=P$3,SUMIF('TL04'!$C$10:$C$224,$C218,'TL04'!$J$10:$J$224),0),
IF('TL04'!$B$229=P$3,SUMIF('TL04'!$C$238:$C$451,$C218,'TL04'!$J$238:$J$451),0),
IF('TL05'!$B$3=P$3,SUMIF('TL05'!$C$10:$C$224,$C218,'TL05'!$J$10:$J$224),0),
IF('TL05'!$B$229=P$3,SUMIF('TL05'!$C$238:$C$451,$C218,'TL05'!$J$238:$J$451),0),
IF('TL06'!$B$3=P$3,SUMIF('TL06'!$C$10:$C$224,$C218,'TL06'!$J$10:$J$224),0),
IF('TL06'!$B$229=P$3,SUMIF('TL06'!$C$238:$C$451,$C218,'TL06'!$J$238:$J$451),0),
IF('TL07'!$B$3=P$3,SUMIF('TL07'!$C$10:$C$224,$C218,'TL07'!$J$10:$J$224),0),
IF('TL07'!$B$229=P$3,SUMIF('TL07'!$C$238:$C$451,$C218,'TL07'!$J$238:$J$451),0),
IF('TL08'!$B$3=P$3,SUMIF('TL08'!$C$10:$C$224,$C218,'TL08'!$J$10:$J$224),0),
IF('TL08'!$B$229=P$3,SUMIF('TL08'!$C$238:$C$451,$C218,'TL08'!$J$238:$J$451),0),
IF('TL09'!$B$3=P$3,SUMIF('TL09'!$C$10:$C$224,$C218,'TL09'!$J$10:$J$224),0),
IF('TL09'!$B$229=P$3,SUMIF('TL09'!$C$238:$C$451,$C218,'TL09'!$J$238:$J$451),0),
IF('TL10'!$B$3=P$3,SUMIF('TL10'!$C$10:$C$224,$C218,'TL10'!$J$10:$J$224),0),
IF('TL10'!$B$229=P$3,SUMIF('TL10'!$C$238:$C$451,$C218,'TL10'!$J$238:$J$451),0),
IF('TL11'!$B$3=P$3,SUMIF('TL11'!$C$10:$C$224,$C218,'TL11'!$J$10:$J$224),0),
IF('TL11'!$B$229=P$3,SUMIF('TL11'!$C$238:$C$451,$C218,'TL11'!$J$238:$J$451),0),
IF('TL12'!$B$3=P$3,SUMIF('TL12'!$C$10:$C$224,$C218,'TL12'!$J$10:$J$224),0),
IF('TL12'!$B$229=P$3,SUMIF('TL12'!$C$238:$C$451,$C218,'TL12'!$J$238:$J$451),0),
IF('TL13'!$B$3=P$3,SUMIF('TL13'!$C$10:$C$224,$C218,'TL13'!$J$10:$J$224),0),
IF('TL13'!$B$229=P$3,SUMIF('TL13'!$C$238:$C$451,$C218,'TL13'!$J$238:$J$451),0),
IF('TL14'!$B$3=P$3,SUMIF('TL14'!$C$10:$C$224,$C218,'TL14'!$J$10:$J$224),0),
IF('TL14'!$B$229=P$3,SUMIF('TL14'!$C$238:$C$451,$C218,'TL14'!$J$238:$J$451),0),
IF('TL15'!$B$3=P$3,SUMIF('TL15'!$C$10:$C$224,$C218,'TL15'!$J$10:$J$224),0),
IF('TL15'!$B$229=P$3,SUMIF('TL15'!$C$238:$C$451,$C218,'TL15'!$J$238:$J$451),0),
IF('TL16'!$B$3=P$3,SUMIF('TL16'!$C$10:$C$224,$C218,'TL16'!$J$10:$J$224),0),
IF('TL16'!$B$229=P$3,SUMIF('TL16'!$C$238:$C$451,$C218,'TL16'!$J$238:$J$451),0),
IF('TL17'!$B$3=P$3,SUMIF('TL17'!$C$10:$C$224,$C218,'TL17'!$J$10:$J$224),0),
IF('TL17'!$B$229=P$3,SUMIF('TL17'!$C$238:$C$451,$C218,'TL17'!$J$238:$J$451),0),
IF('TL18'!$B$3=P$3,SUMIF('TL18'!$C$10:$C$224,$C218,'TL18'!$J$10:$J$224),0),
IF('TL18'!$B$229=P$3,SUMIF('TL18'!$C$238:$C$451,$C218,'TL18'!$J$238:$J$451),0),
IF('TL19'!$B$3=P$3,SUMIF('TL19'!$C$10:$C$224,$C218,'TL19'!$J$10:$J$224),0),
IF('TL19'!$B$229=P$3,SUMIF('TL19'!$C$238:$C$451,$C218,'TL19'!$J$238:$J$451),0)
),0)</f>
        <v/>
      </c>
      <c r="Q218" s="9">
        <f>IFERROR(SUM(
IF('TL01'!$B$3=Q$3,SUMIF('TL01'!$C$10:$C$224,$C218,'TL01'!$J$10:$J$224),0),
IF('TL01'!$B$229=Q$3,SUMIF('TL01'!$C$238:$C$451,$C218,'TL01'!$J$238:$J$451),0),
IF('TL02'!$B$3=Q$3,SUMIF('TL02'!$C$10:$C$224,$C218,'TL02'!$J$10:$J$224),0),
IF('TL02'!$B$229=Q$3,SUMIF('TL02'!$C$238:$C$451,$C218,'TL02'!$J$238:$J$451),0),
IF('TL03'!$B$3=Q$3,SUMIF('TL03'!$C$10:$C$224,$C218,'TL03'!$J$10:$J$224),0),
IF('TL03'!$B$229=Q$3,SUMIF('TL03'!$C$238:$C$451,$C218,'TL03'!$J$238:$J$451),0),
IF('TL04'!$B$3=Q$3,SUMIF('TL04'!$C$10:$C$224,$C218,'TL04'!$J$10:$J$224),0),
IF('TL04'!$B$229=Q$3,SUMIF('TL04'!$C$238:$C$451,$C218,'TL04'!$J$238:$J$451),0),
IF('TL05'!$B$3=Q$3,SUMIF('TL05'!$C$10:$C$224,$C218,'TL05'!$J$10:$J$224),0),
IF('TL05'!$B$229=Q$3,SUMIF('TL05'!$C$238:$C$451,$C218,'TL05'!$J$238:$J$451),0),
IF('TL06'!$B$3=Q$3,SUMIF('TL06'!$C$10:$C$224,$C218,'TL06'!$J$10:$J$224),0),
IF('TL06'!$B$229=Q$3,SUMIF('TL06'!$C$238:$C$451,$C218,'TL06'!$J$238:$J$451),0),
IF('TL07'!$B$3=Q$3,SUMIF('TL07'!$C$10:$C$224,$C218,'TL07'!$J$10:$J$224),0),
IF('TL07'!$B$229=Q$3,SUMIF('TL07'!$C$238:$C$451,$C218,'TL07'!$J$238:$J$451),0),
IF('TL08'!$B$3=Q$3,SUMIF('TL08'!$C$10:$C$224,$C218,'TL08'!$J$10:$J$224),0),
IF('TL08'!$B$229=Q$3,SUMIF('TL08'!$C$238:$C$451,$C218,'TL08'!$J$238:$J$451),0),
IF('TL09'!$B$3=Q$3,SUMIF('TL09'!$C$10:$C$224,$C218,'TL09'!$J$10:$J$224),0),
IF('TL09'!$B$229=Q$3,SUMIF('TL09'!$C$238:$C$451,$C218,'TL09'!$J$238:$J$451),0),
IF('TL10'!$B$3=Q$3,SUMIF('TL10'!$C$10:$C$224,$C218,'TL10'!$J$10:$J$224),0),
IF('TL10'!$B$229=Q$3,SUMIF('TL10'!$C$238:$C$451,$C218,'TL10'!$J$238:$J$451),0),
IF('TL11'!$B$3=Q$3,SUMIF('TL11'!$C$10:$C$224,$C218,'TL11'!$J$10:$J$224),0),
IF('TL11'!$B$229=Q$3,SUMIF('TL11'!$C$238:$C$451,$C218,'TL11'!$J$238:$J$451),0),
IF('TL12'!$B$3=Q$3,SUMIF('TL12'!$C$10:$C$224,$C218,'TL12'!$J$10:$J$224),0),
IF('TL12'!$B$229=Q$3,SUMIF('TL12'!$C$238:$C$451,$C218,'TL12'!$J$238:$J$451),0),
IF('TL13'!$B$3=Q$3,SUMIF('TL13'!$C$10:$C$224,$C218,'TL13'!$J$10:$J$224),0),
IF('TL13'!$B$229=Q$3,SUMIF('TL13'!$C$238:$C$451,$C218,'TL13'!$J$238:$J$451),0),
IF('TL14'!$B$3=Q$3,SUMIF('TL14'!$C$10:$C$224,$C218,'TL14'!$J$10:$J$224),0),
IF('TL14'!$B$229=Q$3,SUMIF('TL14'!$C$238:$C$451,$C218,'TL14'!$J$238:$J$451),0),
IF('TL15'!$B$3=Q$3,SUMIF('TL15'!$C$10:$C$224,$C218,'TL15'!$J$10:$J$224),0),
IF('TL15'!$B$229=Q$3,SUMIF('TL15'!$C$238:$C$451,$C218,'TL15'!$J$238:$J$451),0),
IF('TL16'!$B$3=Q$3,SUMIF('TL16'!$C$10:$C$224,$C218,'TL16'!$J$10:$J$224),0),
IF('TL16'!$B$229=Q$3,SUMIF('TL16'!$C$238:$C$451,$C218,'TL16'!$J$238:$J$451),0),
IF('TL17'!$B$3=Q$3,SUMIF('TL17'!$C$10:$C$224,$C218,'TL17'!$J$10:$J$224),0),
IF('TL17'!$B$229=Q$3,SUMIF('TL17'!$C$238:$C$451,$C218,'TL17'!$J$238:$J$451),0),
IF('TL18'!$B$3=Q$3,SUMIF('TL18'!$C$10:$C$224,$C218,'TL18'!$J$10:$J$224),0),
IF('TL18'!$B$229=Q$3,SUMIF('TL18'!$C$238:$C$451,$C218,'TL18'!$J$238:$J$451),0),
IF('TL19'!$B$3=Q$3,SUMIF('TL19'!$C$10:$C$224,$C218,'TL19'!$J$10:$J$224),0),
IF('TL19'!$B$229=Q$3,SUMIF('TL19'!$C$238:$C$451,$C218,'TL19'!$J$238:$J$451),0)
),0)</f>
        <v/>
      </c>
      <c r="R218" s="9">
        <f>IFERROR(
SUM(
SUMIF('TL01'!C:C,C218,'TL01'!J:J),
SUMIF('TL02'!C:C,C218,'TL02'!J:J),
SUMIF('TL03'!C:C,C218,'TL03'!J:J),
SUMIF('TL04'!C:C,C218,'TL04'!J:J),
SUMIF('TL05'!C:C,C218,'TL05'!J:J),
SUMIF('TL06'!C:C,C218,'TL06'!J:J),
SUMIF('TL07'!C:C,C218,'TL07'!J:J),
SUMIF('TL08'!C:C,C218,'TL08'!J:J),
SUMIF('TL09'!C:C,C218,'TL09'!J:J),
SUMIF('TL10'!C:C,C218,'TL10'!J:J),
SUMIF('TL11'!C:C,C218,'TL11'!J:J),
SUMIF('TL12'!C:C,C218,'TL12'!J:J),
SUMIF('TL13'!C:C,C218,'TL13'!J:J),
SUMIF('TL14'!C:C,C218,'TL14'!J:J),
SUMIF('TL15'!C:C,C218,'TL15'!J:J),
SUMIF('TL16'!C:C,C218,'TL16'!J:J),
SUMIF('TL17'!C:C,C218,'TL17'!J:J),
SUMIF('TL18'!C:C,C218,'TL18'!J:J),SUMIF('TL19'!C:C,C218,'TL19'!J:J))
,0)</f>
        <v/>
      </c>
      <c r="S218" s="17">
        <f>IFERROR(__xludf.DUMMYFUNCTION("IFERROR(VLOOKUP(C218,
IMPORTRANGE(""1wULbzX32WdYsx-lj2U3uUNBBe2INVIRDtcK0d-Dvl90"",
""26-27!C:G""),
5,
FALSE),
"""")"),40.78389)</f>
        <v/>
      </c>
      <c r="T218" s="9" t="n"/>
      <c r="U218" s="92">
        <f>MAX(0,R218-T218)</f>
        <v/>
      </c>
      <c r="V218" s="93">
        <f>U218*S218</f>
        <v/>
      </c>
    </row>
    <row r="219" hidden="1" ht="15.75" customHeight="1" s="297">
      <c r="A219" s="94" t="inlineStr">
        <is>
          <t>SUMITOMO</t>
        </is>
      </c>
      <c r="B219" s="95" t="inlineStr">
        <is>
          <t>INSETICIDA</t>
        </is>
      </c>
      <c r="C219" s="96" t="inlineStr">
        <is>
          <t>ABADAY</t>
        </is>
      </c>
      <c r="D219" s="96" t="inlineStr">
        <is>
          <t>TIODICARBE + LUFENUROM</t>
        </is>
      </c>
      <c r="E219" s="96" t="inlineStr">
        <is>
          <t>300 + 50</t>
        </is>
      </c>
      <c r="F219" s="4" t="inlineStr">
        <is>
          <t>L</t>
        </is>
      </c>
      <c r="G219" s="90">
        <f>HYPERLINK("https://www.google.com/search?q=" &amp; C219 &amp; "+bula+agrofit+pdf", "📄 Ver bula")</f>
        <v/>
      </c>
      <c r="H219" s="9">
        <f>IFERROR(__xludf.DUMMYFUNCTION("IFERROR(VLOOKUP(C219,
IMPORTRANGE(""1wULbzX32WdYsx-lj2U3uUNBBe2INVIRDtcK0d-Dvl90"",
""26-27!C:K""),
8,
FALSE),
"""")"),1.0)</f>
        <v/>
      </c>
      <c r="I219" s="97" t="inlineStr">
        <is>
          <t>1x20</t>
        </is>
      </c>
      <c r="J219" s="9">
        <f>IFERROR(SUM(
IF('TL01'!$B$3=J$3,SUMIF('TL01'!$C$10:$C$224,$C219,'TL01'!$J$10:$J$224),0),
IF('TL01'!$B$229=J$3,SUMIF('TL01'!$C$238:$C$451,$C219,'TL01'!$J$238:$J$451),0),
IF('TL02'!$B$3=J$3,SUMIF('TL02'!$C$10:$C$224,$C219,'TL02'!$J$10:$J$224),0),
IF('TL02'!$B$229=J$3,SUMIF('TL02'!$C$238:$C$451,$C219,'TL02'!$J$238:$J$451),0),
IF('TL03'!$B$3=J$3,SUMIF('TL03'!$C$10:$C$224,$C219,'TL03'!$J$10:$J$224),0),
IF('TL03'!$B$229=J$3,SUMIF('TL03'!$C$238:$C$451,$C219,'TL03'!$J$238:$J$451),0),
IF('TL04'!$B$3=J$3,SUMIF('TL04'!$C$10:$C$224,$C219,'TL04'!$J$10:$J$224),0),
IF('TL04'!$B$229=J$3,SUMIF('TL04'!$C$238:$C$451,$C219,'TL04'!$J$238:$J$451),0),
IF('TL05'!$B$3=J$3,SUMIF('TL05'!$C$10:$C$224,$C219,'TL05'!$J$10:$J$224),0),
IF('TL05'!$B$229=J$3,SUMIF('TL05'!$C$238:$C$451,$C219,'TL05'!$J$238:$J$451),0),
IF('TL06'!$B$3=J$3,SUMIF('TL06'!$C$10:$C$224,$C219,'TL06'!$J$10:$J$224),0),
IF('TL06'!$B$229=J$3,SUMIF('TL06'!$C$238:$C$451,$C219,'TL06'!$J$238:$J$451),0),
IF('TL07'!$B$3=J$3,SUMIF('TL07'!$C$10:$C$224,$C219,'TL07'!$J$10:$J$224),0),
IF('TL07'!$B$229=J$3,SUMIF('TL07'!$C$238:$C$451,$C219,'TL07'!$J$238:$J$451),0),
IF('TL08'!$B$3=J$3,SUMIF('TL08'!$C$10:$C$224,$C219,'TL08'!$J$10:$J$224),0),
IF('TL08'!$B$229=J$3,SUMIF('TL08'!$C$238:$C$451,$C219,'TL08'!$J$238:$J$451),0),
IF('TL09'!$B$3=J$3,SUMIF('TL09'!$C$10:$C$224,$C219,'TL09'!$J$10:$J$224),0),
IF('TL09'!$B$229=J$3,SUMIF('TL09'!$C$238:$C$451,$C219,'TL09'!$J$238:$J$451),0),
IF('TL10'!$B$3=J$3,SUMIF('TL10'!$C$10:$C$224,$C219,'TL10'!$J$10:$J$224),0),
IF('TL10'!$B$229=J$3,SUMIF('TL10'!$C$238:$C$451,$C219,'TL10'!$J$238:$J$451),0),
IF('TL11'!$B$3=J$3,SUMIF('TL11'!$C$10:$C$224,$C219,'TL11'!$J$10:$J$224),0),
IF('TL11'!$B$229=J$3,SUMIF('TL11'!$C$238:$C$451,$C219,'TL11'!$J$238:$J$451),0),
IF('TL12'!$B$3=J$3,SUMIF('TL12'!$C$10:$C$224,$C219,'TL12'!$J$10:$J$224),0),
IF('TL12'!$B$229=J$3,SUMIF('TL12'!$C$238:$C$451,$C219,'TL12'!$J$238:$J$451),0),
IF('TL13'!$B$3=J$3,SUMIF('TL13'!$C$10:$C$224,$C219,'TL13'!$J$10:$J$224),0),
IF('TL13'!$B$229=J$3,SUMIF('TL13'!$C$238:$C$451,$C219,'TL13'!$J$238:$J$451),0),
IF('TL14'!$B$3=J$3,SUMIF('TL14'!$C$10:$C$224,$C219,'TL14'!$J$10:$J$224),0),
IF('TL14'!$B$229=J$3,SUMIF('TL14'!$C$238:$C$451,$C219,'TL14'!$J$238:$J$451),0),
IF('TL15'!$B$3=J$3,SUMIF('TL15'!$C$10:$C$224,$C219,'TL15'!$J$10:$J$224),0),
IF('TL15'!$B$229=J$3,SUMIF('TL15'!$C$238:$C$451,$C219,'TL15'!$J$238:$J$451),0),
IF('TL16'!$B$3=J$3,SUMIF('TL16'!$C$10:$C$224,$C219,'TL16'!$J$10:$J$224),0),
IF('TL16'!$B$229=J$3,SUMIF('TL16'!$C$238:$C$451,$C219,'TL16'!$J$238:$J$451),0),
IF('TL17'!$B$3=J$3,SUMIF('TL17'!$C$10:$C$224,$C219,'TL17'!$J$10:$J$224),0),
IF('TL17'!$B$229=J$3,SUMIF('TL17'!$C$238:$C$451,$C219,'TL17'!$J$238:$J$451),0),
IF('TL18'!$B$3=J$3,SUMIF('TL18'!$C$10:$C$224,$C219,'TL18'!$J$10:$J$224),0),
IF('TL18'!$B$229=J$3,SUMIF('TL18'!$C$238:$C$451,$C219,'TL18'!$J$238:$J$451),0),
IF('TL19'!$B$3=J$3,SUMIF('TL19'!$C$10:$C$224,$C219,'TL19'!$J$10:$J$224),0),
IF('TL19'!$B$229=J$3,SUMIF('TL19'!$C$238:$C$451,$C219,'TL19'!$J$238:$J$451),0)
),0)</f>
        <v/>
      </c>
      <c r="K219" s="9">
        <f>IFERROR(SUM(
IF('TL01'!$B$3=K$3,SUMIF('TL01'!$C$10:$C$224,$C219,'TL01'!$J$10:$J$224),0),
IF('TL01'!$B$229=K$3,SUMIF('TL01'!$C$238:$C$451,$C219,'TL01'!$J$238:$J$451),0),
IF('TL02'!$B$3=K$3,SUMIF('TL02'!$C$10:$C$224,$C219,'TL02'!$J$10:$J$224),0),
IF('TL02'!$B$229=K$3,SUMIF('TL02'!$C$238:$C$451,$C219,'TL02'!$J$238:$J$451),0),
IF('TL03'!$B$3=K$3,SUMIF('TL03'!$C$10:$C$224,$C219,'TL03'!$J$10:$J$224),0),
IF('TL03'!$B$229=K$3,SUMIF('TL03'!$C$238:$C$451,$C219,'TL03'!$J$238:$J$451),0),
IF('TL04'!$B$3=K$3,SUMIF('TL04'!$C$10:$C$224,$C219,'TL04'!$J$10:$J$224),0),
IF('TL04'!$B$229=K$3,SUMIF('TL04'!$C$238:$C$451,$C219,'TL04'!$J$238:$J$451),0),
IF('TL05'!$B$3=K$3,SUMIF('TL05'!$C$10:$C$224,$C219,'TL05'!$J$10:$J$224),0),
IF('TL05'!$B$229=K$3,SUMIF('TL05'!$C$238:$C$451,$C219,'TL05'!$J$238:$J$451),0),
IF('TL06'!$B$3=K$3,SUMIF('TL06'!$C$10:$C$224,$C219,'TL06'!$J$10:$J$224),0),
IF('TL06'!$B$229=K$3,SUMIF('TL06'!$C$238:$C$451,$C219,'TL06'!$J$238:$J$451),0),
IF('TL07'!$B$3=K$3,SUMIF('TL07'!$C$10:$C$224,$C219,'TL07'!$J$10:$J$224),0),
IF('TL07'!$B$229=K$3,SUMIF('TL07'!$C$238:$C$451,$C219,'TL07'!$J$238:$J$451),0),
IF('TL08'!$B$3=K$3,SUMIF('TL08'!$C$10:$C$224,$C219,'TL08'!$J$10:$J$224),0),
IF('TL08'!$B$229=K$3,SUMIF('TL08'!$C$238:$C$451,$C219,'TL08'!$J$238:$J$451),0),
IF('TL09'!$B$3=K$3,SUMIF('TL09'!$C$10:$C$224,$C219,'TL09'!$J$10:$J$224),0),
IF('TL09'!$B$229=K$3,SUMIF('TL09'!$C$238:$C$451,$C219,'TL09'!$J$238:$J$451),0),
IF('TL10'!$B$3=K$3,SUMIF('TL10'!$C$10:$C$224,$C219,'TL10'!$J$10:$J$224),0),
IF('TL10'!$B$229=K$3,SUMIF('TL10'!$C$238:$C$451,$C219,'TL10'!$J$238:$J$451),0),
IF('TL11'!$B$3=K$3,SUMIF('TL11'!$C$10:$C$224,$C219,'TL11'!$J$10:$J$224),0),
IF('TL11'!$B$229=K$3,SUMIF('TL11'!$C$238:$C$451,$C219,'TL11'!$J$238:$J$451),0),
IF('TL12'!$B$3=K$3,SUMIF('TL12'!$C$10:$C$224,$C219,'TL12'!$J$10:$J$224),0),
IF('TL12'!$B$229=K$3,SUMIF('TL12'!$C$238:$C$451,$C219,'TL12'!$J$238:$J$451),0),
IF('TL13'!$B$3=K$3,SUMIF('TL13'!$C$10:$C$224,$C219,'TL13'!$J$10:$J$224),0),
IF('TL13'!$B$229=K$3,SUMIF('TL13'!$C$238:$C$451,$C219,'TL13'!$J$238:$J$451),0),
IF('TL14'!$B$3=K$3,SUMIF('TL14'!$C$10:$C$224,$C219,'TL14'!$J$10:$J$224),0),
IF('TL14'!$B$229=K$3,SUMIF('TL14'!$C$238:$C$451,$C219,'TL14'!$J$238:$J$451),0),
IF('TL15'!$B$3=K$3,SUMIF('TL15'!$C$10:$C$224,$C219,'TL15'!$J$10:$J$224),0),
IF('TL15'!$B$229=K$3,SUMIF('TL15'!$C$238:$C$451,$C219,'TL15'!$J$238:$J$451),0),
IF('TL16'!$B$3=K$3,SUMIF('TL16'!$C$10:$C$224,$C219,'TL16'!$J$10:$J$224),0),
IF('TL16'!$B$229=K$3,SUMIF('TL16'!$C$238:$C$451,$C219,'TL16'!$J$238:$J$451),0),
IF('TL17'!$B$3=K$3,SUMIF('TL17'!$C$10:$C$224,$C219,'TL17'!$J$10:$J$224),0),
IF('TL17'!$B$229=K$3,SUMIF('TL17'!$C$238:$C$451,$C219,'TL17'!$J$238:$J$451),0),
IF('TL18'!$B$3=K$3,SUMIF('TL18'!$C$10:$C$224,$C219,'TL18'!$J$10:$J$224),0),
IF('TL18'!$B$229=K$3,SUMIF('TL18'!$C$238:$C$451,$C219,'TL18'!$J$238:$J$451),0),
IF('TL19'!$B$3=K$3,SUMIF('TL19'!$C$10:$C$224,$C219,'TL19'!$J$10:$J$224),0),
IF('TL19'!$B$229=K$3,SUMIF('TL19'!$C$238:$C$451,$C219,'TL19'!$J$238:$J$451),0)
),0)</f>
        <v/>
      </c>
      <c r="L219" s="9">
        <f>IFERROR(SUM(
IF('TL01'!$B$3=L$3,SUMIF('TL01'!$C$10:$C$224,$C219,'TL01'!$J$10:$J$224),0),
IF('TL01'!$B$229=L$3,SUMIF('TL01'!$C$238:$C$451,$C219,'TL01'!$J$238:$J$451),0),
IF('TL02'!$B$3=L$3,SUMIF('TL02'!$C$10:$C$224,$C219,'TL02'!$J$10:$J$224),0),
IF('TL02'!$B$229=L$3,SUMIF('TL02'!$C$238:$C$451,$C219,'TL02'!$J$238:$J$451),0),
IF('TL03'!$B$3=L$3,SUMIF('TL03'!$C$10:$C$224,$C219,'TL03'!$J$10:$J$224),0),
IF('TL03'!$B$229=L$3,SUMIF('TL03'!$C$238:$C$451,$C219,'TL03'!$J$238:$J$451),0),
IF('TL04'!$B$3=L$3,SUMIF('TL04'!$C$10:$C$224,$C219,'TL04'!$J$10:$J$224),0),
IF('TL04'!$B$229=L$3,SUMIF('TL04'!$C$238:$C$451,$C219,'TL04'!$J$238:$J$451),0),
IF('TL05'!$B$3=L$3,SUMIF('TL05'!$C$10:$C$224,$C219,'TL05'!$J$10:$J$224),0),
IF('TL05'!$B$229=L$3,SUMIF('TL05'!$C$238:$C$451,$C219,'TL05'!$J$238:$J$451),0),
IF('TL06'!$B$3=L$3,SUMIF('TL06'!$C$10:$C$224,$C219,'TL06'!$J$10:$J$224),0),
IF('TL06'!$B$229=L$3,SUMIF('TL06'!$C$238:$C$451,$C219,'TL06'!$J$238:$J$451),0),
IF('TL07'!$B$3=L$3,SUMIF('TL07'!$C$10:$C$224,$C219,'TL07'!$J$10:$J$224),0),
IF('TL07'!$B$229=L$3,SUMIF('TL07'!$C$238:$C$451,$C219,'TL07'!$J$238:$J$451),0),
IF('TL08'!$B$3=L$3,SUMIF('TL08'!$C$10:$C$224,$C219,'TL08'!$J$10:$J$224),0),
IF('TL08'!$B$229=L$3,SUMIF('TL08'!$C$238:$C$451,$C219,'TL08'!$J$238:$J$451),0),
IF('TL09'!$B$3=L$3,SUMIF('TL09'!$C$10:$C$224,$C219,'TL09'!$J$10:$J$224),0),
IF('TL09'!$B$229=L$3,SUMIF('TL09'!$C$238:$C$451,$C219,'TL09'!$J$238:$J$451),0),
IF('TL10'!$B$3=L$3,SUMIF('TL10'!$C$10:$C$224,$C219,'TL10'!$J$10:$J$224),0),
IF('TL10'!$B$229=L$3,SUMIF('TL10'!$C$238:$C$451,$C219,'TL10'!$J$238:$J$451),0),
IF('TL11'!$B$3=L$3,SUMIF('TL11'!$C$10:$C$224,$C219,'TL11'!$J$10:$J$224),0),
IF('TL11'!$B$229=L$3,SUMIF('TL11'!$C$238:$C$451,$C219,'TL11'!$J$238:$J$451),0),
IF('TL12'!$B$3=L$3,SUMIF('TL12'!$C$10:$C$224,$C219,'TL12'!$J$10:$J$224),0),
IF('TL12'!$B$229=L$3,SUMIF('TL12'!$C$238:$C$451,$C219,'TL12'!$J$238:$J$451),0),
IF('TL13'!$B$3=L$3,SUMIF('TL13'!$C$10:$C$224,$C219,'TL13'!$J$10:$J$224),0),
IF('TL13'!$B$229=L$3,SUMIF('TL13'!$C$238:$C$451,$C219,'TL13'!$J$238:$J$451),0),
IF('TL14'!$B$3=L$3,SUMIF('TL14'!$C$10:$C$224,$C219,'TL14'!$J$10:$J$224),0),
IF('TL14'!$B$229=L$3,SUMIF('TL14'!$C$238:$C$451,$C219,'TL14'!$J$238:$J$451),0),
IF('TL15'!$B$3=L$3,SUMIF('TL15'!$C$10:$C$224,$C219,'TL15'!$J$10:$J$224),0),
IF('TL15'!$B$229=L$3,SUMIF('TL15'!$C$238:$C$451,$C219,'TL15'!$J$238:$J$451),0),
IF('TL16'!$B$3=L$3,SUMIF('TL16'!$C$10:$C$224,$C219,'TL16'!$J$10:$J$224),0),
IF('TL16'!$B$229=L$3,SUMIF('TL16'!$C$238:$C$451,$C219,'TL16'!$J$238:$J$451),0),
IF('TL17'!$B$3=L$3,SUMIF('TL17'!$C$10:$C$224,$C219,'TL17'!$J$10:$J$224),0),
IF('TL17'!$B$229=L$3,SUMIF('TL17'!$C$238:$C$451,$C219,'TL17'!$J$238:$J$451),0),
IF('TL18'!$B$3=L$3,SUMIF('TL18'!$C$10:$C$224,$C219,'TL18'!$J$10:$J$224),0),
IF('TL18'!$B$229=L$3,SUMIF('TL18'!$C$238:$C$451,$C219,'TL18'!$J$238:$J$451),0),
IF('TL19'!$B$3=L$3,SUMIF('TL19'!$C$10:$C$224,$C219,'TL19'!$J$10:$J$224),0),
IF('TL19'!$B$229=L$3,SUMIF('TL19'!$C$238:$C$451,$C219,'TL19'!$J$238:$J$451),0)
),0)</f>
        <v/>
      </c>
      <c r="M219" s="9">
        <f>IFERROR(SUM(
IF('TL01'!$B$3=M$3,SUMIF('TL01'!$C$10:$C$224,$C219,'TL01'!$J$10:$J$224),0),
IF('TL01'!$B$229=M$3,SUMIF('TL01'!$C$238:$C$451,$C219,'TL01'!$J$238:$J$451),0),
IF('TL02'!$B$3=M$3,SUMIF('TL02'!$C$10:$C$224,$C219,'TL02'!$J$10:$J$224),0),
IF('TL02'!$B$229=M$3,SUMIF('TL02'!$C$238:$C$451,$C219,'TL02'!$J$238:$J$451),0),
IF('TL03'!$B$3=M$3,SUMIF('TL03'!$C$10:$C$224,$C219,'TL03'!$J$10:$J$224),0),
IF('TL03'!$B$229=M$3,SUMIF('TL03'!$C$238:$C$451,$C219,'TL03'!$J$238:$J$451),0),
IF('TL04'!$B$3=M$3,SUMIF('TL04'!$C$10:$C$224,$C219,'TL04'!$J$10:$J$224),0),
IF('TL04'!$B$229=M$3,SUMIF('TL04'!$C$238:$C$451,$C219,'TL04'!$J$238:$J$451),0),
IF('TL05'!$B$3=M$3,SUMIF('TL05'!$C$10:$C$224,$C219,'TL05'!$J$10:$J$224),0),
IF('TL05'!$B$229=M$3,SUMIF('TL05'!$C$238:$C$451,$C219,'TL05'!$J$238:$J$451),0),
IF('TL06'!$B$3=M$3,SUMIF('TL06'!$C$10:$C$224,$C219,'TL06'!$J$10:$J$224),0),
IF('TL06'!$B$229=M$3,SUMIF('TL06'!$C$238:$C$451,$C219,'TL06'!$J$238:$J$451),0),
IF('TL07'!$B$3=M$3,SUMIF('TL07'!$C$10:$C$224,$C219,'TL07'!$J$10:$J$224),0),
IF('TL07'!$B$229=M$3,SUMIF('TL07'!$C$238:$C$451,$C219,'TL07'!$J$238:$J$451),0),
IF('TL08'!$B$3=M$3,SUMIF('TL08'!$C$10:$C$224,$C219,'TL08'!$J$10:$J$224),0),
IF('TL08'!$B$229=M$3,SUMIF('TL08'!$C$238:$C$451,$C219,'TL08'!$J$238:$J$451),0),
IF('TL09'!$B$3=M$3,SUMIF('TL09'!$C$10:$C$224,$C219,'TL09'!$J$10:$J$224),0),
IF('TL09'!$B$229=M$3,SUMIF('TL09'!$C$238:$C$451,$C219,'TL09'!$J$238:$J$451),0),
IF('TL10'!$B$3=M$3,SUMIF('TL10'!$C$10:$C$224,$C219,'TL10'!$J$10:$J$224),0),
IF('TL10'!$B$229=M$3,SUMIF('TL10'!$C$238:$C$451,$C219,'TL10'!$J$238:$J$451),0),
IF('TL11'!$B$3=M$3,SUMIF('TL11'!$C$10:$C$224,$C219,'TL11'!$J$10:$J$224),0),
IF('TL11'!$B$229=M$3,SUMIF('TL11'!$C$238:$C$451,$C219,'TL11'!$J$238:$J$451),0),
IF('TL12'!$B$3=M$3,SUMIF('TL12'!$C$10:$C$224,$C219,'TL12'!$J$10:$J$224),0),
IF('TL12'!$B$229=M$3,SUMIF('TL12'!$C$238:$C$451,$C219,'TL12'!$J$238:$J$451),0),
IF('TL13'!$B$3=M$3,SUMIF('TL13'!$C$10:$C$224,$C219,'TL13'!$J$10:$J$224),0),
IF('TL13'!$B$229=M$3,SUMIF('TL13'!$C$238:$C$451,$C219,'TL13'!$J$238:$J$451),0),
IF('TL14'!$B$3=M$3,SUMIF('TL14'!$C$10:$C$224,$C219,'TL14'!$J$10:$J$224),0),
IF('TL14'!$B$229=M$3,SUMIF('TL14'!$C$238:$C$451,$C219,'TL14'!$J$238:$J$451),0),
IF('TL15'!$B$3=M$3,SUMIF('TL15'!$C$10:$C$224,$C219,'TL15'!$J$10:$J$224),0),
IF('TL15'!$B$229=M$3,SUMIF('TL15'!$C$238:$C$451,$C219,'TL15'!$J$238:$J$451),0),
IF('TL16'!$B$3=M$3,SUMIF('TL16'!$C$10:$C$224,$C219,'TL16'!$J$10:$J$224),0),
IF('TL16'!$B$229=M$3,SUMIF('TL16'!$C$238:$C$451,$C219,'TL16'!$J$238:$J$451),0),
IF('TL17'!$B$3=M$3,SUMIF('TL17'!$C$10:$C$224,$C219,'TL17'!$J$10:$J$224),0),
IF('TL17'!$B$229=M$3,SUMIF('TL17'!$C$238:$C$451,$C219,'TL17'!$J$238:$J$451),0),
IF('TL18'!$B$3=M$3,SUMIF('TL18'!$C$10:$C$224,$C219,'TL18'!$J$10:$J$224),0),
IF('TL18'!$B$229=M$3,SUMIF('TL18'!$C$238:$C$451,$C219,'TL18'!$J$238:$J$451),0),
IF('TL19'!$B$3=M$3,SUMIF('TL19'!$C$10:$C$224,$C219,'TL19'!$J$10:$J$224),0),
IF('TL19'!$B$229=M$3,SUMIF('TL19'!$C$238:$C$451,$C219,'TL19'!$J$238:$J$451),0)
),0)</f>
        <v/>
      </c>
      <c r="N219" s="9">
        <f>IFERROR(SUM(
IF('TL01'!$B$3=N$3,SUMIF('TL01'!$C$10:$C$224,$C219,'TL01'!$J$10:$J$224),0),
IF('TL01'!$B$229=N$3,SUMIF('TL01'!$C$238:$C$451,$C219,'TL01'!$J$238:$J$451),0),
IF('TL02'!$B$3=N$3,SUMIF('TL02'!$C$10:$C$224,$C219,'TL02'!$J$10:$J$224),0),
IF('TL02'!$B$229=N$3,SUMIF('TL02'!$C$238:$C$451,$C219,'TL02'!$J$238:$J$451),0),
IF('TL03'!$B$3=N$3,SUMIF('TL03'!$C$10:$C$224,$C219,'TL03'!$J$10:$J$224),0),
IF('TL03'!$B$229=N$3,SUMIF('TL03'!$C$238:$C$451,$C219,'TL03'!$J$238:$J$451),0),
IF('TL04'!$B$3=N$3,SUMIF('TL04'!$C$10:$C$224,$C219,'TL04'!$J$10:$J$224),0),
IF('TL04'!$B$229=N$3,SUMIF('TL04'!$C$238:$C$451,$C219,'TL04'!$J$238:$J$451),0),
IF('TL05'!$B$3=N$3,SUMIF('TL05'!$C$10:$C$224,$C219,'TL05'!$J$10:$J$224),0),
IF('TL05'!$B$229=N$3,SUMIF('TL05'!$C$238:$C$451,$C219,'TL05'!$J$238:$J$451),0),
IF('TL06'!$B$3=N$3,SUMIF('TL06'!$C$10:$C$224,$C219,'TL06'!$J$10:$J$224),0),
IF('TL06'!$B$229=N$3,SUMIF('TL06'!$C$238:$C$451,$C219,'TL06'!$J$238:$J$451),0),
IF('TL07'!$B$3=N$3,SUMIF('TL07'!$C$10:$C$224,$C219,'TL07'!$J$10:$J$224),0),
IF('TL07'!$B$229=N$3,SUMIF('TL07'!$C$238:$C$451,$C219,'TL07'!$J$238:$J$451),0),
IF('TL08'!$B$3=N$3,SUMIF('TL08'!$C$10:$C$224,$C219,'TL08'!$J$10:$J$224),0),
IF('TL08'!$B$229=N$3,SUMIF('TL08'!$C$238:$C$451,$C219,'TL08'!$J$238:$J$451),0),
IF('TL09'!$B$3=N$3,SUMIF('TL09'!$C$10:$C$224,$C219,'TL09'!$J$10:$J$224),0),
IF('TL09'!$B$229=N$3,SUMIF('TL09'!$C$238:$C$451,$C219,'TL09'!$J$238:$J$451),0),
IF('TL10'!$B$3=N$3,SUMIF('TL10'!$C$10:$C$224,$C219,'TL10'!$J$10:$J$224),0),
IF('TL10'!$B$229=N$3,SUMIF('TL10'!$C$238:$C$451,$C219,'TL10'!$J$238:$J$451),0),
IF('TL11'!$B$3=N$3,SUMIF('TL11'!$C$10:$C$224,$C219,'TL11'!$J$10:$J$224),0),
IF('TL11'!$B$229=N$3,SUMIF('TL11'!$C$238:$C$451,$C219,'TL11'!$J$238:$J$451),0),
IF('TL12'!$B$3=N$3,SUMIF('TL12'!$C$10:$C$224,$C219,'TL12'!$J$10:$J$224),0),
IF('TL12'!$B$229=N$3,SUMIF('TL12'!$C$238:$C$451,$C219,'TL12'!$J$238:$J$451),0),
IF('TL13'!$B$3=N$3,SUMIF('TL13'!$C$10:$C$224,$C219,'TL13'!$J$10:$J$224),0),
IF('TL13'!$B$229=N$3,SUMIF('TL13'!$C$238:$C$451,$C219,'TL13'!$J$238:$J$451),0),
IF('TL14'!$B$3=N$3,SUMIF('TL14'!$C$10:$C$224,$C219,'TL14'!$J$10:$J$224),0),
IF('TL14'!$B$229=N$3,SUMIF('TL14'!$C$238:$C$451,$C219,'TL14'!$J$238:$J$451),0),
IF('TL15'!$B$3=N$3,SUMIF('TL15'!$C$10:$C$224,$C219,'TL15'!$J$10:$J$224),0),
IF('TL15'!$B$229=N$3,SUMIF('TL15'!$C$238:$C$451,$C219,'TL15'!$J$238:$J$451),0),
IF('TL16'!$B$3=N$3,SUMIF('TL16'!$C$10:$C$224,$C219,'TL16'!$J$10:$J$224),0),
IF('TL16'!$B$229=N$3,SUMIF('TL16'!$C$238:$C$451,$C219,'TL16'!$J$238:$J$451),0),
IF('TL17'!$B$3=N$3,SUMIF('TL17'!$C$10:$C$224,$C219,'TL17'!$J$10:$J$224),0),
IF('TL17'!$B$229=N$3,SUMIF('TL17'!$C$238:$C$451,$C219,'TL17'!$J$238:$J$451),0),
IF('TL18'!$B$3=N$3,SUMIF('TL18'!$C$10:$C$224,$C219,'TL18'!$J$10:$J$224),0),
IF('TL18'!$B$229=N$3,SUMIF('TL18'!$C$238:$C$451,$C219,'TL18'!$J$238:$J$451),0),
IF('TL19'!$B$3=N$3,SUMIF('TL19'!$C$10:$C$224,$C219,'TL19'!$J$10:$J$224),0),
IF('TL19'!$B$229=N$3,SUMIF('TL19'!$C$238:$C$451,$C219,'TL19'!$J$238:$J$451),0)
),0)</f>
        <v/>
      </c>
      <c r="O219" s="9">
        <f>IFERROR(SUM(
IF('TL01'!$B$3=O$3,SUMIF('TL01'!$C$10:$C$224,$C219,'TL01'!$J$10:$J$224),0),
IF('TL01'!$B$229=O$3,SUMIF('TL01'!$C$238:$C$451,$C219,'TL01'!$J$238:$J$451),0),
IF('TL02'!$B$3=O$3,SUMIF('TL02'!$C$10:$C$224,$C219,'TL02'!$J$10:$J$224),0),
IF('TL02'!$B$229=O$3,SUMIF('TL02'!$C$238:$C$451,$C219,'TL02'!$J$238:$J$451),0),
IF('TL03'!$B$3=O$3,SUMIF('TL03'!$C$10:$C$224,$C219,'TL03'!$J$10:$J$224),0),
IF('TL03'!$B$229=O$3,SUMIF('TL03'!$C$238:$C$451,$C219,'TL03'!$J$238:$J$451),0),
IF('TL04'!$B$3=O$3,SUMIF('TL04'!$C$10:$C$224,$C219,'TL04'!$J$10:$J$224),0),
IF('TL04'!$B$229=O$3,SUMIF('TL04'!$C$238:$C$451,$C219,'TL04'!$J$238:$J$451),0),
IF('TL05'!$B$3=O$3,SUMIF('TL05'!$C$10:$C$224,$C219,'TL05'!$J$10:$J$224),0),
IF('TL05'!$B$229=O$3,SUMIF('TL05'!$C$238:$C$451,$C219,'TL05'!$J$238:$J$451),0),
IF('TL06'!$B$3=O$3,SUMIF('TL06'!$C$10:$C$224,$C219,'TL06'!$J$10:$J$224),0),
IF('TL06'!$B$229=O$3,SUMIF('TL06'!$C$238:$C$451,$C219,'TL06'!$J$238:$J$451),0),
IF('TL07'!$B$3=O$3,SUMIF('TL07'!$C$10:$C$224,$C219,'TL07'!$J$10:$J$224),0),
IF('TL07'!$B$229=O$3,SUMIF('TL07'!$C$238:$C$451,$C219,'TL07'!$J$238:$J$451),0),
IF('TL08'!$B$3=O$3,SUMIF('TL08'!$C$10:$C$224,$C219,'TL08'!$J$10:$J$224),0),
IF('TL08'!$B$229=O$3,SUMIF('TL08'!$C$238:$C$451,$C219,'TL08'!$J$238:$J$451),0),
IF('TL09'!$B$3=O$3,SUMIF('TL09'!$C$10:$C$224,$C219,'TL09'!$J$10:$J$224),0),
IF('TL09'!$B$229=O$3,SUMIF('TL09'!$C$238:$C$451,$C219,'TL09'!$J$238:$J$451),0),
IF('TL10'!$B$3=O$3,SUMIF('TL10'!$C$10:$C$224,$C219,'TL10'!$J$10:$J$224),0),
IF('TL10'!$B$229=O$3,SUMIF('TL10'!$C$238:$C$451,$C219,'TL10'!$J$238:$J$451),0),
IF('TL11'!$B$3=O$3,SUMIF('TL11'!$C$10:$C$224,$C219,'TL11'!$J$10:$J$224),0),
IF('TL11'!$B$229=O$3,SUMIF('TL11'!$C$238:$C$451,$C219,'TL11'!$J$238:$J$451),0),
IF('TL12'!$B$3=O$3,SUMIF('TL12'!$C$10:$C$224,$C219,'TL12'!$J$10:$J$224),0),
IF('TL12'!$B$229=O$3,SUMIF('TL12'!$C$238:$C$451,$C219,'TL12'!$J$238:$J$451),0),
IF('TL13'!$B$3=O$3,SUMIF('TL13'!$C$10:$C$224,$C219,'TL13'!$J$10:$J$224),0),
IF('TL13'!$B$229=O$3,SUMIF('TL13'!$C$238:$C$451,$C219,'TL13'!$J$238:$J$451),0),
IF('TL14'!$B$3=O$3,SUMIF('TL14'!$C$10:$C$224,$C219,'TL14'!$J$10:$J$224),0),
IF('TL14'!$B$229=O$3,SUMIF('TL14'!$C$238:$C$451,$C219,'TL14'!$J$238:$J$451),0),
IF('TL15'!$B$3=O$3,SUMIF('TL15'!$C$10:$C$224,$C219,'TL15'!$J$10:$J$224),0),
IF('TL15'!$B$229=O$3,SUMIF('TL15'!$C$238:$C$451,$C219,'TL15'!$J$238:$J$451),0),
IF('TL16'!$B$3=O$3,SUMIF('TL16'!$C$10:$C$224,$C219,'TL16'!$J$10:$J$224),0),
IF('TL16'!$B$229=O$3,SUMIF('TL16'!$C$238:$C$451,$C219,'TL16'!$J$238:$J$451),0),
IF('TL17'!$B$3=O$3,SUMIF('TL17'!$C$10:$C$224,$C219,'TL17'!$J$10:$J$224),0),
IF('TL17'!$B$229=O$3,SUMIF('TL17'!$C$238:$C$451,$C219,'TL17'!$J$238:$J$451),0),
IF('TL18'!$B$3=O$3,SUMIF('TL18'!$C$10:$C$224,$C219,'TL18'!$J$10:$J$224),0),
IF('TL18'!$B$229=O$3,SUMIF('TL18'!$C$238:$C$451,$C219,'TL18'!$J$238:$J$451),0),
IF('TL19'!$B$3=O$3,SUMIF('TL19'!$C$10:$C$224,$C219,'TL19'!$J$10:$J$224),0),
IF('TL19'!$B$229=O$3,SUMIF('TL19'!$C$238:$C$451,$C219,'TL19'!$J$238:$J$451),0)
),0)</f>
        <v/>
      </c>
      <c r="P219" s="9">
        <f>IFERROR(SUM(
IF('TL01'!$B$3=P$3,SUMIF('TL01'!$C$10:$C$224,$C219,'TL01'!$J$10:$J$224),0),
IF('TL01'!$B$229=P$3,SUMIF('TL01'!$C$238:$C$451,$C219,'TL01'!$J$238:$J$451),0),
IF('TL02'!$B$3=P$3,SUMIF('TL02'!$C$10:$C$224,$C219,'TL02'!$J$10:$J$224),0),
IF('TL02'!$B$229=P$3,SUMIF('TL02'!$C$238:$C$451,$C219,'TL02'!$J$238:$J$451),0),
IF('TL03'!$B$3=P$3,SUMIF('TL03'!$C$10:$C$224,$C219,'TL03'!$J$10:$J$224),0),
IF('TL03'!$B$229=P$3,SUMIF('TL03'!$C$238:$C$451,$C219,'TL03'!$J$238:$J$451),0),
IF('TL04'!$B$3=P$3,SUMIF('TL04'!$C$10:$C$224,$C219,'TL04'!$J$10:$J$224),0),
IF('TL04'!$B$229=P$3,SUMIF('TL04'!$C$238:$C$451,$C219,'TL04'!$J$238:$J$451),0),
IF('TL05'!$B$3=P$3,SUMIF('TL05'!$C$10:$C$224,$C219,'TL05'!$J$10:$J$224),0),
IF('TL05'!$B$229=P$3,SUMIF('TL05'!$C$238:$C$451,$C219,'TL05'!$J$238:$J$451),0),
IF('TL06'!$B$3=P$3,SUMIF('TL06'!$C$10:$C$224,$C219,'TL06'!$J$10:$J$224),0),
IF('TL06'!$B$229=P$3,SUMIF('TL06'!$C$238:$C$451,$C219,'TL06'!$J$238:$J$451),0),
IF('TL07'!$B$3=P$3,SUMIF('TL07'!$C$10:$C$224,$C219,'TL07'!$J$10:$J$224),0),
IF('TL07'!$B$229=P$3,SUMIF('TL07'!$C$238:$C$451,$C219,'TL07'!$J$238:$J$451),0),
IF('TL08'!$B$3=P$3,SUMIF('TL08'!$C$10:$C$224,$C219,'TL08'!$J$10:$J$224),0),
IF('TL08'!$B$229=P$3,SUMIF('TL08'!$C$238:$C$451,$C219,'TL08'!$J$238:$J$451),0),
IF('TL09'!$B$3=P$3,SUMIF('TL09'!$C$10:$C$224,$C219,'TL09'!$J$10:$J$224),0),
IF('TL09'!$B$229=P$3,SUMIF('TL09'!$C$238:$C$451,$C219,'TL09'!$J$238:$J$451),0),
IF('TL10'!$B$3=P$3,SUMIF('TL10'!$C$10:$C$224,$C219,'TL10'!$J$10:$J$224),0),
IF('TL10'!$B$229=P$3,SUMIF('TL10'!$C$238:$C$451,$C219,'TL10'!$J$238:$J$451),0),
IF('TL11'!$B$3=P$3,SUMIF('TL11'!$C$10:$C$224,$C219,'TL11'!$J$10:$J$224),0),
IF('TL11'!$B$229=P$3,SUMIF('TL11'!$C$238:$C$451,$C219,'TL11'!$J$238:$J$451),0),
IF('TL12'!$B$3=P$3,SUMIF('TL12'!$C$10:$C$224,$C219,'TL12'!$J$10:$J$224),0),
IF('TL12'!$B$229=P$3,SUMIF('TL12'!$C$238:$C$451,$C219,'TL12'!$J$238:$J$451),0),
IF('TL13'!$B$3=P$3,SUMIF('TL13'!$C$10:$C$224,$C219,'TL13'!$J$10:$J$224),0),
IF('TL13'!$B$229=P$3,SUMIF('TL13'!$C$238:$C$451,$C219,'TL13'!$J$238:$J$451),0),
IF('TL14'!$B$3=P$3,SUMIF('TL14'!$C$10:$C$224,$C219,'TL14'!$J$10:$J$224),0),
IF('TL14'!$B$229=P$3,SUMIF('TL14'!$C$238:$C$451,$C219,'TL14'!$J$238:$J$451),0),
IF('TL15'!$B$3=P$3,SUMIF('TL15'!$C$10:$C$224,$C219,'TL15'!$J$10:$J$224),0),
IF('TL15'!$B$229=P$3,SUMIF('TL15'!$C$238:$C$451,$C219,'TL15'!$J$238:$J$451),0),
IF('TL16'!$B$3=P$3,SUMIF('TL16'!$C$10:$C$224,$C219,'TL16'!$J$10:$J$224),0),
IF('TL16'!$B$229=P$3,SUMIF('TL16'!$C$238:$C$451,$C219,'TL16'!$J$238:$J$451),0),
IF('TL17'!$B$3=P$3,SUMIF('TL17'!$C$10:$C$224,$C219,'TL17'!$J$10:$J$224),0),
IF('TL17'!$B$229=P$3,SUMIF('TL17'!$C$238:$C$451,$C219,'TL17'!$J$238:$J$451),0),
IF('TL18'!$B$3=P$3,SUMIF('TL18'!$C$10:$C$224,$C219,'TL18'!$J$10:$J$224),0),
IF('TL18'!$B$229=P$3,SUMIF('TL18'!$C$238:$C$451,$C219,'TL18'!$J$238:$J$451),0),
IF('TL19'!$B$3=P$3,SUMIF('TL19'!$C$10:$C$224,$C219,'TL19'!$J$10:$J$224),0),
IF('TL19'!$B$229=P$3,SUMIF('TL19'!$C$238:$C$451,$C219,'TL19'!$J$238:$J$451),0)
),0)</f>
        <v/>
      </c>
      <c r="Q219" s="9">
        <f>IFERROR(SUM(
IF('TL01'!$B$3=Q$3,SUMIF('TL01'!$C$10:$C$224,$C219,'TL01'!$J$10:$J$224),0),
IF('TL01'!$B$229=Q$3,SUMIF('TL01'!$C$238:$C$451,$C219,'TL01'!$J$238:$J$451),0),
IF('TL02'!$B$3=Q$3,SUMIF('TL02'!$C$10:$C$224,$C219,'TL02'!$J$10:$J$224),0),
IF('TL02'!$B$229=Q$3,SUMIF('TL02'!$C$238:$C$451,$C219,'TL02'!$J$238:$J$451),0),
IF('TL03'!$B$3=Q$3,SUMIF('TL03'!$C$10:$C$224,$C219,'TL03'!$J$10:$J$224),0),
IF('TL03'!$B$229=Q$3,SUMIF('TL03'!$C$238:$C$451,$C219,'TL03'!$J$238:$J$451),0),
IF('TL04'!$B$3=Q$3,SUMIF('TL04'!$C$10:$C$224,$C219,'TL04'!$J$10:$J$224),0),
IF('TL04'!$B$229=Q$3,SUMIF('TL04'!$C$238:$C$451,$C219,'TL04'!$J$238:$J$451),0),
IF('TL05'!$B$3=Q$3,SUMIF('TL05'!$C$10:$C$224,$C219,'TL05'!$J$10:$J$224),0),
IF('TL05'!$B$229=Q$3,SUMIF('TL05'!$C$238:$C$451,$C219,'TL05'!$J$238:$J$451),0),
IF('TL06'!$B$3=Q$3,SUMIF('TL06'!$C$10:$C$224,$C219,'TL06'!$J$10:$J$224),0),
IF('TL06'!$B$229=Q$3,SUMIF('TL06'!$C$238:$C$451,$C219,'TL06'!$J$238:$J$451),0),
IF('TL07'!$B$3=Q$3,SUMIF('TL07'!$C$10:$C$224,$C219,'TL07'!$J$10:$J$224),0),
IF('TL07'!$B$229=Q$3,SUMIF('TL07'!$C$238:$C$451,$C219,'TL07'!$J$238:$J$451),0),
IF('TL08'!$B$3=Q$3,SUMIF('TL08'!$C$10:$C$224,$C219,'TL08'!$J$10:$J$224),0),
IF('TL08'!$B$229=Q$3,SUMIF('TL08'!$C$238:$C$451,$C219,'TL08'!$J$238:$J$451),0),
IF('TL09'!$B$3=Q$3,SUMIF('TL09'!$C$10:$C$224,$C219,'TL09'!$J$10:$J$224),0),
IF('TL09'!$B$229=Q$3,SUMIF('TL09'!$C$238:$C$451,$C219,'TL09'!$J$238:$J$451),0),
IF('TL10'!$B$3=Q$3,SUMIF('TL10'!$C$10:$C$224,$C219,'TL10'!$J$10:$J$224),0),
IF('TL10'!$B$229=Q$3,SUMIF('TL10'!$C$238:$C$451,$C219,'TL10'!$J$238:$J$451),0),
IF('TL11'!$B$3=Q$3,SUMIF('TL11'!$C$10:$C$224,$C219,'TL11'!$J$10:$J$224),0),
IF('TL11'!$B$229=Q$3,SUMIF('TL11'!$C$238:$C$451,$C219,'TL11'!$J$238:$J$451),0),
IF('TL12'!$B$3=Q$3,SUMIF('TL12'!$C$10:$C$224,$C219,'TL12'!$J$10:$J$224),0),
IF('TL12'!$B$229=Q$3,SUMIF('TL12'!$C$238:$C$451,$C219,'TL12'!$J$238:$J$451),0),
IF('TL13'!$B$3=Q$3,SUMIF('TL13'!$C$10:$C$224,$C219,'TL13'!$J$10:$J$224),0),
IF('TL13'!$B$229=Q$3,SUMIF('TL13'!$C$238:$C$451,$C219,'TL13'!$J$238:$J$451),0),
IF('TL14'!$B$3=Q$3,SUMIF('TL14'!$C$10:$C$224,$C219,'TL14'!$J$10:$J$224),0),
IF('TL14'!$B$229=Q$3,SUMIF('TL14'!$C$238:$C$451,$C219,'TL14'!$J$238:$J$451),0),
IF('TL15'!$B$3=Q$3,SUMIF('TL15'!$C$10:$C$224,$C219,'TL15'!$J$10:$J$224),0),
IF('TL15'!$B$229=Q$3,SUMIF('TL15'!$C$238:$C$451,$C219,'TL15'!$J$238:$J$451),0),
IF('TL16'!$B$3=Q$3,SUMIF('TL16'!$C$10:$C$224,$C219,'TL16'!$J$10:$J$224),0),
IF('TL16'!$B$229=Q$3,SUMIF('TL16'!$C$238:$C$451,$C219,'TL16'!$J$238:$J$451),0),
IF('TL17'!$B$3=Q$3,SUMIF('TL17'!$C$10:$C$224,$C219,'TL17'!$J$10:$J$224),0),
IF('TL17'!$B$229=Q$3,SUMIF('TL17'!$C$238:$C$451,$C219,'TL17'!$J$238:$J$451),0),
IF('TL18'!$B$3=Q$3,SUMIF('TL18'!$C$10:$C$224,$C219,'TL18'!$J$10:$J$224),0),
IF('TL18'!$B$229=Q$3,SUMIF('TL18'!$C$238:$C$451,$C219,'TL18'!$J$238:$J$451),0),
IF('TL19'!$B$3=Q$3,SUMIF('TL19'!$C$10:$C$224,$C219,'TL19'!$J$10:$J$224),0),
IF('TL19'!$B$229=Q$3,SUMIF('TL19'!$C$238:$C$451,$C219,'TL19'!$J$238:$J$451),0)
),0)</f>
        <v/>
      </c>
      <c r="R219" s="9">
        <f>IFERROR(
SUM(
SUMIF('TL01'!C:C,C219,'TL01'!J:J),
SUMIF('TL02'!C:C,C219,'TL02'!J:J),
SUMIF('TL03'!C:C,C219,'TL03'!J:J),
SUMIF('TL04'!C:C,C219,'TL04'!J:J),
SUMIF('TL05'!C:C,C219,'TL05'!J:J),
SUMIF('TL06'!C:C,C219,'TL06'!J:J),
SUMIF('TL07'!C:C,C219,'TL07'!J:J),
SUMIF('TL08'!C:C,C219,'TL08'!J:J),
SUMIF('TL09'!C:C,C219,'TL09'!J:J),
SUMIF('TL10'!C:C,C219,'TL10'!J:J),
SUMIF('TL11'!C:C,C219,'TL11'!J:J),
SUMIF('TL12'!C:C,C219,'TL12'!J:J),
SUMIF('TL13'!C:C,C219,'TL13'!J:J),
SUMIF('TL14'!C:C,C219,'TL14'!J:J),
SUMIF('TL15'!C:C,C219,'TL15'!J:J),
SUMIF('TL16'!C:C,C219,'TL16'!J:J),
SUMIF('TL17'!C:C,C219,'TL17'!J:J),
SUMIF('TL18'!C:C,C219,'TL18'!J:J),SUMIF('TL19'!C:C,C219,'TL19'!J:J))
,0)</f>
        <v/>
      </c>
      <c r="S219" s="17">
        <f>IFERROR(__xludf.DUMMYFUNCTION("IFERROR(VLOOKUP(C219,
IMPORTRANGE(""1wULbzX32WdYsx-lj2U3uUNBBe2INVIRDtcK0d-Dvl90"",
""26-27!C:G""),
5,
FALSE),
"""")"),61.37994)</f>
        <v/>
      </c>
      <c r="T219" s="9" t="n"/>
      <c r="U219" s="92">
        <f>MAX(0,R219-T219)</f>
        <v/>
      </c>
      <c r="V219" s="93">
        <f>U219*S219</f>
        <v/>
      </c>
    </row>
    <row r="220" hidden="1" ht="15.75" customHeight="1" s="297">
      <c r="A220" s="87" t="inlineStr">
        <is>
          <t>SUMITOMO</t>
        </is>
      </c>
      <c r="B220" s="88" t="inlineStr">
        <is>
          <t>INSETICIDA</t>
        </is>
      </c>
      <c r="C220" s="89" t="inlineStr">
        <is>
          <t>CARNADINE</t>
        </is>
      </c>
      <c r="D220" s="89" t="inlineStr">
        <is>
          <t>ACETAMIPRIDO</t>
        </is>
      </c>
      <c r="E220" s="89" t="n">
        <v>200</v>
      </c>
      <c r="F220" s="4" t="inlineStr">
        <is>
          <t>L</t>
        </is>
      </c>
      <c r="G220" s="90">
        <f>HYPERLINK("https://www.google.com/search?q=" &amp; C220 &amp; "+bula+agrofit+pdf", "📄 Ver bula")</f>
        <v/>
      </c>
      <c r="H220" s="9">
        <f>IFERROR(__xludf.DUMMYFUNCTION("IFERROR(VLOOKUP(C220,
IMPORTRANGE(""1wULbzX32WdYsx-lj2U3uUNBBe2INVIRDtcK0d-Dvl90"",
""26-27!C:K""),
8,
FALSE),
"""")"),0.3)</f>
        <v/>
      </c>
      <c r="I220" s="91" t="inlineStr">
        <is>
          <t>4X5</t>
        </is>
      </c>
      <c r="J220" s="9">
        <f>IFERROR(SUM(
IF('TL01'!$B$3=J$3,SUMIF('TL01'!$C$10:$C$224,$C220,'TL01'!$J$10:$J$224),0),
IF('TL01'!$B$229=J$3,SUMIF('TL01'!$C$238:$C$451,$C220,'TL01'!$J$238:$J$451),0),
IF('TL02'!$B$3=J$3,SUMIF('TL02'!$C$10:$C$224,$C220,'TL02'!$J$10:$J$224),0),
IF('TL02'!$B$229=J$3,SUMIF('TL02'!$C$238:$C$451,$C220,'TL02'!$J$238:$J$451),0),
IF('TL03'!$B$3=J$3,SUMIF('TL03'!$C$10:$C$224,$C220,'TL03'!$J$10:$J$224),0),
IF('TL03'!$B$229=J$3,SUMIF('TL03'!$C$238:$C$451,$C220,'TL03'!$J$238:$J$451),0),
IF('TL04'!$B$3=J$3,SUMIF('TL04'!$C$10:$C$224,$C220,'TL04'!$J$10:$J$224),0),
IF('TL04'!$B$229=J$3,SUMIF('TL04'!$C$238:$C$451,$C220,'TL04'!$J$238:$J$451),0),
IF('TL05'!$B$3=J$3,SUMIF('TL05'!$C$10:$C$224,$C220,'TL05'!$J$10:$J$224),0),
IF('TL05'!$B$229=J$3,SUMIF('TL05'!$C$238:$C$451,$C220,'TL05'!$J$238:$J$451),0),
IF('TL06'!$B$3=J$3,SUMIF('TL06'!$C$10:$C$224,$C220,'TL06'!$J$10:$J$224),0),
IF('TL06'!$B$229=J$3,SUMIF('TL06'!$C$238:$C$451,$C220,'TL06'!$J$238:$J$451),0),
IF('TL07'!$B$3=J$3,SUMIF('TL07'!$C$10:$C$224,$C220,'TL07'!$J$10:$J$224),0),
IF('TL07'!$B$229=J$3,SUMIF('TL07'!$C$238:$C$451,$C220,'TL07'!$J$238:$J$451),0),
IF('TL08'!$B$3=J$3,SUMIF('TL08'!$C$10:$C$224,$C220,'TL08'!$J$10:$J$224),0),
IF('TL08'!$B$229=J$3,SUMIF('TL08'!$C$238:$C$451,$C220,'TL08'!$J$238:$J$451),0),
IF('TL09'!$B$3=J$3,SUMIF('TL09'!$C$10:$C$224,$C220,'TL09'!$J$10:$J$224),0),
IF('TL09'!$B$229=J$3,SUMIF('TL09'!$C$238:$C$451,$C220,'TL09'!$J$238:$J$451),0),
IF('TL10'!$B$3=J$3,SUMIF('TL10'!$C$10:$C$224,$C220,'TL10'!$J$10:$J$224),0),
IF('TL10'!$B$229=J$3,SUMIF('TL10'!$C$238:$C$451,$C220,'TL10'!$J$238:$J$451),0),
IF('TL11'!$B$3=J$3,SUMIF('TL11'!$C$10:$C$224,$C220,'TL11'!$J$10:$J$224),0),
IF('TL11'!$B$229=J$3,SUMIF('TL11'!$C$238:$C$451,$C220,'TL11'!$J$238:$J$451),0),
IF('TL12'!$B$3=J$3,SUMIF('TL12'!$C$10:$C$224,$C220,'TL12'!$J$10:$J$224),0),
IF('TL12'!$B$229=J$3,SUMIF('TL12'!$C$238:$C$451,$C220,'TL12'!$J$238:$J$451),0),
IF('TL13'!$B$3=J$3,SUMIF('TL13'!$C$10:$C$224,$C220,'TL13'!$J$10:$J$224),0),
IF('TL13'!$B$229=J$3,SUMIF('TL13'!$C$238:$C$451,$C220,'TL13'!$J$238:$J$451),0),
IF('TL14'!$B$3=J$3,SUMIF('TL14'!$C$10:$C$224,$C220,'TL14'!$J$10:$J$224),0),
IF('TL14'!$B$229=J$3,SUMIF('TL14'!$C$238:$C$451,$C220,'TL14'!$J$238:$J$451),0),
IF('TL15'!$B$3=J$3,SUMIF('TL15'!$C$10:$C$224,$C220,'TL15'!$J$10:$J$224),0),
IF('TL15'!$B$229=J$3,SUMIF('TL15'!$C$238:$C$451,$C220,'TL15'!$J$238:$J$451),0),
IF('TL16'!$B$3=J$3,SUMIF('TL16'!$C$10:$C$224,$C220,'TL16'!$J$10:$J$224),0),
IF('TL16'!$B$229=J$3,SUMIF('TL16'!$C$238:$C$451,$C220,'TL16'!$J$238:$J$451),0),
IF('TL17'!$B$3=J$3,SUMIF('TL17'!$C$10:$C$224,$C220,'TL17'!$J$10:$J$224),0),
IF('TL17'!$B$229=J$3,SUMIF('TL17'!$C$238:$C$451,$C220,'TL17'!$J$238:$J$451),0),
IF('TL18'!$B$3=J$3,SUMIF('TL18'!$C$10:$C$224,$C220,'TL18'!$J$10:$J$224),0),
IF('TL18'!$B$229=J$3,SUMIF('TL18'!$C$238:$C$451,$C220,'TL18'!$J$238:$J$451),0),
IF('TL19'!$B$3=J$3,SUMIF('TL19'!$C$10:$C$224,$C220,'TL19'!$J$10:$J$224),0),
IF('TL19'!$B$229=J$3,SUMIF('TL19'!$C$238:$C$451,$C220,'TL19'!$J$238:$J$451),0)
),0)</f>
        <v/>
      </c>
      <c r="K220" s="9">
        <f>IFERROR(SUM(
IF('TL01'!$B$3=K$3,SUMIF('TL01'!$C$10:$C$224,$C220,'TL01'!$J$10:$J$224),0),
IF('TL01'!$B$229=K$3,SUMIF('TL01'!$C$238:$C$451,$C220,'TL01'!$J$238:$J$451),0),
IF('TL02'!$B$3=K$3,SUMIF('TL02'!$C$10:$C$224,$C220,'TL02'!$J$10:$J$224),0),
IF('TL02'!$B$229=K$3,SUMIF('TL02'!$C$238:$C$451,$C220,'TL02'!$J$238:$J$451),0),
IF('TL03'!$B$3=K$3,SUMIF('TL03'!$C$10:$C$224,$C220,'TL03'!$J$10:$J$224),0),
IF('TL03'!$B$229=K$3,SUMIF('TL03'!$C$238:$C$451,$C220,'TL03'!$J$238:$J$451),0),
IF('TL04'!$B$3=K$3,SUMIF('TL04'!$C$10:$C$224,$C220,'TL04'!$J$10:$J$224),0),
IF('TL04'!$B$229=K$3,SUMIF('TL04'!$C$238:$C$451,$C220,'TL04'!$J$238:$J$451),0),
IF('TL05'!$B$3=K$3,SUMIF('TL05'!$C$10:$C$224,$C220,'TL05'!$J$10:$J$224),0),
IF('TL05'!$B$229=K$3,SUMIF('TL05'!$C$238:$C$451,$C220,'TL05'!$J$238:$J$451),0),
IF('TL06'!$B$3=K$3,SUMIF('TL06'!$C$10:$C$224,$C220,'TL06'!$J$10:$J$224),0),
IF('TL06'!$B$229=K$3,SUMIF('TL06'!$C$238:$C$451,$C220,'TL06'!$J$238:$J$451),0),
IF('TL07'!$B$3=K$3,SUMIF('TL07'!$C$10:$C$224,$C220,'TL07'!$J$10:$J$224),0),
IF('TL07'!$B$229=K$3,SUMIF('TL07'!$C$238:$C$451,$C220,'TL07'!$J$238:$J$451),0),
IF('TL08'!$B$3=K$3,SUMIF('TL08'!$C$10:$C$224,$C220,'TL08'!$J$10:$J$224),0),
IF('TL08'!$B$229=K$3,SUMIF('TL08'!$C$238:$C$451,$C220,'TL08'!$J$238:$J$451),0),
IF('TL09'!$B$3=K$3,SUMIF('TL09'!$C$10:$C$224,$C220,'TL09'!$J$10:$J$224),0),
IF('TL09'!$B$229=K$3,SUMIF('TL09'!$C$238:$C$451,$C220,'TL09'!$J$238:$J$451),0),
IF('TL10'!$B$3=K$3,SUMIF('TL10'!$C$10:$C$224,$C220,'TL10'!$J$10:$J$224),0),
IF('TL10'!$B$229=K$3,SUMIF('TL10'!$C$238:$C$451,$C220,'TL10'!$J$238:$J$451),0),
IF('TL11'!$B$3=K$3,SUMIF('TL11'!$C$10:$C$224,$C220,'TL11'!$J$10:$J$224),0),
IF('TL11'!$B$229=K$3,SUMIF('TL11'!$C$238:$C$451,$C220,'TL11'!$J$238:$J$451),0),
IF('TL12'!$B$3=K$3,SUMIF('TL12'!$C$10:$C$224,$C220,'TL12'!$J$10:$J$224),0),
IF('TL12'!$B$229=K$3,SUMIF('TL12'!$C$238:$C$451,$C220,'TL12'!$J$238:$J$451),0),
IF('TL13'!$B$3=K$3,SUMIF('TL13'!$C$10:$C$224,$C220,'TL13'!$J$10:$J$224),0),
IF('TL13'!$B$229=K$3,SUMIF('TL13'!$C$238:$C$451,$C220,'TL13'!$J$238:$J$451),0),
IF('TL14'!$B$3=K$3,SUMIF('TL14'!$C$10:$C$224,$C220,'TL14'!$J$10:$J$224),0),
IF('TL14'!$B$229=K$3,SUMIF('TL14'!$C$238:$C$451,$C220,'TL14'!$J$238:$J$451),0),
IF('TL15'!$B$3=K$3,SUMIF('TL15'!$C$10:$C$224,$C220,'TL15'!$J$10:$J$224),0),
IF('TL15'!$B$229=K$3,SUMIF('TL15'!$C$238:$C$451,$C220,'TL15'!$J$238:$J$451),0),
IF('TL16'!$B$3=K$3,SUMIF('TL16'!$C$10:$C$224,$C220,'TL16'!$J$10:$J$224),0),
IF('TL16'!$B$229=K$3,SUMIF('TL16'!$C$238:$C$451,$C220,'TL16'!$J$238:$J$451),0),
IF('TL17'!$B$3=K$3,SUMIF('TL17'!$C$10:$C$224,$C220,'TL17'!$J$10:$J$224),0),
IF('TL17'!$B$229=K$3,SUMIF('TL17'!$C$238:$C$451,$C220,'TL17'!$J$238:$J$451),0),
IF('TL18'!$B$3=K$3,SUMIF('TL18'!$C$10:$C$224,$C220,'TL18'!$J$10:$J$224),0),
IF('TL18'!$B$229=K$3,SUMIF('TL18'!$C$238:$C$451,$C220,'TL18'!$J$238:$J$451),0),
IF('TL19'!$B$3=K$3,SUMIF('TL19'!$C$10:$C$224,$C220,'TL19'!$J$10:$J$224),0),
IF('TL19'!$B$229=K$3,SUMIF('TL19'!$C$238:$C$451,$C220,'TL19'!$J$238:$J$451),0)
),0)</f>
        <v/>
      </c>
      <c r="L220" s="9">
        <f>IFERROR(SUM(
IF('TL01'!$B$3=L$3,SUMIF('TL01'!$C$10:$C$224,$C220,'TL01'!$J$10:$J$224),0),
IF('TL01'!$B$229=L$3,SUMIF('TL01'!$C$238:$C$451,$C220,'TL01'!$J$238:$J$451),0),
IF('TL02'!$B$3=L$3,SUMIF('TL02'!$C$10:$C$224,$C220,'TL02'!$J$10:$J$224),0),
IF('TL02'!$B$229=L$3,SUMIF('TL02'!$C$238:$C$451,$C220,'TL02'!$J$238:$J$451),0),
IF('TL03'!$B$3=L$3,SUMIF('TL03'!$C$10:$C$224,$C220,'TL03'!$J$10:$J$224),0),
IF('TL03'!$B$229=L$3,SUMIF('TL03'!$C$238:$C$451,$C220,'TL03'!$J$238:$J$451),0),
IF('TL04'!$B$3=L$3,SUMIF('TL04'!$C$10:$C$224,$C220,'TL04'!$J$10:$J$224),0),
IF('TL04'!$B$229=L$3,SUMIF('TL04'!$C$238:$C$451,$C220,'TL04'!$J$238:$J$451),0),
IF('TL05'!$B$3=L$3,SUMIF('TL05'!$C$10:$C$224,$C220,'TL05'!$J$10:$J$224),0),
IF('TL05'!$B$229=L$3,SUMIF('TL05'!$C$238:$C$451,$C220,'TL05'!$J$238:$J$451),0),
IF('TL06'!$B$3=L$3,SUMIF('TL06'!$C$10:$C$224,$C220,'TL06'!$J$10:$J$224),0),
IF('TL06'!$B$229=L$3,SUMIF('TL06'!$C$238:$C$451,$C220,'TL06'!$J$238:$J$451),0),
IF('TL07'!$B$3=L$3,SUMIF('TL07'!$C$10:$C$224,$C220,'TL07'!$J$10:$J$224),0),
IF('TL07'!$B$229=L$3,SUMIF('TL07'!$C$238:$C$451,$C220,'TL07'!$J$238:$J$451),0),
IF('TL08'!$B$3=L$3,SUMIF('TL08'!$C$10:$C$224,$C220,'TL08'!$J$10:$J$224),0),
IF('TL08'!$B$229=L$3,SUMIF('TL08'!$C$238:$C$451,$C220,'TL08'!$J$238:$J$451),0),
IF('TL09'!$B$3=L$3,SUMIF('TL09'!$C$10:$C$224,$C220,'TL09'!$J$10:$J$224),0),
IF('TL09'!$B$229=L$3,SUMIF('TL09'!$C$238:$C$451,$C220,'TL09'!$J$238:$J$451),0),
IF('TL10'!$B$3=L$3,SUMIF('TL10'!$C$10:$C$224,$C220,'TL10'!$J$10:$J$224),0),
IF('TL10'!$B$229=L$3,SUMIF('TL10'!$C$238:$C$451,$C220,'TL10'!$J$238:$J$451),0),
IF('TL11'!$B$3=L$3,SUMIF('TL11'!$C$10:$C$224,$C220,'TL11'!$J$10:$J$224),0),
IF('TL11'!$B$229=L$3,SUMIF('TL11'!$C$238:$C$451,$C220,'TL11'!$J$238:$J$451),0),
IF('TL12'!$B$3=L$3,SUMIF('TL12'!$C$10:$C$224,$C220,'TL12'!$J$10:$J$224),0),
IF('TL12'!$B$229=L$3,SUMIF('TL12'!$C$238:$C$451,$C220,'TL12'!$J$238:$J$451),0),
IF('TL13'!$B$3=L$3,SUMIF('TL13'!$C$10:$C$224,$C220,'TL13'!$J$10:$J$224),0),
IF('TL13'!$B$229=L$3,SUMIF('TL13'!$C$238:$C$451,$C220,'TL13'!$J$238:$J$451),0),
IF('TL14'!$B$3=L$3,SUMIF('TL14'!$C$10:$C$224,$C220,'TL14'!$J$10:$J$224),0),
IF('TL14'!$B$229=L$3,SUMIF('TL14'!$C$238:$C$451,$C220,'TL14'!$J$238:$J$451),0),
IF('TL15'!$B$3=L$3,SUMIF('TL15'!$C$10:$C$224,$C220,'TL15'!$J$10:$J$224),0),
IF('TL15'!$B$229=L$3,SUMIF('TL15'!$C$238:$C$451,$C220,'TL15'!$J$238:$J$451),0),
IF('TL16'!$B$3=L$3,SUMIF('TL16'!$C$10:$C$224,$C220,'TL16'!$J$10:$J$224),0),
IF('TL16'!$B$229=L$3,SUMIF('TL16'!$C$238:$C$451,$C220,'TL16'!$J$238:$J$451),0),
IF('TL17'!$B$3=L$3,SUMIF('TL17'!$C$10:$C$224,$C220,'TL17'!$J$10:$J$224),0),
IF('TL17'!$B$229=L$3,SUMIF('TL17'!$C$238:$C$451,$C220,'TL17'!$J$238:$J$451),0),
IF('TL18'!$B$3=L$3,SUMIF('TL18'!$C$10:$C$224,$C220,'TL18'!$J$10:$J$224),0),
IF('TL18'!$B$229=L$3,SUMIF('TL18'!$C$238:$C$451,$C220,'TL18'!$J$238:$J$451),0),
IF('TL19'!$B$3=L$3,SUMIF('TL19'!$C$10:$C$224,$C220,'TL19'!$J$10:$J$224),0),
IF('TL19'!$B$229=L$3,SUMIF('TL19'!$C$238:$C$451,$C220,'TL19'!$J$238:$J$451),0)
),0)</f>
        <v/>
      </c>
      <c r="M220" s="9">
        <f>IFERROR(SUM(
IF('TL01'!$B$3=M$3,SUMIF('TL01'!$C$10:$C$224,$C220,'TL01'!$J$10:$J$224),0),
IF('TL01'!$B$229=M$3,SUMIF('TL01'!$C$238:$C$451,$C220,'TL01'!$J$238:$J$451),0),
IF('TL02'!$B$3=M$3,SUMIF('TL02'!$C$10:$C$224,$C220,'TL02'!$J$10:$J$224),0),
IF('TL02'!$B$229=M$3,SUMIF('TL02'!$C$238:$C$451,$C220,'TL02'!$J$238:$J$451),0),
IF('TL03'!$B$3=M$3,SUMIF('TL03'!$C$10:$C$224,$C220,'TL03'!$J$10:$J$224),0),
IF('TL03'!$B$229=M$3,SUMIF('TL03'!$C$238:$C$451,$C220,'TL03'!$J$238:$J$451),0),
IF('TL04'!$B$3=M$3,SUMIF('TL04'!$C$10:$C$224,$C220,'TL04'!$J$10:$J$224),0),
IF('TL04'!$B$229=M$3,SUMIF('TL04'!$C$238:$C$451,$C220,'TL04'!$J$238:$J$451),0),
IF('TL05'!$B$3=M$3,SUMIF('TL05'!$C$10:$C$224,$C220,'TL05'!$J$10:$J$224),0),
IF('TL05'!$B$229=M$3,SUMIF('TL05'!$C$238:$C$451,$C220,'TL05'!$J$238:$J$451),0),
IF('TL06'!$B$3=M$3,SUMIF('TL06'!$C$10:$C$224,$C220,'TL06'!$J$10:$J$224),0),
IF('TL06'!$B$229=M$3,SUMIF('TL06'!$C$238:$C$451,$C220,'TL06'!$J$238:$J$451),0),
IF('TL07'!$B$3=M$3,SUMIF('TL07'!$C$10:$C$224,$C220,'TL07'!$J$10:$J$224),0),
IF('TL07'!$B$229=M$3,SUMIF('TL07'!$C$238:$C$451,$C220,'TL07'!$J$238:$J$451),0),
IF('TL08'!$B$3=M$3,SUMIF('TL08'!$C$10:$C$224,$C220,'TL08'!$J$10:$J$224),0),
IF('TL08'!$B$229=M$3,SUMIF('TL08'!$C$238:$C$451,$C220,'TL08'!$J$238:$J$451),0),
IF('TL09'!$B$3=M$3,SUMIF('TL09'!$C$10:$C$224,$C220,'TL09'!$J$10:$J$224),0),
IF('TL09'!$B$229=M$3,SUMIF('TL09'!$C$238:$C$451,$C220,'TL09'!$J$238:$J$451),0),
IF('TL10'!$B$3=M$3,SUMIF('TL10'!$C$10:$C$224,$C220,'TL10'!$J$10:$J$224),0),
IF('TL10'!$B$229=M$3,SUMIF('TL10'!$C$238:$C$451,$C220,'TL10'!$J$238:$J$451),0),
IF('TL11'!$B$3=M$3,SUMIF('TL11'!$C$10:$C$224,$C220,'TL11'!$J$10:$J$224),0),
IF('TL11'!$B$229=M$3,SUMIF('TL11'!$C$238:$C$451,$C220,'TL11'!$J$238:$J$451),0),
IF('TL12'!$B$3=M$3,SUMIF('TL12'!$C$10:$C$224,$C220,'TL12'!$J$10:$J$224),0),
IF('TL12'!$B$229=M$3,SUMIF('TL12'!$C$238:$C$451,$C220,'TL12'!$J$238:$J$451),0),
IF('TL13'!$B$3=M$3,SUMIF('TL13'!$C$10:$C$224,$C220,'TL13'!$J$10:$J$224),0),
IF('TL13'!$B$229=M$3,SUMIF('TL13'!$C$238:$C$451,$C220,'TL13'!$J$238:$J$451),0),
IF('TL14'!$B$3=M$3,SUMIF('TL14'!$C$10:$C$224,$C220,'TL14'!$J$10:$J$224),0),
IF('TL14'!$B$229=M$3,SUMIF('TL14'!$C$238:$C$451,$C220,'TL14'!$J$238:$J$451),0),
IF('TL15'!$B$3=M$3,SUMIF('TL15'!$C$10:$C$224,$C220,'TL15'!$J$10:$J$224),0),
IF('TL15'!$B$229=M$3,SUMIF('TL15'!$C$238:$C$451,$C220,'TL15'!$J$238:$J$451),0),
IF('TL16'!$B$3=M$3,SUMIF('TL16'!$C$10:$C$224,$C220,'TL16'!$J$10:$J$224),0),
IF('TL16'!$B$229=M$3,SUMIF('TL16'!$C$238:$C$451,$C220,'TL16'!$J$238:$J$451),0),
IF('TL17'!$B$3=M$3,SUMIF('TL17'!$C$10:$C$224,$C220,'TL17'!$J$10:$J$224),0),
IF('TL17'!$B$229=M$3,SUMIF('TL17'!$C$238:$C$451,$C220,'TL17'!$J$238:$J$451),0),
IF('TL18'!$B$3=M$3,SUMIF('TL18'!$C$10:$C$224,$C220,'TL18'!$J$10:$J$224),0),
IF('TL18'!$B$229=M$3,SUMIF('TL18'!$C$238:$C$451,$C220,'TL18'!$J$238:$J$451),0),
IF('TL19'!$B$3=M$3,SUMIF('TL19'!$C$10:$C$224,$C220,'TL19'!$J$10:$J$224),0),
IF('TL19'!$B$229=M$3,SUMIF('TL19'!$C$238:$C$451,$C220,'TL19'!$J$238:$J$451),0)
),0)</f>
        <v/>
      </c>
      <c r="N220" s="9">
        <f>IFERROR(SUM(
IF('TL01'!$B$3=N$3,SUMIF('TL01'!$C$10:$C$224,$C220,'TL01'!$J$10:$J$224),0),
IF('TL01'!$B$229=N$3,SUMIF('TL01'!$C$238:$C$451,$C220,'TL01'!$J$238:$J$451),0),
IF('TL02'!$B$3=N$3,SUMIF('TL02'!$C$10:$C$224,$C220,'TL02'!$J$10:$J$224),0),
IF('TL02'!$B$229=N$3,SUMIF('TL02'!$C$238:$C$451,$C220,'TL02'!$J$238:$J$451),0),
IF('TL03'!$B$3=N$3,SUMIF('TL03'!$C$10:$C$224,$C220,'TL03'!$J$10:$J$224),0),
IF('TL03'!$B$229=N$3,SUMIF('TL03'!$C$238:$C$451,$C220,'TL03'!$J$238:$J$451),0),
IF('TL04'!$B$3=N$3,SUMIF('TL04'!$C$10:$C$224,$C220,'TL04'!$J$10:$J$224),0),
IF('TL04'!$B$229=N$3,SUMIF('TL04'!$C$238:$C$451,$C220,'TL04'!$J$238:$J$451),0),
IF('TL05'!$B$3=N$3,SUMIF('TL05'!$C$10:$C$224,$C220,'TL05'!$J$10:$J$224),0),
IF('TL05'!$B$229=N$3,SUMIF('TL05'!$C$238:$C$451,$C220,'TL05'!$J$238:$J$451),0),
IF('TL06'!$B$3=N$3,SUMIF('TL06'!$C$10:$C$224,$C220,'TL06'!$J$10:$J$224),0),
IF('TL06'!$B$229=N$3,SUMIF('TL06'!$C$238:$C$451,$C220,'TL06'!$J$238:$J$451),0),
IF('TL07'!$B$3=N$3,SUMIF('TL07'!$C$10:$C$224,$C220,'TL07'!$J$10:$J$224),0),
IF('TL07'!$B$229=N$3,SUMIF('TL07'!$C$238:$C$451,$C220,'TL07'!$J$238:$J$451),0),
IF('TL08'!$B$3=N$3,SUMIF('TL08'!$C$10:$C$224,$C220,'TL08'!$J$10:$J$224),0),
IF('TL08'!$B$229=N$3,SUMIF('TL08'!$C$238:$C$451,$C220,'TL08'!$J$238:$J$451),0),
IF('TL09'!$B$3=N$3,SUMIF('TL09'!$C$10:$C$224,$C220,'TL09'!$J$10:$J$224),0),
IF('TL09'!$B$229=N$3,SUMIF('TL09'!$C$238:$C$451,$C220,'TL09'!$J$238:$J$451),0),
IF('TL10'!$B$3=N$3,SUMIF('TL10'!$C$10:$C$224,$C220,'TL10'!$J$10:$J$224),0),
IF('TL10'!$B$229=N$3,SUMIF('TL10'!$C$238:$C$451,$C220,'TL10'!$J$238:$J$451),0),
IF('TL11'!$B$3=N$3,SUMIF('TL11'!$C$10:$C$224,$C220,'TL11'!$J$10:$J$224),0),
IF('TL11'!$B$229=N$3,SUMIF('TL11'!$C$238:$C$451,$C220,'TL11'!$J$238:$J$451),0),
IF('TL12'!$B$3=N$3,SUMIF('TL12'!$C$10:$C$224,$C220,'TL12'!$J$10:$J$224),0),
IF('TL12'!$B$229=N$3,SUMIF('TL12'!$C$238:$C$451,$C220,'TL12'!$J$238:$J$451),0),
IF('TL13'!$B$3=N$3,SUMIF('TL13'!$C$10:$C$224,$C220,'TL13'!$J$10:$J$224),0),
IF('TL13'!$B$229=N$3,SUMIF('TL13'!$C$238:$C$451,$C220,'TL13'!$J$238:$J$451),0),
IF('TL14'!$B$3=N$3,SUMIF('TL14'!$C$10:$C$224,$C220,'TL14'!$J$10:$J$224),0),
IF('TL14'!$B$229=N$3,SUMIF('TL14'!$C$238:$C$451,$C220,'TL14'!$J$238:$J$451),0),
IF('TL15'!$B$3=N$3,SUMIF('TL15'!$C$10:$C$224,$C220,'TL15'!$J$10:$J$224),0),
IF('TL15'!$B$229=N$3,SUMIF('TL15'!$C$238:$C$451,$C220,'TL15'!$J$238:$J$451),0),
IF('TL16'!$B$3=N$3,SUMIF('TL16'!$C$10:$C$224,$C220,'TL16'!$J$10:$J$224),0),
IF('TL16'!$B$229=N$3,SUMIF('TL16'!$C$238:$C$451,$C220,'TL16'!$J$238:$J$451),0),
IF('TL17'!$B$3=N$3,SUMIF('TL17'!$C$10:$C$224,$C220,'TL17'!$J$10:$J$224),0),
IF('TL17'!$B$229=N$3,SUMIF('TL17'!$C$238:$C$451,$C220,'TL17'!$J$238:$J$451),0),
IF('TL18'!$B$3=N$3,SUMIF('TL18'!$C$10:$C$224,$C220,'TL18'!$J$10:$J$224),0),
IF('TL18'!$B$229=N$3,SUMIF('TL18'!$C$238:$C$451,$C220,'TL18'!$J$238:$J$451),0),
IF('TL19'!$B$3=N$3,SUMIF('TL19'!$C$10:$C$224,$C220,'TL19'!$J$10:$J$224),0),
IF('TL19'!$B$229=N$3,SUMIF('TL19'!$C$238:$C$451,$C220,'TL19'!$J$238:$J$451),0)
),0)</f>
        <v/>
      </c>
      <c r="O220" s="9">
        <f>IFERROR(SUM(
IF('TL01'!$B$3=O$3,SUMIF('TL01'!$C$10:$C$224,$C220,'TL01'!$J$10:$J$224),0),
IF('TL01'!$B$229=O$3,SUMIF('TL01'!$C$238:$C$451,$C220,'TL01'!$J$238:$J$451),0),
IF('TL02'!$B$3=O$3,SUMIF('TL02'!$C$10:$C$224,$C220,'TL02'!$J$10:$J$224),0),
IF('TL02'!$B$229=O$3,SUMIF('TL02'!$C$238:$C$451,$C220,'TL02'!$J$238:$J$451),0),
IF('TL03'!$B$3=O$3,SUMIF('TL03'!$C$10:$C$224,$C220,'TL03'!$J$10:$J$224),0),
IF('TL03'!$B$229=O$3,SUMIF('TL03'!$C$238:$C$451,$C220,'TL03'!$J$238:$J$451),0),
IF('TL04'!$B$3=O$3,SUMIF('TL04'!$C$10:$C$224,$C220,'TL04'!$J$10:$J$224),0),
IF('TL04'!$B$229=O$3,SUMIF('TL04'!$C$238:$C$451,$C220,'TL04'!$J$238:$J$451),0),
IF('TL05'!$B$3=O$3,SUMIF('TL05'!$C$10:$C$224,$C220,'TL05'!$J$10:$J$224),0),
IF('TL05'!$B$229=O$3,SUMIF('TL05'!$C$238:$C$451,$C220,'TL05'!$J$238:$J$451),0),
IF('TL06'!$B$3=O$3,SUMIF('TL06'!$C$10:$C$224,$C220,'TL06'!$J$10:$J$224),0),
IF('TL06'!$B$229=O$3,SUMIF('TL06'!$C$238:$C$451,$C220,'TL06'!$J$238:$J$451),0),
IF('TL07'!$B$3=O$3,SUMIF('TL07'!$C$10:$C$224,$C220,'TL07'!$J$10:$J$224),0),
IF('TL07'!$B$229=O$3,SUMIF('TL07'!$C$238:$C$451,$C220,'TL07'!$J$238:$J$451),0),
IF('TL08'!$B$3=O$3,SUMIF('TL08'!$C$10:$C$224,$C220,'TL08'!$J$10:$J$224),0),
IF('TL08'!$B$229=O$3,SUMIF('TL08'!$C$238:$C$451,$C220,'TL08'!$J$238:$J$451),0),
IF('TL09'!$B$3=O$3,SUMIF('TL09'!$C$10:$C$224,$C220,'TL09'!$J$10:$J$224),0),
IF('TL09'!$B$229=O$3,SUMIF('TL09'!$C$238:$C$451,$C220,'TL09'!$J$238:$J$451),0),
IF('TL10'!$B$3=O$3,SUMIF('TL10'!$C$10:$C$224,$C220,'TL10'!$J$10:$J$224),0),
IF('TL10'!$B$229=O$3,SUMIF('TL10'!$C$238:$C$451,$C220,'TL10'!$J$238:$J$451),0),
IF('TL11'!$B$3=O$3,SUMIF('TL11'!$C$10:$C$224,$C220,'TL11'!$J$10:$J$224),0),
IF('TL11'!$B$229=O$3,SUMIF('TL11'!$C$238:$C$451,$C220,'TL11'!$J$238:$J$451),0),
IF('TL12'!$B$3=O$3,SUMIF('TL12'!$C$10:$C$224,$C220,'TL12'!$J$10:$J$224),0),
IF('TL12'!$B$229=O$3,SUMIF('TL12'!$C$238:$C$451,$C220,'TL12'!$J$238:$J$451),0),
IF('TL13'!$B$3=O$3,SUMIF('TL13'!$C$10:$C$224,$C220,'TL13'!$J$10:$J$224),0),
IF('TL13'!$B$229=O$3,SUMIF('TL13'!$C$238:$C$451,$C220,'TL13'!$J$238:$J$451),0),
IF('TL14'!$B$3=O$3,SUMIF('TL14'!$C$10:$C$224,$C220,'TL14'!$J$10:$J$224),0),
IF('TL14'!$B$229=O$3,SUMIF('TL14'!$C$238:$C$451,$C220,'TL14'!$J$238:$J$451),0),
IF('TL15'!$B$3=O$3,SUMIF('TL15'!$C$10:$C$224,$C220,'TL15'!$J$10:$J$224),0),
IF('TL15'!$B$229=O$3,SUMIF('TL15'!$C$238:$C$451,$C220,'TL15'!$J$238:$J$451),0),
IF('TL16'!$B$3=O$3,SUMIF('TL16'!$C$10:$C$224,$C220,'TL16'!$J$10:$J$224),0),
IF('TL16'!$B$229=O$3,SUMIF('TL16'!$C$238:$C$451,$C220,'TL16'!$J$238:$J$451),0),
IF('TL17'!$B$3=O$3,SUMIF('TL17'!$C$10:$C$224,$C220,'TL17'!$J$10:$J$224),0),
IF('TL17'!$B$229=O$3,SUMIF('TL17'!$C$238:$C$451,$C220,'TL17'!$J$238:$J$451),0),
IF('TL18'!$B$3=O$3,SUMIF('TL18'!$C$10:$C$224,$C220,'TL18'!$J$10:$J$224),0),
IF('TL18'!$B$229=O$3,SUMIF('TL18'!$C$238:$C$451,$C220,'TL18'!$J$238:$J$451),0),
IF('TL19'!$B$3=O$3,SUMIF('TL19'!$C$10:$C$224,$C220,'TL19'!$J$10:$J$224),0),
IF('TL19'!$B$229=O$3,SUMIF('TL19'!$C$238:$C$451,$C220,'TL19'!$J$238:$J$451),0)
),0)</f>
        <v/>
      </c>
      <c r="P220" s="9">
        <f>IFERROR(SUM(
IF('TL01'!$B$3=P$3,SUMIF('TL01'!$C$10:$C$224,$C220,'TL01'!$J$10:$J$224),0),
IF('TL01'!$B$229=P$3,SUMIF('TL01'!$C$238:$C$451,$C220,'TL01'!$J$238:$J$451),0),
IF('TL02'!$B$3=P$3,SUMIF('TL02'!$C$10:$C$224,$C220,'TL02'!$J$10:$J$224),0),
IF('TL02'!$B$229=P$3,SUMIF('TL02'!$C$238:$C$451,$C220,'TL02'!$J$238:$J$451),0),
IF('TL03'!$B$3=P$3,SUMIF('TL03'!$C$10:$C$224,$C220,'TL03'!$J$10:$J$224),0),
IF('TL03'!$B$229=P$3,SUMIF('TL03'!$C$238:$C$451,$C220,'TL03'!$J$238:$J$451),0),
IF('TL04'!$B$3=P$3,SUMIF('TL04'!$C$10:$C$224,$C220,'TL04'!$J$10:$J$224),0),
IF('TL04'!$B$229=P$3,SUMIF('TL04'!$C$238:$C$451,$C220,'TL04'!$J$238:$J$451),0),
IF('TL05'!$B$3=P$3,SUMIF('TL05'!$C$10:$C$224,$C220,'TL05'!$J$10:$J$224),0),
IF('TL05'!$B$229=P$3,SUMIF('TL05'!$C$238:$C$451,$C220,'TL05'!$J$238:$J$451),0),
IF('TL06'!$B$3=P$3,SUMIF('TL06'!$C$10:$C$224,$C220,'TL06'!$J$10:$J$224),0),
IF('TL06'!$B$229=P$3,SUMIF('TL06'!$C$238:$C$451,$C220,'TL06'!$J$238:$J$451),0),
IF('TL07'!$B$3=P$3,SUMIF('TL07'!$C$10:$C$224,$C220,'TL07'!$J$10:$J$224),0),
IF('TL07'!$B$229=P$3,SUMIF('TL07'!$C$238:$C$451,$C220,'TL07'!$J$238:$J$451),0),
IF('TL08'!$B$3=P$3,SUMIF('TL08'!$C$10:$C$224,$C220,'TL08'!$J$10:$J$224),0),
IF('TL08'!$B$229=P$3,SUMIF('TL08'!$C$238:$C$451,$C220,'TL08'!$J$238:$J$451),0),
IF('TL09'!$B$3=P$3,SUMIF('TL09'!$C$10:$C$224,$C220,'TL09'!$J$10:$J$224),0),
IF('TL09'!$B$229=P$3,SUMIF('TL09'!$C$238:$C$451,$C220,'TL09'!$J$238:$J$451),0),
IF('TL10'!$B$3=P$3,SUMIF('TL10'!$C$10:$C$224,$C220,'TL10'!$J$10:$J$224),0),
IF('TL10'!$B$229=P$3,SUMIF('TL10'!$C$238:$C$451,$C220,'TL10'!$J$238:$J$451),0),
IF('TL11'!$B$3=P$3,SUMIF('TL11'!$C$10:$C$224,$C220,'TL11'!$J$10:$J$224),0),
IF('TL11'!$B$229=P$3,SUMIF('TL11'!$C$238:$C$451,$C220,'TL11'!$J$238:$J$451),0),
IF('TL12'!$B$3=P$3,SUMIF('TL12'!$C$10:$C$224,$C220,'TL12'!$J$10:$J$224),0),
IF('TL12'!$B$229=P$3,SUMIF('TL12'!$C$238:$C$451,$C220,'TL12'!$J$238:$J$451),0),
IF('TL13'!$B$3=P$3,SUMIF('TL13'!$C$10:$C$224,$C220,'TL13'!$J$10:$J$224),0),
IF('TL13'!$B$229=P$3,SUMIF('TL13'!$C$238:$C$451,$C220,'TL13'!$J$238:$J$451),0),
IF('TL14'!$B$3=P$3,SUMIF('TL14'!$C$10:$C$224,$C220,'TL14'!$J$10:$J$224),0),
IF('TL14'!$B$229=P$3,SUMIF('TL14'!$C$238:$C$451,$C220,'TL14'!$J$238:$J$451),0),
IF('TL15'!$B$3=P$3,SUMIF('TL15'!$C$10:$C$224,$C220,'TL15'!$J$10:$J$224),0),
IF('TL15'!$B$229=P$3,SUMIF('TL15'!$C$238:$C$451,$C220,'TL15'!$J$238:$J$451),0),
IF('TL16'!$B$3=P$3,SUMIF('TL16'!$C$10:$C$224,$C220,'TL16'!$J$10:$J$224),0),
IF('TL16'!$B$229=P$3,SUMIF('TL16'!$C$238:$C$451,$C220,'TL16'!$J$238:$J$451),0),
IF('TL17'!$B$3=P$3,SUMIF('TL17'!$C$10:$C$224,$C220,'TL17'!$J$10:$J$224),0),
IF('TL17'!$B$229=P$3,SUMIF('TL17'!$C$238:$C$451,$C220,'TL17'!$J$238:$J$451),0),
IF('TL18'!$B$3=P$3,SUMIF('TL18'!$C$10:$C$224,$C220,'TL18'!$J$10:$J$224),0),
IF('TL18'!$B$229=P$3,SUMIF('TL18'!$C$238:$C$451,$C220,'TL18'!$J$238:$J$451),0),
IF('TL19'!$B$3=P$3,SUMIF('TL19'!$C$10:$C$224,$C220,'TL19'!$J$10:$J$224),0),
IF('TL19'!$B$229=P$3,SUMIF('TL19'!$C$238:$C$451,$C220,'TL19'!$J$238:$J$451),0)
),0)</f>
        <v/>
      </c>
      <c r="Q220" s="9">
        <f>IFERROR(SUM(
IF('TL01'!$B$3=Q$3,SUMIF('TL01'!$C$10:$C$224,$C220,'TL01'!$J$10:$J$224),0),
IF('TL01'!$B$229=Q$3,SUMIF('TL01'!$C$238:$C$451,$C220,'TL01'!$J$238:$J$451),0),
IF('TL02'!$B$3=Q$3,SUMIF('TL02'!$C$10:$C$224,$C220,'TL02'!$J$10:$J$224),0),
IF('TL02'!$B$229=Q$3,SUMIF('TL02'!$C$238:$C$451,$C220,'TL02'!$J$238:$J$451),0),
IF('TL03'!$B$3=Q$3,SUMIF('TL03'!$C$10:$C$224,$C220,'TL03'!$J$10:$J$224),0),
IF('TL03'!$B$229=Q$3,SUMIF('TL03'!$C$238:$C$451,$C220,'TL03'!$J$238:$J$451),0),
IF('TL04'!$B$3=Q$3,SUMIF('TL04'!$C$10:$C$224,$C220,'TL04'!$J$10:$J$224),0),
IF('TL04'!$B$229=Q$3,SUMIF('TL04'!$C$238:$C$451,$C220,'TL04'!$J$238:$J$451),0),
IF('TL05'!$B$3=Q$3,SUMIF('TL05'!$C$10:$C$224,$C220,'TL05'!$J$10:$J$224),0),
IF('TL05'!$B$229=Q$3,SUMIF('TL05'!$C$238:$C$451,$C220,'TL05'!$J$238:$J$451),0),
IF('TL06'!$B$3=Q$3,SUMIF('TL06'!$C$10:$C$224,$C220,'TL06'!$J$10:$J$224),0),
IF('TL06'!$B$229=Q$3,SUMIF('TL06'!$C$238:$C$451,$C220,'TL06'!$J$238:$J$451),0),
IF('TL07'!$B$3=Q$3,SUMIF('TL07'!$C$10:$C$224,$C220,'TL07'!$J$10:$J$224),0),
IF('TL07'!$B$229=Q$3,SUMIF('TL07'!$C$238:$C$451,$C220,'TL07'!$J$238:$J$451),0),
IF('TL08'!$B$3=Q$3,SUMIF('TL08'!$C$10:$C$224,$C220,'TL08'!$J$10:$J$224),0),
IF('TL08'!$B$229=Q$3,SUMIF('TL08'!$C$238:$C$451,$C220,'TL08'!$J$238:$J$451),0),
IF('TL09'!$B$3=Q$3,SUMIF('TL09'!$C$10:$C$224,$C220,'TL09'!$J$10:$J$224),0),
IF('TL09'!$B$229=Q$3,SUMIF('TL09'!$C$238:$C$451,$C220,'TL09'!$J$238:$J$451),0),
IF('TL10'!$B$3=Q$3,SUMIF('TL10'!$C$10:$C$224,$C220,'TL10'!$J$10:$J$224),0),
IF('TL10'!$B$229=Q$3,SUMIF('TL10'!$C$238:$C$451,$C220,'TL10'!$J$238:$J$451),0),
IF('TL11'!$B$3=Q$3,SUMIF('TL11'!$C$10:$C$224,$C220,'TL11'!$J$10:$J$224),0),
IF('TL11'!$B$229=Q$3,SUMIF('TL11'!$C$238:$C$451,$C220,'TL11'!$J$238:$J$451),0),
IF('TL12'!$B$3=Q$3,SUMIF('TL12'!$C$10:$C$224,$C220,'TL12'!$J$10:$J$224),0),
IF('TL12'!$B$229=Q$3,SUMIF('TL12'!$C$238:$C$451,$C220,'TL12'!$J$238:$J$451),0),
IF('TL13'!$B$3=Q$3,SUMIF('TL13'!$C$10:$C$224,$C220,'TL13'!$J$10:$J$224),0),
IF('TL13'!$B$229=Q$3,SUMIF('TL13'!$C$238:$C$451,$C220,'TL13'!$J$238:$J$451),0),
IF('TL14'!$B$3=Q$3,SUMIF('TL14'!$C$10:$C$224,$C220,'TL14'!$J$10:$J$224),0),
IF('TL14'!$B$229=Q$3,SUMIF('TL14'!$C$238:$C$451,$C220,'TL14'!$J$238:$J$451),0),
IF('TL15'!$B$3=Q$3,SUMIF('TL15'!$C$10:$C$224,$C220,'TL15'!$J$10:$J$224),0),
IF('TL15'!$B$229=Q$3,SUMIF('TL15'!$C$238:$C$451,$C220,'TL15'!$J$238:$J$451),0),
IF('TL16'!$B$3=Q$3,SUMIF('TL16'!$C$10:$C$224,$C220,'TL16'!$J$10:$J$224),0),
IF('TL16'!$B$229=Q$3,SUMIF('TL16'!$C$238:$C$451,$C220,'TL16'!$J$238:$J$451),0),
IF('TL17'!$B$3=Q$3,SUMIF('TL17'!$C$10:$C$224,$C220,'TL17'!$J$10:$J$224),0),
IF('TL17'!$B$229=Q$3,SUMIF('TL17'!$C$238:$C$451,$C220,'TL17'!$J$238:$J$451),0),
IF('TL18'!$B$3=Q$3,SUMIF('TL18'!$C$10:$C$224,$C220,'TL18'!$J$10:$J$224),0),
IF('TL18'!$B$229=Q$3,SUMIF('TL18'!$C$238:$C$451,$C220,'TL18'!$J$238:$J$451),0),
IF('TL19'!$B$3=Q$3,SUMIF('TL19'!$C$10:$C$224,$C220,'TL19'!$J$10:$J$224),0),
IF('TL19'!$B$229=Q$3,SUMIF('TL19'!$C$238:$C$451,$C220,'TL19'!$J$238:$J$451),0)
),0)</f>
        <v/>
      </c>
      <c r="R220" s="9">
        <f>IFERROR(
SUM(
SUMIF('TL01'!C:C,C220,'TL01'!J:J),
SUMIF('TL02'!C:C,C220,'TL02'!J:J),
SUMIF('TL03'!C:C,C220,'TL03'!J:J),
SUMIF('TL04'!C:C,C220,'TL04'!J:J),
SUMIF('TL05'!C:C,C220,'TL05'!J:J),
SUMIF('TL06'!C:C,C220,'TL06'!J:J),
SUMIF('TL07'!C:C,C220,'TL07'!J:J),
SUMIF('TL08'!C:C,C220,'TL08'!J:J),
SUMIF('TL09'!C:C,C220,'TL09'!J:J),
SUMIF('TL10'!C:C,C220,'TL10'!J:J),
SUMIF('TL11'!C:C,C220,'TL11'!J:J),
SUMIF('TL12'!C:C,C220,'TL12'!J:J),
SUMIF('TL13'!C:C,C220,'TL13'!J:J),
SUMIF('TL14'!C:C,C220,'TL14'!J:J),
SUMIF('TL15'!C:C,C220,'TL15'!J:J),
SUMIF('TL16'!C:C,C220,'TL16'!J:J),
SUMIF('TL17'!C:C,C220,'TL17'!J:J),
SUMIF('TL18'!C:C,C220,'TL18'!J:J),SUMIF('TL19'!C:C,C220,'TL19'!J:J))
,0)</f>
        <v/>
      </c>
      <c r="S220" s="17">
        <f>IFERROR(__xludf.DUMMYFUNCTION("IFERROR(VLOOKUP(C220,
IMPORTRANGE(""1wULbzX32WdYsx-lj2U3uUNBBe2INVIRDtcK0d-Dvl90"",
""26-27!C:G""),
5,
FALSE),
"""")"),43.567139999999995)</f>
        <v/>
      </c>
      <c r="T220" s="9" t="n"/>
      <c r="U220" s="92">
        <f>MAX(0,R220-T220)</f>
        <v/>
      </c>
      <c r="V220" s="93">
        <f>U220*S220</f>
        <v/>
      </c>
    </row>
    <row r="221" hidden="1" ht="15.75" customHeight="1" s="297">
      <c r="A221" s="94" t="inlineStr">
        <is>
          <t>SUMITOMO</t>
        </is>
      </c>
      <c r="B221" s="95" t="inlineStr">
        <is>
          <t>INSETICIDA</t>
        </is>
      </c>
      <c r="C221" s="96" t="inlineStr">
        <is>
          <t>CARTAP BR 500</t>
        </is>
      </c>
      <c r="D221" s="96" t="inlineStr">
        <is>
          <t>CLORIDRATO DE CARTAPE</t>
        </is>
      </c>
      <c r="E221" s="96" t="n">
        <v>500</v>
      </c>
      <c r="F221" s="4" t="inlineStr">
        <is>
          <t>L</t>
        </is>
      </c>
      <c r="G221" s="90">
        <f>HYPERLINK("https://www.google.com/search?q=" &amp; C221 &amp; "+bula+agrofit+pdf", "📄 Ver bula")</f>
        <v/>
      </c>
      <c r="H221" s="9">
        <f>IFERROR(__xludf.DUMMYFUNCTION("IFERROR(VLOOKUP(C221,
IMPORTRANGE(""1wULbzX32WdYsx-lj2U3uUNBBe2INVIRDtcK0d-Dvl90"",
""26-27!C:K""),
8,
FALSE),
"""")"),"")</f>
        <v/>
      </c>
      <c r="I221" s="97" t="inlineStr">
        <is>
          <t>1x12</t>
        </is>
      </c>
      <c r="J221" s="9">
        <f>IFERROR(SUM(
IF('TL01'!$B$3=J$3,SUMIF('TL01'!$C$10:$C$224,$C221,'TL01'!$J$10:$J$224),0),
IF('TL01'!$B$229=J$3,SUMIF('TL01'!$C$238:$C$451,$C221,'TL01'!$J$238:$J$451),0),
IF('TL02'!$B$3=J$3,SUMIF('TL02'!$C$10:$C$224,$C221,'TL02'!$J$10:$J$224),0),
IF('TL02'!$B$229=J$3,SUMIF('TL02'!$C$238:$C$451,$C221,'TL02'!$J$238:$J$451),0),
IF('TL03'!$B$3=J$3,SUMIF('TL03'!$C$10:$C$224,$C221,'TL03'!$J$10:$J$224),0),
IF('TL03'!$B$229=J$3,SUMIF('TL03'!$C$238:$C$451,$C221,'TL03'!$J$238:$J$451),0),
IF('TL04'!$B$3=J$3,SUMIF('TL04'!$C$10:$C$224,$C221,'TL04'!$J$10:$J$224),0),
IF('TL04'!$B$229=J$3,SUMIF('TL04'!$C$238:$C$451,$C221,'TL04'!$J$238:$J$451),0),
IF('TL05'!$B$3=J$3,SUMIF('TL05'!$C$10:$C$224,$C221,'TL05'!$J$10:$J$224),0),
IF('TL05'!$B$229=J$3,SUMIF('TL05'!$C$238:$C$451,$C221,'TL05'!$J$238:$J$451),0),
IF('TL06'!$B$3=J$3,SUMIF('TL06'!$C$10:$C$224,$C221,'TL06'!$J$10:$J$224),0),
IF('TL06'!$B$229=J$3,SUMIF('TL06'!$C$238:$C$451,$C221,'TL06'!$J$238:$J$451),0),
IF('TL07'!$B$3=J$3,SUMIF('TL07'!$C$10:$C$224,$C221,'TL07'!$J$10:$J$224),0),
IF('TL07'!$B$229=J$3,SUMIF('TL07'!$C$238:$C$451,$C221,'TL07'!$J$238:$J$451),0),
IF('TL08'!$B$3=J$3,SUMIF('TL08'!$C$10:$C$224,$C221,'TL08'!$J$10:$J$224),0),
IF('TL08'!$B$229=J$3,SUMIF('TL08'!$C$238:$C$451,$C221,'TL08'!$J$238:$J$451),0),
IF('TL09'!$B$3=J$3,SUMIF('TL09'!$C$10:$C$224,$C221,'TL09'!$J$10:$J$224),0),
IF('TL09'!$B$229=J$3,SUMIF('TL09'!$C$238:$C$451,$C221,'TL09'!$J$238:$J$451),0),
IF('TL10'!$B$3=J$3,SUMIF('TL10'!$C$10:$C$224,$C221,'TL10'!$J$10:$J$224),0),
IF('TL10'!$B$229=J$3,SUMIF('TL10'!$C$238:$C$451,$C221,'TL10'!$J$238:$J$451),0),
IF('TL11'!$B$3=J$3,SUMIF('TL11'!$C$10:$C$224,$C221,'TL11'!$J$10:$J$224),0),
IF('TL11'!$B$229=J$3,SUMIF('TL11'!$C$238:$C$451,$C221,'TL11'!$J$238:$J$451),0),
IF('TL12'!$B$3=J$3,SUMIF('TL12'!$C$10:$C$224,$C221,'TL12'!$J$10:$J$224),0),
IF('TL12'!$B$229=J$3,SUMIF('TL12'!$C$238:$C$451,$C221,'TL12'!$J$238:$J$451),0),
IF('TL13'!$B$3=J$3,SUMIF('TL13'!$C$10:$C$224,$C221,'TL13'!$J$10:$J$224),0),
IF('TL13'!$B$229=J$3,SUMIF('TL13'!$C$238:$C$451,$C221,'TL13'!$J$238:$J$451),0),
IF('TL14'!$B$3=J$3,SUMIF('TL14'!$C$10:$C$224,$C221,'TL14'!$J$10:$J$224),0),
IF('TL14'!$B$229=J$3,SUMIF('TL14'!$C$238:$C$451,$C221,'TL14'!$J$238:$J$451),0),
IF('TL15'!$B$3=J$3,SUMIF('TL15'!$C$10:$C$224,$C221,'TL15'!$J$10:$J$224),0),
IF('TL15'!$B$229=J$3,SUMIF('TL15'!$C$238:$C$451,$C221,'TL15'!$J$238:$J$451),0),
IF('TL16'!$B$3=J$3,SUMIF('TL16'!$C$10:$C$224,$C221,'TL16'!$J$10:$J$224),0),
IF('TL16'!$B$229=J$3,SUMIF('TL16'!$C$238:$C$451,$C221,'TL16'!$J$238:$J$451),0),
IF('TL17'!$B$3=J$3,SUMIF('TL17'!$C$10:$C$224,$C221,'TL17'!$J$10:$J$224),0),
IF('TL17'!$B$229=J$3,SUMIF('TL17'!$C$238:$C$451,$C221,'TL17'!$J$238:$J$451),0),
IF('TL18'!$B$3=J$3,SUMIF('TL18'!$C$10:$C$224,$C221,'TL18'!$J$10:$J$224),0),
IF('TL18'!$B$229=J$3,SUMIF('TL18'!$C$238:$C$451,$C221,'TL18'!$J$238:$J$451),0),
IF('TL19'!$B$3=J$3,SUMIF('TL19'!$C$10:$C$224,$C221,'TL19'!$J$10:$J$224),0),
IF('TL19'!$B$229=J$3,SUMIF('TL19'!$C$238:$C$451,$C221,'TL19'!$J$238:$J$451),0)
),0)</f>
        <v/>
      </c>
      <c r="K221" s="9">
        <f>IFERROR(SUM(
IF('TL01'!$B$3=K$3,SUMIF('TL01'!$C$10:$C$224,$C221,'TL01'!$J$10:$J$224),0),
IF('TL01'!$B$229=K$3,SUMIF('TL01'!$C$238:$C$451,$C221,'TL01'!$J$238:$J$451),0),
IF('TL02'!$B$3=K$3,SUMIF('TL02'!$C$10:$C$224,$C221,'TL02'!$J$10:$J$224),0),
IF('TL02'!$B$229=K$3,SUMIF('TL02'!$C$238:$C$451,$C221,'TL02'!$J$238:$J$451),0),
IF('TL03'!$B$3=K$3,SUMIF('TL03'!$C$10:$C$224,$C221,'TL03'!$J$10:$J$224),0),
IF('TL03'!$B$229=K$3,SUMIF('TL03'!$C$238:$C$451,$C221,'TL03'!$J$238:$J$451),0),
IF('TL04'!$B$3=K$3,SUMIF('TL04'!$C$10:$C$224,$C221,'TL04'!$J$10:$J$224),0),
IF('TL04'!$B$229=K$3,SUMIF('TL04'!$C$238:$C$451,$C221,'TL04'!$J$238:$J$451),0),
IF('TL05'!$B$3=K$3,SUMIF('TL05'!$C$10:$C$224,$C221,'TL05'!$J$10:$J$224),0),
IF('TL05'!$B$229=K$3,SUMIF('TL05'!$C$238:$C$451,$C221,'TL05'!$J$238:$J$451),0),
IF('TL06'!$B$3=K$3,SUMIF('TL06'!$C$10:$C$224,$C221,'TL06'!$J$10:$J$224),0),
IF('TL06'!$B$229=K$3,SUMIF('TL06'!$C$238:$C$451,$C221,'TL06'!$J$238:$J$451),0),
IF('TL07'!$B$3=K$3,SUMIF('TL07'!$C$10:$C$224,$C221,'TL07'!$J$10:$J$224),0),
IF('TL07'!$B$229=K$3,SUMIF('TL07'!$C$238:$C$451,$C221,'TL07'!$J$238:$J$451),0),
IF('TL08'!$B$3=K$3,SUMIF('TL08'!$C$10:$C$224,$C221,'TL08'!$J$10:$J$224),0),
IF('TL08'!$B$229=K$3,SUMIF('TL08'!$C$238:$C$451,$C221,'TL08'!$J$238:$J$451),0),
IF('TL09'!$B$3=K$3,SUMIF('TL09'!$C$10:$C$224,$C221,'TL09'!$J$10:$J$224),0),
IF('TL09'!$B$229=K$3,SUMIF('TL09'!$C$238:$C$451,$C221,'TL09'!$J$238:$J$451),0),
IF('TL10'!$B$3=K$3,SUMIF('TL10'!$C$10:$C$224,$C221,'TL10'!$J$10:$J$224),0),
IF('TL10'!$B$229=K$3,SUMIF('TL10'!$C$238:$C$451,$C221,'TL10'!$J$238:$J$451),0),
IF('TL11'!$B$3=K$3,SUMIF('TL11'!$C$10:$C$224,$C221,'TL11'!$J$10:$J$224),0),
IF('TL11'!$B$229=K$3,SUMIF('TL11'!$C$238:$C$451,$C221,'TL11'!$J$238:$J$451),0),
IF('TL12'!$B$3=K$3,SUMIF('TL12'!$C$10:$C$224,$C221,'TL12'!$J$10:$J$224),0),
IF('TL12'!$B$229=K$3,SUMIF('TL12'!$C$238:$C$451,$C221,'TL12'!$J$238:$J$451),0),
IF('TL13'!$B$3=K$3,SUMIF('TL13'!$C$10:$C$224,$C221,'TL13'!$J$10:$J$224),0),
IF('TL13'!$B$229=K$3,SUMIF('TL13'!$C$238:$C$451,$C221,'TL13'!$J$238:$J$451),0),
IF('TL14'!$B$3=K$3,SUMIF('TL14'!$C$10:$C$224,$C221,'TL14'!$J$10:$J$224),0),
IF('TL14'!$B$229=K$3,SUMIF('TL14'!$C$238:$C$451,$C221,'TL14'!$J$238:$J$451),0),
IF('TL15'!$B$3=K$3,SUMIF('TL15'!$C$10:$C$224,$C221,'TL15'!$J$10:$J$224),0),
IF('TL15'!$B$229=K$3,SUMIF('TL15'!$C$238:$C$451,$C221,'TL15'!$J$238:$J$451),0),
IF('TL16'!$B$3=K$3,SUMIF('TL16'!$C$10:$C$224,$C221,'TL16'!$J$10:$J$224),0),
IF('TL16'!$B$229=K$3,SUMIF('TL16'!$C$238:$C$451,$C221,'TL16'!$J$238:$J$451),0),
IF('TL17'!$B$3=K$3,SUMIF('TL17'!$C$10:$C$224,$C221,'TL17'!$J$10:$J$224),0),
IF('TL17'!$B$229=K$3,SUMIF('TL17'!$C$238:$C$451,$C221,'TL17'!$J$238:$J$451),0),
IF('TL18'!$B$3=K$3,SUMIF('TL18'!$C$10:$C$224,$C221,'TL18'!$J$10:$J$224),0),
IF('TL18'!$B$229=K$3,SUMIF('TL18'!$C$238:$C$451,$C221,'TL18'!$J$238:$J$451),0),
IF('TL19'!$B$3=K$3,SUMIF('TL19'!$C$10:$C$224,$C221,'TL19'!$J$10:$J$224),0),
IF('TL19'!$B$229=K$3,SUMIF('TL19'!$C$238:$C$451,$C221,'TL19'!$J$238:$J$451),0)
),0)</f>
        <v/>
      </c>
      <c r="L221" s="9">
        <f>IFERROR(SUM(
IF('TL01'!$B$3=L$3,SUMIF('TL01'!$C$10:$C$224,$C221,'TL01'!$J$10:$J$224),0),
IF('TL01'!$B$229=L$3,SUMIF('TL01'!$C$238:$C$451,$C221,'TL01'!$J$238:$J$451),0),
IF('TL02'!$B$3=L$3,SUMIF('TL02'!$C$10:$C$224,$C221,'TL02'!$J$10:$J$224),0),
IF('TL02'!$B$229=L$3,SUMIF('TL02'!$C$238:$C$451,$C221,'TL02'!$J$238:$J$451),0),
IF('TL03'!$B$3=L$3,SUMIF('TL03'!$C$10:$C$224,$C221,'TL03'!$J$10:$J$224),0),
IF('TL03'!$B$229=L$3,SUMIF('TL03'!$C$238:$C$451,$C221,'TL03'!$J$238:$J$451),0),
IF('TL04'!$B$3=L$3,SUMIF('TL04'!$C$10:$C$224,$C221,'TL04'!$J$10:$J$224),0),
IF('TL04'!$B$229=L$3,SUMIF('TL04'!$C$238:$C$451,$C221,'TL04'!$J$238:$J$451),0),
IF('TL05'!$B$3=L$3,SUMIF('TL05'!$C$10:$C$224,$C221,'TL05'!$J$10:$J$224),0),
IF('TL05'!$B$229=L$3,SUMIF('TL05'!$C$238:$C$451,$C221,'TL05'!$J$238:$J$451),0),
IF('TL06'!$B$3=L$3,SUMIF('TL06'!$C$10:$C$224,$C221,'TL06'!$J$10:$J$224),0),
IF('TL06'!$B$229=L$3,SUMIF('TL06'!$C$238:$C$451,$C221,'TL06'!$J$238:$J$451),0),
IF('TL07'!$B$3=L$3,SUMIF('TL07'!$C$10:$C$224,$C221,'TL07'!$J$10:$J$224),0),
IF('TL07'!$B$229=L$3,SUMIF('TL07'!$C$238:$C$451,$C221,'TL07'!$J$238:$J$451),0),
IF('TL08'!$B$3=L$3,SUMIF('TL08'!$C$10:$C$224,$C221,'TL08'!$J$10:$J$224),0),
IF('TL08'!$B$229=L$3,SUMIF('TL08'!$C$238:$C$451,$C221,'TL08'!$J$238:$J$451),0),
IF('TL09'!$B$3=L$3,SUMIF('TL09'!$C$10:$C$224,$C221,'TL09'!$J$10:$J$224),0),
IF('TL09'!$B$229=L$3,SUMIF('TL09'!$C$238:$C$451,$C221,'TL09'!$J$238:$J$451),0),
IF('TL10'!$B$3=L$3,SUMIF('TL10'!$C$10:$C$224,$C221,'TL10'!$J$10:$J$224),0),
IF('TL10'!$B$229=L$3,SUMIF('TL10'!$C$238:$C$451,$C221,'TL10'!$J$238:$J$451),0),
IF('TL11'!$B$3=L$3,SUMIF('TL11'!$C$10:$C$224,$C221,'TL11'!$J$10:$J$224),0),
IF('TL11'!$B$229=L$3,SUMIF('TL11'!$C$238:$C$451,$C221,'TL11'!$J$238:$J$451),0),
IF('TL12'!$B$3=L$3,SUMIF('TL12'!$C$10:$C$224,$C221,'TL12'!$J$10:$J$224),0),
IF('TL12'!$B$229=L$3,SUMIF('TL12'!$C$238:$C$451,$C221,'TL12'!$J$238:$J$451),0),
IF('TL13'!$B$3=L$3,SUMIF('TL13'!$C$10:$C$224,$C221,'TL13'!$J$10:$J$224),0),
IF('TL13'!$B$229=L$3,SUMIF('TL13'!$C$238:$C$451,$C221,'TL13'!$J$238:$J$451),0),
IF('TL14'!$B$3=L$3,SUMIF('TL14'!$C$10:$C$224,$C221,'TL14'!$J$10:$J$224),0),
IF('TL14'!$B$229=L$3,SUMIF('TL14'!$C$238:$C$451,$C221,'TL14'!$J$238:$J$451),0),
IF('TL15'!$B$3=L$3,SUMIF('TL15'!$C$10:$C$224,$C221,'TL15'!$J$10:$J$224),0),
IF('TL15'!$B$229=L$3,SUMIF('TL15'!$C$238:$C$451,$C221,'TL15'!$J$238:$J$451),0),
IF('TL16'!$B$3=L$3,SUMIF('TL16'!$C$10:$C$224,$C221,'TL16'!$J$10:$J$224),0),
IF('TL16'!$B$229=L$3,SUMIF('TL16'!$C$238:$C$451,$C221,'TL16'!$J$238:$J$451),0),
IF('TL17'!$B$3=L$3,SUMIF('TL17'!$C$10:$C$224,$C221,'TL17'!$J$10:$J$224),0),
IF('TL17'!$B$229=L$3,SUMIF('TL17'!$C$238:$C$451,$C221,'TL17'!$J$238:$J$451),0),
IF('TL18'!$B$3=L$3,SUMIF('TL18'!$C$10:$C$224,$C221,'TL18'!$J$10:$J$224),0),
IF('TL18'!$B$229=L$3,SUMIF('TL18'!$C$238:$C$451,$C221,'TL18'!$J$238:$J$451),0),
IF('TL19'!$B$3=L$3,SUMIF('TL19'!$C$10:$C$224,$C221,'TL19'!$J$10:$J$224),0),
IF('TL19'!$B$229=L$3,SUMIF('TL19'!$C$238:$C$451,$C221,'TL19'!$J$238:$J$451),0)
),0)</f>
        <v/>
      </c>
      <c r="M221" s="9">
        <f>IFERROR(SUM(
IF('TL01'!$B$3=M$3,SUMIF('TL01'!$C$10:$C$224,$C221,'TL01'!$J$10:$J$224),0),
IF('TL01'!$B$229=M$3,SUMIF('TL01'!$C$238:$C$451,$C221,'TL01'!$J$238:$J$451),0),
IF('TL02'!$B$3=M$3,SUMIF('TL02'!$C$10:$C$224,$C221,'TL02'!$J$10:$J$224),0),
IF('TL02'!$B$229=M$3,SUMIF('TL02'!$C$238:$C$451,$C221,'TL02'!$J$238:$J$451),0),
IF('TL03'!$B$3=M$3,SUMIF('TL03'!$C$10:$C$224,$C221,'TL03'!$J$10:$J$224),0),
IF('TL03'!$B$229=M$3,SUMIF('TL03'!$C$238:$C$451,$C221,'TL03'!$J$238:$J$451),0),
IF('TL04'!$B$3=M$3,SUMIF('TL04'!$C$10:$C$224,$C221,'TL04'!$J$10:$J$224),0),
IF('TL04'!$B$229=M$3,SUMIF('TL04'!$C$238:$C$451,$C221,'TL04'!$J$238:$J$451),0),
IF('TL05'!$B$3=M$3,SUMIF('TL05'!$C$10:$C$224,$C221,'TL05'!$J$10:$J$224),0),
IF('TL05'!$B$229=M$3,SUMIF('TL05'!$C$238:$C$451,$C221,'TL05'!$J$238:$J$451),0),
IF('TL06'!$B$3=M$3,SUMIF('TL06'!$C$10:$C$224,$C221,'TL06'!$J$10:$J$224),0),
IF('TL06'!$B$229=M$3,SUMIF('TL06'!$C$238:$C$451,$C221,'TL06'!$J$238:$J$451),0),
IF('TL07'!$B$3=M$3,SUMIF('TL07'!$C$10:$C$224,$C221,'TL07'!$J$10:$J$224),0),
IF('TL07'!$B$229=M$3,SUMIF('TL07'!$C$238:$C$451,$C221,'TL07'!$J$238:$J$451),0),
IF('TL08'!$B$3=M$3,SUMIF('TL08'!$C$10:$C$224,$C221,'TL08'!$J$10:$J$224),0),
IF('TL08'!$B$229=M$3,SUMIF('TL08'!$C$238:$C$451,$C221,'TL08'!$J$238:$J$451),0),
IF('TL09'!$B$3=M$3,SUMIF('TL09'!$C$10:$C$224,$C221,'TL09'!$J$10:$J$224),0),
IF('TL09'!$B$229=M$3,SUMIF('TL09'!$C$238:$C$451,$C221,'TL09'!$J$238:$J$451),0),
IF('TL10'!$B$3=M$3,SUMIF('TL10'!$C$10:$C$224,$C221,'TL10'!$J$10:$J$224),0),
IF('TL10'!$B$229=M$3,SUMIF('TL10'!$C$238:$C$451,$C221,'TL10'!$J$238:$J$451),0),
IF('TL11'!$B$3=M$3,SUMIF('TL11'!$C$10:$C$224,$C221,'TL11'!$J$10:$J$224),0),
IF('TL11'!$B$229=M$3,SUMIF('TL11'!$C$238:$C$451,$C221,'TL11'!$J$238:$J$451),0),
IF('TL12'!$B$3=M$3,SUMIF('TL12'!$C$10:$C$224,$C221,'TL12'!$J$10:$J$224),0),
IF('TL12'!$B$229=M$3,SUMIF('TL12'!$C$238:$C$451,$C221,'TL12'!$J$238:$J$451),0),
IF('TL13'!$B$3=M$3,SUMIF('TL13'!$C$10:$C$224,$C221,'TL13'!$J$10:$J$224),0),
IF('TL13'!$B$229=M$3,SUMIF('TL13'!$C$238:$C$451,$C221,'TL13'!$J$238:$J$451),0),
IF('TL14'!$B$3=M$3,SUMIF('TL14'!$C$10:$C$224,$C221,'TL14'!$J$10:$J$224),0),
IF('TL14'!$B$229=M$3,SUMIF('TL14'!$C$238:$C$451,$C221,'TL14'!$J$238:$J$451),0),
IF('TL15'!$B$3=M$3,SUMIF('TL15'!$C$10:$C$224,$C221,'TL15'!$J$10:$J$224),0),
IF('TL15'!$B$229=M$3,SUMIF('TL15'!$C$238:$C$451,$C221,'TL15'!$J$238:$J$451),0),
IF('TL16'!$B$3=M$3,SUMIF('TL16'!$C$10:$C$224,$C221,'TL16'!$J$10:$J$224),0),
IF('TL16'!$B$229=M$3,SUMIF('TL16'!$C$238:$C$451,$C221,'TL16'!$J$238:$J$451),0),
IF('TL17'!$B$3=M$3,SUMIF('TL17'!$C$10:$C$224,$C221,'TL17'!$J$10:$J$224),0),
IF('TL17'!$B$229=M$3,SUMIF('TL17'!$C$238:$C$451,$C221,'TL17'!$J$238:$J$451),0),
IF('TL18'!$B$3=M$3,SUMIF('TL18'!$C$10:$C$224,$C221,'TL18'!$J$10:$J$224),0),
IF('TL18'!$B$229=M$3,SUMIF('TL18'!$C$238:$C$451,$C221,'TL18'!$J$238:$J$451),0),
IF('TL19'!$B$3=M$3,SUMIF('TL19'!$C$10:$C$224,$C221,'TL19'!$J$10:$J$224),0),
IF('TL19'!$B$229=M$3,SUMIF('TL19'!$C$238:$C$451,$C221,'TL19'!$J$238:$J$451),0)
),0)</f>
        <v/>
      </c>
      <c r="N221" s="9">
        <f>IFERROR(SUM(
IF('TL01'!$B$3=N$3,SUMIF('TL01'!$C$10:$C$224,$C221,'TL01'!$J$10:$J$224),0),
IF('TL01'!$B$229=N$3,SUMIF('TL01'!$C$238:$C$451,$C221,'TL01'!$J$238:$J$451),0),
IF('TL02'!$B$3=N$3,SUMIF('TL02'!$C$10:$C$224,$C221,'TL02'!$J$10:$J$224),0),
IF('TL02'!$B$229=N$3,SUMIF('TL02'!$C$238:$C$451,$C221,'TL02'!$J$238:$J$451),0),
IF('TL03'!$B$3=N$3,SUMIF('TL03'!$C$10:$C$224,$C221,'TL03'!$J$10:$J$224),0),
IF('TL03'!$B$229=N$3,SUMIF('TL03'!$C$238:$C$451,$C221,'TL03'!$J$238:$J$451),0),
IF('TL04'!$B$3=N$3,SUMIF('TL04'!$C$10:$C$224,$C221,'TL04'!$J$10:$J$224),0),
IF('TL04'!$B$229=N$3,SUMIF('TL04'!$C$238:$C$451,$C221,'TL04'!$J$238:$J$451),0),
IF('TL05'!$B$3=N$3,SUMIF('TL05'!$C$10:$C$224,$C221,'TL05'!$J$10:$J$224),0),
IF('TL05'!$B$229=N$3,SUMIF('TL05'!$C$238:$C$451,$C221,'TL05'!$J$238:$J$451),0),
IF('TL06'!$B$3=N$3,SUMIF('TL06'!$C$10:$C$224,$C221,'TL06'!$J$10:$J$224),0),
IF('TL06'!$B$229=N$3,SUMIF('TL06'!$C$238:$C$451,$C221,'TL06'!$J$238:$J$451),0),
IF('TL07'!$B$3=N$3,SUMIF('TL07'!$C$10:$C$224,$C221,'TL07'!$J$10:$J$224),0),
IF('TL07'!$B$229=N$3,SUMIF('TL07'!$C$238:$C$451,$C221,'TL07'!$J$238:$J$451),0),
IF('TL08'!$B$3=N$3,SUMIF('TL08'!$C$10:$C$224,$C221,'TL08'!$J$10:$J$224),0),
IF('TL08'!$B$229=N$3,SUMIF('TL08'!$C$238:$C$451,$C221,'TL08'!$J$238:$J$451),0),
IF('TL09'!$B$3=N$3,SUMIF('TL09'!$C$10:$C$224,$C221,'TL09'!$J$10:$J$224),0),
IF('TL09'!$B$229=N$3,SUMIF('TL09'!$C$238:$C$451,$C221,'TL09'!$J$238:$J$451),0),
IF('TL10'!$B$3=N$3,SUMIF('TL10'!$C$10:$C$224,$C221,'TL10'!$J$10:$J$224),0),
IF('TL10'!$B$229=N$3,SUMIF('TL10'!$C$238:$C$451,$C221,'TL10'!$J$238:$J$451),0),
IF('TL11'!$B$3=N$3,SUMIF('TL11'!$C$10:$C$224,$C221,'TL11'!$J$10:$J$224),0),
IF('TL11'!$B$229=N$3,SUMIF('TL11'!$C$238:$C$451,$C221,'TL11'!$J$238:$J$451),0),
IF('TL12'!$B$3=N$3,SUMIF('TL12'!$C$10:$C$224,$C221,'TL12'!$J$10:$J$224),0),
IF('TL12'!$B$229=N$3,SUMIF('TL12'!$C$238:$C$451,$C221,'TL12'!$J$238:$J$451),0),
IF('TL13'!$B$3=N$3,SUMIF('TL13'!$C$10:$C$224,$C221,'TL13'!$J$10:$J$224),0),
IF('TL13'!$B$229=N$3,SUMIF('TL13'!$C$238:$C$451,$C221,'TL13'!$J$238:$J$451),0),
IF('TL14'!$B$3=N$3,SUMIF('TL14'!$C$10:$C$224,$C221,'TL14'!$J$10:$J$224),0),
IF('TL14'!$B$229=N$3,SUMIF('TL14'!$C$238:$C$451,$C221,'TL14'!$J$238:$J$451),0),
IF('TL15'!$B$3=N$3,SUMIF('TL15'!$C$10:$C$224,$C221,'TL15'!$J$10:$J$224),0),
IF('TL15'!$B$229=N$3,SUMIF('TL15'!$C$238:$C$451,$C221,'TL15'!$J$238:$J$451),0),
IF('TL16'!$B$3=N$3,SUMIF('TL16'!$C$10:$C$224,$C221,'TL16'!$J$10:$J$224),0),
IF('TL16'!$B$229=N$3,SUMIF('TL16'!$C$238:$C$451,$C221,'TL16'!$J$238:$J$451),0),
IF('TL17'!$B$3=N$3,SUMIF('TL17'!$C$10:$C$224,$C221,'TL17'!$J$10:$J$224),0),
IF('TL17'!$B$229=N$3,SUMIF('TL17'!$C$238:$C$451,$C221,'TL17'!$J$238:$J$451),0),
IF('TL18'!$B$3=N$3,SUMIF('TL18'!$C$10:$C$224,$C221,'TL18'!$J$10:$J$224),0),
IF('TL18'!$B$229=N$3,SUMIF('TL18'!$C$238:$C$451,$C221,'TL18'!$J$238:$J$451),0),
IF('TL19'!$B$3=N$3,SUMIF('TL19'!$C$10:$C$224,$C221,'TL19'!$J$10:$J$224),0),
IF('TL19'!$B$229=N$3,SUMIF('TL19'!$C$238:$C$451,$C221,'TL19'!$J$238:$J$451),0)
),0)</f>
        <v/>
      </c>
      <c r="O221" s="9">
        <f>IFERROR(SUM(
IF('TL01'!$B$3=O$3,SUMIF('TL01'!$C$10:$C$224,$C221,'TL01'!$J$10:$J$224),0),
IF('TL01'!$B$229=O$3,SUMIF('TL01'!$C$238:$C$451,$C221,'TL01'!$J$238:$J$451),0),
IF('TL02'!$B$3=O$3,SUMIF('TL02'!$C$10:$C$224,$C221,'TL02'!$J$10:$J$224),0),
IF('TL02'!$B$229=O$3,SUMIF('TL02'!$C$238:$C$451,$C221,'TL02'!$J$238:$J$451),0),
IF('TL03'!$B$3=O$3,SUMIF('TL03'!$C$10:$C$224,$C221,'TL03'!$J$10:$J$224),0),
IF('TL03'!$B$229=O$3,SUMIF('TL03'!$C$238:$C$451,$C221,'TL03'!$J$238:$J$451),0),
IF('TL04'!$B$3=O$3,SUMIF('TL04'!$C$10:$C$224,$C221,'TL04'!$J$10:$J$224),0),
IF('TL04'!$B$229=O$3,SUMIF('TL04'!$C$238:$C$451,$C221,'TL04'!$J$238:$J$451),0),
IF('TL05'!$B$3=O$3,SUMIF('TL05'!$C$10:$C$224,$C221,'TL05'!$J$10:$J$224),0),
IF('TL05'!$B$229=O$3,SUMIF('TL05'!$C$238:$C$451,$C221,'TL05'!$J$238:$J$451),0),
IF('TL06'!$B$3=O$3,SUMIF('TL06'!$C$10:$C$224,$C221,'TL06'!$J$10:$J$224),0),
IF('TL06'!$B$229=O$3,SUMIF('TL06'!$C$238:$C$451,$C221,'TL06'!$J$238:$J$451),0),
IF('TL07'!$B$3=O$3,SUMIF('TL07'!$C$10:$C$224,$C221,'TL07'!$J$10:$J$224),0),
IF('TL07'!$B$229=O$3,SUMIF('TL07'!$C$238:$C$451,$C221,'TL07'!$J$238:$J$451),0),
IF('TL08'!$B$3=O$3,SUMIF('TL08'!$C$10:$C$224,$C221,'TL08'!$J$10:$J$224),0),
IF('TL08'!$B$229=O$3,SUMIF('TL08'!$C$238:$C$451,$C221,'TL08'!$J$238:$J$451),0),
IF('TL09'!$B$3=O$3,SUMIF('TL09'!$C$10:$C$224,$C221,'TL09'!$J$10:$J$224),0),
IF('TL09'!$B$229=O$3,SUMIF('TL09'!$C$238:$C$451,$C221,'TL09'!$J$238:$J$451),0),
IF('TL10'!$B$3=O$3,SUMIF('TL10'!$C$10:$C$224,$C221,'TL10'!$J$10:$J$224),0),
IF('TL10'!$B$229=O$3,SUMIF('TL10'!$C$238:$C$451,$C221,'TL10'!$J$238:$J$451),0),
IF('TL11'!$B$3=O$3,SUMIF('TL11'!$C$10:$C$224,$C221,'TL11'!$J$10:$J$224),0),
IF('TL11'!$B$229=O$3,SUMIF('TL11'!$C$238:$C$451,$C221,'TL11'!$J$238:$J$451),0),
IF('TL12'!$B$3=O$3,SUMIF('TL12'!$C$10:$C$224,$C221,'TL12'!$J$10:$J$224),0),
IF('TL12'!$B$229=O$3,SUMIF('TL12'!$C$238:$C$451,$C221,'TL12'!$J$238:$J$451),0),
IF('TL13'!$B$3=O$3,SUMIF('TL13'!$C$10:$C$224,$C221,'TL13'!$J$10:$J$224),0),
IF('TL13'!$B$229=O$3,SUMIF('TL13'!$C$238:$C$451,$C221,'TL13'!$J$238:$J$451),0),
IF('TL14'!$B$3=O$3,SUMIF('TL14'!$C$10:$C$224,$C221,'TL14'!$J$10:$J$224),0),
IF('TL14'!$B$229=O$3,SUMIF('TL14'!$C$238:$C$451,$C221,'TL14'!$J$238:$J$451),0),
IF('TL15'!$B$3=O$3,SUMIF('TL15'!$C$10:$C$224,$C221,'TL15'!$J$10:$J$224),0),
IF('TL15'!$B$229=O$3,SUMIF('TL15'!$C$238:$C$451,$C221,'TL15'!$J$238:$J$451),0),
IF('TL16'!$B$3=O$3,SUMIF('TL16'!$C$10:$C$224,$C221,'TL16'!$J$10:$J$224),0),
IF('TL16'!$B$229=O$3,SUMIF('TL16'!$C$238:$C$451,$C221,'TL16'!$J$238:$J$451),0),
IF('TL17'!$B$3=O$3,SUMIF('TL17'!$C$10:$C$224,$C221,'TL17'!$J$10:$J$224),0),
IF('TL17'!$B$229=O$3,SUMIF('TL17'!$C$238:$C$451,$C221,'TL17'!$J$238:$J$451),0),
IF('TL18'!$B$3=O$3,SUMIF('TL18'!$C$10:$C$224,$C221,'TL18'!$J$10:$J$224),0),
IF('TL18'!$B$229=O$3,SUMIF('TL18'!$C$238:$C$451,$C221,'TL18'!$J$238:$J$451),0),
IF('TL19'!$B$3=O$3,SUMIF('TL19'!$C$10:$C$224,$C221,'TL19'!$J$10:$J$224),0),
IF('TL19'!$B$229=O$3,SUMIF('TL19'!$C$238:$C$451,$C221,'TL19'!$J$238:$J$451),0)
),0)</f>
        <v/>
      </c>
      <c r="P221" s="9">
        <f>IFERROR(SUM(
IF('TL01'!$B$3=P$3,SUMIF('TL01'!$C$10:$C$224,$C221,'TL01'!$J$10:$J$224),0),
IF('TL01'!$B$229=P$3,SUMIF('TL01'!$C$238:$C$451,$C221,'TL01'!$J$238:$J$451),0),
IF('TL02'!$B$3=P$3,SUMIF('TL02'!$C$10:$C$224,$C221,'TL02'!$J$10:$J$224),0),
IF('TL02'!$B$229=P$3,SUMIF('TL02'!$C$238:$C$451,$C221,'TL02'!$J$238:$J$451),0),
IF('TL03'!$B$3=P$3,SUMIF('TL03'!$C$10:$C$224,$C221,'TL03'!$J$10:$J$224),0),
IF('TL03'!$B$229=P$3,SUMIF('TL03'!$C$238:$C$451,$C221,'TL03'!$J$238:$J$451),0),
IF('TL04'!$B$3=P$3,SUMIF('TL04'!$C$10:$C$224,$C221,'TL04'!$J$10:$J$224),0),
IF('TL04'!$B$229=P$3,SUMIF('TL04'!$C$238:$C$451,$C221,'TL04'!$J$238:$J$451),0),
IF('TL05'!$B$3=P$3,SUMIF('TL05'!$C$10:$C$224,$C221,'TL05'!$J$10:$J$224),0),
IF('TL05'!$B$229=P$3,SUMIF('TL05'!$C$238:$C$451,$C221,'TL05'!$J$238:$J$451),0),
IF('TL06'!$B$3=P$3,SUMIF('TL06'!$C$10:$C$224,$C221,'TL06'!$J$10:$J$224),0),
IF('TL06'!$B$229=P$3,SUMIF('TL06'!$C$238:$C$451,$C221,'TL06'!$J$238:$J$451),0),
IF('TL07'!$B$3=P$3,SUMIF('TL07'!$C$10:$C$224,$C221,'TL07'!$J$10:$J$224),0),
IF('TL07'!$B$229=P$3,SUMIF('TL07'!$C$238:$C$451,$C221,'TL07'!$J$238:$J$451),0),
IF('TL08'!$B$3=P$3,SUMIF('TL08'!$C$10:$C$224,$C221,'TL08'!$J$10:$J$224),0),
IF('TL08'!$B$229=P$3,SUMIF('TL08'!$C$238:$C$451,$C221,'TL08'!$J$238:$J$451),0),
IF('TL09'!$B$3=P$3,SUMIF('TL09'!$C$10:$C$224,$C221,'TL09'!$J$10:$J$224),0),
IF('TL09'!$B$229=P$3,SUMIF('TL09'!$C$238:$C$451,$C221,'TL09'!$J$238:$J$451),0),
IF('TL10'!$B$3=P$3,SUMIF('TL10'!$C$10:$C$224,$C221,'TL10'!$J$10:$J$224),0),
IF('TL10'!$B$229=P$3,SUMIF('TL10'!$C$238:$C$451,$C221,'TL10'!$J$238:$J$451),0),
IF('TL11'!$B$3=P$3,SUMIF('TL11'!$C$10:$C$224,$C221,'TL11'!$J$10:$J$224),0),
IF('TL11'!$B$229=P$3,SUMIF('TL11'!$C$238:$C$451,$C221,'TL11'!$J$238:$J$451),0),
IF('TL12'!$B$3=P$3,SUMIF('TL12'!$C$10:$C$224,$C221,'TL12'!$J$10:$J$224),0),
IF('TL12'!$B$229=P$3,SUMIF('TL12'!$C$238:$C$451,$C221,'TL12'!$J$238:$J$451),0),
IF('TL13'!$B$3=P$3,SUMIF('TL13'!$C$10:$C$224,$C221,'TL13'!$J$10:$J$224),0),
IF('TL13'!$B$229=P$3,SUMIF('TL13'!$C$238:$C$451,$C221,'TL13'!$J$238:$J$451),0),
IF('TL14'!$B$3=P$3,SUMIF('TL14'!$C$10:$C$224,$C221,'TL14'!$J$10:$J$224),0),
IF('TL14'!$B$229=P$3,SUMIF('TL14'!$C$238:$C$451,$C221,'TL14'!$J$238:$J$451),0),
IF('TL15'!$B$3=P$3,SUMIF('TL15'!$C$10:$C$224,$C221,'TL15'!$J$10:$J$224),0),
IF('TL15'!$B$229=P$3,SUMIF('TL15'!$C$238:$C$451,$C221,'TL15'!$J$238:$J$451),0),
IF('TL16'!$B$3=P$3,SUMIF('TL16'!$C$10:$C$224,$C221,'TL16'!$J$10:$J$224),0),
IF('TL16'!$B$229=P$3,SUMIF('TL16'!$C$238:$C$451,$C221,'TL16'!$J$238:$J$451),0),
IF('TL17'!$B$3=P$3,SUMIF('TL17'!$C$10:$C$224,$C221,'TL17'!$J$10:$J$224),0),
IF('TL17'!$B$229=P$3,SUMIF('TL17'!$C$238:$C$451,$C221,'TL17'!$J$238:$J$451),0),
IF('TL18'!$B$3=P$3,SUMIF('TL18'!$C$10:$C$224,$C221,'TL18'!$J$10:$J$224),0),
IF('TL18'!$B$229=P$3,SUMIF('TL18'!$C$238:$C$451,$C221,'TL18'!$J$238:$J$451),0),
IF('TL19'!$B$3=P$3,SUMIF('TL19'!$C$10:$C$224,$C221,'TL19'!$J$10:$J$224),0),
IF('TL19'!$B$229=P$3,SUMIF('TL19'!$C$238:$C$451,$C221,'TL19'!$J$238:$J$451),0)
),0)</f>
        <v/>
      </c>
      <c r="Q221" s="9">
        <f>IFERROR(SUM(
IF('TL01'!$B$3=Q$3,SUMIF('TL01'!$C$10:$C$224,$C221,'TL01'!$J$10:$J$224),0),
IF('TL01'!$B$229=Q$3,SUMIF('TL01'!$C$238:$C$451,$C221,'TL01'!$J$238:$J$451),0),
IF('TL02'!$B$3=Q$3,SUMIF('TL02'!$C$10:$C$224,$C221,'TL02'!$J$10:$J$224),0),
IF('TL02'!$B$229=Q$3,SUMIF('TL02'!$C$238:$C$451,$C221,'TL02'!$J$238:$J$451),0),
IF('TL03'!$B$3=Q$3,SUMIF('TL03'!$C$10:$C$224,$C221,'TL03'!$J$10:$J$224),0),
IF('TL03'!$B$229=Q$3,SUMIF('TL03'!$C$238:$C$451,$C221,'TL03'!$J$238:$J$451),0),
IF('TL04'!$B$3=Q$3,SUMIF('TL04'!$C$10:$C$224,$C221,'TL04'!$J$10:$J$224),0),
IF('TL04'!$B$229=Q$3,SUMIF('TL04'!$C$238:$C$451,$C221,'TL04'!$J$238:$J$451),0),
IF('TL05'!$B$3=Q$3,SUMIF('TL05'!$C$10:$C$224,$C221,'TL05'!$J$10:$J$224),0),
IF('TL05'!$B$229=Q$3,SUMIF('TL05'!$C$238:$C$451,$C221,'TL05'!$J$238:$J$451),0),
IF('TL06'!$B$3=Q$3,SUMIF('TL06'!$C$10:$C$224,$C221,'TL06'!$J$10:$J$224),0),
IF('TL06'!$B$229=Q$3,SUMIF('TL06'!$C$238:$C$451,$C221,'TL06'!$J$238:$J$451),0),
IF('TL07'!$B$3=Q$3,SUMIF('TL07'!$C$10:$C$224,$C221,'TL07'!$J$10:$J$224),0),
IF('TL07'!$B$229=Q$3,SUMIF('TL07'!$C$238:$C$451,$C221,'TL07'!$J$238:$J$451),0),
IF('TL08'!$B$3=Q$3,SUMIF('TL08'!$C$10:$C$224,$C221,'TL08'!$J$10:$J$224),0),
IF('TL08'!$B$229=Q$3,SUMIF('TL08'!$C$238:$C$451,$C221,'TL08'!$J$238:$J$451),0),
IF('TL09'!$B$3=Q$3,SUMIF('TL09'!$C$10:$C$224,$C221,'TL09'!$J$10:$J$224),0),
IF('TL09'!$B$229=Q$3,SUMIF('TL09'!$C$238:$C$451,$C221,'TL09'!$J$238:$J$451),0),
IF('TL10'!$B$3=Q$3,SUMIF('TL10'!$C$10:$C$224,$C221,'TL10'!$J$10:$J$224),0),
IF('TL10'!$B$229=Q$3,SUMIF('TL10'!$C$238:$C$451,$C221,'TL10'!$J$238:$J$451),0),
IF('TL11'!$B$3=Q$3,SUMIF('TL11'!$C$10:$C$224,$C221,'TL11'!$J$10:$J$224),0),
IF('TL11'!$B$229=Q$3,SUMIF('TL11'!$C$238:$C$451,$C221,'TL11'!$J$238:$J$451),0),
IF('TL12'!$B$3=Q$3,SUMIF('TL12'!$C$10:$C$224,$C221,'TL12'!$J$10:$J$224),0),
IF('TL12'!$B$229=Q$3,SUMIF('TL12'!$C$238:$C$451,$C221,'TL12'!$J$238:$J$451),0),
IF('TL13'!$B$3=Q$3,SUMIF('TL13'!$C$10:$C$224,$C221,'TL13'!$J$10:$J$224),0),
IF('TL13'!$B$229=Q$3,SUMIF('TL13'!$C$238:$C$451,$C221,'TL13'!$J$238:$J$451),0),
IF('TL14'!$B$3=Q$3,SUMIF('TL14'!$C$10:$C$224,$C221,'TL14'!$J$10:$J$224),0),
IF('TL14'!$B$229=Q$3,SUMIF('TL14'!$C$238:$C$451,$C221,'TL14'!$J$238:$J$451),0),
IF('TL15'!$B$3=Q$3,SUMIF('TL15'!$C$10:$C$224,$C221,'TL15'!$J$10:$J$224),0),
IF('TL15'!$B$229=Q$3,SUMIF('TL15'!$C$238:$C$451,$C221,'TL15'!$J$238:$J$451),0),
IF('TL16'!$B$3=Q$3,SUMIF('TL16'!$C$10:$C$224,$C221,'TL16'!$J$10:$J$224),0),
IF('TL16'!$B$229=Q$3,SUMIF('TL16'!$C$238:$C$451,$C221,'TL16'!$J$238:$J$451),0),
IF('TL17'!$B$3=Q$3,SUMIF('TL17'!$C$10:$C$224,$C221,'TL17'!$J$10:$J$224),0),
IF('TL17'!$B$229=Q$3,SUMIF('TL17'!$C$238:$C$451,$C221,'TL17'!$J$238:$J$451),0),
IF('TL18'!$B$3=Q$3,SUMIF('TL18'!$C$10:$C$224,$C221,'TL18'!$J$10:$J$224),0),
IF('TL18'!$B$229=Q$3,SUMIF('TL18'!$C$238:$C$451,$C221,'TL18'!$J$238:$J$451),0),
IF('TL19'!$B$3=Q$3,SUMIF('TL19'!$C$10:$C$224,$C221,'TL19'!$J$10:$J$224),0),
IF('TL19'!$B$229=Q$3,SUMIF('TL19'!$C$238:$C$451,$C221,'TL19'!$J$238:$J$451),0)
),0)</f>
        <v/>
      </c>
      <c r="R221" s="9">
        <f>IFERROR(
SUM(
SUMIF('TL01'!C:C,C221,'TL01'!J:J),
SUMIF('TL02'!C:C,C221,'TL02'!J:J),
SUMIF('TL03'!C:C,C221,'TL03'!J:J),
SUMIF('TL04'!C:C,C221,'TL04'!J:J),
SUMIF('TL05'!C:C,C221,'TL05'!J:J),
SUMIF('TL06'!C:C,C221,'TL06'!J:J),
SUMIF('TL07'!C:C,C221,'TL07'!J:J),
SUMIF('TL08'!C:C,C221,'TL08'!J:J),
SUMIF('TL09'!C:C,C221,'TL09'!J:J),
SUMIF('TL10'!C:C,C221,'TL10'!J:J),
SUMIF('TL11'!C:C,C221,'TL11'!J:J),
SUMIF('TL12'!C:C,C221,'TL12'!J:J),
SUMIF('TL13'!C:C,C221,'TL13'!J:J),
SUMIF('TL14'!C:C,C221,'TL14'!J:J),
SUMIF('TL15'!C:C,C221,'TL15'!J:J),
SUMIF('TL16'!C:C,C221,'TL16'!J:J),
SUMIF('TL17'!C:C,C221,'TL17'!J:J),
SUMIF('TL18'!C:C,C221,'TL18'!J:J),SUMIF('TL19'!C:C,C221,'TL19'!J:J))
,0)</f>
        <v/>
      </c>
      <c r="S221" s="17">
        <f>IFERROR(__xludf.DUMMYFUNCTION("IFERROR(VLOOKUP(C221,
IMPORTRANGE(""1wULbzX32WdYsx-lj2U3uUNBBe2INVIRDtcK0d-Dvl90"",
""26-27!C:G""),
5,
FALSE),
"""")"),67.68)</f>
        <v/>
      </c>
      <c r="T221" s="9" t="n"/>
      <c r="U221" s="92">
        <f>MAX(0,R221-T221)</f>
        <v/>
      </c>
      <c r="V221" s="93">
        <f>U221*S221</f>
        <v/>
      </c>
    </row>
    <row r="222" hidden="1" ht="15.75" customHeight="1" s="297">
      <c r="A222" s="87" t="inlineStr">
        <is>
          <t>SUMITOMO</t>
        </is>
      </c>
      <c r="B222" s="88" t="inlineStr">
        <is>
          <t>INSETICIDA</t>
        </is>
      </c>
      <c r="C222" s="89" t="inlineStr">
        <is>
          <t>INSIDE FS</t>
        </is>
      </c>
      <c r="D222" s="89" t="inlineStr">
        <is>
          <t>CLOTIANIDINA</t>
        </is>
      </c>
      <c r="E222" s="89" t="n">
        <v>600</v>
      </c>
      <c r="F222" s="4" t="inlineStr">
        <is>
          <t>KG</t>
        </is>
      </c>
      <c r="G222" s="90">
        <f>HYPERLINK("https://www.google.com/search?q=" &amp; C222 &amp; "+bula+agrofit+pdf", "📄 Ver bula")</f>
        <v/>
      </c>
      <c r="H222" s="9">
        <f>IFERROR(__xludf.DUMMYFUNCTION("IFERROR(VLOOKUP(C222,
IMPORTRANGE(""1wULbzX32WdYsx-lj2U3uUNBBe2INVIRDtcK0d-Dvl90"",
""26-27!C:K""),
8,
FALSE),
"""")"),0.05)</f>
        <v/>
      </c>
      <c r="I222" s="91" t="inlineStr">
        <is>
          <t>4X5</t>
        </is>
      </c>
      <c r="J222" s="9">
        <f>IFERROR(SUM(
IF('TL01'!$B$3=J$3,SUMIF('TL01'!$C$10:$C$224,$C222,'TL01'!$J$10:$J$224),0),
IF('TL01'!$B$229=J$3,SUMIF('TL01'!$C$238:$C$451,$C222,'TL01'!$J$238:$J$451),0),
IF('TL02'!$B$3=J$3,SUMIF('TL02'!$C$10:$C$224,$C222,'TL02'!$J$10:$J$224),0),
IF('TL02'!$B$229=J$3,SUMIF('TL02'!$C$238:$C$451,$C222,'TL02'!$J$238:$J$451),0),
IF('TL03'!$B$3=J$3,SUMIF('TL03'!$C$10:$C$224,$C222,'TL03'!$J$10:$J$224),0),
IF('TL03'!$B$229=J$3,SUMIF('TL03'!$C$238:$C$451,$C222,'TL03'!$J$238:$J$451),0),
IF('TL04'!$B$3=J$3,SUMIF('TL04'!$C$10:$C$224,$C222,'TL04'!$J$10:$J$224),0),
IF('TL04'!$B$229=J$3,SUMIF('TL04'!$C$238:$C$451,$C222,'TL04'!$J$238:$J$451),0),
IF('TL05'!$B$3=J$3,SUMIF('TL05'!$C$10:$C$224,$C222,'TL05'!$J$10:$J$224),0),
IF('TL05'!$B$229=J$3,SUMIF('TL05'!$C$238:$C$451,$C222,'TL05'!$J$238:$J$451),0),
IF('TL06'!$B$3=J$3,SUMIF('TL06'!$C$10:$C$224,$C222,'TL06'!$J$10:$J$224),0),
IF('TL06'!$B$229=J$3,SUMIF('TL06'!$C$238:$C$451,$C222,'TL06'!$J$238:$J$451),0),
IF('TL07'!$B$3=J$3,SUMIF('TL07'!$C$10:$C$224,$C222,'TL07'!$J$10:$J$224),0),
IF('TL07'!$B$229=J$3,SUMIF('TL07'!$C$238:$C$451,$C222,'TL07'!$J$238:$J$451),0),
IF('TL08'!$B$3=J$3,SUMIF('TL08'!$C$10:$C$224,$C222,'TL08'!$J$10:$J$224),0),
IF('TL08'!$B$229=J$3,SUMIF('TL08'!$C$238:$C$451,$C222,'TL08'!$J$238:$J$451),0),
IF('TL09'!$B$3=J$3,SUMIF('TL09'!$C$10:$C$224,$C222,'TL09'!$J$10:$J$224),0),
IF('TL09'!$B$229=J$3,SUMIF('TL09'!$C$238:$C$451,$C222,'TL09'!$J$238:$J$451),0),
IF('TL10'!$B$3=J$3,SUMIF('TL10'!$C$10:$C$224,$C222,'TL10'!$J$10:$J$224),0),
IF('TL10'!$B$229=J$3,SUMIF('TL10'!$C$238:$C$451,$C222,'TL10'!$J$238:$J$451),0),
IF('TL11'!$B$3=J$3,SUMIF('TL11'!$C$10:$C$224,$C222,'TL11'!$J$10:$J$224),0),
IF('TL11'!$B$229=J$3,SUMIF('TL11'!$C$238:$C$451,$C222,'TL11'!$J$238:$J$451),0),
IF('TL12'!$B$3=J$3,SUMIF('TL12'!$C$10:$C$224,$C222,'TL12'!$J$10:$J$224),0),
IF('TL12'!$B$229=J$3,SUMIF('TL12'!$C$238:$C$451,$C222,'TL12'!$J$238:$J$451),0),
IF('TL13'!$B$3=J$3,SUMIF('TL13'!$C$10:$C$224,$C222,'TL13'!$J$10:$J$224),0),
IF('TL13'!$B$229=J$3,SUMIF('TL13'!$C$238:$C$451,$C222,'TL13'!$J$238:$J$451),0),
IF('TL14'!$B$3=J$3,SUMIF('TL14'!$C$10:$C$224,$C222,'TL14'!$J$10:$J$224),0),
IF('TL14'!$B$229=J$3,SUMIF('TL14'!$C$238:$C$451,$C222,'TL14'!$J$238:$J$451),0),
IF('TL15'!$B$3=J$3,SUMIF('TL15'!$C$10:$C$224,$C222,'TL15'!$J$10:$J$224),0),
IF('TL15'!$B$229=J$3,SUMIF('TL15'!$C$238:$C$451,$C222,'TL15'!$J$238:$J$451),0),
IF('TL16'!$B$3=J$3,SUMIF('TL16'!$C$10:$C$224,$C222,'TL16'!$J$10:$J$224),0),
IF('TL16'!$B$229=J$3,SUMIF('TL16'!$C$238:$C$451,$C222,'TL16'!$J$238:$J$451),0),
IF('TL17'!$B$3=J$3,SUMIF('TL17'!$C$10:$C$224,$C222,'TL17'!$J$10:$J$224),0),
IF('TL17'!$B$229=J$3,SUMIF('TL17'!$C$238:$C$451,$C222,'TL17'!$J$238:$J$451),0),
IF('TL18'!$B$3=J$3,SUMIF('TL18'!$C$10:$C$224,$C222,'TL18'!$J$10:$J$224),0),
IF('TL18'!$B$229=J$3,SUMIF('TL18'!$C$238:$C$451,$C222,'TL18'!$J$238:$J$451),0),
IF('TL19'!$B$3=J$3,SUMIF('TL19'!$C$10:$C$224,$C222,'TL19'!$J$10:$J$224),0),
IF('TL19'!$B$229=J$3,SUMIF('TL19'!$C$238:$C$451,$C222,'TL19'!$J$238:$J$451),0)
),0)</f>
        <v/>
      </c>
      <c r="K222" s="9">
        <f>IFERROR(SUM(
IF('TL01'!$B$3=K$3,SUMIF('TL01'!$C$10:$C$224,$C222,'TL01'!$J$10:$J$224),0),
IF('TL01'!$B$229=K$3,SUMIF('TL01'!$C$238:$C$451,$C222,'TL01'!$J$238:$J$451),0),
IF('TL02'!$B$3=K$3,SUMIF('TL02'!$C$10:$C$224,$C222,'TL02'!$J$10:$J$224),0),
IF('TL02'!$B$229=K$3,SUMIF('TL02'!$C$238:$C$451,$C222,'TL02'!$J$238:$J$451),0),
IF('TL03'!$B$3=K$3,SUMIF('TL03'!$C$10:$C$224,$C222,'TL03'!$J$10:$J$224),0),
IF('TL03'!$B$229=K$3,SUMIF('TL03'!$C$238:$C$451,$C222,'TL03'!$J$238:$J$451),0),
IF('TL04'!$B$3=K$3,SUMIF('TL04'!$C$10:$C$224,$C222,'TL04'!$J$10:$J$224),0),
IF('TL04'!$B$229=K$3,SUMIF('TL04'!$C$238:$C$451,$C222,'TL04'!$J$238:$J$451),0),
IF('TL05'!$B$3=K$3,SUMIF('TL05'!$C$10:$C$224,$C222,'TL05'!$J$10:$J$224),0),
IF('TL05'!$B$229=K$3,SUMIF('TL05'!$C$238:$C$451,$C222,'TL05'!$J$238:$J$451),0),
IF('TL06'!$B$3=K$3,SUMIF('TL06'!$C$10:$C$224,$C222,'TL06'!$J$10:$J$224),0),
IF('TL06'!$B$229=K$3,SUMIF('TL06'!$C$238:$C$451,$C222,'TL06'!$J$238:$J$451),0),
IF('TL07'!$B$3=K$3,SUMIF('TL07'!$C$10:$C$224,$C222,'TL07'!$J$10:$J$224),0),
IF('TL07'!$B$229=K$3,SUMIF('TL07'!$C$238:$C$451,$C222,'TL07'!$J$238:$J$451),0),
IF('TL08'!$B$3=K$3,SUMIF('TL08'!$C$10:$C$224,$C222,'TL08'!$J$10:$J$224),0),
IF('TL08'!$B$229=K$3,SUMIF('TL08'!$C$238:$C$451,$C222,'TL08'!$J$238:$J$451),0),
IF('TL09'!$B$3=K$3,SUMIF('TL09'!$C$10:$C$224,$C222,'TL09'!$J$10:$J$224),0),
IF('TL09'!$B$229=K$3,SUMIF('TL09'!$C$238:$C$451,$C222,'TL09'!$J$238:$J$451),0),
IF('TL10'!$B$3=K$3,SUMIF('TL10'!$C$10:$C$224,$C222,'TL10'!$J$10:$J$224),0),
IF('TL10'!$B$229=K$3,SUMIF('TL10'!$C$238:$C$451,$C222,'TL10'!$J$238:$J$451),0),
IF('TL11'!$B$3=K$3,SUMIF('TL11'!$C$10:$C$224,$C222,'TL11'!$J$10:$J$224),0),
IF('TL11'!$B$229=K$3,SUMIF('TL11'!$C$238:$C$451,$C222,'TL11'!$J$238:$J$451),0),
IF('TL12'!$B$3=K$3,SUMIF('TL12'!$C$10:$C$224,$C222,'TL12'!$J$10:$J$224),0),
IF('TL12'!$B$229=K$3,SUMIF('TL12'!$C$238:$C$451,$C222,'TL12'!$J$238:$J$451),0),
IF('TL13'!$B$3=K$3,SUMIF('TL13'!$C$10:$C$224,$C222,'TL13'!$J$10:$J$224),0),
IF('TL13'!$B$229=K$3,SUMIF('TL13'!$C$238:$C$451,$C222,'TL13'!$J$238:$J$451),0),
IF('TL14'!$B$3=K$3,SUMIF('TL14'!$C$10:$C$224,$C222,'TL14'!$J$10:$J$224),0),
IF('TL14'!$B$229=K$3,SUMIF('TL14'!$C$238:$C$451,$C222,'TL14'!$J$238:$J$451),0),
IF('TL15'!$B$3=K$3,SUMIF('TL15'!$C$10:$C$224,$C222,'TL15'!$J$10:$J$224),0),
IF('TL15'!$B$229=K$3,SUMIF('TL15'!$C$238:$C$451,$C222,'TL15'!$J$238:$J$451),0),
IF('TL16'!$B$3=K$3,SUMIF('TL16'!$C$10:$C$224,$C222,'TL16'!$J$10:$J$224),0),
IF('TL16'!$B$229=K$3,SUMIF('TL16'!$C$238:$C$451,$C222,'TL16'!$J$238:$J$451),0),
IF('TL17'!$B$3=K$3,SUMIF('TL17'!$C$10:$C$224,$C222,'TL17'!$J$10:$J$224),0),
IF('TL17'!$B$229=K$3,SUMIF('TL17'!$C$238:$C$451,$C222,'TL17'!$J$238:$J$451),0),
IF('TL18'!$B$3=K$3,SUMIF('TL18'!$C$10:$C$224,$C222,'TL18'!$J$10:$J$224),0),
IF('TL18'!$B$229=K$3,SUMIF('TL18'!$C$238:$C$451,$C222,'TL18'!$J$238:$J$451),0),
IF('TL19'!$B$3=K$3,SUMIF('TL19'!$C$10:$C$224,$C222,'TL19'!$J$10:$J$224),0),
IF('TL19'!$B$229=K$3,SUMIF('TL19'!$C$238:$C$451,$C222,'TL19'!$J$238:$J$451),0)
),0)</f>
        <v/>
      </c>
      <c r="L222" s="9">
        <f>IFERROR(SUM(
IF('TL01'!$B$3=L$3,SUMIF('TL01'!$C$10:$C$224,$C222,'TL01'!$J$10:$J$224),0),
IF('TL01'!$B$229=L$3,SUMIF('TL01'!$C$238:$C$451,$C222,'TL01'!$J$238:$J$451),0),
IF('TL02'!$B$3=L$3,SUMIF('TL02'!$C$10:$C$224,$C222,'TL02'!$J$10:$J$224),0),
IF('TL02'!$B$229=L$3,SUMIF('TL02'!$C$238:$C$451,$C222,'TL02'!$J$238:$J$451),0),
IF('TL03'!$B$3=L$3,SUMIF('TL03'!$C$10:$C$224,$C222,'TL03'!$J$10:$J$224),0),
IF('TL03'!$B$229=L$3,SUMIF('TL03'!$C$238:$C$451,$C222,'TL03'!$J$238:$J$451),0),
IF('TL04'!$B$3=L$3,SUMIF('TL04'!$C$10:$C$224,$C222,'TL04'!$J$10:$J$224),0),
IF('TL04'!$B$229=L$3,SUMIF('TL04'!$C$238:$C$451,$C222,'TL04'!$J$238:$J$451),0),
IF('TL05'!$B$3=L$3,SUMIF('TL05'!$C$10:$C$224,$C222,'TL05'!$J$10:$J$224),0),
IF('TL05'!$B$229=L$3,SUMIF('TL05'!$C$238:$C$451,$C222,'TL05'!$J$238:$J$451),0),
IF('TL06'!$B$3=L$3,SUMIF('TL06'!$C$10:$C$224,$C222,'TL06'!$J$10:$J$224),0),
IF('TL06'!$B$229=L$3,SUMIF('TL06'!$C$238:$C$451,$C222,'TL06'!$J$238:$J$451),0),
IF('TL07'!$B$3=L$3,SUMIF('TL07'!$C$10:$C$224,$C222,'TL07'!$J$10:$J$224),0),
IF('TL07'!$B$229=L$3,SUMIF('TL07'!$C$238:$C$451,$C222,'TL07'!$J$238:$J$451),0),
IF('TL08'!$B$3=L$3,SUMIF('TL08'!$C$10:$C$224,$C222,'TL08'!$J$10:$J$224),0),
IF('TL08'!$B$229=L$3,SUMIF('TL08'!$C$238:$C$451,$C222,'TL08'!$J$238:$J$451),0),
IF('TL09'!$B$3=L$3,SUMIF('TL09'!$C$10:$C$224,$C222,'TL09'!$J$10:$J$224),0),
IF('TL09'!$B$229=L$3,SUMIF('TL09'!$C$238:$C$451,$C222,'TL09'!$J$238:$J$451),0),
IF('TL10'!$B$3=L$3,SUMIF('TL10'!$C$10:$C$224,$C222,'TL10'!$J$10:$J$224),0),
IF('TL10'!$B$229=L$3,SUMIF('TL10'!$C$238:$C$451,$C222,'TL10'!$J$238:$J$451),0),
IF('TL11'!$B$3=L$3,SUMIF('TL11'!$C$10:$C$224,$C222,'TL11'!$J$10:$J$224),0),
IF('TL11'!$B$229=L$3,SUMIF('TL11'!$C$238:$C$451,$C222,'TL11'!$J$238:$J$451),0),
IF('TL12'!$B$3=L$3,SUMIF('TL12'!$C$10:$C$224,$C222,'TL12'!$J$10:$J$224),0),
IF('TL12'!$B$229=L$3,SUMIF('TL12'!$C$238:$C$451,$C222,'TL12'!$J$238:$J$451),0),
IF('TL13'!$B$3=L$3,SUMIF('TL13'!$C$10:$C$224,$C222,'TL13'!$J$10:$J$224),0),
IF('TL13'!$B$229=L$3,SUMIF('TL13'!$C$238:$C$451,$C222,'TL13'!$J$238:$J$451),0),
IF('TL14'!$B$3=L$3,SUMIF('TL14'!$C$10:$C$224,$C222,'TL14'!$J$10:$J$224),0),
IF('TL14'!$B$229=L$3,SUMIF('TL14'!$C$238:$C$451,$C222,'TL14'!$J$238:$J$451),0),
IF('TL15'!$B$3=L$3,SUMIF('TL15'!$C$10:$C$224,$C222,'TL15'!$J$10:$J$224),0),
IF('TL15'!$B$229=L$3,SUMIF('TL15'!$C$238:$C$451,$C222,'TL15'!$J$238:$J$451),0),
IF('TL16'!$B$3=L$3,SUMIF('TL16'!$C$10:$C$224,$C222,'TL16'!$J$10:$J$224),0),
IF('TL16'!$B$229=L$3,SUMIF('TL16'!$C$238:$C$451,$C222,'TL16'!$J$238:$J$451),0),
IF('TL17'!$B$3=L$3,SUMIF('TL17'!$C$10:$C$224,$C222,'TL17'!$J$10:$J$224),0),
IF('TL17'!$B$229=L$3,SUMIF('TL17'!$C$238:$C$451,$C222,'TL17'!$J$238:$J$451),0),
IF('TL18'!$B$3=L$3,SUMIF('TL18'!$C$10:$C$224,$C222,'TL18'!$J$10:$J$224),0),
IF('TL18'!$B$229=L$3,SUMIF('TL18'!$C$238:$C$451,$C222,'TL18'!$J$238:$J$451),0),
IF('TL19'!$B$3=L$3,SUMIF('TL19'!$C$10:$C$224,$C222,'TL19'!$J$10:$J$224),0),
IF('TL19'!$B$229=L$3,SUMIF('TL19'!$C$238:$C$451,$C222,'TL19'!$J$238:$J$451),0)
),0)</f>
        <v/>
      </c>
      <c r="M222" s="9">
        <f>IFERROR(SUM(
IF('TL01'!$B$3=M$3,SUMIF('TL01'!$C$10:$C$224,$C222,'TL01'!$J$10:$J$224),0),
IF('TL01'!$B$229=M$3,SUMIF('TL01'!$C$238:$C$451,$C222,'TL01'!$J$238:$J$451),0),
IF('TL02'!$B$3=M$3,SUMIF('TL02'!$C$10:$C$224,$C222,'TL02'!$J$10:$J$224),0),
IF('TL02'!$B$229=M$3,SUMIF('TL02'!$C$238:$C$451,$C222,'TL02'!$J$238:$J$451),0),
IF('TL03'!$B$3=M$3,SUMIF('TL03'!$C$10:$C$224,$C222,'TL03'!$J$10:$J$224),0),
IF('TL03'!$B$229=M$3,SUMIF('TL03'!$C$238:$C$451,$C222,'TL03'!$J$238:$J$451),0),
IF('TL04'!$B$3=M$3,SUMIF('TL04'!$C$10:$C$224,$C222,'TL04'!$J$10:$J$224),0),
IF('TL04'!$B$229=M$3,SUMIF('TL04'!$C$238:$C$451,$C222,'TL04'!$J$238:$J$451),0),
IF('TL05'!$B$3=M$3,SUMIF('TL05'!$C$10:$C$224,$C222,'TL05'!$J$10:$J$224),0),
IF('TL05'!$B$229=M$3,SUMIF('TL05'!$C$238:$C$451,$C222,'TL05'!$J$238:$J$451),0),
IF('TL06'!$B$3=M$3,SUMIF('TL06'!$C$10:$C$224,$C222,'TL06'!$J$10:$J$224),0),
IF('TL06'!$B$229=M$3,SUMIF('TL06'!$C$238:$C$451,$C222,'TL06'!$J$238:$J$451),0),
IF('TL07'!$B$3=M$3,SUMIF('TL07'!$C$10:$C$224,$C222,'TL07'!$J$10:$J$224),0),
IF('TL07'!$B$229=M$3,SUMIF('TL07'!$C$238:$C$451,$C222,'TL07'!$J$238:$J$451),0),
IF('TL08'!$B$3=M$3,SUMIF('TL08'!$C$10:$C$224,$C222,'TL08'!$J$10:$J$224),0),
IF('TL08'!$B$229=M$3,SUMIF('TL08'!$C$238:$C$451,$C222,'TL08'!$J$238:$J$451),0),
IF('TL09'!$B$3=M$3,SUMIF('TL09'!$C$10:$C$224,$C222,'TL09'!$J$10:$J$224),0),
IF('TL09'!$B$229=M$3,SUMIF('TL09'!$C$238:$C$451,$C222,'TL09'!$J$238:$J$451),0),
IF('TL10'!$B$3=M$3,SUMIF('TL10'!$C$10:$C$224,$C222,'TL10'!$J$10:$J$224),0),
IF('TL10'!$B$229=M$3,SUMIF('TL10'!$C$238:$C$451,$C222,'TL10'!$J$238:$J$451),0),
IF('TL11'!$B$3=M$3,SUMIF('TL11'!$C$10:$C$224,$C222,'TL11'!$J$10:$J$224),0),
IF('TL11'!$B$229=M$3,SUMIF('TL11'!$C$238:$C$451,$C222,'TL11'!$J$238:$J$451),0),
IF('TL12'!$B$3=M$3,SUMIF('TL12'!$C$10:$C$224,$C222,'TL12'!$J$10:$J$224),0),
IF('TL12'!$B$229=M$3,SUMIF('TL12'!$C$238:$C$451,$C222,'TL12'!$J$238:$J$451),0),
IF('TL13'!$B$3=M$3,SUMIF('TL13'!$C$10:$C$224,$C222,'TL13'!$J$10:$J$224),0),
IF('TL13'!$B$229=M$3,SUMIF('TL13'!$C$238:$C$451,$C222,'TL13'!$J$238:$J$451),0),
IF('TL14'!$B$3=M$3,SUMIF('TL14'!$C$10:$C$224,$C222,'TL14'!$J$10:$J$224),0),
IF('TL14'!$B$229=M$3,SUMIF('TL14'!$C$238:$C$451,$C222,'TL14'!$J$238:$J$451),0),
IF('TL15'!$B$3=M$3,SUMIF('TL15'!$C$10:$C$224,$C222,'TL15'!$J$10:$J$224),0),
IF('TL15'!$B$229=M$3,SUMIF('TL15'!$C$238:$C$451,$C222,'TL15'!$J$238:$J$451),0),
IF('TL16'!$B$3=M$3,SUMIF('TL16'!$C$10:$C$224,$C222,'TL16'!$J$10:$J$224),0),
IF('TL16'!$B$229=M$3,SUMIF('TL16'!$C$238:$C$451,$C222,'TL16'!$J$238:$J$451),0),
IF('TL17'!$B$3=M$3,SUMIF('TL17'!$C$10:$C$224,$C222,'TL17'!$J$10:$J$224),0),
IF('TL17'!$B$229=M$3,SUMIF('TL17'!$C$238:$C$451,$C222,'TL17'!$J$238:$J$451),0),
IF('TL18'!$B$3=M$3,SUMIF('TL18'!$C$10:$C$224,$C222,'TL18'!$J$10:$J$224),0),
IF('TL18'!$B$229=M$3,SUMIF('TL18'!$C$238:$C$451,$C222,'TL18'!$J$238:$J$451),0),
IF('TL19'!$B$3=M$3,SUMIF('TL19'!$C$10:$C$224,$C222,'TL19'!$J$10:$J$224),0),
IF('TL19'!$B$229=M$3,SUMIF('TL19'!$C$238:$C$451,$C222,'TL19'!$J$238:$J$451),0)
),0)</f>
        <v/>
      </c>
      <c r="N222" s="9">
        <f>IFERROR(SUM(
IF('TL01'!$B$3=N$3,SUMIF('TL01'!$C$10:$C$224,$C222,'TL01'!$J$10:$J$224),0),
IF('TL01'!$B$229=N$3,SUMIF('TL01'!$C$238:$C$451,$C222,'TL01'!$J$238:$J$451),0),
IF('TL02'!$B$3=N$3,SUMIF('TL02'!$C$10:$C$224,$C222,'TL02'!$J$10:$J$224),0),
IF('TL02'!$B$229=N$3,SUMIF('TL02'!$C$238:$C$451,$C222,'TL02'!$J$238:$J$451),0),
IF('TL03'!$B$3=N$3,SUMIF('TL03'!$C$10:$C$224,$C222,'TL03'!$J$10:$J$224),0),
IF('TL03'!$B$229=N$3,SUMIF('TL03'!$C$238:$C$451,$C222,'TL03'!$J$238:$J$451),0),
IF('TL04'!$B$3=N$3,SUMIF('TL04'!$C$10:$C$224,$C222,'TL04'!$J$10:$J$224),0),
IF('TL04'!$B$229=N$3,SUMIF('TL04'!$C$238:$C$451,$C222,'TL04'!$J$238:$J$451),0),
IF('TL05'!$B$3=N$3,SUMIF('TL05'!$C$10:$C$224,$C222,'TL05'!$J$10:$J$224),0),
IF('TL05'!$B$229=N$3,SUMIF('TL05'!$C$238:$C$451,$C222,'TL05'!$J$238:$J$451),0),
IF('TL06'!$B$3=N$3,SUMIF('TL06'!$C$10:$C$224,$C222,'TL06'!$J$10:$J$224),0),
IF('TL06'!$B$229=N$3,SUMIF('TL06'!$C$238:$C$451,$C222,'TL06'!$J$238:$J$451),0),
IF('TL07'!$B$3=N$3,SUMIF('TL07'!$C$10:$C$224,$C222,'TL07'!$J$10:$J$224),0),
IF('TL07'!$B$229=N$3,SUMIF('TL07'!$C$238:$C$451,$C222,'TL07'!$J$238:$J$451),0),
IF('TL08'!$B$3=N$3,SUMIF('TL08'!$C$10:$C$224,$C222,'TL08'!$J$10:$J$224),0),
IF('TL08'!$B$229=N$3,SUMIF('TL08'!$C$238:$C$451,$C222,'TL08'!$J$238:$J$451),0),
IF('TL09'!$B$3=N$3,SUMIF('TL09'!$C$10:$C$224,$C222,'TL09'!$J$10:$J$224),0),
IF('TL09'!$B$229=N$3,SUMIF('TL09'!$C$238:$C$451,$C222,'TL09'!$J$238:$J$451),0),
IF('TL10'!$B$3=N$3,SUMIF('TL10'!$C$10:$C$224,$C222,'TL10'!$J$10:$J$224),0),
IF('TL10'!$B$229=N$3,SUMIF('TL10'!$C$238:$C$451,$C222,'TL10'!$J$238:$J$451),0),
IF('TL11'!$B$3=N$3,SUMIF('TL11'!$C$10:$C$224,$C222,'TL11'!$J$10:$J$224),0),
IF('TL11'!$B$229=N$3,SUMIF('TL11'!$C$238:$C$451,$C222,'TL11'!$J$238:$J$451),0),
IF('TL12'!$B$3=N$3,SUMIF('TL12'!$C$10:$C$224,$C222,'TL12'!$J$10:$J$224),0),
IF('TL12'!$B$229=N$3,SUMIF('TL12'!$C$238:$C$451,$C222,'TL12'!$J$238:$J$451),0),
IF('TL13'!$B$3=N$3,SUMIF('TL13'!$C$10:$C$224,$C222,'TL13'!$J$10:$J$224),0),
IF('TL13'!$B$229=N$3,SUMIF('TL13'!$C$238:$C$451,$C222,'TL13'!$J$238:$J$451),0),
IF('TL14'!$B$3=N$3,SUMIF('TL14'!$C$10:$C$224,$C222,'TL14'!$J$10:$J$224),0),
IF('TL14'!$B$229=N$3,SUMIF('TL14'!$C$238:$C$451,$C222,'TL14'!$J$238:$J$451),0),
IF('TL15'!$B$3=N$3,SUMIF('TL15'!$C$10:$C$224,$C222,'TL15'!$J$10:$J$224),0),
IF('TL15'!$B$229=N$3,SUMIF('TL15'!$C$238:$C$451,$C222,'TL15'!$J$238:$J$451),0),
IF('TL16'!$B$3=N$3,SUMIF('TL16'!$C$10:$C$224,$C222,'TL16'!$J$10:$J$224),0),
IF('TL16'!$B$229=N$3,SUMIF('TL16'!$C$238:$C$451,$C222,'TL16'!$J$238:$J$451),0),
IF('TL17'!$B$3=N$3,SUMIF('TL17'!$C$10:$C$224,$C222,'TL17'!$J$10:$J$224),0),
IF('TL17'!$B$229=N$3,SUMIF('TL17'!$C$238:$C$451,$C222,'TL17'!$J$238:$J$451),0),
IF('TL18'!$B$3=N$3,SUMIF('TL18'!$C$10:$C$224,$C222,'TL18'!$J$10:$J$224),0),
IF('TL18'!$B$229=N$3,SUMIF('TL18'!$C$238:$C$451,$C222,'TL18'!$J$238:$J$451),0),
IF('TL19'!$B$3=N$3,SUMIF('TL19'!$C$10:$C$224,$C222,'TL19'!$J$10:$J$224),0),
IF('TL19'!$B$229=N$3,SUMIF('TL19'!$C$238:$C$451,$C222,'TL19'!$J$238:$J$451),0)
),0)</f>
        <v/>
      </c>
      <c r="O222" s="9">
        <f>IFERROR(SUM(
IF('TL01'!$B$3=O$3,SUMIF('TL01'!$C$10:$C$224,$C222,'TL01'!$J$10:$J$224),0),
IF('TL01'!$B$229=O$3,SUMIF('TL01'!$C$238:$C$451,$C222,'TL01'!$J$238:$J$451),0),
IF('TL02'!$B$3=O$3,SUMIF('TL02'!$C$10:$C$224,$C222,'TL02'!$J$10:$J$224),0),
IF('TL02'!$B$229=O$3,SUMIF('TL02'!$C$238:$C$451,$C222,'TL02'!$J$238:$J$451),0),
IF('TL03'!$B$3=O$3,SUMIF('TL03'!$C$10:$C$224,$C222,'TL03'!$J$10:$J$224),0),
IF('TL03'!$B$229=O$3,SUMIF('TL03'!$C$238:$C$451,$C222,'TL03'!$J$238:$J$451),0),
IF('TL04'!$B$3=O$3,SUMIF('TL04'!$C$10:$C$224,$C222,'TL04'!$J$10:$J$224),0),
IF('TL04'!$B$229=O$3,SUMIF('TL04'!$C$238:$C$451,$C222,'TL04'!$J$238:$J$451),0),
IF('TL05'!$B$3=O$3,SUMIF('TL05'!$C$10:$C$224,$C222,'TL05'!$J$10:$J$224),0),
IF('TL05'!$B$229=O$3,SUMIF('TL05'!$C$238:$C$451,$C222,'TL05'!$J$238:$J$451),0),
IF('TL06'!$B$3=O$3,SUMIF('TL06'!$C$10:$C$224,$C222,'TL06'!$J$10:$J$224),0),
IF('TL06'!$B$229=O$3,SUMIF('TL06'!$C$238:$C$451,$C222,'TL06'!$J$238:$J$451),0),
IF('TL07'!$B$3=O$3,SUMIF('TL07'!$C$10:$C$224,$C222,'TL07'!$J$10:$J$224),0),
IF('TL07'!$B$229=O$3,SUMIF('TL07'!$C$238:$C$451,$C222,'TL07'!$J$238:$J$451),0),
IF('TL08'!$B$3=O$3,SUMIF('TL08'!$C$10:$C$224,$C222,'TL08'!$J$10:$J$224),0),
IF('TL08'!$B$229=O$3,SUMIF('TL08'!$C$238:$C$451,$C222,'TL08'!$J$238:$J$451),0),
IF('TL09'!$B$3=O$3,SUMIF('TL09'!$C$10:$C$224,$C222,'TL09'!$J$10:$J$224),0),
IF('TL09'!$B$229=O$3,SUMIF('TL09'!$C$238:$C$451,$C222,'TL09'!$J$238:$J$451),0),
IF('TL10'!$B$3=O$3,SUMIF('TL10'!$C$10:$C$224,$C222,'TL10'!$J$10:$J$224),0),
IF('TL10'!$B$229=O$3,SUMIF('TL10'!$C$238:$C$451,$C222,'TL10'!$J$238:$J$451),0),
IF('TL11'!$B$3=O$3,SUMIF('TL11'!$C$10:$C$224,$C222,'TL11'!$J$10:$J$224),0),
IF('TL11'!$B$229=O$3,SUMIF('TL11'!$C$238:$C$451,$C222,'TL11'!$J$238:$J$451),0),
IF('TL12'!$B$3=O$3,SUMIF('TL12'!$C$10:$C$224,$C222,'TL12'!$J$10:$J$224),0),
IF('TL12'!$B$229=O$3,SUMIF('TL12'!$C$238:$C$451,$C222,'TL12'!$J$238:$J$451),0),
IF('TL13'!$B$3=O$3,SUMIF('TL13'!$C$10:$C$224,$C222,'TL13'!$J$10:$J$224),0),
IF('TL13'!$B$229=O$3,SUMIF('TL13'!$C$238:$C$451,$C222,'TL13'!$J$238:$J$451),0),
IF('TL14'!$B$3=O$3,SUMIF('TL14'!$C$10:$C$224,$C222,'TL14'!$J$10:$J$224),0),
IF('TL14'!$B$229=O$3,SUMIF('TL14'!$C$238:$C$451,$C222,'TL14'!$J$238:$J$451),0),
IF('TL15'!$B$3=O$3,SUMIF('TL15'!$C$10:$C$224,$C222,'TL15'!$J$10:$J$224),0),
IF('TL15'!$B$229=O$3,SUMIF('TL15'!$C$238:$C$451,$C222,'TL15'!$J$238:$J$451),0),
IF('TL16'!$B$3=O$3,SUMIF('TL16'!$C$10:$C$224,$C222,'TL16'!$J$10:$J$224),0),
IF('TL16'!$B$229=O$3,SUMIF('TL16'!$C$238:$C$451,$C222,'TL16'!$J$238:$J$451),0),
IF('TL17'!$B$3=O$3,SUMIF('TL17'!$C$10:$C$224,$C222,'TL17'!$J$10:$J$224),0),
IF('TL17'!$B$229=O$3,SUMIF('TL17'!$C$238:$C$451,$C222,'TL17'!$J$238:$J$451),0),
IF('TL18'!$B$3=O$3,SUMIF('TL18'!$C$10:$C$224,$C222,'TL18'!$J$10:$J$224),0),
IF('TL18'!$B$229=O$3,SUMIF('TL18'!$C$238:$C$451,$C222,'TL18'!$J$238:$J$451),0),
IF('TL19'!$B$3=O$3,SUMIF('TL19'!$C$10:$C$224,$C222,'TL19'!$J$10:$J$224),0),
IF('TL19'!$B$229=O$3,SUMIF('TL19'!$C$238:$C$451,$C222,'TL19'!$J$238:$J$451),0)
),0)</f>
        <v/>
      </c>
      <c r="P222" s="9">
        <f>IFERROR(SUM(
IF('TL01'!$B$3=P$3,SUMIF('TL01'!$C$10:$C$224,$C222,'TL01'!$J$10:$J$224),0),
IF('TL01'!$B$229=P$3,SUMIF('TL01'!$C$238:$C$451,$C222,'TL01'!$J$238:$J$451),0),
IF('TL02'!$B$3=P$3,SUMIF('TL02'!$C$10:$C$224,$C222,'TL02'!$J$10:$J$224),0),
IF('TL02'!$B$229=P$3,SUMIF('TL02'!$C$238:$C$451,$C222,'TL02'!$J$238:$J$451),0),
IF('TL03'!$B$3=P$3,SUMIF('TL03'!$C$10:$C$224,$C222,'TL03'!$J$10:$J$224),0),
IF('TL03'!$B$229=P$3,SUMIF('TL03'!$C$238:$C$451,$C222,'TL03'!$J$238:$J$451),0),
IF('TL04'!$B$3=P$3,SUMIF('TL04'!$C$10:$C$224,$C222,'TL04'!$J$10:$J$224),0),
IF('TL04'!$B$229=P$3,SUMIF('TL04'!$C$238:$C$451,$C222,'TL04'!$J$238:$J$451),0),
IF('TL05'!$B$3=P$3,SUMIF('TL05'!$C$10:$C$224,$C222,'TL05'!$J$10:$J$224),0),
IF('TL05'!$B$229=P$3,SUMIF('TL05'!$C$238:$C$451,$C222,'TL05'!$J$238:$J$451),0),
IF('TL06'!$B$3=P$3,SUMIF('TL06'!$C$10:$C$224,$C222,'TL06'!$J$10:$J$224),0),
IF('TL06'!$B$229=P$3,SUMIF('TL06'!$C$238:$C$451,$C222,'TL06'!$J$238:$J$451),0),
IF('TL07'!$B$3=P$3,SUMIF('TL07'!$C$10:$C$224,$C222,'TL07'!$J$10:$J$224),0),
IF('TL07'!$B$229=P$3,SUMIF('TL07'!$C$238:$C$451,$C222,'TL07'!$J$238:$J$451),0),
IF('TL08'!$B$3=P$3,SUMIF('TL08'!$C$10:$C$224,$C222,'TL08'!$J$10:$J$224),0),
IF('TL08'!$B$229=P$3,SUMIF('TL08'!$C$238:$C$451,$C222,'TL08'!$J$238:$J$451),0),
IF('TL09'!$B$3=P$3,SUMIF('TL09'!$C$10:$C$224,$C222,'TL09'!$J$10:$J$224),0),
IF('TL09'!$B$229=P$3,SUMIF('TL09'!$C$238:$C$451,$C222,'TL09'!$J$238:$J$451),0),
IF('TL10'!$B$3=P$3,SUMIF('TL10'!$C$10:$C$224,$C222,'TL10'!$J$10:$J$224),0),
IF('TL10'!$B$229=P$3,SUMIF('TL10'!$C$238:$C$451,$C222,'TL10'!$J$238:$J$451),0),
IF('TL11'!$B$3=P$3,SUMIF('TL11'!$C$10:$C$224,$C222,'TL11'!$J$10:$J$224),0),
IF('TL11'!$B$229=P$3,SUMIF('TL11'!$C$238:$C$451,$C222,'TL11'!$J$238:$J$451),0),
IF('TL12'!$B$3=P$3,SUMIF('TL12'!$C$10:$C$224,$C222,'TL12'!$J$10:$J$224),0),
IF('TL12'!$B$229=P$3,SUMIF('TL12'!$C$238:$C$451,$C222,'TL12'!$J$238:$J$451),0),
IF('TL13'!$B$3=P$3,SUMIF('TL13'!$C$10:$C$224,$C222,'TL13'!$J$10:$J$224),0),
IF('TL13'!$B$229=P$3,SUMIF('TL13'!$C$238:$C$451,$C222,'TL13'!$J$238:$J$451),0),
IF('TL14'!$B$3=P$3,SUMIF('TL14'!$C$10:$C$224,$C222,'TL14'!$J$10:$J$224),0),
IF('TL14'!$B$229=P$3,SUMIF('TL14'!$C$238:$C$451,$C222,'TL14'!$J$238:$J$451),0),
IF('TL15'!$B$3=P$3,SUMIF('TL15'!$C$10:$C$224,$C222,'TL15'!$J$10:$J$224),0),
IF('TL15'!$B$229=P$3,SUMIF('TL15'!$C$238:$C$451,$C222,'TL15'!$J$238:$J$451),0),
IF('TL16'!$B$3=P$3,SUMIF('TL16'!$C$10:$C$224,$C222,'TL16'!$J$10:$J$224),0),
IF('TL16'!$B$229=P$3,SUMIF('TL16'!$C$238:$C$451,$C222,'TL16'!$J$238:$J$451),0),
IF('TL17'!$B$3=P$3,SUMIF('TL17'!$C$10:$C$224,$C222,'TL17'!$J$10:$J$224),0),
IF('TL17'!$B$229=P$3,SUMIF('TL17'!$C$238:$C$451,$C222,'TL17'!$J$238:$J$451),0),
IF('TL18'!$B$3=P$3,SUMIF('TL18'!$C$10:$C$224,$C222,'TL18'!$J$10:$J$224),0),
IF('TL18'!$B$229=P$3,SUMIF('TL18'!$C$238:$C$451,$C222,'TL18'!$J$238:$J$451),0),
IF('TL19'!$B$3=P$3,SUMIF('TL19'!$C$10:$C$224,$C222,'TL19'!$J$10:$J$224),0),
IF('TL19'!$B$229=P$3,SUMIF('TL19'!$C$238:$C$451,$C222,'TL19'!$J$238:$J$451),0)
),0)</f>
        <v/>
      </c>
      <c r="Q222" s="9">
        <f>IFERROR(SUM(
IF('TL01'!$B$3=Q$3,SUMIF('TL01'!$C$10:$C$224,$C222,'TL01'!$J$10:$J$224),0),
IF('TL01'!$B$229=Q$3,SUMIF('TL01'!$C$238:$C$451,$C222,'TL01'!$J$238:$J$451),0),
IF('TL02'!$B$3=Q$3,SUMIF('TL02'!$C$10:$C$224,$C222,'TL02'!$J$10:$J$224),0),
IF('TL02'!$B$229=Q$3,SUMIF('TL02'!$C$238:$C$451,$C222,'TL02'!$J$238:$J$451),0),
IF('TL03'!$B$3=Q$3,SUMIF('TL03'!$C$10:$C$224,$C222,'TL03'!$J$10:$J$224),0),
IF('TL03'!$B$229=Q$3,SUMIF('TL03'!$C$238:$C$451,$C222,'TL03'!$J$238:$J$451),0),
IF('TL04'!$B$3=Q$3,SUMIF('TL04'!$C$10:$C$224,$C222,'TL04'!$J$10:$J$224),0),
IF('TL04'!$B$229=Q$3,SUMIF('TL04'!$C$238:$C$451,$C222,'TL04'!$J$238:$J$451),0),
IF('TL05'!$B$3=Q$3,SUMIF('TL05'!$C$10:$C$224,$C222,'TL05'!$J$10:$J$224),0),
IF('TL05'!$B$229=Q$3,SUMIF('TL05'!$C$238:$C$451,$C222,'TL05'!$J$238:$J$451),0),
IF('TL06'!$B$3=Q$3,SUMIF('TL06'!$C$10:$C$224,$C222,'TL06'!$J$10:$J$224),0),
IF('TL06'!$B$229=Q$3,SUMIF('TL06'!$C$238:$C$451,$C222,'TL06'!$J$238:$J$451),0),
IF('TL07'!$B$3=Q$3,SUMIF('TL07'!$C$10:$C$224,$C222,'TL07'!$J$10:$J$224),0),
IF('TL07'!$B$229=Q$3,SUMIF('TL07'!$C$238:$C$451,$C222,'TL07'!$J$238:$J$451),0),
IF('TL08'!$B$3=Q$3,SUMIF('TL08'!$C$10:$C$224,$C222,'TL08'!$J$10:$J$224),0),
IF('TL08'!$B$229=Q$3,SUMIF('TL08'!$C$238:$C$451,$C222,'TL08'!$J$238:$J$451),0),
IF('TL09'!$B$3=Q$3,SUMIF('TL09'!$C$10:$C$224,$C222,'TL09'!$J$10:$J$224),0),
IF('TL09'!$B$229=Q$3,SUMIF('TL09'!$C$238:$C$451,$C222,'TL09'!$J$238:$J$451),0),
IF('TL10'!$B$3=Q$3,SUMIF('TL10'!$C$10:$C$224,$C222,'TL10'!$J$10:$J$224),0),
IF('TL10'!$B$229=Q$3,SUMIF('TL10'!$C$238:$C$451,$C222,'TL10'!$J$238:$J$451),0),
IF('TL11'!$B$3=Q$3,SUMIF('TL11'!$C$10:$C$224,$C222,'TL11'!$J$10:$J$224),0),
IF('TL11'!$B$229=Q$3,SUMIF('TL11'!$C$238:$C$451,$C222,'TL11'!$J$238:$J$451),0),
IF('TL12'!$B$3=Q$3,SUMIF('TL12'!$C$10:$C$224,$C222,'TL12'!$J$10:$J$224),0),
IF('TL12'!$B$229=Q$3,SUMIF('TL12'!$C$238:$C$451,$C222,'TL12'!$J$238:$J$451),0),
IF('TL13'!$B$3=Q$3,SUMIF('TL13'!$C$10:$C$224,$C222,'TL13'!$J$10:$J$224),0),
IF('TL13'!$B$229=Q$3,SUMIF('TL13'!$C$238:$C$451,$C222,'TL13'!$J$238:$J$451),0),
IF('TL14'!$B$3=Q$3,SUMIF('TL14'!$C$10:$C$224,$C222,'TL14'!$J$10:$J$224),0),
IF('TL14'!$B$229=Q$3,SUMIF('TL14'!$C$238:$C$451,$C222,'TL14'!$J$238:$J$451),0),
IF('TL15'!$B$3=Q$3,SUMIF('TL15'!$C$10:$C$224,$C222,'TL15'!$J$10:$J$224),0),
IF('TL15'!$B$229=Q$3,SUMIF('TL15'!$C$238:$C$451,$C222,'TL15'!$J$238:$J$451),0),
IF('TL16'!$B$3=Q$3,SUMIF('TL16'!$C$10:$C$224,$C222,'TL16'!$J$10:$J$224),0),
IF('TL16'!$B$229=Q$3,SUMIF('TL16'!$C$238:$C$451,$C222,'TL16'!$J$238:$J$451),0),
IF('TL17'!$B$3=Q$3,SUMIF('TL17'!$C$10:$C$224,$C222,'TL17'!$J$10:$J$224),0),
IF('TL17'!$B$229=Q$3,SUMIF('TL17'!$C$238:$C$451,$C222,'TL17'!$J$238:$J$451),0),
IF('TL18'!$B$3=Q$3,SUMIF('TL18'!$C$10:$C$224,$C222,'TL18'!$J$10:$J$224),0),
IF('TL18'!$B$229=Q$3,SUMIF('TL18'!$C$238:$C$451,$C222,'TL18'!$J$238:$J$451),0),
IF('TL19'!$B$3=Q$3,SUMIF('TL19'!$C$10:$C$224,$C222,'TL19'!$J$10:$J$224),0),
IF('TL19'!$B$229=Q$3,SUMIF('TL19'!$C$238:$C$451,$C222,'TL19'!$J$238:$J$451),0)
),0)</f>
        <v/>
      </c>
      <c r="R222" s="9">
        <f>IFERROR(
SUM(
SUMIF('TL01'!C:C,C222,'TL01'!J:J),
SUMIF('TL02'!C:C,C222,'TL02'!J:J),
SUMIF('TL03'!C:C,C222,'TL03'!J:J),
SUMIF('TL04'!C:C,C222,'TL04'!J:J),
SUMIF('TL05'!C:C,C222,'TL05'!J:J),
SUMIF('TL06'!C:C,C222,'TL06'!J:J),
SUMIF('TL07'!C:C,C222,'TL07'!J:J),
SUMIF('TL08'!C:C,C222,'TL08'!J:J),
SUMIF('TL09'!C:C,C222,'TL09'!J:J),
SUMIF('TL10'!C:C,C222,'TL10'!J:J),
SUMIF('TL11'!C:C,C222,'TL11'!J:J),
SUMIF('TL12'!C:C,C222,'TL12'!J:J),
SUMIF('TL13'!C:C,C222,'TL13'!J:J),
SUMIF('TL14'!C:C,C222,'TL14'!J:J),
SUMIF('TL15'!C:C,C222,'TL15'!J:J),
SUMIF('TL16'!C:C,C222,'TL16'!J:J),
SUMIF('TL17'!C:C,C222,'TL17'!J:J),
SUMIF('TL18'!C:C,C222,'TL18'!J:J),SUMIF('TL19'!C:C,C222,'TL19'!J:J))
,0)</f>
        <v/>
      </c>
      <c r="S222" s="17">
        <f>IFERROR(__xludf.DUMMYFUNCTION("IFERROR(VLOOKUP(C222,
IMPORTRANGE(""1wULbzX32WdYsx-lj2U3uUNBBe2INVIRDtcK0d-Dvl90"",
""26-27!C:G""),
5,
FALSE),
"""")"),1686.7060000000001)</f>
        <v/>
      </c>
      <c r="T222" s="9" t="n"/>
      <c r="U222" s="92">
        <f>MAX(0,R222-T222)</f>
        <v/>
      </c>
      <c r="V222" s="93">
        <f>U222*S222</f>
        <v/>
      </c>
    </row>
    <row r="223" hidden="1" ht="15.75" customHeight="1" s="297">
      <c r="A223" s="94" t="inlineStr">
        <is>
          <t>SUMITOMO</t>
        </is>
      </c>
      <c r="B223" s="95" t="inlineStr">
        <is>
          <t>INSETICIDA</t>
        </is>
      </c>
      <c r="C223" s="96" t="inlineStr">
        <is>
          <t>KAISO MAX</t>
        </is>
      </c>
      <c r="D223" s="96" t="inlineStr">
        <is>
          <t>IMIDACLOPRIDO + LAMBDA-CIALOTRINA</t>
        </is>
      </c>
      <c r="E223" s="96" t="inlineStr">
        <is>
          <t>350 + 100</t>
        </is>
      </c>
      <c r="F223" s="4" t="inlineStr">
        <is>
          <t>L</t>
        </is>
      </c>
      <c r="G223" s="90">
        <f>HYPERLINK("https://www.google.com/search?q=" &amp; C223 &amp; "+bula+agrofit+pdf", "📄 Ver bula")</f>
        <v/>
      </c>
      <c r="H223" s="9">
        <f>IFERROR(__xludf.DUMMYFUNCTION("IFERROR(VLOOKUP(C223,
IMPORTRANGE(""1wULbzX32WdYsx-lj2U3uUNBBe2INVIRDtcK0d-Dvl90"",
""26-27!C:K""),
8,
FALSE),
"""")"),0.25)</f>
        <v/>
      </c>
      <c r="I223" s="97" t="inlineStr">
        <is>
          <t>1x20</t>
        </is>
      </c>
      <c r="J223" s="9">
        <f>IFERROR(SUM(
IF('TL01'!$B$3=J$3,SUMIF('TL01'!$C$10:$C$224,$C223,'TL01'!$J$10:$J$224),0),
IF('TL01'!$B$229=J$3,SUMIF('TL01'!$C$238:$C$451,$C223,'TL01'!$J$238:$J$451),0),
IF('TL02'!$B$3=J$3,SUMIF('TL02'!$C$10:$C$224,$C223,'TL02'!$J$10:$J$224),0),
IF('TL02'!$B$229=J$3,SUMIF('TL02'!$C$238:$C$451,$C223,'TL02'!$J$238:$J$451),0),
IF('TL03'!$B$3=J$3,SUMIF('TL03'!$C$10:$C$224,$C223,'TL03'!$J$10:$J$224),0),
IF('TL03'!$B$229=J$3,SUMIF('TL03'!$C$238:$C$451,$C223,'TL03'!$J$238:$J$451),0),
IF('TL04'!$B$3=J$3,SUMIF('TL04'!$C$10:$C$224,$C223,'TL04'!$J$10:$J$224),0),
IF('TL04'!$B$229=J$3,SUMIF('TL04'!$C$238:$C$451,$C223,'TL04'!$J$238:$J$451),0),
IF('TL05'!$B$3=J$3,SUMIF('TL05'!$C$10:$C$224,$C223,'TL05'!$J$10:$J$224),0),
IF('TL05'!$B$229=J$3,SUMIF('TL05'!$C$238:$C$451,$C223,'TL05'!$J$238:$J$451),0),
IF('TL06'!$B$3=J$3,SUMIF('TL06'!$C$10:$C$224,$C223,'TL06'!$J$10:$J$224),0),
IF('TL06'!$B$229=J$3,SUMIF('TL06'!$C$238:$C$451,$C223,'TL06'!$J$238:$J$451),0),
IF('TL07'!$B$3=J$3,SUMIF('TL07'!$C$10:$C$224,$C223,'TL07'!$J$10:$J$224),0),
IF('TL07'!$B$229=J$3,SUMIF('TL07'!$C$238:$C$451,$C223,'TL07'!$J$238:$J$451),0),
IF('TL08'!$B$3=J$3,SUMIF('TL08'!$C$10:$C$224,$C223,'TL08'!$J$10:$J$224),0),
IF('TL08'!$B$229=J$3,SUMIF('TL08'!$C$238:$C$451,$C223,'TL08'!$J$238:$J$451),0),
IF('TL09'!$B$3=J$3,SUMIF('TL09'!$C$10:$C$224,$C223,'TL09'!$J$10:$J$224),0),
IF('TL09'!$B$229=J$3,SUMIF('TL09'!$C$238:$C$451,$C223,'TL09'!$J$238:$J$451),0),
IF('TL10'!$B$3=J$3,SUMIF('TL10'!$C$10:$C$224,$C223,'TL10'!$J$10:$J$224),0),
IF('TL10'!$B$229=J$3,SUMIF('TL10'!$C$238:$C$451,$C223,'TL10'!$J$238:$J$451),0),
IF('TL11'!$B$3=J$3,SUMIF('TL11'!$C$10:$C$224,$C223,'TL11'!$J$10:$J$224),0),
IF('TL11'!$B$229=J$3,SUMIF('TL11'!$C$238:$C$451,$C223,'TL11'!$J$238:$J$451),0),
IF('TL12'!$B$3=J$3,SUMIF('TL12'!$C$10:$C$224,$C223,'TL12'!$J$10:$J$224),0),
IF('TL12'!$B$229=J$3,SUMIF('TL12'!$C$238:$C$451,$C223,'TL12'!$J$238:$J$451),0),
IF('TL13'!$B$3=J$3,SUMIF('TL13'!$C$10:$C$224,$C223,'TL13'!$J$10:$J$224),0),
IF('TL13'!$B$229=J$3,SUMIF('TL13'!$C$238:$C$451,$C223,'TL13'!$J$238:$J$451),0),
IF('TL14'!$B$3=J$3,SUMIF('TL14'!$C$10:$C$224,$C223,'TL14'!$J$10:$J$224),0),
IF('TL14'!$B$229=J$3,SUMIF('TL14'!$C$238:$C$451,$C223,'TL14'!$J$238:$J$451),0),
IF('TL15'!$B$3=J$3,SUMIF('TL15'!$C$10:$C$224,$C223,'TL15'!$J$10:$J$224),0),
IF('TL15'!$B$229=J$3,SUMIF('TL15'!$C$238:$C$451,$C223,'TL15'!$J$238:$J$451),0),
IF('TL16'!$B$3=J$3,SUMIF('TL16'!$C$10:$C$224,$C223,'TL16'!$J$10:$J$224),0),
IF('TL16'!$B$229=J$3,SUMIF('TL16'!$C$238:$C$451,$C223,'TL16'!$J$238:$J$451),0),
IF('TL17'!$B$3=J$3,SUMIF('TL17'!$C$10:$C$224,$C223,'TL17'!$J$10:$J$224),0),
IF('TL17'!$B$229=J$3,SUMIF('TL17'!$C$238:$C$451,$C223,'TL17'!$J$238:$J$451),0),
IF('TL18'!$B$3=J$3,SUMIF('TL18'!$C$10:$C$224,$C223,'TL18'!$J$10:$J$224),0),
IF('TL18'!$B$229=J$3,SUMIF('TL18'!$C$238:$C$451,$C223,'TL18'!$J$238:$J$451),0),
IF('TL19'!$B$3=J$3,SUMIF('TL19'!$C$10:$C$224,$C223,'TL19'!$J$10:$J$224),0),
IF('TL19'!$B$229=J$3,SUMIF('TL19'!$C$238:$C$451,$C223,'TL19'!$J$238:$J$451),0)
),0)</f>
        <v/>
      </c>
      <c r="K223" s="9">
        <f>IFERROR(SUM(
IF('TL01'!$B$3=K$3,SUMIF('TL01'!$C$10:$C$224,$C223,'TL01'!$J$10:$J$224),0),
IF('TL01'!$B$229=K$3,SUMIF('TL01'!$C$238:$C$451,$C223,'TL01'!$J$238:$J$451),0),
IF('TL02'!$B$3=K$3,SUMIF('TL02'!$C$10:$C$224,$C223,'TL02'!$J$10:$J$224),0),
IF('TL02'!$B$229=K$3,SUMIF('TL02'!$C$238:$C$451,$C223,'TL02'!$J$238:$J$451),0),
IF('TL03'!$B$3=K$3,SUMIF('TL03'!$C$10:$C$224,$C223,'TL03'!$J$10:$J$224),0),
IF('TL03'!$B$229=K$3,SUMIF('TL03'!$C$238:$C$451,$C223,'TL03'!$J$238:$J$451),0),
IF('TL04'!$B$3=K$3,SUMIF('TL04'!$C$10:$C$224,$C223,'TL04'!$J$10:$J$224),0),
IF('TL04'!$B$229=K$3,SUMIF('TL04'!$C$238:$C$451,$C223,'TL04'!$J$238:$J$451),0),
IF('TL05'!$B$3=K$3,SUMIF('TL05'!$C$10:$C$224,$C223,'TL05'!$J$10:$J$224),0),
IF('TL05'!$B$229=K$3,SUMIF('TL05'!$C$238:$C$451,$C223,'TL05'!$J$238:$J$451),0),
IF('TL06'!$B$3=K$3,SUMIF('TL06'!$C$10:$C$224,$C223,'TL06'!$J$10:$J$224),0),
IF('TL06'!$B$229=K$3,SUMIF('TL06'!$C$238:$C$451,$C223,'TL06'!$J$238:$J$451),0),
IF('TL07'!$B$3=K$3,SUMIF('TL07'!$C$10:$C$224,$C223,'TL07'!$J$10:$J$224),0),
IF('TL07'!$B$229=K$3,SUMIF('TL07'!$C$238:$C$451,$C223,'TL07'!$J$238:$J$451),0),
IF('TL08'!$B$3=K$3,SUMIF('TL08'!$C$10:$C$224,$C223,'TL08'!$J$10:$J$224),0),
IF('TL08'!$B$229=K$3,SUMIF('TL08'!$C$238:$C$451,$C223,'TL08'!$J$238:$J$451),0),
IF('TL09'!$B$3=K$3,SUMIF('TL09'!$C$10:$C$224,$C223,'TL09'!$J$10:$J$224),0),
IF('TL09'!$B$229=K$3,SUMIF('TL09'!$C$238:$C$451,$C223,'TL09'!$J$238:$J$451),0),
IF('TL10'!$B$3=K$3,SUMIF('TL10'!$C$10:$C$224,$C223,'TL10'!$J$10:$J$224),0),
IF('TL10'!$B$229=K$3,SUMIF('TL10'!$C$238:$C$451,$C223,'TL10'!$J$238:$J$451),0),
IF('TL11'!$B$3=K$3,SUMIF('TL11'!$C$10:$C$224,$C223,'TL11'!$J$10:$J$224),0),
IF('TL11'!$B$229=K$3,SUMIF('TL11'!$C$238:$C$451,$C223,'TL11'!$J$238:$J$451),0),
IF('TL12'!$B$3=K$3,SUMIF('TL12'!$C$10:$C$224,$C223,'TL12'!$J$10:$J$224),0),
IF('TL12'!$B$229=K$3,SUMIF('TL12'!$C$238:$C$451,$C223,'TL12'!$J$238:$J$451),0),
IF('TL13'!$B$3=K$3,SUMIF('TL13'!$C$10:$C$224,$C223,'TL13'!$J$10:$J$224),0),
IF('TL13'!$B$229=K$3,SUMIF('TL13'!$C$238:$C$451,$C223,'TL13'!$J$238:$J$451),0),
IF('TL14'!$B$3=K$3,SUMIF('TL14'!$C$10:$C$224,$C223,'TL14'!$J$10:$J$224),0),
IF('TL14'!$B$229=K$3,SUMIF('TL14'!$C$238:$C$451,$C223,'TL14'!$J$238:$J$451),0),
IF('TL15'!$B$3=K$3,SUMIF('TL15'!$C$10:$C$224,$C223,'TL15'!$J$10:$J$224),0),
IF('TL15'!$B$229=K$3,SUMIF('TL15'!$C$238:$C$451,$C223,'TL15'!$J$238:$J$451),0),
IF('TL16'!$B$3=K$3,SUMIF('TL16'!$C$10:$C$224,$C223,'TL16'!$J$10:$J$224),0),
IF('TL16'!$B$229=K$3,SUMIF('TL16'!$C$238:$C$451,$C223,'TL16'!$J$238:$J$451),0),
IF('TL17'!$B$3=K$3,SUMIF('TL17'!$C$10:$C$224,$C223,'TL17'!$J$10:$J$224),0),
IF('TL17'!$B$229=K$3,SUMIF('TL17'!$C$238:$C$451,$C223,'TL17'!$J$238:$J$451),0),
IF('TL18'!$B$3=K$3,SUMIF('TL18'!$C$10:$C$224,$C223,'TL18'!$J$10:$J$224),0),
IF('TL18'!$B$229=K$3,SUMIF('TL18'!$C$238:$C$451,$C223,'TL18'!$J$238:$J$451),0),
IF('TL19'!$B$3=K$3,SUMIF('TL19'!$C$10:$C$224,$C223,'TL19'!$J$10:$J$224),0),
IF('TL19'!$B$229=K$3,SUMIF('TL19'!$C$238:$C$451,$C223,'TL19'!$J$238:$J$451),0)
),0)</f>
        <v/>
      </c>
      <c r="L223" s="9">
        <f>IFERROR(SUM(
IF('TL01'!$B$3=L$3,SUMIF('TL01'!$C$10:$C$224,$C223,'TL01'!$J$10:$J$224),0),
IF('TL01'!$B$229=L$3,SUMIF('TL01'!$C$238:$C$451,$C223,'TL01'!$J$238:$J$451),0),
IF('TL02'!$B$3=L$3,SUMIF('TL02'!$C$10:$C$224,$C223,'TL02'!$J$10:$J$224),0),
IF('TL02'!$B$229=L$3,SUMIF('TL02'!$C$238:$C$451,$C223,'TL02'!$J$238:$J$451),0),
IF('TL03'!$B$3=L$3,SUMIF('TL03'!$C$10:$C$224,$C223,'TL03'!$J$10:$J$224),0),
IF('TL03'!$B$229=L$3,SUMIF('TL03'!$C$238:$C$451,$C223,'TL03'!$J$238:$J$451),0),
IF('TL04'!$B$3=L$3,SUMIF('TL04'!$C$10:$C$224,$C223,'TL04'!$J$10:$J$224),0),
IF('TL04'!$B$229=L$3,SUMIF('TL04'!$C$238:$C$451,$C223,'TL04'!$J$238:$J$451),0),
IF('TL05'!$B$3=L$3,SUMIF('TL05'!$C$10:$C$224,$C223,'TL05'!$J$10:$J$224),0),
IF('TL05'!$B$229=L$3,SUMIF('TL05'!$C$238:$C$451,$C223,'TL05'!$J$238:$J$451),0),
IF('TL06'!$B$3=L$3,SUMIF('TL06'!$C$10:$C$224,$C223,'TL06'!$J$10:$J$224),0),
IF('TL06'!$B$229=L$3,SUMIF('TL06'!$C$238:$C$451,$C223,'TL06'!$J$238:$J$451),0),
IF('TL07'!$B$3=L$3,SUMIF('TL07'!$C$10:$C$224,$C223,'TL07'!$J$10:$J$224),0),
IF('TL07'!$B$229=L$3,SUMIF('TL07'!$C$238:$C$451,$C223,'TL07'!$J$238:$J$451),0),
IF('TL08'!$B$3=L$3,SUMIF('TL08'!$C$10:$C$224,$C223,'TL08'!$J$10:$J$224),0),
IF('TL08'!$B$229=L$3,SUMIF('TL08'!$C$238:$C$451,$C223,'TL08'!$J$238:$J$451),0),
IF('TL09'!$B$3=L$3,SUMIF('TL09'!$C$10:$C$224,$C223,'TL09'!$J$10:$J$224),0),
IF('TL09'!$B$229=L$3,SUMIF('TL09'!$C$238:$C$451,$C223,'TL09'!$J$238:$J$451),0),
IF('TL10'!$B$3=L$3,SUMIF('TL10'!$C$10:$C$224,$C223,'TL10'!$J$10:$J$224),0),
IF('TL10'!$B$229=L$3,SUMIF('TL10'!$C$238:$C$451,$C223,'TL10'!$J$238:$J$451),0),
IF('TL11'!$B$3=L$3,SUMIF('TL11'!$C$10:$C$224,$C223,'TL11'!$J$10:$J$224),0),
IF('TL11'!$B$229=L$3,SUMIF('TL11'!$C$238:$C$451,$C223,'TL11'!$J$238:$J$451),0),
IF('TL12'!$B$3=L$3,SUMIF('TL12'!$C$10:$C$224,$C223,'TL12'!$J$10:$J$224),0),
IF('TL12'!$B$229=L$3,SUMIF('TL12'!$C$238:$C$451,$C223,'TL12'!$J$238:$J$451),0),
IF('TL13'!$B$3=L$3,SUMIF('TL13'!$C$10:$C$224,$C223,'TL13'!$J$10:$J$224),0),
IF('TL13'!$B$229=L$3,SUMIF('TL13'!$C$238:$C$451,$C223,'TL13'!$J$238:$J$451),0),
IF('TL14'!$B$3=L$3,SUMIF('TL14'!$C$10:$C$224,$C223,'TL14'!$J$10:$J$224),0),
IF('TL14'!$B$229=L$3,SUMIF('TL14'!$C$238:$C$451,$C223,'TL14'!$J$238:$J$451),0),
IF('TL15'!$B$3=L$3,SUMIF('TL15'!$C$10:$C$224,$C223,'TL15'!$J$10:$J$224),0),
IF('TL15'!$B$229=L$3,SUMIF('TL15'!$C$238:$C$451,$C223,'TL15'!$J$238:$J$451),0),
IF('TL16'!$B$3=L$3,SUMIF('TL16'!$C$10:$C$224,$C223,'TL16'!$J$10:$J$224),0),
IF('TL16'!$B$229=L$3,SUMIF('TL16'!$C$238:$C$451,$C223,'TL16'!$J$238:$J$451),0),
IF('TL17'!$B$3=L$3,SUMIF('TL17'!$C$10:$C$224,$C223,'TL17'!$J$10:$J$224),0),
IF('TL17'!$B$229=L$3,SUMIF('TL17'!$C$238:$C$451,$C223,'TL17'!$J$238:$J$451),0),
IF('TL18'!$B$3=L$3,SUMIF('TL18'!$C$10:$C$224,$C223,'TL18'!$J$10:$J$224),0),
IF('TL18'!$B$229=L$3,SUMIF('TL18'!$C$238:$C$451,$C223,'TL18'!$J$238:$J$451),0),
IF('TL19'!$B$3=L$3,SUMIF('TL19'!$C$10:$C$224,$C223,'TL19'!$J$10:$J$224),0),
IF('TL19'!$B$229=L$3,SUMIF('TL19'!$C$238:$C$451,$C223,'TL19'!$J$238:$J$451),0)
),0)</f>
        <v/>
      </c>
      <c r="M223" s="9">
        <f>IFERROR(SUM(
IF('TL01'!$B$3=M$3,SUMIF('TL01'!$C$10:$C$224,$C223,'TL01'!$J$10:$J$224),0),
IF('TL01'!$B$229=M$3,SUMIF('TL01'!$C$238:$C$451,$C223,'TL01'!$J$238:$J$451),0),
IF('TL02'!$B$3=M$3,SUMIF('TL02'!$C$10:$C$224,$C223,'TL02'!$J$10:$J$224),0),
IF('TL02'!$B$229=M$3,SUMIF('TL02'!$C$238:$C$451,$C223,'TL02'!$J$238:$J$451),0),
IF('TL03'!$B$3=M$3,SUMIF('TL03'!$C$10:$C$224,$C223,'TL03'!$J$10:$J$224),0),
IF('TL03'!$B$229=M$3,SUMIF('TL03'!$C$238:$C$451,$C223,'TL03'!$J$238:$J$451),0),
IF('TL04'!$B$3=M$3,SUMIF('TL04'!$C$10:$C$224,$C223,'TL04'!$J$10:$J$224),0),
IF('TL04'!$B$229=M$3,SUMIF('TL04'!$C$238:$C$451,$C223,'TL04'!$J$238:$J$451),0),
IF('TL05'!$B$3=M$3,SUMIF('TL05'!$C$10:$C$224,$C223,'TL05'!$J$10:$J$224),0),
IF('TL05'!$B$229=M$3,SUMIF('TL05'!$C$238:$C$451,$C223,'TL05'!$J$238:$J$451),0),
IF('TL06'!$B$3=M$3,SUMIF('TL06'!$C$10:$C$224,$C223,'TL06'!$J$10:$J$224),0),
IF('TL06'!$B$229=M$3,SUMIF('TL06'!$C$238:$C$451,$C223,'TL06'!$J$238:$J$451),0),
IF('TL07'!$B$3=M$3,SUMIF('TL07'!$C$10:$C$224,$C223,'TL07'!$J$10:$J$224),0),
IF('TL07'!$B$229=M$3,SUMIF('TL07'!$C$238:$C$451,$C223,'TL07'!$J$238:$J$451),0),
IF('TL08'!$B$3=M$3,SUMIF('TL08'!$C$10:$C$224,$C223,'TL08'!$J$10:$J$224),0),
IF('TL08'!$B$229=M$3,SUMIF('TL08'!$C$238:$C$451,$C223,'TL08'!$J$238:$J$451),0),
IF('TL09'!$B$3=M$3,SUMIF('TL09'!$C$10:$C$224,$C223,'TL09'!$J$10:$J$224),0),
IF('TL09'!$B$229=M$3,SUMIF('TL09'!$C$238:$C$451,$C223,'TL09'!$J$238:$J$451),0),
IF('TL10'!$B$3=M$3,SUMIF('TL10'!$C$10:$C$224,$C223,'TL10'!$J$10:$J$224),0),
IF('TL10'!$B$229=M$3,SUMIF('TL10'!$C$238:$C$451,$C223,'TL10'!$J$238:$J$451),0),
IF('TL11'!$B$3=M$3,SUMIF('TL11'!$C$10:$C$224,$C223,'TL11'!$J$10:$J$224),0),
IF('TL11'!$B$229=M$3,SUMIF('TL11'!$C$238:$C$451,$C223,'TL11'!$J$238:$J$451),0),
IF('TL12'!$B$3=M$3,SUMIF('TL12'!$C$10:$C$224,$C223,'TL12'!$J$10:$J$224),0),
IF('TL12'!$B$229=M$3,SUMIF('TL12'!$C$238:$C$451,$C223,'TL12'!$J$238:$J$451),0),
IF('TL13'!$B$3=M$3,SUMIF('TL13'!$C$10:$C$224,$C223,'TL13'!$J$10:$J$224),0),
IF('TL13'!$B$229=M$3,SUMIF('TL13'!$C$238:$C$451,$C223,'TL13'!$J$238:$J$451),0),
IF('TL14'!$B$3=M$3,SUMIF('TL14'!$C$10:$C$224,$C223,'TL14'!$J$10:$J$224),0),
IF('TL14'!$B$229=M$3,SUMIF('TL14'!$C$238:$C$451,$C223,'TL14'!$J$238:$J$451),0),
IF('TL15'!$B$3=M$3,SUMIF('TL15'!$C$10:$C$224,$C223,'TL15'!$J$10:$J$224),0),
IF('TL15'!$B$229=M$3,SUMIF('TL15'!$C$238:$C$451,$C223,'TL15'!$J$238:$J$451),0),
IF('TL16'!$B$3=M$3,SUMIF('TL16'!$C$10:$C$224,$C223,'TL16'!$J$10:$J$224),0),
IF('TL16'!$B$229=M$3,SUMIF('TL16'!$C$238:$C$451,$C223,'TL16'!$J$238:$J$451),0),
IF('TL17'!$B$3=M$3,SUMIF('TL17'!$C$10:$C$224,$C223,'TL17'!$J$10:$J$224),0),
IF('TL17'!$B$229=M$3,SUMIF('TL17'!$C$238:$C$451,$C223,'TL17'!$J$238:$J$451),0),
IF('TL18'!$B$3=M$3,SUMIF('TL18'!$C$10:$C$224,$C223,'TL18'!$J$10:$J$224),0),
IF('TL18'!$B$229=M$3,SUMIF('TL18'!$C$238:$C$451,$C223,'TL18'!$J$238:$J$451),0),
IF('TL19'!$B$3=M$3,SUMIF('TL19'!$C$10:$C$224,$C223,'TL19'!$J$10:$J$224),0),
IF('TL19'!$B$229=M$3,SUMIF('TL19'!$C$238:$C$451,$C223,'TL19'!$J$238:$J$451),0)
),0)</f>
        <v/>
      </c>
      <c r="N223" s="9">
        <f>IFERROR(SUM(
IF('TL01'!$B$3=N$3,SUMIF('TL01'!$C$10:$C$224,$C223,'TL01'!$J$10:$J$224),0),
IF('TL01'!$B$229=N$3,SUMIF('TL01'!$C$238:$C$451,$C223,'TL01'!$J$238:$J$451),0),
IF('TL02'!$B$3=N$3,SUMIF('TL02'!$C$10:$C$224,$C223,'TL02'!$J$10:$J$224),0),
IF('TL02'!$B$229=N$3,SUMIF('TL02'!$C$238:$C$451,$C223,'TL02'!$J$238:$J$451),0),
IF('TL03'!$B$3=N$3,SUMIF('TL03'!$C$10:$C$224,$C223,'TL03'!$J$10:$J$224),0),
IF('TL03'!$B$229=N$3,SUMIF('TL03'!$C$238:$C$451,$C223,'TL03'!$J$238:$J$451),0),
IF('TL04'!$B$3=N$3,SUMIF('TL04'!$C$10:$C$224,$C223,'TL04'!$J$10:$J$224),0),
IF('TL04'!$B$229=N$3,SUMIF('TL04'!$C$238:$C$451,$C223,'TL04'!$J$238:$J$451),0),
IF('TL05'!$B$3=N$3,SUMIF('TL05'!$C$10:$C$224,$C223,'TL05'!$J$10:$J$224),0),
IF('TL05'!$B$229=N$3,SUMIF('TL05'!$C$238:$C$451,$C223,'TL05'!$J$238:$J$451),0),
IF('TL06'!$B$3=N$3,SUMIF('TL06'!$C$10:$C$224,$C223,'TL06'!$J$10:$J$224),0),
IF('TL06'!$B$229=N$3,SUMIF('TL06'!$C$238:$C$451,$C223,'TL06'!$J$238:$J$451),0),
IF('TL07'!$B$3=N$3,SUMIF('TL07'!$C$10:$C$224,$C223,'TL07'!$J$10:$J$224),0),
IF('TL07'!$B$229=N$3,SUMIF('TL07'!$C$238:$C$451,$C223,'TL07'!$J$238:$J$451),0),
IF('TL08'!$B$3=N$3,SUMIF('TL08'!$C$10:$C$224,$C223,'TL08'!$J$10:$J$224),0),
IF('TL08'!$B$229=N$3,SUMIF('TL08'!$C$238:$C$451,$C223,'TL08'!$J$238:$J$451),0),
IF('TL09'!$B$3=N$3,SUMIF('TL09'!$C$10:$C$224,$C223,'TL09'!$J$10:$J$224),0),
IF('TL09'!$B$229=N$3,SUMIF('TL09'!$C$238:$C$451,$C223,'TL09'!$J$238:$J$451),0),
IF('TL10'!$B$3=N$3,SUMIF('TL10'!$C$10:$C$224,$C223,'TL10'!$J$10:$J$224),0),
IF('TL10'!$B$229=N$3,SUMIF('TL10'!$C$238:$C$451,$C223,'TL10'!$J$238:$J$451),0),
IF('TL11'!$B$3=N$3,SUMIF('TL11'!$C$10:$C$224,$C223,'TL11'!$J$10:$J$224),0),
IF('TL11'!$B$229=N$3,SUMIF('TL11'!$C$238:$C$451,$C223,'TL11'!$J$238:$J$451),0),
IF('TL12'!$B$3=N$3,SUMIF('TL12'!$C$10:$C$224,$C223,'TL12'!$J$10:$J$224),0),
IF('TL12'!$B$229=N$3,SUMIF('TL12'!$C$238:$C$451,$C223,'TL12'!$J$238:$J$451),0),
IF('TL13'!$B$3=N$3,SUMIF('TL13'!$C$10:$C$224,$C223,'TL13'!$J$10:$J$224),0),
IF('TL13'!$B$229=N$3,SUMIF('TL13'!$C$238:$C$451,$C223,'TL13'!$J$238:$J$451),0),
IF('TL14'!$B$3=N$3,SUMIF('TL14'!$C$10:$C$224,$C223,'TL14'!$J$10:$J$224),0),
IF('TL14'!$B$229=N$3,SUMIF('TL14'!$C$238:$C$451,$C223,'TL14'!$J$238:$J$451),0),
IF('TL15'!$B$3=N$3,SUMIF('TL15'!$C$10:$C$224,$C223,'TL15'!$J$10:$J$224),0),
IF('TL15'!$B$229=N$3,SUMIF('TL15'!$C$238:$C$451,$C223,'TL15'!$J$238:$J$451),0),
IF('TL16'!$B$3=N$3,SUMIF('TL16'!$C$10:$C$224,$C223,'TL16'!$J$10:$J$224),0),
IF('TL16'!$B$229=N$3,SUMIF('TL16'!$C$238:$C$451,$C223,'TL16'!$J$238:$J$451),0),
IF('TL17'!$B$3=N$3,SUMIF('TL17'!$C$10:$C$224,$C223,'TL17'!$J$10:$J$224),0),
IF('TL17'!$B$229=N$3,SUMIF('TL17'!$C$238:$C$451,$C223,'TL17'!$J$238:$J$451),0),
IF('TL18'!$B$3=N$3,SUMIF('TL18'!$C$10:$C$224,$C223,'TL18'!$J$10:$J$224),0),
IF('TL18'!$B$229=N$3,SUMIF('TL18'!$C$238:$C$451,$C223,'TL18'!$J$238:$J$451),0),
IF('TL19'!$B$3=N$3,SUMIF('TL19'!$C$10:$C$224,$C223,'TL19'!$J$10:$J$224),0),
IF('TL19'!$B$229=N$3,SUMIF('TL19'!$C$238:$C$451,$C223,'TL19'!$J$238:$J$451),0)
),0)</f>
        <v/>
      </c>
      <c r="O223" s="9">
        <f>IFERROR(SUM(
IF('TL01'!$B$3=O$3,SUMIF('TL01'!$C$10:$C$224,$C223,'TL01'!$J$10:$J$224),0),
IF('TL01'!$B$229=O$3,SUMIF('TL01'!$C$238:$C$451,$C223,'TL01'!$J$238:$J$451),0),
IF('TL02'!$B$3=O$3,SUMIF('TL02'!$C$10:$C$224,$C223,'TL02'!$J$10:$J$224),0),
IF('TL02'!$B$229=O$3,SUMIF('TL02'!$C$238:$C$451,$C223,'TL02'!$J$238:$J$451),0),
IF('TL03'!$B$3=O$3,SUMIF('TL03'!$C$10:$C$224,$C223,'TL03'!$J$10:$J$224),0),
IF('TL03'!$B$229=O$3,SUMIF('TL03'!$C$238:$C$451,$C223,'TL03'!$J$238:$J$451),0),
IF('TL04'!$B$3=O$3,SUMIF('TL04'!$C$10:$C$224,$C223,'TL04'!$J$10:$J$224),0),
IF('TL04'!$B$229=O$3,SUMIF('TL04'!$C$238:$C$451,$C223,'TL04'!$J$238:$J$451),0),
IF('TL05'!$B$3=O$3,SUMIF('TL05'!$C$10:$C$224,$C223,'TL05'!$J$10:$J$224),0),
IF('TL05'!$B$229=O$3,SUMIF('TL05'!$C$238:$C$451,$C223,'TL05'!$J$238:$J$451),0),
IF('TL06'!$B$3=O$3,SUMIF('TL06'!$C$10:$C$224,$C223,'TL06'!$J$10:$J$224),0),
IF('TL06'!$B$229=O$3,SUMIF('TL06'!$C$238:$C$451,$C223,'TL06'!$J$238:$J$451),0),
IF('TL07'!$B$3=O$3,SUMIF('TL07'!$C$10:$C$224,$C223,'TL07'!$J$10:$J$224),0),
IF('TL07'!$B$229=O$3,SUMIF('TL07'!$C$238:$C$451,$C223,'TL07'!$J$238:$J$451),0),
IF('TL08'!$B$3=O$3,SUMIF('TL08'!$C$10:$C$224,$C223,'TL08'!$J$10:$J$224),0),
IF('TL08'!$B$229=O$3,SUMIF('TL08'!$C$238:$C$451,$C223,'TL08'!$J$238:$J$451),0),
IF('TL09'!$B$3=O$3,SUMIF('TL09'!$C$10:$C$224,$C223,'TL09'!$J$10:$J$224),0),
IF('TL09'!$B$229=O$3,SUMIF('TL09'!$C$238:$C$451,$C223,'TL09'!$J$238:$J$451),0),
IF('TL10'!$B$3=O$3,SUMIF('TL10'!$C$10:$C$224,$C223,'TL10'!$J$10:$J$224),0),
IF('TL10'!$B$229=O$3,SUMIF('TL10'!$C$238:$C$451,$C223,'TL10'!$J$238:$J$451),0),
IF('TL11'!$B$3=O$3,SUMIF('TL11'!$C$10:$C$224,$C223,'TL11'!$J$10:$J$224),0),
IF('TL11'!$B$229=O$3,SUMIF('TL11'!$C$238:$C$451,$C223,'TL11'!$J$238:$J$451),0),
IF('TL12'!$B$3=O$3,SUMIF('TL12'!$C$10:$C$224,$C223,'TL12'!$J$10:$J$224),0),
IF('TL12'!$B$229=O$3,SUMIF('TL12'!$C$238:$C$451,$C223,'TL12'!$J$238:$J$451),0),
IF('TL13'!$B$3=O$3,SUMIF('TL13'!$C$10:$C$224,$C223,'TL13'!$J$10:$J$224),0),
IF('TL13'!$B$229=O$3,SUMIF('TL13'!$C$238:$C$451,$C223,'TL13'!$J$238:$J$451),0),
IF('TL14'!$B$3=O$3,SUMIF('TL14'!$C$10:$C$224,$C223,'TL14'!$J$10:$J$224),0),
IF('TL14'!$B$229=O$3,SUMIF('TL14'!$C$238:$C$451,$C223,'TL14'!$J$238:$J$451),0),
IF('TL15'!$B$3=O$3,SUMIF('TL15'!$C$10:$C$224,$C223,'TL15'!$J$10:$J$224),0),
IF('TL15'!$B$229=O$3,SUMIF('TL15'!$C$238:$C$451,$C223,'TL15'!$J$238:$J$451),0),
IF('TL16'!$B$3=O$3,SUMIF('TL16'!$C$10:$C$224,$C223,'TL16'!$J$10:$J$224),0),
IF('TL16'!$B$229=O$3,SUMIF('TL16'!$C$238:$C$451,$C223,'TL16'!$J$238:$J$451),0),
IF('TL17'!$B$3=O$3,SUMIF('TL17'!$C$10:$C$224,$C223,'TL17'!$J$10:$J$224),0),
IF('TL17'!$B$229=O$3,SUMIF('TL17'!$C$238:$C$451,$C223,'TL17'!$J$238:$J$451),0),
IF('TL18'!$B$3=O$3,SUMIF('TL18'!$C$10:$C$224,$C223,'TL18'!$J$10:$J$224),0),
IF('TL18'!$B$229=O$3,SUMIF('TL18'!$C$238:$C$451,$C223,'TL18'!$J$238:$J$451),0),
IF('TL19'!$B$3=O$3,SUMIF('TL19'!$C$10:$C$224,$C223,'TL19'!$J$10:$J$224),0),
IF('TL19'!$B$229=O$3,SUMIF('TL19'!$C$238:$C$451,$C223,'TL19'!$J$238:$J$451),0)
),0)</f>
        <v/>
      </c>
      <c r="P223" s="9">
        <f>IFERROR(SUM(
IF('TL01'!$B$3=P$3,SUMIF('TL01'!$C$10:$C$224,$C223,'TL01'!$J$10:$J$224),0),
IF('TL01'!$B$229=P$3,SUMIF('TL01'!$C$238:$C$451,$C223,'TL01'!$J$238:$J$451),0),
IF('TL02'!$B$3=P$3,SUMIF('TL02'!$C$10:$C$224,$C223,'TL02'!$J$10:$J$224),0),
IF('TL02'!$B$229=P$3,SUMIF('TL02'!$C$238:$C$451,$C223,'TL02'!$J$238:$J$451),0),
IF('TL03'!$B$3=P$3,SUMIF('TL03'!$C$10:$C$224,$C223,'TL03'!$J$10:$J$224),0),
IF('TL03'!$B$229=P$3,SUMIF('TL03'!$C$238:$C$451,$C223,'TL03'!$J$238:$J$451),0),
IF('TL04'!$B$3=P$3,SUMIF('TL04'!$C$10:$C$224,$C223,'TL04'!$J$10:$J$224),0),
IF('TL04'!$B$229=P$3,SUMIF('TL04'!$C$238:$C$451,$C223,'TL04'!$J$238:$J$451),0),
IF('TL05'!$B$3=P$3,SUMIF('TL05'!$C$10:$C$224,$C223,'TL05'!$J$10:$J$224),0),
IF('TL05'!$B$229=P$3,SUMIF('TL05'!$C$238:$C$451,$C223,'TL05'!$J$238:$J$451),0),
IF('TL06'!$B$3=P$3,SUMIF('TL06'!$C$10:$C$224,$C223,'TL06'!$J$10:$J$224),0),
IF('TL06'!$B$229=P$3,SUMIF('TL06'!$C$238:$C$451,$C223,'TL06'!$J$238:$J$451),0),
IF('TL07'!$B$3=P$3,SUMIF('TL07'!$C$10:$C$224,$C223,'TL07'!$J$10:$J$224),0),
IF('TL07'!$B$229=P$3,SUMIF('TL07'!$C$238:$C$451,$C223,'TL07'!$J$238:$J$451),0),
IF('TL08'!$B$3=P$3,SUMIF('TL08'!$C$10:$C$224,$C223,'TL08'!$J$10:$J$224),0),
IF('TL08'!$B$229=P$3,SUMIF('TL08'!$C$238:$C$451,$C223,'TL08'!$J$238:$J$451),0),
IF('TL09'!$B$3=P$3,SUMIF('TL09'!$C$10:$C$224,$C223,'TL09'!$J$10:$J$224),0),
IF('TL09'!$B$229=P$3,SUMIF('TL09'!$C$238:$C$451,$C223,'TL09'!$J$238:$J$451),0),
IF('TL10'!$B$3=P$3,SUMIF('TL10'!$C$10:$C$224,$C223,'TL10'!$J$10:$J$224),0),
IF('TL10'!$B$229=P$3,SUMIF('TL10'!$C$238:$C$451,$C223,'TL10'!$J$238:$J$451),0),
IF('TL11'!$B$3=P$3,SUMIF('TL11'!$C$10:$C$224,$C223,'TL11'!$J$10:$J$224),0),
IF('TL11'!$B$229=P$3,SUMIF('TL11'!$C$238:$C$451,$C223,'TL11'!$J$238:$J$451),0),
IF('TL12'!$B$3=P$3,SUMIF('TL12'!$C$10:$C$224,$C223,'TL12'!$J$10:$J$224),0),
IF('TL12'!$B$229=P$3,SUMIF('TL12'!$C$238:$C$451,$C223,'TL12'!$J$238:$J$451),0),
IF('TL13'!$B$3=P$3,SUMIF('TL13'!$C$10:$C$224,$C223,'TL13'!$J$10:$J$224),0),
IF('TL13'!$B$229=P$3,SUMIF('TL13'!$C$238:$C$451,$C223,'TL13'!$J$238:$J$451),0),
IF('TL14'!$B$3=P$3,SUMIF('TL14'!$C$10:$C$224,$C223,'TL14'!$J$10:$J$224),0),
IF('TL14'!$B$229=P$3,SUMIF('TL14'!$C$238:$C$451,$C223,'TL14'!$J$238:$J$451),0),
IF('TL15'!$B$3=P$3,SUMIF('TL15'!$C$10:$C$224,$C223,'TL15'!$J$10:$J$224),0),
IF('TL15'!$B$229=P$3,SUMIF('TL15'!$C$238:$C$451,$C223,'TL15'!$J$238:$J$451),0),
IF('TL16'!$B$3=P$3,SUMIF('TL16'!$C$10:$C$224,$C223,'TL16'!$J$10:$J$224),0),
IF('TL16'!$B$229=P$3,SUMIF('TL16'!$C$238:$C$451,$C223,'TL16'!$J$238:$J$451),0),
IF('TL17'!$B$3=P$3,SUMIF('TL17'!$C$10:$C$224,$C223,'TL17'!$J$10:$J$224),0),
IF('TL17'!$B$229=P$3,SUMIF('TL17'!$C$238:$C$451,$C223,'TL17'!$J$238:$J$451),0),
IF('TL18'!$B$3=P$3,SUMIF('TL18'!$C$10:$C$224,$C223,'TL18'!$J$10:$J$224),0),
IF('TL18'!$B$229=P$3,SUMIF('TL18'!$C$238:$C$451,$C223,'TL18'!$J$238:$J$451),0),
IF('TL19'!$B$3=P$3,SUMIF('TL19'!$C$10:$C$224,$C223,'TL19'!$J$10:$J$224),0),
IF('TL19'!$B$229=P$3,SUMIF('TL19'!$C$238:$C$451,$C223,'TL19'!$J$238:$J$451),0)
),0)</f>
        <v/>
      </c>
      <c r="Q223" s="9">
        <f>IFERROR(SUM(
IF('TL01'!$B$3=Q$3,SUMIF('TL01'!$C$10:$C$224,$C223,'TL01'!$J$10:$J$224),0),
IF('TL01'!$B$229=Q$3,SUMIF('TL01'!$C$238:$C$451,$C223,'TL01'!$J$238:$J$451),0),
IF('TL02'!$B$3=Q$3,SUMIF('TL02'!$C$10:$C$224,$C223,'TL02'!$J$10:$J$224),0),
IF('TL02'!$B$229=Q$3,SUMIF('TL02'!$C$238:$C$451,$C223,'TL02'!$J$238:$J$451),0),
IF('TL03'!$B$3=Q$3,SUMIF('TL03'!$C$10:$C$224,$C223,'TL03'!$J$10:$J$224),0),
IF('TL03'!$B$229=Q$3,SUMIF('TL03'!$C$238:$C$451,$C223,'TL03'!$J$238:$J$451),0),
IF('TL04'!$B$3=Q$3,SUMIF('TL04'!$C$10:$C$224,$C223,'TL04'!$J$10:$J$224),0),
IF('TL04'!$B$229=Q$3,SUMIF('TL04'!$C$238:$C$451,$C223,'TL04'!$J$238:$J$451),0),
IF('TL05'!$B$3=Q$3,SUMIF('TL05'!$C$10:$C$224,$C223,'TL05'!$J$10:$J$224),0),
IF('TL05'!$B$229=Q$3,SUMIF('TL05'!$C$238:$C$451,$C223,'TL05'!$J$238:$J$451),0),
IF('TL06'!$B$3=Q$3,SUMIF('TL06'!$C$10:$C$224,$C223,'TL06'!$J$10:$J$224),0),
IF('TL06'!$B$229=Q$3,SUMIF('TL06'!$C$238:$C$451,$C223,'TL06'!$J$238:$J$451),0),
IF('TL07'!$B$3=Q$3,SUMIF('TL07'!$C$10:$C$224,$C223,'TL07'!$J$10:$J$224),0),
IF('TL07'!$B$229=Q$3,SUMIF('TL07'!$C$238:$C$451,$C223,'TL07'!$J$238:$J$451),0),
IF('TL08'!$B$3=Q$3,SUMIF('TL08'!$C$10:$C$224,$C223,'TL08'!$J$10:$J$224),0),
IF('TL08'!$B$229=Q$3,SUMIF('TL08'!$C$238:$C$451,$C223,'TL08'!$J$238:$J$451),0),
IF('TL09'!$B$3=Q$3,SUMIF('TL09'!$C$10:$C$224,$C223,'TL09'!$J$10:$J$224),0),
IF('TL09'!$B$229=Q$3,SUMIF('TL09'!$C$238:$C$451,$C223,'TL09'!$J$238:$J$451),0),
IF('TL10'!$B$3=Q$3,SUMIF('TL10'!$C$10:$C$224,$C223,'TL10'!$J$10:$J$224),0),
IF('TL10'!$B$229=Q$3,SUMIF('TL10'!$C$238:$C$451,$C223,'TL10'!$J$238:$J$451),0),
IF('TL11'!$B$3=Q$3,SUMIF('TL11'!$C$10:$C$224,$C223,'TL11'!$J$10:$J$224),0),
IF('TL11'!$B$229=Q$3,SUMIF('TL11'!$C$238:$C$451,$C223,'TL11'!$J$238:$J$451),0),
IF('TL12'!$B$3=Q$3,SUMIF('TL12'!$C$10:$C$224,$C223,'TL12'!$J$10:$J$224),0),
IF('TL12'!$B$229=Q$3,SUMIF('TL12'!$C$238:$C$451,$C223,'TL12'!$J$238:$J$451),0),
IF('TL13'!$B$3=Q$3,SUMIF('TL13'!$C$10:$C$224,$C223,'TL13'!$J$10:$J$224),0),
IF('TL13'!$B$229=Q$3,SUMIF('TL13'!$C$238:$C$451,$C223,'TL13'!$J$238:$J$451),0),
IF('TL14'!$B$3=Q$3,SUMIF('TL14'!$C$10:$C$224,$C223,'TL14'!$J$10:$J$224),0),
IF('TL14'!$B$229=Q$3,SUMIF('TL14'!$C$238:$C$451,$C223,'TL14'!$J$238:$J$451),0),
IF('TL15'!$B$3=Q$3,SUMIF('TL15'!$C$10:$C$224,$C223,'TL15'!$J$10:$J$224),0),
IF('TL15'!$B$229=Q$3,SUMIF('TL15'!$C$238:$C$451,$C223,'TL15'!$J$238:$J$451),0),
IF('TL16'!$B$3=Q$3,SUMIF('TL16'!$C$10:$C$224,$C223,'TL16'!$J$10:$J$224),0),
IF('TL16'!$B$229=Q$3,SUMIF('TL16'!$C$238:$C$451,$C223,'TL16'!$J$238:$J$451),0),
IF('TL17'!$B$3=Q$3,SUMIF('TL17'!$C$10:$C$224,$C223,'TL17'!$J$10:$J$224),0),
IF('TL17'!$B$229=Q$3,SUMIF('TL17'!$C$238:$C$451,$C223,'TL17'!$J$238:$J$451),0),
IF('TL18'!$B$3=Q$3,SUMIF('TL18'!$C$10:$C$224,$C223,'TL18'!$J$10:$J$224),0),
IF('TL18'!$B$229=Q$3,SUMIF('TL18'!$C$238:$C$451,$C223,'TL18'!$J$238:$J$451),0),
IF('TL19'!$B$3=Q$3,SUMIF('TL19'!$C$10:$C$224,$C223,'TL19'!$J$10:$J$224),0),
IF('TL19'!$B$229=Q$3,SUMIF('TL19'!$C$238:$C$451,$C223,'TL19'!$J$238:$J$451),0)
),0)</f>
        <v/>
      </c>
      <c r="R223" s="9">
        <f>IFERROR(
SUM(
SUMIF('TL01'!C:C,C223,'TL01'!J:J),
SUMIF('TL02'!C:C,C223,'TL02'!J:J),
SUMIF('TL03'!C:C,C223,'TL03'!J:J),
SUMIF('TL04'!C:C,C223,'TL04'!J:J),
SUMIF('TL05'!C:C,C223,'TL05'!J:J),
SUMIF('TL06'!C:C,C223,'TL06'!J:J),
SUMIF('TL07'!C:C,C223,'TL07'!J:J),
SUMIF('TL08'!C:C,C223,'TL08'!J:J),
SUMIF('TL09'!C:C,C223,'TL09'!J:J),
SUMIF('TL10'!C:C,C223,'TL10'!J:J),
SUMIF('TL11'!C:C,C223,'TL11'!J:J),
SUMIF('TL12'!C:C,C223,'TL12'!J:J),
SUMIF('TL13'!C:C,C223,'TL13'!J:J),
SUMIF('TL14'!C:C,C223,'TL14'!J:J),
SUMIF('TL15'!C:C,C223,'TL15'!J:J),
SUMIF('TL16'!C:C,C223,'TL16'!J:J),
SUMIF('TL17'!C:C,C223,'TL17'!J:J),
SUMIF('TL18'!C:C,C223,'TL18'!J:J),SUMIF('TL19'!C:C,C223,'TL19'!J:J))
,0)</f>
        <v/>
      </c>
      <c r="S223" s="17">
        <f>IFERROR(__xludf.DUMMYFUNCTION("IFERROR(VLOOKUP(C223,
IMPORTRANGE(""1wULbzX32WdYsx-lj2U3uUNBBe2INVIRDtcK0d-Dvl90"",
""26-27!C:G""),
5,
FALSE),
"""")"),73.44069)</f>
        <v/>
      </c>
      <c r="T223" s="9" t="n"/>
      <c r="U223" s="92">
        <f>MAX(0,R223-T223)</f>
        <v/>
      </c>
      <c r="V223" s="93">
        <f>U223*S223</f>
        <v/>
      </c>
    </row>
    <row r="224" hidden="1" ht="15.75" customHeight="1" s="297">
      <c r="A224" s="87" t="inlineStr">
        <is>
          <t>SUMITOMO</t>
        </is>
      </c>
      <c r="B224" s="88" t="inlineStr">
        <is>
          <t>INSETICIDA</t>
        </is>
      </c>
      <c r="C224" s="89" t="inlineStr">
        <is>
          <t>KLORPAN 480 EC</t>
        </is>
      </c>
      <c r="D224" s="89" t="inlineStr">
        <is>
          <t>CLORPIRIFÓS</t>
        </is>
      </c>
      <c r="E224" s="89" t="n">
        <v>480</v>
      </c>
      <c r="F224" s="4" t="inlineStr">
        <is>
          <t>L</t>
        </is>
      </c>
      <c r="G224" s="90">
        <f>HYPERLINK("https://www.google.com/search?q=" &amp; C224 &amp; "+bula+agrofit+pdf", "📄 Ver bula")</f>
        <v/>
      </c>
      <c r="H224" s="9">
        <f>IFERROR(__xludf.DUMMYFUNCTION("IFERROR(VLOOKUP(C224,
IMPORTRANGE(""1wULbzX32WdYsx-lj2U3uUNBBe2INVIRDtcK0d-Dvl90"",
""26-27!C:K""),
8,
FALSE),
"""")"),1.0)</f>
        <v/>
      </c>
      <c r="I224" s="91" t="inlineStr">
        <is>
          <t>1x20</t>
        </is>
      </c>
      <c r="J224" s="9">
        <f>IFERROR(SUM(
IF('TL01'!$B$3=J$3,SUMIF('TL01'!$C$10:$C$224,$C224,'TL01'!$J$10:$J$224),0),
IF('TL01'!$B$229=J$3,SUMIF('TL01'!$C$238:$C$451,$C224,'TL01'!$J$238:$J$451),0),
IF('TL02'!$B$3=J$3,SUMIF('TL02'!$C$10:$C$224,$C224,'TL02'!$J$10:$J$224),0),
IF('TL02'!$B$229=J$3,SUMIF('TL02'!$C$238:$C$451,$C224,'TL02'!$J$238:$J$451),0),
IF('TL03'!$B$3=J$3,SUMIF('TL03'!$C$10:$C$224,$C224,'TL03'!$J$10:$J$224),0),
IF('TL03'!$B$229=J$3,SUMIF('TL03'!$C$238:$C$451,$C224,'TL03'!$J$238:$J$451),0),
IF('TL04'!$B$3=J$3,SUMIF('TL04'!$C$10:$C$224,$C224,'TL04'!$J$10:$J$224),0),
IF('TL04'!$B$229=J$3,SUMIF('TL04'!$C$238:$C$451,$C224,'TL04'!$J$238:$J$451),0),
IF('TL05'!$B$3=J$3,SUMIF('TL05'!$C$10:$C$224,$C224,'TL05'!$J$10:$J$224),0),
IF('TL05'!$B$229=J$3,SUMIF('TL05'!$C$238:$C$451,$C224,'TL05'!$J$238:$J$451),0),
IF('TL06'!$B$3=J$3,SUMIF('TL06'!$C$10:$C$224,$C224,'TL06'!$J$10:$J$224),0),
IF('TL06'!$B$229=J$3,SUMIF('TL06'!$C$238:$C$451,$C224,'TL06'!$J$238:$J$451),0),
IF('TL07'!$B$3=J$3,SUMIF('TL07'!$C$10:$C$224,$C224,'TL07'!$J$10:$J$224),0),
IF('TL07'!$B$229=J$3,SUMIF('TL07'!$C$238:$C$451,$C224,'TL07'!$J$238:$J$451),0),
IF('TL08'!$B$3=J$3,SUMIF('TL08'!$C$10:$C$224,$C224,'TL08'!$J$10:$J$224),0),
IF('TL08'!$B$229=J$3,SUMIF('TL08'!$C$238:$C$451,$C224,'TL08'!$J$238:$J$451),0),
IF('TL09'!$B$3=J$3,SUMIF('TL09'!$C$10:$C$224,$C224,'TL09'!$J$10:$J$224),0),
IF('TL09'!$B$229=J$3,SUMIF('TL09'!$C$238:$C$451,$C224,'TL09'!$J$238:$J$451),0),
IF('TL10'!$B$3=J$3,SUMIF('TL10'!$C$10:$C$224,$C224,'TL10'!$J$10:$J$224),0),
IF('TL10'!$B$229=J$3,SUMIF('TL10'!$C$238:$C$451,$C224,'TL10'!$J$238:$J$451),0),
IF('TL11'!$B$3=J$3,SUMIF('TL11'!$C$10:$C$224,$C224,'TL11'!$J$10:$J$224),0),
IF('TL11'!$B$229=J$3,SUMIF('TL11'!$C$238:$C$451,$C224,'TL11'!$J$238:$J$451),0),
IF('TL12'!$B$3=J$3,SUMIF('TL12'!$C$10:$C$224,$C224,'TL12'!$J$10:$J$224),0),
IF('TL12'!$B$229=J$3,SUMIF('TL12'!$C$238:$C$451,$C224,'TL12'!$J$238:$J$451),0),
IF('TL13'!$B$3=J$3,SUMIF('TL13'!$C$10:$C$224,$C224,'TL13'!$J$10:$J$224),0),
IF('TL13'!$B$229=J$3,SUMIF('TL13'!$C$238:$C$451,$C224,'TL13'!$J$238:$J$451),0),
IF('TL14'!$B$3=J$3,SUMIF('TL14'!$C$10:$C$224,$C224,'TL14'!$J$10:$J$224),0),
IF('TL14'!$B$229=J$3,SUMIF('TL14'!$C$238:$C$451,$C224,'TL14'!$J$238:$J$451),0),
IF('TL15'!$B$3=J$3,SUMIF('TL15'!$C$10:$C$224,$C224,'TL15'!$J$10:$J$224),0),
IF('TL15'!$B$229=J$3,SUMIF('TL15'!$C$238:$C$451,$C224,'TL15'!$J$238:$J$451),0),
IF('TL16'!$B$3=J$3,SUMIF('TL16'!$C$10:$C$224,$C224,'TL16'!$J$10:$J$224),0),
IF('TL16'!$B$229=J$3,SUMIF('TL16'!$C$238:$C$451,$C224,'TL16'!$J$238:$J$451),0),
IF('TL17'!$B$3=J$3,SUMIF('TL17'!$C$10:$C$224,$C224,'TL17'!$J$10:$J$224),0),
IF('TL17'!$B$229=J$3,SUMIF('TL17'!$C$238:$C$451,$C224,'TL17'!$J$238:$J$451),0),
IF('TL18'!$B$3=J$3,SUMIF('TL18'!$C$10:$C$224,$C224,'TL18'!$J$10:$J$224),0),
IF('TL18'!$B$229=J$3,SUMIF('TL18'!$C$238:$C$451,$C224,'TL18'!$J$238:$J$451),0),
IF('TL19'!$B$3=J$3,SUMIF('TL19'!$C$10:$C$224,$C224,'TL19'!$J$10:$J$224),0),
IF('TL19'!$B$229=J$3,SUMIF('TL19'!$C$238:$C$451,$C224,'TL19'!$J$238:$J$451),0)
),0)</f>
        <v/>
      </c>
      <c r="K224" s="9">
        <f>IFERROR(SUM(
IF('TL01'!$B$3=K$3,SUMIF('TL01'!$C$10:$C$224,$C224,'TL01'!$J$10:$J$224),0),
IF('TL01'!$B$229=K$3,SUMIF('TL01'!$C$238:$C$451,$C224,'TL01'!$J$238:$J$451),0),
IF('TL02'!$B$3=K$3,SUMIF('TL02'!$C$10:$C$224,$C224,'TL02'!$J$10:$J$224),0),
IF('TL02'!$B$229=K$3,SUMIF('TL02'!$C$238:$C$451,$C224,'TL02'!$J$238:$J$451),0),
IF('TL03'!$B$3=K$3,SUMIF('TL03'!$C$10:$C$224,$C224,'TL03'!$J$10:$J$224),0),
IF('TL03'!$B$229=K$3,SUMIF('TL03'!$C$238:$C$451,$C224,'TL03'!$J$238:$J$451),0),
IF('TL04'!$B$3=K$3,SUMIF('TL04'!$C$10:$C$224,$C224,'TL04'!$J$10:$J$224),0),
IF('TL04'!$B$229=K$3,SUMIF('TL04'!$C$238:$C$451,$C224,'TL04'!$J$238:$J$451),0),
IF('TL05'!$B$3=K$3,SUMIF('TL05'!$C$10:$C$224,$C224,'TL05'!$J$10:$J$224),0),
IF('TL05'!$B$229=K$3,SUMIF('TL05'!$C$238:$C$451,$C224,'TL05'!$J$238:$J$451),0),
IF('TL06'!$B$3=K$3,SUMIF('TL06'!$C$10:$C$224,$C224,'TL06'!$J$10:$J$224),0),
IF('TL06'!$B$229=K$3,SUMIF('TL06'!$C$238:$C$451,$C224,'TL06'!$J$238:$J$451),0),
IF('TL07'!$B$3=K$3,SUMIF('TL07'!$C$10:$C$224,$C224,'TL07'!$J$10:$J$224),0),
IF('TL07'!$B$229=K$3,SUMIF('TL07'!$C$238:$C$451,$C224,'TL07'!$J$238:$J$451),0),
IF('TL08'!$B$3=K$3,SUMIF('TL08'!$C$10:$C$224,$C224,'TL08'!$J$10:$J$224),0),
IF('TL08'!$B$229=K$3,SUMIF('TL08'!$C$238:$C$451,$C224,'TL08'!$J$238:$J$451),0),
IF('TL09'!$B$3=K$3,SUMIF('TL09'!$C$10:$C$224,$C224,'TL09'!$J$10:$J$224),0),
IF('TL09'!$B$229=K$3,SUMIF('TL09'!$C$238:$C$451,$C224,'TL09'!$J$238:$J$451),0),
IF('TL10'!$B$3=K$3,SUMIF('TL10'!$C$10:$C$224,$C224,'TL10'!$J$10:$J$224),0),
IF('TL10'!$B$229=K$3,SUMIF('TL10'!$C$238:$C$451,$C224,'TL10'!$J$238:$J$451),0),
IF('TL11'!$B$3=K$3,SUMIF('TL11'!$C$10:$C$224,$C224,'TL11'!$J$10:$J$224),0),
IF('TL11'!$B$229=K$3,SUMIF('TL11'!$C$238:$C$451,$C224,'TL11'!$J$238:$J$451),0),
IF('TL12'!$B$3=K$3,SUMIF('TL12'!$C$10:$C$224,$C224,'TL12'!$J$10:$J$224),0),
IF('TL12'!$B$229=K$3,SUMIF('TL12'!$C$238:$C$451,$C224,'TL12'!$J$238:$J$451),0),
IF('TL13'!$B$3=K$3,SUMIF('TL13'!$C$10:$C$224,$C224,'TL13'!$J$10:$J$224),0),
IF('TL13'!$B$229=K$3,SUMIF('TL13'!$C$238:$C$451,$C224,'TL13'!$J$238:$J$451),0),
IF('TL14'!$B$3=K$3,SUMIF('TL14'!$C$10:$C$224,$C224,'TL14'!$J$10:$J$224),0),
IF('TL14'!$B$229=K$3,SUMIF('TL14'!$C$238:$C$451,$C224,'TL14'!$J$238:$J$451),0),
IF('TL15'!$B$3=K$3,SUMIF('TL15'!$C$10:$C$224,$C224,'TL15'!$J$10:$J$224),0),
IF('TL15'!$B$229=K$3,SUMIF('TL15'!$C$238:$C$451,$C224,'TL15'!$J$238:$J$451),0),
IF('TL16'!$B$3=K$3,SUMIF('TL16'!$C$10:$C$224,$C224,'TL16'!$J$10:$J$224),0),
IF('TL16'!$B$229=K$3,SUMIF('TL16'!$C$238:$C$451,$C224,'TL16'!$J$238:$J$451),0),
IF('TL17'!$B$3=K$3,SUMIF('TL17'!$C$10:$C$224,$C224,'TL17'!$J$10:$J$224),0),
IF('TL17'!$B$229=K$3,SUMIF('TL17'!$C$238:$C$451,$C224,'TL17'!$J$238:$J$451),0),
IF('TL18'!$B$3=K$3,SUMIF('TL18'!$C$10:$C$224,$C224,'TL18'!$J$10:$J$224),0),
IF('TL18'!$B$229=K$3,SUMIF('TL18'!$C$238:$C$451,$C224,'TL18'!$J$238:$J$451),0),
IF('TL19'!$B$3=K$3,SUMIF('TL19'!$C$10:$C$224,$C224,'TL19'!$J$10:$J$224),0),
IF('TL19'!$B$229=K$3,SUMIF('TL19'!$C$238:$C$451,$C224,'TL19'!$J$238:$J$451),0)
),0)</f>
        <v/>
      </c>
      <c r="L224" s="9">
        <f>IFERROR(SUM(
IF('TL01'!$B$3=L$3,SUMIF('TL01'!$C$10:$C$224,$C224,'TL01'!$J$10:$J$224),0),
IF('TL01'!$B$229=L$3,SUMIF('TL01'!$C$238:$C$451,$C224,'TL01'!$J$238:$J$451),0),
IF('TL02'!$B$3=L$3,SUMIF('TL02'!$C$10:$C$224,$C224,'TL02'!$J$10:$J$224),0),
IF('TL02'!$B$229=L$3,SUMIF('TL02'!$C$238:$C$451,$C224,'TL02'!$J$238:$J$451),0),
IF('TL03'!$B$3=L$3,SUMIF('TL03'!$C$10:$C$224,$C224,'TL03'!$J$10:$J$224),0),
IF('TL03'!$B$229=L$3,SUMIF('TL03'!$C$238:$C$451,$C224,'TL03'!$J$238:$J$451),0),
IF('TL04'!$B$3=L$3,SUMIF('TL04'!$C$10:$C$224,$C224,'TL04'!$J$10:$J$224),0),
IF('TL04'!$B$229=L$3,SUMIF('TL04'!$C$238:$C$451,$C224,'TL04'!$J$238:$J$451),0),
IF('TL05'!$B$3=L$3,SUMIF('TL05'!$C$10:$C$224,$C224,'TL05'!$J$10:$J$224),0),
IF('TL05'!$B$229=L$3,SUMIF('TL05'!$C$238:$C$451,$C224,'TL05'!$J$238:$J$451),0),
IF('TL06'!$B$3=L$3,SUMIF('TL06'!$C$10:$C$224,$C224,'TL06'!$J$10:$J$224),0),
IF('TL06'!$B$229=L$3,SUMIF('TL06'!$C$238:$C$451,$C224,'TL06'!$J$238:$J$451),0),
IF('TL07'!$B$3=L$3,SUMIF('TL07'!$C$10:$C$224,$C224,'TL07'!$J$10:$J$224),0),
IF('TL07'!$B$229=L$3,SUMIF('TL07'!$C$238:$C$451,$C224,'TL07'!$J$238:$J$451),0),
IF('TL08'!$B$3=L$3,SUMIF('TL08'!$C$10:$C$224,$C224,'TL08'!$J$10:$J$224),0),
IF('TL08'!$B$229=L$3,SUMIF('TL08'!$C$238:$C$451,$C224,'TL08'!$J$238:$J$451),0),
IF('TL09'!$B$3=L$3,SUMIF('TL09'!$C$10:$C$224,$C224,'TL09'!$J$10:$J$224),0),
IF('TL09'!$B$229=L$3,SUMIF('TL09'!$C$238:$C$451,$C224,'TL09'!$J$238:$J$451),0),
IF('TL10'!$B$3=L$3,SUMIF('TL10'!$C$10:$C$224,$C224,'TL10'!$J$10:$J$224),0),
IF('TL10'!$B$229=L$3,SUMIF('TL10'!$C$238:$C$451,$C224,'TL10'!$J$238:$J$451),0),
IF('TL11'!$B$3=L$3,SUMIF('TL11'!$C$10:$C$224,$C224,'TL11'!$J$10:$J$224),0),
IF('TL11'!$B$229=L$3,SUMIF('TL11'!$C$238:$C$451,$C224,'TL11'!$J$238:$J$451),0),
IF('TL12'!$B$3=L$3,SUMIF('TL12'!$C$10:$C$224,$C224,'TL12'!$J$10:$J$224),0),
IF('TL12'!$B$229=L$3,SUMIF('TL12'!$C$238:$C$451,$C224,'TL12'!$J$238:$J$451),0),
IF('TL13'!$B$3=L$3,SUMIF('TL13'!$C$10:$C$224,$C224,'TL13'!$J$10:$J$224),0),
IF('TL13'!$B$229=L$3,SUMIF('TL13'!$C$238:$C$451,$C224,'TL13'!$J$238:$J$451),0),
IF('TL14'!$B$3=L$3,SUMIF('TL14'!$C$10:$C$224,$C224,'TL14'!$J$10:$J$224),0),
IF('TL14'!$B$229=L$3,SUMIF('TL14'!$C$238:$C$451,$C224,'TL14'!$J$238:$J$451),0),
IF('TL15'!$B$3=L$3,SUMIF('TL15'!$C$10:$C$224,$C224,'TL15'!$J$10:$J$224),0),
IF('TL15'!$B$229=L$3,SUMIF('TL15'!$C$238:$C$451,$C224,'TL15'!$J$238:$J$451),0),
IF('TL16'!$B$3=L$3,SUMIF('TL16'!$C$10:$C$224,$C224,'TL16'!$J$10:$J$224),0),
IF('TL16'!$B$229=L$3,SUMIF('TL16'!$C$238:$C$451,$C224,'TL16'!$J$238:$J$451),0),
IF('TL17'!$B$3=L$3,SUMIF('TL17'!$C$10:$C$224,$C224,'TL17'!$J$10:$J$224),0),
IF('TL17'!$B$229=L$3,SUMIF('TL17'!$C$238:$C$451,$C224,'TL17'!$J$238:$J$451),0),
IF('TL18'!$B$3=L$3,SUMIF('TL18'!$C$10:$C$224,$C224,'TL18'!$J$10:$J$224),0),
IF('TL18'!$B$229=L$3,SUMIF('TL18'!$C$238:$C$451,$C224,'TL18'!$J$238:$J$451),0),
IF('TL19'!$B$3=L$3,SUMIF('TL19'!$C$10:$C$224,$C224,'TL19'!$J$10:$J$224),0),
IF('TL19'!$B$229=L$3,SUMIF('TL19'!$C$238:$C$451,$C224,'TL19'!$J$238:$J$451),0)
),0)</f>
        <v/>
      </c>
      <c r="M224" s="9">
        <f>IFERROR(SUM(
IF('TL01'!$B$3=M$3,SUMIF('TL01'!$C$10:$C$224,$C224,'TL01'!$J$10:$J$224),0),
IF('TL01'!$B$229=M$3,SUMIF('TL01'!$C$238:$C$451,$C224,'TL01'!$J$238:$J$451),0),
IF('TL02'!$B$3=M$3,SUMIF('TL02'!$C$10:$C$224,$C224,'TL02'!$J$10:$J$224),0),
IF('TL02'!$B$229=M$3,SUMIF('TL02'!$C$238:$C$451,$C224,'TL02'!$J$238:$J$451),0),
IF('TL03'!$B$3=M$3,SUMIF('TL03'!$C$10:$C$224,$C224,'TL03'!$J$10:$J$224),0),
IF('TL03'!$B$229=M$3,SUMIF('TL03'!$C$238:$C$451,$C224,'TL03'!$J$238:$J$451),0),
IF('TL04'!$B$3=M$3,SUMIF('TL04'!$C$10:$C$224,$C224,'TL04'!$J$10:$J$224),0),
IF('TL04'!$B$229=M$3,SUMIF('TL04'!$C$238:$C$451,$C224,'TL04'!$J$238:$J$451),0),
IF('TL05'!$B$3=M$3,SUMIF('TL05'!$C$10:$C$224,$C224,'TL05'!$J$10:$J$224),0),
IF('TL05'!$B$229=M$3,SUMIF('TL05'!$C$238:$C$451,$C224,'TL05'!$J$238:$J$451),0),
IF('TL06'!$B$3=M$3,SUMIF('TL06'!$C$10:$C$224,$C224,'TL06'!$J$10:$J$224),0),
IF('TL06'!$B$229=M$3,SUMIF('TL06'!$C$238:$C$451,$C224,'TL06'!$J$238:$J$451),0),
IF('TL07'!$B$3=M$3,SUMIF('TL07'!$C$10:$C$224,$C224,'TL07'!$J$10:$J$224),0),
IF('TL07'!$B$229=M$3,SUMIF('TL07'!$C$238:$C$451,$C224,'TL07'!$J$238:$J$451),0),
IF('TL08'!$B$3=M$3,SUMIF('TL08'!$C$10:$C$224,$C224,'TL08'!$J$10:$J$224),0),
IF('TL08'!$B$229=M$3,SUMIF('TL08'!$C$238:$C$451,$C224,'TL08'!$J$238:$J$451),0),
IF('TL09'!$B$3=M$3,SUMIF('TL09'!$C$10:$C$224,$C224,'TL09'!$J$10:$J$224),0),
IF('TL09'!$B$229=M$3,SUMIF('TL09'!$C$238:$C$451,$C224,'TL09'!$J$238:$J$451),0),
IF('TL10'!$B$3=M$3,SUMIF('TL10'!$C$10:$C$224,$C224,'TL10'!$J$10:$J$224),0),
IF('TL10'!$B$229=M$3,SUMIF('TL10'!$C$238:$C$451,$C224,'TL10'!$J$238:$J$451),0),
IF('TL11'!$B$3=M$3,SUMIF('TL11'!$C$10:$C$224,$C224,'TL11'!$J$10:$J$224),0),
IF('TL11'!$B$229=M$3,SUMIF('TL11'!$C$238:$C$451,$C224,'TL11'!$J$238:$J$451),0),
IF('TL12'!$B$3=M$3,SUMIF('TL12'!$C$10:$C$224,$C224,'TL12'!$J$10:$J$224),0),
IF('TL12'!$B$229=M$3,SUMIF('TL12'!$C$238:$C$451,$C224,'TL12'!$J$238:$J$451),0),
IF('TL13'!$B$3=M$3,SUMIF('TL13'!$C$10:$C$224,$C224,'TL13'!$J$10:$J$224),0),
IF('TL13'!$B$229=M$3,SUMIF('TL13'!$C$238:$C$451,$C224,'TL13'!$J$238:$J$451),0),
IF('TL14'!$B$3=M$3,SUMIF('TL14'!$C$10:$C$224,$C224,'TL14'!$J$10:$J$224),0),
IF('TL14'!$B$229=M$3,SUMIF('TL14'!$C$238:$C$451,$C224,'TL14'!$J$238:$J$451),0),
IF('TL15'!$B$3=M$3,SUMIF('TL15'!$C$10:$C$224,$C224,'TL15'!$J$10:$J$224),0),
IF('TL15'!$B$229=M$3,SUMIF('TL15'!$C$238:$C$451,$C224,'TL15'!$J$238:$J$451),0),
IF('TL16'!$B$3=M$3,SUMIF('TL16'!$C$10:$C$224,$C224,'TL16'!$J$10:$J$224),0),
IF('TL16'!$B$229=M$3,SUMIF('TL16'!$C$238:$C$451,$C224,'TL16'!$J$238:$J$451),0),
IF('TL17'!$B$3=M$3,SUMIF('TL17'!$C$10:$C$224,$C224,'TL17'!$J$10:$J$224),0),
IF('TL17'!$B$229=M$3,SUMIF('TL17'!$C$238:$C$451,$C224,'TL17'!$J$238:$J$451),0),
IF('TL18'!$B$3=M$3,SUMIF('TL18'!$C$10:$C$224,$C224,'TL18'!$J$10:$J$224),0),
IF('TL18'!$B$229=M$3,SUMIF('TL18'!$C$238:$C$451,$C224,'TL18'!$J$238:$J$451),0),
IF('TL19'!$B$3=M$3,SUMIF('TL19'!$C$10:$C$224,$C224,'TL19'!$J$10:$J$224),0),
IF('TL19'!$B$229=M$3,SUMIF('TL19'!$C$238:$C$451,$C224,'TL19'!$J$238:$J$451),0)
),0)</f>
        <v/>
      </c>
      <c r="N224" s="9">
        <f>IFERROR(SUM(
IF('TL01'!$B$3=N$3,SUMIF('TL01'!$C$10:$C$224,$C224,'TL01'!$J$10:$J$224),0),
IF('TL01'!$B$229=N$3,SUMIF('TL01'!$C$238:$C$451,$C224,'TL01'!$J$238:$J$451),0),
IF('TL02'!$B$3=N$3,SUMIF('TL02'!$C$10:$C$224,$C224,'TL02'!$J$10:$J$224),0),
IF('TL02'!$B$229=N$3,SUMIF('TL02'!$C$238:$C$451,$C224,'TL02'!$J$238:$J$451),0),
IF('TL03'!$B$3=N$3,SUMIF('TL03'!$C$10:$C$224,$C224,'TL03'!$J$10:$J$224),0),
IF('TL03'!$B$229=N$3,SUMIF('TL03'!$C$238:$C$451,$C224,'TL03'!$J$238:$J$451),0),
IF('TL04'!$B$3=N$3,SUMIF('TL04'!$C$10:$C$224,$C224,'TL04'!$J$10:$J$224),0),
IF('TL04'!$B$229=N$3,SUMIF('TL04'!$C$238:$C$451,$C224,'TL04'!$J$238:$J$451),0),
IF('TL05'!$B$3=N$3,SUMIF('TL05'!$C$10:$C$224,$C224,'TL05'!$J$10:$J$224),0),
IF('TL05'!$B$229=N$3,SUMIF('TL05'!$C$238:$C$451,$C224,'TL05'!$J$238:$J$451),0),
IF('TL06'!$B$3=N$3,SUMIF('TL06'!$C$10:$C$224,$C224,'TL06'!$J$10:$J$224),0),
IF('TL06'!$B$229=N$3,SUMIF('TL06'!$C$238:$C$451,$C224,'TL06'!$J$238:$J$451),0),
IF('TL07'!$B$3=N$3,SUMIF('TL07'!$C$10:$C$224,$C224,'TL07'!$J$10:$J$224),0),
IF('TL07'!$B$229=N$3,SUMIF('TL07'!$C$238:$C$451,$C224,'TL07'!$J$238:$J$451),0),
IF('TL08'!$B$3=N$3,SUMIF('TL08'!$C$10:$C$224,$C224,'TL08'!$J$10:$J$224),0),
IF('TL08'!$B$229=N$3,SUMIF('TL08'!$C$238:$C$451,$C224,'TL08'!$J$238:$J$451),0),
IF('TL09'!$B$3=N$3,SUMIF('TL09'!$C$10:$C$224,$C224,'TL09'!$J$10:$J$224),0),
IF('TL09'!$B$229=N$3,SUMIF('TL09'!$C$238:$C$451,$C224,'TL09'!$J$238:$J$451),0),
IF('TL10'!$B$3=N$3,SUMIF('TL10'!$C$10:$C$224,$C224,'TL10'!$J$10:$J$224),0),
IF('TL10'!$B$229=N$3,SUMIF('TL10'!$C$238:$C$451,$C224,'TL10'!$J$238:$J$451),0),
IF('TL11'!$B$3=N$3,SUMIF('TL11'!$C$10:$C$224,$C224,'TL11'!$J$10:$J$224),0),
IF('TL11'!$B$229=N$3,SUMIF('TL11'!$C$238:$C$451,$C224,'TL11'!$J$238:$J$451),0),
IF('TL12'!$B$3=N$3,SUMIF('TL12'!$C$10:$C$224,$C224,'TL12'!$J$10:$J$224),0),
IF('TL12'!$B$229=N$3,SUMIF('TL12'!$C$238:$C$451,$C224,'TL12'!$J$238:$J$451),0),
IF('TL13'!$B$3=N$3,SUMIF('TL13'!$C$10:$C$224,$C224,'TL13'!$J$10:$J$224),0),
IF('TL13'!$B$229=N$3,SUMIF('TL13'!$C$238:$C$451,$C224,'TL13'!$J$238:$J$451),0),
IF('TL14'!$B$3=N$3,SUMIF('TL14'!$C$10:$C$224,$C224,'TL14'!$J$10:$J$224),0),
IF('TL14'!$B$229=N$3,SUMIF('TL14'!$C$238:$C$451,$C224,'TL14'!$J$238:$J$451),0),
IF('TL15'!$B$3=N$3,SUMIF('TL15'!$C$10:$C$224,$C224,'TL15'!$J$10:$J$224),0),
IF('TL15'!$B$229=N$3,SUMIF('TL15'!$C$238:$C$451,$C224,'TL15'!$J$238:$J$451),0),
IF('TL16'!$B$3=N$3,SUMIF('TL16'!$C$10:$C$224,$C224,'TL16'!$J$10:$J$224),0),
IF('TL16'!$B$229=N$3,SUMIF('TL16'!$C$238:$C$451,$C224,'TL16'!$J$238:$J$451),0),
IF('TL17'!$B$3=N$3,SUMIF('TL17'!$C$10:$C$224,$C224,'TL17'!$J$10:$J$224),0),
IF('TL17'!$B$229=N$3,SUMIF('TL17'!$C$238:$C$451,$C224,'TL17'!$J$238:$J$451),0),
IF('TL18'!$B$3=N$3,SUMIF('TL18'!$C$10:$C$224,$C224,'TL18'!$J$10:$J$224),0),
IF('TL18'!$B$229=N$3,SUMIF('TL18'!$C$238:$C$451,$C224,'TL18'!$J$238:$J$451),0),
IF('TL19'!$B$3=N$3,SUMIF('TL19'!$C$10:$C$224,$C224,'TL19'!$J$10:$J$224),0),
IF('TL19'!$B$229=N$3,SUMIF('TL19'!$C$238:$C$451,$C224,'TL19'!$J$238:$J$451),0)
),0)</f>
        <v/>
      </c>
      <c r="O224" s="9">
        <f>IFERROR(SUM(
IF('TL01'!$B$3=O$3,SUMIF('TL01'!$C$10:$C$224,$C224,'TL01'!$J$10:$J$224),0),
IF('TL01'!$B$229=O$3,SUMIF('TL01'!$C$238:$C$451,$C224,'TL01'!$J$238:$J$451),0),
IF('TL02'!$B$3=O$3,SUMIF('TL02'!$C$10:$C$224,$C224,'TL02'!$J$10:$J$224),0),
IF('TL02'!$B$229=O$3,SUMIF('TL02'!$C$238:$C$451,$C224,'TL02'!$J$238:$J$451),0),
IF('TL03'!$B$3=O$3,SUMIF('TL03'!$C$10:$C$224,$C224,'TL03'!$J$10:$J$224),0),
IF('TL03'!$B$229=O$3,SUMIF('TL03'!$C$238:$C$451,$C224,'TL03'!$J$238:$J$451),0),
IF('TL04'!$B$3=O$3,SUMIF('TL04'!$C$10:$C$224,$C224,'TL04'!$J$10:$J$224),0),
IF('TL04'!$B$229=O$3,SUMIF('TL04'!$C$238:$C$451,$C224,'TL04'!$J$238:$J$451),0),
IF('TL05'!$B$3=O$3,SUMIF('TL05'!$C$10:$C$224,$C224,'TL05'!$J$10:$J$224),0),
IF('TL05'!$B$229=O$3,SUMIF('TL05'!$C$238:$C$451,$C224,'TL05'!$J$238:$J$451),0),
IF('TL06'!$B$3=O$3,SUMIF('TL06'!$C$10:$C$224,$C224,'TL06'!$J$10:$J$224),0),
IF('TL06'!$B$229=O$3,SUMIF('TL06'!$C$238:$C$451,$C224,'TL06'!$J$238:$J$451),0),
IF('TL07'!$B$3=O$3,SUMIF('TL07'!$C$10:$C$224,$C224,'TL07'!$J$10:$J$224),0),
IF('TL07'!$B$229=O$3,SUMIF('TL07'!$C$238:$C$451,$C224,'TL07'!$J$238:$J$451),0),
IF('TL08'!$B$3=O$3,SUMIF('TL08'!$C$10:$C$224,$C224,'TL08'!$J$10:$J$224),0),
IF('TL08'!$B$229=O$3,SUMIF('TL08'!$C$238:$C$451,$C224,'TL08'!$J$238:$J$451),0),
IF('TL09'!$B$3=O$3,SUMIF('TL09'!$C$10:$C$224,$C224,'TL09'!$J$10:$J$224),0),
IF('TL09'!$B$229=O$3,SUMIF('TL09'!$C$238:$C$451,$C224,'TL09'!$J$238:$J$451),0),
IF('TL10'!$B$3=O$3,SUMIF('TL10'!$C$10:$C$224,$C224,'TL10'!$J$10:$J$224),0),
IF('TL10'!$B$229=O$3,SUMIF('TL10'!$C$238:$C$451,$C224,'TL10'!$J$238:$J$451),0),
IF('TL11'!$B$3=O$3,SUMIF('TL11'!$C$10:$C$224,$C224,'TL11'!$J$10:$J$224),0),
IF('TL11'!$B$229=O$3,SUMIF('TL11'!$C$238:$C$451,$C224,'TL11'!$J$238:$J$451),0),
IF('TL12'!$B$3=O$3,SUMIF('TL12'!$C$10:$C$224,$C224,'TL12'!$J$10:$J$224),0),
IF('TL12'!$B$229=O$3,SUMIF('TL12'!$C$238:$C$451,$C224,'TL12'!$J$238:$J$451),0),
IF('TL13'!$B$3=O$3,SUMIF('TL13'!$C$10:$C$224,$C224,'TL13'!$J$10:$J$224),0),
IF('TL13'!$B$229=O$3,SUMIF('TL13'!$C$238:$C$451,$C224,'TL13'!$J$238:$J$451),0),
IF('TL14'!$B$3=O$3,SUMIF('TL14'!$C$10:$C$224,$C224,'TL14'!$J$10:$J$224),0),
IF('TL14'!$B$229=O$3,SUMIF('TL14'!$C$238:$C$451,$C224,'TL14'!$J$238:$J$451),0),
IF('TL15'!$B$3=O$3,SUMIF('TL15'!$C$10:$C$224,$C224,'TL15'!$J$10:$J$224),0),
IF('TL15'!$B$229=O$3,SUMIF('TL15'!$C$238:$C$451,$C224,'TL15'!$J$238:$J$451),0),
IF('TL16'!$B$3=O$3,SUMIF('TL16'!$C$10:$C$224,$C224,'TL16'!$J$10:$J$224),0),
IF('TL16'!$B$229=O$3,SUMIF('TL16'!$C$238:$C$451,$C224,'TL16'!$J$238:$J$451),0),
IF('TL17'!$B$3=O$3,SUMIF('TL17'!$C$10:$C$224,$C224,'TL17'!$J$10:$J$224),0),
IF('TL17'!$B$229=O$3,SUMIF('TL17'!$C$238:$C$451,$C224,'TL17'!$J$238:$J$451),0),
IF('TL18'!$B$3=O$3,SUMIF('TL18'!$C$10:$C$224,$C224,'TL18'!$J$10:$J$224),0),
IF('TL18'!$B$229=O$3,SUMIF('TL18'!$C$238:$C$451,$C224,'TL18'!$J$238:$J$451),0),
IF('TL19'!$B$3=O$3,SUMIF('TL19'!$C$10:$C$224,$C224,'TL19'!$J$10:$J$224),0),
IF('TL19'!$B$229=O$3,SUMIF('TL19'!$C$238:$C$451,$C224,'TL19'!$J$238:$J$451),0)
),0)</f>
        <v/>
      </c>
      <c r="P224" s="9">
        <f>IFERROR(SUM(
IF('TL01'!$B$3=P$3,SUMIF('TL01'!$C$10:$C$224,$C224,'TL01'!$J$10:$J$224),0),
IF('TL01'!$B$229=P$3,SUMIF('TL01'!$C$238:$C$451,$C224,'TL01'!$J$238:$J$451),0),
IF('TL02'!$B$3=P$3,SUMIF('TL02'!$C$10:$C$224,$C224,'TL02'!$J$10:$J$224),0),
IF('TL02'!$B$229=P$3,SUMIF('TL02'!$C$238:$C$451,$C224,'TL02'!$J$238:$J$451),0),
IF('TL03'!$B$3=P$3,SUMIF('TL03'!$C$10:$C$224,$C224,'TL03'!$J$10:$J$224),0),
IF('TL03'!$B$229=P$3,SUMIF('TL03'!$C$238:$C$451,$C224,'TL03'!$J$238:$J$451),0),
IF('TL04'!$B$3=P$3,SUMIF('TL04'!$C$10:$C$224,$C224,'TL04'!$J$10:$J$224),0),
IF('TL04'!$B$229=P$3,SUMIF('TL04'!$C$238:$C$451,$C224,'TL04'!$J$238:$J$451),0),
IF('TL05'!$B$3=P$3,SUMIF('TL05'!$C$10:$C$224,$C224,'TL05'!$J$10:$J$224),0),
IF('TL05'!$B$229=P$3,SUMIF('TL05'!$C$238:$C$451,$C224,'TL05'!$J$238:$J$451),0),
IF('TL06'!$B$3=P$3,SUMIF('TL06'!$C$10:$C$224,$C224,'TL06'!$J$10:$J$224),0),
IF('TL06'!$B$229=P$3,SUMIF('TL06'!$C$238:$C$451,$C224,'TL06'!$J$238:$J$451),0),
IF('TL07'!$B$3=P$3,SUMIF('TL07'!$C$10:$C$224,$C224,'TL07'!$J$10:$J$224),0),
IF('TL07'!$B$229=P$3,SUMIF('TL07'!$C$238:$C$451,$C224,'TL07'!$J$238:$J$451),0),
IF('TL08'!$B$3=P$3,SUMIF('TL08'!$C$10:$C$224,$C224,'TL08'!$J$10:$J$224),0),
IF('TL08'!$B$229=P$3,SUMIF('TL08'!$C$238:$C$451,$C224,'TL08'!$J$238:$J$451),0),
IF('TL09'!$B$3=P$3,SUMIF('TL09'!$C$10:$C$224,$C224,'TL09'!$J$10:$J$224),0),
IF('TL09'!$B$229=P$3,SUMIF('TL09'!$C$238:$C$451,$C224,'TL09'!$J$238:$J$451),0),
IF('TL10'!$B$3=P$3,SUMIF('TL10'!$C$10:$C$224,$C224,'TL10'!$J$10:$J$224),0),
IF('TL10'!$B$229=P$3,SUMIF('TL10'!$C$238:$C$451,$C224,'TL10'!$J$238:$J$451),0),
IF('TL11'!$B$3=P$3,SUMIF('TL11'!$C$10:$C$224,$C224,'TL11'!$J$10:$J$224),0),
IF('TL11'!$B$229=P$3,SUMIF('TL11'!$C$238:$C$451,$C224,'TL11'!$J$238:$J$451),0),
IF('TL12'!$B$3=P$3,SUMIF('TL12'!$C$10:$C$224,$C224,'TL12'!$J$10:$J$224),0),
IF('TL12'!$B$229=P$3,SUMIF('TL12'!$C$238:$C$451,$C224,'TL12'!$J$238:$J$451),0),
IF('TL13'!$B$3=P$3,SUMIF('TL13'!$C$10:$C$224,$C224,'TL13'!$J$10:$J$224),0),
IF('TL13'!$B$229=P$3,SUMIF('TL13'!$C$238:$C$451,$C224,'TL13'!$J$238:$J$451),0),
IF('TL14'!$B$3=P$3,SUMIF('TL14'!$C$10:$C$224,$C224,'TL14'!$J$10:$J$224),0),
IF('TL14'!$B$229=P$3,SUMIF('TL14'!$C$238:$C$451,$C224,'TL14'!$J$238:$J$451),0),
IF('TL15'!$B$3=P$3,SUMIF('TL15'!$C$10:$C$224,$C224,'TL15'!$J$10:$J$224),0),
IF('TL15'!$B$229=P$3,SUMIF('TL15'!$C$238:$C$451,$C224,'TL15'!$J$238:$J$451),0),
IF('TL16'!$B$3=P$3,SUMIF('TL16'!$C$10:$C$224,$C224,'TL16'!$J$10:$J$224),0),
IF('TL16'!$B$229=P$3,SUMIF('TL16'!$C$238:$C$451,$C224,'TL16'!$J$238:$J$451),0),
IF('TL17'!$B$3=P$3,SUMIF('TL17'!$C$10:$C$224,$C224,'TL17'!$J$10:$J$224),0),
IF('TL17'!$B$229=P$3,SUMIF('TL17'!$C$238:$C$451,$C224,'TL17'!$J$238:$J$451),0),
IF('TL18'!$B$3=P$3,SUMIF('TL18'!$C$10:$C$224,$C224,'TL18'!$J$10:$J$224),0),
IF('TL18'!$B$229=P$3,SUMIF('TL18'!$C$238:$C$451,$C224,'TL18'!$J$238:$J$451),0),
IF('TL19'!$B$3=P$3,SUMIF('TL19'!$C$10:$C$224,$C224,'TL19'!$J$10:$J$224),0),
IF('TL19'!$B$229=P$3,SUMIF('TL19'!$C$238:$C$451,$C224,'TL19'!$J$238:$J$451),0)
),0)</f>
        <v/>
      </c>
      <c r="Q224" s="9">
        <f>IFERROR(SUM(
IF('TL01'!$B$3=Q$3,SUMIF('TL01'!$C$10:$C$224,$C224,'TL01'!$J$10:$J$224),0),
IF('TL01'!$B$229=Q$3,SUMIF('TL01'!$C$238:$C$451,$C224,'TL01'!$J$238:$J$451),0),
IF('TL02'!$B$3=Q$3,SUMIF('TL02'!$C$10:$C$224,$C224,'TL02'!$J$10:$J$224),0),
IF('TL02'!$B$229=Q$3,SUMIF('TL02'!$C$238:$C$451,$C224,'TL02'!$J$238:$J$451),0),
IF('TL03'!$B$3=Q$3,SUMIF('TL03'!$C$10:$C$224,$C224,'TL03'!$J$10:$J$224),0),
IF('TL03'!$B$229=Q$3,SUMIF('TL03'!$C$238:$C$451,$C224,'TL03'!$J$238:$J$451),0),
IF('TL04'!$B$3=Q$3,SUMIF('TL04'!$C$10:$C$224,$C224,'TL04'!$J$10:$J$224),0),
IF('TL04'!$B$229=Q$3,SUMIF('TL04'!$C$238:$C$451,$C224,'TL04'!$J$238:$J$451),0),
IF('TL05'!$B$3=Q$3,SUMIF('TL05'!$C$10:$C$224,$C224,'TL05'!$J$10:$J$224),0),
IF('TL05'!$B$229=Q$3,SUMIF('TL05'!$C$238:$C$451,$C224,'TL05'!$J$238:$J$451),0),
IF('TL06'!$B$3=Q$3,SUMIF('TL06'!$C$10:$C$224,$C224,'TL06'!$J$10:$J$224),0),
IF('TL06'!$B$229=Q$3,SUMIF('TL06'!$C$238:$C$451,$C224,'TL06'!$J$238:$J$451),0),
IF('TL07'!$B$3=Q$3,SUMIF('TL07'!$C$10:$C$224,$C224,'TL07'!$J$10:$J$224),0),
IF('TL07'!$B$229=Q$3,SUMIF('TL07'!$C$238:$C$451,$C224,'TL07'!$J$238:$J$451),0),
IF('TL08'!$B$3=Q$3,SUMIF('TL08'!$C$10:$C$224,$C224,'TL08'!$J$10:$J$224),0),
IF('TL08'!$B$229=Q$3,SUMIF('TL08'!$C$238:$C$451,$C224,'TL08'!$J$238:$J$451),0),
IF('TL09'!$B$3=Q$3,SUMIF('TL09'!$C$10:$C$224,$C224,'TL09'!$J$10:$J$224),0),
IF('TL09'!$B$229=Q$3,SUMIF('TL09'!$C$238:$C$451,$C224,'TL09'!$J$238:$J$451),0),
IF('TL10'!$B$3=Q$3,SUMIF('TL10'!$C$10:$C$224,$C224,'TL10'!$J$10:$J$224),0),
IF('TL10'!$B$229=Q$3,SUMIF('TL10'!$C$238:$C$451,$C224,'TL10'!$J$238:$J$451),0),
IF('TL11'!$B$3=Q$3,SUMIF('TL11'!$C$10:$C$224,$C224,'TL11'!$J$10:$J$224),0),
IF('TL11'!$B$229=Q$3,SUMIF('TL11'!$C$238:$C$451,$C224,'TL11'!$J$238:$J$451),0),
IF('TL12'!$B$3=Q$3,SUMIF('TL12'!$C$10:$C$224,$C224,'TL12'!$J$10:$J$224),0),
IF('TL12'!$B$229=Q$3,SUMIF('TL12'!$C$238:$C$451,$C224,'TL12'!$J$238:$J$451),0),
IF('TL13'!$B$3=Q$3,SUMIF('TL13'!$C$10:$C$224,$C224,'TL13'!$J$10:$J$224),0),
IF('TL13'!$B$229=Q$3,SUMIF('TL13'!$C$238:$C$451,$C224,'TL13'!$J$238:$J$451),0),
IF('TL14'!$B$3=Q$3,SUMIF('TL14'!$C$10:$C$224,$C224,'TL14'!$J$10:$J$224),0),
IF('TL14'!$B$229=Q$3,SUMIF('TL14'!$C$238:$C$451,$C224,'TL14'!$J$238:$J$451),0),
IF('TL15'!$B$3=Q$3,SUMIF('TL15'!$C$10:$C$224,$C224,'TL15'!$J$10:$J$224),0),
IF('TL15'!$B$229=Q$3,SUMIF('TL15'!$C$238:$C$451,$C224,'TL15'!$J$238:$J$451),0),
IF('TL16'!$B$3=Q$3,SUMIF('TL16'!$C$10:$C$224,$C224,'TL16'!$J$10:$J$224),0),
IF('TL16'!$B$229=Q$3,SUMIF('TL16'!$C$238:$C$451,$C224,'TL16'!$J$238:$J$451),0),
IF('TL17'!$B$3=Q$3,SUMIF('TL17'!$C$10:$C$224,$C224,'TL17'!$J$10:$J$224),0),
IF('TL17'!$B$229=Q$3,SUMIF('TL17'!$C$238:$C$451,$C224,'TL17'!$J$238:$J$451),0),
IF('TL18'!$B$3=Q$3,SUMIF('TL18'!$C$10:$C$224,$C224,'TL18'!$J$10:$J$224),0),
IF('TL18'!$B$229=Q$3,SUMIF('TL18'!$C$238:$C$451,$C224,'TL18'!$J$238:$J$451),0),
IF('TL19'!$B$3=Q$3,SUMIF('TL19'!$C$10:$C$224,$C224,'TL19'!$J$10:$J$224),0),
IF('TL19'!$B$229=Q$3,SUMIF('TL19'!$C$238:$C$451,$C224,'TL19'!$J$238:$J$451),0)
),0)</f>
        <v/>
      </c>
      <c r="R224" s="9">
        <f>IFERROR(
SUM(
SUMIF('TL01'!C:C,C224,'TL01'!J:J),
SUMIF('TL02'!C:C,C224,'TL02'!J:J),
SUMIF('TL03'!C:C,C224,'TL03'!J:J),
SUMIF('TL04'!C:C,C224,'TL04'!J:J),
SUMIF('TL05'!C:C,C224,'TL05'!J:J),
SUMIF('TL06'!C:C,C224,'TL06'!J:J),
SUMIF('TL07'!C:C,C224,'TL07'!J:J),
SUMIF('TL08'!C:C,C224,'TL08'!J:J),
SUMIF('TL09'!C:C,C224,'TL09'!J:J),
SUMIF('TL10'!C:C,C224,'TL10'!J:J),
SUMIF('TL11'!C:C,C224,'TL11'!J:J),
SUMIF('TL12'!C:C,C224,'TL12'!J:J),
SUMIF('TL13'!C:C,C224,'TL13'!J:J),
SUMIF('TL14'!C:C,C224,'TL14'!J:J),
SUMIF('TL15'!C:C,C224,'TL15'!J:J),
SUMIF('TL16'!C:C,C224,'TL16'!J:J),
SUMIF('TL17'!C:C,C224,'TL17'!J:J),
SUMIF('TL18'!C:C,C224,'TL18'!J:J),SUMIF('TL19'!C:C,C224,'TL19'!J:J))
,0)</f>
        <v/>
      </c>
      <c r="S224" s="17">
        <f>IFERROR(__xludf.DUMMYFUNCTION("IFERROR(VLOOKUP(C224,
IMPORTRANGE(""1wULbzX32WdYsx-lj2U3uUNBBe2INVIRDtcK0d-Dvl90"",
""26-27!C:G""),
5,
FALSE),
"""")"),25.457459999999998)</f>
        <v/>
      </c>
      <c r="T224" s="9" t="n"/>
      <c r="U224" s="92">
        <f>MAX(0,R224-T224)</f>
        <v/>
      </c>
      <c r="V224" s="93">
        <f>U224*S224</f>
        <v/>
      </c>
    </row>
    <row r="225" hidden="1" ht="15.75" customHeight="1" s="297">
      <c r="A225" s="94" t="inlineStr">
        <is>
          <t>SUMITOMO</t>
        </is>
      </c>
      <c r="B225" s="95" t="inlineStr">
        <is>
          <t>INSETICIDA</t>
        </is>
      </c>
      <c r="C225" s="96" t="inlineStr">
        <is>
          <t>LEGION</t>
        </is>
      </c>
      <c r="D225" s="96" t="inlineStr">
        <is>
          <t>FENITROTIONA + ESFENVALERATO</t>
        </is>
      </c>
      <c r="E225" s="96" t="inlineStr">
        <is>
          <t>800 + 40</t>
        </is>
      </c>
      <c r="F225" s="4" t="inlineStr">
        <is>
          <t>KG</t>
        </is>
      </c>
      <c r="G225" s="90">
        <f>HYPERLINK("https://www.google.com/search?q=" &amp; C225 &amp; "+bula+agrofit+pdf", "📄 Ver bula")</f>
        <v/>
      </c>
      <c r="H225" s="9">
        <f>IFERROR(__xludf.DUMMYFUNCTION("IFERROR(VLOOKUP(C225,
IMPORTRANGE(""1wULbzX32WdYsx-lj2U3uUNBBe2INVIRDtcK0d-Dvl90"",
""26-27!C:K""),
8,
FALSE),
"""")"),0.4)</f>
        <v/>
      </c>
      <c r="I225" s="97" t="inlineStr">
        <is>
          <t>1x20</t>
        </is>
      </c>
      <c r="J225" s="9">
        <f>IFERROR(SUM(
IF('TL01'!$B$3=J$3,SUMIF('TL01'!$C$10:$C$224,$C225,'TL01'!$J$10:$J$224),0),
IF('TL01'!$B$229=J$3,SUMIF('TL01'!$C$238:$C$451,$C225,'TL01'!$J$238:$J$451),0),
IF('TL02'!$B$3=J$3,SUMIF('TL02'!$C$10:$C$224,$C225,'TL02'!$J$10:$J$224),0),
IF('TL02'!$B$229=J$3,SUMIF('TL02'!$C$238:$C$451,$C225,'TL02'!$J$238:$J$451),0),
IF('TL03'!$B$3=J$3,SUMIF('TL03'!$C$10:$C$224,$C225,'TL03'!$J$10:$J$224),0),
IF('TL03'!$B$229=J$3,SUMIF('TL03'!$C$238:$C$451,$C225,'TL03'!$J$238:$J$451),0),
IF('TL04'!$B$3=J$3,SUMIF('TL04'!$C$10:$C$224,$C225,'TL04'!$J$10:$J$224),0),
IF('TL04'!$B$229=J$3,SUMIF('TL04'!$C$238:$C$451,$C225,'TL04'!$J$238:$J$451),0),
IF('TL05'!$B$3=J$3,SUMIF('TL05'!$C$10:$C$224,$C225,'TL05'!$J$10:$J$224),0),
IF('TL05'!$B$229=J$3,SUMIF('TL05'!$C$238:$C$451,$C225,'TL05'!$J$238:$J$451),0),
IF('TL06'!$B$3=J$3,SUMIF('TL06'!$C$10:$C$224,$C225,'TL06'!$J$10:$J$224),0),
IF('TL06'!$B$229=J$3,SUMIF('TL06'!$C$238:$C$451,$C225,'TL06'!$J$238:$J$451),0),
IF('TL07'!$B$3=J$3,SUMIF('TL07'!$C$10:$C$224,$C225,'TL07'!$J$10:$J$224),0),
IF('TL07'!$B$229=J$3,SUMIF('TL07'!$C$238:$C$451,$C225,'TL07'!$J$238:$J$451),0),
IF('TL08'!$B$3=J$3,SUMIF('TL08'!$C$10:$C$224,$C225,'TL08'!$J$10:$J$224),0),
IF('TL08'!$B$229=J$3,SUMIF('TL08'!$C$238:$C$451,$C225,'TL08'!$J$238:$J$451),0),
IF('TL09'!$B$3=J$3,SUMIF('TL09'!$C$10:$C$224,$C225,'TL09'!$J$10:$J$224),0),
IF('TL09'!$B$229=J$3,SUMIF('TL09'!$C$238:$C$451,$C225,'TL09'!$J$238:$J$451),0),
IF('TL10'!$B$3=J$3,SUMIF('TL10'!$C$10:$C$224,$C225,'TL10'!$J$10:$J$224),0),
IF('TL10'!$B$229=J$3,SUMIF('TL10'!$C$238:$C$451,$C225,'TL10'!$J$238:$J$451),0),
IF('TL11'!$B$3=J$3,SUMIF('TL11'!$C$10:$C$224,$C225,'TL11'!$J$10:$J$224),0),
IF('TL11'!$B$229=J$3,SUMIF('TL11'!$C$238:$C$451,$C225,'TL11'!$J$238:$J$451),0),
IF('TL12'!$B$3=J$3,SUMIF('TL12'!$C$10:$C$224,$C225,'TL12'!$J$10:$J$224),0),
IF('TL12'!$B$229=J$3,SUMIF('TL12'!$C$238:$C$451,$C225,'TL12'!$J$238:$J$451),0),
IF('TL13'!$B$3=J$3,SUMIF('TL13'!$C$10:$C$224,$C225,'TL13'!$J$10:$J$224),0),
IF('TL13'!$B$229=J$3,SUMIF('TL13'!$C$238:$C$451,$C225,'TL13'!$J$238:$J$451),0),
IF('TL14'!$B$3=J$3,SUMIF('TL14'!$C$10:$C$224,$C225,'TL14'!$J$10:$J$224),0),
IF('TL14'!$B$229=J$3,SUMIF('TL14'!$C$238:$C$451,$C225,'TL14'!$J$238:$J$451),0),
IF('TL15'!$B$3=J$3,SUMIF('TL15'!$C$10:$C$224,$C225,'TL15'!$J$10:$J$224),0),
IF('TL15'!$B$229=J$3,SUMIF('TL15'!$C$238:$C$451,$C225,'TL15'!$J$238:$J$451),0),
IF('TL16'!$B$3=J$3,SUMIF('TL16'!$C$10:$C$224,$C225,'TL16'!$J$10:$J$224),0),
IF('TL16'!$B$229=J$3,SUMIF('TL16'!$C$238:$C$451,$C225,'TL16'!$J$238:$J$451),0),
IF('TL17'!$B$3=J$3,SUMIF('TL17'!$C$10:$C$224,$C225,'TL17'!$J$10:$J$224),0),
IF('TL17'!$B$229=J$3,SUMIF('TL17'!$C$238:$C$451,$C225,'TL17'!$J$238:$J$451),0),
IF('TL18'!$B$3=J$3,SUMIF('TL18'!$C$10:$C$224,$C225,'TL18'!$J$10:$J$224),0),
IF('TL18'!$B$229=J$3,SUMIF('TL18'!$C$238:$C$451,$C225,'TL18'!$J$238:$J$451),0),
IF('TL19'!$B$3=J$3,SUMIF('TL19'!$C$10:$C$224,$C225,'TL19'!$J$10:$J$224),0),
IF('TL19'!$B$229=J$3,SUMIF('TL19'!$C$238:$C$451,$C225,'TL19'!$J$238:$J$451),0)
),0)</f>
        <v/>
      </c>
      <c r="K225" s="9">
        <f>IFERROR(SUM(
IF('TL01'!$B$3=K$3,SUMIF('TL01'!$C$10:$C$224,$C225,'TL01'!$J$10:$J$224),0),
IF('TL01'!$B$229=K$3,SUMIF('TL01'!$C$238:$C$451,$C225,'TL01'!$J$238:$J$451),0),
IF('TL02'!$B$3=K$3,SUMIF('TL02'!$C$10:$C$224,$C225,'TL02'!$J$10:$J$224),0),
IF('TL02'!$B$229=K$3,SUMIF('TL02'!$C$238:$C$451,$C225,'TL02'!$J$238:$J$451),0),
IF('TL03'!$B$3=K$3,SUMIF('TL03'!$C$10:$C$224,$C225,'TL03'!$J$10:$J$224),0),
IF('TL03'!$B$229=K$3,SUMIF('TL03'!$C$238:$C$451,$C225,'TL03'!$J$238:$J$451),0),
IF('TL04'!$B$3=K$3,SUMIF('TL04'!$C$10:$C$224,$C225,'TL04'!$J$10:$J$224),0),
IF('TL04'!$B$229=K$3,SUMIF('TL04'!$C$238:$C$451,$C225,'TL04'!$J$238:$J$451),0),
IF('TL05'!$B$3=K$3,SUMIF('TL05'!$C$10:$C$224,$C225,'TL05'!$J$10:$J$224),0),
IF('TL05'!$B$229=K$3,SUMIF('TL05'!$C$238:$C$451,$C225,'TL05'!$J$238:$J$451),0),
IF('TL06'!$B$3=K$3,SUMIF('TL06'!$C$10:$C$224,$C225,'TL06'!$J$10:$J$224),0),
IF('TL06'!$B$229=K$3,SUMIF('TL06'!$C$238:$C$451,$C225,'TL06'!$J$238:$J$451),0),
IF('TL07'!$B$3=K$3,SUMIF('TL07'!$C$10:$C$224,$C225,'TL07'!$J$10:$J$224),0),
IF('TL07'!$B$229=K$3,SUMIF('TL07'!$C$238:$C$451,$C225,'TL07'!$J$238:$J$451),0),
IF('TL08'!$B$3=K$3,SUMIF('TL08'!$C$10:$C$224,$C225,'TL08'!$J$10:$J$224),0),
IF('TL08'!$B$229=K$3,SUMIF('TL08'!$C$238:$C$451,$C225,'TL08'!$J$238:$J$451),0),
IF('TL09'!$B$3=K$3,SUMIF('TL09'!$C$10:$C$224,$C225,'TL09'!$J$10:$J$224),0),
IF('TL09'!$B$229=K$3,SUMIF('TL09'!$C$238:$C$451,$C225,'TL09'!$J$238:$J$451),0),
IF('TL10'!$B$3=K$3,SUMIF('TL10'!$C$10:$C$224,$C225,'TL10'!$J$10:$J$224),0),
IF('TL10'!$B$229=K$3,SUMIF('TL10'!$C$238:$C$451,$C225,'TL10'!$J$238:$J$451),0),
IF('TL11'!$B$3=K$3,SUMIF('TL11'!$C$10:$C$224,$C225,'TL11'!$J$10:$J$224),0),
IF('TL11'!$B$229=K$3,SUMIF('TL11'!$C$238:$C$451,$C225,'TL11'!$J$238:$J$451),0),
IF('TL12'!$B$3=K$3,SUMIF('TL12'!$C$10:$C$224,$C225,'TL12'!$J$10:$J$224),0),
IF('TL12'!$B$229=K$3,SUMIF('TL12'!$C$238:$C$451,$C225,'TL12'!$J$238:$J$451),0),
IF('TL13'!$B$3=K$3,SUMIF('TL13'!$C$10:$C$224,$C225,'TL13'!$J$10:$J$224),0),
IF('TL13'!$B$229=K$3,SUMIF('TL13'!$C$238:$C$451,$C225,'TL13'!$J$238:$J$451),0),
IF('TL14'!$B$3=K$3,SUMIF('TL14'!$C$10:$C$224,$C225,'TL14'!$J$10:$J$224),0),
IF('TL14'!$B$229=K$3,SUMIF('TL14'!$C$238:$C$451,$C225,'TL14'!$J$238:$J$451),0),
IF('TL15'!$B$3=K$3,SUMIF('TL15'!$C$10:$C$224,$C225,'TL15'!$J$10:$J$224),0),
IF('TL15'!$B$229=K$3,SUMIF('TL15'!$C$238:$C$451,$C225,'TL15'!$J$238:$J$451),0),
IF('TL16'!$B$3=K$3,SUMIF('TL16'!$C$10:$C$224,$C225,'TL16'!$J$10:$J$224),0),
IF('TL16'!$B$229=K$3,SUMIF('TL16'!$C$238:$C$451,$C225,'TL16'!$J$238:$J$451),0),
IF('TL17'!$B$3=K$3,SUMIF('TL17'!$C$10:$C$224,$C225,'TL17'!$J$10:$J$224),0),
IF('TL17'!$B$229=K$3,SUMIF('TL17'!$C$238:$C$451,$C225,'TL17'!$J$238:$J$451),0),
IF('TL18'!$B$3=K$3,SUMIF('TL18'!$C$10:$C$224,$C225,'TL18'!$J$10:$J$224),0),
IF('TL18'!$B$229=K$3,SUMIF('TL18'!$C$238:$C$451,$C225,'TL18'!$J$238:$J$451),0),
IF('TL19'!$B$3=K$3,SUMIF('TL19'!$C$10:$C$224,$C225,'TL19'!$J$10:$J$224),0),
IF('TL19'!$B$229=K$3,SUMIF('TL19'!$C$238:$C$451,$C225,'TL19'!$J$238:$J$451),0)
),0)</f>
        <v/>
      </c>
      <c r="L225" s="9">
        <f>IFERROR(SUM(
IF('TL01'!$B$3=L$3,SUMIF('TL01'!$C$10:$C$224,$C225,'TL01'!$J$10:$J$224),0),
IF('TL01'!$B$229=L$3,SUMIF('TL01'!$C$238:$C$451,$C225,'TL01'!$J$238:$J$451),0),
IF('TL02'!$B$3=L$3,SUMIF('TL02'!$C$10:$C$224,$C225,'TL02'!$J$10:$J$224),0),
IF('TL02'!$B$229=L$3,SUMIF('TL02'!$C$238:$C$451,$C225,'TL02'!$J$238:$J$451),0),
IF('TL03'!$B$3=L$3,SUMIF('TL03'!$C$10:$C$224,$C225,'TL03'!$J$10:$J$224),0),
IF('TL03'!$B$229=L$3,SUMIF('TL03'!$C$238:$C$451,$C225,'TL03'!$J$238:$J$451),0),
IF('TL04'!$B$3=L$3,SUMIF('TL04'!$C$10:$C$224,$C225,'TL04'!$J$10:$J$224),0),
IF('TL04'!$B$229=L$3,SUMIF('TL04'!$C$238:$C$451,$C225,'TL04'!$J$238:$J$451),0),
IF('TL05'!$B$3=L$3,SUMIF('TL05'!$C$10:$C$224,$C225,'TL05'!$J$10:$J$224),0),
IF('TL05'!$B$229=L$3,SUMIF('TL05'!$C$238:$C$451,$C225,'TL05'!$J$238:$J$451),0),
IF('TL06'!$B$3=L$3,SUMIF('TL06'!$C$10:$C$224,$C225,'TL06'!$J$10:$J$224),0),
IF('TL06'!$B$229=L$3,SUMIF('TL06'!$C$238:$C$451,$C225,'TL06'!$J$238:$J$451),0),
IF('TL07'!$B$3=L$3,SUMIF('TL07'!$C$10:$C$224,$C225,'TL07'!$J$10:$J$224),0),
IF('TL07'!$B$229=L$3,SUMIF('TL07'!$C$238:$C$451,$C225,'TL07'!$J$238:$J$451),0),
IF('TL08'!$B$3=L$3,SUMIF('TL08'!$C$10:$C$224,$C225,'TL08'!$J$10:$J$224),0),
IF('TL08'!$B$229=L$3,SUMIF('TL08'!$C$238:$C$451,$C225,'TL08'!$J$238:$J$451),0),
IF('TL09'!$B$3=L$3,SUMIF('TL09'!$C$10:$C$224,$C225,'TL09'!$J$10:$J$224),0),
IF('TL09'!$B$229=L$3,SUMIF('TL09'!$C$238:$C$451,$C225,'TL09'!$J$238:$J$451),0),
IF('TL10'!$B$3=L$3,SUMIF('TL10'!$C$10:$C$224,$C225,'TL10'!$J$10:$J$224),0),
IF('TL10'!$B$229=L$3,SUMIF('TL10'!$C$238:$C$451,$C225,'TL10'!$J$238:$J$451),0),
IF('TL11'!$B$3=L$3,SUMIF('TL11'!$C$10:$C$224,$C225,'TL11'!$J$10:$J$224),0),
IF('TL11'!$B$229=L$3,SUMIF('TL11'!$C$238:$C$451,$C225,'TL11'!$J$238:$J$451),0),
IF('TL12'!$B$3=L$3,SUMIF('TL12'!$C$10:$C$224,$C225,'TL12'!$J$10:$J$224),0),
IF('TL12'!$B$229=L$3,SUMIF('TL12'!$C$238:$C$451,$C225,'TL12'!$J$238:$J$451),0),
IF('TL13'!$B$3=L$3,SUMIF('TL13'!$C$10:$C$224,$C225,'TL13'!$J$10:$J$224),0),
IF('TL13'!$B$229=L$3,SUMIF('TL13'!$C$238:$C$451,$C225,'TL13'!$J$238:$J$451),0),
IF('TL14'!$B$3=L$3,SUMIF('TL14'!$C$10:$C$224,$C225,'TL14'!$J$10:$J$224),0),
IF('TL14'!$B$229=L$3,SUMIF('TL14'!$C$238:$C$451,$C225,'TL14'!$J$238:$J$451),0),
IF('TL15'!$B$3=L$3,SUMIF('TL15'!$C$10:$C$224,$C225,'TL15'!$J$10:$J$224),0),
IF('TL15'!$B$229=L$3,SUMIF('TL15'!$C$238:$C$451,$C225,'TL15'!$J$238:$J$451),0),
IF('TL16'!$B$3=L$3,SUMIF('TL16'!$C$10:$C$224,$C225,'TL16'!$J$10:$J$224),0),
IF('TL16'!$B$229=L$3,SUMIF('TL16'!$C$238:$C$451,$C225,'TL16'!$J$238:$J$451),0),
IF('TL17'!$B$3=L$3,SUMIF('TL17'!$C$10:$C$224,$C225,'TL17'!$J$10:$J$224),0),
IF('TL17'!$B$229=L$3,SUMIF('TL17'!$C$238:$C$451,$C225,'TL17'!$J$238:$J$451),0),
IF('TL18'!$B$3=L$3,SUMIF('TL18'!$C$10:$C$224,$C225,'TL18'!$J$10:$J$224),0),
IF('TL18'!$B$229=L$3,SUMIF('TL18'!$C$238:$C$451,$C225,'TL18'!$J$238:$J$451),0),
IF('TL19'!$B$3=L$3,SUMIF('TL19'!$C$10:$C$224,$C225,'TL19'!$J$10:$J$224),0),
IF('TL19'!$B$229=L$3,SUMIF('TL19'!$C$238:$C$451,$C225,'TL19'!$J$238:$J$451),0)
),0)</f>
        <v/>
      </c>
      <c r="M225" s="9">
        <f>IFERROR(SUM(
IF('TL01'!$B$3=M$3,SUMIF('TL01'!$C$10:$C$224,$C225,'TL01'!$J$10:$J$224),0),
IF('TL01'!$B$229=M$3,SUMIF('TL01'!$C$238:$C$451,$C225,'TL01'!$J$238:$J$451),0),
IF('TL02'!$B$3=M$3,SUMIF('TL02'!$C$10:$C$224,$C225,'TL02'!$J$10:$J$224),0),
IF('TL02'!$B$229=M$3,SUMIF('TL02'!$C$238:$C$451,$C225,'TL02'!$J$238:$J$451),0),
IF('TL03'!$B$3=M$3,SUMIF('TL03'!$C$10:$C$224,$C225,'TL03'!$J$10:$J$224),0),
IF('TL03'!$B$229=M$3,SUMIF('TL03'!$C$238:$C$451,$C225,'TL03'!$J$238:$J$451),0),
IF('TL04'!$B$3=M$3,SUMIF('TL04'!$C$10:$C$224,$C225,'TL04'!$J$10:$J$224),0),
IF('TL04'!$B$229=M$3,SUMIF('TL04'!$C$238:$C$451,$C225,'TL04'!$J$238:$J$451),0),
IF('TL05'!$B$3=M$3,SUMIF('TL05'!$C$10:$C$224,$C225,'TL05'!$J$10:$J$224),0),
IF('TL05'!$B$229=M$3,SUMIF('TL05'!$C$238:$C$451,$C225,'TL05'!$J$238:$J$451),0),
IF('TL06'!$B$3=M$3,SUMIF('TL06'!$C$10:$C$224,$C225,'TL06'!$J$10:$J$224),0),
IF('TL06'!$B$229=M$3,SUMIF('TL06'!$C$238:$C$451,$C225,'TL06'!$J$238:$J$451),0),
IF('TL07'!$B$3=M$3,SUMIF('TL07'!$C$10:$C$224,$C225,'TL07'!$J$10:$J$224),0),
IF('TL07'!$B$229=M$3,SUMIF('TL07'!$C$238:$C$451,$C225,'TL07'!$J$238:$J$451),0),
IF('TL08'!$B$3=M$3,SUMIF('TL08'!$C$10:$C$224,$C225,'TL08'!$J$10:$J$224),0),
IF('TL08'!$B$229=M$3,SUMIF('TL08'!$C$238:$C$451,$C225,'TL08'!$J$238:$J$451),0),
IF('TL09'!$B$3=M$3,SUMIF('TL09'!$C$10:$C$224,$C225,'TL09'!$J$10:$J$224),0),
IF('TL09'!$B$229=M$3,SUMIF('TL09'!$C$238:$C$451,$C225,'TL09'!$J$238:$J$451),0),
IF('TL10'!$B$3=M$3,SUMIF('TL10'!$C$10:$C$224,$C225,'TL10'!$J$10:$J$224),0),
IF('TL10'!$B$229=M$3,SUMIF('TL10'!$C$238:$C$451,$C225,'TL10'!$J$238:$J$451),0),
IF('TL11'!$B$3=M$3,SUMIF('TL11'!$C$10:$C$224,$C225,'TL11'!$J$10:$J$224),0),
IF('TL11'!$B$229=M$3,SUMIF('TL11'!$C$238:$C$451,$C225,'TL11'!$J$238:$J$451),0),
IF('TL12'!$B$3=M$3,SUMIF('TL12'!$C$10:$C$224,$C225,'TL12'!$J$10:$J$224),0),
IF('TL12'!$B$229=M$3,SUMIF('TL12'!$C$238:$C$451,$C225,'TL12'!$J$238:$J$451),0),
IF('TL13'!$B$3=M$3,SUMIF('TL13'!$C$10:$C$224,$C225,'TL13'!$J$10:$J$224),0),
IF('TL13'!$B$229=M$3,SUMIF('TL13'!$C$238:$C$451,$C225,'TL13'!$J$238:$J$451),0),
IF('TL14'!$B$3=M$3,SUMIF('TL14'!$C$10:$C$224,$C225,'TL14'!$J$10:$J$224),0),
IF('TL14'!$B$229=M$3,SUMIF('TL14'!$C$238:$C$451,$C225,'TL14'!$J$238:$J$451),0),
IF('TL15'!$B$3=M$3,SUMIF('TL15'!$C$10:$C$224,$C225,'TL15'!$J$10:$J$224),0),
IF('TL15'!$B$229=M$3,SUMIF('TL15'!$C$238:$C$451,$C225,'TL15'!$J$238:$J$451),0),
IF('TL16'!$B$3=M$3,SUMIF('TL16'!$C$10:$C$224,$C225,'TL16'!$J$10:$J$224),0),
IF('TL16'!$B$229=M$3,SUMIF('TL16'!$C$238:$C$451,$C225,'TL16'!$J$238:$J$451),0),
IF('TL17'!$B$3=M$3,SUMIF('TL17'!$C$10:$C$224,$C225,'TL17'!$J$10:$J$224),0),
IF('TL17'!$B$229=M$3,SUMIF('TL17'!$C$238:$C$451,$C225,'TL17'!$J$238:$J$451),0),
IF('TL18'!$B$3=M$3,SUMIF('TL18'!$C$10:$C$224,$C225,'TL18'!$J$10:$J$224),0),
IF('TL18'!$B$229=M$3,SUMIF('TL18'!$C$238:$C$451,$C225,'TL18'!$J$238:$J$451),0),
IF('TL19'!$B$3=M$3,SUMIF('TL19'!$C$10:$C$224,$C225,'TL19'!$J$10:$J$224),0),
IF('TL19'!$B$229=M$3,SUMIF('TL19'!$C$238:$C$451,$C225,'TL19'!$J$238:$J$451),0)
),0)</f>
        <v/>
      </c>
      <c r="N225" s="9">
        <f>IFERROR(SUM(
IF('TL01'!$B$3=N$3,SUMIF('TL01'!$C$10:$C$224,$C225,'TL01'!$J$10:$J$224),0),
IF('TL01'!$B$229=N$3,SUMIF('TL01'!$C$238:$C$451,$C225,'TL01'!$J$238:$J$451),0),
IF('TL02'!$B$3=N$3,SUMIF('TL02'!$C$10:$C$224,$C225,'TL02'!$J$10:$J$224),0),
IF('TL02'!$B$229=N$3,SUMIF('TL02'!$C$238:$C$451,$C225,'TL02'!$J$238:$J$451),0),
IF('TL03'!$B$3=N$3,SUMIF('TL03'!$C$10:$C$224,$C225,'TL03'!$J$10:$J$224),0),
IF('TL03'!$B$229=N$3,SUMIF('TL03'!$C$238:$C$451,$C225,'TL03'!$J$238:$J$451),0),
IF('TL04'!$B$3=N$3,SUMIF('TL04'!$C$10:$C$224,$C225,'TL04'!$J$10:$J$224),0),
IF('TL04'!$B$229=N$3,SUMIF('TL04'!$C$238:$C$451,$C225,'TL04'!$J$238:$J$451),0),
IF('TL05'!$B$3=N$3,SUMIF('TL05'!$C$10:$C$224,$C225,'TL05'!$J$10:$J$224),0),
IF('TL05'!$B$229=N$3,SUMIF('TL05'!$C$238:$C$451,$C225,'TL05'!$J$238:$J$451),0),
IF('TL06'!$B$3=N$3,SUMIF('TL06'!$C$10:$C$224,$C225,'TL06'!$J$10:$J$224),0),
IF('TL06'!$B$229=N$3,SUMIF('TL06'!$C$238:$C$451,$C225,'TL06'!$J$238:$J$451),0),
IF('TL07'!$B$3=N$3,SUMIF('TL07'!$C$10:$C$224,$C225,'TL07'!$J$10:$J$224),0),
IF('TL07'!$B$229=N$3,SUMIF('TL07'!$C$238:$C$451,$C225,'TL07'!$J$238:$J$451),0),
IF('TL08'!$B$3=N$3,SUMIF('TL08'!$C$10:$C$224,$C225,'TL08'!$J$10:$J$224),0),
IF('TL08'!$B$229=N$3,SUMIF('TL08'!$C$238:$C$451,$C225,'TL08'!$J$238:$J$451),0),
IF('TL09'!$B$3=N$3,SUMIF('TL09'!$C$10:$C$224,$C225,'TL09'!$J$10:$J$224),0),
IF('TL09'!$B$229=N$3,SUMIF('TL09'!$C$238:$C$451,$C225,'TL09'!$J$238:$J$451),0),
IF('TL10'!$B$3=N$3,SUMIF('TL10'!$C$10:$C$224,$C225,'TL10'!$J$10:$J$224),0),
IF('TL10'!$B$229=N$3,SUMIF('TL10'!$C$238:$C$451,$C225,'TL10'!$J$238:$J$451),0),
IF('TL11'!$B$3=N$3,SUMIF('TL11'!$C$10:$C$224,$C225,'TL11'!$J$10:$J$224),0),
IF('TL11'!$B$229=N$3,SUMIF('TL11'!$C$238:$C$451,$C225,'TL11'!$J$238:$J$451),0),
IF('TL12'!$B$3=N$3,SUMIF('TL12'!$C$10:$C$224,$C225,'TL12'!$J$10:$J$224),0),
IF('TL12'!$B$229=N$3,SUMIF('TL12'!$C$238:$C$451,$C225,'TL12'!$J$238:$J$451),0),
IF('TL13'!$B$3=N$3,SUMIF('TL13'!$C$10:$C$224,$C225,'TL13'!$J$10:$J$224),0),
IF('TL13'!$B$229=N$3,SUMIF('TL13'!$C$238:$C$451,$C225,'TL13'!$J$238:$J$451),0),
IF('TL14'!$B$3=N$3,SUMIF('TL14'!$C$10:$C$224,$C225,'TL14'!$J$10:$J$224),0),
IF('TL14'!$B$229=N$3,SUMIF('TL14'!$C$238:$C$451,$C225,'TL14'!$J$238:$J$451),0),
IF('TL15'!$B$3=N$3,SUMIF('TL15'!$C$10:$C$224,$C225,'TL15'!$J$10:$J$224),0),
IF('TL15'!$B$229=N$3,SUMIF('TL15'!$C$238:$C$451,$C225,'TL15'!$J$238:$J$451),0),
IF('TL16'!$B$3=N$3,SUMIF('TL16'!$C$10:$C$224,$C225,'TL16'!$J$10:$J$224),0),
IF('TL16'!$B$229=N$3,SUMIF('TL16'!$C$238:$C$451,$C225,'TL16'!$J$238:$J$451),0),
IF('TL17'!$B$3=N$3,SUMIF('TL17'!$C$10:$C$224,$C225,'TL17'!$J$10:$J$224),0),
IF('TL17'!$B$229=N$3,SUMIF('TL17'!$C$238:$C$451,$C225,'TL17'!$J$238:$J$451),0),
IF('TL18'!$B$3=N$3,SUMIF('TL18'!$C$10:$C$224,$C225,'TL18'!$J$10:$J$224),0),
IF('TL18'!$B$229=N$3,SUMIF('TL18'!$C$238:$C$451,$C225,'TL18'!$J$238:$J$451),0),
IF('TL19'!$B$3=N$3,SUMIF('TL19'!$C$10:$C$224,$C225,'TL19'!$J$10:$J$224),0),
IF('TL19'!$B$229=N$3,SUMIF('TL19'!$C$238:$C$451,$C225,'TL19'!$J$238:$J$451),0)
),0)</f>
        <v/>
      </c>
      <c r="O225" s="9">
        <f>IFERROR(SUM(
IF('TL01'!$B$3=O$3,SUMIF('TL01'!$C$10:$C$224,$C225,'TL01'!$J$10:$J$224),0),
IF('TL01'!$B$229=O$3,SUMIF('TL01'!$C$238:$C$451,$C225,'TL01'!$J$238:$J$451),0),
IF('TL02'!$B$3=O$3,SUMIF('TL02'!$C$10:$C$224,$C225,'TL02'!$J$10:$J$224),0),
IF('TL02'!$B$229=O$3,SUMIF('TL02'!$C$238:$C$451,$C225,'TL02'!$J$238:$J$451),0),
IF('TL03'!$B$3=O$3,SUMIF('TL03'!$C$10:$C$224,$C225,'TL03'!$J$10:$J$224),0),
IF('TL03'!$B$229=O$3,SUMIF('TL03'!$C$238:$C$451,$C225,'TL03'!$J$238:$J$451),0),
IF('TL04'!$B$3=O$3,SUMIF('TL04'!$C$10:$C$224,$C225,'TL04'!$J$10:$J$224),0),
IF('TL04'!$B$229=O$3,SUMIF('TL04'!$C$238:$C$451,$C225,'TL04'!$J$238:$J$451),0),
IF('TL05'!$B$3=O$3,SUMIF('TL05'!$C$10:$C$224,$C225,'TL05'!$J$10:$J$224),0),
IF('TL05'!$B$229=O$3,SUMIF('TL05'!$C$238:$C$451,$C225,'TL05'!$J$238:$J$451),0),
IF('TL06'!$B$3=O$3,SUMIF('TL06'!$C$10:$C$224,$C225,'TL06'!$J$10:$J$224),0),
IF('TL06'!$B$229=O$3,SUMIF('TL06'!$C$238:$C$451,$C225,'TL06'!$J$238:$J$451),0),
IF('TL07'!$B$3=O$3,SUMIF('TL07'!$C$10:$C$224,$C225,'TL07'!$J$10:$J$224),0),
IF('TL07'!$B$229=O$3,SUMIF('TL07'!$C$238:$C$451,$C225,'TL07'!$J$238:$J$451),0),
IF('TL08'!$B$3=O$3,SUMIF('TL08'!$C$10:$C$224,$C225,'TL08'!$J$10:$J$224),0),
IF('TL08'!$B$229=O$3,SUMIF('TL08'!$C$238:$C$451,$C225,'TL08'!$J$238:$J$451),0),
IF('TL09'!$B$3=O$3,SUMIF('TL09'!$C$10:$C$224,$C225,'TL09'!$J$10:$J$224),0),
IF('TL09'!$B$229=O$3,SUMIF('TL09'!$C$238:$C$451,$C225,'TL09'!$J$238:$J$451),0),
IF('TL10'!$B$3=O$3,SUMIF('TL10'!$C$10:$C$224,$C225,'TL10'!$J$10:$J$224),0),
IF('TL10'!$B$229=O$3,SUMIF('TL10'!$C$238:$C$451,$C225,'TL10'!$J$238:$J$451),0),
IF('TL11'!$B$3=O$3,SUMIF('TL11'!$C$10:$C$224,$C225,'TL11'!$J$10:$J$224),0),
IF('TL11'!$B$229=O$3,SUMIF('TL11'!$C$238:$C$451,$C225,'TL11'!$J$238:$J$451),0),
IF('TL12'!$B$3=O$3,SUMIF('TL12'!$C$10:$C$224,$C225,'TL12'!$J$10:$J$224),0),
IF('TL12'!$B$229=O$3,SUMIF('TL12'!$C$238:$C$451,$C225,'TL12'!$J$238:$J$451),0),
IF('TL13'!$B$3=O$3,SUMIF('TL13'!$C$10:$C$224,$C225,'TL13'!$J$10:$J$224),0),
IF('TL13'!$B$229=O$3,SUMIF('TL13'!$C$238:$C$451,$C225,'TL13'!$J$238:$J$451),0),
IF('TL14'!$B$3=O$3,SUMIF('TL14'!$C$10:$C$224,$C225,'TL14'!$J$10:$J$224),0),
IF('TL14'!$B$229=O$3,SUMIF('TL14'!$C$238:$C$451,$C225,'TL14'!$J$238:$J$451),0),
IF('TL15'!$B$3=O$3,SUMIF('TL15'!$C$10:$C$224,$C225,'TL15'!$J$10:$J$224),0),
IF('TL15'!$B$229=O$3,SUMIF('TL15'!$C$238:$C$451,$C225,'TL15'!$J$238:$J$451),0),
IF('TL16'!$B$3=O$3,SUMIF('TL16'!$C$10:$C$224,$C225,'TL16'!$J$10:$J$224),0),
IF('TL16'!$B$229=O$3,SUMIF('TL16'!$C$238:$C$451,$C225,'TL16'!$J$238:$J$451),0),
IF('TL17'!$B$3=O$3,SUMIF('TL17'!$C$10:$C$224,$C225,'TL17'!$J$10:$J$224),0),
IF('TL17'!$B$229=O$3,SUMIF('TL17'!$C$238:$C$451,$C225,'TL17'!$J$238:$J$451),0),
IF('TL18'!$B$3=O$3,SUMIF('TL18'!$C$10:$C$224,$C225,'TL18'!$J$10:$J$224),0),
IF('TL18'!$B$229=O$3,SUMIF('TL18'!$C$238:$C$451,$C225,'TL18'!$J$238:$J$451),0),
IF('TL19'!$B$3=O$3,SUMIF('TL19'!$C$10:$C$224,$C225,'TL19'!$J$10:$J$224),0),
IF('TL19'!$B$229=O$3,SUMIF('TL19'!$C$238:$C$451,$C225,'TL19'!$J$238:$J$451),0)
),0)</f>
        <v/>
      </c>
      <c r="P225" s="9">
        <f>IFERROR(SUM(
IF('TL01'!$B$3=P$3,SUMIF('TL01'!$C$10:$C$224,$C225,'TL01'!$J$10:$J$224),0),
IF('TL01'!$B$229=P$3,SUMIF('TL01'!$C$238:$C$451,$C225,'TL01'!$J$238:$J$451),0),
IF('TL02'!$B$3=P$3,SUMIF('TL02'!$C$10:$C$224,$C225,'TL02'!$J$10:$J$224),0),
IF('TL02'!$B$229=P$3,SUMIF('TL02'!$C$238:$C$451,$C225,'TL02'!$J$238:$J$451),0),
IF('TL03'!$B$3=P$3,SUMIF('TL03'!$C$10:$C$224,$C225,'TL03'!$J$10:$J$224),0),
IF('TL03'!$B$229=P$3,SUMIF('TL03'!$C$238:$C$451,$C225,'TL03'!$J$238:$J$451),0),
IF('TL04'!$B$3=P$3,SUMIF('TL04'!$C$10:$C$224,$C225,'TL04'!$J$10:$J$224),0),
IF('TL04'!$B$229=P$3,SUMIF('TL04'!$C$238:$C$451,$C225,'TL04'!$J$238:$J$451),0),
IF('TL05'!$B$3=P$3,SUMIF('TL05'!$C$10:$C$224,$C225,'TL05'!$J$10:$J$224),0),
IF('TL05'!$B$229=P$3,SUMIF('TL05'!$C$238:$C$451,$C225,'TL05'!$J$238:$J$451),0),
IF('TL06'!$B$3=P$3,SUMIF('TL06'!$C$10:$C$224,$C225,'TL06'!$J$10:$J$224),0),
IF('TL06'!$B$229=P$3,SUMIF('TL06'!$C$238:$C$451,$C225,'TL06'!$J$238:$J$451),0),
IF('TL07'!$B$3=P$3,SUMIF('TL07'!$C$10:$C$224,$C225,'TL07'!$J$10:$J$224),0),
IF('TL07'!$B$229=P$3,SUMIF('TL07'!$C$238:$C$451,$C225,'TL07'!$J$238:$J$451),0),
IF('TL08'!$B$3=P$3,SUMIF('TL08'!$C$10:$C$224,$C225,'TL08'!$J$10:$J$224),0),
IF('TL08'!$B$229=P$3,SUMIF('TL08'!$C$238:$C$451,$C225,'TL08'!$J$238:$J$451),0),
IF('TL09'!$B$3=P$3,SUMIF('TL09'!$C$10:$C$224,$C225,'TL09'!$J$10:$J$224),0),
IF('TL09'!$B$229=P$3,SUMIF('TL09'!$C$238:$C$451,$C225,'TL09'!$J$238:$J$451),0),
IF('TL10'!$B$3=P$3,SUMIF('TL10'!$C$10:$C$224,$C225,'TL10'!$J$10:$J$224),0),
IF('TL10'!$B$229=P$3,SUMIF('TL10'!$C$238:$C$451,$C225,'TL10'!$J$238:$J$451),0),
IF('TL11'!$B$3=P$3,SUMIF('TL11'!$C$10:$C$224,$C225,'TL11'!$J$10:$J$224),0),
IF('TL11'!$B$229=P$3,SUMIF('TL11'!$C$238:$C$451,$C225,'TL11'!$J$238:$J$451),0),
IF('TL12'!$B$3=P$3,SUMIF('TL12'!$C$10:$C$224,$C225,'TL12'!$J$10:$J$224),0),
IF('TL12'!$B$229=P$3,SUMIF('TL12'!$C$238:$C$451,$C225,'TL12'!$J$238:$J$451),0),
IF('TL13'!$B$3=P$3,SUMIF('TL13'!$C$10:$C$224,$C225,'TL13'!$J$10:$J$224),0),
IF('TL13'!$B$229=P$3,SUMIF('TL13'!$C$238:$C$451,$C225,'TL13'!$J$238:$J$451),0),
IF('TL14'!$B$3=P$3,SUMIF('TL14'!$C$10:$C$224,$C225,'TL14'!$J$10:$J$224),0),
IF('TL14'!$B$229=P$3,SUMIF('TL14'!$C$238:$C$451,$C225,'TL14'!$J$238:$J$451),0),
IF('TL15'!$B$3=P$3,SUMIF('TL15'!$C$10:$C$224,$C225,'TL15'!$J$10:$J$224),0),
IF('TL15'!$B$229=P$3,SUMIF('TL15'!$C$238:$C$451,$C225,'TL15'!$J$238:$J$451),0),
IF('TL16'!$B$3=P$3,SUMIF('TL16'!$C$10:$C$224,$C225,'TL16'!$J$10:$J$224),0),
IF('TL16'!$B$229=P$3,SUMIF('TL16'!$C$238:$C$451,$C225,'TL16'!$J$238:$J$451),0),
IF('TL17'!$B$3=P$3,SUMIF('TL17'!$C$10:$C$224,$C225,'TL17'!$J$10:$J$224),0),
IF('TL17'!$B$229=P$3,SUMIF('TL17'!$C$238:$C$451,$C225,'TL17'!$J$238:$J$451),0),
IF('TL18'!$B$3=P$3,SUMIF('TL18'!$C$10:$C$224,$C225,'TL18'!$J$10:$J$224),0),
IF('TL18'!$B$229=P$3,SUMIF('TL18'!$C$238:$C$451,$C225,'TL18'!$J$238:$J$451),0),
IF('TL19'!$B$3=P$3,SUMIF('TL19'!$C$10:$C$224,$C225,'TL19'!$J$10:$J$224),0),
IF('TL19'!$B$229=P$3,SUMIF('TL19'!$C$238:$C$451,$C225,'TL19'!$J$238:$J$451),0)
),0)</f>
        <v/>
      </c>
      <c r="Q225" s="9">
        <f>IFERROR(SUM(
IF('TL01'!$B$3=Q$3,SUMIF('TL01'!$C$10:$C$224,$C225,'TL01'!$J$10:$J$224),0),
IF('TL01'!$B$229=Q$3,SUMIF('TL01'!$C$238:$C$451,$C225,'TL01'!$J$238:$J$451),0),
IF('TL02'!$B$3=Q$3,SUMIF('TL02'!$C$10:$C$224,$C225,'TL02'!$J$10:$J$224),0),
IF('TL02'!$B$229=Q$3,SUMIF('TL02'!$C$238:$C$451,$C225,'TL02'!$J$238:$J$451),0),
IF('TL03'!$B$3=Q$3,SUMIF('TL03'!$C$10:$C$224,$C225,'TL03'!$J$10:$J$224),0),
IF('TL03'!$B$229=Q$3,SUMIF('TL03'!$C$238:$C$451,$C225,'TL03'!$J$238:$J$451),0),
IF('TL04'!$B$3=Q$3,SUMIF('TL04'!$C$10:$C$224,$C225,'TL04'!$J$10:$J$224),0),
IF('TL04'!$B$229=Q$3,SUMIF('TL04'!$C$238:$C$451,$C225,'TL04'!$J$238:$J$451),0),
IF('TL05'!$B$3=Q$3,SUMIF('TL05'!$C$10:$C$224,$C225,'TL05'!$J$10:$J$224),0),
IF('TL05'!$B$229=Q$3,SUMIF('TL05'!$C$238:$C$451,$C225,'TL05'!$J$238:$J$451),0),
IF('TL06'!$B$3=Q$3,SUMIF('TL06'!$C$10:$C$224,$C225,'TL06'!$J$10:$J$224),0),
IF('TL06'!$B$229=Q$3,SUMIF('TL06'!$C$238:$C$451,$C225,'TL06'!$J$238:$J$451),0),
IF('TL07'!$B$3=Q$3,SUMIF('TL07'!$C$10:$C$224,$C225,'TL07'!$J$10:$J$224),0),
IF('TL07'!$B$229=Q$3,SUMIF('TL07'!$C$238:$C$451,$C225,'TL07'!$J$238:$J$451),0),
IF('TL08'!$B$3=Q$3,SUMIF('TL08'!$C$10:$C$224,$C225,'TL08'!$J$10:$J$224),0),
IF('TL08'!$B$229=Q$3,SUMIF('TL08'!$C$238:$C$451,$C225,'TL08'!$J$238:$J$451),0),
IF('TL09'!$B$3=Q$3,SUMIF('TL09'!$C$10:$C$224,$C225,'TL09'!$J$10:$J$224),0),
IF('TL09'!$B$229=Q$3,SUMIF('TL09'!$C$238:$C$451,$C225,'TL09'!$J$238:$J$451),0),
IF('TL10'!$B$3=Q$3,SUMIF('TL10'!$C$10:$C$224,$C225,'TL10'!$J$10:$J$224),0),
IF('TL10'!$B$229=Q$3,SUMIF('TL10'!$C$238:$C$451,$C225,'TL10'!$J$238:$J$451),0),
IF('TL11'!$B$3=Q$3,SUMIF('TL11'!$C$10:$C$224,$C225,'TL11'!$J$10:$J$224),0),
IF('TL11'!$B$229=Q$3,SUMIF('TL11'!$C$238:$C$451,$C225,'TL11'!$J$238:$J$451),0),
IF('TL12'!$B$3=Q$3,SUMIF('TL12'!$C$10:$C$224,$C225,'TL12'!$J$10:$J$224),0),
IF('TL12'!$B$229=Q$3,SUMIF('TL12'!$C$238:$C$451,$C225,'TL12'!$J$238:$J$451),0),
IF('TL13'!$B$3=Q$3,SUMIF('TL13'!$C$10:$C$224,$C225,'TL13'!$J$10:$J$224),0),
IF('TL13'!$B$229=Q$3,SUMIF('TL13'!$C$238:$C$451,$C225,'TL13'!$J$238:$J$451),0),
IF('TL14'!$B$3=Q$3,SUMIF('TL14'!$C$10:$C$224,$C225,'TL14'!$J$10:$J$224),0),
IF('TL14'!$B$229=Q$3,SUMIF('TL14'!$C$238:$C$451,$C225,'TL14'!$J$238:$J$451),0),
IF('TL15'!$B$3=Q$3,SUMIF('TL15'!$C$10:$C$224,$C225,'TL15'!$J$10:$J$224),0),
IF('TL15'!$B$229=Q$3,SUMIF('TL15'!$C$238:$C$451,$C225,'TL15'!$J$238:$J$451),0),
IF('TL16'!$B$3=Q$3,SUMIF('TL16'!$C$10:$C$224,$C225,'TL16'!$J$10:$J$224),0),
IF('TL16'!$B$229=Q$3,SUMIF('TL16'!$C$238:$C$451,$C225,'TL16'!$J$238:$J$451),0),
IF('TL17'!$B$3=Q$3,SUMIF('TL17'!$C$10:$C$224,$C225,'TL17'!$J$10:$J$224),0),
IF('TL17'!$B$229=Q$3,SUMIF('TL17'!$C$238:$C$451,$C225,'TL17'!$J$238:$J$451),0),
IF('TL18'!$B$3=Q$3,SUMIF('TL18'!$C$10:$C$224,$C225,'TL18'!$J$10:$J$224),0),
IF('TL18'!$B$229=Q$3,SUMIF('TL18'!$C$238:$C$451,$C225,'TL18'!$J$238:$J$451),0),
IF('TL19'!$B$3=Q$3,SUMIF('TL19'!$C$10:$C$224,$C225,'TL19'!$J$10:$J$224),0),
IF('TL19'!$B$229=Q$3,SUMIF('TL19'!$C$238:$C$451,$C225,'TL19'!$J$238:$J$451),0)
),0)</f>
        <v/>
      </c>
      <c r="R225" s="9">
        <f>IFERROR(
SUM(
SUMIF('TL01'!C:C,C225,'TL01'!J:J),
SUMIF('TL02'!C:C,C225,'TL02'!J:J),
SUMIF('TL03'!C:C,C225,'TL03'!J:J),
SUMIF('TL04'!C:C,C225,'TL04'!J:J),
SUMIF('TL05'!C:C,C225,'TL05'!J:J),
SUMIF('TL06'!C:C,C225,'TL06'!J:J),
SUMIF('TL07'!C:C,C225,'TL07'!J:J),
SUMIF('TL08'!C:C,C225,'TL08'!J:J),
SUMIF('TL09'!C:C,C225,'TL09'!J:J),
SUMIF('TL10'!C:C,C225,'TL10'!J:J),
SUMIF('TL11'!C:C,C225,'TL11'!J:J),
SUMIF('TL12'!C:C,C225,'TL12'!J:J),
SUMIF('TL13'!C:C,C225,'TL13'!J:J),
SUMIF('TL14'!C:C,C225,'TL14'!J:J),
SUMIF('TL15'!C:C,C225,'TL15'!J:J),
SUMIF('TL16'!C:C,C225,'TL16'!J:J),
SUMIF('TL17'!C:C,C225,'TL17'!J:J),
SUMIF('TL18'!C:C,C225,'TL18'!J:J),SUMIF('TL19'!C:C,C225,'TL19'!J:J))
,0)</f>
        <v/>
      </c>
      <c r="S225" s="17">
        <f>IFERROR(__xludf.DUMMYFUNCTION("IFERROR(VLOOKUP(C225,
IMPORTRANGE(""1wULbzX32WdYsx-lj2U3uUNBBe2INVIRDtcK0d-Dvl90"",
""26-27!C:G""),
5,
FALSE),
"""")"),76.26104999999998)</f>
        <v/>
      </c>
      <c r="T225" s="9" t="n"/>
      <c r="U225" s="92">
        <f>MAX(0,R225-T225)</f>
        <v/>
      </c>
      <c r="V225" s="93">
        <f>U225*S225</f>
        <v/>
      </c>
    </row>
    <row r="226" hidden="1" ht="15.75" customHeight="1" s="297">
      <c r="A226" s="87" t="inlineStr">
        <is>
          <t>SUMITOMO</t>
        </is>
      </c>
      <c r="B226" s="88" t="inlineStr">
        <is>
          <t>INSETICIDA</t>
        </is>
      </c>
      <c r="C226" s="89" t="inlineStr">
        <is>
          <t>OPTERADUO</t>
        </is>
      </c>
      <c r="D226" s="89" t="inlineStr">
        <is>
          <t>CLORANTRANILIPROLE + CLORFENAPIR</t>
        </is>
      </c>
      <c r="E226" s="89" t="inlineStr">
        <is>
          <t>30 + 400</t>
        </is>
      </c>
      <c r="F226" s="4" t="inlineStr">
        <is>
          <t>L</t>
        </is>
      </c>
      <c r="G226" s="90">
        <f>HYPERLINK("https://www.google.com/search?q=" &amp; C226 &amp; "+bula+agrofit+pdf", "📄 Ver bula")</f>
        <v/>
      </c>
      <c r="H226" s="9">
        <f>IFERROR(__xludf.DUMMYFUNCTION("IFERROR(VLOOKUP(C226,
IMPORTRANGE(""1wULbzX32WdYsx-lj2U3uUNBBe2INVIRDtcK0d-Dvl90"",
""26-27!C:K""),
8,
FALSE),
"""")"),0.4)</f>
        <v/>
      </c>
      <c r="I226" s="91" t="inlineStr">
        <is>
          <t>1x20</t>
        </is>
      </c>
      <c r="J226" s="9">
        <f>IFERROR(SUM(
IF('TL01'!$B$3=J$3,SUMIF('TL01'!$C$10:$C$224,$C226,'TL01'!$J$10:$J$224),0),
IF('TL01'!$B$229=J$3,SUMIF('TL01'!$C$238:$C$451,$C226,'TL01'!$J$238:$J$451),0),
IF('TL02'!$B$3=J$3,SUMIF('TL02'!$C$10:$C$224,$C226,'TL02'!$J$10:$J$224),0),
IF('TL02'!$B$229=J$3,SUMIF('TL02'!$C$238:$C$451,$C226,'TL02'!$J$238:$J$451),0),
IF('TL03'!$B$3=J$3,SUMIF('TL03'!$C$10:$C$224,$C226,'TL03'!$J$10:$J$224),0),
IF('TL03'!$B$229=J$3,SUMIF('TL03'!$C$238:$C$451,$C226,'TL03'!$J$238:$J$451),0),
IF('TL04'!$B$3=J$3,SUMIF('TL04'!$C$10:$C$224,$C226,'TL04'!$J$10:$J$224),0),
IF('TL04'!$B$229=J$3,SUMIF('TL04'!$C$238:$C$451,$C226,'TL04'!$J$238:$J$451),0),
IF('TL05'!$B$3=J$3,SUMIF('TL05'!$C$10:$C$224,$C226,'TL05'!$J$10:$J$224),0),
IF('TL05'!$B$229=J$3,SUMIF('TL05'!$C$238:$C$451,$C226,'TL05'!$J$238:$J$451),0),
IF('TL06'!$B$3=J$3,SUMIF('TL06'!$C$10:$C$224,$C226,'TL06'!$J$10:$J$224),0),
IF('TL06'!$B$229=J$3,SUMIF('TL06'!$C$238:$C$451,$C226,'TL06'!$J$238:$J$451),0),
IF('TL07'!$B$3=J$3,SUMIF('TL07'!$C$10:$C$224,$C226,'TL07'!$J$10:$J$224),0),
IF('TL07'!$B$229=J$3,SUMIF('TL07'!$C$238:$C$451,$C226,'TL07'!$J$238:$J$451),0),
IF('TL08'!$B$3=J$3,SUMIF('TL08'!$C$10:$C$224,$C226,'TL08'!$J$10:$J$224),0),
IF('TL08'!$B$229=J$3,SUMIF('TL08'!$C$238:$C$451,$C226,'TL08'!$J$238:$J$451),0),
IF('TL09'!$B$3=J$3,SUMIF('TL09'!$C$10:$C$224,$C226,'TL09'!$J$10:$J$224),0),
IF('TL09'!$B$229=J$3,SUMIF('TL09'!$C$238:$C$451,$C226,'TL09'!$J$238:$J$451),0),
IF('TL10'!$B$3=J$3,SUMIF('TL10'!$C$10:$C$224,$C226,'TL10'!$J$10:$J$224),0),
IF('TL10'!$B$229=J$3,SUMIF('TL10'!$C$238:$C$451,$C226,'TL10'!$J$238:$J$451),0),
IF('TL11'!$B$3=J$3,SUMIF('TL11'!$C$10:$C$224,$C226,'TL11'!$J$10:$J$224),0),
IF('TL11'!$B$229=J$3,SUMIF('TL11'!$C$238:$C$451,$C226,'TL11'!$J$238:$J$451),0),
IF('TL12'!$B$3=J$3,SUMIF('TL12'!$C$10:$C$224,$C226,'TL12'!$J$10:$J$224),0),
IF('TL12'!$B$229=J$3,SUMIF('TL12'!$C$238:$C$451,$C226,'TL12'!$J$238:$J$451),0),
IF('TL13'!$B$3=J$3,SUMIF('TL13'!$C$10:$C$224,$C226,'TL13'!$J$10:$J$224),0),
IF('TL13'!$B$229=J$3,SUMIF('TL13'!$C$238:$C$451,$C226,'TL13'!$J$238:$J$451),0),
IF('TL14'!$B$3=J$3,SUMIF('TL14'!$C$10:$C$224,$C226,'TL14'!$J$10:$J$224),0),
IF('TL14'!$B$229=J$3,SUMIF('TL14'!$C$238:$C$451,$C226,'TL14'!$J$238:$J$451),0),
IF('TL15'!$B$3=J$3,SUMIF('TL15'!$C$10:$C$224,$C226,'TL15'!$J$10:$J$224),0),
IF('TL15'!$B$229=J$3,SUMIF('TL15'!$C$238:$C$451,$C226,'TL15'!$J$238:$J$451),0),
IF('TL16'!$B$3=J$3,SUMIF('TL16'!$C$10:$C$224,$C226,'TL16'!$J$10:$J$224),0),
IF('TL16'!$B$229=J$3,SUMIF('TL16'!$C$238:$C$451,$C226,'TL16'!$J$238:$J$451),0),
IF('TL17'!$B$3=J$3,SUMIF('TL17'!$C$10:$C$224,$C226,'TL17'!$J$10:$J$224),0),
IF('TL17'!$B$229=J$3,SUMIF('TL17'!$C$238:$C$451,$C226,'TL17'!$J$238:$J$451),0),
IF('TL18'!$B$3=J$3,SUMIF('TL18'!$C$10:$C$224,$C226,'TL18'!$J$10:$J$224),0),
IF('TL18'!$B$229=J$3,SUMIF('TL18'!$C$238:$C$451,$C226,'TL18'!$J$238:$J$451),0),
IF('TL19'!$B$3=J$3,SUMIF('TL19'!$C$10:$C$224,$C226,'TL19'!$J$10:$J$224),0),
IF('TL19'!$B$229=J$3,SUMIF('TL19'!$C$238:$C$451,$C226,'TL19'!$J$238:$J$451),0)
),0)</f>
        <v/>
      </c>
      <c r="K226" s="9">
        <f>IFERROR(SUM(
IF('TL01'!$B$3=K$3,SUMIF('TL01'!$C$10:$C$224,$C226,'TL01'!$J$10:$J$224),0),
IF('TL01'!$B$229=K$3,SUMIF('TL01'!$C$238:$C$451,$C226,'TL01'!$J$238:$J$451),0),
IF('TL02'!$B$3=K$3,SUMIF('TL02'!$C$10:$C$224,$C226,'TL02'!$J$10:$J$224),0),
IF('TL02'!$B$229=K$3,SUMIF('TL02'!$C$238:$C$451,$C226,'TL02'!$J$238:$J$451),0),
IF('TL03'!$B$3=K$3,SUMIF('TL03'!$C$10:$C$224,$C226,'TL03'!$J$10:$J$224),0),
IF('TL03'!$B$229=K$3,SUMIF('TL03'!$C$238:$C$451,$C226,'TL03'!$J$238:$J$451),0),
IF('TL04'!$B$3=K$3,SUMIF('TL04'!$C$10:$C$224,$C226,'TL04'!$J$10:$J$224),0),
IF('TL04'!$B$229=K$3,SUMIF('TL04'!$C$238:$C$451,$C226,'TL04'!$J$238:$J$451),0),
IF('TL05'!$B$3=K$3,SUMIF('TL05'!$C$10:$C$224,$C226,'TL05'!$J$10:$J$224),0),
IF('TL05'!$B$229=K$3,SUMIF('TL05'!$C$238:$C$451,$C226,'TL05'!$J$238:$J$451),0),
IF('TL06'!$B$3=K$3,SUMIF('TL06'!$C$10:$C$224,$C226,'TL06'!$J$10:$J$224),0),
IF('TL06'!$B$229=K$3,SUMIF('TL06'!$C$238:$C$451,$C226,'TL06'!$J$238:$J$451),0),
IF('TL07'!$B$3=K$3,SUMIF('TL07'!$C$10:$C$224,$C226,'TL07'!$J$10:$J$224),0),
IF('TL07'!$B$229=K$3,SUMIF('TL07'!$C$238:$C$451,$C226,'TL07'!$J$238:$J$451),0),
IF('TL08'!$B$3=K$3,SUMIF('TL08'!$C$10:$C$224,$C226,'TL08'!$J$10:$J$224),0),
IF('TL08'!$B$229=K$3,SUMIF('TL08'!$C$238:$C$451,$C226,'TL08'!$J$238:$J$451),0),
IF('TL09'!$B$3=K$3,SUMIF('TL09'!$C$10:$C$224,$C226,'TL09'!$J$10:$J$224),0),
IF('TL09'!$B$229=K$3,SUMIF('TL09'!$C$238:$C$451,$C226,'TL09'!$J$238:$J$451),0),
IF('TL10'!$B$3=K$3,SUMIF('TL10'!$C$10:$C$224,$C226,'TL10'!$J$10:$J$224),0),
IF('TL10'!$B$229=K$3,SUMIF('TL10'!$C$238:$C$451,$C226,'TL10'!$J$238:$J$451),0),
IF('TL11'!$B$3=K$3,SUMIF('TL11'!$C$10:$C$224,$C226,'TL11'!$J$10:$J$224),0),
IF('TL11'!$B$229=K$3,SUMIF('TL11'!$C$238:$C$451,$C226,'TL11'!$J$238:$J$451),0),
IF('TL12'!$B$3=K$3,SUMIF('TL12'!$C$10:$C$224,$C226,'TL12'!$J$10:$J$224),0),
IF('TL12'!$B$229=K$3,SUMIF('TL12'!$C$238:$C$451,$C226,'TL12'!$J$238:$J$451),0),
IF('TL13'!$B$3=K$3,SUMIF('TL13'!$C$10:$C$224,$C226,'TL13'!$J$10:$J$224),0),
IF('TL13'!$B$229=K$3,SUMIF('TL13'!$C$238:$C$451,$C226,'TL13'!$J$238:$J$451),0),
IF('TL14'!$B$3=K$3,SUMIF('TL14'!$C$10:$C$224,$C226,'TL14'!$J$10:$J$224),0),
IF('TL14'!$B$229=K$3,SUMIF('TL14'!$C$238:$C$451,$C226,'TL14'!$J$238:$J$451),0),
IF('TL15'!$B$3=K$3,SUMIF('TL15'!$C$10:$C$224,$C226,'TL15'!$J$10:$J$224),0),
IF('TL15'!$B$229=K$3,SUMIF('TL15'!$C$238:$C$451,$C226,'TL15'!$J$238:$J$451),0),
IF('TL16'!$B$3=K$3,SUMIF('TL16'!$C$10:$C$224,$C226,'TL16'!$J$10:$J$224),0),
IF('TL16'!$B$229=K$3,SUMIF('TL16'!$C$238:$C$451,$C226,'TL16'!$J$238:$J$451),0),
IF('TL17'!$B$3=K$3,SUMIF('TL17'!$C$10:$C$224,$C226,'TL17'!$J$10:$J$224),0),
IF('TL17'!$B$229=K$3,SUMIF('TL17'!$C$238:$C$451,$C226,'TL17'!$J$238:$J$451),0),
IF('TL18'!$B$3=K$3,SUMIF('TL18'!$C$10:$C$224,$C226,'TL18'!$J$10:$J$224),0),
IF('TL18'!$B$229=K$3,SUMIF('TL18'!$C$238:$C$451,$C226,'TL18'!$J$238:$J$451),0),
IF('TL19'!$B$3=K$3,SUMIF('TL19'!$C$10:$C$224,$C226,'TL19'!$J$10:$J$224),0),
IF('TL19'!$B$229=K$3,SUMIF('TL19'!$C$238:$C$451,$C226,'TL19'!$J$238:$J$451),0)
),0)</f>
        <v/>
      </c>
      <c r="L226" s="9">
        <f>IFERROR(SUM(
IF('TL01'!$B$3=L$3,SUMIF('TL01'!$C$10:$C$224,$C226,'TL01'!$J$10:$J$224),0),
IF('TL01'!$B$229=L$3,SUMIF('TL01'!$C$238:$C$451,$C226,'TL01'!$J$238:$J$451),0),
IF('TL02'!$B$3=L$3,SUMIF('TL02'!$C$10:$C$224,$C226,'TL02'!$J$10:$J$224),0),
IF('TL02'!$B$229=L$3,SUMIF('TL02'!$C$238:$C$451,$C226,'TL02'!$J$238:$J$451),0),
IF('TL03'!$B$3=L$3,SUMIF('TL03'!$C$10:$C$224,$C226,'TL03'!$J$10:$J$224),0),
IF('TL03'!$B$229=L$3,SUMIF('TL03'!$C$238:$C$451,$C226,'TL03'!$J$238:$J$451),0),
IF('TL04'!$B$3=L$3,SUMIF('TL04'!$C$10:$C$224,$C226,'TL04'!$J$10:$J$224),0),
IF('TL04'!$B$229=L$3,SUMIF('TL04'!$C$238:$C$451,$C226,'TL04'!$J$238:$J$451),0),
IF('TL05'!$B$3=L$3,SUMIF('TL05'!$C$10:$C$224,$C226,'TL05'!$J$10:$J$224),0),
IF('TL05'!$B$229=L$3,SUMIF('TL05'!$C$238:$C$451,$C226,'TL05'!$J$238:$J$451),0),
IF('TL06'!$B$3=L$3,SUMIF('TL06'!$C$10:$C$224,$C226,'TL06'!$J$10:$J$224),0),
IF('TL06'!$B$229=L$3,SUMIF('TL06'!$C$238:$C$451,$C226,'TL06'!$J$238:$J$451),0),
IF('TL07'!$B$3=L$3,SUMIF('TL07'!$C$10:$C$224,$C226,'TL07'!$J$10:$J$224),0),
IF('TL07'!$B$229=L$3,SUMIF('TL07'!$C$238:$C$451,$C226,'TL07'!$J$238:$J$451),0),
IF('TL08'!$B$3=L$3,SUMIF('TL08'!$C$10:$C$224,$C226,'TL08'!$J$10:$J$224),0),
IF('TL08'!$B$229=L$3,SUMIF('TL08'!$C$238:$C$451,$C226,'TL08'!$J$238:$J$451),0),
IF('TL09'!$B$3=L$3,SUMIF('TL09'!$C$10:$C$224,$C226,'TL09'!$J$10:$J$224),0),
IF('TL09'!$B$229=L$3,SUMIF('TL09'!$C$238:$C$451,$C226,'TL09'!$J$238:$J$451),0),
IF('TL10'!$B$3=L$3,SUMIF('TL10'!$C$10:$C$224,$C226,'TL10'!$J$10:$J$224),0),
IF('TL10'!$B$229=L$3,SUMIF('TL10'!$C$238:$C$451,$C226,'TL10'!$J$238:$J$451),0),
IF('TL11'!$B$3=L$3,SUMIF('TL11'!$C$10:$C$224,$C226,'TL11'!$J$10:$J$224),0),
IF('TL11'!$B$229=L$3,SUMIF('TL11'!$C$238:$C$451,$C226,'TL11'!$J$238:$J$451),0),
IF('TL12'!$B$3=L$3,SUMIF('TL12'!$C$10:$C$224,$C226,'TL12'!$J$10:$J$224),0),
IF('TL12'!$B$229=L$3,SUMIF('TL12'!$C$238:$C$451,$C226,'TL12'!$J$238:$J$451),0),
IF('TL13'!$B$3=L$3,SUMIF('TL13'!$C$10:$C$224,$C226,'TL13'!$J$10:$J$224),0),
IF('TL13'!$B$229=L$3,SUMIF('TL13'!$C$238:$C$451,$C226,'TL13'!$J$238:$J$451),0),
IF('TL14'!$B$3=L$3,SUMIF('TL14'!$C$10:$C$224,$C226,'TL14'!$J$10:$J$224),0),
IF('TL14'!$B$229=L$3,SUMIF('TL14'!$C$238:$C$451,$C226,'TL14'!$J$238:$J$451),0),
IF('TL15'!$B$3=L$3,SUMIF('TL15'!$C$10:$C$224,$C226,'TL15'!$J$10:$J$224),0),
IF('TL15'!$B$229=L$3,SUMIF('TL15'!$C$238:$C$451,$C226,'TL15'!$J$238:$J$451),0),
IF('TL16'!$B$3=L$3,SUMIF('TL16'!$C$10:$C$224,$C226,'TL16'!$J$10:$J$224),0),
IF('TL16'!$B$229=L$3,SUMIF('TL16'!$C$238:$C$451,$C226,'TL16'!$J$238:$J$451),0),
IF('TL17'!$B$3=L$3,SUMIF('TL17'!$C$10:$C$224,$C226,'TL17'!$J$10:$J$224),0),
IF('TL17'!$B$229=L$3,SUMIF('TL17'!$C$238:$C$451,$C226,'TL17'!$J$238:$J$451),0),
IF('TL18'!$B$3=L$3,SUMIF('TL18'!$C$10:$C$224,$C226,'TL18'!$J$10:$J$224),0),
IF('TL18'!$B$229=L$3,SUMIF('TL18'!$C$238:$C$451,$C226,'TL18'!$J$238:$J$451),0),
IF('TL19'!$B$3=L$3,SUMIF('TL19'!$C$10:$C$224,$C226,'TL19'!$J$10:$J$224),0),
IF('TL19'!$B$229=L$3,SUMIF('TL19'!$C$238:$C$451,$C226,'TL19'!$J$238:$J$451),0)
),0)</f>
        <v/>
      </c>
      <c r="M226" s="9">
        <f>IFERROR(SUM(
IF('TL01'!$B$3=M$3,SUMIF('TL01'!$C$10:$C$224,$C226,'TL01'!$J$10:$J$224),0),
IF('TL01'!$B$229=M$3,SUMIF('TL01'!$C$238:$C$451,$C226,'TL01'!$J$238:$J$451),0),
IF('TL02'!$B$3=M$3,SUMIF('TL02'!$C$10:$C$224,$C226,'TL02'!$J$10:$J$224),0),
IF('TL02'!$B$229=M$3,SUMIF('TL02'!$C$238:$C$451,$C226,'TL02'!$J$238:$J$451),0),
IF('TL03'!$B$3=M$3,SUMIF('TL03'!$C$10:$C$224,$C226,'TL03'!$J$10:$J$224),0),
IF('TL03'!$B$229=M$3,SUMIF('TL03'!$C$238:$C$451,$C226,'TL03'!$J$238:$J$451),0),
IF('TL04'!$B$3=M$3,SUMIF('TL04'!$C$10:$C$224,$C226,'TL04'!$J$10:$J$224),0),
IF('TL04'!$B$229=M$3,SUMIF('TL04'!$C$238:$C$451,$C226,'TL04'!$J$238:$J$451),0),
IF('TL05'!$B$3=M$3,SUMIF('TL05'!$C$10:$C$224,$C226,'TL05'!$J$10:$J$224),0),
IF('TL05'!$B$229=M$3,SUMIF('TL05'!$C$238:$C$451,$C226,'TL05'!$J$238:$J$451),0),
IF('TL06'!$B$3=M$3,SUMIF('TL06'!$C$10:$C$224,$C226,'TL06'!$J$10:$J$224),0),
IF('TL06'!$B$229=M$3,SUMIF('TL06'!$C$238:$C$451,$C226,'TL06'!$J$238:$J$451),0),
IF('TL07'!$B$3=M$3,SUMIF('TL07'!$C$10:$C$224,$C226,'TL07'!$J$10:$J$224),0),
IF('TL07'!$B$229=M$3,SUMIF('TL07'!$C$238:$C$451,$C226,'TL07'!$J$238:$J$451),0),
IF('TL08'!$B$3=M$3,SUMIF('TL08'!$C$10:$C$224,$C226,'TL08'!$J$10:$J$224),0),
IF('TL08'!$B$229=M$3,SUMIF('TL08'!$C$238:$C$451,$C226,'TL08'!$J$238:$J$451),0),
IF('TL09'!$B$3=M$3,SUMIF('TL09'!$C$10:$C$224,$C226,'TL09'!$J$10:$J$224),0),
IF('TL09'!$B$229=M$3,SUMIF('TL09'!$C$238:$C$451,$C226,'TL09'!$J$238:$J$451),0),
IF('TL10'!$B$3=M$3,SUMIF('TL10'!$C$10:$C$224,$C226,'TL10'!$J$10:$J$224),0),
IF('TL10'!$B$229=M$3,SUMIF('TL10'!$C$238:$C$451,$C226,'TL10'!$J$238:$J$451),0),
IF('TL11'!$B$3=M$3,SUMIF('TL11'!$C$10:$C$224,$C226,'TL11'!$J$10:$J$224),0),
IF('TL11'!$B$229=M$3,SUMIF('TL11'!$C$238:$C$451,$C226,'TL11'!$J$238:$J$451),0),
IF('TL12'!$B$3=M$3,SUMIF('TL12'!$C$10:$C$224,$C226,'TL12'!$J$10:$J$224),0),
IF('TL12'!$B$229=M$3,SUMIF('TL12'!$C$238:$C$451,$C226,'TL12'!$J$238:$J$451),0),
IF('TL13'!$B$3=M$3,SUMIF('TL13'!$C$10:$C$224,$C226,'TL13'!$J$10:$J$224),0),
IF('TL13'!$B$229=M$3,SUMIF('TL13'!$C$238:$C$451,$C226,'TL13'!$J$238:$J$451),0),
IF('TL14'!$B$3=M$3,SUMIF('TL14'!$C$10:$C$224,$C226,'TL14'!$J$10:$J$224),0),
IF('TL14'!$B$229=M$3,SUMIF('TL14'!$C$238:$C$451,$C226,'TL14'!$J$238:$J$451),0),
IF('TL15'!$B$3=M$3,SUMIF('TL15'!$C$10:$C$224,$C226,'TL15'!$J$10:$J$224),0),
IF('TL15'!$B$229=M$3,SUMIF('TL15'!$C$238:$C$451,$C226,'TL15'!$J$238:$J$451),0),
IF('TL16'!$B$3=M$3,SUMIF('TL16'!$C$10:$C$224,$C226,'TL16'!$J$10:$J$224),0),
IF('TL16'!$B$229=M$3,SUMIF('TL16'!$C$238:$C$451,$C226,'TL16'!$J$238:$J$451),0),
IF('TL17'!$B$3=M$3,SUMIF('TL17'!$C$10:$C$224,$C226,'TL17'!$J$10:$J$224),0),
IF('TL17'!$B$229=M$3,SUMIF('TL17'!$C$238:$C$451,$C226,'TL17'!$J$238:$J$451),0),
IF('TL18'!$B$3=M$3,SUMIF('TL18'!$C$10:$C$224,$C226,'TL18'!$J$10:$J$224),0),
IF('TL18'!$B$229=M$3,SUMIF('TL18'!$C$238:$C$451,$C226,'TL18'!$J$238:$J$451),0),
IF('TL19'!$B$3=M$3,SUMIF('TL19'!$C$10:$C$224,$C226,'TL19'!$J$10:$J$224),0),
IF('TL19'!$B$229=M$3,SUMIF('TL19'!$C$238:$C$451,$C226,'TL19'!$J$238:$J$451),0)
),0)</f>
        <v/>
      </c>
      <c r="N226" s="9">
        <f>IFERROR(SUM(
IF('TL01'!$B$3=N$3,SUMIF('TL01'!$C$10:$C$224,$C226,'TL01'!$J$10:$J$224),0),
IF('TL01'!$B$229=N$3,SUMIF('TL01'!$C$238:$C$451,$C226,'TL01'!$J$238:$J$451),0),
IF('TL02'!$B$3=N$3,SUMIF('TL02'!$C$10:$C$224,$C226,'TL02'!$J$10:$J$224),0),
IF('TL02'!$B$229=N$3,SUMIF('TL02'!$C$238:$C$451,$C226,'TL02'!$J$238:$J$451),0),
IF('TL03'!$B$3=N$3,SUMIF('TL03'!$C$10:$C$224,$C226,'TL03'!$J$10:$J$224),0),
IF('TL03'!$B$229=N$3,SUMIF('TL03'!$C$238:$C$451,$C226,'TL03'!$J$238:$J$451),0),
IF('TL04'!$B$3=N$3,SUMIF('TL04'!$C$10:$C$224,$C226,'TL04'!$J$10:$J$224),0),
IF('TL04'!$B$229=N$3,SUMIF('TL04'!$C$238:$C$451,$C226,'TL04'!$J$238:$J$451),0),
IF('TL05'!$B$3=N$3,SUMIF('TL05'!$C$10:$C$224,$C226,'TL05'!$J$10:$J$224),0),
IF('TL05'!$B$229=N$3,SUMIF('TL05'!$C$238:$C$451,$C226,'TL05'!$J$238:$J$451),0),
IF('TL06'!$B$3=N$3,SUMIF('TL06'!$C$10:$C$224,$C226,'TL06'!$J$10:$J$224),0),
IF('TL06'!$B$229=N$3,SUMIF('TL06'!$C$238:$C$451,$C226,'TL06'!$J$238:$J$451),0),
IF('TL07'!$B$3=N$3,SUMIF('TL07'!$C$10:$C$224,$C226,'TL07'!$J$10:$J$224),0),
IF('TL07'!$B$229=N$3,SUMIF('TL07'!$C$238:$C$451,$C226,'TL07'!$J$238:$J$451),0),
IF('TL08'!$B$3=N$3,SUMIF('TL08'!$C$10:$C$224,$C226,'TL08'!$J$10:$J$224),0),
IF('TL08'!$B$229=N$3,SUMIF('TL08'!$C$238:$C$451,$C226,'TL08'!$J$238:$J$451),0),
IF('TL09'!$B$3=N$3,SUMIF('TL09'!$C$10:$C$224,$C226,'TL09'!$J$10:$J$224),0),
IF('TL09'!$B$229=N$3,SUMIF('TL09'!$C$238:$C$451,$C226,'TL09'!$J$238:$J$451),0),
IF('TL10'!$B$3=N$3,SUMIF('TL10'!$C$10:$C$224,$C226,'TL10'!$J$10:$J$224),0),
IF('TL10'!$B$229=N$3,SUMIF('TL10'!$C$238:$C$451,$C226,'TL10'!$J$238:$J$451),0),
IF('TL11'!$B$3=N$3,SUMIF('TL11'!$C$10:$C$224,$C226,'TL11'!$J$10:$J$224),0),
IF('TL11'!$B$229=N$3,SUMIF('TL11'!$C$238:$C$451,$C226,'TL11'!$J$238:$J$451),0),
IF('TL12'!$B$3=N$3,SUMIF('TL12'!$C$10:$C$224,$C226,'TL12'!$J$10:$J$224),0),
IF('TL12'!$B$229=N$3,SUMIF('TL12'!$C$238:$C$451,$C226,'TL12'!$J$238:$J$451),0),
IF('TL13'!$B$3=N$3,SUMIF('TL13'!$C$10:$C$224,$C226,'TL13'!$J$10:$J$224),0),
IF('TL13'!$B$229=N$3,SUMIF('TL13'!$C$238:$C$451,$C226,'TL13'!$J$238:$J$451),0),
IF('TL14'!$B$3=N$3,SUMIF('TL14'!$C$10:$C$224,$C226,'TL14'!$J$10:$J$224),0),
IF('TL14'!$B$229=N$3,SUMIF('TL14'!$C$238:$C$451,$C226,'TL14'!$J$238:$J$451),0),
IF('TL15'!$B$3=N$3,SUMIF('TL15'!$C$10:$C$224,$C226,'TL15'!$J$10:$J$224),0),
IF('TL15'!$B$229=N$3,SUMIF('TL15'!$C$238:$C$451,$C226,'TL15'!$J$238:$J$451),0),
IF('TL16'!$B$3=N$3,SUMIF('TL16'!$C$10:$C$224,$C226,'TL16'!$J$10:$J$224),0),
IF('TL16'!$B$229=N$3,SUMIF('TL16'!$C$238:$C$451,$C226,'TL16'!$J$238:$J$451),0),
IF('TL17'!$B$3=N$3,SUMIF('TL17'!$C$10:$C$224,$C226,'TL17'!$J$10:$J$224),0),
IF('TL17'!$B$229=N$3,SUMIF('TL17'!$C$238:$C$451,$C226,'TL17'!$J$238:$J$451),0),
IF('TL18'!$B$3=N$3,SUMIF('TL18'!$C$10:$C$224,$C226,'TL18'!$J$10:$J$224),0),
IF('TL18'!$B$229=N$3,SUMIF('TL18'!$C$238:$C$451,$C226,'TL18'!$J$238:$J$451),0),
IF('TL19'!$B$3=N$3,SUMIF('TL19'!$C$10:$C$224,$C226,'TL19'!$J$10:$J$224),0),
IF('TL19'!$B$229=N$3,SUMIF('TL19'!$C$238:$C$451,$C226,'TL19'!$J$238:$J$451),0)
),0)</f>
        <v/>
      </c>
      <c r="O226" s="9">
        <f>IFERROR(SUM(
IF('TL01'!$B$3=O$3,SUMIF('TL01'!$C$10:$C$224,$C226,'TL01'!$J$10:$J$224),0),
IF('TL01'!$B$229=O$3,SUMIF('TL01'!$C$238:$C$451,$C226,'TL01'!$J$238:$J$451),0),
IF('TL02'!$B$3=O$3,SUMIF('TL02'!$C$10:$C$224,$C226,'TL02'!$J$10:$J$224),0),
IF('TL02'!$B$229=O$3,SUMIF('TL02'!$C$238:$C$451,$C226,'TL02'!$J$238:$J$451),0),
IF('TL03'!$B$3=O$3,SUMIF('TL03'!$C$10:$C$224,$C226,'TL03'!$J$10:$J$224),0),
IF('TL03'!$B$229=O$3,SUMIF('TL03'!$C$238:$C$451,$C226,'TL03'!$J$238:$J$451),0),
IF('TL04'!$B$3=O$3,SUMIF('TL04'!$C$10:$C$224,$C226,'TL04'!$J$10:$J$224),0),
IF('TL04'!$B$229=O$3,SUMIF('TL04'!$C$238:$C$451,$C226,'TL04'!$J$238:$J$451),0),
IF('TL05'!$B$3=O$3,SUMIF('TL05'!$C$10:$C$224,$C226,'TL05'!$J$10:$J$224),0),
IF('TL05'!$B$229=O$3,SUMIF('TL05'!$C$238:$C$451,$C226,'TL05'!$J$238:$J$451),0),
IF('TL06'!$B$3=O$3,SUMIF('TL06'!$C$10:$C$224,$C226,'TL06'!$J$10:$J$224),0),
IF('TL06'!$B$229=O$3,SUMIF('TL06'!$C$238:$C$451,$C226,'TL06'!$J$238:$J$451),0),
IF('TL07'!$B$3=O$3,SUMIF('TL07'!$C$10:$C$224,$C226,'TL07'!$J$10:$J$224),0),
IF('TL07'!$B$229=O$3,SUMIF('TL07'!$C$238:$C$451,$C226,'TL07'!$J$238:$J$451),0),
IF('TL08'!$B$3=O$3,SUMIF('TL08'!$C$10:$C$224,$C226,'TL08'!$J$10:$J$224),0),
IF('TL08'!$B$229=O$3,SUMIF('TL08'!$C$238:$C$451,$C226,'TL08'!$J$238:$J$451),0),
IF('TL09'!$B$3=O$3,SUMIF('TL09'!$C$10:$C$224,$C226,'TL09'!$J$10:$J$224),0),
IF('TL09'!$B$229=O$3,SUMIF('TL09'!$C$238:$C$451,$C226,'TL09'!$J$238:$J$451),0),
IF('TL10'!$B$3=O$3,SUMIF('TL10'!$C$10:$C$224,$C226,'TL10'!$J$10:$J$224),0),
IF('TL10'!$B$229=O$3,SUMIF('TL10'!$C$238:$C$451,$C226,'TL10'!$J$238:$J$451),0),
IF('TL11'!$B$3=O$3,SUMIF('TL11'!$C$10:$C$224,$C226,'TL11'!$J$10:$J$224),0),
IF('TL11'!$B$229=O$3,SUMIF('TL11'!$C$238:$C$451,$C226,'TL11'!$J$238:$J$451),0),
IF('TL12'!$B$3=O$3,SUMIF('TL12'!$C$10:$C$224,$C226,'TL12'!$J$10:$J$224),0),
IF('TL12'!$B$229=O$3,SUMIF('TL12'!$C$238:$C$451,$C226,'TL12'!$J$238:$J$451),0),
IF('TL13'!$B$3=O$3,SUMIF('TL13'!$C$10:$C$224,$C226,'TL13'!$J$10:$J$224),0),
IF('TL13'!$B$229=O$3,SUMIF('TL13'!$C$238:$C$451,$C226,'TL13'!$J$238:$J$451),0),
IF('TL14'!$B$3=O$3,SUMIF('TL14'!$C$10:$C$224,$C226,'TL14'!$J$10:$J$224),0),
IF('TL14'!$B$229=O$3,SUMIF('TL14'!$C$238:$C$451,$C226,'TL14'!$J$238:$J$451),0),
IF('TL15'!$B$3=O$3,SUMIF('TL15'!$C$10:$C$224,$C226,'TL15'!$J$10:$J$224),0),
IF('TL15'!$B$229=O$3,SUMIF('TL15'!$C$238:$C$451,$C226,'TL15'!$J$238:$J$451),0),
IF('TL16'!$B$3=O$3,SUMIF('TL16'!$C$10:$C$224,$C226,'TL16'!$J$10:$J$224),0),
IF('TL16'!$B$229=O$3,SUMIF('TL16'!$C$238:$C$451,$C226,'TL16'!$J$238:$J$451),0),
IF('TL17'!$B$3=O$3,SUMIF('TL17'!$C$10:$C$224,$C226,'TL17'!$J$10:$J$224),0),
IF('TL17'!$B$229=O$3,SUMIF('TL17'!$C$238:$C$451,$C226,'TL17'!$J$238:$J$451),0),
IF('TL18'!$B$3=O$3,SUMIF('TL18'!$C$10:$C$224,$C226,'TL18'!$J$10:$J$224),0),
IF('TL18'!$B$229=O$3,SUMIF('TL18'!$C$238:$C$451,$C226,'TL18'!$J$238:$J$451),0),
IF('TL19'!$B$3=O$3,SUMIF('TL19'!$C$10:$C$224,$C226,'TL19'!$J$10:$J$224),0),
IF('TL19'!$B$229=O$3,SUMIF('TL19'!$C$238:$C$451,$C226,'TL19'!$J$238:$J$451),0)
),0)</f>
        <v/>
      </c>
      <c r="P226" s="9">
        <f>IFERROR(SUM(
IF('TL01'!$B$3=P$3,SUMIF('TL01'!$C$10:$C$224,$C226,'TL01'!$J$10:$J$224),0),
IF('TL01'!$B$229=P$3,SUMIF('TL01'!$C$238:$C$451,$C226,'TL01'!$J$238:$J$451),0),
IF('TL02'!$B$3=P$3,SUMIF('TL02'!$C$10:$C$224,$C226,'TL02'!$J$10:$J$224),0),
IF('TL02'!$B$229=P$3,SUMIF('TL02'!$C$238:$C$451,$C226,'TL02'!$J$238:$J$451),0),
IF('TL03'!$B$3=P$3,SUMIF('TL03'!$C$10:$C$224,$C226,'TL03'!$J$10:$J$224),0),
IF('TL03'!$B$229=P$3,SUMIF('TL03'!$C$238:$C$451,$C226,'TL03'!$J$238:$J$451),0),
IF('TL04'!$B$3=P$3,SUMIF('TL04'!$C$10:$C$224,$C226,'TL04'!$J$10:$J$224),0),
IF('TL04'!$B$229=P$3,SUMIF('TL04'!$C$238:$C$451,$C226,'TL04'!$J$238:$J$451),0),
IF('TL05'!$B$3=P$3,SUMIF('TL05'!$C$10:$C$224,$C226,'TL05'!$J$10:$J$224),0),
IF('TL05'!$B$229=P$3,SUMIF('TL05'!$C$238:$C$451,$C226,'TL05'!$J$238:$J$451),0),
IF('TL06'!$B$3=P$3,SUMIF('TL06'!$C$10:$C$224,$C226,'TL06'!$J$10:$J$224),0),
IF('TL06'!$B$229=P$3,SUMIF('TL06'!$C$238:$C$451,$C226,'TL06'!$J$238:$J$451),0),
IF('TL07'!$B$3=P$3,SUMIF('TL07'!$C$10:$C$224,$C226,'TL07'!$J$10:$J$224),0),
IF('TL07'!$B$229=P$3,SUMIF('TL07'!$C$238:$C$451,$C226,'TL07'!$J$238:$J$451),0),
IF('TL08'!$B$3=P$3,SUMIF('TL08'!$C$10:$C$224,$C226,'TL08'!$J$10:$J$224),0),
IF('TL08'!$B$229=P$3,SUMIF('TL08'!$C$238:$C$451,$C226,'TL08'!$J$238:$J$451),0),
IF('TL09'!$B$3=P$3,SUMIF('TL09'!$C$10:$C$224,$C226,'TL09'!$J$10:$J$224),0),
IF('TL09'!$B$229=P$3,SUMIF('TL09'!$C$238:$C$451,$C226,'TL09'!$J$238:$J$451),0),
IF('TL10'!$B$3=P$3,SUMIF('TL10'!$C$10:$C$224,$C226,'TL10'!$J$10:$J$224),0),
IF('TL10'!$B$229=P$3,SUMIF('TL10'!$C$238:$C$451,$C226,'TL10'!$J$238:$J$451),0),
IF('TL11'!$B$3=P$3,SUMIF('TL11'!$C$10:$C$224,$C226,'TL11'!$J$10:$J$224),0),
IF('TL11'!$B$229=P$3,SUMIF('TL11'!$C$238:$C$451,$C226,'TL11'!$J$238:$J$451),0),
IF('TL12'!$B$3=P$3,SUMIF('TL12'!$C$10:$C$224,$C226,'TL12'!$J$10:$J$224),0),
IF('TL12'!$B$229=P$3,SUMIF('TL12'!$C$238:$C$451,$C226,'TL12'!$J$238:$J$451),0),
IF('TL13'!$B$3=P$3,SUMIF('TL13'!$C$10:$C$224,$C226,'TL13'!$J$10:$J$224),0),
IF('TL13'!$B$229=P$3,SUMIF('TL13'!$C$238:$C$451,$C226,'TL13'!$J$238:$J$451),0),
IF('TL14'!$B$3=P$3,SUMIF('TL14'!$C$10:$C$224,$C226,'TL14'!$J$10:$J$224),0),
IF('TL14'!$B$229=P$3,SUMIF('TL14'!$C$238:$C$451,$C226,'TL14'!$J$238:$J$451),0),
IF('TL15'!$B$3=P$3,SUMIF('TL15'!$C$10:$C$224,$C226,'TL15'!$J$10:$J$224),0),
IF('TL15'!$B$229=P$3,SUMIF('TL15'!$C$238:$C$451,$C226,'TL15'!$J$238:$J$451),0),
IF('TL16'!$B$3=P$3,SUMIF('TL16'!$C$10:$C$224,$C226,'TL16'!$J$10:$J$224),0),
IF('TL16'!$B$229=P$3,SUMIF('TL16'!$C$238:$C$451,$C226,'TL16'!$J$238:$J$451),0),
IF('TL17'!$B$3=P$3,SUMIF('TL17'!$C$10:$C$224,$C226,'TL17'!$J$10:$J$224),0),
IF('TL17'!$B$229=P$3,SUMIF('TL17'!$C$238:$C$451,$C226,'TL17'!$J$238:$J$451),0),
IF('TL18'!$B$3=P$3,SUMIF('TL18'!$C$10:$C$224,$C226,'TL18'!$J$10:$J$224),0),
IF('TL18'!$B$229=P$3,SUMIF('TL18'!$C$238:$C$451,$C226,'TL18'!$J$238:$J$451),0),
IF('TL19'!$B$3=P$3,SUMIF('TL19'!$C$10:$C$224,$C226,'TL19'!$J$10:$J$224),0),
IF('TL19'!$B$229=P$3,SUMIF('TL19'!$C$238:$C$451,$C226,'TL19'!$J$238:$J$451),0)
),0)</f>
        <v/>
      </c>
      <c r="Q226" s="9">
        <f>IFERROR(SUM(
IF('TL01'!$B$3=Q$3,SUMIF('TL01'!$C$10:$C$224,$C226,'TL01'!$J$10:$J$224),0),
IF('TL01'!$B$229=Q$3,SUMIF('TL01'!$C$238:$C$451,$C226,'TL01'!$J$238:$J$451),0),
IF('TL02'!$B$3=Q$3,SUMIF('TL02'!$C$10:$C$224,$C226,'TL02'!$J$10:$J$224),0),
IF('TL02'!$B$229=Q$3,SUMIF('TL02'!$C$238:$C$451,$C226,'TL02'!$J$238:$J$451),0),
IF('TL03'!$B$3=Q$3,SUMIF('TL03'!$C$10:$C$224,$C226,'TL03'!$J$10:$J$224),0),
IF('TL03'!$B$229=Q$3,SUMIF('TL03'!$C$238:$C$451,$C226,'TL03'!$J$238:$J$451),0),
IF('TL04'!$B$3=Q$3,SUMIF('TL04'!$C$10:$C$224,$C226,'TL04'!$J$10:$J$224),0),
IF('TL04'!$B$229=Q$3,SUMIF('TL04'!$C$238:$C$451,$C226,'TL04'!$J$238:$J$451),0),
IF('TL05'!$B$3=Q$3,SUMIF('TL05'!$C$10:$C$224,$C226,'TL05'!$J$10:$J$224),0),
IF('TL05'!$B$229=Q$3,SUMIF('TL05'!$C$238:$C$451,$C226,'TL05'!$J$238:$J$451),0),
IF('TL06'!$B$3=Q$3,SUMIF('TL06'!$C$10:$C$224,$C226,'TL06'!$J$10:$J$224),0),
IF('TL06'!$B$229=Q$3,SUMIF('TL06'!$C$238:$C$451,$C226,'TL06'!$J$238:$J$451),0),
IF('TL07'!$B$3=Q$3,SUMIF('TL07'!$C$10:$C$224,$C226,'TL07'!$J$10:$J$224),0),
IF('TL07'!$B$229=Q$3,SUMIF('TL07'!$C$238:$C$451,$C226,'TL07'!$J$238:$J$451),0),
IF('TL08'!$B$3=Q$3,SUMIF('TL08'!$C$10:$C$224,$C226,'TL08'!$J$10:$J$224),0),
IF('TL08'!$B$229=Q$3,SUMIF('TL08'!$C$238:$C$451,$C226,'TL08'!$J$238:$J$451),0),
IF('TL09'!$B$3=Q$3,SUMIF('TL09'!$C$10:$C$224,$C226,'TL09'!$J$10:$J$224),0),
IF('TL09'!$B$229=Q$3,SUMIF('TL09'!$C$238:$C$451,$C226,'TL09'!$J$238:$J$451),0),
IF('TL10'!$B$3=Q$3,SUMIF('TL10'!$C$10:$C$224,$C226,'TL10'!$J$10:$J$224),0),
IF('TL10'!$B$229=Q$3,SUMIF('TL10'!$C$238:$C$451,$C226,'TL10'!$J$238:$J$451),0),
IF('TL11'!$B$3=Q$3,SUMIF('TL11'!$C$10:$C$224,$C226,'TL11'!$J$10:$J$224),0),
IF('TL11'!$B$229=Q$3,SUMIF('TL11'!$C$238:$C$451,$C226,'TL11'!$J$238:$J$451),0),
IF('TL12'!$B$3=Q$3,SUMIF('TL12'!$C$10:$C$224,$C226,'TL12'!$J$10:$J$224),0),
IF('TL12'!$B$229=Q$3,SUMIF('TL12'!$C$238:$C$451,$C226,'TL12'!$J$238:$J$451),0),
IF('TL13'!$B$3=Q$3,SUMIF('TL13'!$C$10:$C$224,$C226,'TL13'!$J$10:$J$224),0),
IF('TL13'!$B$229=Q$3,SUMIF('TL13'!$C$238:$C$451,$C226,'TL13'!$J$238:$J$451),0),
IF('TL14'!$B$3=Q$3,SUMIF('TL14'!$C$10:$C$224,$C226,'TL14'!$J$10:$J$224),0),
IF('TL14'!$B$229=Q$3,SUMIF('TL14'!$C$238:$C$451,$C226,'TL14'!$J$238:$J$451),0),
IF('TL15'!$B$3=Q$3,SUMIF('TL15'!$C$10:$C$224,$C226,'TL15'!$J$10:$J$224),0),
IF('TL15'!$B$229=Q$3,SUMIF('TL15'!$C$238:$C$451,$C226,'TL15'!$J$238:$J$451),0),
IF('TL16'!$B$3=Q$3,SUMIF('TL16'!$C$10:$C$224,$C226,'TL16'!$J$10:$J$224),0),
IF('TL16'!$B$229=Q$3,SUMIF('TL16'!$C$238:$C$451,$C226,'TL16'!$J$238:$J$451),0),
IF('TL17'!$B$3=Q$3,SUMIF('TL17'!$C$10:$C$224,$C226,'TL17'!$J$10:$J$224),0),
IF('TL17'!$B$229=Q$3,SUMIF('TL17'!$C$238:$C$451,$C226,'TL17'!$J$238:$J$451),0),
IF('TL18'!$B$3=Q$3,SUMIF('TL18'!$C$10:$C$224,$C226,'TL18'!$J$10:$J$224),0),
IF('TL18'!$B$229=Q$3,SUMIF('TL18'!$C$238:$C$451,$C226,'TL18'!$J$238:$J$451),0),
IF('TL19'!$B$3=Q$3,SUMIF('TL19'!$C$10:$C$224,$C226,'TL19'!$J$10:$J$224),0),
IF('TL19'!$B$229=Q$3,SUMIF('TL19'!$C$238:$C$451,$C226,'TL19'!$J$238:$J$451),0)
),0)</f>
        <v/>
      </c>
      <c r="R226" s="9">
        <f>IFERROR(
SUM(
SUMIF('TL01'!C:C,C226,'TL01'!J:J),
SUMIF('TL02'!C:C,C226,'TL02'!J:J),
SUMIF('TL03'!C:C,C226,'TL03'!J:J),
SUMIF('TL04'!C:C,C226,'TL04'!J:J),
SUMIF('TL05'!C:C,C226,'TL05'!J:J),
SUMIF('TL06'!C:C,C226,'TL06'!J:J),
SUMIF('TL07'!C:C,C226,'TL07'!J:J),
SUMIF('TL08'!C:C,C226,'TL08'!J:J),
SUMIF('TL09'!C:C,C226,'TL09'!J:J),
SUMIF('TL10'!C:C,C226,'TL10'!J:J),
SUMIF('TL11'!C:C,C226,'TL11'!J:J),
SUMIF('TL12'!C:C,C226,'TL12'!J:J),
SUMIF('TL13'!C:C,C226,'TL13'!J:J),
SUMIF('TL14'!C:C,C226,'TL14'!J:J),
SUMIF('TL15'!C:C,C226,'TL15'!J:J),
SUMIF('TL16'!C:C,C226,'TL16'!J:J),
SUMIF('TL17'!C:C,C226,'TL17'!J:J),
SUMIF('TL18'!C:C,C226,'TL18'!J:J),SUMIF('TL19'!C:C,C226,'TL19'!J:J))
,0)</f>
        <v/>
      </c>
      <c r="S226" s="17">
        <f>IFERROR(__xludf.DUMMYFUNCTION("IFERROR(VLOOKUP(C226,
IMPORTRANGE(""1wULbzX32WdYsx-lj2U3uUNBBe2INVIRDtcK0d-Dvl90"",
""26-27!C:G""),
5,
FALSE),
"""")"),103.94511)</f>
        <v/>
      </c>
      <c r="T226" s="9" t="n"/>
      <c r="U226" s="92">
        <f>MAX(0,R226-T226)</f>
        <v/>
      </c>
      <c r="V226" s="93">
        <f>U226*S226</f>
        <v/>
      </c>
    </row>
    <row r="227" hidden="1" ht="15.75" customHeight="1" s="297">
      <c r="A227" s="94" t="inlineStr">
        <is>
          <t>SUMITOMO</t>
        </is>
      </c>
      <c r="B227" s="95" t="inlineStr">
        <is>
          <t>INSETICIDA</t>
        </is>
      </c>
      <c r="C227" s="96" t="inlineStr">
        <is>
          <t>SUMIRODY</t>
        </is>
      </c>
      <c r="D227" s="96" t="inlineStr">
        <is>
          <t>FENPROPATRINA</t>
        </is>
      </c>
      <c r="E227" s="96" t="n">
        <v>300</v>
      </c>
      <c r="F227" s="4" t="inlineStr">
        <is>
          <t>L</t>
        </is>
      </c>
      <c r="G227" s="90">
        <f>HYPERLINK("https://www.google.com/search?q=" &amp; C227 &amp; "+bula+agrofit+pdf", "📄 Ver bula")</f>
        <v/>
      </c>
      <c r="H227" s="9">
        <f>IFERROR(__xludf.DUMMYFUNCTION("IFERROR(VLOOKUP(C227,
IMPORTRANGE(""1wULbzX32WdYsx-lj2U3uUNBBe2INVIRDtcK0d-Dvl90"",
""26-27!C:K""),
8,
FALSE),
"""")"),0.15)</f>
        <v/>
      </c>
      <c r="I227" s="97" t="inlineStr">
        <is>
          <t>4X5</t>
        </is>
      </c>
      <c r="J227" s="9">
        <f>IFERROR(SUM(
IF('TL01'!$B$3=J$3,SUMIF('TL01'!$C$10:$C$224,$C227,'TL01'!$J$10:$J$224),0),
IF('TL01'!$B$229=J$3,SUMIF('TL01'!$C$238:$C$451,$C227,'TL01'!$J$238:$J$451),0),
IF('TL02'!$B$3=J$3,SUMIF('TL02'!$C$10:$C$224,$C227,'TL02'!$J$10:$J$224),0),
IF('TL02'!$B$229=J$3,SUMIF('TL02'!$C$238:$C$451,$C227,'TL02'!$J$238:$J$451),0),
IF('TL03'!$B$3=J$3,SUMIF('TL03'!$C$10:$C$224,$C227,'TL03'!$J$10:$J$224),0),
IF('TL03'!$B$229=J$3,SUMIF('TL03'!$C$238:$C$451,$C227,'TL03'!$J$238:$J$451),0),
IF('TL04'!$B$3=J$3,SUMIF('TL04'!$C$10:$C$224,$C227,'TL04'!$J$10:$J$224),0),
IF('TL04'!$B$229=J$3,SUMIF('TL04'!$C$238:$C$451,$C227,'TL04'!$J$238:$J$451),0),
IF('TL05'!$B$3=J$3,SUMIF('TL05'!$C$10:$C$224,$C227,'TL05'!$J$10:$J$224),0),
IF('TL05'!$B$229=J$3,SUMIF('TL05'!$C$238:$C$451,$C227,'TL05'!$J$238:$J$451),0),
IF('TL06'!$B$3=J$3,SUMIF('TL06'!$C$10:$C$224,$C227,'TL06'!$J$10:$J$224),0),
IF('TL06'!$B$229=J$3,SUMIF('TL06'!$C$238:$C$451,$C227,'TL06'!$J$238:$J$451),0),
IF('TL07'!$B$3=J$3,SUMIF('TL07'!$C$10:$C$224,$C227,'TL07'!$J$10:$J$224),0),
IF('TL07'!$B$229=J$3,SUMIF('TL07'!$C$238:$C$451,$C227,'TL07'!$J$238:$J$451),0),
IF('TL08'!$B$3=J$3,SUMIF('TL08'!$C$10:$C$224,$C227,'TL08'!$J$10:$J$224),0),
IF('TL08'!$B$229=J$3,SUMIF('TL08'!$C$238:$C$451,$C227,'TL08'!$J$238:$J$451),0),
IF('TL09'!$B$3=J$3,SUMIF('TL09'!$C$10:$C$224,$C227,'TL09'!$J$10:$J$224),0),
IF('TL09'!$B$229=J$3,SUMIF('TL09'!$C$238:$C$451,$C227,'TL09'!$J$238:$J$451),0),
IF('TL10'!$B$3=J$3,SUMIF('TL10'!$C$10:$C$224,$C227,'TL10'!$J$10:$J$224),0),
IF('TL10'!$B$229=J$3,SUMIF('TL10'!$C$238:$C$451,$C227,'TL10'!$J$238:$J$451),0),
IF('TL11'!$B$3=J$3,SUMIF('TL11'!$C$10:$C$224,$C227,'TL11'!$J$10:$J$224),0),
IF('TL11'!$B$229=J$3,SUMIF('TL11'!$C$238:$C$451,$C227,'TL11'!$J$238:$J$451),0),
IF('TL12'!$B$3=J$3,SUMIF('TL12'!$C$10:$C$224,$C227,'TL12'!$J$10:$J$224),0),
IF('TL12'!$B$229=J$3,SUMIF('TL12'!$C$238:$C$451,$C227,'TL12'!$J$238:$J$451),0),
IF('TL13'!$B$3=J$3,SUMIF('TL13'!$C$10:$C$224,$C227,'TL13'!$J$10:$J$224),0),
IF('TL13'!$B$229=J$3,SUMIF('TL13'!$C$238:$C$451,$C227,'TL13'!$J$238:$J$451),0),
IF('TL14'!$B$3=J$3,SUMIF('TL14'!$C$10:$C$224,$C227,'TL14'!$J$10:$J$224),0),
IF('TL14'!$B$229=J$3,SUMIF('TL14'!$C$238:$C$451,$C227,'TL14'!$J$238:$J$451),0),
IF('TL15'!$B$3=J$3,SUMIF('TL15'!$C$10:$C$224,$C227,'TL15'!$J$10:$J$224),0),
IF('TL15'!$B$229=J$3,SUMIF('TL15'!$C$238:$C$451,$C227,'TL15'!$J$238:$J$451),0),
IF('TL16'!$B$3=J$3,SUMIF('TL16'!$C$10:$C$224,$C227,'TL16'!$J$10:$J$224),0),
IF('TL16'!$B$229=J$3,SUMIF('TL16'!$C$238:$C$451,$C227,'TL16'!$J$238:$J$451),0),
IF('TL17'!$B$3=J$3,SUMIF('TL17'!$C$10:$C$224,$C227,'TL17'!$J$10:$J$224),0),
IF('TL17'!$B$229=J$3,SUMIF('TL17'!$C$238:$C$451,$C227,'TL17'!$J$238:$J$451),0),
IF('TL18'!$B$3=J$3,SUMIF('TL18'!$C$10:$C$224,$C227,'TL18'!$J$10:$J$224),0),
IF('TL18'!$B$229=J$3,SUMIF('TL18'!$C$238:$C$451,$C227,'TL18'!$J$238:$J$451),0),
IF('TL19'!$B$3=J$3,SUMIF('TL19'!$C$10:$C$224,$C227,'TL19'!$J$10:$J$224),0),
IF('TL19'!$B$229=J$3,SUMIF('TL19'!$C$238:$C$451,$C227,'TL19'!$J$238:$J$451),0)
),0)</f>
        <v/>
      </c>
      <c r="K227" s="9">
        <f>IFERROR(SUM(
IF('TL01'!$B$3=K$3,SUMIF('TL01'!$C$10:$C$224,$C227,'TL01'!$J$10:$J$224),0),
IF('TL01'!$B$229=K$3,SUMIF('TL01'!$C$238:$C$451,$C227,'TL01'!$J$238:$J$451),0),
IF('TL02'!$B$3=K$3,SUMIF('TL02'!$C$10:$C$224,$C227,'TL02'!$J$10:$J$224),0),
IF('TL02'!$B$229=K$3,SUMIF('TL02'!$C$238:$C$451,$C227,'TL02'!$J$238:$J$451),0),
IF('TL03'!$B$3=K$3,SUMIF('TL03'!$C$10:$C$224,$C227,'TL03'!$J$10:$J$224),0),
IF('TL03'!$B$229=K$3,SUMIF('TL03'!$C$238:$C$451,$C227,'TL03'!$J$238:$J$451),0),
IF('TL04'!$B$3=K$3,SUMIF('TL04'!$C$10:$C$224,$C227,'TL04'!$J$10:$J$224),0),
IF('TL04'!$B$229=K$3,SUMIF('TL04'!$C$238:$C$451,$C227,'TL04'!$J$238:$J$451),0),
IF('TL05'!$B$3=K$3,SUMIF('TL05'!$C$10:$C$224,$C227,'TL05'!$J$10:$J$224),0),
IF('TL05'!$B$229=K$3,SUMIF('TL05'!$C$238:$C$451,$C227,'TL05'!$J$238:$J$451),0),
IF('TL06'!$B$3=K$3,SUMIF('TL06'!$C$10:$C$224,$C227,'TL06'!$J$10:$J$224),0),
IF('TL06'!$B$229=K$3,SUMIF('TL06'!$C$238:$C$451,$C227,'TL06'!$J$238:$J$451),0),
IF('TL07'!$B$3=K$3,SUMIF('TL07'!$C$10:$C$224,$C227,'TL07'!$J$10:$J$224),0),
IF('TL07'!$B$229=K$3,SUMIF('TL07'!$C$238:$C$451,$C227,'TL07'!$J$238:$J$451),0),
IF('TL08'!$B$3=K$3,SUMIF('TL08'!$C$10:$C$224,$C227,'TL08'!$J$10:$J$224),0),
IF('TL08'!$B$229=K$3,SUMIF('TL08'!$C$238:$C$451,$C227,'TL08'!$J$238:$J$451),0),
IF('TL09'!$B$3=K$3,SUMIF('TL09'!$C$10:$C$224,$C227,'TL09'!$J$10:$J$224),0),
IF('TL09'!$B$229=K$3,SUMIF('TL09'!$C$238:$C$451,$C227,'TL09'!$J$238:$J$451),0),
IF('TL10'!$B$3=K$3,SUMIF('TL10'!$C$10:$C$224,$C227,'TL10'!$J$10:$J$224),0),
IF('TL10'!$B$229=K$3,SUMIF('TL10'!$C$238:$C$451,$C227,'TL10'!$J$238:$J$451),0),
IF('TL11'!$B$3=K$3,SUMIF('TL11'!$C$10:$C$224,$C227,'TL11'!$J$10:$J$224),0),
IF('TL11'!$B$229=K$3,SUMIF('TL11'!$C$238:$C$451,$C227,'TL11'!$J$238:$J$451),0),
IF('TL12'!$B$3=K$3,SUMIF('TL12'!$C$10:$C$224,$C227,'TL12'!$J$10:$J$224),0),
IF('TL12'!$B$229=K$3,SUMIF('TL12'!$C$238:$C$451,$C227,'TL12'!$J$238:$J$451),0),
IF('TL13'!$B$3=K$3,SUMIF('TL13'!$C$10:$C$224,$C227,'TL13'!$J$10:$J$224),0),
IF('TL13'!$B$229=K$3,SUMIF('TL13'!$C$238:$C$451,$C227,'TL13'!$J$238:$J$451),0),
IF('TL14'!$B$3=K$3,SUMIF('TL14'!$C$10:$C$224,$C227,'TL14'!$J$10:$J$224),0),
IF('TL14'!$B$229=K$3,SUMIF('TL14'!$C$238:$C$451,$C227,'TL14'!$J$238:$J$451),0),
IF('TL15'!$B$3=K$3,SUMIF('TL15'!$C$10:$C$224,$C227,'TL15'!$J$10:$J$224),0),
IF('TL15'!$B$229=K$3,SUMIF('TL15'!$C$238:$C$451,$C227,'TL15'!$J$238:$J$451),0),
IF('TL16'!$B$3=K$3,SUMIF('TL16'!$C$10:$C$224,$C227,'TL16'!$J$10:$J$224),0),
IF('TL16'!$B$229=K$3,SUMIF('TL16'!$C$238:$C$451,$C227,'TL16'!$J$238:$J$451),0),
IF('TL17'!$B$3=K$3,SUMIF('TL17'!$C$10:$C$224,$C227,'TL17'!$J$10:$J$224),0),
IF('TL17'!$B$229=K$3,SUMIF('TL17'!$C$238:$C$451,$C227,'TL17'!$J$238:$J$451),0),
IF('TL18'!$B$3=K$3,SUMIF('TL18'!$C$10:$C$224,$C227,'TL18'!$J$10:$J$224),0),
IF('TL18'!$B$229=K$3,SUMIF('TL18'!$C$238:$C$451,$C227,'TL18'!$J$238:$J$451),0),
IF('TL19'!$B$3=K$3,SUMIF('TL19'!$C$10:$C$224,$C227,'TL19'!$J$10:$J$224),0),
IF('TL19'!$B$229=K$3,SUMIF('TL19'!$C$238:$C$451,$C227,'TL19'!$J$238:$J$451),0)
),0)</f>
        <v/>
      </c>
      <c r="L227" s="9">
        <f>IFERROR(SUM(
IF('TL01'!$B$3=L$3,SUMIF('TL01'!$C$10:$C$224,$C227,'TL01'!$J$10:$J$224),0),
IF('TL01'!$B$229=L$3,SUMIF('TL01'!$C$238:$C$451,$C227,'TL01'!$J$238:$J$451),0),
IF('TL02'!$B$3=L$3,SUMIF('TL02'!$C$10:$C$224,$C227,'TL02'!$J$10:$J$224),0),
IF('TL02'!$B$229=L$3,SUMIF('TL02'!$C$238:$C$451,$C227,'TL02'!$J$238:$J$451),0),
IF('TL03'!$B$3=L$3,SUMIF('TL03'!$C$10:$C$224,$C227,'TL03'!$J$10:$J$224),0),
IF('TL03'!$B$229=L$3,SUMIF('TL03'!$C$238:$C$451,$C227,'TL03'!$J$238:$J$451),0),
IF('TL04'!$B$3=L$3,SUMIF('TL04'!$C$10:$C$224,$C227,'TL04'!$J$10:$J$224),0),
IF('TL04'!$B$229=L$3,SUMIF('TL04'!$C$238:$C$451,$C227,'TL04'!$J$238:$J$451),0),
IF('TL05'!$B$3=L$3,SUMIF('TL05'!$C$10:$C$224,$C227,'TL05'!$J$10:$J$224),0),
IF('TL05'!$B$229=L$3,SUMIF('TL05'!$C$238:$C$451,$C227,'TL05'!$J$238:$J$451),0),
IF('TL06'!$B$3=L$3,SUMIF('TL06'!$C$10:$C$224,$C227,'TL06'!$J$10:$J$224),0),
IF('TL06'!$B$229=L$3,SUMIF('TL06'!$C$238:$C$451,$C227,'TL06'!$J$238:$J$451),0),
IF('TL07'!$B$3=L$3,SUMIF('TL07'!$C$10:$C$224,$C227,'TL07'!$J$10:$J$224),0),
IF('TL07'!$B$229=L$3,SUMIF('TL07'!$C$238:$C$451,$C227,'TL07'!$J$238:$J$451),0),
IF('TL08'!$B$3=L$3,SUMIF('TL08'!$C$10:$C$224,$C227,'TL08'!$J$10:$J$224),0),
IF('TL08'!$B$229=L$3,SUMIF('TL08'!$C$238:$C$451,$C227,'TL08'!$J$238:$J$451),0),
IF('TL09'!$B$3=L$3,SUMIF('TL09'!$C$10:$C$224,$C227,'TL09'!$J$10:$J$224),0),
IF('TL09'!$B$229=L$3,SUMIF('TL09'!$C$238:$C$451,$C227,'TL09'!$J$238:$J$451),0),
IF('TL10'!$B$3=L$3,SUMIF('TL10'!$C$10:$C$224,$C227,'TL10'!$J$10:$J$224),0),
IF('TL10'!$B$229=L$3,SUMIF('TL10'!$C$238:$C$451,$C227,'TL10'!$J$238:$J$451),0),
IF('TL11'!$B$3=L$3,SUMIF('TL11'!$C$10:$C$224,$C227,'TL11'!$J$10:$J$224),0),
IF('TL11'!$B$229=L$3,SUMIF('TL11'!$C$238:$C$451,$C227,'TL11'!$J$238:$J$451),0),
IF('TL12'!$B$3=L$3,SUMIF('TL12'!$C$10:$C$224,$C227,'TL12'!$J$10:$J$224),0),
IF('TL12'!$B$229=L$3,SUMIF('TL12'!$C$238:$C$451,$C227,'TL12'!$J$238:$J$451),0),
IF('TL13'!$B$3=L$3,SUMIF('TL13'!$C$10:$C$224,$C227,'TL13'!$J$10:$J$224),0),
IF('TL13'!$B$229=L$3,SUMIF('TL13'!$C$238:$C$451,$C227,'TL13'!$J$238:$J$451),0),
IF('TL14'!$B$3=L$3,SUMIF('TL14'!$C$10:$C$224,$C227,'TL14'!$J$10:$J$224),0),
IF('TL14'!$B$229=L$3,SUMIF('TL14'!$C$238:$C$451,$C227,'TL14'!$J$238:$J$451),0),
IF('TL15'!$B$3=L$3,SUMIF('TL15'!$C$10:$C$224,$C227,'TL15'!$J$10:$J$224),0),
IF('TL15'!$B$229=L$3,SUMIF('TL15'!$C$238:$C$451,$C227,'TL15'!$J$238:$J$451),0),
IF('TL16'!$B$3=L$3,SUMIF('TL16'!$C$10:$C$224,$C227,'TL16'!$J$10:$J$224),0),
IF('TL16'!$B$229=L$3,SUMIF('TL16'!$C$238:$C$451,$C227,'TL16'!$J$238:$J$451),0),
IF('TL17'!$B$3=L$3,SUMIF('TL17'!$C$10:$C$224,$C227,'TL17'!$J$10:$J$224),0),
IF('TL17'!$B$229=L$3,SUMIF('TL17'!$C$238:$C$451,$C227,'TL17'!$J$238:$J$451),0),
IF('TL18'!$B$3=L$3,SUMIF('TL18'!$C$10:$C$224,$C227,'TL18'!$J$10:$J$224),0),
IF('TL18'!$B$229=L$3,SUMIF('TL18'!$C$238:$C$451,$C227,'TL18'!$J$238:$J$451),0),
IF('TL19'!$B$3=L$3,SUMIF('TL19'!$C$10:$C$224,$C227,'TL19'!$J$10:$J$224),0),
IF('TL19'!$B$229=L$3,SUMIF('TL19'!$C$238:$C$451,$C227,'TL19'!$J$238:$J$451),0)
),0)</f>
        <v/>
      </c>
      <c r="M227" s="9">
        <f>IFERROR(SUM(
IF('TL01'!$B$3=M$3,SUMIF('TL01'!$C$10:$C$224,$C227,'TL01'!$J$10:$J$224),0),
IF('TL01'!$B$229=M$3,SUMIF('TL01'!$C$238:$C$451,$C227,'TL01'!$J$238:$J$451),0),
IF('TL02'!$B$3=M$3,SUMIF('TL02'!$C$10:$C$224,$C227,'TL02'!$J$10:$J$224),0),
IF('TL02'!$B$229=M$3,SUMIF('TL02'!$C$238:$C$451,$C227,'TL02'!$J$238:$J$451),0),
IF('TL03'!$B$3=M$3,SUMIF('TL03'!$C$10:$C$224,$C227,'TL03'!$J$10:$J$224),0),
IF('TL03'!$B$229=M$3,SUMIF('TL03'!$C$238:$C$451,$C227,'TL03'!$J$238:$J$451),0),
IF('TL04'!$B$3=M$3,SUMIF('TL04'!$C$10:$C$224,$C227,'TL04'!$J$10:$J$224),0),
IF('TL04'!$B$229=M$3,SUMIF('TL04'!$C$238:$C$451,$C227,'TL04'!$J$238:$J$451),0),
IF('TL05'!$B$3=M$3,SUMIF('TL05'!$C$10:$C$224,$C227,'TL05'!$J$10:$J$224),0),
IF('TL05'!$B$229=M$3,SUMIF('TL05'!$C$238:$C$451,$C227,'TL05'!$J$238:$J$451),0),
IF('TL06'!$B$3=M$3,SUMIF('TL06'!$C$10:$C$224,$C227,'TL06'!$J$10:$J$224),0),
IF('TL06'!$B$229=M$3,SUMIF('TL06'!$C$238:$C$451,$C227,'TL06'!$J$238:$J$451),0),
IF('TL07'!$B$3=M$3,SUMIF('TL07'!$C$10:$C$224,$C227,'TL07'!$J$10:$J$224),0),
IF('TL07'!$B$229=M$3,SUMIF('TL07'!$C$238:$C$451,$C227,'TL07'!$J$238:$J$451),0),
IF('TL08'!$B$3=M$3,SUMIF('TL08'!$C$10:$C$224,$C227,'TL08'!$J$10:$J$224),0),
IF('TL08'!$B$229=M$3,SUMIF('TL08'!$C$238:$C$451,$C227,'TL08'!$J$238:$J$451),0),
IF('TL09'!$B$3=M$3,SUMIF('TL09'!$C$10:$C$224,$C227,'TL09'!$J$10:$J$224),0),
IF('TL09'!$B$229=M$3,SUMIF('TL09'!$C$238:$C$451,$C227,'TL09'!$J$238:$J$451),0),
IF('TL10'!$B$3=M$3,SUMIF('TL10'!$C$10:$C$224,$C227,'TL10'!$J$10:$J$224),0),
IF('TL10'!$B$229=M$3,SUMIF('TL10'!$C$238:$C$451,$C227,'TL10'!$J$238:$J$451),0),
IF('TL11'!$B$3=M$3,SUMIF('TL11'!$C$10:$C$224,$C227,'TL11'!$J$10:$J$224),0),
IF('TL11'!$B$229=M$3,SUMIF('TL11'!$C$238:$C$451,$C227,'TL11'!$J$238:$J$451),0),
IF('TL12'!$B$3=M$3,SUMIF('TL12'!$C$10:$C$224,$C227,'TL12'!$J$10:$J$224),0),
IF('TL12'!$B$229=M$3,SUMIF('TL12'!$C$238:$C$451,$C227,'TL12'!$J$238:$J$451),0),
IF('TL13'!$B$3=M$3,SUMIF('TL13'!$C$10:$C$224,$C227,'TL13'!$J$10:$J$224),0),
IF('TL13'!$B$229=M$3,SUMIF('TL13'!$C$238:$C$451,$C227,'TL13'!$J$238:$J$451),0),
IF('TL14'!$B$3=M$3,SUMIF('TL14'!$C$10:$C$224,$C227,'TL14'!$J$10:$J$224),0),
IF('TL14'!$B$229=M$3,SUMIF('TL14'!$C$238:$C$451,$C227,'TL14'!$J$238:$J$451),0),
IF('TL15'!$B$3=M$3,SUMIF('TL15'!$C$10:$C$224,$C227,'TL15'!$J$10:$J$224),0),
IF('TL15'!$B$229=M$3,SUMIF('TL15'!$C$238:$C$451,$C227,'TL15'!$J$238:$J$451),0),
IF('TL16'!$B$3=M$3,SUMIF('TL16'!$C$10:$C$224,$C227,'TL16'!$J$10:$J$224),0),
IF('TL16'!$B$229=M$3,SUMIF('TL16'!$C$238:$C$451,$C227,'TL16'!$J$238:$J$451),0),
IF('TL17'!$B$3=M$3,SUMIF('TL17'!$C$10:$C$224,$C227,'TL17'!$J$10:$J$224),0),
IF('TL17'!$B$229=M$3,SUMIF('TL17'!$C$238:$C$451,$C227,'TL17'!$J$238:$J$451),0),
IF('TL18'!$B$3=M$3,SUMIF('TL18'!$C$10:$C$224,$C227,'TL18'!$J$10:$J$224),0),
IF('TL18'!$B$229=M$3,SUMIF('TL18'!$C$238:$C$451,$C227,'TL18'!$J$238:$J$451),0),
IF('TL19'!$B$3=M$3,SUMIF('TL19'!$C$10:$C$224,$C227,'TL19'!$J$10:$J$224),0),
IF('TL19'!$B$229=M$3,SUMIF('TL19'!$C$238:$C$451,$C227,'TL19'!$J$238:$J$451),0)
),0)</f>
        <v/>
      </c>
      <c r="N227" s="9">
        <f>IFERROR(SUM(
IF('TL01'!$B$3=N$3,SUMIF('TL01'!$C$10:$C$224,$C227,'TL01'!$J$10:$J$224),0),
IF('TL01'!$B$229=N$3,SUMIF('TL01'!$C$238:$C$451,$C227,'TL01'!$J$238:$J$451),0),
IF('TL02'!$B$3=N$3,SUMIF('TL02'!$C$10:$C$224,$C227,'TL02'!$J$10:$J$224),0),
IF('TL02'!$B$229=N$3,SUMIF('TL02'!$C$238:$C$451,$C227,'TL02'!$J$238:$J$451),0),
IF('TL03'!$B$3=N$3,SUMIF('TL03'!$C$10:$C$224,$C227,'TL03'!$J$10:$J$224),0),
IF('TL03'!$B$229=N$3,SUMIF('TL03'!$C$238:$C$451,$C227,'TL03'!$J$238:$J$451),0),
IF('TL04'!$B$3=N$3,SUMIF('TL04'!$C$10:$C$224,$C227,'TL04'!$J$10:$J$224),0),
IF('TL04'!$B$229=N$3,SUMIF('TL04'!$C$238:$C$451,$C227,'TL04'!$J$238:$J$451),0),
IF('TL05'!$B$3=N$3,SUMIF('TL05'!$C$10:$C$224,$C227,'TL05'!$J$10:$J$224),0),
IF('TL05'!$B$229=N$3,SUMIF('TL05'!$C$238:$C$451,$C227,'TL05'!$J$238:$J$451),0),
IF('TL06'!$B$3=N$3,SUMIF('TL06'!$C$10:$C$224,$C227,'TL06'!$J$10:$J$224),0),
IF('TL06'!$B$229=N$3,SUMIF('TL06'!$C$238:$C$451,$C227,'TL06'!$J$238:$J$451),0),
IF('TL07'!$B$3=N$3,SUMIF('TL07'!$C$10:$C$224,$C227,'TL07'!$J$10:$J$224),0),
IF('TL07'!$B$229=N$3,SUMIF('TL07'!$C$238:$C$451,$C227,'TL07'!$J$238:$J$451),0),
IF('TL08'!$B$3=N$3,SUMIF('TL08'!$C$10:$C$224,$C227,'TL08'!$J$10:$J$224),0),
IF('TL08'!$B$229=N$3,SUMIF('TL08'!$C$238:$C$451,$C227,'TL08'!$J$238:$J$451),0),
IF('TL09'!$B$3=N$3,SUMIF('TL09'!$C$10:$C$224,$C227,'TL09'!$J$10:$J$224),0),
IF('TL09'!$B$229=N$3,SUMIF('TL09'!$C$238:$C$451,$C227,'TL09'!$J$238:$J$451),0),
IF('TL10'!$B$3=N$3,SUMIF('TL10'!$C$10:$C$224,$C227,'TL10'!$J$10:$J$224),0),
IF('TL10'!$B$229=N$3,SUMIF('TL10'!$C$238:$C$451,$C227,'TL10'!$J$238:$J$451),0),
IF('TL11'!$B$3=N$3,SUMIF('TL11'!$C$10:$C$224,$C227,'TL11'!$J$10:$J$224),0),
IF('TL11'!$B$229=N$3,SUMIF('TL11'!$C$238:$C$451,$C227,'TL11'!$J$238:$J$451),0),
IF('TL12'!$B$3=N$3,SUMIF('TL12'!$C$10:$C$224,$C227,'TL12'!$J$10:$J$224),0),
IF('TL12'!$B$229=N$3,SUMIF('TL12'!$C$238:$C$451,$C227,'TL12'!$J$238:$J$451),0),
IF('TL13'!$B$3=N$3,SUMIF('TL13'!$C$10:$C$224,$C227,'TL13'!$J$10:$J$224),0),
IF('TL13'!$B$229=N$3,SUMIF('TL13'!$C$238:$C$451,$C227,'TL13'!$J$238:$J$451),0),
IF('TL14'!$B$3=N$3,SUMIF('TL14'!$C$10:$C$224,$C227,'TL14'!$J$10:$J$224),0),
IF('TL14'!$B$229=N$3,SUMIF('TL14'!$C$238:$C$451,$C227,'TL14'!$J$238:$J$451),0),
IF('TL15'!$B$3=N$3,SUMIF('TL15'!$C$10:$C$224,$C227,'TL15'!$J$10:$J$224),0),
IF('TL15'!$B$229=N$3,SUMIF('TL15'!$C$238:$C$451,$C227,'TL15'!$J$238:$J$451),0),
IF('TL16'!$B$3=N$3,SUMIF('TL16'!$C$10:$C$224,$C227,'TL16'!$J$10:$J$224),0),
IF('TL16'!$B$229=N$3,SUMIF('TL16'!$C$238:$C$451,$C227,'TL16'!$J$238:$J$451),0),
IF('TL17'!$B$3=N$3,SUMIF('TL17'!$C$10:$C$224,$C227,'TL17'!$J$10:$J$224),0),
IF('TL17'!$B$229=N$3,SUMIF('TL17'!$C$238:$C$451,$C227,'TL17'!$J$238:$J$451),0),
IF('TL18'!$B$3=N$3,SUMIF('TL18'!$C$10:$C$224,$C227,'TL18'!$J$10:$J$224),0),
IF('TL18'!$B$229=N$3,SUMIF('TL18'!$C$238:$C$451,$C227,'TL18'!$J$238:$J$451),0),
IF('TL19'!$B$3=N$3,SUMIF('TL19'!$C$10:$C$224,$C227,'TL19'!$J$10:$J$224),0),
IF('TL19'!$B$229=N$3,SUMIF('TL19'!$C$238:$C$451,$C227,'TL19'!$J$238:$J$451),0)
),0)</f>
        <v/>
      </c>
      <c r="O227" s="9">
        <f>IFERROR(SUM(
IF('TL01'!$B$3=O$3,SUMIF('TL01'!$C$10:$C$224,$C227,'TL01'!$J$10:$J$224),0),
IF('TL01'!$B$229=O$3,SUMIF('TL01'!$C$238:$C$451,$C227,'TL01'!$J$238:$J$451),0),
IF('TL02'!$B$3=O$3,SUMIF('TL02'!$C$10:$C$224,$C227,'TL02'!$J$10:$J$224),0),
IF('TL02'!$B$229=O$3,SUMIF('TL02'!$C$238:$C$451,$C227,'TL02'!$J$238:$J$451),0),
IF('TL03'!$B$3=O$3,SUMIF('TL03'!$C$10:$C$224,$C227,'TL03'!$J$10:$J$224),0),
IF('TL03'!$B$229=O$3,SUMIF('TL03'!$C$238:$C$451,$C227,'TL03'!$J$238:$J$451),0),
IF('TL04'!$B$3=O$3,SUMIF('TL04'!$C$10:$C$224,$C227,'TL04'!$J$10:$J$224),0),
IF('TL04'!$B$229=O$3,SUMIF('TL04'!$C$238:$C$451,$C227,'TL04'!$J$238:$J$451),0),
IF('TL05'!$B$3=O$3,SUMIF('TL05'!$C$10:$C$224,$C227,'TL05'!$J$10:$J$224),0),
IF('TL05'!$B$229=O$3,SUMIF('TL05'!$C$238:$C$451,$C227,'TL05'!$J$238:$J$451),0),
IF('TL06'!$B$3=O$3,SUMIF('TL06'!$C$10:$C$224,$C227,'TL06'!$J$10:$J$224),0),
IF('TL06'!$B$229=O$3,SUMIF('TL06'!$C$238:$C$451,$C227,'TL06'!$J$238:$J$451),0),
IF('TL07'!$B$3=O$3,SUMIF('TL07'!$C$10:$C$224,$C227,'TL07'!$J$10:$J$224),0),
IF('TL07'!$B$229=O$3,SUMIF('TL07'!$C$238:$C$451,$C227,'TL07'!$J$238:$J$451),0),
IF('TL08'!$B$3=O$3,SUMIF('TL08'!$C$10:$C$224,$C227,'TL08'!$J$10:$J$224),0),
IF('TL08'!$B$229=O$3,SUMIF('TL08'!$C$238:$C$451,$C227,'TL08'!$J$238:$J$451),0),
IF('TL09'!$B$3=O$3,SUMIF('TL09'!$C$10:$C$224,$C227,'TL09'!$J$10:$J$224),0),
IF('TL09'!$B$229=O$3,SUMIF('TL09'!$C$238:$C$451,$C227,'TL09'!$J$238:$J$451),0),
IF('TL10'!$B$3=O$3,SUMIF('TL10'!$C$10:$C$224,$C227,'TL10'!$J$10:$J$224),0),
IF('TL10'!$B$229=O$3,SUMIF('TL10'!$C$238:$C$451,$C227,'TL10'!$J$238:$J$451),0),
IF('TL11'!$B$3=O$3,SUMIF('TL11'!$C$10:$C$224,$C227,'TL11'!$J$10:$J$224),0),
IF('TL11'!$B$229=O$3,SUMIF('TL11'!$C$238:$C$451,$C227,'TL11'!$J$238:$J$451),0),
IF('TL12'!$B$3=O$3,SUMIF('TL12'!$C$10:$C$224,$C227,'TL12'!$J$10:$J$224),0),
IF('TL12'!$B$229=O$3,SUMIF('TL12'!$C$238:$C$451,$C227,'TL12'!$J$238:$J$451),0),
IF('TL13'!$B$3=O$3,SUMIF('TL13'!$C$10:$C$224,$C227,'TL13'!$J$10:$J$224),0),
IF('TL13'!$B$229=O$3,SUMIF('TL13'!$C$238:$C$451,$C227,'TL13'!$J$238:$J$451),0),
IF('TL14'!$B$3=O$3,SUMIF('TL14'!$C$10:$C$224,$C227,'TL14'!$J$10:$J$224),0),
IF('TL14'!$B$229=O$3,SUMIF('TL14'!$C$238:$C$451,$C227,'TL14'!$J$238:$J$451),0),
IF('TL15'!$B$3=O$3,SUMIF('TL15'!$C$10:$C$224,$C227,'TL15'!$J$10:$J$224),0),
IF('TL15'!$B$229=O$3,SUMIF('TL15'!$C$238:$C$451,$C227,'TL15'!$J$238:$J$451),0),
IF('TL16'!$B$3=O$3,SUMIF('TL16'!$C$10:$C$224,$C227,'TL16'!$J$10:$J$224),0),
IF('TL16'!$B$229=O$3,SUMIF('TL16'!$C$238:$C$451,$C227,'TL16'!$J$238:$J$451),0),
IF('TL17'!$B$3=O$3,SUMIF('TL17'!$C$10:$C$224,$C227,'TL17'!$J$10:$J$224),0),
IF('TL17'!$B$229=O$3,SUMIF('TL17'!$C$238:$C$451,$C227,'TL17'!$J$238:$J$451),0),
IF('TL18'!$B$3=O$3,SUMIF('TL18'!$C$10:$C$224,$C227,'TL18'!$J$10:$J$224),0),
IF('TL18'!$B$229=O$3,SUMIF('TL18'!$C$238:$C$451,$C227,'TL18'!$J$238:$J$451),0),
IF('TL19'!$B$3=O$3,SUMIF('TL19'!$C$10:$C$224,$C227,'TL19'!$J$10:$J$224),0),
IF('TL19'!$B$229=O$3,SUMIF('TL19'!$C$238:$C$451,$C227,'TL19'!$J$238:$J$451),0)
),0)</f>
        <v/>
      </c>
      <c r="P227" s="9">
        <f>IFERROR(SUM(
IF('TL01'!$B$3=P$3,SUMIF('TL01'!$C$10:$C$224,$C227,'TL01'!$J$10:$J$224),0),
IF('TL01'!$B$229=P$3,SUMIF('TL01'!$C$238:$C$451,$C227,'TL01'!$J$238:$J$451),0),
IF('TL02'!$B$3=P$3,SUMIF('TL02'!$C$10:$C$224,$C227,'TL02'!$J$10:$J$224),0),
IF('TL02'!$B$229=P$3,SUMIF('TL02'!$C$238:$C$451,$C227,'TL02'!$J$238:$J$451),0),
IF('TL03'!$B$3=P$3,SUMIF('TL03'!$C$10:$C$224,$C227,'TL03'!$J$10:$J$224),0),
IF('TL03'!$B$229=P$3,SUMIF('TL03'!$C$238:$C$451,$C227,'TL03'!$J$238:$J$451),0),
IF('TL04'!$B$3=P$3,SUMIF('TL04'!$C$10:$C$224,$C227,'TL04'!$J$10:$J$224),0),
IF('TL04'!$B$229=P$3,SUMIF('TL04'!$C$238:$C$451,$C227,'TL04'!$J$238:$J$451),0),
IF('TL05'!$B$3=P$3,SUMIF('TL05'!$C$10:$C$224,$C227,'TL05'!$J$10:$J$224),0),
IF('TL05'!$B$229=P$3,SUMIF('TL05'!$C$238:$C$451,$C227,'TL05'!$J$238:$J$451),0),
IF('TL06'!$B$3=P$3,SUMIF('TL06'!$C$10:$C$224,$C227,'TL06'!$J$10:$J$224),0),
IF('TL06'!$B$229=P$3,SUMIF('TL06'!$C$238:$C$451,$C227,'TL06'!$J$238:$J$451),0),
IF('TL07'!$B$3=P$3,SUMIF('TL07'!$C$10:$C$224,$C227,'TL07'!$J$10:$J$224),0),
IF('TL07'!$B$229=P$3,SUMIF('TL07'!$C$238:$C$451,$C227,'TL07'!$J$238:$J$451),0),
IF('TL08'!$B$3=P$3,SUMIF('TL08'!$C$10:$C$224,$C227,'TL08'!$J$10:$J$224),0),
IF('TL08'!$B$229=P$3,SUMIF('TL08'!$C$238:$C$451,$C227,'TL08'!$J$238:$J$451),0),
IF('TL09'!$B$3=P$3,SUMIF('TL09'!$C$10:$C$224,$C227,'TL09'!$J$10:$J$224),0),
IF('TL09'!$B$229=P$3,SUMIF('TL09'!$C$238:$C$451,$C227,'TL09'!$J$238:$J$451),0),
IF('TL10'!$B$3=P$3,SUMIF('TL10'!$C$10:$C$224,$C227,'TL10'!$J$10:$J$224),0),
IF('TL10'!$B$229=P$3,SUMIF('TL10'!$C$238:$C$451,$C227,'TL10'!$J$238:$J$451),0),
IF('TL11'!$B$3=P$3,SUMIF('TL11'!$C$10:$C$224,$C227,'TL11'!$J$10:$J$224),0),
IF('TL11'!$B$229=P$3,SUMIF('TL11'!$C$238:$C$451,$C227,'TL11'!$J$238:$J$451),0),
IF('TL12'!$B$3=P$3,SUMIF('TL12'!$C$10:$C$224,$C227,'TL12'!$J$10:$J$224),0),
IF('TL12'!$B$229=P$3,SUMIF('TL12'!$C$238:$C$451,$C227,'TL12'!$J$238:$J$451),0),
IF('TL13'!$B$3=P$3,SUMIF('TL13'!$C$10:$C$224,$C227,'TL13'!$J$10:$J$224),0),
IF('TL13'!$B$229=P$3,SUMIF('TL13'!$C$238:$C$451,$C227,'TL13'!$J$238:$J$451),0),
IF('TL14'!$B$3=P$3,SUMIF('TL14'!$C$10:$C$224,$C227,'TL14'!$J$10:$J$224),0),
IF('TL14'!$B$229=P$3,SUMIF('TL14'!$C$238:$C$451,$C227,'TL14'!$J$238:$J$451),0),
IF('TL15'!$B$3=P$3,SUMIF('TL15'!$C$10:$C$224,$C227,'TL15'!$J$10:$J$224),0),
IF('TL15'!$B$229=P$3,SUMIF('TL15'!$C$238:$C$451,$C227,'TL15'!$J$238:$J$451),0),
IF('TL16'!$B$3=P$3,SUMIF('TL16'!$C$10:$C$224,$C227,'TL16'!$J$10:$J$224),0),
IF('TL16'!$B$229=P$3,SUMIF('TL16'!$C$238:$C$451,$C227,'TL16'!$J$238:$J$451),0),
IF('TL17'!$B$3=P$3,SUMIF('TL17'!$C$10:$C$224,$C227,'TL17'!$J$10:$J$224),0),
IF('TL17'!$B$229=P$3,SUMIF('TL17'!$C$238:$C$451,$C227,'TL17'!$J$238:$J$451),0),
IF('TL18'!$B$3=P$3,SUMIF('TL18'!$C$10:$C$224,$C227,'TL18'!$J$10:$J$224),0),
IF('TL18'!$B$229=P$3,SUMIF('TL18'!$C$238:$C$451,$C227,'TL18'!$J$238:$J$451),0),
IF('TL19'!$B$3=P$3,SUMIF('TL19'!$C$10:$C$224,$C227,'TL19'!$J$10:$J$224),0),
IF('TL19'!$B$229=P$3,SUMIF('TL19'!$C$238:$C$451,$C227,'TL19'!$J$238:$J$451),0)
),0)</f>
        <v/>
      </c>
      <c r="Q227" s="9">
        <f>IFERROR(SUM(
IF('TL01'!$B$3=Q$3,SUMIF('TL01'!$C$10:$C$224,$C227,'TL01'!$J$10:$J$224),0),
IF('TL01'!$B$229=Q$3,SUMIF('TL01'!$C$238:$C$451,$C227,'TL01'!$J$238:$J$451),0),
IF('TL02'!$B$3=Q$3,SUMIF('TL02'!$C$10:$C$224,$C227,'TL02'!$J$10:$J$224),0),
IF('TL02'!$B$229=Q$3,SUMIF('TL02'!$C$238:$C$451,$C227,'TL02'!$J$238:$J$451),0),
IF('TL03'!$B$3=Q$3,SUMIF('TL03'!$C$10:$C$224,$C227,'TL03'!$J$10:$J$224),0),
IF('TL03'!$B$229=Q$3,SUMIF('TL03'!$C$238:$C$451,$C227,'TL03'!$J$238:$J$451),0),
IF('TL04'!$B$3=Q$3,SUMIF('TL04'!$C$10:$C$224,$C227,'TL04'!$J$10:$J$224),0),
IF('TL04'!$B$229=Q$3,SUMIF('TL04'!$C$238:$C$451,$C227,'TL04'!$J$238:$J$451),0),
IF('TL05'!$B$3=Q$3,SUMIF('TL05'!$C$10:$C$224,$C227,'TL05'!$J$10:$J$224),0),
IF('TL05'!$B$229=Q$3,SUMIF('TL05'!$C$238:$C$451,$C227,'TL05'!$J$238:$J$451),0),
IF('TL06'!$B$3=Q$3,SUMIF('TL06'!$C$10:$C$224,$C227,'TL06'!$J$10:$J$224),0),
IF('TL06'!$B$229=Q$3,SUMIF('TL06'!$C$238:$C$451,$C227,'TL06'!$J$238:$J$451),0),
IF('TL07'!$B$3=Q$3,SUMIF('TL07'!$C$10:$C$224,$C227,'TL07'!$J$10:$J$224),0),
IF('TL07'!$B$229=Q$3,SUMIF('TL07'!$C$238:$C$451,$C227,'TL07'!$J$238:$J$451),0),
IF('TL08'!$B$3=Q$3,SUMIF('TL08'!$C$10:$C$224,$C227,'TL08'!$J$10:$J$224),0),
IF('TL08'!$B$229=Q$3,SUMIF('TL08'!$C$238:$C$451,$C227,'TL08'!$J$238:$J$451),0),
IF('TL09'!$B$3=Q$3,SUMIF('TL09'!$C$10:$C$224,$C227,'TL09'!$J$10:$J$224),0),
IF('TL09'!$B$229=Q$3,SUMIF('TL09'!$C$238:$C$451,$C227,'TL09'!$J$238:$J$451),0),
IF('TL10'!$B$3=Q$3,SUMIF('TL10'!$C$10:$C$224,$C227,'TL10'!$J$10:$J$224),0),
IF('TL10'!$B$229=Q$3,SUMIF('TL10'!$C$238:$C$451,$C227,'TL10'!$J$238:$J$451),0),
IF('TL11'!$B$3=Q$3,SUMIF('TL11'!$C$10:$C$224,$C227,'TL11'!$J$10:$J$224),0),
IF('TL11'!$B$229=Q$3,SUMIF('TL11'!$C$238:$C$451,$C227,'TL11'!$J$238:$J$451),0),
IF('TL12'!$B$3=Q$3,SUMIF('TL12'!$C$10:$C$224,$C227,'TL12'!$J$10:$J$224),0),
IF('TL12'!$B$229=Q$3,SUMIF('TL12'!$C$238:$C$451,$C227,'TL12'!$J$238:$J$451),0),
IF('TL13'!$B$3=Q$3,SUMIF('TL13'!$C$10:$C$224,$C227,'TL13'!$J$10:$J$224),0),
IF('TL13'!$B$229=Q$3,SUMIF('TL13'!$C$238:$C$451,$C227,'TL13'!$J$238:$J$451),0),
IF('TL14'!$B$3=Q$3,SUMIF('TL14'!$C$10:$C$224,$C227,'TL14'!$J$10:$J$224),0),
IF('TL14'!$B$229=Q$3,SUMIF('TL14'!$C$238:$C$451,$C227,'TL14'!$J$238:$J$451),0),
IF('TL15'!$B$3=Q$3,SUMIF('TL15'!$C$10:$C$224,$C227,'TL15'!$J$10:$J$224),0),
IF('TL15'!$B$229=Q$3,SUMIF('TL15'!$C$238:$C$451,$C227,'TL15'!$J$238:$J$451),0),
IF('TL16'!$B$3=Q$3,SUMIF('TL16'!$C$10:$C$224,$C227,'TL16'!$J$10:$J$224),0),
IF('TL16'!$B$229=Q$3,SUMIF('TL16'!$C$238:$C$451,$C227,'TL16'!$J$238:$J$451),0),
IF('TL17'!$B$3=Q$3,SUMIF('TL17'!$C$10:$C$224,$C227,'TL17'!$J$10:$J$224),0),
IF('TL17'!$B$229=Q$3,SUMIF('TL17'!$C$238:$C$451,$C227,'TL17'!$J$238:$J$451),0),
IF('TL18'!$B$3=Q$3,SUMIF('TL18'!$C$10:$C$224,$C227,'TL18'!$J$10:$J$224),0),
IF('TL18'!$B$229=Q$3,SUMIF('TL18'!$C$238:$C$451,$C227,'TL18'!$J$238:$J$451),0),
IF('TL19'!$B$3=Q$3,SUMIF('TL19'!$C$10:$C$224,$C227,'TL19'!$J$10:$J$224),0),
IF('TL19'!$B$229=Q$3,SUMIF('TL19'!$C$238:$C$451,$C227,'TL19'!$J$238:$J$451),0)
),0)</f>
        <v/>
      </c>
      <c r="R227" s="9">
        <f>IFERROR(
SUM(
SUMIF('TL01'!C:C,C227,'TL01'!J:J),
SUMIF('TL02'!C:C,C227,'TL02'!J:J),
SUMIF('TL03'!C:C,C227,'TL03'!J:J),
SUMIF('TL04'!C:C,C227,'TL04'!J:J),
SUMIF('TL05'!C:C,C227,'TL05'!J:J),
SUMIF('TL06'!C:C,C227,'TL06'!J:J),
SUMIF('TL07'!C:C,C227,'TL07'!J:J),
SUMIF('TL08'!C:C,C227,'TL08'!J:J),
SUMIF('TL09'!C:C,C227,'TL09'!J:J),
SUMIF('TL10'!C:C,C227,'TL10'!J:J),
SUMIF('TL11'!C:C,C227,'TL11'!J:J),
SUMIF('TL12'!C:C,C227,'TL12'!J:J),
SUMIF('TL13'!C:C,C227,'TL13'!J:J),
SUMIF('TL14'!C:C,C227,'TL14'!J:J),
SUMIF('TL15'!C:C,C227,'TL15'!J:J),
SUMIF('TL16'!C:C,C227,'TL16'!J:J),
SUMIF('TL17'!C:C,C227,'TL17'!J:J),
SUMIF('TL18'!C:C,C227,'TL18'!J:J),SUMIF('TL19'!C:C,C227,'TL19'!J:J))
,0)</f>
        <v/>
      </c>
      <c r="S227" s="17">
        <f>IFERROR(__xludf.DUMMYFUNCTION("IFERROR(VLOOKUP(C227,
IMPORTRANGE(""1wULbzX32WdYsx-lj2U3uUNBBe2INVIRDtcK0d-Dvl90"",
""26-27!C:G""),
5,
FALSE),
"""")"),72.51294)</f>
        <v/>
      </c>
      <c r="T227" s="9" t="n"/>
      <c r="U227" s="92">
        <f>MAX(0,R227-T227)</f>
        <v/>
      </c>
      <c r="V227" s="93">
        <f>U227*S227</f>
        <v/>
      </c>
    </row>
    <row r="228" hidden="1" ht="15.75" customHeight="1" s="297">
      <c r="A228" s="87" t="inlineStr">
        <is>
          <t>SUMITOMO</t>
        </is>
      </c>
      <c r="B228" s="88" t="inlineStr">
        <is>
          <t>INSETICIDA</t>
        </is>
      </c>
      <c r="C228" s="89" t="inlineStr">
        <is>
          <t>XENTARI</t>
        </is>
      </c>
      <c r="D228" s="89" t="inlineStr">
        <is>
          <t>BACILLUS THURINGIENSIS</t>
        </is>
      </c>
      <c r="E228" s="89" t="n">
        <v>540</v>
      </c>
      <c r="F228" s="4" t="inlineStr">
        <is>
          <t>L</t>
        </is>
      </c>
      <c r="G228" s="90">
        <f>HYPERLINK("https://www.google.com/search?q=" &amp; C228 &amp; "+bula+agrofit+pdf", "📄 Ver bula")</f>
        <v/>
      </c>
      <c r="H228" s="9">
        <f>IFERROR(__xludf.DUMMYFUNCTION("IFERROR(VLOOKUP(C228,
IMPORTRANGE(""1wULbzX32WdYsx-lj2U3uUNBBe2INVIRDtcK0d-Dvl90"",
""26-27!C:K""),
8,
FALSE),
"""")"),"")</f>
        <v/>
      </c>
      <c r="I228" s="91" t="inlineStr">
        <is>
          <t>2X10</t>
        </is>
      </c>
      <c r="J228" s="9">
        <f>IFERROR(SUM(
IF('TL01'!$B$3=J$3,SUMIF('TL01'!$C$10:$C$224,$C228,'TL01'!$J$10:$J$224),0),
IF('TL01'!$B$229=J$3,SUMIF('TL01'!$C$238:$C$451,$C228,'TL01'!$J$238:$J$451),0),
IF('TL02'!$B$3=J$3,SUMIF('TL02'!$C$10:$C$224,$C228,'TL02'!$J$10:$J$224),0),
IF('TL02'!$B$229=J$3,SUMIF('TL02'!$C$238:$C$451,$C228,'TL02'!$J$238:$J$451),0),
IF('TL03'!$B$3=J$3,SUMIF('TL03'!$C$10:$C$224,$C228,'TL03'!$J$10:$J$224),0),
IF('TL03'!$B$229=J$3,SUMIF('TL03'!$C$238:$C$451,$C228,'TL03'!$J$238:$J$451),0),
IF('TL04'!$B$3=J$3,SUMIF('TL04'!$C$10:$C$224,$C228,'TL04'!$J$10:$J$224),0),
IF('TL04'!$B$229=J$3,SUMIF('TL04'!$C$238:$C$451,$C228,'TL04'!$J$238:$J$451),0),
IF('TL05'!$B$3=J$3,SUMIF('TL05'!$C$10:$C$224,$C228,'TL05'!$J$10:$J$224),0),
IF('TL05'!$B$229=J$3,SUMIF('TL05'!$C$238:$C$451,$C228,'TL05'!$J$238:$J$451),0),
IF('TL06'!$B$3=J$3,SUMIF('TL06'!$C$10:$C$224,$C228,'TL06'!$J$10:$J$224),0),
IF('TL06'!$B$229=J$3,SUMIF('TL06'!$C$238:$C$451,$C228,'TL06'!$J$238:$J$451),0),
IF('TL07'!$B$3=J$3,SUMIF('TL07'!$C$10:$C$224,$C228,'TL07'!$J$10:$J$224),0),
IF('TL07'!$B$229=J$3,SUMIF('TL07'!$C$238:$C$451,$C228,'TL07'!$J$238:$J$451),0),
IF('TL08'!$B$3=J$3,SUMIF('TL08'!$C$10:$C$224,$C228,'TL08'!$J$10:$J$224),0),
IF('TL08'!$B$229=J$3,SUMIF('TL08'!$C$238:$C$451,$C228,'TL08'!$J$238:$J$451),0),
IF('TL09'!$B$3=J$3,SUMIF('TL09'!$C$10:$C$224,$C228,'TL09'!$J$10:$J$224),0),
IF('TL09'!$B$229=J$3,SUMIF('TL09'!$C$238:$C$451,$C228,'TL09'!$J$238:$J$451),0),
IF('TL10'!$B$3=J$3,SUMIF('TL10'!$C$10:$C$224,$C228,'TL10'!$J$10:$J$224),0),
IF('TL10'!$B$229=J$3,SUMIF('TL10'!$C$238:$C$451,$C228,'TL10'!$J$238:$J$451),0),
IF('TL11'!$B$3=J$3,SUMIF('TL11'!$C$10:$C$224,$C228,'TL11'!$J$10:$J$224),0),
IF('TL11'!$B$229=J$3,SUMIF('TL11'!$C$238:$C$451,$C228,'TL11'!$J$238:$J$451),0),
IF('TL12'!$B$3=J$3,SUMIF('TL12'!$C$10:$C$224,$C228,'TL12'!$J$10:$J$224),0),
IF('TL12'!$B$229=J$3,SUMIF('TL12'!$C$238:$C$451,$C228,'TL12'!$J$238:$J$451),0),
IF('TL13'!$B$3=J$3,SUMIF('TL13'!$C$10:$C$224,$C228,'TL13'!$J$10:$J$224),0),
IF('TL13'!$B$229=J$3,SUMIF('TL13'!$C$238:$C$451,$C228,'TL13'!$J$238:$J$451),0),
IF('TL14'!$B$3=J$3,SUMIF('TL14'!$C$10:$C$224,$C228,'TL14'!$J$10:$J$224),0),
IF('TL14'!$B$229=J$3,SUMIF('TL14'!$C$238:$C$451,$C228,'TL14'!$J$238:$J$451),0),
IF('TL15'!$B$3=J$3,SUMIF('TL15'!$C$10:$C$224,$C228,'TL15'!$J$10:$J$224),0),
IF('TL15'!$B$229=J$3,SUMIF('TL15'!$C$238:$C$451,$C228,'TL15'!$J$238:$J$451),0),
IF('TL16'!$B$3=J$3,SUMIF('TL16'!$C$10:$C$224,$C228,'TL16'!$J$10:$J$224),0),
IF('TL16'!$B$229=J$3,SUMIF('TL16'!$C$238:$C$451,$C228,'TL16'!$J$238:$J$451),0),
IF('TL17'!$B$3=J$3,SUMIF('TL17'!$C$10:$C$224,$C228,'TL17'!$J$10:$J$224),0),
IF('TL17'!$B$229=J$3,SUMIF('TL17'!$C$238:$C$451,$C228,'TL17'!$J$238:$J$451),0),
IF('TL18'!$B$3=J$3,SUMIF('TL18'!$C$10:$C$224,$C228,'TL18'!$J$10:$J$224),0),
IF('TL18'!$B$229=J$3,SUMIF('TL18'!$C$238:$C$451,$C228,'TL18'!$J$238:$J$451),0),
IF('TL19'!$B$3=J$3,SUMIF('TL19'!$C$10:$C$224,$C228,'TL19'!$J$10:$J$224),0),
IF('TL19'!$B$229=J$3,SUMIF('TL19'!$C$238:$C$451,$C228,'TL19'!$J$238:$J$451),0)
),0)</f>
        <v/>
      </c>
      <c r="K228" s="9">
        <f>IFERROR(SUM(
IF('TL01'!$B$3=K$3,SUMIF('TL01'!$C$10:$C$224,$C228,'TL01'!$J$10:$J$224),0),
IF('TL01'!$B$229=K$3,SUMIF('TL01'!$C$238:$C$451,$C228,'TL01'!$J$238:$J$451),0),
IF('TL02'!$B$3=K$3,SUMIF('TL02'!$C$10:$C$224,$C228,'TL02'!$J$10:$J$224),0),
IF('TL02'!$B$229=K$3,SUMIF('TL02'!$C$238:$C$451,$C228,'TL02'!$J$238:$J$451),0),
IF('TL03'!$B$3=K$3,SUMIF('TL03'!$C$10:$C$224,$C228,'TL03'!$J$10:$J$224),0),
IF('TL03'!$B$229=K$3,SUMIF('TL03'!$C$238:$C$451,$C228,'TL03'!$J$238:$J$451),0),
IF('TL04'!$B$3=K$3,SUMIF('TL04'!$C$10:$C$224,$C228,'TL04'!$J$10:$J$224),0),
IF('TL04'!$B$229=K$3,SUMIF('TL04'!$C$238:$C$451,$C228,'TL04'!$J$238:$J$451),0),
IF('TL05'!$B$3=K$3,SUMIF('TL05'!$C$10:$C$224,$C228,'TL05'!$J$10:$J$224),0),
IF('TL05'!$B$229=K$3,SUMIF('TL05'!$C$238:$C$451,$C228,'TL05'!$J$238:$J$451),0),
IF('TL06'!$B$3=K$3,SUMIF('TL06'!$C$10:$C$224,$C228,'TL06'!$J$10:$J$224),0),
IF('TL06'!$B$229=K$3,SUMIF('TL06'!$C$238:$C$451,$C228,'TL06'!$J$238:$J$451),0),
IF('TL07'!$B$3=K$3,SUMIF('TL07'!$C$10:$C$224,$C228,'TL07'!$J$10:$J$224),0),
IF('TL07'!$B$229=K$3,SUMIF('TL07'!$C$238:$C$451,$C228,'TL07'!$J$238:$J$451),0),
IF('TL08'!$B$3=K$3,SUMIF('TL08'!$C$10:$C$224,$C228,'TL08'!$J$10:$J$224),0),
IF('TL08'!$B$229=K$3,SUMIF('TL08'!$C$238:$C$451,$C228,'TL08'!$J$238:$J$451),0),
IF('TL09'!$B$3=K$3,SUMIF('TL09'!$C$10:$C$224,$C228,'TL09'!$J$10:$J$224),0),
IF('TL09'!$B$229=K$3,SUMIF('TL09'!$C$238:$C$451,$C228,'TL09'!$J$238:$J$451),0),
IF('TL10'!$B$3=K$3,SUMIF('TL10'!$C$10:$C$224,$C228,'TL10'!$J$10:$J$224),0),
IF('TL10'!$B$229=K$3,SUMIF('TL10'!$C$238:$C$451,$C228,'TL10'!$J$238:$J$451),0),
IF('TL11'!$B$3=K$3,SUMIF('TL11'!$C$10:$C$224,$C228,'TL11'!$J$10:$J$224),0),
IF('TL11'!$B$229=K$3,SUMIF('TL11'!$C$238:$C$451,$C228,'TL11'!$J$238:$J$451),0),
IF('TL12'!$B$3=K$3,SUMIF('TL12'!$C$10:$C$224,$C228,'TL12'!$J$10:$J$224),0),
IF('TL12'!$B$229=K$3,SUMIF('TL12'!$C$238:$C$451,$C228,'TL12'!$J$238:$J$451),0),
IF('TL13'!$B$3=K$3,SUMIF('TL13'!$C$10:$C$224,$C228,'TL13'!$J$10:$J$224),0),
IF('TL13'!$B$229=K$3,SUMIF('TL13'!$C$238:$C$451,$C228,'TL13'!$J$238:$J$451),0),
IF('TL14'!$B$3=K$3,SUMIF('TL14'!$C$10:$C$224,$C228,'TL14'!$J$10:$J$224),0),
IF('TL14'!$B$229=K$3,SUMIF('TL14'!$C$238:$C$451,$C228,'TL14'!$J$238:$J$451),0),
IF('TL15'!$B$3=K$3,SUMIF('TL15'!$C$10:$C$224,$C228,'TL15'!$J$10:$J$224),0),
IF('TL15'!$B$229=K$3,SUMIF('TL15'!$C$238:$C$451,$C228,'TL15'!$J$238:$J$451),0),
IF('TL16'!$B$3=K$3,SUMIF('TL16'!$C$10:$C$224,$C228,'TL16'!$J$10:$J$224),0),
IF('TL16'!$B$229=K$3,SUMIF('TL16'!$C$238:$C$451,$C228,'TL16'!$J$238:$J$451),0),
IF('TL17'!$B$3=K$3,SUMIF('TL17'!$C$10:$C$224,$C228,'TL17'!$J$10:$J$224),0),
IF('TL17'!$B$229=K$3,SUMIF('TL17'!$C$238:$C$451,$C228,'TL17'!$J$238:$J$451),0),
IF('TL18'!$B$3=K$3,SUMIF('TL18'!$C$10:$C$224,$C228,'TL18'!$J$10:$J$224),0),
IF('TL18'!$B$229=K$3,SUMIF('TL18'!$C$238:$C$451,$C228,'TL18'!$J$238:$J$451),0),
IF('TL19'!$B$3=K$3,SUMIF('TL19'!$C$10:$C$224,$C228,'TL19'!$J$10:$J$224),0),
IF('TL19'!$B$229=K$3,SUMIF('TL19'!$C$238:$C$451,$C228,'TL19'!$J$238:$J$451),0)
),0)</f>
        <v/>
      </c>
      <c r="L228" s="9">
        <f>IFERROR(SUM(
IF('TL01'!$B$3=L$3,SUMIF('TL01'!$C$10:$C$224,$C228,'TL01'!$J$10:$J$224),0),
IF('TL01'!$B$229=L$3,SUMIF('TL01'!$C$238:$C$451,$C228,'TL01'!$J$238:$J$451),0),
IF('TL02'!$B$3=L$3,SUMIF('TL02'!$C$10:$C$224,$C228,'TL02'!$J$10:$J$224),0),
IF('TL02'!$B$229=L$3,SUMIF('TL02'!$C$238:$C$451,$C228,'TL02'!$J$238:$J$451),0),
IF('TL03'!$B$3=L$3,SUMIF('TL03'!$C$10:$C$224,$C228,'TL03'!$J$10:$J$224),0),
IF('TL03'!$B$229=L$3,SUMIF('TL03'!$C$238:$C$451,$C228,'TL03'!$J$238:$J$451),0),
IF('TL04'!$B$3=L$3,SUMIF('TL04'!$C$10:$C$224,$C228,'TL04'!$J$10:$J$224),0),
IF('TL04'!$B$229=L$3,SUMIF('TL04'!$C$238:$C$451,$C228,'TL04'!$J$238:$J$451),0),
IF('TL05'!$B$3=L$3,SUMIF('TL05'!$C$10:$C$224,$C228,'TL05'!$J$10:$J$224),0),
IF('TL05'!$B$229=L$3,SUMIF('TL05'!$C$238:$C$451,$C228,'TL05'!$J$238:$J$451),0),
IF('TL06'!$B$3=L$3,SUMIF('TL06'!$C$10:$C$224,$C228,'TL06'!$J$10:$J$224),0),
IF('TL06'!$B$229=L$3,SUMIF('TL06'!$C$238:$C$451,$C228,'TL06'!$J$238:$J$451),0),
IF('TL07'!$B$3=L$3,SUMIF('TL07'!$C$10:$C$224,$C228,'TL07'!$J$10:$J$224),0),
IF('TL07'!$B$229=L$3,SUMIF('TL07'!$C$238:$C$451,$C228,'TL07'!$J$238:$J$451),0),
IF('TL08'!$B$3=L$3,SUMIF('TL08'!$C$10:$C$224,$C228,'TL08'!$J$10:$J$224),0),
IF('TL08'!$B$229=L$3,SUMIF('TL08'!$C$238:$C$451,$C228,'TL08'!$J$238:$J$451),0),
IF('TL09'!$B$3=L$3,SUMIF('TL09'!$C$10:$C$224,$C228,'TL09'!$J$10:$J$224),0),
IF('TL09'!$B$229=L$3,SUMIF('TL09'!$C$238:$C$451,$C228,'TL09'!$J$238:$J$451),0),
IF('TL10'!$B$3=L$3,SUMIF('TL10'!$C$10:$C$224,$C228,'TL10'!$J$10:$J$224),0),
IF('TL10'!$B$229=L$3,SUMIF('TL10'!$C$238:$C$451,$C228,'TL10'!$J$238:$J$451),0),
IF('TL11'!$B$3=L$3,SUMIF('TL11'!$C$10:$C$224,$C228,'TL11'!$J$10:$J$224),0),
IF('TL11'!$B$229=L$3,SUMIF('TL11'!$C$238:$C$451,$C228,'TL11'!$J$238:$J$451),0),
IF('TL12'!$B$3=L$3,SUMIF('TL12'!$C$10:$C$224,$C228,'TL12'!$J$10:$J$224),0),
IF('TL12'!$B$229=L$3,SUMIF('TL12'!$C$238:$C$451,$C228,'TL12'!$J$238:$J$451),0),
IF('TL13'!$B$3=L$3,SUMIF('TL13'!$C$10:$C$224,$C228,'TL13'!$J$10:$J$224),0),
IF('TL13'!$B$229=L$3,SUMIF('TL13'!$C$238:$C$451,$C228,'TL13'!$J$238:$J$451),0),
IF('TL14'!$B$3=L$3,SUMIF('TL14'!$C$10:$C$224,$C228,'TL14'!$J$10:$J$224),0),
IF('TL14'!$B$229=L$3,SUMIF('TL14'!$C$238:$C$451,$C228,'TL14'!$J$238:$J$451),0),
IF('TL15'!$B$3=L$3,SUMIF('TL15'!$C$10:$C$224,$C228,'TL15'!$J$10:$J$224),0),
IF('TL15'!$B$229=L$3,SUMIF('TL15'!$C$238:$C$451,$C228,'TL15'!$J$238:$J$451),0),
IF('TL16'!$B$3=L$3,SUMIF('TL16'!$C$10:$C$224,$C228,'TL16'!$J$10:$J$224),0),
IF('TL16'!$B$229=L$3,SUMIF('TL16'!$C$238:$C$451,$C228,'TL16'!$J$238:$J$451),0),
IF('TL17'!$B$3=L$3,SUMIF('TL17'!$C$10:$C$224,$C228,'TL17'!$J$10:$J$224),0),
IF('TL17'!$B$229=L$3,SUMIF('TL17'!$C$238:$C$451,$C228,'TL17'!$J$238:$J$451),0),
IF('TL18'!$B$3=L$3,SUMIF('TL18'!$C$10:$C$224,$C228,'TL18'!$J$10:$J$224),0),
IF('TL18'!$B$229=L$3,SUMIF('TL18'!$C$238:$C$451,$C228,'TL18'!$J$238:$J$451),0),
IF('TL19'!$B$3=L$3,SUMIF('TL19'!$C$10:$C$224,$C228,'TL19'!$J$10:$J$224),0),
IF('TL19'!$B$229=L$3,SUMIF('TL19'!$C$238:$C$451,$C228,'TL19'!$J$238:$J$451),0)
),0)</f>
        <v/>
      </c>
      <c r="M228" s="9">
        <f>IFERROR(SUM(
IF('TL01'!$B$3=M$3,SUMIF('TL01'!$C$10:$C$224,$C228,'TL01'!$J$10:$J$224),0),
IF('TL01'!$B$229=M$3,SUMIF('TL01'!$C$238:$C$451,$C228,'TL01'!$J$238:$J$451),0),
IF('TL02'!$B$3=M$3,SUMIF('TL02'!$C$10:$C$224,$C228,'TL02'!$J$10:$J$224),0),
IF('TL02'!$B$229=M$3,SUMIF('TL02'!$C$238:$C$451,$C228,'TL02'!$J$238:$J$451),0),
IF('TL03'!$B$3=M$3,SUMIF('TL03'!$C$10:$C$224,$C228,'TL03'!$J$10:$J$224),0),
IF('TL03'!$B$229=M$3,SUMIF('TL03'!$C$238:$C$451,$C228,'TL03'!$J$238:$J$451),0),
IF('TL04'!$B$3=M$3,SUMIF('TL04'!$C$10:$C$224,$C228,'TL04'!$J$10:$J$224),0),
IF('TL04'!$B$229=M$3,SUMIF('TL04'!$C$238:$C$451,$C228,'TL04'!$J$238:$J$451),0),
IF('TL05'!$B$3=M$3,SUMIF('TL05'!$C$10:$C$224,$C228,'TL05'!$J$10:$J$224),0),
IF('TL05'!$B$229=M$3,SUMIF('TL05'!$C$238:$C$451,$C228,'TL05'!$J$238:$J$451),0),
IF('TL06'!$B$3=M$3,SUMIF('TL06'!$C$10:$C$224,$C228,'TL06'!$J$10:$J$224),0),
IF('TL06'!$B$229=M$3,SUMIF('TL06'!$C$238:$C$451,$C228,'TL06'!$J$238:$J$451),0),
IF('TL07'!$B$3=M$3,SUMIF('TL07'!$C$10:$C$224,$C228,'TL07'!$J$10:$J$224),0),
IF('TL07'!$B$229=M$3,SUMIF('TL07'!$C$238:$C$451,$C228,'TL07'!$J$238:$J$451),0),
IF('TL08'!$B$3=M$3,SUMIF('TL08'!$C$10:$C$224,$C228,'TL08'!$J$10:$J$224),0),
IF('TL08'!$B$229=M$3,SUMIF('TL08'!$C$238:$C$451,$C228,'TL08'!$J$238:$J$451),0),
IF('TL09'!$B$3=M$3,SUMIF('TL09'!$C$10:$C$224,$C228,'TL09'!$J$10:$J$224),0),
IF('TL09'!$B$229=M$3,SUMIF('TL09'!$C$238:$C$451,$C228,'TL09'!$J$238:$J$451),0),
IF('TL10'!$B$3=M$3,SUMIF('TL10'!$C$10:$C$224,$C228,'TL10'!$J$10:$J$224),0),
IF('TL10'!$B$229=M$3,SUMIF('TL10'!$C$238:$C$451,$C228,'TL10'!$J$238:$J$451),0),
IF('TL11'!$B$3=M$3,SUMIF('TL11'!$C$10:$C$224,$C228,'TL11'!$J$10:$J$224),0),
IF('TL11'!$B$229=M$3,SUMIF('TL11'!$C$238:$C$451,$C228,'TL11'!$J$238:$J$451),0),
IF('TL12'!$B$3=M$3,SUMIF('TL12'!$C$10:$C$224,$C228,'TL12'!$J$10:$J$224),0),
IF('TL12'!$B$229=M$3,SUMIF('TL12'!$C$238:$C$451,$C228,'TL12'!$J$238:$J$451),0),
IF('TL13'!$B$3=M$3,SUMIF('TL13'!$C$10:$C$224,$C228,'TL13'!$J$10:$J$224),0),
IF('TL13'!$B$229=M$3,SUMIF('TL13'!$C$238:$C$451,$C228,'TL13'!$J$238:$J$451),0),
IF('TL14'!$B$3=M$3,SUMIF('TL14'!$C$10:$C$224,$C228,'TL14'!$J$10:$J$224),0),
IF('TL14'!$B$229=M$3,SUMIF('TL14'!$C$238:$C$451,$C228,'TL14'!$J$238:$J$451),0),
IF('TL15'!$B$3=M$3,SUMIF('TL15'!$C$10:$C$224,$C228,'TL15'!$J$10:$J$224),0),
IF('TL15'!$B$229=M$3,SUMIF('TL15'!$C$238:$C$451,$C228,'TL15'!$J$238:$J$451),0),
IF('TL16'!$B$3=M$3,SUMIF('TL16'!$C$10:$C$224,$C228,'TL16'!$J$10:$J$224),0),
IF('TL16'!$B$229=M$3,SUMIF('TL16'!$C$238:$C$451,$C228,'TL16'!$J$238:$J$451),0),
IF('TL17'!$B$3=M$3,SUMIF('TL17'!$C$10:$C$224,$C228,'TL17'!$J$10:$J$224),0),
IF('TL17'!$B$229=M$3,SUMIF('TL17'!$C$238:$C$451,$C228,'TL17'!$J$238:$J$451),0),
IF('TL18'!$B$3=M$3,SUMIF('TL18'!$C$10:$C$224,$C228,'TL18'!$J$10:$J$224),0),
IF('TL18'!$B$229=M$3,SUMIF('TL18'!$C$238:$C$451,$C228,'TL18'!$J$238:$J$451),0),
IF('TL19'!$B$3=M$3,SUMIF('TL19'!$C$10:$C$224,$C228,'TL19'!$J$10:$J$224),0),
IF('TL19'!$B$229=M$3,SUMIF('TL19'!$C$238:$C$451,$C228,'TL19'!$J$238:$J$451),0)
),0)</f>
        <v/>
      </c>
      <c r="N228" s="9">
        <f>IFERROR(SUM(
IF('TL01'!$B$3=N$3,SUMIF('TL01'!$C$10:$C$224,$C228,'TL01'!$J$10:$J$224),0),
IF('TL01'!$B$229=N$3,SUMIF('TL01'!$C$238:$C$451,$C228,'TL01'!$J$238:$J$451),0),
IF('TL02'!$B$3=N$3,SUMIF('TL02'!$C$10:$C$224,$C228,'TL02'!$J$10:$J$224),0),
IF('TL02'!$B$229=N$3,SUMIF('TL02'!$C$238:$C$451,$C228,'TL02'!$J$238:$J$451),0),
IF('TL03'!$B$3=N$3,SUMIF('TL03'!$C$10:$C$224,$C228,'TL03'!$J$10:$J$224),0),
IF('TL03'!$B$229=N$3,SUMIF('TL03'!$C$238:$C$451,$C228,'TL03'!$J$238:$J$451),0),
IF('TL04'!$B$3=N$3,SUMIF('TL04'!$C$10:$C$224,$C228,'TL04'!$J$10:$J$224),0),
IF('TL04'!$B$229=N$3,SUMIF('TL04'!$C$238:$C$451,$C228,'TL04'!$J$238:$J$451),0),
IF('TL05'!$B$3=N$3,SUMIF('TL05'!$C$10:$C$224,$C228,'TL05'!$J$10:$J$224),0),
IF('TL05'!$B$229=N$3,SUMIF('TL05'!$C$238:$C$451,$C228,'TL05'!$J$238:$J$451),0),
IF('TL06'!$B$3=N$3,SUMIF('TL06'!$C$10:$C$224,$C228,'TL06'!$J$10:$J$224),0),
IF('TL06'!$B$229=N$3,SUMIF('TL06'!$C$238:$C$451,$C228,'TL06'!$J$238:$J$451),0),
IF('TL07'!$B$3=N$3,SUMIF('TL07'!$C$10:$C$224,$C228,'TL07'!$J$10:$J$224),0),
IF('TL07'!$B$229=N$3,SUMIF('TL07'!$C$238:$C$451,$C228,'TL07'!$J$238:$J$451),0),
IF('TL08'!$B$3=N$3,SUMIF('TL08'!$C$10:$C$224,$C228,'TL08'!$J$10:$J$224),0),
IF('TL08'!$B$229=N$3,SUMIF('TL08'!$C$238:$C$451,$C228,'TL08'!$J$238:$J$451),0),
IF('TL09'!$B$3=N$3,SUMIF('TL09'!$C$10:$C$224,$C228,'TL09'!$J$10:$J$224),0),
IF('TL09'!$B$229=N$3,SUMIF('TL09'!$C$238:$C$451,$C228,'TL09'!$J$238:$J$451),0),
IF('TL10'!$B$3=N$3,SUMIF('TL10'!$C$10:$C$224,$C228,'TL10'!$J$10:$J$224),0),
IF('TL10'!$B$229=N$3,SUMIF('TL10'!$C$238:$C$451,$C228,'TL10'!$J$238:$J$451),0),
IF('TL11'!$B$3=N$3,SUMIF('TL11'!$C$10:$C$224,$C228,'TL11'!$J$10:$J$224),0),
IF('TL11'!$B$229=N$3,SUMIF('TL11'!$C$238:$C$451,$C228,'TL11'!$J$238:$J$451),0),
IF('TL12'!$B$3=N$3,SUMIF('TL12'!$C$10:$C$224,$C228,'TL12'!$J$10:$J$224),0),
IF('TL12'!$B$229=N$3,SUMIF('TL12'!$C$238:$C$451,$C228,'TL12'!$J$238:$J$451),0),
IF('TL13'!$B$3=N$3,SUMIF('TL13'!$C$10:$C$224,$C228,'TL13'!$J$10:$J$224),0),
IF('TL13'!$B$229=N$3,SUMIF('TL13'!$C$238:$C$451,$C228,'TL13'!$J$238:$J$451),0),
IF('TL14'!$B$3=N$3,SUMIF('TL14'!$C$10:$C$224,$C228,'TL14'!$J$10:$J$224),0),
IF('TL14'!$B$229=N$3,SUMIF('TL14'!$C$238:$C$451,$C228,'TL14'!$J$238:$J$451),0),
IF('TL15'!$B$3=N$3,SUMIF('TL15'!$C$10:$C$224,$C228,'TL15'!$J$10:$J$224),0),
IF('TL15'!$B$229=N$3,SUMIF('TL15'!$C$238:$C$451,$C228,'TL15'!$J$238:$J$451),0),
IF('TL16'!$B$3=N$3,SUMIF('TL16'!$C$10:$C$224,$C228,'TL16'!$J$10:$J$224),0),
IF('TL16'!$B$229=N$3,SUMIF('TL16'!$C$238:$C$451,$C228,'TL16'!$J$238:$J$451),0),
IF('TL17'!$B$3=N$3,SUMIF('TL17'!$C$10:$C$224,$C228,'TL17'!$J$10:$J$224),0),
IF('TL17'!$B$229=N$3,SUMIF('TL17'!$C$238:$C$451,$C228,'TL17'!$J$238:$J$451),0),
IF('TL18'!$B$3=N$3,SUMIF('TL18'!$C$10:$C$224,$C228,'TL18'!$J$10:$J$224),0),
IF('TL18'!$B$229=N$3,SUMIF('TL18'!$C$238:$C$451,$C228,'TL18'!$J$238:$J$451),0),
IF('TL19'!$B$3=N$3,SUMIF('TL19'!$C$10:$C$224,$C228,'TL19'!$J$10:$J$224),0),
IF('TL19'!$B$229=N$3,SUMIF('TL19'!$C$238:$C$451,$C228,'TL19'!$J$238:$J$451),0)
),0)</f>
        <v/>
      </c>
      <c r="O228" s="9">
        <f>IFERROR(SUM(
IF('TL01'!$B$3=O$3,SUMIF('TL01'!$C$10:$C$224,$C228,'TL01'!$J$10:$J$224),0),
IF('TL01'!$B$229=O$3,SUMIF('TL01'!$C$238:$C$451,$C228,'TL01'!$J$238:$J$451),0),
IF('TL02'!$B$3=O$3,SUMIF('TL02'!$C$10:$C$224,$C228,'TL02'!$J$10:$J$224),0),
IF('TL02'!$B$229=O$3,SUMIF('TL02'!$C$238:$C$451,$C228,'TL02'!$J$238:$J$451),0),
IF('TL03'!$B$3=O$3,SUMIF('TL03'!$C$10:$C$224,$C228,'TL03'!$J$10:$J$224),0),
IF('TL03'!$B$229=O$3,SUMIF('TL03'!$C$238:$C$451,$C228,'TL03'!$J$238:$J$451),0),
IF('TL04'!$B$3=O$3,SUMIF('TL04'!$C$10:$C$224,$C228,'TL04'!$J$10:$J$224),0),
IF('TL04'!$B$229=O$3,SUMIF('TL04'!$C$238:$C$451,$C228,'TL04'!$J$238:$J$451),0),
IF('TL05'!$B$3=O$3,SUMIF('TL05'!$C$10:$C$224,$C228,'TL05'!$J$10:$J$224),0),
IF('TL05'!$B$229=O$3,SUMIF('TL05'!$C$238:$C$451,$C228,'TL05'!$J$238:$J$451),0),
IF('TL06'!$B$3=O$3,SUMIF('TL06'!$C$10:$C$224,$C228,'TL06'!$J$10:$J$224),0),
IF('TL06'!$B$229=O$3,SUMIF('TL06'!$C$238:$C$451,$C228,'TL06'!$J$238:$J$451),0),
IF('TL07'!$B$3=O$3,SUMIF('TL07'!$C$10:$C$224,$C228,'TL07'!$J$10:$J$224),0),
IF('TL07'!$B$229=O$3,SUMIF('TL07'!$C$238:$C$451,$C228,'TL07'!$J$238:$J$451),0),
IF('TL08'!$B$3=O$3,SUMIF('TL08'!$C$10:$C$224,$C228,'TL08'!$J$10:$J$224),0),
IF('TL08'!$B$229=O$3,SUMIF('TL08'!$C$238:$C$451,$C228,'TL08'!$J$238:$J$451),0),
IF('TL09'!$B$3=O$3,SUMIF('TL09'!$C$10:$C$224,$C228,'TL09'!$J$10:$J$224),0),
IF('TL09'!$B$229=O$3,SUMIF('TL09'!$C$238:$C$451,$C228,'TL09'!$J$238:$J$451),0),
IF('TL10'!$B$3=O$3,SUMIF('TL10'!$C$10:$C$224,$C228,'TL10'!$J$10:$J$224),0),
IF('TL10'!$B$229=O$3,SUMIF('TL10'!$C$238:$C$451,$C228,'TL10'!$J$238:$J$451),0),
IF('TL11'!$B$3=O$3,SUMIF('TL11'!$C$10:$C$224,$C228,'TL11'!$J$10:$J$224),0),
IF('TL11'!$B$229=O$3,SUMIF('TL11'!$C$238:$C$451,$C228,'TL11'!$J$238:$J$451),0),
IF('TL12'!$B$3=O$3,SUMIF('TL12'!$C$10:$C$224,$C228,'TL12'!$J$10:$J$224),0),
IF('TL12'!$B$229=O$3,SUMIF('TL12'!$C$238:$C$451,$C228,'TL12'!$J$238:$J$451),0),
IF('TL13'!$B$3=O$3,SUMIF('TL13'!$C$10:$C$224,$C228,'TL13'!$J$10:$J$224),0),
IF('TL13'!$B$229=O$3,SUMIF('TL13'!$C$238:$C$451,$C228,'TL13'!$J$238:$J$451),0),
IF('TL14'!$B$3=O$3,SUMIF('TL14'!$C$10:$C$224,$C228,'TL14'!$J$10:$J$224),0),
IF('TL14'!$B$229=O$3,SUMIF('TL14'!$C$238:$C$451,$C228,'TL14'!$J$238:$J$451),0),
IF('TL15'!$B$3=O$3,SUMIF('TL15'!$C$10:$C$224,$C228,'TL15'!$J$10:$J$224),0),
IF('TL15'!$B$229=O$3,SUMIF('TL15'!$C$238:$C$451,$C228,'TL15'!$J$238:$J$451),0),
IF('TL16'!$B$3=O$3,SUMIF('TL16'!$C$10:$C$224,$C228,'TL16'!$J$10:$J$224),0),
IF('TL16'!$B$229=O$3,SUMIF('TL16'!$C$238:$C$451,$C228,'TL16'!$J$238:$J$451),0),
IF('TL17'!$B$3=O$3,SUMIF('TL17'!$C$10:$C$224,$C228,'TL17'!$J$10:$J$224),0),
IF('TL17'!$B$229=O$3,SUMIF('TL17'!$C$238:$C$451,$C228,'TL17'!$J$238:$J$451),0),
IF('TL18'!$B$3=O$3,SUMIF('TL18'!$C$10:$C$224,$C228,'TL18'!$J$10:$J$224),0),
IF('TL18'!$B$229=O$3,SUMIF('TL18'!$C$238:$C$451,$C228,'TL18'!$J$238:$J$451),0),
IF('TL19'!$B$3=O$3,SUMIF('TL19'!$C$10:$C$224,$C228,'TL19'!$J$10:$J$224),0),
IF('TL19'!$B$229=O$3,SUMIF('TL19'!$C$238:$C$451,$C228,'TL19'!$J$238:$J$451),0)
),0)</f>
        <v/>
      </c>
      <c r="P228" s="9">
        <f>IFERROR(SUM(
IF('TL01'!$B$3=P$3,SUMIF('TL01'!$C$10:$C$224,$C228,'TL01'!$J$10:$J$224),0),
IF('TL01'!$B$229=P$3,SUMIF('TL01'!$C$238:$C$451,$C228,'TL01'!$J$238:$J$451),0),
IF('TL02'!$B$3=P$3,SUMIF('TL02'!$C$10:$C$224,$C228,'TL02'!$J$10:$J$224),0),
IF('TL02'!$B$229=P$3,SUMIF('TL02'!$C$238:$C$451,$C228,'TL02'!$J$238:$J$451),0),
IF('TL03'!$B$3=P$3,SUMIF('TL03'!$C$10:$C$224,$C228,'TL03'!$J$10:$J$224),0),
IF('TL03'!$B$229=P$3,SUMIF('TL03'!$C$238:$C$451,$C228,'TL03'!$J$238:$J$451),0),
IF('TL04'!$B$3=P$3,SUMIF('TL04'!$C$10:$C$224,$C228,'TL04'!$J$10:$J$224),0),
IF('TL04'!$B$229=P$3,SUMIF('TL04'!$C$238:$C$451,$C228,'TL04'!$J$238:$J$451),0),
IF('TL05'!$B$3=P$3,SUMIF('TL05'!$C$10:$C$224,$C228,'TL05'!$J$10:$J$224),0),
IF('TL05'!$B$229=P$3,SUMIF('TL05'!$C$238:$C$451,$C228,'TL05'!$J$238:$J$451),0),
IF('TL06'!$B$3=P$3,SUMIF('TL06'!$C$10:$C$224,$C228,'TL06'!$J$10:$J$224),0),
IF('TL06'!$B$229=P$3,SUMIF('TL06'!$C$238:$C$451,$C228,'TL06'!$J$238:$J$451),0),
IF('TL07'!$B$3=P$3,SUMIF('TL07'!$C$10:$C$224,$C228,'TL07'!$J$10:$J$224),0),
IF('TL07'!$B$229=P$3,SUMIF('TL07'!$C$238:$C$451,$C228,'TL07'!$J$238:$J$451),0),
IF('TL08'!$B$3=P$3,SUMIF('TL08'!$C$10:$C$224,$C228,'TL08'!$J$10:$J$224),0),
IF('TL08'!$B$229=P$3,SUMIF('TL08'!$C$238:$C$451,$C228,'TL08'!$J$238:$J$451),0),
IF('TL09'!$B$3=P$3,SUMIF('TL09'!$C$10:$C$224,$C228,'TL09'!$J$10:$J$224),0),
IF('TL09'!$B$229=P$3,SUMIF('TL09'!$C$238:$C$451,$C228,'TL09'!$J$238:$J$451),0),
IF('TL10'!$B$3=P$3,SUMIF('TL10'!$C$10:$C$224,$C228,'TL10'!$J$10:$J$224),0),
IF('TL10'!$B$229=P$3,SUMIF('TL10'!$C$238:$C$451,$C228,'TL10'!$J$238:$J$451),0),
IF('TL11'!$B$3=P$3,SUMIF('TL11'!$C$10:$C$224,$C228,'TL11'!$J$10:$J$224),0),
IF('TL11'!$B$229=P$3,SUMIF('TL11'!$C$238:$C$451,$C228,'TL11'!$J$238:$J$451),0),
IF('TL12'!$B$3=P$3,SUMIF('TL12'!$C$10:$C$224,$C228,'TL12'!$J$10:$J$224),0),
IF('TL12'!$B$229=P$3,SUMIF('TL12'!$C$238:$C$451,$C228,'TL12'!$J$238:$J$451),0),
IF('TL13'!$B$3=P$3,SUMIF('TL13'!$C$10:$C$224,$C228,'TL13'!$J$10:$J$224),0),
IF('TL13'!$B$229=P$3,SUMIF('TL13'!$C$238:$C$451,$C228,'TL13'!$J$238:$J$451),0),
IF('TL14'!$B$3=P$3,SUMIF('TL14'!$C$10:$C$224,$C228,'TL14'!$J$10:$J$224),0),
IF('TL14'!$B$229=P$3,SUMIF('TL14'!$C$238:$C$451,$C228,'TL14'!$J$238:$J$451),0),
IF('TL15'!$B$3=P$3,SUMIF('TL15'!$C$10:$C$224,$C228,'TL15'!$J$10:$J$224),0),
IF('TL15'!$B$229=P$3,SUMIF('TL15'!$C$238:$C$451,$C228,'TL15'!$J$238:$J$451),0),
IF('TL16'!$B$3=P$3,SUMIF('TL16'!$C$10:$C$224,$C228,'TL16'!$J$10:$J$224),0),
IF('TL16'!$B$229=P$3,SUMIF('TL16'!$C$238:$C$451,$C228,'TL16'!$J$238:$J$451),0),
IF('TL17'!$B$3=P$3,SUMIF('TL17'!$C$10:$C$224,$C228,'TL17'!$J$10:$J$224),0),
IF('TL17'!$B$229=P$3,SUMIF('TL17'!$C$238:$C$451,$C228,'TL17'!$J$238:$J$451),0),
IF('TL18'!$B$3=P$3,SUMIF('TL18'!$C$10:$C$224,$C228,'TL18'!$J$10:$J$224),0),
IF('TL18'!$B$229=P$3,SUMIF('TL18'!$C$238:$C$451,$C228,'TL18'!$J$238:$J$451),0),
IF('TL19'!$B$3=P$3,SUMIF('TL19'!$C$10:$C$224,$C228,'TL19'!$J$10:$J$224),0),
IF('TL19'!$B$229=P$3,SUMIF('TL19'!$C$238:$C$451,$C228,'TL19'!$J$238:$J$451),0)
),0)</f>
        <v/>
      </c>
      <c r="Q228" s="9">
        <f>IFERROR(SUM(
IF('TL01'!$B$3=Q$3,SUMIF('TL01'!$C$10:$C$224,$C228,'TL01'!$J$10:$J$224),0),
IF('TL01'!$B$229=Q$3,SUMIF('TL01'!$C$238:$C$451,$C228,'TL01'!$J$238:$J$451),0),
IF('TL02'!$B$3=Q$3,SUMIF('TL02'!$C$10:$C$224,$C228,'TL02'!$J$10:$J$224),0),
IF('TL02'!$B$229=Q$3,SUMIF('TL02'!$C$238:$C$451,$C228,'TL02'!$J$238:$J$451),0),
IF('TL03'!$B$3=Q$3,SUMIF('TL03'!$C$10:$C$224,$C228,'TL03'!$J$10:$J$224),0),
IF('TL03'!$B$229=Q$3,SUMIF('TL03'!$C$238:$C$451,$C228,'TL03'!$J$238:$J$451),0),
IF('TL04'!$B$3=Q$3,SUMIF('TL04'!$C$10:$C$224,$C228,'TL04'!$J$10:$J$224),0),
IF('TL04'!$B$229=Q$3,SUMIF('TL04'!$C$238:$C$451,$C228,'TL04'!$J$238:$J$451),0),
IF('TL05'!$B$3=Q$3,SUMIF('TL05'!$C$10:$C$224,$C228,'TL05'!$J$10:$J$224),0),
IF('TL05'!$B$229=Q$3,SUMIF('TL05'!$C$238:$C$451,$C228,'TL05'!$J$238:$J$451),0),
IF('TL06'!$B$3=Q$3,SUMIF('TL06'!$C$10:$C$224,$C228,'TL06'!$J$10:$J$224),0),
IF('TL06'!$B$229=Q$3,SUMIF('TL06'!$C$238:$C$451,$C228,'TL06'!$J$238:$J$451),0),
IF('TL07'!$B$3=Q$3,SUMIF('TL07'!$C$10:$C$224,$C228,'TL07'!$J$10:$J$224),0),
IF('TL07'!$B$229=Q$3,SUMIF('TL07'!$C$238:$C$451,$C228,'TL07'!$J$238:$J$451),0),
IF('TL08'!$B$3=Q$3,SUMIF('TL08'!$C$10:$C$224,$C228,'TL08'!$J$10:$J$224),0),
IF('TL08'!$B$229=Q$3,SUMIF('TL08'!$C$238:$C$451,$C228,'TL08'!$J$238:$J$451),0),
IF('TL09'!$B$3=Q$3,SUMIF('TL09'!$C$10:$C$224,$C228,'TL09'!$J$10:$J$224),0),
IF('TL09'!$B$229=Q$3,SUMIF('TL09'!$C$238:$C$451,$C228,'TL09'!$J$238:$J$451),0),
IF('TL10'!$B$3=Q$3,SUMIF('TL10'!$C$10:$C$224,$C228,'TL10'!$J$10:$J$224),0),
IF('TL10'!$B$229=Q$3,SUMIF('TL10'!$C$238:$C$451,$C228,'TL10'!$J$238:$J$451),0),
IF('TL11'!$B$3=Q$3,SUMIF('TL11'!$C$10:$C$224,$C228,'TL11'!$J$10:$J$224),0),
IF('TL11'!$B$229=Q$3,SUMIF('TL11'!$C$238:$C$451,$C228,'TL11'!$J$238:$J$451),0),
IF('TL12'!$B$3=Q$3,SUMIF('TL12'!$C$10:$C$224,$C228,'TL12'!$J$10:$J$224),0),
IF('TL12'!$B$229=Q$3,SUMIF('TL12'!$C$238:$C$451,$C228,'TL12'!$J$238:$J$451),0),
IF('TL13'!$B$3=Q$3,SUMIF('TL13'!$C$10:$C$224,$C228,'TL13'!$J$10:$J$224),0),
IF('TL13'!$B$229=Q$3,SUMIF('TL13'!$C$238:$C$451,$C228,'TL13'!$J$238:$J$451),0),
IF('TL14'!$B$3=Q$3,SUMIF('TL14'!$C$10:$C$224,$C228,'TL14'!$J$10:$J$224),0),
IF('TL14'!$B$229=Q$3,SUMIF('TL14'!$C$238:$C$451,$C228,'TL14'!$J$238:$J$451),0),
IF('TL15'!$B$3=Q$3,SUMIF('TL15'!$C$10:$C$224,$C228,'TL15'!$J$10:$J$224),0),
IF('TL15'!$B$229=Q$3,SUMIF('TL15'!$C$238:$C$451,$C228,'TL15'!$J$238:$J$451),0),
IF('TL16'!$B$3=Q$3,SUMIF('TL16'!$C$10:$C$224,$C228,'TL16'!$J$10:$J$224),0),
IF('TL16'!$B$229=Q$3,SUMIF('TL16'!$C$238:$C$451,$C228,'TL16'!$J$238:$J$451),0),
IF('TL17'!$B$3=Q$3,SUMIF('TL17'!$C$10:$C$224,$C228,'TL17'!$J$10:$J$224),0),
IF('TL17'!$B$229=Q$3,SUMIF('TL17'!$C$238:$C$451,$C228,'TL17'!$J$238:$J$451),0),
IF('TL18'!$B$3=Q$3,SUMIF('TL18'!$C$10:$C$224,$C228,'TL18'!$J$10:$J$224),0),
IF('TL18'!$B$229=Q$3,SUMIF('TL18'!$C$238:$C$451,$C228,'TL18'!$J$238:$J$451),0),
IF('TL19'!$B$3=Q$3,SUMIF('TL19'!$C$10:$C$224,$C228,'TL19'!$J$10:$J$224),0),
IF('TL19'!$B$229=Q$3,SUMIF('TL19'!$C$238:$C$451,$C228,'TL19'!$J$238:$J$451),0)
),0)</f>
        <v/>
      </c>
      <c r="R228" s="9">
        <f>IFERROR(
SUM(
SUMIF('TL01'!C:C,C228,'TL01'!J:J),
SUMIF('TL02'!C:C,C228,'TL02'!J:J),
SUMIF('TL03'!C:C,C228,'TL03'!J:J),
SUMIF('TL04'!C:C,C228,'TL04'!J:J),
SUMIF('TL05'!C:C,C228,'TL05'!J:J),
SUMIF('TL06'!C:C,C228,'TL06'!J:J),
SUMIF('TL07'!C:C,C228,'TL07'!J:J),
SUMIF('TL08'!C:C,C228,'TL08'!J:J),
SUMIF('TL09'!C:C,C228,'TL09'!J:J),
SUMIF('TL10'!C:C,C228,'TL10'!J:J),
SUMIF('TL11'!C:C,C228,'TL11'!J:J),
SUMIF('TL12'!C:C,C228,'TL12'!J:J),
SUMIF('TL13'!C:C,C228,'TL13'!J:J),
SUMIF('TL14'!C:C,C228,'TL14'!J:J),
SUMIF('TL15'!C:C,C228,'TL15'!J:J),
SUMIF('TL16'!C:C,C228,'TL16'!J:J),
SUMIF('TL17'!C:C,C228,'TL17'!J:J),
SUMIF('TL18'!C:C,C228,'TL18'!J:J),SUMIF('TL19'!C:C,C228,'TL19'!J:J))
,0)</f>
        <v/>
      </c>
      <c r="S228" s="17">
        <f>IFERROR(__xludf.DUMMYFUNCTION("IFERROR(VLOOKUP(C228,
IMPORTRANGE(""1wULbzX32WdYsx-lj2U3uUNBBe2INVIRDtcK0d-Dvl90"",
""26-27!C:G""),
5,
FALSE),
"""")"),80.49159)</f>
        <v/>
      </c>
      <c r="T228" s="9" t="n"/>
      <c r="U228" s="92">
        <f>MAX(0,R228-T228)</f>
        <v/>
      </c>
      <c r="V228" s="93">
        <f>U228*S228</f>
        <v/>
      </c>
    </row>
    <row r="229" hidden="1" ht="15.75" customHeight="1" s="297">
      <c r="A229" s="94" t="inlineStr">
        <is>
          <t>SYNGENTA</t>
        </is>
      </c>
      <c r="B229" s="95" t="inlineStr">
        <is>
          <t>INSETICIDA</t>
        </is>
      </c>
      <c r="C229" s="96" t="inlineStr">
        <is>
          <t>ACTARA 250 WG</t>
        </is>
      </c>
      <c r="D229" s="96" t="inlineStr">
        <is>
          <t>TIAMETOXAM</t>
        </is>
      </c>
      <c r="E229" s="96" t="n">
        <v>250</v>
      </c>
      <c r="F229" s="4" t="inlineStr">
        <is>
          <t>L</t>
        </is>
      </c>
      <c r="G229" s="90">
        <f>HYPERLINK("https://www.google.com/search?q=" &amp; C229 &amp; "+bula+agrofit+pdf", "📄 Ver bula")</f>
        <v/>
      </c>
      <c r="H229" s="9">
        <f>IFERROR(__xludf.DUMMYFUNCTION("IFERROR(VLOOKUP(C229,
IMPORTRANGE(""1wULbzX32WdYsx-lj2U3uUNBBe2INVIRDtcK0d-Dvl90"",
""26-27!C:K""),
8,
FALSE),
"""")"),0.2)</f>
        <v/>
      </c>
      <c r="I229" s="97" t="inlineStr">
        <is>
          <t>4X5</t>
        </is>
      </c>
      <c r="J229" s="9">
        <f>IFERROR(SUM(
IF('TL01'!$B$3=J$3,SUMIF('TL01'!$C$10:$C$224,$C229,'TL01'!$J$10:$J$224),0),
IF('TL01'!$B$229=J$3,SUMIF('TL01'!$C$238:$C$451,$C229,'TL01'!$J$238:$J$451),0),
IF('TL02'!$B$3=J$3,SUMIF('TL02'!$C$10:$C$224,$C229,'TL02'!$J$10:$J$224),0),
IF('TL02'!$B$229=J$3,SUMIF('TL02'!$C$238:$C$451,$C229,'TL02'!$J$238:$J$451),0),
IF('TL03'!$B$3=J$3,SUMIF('TL03'!$C$10:$C$224,$C229,'TL03'!$J$10:$J$224),0),
IF('TL03'!$B$229=J$3,SUMIF('TL03'!$C$238:$C$451,$C229,'TL03'!$J$238:$J$451),0),
IF('TL04'!$B$3=J$3,SUMIF('TL04'!$C$10:$C$224,$C229,'TL04'!$J$10:$J$224),0),
IF('TL04'!$B$229=J$3,SUMIF('TL04'!$C$238:$C$451,$C229,'TL04'!$J$238:$J$451),0),
IF('TL05'!$B$3=J$3,SUMIF('TL05'!$C$10:$C$224,$C229,'TL05'!$J$10:$J$224),0),
IF('TL05'!$B$229=J$3,SUMIF('TL05'!$C$238:$C$451,$C229,'TL05'!$J$238:$J$451),0),
IF('TL06'!$B$3=J$3,SUMIF('TL06'!$C$10:$C$224,$C229,'TL06'!$J$10:$J$224),0),
IF('TL06'!$B$229=J$3,SUMIF('TL06'!$C$238:$C$451,$C229,'TL06'!$J$238:$J$451),0),
IF('TL07'!$B$3=J$3,SUMIF('TL07'!$C$10:$C$224,$C229,'TL07'!$J$10:$J$224),0),
IF('TL07'!$B$229=J$3,SUMIF('TL07'!$C$238:$C$451,$C229,'TL07'!$J$238:$J$451),0),
IF('TL08'!$B$3=J$3,SUMIF('TL08'!$C$10:$C$224,$C229,'TL08'!$J$10:$J$224),0),
IF('TL08'!$B$229=J$3,SUMIF('TL08'!$C$238:$C$451,$C229,'TL08'!$J$238:$J$451),0),
IF('TL09'!$B$3=J$3,SUMIF('TL09'!$C$10:$C$224,$C229,'TL09'!$J$10:$J$224),0),
IF('TL09'!$B$229=J$3,SUMIF('TL09'!$C$238:$C$451,$C229,'TL09'!$J$238:$J$451),0),
IF('TL10'!$B$3=J$3,SUMIF('TL10'!$C$10:$C$224,$C229,'TL10'!$J$10:$J$224),0),
IF('TL10'!$B$229=J$3,SUMIF('TL10'!$C$238:$C$451,$C229,'TL10'!$J$238:$J$451),0),
IF('TL11'!$B$3=J$3,SUMIF('TL11'!$C$10:$C$224,$C229,'TL11'!$J$10:$J$224),0),
IF('TL11'!$B$229=J$3,SUMIF('TL11'!$C$238:$C$451,$C229,'TL11'!$J$238:$J$451),0),
IF('TL12'!$B$3=J$3,SUMIF('TL12'!$C$10:$C$224,$C229,'TL12'!$J$10:$J$224),0),
IF('TL12'!$B$229=J$3,SUMIF('TL12'!$C$238:$C$451,$C229,'TL12'!$J$238:$J$451),0),
IF('TL13'!$B$3=J$3,SUMIF('TL13'!$C$10:$C$224,$C229,'TL13'!$J$10:$J$224),0),
IF('TL13'!$B$229=J$3,SUMIF('TL13'!$C$238:$C$451,$C229,'TL13'!$J$238:$J$451),0),
IF('TL14'!$B$3=J$3,SUMIF('TL14'!$C$10:$C$224,$C229,'TL14'!$J$10:$J$224),0),
IF('TL14'!$B$229=J$3,SUMIF('TL14'!$C$238:$C$451,$C229,'TL14'!$J$238:$J$451),0),
IF('TL15'!$B$3=J$3,SUMIF('TL15'!$C$10:$C$224,$C229,'TL15'!$J$10:$J$224),0),
IF('TL15'!$B$229=J$3,SUMIF('TL15'!$C$238:$C$451,$C229,'TL15'!$J$238:$J$451),0),
IF('TL16'!$B$3=J$3,SUMIF('TL16'!$C$10:$C$224,$C229,'TL16'!$J$10:$J$224),0),
IF('TL16'!$B$229=J$3,SUMIF('TL16'!$C$238:$C$451,$C229,'TL16'!$J$238:$J$451),0),
IF('TL17'!$B$3=J$3,SUMIF('TL17'!$C$10:$C$224,$C229,'TL17'!$J$10:$J$224),0),
IF('TL17'!$B$229=J$3,SUMIF('TL17'!$C$238:$C$451,$C229,'TL17'!$J$238:$J$451),0),
IF('TL18'!$B$3=J$3,SUMIF('TL18'!$C$10:$C$224,$C229,'TL18'!$J$10:$J$224),0),
IF('TL18'!$B$229=J$3,SUMIF('TL18'!$C$238:$C$451,$C229,'TL18'!$J$238:$J$451),0),
IF('TL19'!$B$3=J$3,SUMIF('TL19'!$C$10:$C$224,$C229,'TL19'!$J$10:$J$224),0),
IF('TL19'!$B$229=J$3,SUMIF('TL19'!$C$238:$C$451,$C229,'TL19'!$J$238:$J$451),0)
),0)</f>
        <v/>
      </c>
      <c r="K229" s="9">
        <f>IFERROR(SUM(
IF('TL01'!$B$3=K$3,SUMIF('TL01'!$C$10:$C$224,$C229,'TL01'!$J$10:$J$224),0),
IF('TL01'!$B$229=K$3,SUMIF('TL01'!$C$238:$C$451,$C229,'TL01'!$J$238:$J$451),0),
IF('TL02'!$B$3=K$3,SUMIF('TL02'!$C$10:$C$224,$C229,'TL02'!$J$10:$J$224),0),
IF('TL02'!$B$229=K$3,SUMIF('TL02'!$C$238:$C$451,$C229,'TL02'!$J$238:$J$451),0),
IF('TL03'!$B$3=K$3,SUMIF('TL03'!$C$10:$C$224,$C229,'TL03'!$J$10:$J$224),0),
IF('TL03'!$B$229=K$3,SUMIF('TL03'!$C$238:$C$451,$C229,'TL03'!$J$238:$J$451),0),
IF('TL04'!$B$3=K$3,SUMIF('TL04'!$C$10:$C$224,$C229,'TL04'!$J$10:$J$224),0),
IF('TL04'!$B$229=K$3,SUMIF('TL04'!$C$238:$C$451,$C229,'TL04'!$J$238:$J$451),0),
IF('TL05'!$B$3=K$3,SUMIF('TL05'!$C$10:$C$224,$C229,'TL05'!$J$10:$J$224),0),
IF('TL05'!$B$229=K$3,SUMIF('TL05'!$C$238:$C$451,$C229,'TL05'!$J$238:$J$451),0),
IF('TL06'!$B$3=K$3,SUMIF('TL06'!$C$10:$C$224,$C229,'TL06'!$J$10:$J$224),0),
IF('TL06'!$B$229=K$3,SUMIF('TL06'!$C$238:$C$451,$C229,'TL06'!$J$238:$J$451),0),
IF('TL07'!$B$3=K$3,SUMIF('TL07'!$C$10:$C$224,$C229,'TL07'!$J$10:$J$224),0),
IF('TL07'!$B$229=K$3,SUMIF('TL07'!$C$238:$C$451,$C229,'TL07'!$J$238:$J$451),0),
IF('TL08'!$B$3=K$3,SUMIF('TL08'!$C$10:$C$224,$C229,'TL08'!$J$10:$J$224),0),
IF('TL08'!$B$229=K$3,SUMIF('TL08'!$C$238:$C$451,$C229,'TL08'!$J$238:$J$451),0),
IF('TL09'!$B$3=K$3,SUMIF('TL09'!$C$10:$C$224,$C229,'TL09'!$J$10:$J$224),0),
IF('TL09'!$B$229=K$3,SUMIF('TL09'!$C$238:$C$451,$C229,'TL09'!$J$238:$J$451),0),
IF('TL10'!$B$3=K$3,SUMIF('TL10'!$C$10:$C$224,$C229,'TL10'!$J$10:$J$224),0),
IF('TL10'!$B$229=K$3,SUMIF('TL10'!$C$238:$C$451,$C229,'TL10'!$J$238:$J$451),0),
IF('TL11'!$B$3=K$3,SUMIF('TL11'!$C$10:$C$224,$C229,'TL11'!$J$10:$J$224),0),
IF('TL11'!$B$229=K$3,SUMIF('TL11'!$C$238:$C$451,$C229,'TL11'!$J$238:$J$451),0),
IF('TL12'!$B$3=K$3,SUMIF('TL12'!$C$10:$C$224,$C229,'TL12'!$J$10:$J$224),0),
IF('TL12'!$B$229=K$3,SUMIF('TL12'!$C$238:$C$451,$C229,'TL12'!$J$238:$J$451),0),
IF('TL13'!$B$3=K$3,SUMIF('TL13'!$C$10:$C$224,$C229,'TL13'!$J$10:$J$224),0),
IF('TL13'!$B$229=K$3,SUMIF('TL13'!$C$238:$C$451,$C229,'TL13'!$J$238:$J$451),0),
IF('TL14'!$B$3=K$3,SUMIF('TL14'!$C$10:$C$224,$C229,'TL14'!$J$10:$J$224),0),
IF('TL14'!$B$229=K$3,SUMIF('TL14'!$C$238:$C$451,$C229,'TL14'!$J$238:$J$451),0),
IF('TL15'!$B$3=K$3,SUMIF('TL15'!$C$10:$C$224,$C229,'TL15'!$J$10:$J$224),0),
IF('TL15'!$B$229=K$3,SUMIF('TL15'!$C$238:$C$451,$C229,'TL15'!$J$238:$J$451),0),
IF('TL16'!$B$3=K$3,SUMIF('TL16'!$C$10:$C$224,$C229,'TL16'!$J$10:$J$224),0),
IF('TL16'!$B$229=K$3,SUMIF('TL16'!$C$238:$C$451,$C229,'TL16'!$J$238:$J$451),0),
IF('TL17'!$B$3=K$3,SUMIF('TL17'!$C$10:$C$224,$C229,'TL17'!$J$10:$J$224),0),
IF('TL17'!$B$229=K$3,SUMIF('TL17'!$C$238:$C$451,$C229,'TL17'!$J$238:$J$451),0),
IF('TL18'!$B$3=K$3,SUMIF('TL18'!$C$10:$C$224,$C229,'TL18'!$J$10:$J$224),0),
IF('TL18'!$B$229=K$3,SUMIF('TL18'!$C$238:$C$451,$C229,'TL18'!$J$238:$J$451),0),
IF('TL19'!$B$3=K$3,SUMIF('TL19'!$C$10:$C$224,$C229,'TL19'!$J$10:$J$224),0),
IF('TL19'!$B$229=K$3,SUMIF('TL19'!$C$238:$C$451,$C229,'TL19'!$J$238:$J$451),0)
),0)</f>
        <v/>
      </c>
      <c r="L229" s="9">
        <f>IFERROR(SUM(
IF('TL01'!$B$3=L$3,SUMIF('TL01'!$C$10:$C$224,$C229,'TL01'!$J$10:$J$224),0),
IF('TL01'!$B$229=L$3,SUMIF('TL01'!$C$238:$C$451,$C229,'TL01'!$J$238:$J$451),0),
IF('TL02'!$B$3=L$3,SUMIF('TL02'!$C$10:$C$224,$C229,'TL02'!$J$10:$J$224),0),
IF('TL02'!$B$229=L$3,SUMIF('TL02'!$C$238:$C$451,$C229,'TL02'!$J$238:$J$451),0),
IF('TL03'!$B$3=L$3,SUMIF('TL03'!$C$10:$C$224,$C229,'TL03'!$J$10:$J$224),0),
IF('TL03'!$B$229=L$3,SUMIF('TL03'!$C$238:$C$451,$C229,'TL03'!$J$238:$J$451),0),
IF('TL04'!$B$3=L$3,SUMIF('TL04'!$C$10:$C$224,$C229,'TL04'!$J$10:$J$224),0),
IF('TL04'!$B$229=L$3,SUMIF('TL04'!$C$238:$C$451,$C229,'TL04'!$J$238:$J$451),0),
IF('TL05'!$B$3=L$3,SUMIF('TL05'!$C$10:$C$224,$C229,'TL05'!$J$10:$J$224),0),
IF('TL05'!$B$229=L$3,SUMIF('TL05'!$C$238:$C$451,$C229,'TL05'!$J$238:$J$451),0),
IF('TL06'!$B$3=L$3,SUMIF('TL06'!$C$10:$C$224,$C229,'TL06'!$J$10:$J$224),0),
IF('TL06'!$B$229=L$3,SUMIF('TL06'!$C$238:$C$451,$C229,'TL06'!$J$238:$J$451),0),
IF('TL07'!$B$3=L$3,SUMIF('TL07'!$C$10:$C$224,$C229,'TL07'!$J$10:$J$224),0),
IF('TL07'!$B$229=L$3,SUMIF('TL07'!$C$238:$C$451,$C229,'TL07'!$J$238:$J$451),0),
IF('TL08'!$B$3=L$3,SUMIF('TL08'!$C$10:$C$224,$C229,'TL08'!$J$10:$J$224),0),
IF('TL08'!$B$229=L$3,SUMIF('TL08'!$C$238:$C$451,$C229,'TL08'!$J$238:$J$451),0),
IF('TL09'!$B$3=L$3,SUMIF('TL09'!$C$10:$C$224,$C229,'TL09'!$J$10:$J$224),0),
IF('TL09'!$B$229=L$3,SUMIF('TL09'!$C$238:$C$451,$C229,'TL09'!$J$238:$J$451),0),
IF('TL10'!$B$3=L$3,SUMIF('TL10'!$C$10:$C$224,$C229,'TL10'!$J$10:$J$224),0),
IF('TL10'!$B$229=L$3,SUMIF('TL10'!$C$238:$C$451,$C229,'TL10'!$J$238:$J$451),0),
IF('TL11'!$B$3=L$3,SUMIF('TL11'!$C$10:$C$224,$C229,'TL11'!$J$10:$J$224),0),
IF('TL11'!$B$229=L$3,SUMIF('TL11'!$C$238:$C$451,$C229,'TL11'!$J$238:$J$451),0),
IF('TL12'!$B$3=L$3,SUMIF('TL12'!$C$10:$C$224,$C229,'TL12'!$J$10:$J$224),0),
IF('TL12'!$B$229=L$3,SUMIF('TL12'!$C$238:$C$451,$C229,'TL12'!$J$238:$J$451),0),
IF('TL13'!$B$3=L$3,SUMIF('TL13'!$C$10:$C$224,$C229,'TL13'!$J$10:$J$224),0),
IF('TL13'!$B$229=L$3,SUMIF('TL13'!$C$238:$C$451,$C229,'TL13'!$J$238:$J$451),0),
IF('TL14'!$B$3=L$3,SUMIF('TL14'!$C$10:$C$224,$C229,'TL14'!$J$10:$J$224),0),
IF('TL14'!$B$229=L$3,SUMIF('TL14'!$C$238:$C$451,$C229,'TL14'!$J$238:$J$451),0),
IF('TL15'!$B$3=L$3,SUMIF('TL15'!$C$10:$C$224,$C229,'TL15'!$J$10:$J$224),0),
IF('TL15'!$B$229=L$3,SUMIF('TL15'!$C$238:$C$451,$C229,'TL15'!$J$238:$J$451),0),
IF('TL16'!$B$3=L$3,SUMIF('TL16'!$C$10:$C$224,$C229,'TL16'!$J$10:$J$224),0),
IF('TL16'!$B$229=L$3,SUMIF('TL16'!$C$238:$C$451,$C229,'TL16'!$J$238:$J$451),0),
IF('TL17'!$B$3=L$3,SUMIF('TL17'!$C$10:$C$224,$C229,'TL17'!$J$10:$J$224),0),
IF('TL17'!$B$229=L$3,SUMIF('TL17'!$C$238:$C$451,$C229,'TL17'!$J$238:$J$451),0),
IF('TL18'!$B$3=L$3,SUMIF('TL18'!$C$10:$C$224,$C229,'TL18'!$J$10:$J$224),0),
IF('TL18'!$B$229=L$3,SUMIF('TL18'!$C$238:$C$451,$C229,'TL18'!$J$238:$J$451),0),
IF('TL19'!$B$3=L$3,SUMIF('TL19'!$C$10:$C$224,$C229,'TL19'!$J$10:$J$224),0),
IF('TL19'!$B$229=L$3,SUMIF('TL19'!$C$238:$C$451,$C229,'TL19'!$J$238:$J$451),0)
),0)</f>
        <v/>
      </c>
      <c r="M229" s="9">
        <f>IFERROR(SUM(
IF('TL01'!$B$3=M$3,SUMIF('TL01'!$C$10:$C$224,$C229,'TL01'!$J$10:$J$224),0),
IF('TL01'!$B$229=M$3,SUMIF('TL01'!$C$238:$C$451,$C229,'TL01'!$J$238:$J$451),0),
IF('TL02'!$B$3=M$3,SUMIF('TL02'!$C$10:$C$224,$C229,'TL02'!$J$10:$J$224),0),
IF('TL02'!$B$229=M$3,SUMIF('TL02'!$C$238:$C$451,$C229,'TL02'!$J$238:$J$451),0),
IF('TL03'!$B$3=M$3,SUMIF('TL03'!$C$10:$C$224,$C229,'TL03'!$J$10:$J$224),0),
IF('TL03'!$B$229=M$3,SUMIF('TL03'!$C$238:$C$451,$C229,'TL03'!$J$238:$J$451),0),
IF('TL04'!$B$3=M$3,SUMIF('TL04'!$C$10:$C$224,$C229,'TL04'!$J$10:$J$224),0),
IF('TL04'!$B$229=M$3,SUMIF('TL04'!$C$238:$C$451,$C229,'TL04'!$J$238:$J$451),0),
IF('TL05'!$B$3=M$3,SUMIF('TL05'!$C$10:$C$224,$C229,'TL05'!$J$10:$J$224),0),
IF('TL05'!$B$229=M$3,SUMIF('TL05'!$C$238:$C$451,$C229,'TL05'!$J$238:$J$451),0),
IF('TL06'!$B$3=M$3,SUMIF('TL06'!$C$10:$C$224,$C229,'TL06'!$J$10:$J$224),0),
IF('TL06'!$B$229=M$3,SUMIF('TL06'!$C$238:$C$451,$C229,'TL06'!$J$238:$J$451),0),
IF('TL07'!$B$3=M$3,SUMIF('TL07'!$C$10:$C$224,$C229,'TL07'!$J$10:$J$224),0),
IF('TL07'!$B$229=M$3,SUMIF('TL07'!$C$238:$C$451,$C229,'TL07'!$J$238:$J$451),0),
IF('TL08'!$B$3=M$3,SUMIF('TL08'!$C$10:$C$224,$C229,'TL08'!$J$10:$J$224),0),
IF('TL08'!$B$229=M$3,SUMIF('TL08'!$C$238:$C$451,$C229,'TL08'!$J$238:$J$451),0),
IF('TL09'!$B$3=M$3,SUMIF('TL09'!$C$10:$C$224,$C229,'TL09'!$J$10:$J$224),0),
IF('TL09'!$B$229=M$3,SUMIF('TL09'!$C$238:$C$451,$C229,'TL09'!$J$238:$J$451),0),
IF('TL10'!$B$3=M$3,SUMIF('TL10'!$C$10:$C$224,$C229,'TL10'!$J$10:$J$224),0),
IF('TL10'!$B$229=M$3,SUMIF('TL10'!$C$238:$C$451,$C229,'TL10'!$J$238:$J$451),0),
IF('TL11'!$B$3=M$3,SUMIF('TL11'!$C$10:$C$224,$C229,'TL11'!$J$10:$J$224),0),
IF('TL11'!$B$229=M$3,SUMIF('TL11'!$C$238:$C$451,$C229,'TL11'!$J$238:$J$451),0),
IF('TL12'!$B$3=M$3,SUMIF('TL12'!$C$10:$C$224,$C229,'TL12'!$J$10:$J$224),0),
IF('TL12'!$B$229=M$3,SUMIF('TL12'!$C$238:$C$451,$C229,'TL12'!$J$238:$J$451),0),
IF('TL13'!$B$3=M$3,SUMIF('TL13'!$C$10:$C$224,$C229,'TL13'!$J$10:$J$224),0),
IF('TL13'!$B$229=M$3,SUMIF('TL13'!$C$238:$C$451,$C229,'TL13'!$J$238:$J$451),0),
IF('TL14'!$B$3=M$3,SUMIF('TL14'!$C$10:$C$224,$C229,'TL14'!$J$10:$J$224),0),
IF('TL14'!$B$229=M$3,SUMIF('TL14'!$C$238:$C$451,$C229,'TL14'!$J$238:$J$451),0),
IF('TL15'!$B$3=M$3,SUMIF('TL15'!$C$10:$C$224,$C229,'TL15'!$J$10:$J$224),0),
IF('TL15'!$B$229=M$3,SUMIF('TL15'!$C$238:$C$451,$C229,'TL15'!$J$238:$J$451),0),
IF('TL16'!$B$3=M$3,SUMIF('TL16'!$C$10:$C$224,$C229,'TL16'!$J$10:$J$224),0),
IF('TL16'!$B$229=M$3,SUMIF('TL16'!$C$238:$C$451,$C229,'TL16'!$J$238:$J$451),0),
IF('TL17'!$B$3=M$3,SUMIF('TL17'!$C$10:$C$224,$C229,'TL17'!$J$10:$J$224),0),
IF('TL17'!$B$229=M$3,SUMIF('TL17'!$C$238:$C$451,$C229,'TL17'!$J$238:$J$451),0),
IF('TL18'!$B$3=M$3,SUMIF('TL18'!$C$10:$C$224,$C229,'TL18'!$J$10:$J$224),0),
IF('TL18'!$B$229=M$3,SUMIF('TL18'!$C$238:$C$451,$C229,'TL18'!$J$238:$J$451),0),
IF('TL19'!$B$3=M$3,SUMIF('TL19'!$C$10:$C$224,$C229,'TL19'!$J$10:$J$224),0),
IF('TL19'!$B$229=M$3,SUMIF('TL19'!$C$238:$C$451,$C229,'TL19'!$J$238:$J$451),0)
),0)</f>
        <v/>
      </c>
      <c r="N229" s="9">
        <f>IFERROR(SUM(
IF('TL01'!$B$3=N$3,SUMIF('TL01'!$C$10:$C$224,$C229,'TL01'!$J$10:$J$224),0),
IF('TL01'!$B$229=N$3,SUMIF('TL01'!$C$238:$C$451,$C229,'TL01'!$J$238:$J$451),0),
IF('TL02'!$B$3=N$3,SUMIF('TL02'!$C$10:$C$224,$C229,'TL02'!$J$10:$J$224),0),
IF('TL02'!$B$229=N$3,SUMIF('TL02'!$C$238:$C$451,$C229,'TL02'!$J$238:$J$451),0),
IF('TL03'!$B$3=N$3,SUMIF('TL03'!$C$10:$C$224,$C229,'TL03'!$J$10:$J$224),0),
IF('TL03'!$B$229=N$3,SUMIF('TL03'!$C$238:$C$451,$C229,'TL03'!$J$238:$J$451),0),
IF('TL04'!$B$3=N$3,SUMIF('TL04'!$C$10:$C$224,$C229,'TL04'!$J$10:$J$224),0),
IF('TL04'!$B$229=N$3,SUMIF('TL04'!$C$238:$C$451,$C229,'TL04'!$J$238:$J$451),0),
IF('TL05'!$B$3=N$3,SUMIF('TL05'!$C$10:$C$224,$C229,'TL05'!$J$10:$J$224),0),
IF('TL05'!$B$229=N$3,SUMIF('TL05'!$C$238:$C$451,$C229,'TL05'!$J$238:$J$451),0),
IF('TL06'!$B$3=N$3,SUMIF('TL06'!$C$10:$C$224,$C229,'TL06'!$J$10:$J$224),0),
IF('TL06'!$B$229=N$3,SUMIF('TL06'!$C$238:$C$451,$C229,'TL06'!$J$238:$J$451),0),
IF('TL07'!$B$3=N$3,SUMIF('TL07'!$C$10:$C$224,$C229,'TL07'!$J$10:$J$224),0),
IF('TL07'!$B$229=N$3,SUMIF('TL07'!$C$238:$C$451,$C229,'TL07'!$J$238:$J$451),0),
IF('TL08'!$B$3=N$3,SUMIF('TL08'!$C$10:$C$224,$C229,'TL08'!$J$10:$J$224),0),
IF('TL08'!$B$229=N$3,SUMIF('TL08'!$C$238:$C$451,$C229,'TL08'!$J$238:$J$451),0),
IF('TL09'!$B$3=N$3,SUMIF('TL09'!$C$10:$C$224,$C229,'TL09'!$J$10:$J$224),0),
IF('TL09'!$B$229=N$3,SUMIF('TL09'!$C$238:$C$451,$C229,'TL09'!$J$238:$J$451),0),
IF('TL10'!$B$3=N$3,SUMIF('TL10'!$C$10:$C$224,$C229,'TL10'!$J$10:$J$224),0),
IF('TL10'!$B$229=N$3,SUMIF('TL10'!$C$238:$C$451,$C229,'TL10'!$J$238:$J$451),0),
IF('TL11'!$B$3=N$3,SUMIF('TL11'!$C$10:$C$224,$C229,'TL11'!$J$10:$J$224),0),
IF('TL11'!$B$229=N$3,SUMIF('TL11'!$C$238:$C$451,$C229,'TL11'!$J$238:$J$451),0),
IF('TL12'!$B$3=N$3,SUMIF('TL12'!$C$10:$C$224,$C229,'TL12'!$J$10:$J$224),0),
IF('TL12'!$B$229=N$3,SUMIF('TL12'!$C$238:$C$451,$C229,'TL12'!$J$238:$J$451),0),
IF('TL13'!$B$3=N$3,SUMIF('TL13'!$C$10:$C$224,$C229,'TL13'!$J$10:$J$224),0),
IF('TL13'!$B$229=N$3,SUMIF('TL13'!$C$238:$C$451,$C229,'TL13'!$J$238:$J$451),0),
IF('TL14'!$B$3=N$3,SUMIF('TL14'!$C$10:$C$224,$C229,'TL14'!$J$10:$J$224),0),
IF('TL14'!$B$229=N$3,SUMIF('TL14'!$C$238:$C$451,$C229,'TL14'!$J$238:$J$451),0),
IF('TL15'!$B$3=N$3,SUMIF('TL15'!$C$10:$C$224,$C229,'TL15'!$J$10:$J$224),0),
IF('TL15'!$B$229=N$3,SUMIF('TL15'!$C$238:$C$451,$C229,'TL15'!$J$238:$J$451),0),
IF('TL16'!$B$3=N$3,SUMIF('TL16'!$C$10:$C$224,$C229,'TL16'!$J$10:$J$224),0),
IF('TL16'!$B$229=N$3,SUMIF('TL16'!$C$238:$C$451,$C229,'TL16'!$J$238:$J$451),0),
IF('TL17'!$B$3=N$3,SUMIF('TL17'!$C$10:$C$224,$C229,'TL17'!$J$10:$J$224),0),
IF('TL17'!$B$229=N$3,SUMIF('TL17'!$C$238:$C$451,$C229,'TL17'!$J$238:$J$451),0),
IF('TL18'!$B$3=N$3,SUMIF('TL18'!$C$10:$C$224,$C229,'TL18'!$J$10:$J$224),0),
IF('TL18'!$B$229=N$3,SUMIF('TL18'!$C$238:$C$451,$C229,'TL18'!$J$238:$J$451),0),
IF('TL19'!$B$3=N$3,SUMIF('TL19'!$C$10:$C$224,$C229,'TL19'!$J$10:$J$224),0),
IF('TL19'!$B$229=N$3,SUMIF('TL19'!$C$238:$C$451,$C229,'TL19'!$J$238:$J$451),0)
),0)</f>
        <v/>
      </c>
      <c r="O229" s="9">
        <f>IFERROR(SUM(
IF('TL01'!$B$3=O$3,SUMIF('TL01'!$C$10:$C$224,$C229,'TL01'!$J$10:$J$224),0),
IF('TL01'!$B$229=O$3,SUMIF('TL01'!$C$238:$C$451,$C229,'TL01'!$J$238:$J$451),0),
IF('TL02'!$B$3=O$3,SUMIF('TL02'!$C$10:$C$224,$C229,'TL02'!$J$10:$J$224),0),
IF('TL02'!$B$229=O$3,SUMIF('TL02'!$C$238:$C$451,$C229,'TL02'!$J$238:$J$451),0),
IF('TL03'!$B$3=O$3,SUMIF('TL03'!$C$10:$C$224,$C229,'TL03'!$J$10:$J$224),0),
IF('TL03'!$B$229=O$3,SUMIF('TL03'!$C$238:$C$451,$C229,'TL03'!$J$238:$J$451),0),
IF('TL04'!$B$3=O$3,SUMIF('TL04'!$C$10:$C$224,$C229,'TL04'!$J$10:$J$224),0),
IF('TL04'!$B$229=O$3,SUMIF('TL04'!$C$238:$C$451,$C229,'TL04'!$J$238:$J$451),0),
IF('TL05'!$B$3=O$3,SUMIF('TL05'!$C$10:$C$224,$C229,'TL05'!$J$10:$J$224),0),
IF('TL05'!$B$229=O$3,SUMIF('TL05'!$C$238:$C$451,$C229,'TL05'!$J$238:$J$451),0),
IF('TL06'!$B$3=O$3,SUMIF('TL06'!$C$10:$C$224,$C229,'TL06'!$J$10:$J$224),0),
IF('TL06'!$B$229=O$3,SUMIF('TL06'!$C$238:$C$451,$C229,'TL06'!$J$238:$J$451),0),
IF('TL07'!$B$3=O$3,SUMIF('TL07'!$C$10:$C$224,$C229,'TL07'!$J$10:$J$224),0),
IF('TL07'!$B$229=O$3,SUMIF('TL07'!$C$238:$C$451,$C229,'TL07'!$J$238:$J$451),0),
IF('TL08'!$B$3=O$3,SUMIF('TL08'!$C$10:$C$224,$C229,'TL08'!$J$10:$J$224),0),
IF('TL08'!$B$229=O$3,SUMIF('TL08'!$C$238:$C$451,$C229,'TL08'!$J$238:$J$451),0),
IF('TL09'!$B$3=O$3,SUMIF('TL09'!$C$10:$C$224,$C229,'TL09'!$J$10:$J$224),0),
IF('TL09'!$B$229=O$3,SUMIF('TL09'!$C$238:$C$451,$C229,'TL09'!$J$238:$J$451),0),
IF('TL10'!$B$3=O$3,SUMIF('TL10'!$C$10:$C$224,$C229,'TL10'!$J$10:$J$224),0),
IF('TL10'!$B$229=O$3,SUMIF('TL10'!$C$238:$C$451,$C229,'TL10'!$J$238:$J$451),0),
IF('TL11'!$B$3=O$3,SUMIF('TL11'!$C$10:$C$224,$C229,'TL11'!$J$10:$J$224),0),
IF('TL11'!$B$229=O$3,SUMIF('TL11'!$C$238:$C$451,$C229,'TL11'!$J$238:$J$451),0),
IF('TL12'!$B$3=O$3,SUMIF('TL12'!$C$10:$C$224,$C229,'TL12'!$J$10:$J$224),0),
IF('TL12'!$B$229=O$3,SUMIF('TL12'!$C$238:$C$451,$C229,'TL12'!$J$238:$J$451),0),
IF('TL13'!$B$3=O$3,SUMIF('TL13'!$C$10:$C$224,$C229,'TL13'!$J$10:$J$224),0),
IF('TL13'!$B$229=O$3,SUMIF('TL13'!$C$238:$C$451,$C229,'TL13'!$J$238:$J$451),0),
IF('TL14'!$B$3=O$3,SUMIF('TL14'!$C$10:$C$224,$C229,'TL14'!$J$10:$J$224),0),
IF('TL14'!$B$229=O$3,SUMIF('TL14'!$C$238:$C$451,$C229,'TL14'!$J$238:$J$451),0),
IF('TL15'!$B$3=O$3,SUMIF('TL15'!$C$10:$C$224,$C229,'TL15'!$J$10:$J$224),0),
IF('TL15'!$B$229=O$3,SUMIF('TL15'!$C$238:$C$451,$C229,'TL15'!$J$238:$J$451),0),
IF('TL16'!$B$3=O$3,SUMIF('TL16'!$C$10:$C$224,$C229,'TL16'!$J$10:$J$224),0),
IF('TL16'!$B$229=O$3,SUMIF('TL16'!$C$238:$C$451,$C229,'TL16'!$J$238:$J$451),0),
IF('TL17'!$B$3=O$3,SUMIF('TL17'!$C$10:$C$224,$C229,'TL17'!$J$10:$J$224),0),
IF('TL17'!$B$229=O$3,SUMIF('TL17'!$C$238:$C$451,$C229,'TL17'!$J$238:$J$451),0),
IF('TL18'!$B$3=O$3,SUMIF('TL18'!$C$10:$C$224,$C229,'TL18'!$J$10:$J$224),0),
IF('TL18'!$B$229=O$3,SUMIF('TL18'!$C$238:$C$451,$C229,'TL18'!$J$238:$J$451),0),
IF('TL19'!$B$3=O$3,SUMIF('TL19'!$C$10:$C$224,$C229,'TL19'!$J$10:$J$224),0),
IF('TL19'!$B$229=O$3,SUMIF('TL19'!$C$238:$C$451,$C229,'TL19'!$J$238:$J$451),0)
),0)</f>
        <v/>
      </c>
      <c r="P229" s="9">
        <f>IFERROR(SUM(
IF('TL01'!$B$3=P$3,SUMIF('TL01'!$C$10:$C$224,$C229,'TL01'!$J$10:$J$224),0),
IF('TL01'!$B$229=P$3,SUMIF('TL01'!$C$238:$C$451,$C229,'TL01'!$J$238:$J$451),0),
IF('TL02'!$B$3=P$3,SUMIF('TL02'!$C$10:$C$224,$C229,'TL02'!$J$10:$J$224),0),
IF('TL02'!$B$229=P$3,SUMIF('TL02'!$C$238:$C$451,$C229,'TL02'!$J$238:$J$451),0),
IF('TL03'!$B$3=P$3,SUMIF('TL03'!$C$10:$C$224,$C229,'TL03'!$J$10:$J$224),0),
IF('TL03'!$B$229=P$3,SUMIF('TL03'!$C$238:$C$451,$C229,'TL03'!$J$238:$J$451),0),
IF('TL04'!$B$3=P$3,SUMIF('TL04'!$C$10:$C$224,$C229,'TL04'!$J$10:$J$224),0),
IF('TL04'!$B$229=P$3,SUMIF('TL04'!$C$238:$C$451,$C229,'TL04'!$J$238:$J$451),0),
IF('TL05'!$B$3=P$3,SUMIF('TL05'!$C$10:$C$224,$C229,'TL05'!$J$10:$J$224),0),
IF('TL05'!$B$229=P$3,SUMIF('TL05'!$C$238:$C$451,$C229,'TL05'!$J$238:$J$451),0),
IF('TL06'!$B$3=P$3,SUMIF('TL06'!$C$10:$C$224,$C229,'TL06'!$J$10:$J$224),0),
IF('TL06'!$B$229=P$3,SUMIF('TL06'!$C$238:$C$451,$C229,'TL06'!$J$238:$J$451),0),
IF('TL07'!$B$3=P$3,SUMIF('TL07'!$C$10:$C$224,$C229,'TL07'!$J$10:$J$224),0),
IF('TL07'!$B$229=P$3,SUMIF('TL07'!$C$238:$C$451,$C229,'TL07'!$J$238:$J$451),0),
IF('TL08'!$B$3=P$3,SUMIF('TL08'!$C$10:$C$224,$C229,'TL08'!$J$10:$J$224),0),
IF('TL08'!$B$229=P$3,SUMIF('TL08'!$C$238:$C$451,$C229,'TL08'!$J$238:$J$451),0),
IF('TL09'!$B$3=P$3,SUMIF('TL09'!$C$10:$C$224,$C229,'TL09'!$J$10:$J$224),0),
IF('TL09'!$B$229=P$3,SUMIF('TL09'!$C$238:$C$451,$C229,'TL09'!$J$238:$J$451),0),
IF('TL10'!$B$3=P$3,SUMIF('TL10'!$C$10:$C$224,$C229,'TL10'!$J$10:$J$224),0),
IF('TL10'!$B$229=P$3,SUMIF('TL10'!$C$238:$C$451,$C229,'TL10'!$J$238:$J$451),0),
IF('TL11'!$B$3=P$3,SUMIF('TL11'!$C$10:$C$224,$C229,'TL11'!$J$10:$J$224),0),
IF('TL11'!$B$229=P$3,SUMIF('TL11'!$C$238:$C$451,$C229,'TL11'!$J$238:$J$451),0),
IF('TL12'!$B$3=P$3,SUMIF('TL12'!$C$10:$C$224,$C229,'TL12'!$J$10:$J$224),0),
IF('TL12'!$B$229=P$3,SUMIF('TL12'!$C$238:$C$451,$C229,'TL12'!$J$238:$J$451),0),
IF('TL13'!$B$3=P$3,SUMIF('TL13'!$C$10:$C$224,$C229,'TL13'!$J$10:$J$224),0),
IF('TL13'!$B$229=P$3,SUMIF('TL13'!$C$238:$C$451,$C229,'TL13'!$J$238:$J$451),0),
IF('TL14'!$B$3=P$3,SUMIF('TL14'!$C$10:$C$224,$C229,'TL14'!$J$10:$J$224),0),
IF('TL14'!$B$229=P$3,SUMIF('TL14'!$C$238:$C$451,$C229,'TL14'!$J$238:$J$451),0),
IF('TL15'!$B$3=P$3,SUMIF('TL15'!$C$10:$C$224,$C229,'TL15'!$J$10:$J$224),0),
IF('TL15'!$B$229=P$3,SUMIF('TL15'!$C$238:$C$451,$C229,'TL15'!$J$238:$J$451),0),
IF('TL16'!$B$3=P$3,SUMIF('TL16'!$C$10:$C$224,$C229,'TL16'!$J$10:$J$224),0),
IF('TL16'!$B$229=P$3,SUMIF('TL16'!$C$238:$C$451,$C229,'TL16'!$J$238:$J$451),0),
IF('TL17'!$B$3=P$3,SUMIF('TL17'!$C$10:$C$224,$C229,'TL17'!$J$10:$J$224),0),
IF('TL17'!$B$229=P$3,SUMIF('TL17'!$C$238:$C$451,$C229,'TL17'!$J$238:$J$451),0),
IF('TL18'!$B$3=P$3,SUMIF('TL18'!$C$10:$C$224,$C229,'TL18'!$J$10:$J$224),0),
IF('TL18'!$B$229=P$3,SUMIF('TL18'!$C$238:$C$451,$C229,'TL18'!$J$238:$J$451),0),
IF('TL19'!$B$3=P$3,SUMIF('TL19'!$C$10:$C$224,$C229,'TL19'!$J$10:$J$224),0),
IF('TL19'!$B$229=P$3,SUMIF('TL19'!$C$238:$C$451,$C229,'TL19'!$J$238:$J$451),0)
),0)</f>
        <v/>
      </c>
      <c r="Q229" s="9">
        <f>IFERROR(SUM(
IF('TL01'!$B$3=Q$3,SUMIF('TL01'!$C$10:$C$224,$C229,'TL01'!$J$10:$J$224),0),
IF('TL01'!$B$229=Q$3,SUMIF('TL01'!$C$238:$C$451,$C229,'TL01'!$J$238:$J$451),0),
IF('TL02'!$B$3=Q$3,SUMIF('TL02'!$C$10:$C$224,$C229,'TL02'!$J$10:$J$224),0),
IF('TL02'!$B$229=Q$3,SUMIF('TL02'!$C$238:$C$451,$C229,'TL02'!$J$238:$J$451),0),
IF('TL03'!$B$3=Q$3,SUMIF('TL03'!$C$10:$C$224,$C229,'TL03'!$J$10:$J$224),0),
IF('TL03'!$B$229=Q$3,SUMIF('TL03'!$C$238:$C$451,$C229,'TL03'!$J$238:$J$451),0),
IF('TL04'!$B$3=Q$3,SUMIF('TL04'!$C$10:$C$224,$C229,'TL04'!$J$10:$J$224),0),
IF('TL04'!$B$229=Q$3,SUMIF('TL04'!$C$238:$C$451,$C229,'TL04'!$J$238:$J$451),0),
IF('TL05'!$B$3=Q$3,SUMIF('TL05'!$C$10:$C$224,$C229,'TL05'!$J$10:$J$224),0),
IF('TL05'!$B$229=Q$3,SUMIF('TL05'!$C$238:$C$451,$C229,'TL05'!$J$238:$J$451),0),
IF('TL06'!$B$3=Q$3,SUMIF('TL06'!$C$10:$C$224,$C229,'TL06'!$J$10:$J$224),0),
IF('TL06'!$B$229=Q$3,SUMIF('TL06'!$C$238:$C$451,$C229,'TL06'!$J$238:$J$451),0),
IF('TL07'!$B$3=Q$3,SUMIF('TL07'!$C$10:$C$224,$C229,'TL07'!$J$10:$J$224),0),
IF('TL07'!$B$229=Q$3,SUMIF('TL07'!$C$238:$C$451,$C229,'TL07'!$J$238:$J$451),0),
IF('TL08'!$B$3=Q$3,SUMIF('TL08'!$C$10:$C$224,$C229,'TL08'!$J$10:$J$224),0),
IF('TL08'!$B$229=Q$3,SUMIF('TL08'!$C$238:$C$451,$C229,'TL08'!$J$238:$J$451),0),
IF('TL09'!$B$3=Q$3,SUMIF('TL09'!$C$10:$C$224,$C229,'TL09'!$J$10:$J$224),0),
IF('TL09'!$B$229=Q$3,SUMIF('TL09'!$C$238:$C$451,$C229,'TL09'!$J$238:$J$451),0),
IF('TL10'!$B$3=Q$3,SUMIF('TL10'!$C$10:$C$224,$C229,'TL10'!$J$10:$J$224),0),
IF('TL10'!$B$229=Q$3,SUMIF('TL10'!$C$238:$C$451,$C229,'TL10'!$J$238:$J$451),0),
IF('TL11'!$B$3=Q$3,SUMIF('TL11'!$C$10:$C$224,$C229,'TL11'!$J$10:$J$224),0),
IF('TL11'!$B$229=Q$3,SUMIF('TL11'!$C$238:$C$451,$C229,'TL11'!$J$238:$J$451),0),
IF('TL12'!$B$3=Q$3,SUMIF('TL12'!$C$10:$C$224,$C229,'TL12'!$J$10:$J$224),0),
IF('TL12'!$B$229=Q$3,SUMIF('TL12'!$C$238:$C$451,$C229,'TL12'!$J$238:$J$451),0),
IF('TL13'!$B$3=Q$3,SUMIF('TL13'!$C$10:$C$224,$C229,'TL13'!$J$10:$J$224),0),
IF('TL13'!$B$229=Q$3,SUMIF('TL13'!$C$238:$C$451,$C229,'TL13'!$J$238:$J$451),0),
IF('TL14'!$B$3=Q$3,SUMIF('TL14'!$C$10:$C$224,$C229,'TL14'!$J$10:$J$224),0),
IF('TL14'!$B$229=Q$3,SUMIF('TL14'!$C$238:$C$451,$C229,'TL14'!$J$238:$J$451),0),
IF('TL15'!$B$3=Q$3,SUMIF('TL15'!$C$10:$C$224,$C229,'TL15'!$J$10:$J$224),0),
IF('TL15'!$B$229=Q$3,SUMIF('TL15'!$C$238:$C$451,$C229,'TL15'!$J$238:$J$451),0),
IF('TL16'!$B$3=Q$3,SUMIF('TL16'!$C$10:$C$224,$C229,'TL16'!$J$10:$J$224),0),
IF('TL16'!$B$229=Q$3,SUMIF('TL16'!$C$238:$C$451,$C229,'TL16'!$J$238:$J$451),0),
IF('TL17'!$B$3=Q$3,SUMIF('TL17'!$C$10:$C$224,$C229,'TL17'!$J$10:$J$224),0),
IF('TL17'!$B$229=Q$3,SUMIF('TL17'!$C$238:$C$451,$C229,'TL17'!$J$238:$J$451),0),
IF('TL18'!$B$3=Q$3,SUMIF('TL18'!$C$10:$C$224,$C229,'TL18'!$J$10:$J$224),0),
IF('TL18'!$B$229=Q$3,SUMIF('TL18'!$C$238:$C$451,$C229,'TL18'!$J$238:$J$451),0),
IF('TL19'!$B$3=Q$3,SUMIF('TL19'!$C$10:$C$224,$C229,'TL19'!$J$10:$J$224),0),
IF('TL19'!$B$229=Q$3,SUMIF('TL19'!$C$238:$C$451,$C229,'TL19'!$J$238:$J$451),0)
),0)</f>
        <v/>
      </c>
      <c r="R229" s="9">
        <f>IFERROR(
SUM(
SUMIF('TL01'!C:C,C229,'TL01'!J:J),
SUMIF('TL02'!C:C,C229,'TL02'!J:J),
SUMIF('TL03'!C:C,C229,'TL03'!J:J),
SUMIF('TL04'!C:C,C229,'TL04'!J:J),
SUMIF('TL05'!C:C,C229,'TL05'!J:J),
SUMIF('TL06'!C:C,C229,'TL06'!J:J),
SUMIF('TL07'!C:C,C229,'TL07'!J:J),
SUMIF('TL08'!C:C,C229,'TL08'!J:J),
SUMIF('TL09'!C:C,C229,'TL09'!J:J),
SUMIF('TL10'!C:C,C229,'TL10'!J:J),
SUMIF('TL11'!C:C,C229,'TL11'!J:J),
SUMIF('TL12'!C:C,C229,'TL12'!J:J),
SUMIF('TL13'!C:C,C229,'TL13'!J:J),
SUMIF('TL14'!C:C,C229,'TL14'!J:J),
SUMIF('TL15'!C:C,C229,'TL15'!J:J),
SUMIF('TL16'!C:C,C229,'TL16'!J:J),
SUMIF('TL17'!C:C,C229,'TL17'!J:J),
SUMIF('TL18'!C:C,C229,'TL18'!J:J),SUMIF('TL19'!C:C,C229,'TL19'!J:J))
,0)</f>
        <v/>
      </c>
      <c r="S229" s="17">
        <f>IFERROR(__xludf.DUMMYFUNCTION("IFERROR(VLOOKUP(C229,
IMPORTRANGE(""1wULbzX32WdYsx-lj2U3uUNBBe2INVIRDtcK0d-Dvl90"",
""26-27!C:G""),
5,
FALSE),
"""")"),110.14247999999999)</f>
        <v/>
      </c>
      <c r="T229" s="9" t="n"/>
      <c r="U229" s="92">
        <f>MAX(0,R229-T229)</f>
        <v/>
      </c>
      <c r="V229" s="93">
        <f>U229*S229</f>
        <v/>
      </c>
    </row>
    <row r="230" hidden="1" ht="15.75" customHeight="1" s="297">
      <c r="A230" s="87" t="inlineStr">
        <is>
          <t>SYNGENTA</t>
        </is>
      </c>
      <c r="B230" s="88" t="inlineStr">
        <is>
          <t>INSETICIDA</t>
        </is>
      </c>
      <c r="C230" s="89" t="inlineStr">
        <is>
          <t>AMPLIGO</t>
        </is>
      </c>
      <c r="D230" s="89" t="inlineStr">
        <is>
          <t>CLORANTRANILIPROLE + LAMBDA-CIALOTRINA</t>
        </is>
      </c>
      <c r="E230" s="89" t="inlineStr">
        <is>
          <t>100 + 50</t>
        </is>
      </c>
      <c r="F230" s="4" t="inlineStr">
        <is>
          <t>L</t>
        </is>
      </c>
      <c r="G230" s="90">
        <f>HYPERLINK("https://www.google.com/search?q=" &amp; C230 &amp; "+bula+agrofit+pdf", "📄 Ver bula")</f>
        <v/>
      </c>
      <c r="H230" s="9">
        <f>IFERROR(__xludf.DUMMYFUNCTION("IFERROR(VLOOKUP(C230,
IMPORTRANGE(""1wULbzX32WdYsx-lj2U3uUNBBe2INVIRDtcK0d-Dvl90"",
""26-27!C:K""),
8,
FALSE),
"""")"),0.2)</f>
        <v/>
      </c>
      <c r="I230" s="91" t="inlineStr">
        <is>
          <t>1x20</t>
        </is>
      </c>
      <c r="J230" s="9">
        <f>IFERROR(SUM(
IF('TL01'!$B$3=J$3,SUMIF('TL01'!$C$10:$C$224,$C230,'TL01'!$J$10:$J$224),0),
IF('TL01'!$B$229=J$3,SUMIF('TL01'!$C$238:$C$451,$C230,'TL01'!$J$238:$J$451),0),
IF('TL02'!$B$3=J$3,SUMIF('TL02'!$C$10:$C$224,$C230,'TL02'!$J$10:$J$224),0),
IF('TL02'!$B$229=J$3,SUMIF('TL02'!$C$238:$C$451,$C230,'TL02'!$J$238:$J$451),0),
IF('TL03'!$B$3=J$3,SUMIF('TL03'!$C$10:$C$224,$C230,'TL03'!$J$10:$J$224),0),
IF('TL03'!$B$229=J$3,SUMIF('TL03'!$C$238:$C$451,$C230,'TL03'!$J$238:$J$451),0),
IF('TL04'!$B$3=J$3,SUMIF('TL04'!$C$10:$C$224,$C230,'TL04'!$J$10:$J$224),0),
IF('TL04'!$B$229=J$3,SUMIF('TL04'!$C$238:$C$451,$C230,'TL04'!$J$238:$J$451),0),
IF('TL05'!$B$3=J$3,SUMIF('TL05'!$C$10:$C$224,$C230,'TL05'!$J$10:$J$224),0),
IF('TL05'!$B$229=J$3,SUMIF('TL05'!$C$238:$C$451,$C230,'TL05'!$J$238:$J$451),0),
IF('TL06'!$B$3=J$3,SUMIF('TL06'!$C$10:$C$224,$C230,'TL06'!$J$10:$J$224),0),
IF('TL06'!$B$229=J$3,SUMIF('TL06'!$C$238:$C$451,$C230,'TL06'!$J$238:$J$451),0),
IF('TL07'!$B$3=J$3,SUMIF('TL07'!$C$10:$C$224,$C230,'TL07'!$J$10:$J$224),0),
IF('TL07'!$B$229=J$3,SUMIF('TL07'!$C$238:$C$451,$C230,'TL07'!$J$238:$J$451),0),
IF('TL08'!$B$3=J$3,SUMIF('TL08'!$C$10:$C$224,$C230,'TL08'!$J$10:$J$224),0),
IF('TL08'!$B$229=J$3,SUMIF('TL08'!$C$238:$C$451,$C230,'TL08'!$J$238:$J$451),0),
IF('TL09'!$B$3=J$3,SUMIF('TL09'!$C$10:$C$224,$C230,'TL09'!$J$10:$J$224),0),
IF('TL09'!$B$229=J$3,SUMIF('TL09'!$C$238:$C$451,$C230,'TL09'!$J$238:$J$451),0),
IF('TL10'!$B$3=J$3,SUMIF('TL10'!$C$10:$C$224,$C230,'TL10'!$J$10:$J$224),0),
IF('TL10'!$B$229=J$3,SUMIF('TL10'!$C$238:$C$451,$C230,'TL10'!$J$238:$J$451),0),
IF('TL11'!$B$3=J$3,SUMIF('TL11'!$C$10:$C$224,$C230,'TL11'!$J$10:$J$224),0),
IF('TL11'!$B$229=J$3,SUMIF('TL11'!$C$238:$C$451,$C230,'TL11'!$J$238:$J$451),0),
IF('TL12'!$B$3=J$3,SUMIF('TL12'!$C$10:$C$224,$C230,'TL12'!$J$10:$J$224),0),
IF('TL12'!$B$229=J$3,SUMIF('TL12'!$C$238:$C$451,$C230,'TL12'!$J$238:$J$451),0),
IF('TL13'!$B$3=J$3,SUMIF('TL13'!$C$10:$C$224,$C230,'TL13'!$J$10:$J$224),0),
IF('TL13'!$B$229=J$3,SUMIF('TL13'!$C$238:$C$451,$C230,'TL13'!$J$238:$J$451),0),
IF('TL14'!$B$3=J$3,SUMIF('TL14'!$C$10:$C$224,$C230,'TL14'!$J$10:$J$224),0),
IF('TL14'!$B$229=J$3,SUMIF('TL14'!$C$238:$C$451,$C230,'TL14'!$J$238:$J$451),0),
IF('TL15'!$B$3=J$3,SUMIF('TL15'!$C$10:$C$224,$C230,'TL15'!$J$10:$J$224),0),
IF('TL15'!$B$229=J$3,SUMIF('TL15'!$C$238:$C$451,$C230,'TL15'!$J$238:$J$451),0),
IF('TL16'!$B$3=J$3,SUMIF('TL16'!$C$10:$C$224,$C230,'TL16'!$J$10:$J$224),0),
IF('TL16'!$B$229=J$3,SUMIF('TL16'!$C$238:$C$451,$C230,'TL16'!$J$238:$J$451),0),
IF('TL17'!$B$3=J$3,SUMIF('TL17'!$C$10:$C$224,$C230,'TL17'!$J$10:$J$224),0),
IF('TL17'!$B$229=J$3,SUMIF('TL17'!$C$238:$C$451,$C230,'TL17'!$J$238:$J$451),0),
IF('TL18'!$B$3=J$3,SUMIF('TL18'!$C$10:$C$224,$C230,'TL18'!$J$10:$J$224),0),
IF('TL18'!$B$229=J$3,SUMIF('TL18'!$C$238:$C$451,$C230,'TL18'!$J$238:$J$451),0),
IF('TL19'!$B$3=J$3,SUMIF('TL19'!$C$10:$C$224,$C230,'TL19'!$J$10:$J$224),0),
IF('TL19'!$B$229=J$3,SUMIF('TL19'!$C$238:$C$451,$C230,'TL19'!$J$238:$J$451),0)
),0)</f>
        <v/>
      </c>
      <c r="K230" s="9">
        <f>IFERROR(SUM(
IF('TL01'!$B$3=K$3,SUMIF('TL01'!$C$10:$C$224,$C230,'TL01'!$J$10:$J$224),0),
IF('TL01'!$B$229=K$3,SUMIF('TL01'!$C$238:$C$451,$C230,'TL01'!$J$238:$J$451),0),
IF('TL02'!$B$3=K$3,SUMIF('TL02'!$C$10:$C$224,$C230,'TL02'!$J$10:$J$224),0),
IF('TL02'!$B$229=K$3,SUMIF('TL02'!$C$238:$C$451,$C230,'TL02'!$J$238:$J$451),0),
IF('TL03'!$B$3=K$3,SUMIF('TL03'!$C$10:$C$224,$C230,'TL03'!$J$10:$J$224),0),
IF('TL03'!$B$229=K$3,SUMIF('TL03'!$C$238:$C$451,$C230,'TL03'!$J$238:$J$451),0),
IF('TL04'!$B$3=K$3,SUMIF('TL04'!$C$10:$C$224,$C230,'TL04'!$J$10:$J$224),0),
IF('TL04'!$B$229=K$3,SUMIF('TL04'!$C$238:$C$451,$C230,'TL04'!$J$238:$J$451),0),
IF('TL05'!$B$3=K$3,SUMIF('TL05'!$C$10:$C$224,$C230,'TL05'!$J$10:$J$224),0),
IF('TL05'!$B$229=K$3,SUMIF('TL05'!$C$238:$C$451,$C230,'TL05'!$J$238:$J$451),0),
IF('TL06'!$B$3=K$3,SUMIF('TL06'!$C$10:$C$224,$C230,'TL06'!$J$10:$J$224),0),
IF('TL06'!$B$229=K$3,SUMIF('TL06'!$C$238:$C$451,$C230,'TL06'!$J$238:$J$451),0),
IF('TL07'!$B$3=K$3,SUMIF('TL07'!$C$10:$C$224,$C230,'TL07'!$J$10:$J$224),0),
IF('TL07'!$B$229=K$3,SUMIF('TL07'!$C$238:$C$451,$C230,'TL07'!$J$238:$J$451),0),
IF('TL08'!$B$3=K$3,SUMIF('TL08'!$C$10:$C$224,$C230,'TL08'!$J$10:$J$224),0),
IF('TL08'!$B$229=K$3,SUMIF('TL08'!$C$238:$C$451,$C230,'TL08'!$J$238:$J$451),0),
IF('TL09'!$B$3=K$3,SUMIF('TL09'!$C$10:$C$224,$C230,'TL09'!$J$10:$J$224),0),
IF('TL09'!$B$229=K$3,SUMIF('TL09'!$C$238:$C$451,$C230,'TL09'!$J$238:$J$451),0),
IF('TL10'!$B$3=K$3,SUMIF('TL10'!$C$10:$C$224,$C230,'TL10'!$J$10:$J$224),0),
IF('TL10'!$B$229=K$3,SUMIF('TL10'!$C$238:$C$451,$C230,'TL10'!$J$238:$J$451),0),
IF('TL11'!$B$3=K$3,SUMIF('TL11'!$C$10:$C$224,$C230,'TL11'!$J$10:$J$224),0),
IF('TL11'!$B$229=K$3,SUMIF('TL11'!$C$238:$C$451,$C230,'TL11'!$J$238:$J$451),0),
IF('TL12'!$B$3=K$3,SUMIF('TL12'!$C$10:$C$224,$C230,'TL12'!$J$10:$J$224),0),
IF('TL12'!$B$229=K$3,SUMIF('TL12'!$C$238:$C$451,$C230,'TL12'!$J$238:$J$451),0),
IF('TL13'!$B$3=K$3,SUMIF('TL13'!$C$10:$C$224,$C230,'TL13'!$J$10:$J$224),0),
IF('TL13'!$B$229=K$3,SUMIF('TL13'!$C$238:$C$451,$C230,'TL13'!$J$238:$J$451),0),
IF('TL14'!$B$3=K$3,SUMIF('TL14'!$C$10:$C$224,$C230,'TL14'!$J$10:$J$224),0),
IF('TL14'!$B$229=K$3,SUMIF('TL14'!$C$238:$C$451,$C230,'TL14'!$J$238:$J$451),0),
IF('TL15'!$B$3=K$3,SUMIF('TL15'!$C$10:$C$224,$C230,'TL15'!$J$10:$J$224),0),
IF('TL15'!$B$229=K$3,SUMIF('TL15'!$C$238:$C$451,$C230,'TL15'!$J$238:$J$451),0),
IF('TL16'!$B$3=K$3,SUMIF('TL16'!$C$10:$C$224,$C230,'TL16'!$J$10:$J$224),0),
IF('TL16'!$B$229=K$3,SUMIF('TL16'!$C$238:$C$451,$C230,'TL16'!$J$238:$J$451),0),
IF('TL17'!$B$3=K$3,SUMIF('TL17'!$C$10:$C$224,$C230,'TL17'!$J$10:$J$224),0),
IF('TL17'!$B$229=K$3,SUMIF('TL17'!$C$238:$C$451,$C230,'TL17'!$J$238:$J$451),0),
IF('TL18'!$B$3=K$3,SUMIF('TL18'!$C$10:$C$224,$C230,'TL18'!$J$10:$J$224),0),
IF('TL18'!$B$229=K$3,SUMIF('TL18'!$C$238:$C$451,$C230,'TL18'!$J$238:$J$451),0),
IF('TL19'!$B$3=K$3,SUMIF('TL19'!$C$10:$C$224,$C230,'TL19'!$J$10:$J$224),0),
IF('TL19'!$B$229=K$3,SUMIF('TL19'!$C$238:$C$451,$C230,'TL19'!$J$238:$J$451),0)
),0)</f>
        <v/>
      </c>
      <c r="L230" s="9">
        <f>IFERROR(SUM(
IF('TL01'!$B$3=L$3,SUMIF('TL01'!$C$10:$C$224,$C230,'TL01'!$J$10:$J$224),0),
IF('TL01'!$B$229=L$3,SUMIF('TL01'!$C$238:$C$451,$C230,'TL01'!$J$238:$J$451),0),
IF('TL02'!$B$3=L$3,SUMIF('TL02'!$C$10:$C$224,$C230,'TL02'!$J$10:$J$224),0),
IF('TL02'!$B$229=L$3,SUMIF('TL02'!$C$238:$C$451,$C230,'TL02'!$J$238:$J$451),0),
IF('TL03'!$B$3=L$3,SUMIF('TL03'!$C$10:$C$224,$C230,'TL03'!$J$10:$J$224),0),
IF('TL03'!$B$229=L$3,SUMIF('TL03'!$C$238:$C$451,$C230,'TL03'!$J$238:$J$451),0),
IF('TL04'!$B$3=L$3,SUMIF('TL04'!$C$10:$C$224,$C230,'TL04'!$J$10:$J$224),0),
IF('TL04'!$B$229=L$3,SUMIF('TL04'!$C$238:$C$451,$C230,'TL04'!$J$238:$J$451),0),
IF('TL05'!$B$3=L$3,SUMIF('TL05'!$C$10:$C$224,$C230,'TL05'!$J$10:$J$224),0),
IF('TL05'!$B$229=L$3,SUMIF('TL05'!$C$238:$C$451,$C230,'TL05'!$J$238:$J$451),0),
IF('TL06'!$B$3=L$3,SUMIF('TL06'!$C$10:$C$224,$C230,'TL06'!$J$10:$J$224),0),
IF('TL06'!$B$229=L$3,SUMIF('TL06'!$C$238:$C$451,$C230,'TL06'!$J$238:$J$451),0),
IF('TL07'!$B$3=L$3,SUMIF('TL07'!$C$10:$C$224,$C230,'TL07'!$J$10:$J$224),0),
IF('TL07'!$B$229=L$3,SUMIF('TL07'!$C$238:$C$451,$C230,'TL07'!$J$238:$J$451),0),
IF('TL08'!$B$3=L$3,SUMIF('TL08'!$C$10:$C$224,$C230,'TL08'!$J$10:$J$224),0),
IF('TL08'!$B$229=L$3,SUMIF('TL08'!$C$238:$C$451,$C230,'TL08'!$J$238:$J$451),0),
IF('TL09'!$B$3=L$3,SUMIF('TL09'!$C$10:$C$224,$C230,'TL09'!$J$10:$J$224),0),
IF('TL09'!$B$229=L$3,SUMIF('TL09'!$C$238:$C$451,$C230,'TL09'!$J$238:$J$451),0),
IF('TL10'!$B$3=L$3,SUMIF('TL10'!$C$10:$C$224,$C230,'TL10'!$J$10:$J$224),0),
IF('TL10'!$B$229=L$3,SUMIF('TL10'!$C$238:$C$451,$C230,'TL10'!$J$238:$J$451),0),
IF('TL11'!$B$3=L$3,SUMIF('TL11'!$C$10:$C$224,$C230,'TL11'!$J$10:$J$224),0),
IF('TL11'!$B$229=L$3,SUMIF('TL11'!$C$238:$C$451,$C230,'TL11'!$J$238:$J$451),0),
IF('TL12'!$B$3=L$3,SUMIF('TL12'!$C$10:$C$224,$C230,'TL12'!$J$10:$J$224),0),
IF('TL12'!$B$229=L$3,SUMIF('TL12'!$C$238:$C$451,$C230,'TL12'!$J$238:$J$451),0),
IF('TL13'!$B$3=L$3,SUMIF('TL13'!$C$10:$C$224,$C230,'TL13'!$J$10:$J$224),0),
IF('TL13'!$B$229=L$3,SUMIF('TL13'!$C$238:$C$451,$C230,'TL13'!$J$238:$J$451),0),
IF('TL14'!$B$3=L$3,SUMIF('TL14'!$C$10:$C$224,$C230,'TL14'!$J$10:$J$224),0),
IF('TL14'!$B$229=L$3,SUMIF('TL14'!$C$238:$C$451,$C230,'TL14'!$J$238:$J$451),0),
IF('TL15'!$B$3=L$3,SUMIF('TL15'!$C$10:$C$224,$C230,'TL15'!$J$10:$J$224),0),
IF('TL15'!$B$229=L$3,SUMIF('TL15'!$C$238:$C$451,$C230,'TL15'!$J$238:$J$451),0),
IF('TL16'!$B$3=L$3,SUMIF('TL16'!$C$10:$C$224,$C230,'TL16'!$J$10:$J$224),0),
IF('TL16'!$B$229=L$3,SUMIF('TL16'!$C$238:$C$451,$C230,'TL16'!$J$238:$J$451),0),
IF('TL17'!$B$3=L$3,SUMIF('TL17'!$C$10:$C$224,$C230,'TL17'!$J$10:$J$224),0),
IF('TL17'!$B$229=L$3,SUMIF('TL17'!$C$238:$C$451,$C230,'TL17'!$J$238:$J$451),0),
IF('TL18'!$B$3=L$3,SUMIF('TL18'!$C$10:$C$224,$C230,'TL18'!$J$10:$J$224),0),
IF('TL18'!$B$229=L$3,SUMIF('TL18'!$C$238:$C$451,$C230,'TL18'!$J$238:$J$451),0),
IF('TL19'!$B$3=L$3,SUMIF('TL19'!$C$10:$C$224,$C230,'TL19'!$J$10:$J$224),0),
IF('TL19'!$B$229=L$3,SUMIF('TL19'!$C$238:$C$451,$C230,'TL19'!$J$238:$J$451),0)
),0)</f>
        <v/>
      </c>
      <c r="M230" s="9">
        <f>IFERROR(SUM(
IF('TL01'!$B$3=M$3,SUMIF('TL01'!$C$10:$C$224,$C230,'TL01'!$J$10:$J$224),0),
IF('TL01'!$B$229=M$3,SUMIF('TL01'!$C$238:$C$451,$C230,'TL01'!$J$238:$J$451),0),
IF('TL02'!$B$3=M$3,SUMIF('TL02'!$C$10:$C$224,$C230,'TL02'!$J$10:$J$224),0),
IF('TL02'!$B$229=M$3,SUMIF('TL02'!$C$238:$C$451,$C230,'TL02'!$J$238:$J$451),0),
IF('TL03'!$B$3=M$3,SUMIF('TL03'!$C$10:$C$224,$C230,'TL03'!$J$10:$J$224),0),
IF('TL03'!$B$229=M$3,SUMIF('TL03'!$C$238:$C$451,$C230,'TL03'!$J$238:$J$451),0),
IF('TL04'!$B$3=M$3,SUMIF('TL04'!$C$10:$C$224,$C230,'TL04'!$J$10:$J$224),0),
IF('TL04'!$B$229=M$3,SUMIF('TL04'!$C$238:$C$451,$C230,'TL04'!$J$238:$J$451),0),
IF('TL05'!$B$3=M$3,SUMIF('TL05'!$C$10:$C$224,$C230,'TL05'!$J$10:$J$224),0),
IF('TL05'!$B$229=M$3,SUMIF('TL05'!$C$238:$C$451,$C230,'TL05'!$J$238:$J$451),0),
IF('TL06'!$B$3=M$3,SUMIF('TL06'!$C$10:$C$224,$C230,'TL06'!$J$10:$J$224),0),
IF('TL06'!$B$229=M$3,SUMIF('TL06'!$C$238:$C$451,$C230,'TL06'!$J$238:$J$451),0),
IF('TL07'!$B$3=M$3,SUMIF('TL07'!$C$10:$C$224,$C230,'TL07'!$J$10:$J$224),0),
IF('TL07'!$B$229=M$3,SUMIF('TL07'!$C$238:$C$451,$C230,'TL07'!$J$238:$J$451),0),
IF('TL08'!$B$3=M$3,SUMIF('TL08'!$C$10:$C$224,$C230,'TL08'!$J$10:$J$224),0),
IF('TL08'!$B$229=M$3,SUMIF('TL08'!$C$238:$C$451,$C230,'TL08'!$J$238:$J$451),0),
IF('TL09'!$B$3=M$3,SUMIF('TL09'!$C$10:$C$224,$C230,'TL09'!$J$10:$J$224),0),
IF('TL09'!$B$229=M$3,SUMIF('TL09'!$C$238:$C$451,$C230,'TL09'!$J$238:$J$451),0),
IF('TL10'!$B$3=M$3,SUMIF('TL10'!$C$10:$C$224,$C230,'TL10'!$J$10:$J$224),0),
IF('TL10'!$B$229=M$3,SUMIF('TL10'!$C$238:$C$451,$C230,'TL10'!$J$238:$J$451),0),
IF('TL11'!$B$3=M$3,SUMIF('TL11'!$C$10:$C$224,$C230,'TL11'!$J$10:$J$224),0),
IF('TL11'!$B$229=M$3,SUMIF('TL11'!$C$238:$C$451,$C230,'TL11'!$J$238:$J$451),0),
IF('TL12'!$B$3=M$3,SUMIF('TL12'!$C$10:$C$224,$C230,'TL12'!$J$10:$J$224),0),
IF('TL12'!$B$229=M$3,SUMIF('TL12'!$C$238:$C$451,$C230,'TL12'!$J$238:$J$451),0),
IF('TL13'!$B$3=M$3,SUMIF('TL13'!$C$10:$C$224,$C230,'TL13'!$J$10:$J$224),0),
IF('TL13'!$B$229=M$3,SUMIF('TL13'!$C$238:$C$451,$C230,'TL13'!$J$238:$J$451),0),
IF('TL14'!$B$3=M$3,SUMIF('TL14'!$C$10:$C$224,$C230,'TL14'!$J$10:$J$224),0),
IF('TL14'!$B$229=M$3,SUMIF('TL14'!$C$238:$C$451,$C230,'TL14'!$J$238:$J$451),0),
IF('TL15'!$B$3=M$3,SUMIF('TL15'!$C$10:$C$224,$C230,'TL15'!$J$10:$J$224),0),
IF('TL15'!$B$229=M$3,SUMIF('TL15'!$C$238:$C$451,$C230,'TL15'!$J$238:$J$451),0),
IF('TL16'!$B$3=M$3,SUMIF('TL16'!$C$10:$C$224,$C230,'TL16'!$J$10:$J$224),0),
IF('TL16'!$B$229=M$3,SUMIF('TL16'!$C$238:$C$451,$C230,'TL16'!$J$238:$J$451),0),
IF('TL17'!$B$3=M$3,SUMIF('TL17'!$C$10:$C$224,$C230,'TL17'!$J$10:$J$224),0),
IF('TL17'!$B$229=M$3,SUMIF('TL17'!$C$238:$C$451,$C230,'TL17'!$J$238:$J$451),0),
IF('TL18'!$B$3=M$3,SUMIF('TL18'!$C$10:$C$224,$C230,'TL18'!$J$10:$J$224),0),
IF('TL18'!$B$229=M$3,SUMIF('TL18'!$C$238:$C$451,$C230,'TL18'!$J$238:$J$451),0),
IF('TL19'!$B$3=M$3,SUMIF('TL19'!$C$10:$C$224,$C230,'TL19'!$J$10:$J$224),0),
IF('TL19'!$B$229=M$3,SUMIF('TL19'!$C$238:$C$451,$C230,'TL19'!$J$238:$J$451),0)
),0)</f>
        <v/>
      </c>
      <c r="N230" s="9">
        <f>IFERROR(SUM(
IF('TL01'!$B$3=N$3,SUMIF('TL01'!$C$10:$C$224,$C230,'TL01'!$J$10:$J$224),0),
IF('TL01'!$B$229=N$3,SUMIF('TL01'!$C$238:$C$451,$C230,'TL01'!$J$238:$J$451),0),
IF('TL02'!$B$3=N$3,SUMIF('TL02'!$C$10:$C$224,$C230,'TL02'!$J$10:$J$224),0),
IF('TL02'!$B$229=N$3,SUMIF('TL02'!$C$238:$C$451,$C230,'TL02'!$J$238:$J$451),0),
IF('TL03'!$B$3=N$3,SUMIF('TL03'!$C$10:$C$224,$C230,'TL03'!$J$10:$J$224),0),
IF('TL03'!$B$229=N$3,SUMIF('TL03'!$C$238:$C$451,$C230,'TL03'!$J$238:$J$451),0),
IF('TL04'!$B$3=N$3,SUMIF('TL04'!$C$10:$C$224,$C230,'TL04'!$J$10:$J$224),0),
IF('TL04'!$B$229=N$3,SUMIF('TL04'!$C$238:$C$451,$C230,'TL04'!$J$238:$J$451),0),
IF('TL05'!$B$3=N$3,SUMIF('TL05'!$C$10:$C$224,$C230,'TL05'!$J$10:$J$224),0),
IF('TL05'!$B$229=N$3,SUMIF('TL05'!$C$238:$C$451,$C230,'TL05'!$J$238:$J$451),0),
IF('TL06'!$B$3=N$3,SUMIF('TL06'!$C$10:$C$224,$C230,'TL06'!$J$10:$J$224),0),
IF('TL06'!$B$229=N$3,SUMIF('TL06'!$C$238:$C$451,$C230,'TL06'!$J$238:$J$451),0),
IF('TL07'!$B$3=N$3,SUMIF('TL07'!$C$10:$C$224,$C230,'TL07'!$J$10:$J$224),0),
IF('TL07'!$B$229=N$3,SUMIF('TL07'!$C$238:$C$451,$C230,'TL07'!$J$238:$J$451),0),
IF('TL08'!$B$3=N$3,SUMIF('TL08'!$C$10:$C$224,$C230,'TL08'!$J$10:$J$224),0),
IF('TL08'!$B$229=N$3,SUMIF('TL08'!$C$238:$C$451,$C230,'TL08'!$J$238:$J$451),0),
IF('TL09'!$B$3=N$3,SUMIF('TL09'!$C$10:$C$224,$C230,'TL09'!$J$10:$J$224),0),
IF('TL09'!$B$229=N$3,SUMIF('TL09'!$C$238:$C$451,$C230,'TL09'!$J$238:$J$451),0),
IF('TL10'!$B$3=N$3,SUMIF('TL10'!$C$10:$C$224,$C230,'TL10'!$J$10:$J$224),0),
IF('TL10'!$B$229=N$3,SUMIF('TL10'!$C$238:$C$451,$C230,'TL10'!$J$238:$J$451),0),
IF('TL11'!$B$3=N$3,SUMIF('TL11'!$C$10:$C$224,$C230,'TL11'!$J$10:$J$224),0),
IF('TL11'!$B$229=N$3,SUMIF('TL11'!$C$238:$C$451,$C230,'TL11'!$J$238:$J$451),0),
IF('TL12'!$B$3=N$3,SUMIF('TL12'!$C$10:$C$224,$C230,'TL12'!$J$10:$J$224),0),
IF('TL12'!$B$229=N$3,SUMIF('TL12'!$C$238:$C$451,$C230,'TL12'!$J$238:$J$451),0),
IF('TL13'!$B$3=N$3,SUMIF('TL13'!$C$10:$C$224,$C230,'TL13'!$J$10:$J$224),0),
IF('TL13'!$B$229=N$3,SUMIF('TL13'!$C$238:$C$451,$C230,'TL13'!$J$238:$J$451),0),
IF('TL14'!$B$3=N$3,SUMIF('TL14'!$C$10:$C$224,$C230,'TL14'!$J$10:$J$224),0),
IF('TL14'!$B$229=N$3,SUMIF('TL14'!$C$238:$C$451,$C230,'TL14'!$J$238:$J$451),0),
IF('TL15'!$B$3=N$3,SUMIF('TL15'!$C$10:$C$224,$C230,'TL15'!$J$10:$J$224),0),
IF('TL15'!$B$229=N$3,SUMIF('TL15'!$C$238:$C$451,$C230,'TL15'!$J$238:$J$451),0),
IF('TL16'!$B$3=N$3,SUMIF('TL16'!$C$10:$C$224,$C230,'TL16'!$J$10:$J$224),0),
IF('TL16'!$B$229=N$3,SUMIF('TL16'!$C$238:$C$451,$C230,'TL16'!$J$238:$J$451),0),
IF('TL17'!$B$3=N$3,SUMIF('TL17'!$C$10:$C$224,$C230,'TL17'!$J$10:$J$224),0),
IF('TL17'!$B$229=N$3,SUMIF('TL17'!$C$238:$C$451,$C230,'TL17'!$J$238:$J$451),0),
IF('TL18'!$B$3=N$3,SUMIF('TL18'!$C$10:$C$224,$C230,'TL18'!$J$10:$J$224),0),
IF('TL18'!$B$229=N$3,SUMIF('TL18'!$C$238:$C$451,$C230,'TL18'!$J$238:$J$451),0),
IF('TL19'!$B$3=N$3,SUMIF('TL19'!$C$10:$C$224,$C230,'TL19'!$J$10:$J$224),0),
IF('TL19'!$B$229=N$3,SUMIF('TL19'!$C$238:$C$451,$C230,'TL19'!$J$238:$J$451),0)
),0)</f>
        <v/>
      </c>
      <c r="O230" s="9">
        <f>IFERROR(SUM(
IF('TL01'!$B$3=O$3,SUMIF('TL01'!$C$10:$C$224,$C230,'TL01'!$J$10:$J$224),0),
IF('TL01'!$B$229=O$3,SUMIF('TL01'!$C$238:$C$451,$C230,'TL01'!$J$238:$J$451),0),
IF('TL02'!$B$3=O$3,SUMIF('TL02'!$C$10:$C$224,$C230,'TL02'!$J$10:$J$224),0),
IF('TL02'!$B$229=O$3,SUMIF('TL02'!$C$238:$C$451,$C230,'TL02'!$J$238:$J$451),0),
IF('TL03'!$B$3=O$3,SUMIF('TL03'!$C$10:$C$224,$C230,'TL03'!$J$10:$J$224),0),
IF('TL03'!$B$229=O$3,SUMIF('TL03'!$C$238:$C$451,$C230,'TL03'!$J$238:$J$451),0),
IF('TL04'!$B$3=O$3,SUMIF('TL04'!$C$10:$C$224,$C230,'TL04'!$J$10:$J$224),0),
IF('TL04'!$B$229=O$3,SUMIF('TL04'!$C$238:$C$451,$C230,'TL04'!$J$238:$J$451),0),
IF('TL05'!$B$3=O$3,SUMIF('TL05'!$C$10:$C$224,$C230,'TL05'!$J$10:$J$224),0),
IF('TL05'!$B$229=O$3,SUMIF('TL05'!$C$238:$C$451,$C230,'TL05'!$J$238:$J$451),0),
IF('TL06'!$B$3=O$3,SUMIF('TL06'!$C$10:$C$224,$C230,'TL06'!$J$10:$J$224),0),
IF('TL06'!$B$229=O$3,SUMIF('TL06'!$C$238:$C$451,$C230,'TL06'!$J$238:$J$451),0),
IF('TL07'!$B$3=O$3,SUMIF('TL07'!$C$10:$C$224,$C230,'TL07'!$J$10:$J$224),0),
IF('TL07'!$B$229=O$3,SUMIF('TL07'!$C$238:$C$451,$C230,'TL07'!$J$238:$J$451),0),
IF('TL08'!$B$3=O$3,SUMIF('TL08'!$C$10:$C$224,$C230,'TL08'!$J$10:$J$224),0),
IF('TL08'!$B$229=O$3,SUMIF('TL08'!$C$238:$C$451,$C230,'TL08'!$J$238:$J$451),0),
IF('TL09'!$B$3=O$3,SUMIF('TL09'!$C$10:$C$224,$C230,'TL09'!$J$10:$J$224),0),
IF('TL09'!$B$229=O$3,SUMIF('TL09'!$C$238:$C$451,$C230,'TL09'!$J$238:$J$451),0),
IF('TL10'!$B$3=O$3,SUMIF('TL10'!$C$10:$C$224,$C230,'TL10'!$J$10:$J$224),0),
IF('TL10'!$B$229=O$3,SUMIF('TL10'!$C$238:$C$451,$C230,'TL10'!$J$238:$J$451),0),
IF('TL11'!$B$3=O$3,SUMIF('TL11'!$C$10:$C$224,$C230,'TL11'!$J$10:$J$224),0),
IF('TL11'!$B$229=O$3,SUMIF('TL11'!$C$238:$C$451,$C230,'TL11'!$J$238:$J$451),0),
IF('TL12'!$B$3=O$3,SUMIF('TL12'!$C$10:$C$224,$C230,'TL12'!$J$10:$J$224),0),
IF('TL12'!$B$229=O$3,SUMIF('TL12'!$C$238:$C$451,$C230,'TL12'!$J$238:$J$451),0),
IF('TL13'!$B$3=O$3,SUMIF('TL13'!$C$10:$C$224,$C230,'TL13'!$J$10:$J$224),0),
IF('TL13'!$B$229=O$3,SUMIF('TL13'!$C$238:$C$451,$C230,'TL13'!$J$238:$J$451),0),
IF('TL14'!$B$3=O$3,SUMIF('TL14'!$C$10:$C$224,$C230,'TL14'!$J$10:$J$224),0),
IF('TL14'!$B$229=O$3,SUMIF('TL14'!$C$238:$C$451,$C230,'TL14'!$J$238:$J$451),0),
IF('TL15'!$B$3=O$3,SUMIF('TL15'!$C$10:$C$224,$C230,'TL15'!$J$10:$J$224),0),
IF('TL15'!$B$229=O$3,SUMIF('TL15'!$C$238:$C$451,$C230,'TL15'!$J$238:$J$451),0),
IF('TL16'!$B$3=O$3,SUMIF('TL16'!$C$10:$C$224,$C230,'TL16'!$J$10:$J$224),0),
IF('TL16'!$B$229=O$3,SUMIF('TL16'!$C$238:$C$451,$C230,'TL16'!$J$238:$J$451),0),
IF('TL17'!$B$3=O$3,SUMIF('TL17'!$C$10:$C$224,$C230,'TL17'!$J$10:$J$224),0),
IF('TL17'!$B$229=O$3,SUMIF('TL17'!$C$238:$C$451,$C230,'TL17'!$J$238:$J$451),0),
IF('TL18'!$B$3=O$3,SUMIF('TL18'!$C$10:$C$224,$C230,'TL18'!$J$10:$J$224),0),
IF('TL18'!$B$229=O$3,SUMIF('TL18'!$C$238:$C$451,$C230,'TL18'!$J$238:$J$451),0),
IF('TL19'!$B$3=O$3,SUMIF('TL19'!$C$10:$C$224,$C230,'TL19'!$J$10:$J$224),0),
IF('TL19'!$B$229=O$3,SUMIF('TL19'!$C$238:$C$451,$C230,'TL19'!$J$238:$J$451),0)
),0)</f>
        <v/>
      </c>
      <c r="P230" s="9">
        <f>IFERROR(SUM(
IF('TL01'!$B$3=P$3,SUMIF('TL01'!$C$10:$C$224,$C230,'TL01'!$J$10:$J$224),0),
IF('TL01'!$B$229=P$3,SUMIF('TL01'!$C$238:$C$451,$C230,'TL01'!$J$238:$J$451),0),
IF('TL02'!$B$3=P$3,SUMIF('TL02'!$C$10:$C$224,$C230,'TL02'!$J$10:$J$224),0),
IF('TL02'!$B$229=P$3,SUMIF('TL02'!$C$238:$C$451,$C230,'TL02'!$J$238:$J$451),0),
IF('TL03'!$B$3=P$3,SUMIF('TL03'!$C$10:$C$224,$C230,'TL03'!$J$10:$J$224),0),
IF('TL03'!$B$229=P$3,SUMIF('TL03'!$C$238:$C$451,$C230,'TL03'!$J$238:$J$451),0),
IF('TL04'!$B$3=P$3,SUMIF('TL04'!$C$10:$C$224,$C230,'TL04'!$J$10:$J$224),0),
IF('TL04'!$B$229=P$3,SUMIF('TL04'!$C$238:$C$451,$C230,'TL04'!$J$238:$J$451),0),
IF('TL05'!$B$3=P$3,SUMIF('TL05'!$C$10:$C$224,$C230,'TL05'!$J$10:$J$224),0),
IF('TL05'!$B$229=P$3,SUMIF('TL05'!$C$238:$C$451,$C230,'TL05'!$J$238:$J$451),0),
IF('TL06'!$B$3=P$3,SUMIF('TL06'!$C$10:$C$224,$C230,'TL06'!$J$10:$J$224),0),
IF('TL06'!$B$229=P$3,SUMIF('TL06'!$C$238:$C$451,$C230,'TL06'!$J$238:$J$451),0),
IF('TL07'!$B$3=P$3,SUMIF('TL07'!$C$10:$C$224,$C230,'TL07'!$J$10:$J$224),0),
IF('TL07'!$B$229=P$3,SUMIF('TL07'!$C$238:$C$451,$C230,'TL07'!$J$238:$J$451),0),
IF('TL08'!$B$3=P$3,SUMIF('TL08'!$C$10:$C$224,$C230,'TL08'!$J$10:$J$224),0),
IF('TL08'!$B$229=P$3,SUMIF('TL08'!$C$238:$C$451,$C230,'TL08'!$J$238:$J$451),0),
IF('TL09'!$B$3=P$3,SUMIF('TL09'!$C$10:$C$224,$C230,'TL09'!$J$10:$J$224),0),
IF('TL09'!$B$229=P$3,SUMIF('TL09'!$C$238:$C$451,$C230,'TL09'!$J$238:$J$451),0),
IF('TL10'!$B$3=P$3,SUMIF('TL10'!$C$10:$C$224,$C230,'TL10'!$J$10:$J$224),0),
IF('TL10'!$B$229=P$3,SUMIF('TL10'!$C$238:$C$451,$C230,'TL10'!$J$238:$J$451),0),
IF('TL11'!$B$3=P$3,SUMIF('TL11'!$C$10:$C$224,$C230,'TL11'!$J$10:$J$224),0),
IF('TL11'!$B$229=P$3,SUMIF('TL11'!$C$238:$C$451,$C230,'TL11'!$J$238:$J$451),0),
IF('TL12'!$B$3=P$3,SUMIF('TL12'!$C$10:$C$224,$C230,'TL12'!$J$10:$J$224),0),
IF('TL12'!$B$229=P$3,SUMIF('TL12'!$C$238:$C$451,$C230,'TL12'!$J$238:$J$451),0),
IF('TL13'!$B$3=P$3,SUMIF('TL13'!$C$10:$C$224,$C230,'TL13'!$J$10:$J$224),0),
IF('TL13'!$B$229=P$3,SUMIF('TL13'!$C$238:$C$451,$C230,'TL13'!$J$238:$J$451),0),
IF('TL14'!$B$3=P$3,SUMIF('TL14'!$C$10:$C$224,$C230,'TL14'!$J$10:$J$224),0),
IF('TL14'!$B$229=P$3,SUMIF('TL14'!$C$238:$C$451,$C230,'TL14'!$J$238:$J$451),0),
IF('TL15'!$B$3=P$3,SUMIF('TL15'!$C$10:$C$224,$C230,'TL15'!$J$10:$J$224),0),
IF('TL15'!$B$229=P$3,SUMIF('TL15'!$C$238:$C$451,$C230,'TL15'!$J$238:$J$451),0),
IF('TL16'!$B$3=P$3,SUMIF('TL16'!$C$10:$C$224,$C230,'TL16'!$J$10:$J$224),0),
IF('TL16'!$B$229=P$3,SUMIF('TL16'!$C$238:$C$451,$C230,'TL16'!$J$238:$J$451),0),
IF('TL17'!$B$3=P$3,SUMIF('TL17'!$C$10:$C$224,$C230,'TL17'!$J$10:$J$224),0),
IF('TL17'!$B$229=P$3,SUMIF('TL17'!$C$238:$C$451,$C230,'TL17'!$J$238:$J$451),0),
IF('TL18'!$B$3=P$3,SUMIF('TL18'!$C$10:$C$224,$C230,'TL18'!$J$10:$J$224),0),
IF('TL18'!$B$229=P$3,SUMIF('TL18'!$C$238:$C$451,$C230,'TL18'!$J$238:$J$451),0),
IF('TL19'!$B$3=P$3,SUMIF('TL19'!$C$10:$C$224,$C230,'TL19'!$J$10:$J$224),0),
IF('TL19'!$B$229=P$3,SUMIF('TL19'!$C$238:$C$451,$C230,'TL19'!$J$238:$J$451),0)
),0)</f>
        <v/>
      </c>
      <c r="Q230" s="9">
        <f>IFERROR(SUM(
IF('TL01'!$B$3=Q$3,SUMIF('TL01'!$C$10:$C$224,$C230,'TL01'!$J$10:$J$224),0),
IF('TL01'!$B$229=Q$3,SUMIF('TL01'!$C$238:$C$451,$C230,'TL01'!$J$238:$J$451),0),
IF('TL02'!$B$3=Q$3,SUMIF('TL02'!$C$10:$C$224,$C230,'TL02'!$J$10:$J$224),0),
IF('TL02'!$B$229=Q$3,SUMIF('TL02'!$C$238:$C$451,$C230,'TL02'!$J$238:$J$451),0),
IF('TL03'!$B$3=Q$3,SUMIF('TL03'!$C$10:$C$224,$C230,'TL03'!$J$10:$J$224),0),
IF('TL03'!$B$229=Q$3,SUMIF('TL03'!$C$238:$C$451,$C230,'TL03'!$J$238:$J$451),0),
IF('TL04'!$B$3=Q$3,SUMIF('TL04'!$C$10:$C$224,$C230,'TL04'!$J$10:$J$224),0),
IF('TL04'!$B$229=Q$3,SUMIF('TL04'!$C$238:$C$451,$C230,'TL04'!$J$238:$J$451),0),
IF('TL05'!$B$3=Q$3,SUMIF('TL05'!$C$10:$C$224,$C230,'TL05'!$J$10:$J$224),0),
IF('TL05'!$B$229=Q$3,SUMIF('TL05'!$C$238:$C$451,$C230,'TL05'!$J$238:$J$451),0),
IF('TL06'!$B$3=Q$3,SUMIF('TL06'!$C$10:$C$224,$C230,'TL06'!$J$10:$J$224),0),
IF('TL06'!$B$229=Q$3,SUMIF('TL06'!$C$238:$C$451,$C230,'TL06'!$J$238:$J$451),0),
IF('TL07'!$B$3=Q$3,SUMIF('TL07'!$C$10:$C$224,$C230,'TL07'!$J$10:$J$224),0),
IF('TL07'!$B$229=Q$3,SUMIF('TL07'!$C$238:$C$451,$C230,'TL07'!$J$238:$J$451),0),
IF('TL08'!$B$3=Q$3,SUMIF('TL08'!$C$10:$C$224,$C230,'TL08'!$J$10:$J$224),0),
IF('TL08'!$B$229=Q$3,SUMIF('TL08'!$C$238:$C$451,$C230,'TL08'!$J$238:$J$451),0),
IF('TL09'!$B$3=Q$3,SUMIF('TL09'!$C$10:$C$224,$C230,'TL09'!$J$10:$J$224),0),
IF('TL09'!$B$229=Q$3,SUMIF('TL09'!$C$238:$C$451,$C230,'TL09'!$J$238:$J$451),0),
IF('TL10'!$B$3=Q$3,SUMIF('TL10'!$C$10:$C$224,$C230,'TL10'!$J$10:$J$224),0),
IF('TL10'!$B$229=Q$3,SUMIF('TL10'!$C$238:$C$451,$C230,'TL10'!$J$238:$J$451),0),
IF('TL11'!$B$3=Q$3,SUMIF('TL11'!$C$10:$C$224,$C230,'TL11'!$J$10:$J$224),0),
IF('TL11'!$B$229=Q$3,SUMIF('TL11'!$C$238:$C$451,$C230,'TL11'!$J$238:$J$451),0),
IF('TL12'!$B$3=Q$3,SUMIF('TL12'!$C$10:$C$224,$C230,'TL12'!$J$10:$J$224),0),
IF('TL12'!$B$229=Q$3,SUMIF('TL12'!$C$238:$C$451,$C230,'TL12'!$J$238:$J$451),0),
IF('TL13'!$B$3=Q$3,SUMIF('TL13'!$C$10:$C$224,$C230,'TL13'!$J$10:$J$224),0),
IF('TL13'!$B$229=Q$3,SUMIF('TL13'!$C$238:$C$451,$C230,'TL13'!$J$238:$J$451),0),
IF('TL14'!$B$3=Q$3,SUMIF('TL14'!$C$10:$C$224,$C230,'TL14'!$J$10:$J$224),0),
IF('TL14'!$B$229=Q$3,SUMIF('TL14'!$C$238:$C$451,$C230,'TL14'!$J$238:$J$451),0),
IF('TL15'!$B$3=Q$3,SUMIF('TL15'!$C$10:$C$224,$C230,'TL15'!$J$10:$J$224),0),
IF('TL15'!$B$229=Q$3,SUMIF('TL15'!$C$238:$C$451,$C230,'TL15'!$J$238:$J$451),0),
IF('TL16'!$B$3=Q$3,SUMIF('TL16'!$C$10:$C$224,$C230,'TL16'!$J$10:$J$224),0),
IF('TL16'!$B$229=Q$3,SUMIF('TL16'!$C$238:$C$451,$C230,'TL16'!$J$238:$J$451),0),
IF('TL17'!$B$3=Q$3,SUMIF('TL17'!$C$10:$C$224,$C230,'TL17'!$J$10:$J$224),0),
IF('TL17'!$B$229=Q$3,SUMIF('TL17'!$C$238:$C$451,$C230,'TL17'!$J$238:$J$451),0),
IF('TL18'!$B$3=Q$3,SUMIF('TL18'!$C$10:$C$224,$C230,'TL18'!$J$10:$J$224),0),
IF('TL18'!$B$229=Q$3,SUMIF('TL18'!$C$238:$C$451,$C230,'TL18'!$J$238:$J$451),0),
IF('TL19'!$B$3=Q$3,SUMIF('TL19'!$C$10:$C$224,$C230,'TL19'!$J$10:$J$224),0),
IF('TL19'!$B$229=Q$3,SUMIF('TL19'!$C$238:$C$451,$C230,'TL19'!$J$238:$J$451),0)
),0)</f>
        <v/>
      </c>
      <c r="R230" s="9">
        <f>IFERROR(
SUM(
SUMIF('TL01'!C:C,C230,'TL01'!J:J),
SUMIF('TL02'!C:C,C230,'TL02'!J:J),
SUMIF('TL03'!C:C,C230,'TL03'!J:J),
SUMIF('TL04'!C:C,C230,'TL04'!J:J),
SUMIF('TL05'!C:C,C230,'TL05'!J:J),
SUMIF('TL06'!C:C,C230,'TL06'!J:J),
SUMIF('TL07'!C:C,C230,'TL07'!J:J),
SUMIF('TL08'!C:C,C230,'TL08'!J:J),
SUMIF('TL09'!C:C,C230,'TL09'!J:J),
SUMIF('TL10'!C:C,C230,'TL10'!J:J),
SUMIF('TL11'!C:C,C230,'TL11'!J:J),
SUMIF('TL12'!C:C,C230,'TL12'!J:J),
SUMIF('TL13'!C:C,C230,'TL13'!J:J),
SUMIF('TL14'!C:C,C230,'TL14'!J:J),
SUMIF('TL15'!C:C,C230,'TL15'!J:J),
SUMIF('TL16'!C:C,C230,'TL16'!J:J),
SUMIF('TL17'!C:C,C230,'TL17'!J:J),
SUMIF('TL18'!C:C,C230,'TL18'!J:J),SUMIF('TL19'!C:C,C230,'TL19'!J:J))
,0)</f>
        <v/>
      </c>
      <c r="S230" s="17">
        <f>IFERROR(__xludf.DUMMYFUNCTION("IFERROR(VLOOKUP(C230,
IMPORTRANGE(""1wULbzX32WdYsx-lj2U3uUNBBe2INVIRDtcK0d-Dvl90"",
""26-27!C:G""),
5,
FALSE),
"""")"),183.28629)</f>
        <v/>
      </c>
      <c r="T230" s="9" t="n"/>
      <c r="U230" s="92">
        <f>MAX(0,R230-T230)</f>
        <v/>
      </c>
      <c r="V230" s="93">
        <f>U230*S230</f>
        <v/>
      </c>
    </row>
    <row r="231" hidden="1" ht="15.75" customHeight="1" s="297">
      <c r="A231" s="94" t="inlineStr">
        <is>
          <t>SYNGENTA</t>
        </is>
      </c>
      <c r="B231" s="95" t="inlineStr">
        <is>
          <t>INSETICIDA</t>
        </is>
      </c>
      <c r="C231" s="96" t="inlineStr">
        <is>
          <t>CURYOM 550 EC</t>
        </is>
      </c>
      <c r="D231" s="96" t="inlineStr">
        <is>
          <t>LUFENUROM + PROFENOFÓS</t>
        </is>
      </c>
      <c r="E231" s="96" t="inlineStr">
        <is>
          <t>50 + 500</t>
        </is>
      </c>
      <c r="F231" s="4" t="inlineStr">
        <is>
          <t>KG</t>
        </is>
      </c>
      <c r="G231" s="90">
        <f>HYPERLINK("https://www.google.com/search?q=" &amp; C231 &amp; "+bula+agrofit+pdf", "📄 Ver bula")</f>
        <v/>
      </c>
      <c r="H231" s="9">
        <f>IFERROR(__xludf.DUMMYFUNCTION("IFERROR(VLOOKUP(C231,
IMPORTRANGE(""1wULbzX32WdYsx-lj2U3uUNBBe2INVIRDtcK0d-Dvl90"",
""26-27!C:K""),
8,
FALSE),
"""")"),0.6)</f>
        <v/>
      </c>
      <c r="I231" s="97" t="inlineStr">
        <is>
          <t>1x20</t>
        </is>
      </c>
      <c r="J231" s="9">
        <f>IFERROR(SUM(
IF('TL01'!$B$3=J$3,SUMIF('TL01'!$C$10:$C$224,$C231,'TL01'!$J$10:$J$224),0),
IF('TL01'!$B$229=J$3,SUMIF('TL01'!$C$238:$C$451,$C231,'TL01'!$J$238:$J$451),0),
IF('TL02'!$B$3=J$3,SUMIF('TL02'!$C$10:$C$224,$C231,'TL02'!$J$10:$J$224),0),
IF('TL02'!$B$229=J$3,SUMIF('TL02'!$C$238:$C$451,$C231,'TL02'!$J$238:$J$451),0),
IF('TL03'!$B$3=J$3,SUMIF('TL03'!$C$10:$C$224,$C231,'TL03'!$J$10:$J$224),0),
IF('TL03'!$B$229=J$3,SUMIF('TL03'!$C$238:$C$451,$C231,'TL03'!$J$238:$J$451),0),
IF('TL04'!$B$3=J$3,SUMIF('TL04'!$C$10:$C$224,$C231,'TL04'!$J$10:$J$224),0),
IF('TL04'!$B$229=J$3,SUMIF('TL04'!$C$238:$C$451,$C231,'TL04'!$J$238:$J$451),0),
IF('TL05'!$B$3=J$3,SUMIF('TL05'!$C$10:$C$224,$C231,'TL05'!$J$10:$J$224),0),
IF('TL05'!$B$229=J$3,SUMIF('TL05'!$C$238:$C$451,$C231,'TL05'!$J$238:$J$451),0),
IF('TL06'!$B$3=J$3,SUMIF('TL06'!$C$10:$C$224,$C231,'TL06'!$J$10:$J$224),0),
IF('TL06'!$B$229=J$3,SUMIF('TL06'!$C$238:$C$451,$C231,'TL06'!$J$238:$J$451),0),
IF('TL07'!$B$3=J$3,SUMIF('TL07'!$C$10:$C$224,$C231,'TL07'!$J$10:$J$224),0),
IF('TL07'!$B$229=J$3,SUMIF('TL07'!$C$238:$C$451,$C231,'TL07'!$J$238:$J$451),0),
IF('TL08'!$B$3=J$3,SUMIF('TL08'!$C$10:$C$224,$C231,'TL08'!$J$10:$J$224),0),
IF('TL08'!$B$229=J$3,SUMIF('TL08'!$C$238:$C$451,$C231,'TL08'!$J$238:$J$451),0),
IF('TL09'!$B$3=J$3,SUMIF('TL09'!$C$10:$C$224,$C231,'TL09'!$J$10:$J$224),0),
IF('TL09'!$B$229=J$3,SUMIF('TL09'!$C$238:$C$451,$C231,'TL09'!$J$238:$J$451),0),
IF('TL10'!$B$3=J$3,SUMIF('TL10'!$C$10:$C$224,$C231,'TL10'!$J$10:$J$224),0),
IF('TL10'!$B$229=J$3,SUMIF('TL10'!$C$238:$C$451,$C231,'TL10'!$J$238:$J$451),0),
IF('TL11'!$B$3=J$3,SUMIF('TL11'!$C$10:$C$224,$C231,'TL11'!$J$10:$J$224),0),
IF('TL11'!$B$229=J$3,SUMIF('TL11'!$C$238:$C$451,$C231,'TL11'!$J$238:$J$451),0),
IF('TL12'!$B$3=J$3,SUMIF('TL12'!$C$10:$C$224,$C231,'TL12'!$J$10:$J$224),0),
IF('TL12'!$B$229=J$3,SUMIF('TL12'!$C$238:$C$451,$C231,'TL12'!$J$238:$J$451),0),
IF('TL13'!$B$3=J$3,SUMIF('TL13'!$C$10:$C$224,$C231,'TL13'!$J$10:$J$224),0),
IF('TL13'!$B$229=J$3,SUMIF('TL13'!$C$238:$C$451,$C231,'TL13'!$J$238:$J$451),0),
IF('TL14'!$B$3=J$3,SUMIF('TL14'!$C$10:$C$224,$C231,'TL14'!$J$10:$J$224),0),
IF('TL14'!$B$229=J$3,SUMIF('TL14'!$C$238:$C$451,$C231,'TL14'!$J$238:$J$451),0),
IF('TL15'!$B$3=J$3,SUMIF('TL15'!$C$10:$C$224,$C231,'TL15'!$J$10:$J$224),0),
IF('TL15'!$B$229=J$3,SUMIF('TL15'!$C$238:$C$451,$C231,'TL15'!$J$238:$J$451),0),
IF('TL16'!$B$3=J$3,SUMIF('TL16'!$C$10:$C$224,$C231,'TL16'!$J$10:$J$224),0),
IF('TL16'!$B$229=J$3,SUMIF('TL16'!$C$238:$C$451,$C231,'TL16'!$J$238:$J$451),0),
IF('TL17'!$B$3=J$3,SUMIF('TL17'!$C$10:$C$224,$C231,'TL17'!$J$10:$J$224),0),
IF('TL17'!$B$229=J$3,SUMIF('TL17'!$C$238:$C$451,$C231,'TL17'!$J$238:$J$451),0),
IF('TL18'!$B$3=J$3,SUMIF('TL18'!$C$10:$C$224,$C231,'TL18'!$J$10:$J$224),0),
IF('TL18'!$B$229=J$3,SUMIF('TL18'!$C$238:$C$451,$C231,'TL18'!$J$238:$J$451),0),
IF('TL19'!$B$3=J$3,SUMIF('TL19'!$C$10:$C$224,$C231,'TL19'!$J$10:$J$224),0),
IF('TL19'!$B$229=J$3,SUMIF('TL19'!$C$238:$C$451,$C231,'TL19'!$J$238:$J$451),0)
),0)</f>
        <v/>
      </c>
      <c r="K231" s="9">
        <f>IFERROR(SUM(
IF('TL01'!$B$3=K$3,SUMIF('TL01'!$C$10:$C$224,$C231,'TL01'!$J$10:$J$224),0),
IF('TL01'!$B$229=K$3,SUMIF('TL01'!$C$238:$C$451,$C231,'TL01'!$J$238:$J$451),0),
IF('TL02'!$B$3=K$3,SUMIF('TL02'!$C$10:$C$224,$C231,'TL02'!$J$10:$J$224),0),
IF('TL02'!$B$229=K$3,SUMIF('TL02'!$C$238:$C$451,$C231,'TL02'!$J$238:$J$451),0),
IF('TL03'!$B$3=K$3,SUMIF('TL03'!$C$10:$C$224,$C231,'TL03'!$J$10:$J$224),0),
IF('TL03'!$B$229=K$3,SUMIF('TL03'!$C$238:$C$451,$C231,'TL03'!$J$238:$J$451),0),
IF('TL04'!$B$3=K$3,SUMIF('TL04'!$C$10:$C$224,$C231,'TL04'!$J$10:$J$224),0),
IF('TL04'!$B$229=K$3,SUMIF('TL04'!$C$238:$C$451,$C231,'TL04'!$J$238:$J$451),0),
IF('TL05'!$B$3=K$3,SUMIF('TL05'!$C$10:$C$224,$C231,'TL05'!$J$10:$J$224),0),
IF('TL05'!$B$229=K$3,SUMIF('TL05'!$C$238:$C$451,$C231,'TL05'!$J$238:$J$451),0),
IF('TL06'!$B$3=K$3,SUMIF('TL06'!$C$10:$C$224,$C231,'TL06'!$J$10:$J$224),0),
IF('TL06'!$B$229=K$3,SUMIF('TL06'!$C$238:$C$451,$C231,'TL06'!$J$238:$J$451),0),
IF('TL07'!$B$3=K$3,SUMIF('TL07'!$C$10:$C$224,$C231,'TL07'!$J$10:$J$224),0),
IF('TL07'!$B$229=K$3,SUMIF('TL07'!$C$238:$C$451,$C231,'TL07'!$J$238:$J$451),0),
IF('TL08'!$B$3=K$3,SUMIF('TL08'!$C$10:$C$224,$C231,'TL08'!$J$10:$J$224),0),
IF('TL08'!$B$229=K$3,SUMIF('TL08'!$C$238:$C$451,$C231,'TL08'!$J$238:$J$451),0),
IF('TL09'!$B$3=K$3,SUMIF('TL09'!$C$10:$C$224,$C231,'TL09'!$J$10:$J$224),0),
IF('TL09'!$B$229=K$3,SUMIF('TL09'!$C$238:$C$451,$C231,'TL09'!$J$238:$J$451),0),
IF('TL10'!$B$3=K$3,SUMIF('TL10'!$C$10:$C$224,$C231,'TL10'!$J$10:$J$224),0),
IF('TL10'!$B$229=K$3,SUMIF('TL10'!$C$238:$C$451,$C231,'TL10'!$J$238:$J$451),0),
IF('TL11'!$B$3=K$3,SUMIF('TL11'!$C$10:$C$224,$C231,'TL11'!$J$10:$J$224),0),
IF('TL11'!$B$229=K$3,SUMIF('TL11'!$C$238:$C$451,$C231,'TL11'!$J$238:$J$451),0),
IF('TL12'!$B$3=K$3,SUMIF('TL12'!$C$10:$C$224,$C231,'TL12'!$J$10:$J$224),0),
IF('TL12'!$B$229=K$3,SUMIF('TL12'!$C$238:$C$451,$C231,'TL12'!$J$238:$J$451),0),
IF('TL13'!$B$3=K$3,SUMIF('TL13'!$C$10:$C$224,$C231,'TL13'!$J$10:$J$224),0),
IF('TL13'!$B$229=K$3,SUMIF('TL13'!$C$238:$C$451,$C231,'TL13'!$J$238:$J$451),0),
IF('TL14'!$B$3=K$3,SUMIF('TL14'!$C$10:$C$224,$C231,'TL14'!$J$10:$J$224),0),
IF('TL14'!$B$229=K$3,SUMIF('TL14'!$C$238:$C$451,$C231,'TL14'!$J$238:$J$451),0),
IF('TL15'!$B$3=K$3,SUMIF('TL15'!$C$10:$C$224,$C231,'TL15'!$J$10:$J$224),0),
IF('TL15'!$B$229=K$3,SUMIF('TL15'!$C$238:$C$451,$C231,'TL15'!$J$238:$J$451),0),
IF('TL16'!$B$3=K$3,SUMIF('TL16'!$C$10:$C$224,$C231,'TL16'!$J$10:$J$224),0),
IF('TL16'!$B$229=K$3,SUMIF('TL16'!$C$238:$C$451,$C231,'TL16'!$J$238:$J$451),0),
IF('TL17'!$B$3=K$3,SUMIF('TL17'!$C$10:$C$224,$C231,'TL17'!$J$10:$J$224),0),
IF('TL17'!$B$229=K$3,SUMIF('TL17'!$C$238:$C$451,$C231,'TL17'!$J$238:$J$451),0),
IF('TL18'!$B$3=K$3,SUMIF('TL18'!$C$10:$C$224,$C231,'TL18'!$J$10:$J$224),0),
IF('TL18'!$B$229=K$3,SUMIF('TL18'!$C$238:$C$451,$C231,'TL18'!$J$238:$J$451),0),
IF('TL19'!$B$3=K$3,SUMIF('TL19'!$C$10:$C$224,$C231,'TL19'!$J$10:$J$224),0),
IF('TL19'!$B$229=K$3,SUMIF('TL19'!$C$238:$C$451,$C231,'TL19'!$J$238:$J$451),0)
),0)</f>
        <v/>
      </c>
      <c r="L231" s="9">
        <f>IFERROR(SUM(
IF('TL01'!$B$3=L$3,SUMIF('TL01'!$C$10:$C$224,$C231,'TL01'!$J$10:$J$224),0),
IF('TL01'!$B$229=L$3,SUMIF('TL01'!$C$238:$C$451,$C231,'TL01'!$J$238:$J$451),0),
IF('TL02'!$B$3=L$3,SUMIF('TL02'!$C$10:$C$224,$C231,'TL02'!$J$10:$J$224),0),
IF('TL02'!$B$229=L$3,SUMIF('TL02'!$C$238:$C$451,$C231,'TL02'!$J$238:$J$451),0),
IF('TL03'!$B$3=L$3,SUMIF('TL03'!$C$10:$C$224,$C231,'TL03'!$J$10:$J$224),0),
IF('TL03'!$B$229=L$3,SUMIF('TL03'!$C$238:$C$451,$C231,'TL03'!$J$238:$J$451),0),
IF('TL04'!$B$3=L$3,SUMIF('TL04'!$C$10:$C$224,$C231,'TL04'!$J$10:$J$224),0),
IF('TL04'!$B$229=L$3,SUMIF('TL04'!$C$238:$C$451,$C231,'TL04'!$J$238:$J$451),0),
IF('TL05'!$B$3=L$3,SUMIF('TL05'!$C$10:$C$224,$C231,'TL05'!$J$10:$J$224),0),
IF('TL05'!$B$229=L$3,SUMIF('TL05'!$C$238:$C$451,$C231,'TL05'!$J$238:$J$451),0),
IF('TL06'!$B$3=L$3,SUMIF('TL06'!$C$10:$C$224,$C231,'TL06'!$J$10:$J$224),0),
IF('TL06'!$B$229=L$3,SUMIF('TL06'!$C$238:$C$451,$C231,'TL06'!$J$238:$J$451),0),
IF('TL07'!$B$3=L$3,SUMIF('TL07'!$C$10:$C$224,$C231,'TL07'!$J$10:$J$224),0),
IF('TL07'!$B$229=L$3,SUMIF('TL07'!$C$238:$C$451,$C231,'TL07'!$J$238:$J$451),0),
IF('TL08'!$B$3=L$3,SUMIF('TL08'!$C$10:$C$224,$C231,'TL08'!$J$10:$J$224),0),
IF('TL08'!$B$229=L$3,SUMIF('TL08'!$C$238:$C$451,$C231,'TL08'!$J$238:$J$451),0),
IF('TL09'!$B$3=L$3,SUMIF('TL09'!$C$10:$C$224,$C231,'TL09'!$J$10:$J$224),0),
IF('TL09'!$B$229=L$3,SUMIF('TL09'!$C$238:$C$451,$C231,'TL09'!$J$238:$J$451),0),
IF('TL10'!$B$3=L$3,SUMIF('TL10'!$C$10:$C$224,$C231,'TL10'!$J$10:$J$224),0),
IF('TL10'!$B$229=L$3,SUMIF('TL10'!$C$238:$C$451,$C231,'TL10'!$J$238:$J$451),0),
IF('TL11'!$B$3=L$3,SUMIF('TL11'!$C$10:$C$224,$C231,'TL11'!$J$10:$J$224),0),
IF('TL11'!$B$229=L$3,SUMIF('TL11'!$C$238:$C$451,$C231,'TL11'!$J$238:$J$451),0),
IF('TL12'!$B$3=L$3,SUMIF('TL12'!$C$10:$C$224,$C231,'TL12'!$J$10:$J$224),0),
IF('TL12'!$B$229=L$3,SUMIF('TL12'!$C$238:$C$451,$C231,'TL12'!$J$238:$J$451),0),
IF('TL13'!$B$3=L$3,SUMIF('TL13'!$C$10:$C$224,$C231,'TL13'!$J$10:$J$224),0),
IF('TL13'!$B$229=L$3,SUMIF('TL13'!$C$238:$C$451,$C231,'TL13'!$J$238:$J$451),0),
IF('TL14'!$B$3=L$3,SUMIF('TL14'!$C$10:$C$224,$C231,'TL14'!$J$10:$J$224),0),
IF('TL14'!$B$229=L$3,SUMIF('TL14'!$C$238:$C$451,$C231,'TL14'!$J$238:$J$451),0),
IF('TL15'!$B$3=L$3,SUMIF('TL15'!$C$10:$C$224,$C231,'TL15'!$J$10:$J$224),0),
IF('TL15'!$B$229=L$3,SUMIF('TL15'!$C$238:$C$451,$C231,'TL15'!$J$238:$J$451),0),
IF('TL16'!$B$3=L$3,SUMIF('TL16'!$C$10:$C$224,$C231,'TL16'!$J$10:$J$224),0),
IF('TL16'!$B$229=L$3,SUMIF('TL16'!$C$238:$C$451,$C231,'TL16'!$J$238:$J$451),0),
IF('TL17'!$B$3=L$3,SUMIF('TL17'!$C$10:$C$224,$C231,'TL17'!$J$10:$J$224),0),
IF('TL17'!$B$229=L$3,SUMIF('TL17'!$C$238:$C$451,$C231,'TL17'!$J$238:$J$451),0),
IF('TL18'!$B$3=L$3,SUMIF('TL18'!$C$10:$C$224,$C231,'TL18'!$J$10:$J$224),0),
IF('TL18'!$B$229=L$3,SUMIF('TL18'!$C$238:$C$451,$C231,'TL18'!$J$238:$J$451),0),
IF('TL19'!$B$3=L$3,SUMIF('TL19'!$C$10:$C$224,$C231,'TL19'!$J$10:$J$224),0),
IF('TL19'!$B$229=L$3,SUMIF('TL19'!$C$238:$C$451,$C231,'TL19'!$J$238:$J$451),0)
),0)</f>
        <v/>
      </c>
      <c r="M231" s="9">
        <f>IFERROR(SUM(
IF('TL01'!$B$3=M$3,SUMIF('TL01'!$C$10:$C$224,$C231,'TL01'!$J$10:$J$224),0),
IF('TL01'!$B$229=M$3,SUMIF('TL01'!$C$238:$C$451,$C231,'TL01'!$J$238:$J$451),0),
IF('TL02'!$B$3=M$3,SUMIF('TL02'!$C$10:$C$224,$C231,'TL02'!$J$10:$J$224),0),
IF('TL02'!$B$229=M$3,SUMIF('TL02'!$C$238:$C$451,$C231,'TL02'!$J$238:$J$451),0),
IF('TL03'!$B$3=M$3,SUMIF('TL03'!$C$10:$C$224,$C231,'TL03'!$J$10:$J$224),0),
IF('TL03'!$B$229=M$3,SUMIF('TL03'!$C$238:$C$451,$C231,'TL03'!$J$238:$J$451),0),
IF('TL04'!$B$3=M$3,SUMIF('TL04'!$C$10:$C$224,$C231,'TL04'!$J$10:$J$224),0),
IF('TL04'!$B$229=M$3,SUMIF('TL04'!$C$238:$C$451,$C231,'TL04'!$J$238:$J$451),0),
IF('TL05'!$B$3=M$3,SUMIF('TL05'!$C$10:$C$224,$C231,'TL05'!$J$10:$J$224),0),
IF('TL05'!$B$229=M$3,SUMIF('TL05'!$C$238:$C$451,$C231,'TL05'!$J$238:$J$451),0),
IF('TL06'!$B$3=M$3,SUMIF('TL06'!$C$10:$C$224,$C231,'TL06'!$J$10:$J$224),0),
IF('TL06'!$B$229=M$3,SUMIF('TL06'!$C$238:$C$451,$C231,'TL06'!$J$238:$J$451),0),
IF('TL07'!$B$3=M$3,SUMIF('TL07'!$C$10:$C$224,$C231,'TL07'!$J$10:$J$224),0),
IF('TL07'!$B$229=M$3,SUMIF('TL07'!$C$238:$C$451,$C231,'TL07'!$J$238:$J$451),0),
IF('TL08'!$B$3=M$3,SUMIF('TL08'!$C$10:$C$224,$C231,'TL08'!$J$10:$J$224),0),
IF('TL08'!$B$229=M$3,SUMIF('TL08'!$C$238:$C$451,$C231,'TL08'!$J$238:$J$451),0),
IF('TL09'!$B$3=M$3,SUMIF('TL09'!$C$10:$C$224,$C231,'TL09'!$J$10:$J$224),0),
IF('TL09'!$B$229=M$3,SUMIF('TL09'!$C$238:$C$451,$C231,'TL09'!$J$238:$J$451),0),
IF('TL10'!$B$3=M$3,SUMIF('TL10'!$C$10:$C$224,$C231,'TL10'!$J$10:$J$224),0),
IF('TL10'!$B$229=M$3,SUMIF('TL10'!$C$238:$C$451,$C231,'TL10'!$J$238:$J$451),0),
IF('TL11'!$B$3=M$3,SUMIF('TL11'!$C$10:$C$224,$C231,'TL11'!$J$10:$J$224),0),
IF('TL11'!$B$229=M$3,SUMIF('TL11'!$C$238:$C$451,$C231,'TL11'!$J$238:$J$451),0),
IF('TL12'!$B$3=M$3,SUMIF('TL12'!$C$10:$C$224,$C231,'TL12'!$J$10:$J$224),0),
IF('TL12'!$B$229=M$3,SUMIF('TL12'!$C$238:$C$451,$C231,'TL12'!$J$238:$J$451),0),
IF('TL13'!$B$3=M$3,SUMIF('TL13'!$C$10:$C$224,$C231,'TL13'!$J$10:$J$224),0),
IF('TL13'!$B$229=M$3,SUMIF('TL13'!$C$238:$C$451,$C231,'TL13'!$J$238:$J$451),0),
IF('TL14'!$B$3=M$3,SUMIF('TL14'!$C$10:$C$224,$C231,'TL14'!$J$10:$J$224),0),
IF('TL14'!$B$229=M$3,SUMIF('TL14'!$C$238:$C$451,$C231,'TL14'!$J$238:$J$451),0),
IF('TL15'!$B$3=M$3,SUMIF('TL15'!$C$10:$C$224,$C231,'TL15'!$J$10:$J$224),0),
IF('TL15'!$B$229=M$3,SUMIF('TL15'!$C$238:$C$451,$C231,'TL15'!$J$238:$J$451),0),
IF('TL16'!$B$3=M$3,SUMIF('TL16'!$C$10:$C$224,$C231,'TL16'!$J$10:$J$224),0),
IF('TL16'!$B$229=M$3,SUMIF('TL16'!$C$238:$C$451,$C231,'TL16'!$J$238:$J$451),0),
IF('TL17'!$B$3=M$3,SUMIF('TL17'!$C$10:$C$224,$C231,'TL17'!$J$10:$J$224),0),
IF('TL17'!$B$229=M$3,SUMIF('TL17'!$C$238:$C$451,$C231,'TL17'!$J$238:$J$451),0),
IF('TL18'!$B$3=M$3,SUMIF('TL18'!$C$10:$C$224,$C231,'TL18'!$J$10:$J$224),0),
IF('TL18'!$B$229=M$3,SUMIF('TL18'!$C$238:$C$451,$C231,'TL18'!$J$238:$J$451),0),
IF('TL19'!$B$3=M$3,SUMIF('TL19'!$C$10:$C$224,$C231,'TL19'!$J$10:$J$224),0),
IF('TL19'!$B$229=M$3,SUMIF('TL19'!$C$238:$C$451,$C231,'TL19'!$J$238:$J$451),0)
),0)</f>
        <v/>
      </c>
      <c r="N231" s="9">
        <f>IFERROR(SUM(
IF('TL01'!$B$3=N$3,SUMIF('TL01'!$C$10:$C$224,$C231,'TL01'!$J$10:$J$224),0),
IF('TL01'!$B$229=N$3,SUMIF('TL01'!$C$238:$C$451,$C231,'TL01'!$J$238:$J$451),0),
IF('TL02'!$B$3=N$3,SUMIF('TL02'!$C$10:$C$224,$C231,'TL02'!$J$10:$J$224),0),
IF('TL02'!$B$229=N$3,SUMIF('TL02'!$C$238:$C$451,$C231,'TL02'!$J$238:$J$451),0),
IF('TL03'!$B$3=N$3,SUMIF('TL03'!$C$10:$C$224,$C231,'TL03'!$J$10:$J$224),0),
IF('TL03'!$B$229=N$3,SUMIF('TL03'!$C$238:$C$451,$C231,'TL03'!$J$238:$J$451),0),
IF('TL04'!$B$3=N$3,SUMIF('TL04'!$C$10:$C$224,$C231,'TL04'!$J$10:$J$224),0),
IF('TL04'!$B$229=N$3,SUMIF('TL04'!$C$238:$C$451,$C231,'TL04'!$J$238:$J$451),0),
IF('TL05'!$B$3=N$3,SUMIF('TL05'!$C$10:$C$224,$C231,'TL05'!$J$10:$J$224),0),
IF('TL05'!$B$229=N$3,SUMIF('TL05'!$C$238:$C$451,$C231,'TL05'!$J$238:$J$451),0),
IF('TL06'!$B$3=N$3,SUMIF('TL06'!$C$10:$C$224,$C231,'TL06'!$J$10:$J$224),0),
IF('TL06'!$B$229=N$3,SUMIF('TL06'!$C$238:$C$451,$C231,'TL06'!$J$238:$J$451),0),
IF('TL07'!$B$3=N$3,SUMIF('TL07'!$C$10:$C$224,$C231,'TL07'!$J$10:$J$224),0),
IF('TL07'!$B$229=N$3,SUMIF('TL07'!$C$238:$C$451,$C231,'TL07'!$J$238:$J$451),0),
IF('TL08'!$B$3=N$3,SUMIF('TL08'!$C$10:$C$224,$C231,'TL08'!$J$10:$J$224),0),
IF('TL08'!$B$229=N$3,SUMIF('TL08'!$C$238:$C$451,$C231,'TL08'!$J$238:$J$451),0),
IF('TL09'!$B$3=N$3,SUMIF('TL09'!$C$10:$C$224,$C231,'TL09'!$J$10:$J$224),0),
IF('TL09'!$B$229=N$3,SUMIF('TL09'!$C$238:$C$451,$C231,'TL09'!$J$238:$J$451),0),
IF('TL10'!$B$3=N$3,SUMIF('TL10'!$C$10:$C$224,$C231,'TL10'!$J$10:$J$224),0),
IF('TL10'!$B$229=N$3,SUMIF('TL10'!$C$238:$C$451,$C231,'TL10'!$J$238:$J$451),0),
IF('TL11'!$B$3=N$3,SUMIF('TL11'!$C$10:$C$224,$C231,'TL11'!$J$10:$J$224),0),
IF('TL11'!$B$229=N$3,SUMIF('TL11'!$C$238:$C$451,$C231,'TL11'!$J$238:$J$451),0),
IF('TL12'!$B$3=N$3,SUMIF('TL12'!$C$10:$C$224,$C231,'TL12'!$J$10:$J$224),0),
IF('TL12'!$B$229=N$3,SUMIF('TL12'!$C$238:$C$451,$C231,'TL12'!$J$238:$J$451),0),
IF('TL13'!$B$3=N$3,SUMIF('TL13'!$C$10:$C$224,$C231,'TL13'!$J$10:$J$224),0),
IF('TL13'!$B$229=N$3,SUMIF('TL13'!$C$238:$C$451,$C231,'TL13'!$J$238:$J$451),0),
IF('TL14'!$B$3=N$3,SUMIF('TL14'!$C$10:$C$224,$C231,'TL14'!$J$10:$J$224),0),
IF('TL14'!$B$229=N$3,SUMIF('TL14'!$C$238:$C$451,$C231,'TL14'!$J$238:$J$451),0),
IF('TL15'!$B$3=N$3,SUMIF('TL15'!$C$10:$C$224,$C231,'TL15'!$J$10:$J$224),0),
IF('TL15'!$B$229=N$3,SUMIF('TL15'!$C$238:$C$451,$C231,'TL15'!$J$238:$J$451),0),
IF('TL16'!$B$3=N$3,SUMIF('TL16'!$C$10:$C$224,$C231,'TL16'!$J$10:$J$224),0),
IF('TL16'!$B$229=N$3,SUMIF('TL16'!$C$238:$C$451,$C231,'TL16'!$J$238:$J$451),0),
IF('TL17'!$B$3=N$3,SUMIF('TL17'!$C$10:$C$224,$C231,'TL17'!$J$10:$J$224),0),
IF('TL17'!$B$229=N$3,SUMIF('TL17'!$C$238:$C$451,$C231,'TL17'!$J$238:$J$451),0),
IF('TL18'!$B$3=N$3,SUMIF('TL18'!$C$10:$C$224,$C231,'TL18'!$J$10:$J$224),0),
IF('TL18'!$B$229=N$3,SUMIF('TL18'!$C$238:$C$451,$C231,'TL18'!$J$238:$J$451),0),
IF('TL19'!$B$3=N$3,SUMIF('TL19'!$C$10:$C$224,$C231,'TL19'!$J$10:$J$224),0),
IF('TL19'!$B$229=N$3,SUMIF('TL19'!$C$238:$C$451,$C231,'TL19'!$J$238:$J$451),0)
),0)</f>
        <v/>
      </c>
      <c r="O231" s="9">
        <f>IFERROR(SUM(
IF('TL01'!$B$3=O$3,SUMIF('TL01'!$C$10:$C$224,$C231,'TL01'!$J$10:$J$224),0),
IF('TL01'!$B$229=O$3,SUMIF('TL01'!$C$238:$C$451,$C231,'TL01'!$J$238:$J$451),0),
IF('TL02'!$B$3=O$3,SUMIF('TL02'!$C$10:$C$224,$C231,'TL02'!$J$10:$J$224),0),
IF('TL02'!$B$229=O$3,SUMIF('TL02'!$C$238:$C$451,$C231,'TL02'!$J$238:$J$451),0),
IF('TL03'!$B$3=O$3,SUMIF('TL03'!$C$10:$C$224,$C231,'TL03'!$J$10:$J$224),0),
IF('TL03'!$B$229=O$3,SUMIF('TL03'!$C$238:$C$451,$C231,'TL03'!$J$238:$J$451),0),
IF('TL04'!$B$3=O$3,SUMIF('TL04'!$C$10:$C$224,$C231,'TL04'!$J$10:$J$224),0),
IF('TL04'!$B$229=O$3,SUMIF('TL04'!$C$238:$C$451,$C231,'TL04'!$J$238:$J$451),0),
IF('TL05'!$B$3=O$3,SUMIF('TL05'!$C$10:$C$224,$C231,'TL05'!$J$10:$J$224),0),
IF('TL05'!$B$229=O$3,SUMIF('TL05'!$C$238:$C$451,$C231,'TL05'!$J$238:$J$451),0),
IF('TL06'!$B$3=O$3,SUMIF('TL06'!$C$10:$C$224,$C231,'TL06'!$J$10:$J$224),0),
IF('TL06'!$B$229=O$3,SUMIF('TL06'!$C$238:$C$451,$C231,'TL06'!$J$238:$J$451),0),
IF('TL07'!$B$3=O$3,SUMIF('TL07'!$C$10:$C$224,$C231,'TL07'!$J$10:$J$224),0),
IF('TL07'!$B$229=O$3,SUMIF('TL07'!$C$238:$C$451,$C231,'TL07'!$J$238:$J$451),0),
IF('TL08'!$B$3=O$3,SUMIF('TL08'!$C$10:$C$224,$C231,'TL08'!$J$10:$J$224),0),
IF('TL08'!$B$229=O$3,SUMIF('TL08'!$C$238:$C$451,$C231,'TL08'!$J$238:$J$451),0),
IF('TL09'!$B$3=O$3,SUMIF('TL09'!$C$10:$C$224,$C231,'TL09'!$J$10:$J$224),0),
IF('TL09'!$B$229=O$3,SUMIF('TL09'!$C$238:$C$451,$C231,'TL09'!$J$238:$J$451),0),
IF('TL10'!$B$3=O$3,SUMIF('TL10'!$C$10:$C$224,$C231,'TL10'!$J$10:$J$224),0),
IF('TL10'!$B$229=O$3,SUMIF('TL10'!$C$238:$C$451,$C231,'TL10'!$J$238:$J$451),0),
IF('TL11'!$B$3=O$3,SUMIF('TL11'!$C$10:$C$224,$C231,'TL11'!$J$10:$J$224),0),
IF('TL11'!$B$229=O$3,SUMIF('TL11'!$C$238:$C$451,$C231,'TL11'!$J$238:$J$451),0),
IF('TL12'!$B$3=O$3,SUMIF('TL12'!$C$10:$C$224,$C231,'TL12'!$J$10:$J$224),0),
IF('TL12'!$B$229=O$3,SUMIF('TL12'!$C$238:$C$451,$C231,'TL12'!$J$238:$J$451),0),
IF('TL13'!$B$3=O$3,SUMIF('TL13'!$C$10:$C$224,$C231,'TL13'!$J$10:$J$224),0),
IF('TL13'!$B$229=O$3,SUMIF('TL13'!$C$238:$C$451,$C231,'TL13'!$J$238:$J$451),0),
IF('TL14'!$B$3=O$3,SUMIF('TL14'!$C$10:$C$224,$C231,'TL14'!$J$10:$J$224),0),
IF('TL14'!$B$229=O$3,SUMIF('TL14'!$C$238:$C$451,$C231,'TL14'!$J$238:$J$451),0),
IF('TL15'!$B$3=O$3,SUMIF('TL15'!$C$10:$C$224,$C231,'TL15'!$J$10:$J$224),0),
IF('TL15'!$B$229=O$3,SUMIF('TL15'!$C$238:$C$451,$C231,'TL15'!$J$238:$J$451),0),
IF('TL16'!$B$3=O$3,SUMIF('TL16'!$C$10:$C$224,$C231,'TL16'!$J$10:$J$224),0),
IF('TL16'!$B$229=O$3,SUMIF('TL16'!$C$238:$C$451,$C231,'TL16'!$J$238:$J$451),0),
IF('TL17'!$B$3=O$3,SUMIF('TL17'!$C$10:$C$224,$C231,'TL17'!$J$10:$J$224),0),
IF('TL17'!$B$229=O$3,SUMIF('TL17'!$C$238:$C$451,$C231,'TL17'!$J$238:$J$451),0),
IF('TL18'!$B$3=O$3,SUMIF('TL18'!$C$10:$C$224,$C231,'TL18'!$J$10:$J$224),0),
IF('TL18'!$B$229=O$3,SUMIF('TL18'!$C$238:$C$451,$C231,'TL18'!$J$238:$J$451),0),
IF('TL19'!$B$3=O$3,SUMIF('TL19'!$C$10:$C$224,$C231,'TL19'!$J$10:$J$224),0),
IF('TL19'!$B$229=O$3,SUMIF('TL19'!$C$238:$C$451,$C231,'TL19'!$J$238:$J$451),0)
),0)</f>
        <v/>
      </c>
      <c r="P231" s="9">
        <f>IFERROR(SUM(
IF('TL01'!$B$3=P$3,SUMIF('TL01'!$C$10:$C$224,$C231,'TL01'!$J$10:$J$224),0),
IF('TL01'!$B$229=P$3,SUMIF('TL01'!$C$238:$C$451,$C231,'TL01'!$J$238:$J$451),0),
IF('TL02'!$B$3=P$3,SUMIF('TL02'!$C$10:$C$224,$C231,'TL02'!$J$10:$J$224),0),
IF('TL02'!$B$229=P$3,SUMIF('TL02'!$C$238:$C$451,$C231,'TL02'!$J$238:$J$451),0),
IF('TL03'!$B$3=P$3,SUMIF('TL03'!$C$10:$C$224,$C231,'TL03'!$J$10:$J$224),0),
IF('TL03'!$B$229=P$3,SUMIF('TL03'!$C$238:$C$451,$C231,'TL03'!$J$238:$J$451),0),
IF('TL04'!$B$3=P$3,SUMIF('TL04'!$C$10:$C$224,$C231,'TL04'!$J$10:$J$224),0),
IF('TL04'!$B$229=P$3,SUMIF('TL04'!$C$238:$C$451,$C231,'TL04'!$J$238:$J$451),0),
IF('TL05'!$B$3=P$3,SUMIF('TL05'!$C$10:$C$224,$C231,'TL05'!$J$10:$J$224),0),
IF('TL05'!$B$229=P$3,SUMIF('TL05'!$C$238:$C$451,$C231,'TL05'!$J$238:$J$451),0),
IF('TL06'!$B$3=P$3,SUMIF('TL06'!$C$10:$C$224,$C231,'TL06'!$J$10:$J$224),0),
IF('TL06'!$B$229=P$3,SUMIF('TL06'!$C$238:$C$451,$C231,'TL06'!$J$238:$J$451),0),
IF('TL07'!$B$3=P$3,SUMIF('TL07'!$C$10:$C$224,$C231,'TL07'!$J$10:$J$224),0),
IF('TL07'!$B$229=P$3,SUMIF('TL07'!$C$238:$C$451,$C231,'TL07'!$J$238:$J$451),0),
IF('TL08'!$B$3=P$3,SUMIF('TL08'!$C$10:$C$224,$C231,'TL08'!$J$10:$J$224),0),
IF('TL08'!$B$229=P$3,SUMIF('TL08'!$C$238:$C$451,$C231,'TL08'!$J$238:$J$451),0),
IF('TL09'!$B$3=P$3,SUMIF('TL09'!$C$10:$C$224,$C231,'TL09'!$J$10:$J$224),0),
IF('TL09'!$B$229=P$3,SUMIF('TL09'!$C$238:$C$451,$C231,'TL09'!$J$238:$J$451),0),
IF('TL10'!$B$3=P$3,SUMIF('TL10'!$C$10:$C$224,$C231,'TL10'!$J$10:$J$224),0),
IF('TL10'!$B$229=P$3,SUMIF('TL10'!$C$238:$C$451,$C231,'TL10'!$J$238:$J$451),0),
IF('TL11'!$B$3=P$3,SUMIF('TL11'!$C$10:$C$224,$C231,'TL11'!$J$10:$J$224),0),
IF('TL11'!$B$229=P$3,SUMIF('TL11'!$C$238:$C$451,$C231,'TL11'!$J$238:$J$451),0),
IF('TL12'!$B$3=P$3,SUMIF('TL12'!$C$10:$C$224,$C231,'TL12'!$J$10:$J$224),0),
IF('TL12'!$B$229=P$3,SUMIF('TL12'!$C$238:$C$451,$C231,'TL12'!$J$238:$J$451),0),
IF('TL13'!$B$3=P$3,SUMIF('TL13'!$C$10:$C$224,$C231,'TL13'!$J$10:$J$224),0),
IF('TL13'!$B$229=P$3,SUMIF('TL13'!$C$238:$C$451,$C231,'TL13'!$J$238:$J$451),0),
IF('TL14'!$B$3=P$3,SUMIF('TL14'!$C$10:$C$224,$C231,'TL14'!$J$10:$J$224),0),
IF('TL14'!$B$229=P$3,SUMIF('TL14'!$C$238:$C$451,$C231,'TL14'!$J$238:$J$451),0),
IF('TL15'!$B$3=P$3,SUMIF('TL15'!$C$10:$C$224,$C231,'TL15'!$J$10:$J$224),0),
IF('TL15'!$B$229=P$3,SUMIF('TL15'!$C$238:$C$451,$C231,'TL15'!$J$238:$J$451),0),
IF('TL16'!$B$3=P$3,SUMIF('TL16'!$C$10:$C$224,$C231,'TL16'!$J$10:$J$224),0),
IF('TL16'!$B$229=P$3,SUMIF('TL16'!$C$238:$C$451,$C231,'TL16'!$J$238:$J$451),0),
IF('TL17'!$B$3=P$3,SUMIF('TL17'!$C$10:$C$224,$C231,'TL17'!$J$10:$J$224),0),
IF('TL17'!$B$229=P$3,SUMIF('TL17'!$C$238:$C$451,$C231,'TL17'!$J$238:$J$451),0),
IF('TL18'!$B$3=P$3,SUMIF('TL18'!$C$10:$C$224,$C231,'TL18'!$J$10:$J$224),0),
IF('TL18'!$B$229=P$3,SUMIF('TL18'!$C$238:$C$451,$C231,'TL18'!$J$238:$J$451),0),
IF('TL19'!$B$3=P$3,SUMIF('TL19'!$C$10:$C$224,$C231,'TL19'!$J$10:$J$224),0),
IF('TL19'!$B$229=P$3,SUMIF('TL19'!$C$238:$C$451,$C231,'TL19'!$J$238:$J$451),0)
),0)</f>
        <v/>
      </c>
      <c r="Q231" s="9">
        <f>IFERROR(SUM(
IF('TL01'!$B$3=Q$3,SUMIF('TL01'!$C$10:$C$224,$C231,'TL01'!$J$10:$J$224),0),
IF('TL01'!$B$229=Q$3,SUMIF('TL01'!$C$238:$C$451,$C231,'TL01'!$J$238:$J$451),0),
IF('TL02'!$B$3=Q$3,SUMIF('TL02'!$C$10:$C$224,$C231,'TL02'!$J$10:$J$224),0),
IF('TL02'!$B$229=Q$3,SUMIF('TL02'!$C$238:$C$451,$C231,'TL02'!$J$238:$J$451),0),
IF('TL03'!$B$3=Q$3,SUMIF('TL03'!$C$10:$C$224,$C231,'TL03'!$J$10:$J$224),0),
IF('TL03'!$B$229=Q$3,SUMIF('TL03'!$C$238:$C$451,$C231,'TL03'!$J$238:$J$451),0),
IF('TL04'!$B$3=Q$3,SUMIF('TL04'!$C$10:$C$224,$C231,'TL04'!$J$10:$J$224),0),
IF('TL04'!$B$229=Q$3,SUMIF('TL04'!$C$238:$C$451,$C231,'TL04'!$J$238:$J$451),0),
IF('TL05'!$B$3=Q$3,SUMIF('TL05'!$C$10:$C$224,$C231,'TL05'!$J$10:$J$224),0),
IF('TL05'!$B$229=Q$3,SUMIF('TL05'!$C$238:$C$451,$C231,'TL05'!$J$238:$J$451),0),
IF('TL06'!$B$3=Q$3,SUMIF('TL06'!$C$10:$C$224,$C231,'TL06'!$J$10:$J$224),0),
IF('TL06'!$B$229=Q$3,SUMIF('TL06'!$C$238:$C$451,$C231,'TL06'!$J$238:$J$451),0),
IF('TL07'!$B$3=Q$3,SUMIF('TL07'!$C$10:$C$224,$C231,'TL07'!$J$10:$J$224),0),
IF('TL07'!$B$229=Q$3,SUMIF('TL07'!$C$238:$C$451,$C231,'TL07'!$J$238:$J$451),0),
IF('TL08'!$B$3=Q$3,SUMIF('TL08'!$C$10:$C$224,$C231,'TL08'!$J$10:$J$224),0),
IF('TL08'!$B$229=Q$3,SUMIF('TL08'!$C$238:$C$451,$C231,'TL08'!$J$238:$J$451),0),
IF('TL09'!$B$3=Q$3,SUMIF('TL09'!$C$10:$C$224,$C231,'TL09'!$J$10:$J$224),0),
IF('TL09'!$B$229=Q$3,SUMIF('TL09'!$C$238:$C$451,$C231,'TL09'!$J$238:$J$451),0),
IF('TL10'!$B$3=Q$3,SUMIF('TL10'!$C$10:$C$224,$C231,'TL10'!$J$10:$J$224),0),
IF('TL10'!$B$229=Q$3,SUMIF('TL10'!$C$238:$C$451,$C231,'TL10'!$J$238:$J$451),0),
IF('TL11'!$B$3=Q$3,SUMIF('TL11'!$C$10:$C$224,$C231,'TL11'!$J$10:$J$224),0),
IF('TL11'!$B$229=Q$3,SUMIF('TL11'!$C$238:$C$451,$C231,'TL11'!$J$238:$J$451),0),
IF('TL12'!$B$3=Q$3,SUMIF('TL12'!$C$10:$C$224,$C231,'TL12'!$J$10:$J$224),0),
IF('TL12'!$B$229=Q$3,SUMIF('TL12'!$C$238:$C$451,$C231,'TL12'!$J$238:$J$451),0),
IF('TL13'!$B$3=Q$3,SUMIF('TL13'!$C$10:$C$224,$C231,'TL13'!$J$10:$J$224),0),
IF('TL13'!$B$229=Q$3,SUMIF('TL13'!$C$238:$C$451,$C231,'TL13'!$J$238:$J$451),0),
IF('TL14'!$B$3=Q$3,SUMIF('TL14'!$C$10:$C$224,$C231,'TL14'!$J$10:$J$224),0),
IF('TL14'!$B$229=Q$3,SUMIF('TL14'!$C$238:$C$451,$C231,'TL14'!$J$238:$J$451),0),
IF('TL15'!$B$3=Q$3,SUMIF('TL15'!$C$10:$C$224,$C231,'TL15'!$J$10:$J$224),0),
IF('TL15'!$B$229=Q$3,SUMIF('TL15'!$C$238:$C$451,$C231,'TL15'!$J$238:$J$451),0),
IF('TL16'!$B$3=Q$3,SUMIF('TL16'!$C$10:$C$224,$C231,'TL16'!$J$10:$J$224),0),
IF('TL16'!$B$229=Q$3,SUMIF('TL16'!$C$238:$C$451,$C231,'TL16'!$J$238:$J$451),0),
IF('TL17'!$B$3=Q$3,SUMIF('TL17'!$C$10:$C$224,$C231,'TL17'!$J$10:$J$224),0),
IF('TL17'!$B$229=Q$3,SUMIF('TL17'!$C$238:$C$451,$C231,'TL17'!$J$238:$J$451),0),
IF('TL18'!$B$3=Q$3,SUMIF('TL18'!$C$10:$C$224,$C231,'TL18'!$J$10:$J$224),0),
IF('TL18'!$B$229=Q$3,SUMIF('TL18'!$C$238:$C$451,$C231,'TL18'!$J$238:$J$451),0),
IF('TL19'!$B$3=Q$3,SUMIF('TL19'!$C$10:$C$224,$C231,'TL19'!$J$10:$J$224),0),
IF('TL19'!$B$229=Q$3,SUMIF('TL19'!$C$238:$C$451,$C231,'TL19'!$J$238:$J$451),0)
),0)</f>
        <v/>
      </c>
      <c r="R231" s="9">
        <f>IFERROR(
SUM(
SUMIF('TL01'!C:C,C231,'TL01'!J:J),
SUMIF('TL02'!C:C,C231,'TL02'!J:J),
SUMIF('TL03'!C:C,C231,'TL03'!J:J),
SUMIF('TL04'!C:C,C231,'TL04'!J:J),
SUMIF('TL05'!C:C,C231,'TL05'!J:J),
SUMIF('TL06'!C:C,C231,'TL06'!J:J),
SUMIF('TL07'!C:C,C231,'TL07'!J:J),
SUMIF('TL08'!C:C,C231,'TL08'!J:J),
SUMIF('TL09'!C:C,C231,'TL09'!J:J),
SUMIF('TL10'!C:C,C231,'TL10'!J:J),
SUMIF('TL11'!C:C,C231,'TL11'!J:J),
SUMIF('TL12'!C:C,C231,'TL12'!J:J),
SUMIF('TL13'!C:C,C231,'TL13'!J:J),
SUMIF('TL14'!C:C,C231,'TL14'!J:J),
SUMIF('TL15'!C:C,C231,'TL15'!J:J),
SUMIF('TL16'!C:C,C231,'TL16'!J:J),
SUMIF('TL17'!C:C,C231,'TL17'!J:J),
SUMIF('TL18'!C:C,C231,'TL18'!J:J),SUMIF('TL19'!C:C,C231,'TL19'!J:J))
,0)</f>
        <v/>
      </c>
      <c r="S231" s="17">
        <f>IFERROR(__xludf.DUMMYFUNCTION("IFERROR(VLOOKUP(C231,
IMPORTRANGE(""1wULbzX32WdYsx-lj2U3uUNBBe2INVIRDtcK0d-Dvl90"",
""26-27!C:G""),
5,
FALSE),
"""")"),43.82691)</f>
        <v/>
      </c>
      <c r="T231" s="9" t="n"/>
      <c r="U231" s="92">
        <f>MAX(0,R231-T231)</f>
        <v/>
      </c>
      <c r="V231" s="93">
        <f>U231*S231</f>
        <v/>
      </c>
    </row>
    <row r="232" hidden="1" ht="15.75" customHeight="1" s="297">
      <c r="A232" s="87" t="inlineStr">
        <is>
          <t>SYNGENTA</t>
        </is>
      </c>
      <c r="B232" s="88" t="inlineStr">
        <is>
          <t>INSETICIDA</t>
        </is>
      </c>
      <c r="C232" s="89" t="inlineStr">
        <is>
          <t>ELESTAL NEO</t>
        </is>
      </c>
      <c r="D232" s="89" t="inlineStr">
        <is>
          <t>ESPIROPIDION + ACETAMIPRIDO</t>
        </is>
      </c>
      <c r="E232" s="89" t="inlineStr">
        <is>
          <t>300 + 240</t>
        </is>
      </c>
      <c r="F232" s="4" t="inlineStr">
        <is>
          <t>L</t>
        </is>
      </c>
      <c r="G232" s="90">
        <f>HYPERLINK("https://www.google.com/search?q=" &amp; C232 &amp; "+bula+agrofit+pdf", "📄 Ver bula")</f>
        <v/>
      </c>
      <c r="H232" s="9">
        <f>IFERROR(__xludf.DUMMYFUNCTION("IFERROR(VLOOKUP(C232,
IMPORTRANGE(""1wULbzX32WdYsx-lj2U3uUNBBe2INVIRDtcK0d-Dvl90"",
""26-27!C:K""),
8,
FALSE),
"""")"),0.2)</f>
        <v/>
      </c>
      <c r="I232" s="91" t="inlineStr">
        <is>
          <t>4X5</t>
        </is>
      </c>
      <c r="J232" s="9">
        <f>IFERROR(SUM(
IF('TL01'!$B$3=J$3,SUMIF('TL01'!$C$10:$C$224,$C232,'TL01'!$J$10:$J$224),0),
IF('TL01'!$B$229=J$3,SUMIF('TL01'!$C$238:$C$451,$C232,'TL01'!$J$238:$J$451),0),
IF('TL02'!$B$3=J$3,SUMIF('TL02'!$C$10:$C$224,$C232,'TL02'!$J$10:$J$224),0),
IF('TL02'!$B$229=J$3,SUMIF('TL02'!$C$238:$C$451,$C232,'TL02'!$J$238:$J$451),0),
IF('TL03'!$B$3=J$3,SUMIF('TL03'!$C$10:$C$224,$C232,'TL03'!$J$10:$J$224),0),
IF('TL03'!$B$229=J$3,SUMIF('TL03'!$C$238:$C$451,$C232,'TL03'!$J$238:$J$451),0),
IF('TL04'!$B$3=J$3,SUMIF('TL04'!$C$10:$C$224,$C232,'TL04'!$J$10:$J$224),0),
IF('TL04'!$B$229=J$3,SUMIF('TL04'!$C$238:$C$451,$C232,'TL04'!$J$238:$J$451),0),
IF('TL05'!$B$3=J$3,SUMIF('TL05'!$C$10:$C$224,$C232,'TL05'!$J$10:$J$224),0),
IF('TL05'!$B$229=J$3,SUMIF('TL05'!$C$238:$C$451,$C232,'TL05'!$J$238:$J$451),0),
IF('TL06'!$B$3=J$3,SUMIF('TL06'!$C$10:$C$224,$C232,'TL06'!$J$10:$J$224),0),
IF('TL06'!$B$229=J$3,SUMIF('TL06'!$C$238:$C$451,$C232,'TL06'!$J$238:$J$451),0),
IF('TL07'!$B$3=J$3,SUMIF('TL07'!$C$10:$C$224,$C232,'TL07'!$J$10:$J$224),0),
IF('TL07'!$B$229=J$3,SUMIF('TL07'!$C$238:$C$451,$C232,'TL07'!$J$238:$J$451),0),
IF('TL08'!$B$3=J$3,SUMIF('TL08'!$C$10:$C$224,$C232,'TL08'!$J$10:$J$224),0),
IF('TL08'!$B$229=J$3,SUMIF('TL08'!$C$238:$C$451,$C232,'TL08'!$J$238:$J$451),0),
IF('TL09'!$B$3=J$3,SUMIF('TL09'!$C$10:$C$224,$C232,'TL09'!$J$10:$J$224),0),
IF('TL09'!$B$229=J$3,SUMIF('TL09'!$C$238:$C$451,$C232,'TL09'!$J$238:$J$451),0),
IF('TL10'!$B$3=J$3,SUMIF('TL10'!$C$10:$C$224,$C232,'TL10'!$J$10:$J$224),0),
IF('TL10'!$B$229=J$3,SUMIF('TL10'!$C$238:$C$451,$C232,'TL10'!$J$238:$J$451),0),
IF('TL11'!$B$3=J$3,SUMIF('TL11'!$C$10:$C$224,$C232,'TL11'!$J$10:$J$224),0),
IF('TL11'!$B$229=J$3,SUMIF('TL11'!$C$238:$C$451,$C232,'TL11'!$J$238:$J$451),0),
IF('TL12'!$B$3=J$3,SUMIF('TL12'!$C$10:$C$224,$C232,'TL12'!$J$10:$J$224),0),
IF('TL12'!$B$229=J$3,SUMIF('TL12'!$C$238:$C$451,$C232,'TL12'!$J$238:$J$451),0),
IF('TL13'!$B$3=J$3,SUMIF('TL13'!$C$10:$C$224,$C232,'TL13'!$J$10:$J$224),0),
IF('TL13'!$B$229=J$3,SUMIF('TL13'!$C$238:$C$451,$C232,'TL13'!$J$238:$J$451),0),
IF('TL14'!$B$3=J$3,SUMIF('TL14'!$C$10:$C$224,$C232,'TL14'!$J$10:$J$224),0),
IF('TL14'!$B$229=J$3,SUMIF('TL14'!$C$238:$C$451,$C232,'TL14'!$J$238:$J$451),0),
IF('TL15'!$B$3=J$3,SUMIF('TL15'!$C$10:$C$224,$C232,'TL15'!$J$10:$J$224),0),
IF('TL15'!$B$229=J$3,SUMIF('TL15'!$C$238:$C$451,$C232,'TL15'!$J$238:$J$451),0),
IF('TL16'!$B$3=J$3,SUMIF('TL16'!$C$10:$C$224,$C232,'TL16'!$J$10:$J$224),0),
IF('TL16'!$B$229=J$3,SUMIF('TL16'!$C$238:$C$451,$C232,'TL16'!$J$238:$J$451),0),
IF('TL17'!$B$3=J$3,SUMIF('TL17'!$C$10:$C$224,$C232,'TL17'!$J$10:$J$224),0),
IF('TL17'!$B$229=J$3,SUMIF('TL17'!$C$238:$C$451,$C232,'TL17'!$J$238:$J$451),0),
IF('TL18'!$B$3=J$3,SUMIF('TL18'!$C$10:$C$224,$C232,'TL18'!$J$10:$J$224),0),
IF('TL18'!$B$229=J$3,SUMIF('TL18'!$C$238:$C$451,$C232,'TL18'!$J$238:$J$451),0),
IF('TL19'!$B$3=J$3,SUMIF('TL19'!$C$10:$C$224,$C232,'TL19'!$J$10:$J$224),0),
IF('TL19'!$B$229=J$3,SUMIF('TL19'!$C$238:$C$451,$C232,'TL19'!$J$238:$J$451),0)
),0)</f>
        <v/>
      </c>
      <c r="K232" s="9">
        <f>IFERROR(SUM(
IF('TL01'!$B$3=K$3,SUMIF('TL01'!$C$10:$C$224,$C232,'TL01'!$J$10:$J$224),0),
IF('TL01'!$B$229=K$3,SUMIF('TL01'!$C$238:$C$451,$C232,'TL01'!$J$238:$J$451),0),
IF('TL02'!$B$3=K$3,SUMIF('TL02'!$C$10:$C$224,$C232,'TL02'!$J$10:$J$224),0),
IF('TL02'!$B$229=K$3,SUMIF('TL02'!$C$238:$C$451,$C232,'TL02'!$J$238:$J$451),0),
IF('TL03'!$B$3=K$3,SUMIF('TL03'!$C$10:$C$224,$C232,'TL03'!$J$10:$J$224),0),
IF('TL03'!$B$229=K$3,SUMIF('TL03'!$C$238:$C$451,$C232,'TL03'!$J$238:$J$451),0),
IF('TL04'!$B$3=K$3,SUMIF('TL04'!$C$10:$C$224,$C232,'TL04'!$J$10:$J$224),0),
IF('TL04'!$B$229=K$3,SUMIF('TL04'!$C$238:$C$451,$C232,'TL04'!$J$238:$J$451),0),
IF('TL05'!$B$3=K$3,SUMIF('TL05'!$C$10:$C$224,$C232,'TL05'!$J$10:$J$224),0),
IF('TL05'!$B$229=K$3,SUMIF('TL05'!$C$238:$C$451,$C232,'TL05'!$J$238:$J$451),0),
IF('TL06'!$B$3=K$3,SUMIF('TL06'!$C$10:$C$224,$C232,'TL06'!$J$10:$J$224),0),
IF('TL06'!$B$229=K$3,SUMIF('TL06'!$C$238:$C$451,$C232,'TL06'!$J$238:$J$451),0),
IF('TL07'!$B$3=K$3,SUMIF('TL07'!$C$10:$C$224,$C232,'TL07'!$J$10:$J$224),0),
IF('TL07'!$B$229=K$3,SUMIF('TL07'!$C$238:$C$451,$C232,'TL07'!$J$238:$J$451),0),
IF('TL08'!$B$3=K$3,SUMIF('TL08'!$C$10:$C$224,$C232,'TL08'!$J$10:$J$224),0),
IF('TL08'!$B$229=K$3,SUMIF('TL08'!$C$238:$C$451,$C232,'TL08'!$J$238:$J$451),0),
IF('TL09'!$B$3=K$3,SUMIF('TL09'!$C$10:$C$224,$C232,'TL09'!$J$10:$J$224),0),
IF('TL09'!$B$229=K$3,SUMIF('TL09'!$C$238:$C$451,$C232,'TL09'!$J$238:$J$451),0),
IF('TL10'!$B$3=K$3,SUMIF('TL10'!$C$10:$C$224,$C232,'TL10'!$J$10:$J$224),0),
IF('TL10'!$B$229=K$3,SUMIF('TL10'!$C$238:$C$451,$C232,'TL10'!$J$238:$J$451),0),
IF('TL11'!$B$3=K$3,SUMIF('TL11'!$C$10:$C$224,$C232,'TL11'!$J$10:$J$224),0),
IF('TL11'!$B$229=K$3,SUMIF('TL11'!$C$238:$C$451,$C232,'TL11'!$J$238:$J$451),0),
IF('TL12'!$B$3=K$3,SUMIF('TL12'!$C$10:$C$224,$C232,'TL12'!$J$10:$J$224),0),
IF('TL12'!$B$229=K$3,SUMIF('TL12'!$C$238:$C$451,$C232,'TL12'!$J$238:$J$451),0),
IF('TL13'!$B$3=K$3,SUMIF('TL13'!$C$10:$C$224,$C232,'TL13'!$J$10:$J$224),0),
IF('TL13'!$B$229=K$3,SUMIF('TL13'!$C$238:$C$451,$C232,'TL13'!$J$238:$J$451),0),
IF('TL14'!$B$3=K$3,SUMIF('TL14'!$C$10:$C$224,$C232,'TL14'!$J$10:$J$224),0),
IF('TL14'!$B$229=K$3,SUMIF('TL14'!$C$238:$C$451,$C232,'TL14'!$J$238:$J$451),0),
IF('TL15'!$B$3=K$3,SUMIF('TL15'!$C$10:$C$224,$C232,'TL15'!$J$10:$J$224),0),
IF('TL15'!$B$229=K$3,SUMIF('TL15'!$C$238:$C$451,$C232,'TL15'!$J$238:$J$451),0),
IF('TL16'!$B$3=K$3,SUMIF('TL16'!$C$10:$C$224,$C232,'TL16'!$J$10:$J$224),0),
IF('TL16'!$B$229=K$3,SUMIF('TL16'!$C$238:$C$451,$C232,'TL16'!$J$238:$J$451),0),
IF('TL17'!$B$3=K$3,SUMIF('TL17'!$C$10:$C$224,$C232,'TL17'!$J$10:$J$224),0),
IF('TL17'!$B$229=K$3,SUMIF('TL17'!$C$238:$C$451,$C232,'TL17'!$J$238:$J$451),0),
IF('TL18'!$B$3=K$3,SUMIF('TL18'!$C$10:$C$224,$C232,'TL18'!$J$10:$J$224),0),
IF('TL18'!$B$229=K$3,SUMIF('TL18'!$C$238:$C$451,$C232,'TL18'!$J$238:$J$451),0),
IF('TL19'!$B$3=K$3,SUMIF('TL19'!$C$10:$C$224,$C232,'TL19'!$J$10:$J$224),0),
IF('TL19'!$B$229=K$3,SUMIF('TL19'!$C$238:$C$451,$C232,'TL19'!$J$238:$J$451),0)
),0)</f>
        <v/>
      </c>
      <c r="L232" s="9">
        <f>IFERROR(SUM(
IF('TL01'!$B$3=L$3,SUMIF('TL01'!$C$10:$C$224,$C232,'TL01'!$J$10:$J$224),0),
IF('TL01'!$B$229=L$3,SUMIF('TL01'!$C$238:$C$451,$C232,'TL01'!$J$238:$J$451),0),
IF('TL02'!$B$3=L$3,SUMIF('TL02'!$C$10:$C$224,$C232,'TL02'!$J$10:$J$224),0),
IF('TL02'!$B$229=L$3,SUMIF('TL02'!$C$238:$C$451,$C232,'TL02'!$J$238:$J$451),0),
IF('TL03'!$B$3=L$3,SUMIF('TL03'!$C$10:$C$224,$C232,'TL03'!$J$10:$J$224),0),
IF('TL03'!$B$229=L$3,SUMIF('TL03'!$C$238:$C$451,$C232,'TL03'!$J$238:$J$451),0),
IF('TL04'!$B$3=L$3,SUMIF('TL04'!$C$10:$C$224,$C232,'TL04'!$J$10:$J$224),0),
IF('TL04'!$B$229=L$3,SUMIF('TL04'!$C$238:$C$451,$C232,'TL04'!$J$238:$J$451),0),
IF('TL05'!$B$3=L$3,SUMIF('TL05'!$C$10:$C$224,$C232,'TL05'!$J$10:$J$224),0),
IF('TL05'!$B$229=L$3,SUMIF('TL05'!$C$238:$C$451,$C232,'TL05'!$J$238:$J$451),0),
IF('TL06'!$B$3=L$3,SUMIF('TL06'!$C$10:$C$224,$C232,'TL06'!$J$10:$J$224),0),
IF('TL06'!$B$229=L$3,SUMIF('TL06'!$C$238:$C$451,$C232,'TL06'!$J$238:$J$451),0),
IF('TL07'!$B$3=L$3,SUMIF('TL07'!$C$10:$C$224,$C232,'TL07'!$J$10:$J$224),0),
IF('TL07'!$B$229=L$3,SUMIF('TL07'!$C$238:$C$451,$C232,'TL07'!$J$238:$J$451),0),
IF('TL08'!$B$3=L$3,SUMIF('TL08'!$C$10:$C$224,$C232,'TL08'!$J$10:$J$224),0),
IF('TL08'!$B$229=L$3,SUMIF('TL08'!$C$238:$C$451,$C232,'TL08'!$J$238:$J$451),0),
IF('TL09'!$B$3=L$3,SUMIF('TL09'!$C$10:$C$224,$C232,'TL09'!$J$10:$J$224),0),
IF('TL09'!$B$229=L$3,SUMIF('TL09'!$C$238:$C$451,$C232,'TL09'!$J$238:$J$451),0),
IF('TL10'!$B$3=L$3,SUMIF('TL10'!$C$10:$C$224,$C232,'TL10'!$J$10:$J$224),0),
IF('TL10'!$B$229=L$3,SUMIF('TL10'!$C$238:$C$451,$C232,'TL10'!$J$238:$J$451),0),
IF('TL11'!$B$3=L$3,SUMIF('TL11'!$C$10:$C$224,$C232,'TL11'!$J$10:$J$224),0),
IF('TL11'!$B$229=L$3,SUMIF('TL11'!$C$238:$C$451,$C232,'TL11'!$J$238:$J$451),0),
IF('TL12'!$B$3=L$3,SUMIF('TL12'!$C$10:$C$224,$C232,'TL12'!$J$10:$J$224),0),
IF('TL12'!$B$229=L$3,SUMIF('TL12'!$C$238:$C$451,$C232,'TL12'!$J$238:$J$451),0),
IF('TL13'!$B$3=L$3,SUMIF('TL13'!$C$10:$C$224,$C232,'TL13'!$J$10:$J$224),0),
IF('TL13'!$B$229=L$3,SUMIF('TL13'!$C$238:$C$451,$C232,'TL13'!$J$238:$J$451),0),
IF('TL14'!$B$3=L$3,SUMIF('TL14'!$C$10:$C$224,$C232,'TL14'!$J$10:$J$224),0),
IF('TL14'!$B$229=L$3,SUMIF('TL14'!$C$238:$C$451,$C232,'TL14'!$J$238:$J$451),0),
IF('TL15'!$B$3=L$3,SUMIF('TL15'!$C$10:$C$224,$C232,'TL15'!$J$10:$J$224),0),
IF('TL15'!$B$229=L$3,SUMIF('TL15'!$C$238:$C$451,$C232,'TL15'!$J$238:$J$451),0),
IF('TL16'!$B$3=L$3,SUMIF('TL16'!$C$10:$C$224,$C232,'TL16'!$J$10:$J$224),0),
IF('TL16'!$B$229=L$3,SUMIF('TL16'!$C$238:$C$451,$C232,'TL16'!$J$238:$J$451),0),
IF('TL17'!$B$3=L$3,SUMIF('TL17'!$C$10:$C$224,$C232,'TL17'!$J$10:$J$224),0),
IF('TL17'!$B$229=L$3,SUMIF('TL17'!$C$238:$C$451,$C232,'TL17'!$J$238:$J$451),0),
IF('TL18'!$B$3=L$3,SUMIF('TL18'!$C$10:$C$224,$C232,'TL18'!$J$10:$J$224),0),
IF('TL18'!$B$229=L$3,SUMIF('TL18'!$C$238:$C$451,$C232,'TL18'!$J$238:$J$451),0),
IF('TL19'!$B$3=L$3,SUMIF('TL19'!$C$10:$C$224,$C232,'TL19'!$J$10:$J$224),0),
IF('TL19'!$B$229=L$3,SUMIF('TL19'!$C$238:$C$451,$C232,'TL19'!$J$238:$J$451),0)
),0)</f>
        <v/>
      </c>
      <c r="M232" s="9">
        <f>IFERROR(SUM(
IF('TL01'!$B$3=M$3,SUMIF('TL01'!$C$10:$C$224,$C232,'TL01'!$J$10:$J$224),0),
IF('TL01'!$B$229=M$3,SUMIF('TL01'!$C$238:$C$451,$C232,'TL01'!$J$238:$J$451),0),
IF('TL02'!$B$3=M$3,SUMIF('TL02'!$C$10:$C$224,$C232,'TL02'!$J$10:$J$224),0),
IF('TL02'!$B$229=M$3,SUMIF('TL02'!$C$238:$C$451,$C232,'TL02'!$J$238:$J$451),0),
IF('TL03'!$B$3=M$3,SUMIF('TL03'!$C$10:$C$224,$C232,'TL03'!$J$10:$J$224),0),
IF('TL03'!$B$229=M$3,SUMIF('TL03'!$C$238:$C$451,$C232,'TL03'!$J$238:$J$451),0),
IF('TL04'!$B$3=M$3,SUMIF('TL04'!$C$10:$C$224,$C232,'TL04'!$J$10:$J$224),0),
IF('TL04'!$B$229=M$3,SUMIF('TL04'!$C$238:$C$451,$C232,'TL04'!$J$238:$J$451),0),
IF('TL05'!$B$3=M$3,SUMIF('TL05'!$C$10:$C$224,$C232,'TL05'!$J$10:$J$224),0),
IF('TL05'!$B$229=M$3,SUMIF('TL05'!$C$238:$C$451,$C232,'TL05'!$J$238:$J$451),0),
IF('TL06'!$B$3=M$3,SUMIF('TL06'!$C$10:$C$224,$C232,'TL06'!$J$10:$J$224),0),
IF('TL06'!$B$229=M$3,SUMIF('TL06'!$C$238:$C$451,$C232,'TL06'!$J$238:$J$451),0),
IF('TL07'!$B$3=M$3,SUMIF('TL07'!$C$10:$C$224,$C232,'TL07'!$J$10:$J$224),0),
IF('TL07'!$B$229=M$3,SUMIF('TL07'!$C$238:$C$451,$C232,'TL07'!$J$238:$J$451),0),
IF('TL08'!$B$3=M$3,SUMIF('TL08'!$C$10:$C$224,$C232,'TL08'!$J$10:$J$224),0),
IF('TL08'!$B$229=M$3,SUMIF('TL08'!$C$238:$C$451,$C232,'TL08'!$J$238:$J$451),0),
IF('TL09'!$B$3=M$3,SUMIF('TL09'!$C$10:$C$224,$C232,'TL09'!$J$10:$J$224),0),
IF('TL09'!$B$229=M$3,SUMIF('TL09'!$C$238:$C$451,$C232,'TL09'!$J$238:$J$451),0),
IF('TL10'!$B$3=M$3,SUMIF('TL10'!$C$10:$C$224,$C232,'TL10'!$J$10:$J$224),0),
IF('TL10'!$B$229=M$3,SUMIF('TL10'!$C$238:$C$451,$C232,'TL10'!$J$238:$J$451),0),
IF('TL11'!$B$3=M$3,SUMIF('TL11'!$C$10:$C$224,$C232,'TL11'!$J$10:$J$224),0),
IF('TL11'!$B$229=M$3,SUMIF('TL11'!$C$238:$C$451,$C232,'TL11'!$J$238:$J$451),0),
IF('TL12'!$B$3=M$3,SUMIF('TL12'!$C$10:$C$224,$C232,'TL12'!$J$10:$J$224),0),
IF('TL12'!$B$229=M$3,SUMIF('TL12'!$C$238:$C$451,$C232,'TL12'!$J$238:$J$451),0),
IF('TL13'!$B$3=M$3,SUMIF('TL13'!$C$10:$C$224,$C232,'TL13'!$J$10:$J$224),0),
IF('TL13'!$B$229=M$3,SUMIF('TL13'!$C$238:$C$451,$C232,'TL13'!$J$238:$J$451),0),
IF('TL14'!$B$3=M$3,SUMIF('TL14'!$C$10:$C$224,$C232,'TL14'!$J$10:$J$224),0),
IF('TL14'!$B$229=M$3,SUMIF('TL14'!$C$238:$C$451,$C232,'TL14'!$J$238:$J$451),0),
IF('TL15'!$B$3=M$3,SUMIF('TL15'!$C$10:$C$224,$C232,'TL15'!$J$10:$J$224),0),
IF('TL15'!$B$229=M$3,SUMIF('TL15'!$C$238:$C$451,$C232,'TL15'!$J$238:$J$451),0),
IF('TL16'!$B$3=M$3,SUMIF('TL16'!$C$10:$C$224,$C232,'TL16'!$J$10:$J$224),0),
IF('TL16'!$B$229=M$3,SUMIF('TL16'!$C$238:$C$451,$C232,'TL16'!$J$238:$J$451),0),
IF('TL17'!$B$3=M$3,SUMIF('TL17'!$C$10:$C$224,$C232,'TL17'!$J$10:$J$224),0),
IF('TL17'!$B$229=M$3,SUMIF('TL17'!$C$238:$C$451,$C232,'TL17'!$J$238:$J$451),0),
IF('TL18'!$B$3=M$3,SUMIF('TL18'!$C$10:$C$224,$C232,'TL18'!$J$10:$J$224),0),
IF('TL18'!$B$229=M$3,SUMIF('TL18'!$C$238:$C$451,$C232,'TL18'!$J$238:$J$451),0),
IF('TL19'!$B$3=M$3,SUMIF('TL19'!$C$10:$C$224,$C232,'TL19'!$J$10:$J$224),0),
IF('TL19'!$B$229=M$3,SUMIF('TL19'!$C$238:$C$451,$C232,'TL19'!$J$238:$J$451),0)
),0)</f>
        <v/>
      </c>
      <c r="N232" s="9">
        <f>IFERROR(SUM(
IF('TL01'!$B$3=N$3,SUMIF('TL01'!$C$10:$C$224,$C232,'TL01'!$J$10:$J$224),0),
IF('TL01'!$B$229=N$3,SUMIF('TL01'!$C$238:$C$451,$C232,'TL01'!$J$238:$J$451),0),
IF('TL02'!$B$3=N$3,SUMIF('TL02'!$C$10:$C$224,$C232,'TL02'!$J$10:$J$224),0),
IF('TL02'!$B$229=N$3,SUMIF('TL02'!$C$238:$C$451,$C232,'TL02'!$J$238:$J$451),0),
IF('TL03'!$B$3=N$3,SUMIF('TL03'!$C$10:$C$224,$C232,'TL03'!$J$10:$J$224),0),
IF('TL03'!$B$229=N$3,SUMIF('TL03'!$C$238:$C$451,$C232,'TL03'!$J$238:$J$451),0),
IF('TL04'!$B$3=N$3,SUMIF('TL04'!$C$10:$C$224,$C232,'TL04'!$J$10:$J$224),0),
IF('TL04'!$B$229=N$3,SUMIF('TL04'!$C$238:$C$451,$C232,'TL04'!$J$238:$J$451),0),
IF('TL05'!$B$3=N$3,SUMIF('TL05'!$C$10:$C$224,$C232,'TL05'!$J$10:$J$224),0),
IF('TL05'!$B$229=N$3,SUMIF('TL05'!$C$238:$C$451,$C232,'TL05'!$J$238:$J$451),0),
IF('TL06'!$B$3=N$3,SUMIF('TL06'!$C$10:$C$224,$C232,'TL06'!$J$10:$J$224),0),
IF('TL06'!$B$229=N$3,SUMIF('TL06'!$C$238:$C$451,$C232,'TL06'!$J$238:$J$451),0),
IF('TL07'!$B$3=N$3,SUMIF('TL07'!$C$10:$C$224,$C232,'TL07'!$J$10:$J$224),0),
IF('TL07'!$B$229=N$3,SUMIF('TL07'!$C$238:$C$451,$C232,'TL07'!$J$238:$J$451),0),
IF('TL08'!$B$3=N$3,SUMIF('TL08'!$C$10:$C$224,$C232,'TL08'!$J$10:$J$224),0),
IF('TL08'!$B$229=N$3,SUMIF('TL08'!$C$238:$C$451,$C232,'TL08'!$J$238:$J$451),0),
IF('TL09'!$B$3=N$3,SUMIF('TL09'!$C$10:$C$224,$C232,'TL09'!$J$10:$J$224),0),
IF('TL09'!$B$229=N$3,SUMIF('TL09'!$C$238:$C$451,$C232,'TL09'!$J$238:$J$451),0),
IF('TL10'!$B$3=N$3,SUMIF('TL10'!$C$10:$C$224,$C232,'TL10'!$J$10:$J$224),0),
IF('TL10'!$B$229=N$3,SUMIF('TL10'!$C$238:$C$451,$C232,'TL10'!$J$238:$J$451),0),
IF('TL11'!$B$3=N$3,SUMIF('TL11'!$C$10:$C$224,$C232,'TL11'!$J$10:$J$224),0),
IF('TL11'!$B$229=N$3,SUMIF('TL11'!$C$238:$C$451,$C232,'TL11'!$J$238:$J$451),0),
IF('TL12'!$B$3=N$3,SUMIF('TL12'!$C$10:$C$224,$C232,'TL12'!$J$10:$J$224),0),
IF('TL12'!$B$229=N$3,SUMIF('TL12'!$C$238:$C$451,$C232,'TL12'!$J$238:$J$451),0),
IF('TL13'!$B$3=N$3,SUMIF('TL13'!$C$10:$C$224,$C232,'TL13'!$J$10:$J$224),0),
IF('TL13'!$B$229=N$3,SUMIF('TL13'!$C$238:$C$451,$C232,'TL13'!$J$238:$J$451),0),
IF('TL14'!$B$3=N$3,SUMIF('TL14'!$C$10:$C$224,$C232,'TL14'!$J$10:$J$224),0),
IF('TL14'!$B$229=N$3,SUMIF('TL14'!$C$238:$C$451,$C232,'TL14'!$J$238:$J$451),0),
IF('TL15'!$B$3=N$3,SUMIF('TL15'!$C$10:$C$224,$C232,'TL15'!$J$10:$J$224),0),
IF('TL15'!$B$229=N$3,SUMIF('TL15'!$C$238:$C$451,$C232,'TL15'!$J$238:$J$451),0),
IF('TL16'!$B$3=N$3,SUMIF('TL16'!$C$10:$C$224,$C232,'TL16'!$J$10:$J$224),0),
IF('TL16'!$B$229=N$3,SUMIF('TL16'!$C$238:$C$451,$C232,'TL16'!$J$238:$J$451),0),
IF('TL17'!$B$3=N$3,SUMIF('TL17'!$C$10:$C$224,$C232,'TL17'!$J$10:$J$224),0),
IF('TL17'!$B$229=N$3,SUMIF('TL17'!$C$238:$C$451,$C232,'TL17'!$J$238:$J$451),0),
IF('TL18'!$B$3=N$3,SUMIF('TL18'!$C$10:$C$224,$C232,'TL18'!$J$10:$J$224),0),
IF('TL18'!$B$229=N$3,SUMIF('TL18'!$C$238:$C$451,$C232,'TL18'!$J$238:$J$451),0),
IF('TL19'!$B$3=N$3,SUMIF('TL19'!$C$10:$C$224,$C232,'TL19'!$J$10:$J$224),0),
IF('TL19'!$B$229=N$3,SUMIF('TL19'!$C$238:$C$451,$C232,'TL19'!$J$238:$J$451),0)
),0)</f>
        <v/>
      </c>
      <c r="O232" s="9">
        <f>IFERROR(SUM(
IF('TL01'!$B$3=O$3,SUMIF('TL01'!$C$10:$C$224,$C232,'TL01'!$J$10:$J$224),0),
IF('TL01'!$B$229=O$3,SUMIF('TL01'!$C$238:$C$451,$C232,'TL01'!$J$238:$J$451),0),
IF('TL02'!$B$3=O$3,SUMIF('TL02'!$C$10:$C$224,$C232,'TL02'!$J$10:$J$224),0),
IF('TL02'!$B$229=O$3,SUMIF('TL02'!$C$238:$C$451,$C232,'TL02'!$J$238:$J$451),0),
IF('TL03'!$B$3=O$3,SUMIF('TL03'!$C$10:$C$224,$C232,'TL03'!$J$10:$J$224),0),
IF('TL03'!$B$229=O$3,SUMIF('TL03'!$C$238:$C$451,$C232,'TL03'!$J$238:$J$451),0),
IF('TL04'!$B$3=O$3,SUMIF('TL04'!$C$10:$C$224,$C232,'TL04'!$J$10:$J$224),0),
IF('TL04'!$B$229=O$3,SUMIF('TL04'!$C$238:$C$451,$C232,'TL04'!$J$238:$J$451),0),
IF('TL05'!$B$3=O$3,SUMIF('TL05'!$C$10:$C$224,$C232,'TL05'!$J$10:$J$224),0),
IF('TL05'!$B$229=O$3,SUMIF('TL05'!$C$238:$C$451,$C232,'TL05'!$J$238:$J$451),0),
IF('TL06'!$B$3=O$3,SUMIF('TL06'!$C$10:$C$224,$C232,'TL06'!$J$10:$J$224),0),
IF('TL06'!$B$229=O$3,SUMIF('TL06'!$C$238:$C$451,$C232,'TL06'!$J$238:$J$451),0),
IF('TL07'!$B$3=O$3,SUMIF('TL07'!$C$10:$C$224,$C232,'TL07'!$J$10:$J$224),0),
IF('TL07'!$B$229=O$3,SUMIF('TL07'!$C$238:$C$451,$C232,'TL07'!$J$238:$J$451),0),
IF('TL08'!$B$3=O$3,SUMIF('TL08'!$C$10:$C$224,$C232,'TL08'!$J$10:$J$224),0),
IF('TL08'!$B$229=O$3,SUMIF('TL08'!$C$238:$C$451,$C232,'TL08'!$J$238:$J$451),0),
IF('TL09'!$B$3=O$3,SUMIF('TL09'!$C$10:$C$224,$C232,'TL09'!$J$10:$J$224),0),
IF('TL09'!$B$229=O$3,SUMIF('TL09'!$C$238:$C$451,$C232,'TL09'!$J$238:$J$451),0),
IF('TL10'!$B$3=O$3,SUMIF('TL10'!$C$10:$C$224,$C232,'TL10'!$J$10:$J$224),0),
IF('TL10'!$B$229=O$3,SUMIF('TL10'!$C$238:$C$451,$C232,'TL10'!$J$238:$J$451),0),
IF('TL11'!$B$3=O$3,SUMIF('TL11'!$C$10:$C$224,$C232,'TL11'!$J$10:$J$224),0),
IF('TL11'!$B$229=O$3,SUMIF('TL11'!$C$238:$C$451,$C232,'TL11'!$J$238:$J$451),0),
IF('TL12'!$B$3=O$3,SUMIF('TL12'!$C$10:$C$224,$C232,'TL12'!$J$10:$J$224),0),
IF('TL12'!$B$229=O$3,SUMIF('TL12'!$C$238:$C$451,$C232,'TL12'!$J$238:$J$451),0),
IF('TL13'!$B$3=O$3,SUMIF('TL13'!$C$10:$C$224,$C232,'TL13'!$J$10:$J$224),0),
IF('TL13'!$B$229=O$3,SUMIF('TL13'!$C$238:$C$451,$C232,'TL13'!$J$238:$J$451),0),
IF('TL14'!$B$3=O$3,SUMIF('TL14'!$C$10:$C$224,$C232,'TL14'!$J$10:$J$224),0),
IF('TL14'!$B$229=O$3,SUMIF('TL14'!$C$238:$C$451,$C232,'TL14'!$J$238:$J$451),0),
IF('TL15'!$B$3=O$3,SUMIF('TL15'!$C$10:$C$224,$C232,'TL15'!$J$10:$J$224),0),
IF('TL15'!$B$229=O$3,SUMIF('TL15'!$C$238:$C$451,$C232,'TL15'!$J$238:$J$451),0),
IF('TL16'!$B$3=O$3,SUMIF('TL16'!$C$10:$C$224,$C232,'TL16'!$J$10:$J$224),0),
IF('TL16'!$B$229=O$3,SUMIF('TL16'!$C$238:$C$451,$C232,'TL16'!$J$238:$J$451),0),
IF('TL17'!$B$3=O$3,SUMIF('TL17'!$C$10:$C$224,$C232,'TL17'!$J$10:$J$224),0),
IF('TL17'!$B$229=O$3,SUMIF('TL17'!$C$238:$C$451,$C232,'TL17'!$J$238:$J$451),0),
IF('TL18'!$B$3=O$3,SUMIF('TL18'!$C$10:$C$224,$C232,'TL18'!$J$10:$J$224),0),
IF('TL18'!$B$229=O$3,SUMIF('TL18'!$C$238:$C$451,$C232,'TL18'!$J$238:$J$451),0),
IF('TL19'!$B$3=O$3,SUMIF('TL19'!$C$10:$C$224,$C232,'TL19'!$J$10:$J$224),0),
IF('TL19'!$B$229=O$3,SUMIF('TL19'!$C$238:$C$451,$C232,'TL19'!$J$238:$J$451),0)
),0)</f>
        <v/>
      </c>
      <c r="P232" s="9">
        <f>IFERROR(SUM(
IF('TL01'!$B$3=P$3,SUMIF('TL01'!$C$10:$C$224,$C232,'TL01'!$J$10:$J$224),0),
IF('TL01'!$B$229=P$3,SUMIF('TL01'!$C$238:$C$451,$C232,'TL01'!$J$238:$J$451),0),
IF('TL02'!$B$3=P$3,SUMIF('TL02'!$C$10:$C$224,$C232,'TL02'!$J$10:$J$224),0),
IF('TL02'!$B$229=P$3,SUMIF('TL02'!$C$238:$C$451,$C232,'TL02'!$J$238:$J$451),0),
IF('TL03'!$B$3=P$3,SUMIF('TL03'!$C$10:$C$224,$C232,'TL03'!$J$10:$J$224),0),
IF('TL03'!$B$229=P$3,SUMIF('TL03'!$C$238:$C$451,$C232,'TL03'!$J$238:$J$451),0),
IF('TL04'!$B$3=P$3,SUMIF('TL04'!$C$10:$C$224,$C232,'TL04'!$J$10:$J$224),0),
IF('TL04'!$B$229=P$3,SUMIF('TL04'!$C$238:$C$451,$C232,'TL04'!$J$238:$J$451),0),
IF('TL05'!$B$3=P$3,SUMIF('TL05'!$C$10:$C$224,$C232,'TL05'!$J$10:$J$224),0),
IF('TL05'!$B$229=P$3,SUMIF('TL05'!$C$238:$C$451,$C232,'TL05'!$J$238:$J$451),0),
IF('TL06'!$B$3=P$3,SUMIF('TL06'!$C$10:$C$224,$C232,'TL06'!$J$10:$J$224),0),
IF('TL06'!$B$229=P$3,SUMIF('TL06'!$C$238:$C$451,$C232,'TL06'!$J$238:$J$451),0),
IF('TL07'!$B$3=P$3,SUMIF('TL07'!$C$10:$C$224,$C232,'TL07'!$J$10:$J$224),0),
IF('TL07'!$B$229=P$3,SUMIF('TL07'!$C$238:$C$451,$C232,'TL07'!$J$238:$J$451),0),
IF('TL08'!$B$3=P$3,SUMIF('TL08'!$C$10:$C$224,$C232,'TL08'!$J$10:$J$224),0),
IF('TL08'!$B$229=P$3,SUMIF('TL08'!$C$238:$C$451,$C232,'TL08'!$J$238:$J$451),0),
IF('TL09'!$B$3=P$3,SUMIF('TL09'!$C$10:$C$224,$C232,'TL09'!$J$10:$J$224),0),
IF('TL09'!$B$229=P$3,SUMIF('TL09'!$C$238:$C$451,$C232,'TL09'!$J$238:$J$451),0),
IF('TL10'!$B$3=P$3,SUMIF('TL10'!$C$10:$C$224,$C232,'TL10'!$J$10:$J$224),0),
IF('TL10'!$B$229=P$3,SUMIF('TL10'!$C$238:$C$451,$C232,'TL10'!$J$238:$J$451),0),
IF('TL11'!$B$3=P$3,SUMIF('TL11'!$C$10:$C$224,$C232,'TL11'!$J$10:$J$224),0),
IF('TL11'!$B$229=P$3,SUMIF('TL11'!$C$238:$C$451,$C232,'TL11'!$J$238:$J$451),0),
IF('TL12'!$B$3=P$3,SUMIF('TL12'!$C$10:$C$224,$C232,'TL12'!$J$10:$J$224),0),
IF('TL12'!$B$229=P$3,SUMIF('TL12'!$C$238:$C$451,$C232,'TL12'!$J$238:$J$451),0),
IF('TL13'!$B$3=P$3,SUMIF('TL13'!$C$10:$C$224,$C232,'TL13'!$J$10:$J$224),0),
IF('TL13'!$B$229=P$3,SUMIF('TL13'!$C$238:$C$451,$C232,'TL13'!$J$238:$J$451),0),
IF('TL14'!$B$3=P$3,SUMIF('TL14'!$C$10:$C$224,$C232,'TL14'!$J$10:$J$224),0),
IF('TL14'!$B$229=P$3,SUMIF('TL14'!$C$238:$C$451,$C232,'TL14'!$J$238:$J$451),0),
IF('TL15'!$B$3=P$3,SUMIF('TL15'!$C$10:$C$224,$C232,'TL15'!$J$10:$J$224),0),
IF('TL15'!$B$229=P$3,SUMIF('TL15'!$C$238:$C$451,$C232,'TL15'!$J$238:$J$451),0),
IF('TL16'!$B$3=P$3,SUMIF('TL16'!$C$10:$C$224,$C232,'TL16'!$J$10:$J$224),0),
IF('TL16'!$B$229=P$3,SUMIF('TL16'!$C$238:$C$451,$C232,'TL16'!$J$238:$J$451),0),
IF('TL17'!$B$3=P$3,SUMIF('TL17'!$C$10:$C$224,$C232,'TL17'!$J$10:$J$224),0),
IF('TL17'!$B$229=P$3,SUMIF('TL17'!$C$238:$C$451,$C232,'TL17'!$J$238:$J$451),0),
IF('TL18'!$B$3=P$3,SUMIF('TL18'!$C$10:$C$224,$C232,'TL18'!$J$10:$J$224),0),
IF('TL18'!$B$229=P$3,SUMIF('TL18'!$C$238:$C$451,$C232,'TL18'!$J$238:$J$451),0),
IF('TL19'!$B$3=P$3,SUMIF('TL19'!$C$10:$C$224,$C232,'TL19'!$J$10:$J$224),0),
IF('TL19'!$B$229=P$3,SUMIF('TL19'!$C$238:$C$451,$C232,'TL19'!$J$238:$J$451),0)
),0)</f>
        <v/>
      </c>
      <c r="Q232" s="9">
        <f>IFERROR(SUM(
IF('TL01'!$B$3=Q$3,SUMIF('TL01'!$C$10:$C$224,$C232,'TL01'!$J$10:$J$224),0),
IF('TL01'!$B$229=Q$3,SUMIF('TL01'!$C$238:$C$451,$C232,'TL01'!$J$238:$J$451),0),
IF('TL02'!$B$3=Q$3,SUMIF('TL02'!$C$10:$C$224,$C232,'TL02'!$J$10:$J$224),0),
IF('TL02'!$B$229=Q$3,SUMIF('TL02'!$C$238:$C$451,$C232,'TL02'!$J$238:$J$451),0),
IF('TL03'!$B$3=Q$3,SUMIF('TL03'!$C$10:$C$224,$C232,'TL03'!$J$10:$J$224),0),
IF('TL03'!$B$229=Q$3,SUMIF('TL03'!$C$238:$C$451,$C232,'TL03'!$J$238:$J$451),0),
IF('TL04'!$B$3=Q$3,SUMIF('TL04'!$C$10:$C$224,$C232,'TL04'!$J$10:$J$224),0),
IF('TL04'!$B$229=Q$3,SUMIF('TL04'!$C$238:$C$451,$C232,'TL04'!$J$238:$J$451),0),
IF('TL05'!$B$3=Q$3,SUMIF('TL05'!$C$10:$C$224,$C232,'TL05'!$J$10:$J$224),0),
IF('TL05'!$B$229=Q$3,SUMIF('TL05'!$C$238:$C$451,$C232,'TL05'!$J$238:$J$451),0),
IF('TL06'!$B$3=Q$3,SUMIF('TL06'!$C$10:$C$224,$C232,'TL06'!$J$10:$J$224),0),
IF('TL06'!$B$229=Q$3,SUMIF('TL06'!$C$238:$C$451,$C232,'TL06'!$J$238:$J$451),0),
IF('TL07'!$B$3=Q$3,SUMIF('TL07'!$C$10:$C$224,$C232,'TL07'!$J$10:$J$224),0),
IF('TL07'!$B$229=Q$3,SUMIF('TL07'!$C$238:$C$451,$C232,'TL07'!$J$238:$J$451),0),
IF('TL08'!$B$3=Q$3,SUMIF('TL08'!$C$10:$C$224,$C232,'TL08'!$J$10:$J$224),0),
IF('TL08'!$B$229=Q$3,SUMIF('TL08'!$C$238:$C$451,$C232,'TL08'!$J$238:$J$451),0),
IF('TL09'!$B$3=Q$3,SUMIF('TL09'!$C$10:$C$224,$C232,'TL09'!$J$10:$J$224),0),
IF('TL09'!$B$229=Q$3,SUMIF('TL09'!$C$238:$C$451,$C232,'TL09'!$J$238:$J$451),0),
IF('TL10'!$B$3=Q$3,SUMIF('TL10'!$C$10:$C$224,$C232,'TL10'!$J$10:$J$224),0),
IF('TL10'!$B$229=Q$3,SUMIF('TL10'!$C$238:$C$451,$C232,'TL10'!$J$238:$J$451),0),
IF('TL11'!$B$3=Q$3,SUMIF('TL11'!$C$10:$C$224,$C232,'TL11'!$J$10:$J$224),0),
IF('TL11'!$B$229=Q$3,SUMIF('TL11'!$C$238:$C$451,$C232,'TL11'!$J$238:$J$451),0),
IF('TL12'!$B$3=Q$3,SUMIF('TL12'!$C$10:$C$224,$C232,'TL12'!$J$10:$J$224),0),
IF('TL12'!$B$229=Q$3,SUMIF('TL12'!$C$238:$C$451,$C232,'TL12'!$J$238:$J$451),0),
IF('TL13'!$B$3=Q$3,SUMIF('TL13'!$C$10:$C$224,$C232,'TL13'!$J$10:$J$224),0),
IF('TL13'!$B$229=Q$3,SUMIF('TL13'!$C$238:$C$451,$C232,'TL13'!$J$238:$J$451),0),
IF('TL14'!$B$3=Q$3,SUMIF('TL14'!$C$10:$C$224,$C232,'TL14'!$J$10:$J$224),0),
IF('TL14'!$B$229=Q$3,SUMIF('TL14'!$C$238:$C$451,$C232,'TL14'!$J$238:$J$451),0),
IF('TL15'!$B$3=Q$3,SUMIF('TL15'!$C$10:$C$224,$C232,'TL15'!$J$10:$J$224),0),
IF('TL15'!$B$229=Q$3,SUMIF('TL15'!$C$238:$C$451,$C232,'TL15'!$J$238:$J$451),0),
IF('TL16'!$B$3=Q$3,SUMIF('TL16'!$C$10:$C$224,$C232,'TL16'!$J$10:$J$224),0),
IF('TL16'!$B$229=Q$3,SUMIF('TL16'!$C$238:$C$451,$C232,'TL16'!$J$238:$J$451),0),
IF('TL17'!$B$3=Q$3,SUMIF('TL17'!$C$10:$C$224,$C232,'TL17'!$J$10:$J$224),0),
IF('TL17'!$B$229=Q$3,SUMIF('TL17'!$C$238:$C$451,$C232,'TL17'!$J$238:$J$451),0),
IF('TL18'!$B$3=Q$3,SUMIF('TL18'!$C$10:$C$224,$C232,'TL18'!$J$10:$J$224),0),
IF('TL18'!$B$229=Q$3,SUMIF('TL18'!$C$238:$C$451,$C232,'TL18'!$J$238:$J$451),0),
IF('TL19'!$B$3=Q$3,SUMIF('TL19'!$C$10:$C$224,$C232,'TL19'!$J$10:$J$224),0),
IF('TL19'!$B$229=Q$3,SUMIF('TL19'!$C$238:$C$451,$C232,'TL19'!$J$238:$J$451),0)
),0)</f>
        <v/>
      </c>
      <c r="R232" s="9">
        <f>IFERROR(
SUM(
SUMIF('TL01'!C:C,C232,'TL01'!J:J),
SUMIF('TL02'!C:C,C232,'TL02'!J:J),
SUMIF('TL03'!C:C,C232,'TL03'!J:J),
SUMIF('TL04'!C:C,C232,'TL04'!J:J),
SUMIF('TL05'!C:C,C232,'TL05'!J:J),
SUMIF('TL06'!C:C,C232,'TL06'!J:J),
SUMIF('TL07'!C:C,C232,'TL07'!J:J),
SUMIF('TL08'!C:C,C232,'TL08'!J:J),
SUMIF('TL09'!C:C,C232,'TL09'!J:J),
SUMIF('TL10'!C:C,C232,'TL10'!J:J),
SUMIF('TL11'!C:C,C232,'TL11'!J:J),
SUMIF('TL12'!C:C,C232,'TL12'!J:J),
SUMIF('TL13'!C:C,C232,'TL13'!J:J),
SUMIF('TL14'!C:C,C232,'TL14'!J:J),
SUMIF('TL15'!C:C,C232,'TL15'!J:J),
SUMIF('TL16'!C:C,C232,'TL16'!J:J),
SUMIF('TL17'!C:C,C232,'TL17'!J:J),
SUMIF('TL18'!C:C,C232,'TL18'!J:J),SUMIF('TL19'!C:C,C232,'TL19'!J:J))
,0)</f>
        <v/>
      </c>
      <c r="S232" s="17">
        <f>IFERROR(__xludf.DUMMYFUNCTION("IFERROR(VLOOKUP(C232,
IMPORTRANGE(""1wULbzX32WdYsx-lj2U3uUNBBe2INVIRDtcK0d-Dvl90"",
""26-27!C:G""),
5,
FALSE),
"""")"),426.69077999999996)</f>
        <v/>
      </c>
      <c r="T232" s="9" t="n"/>
      <c r="U232" s="92">
        <f>MAX(0,R232-T232)</f>
        <v/>
      </c>
      <c r="V232" s="93">
        <f>U232*S232</f>
        <v/>
      </c>
    </row>
    <row r="233" hidden="1" ht="15.75" customHeight="1" s="297">
      <c r="A233" s="94" t="inlineStr">
        <is>
          <t>SYNGENTA</t>
        </is>
      </c>
      <c r="B233" s="95" t="inlineStr">
        <is>
          <t>INSETICIDA</t>
        </is>
      </c>
      <c r="C233" s="96" t="inlineStr">
        <is>
          <t>ENGEO PLENO S</t>
        </is>
      </c>
      <c r="D233" s="96" t="inlineStr">
        <is>
          <t>TIAMETOXAM + LAMBDA-CIALOTRINA</t>
        </is>
      </c>
      <c r="E233" s="96" t="inlineStr">
        <is>
          <t>141 + 106</t>
        </is>
      </c>
      <c r="F233" s="4" t="inlineStr">
        <is>
          <t>L</t>
        </is>
      </c>
      <c r="G233" s="90">
        <f>HYPERLINK("https://www.google.com/search?q=" &amp; C233 &amp; "+bula+agrofit+pdf", "📄 Ver bula")</f>
        <v/>
      </c>
      <c r="H233" s="9">
        <f>IFERROR(__xludf.DUMMYFUNCTION("IFERROR(VLOOKUP(C233,
IMPORTRANGE(""1wULbzX32WdYsx-lj2U3uUNBBe2INVIRDtcK0d-Dvl90"",
""26-27!C:K""),
8,
FALSE),
"""")"),0.2)</f>
        <v/>
      </c>
      <c r="I233" s="97" t="inlineStr">
        <is>
          <t>1x20</t>
        </is>
      </c>
      <c r="J233" s="9">
        <f>IFERROR(SUM(
IF('TL01'!$B$3=J$3,SUMIF('TL01'!$C$10:$C$224,$C233,'TL01'!$J$10:$J$224),0),
IF('TL01'!$B$229=J$3,SUMIF('TL01'!$C$238:$C$451,$C233,'TL01'!$J$238:$J$451),0),
IF('TL02'!$B$3=J$3,SUMIF('TL02'!$C$10:$C$224,$C233,'TL02'!$J$10:$J$224),0),
IF('TL02'!$B$229=J$3,SUMIF('TL02'!$C$238:$C$451,$C233,'TL02'!$J$238:$J$451),0),
IF('TL03'!$B$3=J$3,SUMIF('TL03'!$C$10:$C$224,$C233,'TL03'!$J$10:$J$224),0),
IF('TL03'!$B$229=J$3,SUMIF('TL03'!$C$238:$C$451,$C233,'TL03'!$J$238:$J$451),0),
IF('TL04'!$B$3=J$3,SUMIF('TL04'!$C$10:$C$224,$C233,'TL04'!$J$10:$J$224),0),
IF('TL04'!$B$229=J$3,SUMIF('TL04'!$C$238:$C$451,$C233,'TL04'!$J$238:$J$451),0),
IF('TL05'!$B$3=J$3,SUMIF('TL05'!$C$10:$C$224,$C233,'TL05'!$J$10:$J$224),0),
IF('TL05'!$B$229=J$3,SUMIF('TL05'!$C$238:$C$451,$C233,'TL05'!$J$238:$J$451),0),
IF('TL06'!$B$3=J$3,SUMIF('TL06'!$C$10:$C$224,$C233,'TL06'!$J$10:$J$224),0),
IF('TL06'!$B$229=J$3,SUMIF('TL06'!$C$238:$C$451,$C233,'TL06'!$J$238:$J$451),0),
IF('TL07'!$B$3=J$3,SUMIF('TL07'!$C$10:$C$224,$C233,'TL07'!$J$10:$J$224),0),
IF('TL07'!$B$229=J$3,SUMIF('TL07'!$C$238:$C$451,$C233,'TL07'!$J$238:$J$451),0),
IF('TL08'!$B$3=J$3,SUMIF('TL08'!$C$10:$C$224,$C233,'TL08'!$J$10:$J$224),0),
IF('TL08'!$B$229=J$3,SUMIF('TL08'!$C$238:$C$451,$C233,'TL08'!$J$238:$J$451),0),
IF('TL09'!$B$3=J$3,SUMIF('TL09'!$C$10:$C$224,$C233,'TL09'!$J$10:$J$224),0),
IF('TL09'!$B$229=J$3,SUMIF('TL09'!$C$238:$C$451,$C233,'TL09'!$J$238:$J$451),0),
IF('TL10'!$B$3=J$3,SUMIF('TL10'!$C$10:$C$224,$C233,'TL10'!$J$10:$J$224),0),
IF('TL10'!$B$229=J$3,SUMIF('TL10'!$C$238:$C$451,$C233,'TL10'!$J$238:$J$451),0),
IF('TL11'!$B$3=J$3,SUMIF('TL11'!$C$10:$C$224,$C233,'TL11'!$J$10:$J$224),0),
IF('TL11'!$B$229=J$3,SUMIF('TL11'!$C$238:$C$451,$C233,'TL11'!$J$238:$J$451),0),
IF('TL12'!$B$3=J$3,SUMIF('TL12'!$C$10:$C$224,$C233,'TL12'!$J$10:$J$224),0),
IF('TL12'!$B$229=J$3,SUMIF('TL12'!$C$238:$C$451,$C233,'TL12'!$J$238:$J$451),0),
IF('TL13'!$B$3=J$3,SUMIF('TL13'!$C$10:$C$224,$C233,'TL13'!$J$10:$J$224),0),
IF('TL13'!$B$229=J$3,SUMIF('TL13'!$C$238:$C$451,$C233,'TL13'!$J$238:$J$451),0),
IF('TL14'!$B$3=J$3,SUMIF('TL14'!$C$10:$C$224,$C233,'TL14'!$J$10:$J$224),0),
IF('TL14'!$B$229=J$3,SUMIF('TL14'!$C$238:$C$451,$C233,'TL14'!$J$238:$J$451),0),
IF('TL15'!$B$3=J$3,SUMIF('TL15'!$C$10:$C$224,$C233,'TL15'!$J$10:$J$224),0),
IF('TL15'!$B$229=J$3,SUMIF('TL15'!$C$238:$C$451,$C233,'TL15'!$J$238:$J$451),0),
IF('TL16'!$B$3=J$3,SUMIF('TL16'!$C$10:$C$224,$C233,'TL16'!$J$10:$J$224),0),
IF('TL16'!$B$229=J$3,SUMIF('TL16'!$C$238:$C$451,$C233,'TL16'!$J$238:$J$451),0),
IF('TL17'!$B$3=J$3,SUMIF('TL17'!$C$10:$C$224,$C233,'TL17'!$J$10:$J$224),0),
IF('TL17'!$B$229=J$3,SUMIF('TL17'!$C$238:$C$451,$C233,'TL17'!$J$238:$J$451),0),
IF('TL18'!$B$3=J$3,SUMIF('TL18'!$C$10:$C$224,$C233,'TL18'!$J$10:$J$224),0),
IF('TL18'!$B$229=J$3,SUMIF('TL18'!$C$238:$C$451,$C233,'TL18'!$J$238:$J$451),0),
IF('TL19'!$B$3=J$3,SUMIF('TL19'!$C$10:$C$224,$C233,'TL19'!$J$10:$J$224),0),
IF('TL19'!$B$229=J$3,SUMIF('TL19'!$C$238:$C$451,$C233,'TL19'!$J$238:$J$451),0)
),0)</f>
        <v/>
      </c>
      <c r="K233" s="9">
        <f>IFERROR(SUM(
IF('TL01'!$B$3=K$3,SUMIF('TL01'!$C$10:$C$224,$C233,'TL01'!$J$10:$J$224),0),
IF('TL01'!$B$229=K$3,SUMIF('TL01'!$C$238:$C$451,$C233,'TL01'!$J$238:$J$451),0),
IF('TL02'!$B$3=K$3,SUMIF('TL02'!$C$10:$C$224,$C233,'TL02'!$J$10:$J$224),0),
IF('TL02'!$B$229=K$3,SUMIF('TL02'!$C$238:$C$451,$C233,'TL02'!$J$238:$J$451),0),
IF('TL03'!$B$3=K$3,SUMIF('TL03'!$C$10:$C$224,$C233,'TL03'!$J$10:$J$224),0),
IF('TL03'!$B$229=K$3,SUMIF('TL03'!$C$238:$C$451,$C233,'TL03'!$J$238:$J$451),0),
IF('TL04'!$B$3=K$3,SUMIF('TL04'!$C$10:$C$224,$C233,'TL04'!$J$10:$J$224),0),
IF('TL04'!$B$229=K$3,SUMIF('TL04'!$C$238:$C$451,$C233,'TL04'!$J$238:$J$451),0),
IF('TL05'!$B$3=K$3,SUMIF('TL05'!$C$10:$C$224,$C233,'TL05'!$J$10:$J$224),0),
IF('TL05'!$B$229=K$3,SUMIF('TL05'!$C$238:$C$451,$C233,'TL05'!$J$238:$J$451),0),
IF('TL06'!$B$3=K$3,SUMIF('TL06'!$C$10:$C$224,$C233,'TL06'!$J$10:$J$224),0),
IF('TL06'!$B$229=K$3,SUMIF('TL06'!$C$238:$C$451,$C233,'TL06'!$J$238:$J$451),0),
IF('TL07'!$B$3=K$3,SUMIF('TL07'!$C$10:$C$224,$C233,'TL07'!$J$10:$J$224),0),
IF('TL07'!$B$229=K$3,SUMIF('TL07'!$C$238:$C$451,$C233,'TL07'!$J$238:$J$451),0),
IF('TL08'!$B$3=K$3,SUMIF('TL08'!$C$10:$C$224,$C233,'TL08'!$J$10:$J$224),0),
IF('TL08'!$B$229=K$3,SUMIF('TL08'!$C$238:$C$451,$C233,'TL08'!$J$238:$J$451),0),
IF('TL09'!$B$3=K$3,SUMIF('TL09'!$C$10:$C$224,$C233,'TL09'!$J$10:$J$224),0),
IF('TL09'!$B$229=K$3,SUMIF('TL09'!$C$238:$C$451,$C233,'TL09'!$J$238:$J$451),0),
IF('TL10'!$B$3=K$3,SUMIF('TL10'!$C$10:$C$224,$C233,'TL10'!$J$10:$J$224),0),
IF('TL10'!$B$229=K$3,SUMIF('TL10'!$C$238:$C$451,$C233,'TL10'!$J$238:$J$451),0),
IF('TL11'!$B$3=K$3,SUMIF('TL11'!$C$10:$C$224,$C233,'TL11'!$J$10:$J$224),0),
IF('TL11'!$B$229=K$3,SUMIF('TL11'!$C$238:$C$451,$C233,'TL11'!$J$238:$J$451),0),
IF('TL12'!$B$3=K$3,SUMIF('TL12'!$C$10:$C$224,$C233,'TL12'!$J$10:$J$224),0),
IF('TL12'!$B$229=K$3,SUMIF('TL12'!$C$238:$C$451,$C233,'TL12'!$J$238:$J$451),0),
IF('TL13'!$B$3=K$3,SUMIF('TL13'!$C$10:$C$224,$C233,'TL13'!$J$10:$J$224),0),
IF('TL13'!$B$229=K$3,SUMIF('TL13'!$C$238:$C$451,$C233,'TL13'!$J$238:$J$451),0),
IF('TL14'!$B$3=K$3,SUMIF('TL14'!$C$10:$C$224,$C233,'TL14'!$J$10:$J$224),0),
IF('TL14'!$B$229=K$3,SUMIF('TL14'!$C$238:$C$451,$C233,'TL14'!$J$238:$J$451),0),
IF('TL15'!$B$3=K$3,SUMIF('TL15'!$C$10:$C$224,$C233,'TL15'!$J$10:$J$224),0),
IF('TL15'!$B$229=K$3,SUMIF('TL15'!$C$238:$C$451,$C233,'TL15'!$J$238:$J$451),0),
IF('TL16'!$B$3=K$3,SUMIF('TL16'!$C$10:$C$224,$C233,'TL16'!$J$10:$J$224),0),
IF('TL16'!$B$229=K$3,SUMIF('TL16'!$C$238:$C$451,$C233,'TL16'!$J$238:$J$451),0),
IF('TL17'!$B$3=K$3,SUMIF('TL17'!$C$10:$C$224,$C233,'TL17'!$J$10:$J$224),0),
IF('TL17'!$B$229=K$3,SUMIF('TL17'!$C$238:$C$451,$C233,'TL17'!$J$238:$J$451),0),
IF('TL18'!$B$3=K$3,SUMIF('TL18'!$C$10:$C$224,$C233,'TL18'!$J$10:$J$224),0),
IF('TL18'!$B$229=K$3,SUMIF('TL18'!$C$238:$C$451,$C233,'TL18'!$J$238:$J$451),0),
IF('TL19'!$B$3=K$3,SUMIF('TL19'!$C$10:$C$224,$C233,'TL19'!$J$10:$J$224),0),
IF('TL19'!$B$229=K$3,SUMIF('TL19'!$C$238:$C$451,$C233,'TL19'!$J$238:$J$451),0)
),0)</f>
        <v/>
      </c>
      <c r="L233" s="9">
        <f>IFERROR(SUM(
IF('TL01'!$B$3=L$3,SUMIF('TL01'!$C$10:$C$224,$C233,'TL01'!$J$10:$J$224),0),
IF('TL01'!$B$229=L$3,SUMIF('TL01'!$C$238:$C$451,$C233,'TL01'!$J$238:$J$451),0),
IF('TL02'!$B$3=L$3,SUMIF('TL02'!$C$10:$C$224,$C233,'TL02'!$J$10:$J$224),0),
IF('TL02'!$B$229=L$3,SUMIF('TL02'!$C$238:$C$451,$C233,'TL02'!$J$238:$J$451),0),
IF('TL03'!$B$3=L$3,SUMIF('TL03'!$C$10:$C$224,$C233,'TL03'!$J$10:$J$224),0),
IF('TL03'!$B$229=L$3,SUMIF('TL03'!$C$238:$C$451,$C233,'TL03'!$J$238:$J$451),0),
IF('TL04'!$B$3=L$3,SUMIF('TL04'!$C$10:$C$224,$C233,'TL04'!$J$10:$J$224),0),
IF('TL04'!$B$229=L$3,SUMIF('TL04'!$C$238:$C$451,$C233,'TL04'!$J$238:$J$451),0),
IF('TL05'!$B$3=L$3,SUMIF('TL05'!$C$10:$C$224,$C233,'TL05'!$J$10:$J$224),0),
IF('TL05'!$B$229=L$3,SUMIF('TL05'!$C$238:$C$451,$C233,'TL05'!$J$238:$J$451),0),
IF('TL06'!$B$3=L$3,SUMIF('TL06'!$C$10:$C$224,$C233,'TL06'!$J$10:$J$224),0),
IF('TL06'!$B$229=L$3,SUMIF('TL06'!$C$238:$C$451,$C233,'TL06'!$J$238:$J$451),0),
IF('TL07'!$B$3=L$3,SUMIF('TL07'!$C$10:$C$224,$C233,'TL07'!$J$10:$J$224),0),
IF('TL07'!$B$229=L$3,SUMIF('TL07'!$C$238:$C$451,$C233,'TL07'!$J$238:$J$451),0),
IF('TL08'!$B$3=L$3,SUMIF('TL08'!$C$10:$C$224,$C233,'TL08'!$J$10:$J$224),0),
IF('TL08'!$B$229=L$3,SUMIF('TL08'!$C$238:$C$451,$C233,'TL08'!$J$238:$J$451),0),
IF('TL09'!$B$3=L$3,SUMIF('TL09'!$C$10:$C$224,$C233,'TL09'!$J$10:$J$224),0),
IF('TL09'!$B$229=L$3,SUMIF('TL09'!$C$238:$C$451,$C233,'TL09'!$J$238:$J$451),0),
IF('TL10'!$B$3=L$3,SUMIF('TL10'!$C$10:$C$224,$C233,'TL10'!$J$10:$J$224),0),
IF('TL10'!$B$229=L$3,SUMIF('TL10'!$C$238:$C$451,$C233,'TL10'!$J$238:$J$451),0),
IF('TL11'!$B$3=L$3,SUMIF('TL11'!$C$10:$C$224,$C233,'TL11'!$J$10:$J$224),0),
IF('TL11'!$B$229=L$3,SUMIF('TL11'!$C$238:$C$451,$C233,'TL11'!$J$238:$J$451),0),
IF('TL12'!$B$3=L$3,SUMIF('TL12'!$C$10:$C$224,$C233,'TL12'!$J$10:$J$224),0),
IF('TL12'!$B$229=L$3,SUMIF('TL12'!$C$238:$C$451,$C233,'TL12'!$J$238:$J$451),0),
IF('TL13'!$B$3=L$3,SUMIF('TL13'!$C$10:$C$224,$C233,'TL13'!$J$10:$J$224),0),
IF('TL13'!$B$229=L$3,SUMIF('TL13'!$C$238:$C$451,$C233,'TL13'!$J$238:$J$451),0),
IF('TL14'!$B$3=L$3,SUMIF('TL14'!$C$10:$C$224,$C233,'TL14'!$J$10:$J$224),0),
IF('TL14'!$B$229=L$3,SUMIF('TL14'!$C$238:$C$451,$C233,'TL14'!$J$238:$J$451),0),
IF('TL15'!$B$3=L$3,SUMIF('TL15'!$C$10:$C$224,$C233,'TL15'!$J$10:$J$224),0),
IF('TL15'!$B$229=L$3,SUMIF('TL15'!$C$238:$C$451,$C233,'TL15'!$J$238:$J$451),0),
IF('TL16'!$B$3=L$3,SUMIF('TL16'!$C$10:$C$224,$C233,'TL16'!$J$10:$J$224),0),
IF('TL16'!$B$229=L$3,SUMIF('TL16'!$C$238:$C$451,$C233,'TL16'!$J$238:$J$451),0),
IF('TL17'!$B$3=L$3,SUMIF('TL17'!$C$10:$C$224,$C233,'TL17'!$J$10:$J$224),0),
IF('TL17'!$B$229=L$3,SUMIF('TL17'!$C$238:$C$451,$C233,'TL17'!$J$238:$J$451),0),
IF('TL18'!$B$3=L$3,SUMIF('TL18'!$C$10:$C$224,$C233,'TL18'!$J$10:$J$224),0),
IF('TL18'!$B$229=L$3,SUMIF('TL18'!$C$238:$C$451,$C233,'TL18'!$J$238:$J$451),0),
IF('TL19'!$B$3=L$3,SUMIF('TL19'!$C$10:$C$224,$C233,'TL19'!$J$10:$J$224),0),
IF('TL19'!$B$229=L$3,SUMIF('TL19'!$C$238:$C$451,$C233,'TL19'!$J$238:$J$451),0)
),0)</f>
        <v/>
      </c>
      <c r="M233" s="9">
        <f>IFERROR(SUM(
IF('TL01'!$B$3=M$3,SUMIF('TL01'!$C$10:$C$224,$C233,'TL01'!$J$10:$J$224),0),
IF('TL01'!$B$229=M$3,SUMIF('TL01'!$C$238:$C$451,$C233,'TL01'!$J$238:$J$451),0),
IF('TL02'!$B$3=M$3,SUMIF('TL02'!$C$10:$C$224,$C233,'TL02'!$J$10:$J$224),0),
IF('TL02'!$B$229=M$3,SUMIF('TL02'!$C$238:$C$451,$C233,'TL02'!$J$238:$J$451),0),
IF('TL03'!$B$3=M$3,SUMIF('TL03'!$C$10:$C$224,$C233,'TL03'!$J$10:$J$224),0),
IF('TL03'!$B$229=M$3,SUMIF('TL03'!$C$238:$C$451,$C233,'TL03'!$J$238:$J$451),0),
IF('TL04'!$B$3=M$3,SUMIF('TL04'!$C$10:$C$224,$C233,'TL04'!$J$10:$J$224),0),
IF('TL04'!$B$229=M$3,SUMIF('TL04'!$C$238:$C$451,$C233,'TL04'!$J$238:$J$451),0),
IF('TL05'!$B$3=M$3,SUMIF('TL05'!$C$10:$C$224,$C233,'TL05'!$J$10:$J$224),0),
IF('TL05'!$B$229=M$3,SUMIF('TL05'!$C$238:$C$451,$C233,'TL05'!$J$238:$J$451),0),
IF('TL06'!$B$3=M$3,SUMIF('TL06'!$C$10:$C$224,$C233,'TL06'!$J$10:$J$224),0),
IF('TL06'!$B$229=M$3,SUMIF('TL06'!$C$238:$C$451,$C233,'TL06'!$J$238:$J$451),0),
IF('TL07'!$B$3=M$3,SUMIF('TL07'!$C$10:$C$224,$C233,'TL07'!$J$10:$J$224),0),
IF('TL07'!$B$229=M$3,SUMIF('TL07'!$C$238:$C$451,$C233,'TL07'!$J$238:$J$451),0),
IF('TL08'!$B$3=M$3,SUMIF('TL08'!$C$10:$C$224,$C233,'TL08'!$J$10:$J$224),0),
IF('TL08'!$B$229=M$3,SUMIF('TL08'!$C$238:$C$451,$C233,'TL08'!$J$238:$J$451),0),
IF('TL09'!$B$3=M$3,SUMIF('TL09'!$C$10:$C$224,$C233,'TL09'!$J$10:$J$224),0),
IF('TL09'!$B$229=M$3,SUMIF('TL09'!$C$238:$C$451,$C233,'TL09'!$J$238:$J$451),0),
IF('TL10'!$B$3=M$3,SUMIF('TL10'!$C$10:$C$224,$C233,'TL10'!$J$10:$J$224),0),
IF('TL10'!$B$229=M$3,SUMIF('TL10'!$C$238:$C$451,$C233,'TL10'!$J$238:$J$451),0),
IF('TL11'!$B$3=M$3,SUMIF('TL11'!$C$10:$C$224,$C233,'TL11'!$J$10:$J$224),0),
IF('TL11'!$B$229=M$3,SUMIF('TL11'!$C$238:$C$451,$C233,'TL11'!$J$238:$J$451),0),
IF('TL12'!$B$3=M$3,SUMIF('TL12'!$C$10:$C$224,$C233,'TL12'!$J$10:$J$224),0),
IF('TL12'!$B$229=M$3,SUMIF('TL12'!$C$238:$C$451,$C233,'TL12'!$J$238:$J$451),0),
IF('TL13'!$B$3=M$3,SUMIF('TL13'!$C$10:$C$224,$C233,'TL13'!$J$10:$J$224),0),
IF('TL13'!$B$229=M$3,SUMIF('TL13'!$C$238:$C$451,$C233,'TL13'!$J$238:$J$451),0),
IF('TL14'!$B$3=M$3,SUMIF('TL14'!$C$10:$C$224,$C233,'TL14'!$J$10:$J$224),0),
IF('TL14'!$B$229=M$3,SUMIF('TL14'!$C$238:$C$451,$C233,'TL14'!$J$238:$J$451),0),
IF('TL15'!$B$3=M$3,SUMIF('TL15'!$C$10:$C$224,$C233,'TL15'!$J$10:$J$224),0),
IF('TL15'!$B$229=M$3,SUMIF('TL15'!$C$238:$C$451,$C233,'TL15'!$J$238:$J$451),0),
IF('TL16'!$B$3=M$3,SUMIF('TL16'!$C$10:$C$224,$C233,'TL16'!$J$10:$J$224),0),
IF('TL16'!$B$229=M$3,SUMIF('TL16'!$C$238:$C$451,$C233,'TL16'!$J$238:$J$451),0),
IF('TL17'!$B$3=M$3,SUMIF('TL17'!$C$10:$C$224,$C233,'TL17'!$J$10:$J$224),0),
IF('TL17'!$B$229=M$3,SUMIF('TL17'!$C$238:$C$451,$C233,'TL17'!$J$238:$J$451),0),
IF('TL18'!$B$3=M$3,SUMIF('TL18'!$C$10:$C$224,$C233,'TL18'!$J$10:$J$224),0),
IF('TL18'!$B$229=M$3,SUMIF('TL18'!$C$238:$C$451,$C233,'TL18'!$J$238:$J$451),0),
IF('TL19'!$B$3=M$3,SUMIF('TL19'!$C$10:$C$224,$C233,'TL19'!$J$10:$J$224),0),
IF('TL19'!$B$229=M$3,SUMIF('TL19'!$C$238:$C$451,$C233,'TL19'!$J$238:$J$451),0)
),0)</f>
        <v/>
      </c>
      <c r="N233" s="9">
        <f>IFERROR(SUM(
IF('TL01'!$B$3=N$3,SUMIF('TL01'!$C$10:$C$224,$C233,'TL01'!$J$10:$J$224),0),
IF('TL01'!$B$229=N$3,SUMIF('TL01'!$C$238:$C$451,$C233,'TL01'!$J$238:$J$451),0),
IF('TL02'!$B$3=N$3,SUMIF('TL02'!$C$10:$C$224,$C233,'TL02'!$J$10:$J$224),0),
IF('TL02'!$B$229=N$3,SUMIF('TL02'!$C$238:$C$451,$C233,'TL02'!$J$238:$J$451),0),
IF('TL03'!$B$3=N$3,SUMIF('TL03'!$C$10:$C$224,$C233,'TL03'!$J$10:$J$224),0),
IF('TL03'!$B$229=N$3,SUMIF('TL03'!$C$238:$C$451,$C233,'TL03'!$J$238:$J$451),0),
IF('TL04'!$B$3=N$3,SUMIF('TL04'!$C$10:$C$224,$C233,'TL04'!$J$10:$J$224),0),
IF('TL04'!$B$229=N$3,SUMIF('TL04'!$C$238:$C$451,$C233,'TL04'!$J$238:$J$451),0),
IF('TL05'!$B$3=N$3,SUMIF('TL05'!$C$10:$C$224,$C233,'TL05'!$J$10:$J$224),0),
IF('TL05'!$B$229=N$3,SUMIF('TL05'!$C$238:$C$451,$C233,'TL05'!$J$238:$J$451),0),
IF('TL06'!$B$3=N$3,SUMIF('TL06'!$C$10:$C$224,$C233,'TL06'!$J$10:$J$224),0),
IF('TL06'!$B$229=N$3,SUMIF('TL06'!$C$238:$C$451,$C233,'TL06'!$J$238:$J$451),0),
IF('TL07'!$B$3=N$3,SUMIF('TL07'!$C$10:$C$224,$C233,'TL07'!$J$10:$J$224),0),
IF('TL07'!$B$229=N$3,SUMIF('TL07'!$C$238:$C$451,$C233,'TL07'!$J$238:$J$451),0),
IF('TL08'!$B$3=N$3,SUMIF('TL08'!$C$10:$C$224,$C233,'TL08'!$J$10:$J$224),0),
IF('TL08'!$B$229=N$3,SUMIF('TL08'!$C$238:$C$451,$C233,'TL08'!$J$238:$J$451),0),
IF('TL09'!$B$3=N$3,SUMIF('TL09'!$C$10:$C$224,$C233,'TL09'!$J$10:$J$224),0),
IF('TL09'!$B$229=N$3,SUMIF('TL09'!$C$238:$C$451,$C233,'TL09'!$J$238:$J$451),0),
IF('TL10'!$B$3=N$3,SUMIF('TL10'!$C$10:$C$224,$C233,'TL10'!$J$10:$J$224),0),
IF('TL10'!$B$229=N$3,SUMIF('TL10'!$C$238:$C$451,$C233,'TL10'!$J$238:$J$451),0),
IF('TL11'!$B$3=N$3,SUMIF('TL11'!$C$10:$C$224,$C233,'TL11'!$J$10:$J$224),0),
IF('TL11'!$B$229=N$3,SUMIF('TL11'!$C$238:$C$451,$C233,'TL11'!$J$238:$J$451),0),
IF('TL12'!$B$3=N$3,SUMIF('TL12'!$C$10:$C$224,$C233,'TL12'!$J$10:$J$224),0),
IF('TL12'!$B$229=N$3,SUMIF('TL12'!$C$238:$C$451,$C233,'TL12'!$J$238:$J$451),0),
IF('TL13'!$B$3=N$3,SUMIF('TL13'!$C$10:$C$224,$C233,'TL13'!$J$10:$J$224),0),
IF('TL13'!$B$229=N$3,SUMIF('TL13'!$C$238:$C$451,$C233,'TL13'!$J$238:$J$451),0),
IF('TL14'!$B$3=N$3,SUMIF('TL14'!$C$10:$C$224,$C233,'TL14'!$J$10:$J$224),0),
IF('TL14'!$B$229=N$3,SUMIF('TL14'!$C$238:$C$451,$C233,'TL14'!$J$238:$J$451),0),
IF('TL15'!$B$3=N$3,SUMIF('TL15'!$C$10:$C$224,$C233,'TL15'!$J$10:$J$224),0),
IF('TL15'!$B$229=N$3,SUMIF('TL15'!$C$238:$C$451,$C233,'TL15'!$J$238:$J$451),0),
IF('TL16'!$B$3=N$3,SUMIF('TL16'!$C$10:$C$224,$C233,'TL16'!$J$10:$J$224),0),
IF('TL16'!$B$229=N$3,SUMIF('TL16'!$C$238:$C$451,$C233,'TL16'!$J$238:$J$451),0),
IF('TL17'!$B$3=N$3,SUMIF('TL17'!$C$10:$C$224,$C233,'TL17'!$J$10:$J$224),0),
IF('TL17'!$B$229=N$3,SUMIF('TL17'!$C$238:$C$451,$C233,'TL17'!$J$238:$J$451),0),
IF('TL18'!$B$3=N$3,SUMIF('TL18'!$C$10:$C$224,$C233,'TL18'!$J$10:$J$224),0),
IF('TL18'!$B$229=N$3,SUMIF('TL18'!$C$238:$C$451,$C233,'TL18'!$J$238:$J$451),0),
IF('TL19'!$B$3=N$3,SUMIF('TL19'!$C$10:$C$224,$C233,'TL19'!$J$10:$J$224),0),
IF('TL19'!$B$229=N$3,SUMIF('TL19'!$C$238:$C$451,$C233,'TL19'!$J$238:$J$451),0)
),0)</f>
        <v/>
      </c>
      <c r="O233" s="9">
        <f>IFERROR(SUM(
IF('TL01'!$B$3=O$3,SUMIF('TL01'!$C$10:$C$224,$C233,'TL01'!$J$10:$J$224),0),
IF('TL01'!$B$229=O$3,SUMIF('TL01'!$C$238:$C$451,$C233,'TL01'!$J$238:$J$451),0),
IF('TL02'!$B$3=O$3,SUMIF('TL02'!$C$10:$C$224,$C233,'TL02'!$J$10:$J$224),0),
IF('TL02'!$B$229=O$3,SUMIF('TL02'!$C$238:$C$451,$C233,'TL02'!$J$238:$J$451),0),
IF('TL03'!$B$3=O$3,SUMIF('TL03'!$C$10:$C$224,$C233,'TL03'!$J$10:$J$224),0),
IF('TL03'!$B$229=O$3,SUMIF('TL03'!$C$238:$C$451,$C233,'TL03'!$J$238:$J$451),0),
IF('TL04'!$B$3=O$3,SUMIF('TL04'!$C$10:$C$224,$C233,'TL04'!$J$10:$J$224),0),
IF('TL04'!$B$229=O$3,SUMIF('TL04'!$C$238:$C$451,$C233,'TL04'!$J$238:$J$451),0),
IF('TL05'!$B$3=O$3,SUMIF('TL05'!$C$10:$C$224,$C233,'TL05'!$J$10:$J$224),0),
IF('TL05'!$B$229=O$3,SUMIF('TL05'!$C$238:$C$451,$C233,'TL05'!$J$238:$J$451),0),
IF('TL06'!$B$3=O$3,SUMIF('TL06'!$C$10:$C$224,$C233,'TL06'!$J$10:$J$224),0),
IF('TL06'!$B$229=O$3,SUMIF('TL06'!$C$238:$C$451,$C233,'TL06'!$J$238:$J$451),0),
IF('TL07'!$B$3=O$3,SUMIF('TL07'!$C$10:$C$224,$C233,'TL07'!$J$10:$J$224),0),
IF('TL07'!$B$229=O$3,SUMIF('TL07'!$C$238:$C$451,$C233,'TL07'!$J$238:$J$451),0),
IF('TL08'!$B$3=O$3,SUMIF('TL08'!$C$10:$C$224,$C233,'TL08'!$J$10:$J$224),0),
IF('TL08'!$B$229=O$3,SUMIF('TL08'!$C$238:$C$451,$C233,'TL08'!$J$238:$J$451),0),
IF('TL09'!$B$3=O$3,SUMIF('TL09'!$C$10:$C$224,$C233,'TL09'!$J$10:$J$224),0),
IF('TL09'!$B$229=O$3,SUMIF('TL09'!$C$238:$C$451,$C233,'TL09'!$J$238:$J$451),0),
IF('TL10'!$B$3=O$3,SUMIF('TL10'!$C$10:$C$224,$C233,'TL10'!$J$10:$J$224),0),
IF('TL10'!$B$229=O$3,SUMIF('TL10'!$C$238:$C$451,$C233,'TL10'!$J$238:$J$451),0),
IF('TL11'!$B$3=O$3,SUMIF('TL11'!$C$10:$C$224,$C233,'TL11'!$J$10:$J$224),0),
IF('TL11'!$B$229=O$3,SUMIF('TL11'!$C$238:$C$451,$C233,'TL11'!$J$238:$J$451),0),
IF('TL12'!$B$3=O$3,SUMIF('TL12'!$C$10:$C$224,$C233,'TL12'!$J$10:$J$224),0),
IF('TL12'!$B$229=O$3,SUMIF('TL12'!$C$238:$C$451,$C233,'TL12'!$J$238:$J$451),0),
IF('TL13'!$B$3=O$3,SUMIF('TL13'!$C$10:$C$224,$C233,'TL13'!$J$10:$J$224),0),
IF('TL13'!$B$229=O$3,SUMIF('TL13'!$C$238:$C$451,$C233,'TL13'!$J$238:$J$451),0),
IF('TL14'!$B$3=O$3,SUMIF('TL14'!$C$10:$C$224,$C233,'TL14'!$J$10:$J$224),0),
IF('TL14'!$B$229=O$3,SUMIF('TL14'!$C$238:$C$451,$C233,'TL14'!$J$238:$J$451),0),
IF('TL15'!$B$3=O$3,SUMIF('TL15'!$C$10:$C$224,$C233,'TL15'!$J$10:$J$224),0),
IF('TL15'!$B$229=O$3,SUMIF('TL15'!$C$238:$C$451,$C233,'TL15'!$J$238:$J$451),0),
IF('TL16'!$B$3=O$3,SUMIF('TL16'!$C$10:$C$224,$C233,'TL16'!$J$10:$J$224),0),
IF('TL16'!$B$229=O$3,SUMIF('TL16'!$C$238:$C$451,$C233,'TL16'!$J$238:$J$451),0),
IF('TL17'!$B$3=O$3,SUMIF('TL17'!$C$10:$C$224,$C233,'TL17'!$J$10:$J$224),0),
IF('TL17'!$B$229=O$3,SUMIF('TL17'!$C$238:$C$451,$C233,'TL17'!$J$238:$J$451),0),
IF('TL18'!$B$3=O$3,SUMIF('TL18'!$C$10:$C$224,$C233,'TL18'!$J$10:$J$224),0),
IF('TL18'!$B$229=O$3,SUMIF('TL18'!$C$238:$C$451,$C233,'TL18'!$J$238:$J$451),0),
IF('TL19'!$B$3=O$3,SUMIF('TL19'!$C$10:$C$224,$C233,'TL19'!$J$10:$J$224),0),
IF('TL19'!$B$229=O$3,SUMIF('TL19'!$C$238:$C$451,$C233,'TL19'!$J$238:$J$451),0)
),0)</f>
        <v/>
      </c>
      <c r="P233" s="9">
        <f>IFERROR(SUM(
IF('TL01'!$B$3=P$3,SUMIF('TL01'!$C$10:$C$224,$C233,'TL01'!$J$10:$J$224),0),
IF('TL01'!$B$229=P$3,SUMIF('TL01'!$C$238:$C$451,$C233,'TL01'!$J$238:$J$451),0),
IF('TL02'!$B$3=P$3,SUMIF('TL02'!$C$10:$C$224,$C233,'TL02'!$J$10:$J$224),0),
IF('TL02'!$B$229=P$3,SUMIF('TL02'!$C$238:$C$451,$C233,'TL02'!$J$238:$J$451),0),
IF('TL03'!$B$3=P$3,SUMIF('TL03'!$C$10:$C$224,$C233,'TL03'!$J$10:$J$224),0),
IF('TL03'!$B$229=P$3,SUMIF('TL03'!$C$238:$C$451,$C233,'TL03'!$J$238:$J$451),0),
IF('TL04'!$B$3=P$3,SUMIF('TL04'!$C$10:$C$224,$C233,'TL04'!$J$10:$J$224),0),
IF('TL04'!$B$229=P$3,SUMIF('TL04'!$C$238:$C$451,$C233,'TL04'!$J$238:$J$451),0),
IF('TL05'!$B$3=P$3,SUMIF('TL05'!$C$10:$C$224,$C233,'TL05'!$J$10:$J$224),0),
IF('TL05'!$B$229=P$3,SUMIF('TL05'!$C$238:$C$451,$C233,'TL05'!$J$238:$J$451),0),
IF('TL06'!$B$3=P$3,SUMIF('TL06'!$C$10:$C$224,$C233,'TL06'!$J$10:$J$224),0),
IF('TL06'!$B$229=P$3,SUMIF('TL06'!$C$238:$C$451,$C233,'TL06'!$J$238:$J$451),0),
IF('TL07'!$B$3=P$3,SUMIF('TL07'!$C$10:$C$224,$C233,'TL07'!$J$10:$J$224),0),
IF('TL07'!$B$229=P$3,SUMIF('TL07'!$C$238:$C$451,$C233,'TL07'!$J$238:$J$451),0),
IF('TL08'!$B$3=P$3,SUMIF('TL08'!$C$10:$C$224,$C233,'TL08'!$J$10:$J$224),0),
IF('TL08'!$B$229=P$3,SUMIF('TL08'!$C$238:$C$451,$C233,'TL08'!$J$238:$J$451),0),
IF('TL09'!$B$3=P$3,SUMIF('TL09'!$C$10:$C$224,$C233,'TL09'!$J$10:$J$224),0),
IF('TL09'!$B$229=P$3,SUMIF('TL09'!$C$238:$C$451,$C233,'TL09'!$J$238:$J$451),0),
IF('TL10'!$B$3=P$3,SUMIF('TL10'!$C$10:$C$224,$C233,'TL10'!$J$10:$J$224),0),
IF('TL10'!$B$229=P$3,SUMIF('TL10'!$C$238:$C$451,$C233,'TL10'!$J$238:$J$451),0),
IF('TL11'!$B$3=P$3,SUMIF('TL11'!$C$10:$C$224,$C233,'TL11'!$J$10:$J$224),0),
IF('TL11'!$B$229=P$3,SUMIF('TL11'!$C$238:$C$451,$C233,'TL11'!$J$238:$J$451),0),
IF('TL12'!$B$3=P$3,SUMIF('TL12'!$C$10:$C$224,$C233,'TL12'!$J$10:$J$224),0),
IF('TL12'!$B$229=P$3,SUMIF('TL12'!$C$238:$C$451,$C233,'TL12'!$J$238:$J$451),0),
IF('TL13'!$B$3=P$3,SUMIF('TL13'!$C$10:$C$224,$C233,'TL13'!$J$10:$J$224),0),
IF('TL13'!$B$229=P$3,SUMIF('TL13'!$C$238:$C$451,$C233,'TL13'!$J$238:$J$451),0),
IF('TL14'!$B$3=P$3,SUMIF('TL14'!$C$10:$C$224,$C233,'TL14'!$J$10:$J$224),0),
IF('TL14'!$B$229=P$3,SUMIF('TL14'!$C$238:$C$451,$C233,'TL14'!$J$238:$J$451),0),
IF('TL15'!$B$3=P$3,SUMIF('TL15'!$C$10:$C$224,$C233,'TL15'!$J$10:$J$224),0),
IF('TL15'!$B$229=P$3,SUMIF('TL15'!$C$238:$C$451,$C233,'TL15'!$J$238:$J$451),0),
IF('TL16'!$B$3=P$3,SUMIF('TL16'!$C$10:$C$224,$C233,'TL16'!$J$10:$J$224),0),
IF('TL16'!$B$229=P$3,SUMIF('TL16'!$C$238:$C$451,$C233,'TL16'!$J$238:$J$451),0),
IF('TL17'!$B$3=P$3,SUMIF('TL17'!$C$10:$C$224,$C233,'TL17'!$J$10:$J$224),0),
IF('TL17'!$B$229=P$3,SUMIF('TL17'!$C$238:$C$451,$C233,'TL17'!$J$238:$J$451),0),
IF('TL18'!$B$3=P$3,SUMIF('TL18'!$C$10:$C$224,$C233,'TL18'!$J$10:$J$224),0),
IF('TL18'!$B$229=P$3,SUMIF('TL18'!$C$238:$C$451,$C233,'TL18'!$J$238:$J$451),0),
IF('TL19'!$B$3=P$3,SUMIF('TL19'!$C$10:$C$224,$C233,'TL19'!$J$10:$J$224),0),
IF('TL19'!$B$229=P$3,SUMIF('TL19'!$C$238:$C$451,$C233,'TL19'!$J$238:$J$451),0)
),0)</f>
        <v/>
      </c>
      <c r="Q233" s="9">
        <f>IFERROR(SUM(
IF('TL01'!$B$3=Q$3,SUMIF('TL01'!$C$10:$C$224,$C233,'TL01'!$J$10:$J$224),0),
IF('TL01'!$B$229=Q$3,SUMIF('TL01'!$C$238:$C$451,$C233,'TL01'!$J$238:$J$451),0),
IF('TL02'!$B$3=Q$3,SUMIF('TL02'!$C$10:$C$224,$C233,'TL02'!$J$10:$J$224),0),
IF('TL02'!$B$229=Q$3,SUMIF('TL02'!$C$238:$C$451,$C233,'TL02'!$J$238:$J$451),0),
IF('TL03'!$B$3=Q$3,SUMIF('TL03'!$C$10:$C$224,$C233,'TL03'!$J$10:$J$224),0),
IF('TL03'!$B$229=Q$3,SUMIF('TL03'!$C$238:$C$451,$C233,'TL03'!$J$238:$J$451),0),
IF('TL04'!$B$3=Q$3,SUMIF('TL04'!$C$10:$C$224,$C233,'TL04'!$J$10:$J$224),0),
IF('TL04'!$B$229=Q$3,SUMIF('TL04'!$C$238:$C$451,$C233,'TL04'!$J$238:$J$451),0),
IF('TL05'!$B$3=Q$3,SUMIF('TL05'!$C$10:$C$224,$C233,'TL05'!$J$10:$J$224),0),
IF('TL05'!$B$229=Q$3,SUMIF('TL05'!$C$238:$C$451,$C233,'TL05'!$J$238:$J$451),0),
IF('TL06'!$B$3=Q$3,SUMIF('TL06'!$C$10:$C$224,$C233,'TL06'!$J$10:$J$224),0),
IF('TL06'!$B$229=Q$3,SUMIF('TL06'!$C$238:$C$451,$C233,'TL06'!$J$238:$J$451),0),
IF('TL07'!$B$3=Q$3,SUMIF('TL07'!$C$10:$C$224,$C233,'TL07'!$J$10:$J$224),0),
IF('TL07'!$B$229=Q$3,SUMIF('TL07'!$C$238:$C$451,$C233,'TL07'!$J$238:$J$451),0),
IF('TL08'!$B$3=Q$3,SUMIF('TL08'!$C$10:$C$224,$C233,'TL08'!$J$10:$J$224),0),
IF('TL08'!$B$229=Q$3,SUMIF('TL08'!$C$238:$C$451,$C233,'TL08'!$J$238:$J$451),0),
IF('TL09'!$B$3=Q$3,SUMIF('TL09'!$C$10:$C$224,$C233,'TL09'!$J$10:$J$224),0),
IF('TL09'!$B$229=Q$3,SUMIF('TL09'!$C$238:$C$451,$C233,'TL09'!$J$238:$J$451),0),
IF('TL10'!$B$3=Q$3,SUMIF('TL10'!$C$10:$C$224,$C233,'TL10'!$J$10:$J$224),0),
IF('TL10'!$B$229=Q$3,SUMIF('TL10'!$C$238:$C$451,$C233,'TL10'!$J$238:$J$451),0),
IF('TL11'!$B$3=Q$3,SUMIF('TL11'!$C$10:$C$224,$C233,'TL11'!$J$10:$J$224),0),
IF('TL11'!$B$229=Q$3,SUMIF('TL11'!$C$238:$C$451,$C233,'TL11'!$J$238:$J$451),0),
IF('TL12'!$B$3=Q$3,SUMIF('TL12'!$C$10:$C$224,$C233,'TL12'!$J$10:$J$224),0),
IF('TL12'!$B$229=Q$3,SUMIF('TL12'!$C$238:$C$451,$C233,'TL12'!$J$238:$J$451),0),
IF('TL13'!$B$3=Q$3,SUMIF('TL13'!$C$10:$C$224,$C233,'TL13'!$J$10:$J$224),0),
IF('TL13'!$B$229=Q$3,SUMIF('TL13'!$C$238:$C$451,$C233,'TL13'!$J$238:$J$451),0),
IF('TL14'!$B$3=Q$3,SUMIF('TL14'!$C$10:$C$224,$C233,'TL14'!$J$10:$J$224),0),
IF('TL14'!$B$229=Q$3,SUMIF('TL14'!$C$238:$C$451,$C233,'TL14'!$J$238:$J$451),0),
IF('TL15'!$B$3=Q$3,SUMIF('TL15'!$C$10:$C$224,$C233,'TL15'!$J$10:$J$224),0),
IF('TL15'!$B$229=Q$3,SUMIF('TL15'!$C$238:$C$451,$C233,'TL15'!$J$238:$J$451),0),
IF('TL16'!$B$3=Q$3,SUMIF('TL16'!$C$10:$C$224,$C233,'TL16'!$J$10:$J$224),0),
IF('TL16'!$B$229=Q$3,SUMIF('TL16'!$C$238:$C$451,$C233,'TL16'!$J$238:$J$451),0),
IF('TL17'!$B$3=Q$3,SUMIF('TL17'!$C$10:$C$224,$C233,'TL17'!$J$10:$J$224),0),
IF('TL17'!$B$229=Q$3,SUMIF('TL17'!$C$238:$C$451,$C233,'TL17'!$J$238:$J$451),0),
IF('TL18'!$B$3=Q$3,SUMIF('TL18'!$C$10:$C$224,$C233,'TL18'!$J$10:$J$224),0),
IF('TL18'!$B$229=Q$3,SUMIF('TL18'!$C$238:$C$451,$C233,'TL18'!$J$238:$J$451),0),
IF('TL19'!$B$3=Q$3,SUMIF('TL19'!$C$10:$C$224,$C233,'TL19'!$J$10:$J$224),0),
IF('TL19'!$B$229=Q$3,SUMIF('TL19'!$C$238:$C$451,$C233,'TL19'!$J$238:$J$451),0)
),0)</f>
        <v/>
      </c>
      <c r="R233" s="9">
        <f>IFERROR(
SUM(
SUMIF('TL01'!C:C,C233,'TL01'!J:J),
SUMIF('TL02'!C:C,C233,'TL02'!J:J),
SUMIF('TL03'!C:C,C233,'TL03'!J:J),
SUMIF('TL04'!C:C,C233,'TL04'!J:J),
SUMIF('TL05'!C:C,C233,'TL05'!J:J),
SUMIF('TL06'!C:C,C233,'TL06'!J:J),
SUMIF('TL07'!C:C,C233,'TL07'!J:J),
SUMIF('TL08'!C:C,C233,'TL08'!J:J),
SUMIF('TL09'!C:C,C233,'TL09'!J:J),
SUMIF('TL10'!C:C,C233,'TL10'!J:J),
SUMIF('TL11'!C:C,C233,'TL11'!J:J),
SUMIF('TL12'!C:C,C233,'TL12'!J:J),
SUMIF('TL13'!C:C,C233,'TL13'!J:J),
SUMIF('TL14'!C:C,C233,'TL14'!J:J),
SUMIF('TL15'!C:C,C233,'TL15'!J:J),
SUMIF('TL16'!C:C,C233,'TL16'!J:J),
SUMIF('TL17'!C:C,C233,'TL17'!J:J),
SUMIF('TL18'!C:C,C233,'TL18'!J:J),SUMIF('TL19'!C:C,C233,'TL19'!J:J))
,0)</f>
        <v/>
      </c>
      <c r="S233" s="17">
        <f>IFERROR(__xludf.DUMMYFUNCTION("IFERROR(VLOOKUP(C233,
IMPORTRANGE(""1wULbzX32WdYsx-lj2U3uUNBBe2INVIRDtcK0d-Dvl90"",
""26-27!C:G""),
5,
FALSE),
"""")"),85.76120999999999)</f>
        <v/>
      </c>
      <c r="T233" s="9" t="n"/>
      <c r="U233" s="92">
        <f>MAX(0,R233-T233)</f>
        <v/>
      </c>
      <c r="V233" s="93">
        <f>U233*S233</f>
        <v/>
      </c>
    </row>
    <row r="234" hidden="1" ht="15.75" customHeight="1" s="297">
      <c r="A234" s="87" t="inlineStr">
        <is>
          <t>SYNGENTA</t>
        </is>
      </c>
      <c r="B234" s="88" t="inlineStr">
        <is>
          <t>INSETICIDA</t>
        </is>
      </c>
      <c r="C234" s="89" t="inlineStr">
        <is>
          <t>KARATE ZEON 250 CS</t>
        </is>
      </c>
      <c r="D234" s="89" t="inlineStr">
        <is>
          <t>LAMBDA-CIALOTRINA</t>
        </is>
      </c>
      <c r="E234" s="89" t="n">
        <v>250</v>
      </c>
      <c r="F234" s="4" t="inlineStr">
        <is>
          <t>L</t>
        </is>
      </c>
      <c r="G234" s="90">
        <f>HYPERLINK("https://www.google.com/search?q=" &amp; C234 &amp; "+bula+agrofit+pdf", "📄 Ver bula")</f>
        <v/>
      </c>
      <c r="H234" s="9">
        <f>IFERROR(__xludf.DUMMYFUNCTION("IFERROR(VLOOKUP(C234,
IMPORTRANGE(""1wULbzX32WdYsx-lj2U3uUNBBe2INVIRDtcK0d-Dvl90"",
""26-27!C:K""),
8,
FALSE),
"""")"),0.15)</f>
        <v/>
      </c>
      <c r="I234" s="91" t="inlineStr">
        <is>
          <t>1x20</t>
        </is>
      </c>
      <c r="J234" s="9">
        <f>IFERROR(SUM(
IF('TL01'!$B$3=J$3,SUMIF('TL01'!$C$10:$C$224,$C234,'TL01'!$J$10:$J$224),0),
IF('TL01'!$B$229=J$3,SUMIF('TL01'!$C$238:$C$451,$C234,'TL01'!$J$238:$J$451),0),
IF('TL02'!$B$3=J$3,SUMIF('TL02'!$C$10:$C$224,$C234,'TL02'!$J$10:$J$224),0),
IF('TL02'!$B$229=J$3,SUMIF('TL02'!$C$238:$C$451,$C234,'TL02'!$J$238:$J$451),0),
IF('TL03'!$B$3=J$3,SUMIF('TL03'!$C$10:$C$224,$C234,'TL03'!$J$10:$J$224),0),
IF('TL03'!$B$229=J$3,SUMIF('TL03'!$C$238:$C$451,$C234,'TL03'!$J$238:$J$451),0),
IF('TL04'!$B$3=J$3,SUMIF('TL04'!$C$10:$C$224,$C234,'TL04'!$J$10:$J$224),0),
IF('TL04'!$B$229=J$3,SUMIF('TL04'!$C$238:$C$451,$C234,'TL04'!$J$238:$J$451),0),
IF('TL05'!$B$3=J$3,SUMIF('TL05'!$C$10:$C$224,$C234,'TL05'!$J$10:$J$224),0),
IF('TL05'!$B$229=J$3,SUMIF('TL05'!$C$238:$C$451,$C234,'TL05'!$J$238:$J$451),0),
IF('TL06'!$B$3=J$3,SUMIF('TL06'!$C$10:$C$224,$C234,'TL06'!$J$10:$J$224),0),
IF('TL06'!$B$229=J$3,SUMIF('TL06'!$C$238:$C$451,$C234,'TL06'!$J$238:$J$451),0),
IF('TL07'!$B$3=J$3,SUMIF('TL07'!$C$10:$C$224,$C234,'TL07'!$J$10:$J$224),0),
IF('TL07'!$B$229=J$3,SUMIF('TL07'!$C$238:$C$451,$C234,'TL07'!$J$238:$J$451),0),
IF('TL08'!$B$3=J$3,SUMIF('TL08'!$C$10:$C$224,$C234,'TL08'!$J$10:$J$224),0),
IF('TL08'!$B$229=J$3,SUMIF('TL08'!$C$238:$C$451,$C234,'TL08'!$J$238:$J$451),0),
IF('TL09'!$B$3=J$3,SUMIF('TL09'!$C$10:$C$224,$C234,'TL09'!$J$10:$J$224),0),
IF('TL09'!$B$229=J$3,SUMIF('TL09'!$C$238:$C$451,$C234,'TL09'!$J$238:$J$451),0),
IF('TL10'!$B$3=J$3,SUMIF('TL10'!$C$10:$C$224,$C234,'TL10'!$J$10:$J$224),0),
IF('TL10'!$B$229=J$3,SUMIF('TL10'!$C$238:$C$451,$C234,'TL10'!$J$238:$J$451),0),
IF('TL11'!$B$3=J$3,SUMIF('TL11'!$C$10:$C$224,$C234,'TL11'!$J$10:$J$224),0),
IF('TL11'!$B$229=J$3,SUMIF('TL11'!$C$238:$C$451,$C234,'TL11'!$J$238:$J$451),0),
IF('TL12'!$B$3=J$3,SUMIF('TL12'!$C$10:$C$224,$C234,'TL12'!$J$10:$J$224),0),
IF('TL12'!$B$229=J$3,SUMIF('TL12'!$C$238:$C$451,$C234,'TL12'!$J$238:$J$451),0),
IF('TL13'!$B$3=J$3,SUMIF('TL13'!$C$10:$C$224,$C234,'TL13'!$J$10:$J$224),0),
IF('TL13'!$B$229=J$3,SUMIF('TL13'!$C$238:$C$451,$C234,'TL13'!$J$238:$J$451),0),
IF('TL14'!$B$3=J$3,SUMIF('TL14'!$C$10:$C$224,$C234,'TL14'!$J$10:$J$224),0),
IF('TL14'!$B$229=J$3,SUMIF('TL14'!$C$238:$C$451,$C234,'TL14'!$J$238:$J$451),0),
IF('TL15'!$B$3=J$3,SUMIF('TL15'!$C$10:$C$224,$C234,'TL15'!$J$10:$J$224),0),
IF('TL15'!$B$229=J$3,SUMIF('TL15'!$C$238:$C$451,$C234,'TL15'!$J$238:$J$451),0),
IF('TL16'!$B$3=J$3,SUMIF('TL16'!$C$10:$C$224,$C234,'TL16'!$J$10:$J$224),0),
IF('TL16'!$B$229=J$3,SUMIF('TL16'!$C$238:$C$451,$C234,'TL16'!$J$238:$J$451),0),
IF('TL17'!$B$3=J$3,SUMIF('TL17'!$C$10:$C$224,$C234,'TL17'!$J$10:$J$224),0),
IF('TL17'!$B$229=J$3,SUMIF('TL17'!$C$238:$C$451,$C234,'TL17'!$J$238:$J$451),0),
IF('TL18'!$B$3=J$3,SUMIF('TL18'!$C$10:$C$224,$C234,'TL18'!$J$10:$J$224),0),
IF('TL18'!$B$229=J$3,SUMIF('TL18'!$C$238:$C$451,$C234,'TL18'!$J$238:$J$451),0),
IF('TL19'!$B$3=J$3,SUMIF('TL19'!$C$10:$C$224,$C234,'TL19'!$J$10:$J$224),0),
IF('TL19'!$B$229=J$3,SUMIF('TL19'!$C$238:$C$451,$C234,'TL19'!$J$238:$J$451),0)
),0)</f>
        <v/>
      </c>
      <c r="K234" s="9">
        <f>IFERROR(SUM(
IF('TL01'!$B$3=K$3,SUMIF('TL01'!$C$10:$C$224,$C234,'TL01'!$J$10:$J$224),0),
IF('TL01'!$B$229=K$3,SUMIF('TL01'!$C$238:$C$451,$C234,'TL01'!$J$238:$J$451),0),
IF('TL02'!$B$3=K$3,SUMIF('TL02'!$C$10:$C$224,$C234,'TL02'!$J$10:$J$224),0),
IF('TL02'!$B$229=K$3,SUMIF('TL02'!$C$238:$C$451,$C234,'TL02'!$J$238:$J$451),0),
IF('TL03'!$B$3=K$3,SUMIF('TL03'!$C$10:$C$224,$C234,'TL03'!$J$10:$J$224),0),
IF('TL03'!$B$229=K$3,SUMIF('TL03'!$C$238:$C$451,$C234,'TL03'!$J$238:$J$451),0),
IF('TL04'!$B$3=K$3,SUMIF('TL04'!$C$10:$C$224,$C234,'TL04'!$J$10:$J$224),0),
IF('TL04'!$B$229=K$3,SUMIF('TL04'!$C$238:$C$451,$C234,'TL04'!$J$238:$J$451),0),
IF('TL05'!$B$3=K$3,SUMIF('TL05'!$C$10:$C$224,$C234,'TL05'!$J$10:$J$224),0),
IF('TL05'!$B$229=K$3,SUMIF('TL05'!$C$238:$C$451,$C234,'TL05'!$J$238:$J$451),0),
IF('TL06'!$B$3=K$3,SUMIF('TL06'!$C$10:$C$224,$C234,'TL06'!$J$10:$J$224),0),
IF('TL06'!$B$229=K$3,SUMIF('TL06'!$C$238:$C$451,$C234,'TL06'!$J$238:$J$451),0),
IF('TL07'!$B$3=K$3,SUMIF('TL07'!$C$10:$C$224,$C234,'TL07'!$J$10:$J$224),0),
IF('TL07'!$B$229=K$3,SUMIF('TL07'!$C$238:$C$451,$C234,'TL07'!$J$238:$J$451),0),
IF('TL08'!$B$3=K$3,SUMIF('TL08'!$C$10:$C$224,$C234,'TL08'!$J$10:$J$224),0),
IF('TL08'!$B$229=K$3,SUMIF('TL08'!$C$238:$C$451,$C234,'TL08'!$J$238:$J$451),0),
IF('TL09'!$B$3=K$3,SUMIF('TL09'!$C$10:$C$224,$C234,'TL09'!$J$10:$J$224),0),
IF('TL09'!$B$229=K$3,SUMIF('TL09'!$C$238:$C$451,$C234,'TL09'!$J$238:$J$451),0),
IF('TL10'!$B$3=K$3,SUMIF('TL10'!$C$10:$C$224,$C234,'TL10'!$J$10:$J$224),0),
IF('TL10'!$B$229=K$3,SUMIF('TL10'!$C$238:$C$451,$C234,'TL10'!$J$238:$J$451),0),
IF('TL11'!$B$3=K$3,SUMIF('TL11'!$C$10:$C$224,$C234,'TL11'!$J$10:$J$224),0),
IF('TL11'!$B$229=K$3,SUMIF('TL11'!$C$238:$C$451,$C234,'TL11'!$J$238:$J$451),0),
IF('TL12'!$B$3=K$3,SUMIF('TL12'!$C$10:$C$224,$C234,'TL12'!$J$10:$J$224),0),
IF('TL12'!$B$229=K$3,SUMIF('TL12'!$C$238:$C$451,$C234,'TL12'!$J$238:$J$451),0),
IF('TL13'!$B$3=K$3,SUMIF('TL13'!$C$10:$C$224,$C234,'TL13'!$J$10:$J$224),0),
IF('TL13'!$B$229=K$3,SUMIF('TL13'!$C$238:$C$451,$C234,'TL13'!$J$238:$J$451),0),
IF('TL14'!$B$3=K$3,SUMIF('TL14'!$C$10:$C$224,$C234,'TL14'!$J$10:$J$224),0),
IF('TL14'!$B$229=K$3,SUMIF('TL14'!$C$238:$C$451,$C234,'TL14'!$J$238:$J$451),0),
IF('TL15'!$B$3=K$3,SUMIF('TL15'!$C$10:$C$224,$C234,'TL15'!$J$10:$J$224),0),
IF('TL15'!$B$229=K$3,SUMIF('TL15'!$C$238:$C$451,$C234,'TL15'!$J$238:$J$451),0),
IF('TL16'!$B$3=K$3,SUMIF('TL16'!$C$10:$C$224,$C234,'TL16'!$J$10:$J$224),0),
IF('TL16'!$B$229=K$3,SUMIF('TL16'!$C$238:$C$451,$C234,'TL16'!$J$238:$J$451),0),
IF('TL17'!$B$3=K$3,SUMIF('TL17'!$C$10:$C$224,$C234,'TL17'!$J$10:$J$224),0),
IF('TL17'!$B$229=K$3,SUMIF('TL17'!$C$238:$C$451,$C234,'TL17'!$J$238:$J$451),0),
IF('TL18'!$B$3=K$3,SUMIF('TL18'!$C$10:$C$224,$C234,'TL18'!$J$10:$J$224),0),
IF('TL18'!$B$229=K$3,SUMIF('TL18'!$C$238:$C$451,$C234,'TL18'!$J$238:$J$451),0),
IF('TL19'!$B$3=K$3,SUMIF('TL19'!$C$10:$C$224,$C234,'TL19'!$J$10:$J$224),0),
IF('TL19'!$B$229=K$3,SUMIF('TL19'!$C$238:$C$451,$C234,'TL19'!$J$238:$J$451),0)
),0)</f>
        <v/>
      </c>
      <c r="L234" s="9">
        <f>IFERROR(SUM(
IF('TL01'!$B$3=L$3,SUMIF('TL01'!$C$10:$C$224,$C234,'TL01'!$J$10:$J$224),0),
IF('TL01'!$B$229=L$3,SUMIF('TL01'!$C$238:$C$451,$C234,'TL01'!$J$238:$J$451),0),
IF('TL02'!$B$3=L$3,SUMIF('TL02'!$C$10:$C$224,$C234,'TL02'!$J$10:$J$224),0),
IF('TL02'!$B$229=L$3,SUMIF('TL02'!$C$238:$C$451,$C234,'TL02'!$J$238:$J$451),0),
IF('TL03'!$B$3=L$3,SUMIF('TL03'!$C$10:$C$224,$C234,'TL03'!$J$10:$J$224),0),
IF('TL03'!$B$229=L$3,SUMIF('TL03'!$C$238:$C$451,$C234,'TL03'!$J$238:$J$451),0),
IF('TL04'!$B$3=L$3,SUMIF('TL04'!$C$10:$C$224,$C234,'TL04'!$J$10:$J$224),0),
IF('TL04'!$B$229=L$3,SUMIF('TL04'!$C$238:$C$451,$C234,'TL04'!$J$238:$J$451),0),
IF('TL05'!$B$3=L$3,SUMIF('TL05'!$C$10:$C$224,$C234,'TL05'!$J$10:$J$224),0),
IF('TL05'!$B$229=L$3,SUMIF('TL05'!$C$238:$C$451,$C234,'TL05'!$J$238:$J$451),0),
IF('TL06'!$B$3=L$3,SUMIF('TL06'!$C$10:$C$224,$C234,'TL06'!$J$10:$J$224),0),
IF('TL06'!$B$229=L$3,SUMIF('TL06'!$C$238:$C$451,$C234,'TL06'!$J$238:$J$451),0),
IF('TL07'!$B$3=L$3,SUMIF('TL07'!$C$10:$C$224,$C234,'TL07'!$J$10:$J$224),0),
IF('TL07'!$B$229=L$3,SUMIF('TL07'!$C$238:$C$451,$C234,'TL07'!$J$238:$J$451),0),
IF('TL08'!$B$3=L$3,SUMIF('TL08'!$C$10:$C$224,$C234,'TL08'!$J$10:$J$224),0),
IF('TL08'!$B$229=L$3,SUMIF('TL08'!$C$238:$C$451,$C234,'TL08'!$J$238:$J$451),0),
IF('TL09'!$B$3=L$3,SUMIF('TL09'!$C$10:$C$224,$C234,'TL09'!$J$10:$J$224),0),
IF('TL09'!$B$229=L$3,SUMIF('TL09'!$C$238:$C$451,$C234,'TL09'!$J$238:$J$451),0),
IF('TL10'!$B$3=L$3,SUMIF('TL10'!$C$10:$C$224,$C234,'TL10'!$J$10:$J$224),0),
IF('TL10'!$B$229=L$3,SUMIF('TL10'!$C$238:$C$451,$C234,'TL10'!$J$238:$J$451),0),
IF('TL11'!$B$3=L$3,SUMIF('TL11'!$C$10:$C$224,$C234,'TL11'!$J$10:$J$224),0),
IF('TL11'!$B$229=L$3,SUMIF('TL11'!$C$238:$C$451,$C234,'TL11'!$J$238:$J$451),0),
IF('TL12'!$B$3=L$3,SUMIF('TL12'!$C$10:$C$224,$C234,'TL12'!$J$10:$J$224),0),
IF('TL12'!$B$229=L$3,SUMIF('TL12'!$C$238:$C$451,$C234,'TL12'!$J$238:$J$451),0),
IF('TL13'!$B$3=L$3,SUMIF('TL13'!$C$10:$C$224,$C234,'TL13'!$J$10:$J$224),0),
IF('TL13'!$B$229=L$3,SUMIF('TL13'!$C$238:$C$451,$C234,'TL13'!$J$238:$J$451),0),
IF('TL14'!$B$3=L$3,SUMIF('TL14'!$C$10:$C$224,$C234,'TL14'!$J$10:$J$224),0),
IF('TL14'!$B$229=L$3,SUMIF('TL14'!$C$238:$C$451,$C234,'TL14'!$J$238:$J$451),0),
IF('TL15'!$B$3=L$3,SUMIF('TL15'!$C$10:$C$224,$C234,'TL15'!$J$10:$J$224),0),
IF('TL15'!$B$229=L$3,SUMIF('TL15'!$C$238:$C$451,$C234,'TL15'!$J$238:$J$451),0),
IF('TL16'!$B$3=L$3,SUMIF('TL16'!$C$10:$C$224,$C234,'TL16'!$J$10:$J$224),0),
IF('TL16'!$B$229=L$3,SUMIF('TL16'!$C$238:$C$451,$C234,'TL16'!$J$238:$J$451),0),
IF('TL17'!$B$3=L$3,SUMIF('TL17'!$C$10:$C$224,$C234,'TL17'!$J$10:$J$224),0),
IF('TL17'!$B$229=L$3,SUMIF('TL17'!$C$238:$C$451,$C234,'TL17'!$J$238:$J$451),0),
IF('TL18'!$B$3=L$3,SUMIF('TL18'!$C$10:$C$224,$C234,'TL18'!$J$10:$J$224),0),
IF('TL18'!$B$229=L$3,SUMIF('TL18'!$C$238:$C$451,$C234,'TL18'!$J$238:$J$451),0),
IF('TL19'!$B$3=L$3,SUMIF('TL19'!$C$10:$C$224,$C234,'TL19'!$J$10:$J$224),0),
IF('TL19'!$B$229=L$3,SUMIF('TL19'!$C$238:$C$451,$C234,'TL19'!$J$238:$J$451),0)
),0)</f>
        <v/>
      </c>
      <c r="M234" s="9">
        <f>IFERROR(SUM(
IF('TL01'!$B$3=M$3,SUMIF('TL01'!$C$10:$C$224,$C234,'TL01'!$J$10:$J$224),0),
IF('TL01'!$B$229=M$3,SUMIF('TL01'!$C$238:$C$451,$C234,'TL01'!$J$238:$J$451),0),
IF('TL02'!$B$3=M$3,SUMIF('TL02'!$C$10:$C$224,$C234,'TL02'!$J$10:$J$224),0),
IF('TL02'!$B$229=M$3,SUMIF('TL02'!$C$238:$C$451,$C234,'TL02'!$J$238:$J$451),0),
IF('TL03'!$B$3=M$3,SUMIF('TL03'!$C$10:$C$224,$C234,'TL03'!$J$10:$J$224),0),
IF('TL03'!$B$229=M$3,SUMIF('TL03'!$C$238:$C$451,$C234,'TL03'!$J$238:$J$451),0),
IF('TL04'!$B$3=M$3,SUMIF('TL04'!$C$10:$C$224,$C234,'TL04'!$J$10:$J$224),0),
IF('TL04'!$B$229=M$3,SUMIF('TL04'!$C$238:$C$451,$C234,'TL04'!$J$238:$J$451),0),
IF('TL05'!$B$3=M$3,SUMIF('TL05'!$C$10:$C$224,$C234,'TL05'!$J$10:$J$224),0),
IF('TL05'!$B$229=M$3,SUMIF('TL05'!$C$238:$C$451,$C234,'TL05'!$J$238:$J$451),0),
IF('TL06'!$B$3=M$3,SUMIF('TL06'!$C$10:$C$224,$C234,'TL06'!$J$10:$J$224),0),
IF('TL06'!$B$229=M$3,SUMIF('TL06'!$C$238:$C$451,$C234,'TL06'!$J$238:$J$451),0),
IF('TL07'!$B$3=M$3,SUMIF('TL07'!$C$10:$C$224,$C234,'TL07'!$J$10:$J$224),0),
IF('TL07'!$B$229=M$3,SUMIF('TL07'!$C$238:$C$451,$C234,'TL07'!$J$238:$J$451),0),
IF('TL08'!$B$3=M$3,SUMIF('TL08'!$C$10:$C$224,$C234,'TL08'!$J$10:$J$224),0),
IF('TL08'!$B$229=M$3,SUMIF('TL08'!$C$238:$C$451,$C234,'TL08'!$J$238:$J$451),0),
IF('TL09'!$B$3=M$3,SUMIF('TL09'!$C$10:$C$224,$C234,'TL09'!$J$10:$J$224),0),
IF('TL09'!$B$229=M$3,SUMIF('TL09'!$C$238:$C$451,$C234,'TL09'!$J$238:$J$451),0),
IF('TL10'!$B$3=M$3,SUMIF('TL10'!$C$10:$C$224,$C234,'TL10'!$J$10:$J$224),0),
IF('TL10'!$B$229=M$3,SUMIF('TL10'!$C$238:$C$451,$C234,'TL10'!$J$238:$J$451),0),
IF('TL11'!$B$3=M$3,SUMIF('TL11'!$C$10:$C$224,$C234,'TL11'!$J$10:$J$224),0),
IF('TL11'!$B$229=M$3,SUMIF('TL11'!$C$238:$C$451,$C234,'TL11'!$J$238:$J$451),0),
IF('TL12'!$B$3=M$3,SUMIF('TL12'!$C$10:$C$224,$C234,'TL12'!$J$10:$J$224),0),
IF('TL12'!$B$229=M$3,SUMIF('TL12'!$C$238:$C$451,$C234,'TL12'!$J$238:$J$451),0),
IF('TL13'!$B$3=M$3,SUMIF('TL13'!$C$10:$C$224,$C234,'TL13'!$J$10:$J$224),0),
IF('TL13'!$B$229=M$3,SUMIF('TL13'!$C$238:$C$451,$C234,'TL13'!$J$238:$J$451),0),
IF('TL14'!$B$3=M$3,SUMIF('TL14'!$C$10:$C$224,$C234,'TL14'!$J$10:$J$224),0),
IF('TL14'!$B$229=M$3,SUMIF('TL14'!$C$238:$C$451,$C234,'TL14'!$J$238:$J$451),0),
IF('TL15'!$B$3=M$3,SUMIF('TL15'!$C$10:$C$224,$C234,'TL15'!$J$10:$J$224),0),
IF('TL15'!$B$229=M$3,SUMIF('TL15'!$C$238:$C$451,$C234,'TL15'!$J$238:$J$451),0),
IF('TL16'!$B$3=M$3,SUMIF('TL16'!$C$10:$C$224,$C234,'TL16'!$J$10:$J$224),0),
IF('TL16'!$B$229=M$3,SUMIF('TL16'!$C$238:$C$451,$C234,'TL16'!$J$238:$J$451),0),
IF('TL17'!$B$3=M$3,SUMIF('TL17'!$C$10:$C$224,$C234,'TL17'!$J$10:$J$224),0),
IF('TL17'!$B$229=M$3,SUMIF('TL17'!$C$238:$C$451,$C234,'TL17'!$J$238:$J$451),0),
IF('TL18'!$B$3=M$3,SUMIF('TL18'!$C$10:$C$224,$C234,'TL18'!$J$10:$J$224),0),
IF('TL18'!$B$229=M$3,SUMIF('TL18'!$C$238:$C$451,$C234,'TL18'!$J$238:$J$451),0),
IF('TL19'!$B$3=M$3,SUMIF('TL19'!$C$10:$C$224,$C234,'TL19'!$J$10:$J$224),0),
IF('TL19'!$B$229=M$3,SUMIF('TL19'!$C$238:$C$451,$C234,'TL19'!$J$238:$J$451),0)
),0)</f>
        <v/>
      </c>
      <c r="N234" s="9">
        <f>IFERROR(SUM(
IF('TL01'!$B$3=N$3,SUMIF('TL01'!$C$10:$C$224,$C234,'TL01'!$J$10:$J$224),0),
IF('TL01'!$B$229=N$3,SUMIF('TL01'!$C$238:$C$451,$C234,'TL01'!$J$238:$J$451),0),
IF('TL02'!$B$3=N$3,SUMIF('TL02'!$C$10:$C$224,$C234,'TL02'!$J$10:$J$224),0),
IF('TL02'!$B$229=N$3,SUMIF('TL02'!$C$238:$C$451,$C234,'TL02'!$J$238:$J$451),0),
IF('TL03'!$B$3=N$3,SUMIF('TL03'!$C$10:$C$224,$C234,'TL03'!$J$10:$J$224),0),
IF('TL03'!$B$229=N$3,SUMIF('TL03'!$C$238:$C$451,$C234,'TL03'!$J$238:$J$451),0),
IF('TL04'!$B$3=N$3,SUMIF('TL04'!$C$10:$C$224,$C234,'TL04'!$J$10:$J$224),0),
IF('TL04'!$B$229=N$3,SUMIF('TL04'!$C$238:$C$451,$C234,'TL04'!$J$238:$J$451),0),
IF('TL05'!$B$3=N$3,SUMIF('TL05'!$C$10:$C$224,$C234,'TL05'!$J$10:$J$224),0),
IF('TL05'!$B$229=N$3,SUMIF('TL05'!$C$238:$C$451,$C234,'TL05'!$J$238:$J$451),0),
IF('TL06'!$B$3=N$3,SUMIF('TL06'!$C$10:$C$224,$C234,'TL06'!$J$10:$J$224),0),
IF('TL06'!$B$229=N$3,SUMIF('TL06'!$C$238:$C$451,$C234,'TL06'!$J$238:$J$451),0),
IF('TL07'!$B$3=N$3,SUMIF('TL07'!$C$10:$C$224,$C234,'TL07'!$J$10:$J$224),0),
IF('TL07'!$B$229=N$3,SUMIF('TL07'!$C$238:$C$451,$C234,'TL07'!$J$238:$J$451),0),
IF('TL08'!$B$3=N$3,SUMIF('TL08'!$C$10:$C$224,$C234,'TL08'!$J$10:$J$224),0),
IF('TL08'!$B$229=N$3,SUMIF('TL08'!$C$238:$C$451,$C234,'TL08'!$J$238:$J$451),0),
IF('TL09'!$B$3=N$3,SUMIF('TL09'!$C$10:$C$224,$C234,'TL09'!$J$10:$J$224),0),
IF('TL09'!$B$229=N$3,SUMIF('TL09'!$C$238:$C$451,$C234,'TL09'!$J$238:$J$451),0),
IF('TL10'!$B$3=N$3,SUMIF('TL10'!$C$10:$C$224,$C234,'TL10'!$J$10:$J$224),0),
IF('TL10'!$B$229=N$3,SUMIF('TL10'!$C$238:$C$451,$C234,'TL10'!$J$238:$J$451),0),
IF('TL11'!$B$3=N$3,SUMIF('TL11'!$C$10:$C$224,$C234,'TL11'!$J$10:$J$224),0),
IF('TL11'!$B$229=N$3,SUMIF('TL11'!$C$238:$C$451,$C234,'TL11'!$J$238:$J$451),0),
IF('TL12'!$B$3=N$3,SUMIF('TL12'!$C$10:$C$224,$C234,'TL12'!$J$10:$J$224),0),
IF('TL12'!$B$229=N$3,SUMIF('TL12'!$C$238:$C$451,$C234,'TL12'!$J$238:$J$451),0),
IF('TL13'!$B$3=N$3,SUMIF('TL13'!$C$10:$C$224,$C234,'TL13'!$J$10:$J$224),0),
IF('TL13'!$B$229=N$3,SUMIF('TL13'!$C$238:$C$451,$C234,'TL13'!$J$238:$J$451),0),
IF('TL14'!$B$3=N$3,SUMIF('TL14'!$C$10:$C$224,$C234,'TL14'!$J$10:$J$224),0),
IF('TL14'!$B$229=N$3,SUMIF('TL14'!$C$238:$C$451,$C234,'TL14'!$J$238:$J$451),0),
IF('TL15'!$B$3=N$3,SUMIF('TL15'!$C$10:$C$224,$C234,'TL15'!$J$10:$J$224),0),
IF('TL15'!$B$229=N$3,SUMIF('TL15'!$C$238:$C$451,$C234,'TL15'!$J$238:$J$451),0),
IF('TL16'!$B$3=N$3,SUMIF('TL16'!$C$10:$C$224,$C234,'TL16'!$J$10:$J$224),0),
IF('TL16'!$B$229=N$3,SUMIF('TL16'!$C$238:$C$451,$C234,'TL16'!$J$238:$J$451),0),
IF('TL17'!$B$3=N$3,SUMIF('TL17'!$C$10:$C$224,$C234,'TL17'!$J$10:$J$224),0),
IF('TL17'!$B$229=N$3,SUMIF('TL17'!$C$238:$C$451,$C234,'TL17'!$J$238:$J$451),0),
IF('TL18'!$B$3=N$3,SUMIF('TL18'!$C$10:$C$224,$C234,'TL18'!$J$10:$J$224),0),
IF('TL18'!$B$229=N$3,SUMIF('TL18'!$C$238:$C$451,$C234,'TL18'!$J$238:$J$451),0),
IF('TL19'!$B$3=N$3,SUMIF('TL19'!$C$10:$C$224,$C234,'TL19'!$J$10:$J$224),0),
IF('TL19'!$B$229=N$3,SUMIF('TL19'!$C$238:$C$451,$C234,'TL19'!$J$238:$J$451),0)
),0)</f>
        <v/>
      </c>
      <c r="O234" s="9">
        <f>IFERROR(SUM(
IF('TL01'!$B$3=O$3,SUMIF('TL01'!$C$10:$C$224,$C234,'TL01'!$J$10:$J$224),0),
IF('TL01'!$B$229=O$3,SUMIF('TL01'!$C$238:$C$451,$C234,'TL01'!$J$238:$J$451),0),
IF('TL02'!$B$3=O$3,SUMIF('TL02'!$C$10:$C$224,$C234,'TL02'!$J$10:$J$224),0),
IF('TL02'!$B$229=O$3,SUMIF('TL02'!$C$238:$C$451,$C234,'TL02'!$J$238:$J$451),0),
IF('TL03'!$B$3=O$3,SUMIF('TL03'!$C$10:$C$224,$C234,'TL03'!$J$10:$J$224),0),
IF('TL03'!$B$229=O$3,SUMIF('TL03'!$C$238:$C$451,$C234,'TL03'!$J$238:$J$451),0),
IF('TL04'!$B$3=O$3,SUMIF('TL04'!$C$10:$C$224,$C234,'TL04'!$J$10:$J$224),0),
IF('TL04'!$B$229=O$3,SUMIF('TL04'!$C$238:$C$451,$C234,'TL04'!$J$238:$J$451),0),
IF('TL05'!$B$3=O$3,SUMIF('TL05'!$C$10:$C$224,$C234,'TL05'!$J$10:$J$224),0),
IF('TL05'!$B$229=O$3,SUMIF('TL05'!$C$238:$C$451,$C234,'TL05'!$J$238:$J$451),0),
IF('TL06'!$B$3=O$3,SUMIF('TL06'!$C$10:$C$224,$C234,'TL06'!$J$10:$J$224),0),
IF('TL06'!$B$229=O$3,SUMIF('TL06'!$C$238:$C$451,$C234,'TL06'!$J$238:$J$451),0),
IF('TL07'!$B$3=O$3,SUMIF('TL07'!$C$10:$C$224,$C234,'TL07'!$J$10:$J$224),0),
IF('TL07'!$B$229=O$3,SUMIF('TL07'!$C$238:$C$451,$C234,'TL07'!$J$238:$J$451),0),
IF('TL08'!$B$3=O$3,SUMIF('TL08'!$C$10:$C$224,$C234,'TL08'!$J$10:$J$224),0),
IF('TL08'!$B$229=O$3,SUMIF('TL08'!$C$238:$C$451,$C234,'TL08'!$J$238:$J$451),0),
IF('TL09'!$B$3=O$3,SUMIF('TL09'!$C$10:$C$224,$C234,'TL09'!$J$10:$J$224),0),
IF('TL09'!$B$229=O$3,SUMIF('TL09'!$C$238:$C$451,$C234,'TL09'!$J$238:$J$451),0),
IF('TL10'!$B$3=O$3,SUMIF('TL10'!$C$10:$C$224,$C234,'TL10'!$J$10:$J$224),0),
IF('TL10'!$B$229=O$3,SUMIF('TL10'!$C$238:$C$451,$C234,'TL10'!$J$238:$J$451),0),
IF('TL11'!$B$3=O$3,SUMIF('TL11'!$C$10:$C$224,$C234,'TL11'!$J$10:$J$224),0),
IF('TL11'!$B$229=O$3,SUMIF('TL11'!$C$238:$C$451,$C234,'TL11'!$J$238:$J$451),0),
IF('TL12'!$B$3=O$3,SUMIF('TL12'!$C$10:$C$224,$C234,'TL12'!$J$10:$J$224),0),
IF('TL12'!$B$229=O$3,SUMIF('TL12'!$C$238:$C$451,$C234,'TL12'!$J$238:$J$451),0),
IF('TL13'!$B$3=O$3,SUMIF('TL13'!$C$10:$C$224,$C234,'TL13'!$J$10:$J$224),0),
IF('TL13'!$B$229=O$3,SUMIF('TL13'!$C$238:$C$451,$C234,'TL13'!$J$238:$J$451),0),
IF('TL14'!$B$3=O$3,SUMIF('TL14'!$C$10:$C$224,$C234,'TL14'!$J$10:$J$224),0),
IF('TL14'!$B$229=O$3,SUMIF('TL14'!$C$238:$C$451,$C234,'TL14'!$J$238:$J$451),0),
IF('TL15'!$B$3=O$3,SUMIF('TL15'!$C$10:$C$224,$C234,'TL15'!$J$10:$J$224),0),
IF('TL15'!$B$229=O$3,SUMIF('TL15'!$C$238:$C$451,$C234,'TL15'!$J$238:$J$451),0),
IF('TL16'!$B$3=O$3,SUMIF('TL16'!$C$10:$C$224,$C234,'TL16'!$J$10:$J$224),0),
IF('TL16'!$B$229=O$3,SUMIF('TL16'!$C$238:$C$451,$C234,'TL16'!$J$238:$J$451),0),
IF('TL17'!$B$3=O$3,SUMIF('TL17'!$C$10:$C$224,$C234,'TL17'!$J$10:$J$224),0),
IF('TL17'!$B$229=O$3,SUMIF('TL17'!$C$238:$C$451,$C234,'TL17'!$J$238:$J$451),0),
IF('TL18'!$B$3=O$3,SUMIF('TL18'!$C$10:$C$224,$C234,'TL18'!$J$10:$J$224),0),
IF('TL18'!$B$229=O$3,SUMIF('TL18'!$C$238:$C$451,$C234,'TL18'!$J$238:$J$451),0),
IF('TL19'!$B$3=O$3,SUMIF('TL19'!$C$10:$C$224,$C234,'TL19'!$J$10:$J$224),0),
IF('TL19'!$B$229=O$3,SUMIF('TL19'!$C$238:$C$451,$C234,'TL19'!$J$238:$J$451),0)
),0)</f>
        <v/>
      </c>
      <c r="P234" s="9">
        <f>IFERROR(SUM(
IF('TL01'!$B$3=P$3,SUMIF('TL01'!$C$10:$C$224,$C234,'TL01'!$J$10:$J$224),0),
IF('TL01'!$B$229=P$3,SUMIF('TL01'!$C$238:$C$451,$C234,'TL01'!$J$238:$J$451),0),
IF('TL02'!$B$3=P$3,SUMIF('TL02'!$C$10:$C$224,$C234,'TL02'!$J$10:$J$224),0),
IF('TL02'!$B$229=P$3,SUMIF('TL02'!$C$238:$C$451,$C234,'TL02'!$J$238:$J$451),0),
IF('TL03'!$B$3=P$3,SUMIF('TL03'!$C$10:$C$224,$C234,'TL03'!$J$10:$J$224),0),
IF('TL03'!$B$229=P$3,SUMIF('TL03'!$C$238:$C$451,$C234,'TL03'!$J$238:$J$451),0),
IF('TL04'!$B$3=P$3,SUMIF('TL04'!$C$10:$C$224,$C234,'TL04'!$J$10:$J$224),0),
IF('TL04'!$B$229=P$3,SUMIF('TL04'!$C$238:$C$451,$C234,'TL04'!$J$238:$J$451),0),
IF('TL05'!$B$3=P$3,SUMIF('TL05'!$C$10:$C$224,$C234,'TL05'!$J$10:$J$224),0),
IF('TL05'!$B$229=P$3,SUMIF('TL05'!$C$238:$C$451,$C234,'TL05'!$J$238:$J$451),0),
IF('TL06'!$B$3=P$3,SUMIF('TL06'!$C$10:$C$224,$C234,'TL06'!$J$10:$J$224),0),
IF('TL06'!$B$229=P$3,SUMIF('TL06'!$C$238:$C$451,$C234,'TL06'!$J$238:$J$451),0),
IF('TL07'!$B$3=P$3,SUMIF('TL07'!$C$10:$C$224,$C234,'TL07'!$J$10:$J$224),0),
IF('TL07'!$B$229=P$3,SUMIF('TL07'!$C$238:$C$451,$C234,'TL07'!$J$238:$J$451),0),
IF('TL08'!$B$3=P$3,SUMIF('TL08'!$C$10:$C$224,$C234,'TL08'!$J$10:$J$224),0),
IF('TL08'!$B$229=P$3,SUMIF('TL08'!$C$238:$C$451,$C234,'TL08'!$J$238:$J$451),0),
IF('TL09'!$B$3=P$3,SUMIF('TL09'!$C$10:$C$224,$C234,'TL09'!$J$10:$J$224),0),
IF('TL09'!$B$229=P$3,SUMIF('TL09'!$C$238:$C$451,$C234,'TL09'!$J$238:$J$451),0),
IF('TL10'!$B$3=P$3,SUMIF('TL10'!$C$10:$C$224,$C234,'TL10'!$J$10:$J$224),0),
IF('TL10'!$B$229=P$3,SUMIF('TL10'!$C$238:$C$451,$C234,'TL10'!$J$238:$J$451),0),
IF('TL11'!$B$3=P$3,SUMIF('TL11'!$C$10:$C$224,$C234,'TL11'!$J$10:$J$224),0),
IF('TL11'!$B$229=P$3,SUMIF('TL11'!$C$238:$C$451,$C234,'TL11'!$J$238:$J$451),0),
IF('TL12'!$B$3=P$3,SUMIF('TL12'!$C$10:$C$224,$C234,'TL12'!$J$10:$J$224),0),
IF('TL12'!$B$229=P$3,SUMIF('TL12'!$C$238:$C$451,$C234,'TL12'!$J$238:$J$451),0),
IF('TL13'!$B$3=P$3,SUMIF('TL13'!$C$10:$C$224,$C234,'TL13'!$J$10:$J$224),0),
IF('TL13'!$B$229=P$3,SUMIF('TL13'!$C$238:$C$451,$C234,'TL13'!$J$238:$J$451),0),
IF('TL14'!$B$3=P$3,SUMIF('TL14'!$C$10:$C$224,$C234,'TL14'!$J$10:$J$224),0),
IF('TL14'!$B$229=P$3,SUMIF('TL14'!$C$238:$C$451,$C234,'TL14'!$J$238:$J$451),0),
IF('TL15'!$B$3=P$3,SUMIF('TL15'!$C$10:$C$224,$C234,'TL15'!$J$10:$J$224),0),
IF('TL15'!$B$229=P$3,SUMIF('TL15'!$C$238:$C$451,$C234,'TL15'!$J$238:$J$451),0),
IF('TL16'!$B$3=P$3,SUMIF('TL16'!$C$10:$C$224,$C234,'TL16'!$J$10:$J$224),0),
IF('TL16'!$B$229=P$3,SUMIF('TL16'!$C$238:$C$451,$C234,'TL16'!$J$238:$J$451),0),
IF('TL17'!$B$3=P$3,SUMIF('TL17'!$C$10:$C$224,$C234,'TL17'!$J$10:$J$224),0),
IF('TL17'!$B$229=P$3,SUMIF('TL17'!$C$238:$C$451,$C234,'TL17'!$J$238:$J$451),0),
IF('TL18'!$B$3=P$3,SUMIF('TL18'!$C$10:$C$224,$C234,'TL18'!$J$10:$J$224),0),
IF('TL18'!$B$229=P$3,SUMIF('TL18'!$C$238:$C$451,$C234,'TL18'!$J$238:$J$451),0),
IF('TL19'!$B$3=P$3,SUMIF('TL19'!$C$10:$C$224,$C234,'TL19'!$J$10:$J$224),0),
IF('TL19'!$B$229=P$3,SUMIF('TL19'!$C$238:$C$451,$C234,'TL19'!$J$238:$J$451),0)
),0)</f>
        <v/>
      </c>
      <c r="Q234" s="9">
        <f>IFERROR(SUM(
IF('TL01'!$B$3=Q$3,SUMIF('TL01'!$C$10:$C$224,$C234,'TL01'!$J$10:$J$224),0),
IF('TL01'!$B$229=Q$3,SUMIF('TL01'!$C$238:$C$451,$C234,'TL01'!$J$238:$J$451),0),
IF('TL02'!$B$3=Q$3,SUMIF('TL02'!$C$10:$C$224,$C234,'TL02'!$J$10:$J$224),0),
IF('TL02'!$B$229=Q$3,SUMIF('TL02'!$C$238:$C$451,$C234,'TL02'!$J$238:$J$451),0),
IF('TL03'!$B$3=Q$3,SUMIF('TL03'!$C$10:$C$224,$C234,'TL03'!$J$10:$J$224),0),
IF('TL03'!$B$229=Q$3,SUMIF('TL03'!$C$238:$C$451,$C234,'TL03'!$J$238:$J$451),0),
IF('TL04'!$B$3=Q$3,SUMIF('TL04'!$C$10:$C$224,$C234,'TL04'!$J$10:$J$224),0),
IF('TL04'!$B$229=Q$3,SUMIF('TL04'!$C$238:$C$451,$C234,'TL04'!$J$238:$J$451),0),
IF('TL05'!$B$3=Q$3,SUMIF('TL05'!$C$10:$C$224,$C234,'TL05'!$J$10:$J$224),0),
IF('TL05'!$B$229=Q$3,SUMIF('TL05'!$C$238:$C$451,$C234,'TL05'!$J$238:$J$451),0),
IF('TL06'!$B$3=Q$3,SUMIF('TL06'!$C$10:$C$224,$C234,'TL06'!$J$10:$J$224),0),
IF('TL06'!$B$229=Q$3,SUMIF('TL06'!$C$238:$C$451,$C234,'TL06'!$J$238:$J$451),0),
IF('TL07'!$B$3=Q$3,SUMIF('TL07'!$C$10:$C$224,$C234,'TL07'!$J$10:$J$224),0),
IF('TL07'!$B$229=Q$3,SUMIF('TL07'!$C$238:$C$451,$C234,'TL07'!$J$238:$J$451),0),
IF('TL08'!$B$3=Q$3,SUMIF('TL08'!$C$10:$C$224,$C234,'TL08'!$J$10:$J$224),0),
IF('TL08'!$B$229=Q$3,SUMIF('TL08'!$C$238:$C$451,$C234,'TL08'!$J$238:$J$451),0),
IF('TL09'!$B$3=Q$3,SUMIF('TL09'!$C$10:$C$224,$C234,'TL09'!$J$10:$J$224),0),
IF('TL09'!$B$229=Q$3,SUMIF('TL09'!$C$238:$C$451,$C234,'TL09'!$J$238:$J$451),0),
IF('TL10'!$B$3=Q$3,SUMIF('TL10'!$C$10:$C$224,$C234,'TL10'!$J$10:$J$224),0),
IF('TL10'!$B$229=Q$3,SUMIF('TL10'!$C$238:$C$451,$C234,'TL10'!$J$238:$J$451),0),
IF('TL11'!$B$3=Q$3,SUMIF('TL11'!$C$10:$C$224,$C234,'TL11'!$J$10:$J$224),0),
IF('TL11'!$B$229=Q$3,SUMIF('TL11'!$C$238:$C$451,$C234,'TL11'!$J$238:$J$451),0),
IF('TL12'!$B$3=Q$3,SUMIF('TL12'!$C$10:$C$224,$C234,'TL12'!$J$10:$J$224),0),
IF('TL12'!$B$229=Q$3,SUMIF('TL12'!$C$238:$C$451,$C234,'TL12'!$J$238:$J$451),0),
IF('TL13'!$B$3=Q$3,SUMIF('TL13'!$C$10:$C$224,$C234,'TL13'!$J$10:$J$224),0),
IF('TL13'!$B$229=Q$3,SUMIF('TL13'!$C$238:$C$451,$C234,'TL13'!$J$238:$J$451),0),
IF('TL14'!$B$3=Q$3,SUMIF('TL14'!$C$10:$C$224,$C234,'TL14'!$J$10:$J$224),0),
IF('TL14'!$B$229=Q$3,SUMIF('TL14'!$C$238:$C$451,$C234,'TL14'!$J$238:$J$451),0),
IF('TL15'!$B$3=Q$3,SUMIF('TL15'!$C$10:$C$224,$C234,'TL15'!$J$10:$J$224),0),
IF('TL15'!$B$229=Q$3,SUMIF('TL15'!$C$238:$C$451,$C234,'TL15'!$J$238:$J$451),0),
IF('TL16'!$B$3=Q$3,SUMIF('TL16'!$C$10:$C$224,$C234,'TL16'!$J$10:$J$224),0),
IF('TL16'!$B$229=Q$3,SUMIF('TL16'!$C$238:$C$451,$C234,'TL16'!$J$238:$J$451),0),
IF('TL17'!$B$3=Q$3,SUMIF('TL17'!$C$10:$C$224,$C234,'TL17'!$J$10:$J$224),0),
IF('TL17'!$B$229=Q$3,SUMIF('TL17'!$C$238:$C$451,$C234,'TL17'!$J$238:$J$451),0),
IF('TL18'!$B$3=Q$3,SUMIF('TL18'!$C$10:$C$224,$C234,'TL18'!$J$10:$J$224),0),
IF('TL18'!$B$229=Q$3,SUMIF('TL18'!$C$238:$C$451,$C234,'TL18'!$J$238:$J$451),0),
IF('TL19'!$B$3=Q$3,SUMIF('TL19'!$C$10:$C$224,$C234,'TL19'!$J$10:$J$224),0),
IF('TL19'!$B$229=Q$3,SUMIF('TL19'!$C$238:$C$451,$C234,'TL19'!$J$238:$J$451),0)
),0)</f>
        <v/>
      </c>
      <c r="R234" s="9">
        <f>IFERROR(
SUM(
SUMIF('TL01'!C:C,C234,'TL01'!J:J),
SUMIF('TL02'!C:C,C234,'TL02'!J:J),
SUMIF('TL03'!C:C,C234,'TL03'!J:J),
SUMIF('TL04'!C:C,C234,'TL04'!J:J),
SUMIF('TL05'!C:C,C234,'TL05'!J:J),
SUMIF('TL06'!C:C,C234,'TL06'!J:J),
SUMIF('TL07'!C:C,C234,'TL07'!J:J),
SUMIF('TL08'!C:C,C234,'TL08'!J:J),
SUMIF('TL09'!C:C,C234,'TL09'!J:J),
SUMIF('TL10'!C:C,C234,'TL10'!J:J),
SUMIF('TL11'!C:C,C234,'TL11'!J:J),
SUMIF('TL12'!C:C,C234,'TL12'!J:J),
SUMIF('TL13'!C:C,C234,'TL13'!J:J),
SUMIF('TL14'!C:C,C234,'TL14'!J:J),
SUMIF('TL15'!C:C,C234,'TL15'!J:J),
SUMIF('TL16'!C:C,C234,'TL16'!J:J),
SUMIF('TL17'!C:C,C234,'TL17'!J:J),
SUMIF('TL18'!C:C,C234,'TL18'!J:J),SUMIF('TL19'!C:C,C234,'TL19'!J:J))
,0)</f>
        <v/>
      </c>
      <c r="S234" s="17">
        <f>IFERROR(__xludf.DUMMYFUNCTION("IFERROR(VLOOKUP(C234,
IMPORTRANGE(""1wULbzX32WdYsx-lj2U3uUNBBe2INVIRDtcK0d-Dvl90"",
""26-27!C:G""),
5,
FALSE),
"""")"),40.561229999999995)</f>
        <v/>
      </c>
      <c r="T234" s="9" t="n"/>
      <c r="U234" s="92">
        <f>MAX(0,R234-T234)</f>
        <v/>
      </c>
      <c r="V234" s="93">
        <f>U234*S234</f>
        <v/>
      </c>
    </row>
    <row r="235" hidden="1" ht="15.75" customHeight="1" s="297">
      <c r="A235" s="94" t="inlineStr">
        <is>
          <t>SYNGENTA</t>
        </is>
      </c>
      <c r="B235" s="95" t="inlineStr">
        <is>
          <t>INSETICIDA</t>
        </is>
      </c>
      <c r="C235" s="96" t="inlineStr">
        <is>
          <t>MINECTO PRO</t>
        </is>
      </c>
      <c r="D235" s="96" t="inlineStr">
        <is>
          <t>ABAMECTINA + CIANTRANILIPROLE</t>
        </is>
      </c>
      <c r="E235" s="96" t="inlineStr">
        <is>
          <t>18 + 60</t>
        </is>
      </c>
      <c r="F235" s="4" t="inlineStr">
        <is>
          <t>L</t>
        </is>
      </c>
      <c r="G235" s="90">
        <f>HYPERLINK("https://www.google.com/search?q=" &amp; C235 &amp; "+bula+agrofit+pdf", "📄 Ver bula")</f>
        <v/>
      </c>
      <c r="H235" s="9">
        <f>IFERROR(__xludf.DUMMYFUNCTION("IFERROR(VLOOKUP(C235,
IMPORTRANGE(""1wULbzX32WdYsx-lj2U3uUNBBe2INVIRDtcK0d-Dvl90"",
""26-27!C:K""),
8,
FALSE),
"""")"),0.5)</f>
        <v/>
      </c>
      <c r="I235" s="97" t="inlineStr">
        <is>
          <t>1x20</t>
        </is>
      </c>
      <c r="J235" s="9">
        <f>IFERROR(SUM(
IF('TL01'!$B$3=J$3,SUMIF('TL01'!$C$10:$C$224,$C235,'TL01'!$J$10:$J$224),0),
IF('TL01'!$B$229=J$3,SUMIF('TL01'!$C$238:$C$451,$C235,'TL01'!$J$238:$J$451),0),
IF('TL02'!$B$3=J$3,SUMIF('TL02'!$C$10:$C$224,$C235,'TL02'!$J$10:$J$224),0),
IF('TL02'!$B$229=J$3,SUMIF('TL02'!$C$238:$C$451,$C235,'TL02'!$J$238:$J$451),0),
IF('TL03'!$B$3=J$3,SUMIF('TL03'!$C$10:$C$224,$C235,'TL03'!$J$10:$J$224),0),
IF('TL03'!$B$229=J$3,SUMIF('TL03'!$C$238:$C$451,$C235,'TL03'!$J$238:$J$451),0),
IF('TL04'!$B$3=J$3,SUMIF('TL04'!$C$10:$C$224,$C235,'TL04'!$J$10:$J$224),0),
IF('TL04'!$B$229=J$3,SUMIF('TL04'!$C$238:$C$451,$C235,'TL04'!$J$238:$J$451),0),
IF('TL05'!$B$3=J$3,SUMIF('TL05'!$C$10:$C$224,$C235,'TL05'!$J$10:$J$224),0),
IF('TL05'!$B$229=J$3,SUMIF('TL05'!$C$238:$C$451,$C235,'TL05'!$J$238:$J$451),0),
IF('TL06'!$B$3=J$3,SUMIF('TL06'!$C$10:$C$224,$C235,'TL06'!$J$10:$J$224),0),
IF('TL06'!$B$229=J$3,SUMIF('TL06'!$C$238:$C$451,$C235,'TL06'!$J$238:$J$451),0),
IF('TL07'!$B$3=J$3,SUMIF('TL07'!$C$10:$C$224,$C235,'TL07'!$J$10:$J$224),0),
IF('TL07'!$B$229=J$3,SUMIF('TL07'!$C$238:$C$451,$C235,'TL07'!$J$238:$J$451),0),
IF('TL08'!$B$3=J$3,SUMIF('TL08'!$C$10:$C$224,$C235,'TL08'!$J$10:$J$224),0),
IF('TL08'!$B$229=J$3,SUMIF('TL08'!$C$238:$C$451,$C235,'TL08'!$J$238:$J$451),0),
IF('TL09'!$B$3=J$3,SUMIF('TL09'!$C$10:$C$224,$C235,'TL09'!$J$10:$J$224),0),
IF('TL09'!$B$229=J$3,SUMIF('TL09'!$C$238:$C$451,$C235,'TL09'!$J$238:$J$451),0),
IF('TL10'!$B$3=J$3,SUMIF('TL10'!$C$10:$C$224,$C235,'TL10'!$J$10:$J$224),0),
IF('TL10'!$B$229=J$3,SUMIF('TL10'!$C$238:$C$451,$C235,'TL10'!$J$238:$J$451),0),
IF('TL11'!$B$3=J$3,SUMIF('TL11'!$C$10:$C$224,$C235,'TL11'!$J$10:$J$224),0),
IF('TL11'!$B$229=J$3,SUMIF('TL11'!$C$238:$C$451,$C235,'TL11'!$J$238:$J$451),0),
IF('TL12'!$B$3=J$3,SUMIF('TL12'!$C$10:$C$224,$C235,'TL12'!$J$10:$J$224),0),
IF('TL12'!$B$229=J$3,SUMIF('TL12'!$C$238:$C$451,$C235,'TL12'!$J$238:$J$451),0),
IF('TL13'!$B$3=J$3,SUMIF('TL13'!$C$10:$C$224,$C235,'TL13'!$J$10:$J$224),0),
IF('TL13'!$B$229=J$3,SUMIF('TL13'!$C$238:$C$451,$C235,'TL13'!$J$238:$J$451),0),
IF('TL14'!$B$3=J$3,SUMIF('TL14'!$C$10:$C$224,$C235,'TL14'!$J$10:$J$224),0),
IF('TL14'!$B$229=J$3,SUMIF('TL14'!$C$238:$C$451,$C235,'TL14'!$J$238:$J$451),0),
IF('TL15'!$B$3=J$3,SUMIF('TL15'!$C$10:$C$224,$C235,'TL15'!$J$10:$J$224),0),
IF('TL15'!$B$229=J$3,SUMIF('TL15'!$C$238:$C$451,$C235,'TL15'!$J$238:$J$451),0),
IF('TL16'!$B$3=J$3,SUMIF('TL16'!$C$10:$C$224,$C235,'TL16'!$J$10:$J$224),0),
IF('TL16'!$B$229=J$3,SUMIF('TL16'!$C$238:$C$451,$C235,'TL16'!$J$238:$J$451),0),
IF('TL17'!$B$3=J$3,SUMIF('TL17'!$C$10:$C$224,$C235,'TL17'!$J$10:$J$224),0),
IF('TL17'!$B$229=J$3,SUMIF('TL17'!$C$238:$C$451,$C235,'TL17'!$J$238:$J$451),0),
IF('TL18'!$B$3=J$3,SUMIF('TL18'!$C$10:$C$224,$C235,'TL18'!$J$10:$J$224),0),
IF('TL18'!$B$229=J$3,SUMIF('TL18'!$C$238:$C$451,$C235,'TL18'!$J$238:$J$451),0),
IF('TL19'!$B$3=J$3,SUMIF('TL19'!$C$10:$C$224,$C235,'TL19'!$J$10:$J$224),0),
IF('TL19'!$B$229=J$3,SUMIF('TL19'!$C$238:$C$451,$C235,'TL19'!$J$238:$J$451),0)
),0)</f>
        <v/>
      </c>
      <c r="K235" s="9">
        <f>IFERROR(SUM(
IF('TL01'!$B$3=K$3,SUMIF('TL01'!$C$10:$C$224,$C235,'TL01'!$J$10:$J$224),0),
IF('TL01'!$B$229=K$3,SUMIF('TL01'!$C$238:$C$451,$C235,'TL01'!$J$238:$J$451),0),
IF('TL02'!$B$3=K$3,SUMIF('TL02'!$C$10:$C$224,$C235,'TL02'!$J$10:$J$224),0),
IF('TL02'!$B$229=K$3,SUMIF('TL02'!$C$238:$C$451,$C235,'TL02'!$J$238:$J$451),0),
IF('TL03'!$B$3=K$3,SUMIF('TL03'!$C$10:$C$224,$C235,'TL03'!$J$10:$J$224),0),
IF('TL03'!$B$229=K$3,SUMIF('TL03'!$C$238:$C$451,$C235,'TL03'!$J$238:$J$451),0),
IF('TL04'!$B$3=K$3,SUMIF('TL04'!$C$10:$C$224,$C235,'TL04'!$J$10:$J$224),0),
IF('TL04'!$B$229=K$3,SUMIF('TL04'!$C$238:$C$451,$C235,'TL04'!$J$238:$J$451),0),
IF('TL05'!$B$3=K$3,SUMIF('TL05'!$C$10:$C$224,$C235,'TL05'!$J$10:$J$224),0),
IF('TL05'!$B$229=K$3,SUMIF('TL05'!$C$238:$C$451,$C235,'TL05'!$J$238:$J$451),0),
IF('TL06'!$B$3=K$3,SUMIF('TL06'!$C$10:$C$224,$C235,'TL06'!$J$10:$J$224),0),
IF('TL06'!$B$229=K$3,SUMIF('TL06'!$C$238:$C$451,$C235,'TL06'!$J$238:$J$451),0),
IF('TL07'!$B$3=K$3,SUMIF('TL07'!$C$10:$C$224,$C235,'TL07'!$J$10:$J$224),0),
IF('TL07'!$B$229=K$3,SUMIF('TL07'!$C$238:$C$451,$C235,'TL07'!$J$238:$J$451),0),
IF('TL08'!$B$3=K$3,SUMIF('TL08'!$C$10:$C$224,$C235,'TL08'!$J$10:$J$224),0),
IF('TL08'!$B$229=K$3,SUMIF('TL08'!$C$238:$C$451,$C235,'TL08'!$J$238:$J$451),0),
IF('TL09'!$B$3=K$3,SUMIF('TL09'!$C$10:$C$224,$C235,'TL09'!$J$10:$J$224),0),
IF('TL09'!$B$229=K$3,SUMIF('TL09'!$C$238:$C$451,$C235,'TL09'!$J$238:$J$451),0),
IF('TL10'!$B$3=K$3,SUMIF('TL10'!$C$10:$C$224,$C235,'TL10'!$J$10:$J$224),0),
IF('TL10'!$B$229=K$3,SUMIF('TL10'!$C$238:$C$451,$C235,'TL10'!$J$238:$J$451),0),
IF('TL11'!$B$3=K$3,SUMIF('TL11'!$C$10:$C$224,$C235,'TL11'!$J$10:$J$224),0),
IF('TL11'!$B$229=K$3,SUMIF('TL11'!$C$238:$C$451,$C235,'TL11'!$J$238:$J$451),0),
IF('TL12'!$B$3=K$3,SUMIF('TL12'!$C$10:$C$224,$C235,'TL12'!$J$10:$J$224),0),
IF('TL12'!$B$229=K$3,SUMIF('TL12'!$C$238:$C$451,$C235,'TL12'!$J$238:$J$451),0),
IF('TL13'!$B$3=K$3,SUMIF('TL13'!$C$10:$C$224,$C235,'TL13'!$J$10:$J$224),0),
IF('TL13'!$B$229=K$3,SUMIF('TL13'!$C$238:$C$451,$C235,'TL13'!$J$238:$J$451),0),
IF('TL14'!$B$3=K$3,SUMIF('TL14'!$C$10:$C$224,$C235,'TL14'!$J$10:$J$224),0),
IF('TL14'!$B$229=K$3,SUMIF('TL14'!$C$238:$C$451,$C235,'TL14'!$J$238:$J$451),0),
IF('TL15'!$B$3=K$3,SUMIF('TL15'!$C$10:$C$224,$C235,'TL15'!$J$10:$J$224),0),
IF('TL15'!$B$229=K$3,SUMIF('TL15'!$C$238:$C$451,$C235,'TL15'!$J$238:$J$451),0),
IF('TL16'!$B$3=K$3,SUMIF('TL16'!$C$10:$C$224,$C235,'TL16'!$J$10:$J$224),0),
IF('TL16'!$B$229=K$3,SUMIF('TL16'!$C$238:$C$451,$C235,'TL16'!$J$238:$J$451),0),
IF('TL17'!$B$3=K$3,SUMIF('TL17'!$C$10:$C$224,$C235,'TL17'!$J$10:$J$224),0),
IF('TL17'!$B$229=K$3,SUMIF('TL17'!$C$238:$C$451,$C235,'TL17'!$J$238:$J$451),0),
IF('TL18'!$B$3=K$3,SUMIF('TL18'!$C$10:$C$224,$C235,'TL18'!$J$10:$J$224),0),
IF('TL18'!$B$229=K$3,SUMIF('TL18'!$C$238:$C$451,$C235,'TL18'!$J$238:$J$451),0),
IF('TL19'!$B$3=K$3,SUMIF('TL19'!$C$10:$C$224,$C235,'TL19'!$J$10:$J$224),0),
IF('TL19'!$B$229=K$3,SUMIF('TL19'!$C$238:$C$451,$C235,'TL19'!$J$238:$J$451),0)
),0)</f>
        <v/>
      </c>
      <c r="L235" s="9">
        <f>IFERROR(SUM(
IF('TL01'!$B$3=L$3,SUMIF('TL01'!$C$10:$C$224,$C235,'TL01'!$J$10:$J$224),0),
IF('TL01'!$B$229=L$3,SUMIF('TL01'!$C$238:$C$451,$C235,'TL01'!$J$238:$J$451),0),
IF('TL02'!$B$3=L$3,SUMIF('TL02'!$C$10:$C$224,$C235,'TL02'!$J$10:$J$224),0),
IF('TL02'!$B$229=L$3,SUMIF('TL02'!$C$238:$C$451,$C235,'TL02'!$J$238:$J$451),0),
IF('TL03'!$B$3=L$3,SUMIF('TL03'!$C$10:$C$224,$C235,'TL03'!$J$10:$J$224),0),
IF('TL03'!$B$229=L$3,SUMIF('TL03'!$C$238:$C$451,$C235,'TL03'!$J$238:$J$451),0),
IF('TL04'!$B$3=L$3,SUMIF('TL04'!$C$10:$C$224,$C235,'TL04'!$J$10:$J$224),0),
IF('TL04'!$B$229=L$3,SUMIF('TL04'!$C$238:$C$451,$C235,'TL04'!$J$238:$J$451),0),
IF('TL05'!$B$3=L$3,SUMIF('TL05'!$C$10:$C$224,$C235,'TL05'!$J$10:$J$224),0),
IF('TL05'!$B$229=L$3,SUMIF('TL05'!$C$238:$C$451,$C235,'TL05'!$J$238:$J$451),0),
IF('TL06'!$B$3=L$3,SUMIF('TL06'!$C$10:$C$224,$C235,'TL06'!$J$10:$J$224),0),
IF('TL06'!$B$229=L$3,SUMIF('TL06'!$C$238:$C$451,$C235,'TL06'!$J$238:$J$451),0),
IF('TL07'!$B$3=L$3,SUMIF('TL07'!$C$10:$C$224,$C235,'TL07'!$J$10:$J$224),0),
IF('TL07'!$B$229=L$3,SUMIF('TL07'!$C$238:$C$451,$C235,'TL07'!$J$238:$J$451),0),
IF('TL08'!$B$3=L$3,SUMIF('TL08'!$C$10:$C$224,$C235,'TL08'!$J$10:$J$224),0),
IF('TL08'!$B$229=L$3,SUMIF('TL08'!$C$238:$C$451,$C235,'TL08'!$J$238:$J$451),0),
IF('TL09'!$B$3=L$3,SUMIF('TL09'!$C$10:$C$224,$C235,'TL09'!$J$10:$J$224),0),
IF('TL09'!$B$229=L$3,SUMIF('TL09'!$C$238:$C$451,$C235,'TL09'!$J$238:$J$451),0),
IF('TL10'!$B$3=L$3,SUMIF('TL10'!$C$10:$C$224,$C235,'TL10'!$J$10:$J$224),0),
IF('TL10'!$B$229=L$3,SUMIF('TL10'!$C$238:$C$451,$C235,'TL10'!$J$238:$J$451),0),
IF('TL11'!$B$3=L$3,SUMIF('TL11'!$C$10:$C$224,$C235,'TL11'!$J$10:$J$224),0),
IF('TL11'!$B$229=L$3,SUMIF('TL11'!$C$238:$C$451,$C235,'TL11'!$J$238:$J$451),0),
IF('TL12'!$B$3=L$3,SUMIF('TL12'!$C$10:$C$224,$C235,'TL12'!$J$10:$J$224),0),
IF('TL12'!$B$229=L$3,SUMIF('TL12'!$C$238:$C$451,$C235,'TL12'!$J$238:$J$451),0),
IF('TL13'!$B$3=L$3,SUMIF('TL13'!$C$10:$C$224,$C235,'TL13'!$J$10:$J$224),0),
IF('TL13'!$B$229=L$3,SUMIF('TL13'!$C$238:$C$451,$C235,'TL13'!$J$238:$J$451),0),
IF('TL14'!$B$3=L$3,SUMIF('TL14'!$C$10:$C$224,$C235,'TL14'!$J$10:$J$224),0),
IF('TL14'!$B$229=L$3,SUMIF('TL14'!$C$238:$C$451,$C235,'TL14'!$J$238:$J$451),0),
IF('TL15'!$B$3=L$3,SUMIF('TL15'!$C$10:$C$224,$C235,'TL15'!$J$10:$J$224),0),
IF('TL15'!$B$229=L$3,SUMIF('TL15'!$C$238:$C$451,$C235,'TL15'!$J$238:$J$451),0),
IF('TL16'!$B$3=L$3,SUMIF('TL16'!$C$10:$C$224,$C235,'TL16'!$J$10:$J$224),0),
IF('TL16'!$B$229=L$3,SUMIF('TL16'!$C$238:$C$451,$C235,'TL16'!$J$238:$J$451),0),
IF('TL17'!$B$3=L$3,SUMIF('TL17'!$C$10:$C$224,$C235,'TL17'!$J$10:$J$224),0),
IF('TL17'!$B$229=L$3,SUMIF('TL17'!$C$238:$C$451,$C235,'TL17'!$J$238:$J$451),0),
IF('TL18'!$B$3=L$3,SUMIF('TL18'!$C$10:$C$224,$C235,'TL18'!$J$10:$J$224),0),
IF('TL18'!$B$229=L$3,SUMIF('TL18'!$C$238:$C$451,$C235,'TL18'!$J$238:$J$451),0),
IF('TL19'!$B$3=L$3,SUMIF('TL19'!$C$10:$C$224,$C235,'TL19'!$J$10:$J$224),0),
IF('TL19'!$B$229=L$3,SUMIF('TL19'!$C$238:$C$451,$C235,'TL19'!$J$238:$J$451),0)
),0)</f>
        <v/>
      </c>
      <c r="M235" s="9">
        <f>IFERROR(SUM(
IF('TL01'!$B$3=M$3,SUMIF('TL01'!$C$10:$C$224,$C235,'TL01'!$J$10:$J$224),0),
IF('TL01'!$B$229=M$3,SUMIF('TL01'!$C$238:$C$451,$C235,'TL01'!$J$238:$J$451),0),
IF('TL02'!$B$3=M$3,SUMIF('TL02'!$C$10:$C$224,$C235,'TL02'!$J$10:$J$224),0),
IF('TL02'!$B$229=M$3,SUMIF('TL02'!$C$238:$C$451,$C235,'TL02'!$J$238:$J$451),0),
IF('TL03'!$B$3=M$3,SUMIF('TL03'!$C$10:$C$224,$C235,'TL03'!$J$10:$J$224),0),
IF('TL03'!$B$229=M$3,SUMIF('TL03'!$C$238:$C$451,$C235,'TL03'!$J$238:$J$451),0),
IF('TL04'!$B$3=M$3,SUMIF('TL04'!$C$10:$C$224,$C235,'TL04'!$J$10:$J$224),0),
IF('TL04'!$B$229=M$3,SUMIF('TL04'!$C$238:$C$451,$C235,'TL04'!$J$238:$J$451),0),
IF('TL05'!$B$3=M$3,SUMIF('TL05'!$C$10:$C$224,$C235,'TL05'!$J$10:$J$224),0),
IF('TL05'!$B$229=M$3,SUMIF('TL05'!$C$238:$C$451,$C235,'TL05'!$J$238:$J$451),0),
IF('TL06'!$B$3=M$3,SUMIF('TL06'!$C$10:$C$224,$C235,'TL06'!$J$10:$J$224),0),
IF('TL06'!$B$229=M$3,SUMIF('TL06'!$C$238:$C$451,$C235,'TL06'!$J$238:$J$451),0),
IF('TL07'!$B$3=M$3,SUMIF('TL07'!$C$10:$C$224,$C235,'TL07'!$J$10:$J$224),0),
IF('TL07'!$B$229=M$3,SUMIF('TL07'!$C$238:$C$451,$C235,'TL07'!$J$238:$J$451),0),
IF('TL08'!$B$3=M$3,SUMIF('TL08'!$C$10:$C$224,$C235,'TL08'!$J$10:$J$224),0),
IF('TL08'!$B$229=M$3,SUMIF('TL08'!$C$238:$C$451,$C235,'TL08'!$J$238:$J$451),0),
IF('TL09'!$B$3=M$3,SUMIF('TL09'!$C$10:$C$224,$C235,'TL09'!$J$10:$J$224),0),
IF('TL09'!$B$229=M$3,SUMIF('TL09'!$C$238:$C$451,$C235,'TL09'!$J$238:$J$451),0),
IF('TL10'!$B$3=M$3,SUMIF('TL10'!$C$10:$C$224,$C235,'TL10'!$J$10:$J$224),0),
IF('TL10'!$B$229=M$3,SUMIF('TL10'!$C$238:$C$451,$C235,'TL10'!$J$238:$J$451),0),
IF('TL11'!$B$3=M$3,SUMIF('TL11'!$C$10:$C$224,$C235,'TL11'!$J$10:$J$224),0),
IF('TL11'!$B$229=M$3,SUMIF('TL11'!$C$238:$C$451,$C235,'TL11'!$J$238:$J$451),0),
IF('TL12'!$B$3=M$3,SUMIF('TL12'!$C$10:$C$224,$C235,'TL12'!$J$10:$J$224),0),
IF('TL12'!$B$229=M$3,SUMIF('TL12'!$C$238:$C$451,$C235,'TL12'!$J$238:$J$451),0),
IF('TL13'!$B$3=M$3,SUMIF('TL13'!$C$10:$C$224,$C235,'TL13'!$J$10:$J$224),0),
IF('TL13'!$B$229=M$3,SUMIF('TL13'!$C$238:$C$451,$C235,'TL13'!$J$238:$J$451),0),
IF('TL14'!$B$3=M$3,SUMIF('TL14'!$C$10:$C$224,$C235,'TL14'!$J$10:$J$224),0),
IF('TL14'!$B$229=M$3,SUMIF('TL14'!$C$238:$C$451,$C235,'TL14'!$J$238:$J$451),0),
IF('TL15'!$B$3=M$3,SUMIF('TL15'!$C$10:$C$224,$C235,'TL15'!$J$10:$J$224),0),
IF('TL15'!$B$229=M$3,SUMIF('TL15'!$C$238:$C$451,$C235,'TL15'!$J$238:$J$451),0),
IF('TL16'!$B$3=M$3,SUMIF('TL16'!$C$10:$C$224,$C235,'TL16'!$J$10:$J$224),0),
IF('TL16'!$B$229=M$3,SUMIF('TL16'!$C$238:$C$451,$C235,'TL16'!$J$238:$J$451),0),
IF('TL17'!$B$3=M$3,SUMIF('TL17'!$C$10:$C$224,$C235,'TL17'!$J$10:$J$224),0),
IF('TL17'!$B$229=M$3,SUMIF('TL17'!$C$238:$C$451,$C235,'TL17'!$J$238:$J$451),0),
IF('TL18'!$B$3=M$3,SUMIF('TL18'!$C$10:$C$224,$C235,'TL18'!$J$10:$J$224),0),
IF('TL18'!$B$229=M$3,SUMIF('TL18'!$C$238:$C$451,$C235,'TL18'!$J$238:$J$451),0),
IF('TL19'!$B$3=M$3,SUMIF('TL19'!$C$10:$C$224,$C235,'TL19'!$J$10:$J$224),0),
IF('TL19'!$B$229=M$3,SUMIF('TL19'!$C$238:$C$451,$C235,'TL19'!$J$238:$J$451),0)
),0)</f>
        <v/>
      </c>
      <c r="N235" s="9">
        <f>IFERROR(SUM(
IF('TL01'!$B$3=N$3,SUMIF('TL01'!$C$10:$C$224,$C235,'TL01'!$J$10:$J$224),0),
IF('TL01'!$B$229=N$3,SUMIF('TL01'!$C$238:$C$451,$C235,'TL01'!$J$238:$J$451),0),
IF('TL02'!$B$3=N$3,SUMIF('TL02'!$C$10:$C$224,$C235,'TL02'!$J$10:$J$224),0),
IF('TL02'!$B$229=N$3,SUMIF('TL02'!$C$238:$C$451,$C235,'TL02'!$J$238:$J$451),0),
IF('TL03'!$B$3=N$3,SUMIF('TL03'!$C$10:$C$224,$C235,'TL03'!$J$10:$J$224),0),
IF('TL03'!$B$229=N$3,SUMIF('TL03'!$C$238:$C$451,$C235,'TL03'!$J$238:$J$451),0),
IF('TL04'!$B$3=N$3,SUMIF('TL04'!$C$10:$C$224,$C235,'TL04'!$J$10:$J$224),0),
IF('TL04'!$B$229=N$3,SUMIF('TL04'!$C$238:$C$451,$C235,'TL04'!$J$238:$J$451),0),
IF('TL05'!$B$3=N$3,SUMIF('TL05'!$C$10:$C$224,$C235,'TL05'!$J$10:$J$224),0),
IF('TL05'!$B$229=N$3,SUMIF('TL05'!$C$238:$C$451,$C235,'TL05'!$J$238:$J$451),0),
IF('TL06'!$B$3=N$3,SUMIF('TL06'!$C$10:$C$224,$C235,'TL06'!$J$10:$J$224),0),
IF('TL06'!$B$229=N$3,SUMIF('TL06'!$C$238:$C$451,$C235,'TL06'!$J$238:$J$451),0),
IF('TL07'!$B$3=N$3,SUMIF('TL07'!$C$10:$C$224,$C235,'TL07'!$J$10:$J$224),0),
IF('TL07'!$B$229=N$3,SUMIF('TL07'!$C$238:$C$451,$C235,'TL07'!$J$238:$J$451),0),
IF('TL08'!$B$3=N$3,SUMIF('TL08'!$C$10:$C$224,$C235,'TL08'!$J$10:$J$224),0),
IF('TL08'!$B$229=N$3,SUMIF('TL08'!$C$238:$C$451,$C235,'TL08'!$J$238:$J$451),0),
IF('TL09'!$B$3=N$3,SUMIF('TL09'!$C$10:$C$224,$C235,'TL09'!$J$10:$J$224),0),
IF('TL09'!$B$229=N$3,SUMIF('TL09'!$C$238:$C$451,$C235,'TL09'!$J$238:$J$451),0),
IF('TL10'!$B$3=N$3,SUMIF('TL10'!$C$10:$C$224,$C235,'TL10'!$J$10:$J$224),0),
IF('TL10'!$B$229=N$3,SUMIF('TL10'!$C$238:$C$451,$C235,'TL10'!$J$238:$J$451),0),
IF('TL11'!$B$3=N$3,SUMIF('TL11'!$C$10:$C$224,$C235,'TL11'!$J$10:$J$224),0),
IF('TL11'!$B$229=N$3,SUMIF('TL11'!$C$238:$C$451,$C235,'TL11'!$J$238:$J$451),0),
IF('TL12'!$B$3=N$3,SUMIF('TL12'!$C$10:$C$224,$C235,'TL12'!$J$10:$J$224),0),
IF('TL12'!$B$229=N$3,SUMIF('TL12'!$C$238:$C$451,$C235,'TL12'!$J$238:$J$451),0),
IF('TL13'!$B$3=N$3,SUMIF('TL13'!$C$10:$C$224,$C235,'TL13'!$J$10:$J$224),0),
IF('TL13'!$B$229=N$3,SUMIF('TL13'!$C$238:$C$451,$C235,'TL13'!$J$238:$J$451),0),
IF('TL14'!$B$3=N$3,SUMIF('TL14'!$C$10:$C$224,$C235,'TL14'!$J$10:$J$224),0),
IF('TL14'!$B$229=N$3,SUMIF('TL14'!$C$238:$C$451,$C235,'TL14'!$J$238:$J$451),0),
IF('TL15'!$B$3=N$3,SUMIF('TL15'!$C$10:$C$224,$C235,'TL15'!$J$10:$J$224),0),
IF('TL15'!$B$229=N$3,SUMIF('TL15'!$C$238:$C$451,$C235,'TL15'!$J$238:$J$451),0),
IF('TL16'!$B$3=N$3,SUMIF('TL16'!$C$10:$C$224,$C235,'TL16'!$J$10:$J$224),0),
IF('TL16'!$B$229=N$3,SUMIF('TL16'!$C$238:$C$451,$C235,'TL16'!$J$238:$J$451),0),
IF('TL17'!$B$3=N$3,SUMIF('TL17'!$C$10:$C$224,$C235,'TL17'!$J$10:$J$224),0),
IF('TL17'!$B$229=N$3,SUMIF('TL17'!$C$238:$C$451,$C235,'TL17'!$J$238:$J$451),0),
IF('TL18'!$B$3=N$3,SUMIF('TL18'!$C$10:$C$224,$C235,'TL18'!$J$10:$J$224),0),
IF('TL18'!$B$229=N$3,SUMIF('TL18'!$C$238:$C$451,$C235,'TL18'!$J$238:$J$451),0),
IF('TL19'!$B$3=N$3,SUMIF('TL19'!$C$10:$C$224,$C235,'TL19'!$J$10:$J$224),0),
IF('TL19'!$B$229=N$3,SUMIF('TL19'!$C$238:$C$451,$C235,'TL19'!$J$238:$J$451),0)
),0)</f>
        <v/>
      </c>
      <c r="O235" s="9">
        <f>IFERROR(SUM(
IF('TL01'!$B$3=O$3,SUMIF('TL01'!$C$10:$C$224,$C235,'TL01'!$J$10:$J$224),0),
IF('TL01'!$B$229=O$3,SUMIF('TL01'!$C$238:$C$451,$C235,'TL01'!$J$238:$J$451),0),
IF('TL02'!$B$3=O$3,SUMIF('TL02'!$C$10:$C$224,$C235,'TL02'!$J$10:$J$224),0),
IF('TL02'!$B$229=O$3,SUMIF('TL02'!$C$238:$C$451,$C235,'TL02'!$J$238:$J$451),0),
IF('TL03'!$B$3=O$3,SUMIF('TL03'!$C$10:$C$224,$C235,'TL03'!$J$10:$J$224),0),
IF('TL03'!$B$229=O$3,SUMIF('TL03'!$C$238:$C$451,$C235,'TL03'!$J$238:$J$451),0),
IF('TL04'!$B$3=O$3,SUMIF('TL04'!$C$10:$C$224,$C235,'TL04'!$J$10:$J$224),0),
IF('TL04'!$B$229=O$3,SUMIF('TL04'!$C$238:$C$451,$C235,'TL04'!$J$238:$J$451),0),
IF('TL05'!$B$3=O$3,SUMIF('TL05'!$C$10:$C$224,$C235,'TL05'!$J$10:$J$224),0),
IF('TL05'!$B$229=O$3,SUMIF('TL05'!$C$238:$C$451,$C235,'TL05'!$J$238:$J$451),0),
IF('TL06'!$B$3=O$3,SUMIF('TL06'!$C$10:$C$224,$C235,'TL06'!$J$10:$J$224),0),
IF('TL06'!$B$229=O$3,SUMIF('TL06'!$C$238:$C$451,$C235,'TL06'!$J$238:$J$451),0),
IF('TL07'!$B$3=O$3,SUMIF('TL07'!$C$10:$C$224,$C235,'TL07'!$J$10:$J$224),0),
IF('TL07'!$B$229=O$3,SUMIF('TL07'!$C$238:$C$451,$C235,'TL07'!$J$238:$J$451),0),
IF('TL08'!$B$3=O$3,SUMIF('TL08'!$C$10:$C$224,$C235,'TL08'!$J$10:$J$224),0),
IF('TL08'!$B$229=O$3,SUMIF('TL08'!$C$238:$C$451,$C235,'TL08'!$J$238:$J$451),0),
IF('TL09'!$B$3=O$3,SUMIF('TL09'!$C$10:$C$224,$C235,'TL09'!$J$10:$J$224),0),
IF('TL09'!$B$229=O$3,SUMIF('TL09'!$C$238:$C$451,$C235,'TL09'!$J$238:$J$451),0),
IF('TL10'!$B$3=O$3,SUMIF('TL10'!$C$10:$C$224,$C235,'TL10'!$J$10:$J$224),0),
IF('TL10'!$B$229=O$3,SUMIF('TL10'!$C$238:$C$451,$C235,'TL10'!$J$238:$J$451),0),
IF('TL11'!$B$3=O$3,SUMIF('TL11'!$C$10:$C$224,$C235,'TL11'!$J$10:$J$224),0),
IF('TL11'!$B$229=O$3,SUMIF('TL11'!$C$238:$C$451,$C235,'TL11'!$J$238:$J$451),0),
IF('TL12'!$B$3=O$3,SUMIF('TL12'!$C$10:$C$224,$C235,'TL12'!$J$10:$J$224),0),
IF('TL12'!$B$229=O$3,SUMIF('TL12'!$C$238:$C$451,$C235,'TL12'!$J$238:$J$451),0),
IF('TL13'!$B$3=O$3,SUMIF('TL13'!$C$10:$C$224,$C235,'TL13'!$J$10:$J$224),0),
IF('TL13'!$B$229=O$3,SUMIF('TL13'!$C$238:$C$451,$C235,'TL13'!$J$238:$J$451),0),
IF('TL14'!$B$3=O$3,SUMIF('TL14'!$C$10:$C$224,$C235,'TL14'!$J$10:$J$224),0),
IF('TL14'!$B$229=O$3,SUMIF('TL14'!$C$238:$C$451,$C235,'TL14'!$J$238:$J$451),0),
IF('TL15'!$B$3=O$3,SUMIF('TL15'!$C$10:$C$224,$C235,'TL15'!$J$10:$J$224),0),
IF('TL15'!$B$229=O$3,SUMIF('TL15'!$C$238:$C$451,$C235,'TL15'!$J$238:$J$451),0),
IF('TL16'!$B$3=O$3,SUMIF('TL16'!$C$10:$C$224,$C235,'TL16'!$J$10:$J$224),0),
IF('TL16'!$B$229=O$3,SUMIF('TL16'!$C$238:$C$451,$C235,'TL16'!$J$238:$J$451),0),
IF('TL17'!$B$3=O$3,SUMIF('TL17'!$C$10:$C$224,$C235,'TL17'!$J$10:$J$224),0),
IF('TL17'!$B$229=O$3,SUMIF('TL17'!$C$238:$C$451,$C235,'TL17'!$J$238:$J$451),0),
IF('TL18'!$B$3=O$3,SUMIF('TL18'!$C$10:$C$224,$C235,'TL18'!$J$10:$J$224),0),
IF('TL18'!$B$229=O$3,SUMIF('TL18'!$C$238:$C$451,$C235,'TL18'!$J$238:$J$451),0),
IF('TL19'!$B$3=O$3,SUMIF('TL19'!$C$10:$C$224,$C235,'TL19'!$J$10:$J$224),0),
IF('TL19'!$B$229=O$3,SUMIF('TL19'!$C$238:$C$451,$C235,'TL19'!$J$238:$J$451),0)
),0)</f>
        <v/>
      </c>
      <c r="P235" s="9">
        <f>IFERROR(SUM(
IF('TL01'!$B$3=P$3,SUMIF('TL01'!$C$10:$C$224,$C235,'TL01'!$J$10:$J$224),0),
IF('TL01'!$B$229=P$3,SUMIF('TL01'!$C$238:$C$451,$C235,'TL01'!$J$238:$J$451),0),
IF('TL02'!$B$3=P$3,SUMIF('TL02'!$C$10:$C$224,$C235,'TL02'!$J$10:$J$224),0),
IF('TL02'!$B$229=P$3,SUMIF('TL02'!$C$238:$C$451,$C235,'TL02'!$J$238:$J$451),0),
IF('TL03'!$B$3=P$3,SUMIF('TL03'!$C$10:$C$224,$C235,'TL03'!$J$10:$J$224),0),
IF('TL03'!$B$229=P$3,SUMIF('TL03'!$C$238:$C$451,$C235,'TL03'!$J$238:$J$451),0),
IF('TL04'!$B$3=P$3,SUMIF('TL04'!$C$10:$C$224,$C235,'TL04'!$J$10:$J$224),0),
IF('TL04'!$B$229=P$3,SUMIF('TL04'!$C$238:$C$451,$C235,'TL04'!$J$238:$J$451),0),
IF('TL05'!$B$3=P$3,SUMIF('TL05'!$C$10:$C$224,$C235,'TL05'!$J$10:$J$224),0),
IF('TL05'!$B$229=P$3,SUMIF('TL05'!$C$238:$C$451,$C235,'TL05'!$J$238:$J$451),0),
IF('TL06'!$B$3=P$3,SUMIF('TL06'!$C$10:$C$224,$C235,'TL06'!$J$10:$J$224),0),
IF('TL06'!$B$229=P$3,SUMIF('TL06'!$C$238:$C$451,$C235,'TL06'!$J$238:$J$451),0),
IF('TL07'!$B$3=P$3,SUMIF('TL07'!$C$10:$C$224,$C235,'TL07'!$J$10:$J$224),0),
IF('TL07'!$B$229=P$3,SUMIF('TL07'!$C$238:$C$451,$C235,'TL07'!$J$238:$J$451),0),
IF('TL08'!$B$3=P$3,SUMIF('TL08'!$C$10:$C$224,$C235,'TL08'!$J$10:$J$224),0),
IF('TL08'!$B$229=P$3,SUMIF('TL08'!$C$238:$C$451,$C235,'TL08'!$J$238:$J$451),0),
IF('TL09'!$B$3=P$3,SUMIF('TL09'!$C$10:$C$224,$C235,'TL09'!$J$10:$J$224),0),
IF('TL09'!$B$229=P$3,SUMIF('TL09'!$C$238:$C$451,$C235,'TL09'!$J$238:$J$451),0),
IF('TL10'!$B$3=P$3,SUMIF('TL10'!$C$10:$C$224,$C235,'TL10'!$J$10:$J$224),0),
IF('TL10'!$B$229=P$3,SUMIF('TL10'!$C$238:$C$451,$C235,'TL10'!$J$238:$J$451),0),
IF('TL11'!$B$3=P$3,SUMIF('TL11'!$C$10:$C$224,$C235,'TL11'!$J$10:$J$224),0),
IF('TL11'!$B$229=P$3,SUMIF('TL11'!$C$238:$C$451,$C235,'TL11'!$J$238:$J$451),0),
IF('TL12'!$B$3=P$3,SUMIF('TL12'!$C$10:$C$224,$C235,'TL12'!$J$10:$J$224),0),
IF('TL12'!$B$229=P$3,SUMIF('TL12'!$C$238:$C$451,$C235,'TL12'!$J$238:$J$451),0),
IF('TL13'!$B$3=P$3,SUMIF('TL13'!$C$10:$C$224,$C235,'TL13'!$J$10:$J$224),0),
IF('TL13'!$B$229=P$3,SUMIF('TL13'!$C$238:$C$451,$C235,'TL13'!$J$238:$J$451),0),
IF('TL14'!$B$3=P$3,SUMIF('TL14'!$C$10:$C$224,$C235,'TL14'!$J$10:$J$224),0),
IF('TL14'!$B$229=P$3,SUMIF('TL14'!$C$238:$C$451,$C235,'TL14'!$J$238:$J$451),0),
IF('TL15'!$B$3=P$3,SUMIF('TL15'!$C$10:$C$224,$C235,'TL15'!$J$10:$J$224),0),
IF('TL15'!$B$229=P$3,SUMIF('TL15'!$C$238:$C$451,$C235,'TL15'!$J$238:$J$451),0),
IF('TL16'!$B$3=P$3,SUMIF('TL16'!$C$10:$C$224,$C235,'TL16'!$J$10:$J$224),0),
IF('TL16'!$B$229=P$3,SUMIF('TL16'!$C$238:$C$451,$C235,'TL16'!$J$238:$J$451),0),
IF('TL17'!$B$3=P$3,SUMIF('TL17'!$C$10:$C$224,$C235,'TL17'!$J$10:$J$224),0),
IF('TL17'!$B$229=P$3,SUMIF('TL17'!$C$238:$C$451,$C235,'TL17'!$J$238:$J$451),0),
IF('TL18'!$B$3=P$3,SUMIF('TL18'!$C$10:$C$224,$C235,'TL18'!$J$10:$J$224),0),
IF('TL18'!$B$229=P$3,SUMIF('TL18'!$C$238:$C$451,$C235,'TL18'!$J$238:$J$451),0),
IF('TL19'!$B$3=P$3,SUMIF('TL19'!$C$10:$C$224,$C235,'TL19'!$J$10:$J$224),0),
IF('TL19'!$B$229=P$3,SUMIF('TL19'!$C$238:$C$451,$C235,'TL19'!$J$238:$J$451),0)
),0)</f>
        <v/>
      </c>
      <c r="Q235" s="9">
        <f>IFERROR(SUM(
IF('TL01'!$B$3=Q$3,SUMIF('TL01'!$C$10:$C$224,$C235,'TL01'!$J$10:$J$224),0),
IF('TL01'!$B$229=Q$3,SUMIF('TL01'!$C$238:$C$451,$C235,'TL01'!$J$238:$J$451),0),
IF('TL02'!$B$3=Q$3,SUMIF('TL02'!$C$10:$C$224,$C235,'TL02'!$J$10:$J$224),0),
IF('TL02'!$B$229=Q$3,SUMIF('TL02'!$C$238:$C$451,$C235,'TL02'!$J$238:$J$451),0),
IF('TL03'!$B$3=Q$3,SUMIF('TL03'!$C$10:$C$224,$C235,'TL03'!$J$10:$J$224),0),
IF('TL03'!$B$229=Q$3,SUMIF('TL03'!$C$238:$C$451,$C235,'TL03'!$J$238:$J$451),0),
IF('TL04'!$B$3=Q$3,SUMIF('TL04'!$C$10:$C$224,$C235,'TL04'!$J$10:$J$224),0),
IF('TL04'!$B$229=Q$3,SUMIF('TL04'!$C$238:$C$451,$C235,'TL04'!$J$238:$J$451),0),
IF('TL05'!$B$3=Q$3,SUMIF('TL05'!$C$10:$C$224,$C235,'TL05'!$J$10:$J$224),0),
IF('TL05'!$B$229=Q$3,SUMIF('TL05'!$C$238:$C$451,$C235,'TL05'!$J$238:$J$451),0),
IF('TL06'!$B$3=Q$3,SUMIF('TL06'!$C$10:$C$224,$C235,'TL06'!$J$10:$J$224),0),
IF('TL06'!$B$229=Q$3,SUMIF('TL06'!$C$238:$C$451,$C235,'TL06'!$J$238:$J$451),0),
IF('TL07'!$B$3=Q$3,SUMIF('TL07'!$C$10:$C$224,$C235,'TL07'!$J$10:$J$224),0),
IF('TL07'!$B$229=Q$3,SUMIF('TL07'!$C$238:$C$451,$C235,'TL07'!$J$238:$J$451),0),
IF('TL08'!$B$3=Q$3,SUMIF('TL08'!$C$10:$C$224,$C235,'TL08'!$J$10:$J$224),0),
IF('TL08'!$B$229=Q$3,SUMIF('TL08'!$C$238:$C$451,$C235,'TL08'!$J$238:$J$451),0),
IF('TL09'!$B$3=Q$3,SUMIF('TL09'!$C$10:$C$224,$C235,'TL09'!$J$10:$J$224),0),
IF('TL09'!$B$229=Q$3,SUMIF('TL09'!$C$238:$C$451,$C235,'TL09'!$J$238:$J$451),0),
IF('TL10'!$B$3=Q$3,SUMIF('TL10'!$C$10:$C$224,$C235,'TL10'!$J$10:$J$224),0),
IF('TL10'!$B$229=Q$3,SUMIF('TL10'!$C$238:$C$451,$C235,'TL10'!$J$238:$J$451),0),
IF('TL11'!$B$3=Q$3,SUMIF('TL11'!$C$10:$C$224,$C235,'TL11'!$J$10:$J$224),0),
IF('TL11'!$B$229=Q$3,SUMIF('TL11'!$C$238:$C$451,$C235,'TL11'!$J$238:$J$451),0),
IF('TL12'!$B$3=Q$3,SUMIF('TL12'!$C$10:$C$224,$C235,'TL12'!$J$10:$J$224),0),
IF('TL12'!$B$229=Q$3,SUMIF('TL12'!$C$238:$C$451,$C235,'TL12'!$J$238:$J$451),0),
IF('TL13'!$B$3=Q$3,SUMIF('TL13'!$C$10:$C$224,$C235,'TL13'!$J$10:$J$224),0),
IF('TL13'!$B$229=Q$3,SUMIF('TL13'!$C$238:$C$451,$C235,'TL13'!$J$238:$J$451),0),
IF('TL14'!$B$3=Q$3,SUMIF('TL14'!$C$10:$C$224,$C235,'TL14'!$J$10:$J$224),0),
IF('TL14'!$B$229=Q$3,SUMIF('TL14'!$C$238:$C$451,$C235,'TL14'!$J$238:$J$451),0),
IF('TL15'!$B$3=Q$3,SUMIF('TL15'!$C$10:$C$224,$C235,'TL15'!$J$10:$J$224),0),
IF('TL15'!$B$229=Q$3,SUMIF('TL15'!$C$238:$C$451,$C235,'TL15'!$J$238:$J$451),0),
IF('TL16'!$B$3=Q$3,SUMIF('TL16'!$C$10:$C$224,$C235,'TL16'!$J$10:$J$224),0),
IF('TL16'!$B$229=Q$3,SUMIF('TL16'!$C$238:$C$451,$C235,'TL16'!$J$238:$J$451),0),
IF('TL17'!$B$3=Q$3,SUMIF('TL17'!$C$10:$C$224,$C235,'TL17'!$J$10:$J$224),0),
IF('TL17'!$B$229=Q$3,SUMIF('TL17'!$C$238:$C$451,$C235,'TL17'!$J$238:$J$451),0),
IF('TL18'!$B$3=Q$3,SUMIF('TL18'!$C$10:$C$224,$C235,'TL18'!$J$10:$J$224),0),
IF('TL18'!$B$229=Q$3,SUMIF('TL18'!$C$238:$C$451,$C235,'TL18'!$J$238:$J$451),0),
IF('TL19'!$B$3=Q$3,SUMIF('TL19'!$C$10:$C$224,$C235,'TL19'!$J$10:$J$224),0),
IF('TL19'!$B$229=Q$3,SUMIF('TL19'!$C$238:$C$451,$C235,'TL19'!$J$238:$J$451),0)
),0)</f>
        <v/>
      </c>
      <c r="R235" s="9">
        <f>IFERROR(
SUM(
SUMIF('TL01'!C:C,C235,'TL01'!J:J),
SUMIF('TL02'!C:C,C235,'TL02'!J:J),
SUMIF('TL03'!C:C,C235,'TL03'!J:J),
SUMIF('TL04'!C:C,C235,'TL04'!J:J),
SUMIF('TL05'!C:C,C235,'TL05'!J:J),
SUMIF('TL06'!C:C,C235,'TL06'!J:J),
SUMIF('TL07'!C:C,C235,'TL07'!J:J),
SUMIF('TL08'!C:C,C235,'TL08'!J:J),
SUMIF('TL09'!C:C,C235,'TL09'!J:J),
SUMIF('TL10'!C:C,C235,'TL10'!J:J),
SUMIF('TL11'!C:C,C235,'TL11'!J:J),
SUMIF('TL12'!C:C,C235,'TL12'!J:J),
SUMIF('TL13'!C:C,C235,'TL13'!J:J),
SUMIF('TL14'!C:C,C235,'TL14'!J:J),
SUMIF('TL15'!C:C,C235,'TL15'!J:J),
SUMIF('TL16'!C:C,C235,'TL16'!J:J),
SUMIF('TL17'!C:C,C235,'TL17'!J:J),
SUMIF('TL18'!C:C,C235,'TL18'!J:J),SUMIF('TL19'!C:C,C235,'TL19'!J:J))
,0)</f>
        <v/>
      </c>
      <c r="S235" s="17">
        <f>IFERROR(__xludf.DUMMYFUNCTION("IFERROR(VLOOKUP(C235,
IMPORTRANGE(""1wULbzX32WdYsx-lj2U3uUNBBe2INVIRDtcK0d-Dvl90"",
""26-27!C:G""),
5,
FALSE),
"""")"),156.41864999999999)</f>
        <v/>
      </c>
      <c r="T235" s="9" t="n"/>
      <c r="U235" s="92">
        <f>MAX(0,R235-T235)</f>
        <v/>
      </c>
      <c r="V235" s="93">
        <f>U235*S235</f>
        <v/>
      </c>
    </row>
    <row r="236" hidden="1" ht="15.75" customHeight="1" s="297">
      <c r="A236" s="87" t="inlineStr">
        <is>
          <t>SYNGENTA</t>
        </is>
      </c>
      <c r="B236" s="88" t="inlineStr">
        <is>
          <t>INSETICIDA</t>
        </is>
      </c>
      <c r="C236" s="89" t="inlineStr">
        <is>
          <t>POLO 500 SC</t>
        </is>
      </c>
      <c r="D236" s="89" t="inlineStr">
        <is>
          <t>DIAFENTIUROM</t>
        </is>
      </c>
      <c r="E236" s="89" t="n">
        <v>500</v>
      </c>
      <c r="F236" s="4" t="inlineStr">
        <is>
          <t>L</t>
        </is>
      </c>
      <c r="G236" s="90">
        <f>HYPERLINK("https://www.google.com/search?q=" &amp; C236 &amp; "+bula+agrofit+pdf", "📄 Ver bula")</f>
        <v/>
      </c>
      <c r="H236" s="9">
        <f>IFERROR(__xludf.DUMMYFUNCTION("IFERROR(VLOOKUP(C236,
IMPORTRANGE(""1wULbzX32WdYsx-lj2U3uUNBBe2INVIRDtcK0d-Dvl90"",
""26-27!C:K""),
8,
FALSE),
"""")"),0.8)</f>
        <v/>
      </c>
      <c r="I236" s="91" t="inlineStr">
        <is>
          <t>1x20</t>
        </is>
      </c>
      <c r="J236" s="9">
        <f>IFERROR(SUM(
IF('TL01'!$B$3=J$3,SUMIF('TL01'!$C$10:$C$224,$C236,'TL01'!$J$10:$J$224),0),
IF('TL01'!$B$229=J$3,SUMIF('TL01'!$C$238:$C$451,$C236,'TL01'!$J$238:$J$451),0),
IF('TL02'!$B$3=J$3,SUMIF('TL02'!$C$10:$C$224,$C236,'TL02'!$J$10:$J$224),0),
IF('TL02'!$B$229=J$3,SUMIF('TL02'!$C$238:$C$451,$C236,'TL02'!$J$238:$J$451),0),
IF('TL03'!$B$3=J$3,SUMIF('TL03'!$C$10:$C$224,$C236,'TL03'!$J$10:$J$224),0),
IF('TL03'!$B$229=J$3,SUMIF('TL03'!$C$238:$C$451,$C236,'TL03'!$J$238:$J$451),0),
IF('TL04'!$B$3=J$3,SUMIF('TL04'!$C$10:$C$224,$C236,'TL04'!$J$10:$J$224),0),
IF('TL04'!$B$229=J$3,SUMIF('TL04'!$C$238:$C$451,$C236,'TL04'!$J$238:$J$451),0),
IF('TL05'!$B$3=J$3,SUMIF('TL05'!$C$10:$C$224,$C236,'TL05'!$J$10:$J$224),0),
IF('TL05'!$B$229=J$3,SUMIF('TL05'!$C$238:$C$451,$C236,'TL05'!$J$238:$J$451),0),
IF('TL06'!$B$3=J$3,SUMIF('TL06'!$C$10:$C$224,$C236,'TL06'!$J$10:$J$224),0),
IF('TL06'!$B$229=J$3,SUMIF('TL06'!$C$238:$C$451,$C236,'TL06'!$J$238:$J$451),0),
IF('TL07'!$B$3=J$3,SUMIF('TL07'!$C$10:$C$224,$C236,'TL07'!$J$10:$J$224),0),
IF('TL07'!$B$229=J$3,SUMIF('TL07'!$C$238:$C$451,$C236,'TL07'!$J$238:$J$451),0),
IF('TL08'!$B$3=J$3,SUMIF('TL08'!$C$10:$C$224,$C236,'TL08'!$J$10:$J$224),0),
IF('TL08'!$B$229=J$3,SUMIF('TL08'!$C$238:$C$451,$C236,'TL08'!$J$238:$J$451),0),
IF('TL09'!$B$3=J$3,SUMIF('TL09'!$C$10:$C$224,$C236,'TL09'!$J$10:$J$224),0),
IF('TL09'!$B$229=J$3,SUMIF('TL09'!$C$238:$C$451,$C236,'TL09'!$J$238:$J$451),0),
IF('TL10'!$B$3=J$3,SUMIF('TL10'!$C$10:$C$224,$C236,'TL10'!$J$10:$J$224),0),
IF('TL10'!$B$229=J$3,SUMIF('TL10'!$C$238:$C$451,$C236,'TL10'!$J$238:$J$451),0),
IF('TL11'!$B$3=J$3,SUMIF('TL11'!$C$10:$C$224,$C236,'TL11'!$J$10:$J$224),0),
IF('TL11'!$B$229=J$3,SUMIF('TL11'!$C$238:$C$451,$C236,'TL11'!$J$238:$J$451),0),
IF('TL12'!$B$3=J$3,SUMIF('TL12'!$C$10:$C$224,$C236,'TL12'!$J$10:$J$224),0),
IF('TL12'!$B$229=J$3,SUMIF('TL12'!$C$238:$C$451,$C236,'TL12'!$J$238:$J$451),0),
IF('TL13'!$B$3=J$3,SUMIF('TL13'!$C$10:$C$224,$C236,'TL13'!$J$10:$J$224),0),
IF('TL13'!$B$229=J$3,SUMIF('TL13'!$C$238:$C$451,$C236,'TL13'!$J$238:$J$451),0),
IF('TL14'!$B$3=J$3,SUMIF('TL14'!$C$10:$C$224,$C236,'TL14'!$J$10:$J$224),0),
IF('TL14'!$B$229=J$3,SUMIF('TL14'!$C$238:$C$451,$C236,'TL14'!$J$238:$J$451),0),
IF('TL15'!$B$3=J$3,SUMIF('TL15'!$C$10:$C$224,$C236,'TL15'!$J$10:$J$224),0),
IF('TL15'!$B$229=J$3,SUMIF('TL15'!$C$238:$C$451,$C236,'TL15'!$J$238:$J$451),0),
IF('TL16'!$B$3=J$3,SUMIF('TL16'!$C$10:$C$224,$C236,'TL16'!$J$10:$J$224),0),
IF('TL16'!$B$229=J$3,SUMIF('TL16'!$C$238:$C$451,$C236,'TL16'!$J$238:$J$451),0),
IF('TL17'!$B$3=J$3,SUMIF('TL17'!$C$10:$C$224,$C236,'TL17'!$J$10:$J$224),0),
IF('TL17'!$B$229=J$3,SUMIF('TL17'!$C$238:$C$451,$C236,'TL17'!$J$238:$J$451),0),
IF('TL18'!$B$3=J$3,SUMIF('TL18'!$C$10:$C$224,$C236,'TL18'!$J$10:$J$224),0),
IF('TL18'!$B$229=J$3,SUMIF('TL18'!$C$238:$C$451,$C236,'TL18'!$J$238:$J$451),0),
IF('TL19'!$B$3=J$3,SUMIF('TL19'!$C$10:$C$224,$C236,'TL19'!$J$10:$J$224),0),
IF('TL19'!$B$229=J$3,SUMIF('TL19'!$C$238:$C$451,$C236,'TL19'!$J$238:$J$451),0)
),0)</f>
        <v/>
      </c>
      <c r="K236" s="9">
        <f>IFERROR(SUM(
IF('TL01'!$B$3=K$3,SUMIF('TL01'!$C$10:$C$224,$C236,'TL01'!$J$10:$J$224),0),
IF('TL01'!$B$229=K$3,SUMIF('TL01'!$C$238:$C$451,$C236,'TL01'!$J$238:$J$451),0),
IF('TL02'!$B$3=K$3,SUMIF('TL02'!$C$10:$C$224,$C236,'TL02'!$J$10:$J$224),0),
IF('TL02'!$B$229=K$3,SUMIF('TL02'!$C$238:$C$451,$C236,'TL02'!$J$238:$J$451),0),
IF('TL03'!$B$3=K$3,SUMIF('TL03'!$C$10:$C$224,$C236,'TL03'!$J$10:$J$224),0),
IF('TL03'!$B$229=K$3,SUMIF('TL03'!$C$238:$C$451,$C236,'TL03'!$J$238:$J$451),0),
IF('TL04'!$B$3=K$3,SUMIF('TL04'!$C$10:$C$224,$C236,'TL04'!$J$10:$J$224),0),
IF('TL04'!$B$229=K$3,SUMIF('TL04'!$C$238:$C$451,$C236,'TL04'!$J$238:$J$451),0),
IF('TL05'!$B$3=K$3,SUMIF('TL05'!$C$10:$C$224,$C236,'TL05'!$J$10:$J$224),0),
IF('TL05'!$B$229=K$3,SUMIF('TL05'!$C$238:$C$451,$C236,'TL05'!$J$238:$J$451),0),
IF('TL06'!$B$3=K$3,SUMIF('TL06'!$C$10:$C$224,$C236,'TL06'!$J$10:$J$224),0),
IF('TL06'!$B$229=K$3,SUMIF('TL06'!$C$238:$C$451,$C236,'TL06'!$J$238:$J$451),0),
IF('TL07'!$B$3=K$3,SUMIF('TL07'!$C$10:$C$224,$C236,'TL07'!$J$10:$J$224),0),
IF('TL07'!$B$229=K$3,SUMIF('TL07'!$C$238:$C$451,$C236,'TL07'!$J$238:$J$451),0),
IF('TL08'!$B$3=K$3,SUMIF('TL08'!$C$10:$C$224,$C236,'TL08'!$J$10:$J$224),0),
IF('TL08'!$B$229=K$3,SUMIF('TL08'!$C$238:$C$451,$C236,'TL08'!$J$238:$J$451),0),
IF('TL09'!$B$3=K$3,SUMIF('TL09'!$C$10:$C$224,$C236,'TL09'!$J$10:$J$224),0),
IF('TL09'!$B$229=K$3,SUMIF('TL09'!$C$238:$C$451,$C236,'TL09'!$J$238:$J$451),0),
IF('TL10'!$B$3=K$3,SUMIF('TL10'!$C$10:$C$224,$C236,'TL10'!$J$10:$J$224),0),
IF('TL10'!$B$229=K$3,SUMIF('TL10'!$C$238:$C$451,$C236,'TL10'!$J$238:$J$451),0),
IF('TL11'!$B$3=K$3,SUMIF('TL11'!$C$10:$C$224,$C236,'TL11'!$J$10:$J$224),0),
IF('TL11'!$B$229=K$3,SUMIF('TL11'!$C$238:$C$451,$C236,'TL11'!$J$238:$J$451),0),
IF('TL12'!$B$3=K$3,SUMIF('TL12'!$C$10:$C$224,$C236,'TL12'!$J$10:$J$224),0),
IF('TL12'!$B$229=K$3,SUMIF('TL12'!$C$238:$C$451,$C236,'TL12'!$J$238:$J$451),0),
IF('TL13'!$B$3=K$3,SUMIF('TL13'!$C$10:$C$224,$C236,'TL13'!$J$10:$J$224),0),
IF('TL13'!$B$229=K$3,SUMIF('TL13'!$C$238:$C$451,$C236,'TL13'!$J$238:$J$451),0),
IF('TL14'!$B$3=K$3,SUMIF('TL14'!$C$10:$C$224,$C236,'TL14'!$J$10:$J$224),0),
IF('TL14'!$B$229=K$3,SUMIF('TL14'!$C$238:$C$451,$C236,'TL14'!$J$238:$J$451),0),
IF('TL15'!$B$3=K$3,SUMIF('TL15'!$C$10:$C$224,$C236,'TL15'!$J$10:$J$224),0),
IF('TL15'!$B$229=K$3,SUMIF('TL15'!$C$238:$C$451,$C236,'TL15'!$J$238:$J$451),0),
IF('TL16'!$B$3=K$3,SUMIF('TL16'!$C$10:$C$224,$C236,'TL16'!$J$10:$J$224),0),
IF('TL16'!$B$229=K$3,SUMIF('TL16'!$C$238:$C$451,$C236,'TL16'!$J$238:$J$451),0),
IF('TL17'!$B$3=K$3,SUMIF('TL17'!$C$10:$C$224,$C236,'TL17'!$J$10:$J$224),0),
IF('TL17'!$B$229=K$3,SUMIF('TL17'!$C$238:$C$451,$C236,'TL17'!$J$238:$J$451),0),
IF('TL18'!$B$3=K$3,SUMIF('TL18'!$C$10:$C$224,$C236,'TL18'!$J$10:$J$224),0),
IF('TL18'!$B$229=K$3,SUMIF('TL18'!$C$238:$C$451,$C236,'TL18'!$J$238:$J$451),0),
IF('TL19'!$B$3=K$3,SUMIF('TL19'!$C$10:$C$224,$C236,'TL19'!$J$10:$J$224),0),
IF('TL19'!$B$229=K$3,SUMIF('TL19'!$C$238:$C$451,$C236,'TL19'!$J$238:$J$451),0)
),0)</f>
        <v/>
      </c>
      <c r="L236" s="9">
        <f>IFERROR(SUM(
IF('TL01'!$B$3=L$3,SUMIF('TL01'!$C$10:$C$224,$C236,'TL01'!$J$10:$J$224),0),
IF('TL01'!$B$229=L$3,SUMIF('TL01'!$C$238:$C$451,$C236,'TL01'!$J$238:$J$451),0),
IF('TL02'!$B$3=L$3,SUMIF('TL02'!$C$10:$C$224,$C236,'TL02'!$J$10:$J$224),0),
IF('TL02'!$B$229=L$3,SUMIF('TL02'!$C$238:$C$451,$C236,'TL02'!$J$238:$J$451),0),
IF('TL03'!$B$3=L$3,SUMIF('TL03'!$C$10:$C$224,$C236,'TL03'!$J$10:$J$224),0),
IF('TL03'!$B$229=L$3,SUMIF('TL03'!$C$238:$C$451,$C236,'TL03'!$J$238:$J$451),0),
IF('TL04'!$B$3=L$3,SUMIF('TL04'!$C$10:$C$224,$C236,'TL04'!$J$10:$J$224),0),
IF('TL04'!$B$229=L$3,SUMIF('TL04'!$C$238:$C$451,$C236,'TL04'!$J$238:$J$451),0),
IF('TL05'!$B$3=L$3,SUMIF('TL05'!$C$10:$C$224,$C236,'TL05'!$J$10:$J$224),0),
IF('TL05'!$B$229=L$3,SUMIF('TL05'!$C$238:$C$451,$C236,'TL05'!$J$238:$J$451),0),
IF('TL06'!$B$3=L$3,SUMIF('TL06'!$C$10:$C$224,$C236,'TL06'!$J$10:$J$224),0),
IF('TL06'!$B$229=L$3,SUMIF('TL06'!$C$238:$C$451,$C236,'TL06'!$J$238:$J$451),0),
IF('TL07'!$B$3=L$3,SUMIF('TL07'!$C$10:$C$224,$C236,'TL07'!$J$10:$J$224),0),
IF('TL07'!$B$229=L$3,SUMIF('TL07'!$C$238:$C$451,$C236,'TL07'!$J$238:$J$451),0),
IF('TL08'!$B$3=L$3,SUMIF('TL08'!$C$10:$C$224,$C236,'TL08'!$J$10:$J$224),0),
IF('TL08'!$B$229=L$3,SUMIF('TL08'!$C$238:$C$451,$C236,'TL08'!$J$238:$J$451),0),
IF('TL09'!$B$3=L$3,SUMIF('TL09'!$C$10:$C$224,$C236,'TL09'!$J$10:$J$224),0),
IF('TL09'!$B$229=L$3,SUMIF('TL09'!$C$238:$C$451,$C236,'TL09'!$J$238:$J$451),0),
IF('TL10'!$B$3=L$3,SUMIF('TL10'!$C$10:$C$224,$C236,'TL10'!$J$10:$J$224),0),
IF('TL10'!$B$229=L$3,SUMIF('TL10'!$C$238:$C$451,$C236,'TL10'!$J$238:$J$451),0),
IF('TL11'!$B$3=L$3,SUMIF('TL11'!$C$10:$C$224,$C236,'TL11'!$J$10:$J$224),0),
IF('TL11'!$B$229=L$3,SUMIF('TL11'!$C$238:$C$451,$C236,'TL11'!$J$238:$J$451),0),
IF('TL12'!$B$3=L$3,SUMIF('TL12'!$C$10:$C$224,$C236,'TL12'!$J$10:$J$224),0),
IF('TL12'!$B$229=L$3,SUMIF('TL12'!$C$238:$C$451,$C236,'TL12'!$J$238:$J$451),0),
IF('TL13'!$B$3=L$3,SUMIF('TL13'!$C$10:$C$224,$C236,'TL13'!$J$10:$J$224),0),
IF('TL13'!$B$229=L$3,SUMIF('TL13'!$C$238:$C$451,$C236,'TL13'!$J$238:$J$451),0),
IF('TL14'!$B$3=L$3,SUMIF('TL14'!$C$10:$C$224,$C236,'TL14'!$J$10:$J$224),0),
IF('TL14'!$B$229=L$3,SUMIF('TL14'!$C$238:$C$451,$C236,'TL14'!$J$238:$J$451),0),
IF('TL15'!$B$3=L$3,SUMIF('TL15'!$C$10:$C$224,$C236,'TL15'!$J$10:$J$224),0),
IF('TL15'!$B$229=L$3,SUMIF('TL15'!$C$238:$C$451,$C236,'TL15'!$J$238:$J$451),0),
IF('TL16'!$B$3=L$3,SUMIF('TL16'!$C$10:$C$224,$C236,'TL16'!$J$10:$J$224),0),
IF('TL16'!$B$229=L$3,SUMIF('TL16'!$C$238:$C$451,$C236,'TL16'!$J$238:$J$451),0),
IF('TL17'!$B$3=L$3,SUMIF('TL17'!$C$10:$C$224,$C236,'TL17'!$J$10:$J$224),0),
IF('TL17'!$B$229=L$3,SUMIF('TL17'!$C$238:$C$451,$C236,'TL17'!$J$238:$J$451),0),
IF('TL18'!$B$3=L$3,SUMIF('TL18'!$C$10:$C$224,$C236,'TL18'!$J$10:$J$224),0),
IF('TL18'!$B$229=L$3,SUMIF('TL18'!$C$238:$C$451,$C236,'TL18'!$J$238:$J$451),0),
IF('TL19'!$B$3=L$3,SUMIF('TL19'!$C$10:$C$224,$C236,'TL19'!$J$10:$J$224),0),
IF('TL19'!$B$229=L$3,SUMIF('TL19'!$C$238:$C$451,$C236,'TL19'!$J$238:$J$451),0)
),0)</f>
        <v/>
      </c>
      <c r="M236" s="9">
        <f>IFERROR(SUM(
IF('TL01'!$B$3=M$3,SUMIF('TL01'!$C$10:$C$224,$C236,'TL01'!$J$10:$J$224),0),
IF('TL01'!$B$229=M$3,SUMIF('TL01'!$C$238:$C$451,$C236,'TL01'!$J$238:$J$451),0),
IF('TL02'!$B$3=M$3,SUMIF('TL02'!$C$10:$C$224,$C236,'TL02'!$J$10:$J$224),0),
IF('TL02'!$B$229=M$3,SUMIF('TL02'!$C$238:$C$451,$C236,'TL02'!$J$238:$J$451),0),
IF('TL03'!$B$3=M$3,SUMIF('TL03'!$C$10:$C$224,$C236,'TL03'!$J$10:$J$224),0),
IF('TL03'!$B$229=M$3,SUMIF('TL03'!$C$238:$C$451,$C236,'TL03'!$J$238:$J$451),0),
IF('TL04'!$B$3=M$3,SUMIF('TL04'!$C$10:$C$224,$C236,'TL04'!$J$10:$J$224),0),
IF('TL04'!$B$229=M$3,SUMIF('TL04'!$C$238:$C$451,$C236,'TL04'!$J$238:$J$451),0),
IF('TL05'!$B$3=M$3,SUMIF('TL05'!$C$10:$C$224,$C236,'TL05'!$J$10:$J$224),0),
IF('TL05'!$B$229=M$3,SUMIF('TL05'!$C$238:$C$451,$C236,'TL05'!$J$238:$J$451),0),
IF('TL06'!$B$3=M$3,SUMIF('TL06'!$C$10:$C$224,$C236,'TL06'!$J$10:$J$224),0),
IF('TL06'!$B$229=M$3,SUMIF('TL06'!$C$238:$C$451,$C236,'TL06'!$J$238:$J$451),0),
IF('TL07'!$B$3=M$3,SUMIF('TL07'!$C$10:$C$224,$C236,'TL07'!$J$10:$J$224),0),
IF('TL07'!$B$229=M$3,SUMIF('TL07'!$C$238:$C$451,$C236,'TL07'!$J$238:$J$451),0),
IF('TL08'!$B$3=M$3,SUMIF('TL08'!$C$10:$C$224,$C236,'TL08'!$J$10:$J$224),0),
IF('TL08'!$B$229=M$3,SUMIF('TL08'!$C$238:$C$451,$C236,'TL08'!$J$238:$J$451),0),
IF('TL09'!$B$3=M$3,SUMIF('TL09'!$C$10:$C$224,$C236,'TL09'!$J$10:$J$224),0),
IF('TL09'!$B$229=M$3,SUMIF('TL09'!$C$238:$C$451,$C236,'TL09'!$J$238:$J$451),0),
IF('TL10'!$B$3=M$3,SUMIF('TL10'!$C$10:$C$224,$C236,'TL10'!$J$10:$J$224),0),
IF('TL10'!$B$229=M$3,SUMIF('TL10'!$C$238:$C$451,$C236,'TL10'!$J$238:$J$451),0),
IF('TL11'!$B$3=M$3,SUMIF('TL11'!$C$10:$C$224,$C236,'TL11'!$J$10:$J$224),0),
IF('TL11'!$B$229=M$3,SUMIF('TL11'!$C$238:$C$451,$C236,'TL11'!$J$238:$J$451),0),
IF('TL12'!$B$3=M$3,SUMIF('TL12'!$C$10:$C$224,$C236,'TL12'!$J$10:$J$224),0),
IF('TL12'!$B$229=M$3,SUMIF('TL12'!$C$238:$C$451,$C236,'TL12'!$J$238:$J$451),0),
IF('TL13'!$B$3=M$3,SUMIF('TL13'!$C$10:$C$224,$C236,'TL13'!$J$10:$J$224),0),
IF('TL13'!$B$229=M$3,SUMIF('TL13'!$C$238:$C$451,$C236,'TL13'!$J$238:$J$451),0),
IF('TL14'!$B$3=M$3,SUMIF('TL14'!$C$10:$C$224,$C236,'TL14'!$J$10:$J$224),0),
IF('TL14'!$B$229=M$3,SUMIF('TL14'!$C$238:$C$451,$C236,'TL14'!$J$238:$J$451),0),
IF('TL15'!$B$3=M$3,SUMIF('TL15'!$C$10:$C$224,$C236,'TL15'!$J$10:$J$224),0),
IF('TL15'!$B$229=M$3,SUMIF('TL15'!$C$238:$C$451,$C236,'TL15'!$J$238:$J$451),0),
IF('TL16'!$B$3=M$3,SUMIF('TL16'!$C$10:$C$224,$C236,'TL16'!$J$10:$J$224),0),
IF('TL16'!$B$229=M$3,SUMIF('TL16'!$C$238:$C$451,$C236,'TL16'!$J$238:$J$451),0),
IF('TL17'!$B$3=M$3,SUMIF('TL17'!$C$10:$C$224,$C236,'TL17'!$J$10:$J$224),0),
IF('TL17'!$B$229=M$3,SUMIF('TL17'!$C$238:$C$451,$C236,'TL17'!$J$238:$J$451),0),
IF('TL18'!$B$3=M$3,SUMIF('TL18'!$C$10:$C$224,$C236,'TL18'!$J$10:$J$224),0),
IF('TL18'!$B$229=M$3,SUMIF('TL18'!$C$238:$C$451,$C236,'TL18'!$J$238:$J$451),0),
IF('TL19'!$B$3=M$3,SUMIF('TL19'!$C$10:$C$224,$C236,'TL19'!$J$10:$J$224),0),
IF('TL19'!$B$229=M$3,SUMIF('TL19'!$C$238:$C$451,$C236,'TL19'!$J$238:$J$451),0)
),0)</f>
        <v/>
      </c>
      <c r="N236" s="9">
        <f>IFERROR(SUM(
IF('TL01'!$B$3=N$3,SUMIF('TL01'!$C$10:$C$224,$C236,'TL01'!$J$10:$J$224),0),
IF('TL01'!$B$229=N$3,SUMIF('TL01'!$C$238:$C$451,$C236,'TL01'!$J$238:$J$451),0),
IF('TL02'!$B$3=N$3,SUMIF('TL02'!$C$10:$C$224,$C236,'TL02'!$J$10:$J$224),0),
IF('TL02'!$B$229=N$3,SUMIF('TL02'!$C$238:$C$451,$C236,'TL02'!$J$238:$J$451),0),
IF('TL03'!$B$3=N$3,SUMIF('TL03'!$C$10:$C$224,$C236,'TL03'!$J$10:$J$224),0),
IF('TL03'!$B$229=N$3,SUMIF('TL03'!$C$238:$C$451,$C236,'TL03'!$J$238:$J$451),0),
IF('TL04'!$B$3=N$3,SUMIF('TL04'!$C$10:$C$224,$C236,'TL04'!$J$10:$J$224),0),
IF('TL04'!$B$229=N$3,SUMIF('TL04'!$C$238:$C$451,$C236,'TL04'!$J$238:$J$451),0),
IF('TL05'!$B$3=N$3,SUMIF('TL05'!$C$10:$C$224,$C236,'TL05'!$J$10:$J$224),0),
IF('TL05'!$B$229=N$3,SUMIF('TL05'!$C$238:$C$451,$C236,'TL05'!$J$238:$J$451),0),
IF('TL06'!$B$3=N$3,SUMIF('TL06'!$C$10:$C$224,$C236,'TL06'!$J$10:$J$224),0),
IF('TL06'!$B$229=N$3,SUMIF('TL06'!$C$238:$C$451,$C236,'TL06'!$J$238:$J$451),0),
IF('TL07'!$B$3=N$3,SUMIF('TL07'!$C$10:$C$224,$C236,'TL07'!$J$10:$J$224),0),
IF('TL07'!$B$229=N$3,SUMIF('TL07'!$C$238:$C$451,$C236,'TL07'!$J$238:$J$451),0),
IF('TL08'!$B$3=N$3,SUMIF('TL08'!$C$10:$C$224,$C236,'TL08'!$J$10:$J$224),0),
IF('TL08'!$B$229=N$3,SUMIF('TL08'!$C$238:$C$451,$C236,'TL08'!$J$238:$J$451),0),
IF('TL09'!$B$3=N$3,SUMIF('TL09'!$C$10:$C$224,$C236,'TL09'!$J$10:$J$224),0),
IF('TL09'!$B$229=N$3,SUMIF('TL09'!$C$238:$C$451,$C236,'TL09'!$J$238:$J$451),0),
IF('TL10'!$B$3=N$3,SUMIF('TL10'!$C$10:$C$224,$C236,'TL10'!$J$10:$J$224),0),
IF('TL10'!$B$229=N$3,SUMIF('TL10'!$C$238:$C$451,$C236,'TL10'!$J$238:$J$451),0),
IF('TL11'!$B$3=N$3,SUMIF('TL11'!$C$10:$C$224,$C236,'TL11'!$J$10:$J$224),0),
IF('TL11'!$B$229=N$3,SUMIF('TL11'!$C$238:$C$451,$C236,'TL11'!$J$238:$J$451),0),
IF('TL12'!$B$3=N$3,SUMIF('TL12'!$C$10:$C$224,$C236,'TL12'!$J$10:$J$224),0),
IF('TL12'!$B$229=N$3,SUMIF('TL12'!$C$238:$C$451,$C236,'TL12'!$J$238:$J$451),0),
IF('TL13'!$B$3=N$3,SUMIF('TL13'!$C$10:$C$224,$C236,'TL13'!$J$10:$J$224),0),
IF('TL13'!$B$229=N$3,SUMIF('TL13'!$C$238:$C$451,$C236,'TL13'!$J$238:$J$451),0),
IF('TL14'!$B$3=N$3,SUMIF('TL14'!$C$10:$C$224,$C236,'TL14'!$J$10:$J$224),0),
IF('TL14'!$B$229=N$3,SUMIF('TL14'!$C$238:$C$451,$C236,'TL14'!$J$238:$J$451),0),
IF('TL15'!$B$3=N$3,SUMIF('TL15'!$C$10:$C$224,$C236,'TL15'!$J$10:$J$224),0),
IF('TL15'!$B$229=N$3,SUMIF('TL15'!$C$238:$C$451,$C236,'TL15'!$J$238:$J$451),0),
IF('TL16'!$B$3=N$3,SUMIF('TL16'!$C$10:$C$224,$C236,'TL16'!$J$10:$J$224),0),
IF('TL16'!$B$229=N$3,SUMIF('TL16'!$C$238:$C$451,$C236,'TL16'!$J$238:$J$451),0),
IF('TL17'!$B$3=N$3,SUMIF('TL17'!$C$10:$C$224,$C236,'TL17'!$J$10:$J$224),0),
IF('TL17'!$B$229=N$3,SUMIF('TL17'!$C$238:$C$451,$C236,'TL17'!$J$238:$J$451),0),
IF('TL18'!$B$3=N$3,SUMIF('TL18'!$C$10:$C$224,$C236,'TL18'!$J$10:$J$224),0),
IF('TL18'!$B$229=N$3,SUMIF('TL18'!$C$238:$C$451,$C236,'TL18'!$J$238:$J$451),0),
IF('TL19'!$B$3=N$3,SUMIF('TL19'!$C$10:$C$224,$C236,'TL19'!$J$10:$J$224),0),
IF('TL19'!$B$229=N$3,SUMIF('TL19'!$C$238:$C$451,$C236,'TL19'!$J$238:$J$451),0)
),0)</f>
        <v/>
      </c>
      <c r="O236" s="9">
        <f>IFERROR(SUM(
IF('TL01'!$B$3=O$3,SUMIF('TL01'!$C$10:$C$224,$C236,'TL01'!$J$10:$J$224),0),
IF('TL01'!$B$229=O$3,SUMIF('TL01'!$C$238:$C$451,$C236,'TL01'!$J$238:$J$451),0),
IF('TL02'!$B$3=O$3,SUMIF('TL02'!$C$10:$C$224,$C236,'TL02'!$J$10:$J$224),0),
IF('TL02'!$B$229=O$3,SUMIF('TL02'!$C$238:$C$451,$C236,'TL02'!$J$238:$J$451),0),
IF('TL03'!$B$3=O$3,SUMIF('TL03'!$C$10:$C$224,$C236,'TL03'!$J$10:$J$224),0),
IF('TL03'!$B$229=O$3,SUMIF('TL03'!$C$238:$C$451,$C236,'TL03'!$J$238:$J$451),0),
IF('TL04'!$B$3=O$3,SUMIF('TL04'!$C$10:$C$224,$C236,'TL04'!$J$10:$J$224),0),
IF('TL04'!$B$229=O$3,SUMIF('TL04'!$C$238:$C$451,$C236,'TL04'!$J$238:$J$451),0),
IF('TL05'!$B$3=O$3,SUMIF('TL05'!$C$10:$C$224,$C236,'TL05'!$J$10:$J$224),0),
IF('TL05'!$B$229=O$3,SUMIF('TL05'!$C$238:$C$451,$C236,'TL05'!$J$238:$J$451),0),
IF('TL06'!$B$3=O$3,SUMIF('TL06'!$C$10:$C$224,$C236,'TL06'!$J$10:$J$224),0),
IF('TL06'!$B$229=O$3,SUMIF('TL06'!$C$238:$C$451,$C236,'TL06'!$J$238:$J$451),0),
IF('TL07'!$B$3=O$3,SUMIF('TL07'!$C$10:$C$224,$C236,'TL07'!$J$10:$J$224),0),
IF('TL07'!$B$229=O$3,SUMIF('TL07'!$C$238:$C$451,$C236,'TL07'!$J$238:$J$451),0),
IF('TL08'!$B$3=O$3,SUMIF('TL08'!$C$10:$C$224,$C236,'TL08'!$J$10:$J$224),0),
IF('TL08'!$B$229=O$3,SUMIF('TL08'!$C$238:$C$451,$C236,'TL08'!$J$238:$J$451),0),
IF('TL09'!$B$3=O$3,SUMIF('TL09'!$C$10:$C$224,$C236,'TL09'!$J$10:$J$224),0),
IF('TL09'!$B$229=O$3,SUMIF('TL09'!$C$238:$C$451,$C236,'TL09'!$J$238:$J$451),0),
IF('TL10'!$B$3=O$3,SUMIF('TL10'!$C$10:$C$224,$C236,'TL10'!$J$10:$J$224),0),
IF('TL10'!$B$229=O$3,SUMIF('TL10'!$C$238:$C$451,$C236,'TL10'!$J$238:$J$451),0),
IF('TL11'!$B$3=O$3,SUMIF('TL11'!$C$10:$C$224,$C236,'TL11'!$J$10:$J$224),0),
IF('TL11'!$B$229=O$3,SUMIF('TL11'!$C$238:$C$451,$C236,'TL11'!$J$238:$J$451),0),
IF('TL12'!$B$3=O$3,SUMIF('TL12'!$C$10:$C$224,$C236,'TL12'!$J$10:$J$224),0),
IF('TL12'!$B$229=O$3,SUMIF('TL12'!$C$238:$C$451,$C236,'TL12'!$J$238:$J$451),0),
IF('TL13'!$B$3=O$3,SUMIF('TL13'!$C$10:$C$224,$C236,'TL13'!$J$10:$J$224),0),
IF('TL13'!$B$229=O$3,SUMIF('TL13'!$C$238:$C$451,$C236,'TL13'!$J$238:$J$451),0),
IF('TL14'!$B$3=O$3,SUMIF('TL14'!$C$10:$C$224,$C236,'TL14'!$J$10:$J$224),0),
IF('TL14'!$B$229=O$3,SUMIF('TL14'!$C$238:$C$451,$C236,'TL14'!$J$238:$J$451),0),
IF('TL15'!$B$3=O$3,SUMIF('TL15'!$C$10:$C$224,$C236,'TL15'!$J$10:$J$224),0),
IF('TL15'!$B$229=O$3,SUMIF('TL15'!$C$238:$C$451,$C236,'TL15'!$J$238:$J$451),0),
IF('TL16'!$B$3=O$3,SUMIF('TL16'!$C$10:$C$224,$C236,'TL16'!$J$10:$J$224),0),
IF('TL16'!$B$229=O$3,SUMIF('TL16'!$C$238:$C$451,$C236,'TL16'!$J$238:$J$451),0),
IF('TL17'!$B$3=O$3,SUMIF('TL17'!$C$10:$C$224,$C236,'TL17'!$J$10:$J$224),0),
IF('TL17'!$B$229=O$3,SUMIF('TL17'!$C$238:$C$451,$C236,'TL17'!$J$238:$J$451),0),
IF('TL18'!$B$3=O$3,SUMIF('TL18'!$C$10:$C$224,$C236,'TL18'!$J$10:$J$224),0),
IF('TL18'!$B$229=O$3,SUMIF('TL18'!$C$238:$C$451,$C236,'TL18'!$J$238:$J$451),0),
IF('TL19'!$B$3=O$3,SUMIF('TL19'!$C$10:$C$224,$C236,'TL19'!$J$10:$J$224),0),
IF('TL19'!$B$229=O$3,SUMIF('TL19'!$C$238:$C$451,$C236,'TL19'!$J$238:$J$451),0)
),0)</f>
        <v/>
      </c>
      <c r="P236" s="9">
        <f>IFERROR(SUM(
IF('TL01'!$B$3=P$3,SUMIF('TL01'!$C$10:$C$224,$C236,'TL01'!$J$10:$J$224),0),
IF('TL01'!$B$229=P$3,SUMIF('TL01'!$C$238:$C$451,$C236,'TL01'!$J$238:$J$451),0),
IF('TL02'!$B$3=P$3,SUMIF('TL02'!$C$10:$C$224,$C236,'TL02'!$J$10:$J$224),0),
IF('TL02'!$B$229=P$3,SUMIF('TL02'!$C$238:$C$451,$C236,'TL02'!$J$238:$J$451),0),
IF('TL03'!$B$3=P$3,SUMIF('TL03'!$C$10:$C$224,$C236,'TL03'!$J$10:$J$224),0),
IF('TL03'!$B$229=P$3,SUMIF('TL03'!$C$238:$C$451,$C236,'TL03'!$J$238:$J$451),0),
IF('TL04'!$B$3=P$3,SUMIF('TL04'!$C$10:$C$224,$C236,'TL04'!$J$10:$J$224),0),
IF('TL04'!$B$229=P$3,SUMIF('TL04'!$C$238:$C$451,$C236,'TL04'!$J$238:$J$451),0),
IF('TL05'!$B$3=P$3,SUMIF('TL05'!$C$10:$C$224,$C236,'TL05'!$J$10:$J$224),0),
IF('TL05'!$B$229=P$3,SUMIF('TL05'!$C$238:$C$451,$C236,'TL05'!$J$238:$J$451),0),
IF('TL06'!$B$3=P$3,SUMIF('TL06'!$C$10:$C$224,$C236,'TL06'!$J$10:$J$224),0),
IF('TL06'!$B$229=P$3,SUMIF('TL06'!$C$238:$C$451,$C236,'TL06'!$J$238:$J$451),0),
IF('TL07'!$B$3=P$3,SUMIF('TL07'!$C$10:$C$224,$C236,'TL07'!$J$10:$J$224),0),
IF('TL07'!$B$229=P$3,SUMIF('TL07'!$C$238:$C$451,$C236,'TL07'!$J$238:$J$451),0),
IF('TL08'!$B$3=P$3,SUMIF('TL08'!$C$10:$C$224,$C236,'TL08'!$J$10:$J$224),0),
IF('TL08'!$B$229=P$3,SUMIF('TL08'!$C$238:$C$451,$C236,'TL08'!$J$238:$J$451),0),
IF('TL09'!$B$3=P$3,SUMIF('TL09'!$C$10:$C$224,$C236,'TL09'!$J$10:$J$224),0),
IF('TL09'!$B$229=P$3,SUMIF('TL09'!$C$238:$C$451,$C236,'TL09'!$J$238:$J$451),0),
IF('TL10'!$B$3=P$3,SUMIF('TL10'!$C$10:$C$224,$C236,'TL10'!$J$10:$J$224),0),
IF('TL10'!$B$229=P$3,SUMIF('TL10'!$C$238:$C$451,$C236,'TL10'!$J$238:$J$451),0),
IF('TL11'!$B$3=P$3,SUMIF('TL11'!$C$10:$C$224,$C236,'TL11'!$J$10:$J$224),0),
IF('TL11'!$B$229=P$3,SUMIF('TL11'!$C$238:$C$451,$C236,'TL11'!$J$238:$J$451),0),
IF('TL12'!$B$3=P$3,SUMIF('TL12'!$C$10:$C$224,$C236,'TL12'!$J$10:$J$224),0),
IF('TL12'!$B$229=P$3,SUMIF('TL12'!$C$238:$C$451,$C236,'TL12'!$J$238:$J$451),0),
IF('TL13'!$B$3=P$3,SUMIF('TL13'!$C$10:$C$224,$C236,'TL13'!$J$10:$J$224),0),
IF('TL13'!$B$229=P$3,SUMIF('TL13'!$C$238:$C$451,$C236,'TL13'!$J$238:$J$451),0),
IF('TL14'!$B$3=P$3,SUMIF('TL14'!$C$10:$C$224,$C236,'TL14'!$J$10:$J$224),0),
IF('TL14'!$B$229=P$3,SUMIF('TL14'!$C$238:$C$451,$C236,'TL14'!$J$238:$J$451),0),
IF('TL15'!$B$3=P$3,SUMIF('TL15'!$C$10:$C$224,$C236,'TL15'!$J$10:$J$224),0),
IF('TL15'!$B$229=P$3,SUMIF('TL15'!$C$238:$C$451,$C236,'TL15'!$J$238:$J$451),0),
IF('TL16'!$B$3=P$3,SUMIF('TL16'!$C$10:$C$224,$C236,'TL16'!$J$10:$J$224),0),
IF('TL16'!$B$229=P$3,SUMIF('TL16'!$C$238:$C$451,$C236,'TL16'!$J$238:$J$451),0),
IF('TL17'!$B$3=P$3,SUMIF('TL17'!$C$10:$C$224,$C236,'TL17'!$J$10:$J$224),0),
IF('TL17'!$B$229=P$3,SUMIF('TL17'!$C$238:$C$451,$C236,'TL17'!$J$238:$J$451),0),
IF('TL18'!$B$3=P$3,SUMIF('TL18'!$C$10:$C$224,$C236,'TL18'!$J$10:$J$224),0),
IF('TL18'!$B$229=P$3,SUMIF('TL18'!$C$238:$C$451,$C236,'TL18'!$J$238:$J$451),0),
IF('TL19'!$B$3=P$3,SUMIF('TL19'!$C$10:$C$224,$C236,'TL19'!$J$10:$J$224),0),
IF('TL19'!$B$229=P$3,SUMIF('TL19'!$C$238:$C$451,$C236,'TL19'!$J$238:$J$451),0)
),0)</f>
        <v/>
      </c>
      <c r="Q236" s="9">
        <f>IFERROR(SUM(
IF('TL01'!$B$3=Q$3,SUMIF('TL01'!$C$10:$C$224,$C236,'TL01'!$J$10:$J$224),0),
IF('TL01'!$B$229=Q$3,SUMIF('TL01'!$C$238:$C$451,$C236,'TL01'!$J$238:$J$451),0),
IF('TL02'!$B$3=Q$3,SUMIF('TL02'!$C$10:$C$224,$C236,'TL02'!$J$10:$J$224),0),
IF('TL02'!$B$229=Q$3,SUMIF('TL02'!$C$238:$C$451,$C236,'TL02'!$J$238:$J$451),0),
IF('TL03'!$B$3=Q$3,SUMIF('TL03'!$C$10:$C$224,$C236,'TL03'!$J$10:$J$224),0),
IF('TL03'!$B$229=Q$3,SUMIF('TL03'!$C$238:$C$451,$C236,'TL03'!$J$238:$J$451),0),
IF('TL04'!$B$3=Q$3,SUMIF('TL04'!$C$10:$C$224,$C236,'TL04'!$J$10:$J$224),0),
IF('TL04'!$B$229=Q$3,SUMIF('TL04'!$C$238:$C$451,$C236,'TL04'!$J$238:$J$451),0),
IF('TL05'!$B$3=Q$3,SUMIF('TL05'!$C$10:$C$224,$C236,'TL05'!$J$10:$J$224),0),
IF('TL05'!$B$229=Q$3,SUMIF('TL05'!$C$238:$C$451,$C236,'TL05'!$J$238:$J$451),0),
IF('TL06'!$B$3=Q$3,SUMIF('TL06'!$C$10:$C$224,$C236,'TL06'!$J$10:$J$224),0),
IF('TL06'!$B$229=Q$3,SUMIF('TL06'!$C$238:$C$451,$C236,'TL06'!$J$238:$J$451),0),
IF('TL07'!$B$3=Q$3,SUMIF('TL07'!$C$10:$C$224,$C236,'TL07'!$J$10:$J$224),0),
IF('TL07'!$B$229=Q$3,SUMIF('TL07'!$C$238:$C$451,$C236,'TL07'!$J$238:$J$451),0),
IF('TL08'!$B$3=Q$3,SUMIF('TL08'!$C$10:$C$224,$C236,'TL08'!$J$10:$J$224),0),
IF('TL08'!$B$229=Q$3,SUMIF('TL08'!$C$238:$C$451,$C236,'TL08'!$J$238:$J$451),0),
IF('TL09'!$B$3=Q$3,SUMIF('TL09'!$C$10:$C$224,$C236,'TL09'!$J$10:$J$224),0),
IF('TL09'!$B$229=Q$3,SUMIF('TL09'!$C$238:$C$451,$C236,'TL09'!$J$238:$J$451),0),
IF('TL10'!$B$3=Q$3,SUMIF('TL10'!$C$10:$C$224,$C236,'TL10'!$J$10:$J$224),0),
IF('TL10'!$B$229=Q$3,SUMIF('TL10'!$C$238:$C$451,$C236,'TL10'!$J$238:$J$451),0),
IF('TL11'!$B$3=Q$3,SUMIF('TL11'!$C$10:$C$224,$C236,'TL11'!$J$10:$J$224),0),
IF('TL11'!$B$229=Q$3,SUMIF('TL11'!$C$238:$C$451,$C236,'TL11'!$J$238:$J$451),0),
IF('TL12'!$B$3=Q$3,SUMIF('TL12'!$C$10:$C$224,$C236,'TL12'!$J$10:$J$224),0),
IF('TL12'!$B$229=Q$3,SUMIF('TL12'!$C$238:$C$451,$C236,'TL12'!$J$238:$J$451),0),
IF('TL13'!$B$3=Q$3,SUMIF('TL13'!$C$10:$C$224,$C236,'TL13'!$J$10:$J$224),0),
IF('TL13'!$B$229=Q$3,SUMIF('TL13'!$C$238:$C$451,$C236,'TL13'!$J$238:$J$451),0),
IF('TL14'!$B$3=Q$3,SUMIF('TL14'!$C$10:$C$224,$C236,'TL14'!$J$10:$J$224),0),
IF('TL14'!$B$229=Q$3,SUMIF('TL14'!$C$238:$C$451,$C236,'TL14'!$J$238:$J$451),0),
IF('TL15'!$B$3=Q$3,SUMIF('TL15'!$C$10:$C$224,$C236,'TL15'!$J$10:$J$224),0),
IF('TL15'!$B$229=Q$3,SUMIF('TL15'!$C$238:$C$451,$C236,'TL15'!$J$238:$J$451),0),
IF('TL16'!$B$3=Q$3,SUMIF('TL16'!$C$10:$C$224,$C236,'TL16'!$J$10:$J$224),0),
IF('TL16'!$B$229=Q$3,SUMIF('TL16'!$C$238:$C$451,$C236,'TL16'!$J$238:$J$451),0),
IF('TL17'!$B$3=Q$3,SUMIF('TL17'!$C$10:$C$224,$C236,'TL17'!$J$10:$J$224),0),
IF('TL17'!$B$229=Q$3,SUMIF('TL17'!$C$238:$C$451,$C236,'TL17'!$J$238:$J$451),0),
IF('TL18'!$B$3=Q$3,SUMIF('TL18'!$C$10:$C$224,$C236,'TL18'!$J$10:$J$224),0),
IF('TL18'!$B$229=Q$3,SUMIF('TL18'!$C$238:$C$451,$C236,'TL18'!$J$238:$J$451),0),
IF('TL19'!$B$3=Q$3,SUMIF('TL19'!$C$10:$C$224,$C236,'TL19'!$J$10:$J$224),0),
IF('TL19'!$B$229=Q$3,SUMIF('TL19'!$C$238:$C$451,$C236,'TL19'!$J$238:$J$451),0)
),0)</f>
        <v/>
      </c>
      <c r="R236" s="9">
        <f>IFERROR(
SUM(
SUMIF('TL01'!C:C,C236,'TL01'!J:J),
SUMIF('TL02'!C:C,C236,'TL02'!J:J),
SUMIF('TL03'!C:C,C236,'TL03'!J:J),
SUMIF('TL04'!C:C,C236,'TL04'!J:J),
SUMIF('TL05'!C:C,C236,'TL05'!J:J),
SUMIF('TL06'!C:C,C236,'TL06'!J:J),
SUMIF('TL07'!C:C,C236,'TL07'!J:J),
SUMIF('TL08'!C:C,C236,'TL08'!J:J),
SUMIF('TL09'!C:C,C236,'TL09'!J:J),
SUMIF('TL10'!C:C,C236,'TL10'!J:J),
SUMIF('TL11'!C:C,C236,'TL11'!J:J),
SUMIF('TL12'!C:C,C236,'TL12'!J:J),
SUMIF('TL13'!C:C,C236,'TL13'!J:J),
SUMIF('TL14'!C:C,C236,'TL14'!J:J),
SUMIF('TL15'!C:C,C236,'TL15'!J:J),
SUMIF('TL16'!C:C,C236,'TL16'!J:J),
SUMIF('TL17'!C:C,C236,'TL17'!J:J),
SUMIF('TL18'!C:C,C236,'TL18'!J:J),SUMIF('TL19'!C:C,C236,'TL19'!J:J))
,0)</f>
        <v/>
      </c>
      <c r="S236" s="17">
        <f>IFERROR(__xludf.DUMMYFUNCTION("IFERROR(VLOOKUP(C236,
IMPORTRANGE(""1wULbzX32WdYsx-lj2U3uUNBBe2INVIRDtcK0d-Dvl90"",
""26-27!C:G""),
5,
FALSE),
"""")"),55.92477)</f>
        <v/>
      </c>
      <c r="T236" s="9" t="n"/>
      <c r="U236" s="92">
        <f>MAX(0,R236-T236)</f>
        <v/>
      </c>
      <c r="V236" s="93">
        <f>U236*S236</f>
        <v/>
      </c>
    </row>
    <row r="237" hidden="1" ht="15.75" customHeight="1" s="297">
      <c r="A237" s="94" t="inlineStr">
        <is>
          <t>SYNGENTA</t>
        </is>
      </c>
      <c r="B237" s="95" t="inlineStr">
        <is>
          <t>INSETICIDA</t>
        </is>
      </c>
      <c r="C237" s="96" t="inlineStr">
        <is>
          <t>POLYTRIN</t>
        </is>
      </c>
      <c r="D237" s="96" t="inlineStr">
        <is>
          <t>PROFENOFÓS + CIPERMETRINA</t>
        </is>
      </c>
      <c r="E237" s="96" t="inlineStr">
        <is>
          <t>400 + 40</t>
        </is>
      </c>
      <c r="F237" s="4" t="inlineStr">
        <is>
          <t>L</t>
        </is>
      </c>
      <c r="G237" s="90">
        <f>HYPERLINK("https://www.google.com/search?q=" &amp; C237 &amp; "+bula+agrofit+pdf", "📄 Ver bula")</f>
        <v/>
      </c>
      <c r="H237" s="9">
        <f>IFERROR(__xludf.DUMMYFUNCTION("IFERROR(VLOOKUP(C237,
IMPORTRANGE(""1wULbzX32WdYsx-lj2U3uUNBBe2INVIRDtcK0d-Dvl90"",
""26-27!C:K""),
8,
FALSE),
"""")"),1.0)</f>
        <v/>
      </c>
      <c r="I237" s="97" t="inlineStr">
        <is>
          <t>1x20</t>
        </is>
      </c>
      <c r="J237" s="9">
        <f>IFERROR(SUM(
IF('TL01'!$B$3=J$3,SUMIF('TL01'!$C$10:$C$224,$C237,'TL01'!$J$10:$J$224),0),
IF('TL01'!$B$229=J$3,SUMIF('TL01'!$C$238:$C$451,$C237,'TL01'!$J$238:$J$451),0),
IF('TL02'!$B$3=J$3,SUMIF('TL02'!$C$10:$C$224,$C237,'TL02'!$J$10:$J$224),0),
IF('TL02'!$B$229=J$3,SUMIF('TL02'!$C$238:$C$451,$C237,'TL02'!$J$238:$J$451),0),
IF('TL03'!$B$3=J$3,SUMIF('TL03'!$C$10:$C$224,$C237,'TL03'!$J$10:$J$224),0),
IF('TL03'!$B$229=J$3,SUMIF('TL03'!$C$238:$C$451,$C237,'TL03'!$J$238:$J$451),0),
IF('TL04'!$B$3=J$3,SUMIF('TL04'!$C$10:$C$224,$C237,'TL04'!$J$10:$J$224),0),
IF('TL04'!$B$229=J$3,SUMIF('TL04'!$C$238:$C$451,$C237,'TL04'!$J$238:$J$451),0),
IF('TL05'!$B$3=J$3,SUMIF('TL05'!$C$10:$C$224,$C237,'TL05'!$J$10:$J$224),0),
IF('TL05'!$B$229=J$3,SUMIF('TL05'!$C$238:$C$451,$C237,'TL05'!$J$238:$J$451),0),
IF('TL06'!$B$3=J$3,SUMIF('TL06'!$C$10:$C$224,$C237,'TL06'!$J$10:$J$224),0),
IF('TL06'!$B$229=J$3,SUMIF('TL06'!$C$238:$C$451,$C237,'TL06'!$J$238:$J$451),0),
IF('TL07'!$B$3=J$3,SUMIF('TL07'!$C$10:$C$224,$C237,'TL07'!$J$10:$J$224),0),
IF('TL07'!$B$229=J$3,SUMIF('TL07'!$C$238:$C$451,$C237,'TL07'!$J$238:$J$451),0),
IF('TL08'!$B$3=J$3,SUMIF('TL08'!$C$10:$C$224,$C237,'TL08'!$J$10:$J$224),0),
IF('TL08'!$B$229=J$3,SUMIF('TL08'!$C$238:$C$451,$C237,'TL08'!$J$238:$J$451),0),
IF('TL09'!$B$3=J$3,SUMIF('TL09'!$C$10:$C$224,$C237,'TL09'!$J$10:$J$224),0),
IF('TL09'!$B$229=J$3,SUMIF('TL09'!$C$238:$C$451,$C237,'TL09'!$J$238:$J$451),0),
IF('TL10'!$B$3=J$3,SUMIF('TL10'!$C$10:$C$224,$C237,'TL10'!$J$10:$J$224),0),
IF('TL10'!$B$229=J$3,SUMIF('TL10'!$C$238:$C$451,$C237,'TL10'!$J$238:$J$451),0),
IF('TL11'!$B$3=J$3,SUMIF('TL11'!$C$10:$C$224,$C237,'TL11'!$J$10:$J$224),0),
IF('TL11'!$B$229=J$3,SUMIF('TL11'!$C$238:$C$451,$C237,'TL11'!$J$238:$J$451),0),
IF('TL12'!$B$3=J$3,SUMIF('TL12'!$C$10:$C$224,$C237,'TL12'!$J$10:$J$224),0),
IF('TL12'!$B$229=J$3,SUMIF('TL12'!$C$238:$C$451,$C237,'TL12'!$J$238:$J$451),0),
IF('TL13'!$B$3=J$3,SUMIF('TL13'!$C$10:$C$224,$C237,'TL13'!$J$10:$J$224),0),
IF('TL13'!$B$229=J$3,SUMIF('TL13'!$C$238:$C$451,$C237,'TL13'!$J$238:$J$451),0),
IF('TL14'!$B$3=J$3,SUMIF('TL14'!$C$10:$C$224,$C237,'TL14'!$J$10:$J$224),0),
IF('TL14'!$B$229=J$3,SUMIF('TL14'!$C$238:$C$451,$C237,'TL14'!$J$238:$J$451),0),
IF('TL15'!$B$3=J$3,SUMIF('TL15'!$C$10:$C$224,$C237,'TL15'!$J$10:$J$224),0),
IF('TL15'!$B$229=J$3,SUMIF('TL15'!$C$238:$C$451,$C237,'TL15'!$J$238:$J$451),0),
IF('TL16'!$B$3=J$3,SUMIF('TL16'!$C$10:$C$224,$C237,'TL16'!$J$10:$J$224),0),
IF('TL16'!$B$229=J$3,SUMIF('TL16'!$C$238:$C$451,$C237,'TL16'!$J$238:$J$451),0),
IF('TL17'!$B$3=J$3,SUMIF('TL17'!$C$10:$C$224,$C237,'TL17'!$J$10:$J$224),0),
IF('TL17'!$B$229=J$3,SUMIF('TL17'!$C$238:$C$451,$C237,'TL17'!$J$238:$J$451),0),
IF('TL18'!$B$3=J$3,SUMIF('TL18'!$C$10:$C$224,$C237,'TL18'!$J$10:$J$224),0),
IF('TL18'!$B$229=J$3,SUMIF('TL18'!$C$238:$C$451,$C237,'TL18'!$J$238:$J$451),0),
IF('TL19'!$B$3=J$3,SUMIF('TL19'!$C$10:$C$224,$C237,'TL19'!$J$10:$J$224),0),
IF('TL19'!$B$229=J$3,SUMIF('TL19'!$C$238:$C$451,$C237,'TL19'!$J$238:$J$451),0)
),0)</f>
        <v/>
      </c>
      <c r="K237" s="9">
        <f>IFERROR(SUM(
IF('TL01'!$B$3=K$3,SUMIF('TL01'!$C$10:$C$224,$C237,'TL01'!$J$10:$J$224),0),
IF('TL01'!$B$229=K$3,SUMIF('TL01'!$C$238:$C$451,$C237,'TL01'!$J$238:$J$451),0),
IF('TL02'!$B$3=K$3,SUMIF('TL02'!$C$10:$C$224,$C237,'TL02'!$J$10:$J$224),0),
IF('TL02'!$B$229=K$3,SUMIF('TL02'!$C$238:$C$451,$C237,'TL02'!$J$238:$J$451),0),
IF('TL03'!$B$3=K$3,SUMIF('TL03'!$C$10:$C$224,$C237,'TL03'!$J$10:$J$224),0),
IF('TL03'!$B$229=K$3,SUMIF('TL03'!$C$238:$C$451,$C237,'TL03'!$J$238:$J$451),0),
IF('TL04'!$B$3=K$3,SUMIF('TL04'!$C$10:$C$224,$C237,'TL04'!$J$10:$J$224),0),
IF('TL04'!$B$229=K$3,SUMIF('TL04'!$C$238:$C$451,$C237,'TL04'!$J$238:$J$451),0),
IF('TL05'!$B$3=K$3,SUMIF('TL05'!$C$10:$C$224,$C237,'TL05'!$J$10:$J$224),0),
IF('TL05'!$B$229=K$3,SUMIF('TL05'!$C$238:$C$451,$C237,'TL05'!$J$238:$J$451),0),
IF('TL06'!$B$3=K$3,SUMIF('TL06'!$C$10:$C$224,$C237,'TL06'!$J$10:$J$224),0),
IF('TL06'!$B$229=K$3,SUMIF('TL06'!$C$238:$C$451,$C237,'TL06'!$J$238:$J$451),0),
IF('TL07'!$B$3=K$3,SUMIF('TL07'!$C$10:$C$224,$C237,'TL07'!$J$10:$J$224),0),
IF('TL07'!$B$229=K$3,SUMIF('TL07'!$C$238:$C$451,$C237,'TL07'!$J$238:$J$451),0),
IF('TL08'!$B$3=K$3,SUMIF('TL08'!$C$10:$C$224,$C237,'TL08'!$J$10:$J$224),0),
IF('TL08'!$B$229=K$3,SUMIF('TL08'!$C$238:$C$451,$C237,'TL08'!$J$238:$J$451),0),
IF('TL09'!$B$3=K$3,SUMIF('TL09'!$C$10:$C$224,$C237,'TL09'!$J$10:$J$224),0),
IF('TL09'!$B$229=K$3,SUMIF('TL09'!$C$238:$C$451,$C237,'TL09'!$J$238:$J$451),0),
IF('TL10'!$B$3=K$3,SUMIF('TL10'!$C$10:$C$224,$C237,'TL10'!$J$10:$J$224),0),
IF('TL10'!$B$229=K$3,SUMIF('TL10'!$C$238:$C$451,$C237,'TL10'!$J$238:$J$451),0),
IF('TL11'!$B$3=K$3,SUMIF('TL11'!$C$10:$C$224,$C237,'TL11'!$J$10:$J$224),0),
IF('TL11'!$B$229=K$3,SUMIF('TL11'!$C$238:$C$451,$C237,'TL11'!$J$238:$J$451),0),
IF('TL12'!$B$3=K$3,SUMIF('TL12'!$C$10:$C$224,$C237,'TL12'!$J$10:$J$224),0),
IF('TL12'!$B$229=K$3,SUMIF('TL12'!$C$238:$C$451,$C237,'TL12'!$J$238:$J$451),0),
IF('TL13'!$B$3=K$3,SUMIF('TL13'!$C$10:$C$224,$C237,'TL13'!$J$10:$J$224),0),
IF('TL13'!$B$229=K$3,SUMIF('TL13'!$C$238:$C$451,$C237,'TL13'!$J$238:$J$451),0),
IF('TL14'!$B$3=K$3,SUMIF('TL14'!$C$10:$C$224,$C237,'TL14'!$J$10:$J$224),0),
IF('TL14'!$B$229=K$3,SUMIF('TL14'!$C$238:$C$451,$C237,'TL14'!$J$238:$J$451),0),
IF('TL15'!$B$3=K$3,SUMIF('TL15'!$C$10:$C$224,$C237,'TL15'!$J$10:$J$224),0),
IF('TL15'!$B$229=K$3,SUMIF('TL15'!$C$238:$C$451,$C237,'TL15'!$J$238:$J$451),0),
IF('TL16'!$B$3=K$3,SUMIF('TL16'!$C$10:$C$224,$C237,'TL16'!$J$10:$J$224),0),
IF('TL16'!$B$229=K$3,SUMIF('TL16'!$C$238:$C$451,$C237,'TL16'!$J$238:$J$451),0),
IF('TL17'!$B$3=K$3,SUMIF('TL17'!$C$10:$C$224,$C237,'TL17'!$J$10:$J$224),0),
IF('TL17'!$B$229=K$3,SUMIF('TL17'!$C$238:$C$451,$C237,'TL17'!$J$238:$J$451),0),
IF('TL18'!$B$3=K$3,SUMIF('TL18'!$C$10:$C$224,$C237,'TL18'!$J$10:$J$224),0),
IF('TL18'!$B$229=K$3,SUMIF('TL18'!$C$238:$C$451,$C237,'TL18'!$J$238:$J$451),0),
IF('TL19'!$B$3=K$3,SUMIF('TL19'!$C$10:$C$224,$C237,'TL19'!$J$10:$J$224),0),
IF('TL19'!$B$229=K$3,SUMIF('TL19'!$C$238:$C$451,$C237,'TL19'!$J$238:$J$451),0)
),0)</f>
        <v/>
      </c>
      <c r="L237" s="9">
        <f>IFERROR(SUM(
IF('TL01'!$B$3=L$3,SUMIF('TL01'!$C$10:$C$224,$C237,'TL01'!$J$10:$J$224),0),
IF('TL01'!$B$229=L$3,SUMIF('TL01'!$C$238:$C$451,$C237,'TL01'!$J$238:$J$451),0),
IF('TL02'!$B$3=L$3,SUMIF('TL02'!$C$10:$C$224,$C237,'TL02'!$J$10:$J$224),0),
IF('TL02'!$B$229=L$3,SUMIF('TL02'!$C$238:$C$451,$C237,'TL02'!$J$238:$J$451),0),
IF('TL03'!$B$3=L$3,SUMIF('TL03'!$C$10:$C$224,$C237,'TL03'!$J$10:$J$224),0),
IF('TL03'!$B$229=L$3,SUMIF('TL03'!$C$238:$C$451,$C237,'TL03'!$J$238:$J$451),0),
IF('TL04'!$B$3=L$3,SUMIF('TL04'!$C$10:$C$224,$C237,'TL04'!$J$10:$J$224),0),
IF('TL04'!$B$229=L$3,SUMIF('TL04'!$C$238:$C$451,$C237,'TL04'!$J$238:$J$451),0),
IF('TL05'!$B$3=L$3,SUMIF('TL05'!$C$10:$C$224,$C237,'TL05'!$J$10:$J$224),0),
IF('TL05'!$B$229=L$3,SUMIF('TL05'!$C$238:$C$451,$C237,'TL05'!$J$238:$J$451),0),
IF('TL06'!$B$3=L$3,SUMIF('TL06'!$C$10:$C$224,$C237,'TL06'!$J$10:$J$224),0),
IF('TL06'!$B$229=L$3,SUMIF('TL06'!$C$238:$C$451,$C237,'TL06'!$J$238:$J$451),0),
IF('TL07'!$B$3=L$3,SUMIF('TL07'!$C$10:$C$224,$C237,'TL07'!$J$10:$J$224),0),
IF('TL07'!$B$229=L$3,SUMIF('TL07'!$C$238:$C$451,$C237,'TL07'!$J$238:$J$451),0),
IF('TL08'!$B$3=L$3,SUMIF('TL08'!$C$10:$C$224,$C237,'TL08'!$J$10:$J$224),0),
IF('TL08'!$B$229=L$3,SUMIF('TL08'!$C$238:$C$451,$C237,'TL08'!$J$238:$J$451),0),
IF('TL09'!$B$3=L$3,SUMIF('TL09'!$C$10:$C$224,$C237,'TL09'!$J$10:$J$224),0),
IF('TL09'!$B$229=L$3,SUMIF('TL09'!$C$238:$C$451,$C237,'TL09'!$J$238:$J$451),0),
IF('TL10'!$B$3=L$3,SUMIF('TL10'!$C$10:$C$224,$C237,'TL10'!$J$10:$J$224),0),
IF('TL10'!$B$229=L$3,SUMIF('TL10'!$C$238:$C$451,$C237,'TL10'!$J$238:$J$451),0),
IF('TL11'!$B$3=L$3,SUMIF('TL11'!$C$10:$C$224,$C237,'TL11'!$J$10:$J$224),0),
IF('TL11'!$B$229=L$3,SUMIF('TL11'!$C$238:$C$451,$C237,'TL11'!$J$238:$J$451),0),
IF('TL12'!$B$3=L$3,SUMIF('TL12'!$C$10:$C$224,$C237,'TL12'!$J$10:$J$224),0),
IF('TL12'!$B$229=L$3,SUMIF('TL12'!$C$238:$C$451,$C237,'TL12'!$J$238:$J$451),0),
IF('TL13'!$B$3=L$3,SUMIF('TL13'!$C$10:$C$224,$C237,'TL13'!$J$10:$J$224),0),
IF('TL13'!$B$229=L$3,SUMIF('TL13'!$C$238:$C$451,$C237,'TL13'!$J$238:$J$451),0),
IF('TL14'!$B$3=L$3,SUMIF('TL14'!$C$10:$C$224,$C237,'TL14'!$J$10:$J$224),0),
IF('TL14'!$B$229=L$3,SUMIF('TL14'!$C$238:$C$451,$C237,'TL14'!$J$238:$J$451),0),
IF('TL15'!$B$3=L$3,SUMIF('TL15'!$C$10:$C$224,$C237,'TL15'!$J$10:$J$224),0),
IF('TL15'!$B$229=L$3,SUMIF('TL15'!$C$238:$C$451,$C237,'TL15'!$J$238:$J$451),0),
IF('TL16'!$B$3=L$3,SUMIF('TL16'!$C$10:$C$224,$C237,'TL16'!$J$10:$J$224),0),
IF('TL16'!$B$229=L$3,SUMIF('TL16'!$C$238:$C$451,$C237,'TL16'!$J$238:$J$451),0),
IF('TL17'!$B$3=L$3,SUMIF('TL17'!$C$10:$C$224,$C237,'TL17'!$J$10:$J$224),0),
IF('TL17'!$B$229=L$3,SUMIF('TL17'!$C$238:$C$451,$C237,'TL17'!$J$238:$J$451),0),
IF('TL18'!$B$3=L$3,SUMIF('TL18'!$C$10:$C$224,$C237,'TL18'!$J$10:$J$224),0),
IF('TL18'!$B$229=L$3,SUMIF('TL18'!$C$238:$C$451,$C237,'TL18'!$J$238:$J$451),0),
IF('TL19'!$B$3=L$3,SUMIF('TL19'!$C$10:$C$224,$C237,'TL19'!$J$10:$J$224),0),
IF('TL19'!$B$229=L$3,SUMIF('TL19'!$C$238:$C$451,$C237,'TL19'!$J$238:$J$451),0)
),0)</f>
        <v/>
      </c>
      <c r="M237" s="9">
        <f>IFERROR(SUM(
IF('TL01'!$B$3=M$3,SUMIF('TL01'!$C$10:$C$224,$C237,'TL01'!$J$10:$J$224),0),
IF('TL01'!$B$229=M$3,SUMIF('TL01'!$C$238:$C$451,$C237,'TL01'!$J$238:$J$451),0),
IF('TL02'!$B$3=M$3,SUMIF('TL02'!$C$10:$C$224,$C237,'TL02'!$J$10:$J$224),0),
IF('TL02'!$B$229=M$3,SUMIF('TL02'!$C$238:$C$451,$C237,'TL02'!$J$238:$J$451),0),
IF('TL03'!$B$3=M$3,SUMIF('TL03'!$C$10:$C$224,$C237,'TL03'!$J$10:$J$224),0),
IF('TL03'!$B$229=M$3,SUMIF('TL03'!$C$238:$C$451,$C237,'TL03'!$J$238:$J$451),0),
IF('TL04'!$B$3=M$3,SUMIF('TL04'!$C$10:$C$224,$C237,'TL04'!$J$10:$J$224),0),
IF('TL04'!$B$229=M$3,SUMIF('TL04'!$C$238:$C$451,$C237,'TL04'!$J$238:$J$451),0),
IF('TL05'!$B$3=M$3,SUMIF('TL05'!$C$10:$C$224,$C237,'TL05'!$J$10:$J$224),0),
IF('TL05'!$B$229=M$3,SUMIF('TL05'!$C$238:$C$451,$C237,'TL05'!$J$238:$J$451),0),
IF('TL06'!$B$3=M$3,SUMIF('TL06'!$C$10:$C$224,$C237,'TL06'!$J$10:$J$224),0),
IF('TL06'!$B$229=M$3,SUMIF('TL06'!$C$238:$C$451,$C237,'TL06'!$J$238:$J$451),0),
IF('TL07'!$B$3=M$3,SUMIF('TL07'!$C$10:$C$224,$C237,'TL07'!$J$10:$J$224),0),
IF('TL07'!$B$229=M$3,SUMIF('TL07'!$C$238:$C$451,$C237,'TL07'!$J$238:$J$451),0),
IF('TL08'!$B$3=M$3,SUMIF('TL08'!$C$10:$C$224,$C237,'TL08'!$J$10:$J$224),0),
IF('TL08'!$B$229=M$3,SUMIF('TL08'!$C$238:$C$451,$C237,'TL08'!$J$238:$J$451),0),
IF('TL09'!$B$3=M$3,SUMIF('TL09'!$C$10:$C$224,$C237,'TL09'!$J$10:$J$224),0),
IF('TL09'!$B$229=M$3,SUMIF('TL09'!$C$238:$C$451,$C237,'TL09'!$J$238:$J$451),0),
IF('TL10'!$B$3=M$3,SUMIF('TL10'!$C$10:$C$224,$C237,'TL10'!$J$10:$J$224),0),
IF('TL10'!$B$229=M$3,SUMIF('TL10'!$C$238:$C$451,$C237,'TL10'!$J$238:$J$451),0),
IF('TL11'!$B$3=M$3,SUMIF('TL11'!$C$10:$C$224,$C237,'TL11'!$J$10:$J$224),0),
IF('TL11'!$B$229=M$3,SUMIF('TL11'!$C$238:$C$451,$C237,'TL11'!$J$238:$J$451),0),
IF('TL12'!$B$3=M$3,SUMIF('TL12'!$C$10:$C$224,$C237,'TL12'!$J$10:$J$224),0),
IF('TL12'!$B$229=M$3,SUMIF('TL12'!$C$238:$C$451,$C237,'TL12'!$J$238:$J$451),0),
IF('TL13'!$B$3=M$3,SUMIF('TL13'!$C$10:$C$224,$C237,'TL13'!$J$10:$J$224),0),
IF('TL13'!$B$229=M$3,SUMIF('TL13'!$C$238:$C$451,$C237,'TL13'!$J$238:$J$451),0),
IF('TL14'!$B$3=M$3,SUMIF('TL14'!$C$10:$C$224,$C237,'TL14'!$J$10:$J$224),0),
IF('TL14'!$B$229=M$3,SUMIF('TL14'!$C$238:$C$451,$C237,'TL14'!$J$238:$J$451),0),
IF('TL15'!$B$3=M$3,SUMIF('TL15'!$C$10:$C$224,$C237,'TL15'!$J$10:$J$224),0),
IF('TL15'!$B$229=M$3,SUMIF('TL15'!$C$238:$C$451,$C237,'TL15'!$J$238:$J$451),0),
IF('TL16'!$B$3=M$3,SUMIF('TL16'!$C$10:$C$224,$C237,'TL16'!$J$10:$J$224),0),
IF('TL16'!$B$229=M$3,SUMIF('TL16'!$C$238:$C$451,$C237,'TL16'!$J$238:$J$451),0),
IF('TL17'!$B$3=M$3,SUMIF('TL17'!$C$10:$C$224,$C237,'TL17'!$J$10:$J$224),0),
IF('TL17'!$B$229=M$3,SUMIF('TL17'!$C$238:$C$451,$C237,'TL17'!$J$238:$J$451),0),
IF('TL18'!$B$3=M$3,SUMIF('TL18'!$C$10:$C$224,$C237,'TL18'!$J$10:$J$224),0),
IF('TL18'!$B$229=M$3,SUMIF('TL18'!$C$238:$C$451,$C237,'TL18'!$J$238:$J$451),0),
IF('TL19'!$B$3=M$3,SUMIF('TL19'!$C$10:$C$224,$C237,'TL19'!$J$10:$J$224),0),
IF('TL19'!$B$229=M$3,SUMIF('TL19'!$C$238:$C$451,$C237,'TL19'!$J$238:$J$451),0)
),0)</f>
        <v/>
      </c>
      <c r="N237" s="9">
        <f>IFERROR(SUM(
IF('TL01'!$B$3=N$3,SUMIF('TL01'!$C$10:$C$224,$C237,'TL01'!$J$10:$J$224),0),
IF('TL01'!$B$229=N$3,SUMIF('TL01'!$C$238:$C$451,$C237,'TL01'!$J$238:$J$451),0),
IF('TL02'!$B$3=N$3,SUMIF('TL02'!$C$10:$C$224,$C237,'TL02'!$J$10:$J$224),0),
IF('TL02'!$B$229=N$3,SUMIF('TL02'!$C$238:$C$451,$C237,'TL02'!$J$238:$J$451),0),
IF('TL03'!$B$3=N$3,SUMIF('TL03'!$C$10:$C$224,$C237,'TL03'!$J$10:$J$224),0),
IF('TL03'!$B$229=N$3,SUMIF('TL03'!$C$238:$C$451,$C237,'TL03'!$J$238:$J$451),0),
IF('TL04'!$B$3=N$3,SUMIF('TL04'!$C$10:$C$224,$C237,'TL04'!$J$10:$J$224),0),
IF('TL04'!$B$229=N$3,SUMIF('TL04'!$C$238:$C$451,$C237,'TL04'!$J$238:$J$451),0),
IF('TL05'!$B$3=N$3,SUMIF('TL05'!$C$10:$C$224,$C237,'TL05'!$J$10:$J$224),0),
IF('TL05'!$B$229=N$3,SUMIF('TL05'!$C$238:$C$451,$C237,'TL05'!$J$238:$J$451),0),
IF('TL06'!$B$3=N$3,SUMIF('TL06'!$C$10:$C$224,$C237,'TL06'!$J$10:$J$224),0),
IF('TL06'!$B$229=N$3,SUMIF('TL06'!$C$238:$C$451,$C237,'TL06'!$J$238:$J$451),0),
IF('TL07'!$B$3=N$3,SUMIF('TL07'!$C$10:$C$224,$C237,'TL07'!$J$10:$J$224),0),
IF('TL07'!$B$229=N$3,SUMIF('TL07'!$C$238:$C$451,$C237,'TL07'!$J$238:$J$451),0),
IF('TL08'!$B$3=N$3,SUMIF('TL08'!$C$10:$C$224,$C237,'TL08'!$J$10:$J$224),0),
IF('TL08'!$B$229=N$3,SUMIF('TL08'!$C$238:$C$451,$C237,'TL08'!$J$238:$J$451),0),
IF('TL09'!$B$3=N$3,SUMIF('TL09'!$C$10:$C$224,$C237,'TL09'!$J$10:$J$224),0),
IF('TL09'!$B$229=N$3,SUMIF('TL09'!$C$238:$C$451,$C237,'TL09'!$J$238:$J$451),0),
IF('TL10'!$B$3=N$3,SUMIF('TL10'!$C$10:$C$224,$C237,'TL10'!$J$10:$J$224),0),
IF('TL10'!$B$229=N$3,SUMIF('TL10'!$C$238:$C$451,$C237,'TL10'!$J$238:$J$451),0),
IF('TL11'!$B$3=N$3,SUMIF('TL11'!$C$10:$C$224,$C237,'TL11'!$J$10:$J$224),0),
IF('TL11'!$B$229=N$3,SUMIF('TL11'!$C$238:$C$451,$C237,'TL11'!$J$238:$J$451),0),
IF('TL12'!$B$3=N$3,SUMIF('TL12'!$C$10:$C$224,$C237,'TL12'!$J$10:$J$224),0),
IF('TL12'!$B$229=N$3,SUMIF('TL12'!$C$238:$C$451,$C237,'TL12'!$J$238:$J$451),0),
IF('TL13'!$B$3=N$3,SUMIF('TL13'!$C$10:$C$224,$C237,'TL13'!$J$10:$J$224),0),
IF('TL13'!$B$229=N$3,SUMIF('TL13'!$C$238:$C$451,$C237,'TL13'!$J$238:$J$451),0),
IF('TL14'!$B$3=N$3,SUMIF('TL14'!$C$10:$C$224,$C237,'TL14'!$J$10:$J$224),0),
IF('TL14'!$B$229=N$3,SUMIF('TL14'!$C$238:$C$451,$C237,'TL14'!$J$238:$J$451),0),
IF('TL15'!$B$3=N$3,SUMIF('TL15'!$C$10:$C$224,$C237,'TL15'!$J$10:$J$224),0),
IF('TL15'!$B$229=N$3,SUMIF('TL15'!$C$238:$C$451,$C237,'TL15'!$J$238:$J$451),0),
IF('TL16'!$B$3=N$3,SUMIF('TL16'!$C$10:$C$224,$C237,'TL16'!$J$10:$J$224),0),
IF('TL16'!$B$229=N$3,SUMIF('TL16'!$C$238:$C$451,$C237,'TL16'!$J$238:$J$451),0),
IF('TL17'!$B$3=N$3,SUMIF('TL17'!$C$10:$C$224,$C237,'TL17'!$J$10:$J$224),0),
IF('TL17'!$B$229=N$3,SUMIF('TL17'!$C$238:$C$451,$C237,'TL17'!$J$238:$J$451),0),
IF('TL18'!$B$3=N$3,SUMIF('TL18'!$C$10:$C$224,$C237,'TL18'!$J$10:$J$224),0),
IF('TL18'!$B$229=N$3,SUMIF('TL18'!$C$238:$C$451,$C237,'TL18'!$J$238:$J$451),0),
IF('TL19'!$B$3=N$3,SUMIF('TL19'!$C$10:$C$224,$C237,'TL19'!$J$10:$J$224),0),
IF('TL19'!$B$229=N$3,SUMIF('TL19'!$C$238:$C$451,$C237,'TL19'!$J$238:$J$451),0)
),0)</f>
        <v/>
      </c>
      <c r="O237" s="9">
        <f>IFERROR(SUM(
IF('TL01'!$B$3=O$3,SUMIF('TL01'!$C$10:$C$224,$C237,'TL01'!$J$10:$J$224),0),
IF('TL01'!$B$229=O$3,SUMIF('TL01'!$C$238:$C$451,$C237,'TL01'!$J$238:$J$451),0),
IF('TL02'!$B$3=O$3,SUMIF('TL02'!$C$10:$C$224,$C237,'TL02'!$J$10:$J$224),0),
IF('TL02'!$B$229=O$3,SUMIF('TL02'!$C$238:$C$451,$C237,'TL02'!$J$238:$J$451),0),
IF('TL03'!$B$3=O$3,SUMIF('TL03'!$C$10:$C$224,$C237,'TL03'!$J$10:$J$224),0),
IF('TL03'!$B$229=O$3,SUMIF('TL03'!$C$238:$C$451,$C237,'TL03'!$J$238:$J$451),0),
IF('TL04'!$B$3=O$3,SUMIF('TL04'!$C$10:$C$224,$C237,'TL04'!$J$10:$J$224),0),
IF('TL04'!$B$229=O$3,SUMIF('TL04'!$C$238:$C$451,$C237,'TL04'!$J$238:$J$451),0),
IF('TL05'!$B$3=O$3,SUMIF('TL05'!$C$10:$C$224,$C237,'TL05'!$J$10:$J$224),0),
IF('TL05'!$B$229=O$3,SUMIF('TL05'!$C$238:$C$451,$C237,'TL05'!$J$238:$J$451),0),
IF('TL06'!$B$3=O$3,SUMIF('TL06'!$C$10:$C$224,$C237,'TL06'!$J$10:$J$224),0),
IF('TL06'!$B$229=O$3,SUMIF('TL06'!$C$238:$C$451,$C237,'TL06'!$J$238:$J$451),0),
IF('TL07'!$B$3=O$3,SUMIF('TL07'!$C$10:$C$224,$C237,'TL07'!$J$10:$J$224),0),
IF('TL07'!$B$229=O$3,SUMIF('TL07'!$C$238:$C$451,$C237,'TL07'!$J$238:$J$451),0),
IF('TL08'!$B$3=O$3,SUMIF('TL08'!$C$10:$C$224,$C237,'TL08'!$J$10:$J$224),0),
IF('TL08'!$B$229=O$3,SUMIF('TL08'!$C$238:$C$451,$C237,'TL08'!$J$238:$J$451),0),
IF('TL09'!$B$3=O$3,SUMIF('TL09'!$C$10:$C$224,$C237,'TL09'!$J$10:$J$224),0),
IF('TL09'!$B$229=O$3,SUMIF('TL09'!$C$238:$C$451,$C237,'TL09'!$J$238:$J$451),0),
IF('TL10'!$B$3=O$3,SUMIF('TL10'!$C$10:$C$224,$C237,'TL10'!$J$10:$J$224),0),
IF('TL10'!$B$229=O$3,SUMIF('TL10'!$C$238:$C$451,$C237,'TL10'!$J$238:$J$451),0),
IF('TL11'!$B$3=O$3,SUMIF('TL11'!$C$10:$C$224,$C237,'TL11'!$J$10:$J$224),0),
IF('TL11'!$B$229=O$3,SUMIF('TL11'!$C$238:$C$451,$C237,'TL11'!$J$238:$J$451),0),
IF('TL12'!$B$3=O$3,SUMIF('TL12'!$C$10:$C$224,$C237,'TL12'!$J$10:$J$224),0),
IF('TL12'!$B$229=O$3,SUMIF('TL12'!$C$238:$C$451,$C237,'TL12'!$J$238:$J$451),0),
IF('TL13'!$B$3=O$3,SUMIF('TL13'!$C$10:$C$224,$C237,'TL13'!$J$10:$J$224),0),
IF('TL13'!$B$229=O$3,SUMIF('TL13'!$C$238:$C$451,$C237,'TL13'!$J$238:$J$451),0),
IF('TL14'!$B$3=O$3,SUMIF('TL14'!$C$10:$C$224,$C237,'TL14'!$J$10:$J$224),0),
IF('TL14'!$B$229=O$3,SUMIF('TL14'!$C$238:$C$451,$C237,'TL14'!$J$238:$J$451),0),
IF('TL15'!$B$3=O$3,SUMIF('TL15'!$C$10:$C$224,$C237,'TL15'!$J$10:$J$224),0),
IF('TL15'!$B$229=O$3,SUMIF('TL15'!$C$238:$C$451,$C237,'TL15'!$J$238:$J$451),0),
IF('TL16'!$B$3=O$3,SUMIF('TL16'!$C$10:$C$224,$C237,'TL16'!$J$10:$J$224),0),
IF('TL16'!$B$229=O$3,SUMIF('TL16'!$C$238:$C$451,$C237,'TL16'!$J$238:$J$451),0),
IF('TL17'!$B$3=O$3,SUMIF('TL17'!$C$10:$C$224,$C237,'TL17'!$J$10:$J$224),0),
IF('TL17'!$B$229=O$3,SUMIF('TL17'!$C$238:$C$451,$C237,'TL17'!$J$238:$J$451),0),
IF('TL18'!$B$3=O$3,SUMIF('TL18'!$C$10:$C$224,$C237,'TL18'!$J$10:$J$224),0),
IF('TL18'!$B$229=O$3,SUMIF('TL18'!$C$238:$C$451,$C237,'TL18'!$J$238:$J$451),0),
IF('TL19'!$B$3=O$3,SUMIF('TL19'!$C$10:$C$224,$C237,'TL19'!$J$10:$J$224),0),
IF('TL19'!$B$229=O$3,SUMIF('TL19'!$C$238:$C$451,$C237,'TL19'!$J$238:$J$451),0)
),0)</f>
        <v/>
      </c>
      <c r="P237" s="9">
        <f>IFERROR(SUM(
IF('TL01'!$B$3=P$3,SUMIF('TL01'!$C$10:$C$224,$C237,'TL01'!$J$10:$J$224),0),
IF('TL01'!$B$229=P$3,SUMIF('TL01'!$C$238:$C$451,$C237,'TL01'!$J$238:$J$451),0),
IF('TL02'!$B$3=P$3,SUMIF('TL02'!$C$10:$C$224,$C237,'TL02'!$J$10:$J$224),0),
IF('TL02'!$B$229=P$3,SUMIF('TL02'!$C$238:$C$451,$C237,'TL02'!$J$238:$J$451),0),
IF('TL03'!$B$3=P$3,SUMIF('TL03'!$C$10:$C$224,$C237,'TL03'!$J$10:$J$224),0),
IF('TL03'!$B$229=P$3,SUMIF('TL03'!$C$238:$C$451,$C237,'TL03'!$J$238:$J$451),0),
IF('TL04'!$B$3=P$3,SUMIF('TL04'!$C$10:$C$224,$C237,'TL04'!$J$10:$J$224),0),
IF('TL04'!$B$229=P$3,SUMIF('TL04'!$C$238:$C$451,$C237,'TL04'!$J$238:$J$451),0),
IF('TL05'!$B$3=P$3,SUMIF('TL05'!$C$10:$C$224,$C237,'TL05'!$J$10:$J$224),0),
IF('TL05'!$B$229=P$3,SUMIF('TL05'!$C$238:$C$451,$C237,'TL05'!$J$238:$J$451),0),
IF('TL06'!$B$3=P$3,SUMIF('TL06'!$C$10:$C$224,$C237,'TL06'!$J$10:$J$224),0),
IF('TL06'!$B$229=P$3,SUMIF('TL06'!$C$238:$C$451,$C237,'TL06'!$J$238:$J$451),0),
IF('TL07'!$B$3=P$3,SUMIF('TL07'!$C$10:$C$224,$C237,'TL07'!$J$10:$J$224),0),
IF('TL07'!$B$229=P$3,SUMIF('TL07'!$C$238:$C$451,$C237,'TL07'!$J$238:$J$451),0),
IF('TL08'!$B$3=P$3,SUMIF('TL08'!$C$10:$C$224,$C237,'TL08'!$J$10:$J$224),0),
IF('TL08'!$B$229=P$3,SUMIF('TL08'!$C$238:$C$451,$C237,'TL08'!$J$238:$J$451),0),
IF('TL09'!$B$3=P$3,SUMIF('TL09'!$C$10:$C$224,$C237,'TL09'!$J$10:$J$224),0),
IF('TL09'!$B$229=P$3,SUMIF('TL09'!$C$238:$C$451,$C237,'TL09'!$J$238:$J$451),0),
IF('TL10'!$B$3=P$3,SUMIF('TL10'!$C$10:$C$224,$C237,'TL10'!$J$10:$J$224),0),
IF('TL10'!$B$229=P$3,SUMIF('TL10'!$C$238:$C$451,$C237,'TL10'!$J$238:$J$451),0),
IF('TL11'!$B$3=P$3,SUMIF('TL11'!$C$10:$C$224,$C237,'TL11'!$J$10:$J$224),0),
IF('TL11'!$B$229=P$3,SUMIF('TL11'!$C$238:$C$451,$C237,'TL11'!$J$238:$J$451),0),
IF('TL12'!$B$3=P$3,SUMIF('TL12'!$C$10:$C$224,$C237,'TL12'!$J$10:$J$224),0),
IF('TL12'!$B$229=P$3,SUMIF('TL12'!$C$238:$C$451,$C237,'TL12'!$J$238:$J$451),0),
IF('TL13'!$B$3=P$3,SUMIF('TL13'!$C$10:$C$224,$C237,'TL13'!$J$10:$J$224),0),
IF('TL13'!$B$229=P$3,SUMIF('TL13'!$C$238:$C$451,$C237,'TL13'!$J$238:$J$451),0),
IF('TL14'!$B$3=P$3,SUMIF('TL14'!$C$10:$C$224,$C237,'TL14'!$J$10:$J$224),0),
IF('TL14'!$B$229=P$3,SUMIF('TL14'!$C$238:$C$451,$C237,'TL14'!$J$238:$J$451),0),
IF('TL15'!$B$3=P$3,SUMIF('TL15'!$C$10:$C$224,$C237,'TL15'!$J$10:$J$224),0),
IF('TL15'!$B$229=P$3,SUMIF('TL15'!$C$238:$C$451,$C237,'TL15'!$J$238:$J$451),0),
IF('TL16'!$B$3=P$3,SUMIF('TL16'!$C$10:$C$224,$C237,'TL16'!$J$10:$J$224),0),
IF('TL16'!$B$229=P$3,SUMIF('TL16'!$C$238:$C$451,$C237,'TL16'!$J$238:$J$451),0),
IF('TL17'!$B$3=P$3,SUMIF('TL17'!$C$10:$C$224,$C237,'TL17'!$J$10:$J$224),0),
IF('TL17'!$B$229=P$3,SUMIF('TL17'!$C$238:$C$451,$C237,'TL17'!$J$238:$J$451),0),
IF('TL18'!$B$3=P$3,SUMIF('TL18'!$C$10:$C$224,$C237,'TL18'!$J$10:$J$224),0),
IF('TL18'!$B$229=P$3,SUMIF('TL18'!$C$238:$C$451,$C237,'TL18'!$J$238:$J$451),0),
IF('TL19'!$B$3=P$3,SUMIF('TL19'!$C$10:$C$224,$C237,'TL19'!$J$10:$J$224),0),
IF('TL19'!$B$229=P$3,SUMIF('TL19'!$C$238:$C$451,$C237,'TL19'!$J$238:$J$451),0)
),0)</f>
        <v/>
      </c>
      <c r="Q237" s="9">
        <f>IFERROR(SUM(
IF('TL01'!$B$3=Q$3,SUMIF('TL01'!$C$10:$C$224,$C237,'TL01'!$J$10:$J$224),0),
IF('TL01'!$B$229=Q$3,SUMIF('TL01'!$C$238:$C$451,$C237,'TL01'!$J$238:$J$451),0),
IF('TL02'!$B$3=Q$3,SUMIF('TL02'!$C$10:$C$224,$C237,'TL02'!$J$10:$J$224),0),
IF('TL02'!$B$229=Q$3,SUMIF('TL02'!$C$238:$C$451,$C237,'TL02'!$J$238:$J$451),0),
IF('TL03'!$B$3=Q$3,SUMIF('TL03'!$C$10:$C$224,$C237,'TL03'!$J$10:$J$224),0),
IF('TL03'!$B$229=Q$3,SUMIF('TL03'!$C$238:$C$451,$C237,'TL03'!$J$238:$J$451),0),
IF('TL04'!$B$3=Q$3,SUMIF('TL04'!$C$10:$C$224,$C237,'TL04'!$J$10:$J$224),0),
IF('TL04'!$B$229=Q$3,SUMIF('TL04'!$C$238:$C$451,$C237,'TL04'!$J$238:$J$451),0),
IF('TL05'!$B$3=Q$3,SUMIF('TL05'!$C$10:$C$224,$C237,'TL05'!$J$10:$J$224),0),
IF('TL05'!$B$229=Q$3,SUMIF('TL05'!$C$238:$C$451,$C237,'TL05'!$J$238:$J$451),0),
IF('TL06'!$B$3=Q$3,SUMIF('TL06'!$C$10:$C$224,$C237,'TL06'!$J$10:$J$224),0),
IF('TL06'!$B$229=Q$3,SUMIF('TL06'!$C$238:$C$451,$C237,'TL06'!$J$238:$J$451),0),
IF('TL07'!$B$3=Q$3,SUMIF('TL07'!$C$10:$C$224,$C237,'TL07'!$J$10:$J$224),0),
IF('TL07'!$B$229=Q$3,SUMIF('TL07'!$C$238:$C$451,$C237,'TL07'!$J$238:$J$451),0),
IF('TL08'!$B$3=Q$3,SUMIF('TL08'!$C$10:$C$224,$C237,'TL08'!$J$10:$J$224),0),
IF('TL08'!$B$229=Q$3,SUMIF('TL08'!$C$238:$C$451,$C237,'TL08'!$J$238:$J$451),0),
IF('TL09'!$B$3=Q$3,SUMIF('TL09'!$C$10:$C$224,$C237,'TL09'!$J$10:$J$224),0),
IF('TL09'!$B$229=Q$3,SUMIF('TL09'!$C$238:$C$451,$C237,'TL09'!$J$238:$J$451),0),
IF('TL10'!$B$3=Q$3,SUMIF('TL10'!$C$10:$C$224,$C237,'TL10'!$J$10:$J$224),0),
IF('TL10'!$B$229=Q$3,SUMIF('TL10'!$C$238:$C$451,$C237,'TL10'!$J$238:$J$451),0),
IF('TL11'!$B$3=Q$3,SUMIF('TL11'!$C$10:$C$224,$C237,'TL11'!$J$10:$J$224),0),
IF('TL11'!$B$229=Q$3,SUMIF('TL11'!$C$238:$C$451,$C237,'TL11'!$J$238:$J$451),0),
IF('TL12'!$B$3=Q$3,SUMIF('TL12'!$C$10:$C$224,$C237,'TL12'!$J$10:$J$224),0),
IF('TL12'!$B$229=Q$3,SUMIF('TL12'!$C$238:$C$451,$C237,'TL12'!$J$238:$J$451),0),
IF('TL13'!$B$3=Q$3,SUMIF('TL13'!$C$10:$C$224,$C237,'TL13'!$J$10:$J$224),0),
IF('TL13'!$B$229=Q$3,SUMIF('TL13'!$C$238:$C$451,$C237,'TL13'!$J$238:$J$451),0),
IF('TL14'!$B$3=Q$3,SUMIF('TL14'!$C$10:$C$224,$C237,'TL14'!$J$10:$J$224),0),
IF('TL14'!$B$229=Q$3,SUMIF('TL14'!$C$238:$C$451,$C237,'TL14'!$J$238:$J$451),0),
IF('TL15'!$B$3=Q$3,SUMIF('TL15'!$C$10:$C$224,$C237,'TL15'!$J$10:$J$224),0),
IF('TL15'!$B$229=Q$3,SUMIF('TL15'!$C$238:$C$451,$C237,'TL15'!$J$238:$J$451),0),
IF('TL16'!$B$3=Q$3,SUMIF('TL16'!$C$10:$C$224,$C237,'TL16'!$J$10:$J$224),0),
IF('TL16'!$B$229=Q$3,SUMIF('TL16'!$C$238:$C$451,$C237,'TL16'!$J$238:$J$451),0),
IF('TL17'!$B$3=Q$3,SUMIF('TL17'!$C$10:$C$224,$C237,'TL17'!$J$10:$J$224),0),
IF('TL17'!$B$229=Q$3,SUMIF('TL17'!$C$238:$C$451,$C237,'TL17'!$J$238:$J$451),0),
IF('TL18'!$B$3=Q$3,SUMIF('TL18'!$C$10:$C$224,$C237,'TL18'!$J$10:$J$224),0),
IF('TL18'!$B$229=Q$3,SUMIF('TL18'!$C$238:$C$451,$C237,'TL18'!$J$238:$J$451),0),
IF('TL19'!$B$3=Q$3,SUMIF('TL19'!$C$10:$C$224,$C237,'TL19'!$J$10:$J$224),0),
IF('TL19'!$B$229=Q$3,SUMIF('TL19'!$C$238:$C$451,$C237,'TL19'!$J$238:$J$451),0)
),0)</f>
        <v/>
      </c>
      <c r="R237" s="9">
        <f>IFERROR(
SUM(
SUMIF('TL01'!C:C,C237,'TL01'!J:J),
SUMIF('TL02'!C:C,C237,'TL02'!J:J),
SUMIF('TL03'!C:C,C237,'TL03'!J:J),
SUMIF('TL04'!C:C,C237,'TL04'!J:J),
SUMIF('TL05'!C:C,C237,'TL05'!J:J),
SUMIF('TL06'!C:C,C237,'TL06'!J:J),
SUMIF('TL07'!C:C,C237,'TL07'!J:J),
SUMIF('TL08'!C:C,C237,'TL08'!J:J),
SUMIF('TL09'!C:C,C237,'TL09'!J:J),
SUMIF('TL10'!C:C,C237,'TL10'!J:J),
SUMIF('TL11'!C:C,C237,'TL11'!J:J),
SUMIF('TL12'!C:C,C237,'TL12'!J:J),
SUMIF('TL13'!C:C,C237,'TL13'!J:J),
SUMIF('TL14'!C:C,C237,'TL14'!J:J),
SUMIF('TL15'!C:C,C237,'TL15'!J:J),
SUMIF('TL16'!C:C,C237,'TL16'!J:J),
SUMIF('TL17'!C:C,C237,'TL17'!J:J),
SUMIF('TL18'!C:C,C237,'TL18'!J:J),SUMIF('TL19'!C:C,C237,'TL19'!J:J))
,0)</f>
        <v/>
      </c>
      <c r="S237" s="17">
        <f>IFERROR(__xludf.DUMMYFUNCTION("IFERROR(VLOOKUP(C237,
IMPORTRANGE(""1wULbzX32WdYsx-lj2U3uUNBBe2INVIRDtcK0d-Dvl90"",
""26-27!C:G""),
5,
FALSE),
"""")"),44.01246)</f>
        <v/>
      </c>
      <c r="T237" s="9" t="n"/>
      <c r="U237" s="92">
        <f>MAX(0,R237-T237)</f>
        <v/>
      </c>
      <c r="V237" s="93">
        <f>U237*S237</f>
        <v/>
      </c>
    </row>
    <row r="238" hidden="1" ht="15.75" customHeight="1" s="297">
      <c r="A238" s="87" t="inlineStr">
        <is>
          <t>SYNGENTA</t>
        </is>
      </c>
      <c r="B238" s="88" t="inlineStr">
        <is>
          <t>INSETICIDA</t>
        </is>
      </c>
      <c r="C238" s="89" t="inlineStr">
        <is>
          <t>PROCLAIM 50</t>
        </is>
      </c>
      <c r="D238" s="89" t="inlineStr">
        <is>
          <t>BENZOATO DE EMAMECTINA</t>
        </is>
      </c>
      <c r="E238" s="89" t="n">
        <v>50</v>
      </c>
      <c r="F238" s="4" t="inlineStr">
        <is>
          <t>L</t>
        </is>
      </c>
      <c r="G238" s="90">
        <f>HYPERLINK("https://www.google.com/search?q=" &amp; C238 &amp; "+bula+agrofit+pdf", "📄 Ver bula")</f>
        <v/>
      </c>
      <c r="H238" s="9">
        <f>IFERROR(__xludf.DUMMYFUNCTION("IFERROR(VLOOKUP(C238,
IMPORTRANGE(""1wULbzX32WdYsx-lj2U3uUNBBe2INVIRDtcK0d-Dvl90"",
""26-27!C:K""),
8,
FALSE),
"""")"),0.25)</f>
        <v/>
      </c>
      <c r="I238" s="91" t="inlineStr">
        <is>
          <t>4X5</t>
        </is>
      </c>
      <c r="J238" s="9">
        <f>IFERROR(SUM(
IF('TL01'!$B$3=J$3,SUMIF('TL01'!$C$10:$C$224,$C238,'TL01'!$J$10:$J$224),0),
IF('TL01'!$B$229=J$3,SUMIF('TL01'!$C$238:$C$451,$C238,'TL01'!$J$238:$J$451),0),
IF('TL02'!$B$3=J$3,SUMIF('TL02'!$C$10:$C$224,$C238,'TL02'!$J$10:$J$224),0),
IF('TL02'!$B$229=J$3,SUMIF('TL02'!$C$238:$C$451,$C238,'TL02'!$J$238:$J$451),0),
IF('TL03'!$B$3=J$3,SUMIF('TL03'!$C$10:$C$224,$C238,'TL03'!$J$10:$J$224),0),
IF('TL03'!$B$229=J$3,SUMIF('TL03'!$C$238:$C$451,$C238,'TL03'!$J$238:$J$451),0),
IF('TL04'!$B$3=J$3,SUMIF('TL04'!$C$10:$C$224,$C238,'TL04'!$J$10:$J$224),0),
IF('TL04'!$B$229=J$3,SUMIF('TL04'!$C$238:$C$451,$C238,'TL04'!$J$238:$J$451),0),
IF('TL05'!$B$3=J$3,SUMIF('TL05'!$C$10:$C$224,$C238,'TL05'!$J$10:$J$224),0),
IF('TL05'!$B$229=J$3,SUMIF('TL05'!$C$238:$C$451,$C238,'TL05'!$J$238:$J$451),0),
IF('TL06'!$B$3=J$3,SUMIF('TL06'!$C$10:$C$224,$C238,'TL06'!$J$10:$J$224),0),
IF('TL06'!$B$229=J$3,SUMIF('TL06'!$C$238:$C$451,$C238,'TL06'!$J$238:$J$451),0),
IF('TL07'!$B$3=J$3,SUMIF('TL07'!$C$10:$C$224,$C238,'TL07'!$J$10:$J$224),0),
IF('TL07'!$B$229=J$3,SUMIF('TL07'!$C$238:$C$451,$C238,'TL07'!$J$238:$J$451),0),
IF('TL08'!$B$3=J$3,SUMIF('TL08'!$C$10:$C$224,$C238,'TL08'!$J$10:$J$224),0),
IF('TL08'!$B$229=J$3,SUMIF('TL08'!$C$238:$C$451,$C238,'TL08'!$J$238:$J$451),0),
IF('TL09'!$B$3=J$3,SUMIF('TL09'!$C$10:$C$224,$C238,'TL09'!$J$10:$J$224),0),
IF('TL09'!$B$229=J$3,SUMIF('TL09'!$C$238:$C$451,$C238,'TL09'!$J$238:$J$451),0),
IF('TL10'!$B$3=J$3,SUMIF('TL10'!$C$10:$C$224,$C238,'TL10'!$J$10:$J$224),0),
IF('TL10'!$B$229=J$3,SUMIF('TL10'!$C$238:$C$451,$C238,'TL10'!$J$238:$J$451),0),
IF('TL11'!$B$3=J$3,SUMIF('TL11'!$C$10:$C$224,$C238,'TL11'!$J$10:$J$224),0),
IF('TL11'!$B$229=J$3,SUMIF('TL11'!$C$238:$C$451,$C238,'TL11'!$J$238:$J$451),0),
IF('TL12'!$B$3=J$3,SUMIF('TL12'!$C$10:$C$224,$C238,'TL12'!$J$10:$J$224),0),
IF('TL12'!$B$229=J$3,SUMIF('TL12'!$C$238:$C$451,$C238,'TL12'!$J$238:$J$451),0),
IF('TL13'!$B$3=J$3,SUMIF('TL13'!$C$10:$C$224,$C238,'TL13'!$J$10:$J$224),0),
IF('TL13'!$B$229=J$3,SUMIF('TL13'!$C$238:$C$451,$C238,'TL13'!$J$238:$J$451),0),
IF('TL14'!$B$3=J$3,SUMIF('TL14'!$C$10:$C$224,$C238,'TL14'!$J$10:$J$224),0),
IF('TL14'!$B$229=J$3,SUMIF('TL14'!$C$238:$C$451,$C238,'TL14'!$J$238:$J$451),0),
IF('TL15'!$B$3=J$3,SUMIF('TL15'!$C$10:$C$224,$C238,'TL15'!$J$10:$J$224),0),
IF('TL15'!$B$229=J$3,SUMIF('TL15'!$C$238:$C$451,$C238,'TL15'!$J$238:$J$451),0),
IF('TL16'!$B$3=J$3,SUMIF('TL16'!$C$10:$C$224,$C238,'TL16'!$J$10:$J$224),0),
IF('TL16'!$B$229=J$3,SUMIF('TL16'!$C$238:$C$451,$C238,'TL16'!$J$238:$J$451),0),
IF('TL17'!$B$3=J$3,SUMIF('TL17'!$C$10:$C$224,$C238,'TL17'!$J$10:$J$224),0),
IF('TL17'!$B$229=J$3,SUMIF('TL17'!$C$238:$C$451,$C238,'TL17'!$J$238:$J$451),0),
IF('TL18'!$B$3=J$3,SUMIF('TL18'!$C$10:$C$224,$C238,'TL18'!$J$10:$J$224),0),
IF('TL18'!$B$229=J$3,SUMIF('TL18'!$C$238:$C$451,$C238,'TL18'!$J$238:$J$451),0),
IF('TL19'!$B$3=J$3,SUMIF('TL19'!$C$10:$C$224,$C238,'TL19'!$J$10:$J$224),0),
IF('TL19'!$B$229=J$3,SUMIF('TL19'!$C$238:$C$451,$C238,'TL19'!$J$238:$J$451),0)
),0)</f>
        <v/>
      </c>
      <c r="K238" s="9">
        <f>IFERROR(SUM(
IF('TL01'!$B$3=K$3,SUMIF('TL01'!$C$10:$C$224,$C238,'TL01'!$J$10:$J$224),0),
IF('TL01'!$B$229=K$3,SUMIF('TL01'!$C$238:$C$451,$C238,'TL01'!$J$238:$J$451),0),
IF('TL02'!$B$3=K$3,SUMIF('TL02'!$C$10:$C$224,$C238,'TL02'!$J$10:$J$224),0),
IF('TL02'!$B$229=K$3,SUMIF('TL02'!$C$238:$C$451,$C238,'TL02'!$J$238:$J$451),0),
IF('TL03'!$B$3=K$3,SUMIF('TL03'!$C$10:$C$224,$C238,'TL03'!$J$10:$J$224),0),
IF('TL03'!$B$229=K$3,SUMIF('TL03'!$C$238:$C$451,$C238,'TL03'!$J$238:$J$451),0),
IF('TL04'!$B$3=K$3,SUMIF('TL04'!$C$10:$C$224,$C238,'TL04'!$J$10:$J$224),0),
IF('TL04'!$B$229=K$3,SUMIF('TL04'!$C$238:$C$451,$C238,'TL04'!$J$238:$J$451),0),
IF('TL05'!$B$3=K$3,SUMIF('TL05'!$C$10:$C$224,$C238,'TL05'!$J$10:$J$224),0),
IF('TL05'!$B$229=K$3,SUMIF('TL05'!$C$238:$C$451,$C238,'TL05'!$J$238:$J$451),0),
IF('TL06'!$B$3=K$3,SUMIF('TL06'!$C$10:$C$224,$C238,'TL06'!$J$10:$J$224),0),
IF('TL06'!$B$229=K$3,SUMIF('TL06'!$C$238:$C$451,$C238,'TL06'!$J$238:$J$451),0),
IF('TL07'!$B$3=K$3,SUMIF('TL07'!$C$10:$C$224,$C238,'TL07'!$J$10:$J$224),0),
IF('TL07'!$B$229=K$3,SUMIF('TL07'!$C$238:$C$451,$C238,'TL07'!$J$238:$J$451),0),
IF('TL08'!$B$3=K$3,SUMIF('TL08'!$C$10:$C$224,$C238,'TL08'!$J$10:$J$224),0),
IF('TL08'!$B$229=K$3,SUMIF('TL08'!$C$238:$C$451,$C238,'TL08'!$J$238:$J$451),0),
IF('TL09'!$B$3=K$3,SUMIF('TL09'!$C$10:$C$224,$C238,'TL09'!$J$10:$J$224),0),
IF('TL09'!$B$229=K$3,SUMIF('TL09'!$C$238:$C$451,$C238,'TL09'!$J$238:$J$451),0),
IF('TL10'!$B$3=K$3,SUMIF('TL10'!$C$10:$C$224,$C238,'TL10'!$J$10:$J$224),0),
IF('TL10'!$B$229=K$3,SUMIF('TL10'!$C$238:$C$451,$C238,'TL10'!$J$238:$J$451),0),
IF('TL11'!$B$3=K$3,SUMIF('TL11'!$C$10:$C$224,$C238,'TL11'!$J$10:$J$224),0),
IF('TL11'!$B$229=K$3,SUMIF('TL11'!$C$238:$C$451,$C238,'TL11'!$J$238:$J$451),0),
IF('TL12'!$B$3=K$3,SUMIF('TL12'!$C$10:$C$224,$C238,'TL12'!$J$10:$J$224),0),
IF('TL12'!$B$229=K$3,SUMIF('TL12'!$C$238:$C$451,$C238,'TL12'!$J$238:$J$451),0),
IF('TL13'!$B$3=K$3,SUMIF('TL13'!$C$10:$C$224,$C238,'TL13'!$J$10:$J$224),0),
IF('TL13'!$B$229=K$3,SUMIF('TL13'!$C$238:$C$451,$C238,'TL13'!$J$238:$J$451),0),
IF('TL14'!$B$3=K$3,SUMIF('TL14'!$C$10:$C$224,$C238,'TL14'!$J$10:$J$224),0),
IF('TL14'!$B$229=K$3,SUMIF('TL14'!$C$238:$C$451,$C238,'TL14'!$J$238:$J$451),0),
IF('TL15'!$B$3=K$3,SUMIF('TL15'!$C$10:$C$224,$C238,'TL15'!$J$10:$J$224),0),
IF('TL15'!$B$229=K$3,SUMIF('TL15'!$C$238:$C$451,$C238,'TL15'!$J$238:$J$451),0),
IF('TL16'!$B$3=K$3,SUMIF('TL16'!$C$10:$C$224,$C238,'TL16'!$J$10:$J$224),0),
IF('TL16'!$B$229=K$3,SUMIF('TL16'!$C$238:$C$451,$C238,'TL16'!$J$238:$J$451),0),
IF('TL17'!$B$3=K$3,SUMIF('TL17'!$C$10:$C$224,$C238,'TL17'!$J$10:$J$224),0),
IF('TL17'!$B$229=K$3,SUMIF('TL17'!$C$238:$C$451,$C238,'TL17'!$J$238:$J$451),0),
IF('TL18'!$B$3=K$3,SUMIF('TL18'!$C$10:$C$224,$C238,'TL18'!$J$10:$J$224),0),
IF('TL18'!$B$229=K$3,SUMIF('TL18'!$C$238:$C$451,$C238,'TL18'!$J$238:$J$451),0),
IF('TL19'!$B$3=K$3,SUMIF('TL19'!$C$10:$C$224,$C238,'TL19'!$J$10:$J$224),0),
IF('TL19'!$B$229=K$3,SUMIF('TL19'!$C$238:$C$451,$C238,'TL19'!$J$238:$J$451),0)
),0)</f>
        <v/>
      </c>
      <c r="L238" s="9">
        <f>IFERROR(SUM(
IF('TL01'!$B$3=L$3,SUMIF('TL01'!$C$10:$C$224,$C238,'TL01'!$J$10:$J$224),0),
IF('TL01'!$B$229=L$3,SUMIF('TL01'!$C$238:$C$451,$C238,'TL01'!$J$238:$J$451),0),
IF('TL02'!$B$3=L$3,SUMIF('TL02'!$C$10:$C$224,$C238,'TL02'!$J$10:$J$224),0),
IF('TL02'!$B$229=L$3,SUMIF('TL02'!$C$238:$C$451,$C238,'TL02'!$J$238:$J$451),0),
IF('TL03'!$B$3=L$3,SUMIF('TL03'!$C$10:$C$224,$C238,'TL03'!$J$10:$J$224),0),
IF('TL03'!$B$229=L$3,SUMIF('TL03'!$C$238:$C$451,$C238,'TL03'!$J$238:$J$451),0),
IF('TL04'!$B$3=L$3,SUMIF('TL04'!$C$10:$C$224,$C238,'TL04'!$J$10:$J$224),0),
IF('TL04'!$B$229=L$3,SUMIF('TL04'!$C$238:$C$451,$C238,'TL04'!$J$238:$J$451),0),
IF('TL05'!$B$3=L$3,SUMIF('TL05'!$C$10:$C$224,$C238,'TL05'!$J$10:$J$224),0),
IF('TL05'!$B$229=L$3,SUMIF('TL05'!$C$238:$C$451,$C238,'TL05'!$J$238:$J$451),0),
IF('TL06'!$B$3=L$3,SUMIF('TL06'!$C$10:$C$224,$C238,'TL06'!$J$10:$J$224),0),
IF('TL06'!$B$229=L$3,SUMIF('TL06'!$C$238:$C$451,$C238,'TL06'!$J$238:$J$451),0),
IF('TL07'!$B$3=L$3,SUMIF('TL07'!$C$10:$C$224,$C238,'TL07'!$J$10:$J$224),0),
IF('TL07'!$B$229=L$3,SUMIF('TL07'!$C$238:$C$451,$C238,'TL07'!$J$238:$J$451),0),
IF('TL08'!$B$3=L$3,SUMIF('TL08'!$C$10:$C$224,$C238,'TL08'!$J$10:$J$224),0),
IF('TL08'!$B$229=L$3,SUMIF('TL08'!$C$238:$C$451,$C238,'TL08'!$J$238:$J$451),0),
IF('TL09'!$B$3=L$3,SUMIF('TL09'!$C$10:$C$224,$C238,'TL09'!$J$10:$J$224),0),
IF('TL09'!$B$229=L$3,SUMIF('TL09'!$C$238:$C$451,$C238,'TL09'!$J$238:$J$451),0),
IF('TL10'!$B$3=L$3,SUMIF('TL10'!$C$10:$C$224,$C238,'TL10'!$J$10:$J$224),0),
IF('TL10'!$B$229=L$3,SUMIF('TL10'!$C$238:$C$451,$C238,'TL10'!$J$238:$J$451),0),
IF('TL11'!$B$3=L$3,SUMIF('TL11'!$C$10:$C$224,$C238,'TL11'!$J$10:$J$224),0),
IF('TL11'!$B$229=L$3,SUMIF('TL11'!$C$238:$C$451,$C238,'TL11'!$J$238:$J$451),0),
IF('TL12'!$B$3=L$3,SUMIF('TL12'!$C$10:$C$224,$C238,'TL12'!$J$10:$J$224),0),
IF('TL12'!$B$229=L$3,SUMIF('TL12'!$C$238:$C$451,$C238,'TL12'!$J$238:$J$451),0),
IF('TL13'!$B$3=L$3,SUMIF('TL13'!$C$10:$C$224,$C238,'TL13'!$J$10:$J$224),0),
IF('TL13'!$B$229=L$3,SUMIF('TL13'!$C$238:$C$451,$C238,'TL13'!$J$238:$J$451),0),
IF('TL14'!$B$3=L$3,SUMIF('TL14'!$C$10:$C$224,$C238,'TL14'!$J$10:$J$224),0),
IF('TL14'!$B$229=L$3,SUMIF('TL14'!$C$238:$C$451,$C238,'TL14'!$J$238:$J$451),0),
IF('TL15'!$B$3=L$3,SUMIF('TL15'!$C$10:$C$224,$C238,'TL15'!$J$10:$J$224),0),
IF('TL15'!$B$229=L$3,SUMIF('TL15'!$C$238:$C$451,$C238,'TL15'!$J$238:$J$451),0),
IF('TL16'!$B$3=L$3,SUMIF('TL16'!$C$10:$C$224,$C238,'TL16'!$J$10:$J$224),0),
IF('TL16'!$B$229=L$3,SUMIF('TL16'!$C$238:$C$451,$C238,'TL16'!$J$238:$J$451),0),
IF('TL17'!$B$3=L$3,SUMIF('TL17'!$C$10:$C$224,$C238,'TL17'!$J$10:$J$224),0),
IF('TL17'!$B$229=L$3,SUMIF('TL17'!$C$238:$C$451,$C238,'TL17'!$J$238:$J$451),0),
IF('TL18'!$B$3=L$3,SUMIF('TL18'!$C$10:$C$224,$C238,'TL18'!$J$10:$J$224),0),
IF('TL18'!$B$229=L$3,SUMIF('TL18'!$C$238:$C$451,$C238,'TL18'!$J$238:$J$451),0),
IF('TL19'!$B$3=L$3,SUMIF('TL19'!$C$10:$C$224,$C238,'TL19'!$J$10:$J$224),0),
IF('TL19'!$B$229=L$3,SUMIF('TL19'!$C$238:$C$451,$C238,'TL19'!$J$238:$J$451),0)
),0)</f>
        <v/>
      </c>
      <c r="M238" s="9">
        <f>IFERROR(SUM(
IF('TL01'!$B$3=M$3,SUMIF('TL01'!$C$10:$C$224,$C238,'TL01'!$J$10:$J$224),0),
IF('TL01'!$B$229=M$3,SUMIF('TL01'!$C$238:$C$451,$C238,'TL01'!$J$238:$J$451),0),
IF('TL02'!$B$3=M$3,SUMIF('TL02'!$C$10:$C$224,$C238,'TL02'!$J$10:$J$224),0),
IF('TL02'!$B$229=M$3,SUMIF('TL02'!$C$238:$C$451,$C238,'TL02'!$J$238:$J$451),0),
IF('TL03'!$B$3=M$3,SUMIF('TL03'!$C$10:$C$224,$C238,'TL03'!$J$10:$J$224),0),
IF('TL03'!$B$229=M$3,SUMIF('TL03'!$C$238:$C$451,$C238,'TL03'!$J$238:$J$451),0),
IF('TL04'!$B$3=M$3,SUMIF('TL04'!$C$10:$C$224,$C238,'TL04'!$J$10:$J$224),0),
IF('TL04'!$B$229=M$3,SUMIF('TL04'!$C$238:$C$451,$C238,'TL04'!$J$238:$J$451),0),
IF('TL05'!$B$3=M$3,SUMIF('TL05'!$C$10:$C$224,$C238,'TL05'!$J$10:$J$224),0),
IF('TL05'!$B$229=M$3,SUMIF('TL05'!$C$238:$C$451,$C238,'TL05'!$J$238:$J$451),0),
IF('TL06'!$B$3=M$3,SUMIF('TL06'!$C$10:$C$224,$C238,'TL06'!$J$10:$J$224),0),
IF('TL06'!$B$229=M$3,SUMIF('TL06'!$C$238:$C$451,$C238,'TL06'!$J$238:$J$451),0),
IF('TL07'!$B$3=M$3,SUMIF('TL07'!$C$10:$C$224,$C238,'TL07'!$J$10:$J$224),0),
IF('TL07'!$B$229=M$3,SUMIF('TL07'!$C$238:$C$451,$C238,'TL07'!$J$238:$J$451),0),
IF('TL08'!$B$3=M$3,SUMIF('TL08'!$C$10:$C$224,$C238,'TL08'!$J$10:$J$224),0),
IF('TL08'!$B$229=M$3,SUMIF('TL08'!$C$238:$C$451,$C238,'TL08'!$J$238:$J$451),0),
IF('TL09'!$B$3=M$3,SUMIF('TL09'!$C$10:$C$224,$C238,'TL09'!$J$10:$J$224),0),
IF('TL09'!$B$229=M$3,SUMIF('TL09'!$C$238:$C$451,$C238,'TL09'!$J$238:$J$451),0),
IF('TL10'!$B$3=M$3,SUMIF('TL10'!$C$10:$C$224,$C238,'TL10'!$J$10:$J$224),0),
IF('TL10'!$B$229=M$3,SUMIF('TL10'!$C$238:$C$451,$C238,'TL10'!$J$238:$J$451),0),
IF('TL11'!$B$3=M$3,SUMIF('TL11'!$C$10:$C$224,$C238,'TL11'!$J$10:$J$224),0),
IF('TL11'!$B$229=M$3,SUMIF('TL11'!$C$238:$C$451,$C238,'TL11'!$J$238:$J$451),0),
IF('TL12'!$B$3=M$3,SUMIF('TL12'!$C$10:$C$224,$C238,'TL12'!$J$10:$J$224),0),
IF('TL12'!$B$229=M$3,SUMIF('TL12'!$C$238:$C$451,$C238,'TL12'!$J$238:$J$451),0),
IF('TL13'!$B$3=M$3,SUMIF('TL13'!$C$10:$C$224,$C238,'TL13'!$J$10:$J$224),0),
IF('TL13'!$B$229=M$3,SUMIF('TL13'!$C$238:$C$451,$C238,'TL13'!$J$238:$J$451),0),
IF('TL14'!$B$3=M$3,SUMIF('TL14'!$C$10:$C$224,$C238,'TL14'!$J$10:$J$224),0),
IF('TL14'!$B$229=M$3,SUMIF('TL14'!$C$238:$C$451,$C238,'TL14'!$J$238:$J$451),0),
IF('TL15'!$B$3=M$3,SUMIF('TL15'!$C$10:$C$224,$C238,'TL15'!$J$10:$J$224),0),
IF('TL15'!$B$229=M$3,SUMIF('TL15'!$C$238:$C$451,$C238,'TL15'!$J$238:$J$451),0),
IF('TL16'!$B$3=M$3,SUMIF('TL16'!$C$10:$C$224,$C238,'TL16'!$J$10:$J$224),0),
IF('TL16'!$B$229=M$3,SUMIF('TL16'!$C$238:$C$451,$C238,'TL16'!$J$238:$J$451),0),
IF('TL17'!$B$3=M$3,SUMIF('TL17'!$C$10:$C$224,$C238,'TL17'!$J$10:$J$224),0),
IF('TL17'!$B$229=M$3,SUMIF('TL17'!$C$238:$C$451,$C238,'TL17'!$J$238:$J$451),0),
IF('TL18'!$B$3=M$3,SUMIF('TL18'!$C$10:$C$224,$C238,'TL18'!$J$10:$J$224),0),
IF('TL18'!$B$229=M$3,SUMIF('TL18'!$C$238:$C$451,$C238,'TL18'!$J$238:$J$451),0),
IF('TL19'!$B$3=M$3,SUMIF('TL19'!$C$10:$C$224,$C238,'TL19'!$J$10:$J$224),0),
IF('TL19'!$B$229=M$3,SUMIF('TL19'!$C$238:$C$451,$C238,'TL19'!$J$238:$J$451),0)
),0)</f>
        <v/>
      </c>
      <c r="N238" s="9">
        <f>IFERROR(SUM(
IF('TL01'!$B$3=N$3,SUMIF('TL01'!$C$10:$C$224,$C238,'TL01'!$J$10:$J$224),0),
IF('TL01'!$B$229=N$3,SUMIF('TL01'!$C$238:$C$451,$C238,'TL01'!$J$238:$J$451),0),
IF('TL02'!$B$3=N$3,SUMIF('TL02'!$C$10:$C$224,$C238,'TL02'!$J$10:$J$224),0),
IF('TL02'!$B$229=N$3,SUMIF('TL02'!$C$238:$C$451,$C238,'TL02'!$J$238:$J$451),0),
IF('TL03'!$B$3=N$3,SUMIF('TL03'!$C$10:$C$224,$C238,'TL03'!$J$10:$J$224),0),
IF('TL03'!$B$229=N$3,SUMIF('TL03'!$C$238:$C$451,$C238,'TL03'!$J$238:$J$451),0),
IF('TL04'!$B$3=N$3,SUMIF('TL04'!$C$10:$C$224,$C238,'TL04'!$J$10:$J$224),0),
IF('TL04'!$B$229=N$3,SUMIF('TL04'!$C$238:$C$451,$C238,'TL04'!$J$238:$J$451),0),
IF('TL05'!$B$3=N$3,SUMIF('TL05'!$C$10:$C$224,$C238,'TL05'!$J$10:$J$224),0),
IF('TL05'!$B$229=N$3,SUMIF('TL05'!$C$238:$C$451,$C238,'TL05'!$J$238:$J$451),0),
IF('TL06'!$B$3=N$3,SUMIF('TL06'!$C$10:$C$224,$C238,'TL06'!$J$10:$J$224),0),
IF('TL06'!$B$229=N$3,SUMIF('TL06'!$C$238:$C$451,$C238,'TL06'!$J$238:$J$451),0),
IF('TL07'!$B$3=N$3,SUMIF('TL07'!$C$10:$C$224,$C238,'TL07'!$J$10:$J$224),0),
IF('TL07'!$B$229=N$3,SUMIF('TL07'!$C$238:$C$451,$C238,'TL07'!$J$238:$J$451),0),
IF('TL08'!$B$3=N$3,SUMIF('TL08'!$C$10:$C$224,$C238,'TL08'!$J$10:$J$224),0),
IF('TL08'!$B$229=N$3,SUMIF('TL08'!$C$238:$C$451,$C238,'TL08'!$J$238:$J$451),0),
IF('TL09'!$B$3=N$3,SUMIF('TL09'!$C$10:$C$224,$C238,'TL09'!$J$10:$J$224),0),
IF('TL09'!$B$229=N$3,SUMIF('TL09'!$C$238:$C$451,$C238,'TL09'!$J$238:$J$451),0),
IF('TL10'!$B$3=N$3,SUMIF('TL10'!$C$10:$C$224,$C238,'TL10'!$J$10:$J$224),0),
IF('TL10'!$B$229=N$3,SUMIF('TL10'!$C$238:$C$451,$C238,'TL10'!$J$238:$J$451),0),
IF('TL11'!$B$3=N$3,SUMIF('TL11'!$C$10:$C$224,$C238,'TL11'!$J$10:$J$224),0),
IF('TL11'!$B$229=N$3,SUMIF('TL11'!$C$238:$C$451,$C238,'TL11'!$J$238:$J$451),0),
IF('TL12'!$B$3=N$3,SUMIF('TL12'!$C$10:$C$224,$C238,'TL12'!$J$10:$J$224),0),
IF('TL12'!$B$229=N$3,SUMIF('TL12'!$C$238:$C$451,$C238,'TL12'!$J$238:$J$451),0),
IF('TL13'!$B$3=N$3,SUMIF('TL13'!$C$10:$C$224,$C238,'TL13'!$J$10:$J$224),0),
IF('TL13'!$B$229=N$3,SUMIF('TL13'!$C$238:$C$451,$C238,'TL13'!$J$238:$J$451),0),
IF('TL14'!$B$3=N$3,SUMIF('TL14'!$C$10:$C$224,$C238,'TL14'!$J$10:$J$224),0),
IF('TL14'!$B$229=N$3,SUMIF('TL14'!$C$238:$C$451,$C238,'TL14'!$J$238:$J$451),0),
IF('TL15'!$B$3=N$3,SUMIF('TL15'!$C$10:$C$224,$C238,'TL15'!$J$10:$J$224),0),
IF('TL15'!$B$229=N$3,SUMIF('TL15'!$C$238:$C$451,$C238,'TL15'!$J$238:$J$451),0),
IF('TL16'!$B$3=N$3,SUMIF('TL16'!$C$10:$C$224,$C238,'TL16'!$J$10:$J$224),0),
IF('TL16'!$B$229=N$3,SUMIF('TL16'!$C$238:$C$451,$C238,'TL16'!$J$238:$J$451),0),
IF('TL17'!$B$3=N$3,SUMIF('TL17'!$C$10:$C$224,$C238,'TL17'!$J$10:$J$224),0),
IF('TL17'!$B$229=N$3,SUMIF('TL17'!$C$238:$C$451,$C238,'TL17'!$J$238:$J$451),0),
IF('TL18'!$B$3=N$3,SUMIF('TL18'!$C$10:$C$224,$C238,'TL18'!$J$10:$J$224),0),
IF('TL18'!$B$229=N$3,SUMIF('TL18'!$C$238:$C$451,$C238,'TL18'!$J$238:$J$451),0),
IF('TL19'!$B$3=N$3,SUMIF('TL19'!$C$10:$C$224,$C238,'TL19'!$J$10:$J$224),0),
IF('TL19'!$B$229=N$3,SUMIF('TL19'!$C$238:$C$451,$C238,'TL19'!$J$238:$J$451),0)
),0)</f>
        <v/>
      </c>
      <c r="O238" s="9">
        <f>IFERROR(SUM(
IF('TL01'!$B$3=O$3,SUMIF('TL01'!$C$10:$C$224,$C238,'TL01'!$J$10:$J$224),0),
IF('TL01'!$B$229=O$3,SUMIF('TL01'!$C$238:$C$451,$C238,'TL01'!$J$238:$J$451),0),
IF('TL02'!$B$3=O$3,SUMIF('TL02'!$C$10:$C$224,$C238,'TL02'!$J$10:$J$224),0),
IF('TL02'!$B$229=O$3,SUMIF('TL02'!$C$238:$C$451,$C238,'TL02'!$J$238:$J$451),0),
IF('TL03'!$B$3=O$3,SUMIF('TL03'!$C$10:$C$224,$C238,'TL03'!$J$10:$J$224),0),
IF('TL03'!$B$229=O$3,SUMIF('TL03'!$C$238:$C$451,$C238,'TL03'!$J$238:$J$451),0),
IF('TL04'!$B$3=O$3,SUMIF('TL04'!$C$10:$C$224,$C238,'TL04'!$J$10:$J$224),0),
IF('TL04'!$B$229=O$3,SUMIF('TL04'!$C$238:$C$451,$C238,'TL04'!$J$238:$J$451),0),
IF('TL05'!$B$3=O$3,SUMIF('TL05'!$C$10:$C$224,$C238,'TL05'!$J$10:$J$224),0),
IF('TL05'!$B$229=O$3,SUMIF('TL05'!$C$238:$C$451,$C238,'TL05'!$J$238:$J$451),0),
IF('TL06'!$B$3=O$3,SUMIF('TL06'!$C$10:$C$224,$C238,'TL06'!$J$10:$J$224),0),
IF('TL06'!$B$229=O$3,SUMIF('TL06'!$C$238:$C$451,$C238,'TL06'!$J$238:$J$451),0),
IF('TL07'!$B$3=O$3,SUMIF('TL07'!$C$10:$C$224,$C238,'TL07'!$J$10:$J$224),0),
IF('TL07'!$B$229=O$3,SUMIF('TL07'!$C$238:$C$451,$C238,'TL07'!$J$238:$J$451),0),
IF('TL08'!$B$3=O$3,SUMIF('TL08'!$C$10:$C$224,$C238,'TL08'!$J$10:$J$224),0),
IF('TL08'!$B$229=O$3,SUMIF('TL08'!$C$238:$C$451,$C238,'TL08'!$J$238:$J$451),0),
IF('TL09'!$B$3=O$3,SUMIF('TL09'!$C$10:$C$224,$C238,'TL09'!$J$10:$J$224),0),
IF('TL09'!$B$229=O$3,SUMIF('TL09'!$C$238:$C$451,$C238,'TL09'!$J$238:$J$451),0),
IF('TL10'!$B$3=O$3,SUMIF('TL10'!$C$10:$C$224,$C238,'TL10'!$J$10:$J$224),0),
IF('TL10'!$B$229=O$3,SUMIF('TL10'!$C$238:$C$451,$C238,'TL10'!$J$238:$J$451),0),
IF('TL11'!$B$3=O$3,SUMIF('TL11'!$C$10:$C$224,$C238,'TL11'!$J$10:$J$224),0),
IF('TL11'!$B$229=O$3,SUMIF('TL11'!$C$238:$C$451,$C238,'TL11'!$J$238:$J$451),0),
IF('TL12'!$B$3=O$3,SUMIF('TL12'!$C$10:$C$224,$C238,'TL12'!$J$10:$J$224),0),
IF('TL12'!$B$229=O$3,SUMIF('TL12'!$C$238:$C$451,$C238,'TL12'!$J$238:$J$451),0),
IF('TL13'!$B$3=O$3,SUMIF('TL13'!$C$10:$C$224,$C238,'TL13'!$J$10:$J$224),0),
IF('TL13'!$B$229=O$3,SUMIF('TL13'!$C$238:$C$451,$C238,'TL13'!$J$238:$J$451),0),
IF('TL14'!$B$3=O$3,SUMIF('TL14'!$C$10:$C$224,$C238,'TL14'!$J$10:$J$224),0),
IF('TL14'!$B$229=O$3,SUMIF('TL14'!$C$238:$C$451,$C238,'TL14'!$J$238:$J$451),0),
IF('TL15'!$B$3=O$3,SUMIF('TL15'!$C$10:$C$224,$C238,'TL15'!$J$10:$J$224),0),
IF('TL15'!$B$229=O$3,SUMIF('TL15'!$C$238:$C$451,$C238,'TL15'!$J$238:$J$451),0),
IF('TL16'!$B$3=O$3,SUMIF('TL16'!$C$10:$C$224,$C238,'TL16'!$J$10:$J$224),0),
IF('TL16'!$B$229=O$3,SUMIF('TL16'!$C$238:$C$451,$C238,'TL16'!$J$238:$J$451),0),
IF('TL17'!$B$3=O$3,SUMIF('TL17'!$C$10:$C$224,$C238,'TL17'!$J$10:$J$224),0),
IF('TL17'!$B$229=O$3,SUMIF('TL17'!$C$238:$C$451,$C238,'TL17'!$J$238:$J$451),0),
IF('TL18'!$B$3=O$3,SUMIF('TL18'!$C$10:$C$224,$C238,'TL18'!$J$10:$J$224),0),
IF('TL18'!$B$229=O$3,SUMIF('TL18'!$C$238:$C$451,$C238,'TL18'!$J$238:$J$451),0),
IF('TL19'!$B$3=O$3,SUMIF('TL19'!$C$10:$C$224,$C238,'TL19'!$J$10:$J$224),0),
IF('TL19'!$B$229=O$3,SUMIF('TL19'!$C$238:$C$451,$C238,'TL19'!$J$238:$J$451),0)
),0)</f>
        <v/>
      </c>
      <c r="P238" s="9">
        <f>IFERROR(SUM(
IF('TL01'!$B$3=P$3,SUMIF('TL01'!$C$10:$C$224,$C238,'TL01'!$J$10:$J$224),0),
IF('TL01'!$B$229=P$3,SUMIF('TL01'!$C$238:$C$451,$C238,'TL01'!$J$238:$J$451),0),
IF('TL02'!$B$3=P$3,SUMIF('TL02'!$C$10:$C$224,$C238,'TL02'!$J$10:$J$224),0),
IF('TL02'!$B$229=P$3,SUMIF('TL02'!$C$238:$C$451,$C238,'TL02'!$J$238:$J$451),0),
IF('TL03'!$B$3=P$3,SUMIF('TL03'!$C$10:$C$224,$C238,'TL03'!$J$10:$J$224),0),
IF('TL03'!$B$229=P$3,SUMIF('TL03'!$C$238:$C$451,$C238,'TL03'!$J$238:$J$451),0),
IF('TL04'!$B$3=P$3,SUMIF('TL04'!$C$10:$C$224,$C238,'TL04'!$J$10:$J$224),0),
IF('TL04'!$B$229=P$3,SUMIF('TL04'!$C$238:$C$451,$C238,'TL04'!$J$238:$J$451),0),
IF('TL05'!$B$3=P$3,SUMIF('TL05'!$C$10:$C$224,$C238,'TL05'!$J$10:$J$224),0),
IF('TL05'!$B$229=P$3,SUMIF('TL05'!$C$238:$C$451,$C238,'TL05'!$J$238:$J$451),0),
IF('TL06'!$B$3=P$3,SUMIF('TL06'!$C$10:$C$224,$C238,'TL06'!$J$10:$J$224),0),
IF('TL06'!$B$229=P$3,SUMIF('TL06'!$C$238:$C$451,$C238,'TL06'!$J$238:$J$451),0),
IF('TL07'!$B$3=P$3,SUMIF('TL07'!$C$10:$C$224,$C238,'TL07'!$J$10:$J$224),0),
IF('TL07'!$B$229=P$3,SUMIF('TL07'!$C$238:$C$451,$C238,'TL07'!$J$238:$J$451),0),
IF('TL08'!$B$3=P$3,SUMIF('TL08'!$C$10:$C$224,$C238,'TL08'!$J$10:$J$224),0),
IF('TL08'!$B$229=P$3,SUMIF('TL08'!$C$238:$C$451,$C238,'TL08'!$J$238:$J$451),0),
IF('TL09'!$B$3=P$3,SUMIF('TL09'!$C$10:$C$224,$C238,'TL09'!$J$10:$J$224),0),
IF('TL09'!$B$229=P$3,SUMIF('TL09'!$C$238:$C$451,$C238,'TL09'!$J$238:$J$451),0),
IF('TL10'!$B$3=P$3,SUMIF('TL10'!$C$10:$C$224,$C238,'TL10'!$J$10:$J$224),0),
IF('TL10'!$B$229=P$3,SUMIF('TL10'!$C$238:$C$451,$C238,'TL10'!$J$238:$J$451),0),
IF('TL11'!$B$3=P$3,SUMIF('TL11'!$C$10:$C$224,$C238,'TL11'!$J$10:$J$224),0),
IF('TL11'!$B$229=P$3,SUMIF('TL11'!$C$238:$C$451,$C238,'TL11'!$J$238:$J$451),0),
IF('TL12'!$B$3=P$3,SUMIF('TL12'!$C$10:$C$224,$C238,'TL12'!$J$10:$J$224),0),
IF('TL12'!$B$229=P$3,SUMIF('TL12'!$C$238:$C$451,$C238,'TL12'!$J$238:$J$451),0),
IF('TL13'!$B$3=P$3,SUMIF('TL13'!$C$10:$C$224,$C238,'TL13'!$J$10:$J$224),0),
IF('TL13'!$B$229=P$3,SUMIF('TL13'!$C$238:$C$451,$C238,'TL13'!$J$238:$J$451),0),
IF('TL14'!$B$3=P$3,SUMIF('TL14'!$C$10:$C$224,$C238,'TL14'!$J$10:$J$224),0),
IF('TL14'!$B$229=P$3,SUMIF('TL14'!$C$238:$C$451,$C238,'TL14'!$J$238:$J$451),0),
IF('TL15'!$B$3=P$3,SUMIF('TL15'!$C$10:$C$224,$C238,'TL15'!$J$10:$J$224),0),
IF('TL15'!$B$229=P$3,SUMIF('TL15'!$C$238:$C$451,$C238,'TL15'!$J$238:$J$451),0),
IF('TL16'!$B$3=P$3,SUMIF('TL16'!$C$10:$C$224,$C238,'TL16'!$J$10:$J$224),0),
IF('TL16'!$B$229=P$3,SUMIF('TL16'!$C$238:$C$451,$C238,'TL16'!$J$238:$J$451),0),
IF('TL17'!$B$3=P$3,SUMIF('TL17'!$C$10:$C$224,$C238,'TL17'!$J$10:$J$224),0),
IF('TL17'!$B$229=P$3,SUMIF('TL17'!$C$238:$C$451,$C238,'TL17'!$J$238:$J$451),0),
IF('TL18'!$B$3=P$3,SUMIF('TL18'!$C$10:$C$224,$C238,'TL18'!$J$10:$J$224),0),
IF('TL18'!$B$229=P$3,SUMIF('TL18'!$C$238:$C$451,$C238,'TL18'!$J$238:$J$451),0),
IF('TL19'!$B$3=P$3,SUMIF('TL19'!$C$10:$C$224,$C238,'TL19'!$J$10:$J$224),0),
IF('TL19'!$B$229=P$3,SUMIF('TL19'!$C$238:$C$451,$C238,'TL19'!$J$238:$J$451),0)
),0)</f>
        <v/>
      </c>
      <c r="Q238" s="9">
        <f>IFERROR(SUM(
IF('TL01'!$B$3=Q$3,SUMIF('TL01'!$C$10:$C$224,$C238,'TL01'!$J$10:$J$224),0),
IF('TL01'!$B$229=Q$3,SUMIF('TL01'!$C$238:$C$451,$C238,'TL01'!$J$238:$J$451),0),
IF('TL02'!$B$3=Q$3,SUMIF('TL02'!$C$10:$C$224,$C238,'TL02'!$J$10:$J$224),0),
IF('TL02'!$B$229=Q$3,SUMIF('TL02'!$C$238:$C$451,$C238,'TL02'!$J$238:$J$451),0),
IF('TL03'!$B$3=Q$3,SUMIF('TL03'!$C$10:$C$224,$C238,'TL03'!$J$10:$J$224),0),
IF('TL03'!$B$229=Q$3,SUMIF('TL03'!$C$238:$C$451,$C238,'TL03'!$J$238:$J$451),0),
IF('TL04'!$B$3=Q$3,SUMIF('TL04'!$C$10:$C$224,$C238,'TL04'!$J$10:$J$224),0),
IF('TL04'!$B$229=Q$3,SUMIF('TL04'!$C$238:$C$451,$C238,'TL04'!$J$238:$J$451),0),
IF('TL05'!$B$3=Q$3,SUMIF('TL05'!$C$10:$C$224,$C238,'TL05'!$J$10:$J$224),0),
IF('TL05'!$B$229=Q$3,SUMIF('TL05'!$C$238:$C$451,$C238,'TL05'!$J$238:$J$451),0),
IF('TL06'!$B$3=Q$3,SUMIF('TL06'!$C$10:$C$224,$C238,'TL06'!$J$10:$J$224),0),
IF('TL06'!$B$229=Q$3,SUMIF('TL06'!$C$238:$C$451,$C238,'TL06'!$J$238:$J$451),0),
IF('TL07'!$B$3=Q$3,SUMIF('TL07'!$C$10:$C$224,$C238,'TL07'!$J$10:$J$224),0),
IF('TL07'!$B$229=Q$3,SUMIF('TL07'!$C$238:$C$451,$C238,'TL07'!$J$238:$J$451),0),
IF('TL08'!$B$3=Q$3,SUMIF('TL08'!$C$10:$C$224,$C238,'TL08'!$J$10:$J$224),0),
IF('TL08'!$B$229=Q$3,SUMIF('TL08'!$C$238:$C$451,$C238,'TL08'!$J$238:$J$451),0),
IF('TL09'!$B$3=Q$3,SUMIF('TL09'!$C$10:$C$224,$C238,'TL09'!$J$10:$J$224),0),
IF('TL09'!$B$229=Q$3,SUMIF('TL09'!$C$238:$C$451,$C238,'TL09'!$J$238:$J$451),0),
IF('TL10'!$B$3=Q$3,SUMIF('TL10'!$C$10:$C$224,$C238,'TL10'!$J$10:$J$224),0),
IF('TL10'!$B$229=Q$3,SUMIF('TL10'!$C$238:$C$451,$C238,'TL10'!$J$238:$J$451),0),
IF('TL11'!$B$3=Q$3,SUMIF('TL11'!$C$10:$C$224,$C238,'TL11'!$J$10:$J$224),0),
IF('TL11'!$B$229=Q$3,SUMIF('TL11'!$C$238:$C$451,$C238,'TL11'!$J$238:$J$451),0),
IF('TL12'!$B$3=Q$3,SUMIF('TL12'!$C$10:$C$224,$C238,'TL12'!$J$10:$J$224),0),
IF('TL12'!$B$229=Q$3,SUMIF('TL12'!$C$238:$C$451,$C238,'TL12'!$J$238:$J$451),0),
IF('TL13'!$B$3=Q$3,SUMIF('TL13'!$C$10:$C$224,$C238,'TL13'!$J$10:$J$224),0),
IF('TL13'!$B$229=Q$3,SUMIF('TL13'!$C$238:$C$451,$C238,'TL13'!$J$238:$J$451),0),
IF('TL14'!$B$3=Q$3,SUMIF('TL14'!$C$10:$C$224,$C238,'TL14'!$J$10:$J$224),0),
IF('TL14'!$B$229=Q$3,SUMIF('TL14'!$C$238:$C$451,$C238,'TL14'!$J$238:$J$451),0),
IF('TL15'!$B$3=Q$3,SUMIF('TL15'!$C$10:$C$224,$C238,'TL15'!$J$10:$J$224),0),
IF('TL15'!$B$229=Q$3,SUMIF('TL15'!$C$238:$C$451,$C238,'TL15'!$J$238:$J$451),0),
IF('TL16'!$B$3=Q$3,SUMIF('TL16'!$C$10:$C$224,$C238,'TL16'!$J$10:$J$224),0),
IF('TL16'!$B$229=Q$3,SUMIF('TL16'!$C$238:$C$451,$C238,'TL16'!$J$238:$J$451),0),
IF('TL17'!$B$3=Q$3,SUMIF('TL17'!$C$10:$C$224,$C238,'TL17'!$J$10:$J$224),0),
IF('TL17'!$B$229=Q$3,SUMIF('TL17'!$C$238:$C$451,$C238,'TL17'!$J$238:$J$451),0),
IF('TL18'!$B$3=Q$3,SUMIF('TL18'!$C$10:$C$224,$C238,'TL18'!$J$10:$J$224),0),
IF('TL18'!$B$229=Q$3,SUMIF('TL18'!$C$238:$C$451,$C238,'TL18'!$J$238:$J$451),0),
IF('TL19'!$B$3=Q$3,SUMIF('TL19'!$C$10:$C$224,$C238,'TL19'!$J$10:$J$224),0),
IF('TL19'!$B$229=Q$3,SUMIF('TL19'!$C$238:$C$451,$C238,'TL19'!$J$238:$J$451),0)
),0)</f>
        <v/>
      </c>
      <c r="R238" s="9">
        <f>IFERROR(
SUM(
SUMIF('TL01'!C:C,C238,'TL01'!J:J),
SUMIF('TL02'!C:C,C238,'TL02'!J:J),
SUMIF('TL03'!C:C,C238,'TL03'!J:J),
SUMIF('TL04'!C:C,C238,'TL04'!J:J),
SUMIF('TL05'!C:C,C238,'TL05'!J:J),
SUMIF('TL06'!C:C,C238,'TL06'!J:J),
SUMIF('TL07'!C:C,C238,'TL07'!J:J),
SUMIF('TL08'!C:C,C238,'TL08'!J:J),
SUMIF('TL09'!C:C,C238,'TL09'!J:J),
SUMIF('TL10'!C:C,C238,'TL10'!J:J),
SUMIF('TL11'!C:C,C238,'TL11'!J:J),
SUMIF('TL12'!C:C,C238,'TL12'!J:J),
SUMIF('TL13'!C:C,C238,'TL13'!J:J),
SUMIF('TL14'!C:C,C238,'TL14'!J:J),
SUMIF('TL15'!C:C,C238,'TL15'!J:J),
SUMIF('TL16'!C:C,C238,'TL16'!J:J),
SUMIF('TL17'!C:C,C238,'TL17'!J:J),
SUMIF('TL18'!C:C,C238,'TL18'!J:J),SUMIF('TL19'!C:C,C238,'TL19'!J:J))
,0)</f>
        <v/>
      </c>
      <c r="S238" s="17">
        <f>IFERROR(__xludf.DUMMYFUNCTION("IFERROR(VLOOKUP(C238,
IMPORTRANGE(""1wULbzX32WdYsx-lj2U3uUNBBe2INVIRDtcK0d-Dvl90"",
""26-27!C:G""),
5,
FALSE),
"""")"),247.30103999999997)</f>
        <v/>
      </c>
      <c r="T238" s="9" t="n">
        <v>135</v>
      </c>
      <c r="U238" s="92">
        <f>MAX(0,R238-T238)</f>
        <v/>
      </c>
      <c r="V238" s="93">
        <f>U238*S238</f>
        <v/>
      </c>
    </row>
    <row r="239" hidden="1" ht="15.75" customHeight="1" s="297">
      <c r="A239" s="94" t="inlineStr">
        <is>
          <t>SYNGENTA</t>
        </is>
      </c>
      <c r="B239" s="95" t="inlineStr">
        <is>
          <t>INSETICIDA</t>
        </is>
      </c>
      <c r="C239" s="96" t="inlineStr">
        <is>
          <t>SPONTA</t>
        </is>
      </c>
      <c r="D239" s="96" t="inlineStr">
        <is>
          <t>ISOCICLOSERAM</t>
        </is>
      </c>
      <c r="E239" s="96" t="n">
        <v>400</v>
      </c>
      <c r="F239" s="4" t="inlineStr">
        <is>
          <t>L</t>
        </is>
      </c>
      <c r="G239" s="90">
        <f>HYPERLINK("https://www.google.com/search?q=" &amp; C239 &amp; "+bula+agrofit+pdf", "📄 Ver bula")</f>
        <v/>
      </c>
      <c r="H239" s="9">
        <f>IFERROR(__xludf.DUMMYFUNCTION("IFERROR(VLOOKUP(C239,
IMPORTRANGE(""1wULbzX32WdYsx-lj2U3uUNBBe2INVIRDtcK0d-Dvl90"",
""26-27!C:K""),
8,
FALSE),
"""")"),0.1)</f>
        <v/>
      </c>
      <c r="I239" s="97" t="inlineStr">
        <is>
          <t>4x5</t>
        </is>
      </c>
      <c r="J239" s="9">
        <f>IFERROR(SUM(
IF('TL01'!$B$3=J$3,SUMIF('TL01'!$C$10:$C$224,$C239,'TL01'!$J$10:$J$224),0),
IF('TL01'!$B$229=J$3,SUMIF('TL01'!$C$238:$C$451,$C239,'TL01'!$J$238:$J$451),0),
IF('TL02'!$B$3=J$3,SUMIF('TL02'!$C$10:$C$224,$C239,'TL02'!$J$10:$J$224),0),
IF('TL02'!$B$229=J$3,SUMIF('TL02'!$C$238:$C$451,$C239,'TL02'!$J$238:$J$451),0),
IF('TL03'!$B$3=J$3,SUMIF('TL03'!$C$10:$C$224,$C239,'TL03'!$J$10:$J$224),0),
IF('TL03'!$B$229=J$3,SUMIF('TL03'!$C$238:$C$451,$C239,'TL03'!$J$238:$J$451),0),
IF('TL04'!$B$3=J$3,SUMIF('TL04'!$C$10:$C$224,$C239,'TL04'!$J$10:$J$224),0),
IF('TL04'!$B$229=J$3,SUMIF('TL04'!$C$238:$C$451,$C239,'TL04'!$J$238:$J$451),0),
IF('TL05'!$B$3=J$3,SUMIF('TL05'!$C$10:$C$224,$C239,'TL05'!$J$10:$J$224),0),
IF('TL05'!$B$229=J$3,SUMIF('TL05'!$C$238:$C$451,$C239,'TL05'!$J$238:$J$451),0),
IF('TL06'!$B$3=J$3,SUMIF('TL06'!$C$10:$C$224,$C239,'TL06'!$J$10:$J$224),0),
IF('TL06'!$B$229=J$3,SUMIF('TL06'!$C$238:$C$451,$C239,'TL06'!$J$238:$J$451),0),
IF('TL07'!$B$3=J$3,SUMIF('TL07'!$C$10:$C$224,$C239,'TL07'!$J$10:$J$224),0),
IF('TL07'!$B$229=J$3,SUMIF('TL07'!$C$238:$C$451,$C239,'TL07'!$J$238:$J$451),0),
IF('TL08'!$B$3=J$3,SUMIF('TL08'!$C$10:$C$224,$C239,'TL08'!$J$10:$J$224),0),
IF('TL08'!$B$229=J$3,SUMIF('TL08'!$C$238:$C$451,$C239,'TL08'!$J$238:$J$451),0),
IF('TL09'!$B$3=J$3,SUMIF('TL09'!$C$10:$C$224,$C239,'TL09'!$J$10:$J$224),0),
IF('TL09'!$B$229=J$3,SUMIF('TL09'!$C$238:$C$451,$C239,'TL09'!$J$238:$J$451),0),
IF('TL10'!$B$3=J$3,SUMIF('TL10'!$C$10:$C$224,$C239,'TL10'!$J$10:$J$224),0),
IF('TL10'!$B$229=J$3,SUMIF('TL10'!$C$238:$C$451,$C239,'TL10'!$J$238:$J$451),0),
IF('TL11'!$B$3=J$3,SUMIF('TL11'!$C$10:$C$224,$C239,'TL11'!$J$10:$J$224),0),
IF('TL11'!$B$229=J$3,SUMIF('TL11'!$C$238:$C$451,$C239,'TL11'!$J$238:$J$451),0),
IF('TL12'!$B$3=J$3,SUMIF('TL12'!$C$10:$C$224,$C239,'TL12'!$J$10:$J$224),0),
IF('TL12'!$B$229=J$3,SUMIF('TL12'!$C$238:$C$451,$C239,'TL12'!$J$238:$J$451),0),
IF('TL13'!$B$3=J$3,SUMIF('TL13'!$C$10:$C$224,$C239,'TL13'!$J$10:$J$224),0),
IF('TL13'!$B$229=J$3,SUMIF('TL13'!$C$238:$C$451,$C239,'TL13'!$J$238:$J$451),0),
IF('TL14'!$B$3=J$3,SUMIF('TL14'!$C$10:$C$224,$C239,'TL14'!$J$10:$J$224),0),
IF('TL14'!$B$229=J$3,SUMIF('TL14'!$C$238:$C$451,$C239,'TL14'!$J$238:$J$451),0),
IF('TL15'!$B$3=J$3,SUMIF('TL15'!$C$10:$C$224,$C239,'TL15'!$J$10:$J$224),0),
IF('TL15'!$B$229=J$3,SUMIF('TL15'!$C$238:$C$451,$C239,'TL15'!$J$238:$J$451),0),
IF('TL16'!$B$3=J$3,SUMIF('TL16'!$C$10:$C$224,$C239,'TL16'!$J$10:$J$224),0),
IF('TL16'!$B$229=J$3,SUMIF('TL16'!$C$238:$C$451,$C239,'TL16'!$J$238:$J$451),0),
IF('TL17'!$B$3=J$3,SUMIF('TL17'!$C$10:$C$224,$C239,'TL17'!$J$10:$J$224),0),
IF('TL17'!$B$229=J$3,SUMIF('TL17'!$C$238:$C$451,$C239,'TL17'!$J$238:$J$451),0),
IF('TL18'!$B$3=J$3,SUMIF('TL18'!$C$10:$C$224,$C239,'TL18'!$J$10:$J$224),0),
IF('TL18'!$B$229=J$3,SUMIF('TL18'!$C$238:$C$451,$C239,'TL18'!$J$238:$J$451),0),
IF('TL19'!$B$3=J$3,SUMIF('TL19'!$C$10:$C$224,$C239,'TL19'!$J$10:$J$224),0),
IF('TL19'!$B$229=J$3,SUMIF('TL19'!$C$238:$C$451,$C239,'TL19'!$J$238:$J$451),0)
),0)</f>
        <v/>
      </c>
      <c r="K239" s="9">
        <f>IFERROR(SUM(
IF('TL01'!$B$3=K$3,SUMIF('TL01'!$C$10:$C$224,$C239,'TL01'!$J$10:$J$224),0),
IF('TL01'!$B$229=K$3,SUMIF('TL01'!$C$238:$C$451,$C239,'TL01'!$J$238:$J$451),0),
IF('TL02'!$B$3=K$3,SUMIF('TL02'!$C$10:$C$224,$C239,'TL02'!$J$10:$J$224),0),
IF('TL02'!$B$229=K$3,SUMIF('TL02'!$C$238:$C$451,$C239,'TL02'!$J$238:$J$451),0),
IF('TL03'!$B$3=K$3,SUMIF('TL03'!$C$10:$C$224,$C239,'TL03'!$J$10:$J$224),0),
IF('TL03'!$B$229=K$3,SUMIF('TL03'!$C$238:$C$451,$C239,'TL03'!$J$238:$J$451),0),
IF('TL04'!$B$3=K$3,SUMIF('TL04'!$C$10:$C$224,$C239,'TL04'!$J$10:$J$224),0),
IF('TL04'!$B$229=K$3,SUMIF('TL04'!$C$238:$C$451,$C239,'TL04'!$J$238:$J$451),0),
IF('TL05'!$B$3=K$3,SUMIF('TL05'!$C$10:$C$224,$C239,'TL05'!$J$10:$J$224),0),
IF('TL05'!$B$229=K$3,SUMIF('TL05'!$C$238:$C$451,$C239,'TL05'!$J$238:$J$451),0),
IF('TL06'!$B$3=K$3,SUMIF('TL06'!$C$10:$C$224,$C239,'TL06'!$J$10:$J$224),0),
IF('TL06'!$B$229=K$3,SUMIF('TL06'!$C$238:$C$451,$C239,'TL06'!$J$238:$J$451),0),
IF('TL07'!$B$3=K$3,SUMIF('TL07'!$C$10:$C$224,$C239,'TL07'!$J$10:$J$224),0),
IF('TL07'!$B$229=K$3,SUMIF('TL07'!$C$238:$C$451,$C239,'TL07'!$J$238:$J$451),0),
IF('TL08'!$B$3=K$3,SUMIF('TL08'!$C$10:$C$224,$C239,'TL08'!$J$10:$J$224),0),
IF('TL08'!$B$229=K$3,SUMIF('TL08'!$C$238:$C$451,$C239,'TL08'!$J$238:$J$451),0),
IF('TL09'!$B$3=K$3,SUMIF('TL09'!$C$10:$C$224,$C239,'TL09'!$J$10:$J$224),0),
IF('TL09'!$B$229=K$3,SUMIF('TL09'!$C$238:$C$451,$C239,'TL09'!$J$238:$J$451),0),
IF('TL10'!$B$3=K$3,SUMIF('TL10'!$C$10:$C$224,$C239,'TL10'!$J$10:$J$224),0),
IF('TL10'!$B$229=K$3,SUMIF('TL10'!$C$238:$C$451,$C239,'TL10'!$J$238:$J$451),0),
IF('TL11'!$B$3=K$3,SUMIF('TL11'!$C$10:$C$224,$C239,'TL11'!$J$10:$J$224),0),
IF('TL11'!$B$229=K$3,SUMIF('TL11'!$C$238:$C$451,$C239,'TL11'!$J$238:$J$451),0),
IF('TL12'!$B$3=K$3,SUMIF('TL12'!$C$10:$C$224,$C239,'TL12'!$J$10:$J$224),0),
IF('TL12'!$B$229=K$3,SUMIF('TL12'!$C$238:$C$451,$C239,'TL12'!$J$238:$J$451),0),
IF('TL13'!$B$3=K$3,SUMIF('TL13'!$C$10:$C$224,$C239,'TL13'!$J$10:$J$224),0),
IF('TL13'!$B$229=K$3,SUMIF('TL13'!$C$238:$C$451,$C239,'TL13'!$J$238:$J$451),0),
IF('TL14'!$B$3=K$3,SUMIF('TL14'!$C$10:$C$224,$C239,'TL14'!$J$10:$J$224),0),
IF('TL14'!$B$229=K$3,SUMIF('TL14'!$C$238:$C$451,$C239,'TL14'!$J$238:$J$451),0),
IF('TL15'!$B$3=K$3,SUMIF('TL15'!$C$10:$C$224,$C239,'TL15'!$J$10:$J$224),0),
IF('TL15'!$B$229=K$3,SUMIF('TL15'!$C$238:$C$451,$C239,'TL15'!$J$238:$J$451),0),
IF('TL16'!$B$3=K$3,SUMIF('TL16'!$C$10:$C$224,$C239,'TL16'!$J$10:$J$224),0),
IF('TL16'!$B$229=K$3,SUMIF('TL16'!$C$238:$C$451,$C239,'TL16'!$J$238:$J$451),0),
IF('TL17'!$B$3=K$3,SUMIF('TL17'!$C$10:$C$224,$C239,'TL17'!$J$10:$J$224),0),
IF('TL17'!$B$229=K$3,SUMIF('TL17'!$C$238:$C$451,$C239,'TL17'!$J$238:$J$451),0),
IF('TL18'!$B$3=K$3,SUMIF('TL18'!$C$10:$C$224,$C239,'TL18'!$J$10:$J$224),0),
IF('TL18'!$B$229=K$3,SUMIF('TL18'!$C$238:$C$451,$C239,'TL18'!$J$238:$J$451),0),
IF('TL19'!$B$3=K$3,SUMIF('TL19'!$C$10:$C$224,$C239,'TL19'!$J$10:$J$224),0),
IF('TL19'!$B$229=K$3,SUMIF('TL19'!$C$238:$C$451,$C239,'TL19'!$J$238:$J$451),0)
),0)</f>
        <v/>
      </c>
      <c r="L239" s="9">
        <f>IFERROR(SUM(
IF('TL01'!$B$3=L$3,SUMIF('TL01'!$C$10:$C$224,$C239,'TL01'!$J$10:$J$224),0),
IF('TL01'!$B$229=L$3,SUMIF('TL01'!$C$238:$C$451,$C239,'TL01'!$J$238:$J$451),0),
IF('TL02'!$B$3=L$3,SUMIF('TL02'!$C$10:$C$224,$C239,'TL02'!$J$10:$J$224),0),
IF('TL02'!$B$229=L$3,SUMIF('TL02'!$C$238:$C$451,$C239,'TL02'!$J$238:$J$451),0),
IF('TL03'!$B$3=L$3,SUMIF('TL03'!$C$10:$C$224,$C239,'TL03'!$J$10:$J$224),0),
IF('TL03'!$B$229=L$3,SUMIF('TL03'!$C$238:$C$451,$C239,'TL03'!$J$238:$J$451),0),
IF('TL04'!$B$3=L$3,SUMIF('TL04'!$C$10:$C$224,$C239,'TL04'!$J$10:$J$224),0),
IF('TL04'!$B$229=L$3,SUMIF('TL04'!$C$238:$C$451,$C239,'TL04'!$J$238:$J$451),0),
IF('TL05'!$B$3=L$3,SUMIF('TL05'!$C$10:$C$224,$C239,'TL05'!$J$10:$J$224),0),
IF('TL05'!$B$229=L$3,SUMIF('TL05'!$C$238:$C$451,$C239,'TL05'!$J$238:$J$451),0),
IF('TL06'!$B$3=L$3,SUMIF('TL06'!$C$10:$C$224,$C239,'TL06'!$J$10:$J$224),0),
IF('TL06'!$B$229=L$3,SUMIF('TL06'!$C$238:$C$451,$C239,'TL06'!$J$238:$J$451),0),
IF('TL07'!$B$3=L$3,SUMIF('TL07'!$C$10:$C$224,$C239,'TL07'!$J$10:$J$224),0),
IF('TL07'!$B$229=L$3,SUMIF('TL07'!$C$238:$C$451,$C239,'TL07'!$J$238:$J$451),0),
IF('TL08'!$B$3=L$3,SUMIF('TL08'!$C$10:$C$224,$C239,'TL08'!$J$10:$J$224),0),
IF('TL08'!$B$229=L$3,SUMIF('TL08'!$C$238:$C$451,$C239,'TL08'!$J$238:$J$451),0),
IF('TL09'!$B$3=L$3,SUMIF('TL09'!$C$10:$C$224,$C239,'TL09'!$J$10:$J$224),0),
IF('TL09'!$B$229=L$3,SUMIF('TL09'!$C$238:$C$451,$C239,'TL09'!$J$238:$J$451),0),
IF('TL10'!$B$3=L$3,SUMIF('TL10'!$C$10:$C$224,$C239,'TL10'!$J$10:$J$224),0),
IF('TL10'!$B$229=L$3,SUMIF('TL10'!$C$238:$C$451,$C239,'TL10'!$J$238:$J$451),0),
IF('TL11'!$B$3=L$3,SUMIF('TL11'!$C$10:$C$224,$C239,'TL11'!$J$10:$J$224),0),
IF('TL11'!$B$229=L$3,SUMIF('TL11'!$C$238:$C$451,$C239,'TL11'!$J$238:$J$451),0),
IF('TL12'!$B$3=L$3,SUMIF('TL12'!$C$10:$C$224,$C239,'TL12'!$J$10:$J$224),0),
IF('TL12'!$B$229=L$3,SUMIF('TL12'!$C$238:$C$451,$C239,'TL12'!$J$238:$J$451),0),
IF('TL13'!$B$3=L$3,SUMIF('TL13'!$C$10:$C$224,$C239,'TL13'!$J$10:$J$224),0),
IF('TL13'!$B$229=L$3,SUMIF('TL13'!$C$238:$C$451,$C239,'TL13'!$J$238:$J$451),0),
IF('TL14'!$B$3=L$3,SUMIF('TL14'!$C$10:$C$224,$C239,'TL14'!$J$10:$J$224),0),
IF('TL14'!$B$229=L$3,SUMIF('TL14'!$C$238:$C$451,$C239,'TL14'!$J$238:$J$451),0),
IF('TL15'!$B$3=L$3,SUMIF('TL15'!$C$10:$C$224,$C239,'TL15'!$J$10:$J$224),0),
IF('TL15'!$B$229=L$3,SUMIF('TL15'!$C$238:$C$451,$C239,'TL15'!$J$238:$J$451),0),
IF('TL16'!$B$3=L$3,SUMIF('TL16'!$C$10:$C$224,$C239,'TL16'!$J$10:$J$224),0),
IF('TL16'!$B$229=L$3,SUMIF('TL16'!$C$238:$C$451,$C239,'TL16'!$J$238:$J$451),0),
IF('TL17'!$B$3=L$3,SUMIF('TL17'!$C$10:$C$224,$C239,'TL17'!$J$10:$J$224),0),
IF('TL17'!$B$229=L$3,SUMIF('TL17'!$C$238:$C$451,$C239,'TL17'!$J$238:$J$451),0),
IF('TL18'!$B$3=L$3,SUMIF('TL18'!$C$10:$C$224,$C239,'TL18'!$J$10:$J$224),0),
IF('TL18'!$B$229=L$3,SUMIF('TL18'!$C$238:$C$451,$C239,'TL18'!$J$238:$J$451),0),
IF('TL19'!$B$3=L$3,SUMIF('TL19'!$C$10:$C$224,$C239,'TL19'!$J$10:$J$224),0),
IF('TL19'!$B$229=L$3,SUMIF('TL19'!$C$238:$C$451,$C239,'TL19'!$J$238:$J$451),0)
),0)</f>
        <v/>
      </c>
      <c r="M239" s="9">
        <f>IFERROR(SUM(
IF('TL01'!$B$3=M$3,SUMIF('TL01'!$C$10:$C$224,$C239,'TL01'!$J$10:$J$224),0),
IF('TL01'!$B$229=M$3,SUMIF('TL01'!$C$238:$C$451,$C239,'TL01'!$J$238:$J$451),0),
IF('TL02'!$B$3=M$3,SUMIF('TL02'!$C$10:$C$224,$C239,'TL02'!$J$10:$J$224),0),
IF('TL02'!$B$229=M$3,SUMIF('TL02'!$C$238:$C$451,$C239,'TL02'!$J$238:$J$451),0),
IF('TL03'!$B$3=M$3,SUMIF('TL03'!$C$10:$C$224,$C239,'TL03'!$J$10:$J$224),0),
IF('TL03'!$B$229=M$3,SUMIF('TL03'!$C$238:$C$451,$C239,'TL03'!$J$238:$J$451),0),
IF('TL04'!$B$3=M$3,SUMIF('TL04'!$C$10:$C$224,$C239,'TL04'!$J$10:$J$224),0),
IF('TL04'!$B$229=M$3,SUMIF('TL04'!$C$238:$C$451,$C239,'TL04'!$J$238:$J$451),0),
IF('TL05'!$B$3=M$3,SUMIF('TL05'!$C$10:$C$224,$C239,'TL05'!$J$10:$J$224),0),
IF('TL05'!$B$229=M$3,SUMIF('TL05'!$C$238:$C$451,$C239,'TL05'!$J$238:$J$451),0),
IF('TL06'!$B$3=M$3,SUMIF('TL06'!$C$10:$C$224,$C239,'TL06'!$J$10:$J$224),0),
IF('TL06'!$B$229=M$3,SUMIF('TL06'!$C$238:$C$451,$C239,'TL06'!$J$238:$J$451),0),
IF('TL07'!$B$3=M$3,SUMIF('TL07'!$C$10:$C$224,$C239,'TL07'!$J$10:$J$224),0),
IF('TL07'!$B$229=M$3,SUMIF('TL07'!$C$238:$C$451,$C239,'TL07'!$J$238:$J$451),0),
IF('TL08'!$B$3=M$3,SUMIF('TL08'!$C$10:$C$224,$C239,'TL08'!$J$10:$J$224),0),
IF('TL08'!$B$229=M$3,SUMIF('TL08'!$C$238:$C$451,$C239,'TL08'!$J$238:$J$451),0),
IF('TL09'!$B$3=M$3,SUMIF('TL09'!$C$10:$C$224,$C239,'TL09'!$J$10:$J$224),0),
IF('TL09'!$B$229=M$3,SUMIF('TL09'!$C$238:$C$451,$C239,'TL09'!$J$238:$J$451),0),
IF('TL10'!$B$3=M$3,SUMIF('TL10'!$C$10:$C$224,$C239,'TL10'!$J$10:$J$224),0),
IF('TL10'!$B$229=M$3,SUMIF('TL10'!$C$238:$C$451,$C239,'TL10'!$J$238:$J$451),0),
IF('TL11'!$B$3=M$3,SUMIF('TL11'!$C$10:$C$224,$C239,'TL11'!$J$10:$J$224),0),
IF('TL11'!$B$229=M$3,SUMIF('TL11'!$C$238:$C$451,$C239,'TL11'!$J$238:$J$451),0),
IF('TL12'!$B$3=M$3,SUMIF('TL12'!$C$10:$C$224,$C239,'TL12'!$J$10:$J$224),0),
IF('TL12'!$B$229=M$3,SUMIF('TL12'!$C$238:$C$451,$C239,'TL12'!$J$238:$J$451),0),
IF('TL13'!$B$3=M$3,SUMIF('TL13'!$C$10:$C$224,$C239,'TL13'!$J$10:$J$224),0),
IF('TL13'!$B$229=M$3,SUMIF('TL13'!$C$238:$C$451,$C239,'TL13'!$J$238:$J$451),0),
IF('TL14'!$B$3=M$3,SUMIF('TL14'!$C$10:$C$224,$C239,'TL14'!$J$10:$J$224),0),
IF('TL14'!$B$229=M$3,SUMIF('TL14'!$C$238:$C$451,$C239,'TL14'!$J$238:$J$451),0),
IF('TL15'!$B$3=M$3,SUMIF('TL15'!$C$10:$C$224,$C239,'TL15'!$J$10:$J$224),0),
IF('TL15'!$B$229=M$3,SUMIF('TL15'!$C$238:$C$451,$C239,'TL15'!$J$238:$J$451),0),
IF('TL16'!$B$3=M$3,SUMIF('TL16'!$C$10:$C$224,$C239,'TL16'!$J$10:$J$224),0),
IF('TL16'!$B$229=M$3,SUMIF('TL16'!$C$238:$C$451,$C239,'TL16'!$J$238:$J$451),0),
IF('TL17'!$B$3=M$3,SUMIF('TL17'!$C$10:$C$224,$C239,'TL17'!$J$10:$J$224),0),
IF('TL17'!$B$229=M$3,SUMIF('TL17'!$C$238:$C$451,$C239,'TL17'!$J$238:$J$451),0),
IF('TL18'!$B$3=M$3,SUMIF('TL18'!$C$10:$C$224,$C239,'TL18'!$J$10:$J$224),0),
IF('TL18'!$B$229=M$3,SUMIF('TL18'!$C$238:$C$451,$C239,'TL18'!$J$238:$J$451),0),
IF('TL19'!$B$3=M$3,SUMIF('TL19'!$C$10:$C$224,$C239,'TL19'!$J$10:$J$224),0),
IF('TL19'!$B$229=M$3,SUMIF('TL19'!$C$238:$C$451,$C239,'TL19'!$J$238:$J$451),0)
),0)</f>
        <v/>
      </c>
      <c r="N239" s="9">
        <f>IFERROR(SUM(
IF('TL01'!$B$3=N$3,SUMIF('TL01'!$C$10:$C$224,$C239,'TL01'!$J$10:$J$224),0),
IF('TL01'!$B$229=N$3,SUMIF('TL01'!$C$238:$C$451,$C239,'TL01'!$J$238:$J$451),0),
IF('TL02'!$B$3=N$3,SUMIF('TL02'!$C$10:$C$224,$C239,'TL02'!$J$10:$J$224),0),
IF('TL02'!$B$229=N$3,SUMIF('TL02'!$C$238:$C$451,$C239,'TL02'!$J$238:$J$451),0),
IF('TL03'!$B$3=N$3,SUMIF('TL03'!$C$10:$C$224,$C239,'TL03'!$J$10:$J$224),0),
IF('TL03'!$B$229=N$3,SUMIF('TL03'!$C$238:$C$451,$C239,'TL03'!$J$238:$J$451),0),
IF('TL04'!$B$3=N$3,SUMIF('TL04'!$C$10:$C$224,$C239,'TL04'!$J$10:$J$224),0),
IF('TL04'!$B$229=N$3,SUMIF('TL04'!$C$238:$C$451,$C239,'TL04'!$J$238:$J$451),0),
IF('TL05'!$B$3=N$3,SUMIF('TL05'!$C$10:$C$224,$C239,'TL05'!$J$10:$J$224),0),
IF('TL05'!$B$229=N$3,SUMIF('TL05'!$C$238:$C$451,$C239,'TL05'!$J$238:$J$451),0),
IF('TL06'!$B$3=N$3,SUMIF('TL06'!$C$10:$C$224,$C239,'TL06'!$J$10:$J$224),0),
IF('TL06'!$B$229=N$3,SUMIF('TL06'!$C$238:$C$451,$C239,'TL06'!$J$238:$J$451),0),
IF('TL07'!$B$3=N$3,SUMIF('TL07'!$C$10:$C$224,$C239,'TL07'!$J$10:$J$224),0),
IF('TL07'!$B$229=N$3,SUMIF('TL07'!$C$238:$C$451,$C239,'TL07'!$J$238:$J$451),0),
IF('TL08'!$B$3=N$3,SUMIF('TL08'!$C$10:$C$224,$C239,'TL08'!$J$10:$J$224),0),
IF('TL08'!$B$229=N$3,SUMIF('TL08'!$C$238:$C$451,$C239,'TL08'!$J$238:$J$451),0),
IF('TL09'!$B$3=N$3,SUMIF('TL09'!$C$10:$C$224,$C239,'TL09'!$J$10:$J$224),0),
IF('TL09'!$B$229=N$3,SUMIF('TL09'!$C$238:$C$451,$C239,'TL09'!$J$238:$J$451),0),
IF('TL10'!$B$3=N$3,SUMIF('TL10'!$C$10:$C$224,$C239,'TL10'!$J$10:$J$224),0),
IF('TL10'!$B$229=N$3,SUMIF('TL10'!$C$238:$C$451,$C239,'TL10'!$J$238:$J$451),0),
IF('TL11'!$B$3=N$3,SUMIF('TL11'!$C$10:$C$224,$C239,'TL11'!$J$10:$J$224),0),
IF('TL11'!$B$229=N$3,SUMIF('TL11'!$C$238:$C$451,$C239,'TL11'!$J$238:$J$451),0),
IF('TL12'!$B$3=N$3,SUMIF('TL12'!$C$10:$C$224,$C239,'TL12'!$J$10:$J$224),0),
IF('TL12'!$B$229=N$3,SUMIF('TL12'!$C$238:$C$451,$C239,'TL12'!$J$238:$J$451),0),
IF('TL13'!$B$3=N$3,SUMIF('TL13'!$C$10:$C$224,$C239,'TL13'!$J$10:$J$224),0),
IF('TL13'!$B$229=N$3,SUMIF('TL13'!$C$238:$C$451,$C239,'TL13'!$J$238:$J$451),0),
IF('TL14'!$B$3=N$3,SUMIF('TL14'!$C$10:$C$224,$C239,'TL14'!$J$10:$J$224),0),
IF('TL14'!$B$229=N$3,SUMIF('TL14'!$C$238:$C$451,$C239,'TL14'!$J$238:$J$451),0),
IF('TL15'!$B$3=N$3,SUMIF('TL15'!$C$10:$C$224,$C239,'TL15'!$J$10:$J$224),0),
IF('TL15'!$B$229=N$3,SUMIF('TL15'!$C$238:$C$451,$C239,'TL15'!$J$238:$J$451),0),
IF('TL16'!$B$3=N$3,SUMIF('TL16'!$C$10:$C$224,$C239,'TL16'!$J$10:$J$224),0),
IF('TL16'!$B$229=N$3,SUMIF('TL16'!$C$238:$C$451,$C239,'TL16'!$J$238:$J$451),0),
IF('TL17'!$B$3=N$3,SUMIF('TL17'!$C$10:$C$224,$C239,'TL17'!$J$10:$J$224),0),
IF('TL17'!$B$229=N$3,SUMIF('TL17'!$C$238:$C$451,$C239,'TL17'!$J$238:$J$451),0),
IF('TL18'!$B$3=N$3,SUMIF('TL18'!$C$10:$C$224,$C239,'TL18'!$J$10:$J$224),0),
IF('TL18'!$B$229=N$3,SUMIF('TL18'!$C$238:$C$451,$C239,'TL18'!$J$238:$J$451),0),
IF('TL19'!$B$3=N$3,SUMIF('TL19'!$C$10:$C$224,$C239,'TL19'!$J$10:$J$224),0),
IF('TL19'!$B$229=N$3,SUMIF('TL19'!$C$238:$C$451,$C239,'TL19'!$J$238:$J$451),0)
),0)</f>
        <v/>
      </c>
      <c r="O239" s="9">
        <f>IFERROR(SUM(
IF('TL01'!$B$3=O$3,SUMIF('TL01'!$C$10:$C$224,$C239,'TL01'!$J$10:$J$224),0),
IF('TL01'!$B$229=O$3,SUMIF('TL01'!$C$238:$C$451,$C239,'TL01'!$J$238:$J$451),0),
IF('TL02'!$B$3=O$3,SUMIF('TL02'!$C$10:$C$224,$C239,'TL02'!$J$10:$J$224),0),
IF('TL02'!$B$229=O$3,SUMIF('TL02'!$C$238:$C$451,$C239,'TL02'!$J$238:$J$451),0),
IF('TL03'!$B$3=O$3,SUMIF('TL03'!$C$10:$C$224,$C239,'TL03'!$J$10:$J$224),0),
IF('TL03'!$B$229=O$3,SUMIF('TL03'!$C$238:$C$451,$C239,'TL03'!$J$238:$J$451),0),
IF('TL04'!$B$3=O$3,SUMIF('TL04'!$C$10:$C$224,$C239,'TL04'!$J$10:$J$224),0),
IF('TL04'!$B$229=O$3,SUMIF('TL04'!$C$238:$C$451,$C239,'TL04'!$J$238:$J$451),0),
IF('TL05'!$B$3=O$3,SUMIF('TL05'!$C$10:$C$224,$C239,'TL05'!$J$10:$J$224),0),
IF('TL05'!$B$229=O$3,SUMIF('TL05'!$C$238:$C$451,$C239,'TL05'!$J$238:$J$451),0),
IF('TL06'!$B$3=O$3,SUMIF('TL06'!$C$10:$C$224,$C239,'TL06'!$J$10:$J$224),0),
IF('TL06'!$B$229=O$3,SUMIF('TL06'!$C$238:$C$451,$C239,'TL06'!$J$238:$J$451),0),
IF('TL07'!$B$3=O$3,SUMIF('TL07'!$C$10:$C$224,$C239,'TL07'!$J$10:$J$224),0),
IF('TL07'!$B$229=O$3,SUMIF('TL07'!$C$238:$C$451,$C239,'TL07'!$J$238:$J$451),0),
IF('TL08'!$B$3=O$3,SUMIF('TL08'!$C$10:$C$224,$C239,'TL08'!$J$10:$J$224),0),
IF('TL08'!$B$229=O$3,SUMIF('TL08'!$C$238:$C$451,$C239,'TL08'!$J$238:$J$451),0),
IF('TL09'!$B$3=O$3,SUMIF('TL09'!$C$10:$C$224,$C239,'TL09'!$J$10:$J$224),0),
IF('TL09'!$B$229=O$3,SUMIF('TL09'!$C$238:$C$451,$C239,'TL09'!$J$238:$J$451),0),
IF('TL10'!$B$3=O$3,SUMIF('TL10'!$C$10:$C$224,$C239,'TL10'!$J$10:$J$224),0),
IF('TL10'!$B$229=O$3,SUMIF('TL10'!$C$238:$C$451,$C239,'TL10'!$J$238:$J$451),0),
IF('TL11'!$B$3=O$3,SUMIF('TL11'!$C$10:$C$224,$C239,'TL11'!$J$10:$J$224),0),
IF('TL11'!$B$229=O$3,SUMIF('TL11'!$C$238:$C$451,$C239,'TL11'!$J$238:$J$451),0),
IF('TL12'!$B$3=O$3,SUMIF('TL12'!$C$10:$C$224,$C239,'TL12'!$J$10:$J$224),0),
IF('TL12'!$B$229=O$3,SUMIF('TL12'!$C$238:$C$451,$C239,'TL12'!$J$238:$J$451),0),
IF('TL13'!$B$3=O$3,SUMIF('TL13'!$C$10:$C$224,$C239,'TL13'!$J$10:$J$224),0),
IF('TL13'!$B$229=O$3,SUMIF('TL13'!$C$238:$C$451,$C239,'TL13'!$J$238:$J$451),0),
IF('TL14'!$B$3=O$3,SUMIF('TL14'!$C$10:$C$224,$C239,'TL14'!$J$10:$J$224),0),
IF('TL14'!$B$229=O$3,SUMIF('TL14'!$C$238:$C$451,$C239,'TL14'!$J$238:$J$451),0),
IF('TL15'!$B$3=O$3,SUMIF('TL15'!$C$10:$C$224,$C239,'TL15'!$J$10:$J$224),0),
IF('TL15'!$B$229=O$3,SUMIF('TL15'!$C$238:$C$451,$C239,'TL15'!$J$238:$J$451),0),
IF('TL16'!$B$3=O$3,SUMIF('TL16'!$C$10:$C$224,$C239,'TL16'!$J$10:$J$224),0),
IF('TL16'!$B$229=O$3,SUMIF('TL16'!$C$238:$C$451,$C239,'TL16'!$J$238:$J$451),0),
IF('TL17'!$B$3=O$3,SUMIF('TL17'!$C$10:$C$224,$C239,'TL17'!$J$10:$J$224),0),
IF('TL17'!$B$229=O$3,SUMIF('TL17'!$C$238:$C$451,$C239,'TL17'!$J$238:$J$451),0),
IF('TL18'!$B$3=O$3,SUMIF('TL18'!$C$10:$C$224,$C239,'TL18'!$J$10:$J$224),0),
IF('TL18'!$B$229=O$3,SUMIF('TL18'!$C$238:$C$451,$C239,'TL18'!$J$238:$J$451),0),
IF('TL19'!$B$3=O$3,SUMIF('TL19'!$C$10:$C$224,$C239,'TL19'!$J$10:$J$224),0),
IF('TL19'!$B$229=O$3,SUMIF('TL19'!$C$238:$C$451,$C239,'TL19'!$J$238:$J$451),0)
),0)</f>
        <v/>
      </c>
      <c r="P239" s="9">
        <f>IFERROR(SUM(
IF('TL01'!$B$3=P$3,SUMIF('TL01'!$C$10:$C$224,$C239,'TL01'!$J$10:$J$224),0),
IF('TL01'!$B$229=P$3,SUMIF('TL01'!$C$238:$C$451,$C239,'TL01'!$J$238:$J$451),0),
IF('TL02'!$B$3=P$3,SUMIF('TL02'!$C$10:$C$224,$C239,'TL02'!$J$10:$J$224),0),
IF('TL02'!$B$229=P$3,SUMIF('TL02'!$C$238:$C$451,$C239,'TL02'!$J$238:$J$451),0),
IF('TL03'!$B$3=P$3,SUMIF('TL03'!$C$10:$C$224,$C239,'TL03'!$J$10:$J$224),0),
IF('TL03'!$B$229=P$3,SUMIF('TL03'!$C$238:$C$451,$C239,'TL03'!$J$238:$J$451),0),
IF('TL04'!$B$3=P$3,SUMIF('TL04'!$C$10:$C$224,$C239,'TL04'!$J$10:$J$224),0),
IF('TL04'!$B$229=P$3,SUMIF('TL04'!$C$238:$C$451,$C239,'TL04'!$J$238:$J$451),0),
IF('TL05'!$B$3=P$3,SUMIF('TL05'!$C$10:$C$224,$C239,'TL05'!$J$10:$J$224),0),
IF('TL05'!$B$229=P$3,SUMIF('TL05'!$C$238:$C$451,$C239,'TL05'!$J$238:$J$451),0),
IF('TL06'!$B$3=P$3,SUMIF('TL06'!$C$10:$C$224,$C239,'TL06'!$J$10:$J$224),0),
IF('TL06'!$B$229=P$3,SUMIF('TL06'!$C$238:$C$451,$C239,'TL06'!$J$238:$J$451),0),
IF('TL07'!$B$3=P$3,SUMIF('TL07'!$C$10:$C$224,$C239,'TL07'!$J$10:$J$224),0),
IF('TL07'!$B$229=P$3,SUMIF('TL07'!$C$238:$C$451,$C239,'TL07'!$J$238:$J$451),0),
IF('TL08'!$B$3=P$3,SUMIF('TL08'!$C$10:$C$224,$C239,'TL08'!$J$10:$J$224),0),
IF('TL08'!$B$229=P$3,SUMIF('TL08'!$C$238:$C$451,$C239,'TL08'!$J$238:$J$451),0),
IF('TL09'!$B$3=P$3,SUMIF('TL09'!$C$10:$C$224,$C239,'TL09'!$J$10:$J$224),0),
IF('TL09'!$B$229=P$3,SUMIF('TL09'!$C$238:$C$451,$C239,'TL09'!$J$238:$J$451),0),
IF('TL10'!$B$3=P$3,SUMIF('TL10'!$C$10:$C$224,$C239,'TL10'!$J$10:$J$224),0),
IF('TL10'!$B$229=P$3,SUMIF('TL10'!$C$238:$C$451,$C239,'TL10'!$J$238:$J$451),0),
IF('TL11'!$B$3=P$3,SUMIF('TL11'!$C$10:$C$224,$C239,'TL11'!$J$10:$J$224),0),
IF('TL11'!$B$229=P$3,SUMIF('TL11'!$C$238:$C$451,$C239,'TL11'!$J$238:$J$451),0),
IF('TL12'!$B$3=P$3,SUMIF('TL12'!$C$10:$C$224,$C239,'TL12'!$J$10:$J$224),0),
IF('TL12'!$B$229=P$3,SUMIF('TL12'!$C$238:$C$451,$C239,'TL12'!$J$238:$J$451),0),
IF('TL13'!$B$3=P$3,SUMIF('TL13'!$C$10:$C$224,$C239,'TL13'!$J$10:$J$224),0),
IF('TL13'!$B$229=P$3,SUMIF('TL13'!$C$238:$C$451,$C239,'TL13'!$J$238:$J$451),0),
IF('TL14'!$B$3=P$3,SUMIF('TL14'!$C$10:$C$224,$C239,'TL14'!$J$10:$J$224),0),
IF('TL14'!$B$229=P$3,SUMIF('TL14'!$C$238:$C$451,$C239,'TL14'!$J$238:$J$451),0),
IF('TL15'!$B$3=P$3,SUMIF('TL15'!$C$10:$C$224,$C239,'TL15'!$J$10:$J$224),0),
IF('TL15'!$B$229=P$3,SUMIF('TL15'!$C$238:$C$451,$C239,'TL15'!$J$238:$J$451),0),
IF('TL16'!$B$3=P$3,SUMIF('TL16'!$C$10:$C$224,$C239,'TL16'!$J$10:$J$224),0),
IF('TL16'!$B$229=P$3,SUMIF('TL16'!$C$238:$C$451,$C239,'TL16'!$J$238:$J$451),0),
IF('TL17'!$B$3=P$3,SUMIF('TL17'!$C$10:$C$224,$C239,'TL17'!$J$10:$J$224),0),
IF('TL17'!$B$229=P$3,SUMIF('TL17'!$C$238:$C$451,$C239,'TL17'!$J$238:$J$451),0),
IF('TL18'!$B$3=P$3,SUMIF('TL18'!$C$10:$C$224,$C239,'TL18'!$J$10:$J$224),0),
IF('TL18'!$B$229=P$3,SUMIF('TL18'!$C$238:$C$451,$C239,'TL18'!$J$238:$J$451),0),
IF('TL19'!$B$3=P$3,SUMIF('TL19'!$C$10:$C$224,$C239,'TL19'!$J$10:$J$224),0),
IF('TL19'!$B$229=P$3,SUMIF('TL19'!$C$238:$C$451,$C239,'TL19'!$J$238:$J$451),0)
),0)</f>
        <v/>
      </c>
      <c r="Q239" s="9">
        <f>IFERROR(SUM(
IF('TL01'!$B$3=Q$3,SUMIF('TL01'!$C$10:$C$224,$C239,'TL01'!$J$10:$J$224),0),
IF('TL01'!$B$229=Q$3,SUMIF('TL01'!$C$238:$C$451,$C239,'TL01'!$J$238:$J$451),0),
IF('TL02'!$B$3=Q$3,SUMIF('TL02'!$C$10:$C$224,$C239,'TL02'!$J$10:$J$224),0),
IF('TL02'!$B$229=Q$3,SUMIF('TL02'!$C$238:$C$451,$C239,'TL02'!$J$238:$J$451),0),
IF('TL03'!$B$3=Q$3,SUMIF('TL03'!$C$10:$C$224,$C239,'TL03'!$J$10:$J$224),0),
IF('TL03'!$B$229=Q$3,SUMIF('TL03'!$C$238:$C$451,$C239,'TL03'!$J$238:$J$451),0),
IF('TL04'!$B$3=Q$3,SUMIF('TL04'!$C$10:$C$224,$C239,'TL04'!$J$10:$J$224),0),
IF('TL04'!$B$229=Q$3,SUMIF('TL04'!$C$238:$C$451,$C239,'TL04'!$J$238:$J$451),0),
IF('TL05'!$B$3=Q$3,SUMIF('TL05'!$C$10:$C$224,$C239,'TL05'!$J$10:$J$224),0),
IF('TL05'!$B$229=Q$3,SUMIF('TL05'!$C$238:$C$451,$C239,'TL05'!$J$238:$J$451),0),
IF('TL06'!$B$3=Q$3,SUMIF('TL06'!$C$10:$C$224,$C239,'TL06'!$J$10:$J$224),0),
IF('TL06'!$B$229=Q$3,SUMIF('TL06'!$C$238:$C$451,$C239,'TL06'!$J$238:$J$451),0),
IF('TL07'!$B$3=Q$3,SUMIF('TL07'!$C$10:$C$224,$C239,'TL07'!$J$10:$J$224),0),
IF('TL07'!$B$229=Q$3,SUMIF('TL07'!$C$238:$C$451,$C239,'TL07'!$J$238:$J$451),0),
IF('TL08'!$B$3=Q$3,SUMIF('TL08'!$C$10:$C$224,$C239,'TL08'!$J$10:$J$224),0),
IF('TL08'!$B$229=Q$3,SUMIF('TL08'!$C$238:$C$451,$C239,'TL08'!$J$238:$J$451),0),
IF('TL09'!$B$3=Q$3,SUMIF('TL09'!$C$10:$C$224,$C239,'TL09'!$J$10:$J$224),0),
IF('TL09'!$B$229=Q$3,SUMIF('TL09'!$C$238:$C$451,$C239,'TL09'!$J$238:$J$451),0),
IF('TL10'!$B$3=Q$3,SUMIF('TL10'!$C$10:$C$224,$C239,'TL10'!$J$10:$J$224),0),
IF('TL10'!$B$229=Q$3,SUMIF('TL10'!$C$238:$C$451,$C239,'TL10'!$J$238:$J$451),0),
IF('TL11'!$B$3=Q$3,SUMIF('TL11'!$C$10:$C$224,$C239,'TL11'!$J$10:$J$224),0),
IF('TL11'!$B$229=Q$3,SUMIF('TL11'!$C$238:$C$451,$C239,'TL11'!$J$238:$J$451),0),
IF('TL12'!$B$3=Q$3,SUMIF('TL12'!$C$10:$C$224,$C239,'TL12'!$J$10:$J$224),0),
IF('TL12'!$B$229=Q$3,SUMIF('TL12'!$C$238:$C$451,$C239,'TL12'!$J$238:$J$451),0),
IF('TL13'!$B$3=Q$3,SUMIF('TL13'!$C$10:$C$224,$C239,'TL13'!$J$10:$J$224),0),
IF('TL13'!$B$229=Q$3,SUMIF('TL13'!$C$238:$C$451,$C239,'TL13'!$J$238:$J$451),0),
IF('TL14'!$B$3=Q$3,SUMIF('TL14'!$C$10:$C$224,$C239,'TL14'!$J$10:$J$224),0),
IF('TL14'!$B$229=Q$3,SUMIF('TL14'!$C$238:$C$451,$C239,'TL14'!$J$238:$J$451),0),
IF('TL15'!$B$3=Q$3,SUMIF('TL15'!$C$10:$C$224,$C239,'TL15'!$J$10:$J$224),0),
IF('TL15'!$B$229=Q$3,SUMIF('TL15'!$C$238:$C$451,$C239,'TL15'!$J$238:$J$451),0),
IF('TL16'!$B$3=Q$3,SUMIF('TL16'!$C$10:$C$224,$C239,'TL16'!$J$10:$J$224),0),
IF('TL16'!$B$229=Q$3,SUMIF('TL16'!$C$238:$C$451,$C239,'TL16'!$J$238:$J$451),0),
IF('TL17'!$B$3=Q$3,SUMIF('TL17'!$C$10:$C$224,$C239,'TL17'!$J$10:$J$224),0),
IF('TL17'!$B$229=Q$3,SUMIF('TL17'!$C$238:$C$451,$C239,'TL17'!$J$238:$J$451),0),
IF('TL18'!$B$3=Q$3,SUMIF('TL18'!$C$10:$C$224,$C239,'TL18'!$J$10:$J$224),0),
IF('TL18'!$B$229=Q$3,SUMIF('TL18'!$C$238:$C$451,$C239,'TL18'!$J$238:$J$451),0),
IF('TL19'!$B$3=Q$3,SUMIF('TL19'!$C$10:$C$224,$C239,'TL19'!$J$10:$J$224),0),
IF('TL19'!$B$229=Q$3,SUMIF('TL19'!$C$238:$C$451,$C239,'TL19'!$J$238:$J$451),0)
),0)</f>
        <v/>
      </c>
      <c r="R239" s="9">
        <f>IFERROR(
SUM(
SUMIF('TL01'!C:C,C239,'TL01'!J:J),
SUMIF('TL02'!C:C,C239,'TL02'!J:J),
SUMIF('TL03'!C:C,C239,'TL03'!J:J),
SUMIF('TL04'!C:C,C239,'TL04'!J:J),
SUMIF('TL05'!C:C,C239,'TL05'!J:J),
SUMIF('TL06'!C:C,C239,'TL06'!J:J),
SUMIF('TL07'!C:C,C239,'TL07'!J:J),
SUMIF('TL08'!C:C,C239,'TL08'!J:J),
SUMIF('TL09'!C:C,C239,'TL09'!J:J),
SUMIF('TL10'!C:C,C239,'TL10'!J:J),
SUMIF('TL11'!C:C,C239,'TL11'!J:J),
SUMIF('TL12'!C:C,C239,'TL12'!J:J),
SUMIF('TL13'!C:C,C239,'TL13'!J:J),
SUMIF('TL14'!C:C,C239,'TL14'!J:J),
SUMIF('TL15'!C:C,C239,'TL15'!J:J),
SUMIF('TL16'!C:C,C239,'TL16'!J:J),
SUMIF('TL17'!C:C,C239,'TL17'!J:J),
SUMIF('TL18'!C:C,C239,'TL18'!J:J),SUMIF('TL19'!C:C,C239,'TL19'!J:J))
,0)</f>
        <v/>
      </c>
      <c r="S239" s="17">
        <f>IFERROR(__xludf.DUMMYFUNCTION("IFERROR(VLOOKUP(C239,
IMPORTRANGE(""1wULbzX32WdYsx-lj2U3uUNBBe2INVIRDtcK0d-Dvl90"",
""26-27!C:G""),
5,
FALSE),
"""")"),1633.76775)</f>
        <v/>
      </c>
      <c r="T239" s="9" t="n"/>
      <c r="U239" s="92">
        <f>MAX(0,R239-T239)</f>
        <v/>
      </c>
      <c r="V239" s="93">
        <f>U239*S239</f>
        <v/>
      </c>
    </row>
    <row r="240" hidden="1" ht="15.75" customHeight="1" s="297">
      <c r="A240" s="87" t="inlineStr">
        <is>
          <t>SYNGENTA</t>
        </is>
      </c>
      <c r="B240" s="88" t="inlineStr">
        <is>
          <t>INSETICIDA</t>
        </is>
      </c>
      <c r="C240" s="89" t="inlineStr">
        <is>
          <t>VERDAVIS</t>
        </is>
      </c>
      <c r="D240" s="89" t="inlineStr">
        <is>
          <t>ISOCICLOSERAM + LAMBDA-CIALOTRINA</t>
        </is>
      </c>
      <c r="E240" s="89" t="inlineStr">
        <is>
          <t>100 + 150</t>
        </is>
      </c>
      <c r="F240" s="4" t="inlineStr">
        <is>
          <t>L</t>
        </is>
      </c>
      <c r="G240" s="90">
        <f>HYPERLINK("https://www.google.com/search?q=" &amp; C240 &amp; "+bula+agrofit+pdf", "📄 Ver bula")</f>
        <v/>
      </c>
      <c r="H240" s="9">
        <f>IFERROR(__xludf.DUMMYFUNCTION("IFERROR(VLOOKUP(C240,
IMPORTRANGE(""1wULbzX32WdYsx-lj2U3uUNBBe2INVIRDtcK0d-Dvl90"",
""26-27!C:K""),
8,
FALSE),
"""")"),0.25)</f>
        <v/>
      </c>
      <c r="I240" s="91" t="inlineStr">
        <is>
          <t>1x20</t>
        </is>
      </c>
      <c r="J240" s="9">
        <f>IFERROR(SUM(
IF('TL01'!$B$3=J$3,SUMIF('TL01'!$C$10:$C$224,$C240,'TL01'!$J$10:$J$224),0),
IF('TL01'!$B$229=J$3,SUMIF('TL01'!$C$238:$C$451,$C240,'TL01'!$J$238:$J$451),0),
IF('TL02'!$B$3=J$3,SUMIF('TL02'!$C$10:$C$224,$C240,'TL02'!$J$10:$J$224),0),
IF('TL02'!$B$229=J$3,SUMIF('TL02'!$C$238:$C$451,$C240,'TL02'!$J$238:$J$451),0),
IF('TL03'!$B$3=J$3,SUMIF('TL03'!$C$10:$C$224,$C240,'TL03'!$J$10:$J$224),0),
IF('TL03'!$B$229=J$3,SUMIF('TL03'!$C$238:$C$451,$C240,'TL03'!$J$238:$J$451),0),
IF('TL04'!$B$3=J$3,SUMIF('TL04'!$C$10:$C$224,$C240,'TL04'!$J$10:$J$224),0),
IF('TL04'!$B$229=J$3,SUMIF('TL04'!$C$238:$C$451,$C240,'TL04'!$J$238:$J$451),0),
IF('TL05'!$B$3=J$3,SUMIF('TL05'!$C$10:$C$224,$C240,'TL05'!$J$10:$J$224),0),
IF('TL05'!$B$229=J$3,SUMIF('TL05'!$C$238:$C$451,$C240,'TL05'!$J$238:$J$451),0),
IF('TL06'!$B$3=J$3,SUMIF('TL06'!$C$10:$C$224,$C240,'TL06'!$J$10:$J$224),0),
IF('TL06'!$B$229=J$3,SUMIF('TL06'!$C$238:$C$451,$C240,'TL06'!$J$238:$J$451),0),
IF('TL07'!$B$3=J$3,SUMIF('TL07'!$C$10:$C$224,$C240,'TL07'!$J$10:$J$224),0),
IF('TL07'!$B$229=J$3,SUMIF('TL07'!$C$238:$C$451,$C240,'TL07'!$J$238:$J$451),0),
IF('TL08'!$B$3=J$3,SUMIF('TL08'!$C$10:$C$224,$C240,'TL08'!$J$10:$J$224),0),
IF('TL08'!$B$229=J$3,SUMIF('TL08'!$C$238:$C$451,$C240,'TL08'!$J$238:$J$451),0),
IF('TL09'!$B$3=J$3,SUMIF('TL09'!$C$10:$C$224,$C240,'TL09'!$J$10:$J$224),0),
IF('TL09'!$B$229=J$3,SUMIF('TL09'!$C$238:$C$451,$C240,'TL09'!$J$238:$J$451),0),
IF('TL10'!$B$3=J$3,SUMIF('TL10'!$C$10:$C$224,$C240,'TL10'!$J$10:$J$224),0),
IF('TL10'!$B$229=J$3,SUMIF('TL10'!$C$238:$C$451,$C240,'TL10'!$J$238:$J$451),0),
IF('TL11'!$B$3=J$3,SUMIF('TL11'!$C$10:$C$224,$C240,'TL11'!$J$10:$J$224),0),
IF('TL11'!$B$229=J$3,SUMIF('TL11'!$C$238:$C$451,$C240,'TL11'!$J$238:$J$451),0),
IF('TL12'!$B$3=J$3,SUMIF('TL12'!$C$10:$C$224,$C240,'TL12'!$J$10:$J$224),0),
IF('TL12'!$B$229=J$3,SUMIF('TL12'!$C$238:$C$451,$C240,'TL12'!$J$238:$J$451),0),
IF('TL13'!$B$3=J$3,SUMIF('TL13'!$C$10:$C$224,$C240,'TL13'!$J$10:$J$224),0),
IF('TL13'!$B$229=J$3,SUMIF('TL13'!$C$238:$C$451,$C240,'TL13'!$J$238:$J$451),0),
IF('TL14'!$B$3=J$3,SUMIF('TL14'!$C$10:$C$224,$C240,'TL14'!$J$10:$J$224),0),
IF('TL14'!$B$229=J$3,SUMIF('TL14'!$C$238:$C$451,$C240,'TL14'!$J$238:$J$451),0),
IF('TL15'!$B$3=J$3,SUMIF('TL15'!$C$10:$C$224,$C240,'TL15'!$J$10:$J$224),0),
IF('TL15'!$B$229=J$3,SUMIF('TL15'!$C$238:$C$451,$C240,'TL15'!$J$238:$J$451),0),
IF('TL16'!$B$3=J$3,SUMIF('TL16'!$C$10:$C$224,$C240,'TL16'!$J$10:$J$224),0),
IF('TL16'!$B$229=J$3,SUMIF('TL16'!$C$238:$C$451,$C240,'TL16'!$J$238:$J$451),0),
IF('TL17'!$B$3=J$3,SUMIF('TL17'!$C$10:$C$224,$C240,'TL17'!$J$10:$J$224),0),
IF('TL17'!$B$229=J$3,SUMIF('TL17'!$C$238:$C$451,$C240,'TL17'!$J$238:$J$451),0),
IF('TL18'!$B$3=J$3,SUMIF('TL18'!$C$10:$C$224,$C240,'TL18'!$J$10:$J$224),0),
IF('TL18'!$B$229=J$3,SUMIF('TL18'!$C$238:$C$451,$C240,'TL18'!$J$238:$J$451),0),
IF('TL19'!$B$3=J$3,SUMIF('TL19'!$C$10:$C$224,$C240,'TL19'!$J$10:$J$224),0),
IF('TL19'!$B$229=J$3,SUMIF('TL19'!$C$238:$C$451,$C240,'TL19'!$J$238:$J$451),0)
),0)</f>
        <v/>
      </c>
      <c r="K240" s="9">
        <f>IFERROR(SUM(
IF('TL01'!$B$3=K$3,SUMIF('TL01'!$C$10:$C$224,$C240,'TL01'!$J$10:$J$224),0),
IF('TL01'!$B$229=K$3,SUMIF('TL01'!$C$238:$C$451,$C240,'TL01'!$J$238:$J$451),0),
IF('TL02'!$B$3=K$3,SUMIF('TL02'!$C$10:$C$224,$C240,'TL02'!$J$10:$J$224),0),
IF('TL02'!$B$229=K$3,SUMIF('TL02'!$C$238:$C$451,$C240,'TL02'!$J$238:$J$451),0),
IF('TL03'!$B$3=K$3,SUMIF('TL03'!$C$10:$C$224,$C240,'TL03'!$J$10:$J$224),0),
IF('TL03'!$B$229=K$3,SUMIF('TL03'!$C$238:$C$451,$C240,'TL03'!$J$238:$J$451),0),
IF('TL04'!$B$3=K$3,SUMIF('TL04'!$C$10:$C$224,$C240,'TL04'!$J$10:$J$224),0),
IF('TL04'!$B$229=K$3,SUMIF('TL04'!$C$238:$C$451,$C240,'TL04'!$J$238:$J$451),0),
IF('TL05'!$B$3=K$3,SUMIF('TL05'!$C$10:$C$224,$C240,'TL05'!$J$10:$J$224),0),
IF('TL05'!$B$229=K$3,SUMIF('TL05'!$C$238:$C$451,$C240,'TL05'!$J$238:$J$451),0),
IF('TL06'!$B$3=K$3,SUMIF('TL06'!$C$10:$C$224,$C240,'TL06'!$J$10:$J$224),0),
IF('TL06'!$B$229=K$3,SUMIF('TL06'!$C$238:$C$451,$C240,'TL06'!$J$238:$J$451),0),
IF('TL07'!$B$3=K$3,SUMIF('TL07'!$C$10:$C$224,$C240,'TL07'!$J$10:$J$224),0),
IF('TL07'!$B$229=K$3,SUMIF('TL07'!$C$238:$C$451,$C240,'TL07'!$J$238:$J$451),0),
IF('TL08'!$B$3=K$3,SUMIF('TL08'!$C$10:$C$224,$C240,'TL08'!$J$10:$J$224),0),
IF('TL08'!$B$229=K$3,SUMIF('TL08'!$C$238:$C$451,$C240,'TL08'!$J$238:$J$451),0),
IF('TL09'!$B$3=K$3,SUMIF('TL09'!$C$10:$C$224,$C240,'TL09'!$J$10:$J$224),0),
IF('TL09'!$B$229=K$3,SUMIF('TL09'!$C$238:$C$451,$C240,'TL09'!$J$238:$J$451),0),
IF('TL10'!$B$3=K$3,SUMIF('TL10'!$C$10:$C$224,$C240,'TL10'!$J$10:$J$224),0),
IF('TL10'!$B$229=K$3,SUMIF('TL10'!$C$238:$C$451,$C240,'TL10'!$J$238:$J$451),0),
IF('TL11'!$B$3=K$3,SUMIF('TL11'!$C$10:$C$224,$C240,'TL11'!$J$10:$J$224),0),
IF('TL11'!$B$229=K$3,SUMIF('TL11'!$C$238:$C$451,$C240,'TL11'!$J$238:$J$451),0),
IF('TL12'!$B$3=K$3,SUMIF('TL12'!$C$10:$C$224,$C240,'TL12'!$J$10:$J$224),0),
IF('TL12'!$B$229=K$3,SUMIF('TL12'!$C$238:$C$451,$C240,'TL12'!$J$238:$J$451),0),
IF('TL13'!$B$3=K$3,SUMIF('TL13'!$C$10:$C$224,$C240,'TL13'!$J$10:$J$224),0),
IF('TL13'!$B$229=K$3,SUMIF('TL13'!$C$238:$C$451,$C240,'TL13'!$J$238:$J$451),0),
IF('TL14'!$B$3=K$3,SUMIF('TL14'!$C$10:$C$224,$C240,'TL14'!$J$10:$J$224),0),
IF('TL14'!$B$229=K$3,SUMIF('TL14'!$C$238:$C$451,$C240,'TL14'!$J$238:$J$451),0),
IF('TL15'!$B$3=K$3,SUMIF('TL15'!$C$10:$C$224,$C240,'TL15'!$J$10:$J$224),0),
IF('TL15'!$B$229=K$3,SUMIF('TL15'!$C$238:$C$451,$C240,'TL15'!$J$238:$J$451),0),
IF('TL16'!$B$3=K$3,SUMIF('TL16'!$C$10:$C$224,$C240,'TL16'!$J$10:$J$224),0),
IF('TL16'!$B$229=K$3,SUMIF('TL16'!$C$238:$C$451,$C240,'TL16'!$J$238:$J$451),0),
IF('TL17'!$B$3=K$3,SUMIF('TL17'!$C$10:$C$224,$C240,'TL17'!$J$10:$J$224),0),
IF('TL17'!$B$229=K$3,SUMIF('TL17'!$C$238:$C$451,$C240,'TL17'!$J$238:$J$451),0),
IF('TL18'!$B$3=K$3,SUMIF('TL18'!$C$10:$C$224,$C240,'TL18'!$J$10:$J$224),0),
IF('TL18'!$B$229=K$3,SUMIF('TL18'!$C$238:$C$451,$C240,'TL18'!$J$238:$J$451),0),
IF('TL19'!$B$3=K$3,SUMIF('TL19'!$C$10:$C$224,$C240,'TL19'!$J$10:$J$224),0),
IF('TL19'!$B$229=K$3,SUMIF('TL19'!$C$238:$C$451,$C240,'TL19'!$J$238:$J$451),0)
),0)</f>
        <v/>
      </c>
      <c r="L240" s="9">
        <f>IFERROR(SUM(
IF('TL01'!$B$3=L$3,SUMIF('TL01'!$C$10:$C$224,$C240,'TL01'!$J$10:$J$224),0),
IF('TL01'!$B$229=L$3,SUMIF('TL01'!$C$238:$C$451,$C240,'TL01'!$J$238:$J$451),0),
IF('TL02'!$B$3=L$3,SUMIF('TL02'!$C$10:$C$224,$C240,'TL02'!$J$10:$J$224),0),
IF('TL02'!$B$229=L$3,SUMIF('TL02'!$C$238:$C$451,$C240,'TL02'!$J$238:$J$451),0),
IF('TL03'!$B$3=L$3,SUMIF('TL03'!$C$10:$C$224,$C240,'TL03'!$J$10:$J$224),0),
IF('TL03'!$B$229=L$3,SUMIF('TL03'!$C$238:$C$451,$C240,'TL03'!$J$238:$J$451),0),
IF('TL04'!$B$3=L$3,SUMIF('TL04'!$C$10:$C$224,$C240,'TL04'!$J$10:$J$224),0),
IF('TL04'!$B$229=L$3,SUMIF('TL04'!$C$238:$C$451,$C240,'TL04'!$J$238:$J$451),0),
IF('TL05'!$B$3=L$3,SUMIF('TL05'!$C$10:$C$224,$C240,'TL05'!$J$10:$J$224),0),
IF('TL05'!$B$229=L$3,SUMIF('TL05'!$C$238:$C$451,$C240,'TL05'!$J$238:$J$451),0),
IF('TL06'!$B$3=L$3,SUMIF('TL06'!$C$10:$C$224,$C240,'TL06'!$J$10:$J$224),0),
IF('TL06'!$B$229=L$3,SUMIF('TL06'!$C$238:$C$451,$C240,'TL06'!$J$238:$J$451),0),
IF('TL07'!$B$3=L$3,SUMIF('TL07'!$C$10:$C$224,$C240,'TL07'!$J$10:$J$224),0),
IF('TL07'!$B$229=L$3,SUMIF('TL07'!$C$238:$C$451,$C240,'TL07'!$J$238:$J$451),0),
IF('TL08'!$B$3=L$3,SUMIF('TL08'!$C$10:$C$224,$C240,'TL08'!$J$10:$J$224),0),
IF('TL08'!$B$229=L$3,SUMIF('TL08'!$C$238:$C$451,$C240,'TL08'!$J$238:$J$451),0),
IF('TL09'!$B$3=L$3,SUMIF('TL09'!$C$10:$C$224,$C240,'TL09'!$J$10:$J$224),0),
IF('TL09'!$B$229=L$3,SUMIF('TL09'!$C$238:$C$451,$C240,'TL09'!$J$238:$J$451),0),
IF('TL10'!$B$3=L$3,SUMIF('TL10'!$C$10:$C$224,$C240,'TL10'!$J$10:$J$224),0),
IF('TL10'!$B$229=L$3,SUMIF('TL10'!$C$238:$C$451,$C240,'TL10'!$J$238:$J$451),0),
IF('TL11'!$B$3=L$3,SUMIF('TL11'!$C$10:$C$224,$C240,'TL11'!$J$10:$J$224),0),
IF('TL11'!$B$229=L$3,SUMIF('TL11'!$C$238:$C$451,$C240,'TL11'!$J$238:$J$451),0),
IF('TL12'!$B$3=L$3,SUMIF('TL12'!$C$10:$C$224,$C240,'TL12'!$J$10:$J$224),0),
IF('TL12'!$B$229=L$3,SUMIF('TL12'!$C$238:$C$451,$C240,'TL12'!$J$238:$J$451),0),
IF('TL13'!$B$3=L$3,SUMIF('TL13'!$C$10:$C$224,$C240,'TL13'!$J$10:$J$224),0),
IF('TL13'!$B$229=L$3,SUMIF('TL13'!$C$238:$C$451,$C240,'TL13'!$J$238:$J$451),0),
IF('TL14'!$B$3=L$3,SUMIF('TL14'!$C$10:$C$224,$C240,'TL14'!$J$10:$J$224),0),
IF('TL14'!$B$229=L$3,SUMIF('TL14'!$C$238:$C$451,$C240,'TL14'!$J$238:$J$451),0),
IF('TL15'!$B$3=L$3,SUMIF('TL15'!$C$10:$C$224,$C240,'TL15'!$J$10:$J$224),0),
IF('TL15'!$B$229=L$3,SUMIF('TL15'!$C$238:$C$451,$C240,'TL15'!$J$238:$J$451),0),
IF('TL16'!$B$3=L$3,SUMIF('TL16'!$C$10:$C$224,$C240,'TL16'!$J$10:$J$224),0),
IF('TL16'!$B$229=L$3,SUMIF('TL16'!$C$238:$C$451,$C240,'TL16'!$J$238:$J$451),0),
IF('TL17'!$B$3=L$3,SUMIF('TL17'!$C$10:$C$224,$C240,'TL17'!$J$10:$J$224),0),
IF('TL17'!$B$229=L$3,SUMIF('TL17'!$C$238:$C$451,$C240,'TL17'!$J$238:$J$451),0),
IF('TL18'!$B$3=L$3,SUMIF('TL18'!$C$10:$C$224,$C240,'TL18'!$J$10:$J$224),0),
IF('TL18'!$B$229=L$3,SUMIF('TL18'!$C$238:$C$451,$C240,'TL18'!$J$238:$J$451),0),
IF('TL19'!$B$3=L$3,SUMIF('TL19'!$C$10:$C$224,$C240,'TL19'!$J$10:$J$224),0),
IF('TL19'!$B$229=L$3,SUMIF('TL19'!$C$238:$C$451,$C240,'TL19'!$J$238:$J$451),0)
),0)</f>
        <v/>
      </c>
      <c r="M240" s="9">
        <f>IFERROR(SUM(
IF('TL01'!$B$3=M$3,SUMIF('TL01'!$C$10:$C$224,$C240,'TL01'!$J$10:$J$224),0),
IF('TL01'!$B$229=M$3,SUMIF('TL01'!$C$238:$C$451,$C240,'TL01'!$J$238:$J$451),0),
IF('TL02'!$B$3=M$3,SUMIF('TL02'!$C$10:$C$224,$C240,'TL02'!$J$10:$J$224),0),
IF('TL02'!$B$229=M$3,SUMIF('TL02'!$C$238:$C$451,$C240,'TL02'!$J$238:$J$451),0),
IF('TL03'!$B$3=M$3,SUMIF('TL03'!$C$10:$C$224,$C240,'TL03'!$J$10:$J$224),0),
IF('TL03'!$B$229=M$3,SUMIF('TL03'!$C$238:$C$451,$C240,'TL03'!$J$238:$J$451),0),
IF('TL04'!$B$3=M$3,SUMIF('TL04'!$C$10:$C$224,$C240,'TL04'!$J$10:$J$224),0),
IF('TL04'!$B$229=M$3,SUMIF('TL04'!$C$238:$C$451,$C240,'TL04'!$J$238:$J$451),0),
IF('TL05'!$B$3=M$3,SUMIF('TL05'!$C$10:$C$224,$C240,'TL05'!$J$10:$J$224),0),
IF('TL05'!$B$229=M$3,SUMIF('TL05'!$C$238:$C$451,$C240,'TL05'!$J$238:$J$451),0),
IF('TL06'!$B$3=M$3,SUMIF('TL06'!$C$10:$C$224,$C240,'TL06'!$J$10:$J$224),0),
IF('TL06'!$B$229=M$3,SUMIF('TL06'!$C$238:$C$451,$C240,'TL06'!$J$238:$J$451),0),
IF('TL07'!$B$3=M$3,SUMIF('TL07'!$C$10:$C$224,$C240,'TL07'!$J$10:$J$224),0),
IF('TL07'!$B$229=M$3,SUMIF('TL07'!$C$238:$C$451,$C240,'TL07'!$J$238:$J$451),0),
IF('TL08'!$B$3=M$3,SUMIF('TL08'!$C$10:$C$224,$C240,'TL08'!$J$10:$J$224),0),
IF('TL08'!$B$229=M$3,SUMIF('TL08'!$C$238:$C$451,$C240,'TL08'!$J$238:$J$451),0),
IF('TL09'!$B$3=M$3,SUMIF('TL09'!$C$10:$C$224,$C240,'TL09'!$J$10:$J$224),0),
IF('TL09'!$B$229=M$3,SUMIF('TL09'!$C$238:$C$451,$C240,'TL09'!$J$238:$J$451),0),
IF('TL10'!$B$3=M$3,SUMIF('TL10'!$C$10:$C$224,$C240,'TL10'!$J$10:$J$224),0),
IF('TL10'!$B$229=M$3,SUMIF('TL10'!$C$238:$C$451,$C240,'TL10'!$J$238:$J$451),0),
IF('TL11'!$B$3=M$3,SUMIF('TL11'!$C$10:$C$224,$C240,'TL11'!$J$10:$J$224),0),
IF('TL11'!$B$229=M$3,SUMIF('TL11'!$C$238:$C$451,$C240,'TL11'!$J$238:$J$451),0),
IF('TL12'!$B$3=M$3,SUMIF('TL12'!$C$10:$C$224,$C240,'TL12'!$J$10:$J$224),0),
IF('TL12'!$B$229=M$3,SUMIF('TL12'!$C$238:$C$451,$C240,'TL12'!$J$238:$J$451),0),
IF('TL13'!$B$3=M$3,SUMIF('TL13'!$C$10:$C$224,$C240,'TL13'!$J$10:$J$224),0),
IF('TL13'!$B$229=M$3,SUMIF('TL13'!$C$238:$C$451,$C240,'TL13'!$J$238:$J$451),0),
IF('TL14'!$B$3=M$3,SUMIF('TL14'!$C$10:$C$224,$C240,'TL14'!$J$10:$J$224),0),
IF('TL14'!$B$229=M$3,SUMIF('TL14'!$C$238:$C$451,$C240,'TL14'!$J$238:$J$451),0),
IF('TL15'!$B$3=M$3,SUMIF('TL15'!$C$10:$C$224,$C240,'TL15'!$J$10:$J$224),0),
IF('TL15'!$B$229=M$3,SUMIF('TL15'!$C$238:$C$451,$C240,'TL15'!$J$238:$J$451),0),
IF('TL16'!$B$3=M$3,SUMIF('TL16'!$C$10:$C$224,$C240,'TL16'!$J$10:$J$224),0),
IF('TL16'!$B$229=M$3,SUMIF('TL16'!$C$238:$C$451,$C240,'TL16'!$J$238:$J$451),0),
IF('TL17'!$B$3=M$3,SUMIF('TL17'!$C$10:$C$224,$C240,'TL17'!$J$10:$J$224),0),
IF('TL17'!$B$229=M$3,SUMIF('TL17'!$C$238:$C$451,$C240,'TL17'!$J$238:$J$451),0),
IF('TL18'!$B$3=M$3,SUMIF('TL18'!$C$10:$C$224,$C240,'TL18'!$J$10:$J$224),0),
IF('TL18'!$B$229=M$3,SUMIF('TL18'!$C$238:$C$451,$C240,'TL18'!$J$238:$J$451),0),
IF('TL19'!$B$3=M$3,SUMIF('TL19'!$C$10:$C$224,$C240,'TL19'!$J$10:$J$224),0),
IF('TL19'!$B$229=M$3,SUMIF('TL19'!$C$238:$C$451,$C240,'TL19'!$J$238:$J$451),0)
),0)</f>
        <v/>
      </c>
      <c r="N240" s="9">
        <f>IFERROR(SUM(
IF('TL01'!$B$3=N$3,SUMIF('TL01'!$C$10:$C$224,$C240,'TL01'!$J$10:$J$224),0),
IF('TL01'!$B$229=N$3,SUMIF('TL01'!$C$238:$C$451,$C240,'TL01'!$J$238:$J$451),0),
IF('TL02'!$B$3=N$3,SUMIF('TL02'!$C$10:$C$224,$C240,'TL02'!$J$10:$J$224),0),
IF('TL02'!$B$229=N$3,SUMIF('TL02'!$C$238:$C$451,$C240,'TL02'!$J$238:$J$451),0),
IF('TL03'!$B$3=N$3,SUMIF('TL03'!$C$10:$C$224,$C240,'TL03'!$J$10:$J$224),0),
IF('TL03'!$B$229=N$3,SUMIF('TL03'!$C$238:$C$451,$C240,'TL03'!$J$238:$J$451),0),
IF('TL04'!$B$3=N$3,SUMIF('TL04'!$C$10:$C$224,$C240,'TL04'!$J$10:$J$224),0),
IF('TL04'!$B$229=N$3,SUMIF('TL04'!$C$238:$C$451,$C240,'TL04'!$J$238:$J$451),0),
IF('TL05'!$B$3=N$3,SUMIF('TL05'!$C$10:$C$224,$C240,'TL05'!$J$10:$J$224),0),
IF('TL05'!$B$229=N$3,SUMIF('TL05'!$C$238:$C$451,$C240,'TL05'!$J$238:$J$451),0),
IF('TL06'!$B$3=N$3,SUMIF('TL06'!$C$10:$C$224,$C240,'TL06'!$J$10:$J$224),0),
IF('TL06'!$B$229=N$3,SUMIF('TL06'!$C$238:$C$451,$C240,'TL06'!$J$238:$J$451),0),
IF('TL07'!$B$3=N$3,SUMIF('TL07'!$C$10:$C$224,$C240,'TL07'!$J$10:$J$224),0),
IF('TL07'!$B$229=N$3,SUMIF('TL07'!$C$238:$C$451,$C240,'TL07'!$J$238:$J$451),0),
IF('TL08'!$B$3=N$3,SUMIF('TL08'!$C$10:$C$224,$C240,'TL08'!$J$10:$J$224),0),
IF('TL08'!$B$229=N$3,SUMIF('TL08'!$C$238:$C$451,$C240,'TL08'!$J$238:$J$451),0),
IF('TL09'!$B$3=N$3,SUMIF('TL09'!$C$10:$C$224,$C240,'TL09'!$J$10:$J$224),0),
IF('TL09'!$B$229=N$3,SUMIF('TL09'!$C$238:$C$451,$C240,'TL09'!$J$238:$J$451),0),
IF('TL10'!$B$3=N$3,SUMIF('TL10'!$C$10:$C$224,$C240,'TL10'!$J$10:$J$224),0),
IF('TL10'!$B$229=N$3,SUMIF('TL10'!$C$238:$C$451,$C240,'TL10'!$J$238:$J$451),0),
IF('TL11'!$B$3=N$3,SUMIF('TL11'!$C$10:$C$224,$C240,'TL11'!$J$10:$J$224),0),
IF('TL11'!$B$229=N$3,SUMIF('TL11'!$C$238:$C$451,$C240,'TL11'!$J$238:$J$451),0),
IF('TL12'!$B$3=N$3,SUMIF('TL12'!$C$10:$C$224,$C240,'TL12'!$J$10:$J$224),0),
IF('TL12'!$B$229=N$3,SUMIF('TL12'!$C$238:$C$451,$C240,'TL12'!$J$238:$J$451),0),
IF('TL13'!$B$3=N$3,SUMIF('TL13'!$C$10:$C$224,$C240,'TL13'!$J$10:$J$224),0),
IF('TL13'!$B$229=N$3,SUMIF('TL13'!$C$238:$C$451,$C240,'TL13'!$J$238:$J$451),0),
IF('TL14'!$B$3=N$3,SUMIF('TL14'!$C$10:$C$224,$C240,'TL14'!$J$10:$J$224),0),
IF('TL14'!$B$229=N$3,SUMIF('TL14'!$C$238:$C$451,$C240,'TL14'!$J$238:$J$451),0),
IF('TL15'!$B$3=N$3,SUMIF('TL15'!$C$10:$C$224,$C240,'TL15'!$J$10:$J$224),0),
IF('TL15'!$B$229=N$3,SUMIF('TL15'!$C$238:$C$451,$C240,'TL15'!$J$238:$J$451),0),
IF('TL16'!$B$3=N$3,SUMIF('TL16'!$C$10:$C$224,$C240,'TL16'!$J$10:$J$224),0),
IF('TL16'!$B$229=N$3,SUMIF('TL16'!$C$238:$C$451,$C240,'TL16'!$J$238:$J$451),0),
IF('TL17'!$B$3=N$3,SUMIF('TL17'!$C$10:$C$224,$C240,'TL17'!$J$10:$J$224),0),
IF('TL17'!$B$229=N$3,SUMIF('TL17'!$C$238:$C$451,$C240,'TL17'!$J$238:$J$451),0),
IF('TL18'!$B$3=N$3,SUMIF('TL18'!$C$10:$C$224,$C240,'TL18'!$J$10:$J$224),0),
IF('TL18'!$B$229=N$3,SUMIF('TL18'!$C$238:$C$451,$C240,'TL18'!$J$238:$J$451),0),
IF('TL19'!$B$3=N$3,SUMIF('TL19'!$C$10:$C$224,$C240,'TL19'!$J$10:$J$224),0),
IF('TL19'!$B$229=N$3,SUMIF('TL19'!$C$238:$C$451,$C240,'TL19'!$J$238:$J$451),0)
),0)</f>
        <v/>
      </c>
      <c r="O240" s="9">
        <f>IFERROR(SUM(
IF('TL01'!$B$3=O$3,SUMIF('TL01'!$C$10:$C$224,$C240,'TL01'!$J$10:$J$224),0),
IF('TL01'!$B$229=O$3,SUMIF('TL01'!$C$238:$C$451,$C240,'TL01'!$J$238:$J$451),0),
IF('TL02'!$B$3=O$3,SUMIF('TL02'!$C$10:$C$224,$C240,'TL02'!$J$10:$J$224),0),
IF('TL02'!$B$229=O$3,SUMIF('TL02'!$C$238:$C$451,$C240,'TL02'!$J$238:$J$451),0),
IF('TL03'!$B$3=O$3,SUMIF('TL03'!$C$10:$C$224,$C240,'TL03'!$J$10:$J$224),0),
IF('TL03'!$B$229=O$3,SUMIF('TL03'!$C$238:$C$451,$C240,'TL03'!$J$238:$J$451),0),
IF('TL04'!$B$3=O$3,SUMIF('TL04'!$C$10:$C$224,$C240,'TL04'!$J$10:$J$224),0),
IF('TL04'!$B$229=O$3,SUMIF('TL04'!$C$238:$C$451,$C240,'TL04'!$J$238:$J$451),0),
IF('TL05'!$B$3=O$3,SUMIF('TL05'!$C$10:$C$224,$C240,'TL05'!$J$10:$J$224),0),
IF('TL05'!$B$229=O$3,SUMIF('TL05'!$C$238:$C$451,$C240,'TL05'!$J$238:$J$451),0),
IF('TL06'!$B$3=O$3,SUMIF('TL06'!$C$10:$C$224,$C240,'TL06'!$J$10:$J$224),0),
IF('TL06'!$B$229=O$3,SUMIF('TL06'!$C$238:$C$451,$C240,'TL06'!$J$238:$J$451),0),
IF('TL07'!$B$3=O$3,SUMIF('TL07'!$C$10:$C$224,$C240,'TL07'!$J$10:$J$224),0),
IF('TL07'!$B$229=O$3,SUMIF('TL07'!$C$238:$C$451,$C240,'TL07'!$J$238:$J$451),0),
IF('TL08'!$B$3=O$3,SUMIF('TL08'!$C$10:$C$224,$C240,'TL08'!$J$10:$J$224),0),
IF('TL08'!$B$229=O$3,SUMIF('TL08'!$C$238:$C$451,$C240,'TL08'!$J$238:$J$451),0),
IF('TL09'!$B$3=O$3,SUMIF('TL09'!$C$10:$C$224,$C240,'TL09'!$J$10:$J$224),0),
IF('TL09'!$B$229=O$3,SUMIF('TL09'!$C$238:$C$451,$C240,'TL09'!$J$238:$J$451),0),
IF('TL10'!$B$3=O$3,SUMIF('TL10'!$C$10:$C$224,$C240,'TL10'!$J$10:$J$224),0),
IF('TL10'!$B$229=O$3,SUMIF('TL10'!$C$238:$C$451,$C240,'TL10'!$J$238:$J$451),0),
IF('TL11'!$B$3=O$3,SUMIF('TL11'!$C$10:$C$224,$C240,'TL11'!$J$10:$J$224),0),
IF('TL11'!$B$229=O$3,SUMIF('TL11'!$C$238:$C$451,$C240,'TL11'!$J$238:$J$451),0),
IF('TL12'!$B$3=O$3,SUMIF('TL12'!$C$10:$C$224,$C240,'TL12'!$J$10:$J$224),0),
IF('TL12'!$B$229=O$3,SUMIF('TL12'!$C$238:$C$451,$C240,'TL12'!$J$238:$J$451),0),
IF('TL13'!$B$3=O$3,SUMIF('TL13'!$C$10:$C$224,$C240,'TL13'!$J$10:$J$224),0),
IF('TL13'!$B$229=O$3,SUMIF('TL13'!$C$238:$C$451,$C240,'TL13'!$J$238:$J$451),0),
IF('TL14'!$B$3=O$3,SUMIF('TL14'!$C$10:$C$224,$C240,'TL14'!$J$10:$J$224),0),
IF('TL14'!$B$229=O$3,SUMIF('TL14'!$C$238:$C$451,$C240,'TL14'!$J$238:$J$451),0),
IF('TL15'!$B$3=O$3,SUMIF('TL15'!$C$10:$C$224,$C240,'TL15'!$J$10:$J$224),0),
IF('TL15'!$B$229=O$3,SUMIF('TL15'!$C$238:$C$451,$C240,'TL15'!$J$238:$J$451),0),
IF('TL16'!$B$3=O$3,SUMIF('TL16'!$C$10:$C$224,$C240,'TL16'!$J$10:$J$224),0),
IF('TL16'!$B$229=O$3,SUMIF('TL16'!$C$238:$C$451,$C240,'TL16'!$J$238:$J$451),0),
IF('TL17'!$B$3=O$3,SUMIF('TL17'!$C$10:$C$224,$C240,'TL17'!$J$10:$J$224),0),
IF('TL17'!$B$229=O$3,SUMIF('TL17'!$C$238:$C$451,$C240,'TL17'!$J$238:$J$451),0),
IF('TL18'!$B$3=O$3,SUMIF('TL18'!$C$10:$C$224,$C240,'TL18'!$J$10:$J$224),0),
IF('TL18'!$B$229=O$3,SUMIF('TL18'!$C$238:$C$451,$C240,'TL18'!$J$238:$J$451),0),
IF('TL19'!$B$3=O$3,SUMIF('TL19'!$C$10:$C$224,$C240,'TL19'!$J$10:$J$224),0),
IF('TL19'!$B$229=O$3,SUMIF('TL19'!$C$238:$C$451,$C240,'TL19'!$J$238:$J$451),0)
),0)</f>
        <v/>
      </c>
      <c r="P240" s="9">
        <f>IFERROR(SUM(
IF('TL01'!$B$3=P$3,SUMIF('TL01'!$C$10:$C$224,$C240,'TL01'!$J$10:$J$224),0),
IF('TL01'!$B$229=P$3,SUMIF('TL01'!$C$238:$C$451,$C240,'TL01'!$J$238:$J$451),0),
IF('TL02'!$B$3=P$3,SUMIF('TL02'!$C$10:$C$224,$C240,'TL02'!$J$10:$J$224),0),
IF('TL02'!$B$229=P$3,SUMIF('TL02'!$C$238:$C$451,$C240,'TL02'!$J$238:$J$451),0),
IF('TL03'!$B$3=P$3,SUMIF('TL03'!$C$10:$C$224,$C240,'TL03'!$J$10:$J$224),0),
IF('TL03'!$B$229=P$3,SUMIF('TL03'!$C$238:$C$451,$C240,'TL03'!$J$238:$J$451),0),
IF('TL04'!$B$3=P$3,SUMIF('TL04'!$C$10:$C$224,$C240,'TL04'!$J$10:$J$224),0),
IF('TL04'!$B$229=P$3,SUMIF('TL04'!$C$238:$C$451,$C240,'TL04'!$J$238:$J$451),0),
IF('TL05'!$B$3=P$3,SUMIF('TL05'!$C$10:$C$224,$C240,'TL05'!$J$10:$J$224),0),
IF('TL05'!$B$229=P$3,SUMIF('TL05'!$C$238:$C$451,$C240,'TL05'!$J$238:$J$451),0),
IF('TL06'!$B$3=P$3,SUMIF('TL06'!$C$10:$C$224,$C240,'TL06'!$J$10:$J$224),0),
IF('TL06'!$B$229=P$3,SUMIF('TL06'!$C$238:$C$451,$C240,'TL06'!$J$238:$J$451),0),
IF('TL07'!$B$3=P$3,SUMIF('TL07'!$C$10:$C$224,$C240,'TL07'!$J$10:$J$224),0),
IF('TL07'!$B$229=P$3,SUMIF('TL07'!$C$238:$C$451,$C240,'TL07'!$J$238:$J$451),0),
IF('TL08'!$B$3=P$3,SUMIF('TL08'!$C$10:$C$224,$C240,'TL08'!$J$10:$J$224),0),
IF('TL08'!$B$229=P$3,SUMIF('TL08'!$C$238:$C$451,$C240,'TL08'!$J$238:$J$451),0),
IF('TL09'!$B$3=P$3,SUMIF('TL09'!$C$10:$C$224,$C240,'TL09'!$J$10:$J$224),0),
IF('TL09'!$B$229=P$3,SUMIF('TL09'!$C$238:$C$451,$C240,'TL09'!$J$238:$J$451),0),
IF('TL10'!$B$3=P$3,SUMIF('TL10'!$C$10:$C$224,$C240,'TL10'!$J$10:$J$224),0),
IF('TL10'!$B$229=P$3,SUMIF('TL10'!$C$238:$C$451,$C240,'TL10'!$J$238:$J$451),0),
IF('TL11'!$B$3=P$3,SUMIF('TL11'!$C$10:$C$224,$C240,'TL11'!$J$10:$J$224),0),
IF('TL11'!$B$229=P$3,SUMIF('TL11'!$C$238:$C$451,$C240,'TL11'!$J$238:$J$451),0),
IF('TL12'!$B$3=P$3,SUMIF('TL12'!$C$10:$C$224,$C240,'TL12'!$J$10:$J$224),0),
IF('TL12'!$B$229=P$3,SUMIF('TL12'!$C$238:$C$451,$C240,'TL12'!$J$238:$J$451),0),
IF('TL13'!$B$3=P$3,SUMIF('TL13'!$C$10:$C$224,$C240,'TL13'!$J$10:$J$224),0),
IF('TL13'!$B$229=P$3,SUMIF('TL13'!$C$238:$C$451,$C240,'TL13'!$J$238:$J$451),0),
IF('TL14'!$B$3=P$3,SUMIF('TL14'!$C$10:$C$224,$C240,'TL14'!$J$10:$J$224),0),
IF('TL14'!$B$229=P$3,SUMIF('TL14'!$C$238:$C$451,$C240,'TL14'!$J$238:$J$451),0),
IF('TL15'!$B$3=P$3,SUMIF('TL15'!$C$10:$C$224,$C240,'TL15'!$J$10:$J$224),0),
IF('TL15'!$B$229=P$3,SUMIF('TL15'!$C$238:$C$451,$C240,'TL15'!$J$238:$J$451),0),
IF('TL16'!$B$3=P$3,SUMIF('TL16'!$C$10:$C$224,$C240,'TL16'!$J$10:$J$224),0),
IF('TL16'!$B$229=P$3,SUMIF('TL16'!$C$238:$C$451,$C240,'TL16'!$J$238:$J$451),0),
IF('TL17'!$B$3=P$3,SUMIF('TL17'!$C$10:$C$224,$C240,'TL17'!$J$10:$J$224),0),
IF('TL17'!$B$229=P$3,SUMIF('TL17'!$C$238:$C$451,$C240,'TL17'!$J$238:$J$451),0),
IF('TL18'!$B$3=P$3,SUMIF('TL18'!$C$10:$C$224,$C240,'TL18'!$J$10:$J$224),0),
IF('TL18'!$B$229=P$3,SUMIF('TL18'!$C$238:$C$451,$C240,'TL18'!$J$238:$J$451),0),
IF('TL19'!$B$3=P$3,SUMIF('TL19'!$C$10:$C$224,$C240,'TL19'!$J$10:$J$224),0),
IF('TL19'!$B$229=P$3,SUMIF('TL19'!$C$238:$C$451,$C240,'TL19'!$J$238:$J$451),0)
),0)</f>
        <v/>
      </c>
      <c r="Q240" s="9">
        <f>IFERROR(SUM(
IF('TL01'!$B$3=Q$3,SUMIF('TL01'!$C$10:$C$224,$C240,'TL01'!$J$10:$J$224),0),
IF('TL01'!$B$229=Q$3,SUMIF('TL01'!$C$238:$C$451,$C240,'TL01'!$J$238:$J$451),0),
IF('TL02'!$B$3=Q$3,SUMIF('TL02'!$C$10:$C$224,$C240,'TL02'!$J$10:$J$224),0),
IF('TL02'!$B$229=Q$3,SUMIF('TL02'!$C$238:$C$451,$C240,'TL02'!$J$238:$J$451),0),
IF('TL03'!$B$3=Q$3,SUMIF('TL03'!$C$10:$C$224,$C240,'TL03'!$J$10:$J$224),0),
IF('TL03'!$B$229=Q$3,SUMIF('TL03'!$C$238:$C$451,$C240,'TL03'!$J$238:$J$451),0),
IF('TL04'!$B$3=Q$3,SUMIF('TL04'!$C$10:$C$224,$C240,'TL04'!$J$10:$J$224),0),
IF('TL04'!$B$229=Q$3,SUMIF('TL04'!$C$238:$C$451,$C240,'TL04'!$J$238:$J$451),0),
IF('TL05'!$B$3=Q$3,SUMIF('TL05'!$C$10:$C$224,$C240,'TL05'!$J$10:$J$224),0),
IF('TL05'!$B$229=Q$3,SUMIF('TL05'!$C$238:$C$451,$C240,'TL05'!$J$238:$J$451),0),
IF('TL06'!$B$3=Q$3,SUMIF('TL06'!$C$10:$C$224,$C240,'TL06'!$J$10:$J$224),0),
IF('TL06'!$B$229=Q$3,SUMIF('TL06'!$C$238:$C$451,$C240,'TL06'!$J$238:$J$451),0),
IF('TL07'!$B$3=Q$3,SUMIF('TL07'!$C$10:$C$224,$C240,'TL07'!$J$10:$J$224),0),
IF('TL07'!$B$229=Q$3,SUMIF('TL07'!$C$238:$C$451,$C240,'TL07'!$J$238:$J$451),0),
IF('TL08'!$B$3=Q$3,SUMIF('TL08'!$C$10:$C$224,$C240,'TL08'!$J$10:$J$224),0),
IF('TL08'!$B$229=Q$3,SUMIF('TL08'!$C$238:$C$451,$C240,'TL08'!$J$238:$J$451),0),
IF('TL09'!$B$3=Q$3,SUMIF('TL09'!$C$10:$C$224,$C240,'TL09'!$J$10:$J$224),0),
IF('TL09'!$B$229=Q$3,SUMIF('TL09'!$C$238:$C$451,$C240,'TL09'!$J$238:$J$451),0),
IF('TL10'!$B$3=Q$3,SUMIF('TL10'!$C$10:$C$224,$C240,'TL10'!$J$10:$J$224),0),
IF('TL10'!$B$229=Q$3,SUMIF('TL10'!$C$238:$C$451,$C240,'TL10'!$J$238:$J$451),0),
IF('TL11'!$B$3=Q$3,SUMIF('TL11'!$C$10:$C$224,$C240,'TL11'!$J$10:$J$224),0),
IF('TL11'!$B$229=Q$3,SUMIF('TL11'!$C$238:$C$451,$C240,'TL11'!$J$238:$J$451),0),
IF('TL12'!$B$3=Q$3,SUMIF('TL12'!$C$10:$C$224,$C240,'TL12'!$J$10:$J$224),0),
IF('TL12'!$B$229=Q$3,SUMIF('TL12'!$C$238:$C$451,$C240,'TL12'!$J$238:$J$451),0),
IF('TL13'!$B$3=Q$3,SUMIF('TL13'!$C$10:$C$224,$C240,'TL13'!$J$10:$J$224),0),
IF('TL13'!$B$229=Q$3,SUMIF('TL13'!$C$238:$C$451,$C240,'TL13'!$J$238:$J$451),0),
IF('TL14'!$B$3=Q$3,SUMIF('TL14'!$C$10:$C$224,$C240,'TL14'!$J$10:$J$224),0),
IF('TL14'!$B$229=Q$3,SUMIF('TL14'!$C$238:$C$451,$C240,'TL14'!$J$238:$J$451),0),
IF('TL15'!$B$3=Q$3,SUMIF('TL15'!$C$10:$C$224,$C240,'TL15'!$J$10:$J$224),0),
IF('TL15'!$B$229=Q$3,SUMIF('TL15'!$C$238:$C$451,$C240,'TL15'!$J$238:$J$451),0),
IF('TL16'!$B$3=Q$3,SUMIF('TL16'!$C$10:$C$224,$C240,'TL16'!$J$10:$J$224),0),
IF('TL16'!$B$229=Q$3,SUMIF('TL16'!$C$238:$C$451,$C240,'TL16'!$J$238:$J$451),0),
IF('TL17'!$B$3=Q$3,SUMIF('TL17'!$C$10:$C$224,$C240,'TL17'!$J$10:$J$224),0),
IF('TL17'!$B$229=Q$3,SUMIF('TL17'!$C$238:$C$451,$C240,'TL17'!$J$238:$J$451),0),
IF('TL18'!$B$3=Q$3,SUMIF('TL18'!$C$10:$C$224,$C240,'TL18'!$J$10:$J$224),0),
IF('TL18'!$B$229=Q$3,SUMIF('TL18'!$C$238:$C$451,$C240,'TL18'!$J$238:$J$451),0),
IF('TL19'!$B$3=Q$3,SUMIF('TL19'!$C$10:$C$224,$C240,'TL19'!$J$10:$J$224),0),
IF('TL19'!$B$229=Q$3,SUMIF('TL19'!$C$238:$C$451,$C240,'TL19'!$J$238:$J$451),0)
),0)</f>
        <v/>
      </c>
      <c r="R240" s="9">
        <f>IFERROR(
SUM(
SUMIF('TL01'!C:C,C240,'TL01'!J:J),
SUMIF('TL02'!C:C,C240,'TL02'!J:J),
SUMIF('TL03'!C:C,C240,'TL03'!J:J),
SUMIF('TL04'!C:C,C240,'TL04'!J:J),
SUMIF('TL05'!C:C,C240,'TL05'!J:J),
SUMIF('TL06'!C:C,C240,'TL06'!J:J),
SUMIF('TL07'!C:C,C240,'TL07'!J:J),
SUMIF('TL08'!C:C,C240,'TL08'!J:J),
SUMIF('TL09'!C:C,C240,'TL09'!J:J),
SUMIF('TL10'!C:C,C240,'TL10'!J:J),
SUMIF('TL11'!C:C,C240,'TL11'!J:J),
SUMIF('TL12'!C:C,C240,'TL12'!J:J),
SUMIF('TL13'!C:C,C240,'TL13'!J:J),
SUMIF('TL14'!C:C,C240,'TL14'!J:J),
SUMIF('TL15'!C:C,C240,'TL15'!J:J),
SUMIF('TL16'!C:C,C240,'TL16'!J:J),
SUMIF('TL17'!C:C,C240,'TL17'!J:J),
SUMIF('TL18'!C:C,C240,'TL18'!J:J),SUMIF('TL19'!C:C,C240,'TL19'!J:J))
,0)</f>
        <v/>
      </c>
      <c r="S240" s="17">
        <f>IFERROR(__xludf.DUMMYFUNCTION("IFERROR(VLOOKUP(C240,
IMPORTRANGE(""1wULbzX32WdYsx-lj2U3uUNBBe2INVIRDtcK0d-Dvl90"",
""26-27!C:G""),
5,
FALSE),
"""")"),396.3348)</f>
        <v/>
      </c>
      <c r="T240" s="9" t="n"/>
      <c r="U240" s="92">
        <f>MAX(0,R240-T240)</f>
        <v/>
      </c>
      <c r="V240" s="93">
        <f>U240*S240</f>
        <v/>
      </c>
    </row>
    <row r="241" hidden="1" ht="15.75" customHeight="1" s="297">
      <c r="A241" s="94" t="inlineStr">
        <is>
          <t>SYNGENTA</t>
        </is>
      </c>
      <c r="B241" s="95" t="inlineStr">
        <is>
          <t>INSETICIDA</t>
        </is>
      </c>
      <c r="C241" s="96" t="inlineStr">
        <is>
          <t>VERTIMEC 84 SC</t>
        </is>
      </c>
      <c r="D241" s="96" t="inlineStr">
        <is>
          <t>ABAMECTINA</t>
        </is>
      </c>
      <c r="E241" s="96" t="n">
        <v>84</v>
      </c>
      <c r="F241" s="4" t="inlineStr">
        <is>
          <t>KG</t>
        </is>
      </c>
      <c r="G241" s="90">
        <f>HYPERLINK("https://www.google.com/search?q=" &amp; C241 &amp; "+bula+agrofit+pdf", "📄 Ver bula")</f>
        <v/>
      </c>
      <c r="H241" s="9">
        <f>IFERROR(__xludf.DUMMYFUNCTION("IFERROR(VLOOKUP(C241,
IMPORTRANGE(""1wULbzX32WdYsx-lj2U3uUNBBe2INVIRDtcK0d-Dvl90"",
""26-27!C:K""),
8,
FALSE),
"""")"),0.15)</f>
        <v/>
      </c>
      <c r="I241" s="97" t="inlineStr">
        <is>
          <t>4X5</t>
        </is>
      </c>
      <c r="J241" s="9">
        <f>IFERROR(SUM(
IF('TL01'!$B$3=J$3,SUMIF('TL01'!$C$10:$C$224,$C241,'TL01'!$J$10:$J$224),0),
IF('TL01'!$B$229=J$3,SUMIF('TL01'!$C$238:$C$451,$C241,'TL01'!$J$238:$J$451),0),
IF('TL02'!$B$3=J$3,SUMIF('TL02'!$C$10:$C$224,$C241,'TL02'!$J$10:$J$224),0),
IF('TL02'!$B$229=J$3,SUMIF('TL02'!$C$238:$C$451,$C241,'TL02'!$J$238:$J$451),0),
IF('TL03'!$B$3=J$3,SUMIF('TL03'!$C$10:$C$224,$C241,'TL03'!$J$10:$J$224),0),
IF('TL03'!$B$229=J$3,SUMIF('TL03'!$C$238:$C$451,$C241,'TL03'!$J$238:$J$451),0),
IF('TL04'!$B$3=J$3,SUMIF('TL04'!$C$10:$C$224,$C241,'TL04'!$J$10:$J$224),0),
IF('TL04'!$B$229=J$3,SUMIF('TL04'!$C$238:$C$451,$C241,'TL04'!$J$238:$J$451),0),
IF('TL05'!$B$3=J$3,SUMIF('TL05'!$C$10:$C$224,$C241,'TL05'!$J$10:$J$224),0),
IF('TL05'!$B$229=J$3,SUMIF('TL05'!$C$238:$C$451,$C241,'TL05'!$J$238:$J$451),0),
IF('TL06'!$B$3=J$3,SUMIF('TL06'!$C$10:$C$224,$C241,'TL06'!$J$10:$J$224),0),
IF('TL06'!$B$229=J$3,SUMIF('TL06'!$C$238:$C$451,$C241,'TL06'!$J$238:$J$451),0),
IF('TL07'!$B$3=J$3,SUMIF('TL07'!$C$10:$C$224,$C241,'TL07'!$J$10:$J$224),0),
IF('TL07'!$B$229=J$3,SUMIF('TL07'!$C$238:$C$451,$C241,'TL07'!$J$238:$J$451),0),
IF('TL08'!$B$3=J$3,SUMIF('TL08'!$C$10:$C$224,$C241,'TL08'!$J$10:$J$224),0),
IF('TL08'!$B$229=J$3,SUMIF('TL08'!$C$238:$C$451,$C241,'TL08'!$J$238:$J$451),0),
IF('TL09'!$B$3=J$3,SUMIF('TL09'!$C$10:$C$224,$C241,'TL09'!$J$10:$J$224),0),
IF('TL09'!$B$229=J$3,SUMIF('TL09'!$C$238:$C$451,$C241,'TL09'!$J$238:$J$451),0),
IF('TL10'!$B$3=J$3,SUMIF('TL10'!$C$10:$C$224,$C241,'TL10'!$J$10:$J$224),0),
IF('TL10'!$B$229=J$3,SUMIF('TL10'!$C$238:$C$451,$C241,'TL10'!$J$238:$J$451),0),
IF('TL11'!$B$3=J$3,SUMIF('TL11'!$C$10:$C$224,$C241,'TL11'!$J$10:$J$224),0),
IF('TL11'!$B$229=J$3,SUMIF('TL11'!$C$238:$C$451,$C241,'TL11'!$J$238:$J$451),0),
IF('TL12'!$B$3=J$3,SUMIF('TL12'!$C$10:$C$224,$C241,'TL12'!$J$10:$J$224),0),
IF('TL12'!$B$229=J$3,SUMIF('TL12'!$C$238:$C$451,$C241,'TL12'!$J$238:$J$451),0),
IF('TL13'!$B$3=J$3,SUMIF('TL13'!$C$10:$C$224,$C241,'TL13'!$J$10:$J$224),0),
IF('TL13'!$B$229=J$3,SUMIF('TL13'!$C$238:$C$451,$C241,'TL13'!$J$238:$J$451),0),
IF('TL14'!$B$3=J$3,SUMIF('TL14'!$C$10:$C$224,$C241,'TL14'!$J$10:$J$224),0),
IF('TL14'!$B$229=J$3,SUMIF('TL14'!$C$238:$C$451,$C241,'TL14'!$J$238:$J$451),0),
IF('TL15'!$B$3=J$3,SUMIF('TL15'!$C$10:$C$224,$C241,'TL15'!$J$10:$J$224),0),
IF('TL15'!$B$229=J$3,SUMIF('TL15'!$C$238:$C$451,$C241,'TL15'!$J$238:$J$451),0),
IF('TL16'!$B$3=J$3,SUMIF('TL16'!$C$10:$C$224,$C241,'TL16'!$J$10:$J$224),0),
IF('TL16'!$B$229=J$3,SUMIF('TL16'!$C$238:$C$451,$C241,'TL16'!$J$238:$J$451),0),
IF('TL17'!$B$3=J$3,SUMIF('TL17'!$C$10:$C$224,$C241,'TL17'!$J$10:$J$224),0),
IF('TL17'!$B$229=J$3,SUMIF('TL17'!$C$238:$C$451,$C241,'TL17'!$J$238:$J$451),0),
IF('TL18'!$B$3=J$3,SUMIF('TL18'!$C$10:$C$224,$C241,'TL18'!$J$10:$J$224),0),
IF('TL18'!$B$229=J$3,SUMIF('TL18'!$C$238:$C$451,$C241,'TL18'!$J$238:$J$451),0),
IF('TL19'!$B$3=J$3,SUMIF('TL19'!$C$10:$C$224,$C241,'TL19'!$J$10:$J$224),0),
IF('TL19'!$B$229=J$3,SUMIF('TL19'!$C$238:$C$451,$C241,'TL19'!$J$238:$J$451),0)
),0)</f>
        <v/>
      </c>
      <c r="K241" s="9">
        <f>IFERROR(SUM(
IF('TL01'!$B$3=K$3,SUMIF('TL01'!$C$10:$C$224,$C241,'TL01'!$J$10:$J$224),0),
IF('TL01'!$B$229=K$3,SUMIF('TL01'!$C$238:$C$451,$C241,'TL01'!$J$238:$J$451),0),
IF('TL02'!$B$3=K$3,SUMIF('TL02'!$C$10:$C$224,$C241,'TL02'!$J$10:$J$224),0),
IF('TL02'!$B$229=K$3,SUMIF('TL02'!$C$238:$C$451,$C241,'TL02'!$J$238:$J$451),0),
IF('TL03'!$B$3=K$3,SUMIF('TL03'!$C$10:$C$224,$C241,'TL03'!$J$10:$J$224),0),
IF('TL03'!$B$229=K$3,SUMIF('TL03'!$C$238:$C$451,$C241,'TL03'!$J$238:$J$451),0),
IF('TL04'!$B$3=K$3,SUMIF('TL04'!$C$10:$C$224,$C241,'TL04'!$J$10:$J$224),0),
IF('TL04'!$B$229=K$3,SUMIF('TL04'!$C$238:$C$451,$C241,'TL04'!$J$238:$J$451),0),
IF('TL05'!$B$3=K$3,SUMIF('TL05'!$C$10:$C$224,$C241,'TL05'!$J$10:$J$224),0),
IF('TL05'!$B$229=K$3,SUMIF('TL05'!$C$238:$C$451,$C241,'TL05'!$J$238:$J$451),0),
IF('TL06'!$B$3=K$3,SUMIF('TL06'!$C$10:$C$224,$C241,'TL06'!$J$10:$J$224),0),
IF('TL06'!$B$229=K$3,SUMIF('TL06'!$C$238:$C$451,$C241,'TL06'!$J$238:$J$451),0),
IF('TL07'!$B$3=K$3,SUMIF('TL07'!$C$10:$C$224,$C241,'TL07'!$J$10:$J$224),0),
IF('TL07'!$B$229=K$3,SUMIF('TL07'!$C$238:$C$451,$C241,'TL07'!$J$238:$J$451),0),
IF('TL08'!$B$3=K$3,SUMIF('TL08'!$C$10:$C$224,$C241,'TL08'!$J$10:$J$224),0),
IF('TL08'!$B$229=K$3,SUMIF('TL08'!$C$238:$C$451,$C241,'TL08'!$J$238:$J$451),0),
IF('TL09'!$B$3=K$3,SUMIF('TL09'!$C$10:$C$224,$C241,'TL09'!$J$10:$J$224),0),
IF('TL09'!$B$229=K$3,SUMIF('TL09'!$C$238:$C$451,$C241,'TL09'!$J$238:$J$451),0),
IF('TL10'!$B$3=K$3,SUMIF('TL10'!$C$10:$C$224,$C241,'TL10'!$J$10:$J$224),0),
IF('TL10'!$B$229=K$3,SUMIF('TL10'!$C$238:$C$451,$C241,'TL10'!$J$238:$J$451),0),
IF('TL11'!$B$3=K$3,SUMIF('TL11'!$C$10:$C$224,$C241,'TL11'!$J$10:$J$224),0),
IF('TL11'!$B$229=K$3,SUMIF('TL11'!$C$238:$C$451,$C241,'TL11'!$J$238:$J$451),0),
IF('TL12'!$B$3=K$3,SUMIF('TL12'!$C$10:$C$224,$C241,'TL12'!$J$10:$J$224),0),
IF('TL12'!$B$229=K$3,SUMIF('TL12'!$C$238:$C$451,$C241,'TL12'!$J$238:$J$451),0),
IF('TL13'!$B$3=K$3,SUMIF('TL13'!$C$10:$C$224,$C241,'TL13'!$J$10:$J$224),0),
IF('TL13'!$B$229=K$3,SUMIF('TL13'!$C$238:$C$451,$C241,'TL13'!$J$238:$J$451),0),
IF('TL14'!$B$3=K$3,SUMIF('TL14'!$C$10:$C$224,$C241,'TL14'!$J$10:$J$224),0),
IF('TL14'!$B$229=K$3,SUMIF('TL14'!$C$238:$C$451,$C241,'TL14'!$J$238:$J$451),0),
IF('TL15'!$B$3=K$3,SUMIF('TL15'!$C$10:$C$224,$C241,'TL15'!$J$10:$J$224),0),
IF('TL15'!$B$229=K$3,SUMIF('TL15'!$C$238:$C$451,$C241,'TL15'!$J$238:$J$451),0),
IF('TL16'!$B$3=K$3,SUMIF('TL16'!$C$10:$C$224,$C241,'TL16'!$J$10:$J$224),0),
IF('TL16'!$B$229=K$3,SUMIF('TL16'!$C$238:$C$451,$C241,'TL16'!$J$238:$J$451),0),
IF('TL17'!$B$3=K$3,SUMIF('TL17'!$C$10:$C$224,$C241,'TL17'!$J$10:$J$224),0),
IF('TL17'!$B$229=K$3,SUMIF('TL17'!$C$238:$C$451,$C241,'TL17'!$J$238:$J$451),0),
IF('TL18'!$B$3=K$3,SUMIF('TL18'!$C$10:$C$224,$C241,'TL18'!$J$10:$J$224),0),
IF('TL18'!$B$229=K$3,SUMIF('TL18'!$C$238:$C$451,$C241,'TL18'!$J$238:$J$451),0),
IF('TL19'!$B$3=K$3,SUMIF('TL19'!$C$10:$C$224,$C241,'TL19'!$J$10:$J$224),0),
IF('TL19'!$B$229=K$3,SUMIF('TL19'!$C$238:$C$451,$C241,'TL19'!$J$238:$J$451),0)
),0)</f>
        <v/>
      </c>
      <c r="L241" s="9">
        <f>IFERROR(SUM(
IF('TL01'!$B$3=L$3,SUMIF('TL01'!$C$10:$C$224,$C241,'TL01'!$J$10:$J$224),0),
IF('TL01'!$B$229=L$3,SUMIF('TL01'!$C$238:$C$451,$C241,'TL01'!$J$238:$J$451),0),
IF('TL02'!$B$3=L$3,SUMIF('TL02'!$C$10:$C$224,$C241,'TL02'!$J$10:$J$224),0),
IF('TL02'!$B$229=L$3,SUMIF('TL02'!$C$238:$C$451,$C241,'TL02'!$J$238:$J$451),0),
IF('TL03'!$B$3=L$3,SUMIF('TL03'!$C$10:$C$224,$C241,'TL03'!$J$10:$J$224),0),
IF('TL03'!$B$229=L$3,SUMIF('TL03'!$C$238:$C$451,$C241,'TL03'!$J$238:$J$451),0),
IF('TL04'!$B$3=L$3,SUMIF('TL04'!$C$10:$C$224,$C241,'TL04'!$J$10:$J$224),0),
IF('TL04'!$B$229=L$3,SUMIF('TL04'!$C$238:$C$451,$C241,'TL04'!$J$238:$J$451),0),
IF('TL05'!$B$3=L$3,SUMIF('TL05'!$C$10:$C$224,$C241,'TL05'!$J$10:$J$224),0),
IF('TL05'!$B$229=L$3,SUMIF('TL05'!$C$238:$C$451,$C241,'TL05'!$J$238:$J$451),0),
IF('TL06'!$B$3=L$3,SUMIF('TL06'!$C$10:$C$224,$C241,'TL06'!$J$10:$J$224),0),
IF('TL06'!$B$229=L$3,SUMIF('TL06'!$C$238:$C$451,$C241,'TL06'!$J$238:$J$451),0),
IF('TL07'!$B$3=L$3,SUMIF('TL07'!$C$10:$C$224,$C241,'TL07'!$J$10:$J$224),0),
IF('TL07'!$B$229=L$3,SUMIF('TL07'!$C$238:$C$451,$C241,'TL07'!$J$238:$J$451),0),
IF('TL08'!$B$3=L$3,SUMIF('TL08'!$C$10:$C$224,$C241,'TL08'!$J$10:$J$224),0),
IF('TL08'!$B$229=L$3,SUMIF('TL08'!$C$238:$C$451,$C241,'TL08'!$J$238:$J$451),0),
IF('TL09'!$B$3=L$3,SUMIF('TL09'!$C$10:$C$224,$C241,'TL09'!$J$10:$J$224),0),
IF('TL09'!$B$229=L$3,SUMIF('TL09'!$C$238:$C$451,$C241,'TL09'!$J$238:$J$451),0),
IF('TL10'!$B$3=L$3,SUMIF('TL10'!$C$10:$C$224,$C241,'TL10'!$J$10:$J$224),0),
IF('TL10'!$B$229=L$3,SUMIF('TL10'!$C$238:$C$451,$C241,'TL10'!$J$238:$J$451),0),
IF('TL11'!$B$3=L$3,SUMIF('TL11'!$C$10:$C$224,$C241,'TL11'!$J$10:$J$224),0),
IF('TL11'!$B$229=L$3,SUMIF('TL11'!$C$238:$C$451,$C241,'TL11'!$J$238:$J$451),0),
IF('TL12'!$B$3=L$3,SUMIF('TL12'!$C$10:$C$224,$C241,'TL12'!$J$10:$J$224),0),
IF('TL12'!$B$229=L$3,SUMIF('TL12'!$C$238:$C$451,$C241,'TL12'!$J$238:$J$451),0),
IF('TL13'!$B$3=L$3,SUMIF('TL13'!$C$10:$C$224,$C241,'TL13'!$J$10:$J$224),0),
IF('TL13'!$B$229=L$3,SUMIF('TL13'!$C$238:$C$451,$C241,'TL13'!$J$238:$J$451),0),
IF('TL14'!$B$3=L$3,SUMIF('TL14'!$C$10:$C$224,$C241,'TL14'!$J$10:$J$224),0),
IF('TL14'!$B$229=L$3,SUMIF('TL14'!$C$238:$C$451,$C241,'TL14'!$J$238:$J$451),0),
IF('TL15'!$B$3=L$3,SUMIF('TL15'!$C$10:$C$224,$C241,'TL15'!$J$10:$J$224),0),
IF('TL15'!$B$229=L$3,SUMIF('TL15'!$C$238:$C$451,$C241,'TL15'!$J$238:$J$451),0),
IF('TL16'!$B$3=L$3,SUMIF('TL16'!$C$10:$C$224,$C241,'TL16'!$J$10:$J$224),0),
IF('TL16'!$B$229=L$3,SUMIF('TL16'!$C$238:$C$451,$C241,'TL16'!$J$238:$J$451),0),
IF('TL17'!$B$3=L$3,SUMIF('TL17'!$C$10:$C$224,$C241,'TL17'!$J$10:$J$224),0),
IF('TL17'!$B$229=L$3,SUMIF('TL17'!$C$238:$C$451,$C241,'TL17'!$J$238:$J$451),0),
IF('TL18'!$B$3=L$3,SUMIF('TL18'!$C$10:$C$224,$C241,'TL18'!$J$10:$J$224),0),
IF('TL18'!$B$229=L$3,SUMIF('TL18'!$C$238:$C$451,$C241,'TL18'!$J$238:$J$451),0),
IF('TL19'!$B$3=L$3,SUMIF('TL19'!$C$10:$C$224,$C241,'TL19'!$J$10:$J$224),0),
IF('TL19'!$B$229=L$3,SUMIF('TL19'!$C$238:$C$451,$C241,'TL19'!$J$238:$J$451),0)
),0)</f>
        <v/>
      </c>
      <c r="M241" s="9">
        <f>IFERROR(SUM(
IF('TL01'!$B$3=M$3,SUMIF('TL01'!$C$10:$C$224,$C241,'TL01'!$J$10:$J$224),0),
IF('TL01'!$B$229=M$3,SUMIF('TL01'!$C$238:$C$451,$C241,'TL01'!$J$238:$J$451),0),
IF('TL02'!$B$3=M$3,SUMIF('TL02'!$C$10:$C$224,$C241,'TL02'!$J$10:$J$224),0),
IF('TL02'!$B$229=M$3,SUMIF('TL02'!$C$238:$C$451,$C241,'TL02'!$J$238:$J$451),0),
IF('TL03'!$B$3=M$3,SUMIF('TL03'!$C$10:$C$224,$C241,'TL03'!$J$10:$J$224),0),
IF('TL03'!$B$229=M$3,SUMIF('TL03'!$C$238:$C$451,$C241,'TL03'!$J$238:$J$451),0),
IF('TL04'!$B$3=M$3,SUMIF('TL04'!$C$10:$C$224,$C241,'TL04'!$J$10:$J$224),0),
IF('TL04'!$B$229=M$3,SUMIF('TL04'!$C$238:$C$451,$C241,'TL04'!$J$238:$J$451),0),
IF('TL05'!$B$3=M$3,SUMIF('TL05'!$C$10:$C$224,$C241,'TL05'!$J$10:$J$224),0),
IF('TL05'!$B$229=M$3,SUMIF('TL05'!$C$238:$C$451,$C241,'TL05'!$J$238:$J$451),0),
IF('TL06'!$B$3=M$3,SUMIF('TL06'!$C$10:$C$224,$C241,'TL06'!$J$10:$J$224),0),
IF('TL06'!$B$229=M$3,SUMIF('TL06'!$C$238:$C$451,$C241,'TL06'!$J$238:$J$451),0),
IF('TL07'!$B$3=M$3,SUMIF('TL07'!$C$10:$C$224,$C241,'TL07'!$J$10:$J$224),0),
IF('TL07'!$B$229=M$3,SUMIF('TL07'!$C$238:$C$451,$C241,'TL07'!$J$238:$J$451),0),
IF('TL08'!$B$3=M$3,SUMIF('TL08'!$C$10:$C$224,$C241,'TL08'!$J$10:$J$224),0),
IF('TL08'!$B$229=M$3,SUMIF('TL08'!$C$238:$C$451,$C241,'TL08'!$J$238:$J$451),0),
IF('TL09'!$B$3=M$3,SUMIF('TL09'!$C$10:$C$224,$C241,'TL09'!$J$10:$J$224),0),
IF('TL09'!$B$229=M$3,SUMIF('TL09'!$C$238:$C$451,$C241,'TL09'!$J$238:$J$451),0),
IF('TL10'!$B$3=M$3,SUMIF('TL10'!$C$10:$C$224,$C241,'TL10'!$J$10:$J$224),0),
IF('TL10'!$B$229=M$3,SUMIF('TL10'!$C$238:$C$451,$C241,'TL10'!$J$238:$J$451),0),
IF('TL11'!$B$3=M$3,SUMIF('TL11'!$C$10:$C$224,$C241,'TL11'!$J$10:$J$224),0),
IF('TL11'!$B$229=M$3,SUMIF('TL11'!$C$238:$C$451,$C241,'TL11'!$J$238:$J$451),0),
IF('TL12'!$B$3=M$3,SUMIF('TL12'!$C$10:$C$224,$C241,'TL12'!$J$10:$J$224),0),
IF('TL12'!$B$229=M$3,SUMIF('TL12'!$C$238:$C$451,$C241,'TL12'!$J$238:$J$451),0),
IF('TL13'!$B$3=M$3,SUMIF('TL13'!$C$10:$C$224,$C241,'TL13'!$J$10:$J$224),0),
IF('TL13'!$B$229=M$3,SUMIF('TL13'!$C$238:$C$451,$C241,'TL13'!$J$238:$J$451),0),
IF('TL14'!$B$3=M$3,SUMIF('TL14'!$C$10:$C$224,$C241,'TL14'!$J$10:$J$224),0),
IF('TL14'!$B$229=M$3,SUMIF('TL14'!$C$238:$C$451,$C241,'TL14'!$J$238:$J$451),0),
IF('TL15'!$B$3=M$3,SUMIF('TL15'!$C$10:$C$224,$C241,'TL15'!$J$10:$J$224),0),
IF('TL15'!$B$229=M$3,SUMIF('TL15'!$C$238:$C$451,$C241,'TL15'!$J$238:$J$451),0),
IF('TL16'!$B$3=M$3,SUMIF('TL16'!$C$10:$C$224,$C241,'TL16'!$J$10:$J$224),0),
IF('TL16'!$B$229=M$3,SUMIF('TL16'!$C$238:$C$451,$C241,'TL16'!$J$238:$J$451),0),
IF('TL17'!$B$3=M$3,SUMIF('TL17'!$C$10:$C$224,$C241,'TL17'!$J$10:$J$224),0),
IF('TL17'!$B$229=M$3,SUMIF('TL17'!$C$238:$C$451,$C241,'TL17'!$J$238:$J$451),0),
IF('TL18'!$B$3=M$3,SUMIF('TL18'!$C$10:$C$224,$C241,'TL18'!$J$10:$J$224),0),
IF('TL18'!$B$229=M$3,SUMIF('TL18'!$C$238:$C$451,$C241,'TL18'!$J$238:$J$451),0),
IF('TL19'!$B$3=M$3,SUMIF('TL19'!$C$10:$C$224,$C241,'TL19'!$J$10:$J$224),0),
IF('TL19'!$B$229=M$3,SUMIF('TL19'!$C$238:$C$451,$C241,'TL19'!$J$238:$J$451),0)
),0)</f>
        <v/>
      </c>
      <c r="N241" s="9">
        <f>IFERROR(SUM(
IF('TL01'!$B$3=N$3,SUMIF('TL01'!$C$10:$C$224,$C241,'TL01'!$J$10:$J$224),0),
IF('TL01'!$B$229=N$3,SUMIF('TL01'!$C$238:$C$451,$C241,'TL01'!$J$238:$J$451),0),
IF('TL02'!$B$3=N$3,SUMIF('TL02'!$C$10:$C$224,$C241,'TL02'!$J$10:$J$224),0),
IF('TL02'!$B$229=N$3,SUMIF('TL02'!$C$238:$C$451,$C241,'TL02'!$J$238:$J$451),0),
IF('TL03'!$B$3=N$3,SUMIF('TL03'!$C$10:$C$224,$C241,'TL03'!$J$10:$J$224),0),
IF('TL03'!$B$229=N$3,SUMIF('TL03'!$C$238:$C$451,$C241,'TL03'!$J$238:$J$451),0),
IF('TL04'!$B$3=N$3,SUMIF('TL04'!$C$10:$C$224,$C241,'TL04'!$J$10:$J$224),0),
IF('TL04'!$B$229=N$3,SUMIF('TL04'!$C$238:$C$451,$C241,'TL04'!$J$238:$J$451),0),
IF('TL05'!$B$3=N$3,SUMIF('TL05'!$C$10:$C$224,$C241,'TL05'!$J$10:$J$224),0),
IF('TL05'!$B$229=N$3,SUMIF('TL05'!$C$238:$C$451,$C241,'TL05'!$J$238:$J$451),0),
IF('TL06'!$B$3=N$3,SUMIF('TL06'!$C$10:$C$224,$C241,'TL06'!$J$10:$J$224),0),
IF('TL06'!$B$229=N$3,SUMIF('TL06'!$C$238:$C$451,$C241,'TL06'!$J$238:$J$451),0),
IF('TL07'!$B$3=N$3,SUMIF('TL07'!$C$10:$C$224,$C241,'TL07'!$J$10:$J$224),0),
IF('TL07'!$B$229=N$3,SUMIF('TL07'!$C$238:$C$451,$C241,'TL07'!$J$238:$J$451),0),
IF('TL08'!$B$3=N$3,SUMIF('TL08'!$C$10:$C$224,$C241,'TL08'!$J$10:$J$224),0),
IF('TL08'!$B$229=N$3,SUMIF('TL08'!$C$238:$C$451,$C241,'TL08'!$J$238:$J$451),0),
IF('TL09'!$B$3=N$3,SUMIF('TL09'!$C$10:$C$224,$C241,'TL09'!$J$10:$J$224),0),
IF('TL09'!$B$229=N$3,SUMIF('TL09'!$C$238:$C$451,$C241,'TL09'!$J$238:$J$451),0),
IF('TL10'!$B$3=N$3,SUMIF('TL10'!$C$10:$C$224,$C241,'TL10'!$J$10:$J$224),0),
IF('TL10'!$B$229=N$3,SUMIF('TL10'!$C$238:$C$451,$C241,'TL10'!$J$238:$J$451),0),
IF('TL11'!$B$3=N$3,SUMIF('TL11'!$C$10:$C$224,$C241,'TL11'!$J$10:$J$224),0),
IF('TL11'!$B$229=N$3,SUMIF('TL11'!$C$238:$C$451,$C241,'TL11'!$J$238:$J$451),0),
IF('TL12'!$B$3=N$3,SUMIF('TL12'!$C$10:$C$224,$C241,'TL12'!$J$10:$J$224),0),
IF('TL12'!$B$229=N$3,SUMIF('TL12'!$C$238:$C$451,$C241,'TL12'!$J$238:$J$451),0),
IF('TL13'!$B$3=N$3,SUMIF('TL13'!$C$10:$C$224,$C241,'TL13'!$J$10:$J$224),0),
IF('TL13'!$B$229=N$3,SUMIF('TL13'!$C$238:$C$451,$C241,'TL13'!$J$238:$J$451),0),
IF('TL14'!$B$3=N$3,SUMIF('TL14'!$C$10:$C$224,$C241,'TL14'!$J$10:$J$224),0),
IF('TL14'!$B$229=N$3,SUMIF('TL14'!$C$238:$C$451,$C241,'TL14'!$J$238:$J$451),0),
IF('TL15'!$B$3=N$3,SUMIF('TL15'!$C$10:$C$224,$C241,'TL15'!$J$10:$J$224),0),
IF('TL15'!$B$229=N$3,SUMIF('TL15'!$C$238:$C$451,$C241,'TL15'!$J$238:$J$451),0),
IF('TL16'!$B$3=N$3,SUMIF('TL16'!$C$10:$C$224,$C241,'TL16'!$J$10:$J$224),0),
IF('TL16'!$B$229=N$3,SUMIF('TL16'!$C$238:$C$451,$C241,'TL16'!$J$238:$J$451),0),
IF('TL17'!$B$3=N$3,SUMIF('TL17'!$C$10:$C$224,$C241,'TL17'!$J$10:$J$224),0),
IF('TL17'!$B$229=N$3,SUMIF('TL17'!$C$238:$C$451,$C241,'TL17'!$J$238:$J$451),0),
IF('TL18'!$B$3=N$3,SUMIF('TL18'!$C$10:$C$224,$C241,'TL18'!$J$10:$J$224),0),
IF('TL18'!$B$229=N$3,SUMIF('TL18'!$C$238:$C$451,$C241,'TL18'!$J$238:$J$451),0),
IF('TL19'!$B$3=N$3,SUMIF('TL19'!$C$10:$C$224,$C241,'TL19'!$J$10:$J$224),0),
IF('TL19'!$B$229=N$3,SUMIF('TL19'!$C$238:$C$451,$C241,'TL19'!$J$238:$J$451),0)
),0)</f>
        <v/>
      </c>
      <c r="O241" s="9">
        <f>IFERROR(SUM(
IF('TL01'!$B$3=O$3,SUMIF('TL01'!$C$10:$C$224,$C241,'TL01'!$J$10:$J$224),0),
IF('TL01'!$B$229=O$3,SUMIF('TL01'!$C$238:$C$451,$C241,'TL01'!$J$238:$J$451),0),
IF('TL02'!$B$3=O$3,SUMIF('TL02'!$C$10:$C$224,$C241,'TL02'!$J$10:$J$224),0),
IF('TL02'!$B$229=O$3,SUMIF('TL02'!$C$238:$C$451,$C241,'TL02'!$J$238:$J$451),0),
IF('TL03'!$B$3=O$3,SUMIF('TL03'!$C$10:$C$224,$C241,'TL03'!$J$10:$J$224),0),
IF('TL03'!$B$229=O$3,SUMIF('TL03'!$C$238:$C$451,$C241,'TL03'!$J$238:$J$451),0),
IF('TL04'!$B$3=O$3,SUMIF('TL04'!$C$10:$C$224,$C241,'TL04'!$J$10:$J$224),0),
IF('TL04'!$B$229=O$3,SUMIF('TL04'!$C$238:$C$451,$C241,'TL04'!$J$238:$J$451),0),
IF('TL05'!$B$3=O$3,SUMIF('TL05'!$C$10:$C$224,$C241,'TL05'!$J$10:$J$224),0),
IF('TL05'!$B$229=O$3,SUMIF('TL05'!$C$238:$C$451,$C241,'TL05'!$J$238:$J$451),0),
IF('TL06'!$B$3=O$3,SUMIF('TL06'!$C$10:$C$224,$C241,'TL06'!$J$10:$J$224),0),
IF('TL06'!$B$229=O$3,SUMIF('TL06'!$C$238:$C$451,$C241,'TL06'!$J$238:$J$451),0),
IF('TL07'!$B$3=O$3,SUMIF('TL07'!$C$10:$C$224,$C241,'TL07'!$J$10:$J$224),0),
IF('TL07'!$B$229=O$3,SUMIF('TL07'!$C$238:$C$451,$C241,'TL07'!$J$238:$J$451),0),
IF('TL08'!$B$3=O$3,SUMIF('TL08'!$C$10:$C$224,$C241,'TL08'!$J$10:$J$224),0),
IF('TL08'!$B$229=O$3,SUMIF('TL08'!$C$238:$C$451,$C241,'TL08'!$J$238:$J$451),0),
IF('TL09'!$B$3=O$3,SUMIF('TL09'!$C$10:$C$224,$C241,'TL09'!$J$10:$J$224),0),
IF('TL09'!$B$229=O$3,SUMIF('TL09'!$C$238:$C$451,$C241,'TL09'!$J$238:$J$451),0),
IF('TL10'!$B$3=O$3,SUMIF('TL10'!$C$10:$C$224,$C241,'TL10'!$J$10:$J$224),0),
IF('TL10'!$B$229=O$3,SUMIF('TL10'!$C$238:$C$451,$C241,'TL10'!$J$238:$J$451),0),
IF('TL11'!$B$3=O$3,SUMIF('TL11'!$C$10:$C$224,$C241,'TL11'!$J$10:$J$224),0),
IF('TL11'!$B$229=O$3,SUMIF('TL11'!$C$238:$C$451,$C241,'TL11'!$J$238:$J$451),0),
IF('TL12'!$B$3=O$3,SUMIF('TL12'!$C$10:$C$224,$C241,'TL12'!$J$10:$J$224),0),
IF('TL12'!$B$229=O$3,SUMIF('TL12'!$C$238:$C$451,$C241,'TL12'!$J$238:$J$451),0),
IF('TL13'!$B$3=O$3,SUMIF('TL13'!$C$10:$C$224,$C241,'TL13'!$J$10:$J$224),0),
IF('TL13'!$B$229=O$3,SUMIF('TL13'!$C$238:$C$451,$C241,'TL13'!$J$238:$J$451),0),
IF('TL14'!$B$3=O$3,SUMIF('TL14'!$C$10:$C$224,$C241,'TL14'!$J$10:$J$224),0),
IF('TL14'!$B$229=O$3,SUMIF('TL14'!$C$238:$C$451,$C241,'TL14'!$J$238:$J$451),0),
IF('TL15'!$B$3=O$3,SUMIF('TL15'!$C$10:$C$224,$C241,'TL15'!$J$10:$J$224),0),
IF('TL15'!$B$229=O$3,SUMIF('TL15'!$C$238:$C$451,$C241,'TL15'!$J$238:$J$451),0),
IF('TL16'!$B$3=O$3,SUMIF('TL16'!$C$10:$C$224,$C241,'TL16'!$J$10:$J$224),0),
IF('TL16'!$B$229=O$3,SUMIF('TL16'!$C$238:$C$451,$C241,'TL16'!$J$238:$J$451),0),
IF('TL17'!$B$3=O$3,SUMIF('TL17'!$C$10:$C$224,$C241,'TL17'!$J$10:$J$224),0),
IF('TL17'!$B$229=O$3,SUMIF('TL17'!$C$238:$C$451,$C241,'TL17'!$J$238:$J$451),0),
IF('TL18'!$B$3=O$3,SUMIF('TL18'!$C$10:$C$224,$C241,'TL18'!$J$10:$J$224),0),
IF('TL18'!$B$229=O$3,SUMIF('TL18'!$C$238:$C$451,$C241,'TL18'!$J$238:$J$451),0),
IF('TL19'!$B$3=O$3,SUMIF('TL19'!$C$10:$C$224,$C241,'TL19'!$J$10:$J$224),0),
IF('TL19'!$B$229=O$3,SUMIF('TL19'!$C$238:$C$451,$C241,'TL19'!$J$238:$J$451),0)
),0)</f>
        <v/>
      </c>
      <c r="P241" s="9">
        <f>IFERROR(SUM(
IF('TL01'!$B$3=P$3,SUMIF('TL01'!$C$10:$C$224,$C241,'TL01'!$J$10:$J$224),0),
IF('TL01'!$B$229=P$3,SUMIF('TL01'!$C$238:$C$451,$C241,'TL01'!$J$238:$J$451),0),
IF('TL02'!$B$3=P$3,SUMIF('TL02'!$C$10:$C$224,$C241,'TL02'!$J$10:$J$224),0),
IF('TL02'!$B$229=P$3,SUMIF('TL02'!$C$238:$C$451,$C241,'TL02'!$J$238:$J$451),0),
IF('TL03'!$B$3=P$3,SUMIF('TL03'!$C$10:$C$224,$C241,'TL03'!$J$10:$J$224),0),
IF('TL03'!$B$229=P$3,SUMIF('TL03'!$C$238:$C$451,$C241,'TL03'!$J$238:$J$451),0),
IF('TL04'!$B$3=P$3,SUMIF('TL04'!$C$10:$C$224,$C241,'TL04'!$J$10:$J$224),0),
IF('TL04'!$B$229=P$3,SUMIF('TL04'!$C$238:$C$451,$C241,'TL04'!$J$238:$J$451),0),
IF('TL05'!$B$3=P$3,SUMIF('TL05'!$C$10:$C$224,$C241,'TL05'!$J$10:$J$224),0),
IF('TL05'!$B$229=P$3,SUMIF('TL05'!$C$238:$C$451,$C241,'TL05'!$J$238:$J$451),0),
IF('TL06'!$B$3=P$3,SUMIF('TL06'!$C$10:$C$224,$C241,'TL06'!$J$10:$J$224),0),
IF('TL06'!$B$229=P$3,SUMIF('TL06'!$C$238:$C$451,$C241,'TL06'!$J$238:$J$451),0),
IF('TL07'!$B$3=P$3,SUMIF('TL07'!$C$10:$C$224,$C241,'TL07'!$J$10:$J$224),0),
IF('TL07'!$B$229=P$3,SUMIF('TL07'!$C$238:$C$451,$C241,'TL07'!$J$238:$J$451),0),
IF('TL08'!$B$3=P$3,SUMIF('TL08'!$C$10:$C$224,$C241,'TL08'!$J$10:$J$224),0),
IF('TL08'!$B$229=P$3,SUMIF('TL08'!$C$238:$C$451,$C241,'TL08'!$J$238:$J$451),0),
IF('TL09'!$B$3=P$3,SUMIF('TL09'!$C$10:$C$224,$C241,'TL09'!$J$10:$J$224),0),
IF('TL09'!$B$229=P$3,SUMIF('TL09'!$C$238:$C$451,$C241,'TL09'!$J$238:$J$451),0),
IF('TL10'!$B$3=P$3,SUMIF('TL10'!$C$10:$C$224,$C241,'TL10'!$J$10:$J$224),0),
IF('TL10'!$B$229=P$3,SUMIF('TL10'!$C$238:$C$451,$C241,'TL10'!$J$238:$J$451),0),
IF('TL11'!$B$3=P$3,SUMIF('TL11'!$C$10:$C$224,$C241,'TL11'!$J$10:$J$224),0),
IF('TL11'!$B$229=P$3,SUMIF('TL11'!$C$238:$C$451,$C241,'TL11'!$J$238:$J$451),0),
IF('TL12'!$B$3=P$3,SUMIF('TL12'!$C$10:$C$224,$C241,'TL12'!$J$10:$J$224),0),
IF('TL12'!$B$229=P$3,SUMIF('TL12'!$C$238:$C$451,$C241,'TL12'!$J$238:$J$451),0),
IF('TL13'!$B$3=P$3,SUMIF('TL13'!$C$10:$C$224,$C241,'TL13'!$J$10:$J$224),0),
IF('TL13'!$B$229=P$3,SUMIF('TL13'!$C$238:$C$451,$C241,'TL13'!$J$238:$J$451),0),
IF('TL14'!$B$3=P$3,SUMIF('TL14'!$C$10:$C$224,$C241,'TL14'!$J$10:$J$224),0),
IF('TL14'!$B$229=P$3,SUMIF('TL14'!$C$238:$C$451,$C241,'TL14'!$J$238:$J$451),0),
IF('TL15'!$B$3=P$3,SUMIF('TL15'!$C$10:$C$224,$C241,'TL15'!$J$10:$J$224),0),
IF('TL15'!$B$229=P$3,SUMIF('TL15'!$C$238:$C$451,$C241,'TL15'!$J$238:$J$451),0),
IF('TL16'!$B$3=P$3,SUMIF('TL16'!$C$10:$C$224,$C241,'TL16'!$J$10:$J$224),0),
IF('TL16'!$B$229=P$3,SUMIF('TL16'!$C$238:$C$451,$C241,'TL16'!$J$238:$J$451),0),
IF('TL17'!$B$3=P$3,SUMIF('TL17'!$C$10:$C$224,$C241,'TL17'!$J$10:$J$224),0),
IF('TL17'!$B$229=P$3,SUMIF('TL17'!$C$238:$C$451,$C241,'TL17'!$J$238:$J$451),0),
IF('TL18'!$B$3=P$3,SUMIF('TL18'!$C$10:$C$224,$C241,'TL18'!$J$10:$J$224),0),
IF('TL18'!$B$229=P$3,SUMIF('TL18'!$C$238:$C$451,$C241,'TL18'!$J$238:$J$451),0),
IF('TL19'!$B$3=P$3,SUMIF('TL19'!$C$10:$C$224,$C241,'TL19'!$J$10:$J$224),0),
IF('TL19'!$B$229=P$3,SUMIF('TL19'!$C$238:$C$451,$C241,'TL19'!$J$238:$J$451),0)
),0)</f>
        <v/>
      </c>
      <c r="Q241" s="9">
        <f>IFERROR(SUM(
IF('TL01'!$B$3=Q$3,SUMIF('TL01'!$C$10:$C$224,$C241,'TL01'!$J$10:$J$224),0),
IF('TL01'!$B$229=Q$3,SUMIF('TL01'!$C$238:$C$451,$C241,'TL01'!$J$238:$J$451),0),
IF('TL02'!$B$3=Q$3,SUMIF('TL02'!$C$10:$C$224,$C241,'TL02'!$J$10:$J$224),0),
IF('TL02'!$B$229=Q$3,SUMIF('TL02'!$C$238:$C$451,$C241,'TL02'!$J$238:$J$451),0),
IF('TL03'!$B$3=Q$3,SUMIF('TL03'!$C$10:$C$224,$C241,'TL03'!$J$10:$J$224),0),
IF('TL03'!$B$229=Q$3,SUMIF('TL03'!$C$238:$C$451,$C241,'TL03'!$J$238:$J$451),0),
IF('TL04'!$B$3=Q$3,SUMIF('TL04'!$C$10:$C$224,$C241,'TL04'!$J$10:$J$224),0),
IF('TL04'!$B$229=Q$3,SUMIF('TL04'!$C$238:$C$451,$C241,'TL04'!$J$238:$J$451),0),
IF('TL05'!$B$3=Q$3,SUMIF('TL05'!$C$10:$C$224,$C241,'TL05'!$J$10:$J$224),0),
IF('TL05'!$B$229=Q$3,SUMIF('TL05'!$C$238:$C$451,$C241,'TL05'!$J$238:$J$451),0),
IF('TL06'!$B$3=Q$3,SUMIF('TL06'!$C$10:$C$224,$C241,'TL06'!$J$10:$J$224),0),
IF('TL06'!$B$229=Q$3,SUMIF('TL06'!$C$238:$C$451,$C241,'TL06'!$J$238:$J$451),0),
IF('TL07'!$B$3=Q$3,SUMIF('TL07'!$C$10:$C$224,$C241,'TL07'!$J$10:$J$224),0),
IF('TL07'!$B$229=Q$3,SUMIF('TL07'!$C$238:$C$451,$C241,'TL07'!$J$238:$J$451),0),
IF('TL08'!$B$3=Q$3,SUMIF('TL08'!$C$10:$C$224,$C241,'TL08'!$J$10:$J$224),0),
IF('TL08'!$B$229=Q$3,SUMIF('TL08'!$C$238:$C$451,$C241,'TL08'!$J$238:$J$451),0),
IF('TL09'!$B$3=Q$3,SUMIF('TL09'!$C$10:$C$224,$C241,'TL09'!$J$10:$J$224),0),
IF('TL09'!$B$229=Q$3,SUMIF('TL09'!$C$238:$C$451,$C241,'TL09'!$J$238:$J$451),0),
IF('TL10'!$B$3=Q$3,SUMIF('TL10'!$C$10:$C$224,$C241,'TL10'!$J$10:$J$224),0),
IF('TL10'!$B$229=Q$3,SUMIF('TL10'!$C$238:$C$451,$C241,'TL10'!$J$238:$J$451),0),
IF('TL11'!$B$3=Q$3,SUMIF('TL11'!$C$10:$C$224,$C241,'TL11'!$J$10:$J$224),0),
IF('TL11'!$B$229=Q$3,SUMIF('TL11'!$C$238:$C$451,$C241,'TL11'!$J$238:$J$451),0),
IF('TL12'!$B$3=Q$3,SUMIF('TL12'!$C$10:$C$224,$C241,'TL12'!$J$10:$J$224),0),
IF('TL12'!$B$229=Q$3,SUMIF('TL12'!$C$238:$C$451,$C241,'TL12'!$J$238:$J$451),0),
IF('TL13'!$B$3=Q$3,SUMIF('TL13'!$C$10:$C$224,$C241,'TL13'!$J$10:$J$224),0),
IF('TL13'!$B$229=Q$3,SUMIF('TL13'!$C$238:$C$451,$C241,'TL13'!$J$238:$J$451),0),
IF('TL14'!$B$3=Q$3,SUMIF('TL14'!$C$10:$C$224,$C241,'TL14'!$J$10:$J$224),0),
IF('TL14'!$B$229=Q$3,SUMIF('TL14'!$C$238:$C$451,$C241,'TL14'!$J$238:$J$451),0),
IF('TL15'!$B$3=Q$3,SUMIF('TL15'!$C$10:$C$224,$C241,'TL15'!$J$10:$J$224),0),
IF('TL15'!$B$229=Q$3,SUMIF('TL15'!$C$238:$C$451,$C241,'TL15'!$J$238:$J$451),0),
IF('TL16'!$B$3=Q$3,SUMIF('TL16'!$C$10:$C$224,$C241,'TL16'!$J$10:$J$224),0),
IF('TL16'!$B$229=Q$3,SUMIF('TL16'!$C$238:$C$451,$C241,'TL16'!$J$238:$J$451),0),
IF('TL17'!$B$3=Q$3,SUMIF('TL17'!$C$10:$C$224,$C241,'TL17'!$J$10:$J$224),0),
IF('TL17'!$B$229=Q$3,SUMIF('TL17'!$C$238:$C$451,$C241,'TL17'!$J$238:$J$451),0),
IF('TL18'!$B$3=Q$3,SUMIF('TL18'!$C$10:$C$224,$C241,'TL18'!$J$10:$J$224),0),
IF('TL18'!$B$229=Q$3,SUMIF('TL18'!$C$238:$C$451,$C241,'TL18'!$J$238:$J$451),0),
IF('TL19'!$B$3=Q$3,SUMIF('TL19'!$C$10:$C$224,$C241,'TL19'!$J$10:$J$224),0),
IF('TL19'!$B$229=Q$3,SUMIF('TL19'!$C$238:$C$451,$C241,'TL19'!$J$238:$J$451),0)
),0)</f>
        <v/>
      </c>
      <c r="R241" s="9">
        <f>IFERROR(
SUM(
SUMIF('TL01'!C:C,C241,'TL01'!J:J),
SUMIF('TL02'!C:C,C241,'TL02'!J:J),
SUMIF('TL03'!C:C,C241,'TL03'!J:J),
SUMIF('TL04'!C:C,C241,'TL04'!J:J),
SUMIF('TL05'!C:C,C241,'TL05'!J:J),
SUMIF('TL06'!C:C,C241,'TL06'!J:J),
SUMIF('TL07'!C:C,C241,'TL07'!J:J),
SUMIF('TL08'!C:C,C241,'TL08'!J:J),
SUMIF('TL09'!C:C,C241,'TL09'!J:J),
SUMIF('TL10'!C:C,C241,'TL10'!J:J),
SUMIF('TL11'!C:C,C241,'TL11'!J:J),
SUMIF('TL12'!C:C,C241,'TL12'!J:J),
SUMIF('TL13'!C:C,C241,'TL13'!J:J),
SUMIF('TL14'!C:C,C241,'TL14'!J:J),
SUMIF('TL15'!C:C,C241,'TL15'!J:J),
SUMIF('TL16'!C:C,C241,'TL16'!J:J),
SUMIF('TL17'!C:C,C241,'TL17'!J:J),
SUMIF('TL18'!C:C,C241,'TL18'!J:J),SUMIF('TL19'!C:C,C241,'TL19'!J:J))
,0)</f>
        <v/>
      </c>
      <c r="S241" s="17">
        <f>IFERROR(__xludf.DUMMYFUNCTION("IFERROR(VLOOKUP(C241,
IMPORTRANGE(""1wULbzX32WdYsx-lj2U3uUNBBe2INVIRDtcK0d-Dvl90"",
""26-27!C:G""),
5,
FALSE),
"""")"),64.60851000000001)</f>
        <v/>
      </c>
      <c r="T241" s="9" t="n"/>
      <c r="U241" s="92">
        <f>MAX(0,R241-T241)</f>
        <v/>
      </c>
      <c r="V241" s="93">
        <f>U241*S241</f>
        <v/>
      </c>
    </row>
    <row r="242" hidden="1" ht="15.75" customHeight="1" s="297">
      <c r="A242" s="119" t="inlineStr">
        <is>
          <t>BASF</t>
        </is>
      </c>
      <c r="B242" s="120" t="inlineStr">
        <is>
          <t>RC</t>
        </is>
      </c>
      <c r="C242" s="119" t="inlineStr">
        <is>
          <t>PIX HC</t>
        </is>
      </c>
      <c r="D242" s="119" t="inlineStr">
        <is>
          <t>CLORETO DE MEPIQUATE</t>
        </is>
      </c>
      <c r="E242" s="119" t="n">
        <v>250</v>
      </c>
      <c r="F242" s="4" t="n"/>
      <c r="G242" s="90">
        <f>HYPERLINK("https://www.google.com/search?q=" &amp; C242 &amp; "+bula+agrofit+pdf", "📄 Ver bula")</f>
        <v/>
      </c>
      <c r="H242" s="9">
        <f>IFERROR(__xludf.DUMMYFUNCTION("IFERROR(VLOOKUP(C242,
IMPORTRANGE(""1wULbzX32WdYsx-lj2U3uUNBBe2INVIRDtcK0d-Dvl90"",
""26-27!C:K""),
8,
FALSE),
"""")"),"")</f>
        <v/>
      </c>
      <c r="I242" s="121" t="inlineStr">
        <is>
          <t>4X5</t>
        </is>
      </c>
      <c r="J242" s="9">
        <f>IFERROR(SUM(
IF('TL01'!$B$3=J$3,SUMIF('TL01'!$C$10:$C$224,$C242,'TL01'!$J$10:$J$224),0),
IF('TL01'!$B$229=J$3,SUMIF('TL01'!$C$238:$C$451,$C242,'TL01'!$J$238:$J$451),0),
IF('TL02'!$B$3=J$3,SUMIF('TL02'!$C$10:$C$224,$C242,'TL02'!$J$10:$J$224),0),
IF('TL02'!$B$229=J$3,SUMIF('TL02'!$C$238:$C$451,$C242,'TL02'!$J$238:$J$451),0),
IF('TL03'!$B$3=J$3,SUMIF('TL03'!$C$10:$C$224,$C242,'TL03'!$J$10:$J$224),0),
IF('TL03'!$B$229=J$3,SUMIF('TL03'!$C$238:$C$451,$C242,'TL03'!$J$238:$J$451),0),
IF('TL04'!$B$3=J$3,SUMIF('TL04'!$C$10:$C$224,$C242,'TL04'!$J$10:$J$224),0),
IF('TL04'!$B$229=J$3,SUMIF('TL04'!$C$238:$C$451,$C242,'TL04'!$J$238:$J$451),0),
IF('TL05'!$B$3=J$3,SUMIF('TL05'!$C$10:$C$224,$C242,'TL05'!$J$10:$J$224),0),
IF('TL05'!$B$229=J$3,SUMIF('TL05'!$C$238:$C$451,$C242,'TL05'!$J$238:$J$451),0),
IF('TL06'!$B$3=J$3,SUMIF('TL06'!$C$10:$C$224,$C242,'TL06'!$J$10:$J$224),0),
IF('TL06'!$B$229=J$3,SUMIF('TL06'!$C$238:$C$451,$C242,'TL06'!$J$238:$J$451),0),
IF('TL07'!$B$3=J$3,SUMIF('TL07'!$C$10:$C$224,$C242,'TL07'!$J$10:$J$224),0),
IF('TL07'!$B$229=J$3,SUMIF('TL07'!$C$238:$C$451,$C242,'TL07'!$J$238:$J$451),0),
IF('TL08'!$B$3=J$3,SUMIF('TL08'!$C$10:$C$224,$C242,'TL08'!$J$10:$J$224),0),
IF('TL08'!$B$229=J$3,SUMIF('TL08'!$C$238:$C$451,$C242,'TL08'!$J$238:$J$451),0),
IF('TL09'!$B$3=J$3,SUMIF('TL09'!$C$10:$C$224,$C242,'TL09'!$J$10:$J$224),0),
IF('TL09'!$B$229=J$3,SUMIF('TL09'!$C$238:$C$451,$C242,'TL09'!$J$238:$J$451),0),
IF('TL10'!$B$3=J$3,SUMIF('TL10'!$C$10:$C$224,$C242,'TL10'!$J$10:$J$224),0),
IF('TL10'!$B$229=J$3,SUMIF('TL10'!$C$238:$C$451,$C242,'TL10'!$J$238:$J$451),0),
IF('TL11'!$B$3=J$3,SUMIF('TL11'!$C$10:$C$224,$C242,'TL11'!$J$10:$J$224),0),
IF('TL11'!$B$229=J$3,SUMIF('TL11'!$C$238:$C$451,$C242,'TL11'!$J$238:$J$451),0),
IF('TL12'!$B$3=J$3,SUMIF('TL12'!$C$10:$C$224,$C242,'TL12'!$J$10:$J$224),0),
IF('TL12'!$B$229=J$3,SUMIF('TL12'!$C$238:$C$451,$C242,'TL12'!$J$238:$J$451),0),
IF('TL13'!$B$3=J$3,SUMIF('TL13'!$C$10:$C$224,$C242,'TL13'!$J$10:$J$224),0),
IF('TL13'!$B$229=J$3,SUMIF('TL13'!$C$238:$C$451,$C242,'TL13'!$J$238:$J$451),0),
IF('TL14'!$B$3=J$3,SUMIF('TL14'!$C$10:$C$224,$C242,'TL14'!$J$10:$J$224),0),
IF('TL14'!$B$229=J$3,SUMIF('TL14'!$C$238:$C$451,$C242,'TL14'!$J$238:$J$451),0),
IF('TL15'!$B$3=J$3,SUMIF('TL15'!$C$10:$C$224,$C242,'TL15'!$J$10:$J$224),0),
IF('TL15'!$B$229=J$3,SUMIF('TL15'!$C$238:$C$451,$C242,'TL15'!$J$238:$J$451),0),
IF('TL16'!$B$3=J$3,SUMIF('TL16'!$C$10:$C$224,$C242,'TL16'!$J$10:$J$224),0),
IF('TL16'!$B$229=J$3,SUMIF('TL16'!$C$238:$C$451,$C242,'TL16'!$J$238:$J$451),0),
IF('TL17'!$B$3=J$3,SUMIF('TL17'!$C$10:$C$224,$C242,'TL17'!$J$10:$J$224),0),
IF('TL17'!$B$229=J$3,SUMIF('TL17'!$C$238:$C$451,$C242,'TL17'!$J$238:$J$451),0),
IF('TL18'!$B$3=J$3,SUMIF('TL18'!$C$10:$C$224,$C242,'TL18'!$J$10:$J$224),0),
IF('TL18'!$B$229=J$3,SUMIF('TL18'!$C$238:$C$451,$C242,'TL18'!$J$238:$J$451),0),
IF('TL19'!$B$3=J$3,SUMIF('TL19'!$C$10:$C$224,$C242,'TL19'!$J$10:$J$224),0),
IF('TL19'!$B$229=J$3,SUMIF('TL19'!$C$238:$C$451,$C242,'TL19'!$J$238:$J$451),0)
),0)</f>
        <v/>
      </c>
      <c r="K242" s="9">
        <f>IFERROR(SUM(
IF('TL01'!$B$3=K$3,SUMIF('TL01'!$C$10:$C$224,$C242,'TL01'!$J$10:$J$224),0),
IF('TL01'!$B$229=K$3,SUMIF('TL01'!$C$238:$C$451,$C242,'TL01'!$J$238:$J$451),0),
IF('TL02'!$B$3=K$3,SUMIF('TL02'!$C$10:$C$224,$C242,'TL02'!$J$10:$J$224),0),
IF('TL02'!$B$229=K$3,SUMIF('TL02'!$C$238:$C$451,$C242,'TL02'!$J$238:$J$451),0),
IF('TL03'!$B$3=K$3,SUMIF('TL03'!$C$10:$C$224,$C242,'TL03'!$J$10:$J$224),0),
IF('TL03'!$B$229=K$3,SUMIF('TL03'!$C$238:$C$451,$C242,'TL03'!$J$238:$J$451),0),
IF('TL04'!$B$3=K$3,SUMIF('TL04'!$C$10:$C$224,$C242,'TL04'!$J$10:$J$224),0),
IF('TL04'!$B$229=K$3,SUMIF('TL04'!$C$238:$C$451,$C242,'TL04'!$J$238:$J$451),0),
IF('TL05'!$B$3=K$3,SUMIF('TL05'!$C$10:$C$224,$C242,'TL05'!$J$10:$J$224),0),
IF('TL05'!$B$229=K$3,SUMIF('TL05'!$C$238:$C$451,$C242,'TL05'!$J$238:$J$451),0),
IF('TL06'!$B$3=K$3,SUMIF('TL06'!$C$10:$C$224,$C242,'TL06'!$J$10:$J$224),0),
IF('TL06'!$B$229=K$3,SUMIF('TL06'!$C$238:$C$451,$C242,'TL06'!$J$238:$J$451),0),
IF('TL07'!$B$3=K$3,SUMIF('TL07'!$C$10:$C$224,$C242,'TL07'!$J$10:$J$224),0),
IF('TL07'!$B$229=K$3,SUMIF('TL07'!$C$238:$C$451,$C242,'TL07'!$J$238:$J$451),0),
IF('TL08'!$B$3=K$3,SUMIF('TL08'!$C$10:$C$224,$C242,'TL08'!$J$10:$J$224),0),
IF('TL08'!$B$229=K$3,SUMIF('TL08'!$C$238:$C$451,$C242,'TL08'!$J$238:$J$451),0),
IF('TL09'!$B$3=K$3,SUMIF('TL09'!$C$10:$C$224,$C242,'TL09'!$J$10:$J$224),0),
IF('TL09'!$B$229=K$3,SUMIF('TL09'!$C$238:$C$451,$C242,'TL09'!$J$238:$J$451),0),
IF('TL10'!$B$3=K$3,SUMIF('TL10'!$C$10:$C$224,$C242,'TL10'!$J$10:$J$224),0),
IF('TL10'!$B$229=K$3,SUMIF('TL10'!$C$238:$C$451,$C242,'TL10'!$J$238:$J$451),0),
IF('TL11'!$B$3=K$3,SUMIF('TL11'!$C$10:$C$224,$C242,'TL11'!$J$10:$J$224),0),
IF('TL11'!$B$229=K$3,SUMIF('TL11'!$C$238:$C$451,$C242,'TL11'!$J$238:$J$451),0),
IF('TL12'!$B$3=K$3,SUMIF('TL12'!$C$10:$C$224,$C242,'TL12'!$J$10:$J$224),0),
IF('TL12'!$B$229=K$3,SUMIF('TL12'!$C$238:$C$451,$C242,'TL12'!$J$238:$J$451),0),
IF('TL13'!$B$3=K$3,SUMIF('TL13'!$C$10:$C$224,$C242,'TL13'!$J$10:$J$224),0),
IF('TL13'!$B$229=K$3,SUMIF('TL13'!$C$238:$C$451,$C242,'TL13'!$J$238:$J$451),0),
IF('TL14'!$B$3=K$3,SUMIF('TL14'!$C$10:$C$224,$C242,'TL14'!$J$10:$J$224),0),
IF('TL14'!$B$229=K$3,SUMIF('TL14'!$C$238:$C$451,$C242,'TL14'!$J$238:$J$451),0),
IF('TL15'!$B$3=K$3,SUMIF('TL15'!$C$10:$C$224,$C242,'TL15'!$J$10:$J$224),0),
IF('TL15'!$B$229=K$3,SUMIF('TL15'!$C$238:$C$451,$C242,'TL15'!$J$238:$J$451),0),
IF('TL16'!$B$3=K$3,SUMIF('TL16'!$C$10:$C$224,$C242,'TL16'!$J$10:$J$224),0),
IF('TL16'!$B$229=K$3,SUMIF('TL16'!$C$238:$C$451,$C242,'TL16'!$J$238:$J$451),0),
IF('TL17'!$B$3=K$3,SUMIF('TL17'!$C$10:$C$224,$C242,'TL17'!$J$10:$J$224),0),
IF('TL17'!$B$229=K$3,SUMIF('TL17'!$C$238:$C$451,$C242,'TL17'!$J$238:$J$451),0),
IF('TL18'!$B$3=K$3,SUMIF('TL18'!$C$10:$C$224,$C242,'TL18'!$J$10:$J$224),0),
IF('TL18'!$B$229=K$3,SUMIF('TL18'!$C$238:$C$451,$C242,'TL18'!$J$238:$J$451),0),
IF('TL19'!$B$3=K$3,SUMIF('TL19'!$C$10:$C$224,$C242,'TL19'!$J$10:$J$224),0),
IF('TL19'!$B$229=K$3,SUMIF('TL19'!$C$238:$C$451,$C242,'TL19'!$J$238:$J$451),0)
),0)</f>
        <v/>
      </c>
      <c r="L242" s="9">
        <f>IFERROR(SUM(
IF('TL01'!$B$3=L$3,SUMIF('TL01'!$C$10:$C$224,$C242,'TL01'!$J$10:$J$224),0),
IF('TL01'!$B$229=L$3,SUMIF('TL01'!$C$238:$C$451,$C242,'TL01'!$J$238:$J$451),0),
IF('TL02'!$B$3=L$3,SUMIF('TL02'!$C$10:$C$224,$C242,'TL02'!$J$10:$J$224),0),
IF('TL02'!$B$229=L$3,SUMIF('TL02'!$C$238:$C$451,$C242,'TL02'!$J$238:$J$451),0),
IF('TL03'!$B$3=L$3,SUMIF('TL03'!$C$10:$C$224,$C242,'TL03'!$J$10:$J$224),0),
IF('TL03'!$B$229=L$3,SUMIF('TL03'!$C$238:$C$451,$C242,'TL03'!$J$238:$J$451),0),
IF('TL04'!$B$3=L$3,SUMIF('TL04'!$C$10:$C$224,$C242,'TL04'!$J$10:$J$224),0),
IF('TL04'!$B$229=L$3,SUMIF('TL04'!$C$238:$C$451,$C242,'TL04'!$J$238:$J$451),0),
IF('TL05'!$B$3=L$3,SUMIF('TL05'!$C$10:$C$224,$C242,'TL05'!$J$10:$J$224),0),
IF('TL05'!$B$229=L$3,SUMIF('TL05'!$C$238:$C$451,$C242,'TL05'!$J$238:$J$451),0),
IF('TL06'!$B$3=L$3,SUMIF('TL06'!$C$10:$C$224,$C242,'TL06'!$J$10:$J$224),0),
IF('TL06'!$B$229=L$3,SUMIF('TL06'!$C$238:$C$451,$C242,'TL06'!$J$238:$J$451),0),
IF('TL07'!$B$3=L$3,SUMIF('TL07'!$C$10:$C$224,$C242,'TL07'!$J$10:$J$224),0),
IF('TL07'!$B$229=L$3,SUMIF('TL07'!$C$238:$C$451,$C242,'TL07'!$J$238:$J$451),0),
IF('TL08'!$B$3=L$3,SUMIF('TL08'!$C$10:$C$224,$C242,'TL08'!$J$10:$J$224),0),
IF('TL08'!$B$229=L$3,SUMIF('TL08'!$C$238:$C$451,$C242,'TL08'!$J$238:$J$451),0),
IF('TL09'!$B$3=L$3,SUMIF('TL09'!$C$10:$C$224,$C242,'TL09'!$J$10:$J$224),0),
IF('TL09'!$B$229=L$3,SUMIF('TL09'!$C$238:$C$451,$C242,'TL09'!$J$238:$J$451),0),
IF('TL10'!$B$3=L$3,SUMIF('TL10'!$C$10:$C$224,$C242,'TL10'!$J$10:$J$224),0),
IF('TL10'!$B$229=L$3,SUMIF('TL10'!$C$238:$C$451,$C242,'TL10'!$J$238:$J$451),0),
IF('TL11'!$B$3=L$3,SUMIF('TL11'!$C$10:$C$224,$C242,'TL11'!$J$10:$J$224),0),
IF('TL11'!$B$229=L$3,SUMIF('TL11'!$C$238:$C$451,$C242,'TL11'!$J$238:$J$451),0),
IF('TL12'!$B$3=L$3,SUMIF('TL12'!$C$10:$C$224,$C242,'TL12'!$J$10:$J$224),0),
IF('TL12'!$B$229=L$3,SUMIF('TL12'!$C$238:$C$451,$C242,'TL12'!$J$238:$J$451),0),
IF('TL13'!$B$3=L$3,SUMIF('TL13'!$C$10:$C$224,$C242,'TL13'!$J$10:$J$224),0),
IF('TL13'!$B$229=L$3,SUMIF('TL13'!$C$238:$C$451,$C242,'TL13'!$J$238:$J$451),0),
IF('TL14'!$B$3=L$3,SUMIF('TL14'!$C$10:$C$224,$C242,'TL14'!$J$10:$J$224),0),
IF('TL14'!$B$229=L$3,SUMIF('TL14'!$C$238:$C$451,$C242,'TL14'!$J$238:$J$451),0),
IF('TL15'!$B$3=L$3,SUMIF('TL15'!$C$10:$C$224,$C242,'TL15'!$J$10:$J$224),0),
IF('TL15'!$B$229=L$3,SUMIF('TL15'!$C$238:$C$451,$C242,'TL15'!$J$238:$J$451),0),
IF('TL16'!$B$3=L$3,SUMIF('TL16'!$C$10:$C$224,$C242,'TL16'!$J$10:$J$224),0),
IF('TL16'!$B$229=L$3,SUMIF('TL16'!$C$238:$C$451,$C242,'TL16'!$J$238:$J$451),0),
IF('TL17'!$B$3=L$3,SUMIF('TL17'!$C$10:$C$224,$C242,'TL17'!$J$10:$J$224),0),
IF('TL17'!$B$229=L$3,SUMIF('TL17'!$C$238:$C$451,$C242,'TL17'!$J$238:$J$451),0),
IF('TL18'!$B$3=L$3,SUMIF('TL18'!$C$10:$C$224,$C242,'TL18'!$J$10:$J$224),0),
IF('TL18'!$B$229=L$3,SUMIF('TL18'!$C$238:$C$451,$C242,'TL18'!$J$238:$J$451),0),
IF('TL19'!$B$3=L$3,SUMIF('TL19'!$C$10:$C$224,$C242,'TL19'!$J$10:$J$224),0),
IF('TL19'!$B$229=L$3,SUMIF('TL19'!$C$238:$C$451,$C242,'TL19'!$J$238:$J$451),0)
),0)</f>
        <v/>
      </c>
      <c r="M242" s="9">
        <f>IFERROR(SUM(
IF('TL01'!$B$3=M$3,SUMIF('TL01'!$C$10:$C$224,$C242,'TL01'!$J$10:$J$224),0),
IF('TL01'!$B$229=M$3,SUMIF('TL01'!$C$238:$C$451,$C242,'TL01'!$J$238:$J$451),0),
IF('TL02'!$B$3=M$3,SUMIF('TL02'!$C$10:$C$224,$C242,'TL02'!$J$10:$J$224),0),
IF('TL02'!$B$229=M$3,SUMIF('TL02'!$C$238:$C$451,$C242,'TL02'!$J$238:$J$451),0),
IF('TL03'!$B$3=M$3,SUMIF('TL03'!$C$10:$C$224,$C242,'TL03'!$J$10:$J$224),0),
IF('TL03'!$B$229=M$3,SUMIF('TL03'!$C$238:$C$451,$C242,'TL03'!$J$238:$J$451),0),
IF('TL04'!$B$3=M$3,SUMIF('TL04'!$C$10:$C$224,$C242,'TL04'!$J$10:$J$224),0),
IF('TL04'!$B$229=M$3,SUMIF('TL04'!$C$238:$C$451,$C242,'TL04'!$J$238:$J$451),0),
IF('TL05'!$B$3=M$3,SUMIF('TL05'!$C$10:$C$224,$C242,'TL05'!$J$10:$J$224),0),
IF('TL05'!$B$229=M$3,SUMIF('TL05'!$C$238:$C$451,$C242,'TL05'!$J$238:$J$451),0),
IF('TL06'!$B$3=M$3,SUMIF('TL06'!$C$10:$C$224,$C242,'TL06'!$J$10:$J$224),0),
IF('TL06'!$B$229=M$3,SUMIF('TL06'!$C$238:$C$451,$C242,'TL06'!$J$238:$J$451),0),
IF('TL07'!$B$3=M$3,SUMIF('TL07'!$C$10:$C$224,$C242,'TL07'!$J$10:$J$224),0),
IF('TL07'!$B$229=M$3,SUMIF('TL07'!$C$238:$C$451,$C242,'TL07'!$J$238:$J$451),0),
IF('TL08'!$B$3=M$3,SUMIF('TL08'!$C$10:$C$224,$C242,'TL08'!$J$10:$J$224),0),
IF('TL08'!$B$229=M$3,SUMIF('TL08'!$C$238:$C$451,$C242,'TL08'!$J$238:$J$451),0),
IF('TL09'!$B$3=M$3,SUMIF('TL09'!$C$10:$C$224,$C242,'TL09'!$J$10:$J$224),0),
IF('TL09'!$B$229=M$3,SUMIF('TL09'!$C$238:$C$451,$C242,'TL09'!$J$238:$J$451),0),
IF('TL10'!$B$3=M$3,SUMIF('TL10'!$C$10:$C$224,$C242,'TL10'!$J$10:$J$224),0),
IF('TL10'!$B$229=M$3,SUMIF('TL10'!$C$238:$C$451,$C242,'TL10'!$J$238:$J$451),0),
IF('TL11'!$B$3=M$3,SUMIF('TL11'!$C$10:$C$224,$C242,'TL11'!$J$10:$J$224),0),
IF('TL11'!$B$229=M$3,SUMIF('TL11'!$C$238:$C$451,$C242,'TL11'!$J$238:$J$451),0),
IF('TL12'!$B$3=M$3,SUMIF('TL12'!$C$10:$C$224,$C242,'TL12'!$J$10:$J$224),0),
IF('TL12'!$B$229=M$3,SUMIF('TL12'!$C$238:$C$451,$C242,'TL12'!$J$238:$J$451),0),
IF('TL13'!$B$3=M$3,SUMIF('TL13'!$C$10:$C$224,$C242,'TL13'!$J$10:$J$224),0),
IF('TL13'!$B$229=M$3,SUMIF('TL13'!$C$238:$C$451,$C242,'TL13'!$J$238:$J$451),0),
IF('TL14'!$B$3=M$3,SUMIF('TL14'!$C$10:$C$224,$C242,'TL14'!$J$10:$J$224),0),
IF('TL14'!$B$229=M$3,SUMIF('TL14'!$C$238:$C$451,$C242,'TL14'!$J$238:$J$451),0),
IF('TL15'!$B$3=M$3,SUMIF('TL15'!$C$10:$C$224,$C242,'TL15'!$J$10:$J$224),0),
IF('TL15'!$B$229=M$3,SUMIF('TL15'!$C$238:$C$451,$C242,'TL15'!$J$238:$J$451),0),
IF('TL16'!$B$3=M$3,SUMIF('TL16'!$C$10:$C$224,$C242,'TL16'!$J$10:$J$224),0),
IF('TL16'!$B$229=M$3,SUMIF('TL16'!$C$238:$C$451,$C242,'TL16'!$J$238:$J$451),0),
IF('TL17'!$B$3=M$3,SUMIF('TL17'!$C$10:$C$224,$C242,'TL17'!$J$10:$J$224),0),
IF('TL17'!$B$229=M$3,SUMIF('TL17'!$C$238:$C$451,$C242,'TL17'!$J$238:$J$451),0),
IF('TL18'!$B$3=M$3,SUMIF('TL18'!$C$10:$C$224,$C242,'TL18'!$J$10:$J$224),0),
IF('TL18'!$B$229=M$3,SUMIF('TL18'!$C$238:$C$451,$C242,'TL18'!$J$238:$J$451),0),
IF('TL19'!$B$3=M$3,SUMIF('TL19'!$C$10:$C$224,$C242,'TL19'!$J$10:$J$224),0),
IF('TL19'!$B$229=M$3,SUMIF('TL19'!$C$238:$C$451,$C242,'TL19'!$J$238:$J$451),0)
),0)</f>
        <v/>
      </c>
      <c r="N242" s="9">
        <f>IFERROR(SUM(
IF('TL01'!$B$3=N$3,SUMIF('TL01'!$C$10:$C$224,$C242,'TL01'!$J$10:$J$224),0),
IF('TL01'!$B$229=N$3,SUMIF('TL01'!$C$238:$C$451,$C242,'TL01'!$J$238:$J$451),0),
IF('TL02'!$B$3=N$3,SUMIF('TL02'!$C$10:$C$224,$C242,'TL02'!$J$10:$J$224),0),
IF('TL02'!$B$229=N$3,SUMIF('TL02'!$C$238:$C$451,$C242,'TL02'!$J$238:$J$451),0),
IF('TL03'!$B$3=N$3,SUMIF('TL03'!$C$10:$C$224,$C242,'TL03'!$J$10:$J$224),0),
IF('TL03'!$B$229=N$3,SUMIF('TL03'!$C$238:$C$451,$C242,'TL03'!$J$238:$J$451),0),
IF('TL04'!$B$3=N$3,SUMIF('TL04'!$C$10:$C$224,$C242,'TL04'!$J$10:$J$224),0),
IF('TL04'!$B$229=N$3,SUMIF('TL04'!$C$238:$C$451,$C242,'TL04'!$J$238:$J$451),0),
IF('TL05'!$B$3=N$3,SUMIF('TL05'!$C$10:$C$224,$C242,'TL05'!$J$10:$J$224),0),
IF('TL05'!$B$229=N$3,SUMIF('TL05'!$C$238:$C$451,$C242,'TL05'!$J$238:$J$451),0),
IF('TL06'!$B$3=N$3,SUMIF('TL06'!$C$10:$C$224,$C242,'TL06'!$J$10:$J$224),0),
IF('TL06'!$B$229=N$3,SUMIF('TL06'!$C$238:$C$451,$C242,'TL06'!$J$238:$J$451),0),
IF('TL07'!$B$3=N$3,SUMIF('TL07'!$C$10:$C$224,$C242,'TL07'!$J$10:$J$224),0),
IF('TL07'!$B$229=N$3,SUMIF('TL07'!$C$238:$C$451,$C242,'TL07'!$J$238:$J$451),0),
IF('TL08'!$B$3=N$3,SUMIF('TL08'!$C$10:$C$224,$C242,'TL08'!$J$10:$J$224),0),
IF('TL08'!$B$229=N$3,SUMIF('TL08'!$C$238:$C$451,$C242,'TL08'!$J$238:$J$451),0),
IF('TL09'!$B$3=N$3,SUMIF('TL09'!$C$10:$C$224,$C242,'TL09'!$J$10:$J$224),0),
IF('TL09'!$B$229=N$3,SUMIF('TL09'!$C$238:$C$451,$C242,'TL09'!$J$238:$J$451),0),
IF('TL10'!$B$3=N$3,SUMIF('TL10'!$C$10:$C$224,$C242,'TL10'!$J$10:$J$224),0),
IF('TL10'!$B$229=N$3,SUMIF('TL10'!$C$238:$C$451,$C242,'TL10'!$J$238:$J$451),0),
IF('TL11'!$B$3=N$3,SUMIF('TL11'!$C$10:$C$224,$C242,'TL11'!$J$10:$J$224),0),
IF('TL11'!$B$229=N$3,SUMIF('TL11'!$C$238:$C$451,$C242,'TL11'!$J$238:$J$451),0),
IF('TL12'!$B$3=N$3,SUMIF('TL12'!$C$10:$C$224,$C242,'TL12'!$J$10:$J$224),0),
IF('TL12'!$B$229=N$3,SUMIF('TL12'!$C$238:$C$451,$C242,'TL12'!$J$238:$J$451),0),
IF('TL13'!$B$3=N$3,SUMIF('TL13'!$C$10:$C$224,$C242,'TL13'!$J$10:$J$224),0),
IF('TL13'!$B$229=N$3,SUMIF('TL13'!$C$238:$C$451,$C242,'TL13'!$J$238:$J$451),0),
IF('TL14'!$B$3=N$3,SUMIF('TL14'!$C$10:$C$224,$C242,'TL14'!$J$10:$J$224),0),
IF('TL14'!$B$229=N$3,SUMIF('TL14'!$C$238:$C$451,$C242,'TL14'!$J$238:$J$451),0),
IF('TL15'!$B$3=N$3,SUMIF('TL15'!$C$10:$C$224,$C242,'TL15'!$J$10:$J$224),0),
IF('TL15'!$B$229=N$3,SUMIF('TL15'!$C$238:$C$451,$C242,'TL15'!$J$238:$J$451),0),
IF('TL16'!$B$3=N$3,SUMIF('TL16'!$C$10:$C$224,$C242,'TL16'!$J$10:$J$224),0),
IF('TL16'!$B$229=N$3,SUMIF('TL16'!$C$238:$C$451,$C242,'TL16'!$J$238:$J$451),0),
IF('TL17'!$B$3=N$3,SUMIF('TL17'!$C$10:$C$224,$C242,'TL17'!$J$10:$J$224),0),
IF('TL17'!$B$229=N$3,SUMIF('TL17'!$C$238:$C$451,$C242,'TL17'!$J$238:$J$451),0),
IF('TL18'!$B$3=N$3,SUMIF('TL18'!$C$10:$C$224,$C242,'TL18'!$J$10:$J$224),0),
IF('TL18'!$B$229=N$3,SUMIF('TL18'!$C$238:$C$451,$C242,'TL18'!$J$238:$J$451),0),
IF('TL19'!$B$3=N$3,SUMIF('TL19'!$C$10:$C$224,$C242,'TL19'!$J$10:$J$224),0),
IF('TL19'!$B$229=N$3,SUMIF('TL19'!$C$238:$C$451,$C242,'TL19'!$J$238:$J$451),0)
),0)</f>
        <v/>
      </c>
      <c r="O242" s="9">
        <f>IFERROR(SUM(
IF('TL01'!$B$3=O$3,SUMIF('TL01'!$C$10:$C$224,$C242,'TL01'!$J$10:$J$224),0),
IF('TL01'!$B$229=O$3,SUMIF('TL01'!$C$238:$C$451,$C242,'TL01'!$J$238:$J$451),0),
IF('TL02'!$B$3=O$3,SUMIF('TL02'!$C$10:$C$224,$C242,'TL02'!$J$10:$J$224),0),
IF('TL02'!$B$229=O$3,SUMIF('TL02'!$C$238:$C$451,$C242,'TL02'!$J$238:$J$451),0),
IF('TL03'!$B$3=O$3,SUMIF('TL03'!$C$10:$C$224,$C242,'TL03'!$J$10:$J$224),0),
IF('TL03'!$B$229=O$3,SUMIF('TL03'!$C$238:$C$451,$C242,'TL03'!$J$238:$J$451),0),
IF('TL04'!$B$3=O$3,SUMIF('TL04'!$C$10:$C$224,$C242,'TL04'!$J$10:$J$224),0),
IF('TL04'!$B$229=O$3,SUMIF('TL04'!$C$238:$C$451,$C242,'TL04'!$J$238:$J$451),0),
IF('TL05'!$B$3=O$3,SUMIF('TL05'!$C$10:$C$224,$C242,'TL05'!$J$10:$J$224),0),
IF('TL05'!$B$229=O$3,SUMIF('TL05'!$C$238:$C$451,$C242,'TL05'!$J$238:$J$451),0),
IF('TL06'!$B$3=O$3,SUMIF('TL06'!$C$10:$C$224,$C242,'TL06'!$J$10:$J$224),0),
IF('TL06'!$B$229=O$3,SUMIF('TL06'!$C$238:$C$451,$C242,'TL06'!$J$238:$J$451),0),
IF('TL07'!$B$3=O$3,SUMIF('TL07'!$C$10:$C$224,$C242,'TL07'!$J$10:$J$224),0),
IF('TL07'!$B$229=O$3,SUMIF('TL07'!$C$238:$C$451,$C242,'TL07'!$J$238:$J$451),0),
IF('TL08'!$B$3=O$3,SUMIF('TL08'!$C$10:$C$224,$C242,'TL08'!$J$10:$J$224),0),
IF('TL08'!$B$229=O$3,SUMIF('TL08'!$C$238:$C$451,$C242,'TL08'!$J$238:$J$451),0),
IF('TL09'!$B$3=O$3,SUMIF('TL09'!$C$10:$C$224,$C242,'TL09'!$J$10:$J$224),0),
IF('TL09'!$B$229=O$3,SUMIF('TL09'!$C$238:$C$451,$C242,'TL09'!$J$238:$J$451),0),
IF('TL10'!$B$3=O$3,SUMIF('TL10'!$C$10:$C$224,$C242,'TL10'!$J$10:$J$224),0),
IF('TL10'!$B$229=O$3,SUMIF('TL10'!$C$238:$C$451,$C242,'TL10'!$J$238:$J$451),0),
IF('TL11'!$B$3=O$3,SUMIF('TL11'!$C$10:$C$224,$C242,'TL11'!$J$10:$J$224),0),
IF('TL11'!$B$229=O$3,SUMIF('TL11'!$C$238:$C$451,$C242,'TL11'!$J$238:$J$451),0),
IF('TL12'!$B$3=O$3,SUMIF('TL12'!$C$10:$C$224,$C242,'TL12'!$J$10:$J$224),0),
IF('TL12'!$B$229=O$3,SUMIF('TL12'!$C$238:$C$451,$C242,'TL12'!$J$238:$J$451),0),
IF('TL13'!$B$3=O$3,SUMIF('TL13'!$C$10:$C$224,$C242,'TL13'!$J$10:$J$224),0),
IF('TL13'!$B$229=O$3,SUMIF('TL13'!$C$238:$C$451,$C242,'TL13'!$J$238:$J$451),0),
IF('TL14'!$B$3=O$3,SUMIF('TL14'!$C$10:$C$224,$C242,'TL14'!$J$10:$J$224),0),
IF('TL14'!$B$229=O$3,SUMIF('TL14'!$C$238:$C$451,$C242,'TL14'!$J$238:$J$451),0),
IF('TL15'!$B$3=O$3,SUMIF('TL15'!$C$10:$C$224,$C242,'TL15'!$J$10:$J$224),0),
IF('TL15'!$B$229=O$3,SUMIF('TL15'!$C$238:$C$451,$C242,'TL15'!$J$238:$J$451),0),
IF('TL16'!$B$3=O$3,SUMIF('TL16'!$C$10:$C$224,$C242,'TL16'!$J$10:$J$224),0),
IF('TL16'!$B$229=O$3,SUMIF('TL16'!$C$238:$C$451,$C242,'TL16'!$J$238:$J$451),0),
IF('TL17'!$B$3=O$3,SUMIF('TL17'!$C$10:$C$224,$C242,'TL17'!$J$10:$J$224),0),
IF('TL17'!$B$229=O$3,SUMIF('TL17'!$C$238:$C$451,$C242,'TL17'!$J$238:$J$451),0),
IF('TL18'!$B$3=O$3,SUMIF('TL18'!$C$10:$C$224,$C242,'TL18'!$J$10:$J$224),0),
IF('TL18'!$B$229=O$3,SUMIF('TL18'!$C$238:$C$451,$C242,'TL18'!$J$238:$J$451),0),
IF('TL19'!$B$3=O$3,SUMIF('TL19'!$C$10:$C$224,$C242,'TL19'!$J$10:$J$224),0),
IF('TL19'!$B$229=O$3,SUMIF('TL19'!$C$238:$C$451,$C242,'TL19'!$J$238:$J$451),0)
),0)</f>
        <v/>
      </c>
      <c r="P242" s="9">
        <f>IFERROR(SUM(
IF('TL01'!$B$3=P$3,SUMIF('TL01'!$C$10:$C$224,$C242,'TL01'!$J$10:$J$224),0),
IF('TL01'!$B$229=P$3,SUMIF('TL01'!$C$238:$C$451,$C242,'TL01'!$J$238:$J$451),0),
IF('TL02'!$B$3=P$3,SUMIF('TL02'!$C$10:$C$224,$C242,'TL02'!$J$10:$J$224),0),
IF('TL02'!$B$229=P$3,SUMIF('TL02'!$C$238:$C$451,$C242,'TL02'!$J$238:$J$451),0),
IF('TL03'!$B$3=P$3,SUMIF('TL03'!$C$10:$C$224,$C242,'TL03'!$J$10:$J$224),0),
IF('TL03'!$B$229=P$3,SUMIF('TL03'!$C$238:$C$451,$C242,'TL03'!$J$238:$J$451),0),
IF('TL04'!$B$3=P$3,SUMIF('TL04'!$C$10:$C$224,$C242,'TL04'!$J$10:$J$224),0),
IF('TL04'!$B$229=P$3,SUMIF('TL04'!$C$238:$C$451,$C242,'TL04'!$J$238:$J$451),0),
IF('TL05'!$B$3=P$3,SUMIF('TL05'!$C$10:$C$224,$C242,'TL05'!$J$10:$J$224),0),
IF('TL05'!$B$229=P$3,SUMIF('TL05'!$C$238:$C$451,$C242,'TL05'!$J$238:$J$451),0),
IF('TL06'!$B$3=P$3,SUMIF('TL06'!$C$10:$C$224,$C242,'TL06'!$J$10:$J$224),0),
IF('TL06'!$B$229=P$3,SUMIF('TL06'!$C$238:$C$451,$C242,'TL06'!$J$238:$J$451),0),
IF('TL07'!$B$3=P$3,SUMIF('TL07'!$C$10:$C$224,$C242,'TL07'!$J$10:$J$224),0),
IF('TL07'!$B$229=P$3,SUMIF('TL07'!$C$238:$C$451,$C242,'TL07'!$J$238:$J$451),0),
IF('TL08'!$B$3=P$3,SUMIF('TL08'!$C$10:$C$224,$C242,'TL08'!$J$10:$J$224),0),
IF('TL08'!$B$229=P$3,SUMIF('TL08'!$C$238:$C$451,$C242,'TL08'!$J$238:$J$451),0),
IF('TL09'!$B$3=P$3,SUMIF('TL09'!$C$10:$C$224,$C242,'TL09'!$J$10:$J$224),0),
IF('TL09'!$B$229=P$3,SUMIF('TL09'!$C$238:$C$451,$C242,'TL09'!$J$238:$J$451),0),
IF('TL10'!$B$3=P$3,SUMIF('TL10'!$C$10:$C$224,$C242,'TL10'!$J$10:$J$224),0),
IF('TL10'!$B$229=P$3,SUMIF('TL10'!$C$238:$C$451,$C242,'TL10'!$J$238:$J$451),0),
IF('TL11'!$B$3=P$3,SUMIF('TL11'!$C$10:$C$224,$C242,'TL11'!$J$10:$J$224),0),
IF('TL11'!$B$229=P$3,SUMIF('TL11'!$C$238:$C$451,$C242,'TL11'!$J$238:$J$451),0),
IF('TL12'!$B$3=P$3,SUMIF('TL12'!$C$10:$C$224,$C242,'TL12'!$J$10:$J$224),0),
IF('TL12'!$B$229=P$3,SUMIF('TL12'!$C$238:$C$451,$C242,'TL12'!$J$238:$J$451),0),
IF('TL13'!$B$3=P$3,SUMIF('TL13'!$C$10:$C$224,$C242,'TL13'!$J$10:$J$224),0),
IF('TL13'!$B$229=P$3,SUMIF('TL13'!$C$238:$C$451,$C242,'TL13'!$J$238:$J$451),0),
IF('TL14'!$B$3=P$3,SUMIF('TL14'!$C$10:$C$224,$C242,'TL14'!$J$10:$J$224),0),
IF('TL14'!$B$229=P$3,SUMIF('TL14'!$C$238:$C$451,$C242,'TL14'!$J$238:$J$451),0),
IF('TL15'!$B$3=P$3,SUMIF('TL15'!$C$10:$C$224,$C242,'TL15'!$J$10:$J$224),0),
IF('TL15'!$B$229=P$3,SUMIF('TL15'!$C$238:$C$451,$C242,'TL15'!$J$238:$J$451),0),
IF('TL16'!$B$3=P$3,SUMIF('TL16'!$C$10:$C$224,$C242,'TL16'!$J$10:$J$224),0),
IF('TL16'!$B$229=P$3,SUMIF('TL16'!$C$238:$C$451,$C242,'TL16'!$J$238:$J$451),0),
IF('TL17'!$B$3=P$3,SUMIF('TL17'!$C$10:$C$224,$C242,'TL17'!$J$10:$J$224),0),
IF('TL17'!$B$229=P$3,SUMIF('TL17'!$C$238:$C$451,$C242,'TL17'!$J$238:$J$451),0),
IF('TL18'!$B$3=P$3,SUMIF('TL18'!$C$10:$C$224,$C242,'TL18'!$J$10:$J$224),0),
IF('TL18'!$B$229=P$3,SUMIF('TL18'!$C$238:$C$451,$C242,'TL18'!$J$238:$J$451),0),
IF('TL19'!$B$3=P$3,SUMIF('TL19'!$C$10:$C$224,$C242,'TL19'!$J$10:$J$224),0),
IF('TL19'!$B$229=P$3,SUMIF('TL19'!$C$238:$C$451,$C242,'TL19'!$J$238:$J$451),0)
),0)</f>
        <v/>
      </c>
      <c r="Q242" s="9">
        <f>IFERROR(SUM(
IF('TL01'!$B$3=Q$3,SUMIF('TL01'!$C$10:$C$224,$C242,'TL01'!$J$10:$J$224),0),
IF('TL01'!$B$229=Q$3,SUMIF('TL01'!$C$238:$C$451,$C242,'TL01'!$J$238:$J$451),0),
IF('TL02'!$B$3=Q$3,SUMIF('TL02'!$C$10:$C$224,$C242,'TL02'!$J$10:$J$224),0),
IF('TL02'!$B$229=Q$3,SUMIF('TL02'!$C$238:$C$451,$C242,'TL02'!$J$238:$J$451),0),
IF('TL03'!$B$3=Q$3,SUMIF('TL03'!$C$10:$C$224,$C242,'TL03'!$J$10:$J$224),0),
IF('TL03'!$B$229=Q$3,SUMIF('TL03'!$C$238:$C$451,$C242,'TL03'!$J$238:$J$451),0),
IF('TL04'!$B$3=Q$3,SUMIF('TL04'!$C$10:$C$224,$C242,'TL04'!$J$10:$J$224),0),
IF('TL04'!$B$229=Q$3,SUMIF('TL04'!$C$238:$C$451,$C242,'TL04'!$J$238:$J$451),0),
IF('TL05'!$B$3=Q$3,SUMIF('TL05'!$C$10:$C$224,$C242,'TL05'!$J$10:$J$224),0),
IF('TL05'!$B$229=Q$3,SUMIF('TL05'!$C$238:$C$451,$C242,'TL05'!$J$238:$J$451),0),
IF('TL06'!$B$3=Q$3,SUMIF('TL06'!$C$10:$C$224,$C242,'TL06'!$J$10:$J$224),0),
IF('TL06'!$B$229=Q$3,SUMIF('TL06'!$C$238:$C$451,$C242,'TL06'!$J$238:$J$451),0),
IF('TL07'!$B$3=Q$3,SUMIF('TL07'!$C$10:$C$224,$C242,'TL07'!$J$10:$J$224),0),
IF('TL07'!$B$229=Q$3,SUMIF('TL07'!$C$238:$C$451,$C242,'TL07'!$J$238:$J$451),0),
IF('TL08'!$B$3=Q$3,SUMIF('TL08'!$C$10:$C$224,$C242,'TL08'!$J$10:$J$224),0),
IF('TL08'!$B$229=Q$3,SUMIF('TL08'!$C$238:$C$451,$C242,'TL08'!$J$238:$J$451),0),
IF('TL09'!$B$3=Q$3,SUMIF('TL09'!$C$10:$C$224,$C242,'TL09'!$J$10:$J$224),0),
IF('TL09'!$B$229=Q$3,SUMIF('TL09'!$C$238:$C$451,$C242,'TL09'!$J$238:$J$451),0),
IF('TL10'!$B$3=Q$3,SUMIF('TL10'!$C$10:$C$224,$C242,'TL10'!$J$10:$J$224),0),
IF('TL10'!$B$229=Q$3,SUMIF('TL10'!$C$238:$C$451,$C242,'TL10'!$J$238:$J$451),0),
IF('TL11'!$B$3=Q$3,SUMIF('TL11'!$C$10:$C$224,$C242,'TL11'!$J$10:$J$224),0),
IF('TL11'!$B$229=Q$3,SUMIF('TL11'!$C$238:$C$451,$C242,'TL11'!$J$238:$J$451),0),
IF('TL12'!$B$3=Q$3,SUMIF('TL12'!$C$10:$C$224,$C242,'TL12'!$J$10:$J$224),0),
IF('TL12'!$B$229=Q$3,SUMIF('TL12'!$C$238:$C$451,$C242,'TL12'!$J$238:$J$451),0),
IF('TL13'!$B$3=Q$3,SUMIF('TL13'!$C$10:$C$224,$C242,'TL13'!$J$10:$J$224),0),
IF('TL13'!$B$229=Q$3,SUMIF('TL13'!$C$238:$C$451,$C242,'TL13'!$J$238:$J$451),0),
IF('TL14'!$B$3=Q$3,SUMIF('TL14'!$C$10:$C$224,$C242,'TL14'!$J$10:$J$224),0),
IF('TL14'!$B$229=Q$3,SUMIF('TL14'!$C$238:$C$451,$C242,'TL14'!$J$238:$J$451),0),
IF('TL15'!$B$3=Q$3,SUMIF('TL15'!$C$10:$C$224,$C242,'TL15'!$J$10:$J$224),0),
IF('TL15'!$B$229=Q$3,SUMIF('TL15'!$C$238:$C$451,$C242,'TL15'!$J$238:$J$451),0),
IF('TL16'!$B$3=Q$3,SUMIF('TL16'!$C$10:$C$224,$C242,'TL16'!$J$10:$J$224),0),
IF('TL16'!$B$229=Q$3,SUMIF('TL16'!$C$238:$C$451,$C242,'TL16'!$J$238:$J$451),0),
IF('TL17'!$B$3=Q$3,SUMIF('TL17'!$C$10:$C$224,$C242,'TL17'!$J$10:$J$224),0),
IF('TL17'!$B$229=Q$3,SUMIF('TL17'!$C$238:$C$451,$C242,'TL17'!$J$238:$J$451),0),
IF('TL18'!$B$3=Q$3,SUMIF('TL18'!$C$10:$C$224,$C242,'TL18'!$J$10:$J$224),0),
IF('TL18'!$B$229=Q$3,SUMIF('TL18'!$C$238:$C$451,$C242,'TL18'!$J$238:$J$451),0),
IF('TL19'!$B$3=Q$3,SUMIF('TL19'!$C$10:$C$224,$C242,'TL19'!$J$10:$J$224),0),
IF('TL19'!$B$229=Q$3,SUMIF('TL19'!$C$238:$C$451,$C242,'TL19'!$J$238:$J$451),0)
),0)</f>
        <v/>
      </c>
      <c r="R242" s="9">
        <f>IFERROR(
SUM(
SUMIF('TL01'!C:C,C242,'TL01'!J:J),
SUMIF('TL02'!C:C,C242,'TL02'!J:J),
SUMIF('TL03'!C:C,C242,'TL03'!J:J),
SUMIF('TL04'!C:C,C242,'TL04'!J:J),
SUMIF('TL05'!C:C,C242,'TL05'!J:J),
SUMIF('TL06'!C:C,C242,'TL06'!J:J),
SUMIF('TL07'!C:C,C242,'TL07'!J:J),
SUMIF('TL08'!C:C,C242,'TL08'!J:J),
SUMIF('TL09'!C:C,C242,'TL09'!J:J),
SUMIF('TL10'!C:C,C242,'TL10'!J:J),
SUMIF('TL11'!C:C,C242,'TL11'!J:J),
SUMIF('TL12'!C:C,C242,'TL12'!J:J),
SUMIF('TL13'!C:C,C242,'TL13'!J:J),
SUMIF('TL14'!C:C,C242,'TL14'!J:J),
SUMIF('TL15'!C:C,C242,'TL15'!J:J),
SUMIF('TL16'!C:C,C242,'TL16'!J:J),
SUMIF('TL17'!C:C,C242,'TL17'!J:J),
SUMIF('TL18'!C:C,C242,'TL18'!J:J),SUMIF('TL19'!C:C,C242,'TL19'!J:J))
,0)</f>
        <v/>
      </c>
      <c r="S242" s="17">
        <f>IFERROR(__xludf.DUMMYFUNCTION("IFERROR(VLOOKUP(C242,
IMPORTRANGE(""1wULbzX32WdYsx-lj2U3uUNBBe2INVIRDtcK0d-Dvl90"",
""26-27!C:G""),
5,
FALSE),
"""")"),0.0)</f>
        <v/>
      </c>
      <c r="T242" s="9" t="n"/>
      <c r="U242" s="92">
        <f>MAX(0,R242-T242)</f>
        <v/>
      </c>
      <c r="V242" s="93">
        <f>U242*S242</f>
        <v/>
      </c>
    </row>
    <row r="243" hidden="1" ht="15.75" customHeight="1" s="297">
      <c r="A243" s="122" t="inlineStr">
        <is>
          <t>BAYER</t>
        </is>
      </c>
      <c r="B243" s="120" t="inlineStr">
        <is>
          <t>RC</t>
        </is>
      </c>
      <c r="C243" s="122" t="inlineStr">
        <is>
          <t>FINISH</t>
        </is>
      </c>
      <c r="D243" s="122" t="inlineStr">
        <is>
          <t>ETEFOM + CICLANILIDA</t>
        </is>
      </c>
      <c r="E243" s="122" t="inlineStr">
        <is>
          <t>480 + 60</t>
        </is>
      </c>
      <c r="F243" s="4" t="n"/>
      <c r="G243" s="90">
        <f>HYPERLINK("https://www.google.com/search?q=" &amp; C243 &amp; "+bula+agrofit+pdf", "📄 Ver bula")</f>
        <v/>
      </c>
      <c r="H243" s="9">
        <f>IFERROR(__xludf.DUMMYFUNCTION("IFERROR(VLOOKUP(C243,
IMPORTRANGE(""1wULbzX32WdYsx-lj2U3uUNBBe2INVIRDtcK0d-Dvl90"",
""26-27!C:K""),
8,
FALSE),
"""")"),"")</f>
        <v/>
      </c>
      <c r="I243" s="123" t="inlineStr">
        <is>
          <t>1x20</t>
        </is>
      </c>
      <c r="J243" s="9">
        <f>IFERROR(SUM(
IF('TL01'!$B$3=J$3,SUMIF('TL01'!$C$10:$C$224,$C243,'TL01'!$J$10:$J$224),0),
IF('TL01'!$B$229=J$3,SUMIF('TL01'!$C$238:$C$451,$C243,'TL01'!$J$238:$J$451),0),
IF('TL02'!$B$3=J$3,SUMIF('TL02'!$C$10:$C$224,$C243,'TL02'!$J$10:$J$224),0),
IF('TL02'!$B$229=J$3,SUMIF('TL02'!$C$238:$C$451,$C243,'TL02'!$J$238:$J$451),0),
IF('TL03'!$B$3=J$3,SUMIF('TL03'!$C$10:$C$224,$C243,'TL03'!$J$10:$J$224),0),
IF('TL03'!$B$229=J$3,SUMIF('TL03'!$C$238:$C$451,$C243,'TL03'!$J$238:$J$451),0),
IF('TL04'!$B$3=J$3,SUMIF('TL04'!$C$10:$C$224,$C243,'TL04'!$J$10:$J$224),0),
IF('TL04'!$B$229=J$3,SUMIF('TL04'!$C$238:$C$451,$C243,'TL04'!$J$238:$J$451),0),
IF('TL05'!$B$3=J$3,SUMIF('TL05'!$C$10:$C$224,$C243,'TL05'!$J$10:$J$224),0),
IF('TL05'!$B$229=J$3,SUMIF('TL05'!$C$238:$C$451,$C243,'TL05'!$J$238:$J$451),0),
IF('TL06'!$B$3=J$3,SUMIF('TL06'!$C$10:$C$224,$C243,'TL06'!$J$10:$J$224),0),
IF('TL06'!$B$229=J$3,SUMIF('TL06'!$C$238:$C$451,$C243,'TL06'!$J$238:$J$451),0),
IF('TL07'!$B$3=J$3,SUMIF('TL07'!$C$10:$C$224,$C243,'TL07'!$J$10:$J$224),0),
IF('TL07'!$B$229=J$3,SUMIF('TL07'!$C$238:$C$451,$C243,'TL07'!$J$238:$J$451),0),
IF('TL08'!$B$3=J$3,SUMIF('TL08'!$C$10:$C$224,$C243,'TL08'!$J$10:$J$224),0),
IF('TL08'!$B$229=J$3,SUMIF('TL08'!$C$238:$C$451,$C243,'TL08'!$J$238:$J$451),0),
IF('TL09'!$B$3=J$3,SUMIF('TL09'!$C$10:$C$224,$C243,'TL09'!$J$10:$J$224),0),
IF('TL09'!$B$229=J$3,SUMIF('TL09'!$C$238:$C$451,$C243,'TL09'!$J$238:$J$451),0),
IF('TL10'!$B$3=J$3,SUMIF('TL10'!$C$10:$C$224,$C243,'TL10'!$J$10:$J$224),0),
IF('TL10'!$B$229=J$3,SUMIF('TL10'!$C$238:$C$451,$C243,'TL10'!$J$238:$J$451),0),
IF('TL11'!$B$3=J$3,SUMIF('TL11'!$C$10:$C$224,$C243,'TL11'!$J$10:$J$224),0),
IF('TL11'!$B$229=J$3,SUMIF('TL11'!$C$238:$C$451,$C243,'TL11'!$J$238:$J$451),0),
IF('TL12'!$B$3=J$3,SUMIF('TL12'!$C$10:$C$224,$C243,'TL12'!$J$10:$J$224),0),
IF('TL12'!$B$229=J$3,SUMIF('TL12'!$C$238:$C$451,$C243,'TL12'!$J$238:$J$451),0),
IF('TL13'!$B$3=J$3,SUMIF('TL13'!$C$10:$C$224,$C243,'TL13'!$J$10:$J$224),0),
IF('TL13'!$B$229=J$3,SUMIF('TL13'!$C$238:$C$451,$C243,'TL13'!$J$238:$J$451),0),
IF('TL14'!$B$3=J$3,SUMIF('TL14'!$C$10:$C$224,$C243,'TL14'!$J$10:$J$224),0),
IF('TL14'!$B$229=J$3,SUMIF('TL14'!$C$238:$C$451,$C243,'TL14'!$J$238:$J$451),0),
IF('TL15'!$B$3=J$3,SUMIF('TL15'!$C$10:$C$224,$C243,'TL15'!$J$10:$J$224),0),
IF('TL15'!$B$229=J$3,SUMIF('TL15'!$C$238:$C$451,$C243,'TL15'!$J$238:$J$451),0),
IF('TL16'!$B$3=J$3,SUMIF('TL16'!$C$10:$C$224,$C243,'TL16'!$J$10:$J$224),0),
IF('TL16'!$B$229=J$3,SUMIF('TL16'!$C$238:$C$451,$C243,'TL16'!$J$238:$J$451),0),
IF('TL17'!$B$3=J$3,SUMIF('TL17'!$C$10:$C$224,$C243,'TL17'!$J$10:$J$224),0),
IF('TL17'!$B$229=J$3,SUMIF('TL17'!$C$238:$C$451,$C243,'TL17'!$J$238:$J$451),0),
IF('TL18'!$B$3=J$3,SUMIF('TL18'!$C$10:$C$224,$C243,'TL18'!$J$10:$J$224),0),
IF('TL18'!$B$229=J$3,SUMIF('TL18'!$C$238:$C$451,$C243,'TL18'!$J$238:$J$451),0),
IF('TL19'!$B$3=J$3,SUMIF('TL19'!$C$10:$C$224,$C243,'TL19'!$J$10:$J$224),0),
IF('TL19'!$B$229=J$3,SUMIF('TL19'!$C$238:$C$451,$C243,'TL19'!$J$238:$J$451),0)
),0)</f>
        <v/>
      </c>
      <c r="K243" s="9">
        <f>IFERROR(SUM(
IF('TL01'!$B$3=K$3,SUMIF('TL01'!$C$10:$C$224,$C243,'TL01'!$J$10:$J$224),0),
IF('TL01'!$B$229=K$3,SUMIF('TL01'!$C$238:$C$451,$C243,'TL01'!$J$238:$J$451),0),
IF('TL02'!$B$3=K$3,SUMIF('TL02'!$C$10:$C$224,$C243,'TL02'!$J$10:$J$224),0),
IF('TL02'!$B$229=K$3,SUMIF('TL02'!$C$238:$C$451,$C243,'TL02'!$J$238:$J$451),0),
IF('TL03'!$B$3=K$3,SUMIF('TL03'!$C$10:$C$224,$C243,'TL03'!$J$10:$J$224),0),
IF('TL03'!$B$229=K$3,SUMIF('TL03'!$C$238:$C$451,$C243,'TL03'!$J$238:$J$451),0),
IF('TL04'!$B$3=K$3,SUMIF('TL04'!$C$10:$C$224,$C243,'TL04'!$J$10:$J$224),0),
IF('TL04'!$B$229=K$3,SUMIF('TL04'!$C$238:$C$451,$C243,'TL04'!$J$238:$J$451),0),
IF('TL05'!$B$3=K$3,SUMIF('TL05'!$C$10:$C$224,$C243,'TL05'!$J$10:$J$224),0),
IF('TL05'!$B$229=K$3,SUMIF('TL05'!$C$238:$C$451,$C243,'TL05'!$J$238:$J$451),0),
IF('TL06'!$B$3=K$3,SUMIF('TL06'!$C$10:$C$224,$C243,'TL06'!$J$10:$J$224),0),
IF('TL06'!$B$229=K$3,SUMIF('TL06'!$C$238:$C$451,$C243,'TL06'!$J$238:$J$451),0),
IF('TL07'!$B$3=K$3,SUMIF('TL07'!$C$10:$C$224,$C243,'TL07'!$J$10:$J$224),0),
IF('TL07'!$B$229=K$3,SUMIF('TL07'!$C$238:$C$451,$C243,'TL07'!$J$238:$J$451),0),
IF('TL08'!$B$3=K$3,SUMIF('TL08'!$C$10:$C$224,$C243,'TL08'!$J$10:$J$224),0),
IF('TL08'!$B$229=K$3,SUMIF('TL08'!$C$238:$C$451,$C243,'TL08'!$J$238:$J$451),0),
IF('TL09'!$B$3=K$3,SUMIF('TL09'!$C$10:$C$224,$C243,'TL09'!$J$10:$J$224),0),
IF('TL09'!$B$229=K$3,SUMIF('TL09'!$C$238:$C$451,$C243,'TL09'!$J$238:$J$451),0),
IF('TL10'!$B$3=K$3,SUMIF('TL10'!$C$10:$C$224,$C243,'TL10'!$J$10:$J$224),0),
IF('TL10'!$B$229=K$3,SUMIF('TL10'!$C$238:$C$451,$C243,'TL10'!$J$238:$J$451),0),
IF('TL11'!$B$3=K$3,SUMIF('TL11'!$C$10:$C$224,$C243,'TL11'!$J$10:$J$224),0),
IF('TL11'!$B$229=K$3,SUMIF('TL11'!$C$238:$C$451,$C243,'TL11'!$J$238:$J$451),0),
IF('TL12'!$B$3=K$3,SUMIF('TL12'!$C$10:$C$224,$C243,'TL12'!$J$10:$J$224),0),
IF('TL12'!$B$229=K$3,SUMIF('TL12'!$C$238:$C$451,$C243,'TL12'!$J$238:$J$451),0),
IF('TL13'!$B$3=K$3,SUMIF('TL13'!$C$10:$C$224,$C243,'TL13'!$J$10:$J$224),0),
IF('TL13'!$B$229=K$3,SUMIF('TL13'!$C$238:$C$451,$C243,'TL13'!$J$238:$J$451),0),
IF('TL14'!$B$3=K$3,SUMIF('TL14'!$C$10:$C$224,$C243,'TL14'!$J$10:$J$224),0),
IF('TL14'!$B$229=K$3,SUMIF('TL14'!$C$238:$C$451,$C243,'TL14'!$J$238:$J$451),0),
IF('TL15'!$B$3=K$3,SUMIF('TL15'!$C$10:$C$224,$C243,'TL15'!$J$10:$J$224),0),
IF('TL15'!$B$229=K$3,SUMIF('TL15'!$C$238:$C$451,$C243,'TL15'!$J$238:$J$451),0),
IF('TL16'!$B$3=K$3,SUMIF('TL16'!$C$10:$C$224,$C243,'TL16'!$J$10:$J$224),0),
IF('TL16'!$B$229=K$3,SUMIF('TL16'!$C$238:$C$451,$C243,'TL16'!$J$238:$J$451),0),
IF('TL17'!$B$3=K$3,SUMIF('TL17'!$C$10:$C$224,$C243,'TL17'!$J$10:$J$224),0),
IF('TL17'!$B$229=K$3,SUMIF('TL17'!$C$238:$C$451,$C243,'TL17'!$J$238:$J$451),0),
IF('TL18'!$B$3=K$3,SUMIF('TL18'!$C$10:$C$224,$C243,'TL18'!$J$10:$J$224),0),
IF('TL18'!$B$229=K$3,SUMIF('TL18'!$C$238:$C$451,$C243,'TL18'!$J$238:$J$451),0),
IF('TL19'!$B$3=K$3,SUMIF('TL19'!$C$10:$C$224,$C243,'TL19'!$J$10:$J$224),0),
IF('TL19'!$B$229=K$3,SUMIF('TL19'!$C$238:$C$451,$C243,'TL19'!$J$238:$J$451),0)
),0)</f>
        <v/>
      </c>
      <c r="L243" s="9">
        <f>IFERROR(SUM(
IF('TL01'!$B$3=L$3,SUMIF('TL01'!$C$10:$C$224,$C243,'TL01'!$J$10:$J$224),0),
IF('TL01'!$B$229=L$3,SUMIF('TL01'!$C$238:$C$451,$C243,'TL01'!$J$238:$J$451),0),
IF('TL02'!$B$3=L$3,SUMIF('TL02'!$C$10:$C$224,$C243,'TL02'!$J$10:$J$224),0),
IF('TL02'!$B$229=L$3,SUMIF('TL02'!$C$238:$C$451,$C243,'TL02'!$J$238:$J$451),0),
IF('TL03'!$B$3=L$3,SUMIF('TL03'!$C$10:$C$224,$C243,'TL03'!$J$10:$J$224),0),
IF('TL03'!$B$229=L$3,SUMIF('TL03'!$C$238:$C$451,$C243,'TL03'!$J$238:$J$451),0),
IF('TL04'!$B$3=L$3,SUMIF('TL04'!$C$10:$C$224,$C243,'TL04'!$J$10:$J$224),0),
IF('TL04'!$B$229=L$3,SUMIF('TL04'!$C$238:$C$451,$C243,'TL04'!$J$238:$J$451),0),
IF('TL05'!$B$3=L$3,SUMIF('TL05'!$C$10:$C$224,$C243,'TL05'!$J$10:$J$224),0),
IF('TL05'!$B$229=L$3,SUMIF('TL05'!$C$238:$C$451,$C243,'TL05'!$J$238:$J$451),0),
IF('TL06'!$B$3=L$3,SUMIF('TL06'!$C$10:$C$224,$C243,'TL06'!$J$10:$J$224),0),
IF('TL06'!$B$229=L$3,SUMIF('TL06'!$C$238:$C$451,$C243,'TL06'!$J$238:$J$451),0),
IF('TL07'!$B$3=L$3,SUMIF('TL07'!$C$10:$C$224,$C243,'TL07'!$J$10:$J$224),0),
IF('TL07'!$B$229=L$3,SUMIF('TL07'!$C$238:$C$451,$C243,'TL07'!$J$238:$J$451),0),
IF('TL08'!$B$3=L$3,SUMIF('TL08'!$C$10:$C$224,$C243,'TL08'!$J$10:$J$224),0),
IF('TL08'!$B$229=L$3,SUMIF('TL08'!$C$238:$C$451,$C243,'TL08'!$J$238:$J$451),0),
IF('TL09'!$B$3=L$3,SUMIF('TL09'!$C$10:$C$224,$C243,'TL09'!$J$10:$J$224),0),
IF('TL09'!$B$229=L$3,SUMIF('TL09'!$C$238:$C$451,$C243,'TL09'!$J$238:$J$451),0),
IF('TL10'!$B$3=L$3,SUMIF('TL10'!$C$10:$C$224,$C243,'TL10'!$J$10:$J$224),0),
IF('TL10'!$B$229=L$3,SUMIF('TL10'!$C$238:$C$451,$C243,'TL10'!$J$238:$J$451),0),
IF('TL11'!$B$3=L$3,SUMIF('TL11'!$C$10:$C$224,$C243,'TL11'!$J$10:$J$224),0),
IF('TL11'!$B$229=L$3,SUMIF('TL11'!$C$238:$C$451,$C243,'TL11'!$J$238:$J$451),0),
IF('TL12'!$B$3=L$3,SUMIF('TL12'!$C$10:$C$224,$C243,'TL12'!$J$10:$J$224),0),
IF('TL12'!$B$229=L$3,SUMIF('TL12'!$C$238:$C$451,$C243,'TL12'!$J$238:$J$451),0),
IF('TL13'!$B$3=L$3,SUMIF('TL13'!$C$10:$C$224,$C243,'TL13'!$J$10:$J$224),0),
IF('TL13'!$B$229=L$3,SUMIF('TL13'!$C$238:$C$451,$C243,'TL13'!$J$238:$J$451),0),
IF('TL14'!$B$3=L$3,SUMIF('TL14'!$C$10:$C$224,$C243,'TL14'!$J$10:$J$224),0),
IF('TL14'!$B$229=L$3,SUMIF('TL14'!$C$238:$C$451,$C243,'TL14'!$J$238:$J$451),0),
IF('TL15'!$B$3=L$3,SUMIF('TL15'!$C$10:$C$224,$C243,'TL15'!$J$10:$J$224),0),
IF('TL15'!$B$229=L$3,SUMIF('TL15'!$C$238:$C$451,$C243,'TL15'!$J$238:$J$451),0),
IF('TL16'!$B$3=L$3,SUMIF('TL16'!$C$10:$C$224,$C243,'TL16'!$J$10:$J$224),0),
IF('TL16'!$B$229=L$3,SUMIF('TL16'!$C$238:$C$451,$C243,'TL16'!$J$238:$J$451),0),
IF('TL17'!$B$3=L$3,SUMIF('TL17'!$C$10:$C$224,$C243,'TL17'!$J$10:$J$224),0),
IF('TL17'!$B$229=L$3,SUMIF('TL17'!$C$238:$C$451,$C243,'TL17'!$J$238:$J$451),0),
IF('TL18'!$B$3=L$3,SUMIF('TL18'!$C$10:$C$224,$C243,'TL18'!$J$10:$J$224),0),
IF('TL18'!$B$229=L$3,SUMIF('TL18'!$C$238:$C$451,$C243,'TL18'!$J$238:$J$451),0),
IF('TL19'!$B$3=L$3,SUMIF('TL19'!$C$10:$C$224,$C243,'TL19'!$J$10:$J$224),0),
IF('TL19'!$B$229=L$3,SUMIF('TL19'!$C$238:$C$451,$C243,'TL19'!$J$238:$J$451),0)
),0)</f>
        <v/>
      </c>
      <c r="M243" s="9">
        <f>IFERROR(SUM(
IF('TL01'!$B$3=M$3,SUMIF('TL01'!$C$10:$C$224,$C243,'TL01'!$J$10:$J$224),0),
IF('TL01'!$B$229=M$3,SUMIF('TL01'!$C$238:$C$451,$C243,'TL01'!$J$238:$J$451),0),
IF('TL02'!$B$3=M$3,SUMIF('TL02'!$C$10:$C$224,$C243,'TL02'!$J$10:$J$224),0),
IF('TL02'!$B$229=M$3,SUMIF('TL02'!$C$238:$C$451,$C243,'TL02'!$J$238:$J$451),0),
IF('TL03'!$B$3=M$3,SUMIF('TL03'!$C$10:$C$224,$C243,'TL03'!$J$10:$J$224),0),
IF('TL03'!$B$229=M$3,SUMIF('TL03'!$C$238:$C$451,$C243,'TL03'!$J$238:$J$451),0),
IF('TL04'!$B$3=M$3,SUMIF('TL04'!$C$10:$C$224,$C243,'TL04'!$J$10:$J$224),0),
IF('TL04'!$B$229=M$3,SUMIF('TL04'!$C$238:$C$451,$C243,'TL04'!$J$238:$J$451),0),
IF('TL05'!$B$3=M$3,SUMIF('TL05'!$C$10:$C$224,$C243,'TL05'!$J$10:$J$224),0),
IF('TL05'!$B$229=M$3,SUMIF('TL05'!$C$238:$C$451,$C243,'TL05'!$J$238:$J$451),0),
IF('TL06'!$B$3=M$3,SUMIF('TL06'!$C$10:$C$224,$C243,'TL06'!$J$10:$J$224),0),
IF('TL06'!$B$229=M$3,SUMIF('TL06'!$C$238:$C$451,$C243,'TL06'!$J$238:$J$451),0),
IF('TL07'!$B$3=M$3,SUMIF('TL07'!$C$10:$C$224,$C243,'TL07'!$J$10:$J$224),0),
IF('TL07'!$B$229=M$3,SUMIF('TL07'!$C$238:$C$451,$C243,'TL07'!$J$238:$J$451),0),
IF('TL08'!$B$3=M$3,SUMIF('TL08'!$C$10:$C$224,$C243,'TL08'!$J$10:$J$224),0),
IF('TL08'!$B$229=M$3,SUMIF('TL08'!$C$238:$C$451,$C243,'TL08'!$J$238:$J$451),0),
IF('TL09'!$B$3=M$3,SUMIF('TL09'!$C$10:$C$224,$C243,'TL09'!$J$10:$J$224),0),
IF('TL09'!$B$229=M$3,SUMIF('TL09'!$C$238:$C$451,$C243,'TL09'!$J$238:$J$451),0),
IF('TL10'!$B$3=M$3,SUMIF('TL10'!$C$10:$C$224,$C243,'TL10'!$J$10:$J$224),0),
IF('TL10'!$B$229=M$3,SUMIF('TL10'!$C$238:$C$451,$C243,'TL10'!$J$238:$J$451),0),
IF('TL11'!$B$3=M$3,SUMIF('TL11'!$C$10:$C$224,$C243,'TL11'!$J$10:$J$224),0),
IF('TL11'!$B$229=M$3,SUMIF('TL11'!$C$238:$C$451,$C243,'TL11'!$J$238:$J$451),0),
IF('TL12'!$B$3=M$3,SUMIF('TL12'!$C$10:$C$224,$C243,'TL12'!$J$10:$J$224),0),
IF('TL12'!$B$229=M$3,SUMIF('TL12'!$C$238:$C$451,$C243,'TL12'!$J$238:$J$451),0),
IF('TL13'!$B$3=M$3,SUMIF('TL13'!$C$10:$C$224,$C243,'TL13'!$J$10:$J$224),0),
IF('TL13'!$B$229=M$3,SUMIF('TL13'!$C$238:$C$451,$C243,'TL13'!$J$238:$J$451),0),
IF('TL14'!$B$3=M$3,SUMIF('TL14'!$C$10:$C$224,$C243,'TL14'!$J$10:$J$224),0),
IF('TL14'!$B$229=M$3,SUMIF('TL14'!$C$238:$C$451,$C243,'TL14'!$J$238:$J$451),0),
IF('TL15'!$B$3=M$3,SUMIF('TL15'!$C$10:$C$224,$C243,'TL15'!$J$10:$J$224),0),
IF('TL15'!$B$229=M$3,SUMIF('TL15'!$C$238:$C$451,$C243,'TL15'!$J$238:$J$451),0),
IF('TL16'!$B$3=M$3,SUMIF('TL16'!$C$10:$C$224,$C243,'TL16'!$J$10:$J$224),0),
IF('TL16'!$B$229=M$3,SUMIF('TL16'!$C$238:$C$451,$C243,'TL16'!$J$238:$J$451),0),
IF('TL17'!$B$3=M$3,SUMIF('TL17'!$C$10:$C$224,$C243,'TL17'!$J$10:$J$224),0),
IF('TL17'!$B$229=M$3,SUMIF('TL17'!$C$238:$C$451,$C243,'TL17'!$J$238:$J$451),0),
IF('TL18'!$B$3=M$3,SUMIF('TL18'!$C$10:$C$224,$C243,'TL18'!$J$10:$J$224),0),
IF('TL18'!$B$229=M$3,SUMIF('TL18'!$C$238:$C$451,$C243,'TL18'!$J$238:$J$451),0),
IF('TL19'!$B$3=M$3,SUMIF('TL19'!$C$10:$C$224,$C243,'TL19'!$J$10:$J$224),0),
IF('TL19'!$B$229=M$3,SUMIF('TL19'!$C$238:$C$451,$C243,'TL19'!$J$238:$J$451),0)
),0)</f>
        <v/>
      </c>
      <c r="N243" s="9">
        <f>IFERROR(SUM(
IF('TL01'!$B$3=N$3,SUMIF('TL01'!$C$10:$C$224,$C243,'TL01'!$J$10:$J$224),0),
IF('TL01'!$B$229=N$3,SUMIF('TL01'!$C$238:$C$451,$C243,'TL01'!$J$238:$J$451),0),
IF('TL02'!$B$3=N$3,SUMIF('TL02'!$C$10:$C$224,$C243,'TL02'!$J$10:$J$224),0),
IF('TL02'!$B$229=N$3,SUMIF('TL02'!$C$238:$C$451,$C243,'TL02'!$J$238:$J$451),0),
IF('TL03'!$B$3=N$3,SUMIF('TL03'!$C$10:$C$224,$C243,'TL03'!$J$10:$J$224),0),
IF('TL03'!$B$229=N$3,SUMIF('TL03'!$C$238:$C$451,$C243,'TL03'!$J$238:$J$451),0),
IF('TL04'!$B$3=N$3,SUMIF('TL04'!$C$10:$C$224,$C243,'TL04'!$J$10:$J$224),0),
IF('TL04'!$B$229=N$3,SUMIF('TL04'!$C$238:$C$451,$C243,'TL04'!$J$238:$J$451),0),
IF('TL05'!$B$3=N$3,SUMIF('TL05'!$C$10:$C$224,$C243,'TL05'!$J$10:$J$224),0),
IF('TL05'!$B$229=N$3,SUMIF('TL05'!$C$238:$C$451,$C243,'TL05'!$J$238:$J$451),0),
IF('TL06'!$B$3=N$3,SUMIF('TL06'!$C$10:$C$224,$C243,'TL06'!$J$10:$J$224),0),
IF('TL06'!$B$229=N$3,SUMIF('TL06'!$C$238:$C$451,$C243,'TL06'!$J$238:$J$451),0),
IF('TL07'!$B$3=N$3,SUMIF('TL07'!$C$10:$C$224,$C243,'TL07'!$J$10:$J$224),0),
IF('TL07'!$B$229=N$3,SUMIF('TL07'!$C$238:$C$451,$C243,'TL07'!$J$238:$J$451),0),
IF('TL08'!$B$3=N$3,SUMIF('TL08'!$C$10:$C$224,$C243,'TL08'!$J$10:$J$224),0),
IF('TL08'!$B$229=N$3,SUMIF('TL08'!$C$238:$C$451,$C243,'TL08'!$J$238:$J$451),0),
IF('TL09'!$B$3=N$3,SUMIF('TL09'!$C$10:$C$224,$C243,'TL09'!$J$10:$J$224),0),
IF('TL09'!$B$229=N$3,SUMIF('TL09'!$C$238:$C$451,$C243,'TL09'!$J$238:$J$451),0),
IF('TL10'!$B$3=N$3,SUMIF('TL10'!$C$10:$C$224,$C243,'TL10'!$J$10:$J$224),0),
IF('TL10'!$B$229=N$3,SUMIF('TL10'!$C$238:$C$451,$C243,'TL10'!$J$238:$J$451),0),
IF('TL11'!$B$3=N$3,SUMIF('TL11'!$C$10:$C$224,$C243,'TL11'!$J$10:$J$224),0),
IF('TL11'!$B$229=N$3,SUMIF('TL11'!$C$238:$C$451,$C243,'TL11'!$J$238:$J$451),0),
IF('TL12'!$B$3=N$3,SUMIF('TL12'!$C$10:$C$224,$C243,'TL12'!$J$10:$J$224),0),
IF('TL12'!$B$229=N$3,SUMIF('TL12'!$C$238:$C$451,$C243,'TL12'!$J$238:$J$451),0),
IF('TL13'!$B$3=N$3,SUMIF('TL13'!$C$10:$C$224,$C243,'TL13'!$J$10:$J$224),0),
IF('TL13'!$B$229=N$3,SUMIF('TL13'!$C$238:$C$451,$C243,'TL13'!$J$238:$J$451),0),
IF('TL14'!$B$3=N$3,SUMIF('TL14'!$C$10:$C$224,$C243,'TL14'!$J$10:$J$224),0),
IF('TL14'!$B$229=N$3,SUMIF('TL14'!$C$238:$C$451,$C243,'TL14'!$J$238:$J$451),0),
IF('TL15'!$B$3=N$3,SUMIF('TL15'!$C$10:$C$224,$C243,'TL15'!$J$10:$J$224),0),
IF('TL15'!$B$229=N$3,SUMIF('TL15'!$C$238:$C$451,$C243,'TL15'!$J$238:$J$451),0),
IF('TL16'!$B$3=N$3,SUMIF('TL16'!$C$10:$C$224,$C243,'TL16'!$J$10:$J$224),0),
IF('TL16'!$B$229=N$3,SUMIF('TL16'!$C$238:$C$451,$C243,'TL16'!$J$238:$J$451),0),
IF('TL17'!$B$3=N$3,SUMIF('TL17'!$C$10:$C$224,$C243,'TL17'!$J$10:$J$224),0),
IF('TL17'!$B$229=N$3,SUMIF('TL17'!$C$238:$C$451,$C243,'TL17'!$J$238:$J$451),0),
IF('TL18'!$B$3=N$3,SUMIF('TL18'!$C$10:$C$224,$C243,'TL18'!$J$10:$J$224),0),
IF('TL18'!$B$229=N$3,SUMIF('TL18'!$C$238:$C$451,$C243,'TL18'!$J$238:$J$451),0),
IF('TL19'!$B$3=N$3,SUMIF('TL19'!$C$10:$C$224,$C243,'TL19'!$J$10:$J$224),0),
IF('TL19'!$B$229=N$3,SUMIF('TL19'!$C$238:$C$451,$C243,'TL19'!$J$238:$J$451),0)
),0)</f>
        <v/>
      </c>
      <c r="O243" s="9">
        <f>IFERROR(SUM(
IF('TL01'!$B$3=O$3,SUMIF('TL01'!$C$10:$C$224,$C243,'TL01'!$J$10:$J$224),0),
IF('TL01'!$B$229=O$3,SUMIF('TL01'!$C$238:$C$451,$C243,'TL01'!$J$238:$J$451),0),
IF('TL02'!$B$3=O$3,SUMIF('TL02'!$C$10:$C$224,$C243,'TL02'!$J$10:$J$224),0),
IF('TL02'!$B$229=O$3,SUMIF('TL02'!$C$238:$C$451,$C243,'TL02'!$J$238:$J$451),0),
IF('TL03'!$B$3=O$3,SUMIF('TL03'!$C$10:$C$224,$C243,'TL03'!$J$10:$J$224),0),
IF('TL03'!$B$229=O$3,SUMIF('TL03'!$C$238:$C$451,$C243,'TL03'!$J$238:$J$451),0),
IF('TL04'!$B$3=O$3,SUMIF('TL04'!$C$10:$C$224,$C243,'TL04'!$J$10:$J$224),0),
IF('TL04'!$B$229=O$3,SUMIF('TL04'!$C$238:$C$451,$C243,'TL04'!$J$238:$J$451),0),
IF('TL05'!$B$3=O$3,SUMIF('TL05'!$C$10:$C$224,$C243,'TL05'!$J$10:$J$224),0),
IF('TL05'!$B$229=O$3,SUMIF('TL05'!$C$238:$C$451,$C243,'TL05'!$J$238:$J$451),0),
IF('TL06'!$B$3=O$3,SUMIF('TL06'!$C$10:$C$224,$C243,'TL06'!$J$10:$J$224),0),
IF('TL06'!$B$229=O$3,SUMIF('TL06'!$C$238:$C$451,$C243,'TL06'!$J$238:$J$451),0),
IF('TL07'!$B$3=O$3,SUMIF('TL07'!$C$10:$C$224,$C243,'TL07'!$J$10:$J$224),0),
IF('TL07'!$B$229=O$3,SUMIF('TL07'!$C$238:$C$451,$C243,'TL07'!$J$238:$J$451),0),
IF('TL08'!$B$3=O$3,SUMIF('TL08'!$C$10:$C$224,$C243,'TL08'!$J$10:$J$224),0),
IF('TL08'!$B$229=O$3,SUMIF('TL08'!$C$238:$C$451,$C243,'TL08'!$J$238:$J$451),0),
IF('TL09'!$B$3=O$3,SUMIF('TL09'!$C$10:$C$224,$C243,'TL09'!$J$10:$J$224),0),
IF('TL09'!$B$229=O$3,SUMIF('TL09'!$C$238:$C$451,$C243,'TL09'!$J$238:$J$451),0),
IF('TL10'!$B$3=O$3,SUMIF('TL10'!$C$10:$C$224,$C243,'TL10'!$J$10:$J$224),0),
IF('TL10'!$B$229=O$3,SUMIF('TL10'!$C$238:$C$451,$C243,'TL10'!$J$238:$J$451),0),
IF('TL11'!$B$3=O$3,SUMIF('TL11'!$C$10:$C$224,$C243,'TL11'!$J$10:$J$224),0),
IF('TL11'!$B$229=O$3,SUMIF('TL11'!$C$238:$C$451,$C243,'TL11'!$J$238:$J$451),0),
IF('TL12'!$B$3=O$3,SUMIF('TL12'!$C$10:$C$224,$C243,'TL12'!$J$10:$J$224),0),
IF('TL12'!$B$229=O$3,SUMIF('TL12'!$C$238:$C$451,$C243,'TL12'!$J$238:$J$451),0),
IF('TL13'!$B$3=O$3,SUMIF('TL13'!$C$10:$C$224,$C243,'TL13'!$J$10:$J$224),0),
IF('TL13'!$B$229=O$3,SUMIF('TL13'!$C$238:$C$451,$C243,'TL13'!$J$238:$J$451),0),
IF('TL14'!$B$3=O$3,SUMIF('TL14'!$C$10:$C$224,$C243,'TL14'!$J$10:$J$224),0),
IF('TL14'!$B$229=O$3,SUMIF('TL14'!$C$238:$C$451,$C243,'TL14'!$J$238:$J$451),0),
IF('TL15'!$B$3=O$3,SUMIF('TL15'!$C$10:$C$224,$C243,'TL15'!$J$10:$J$224),0),
IF('TL15'!$B$229=O$3,SUMIF('TL15'!$C$238:$C$451,$C243,'TL15'!$J$238:$J$451),0),
IF('TL16'!$B$3=O$3,SUMIF('TL16'!$C$10:$C$224,$C243,'TL16'!$J$10:$J$224),0),
IF('TL16'!$B$229=O$3,SUMIF('TL16'!$C$238:$C$451,$C243,'TL16'!$J$238:$J$451),0),
IF('TL17'!$B$3=O$3,SUMIF('TL17'!$C$10:$C$224,$C243,'TL17'!$J$10:$J$224),0),
IF('TL17'!$B$229=O$3,SUMIF('TL17'!$C$238:$C$451,$C243,'TL17'!$J$238:$J$451),0),
IF('TL18'!$B$3=O$3,SUMIF('TL18'!$C$10:$C$224,$C243,'TL18'!$J$10:$J$224),0),
IF('TL18'!$B$229=O$3,SUMIF('TL18'!$C$238:$C$451,$C243,'TL18'!$J$238:$J$451),0),
IF('TL19'!$B$3=O$3,SUMIF('TL19'!$C$10:$C$224,$C243,'TL19'!$J$10:$J$224),0),
IF('TL19'!$B$229=O$3,SUMIF('TL19'!$C$238:$C$451,$C243,'TL19'!$J$238:$J$451),0)
),0)</f>
        <v/>
      </c>
      <c r="P243" s="9">
        <f>IFERROR(SUM(
IF('TL01'!$B$3=P$3,SUMIF('TL01'!$C$10:$C$224,$C243,'TL01'!$J$10:$J$224),0),
IF('TL01'!$B$229=P$3,SUMIF('TL01'!$C$238:$C$451,$C243,'TL01'!$J$238:$J$451),0),
IF('TL02'!$B$3=P$3,SUMIF('TL02'!$C$10:$C$224,$C243,'TL02'!$J$10:$J$224),0),
IF('TL02'!$B$229=P$3,SUMIF('TL02'!$C$238:$C$451,$C243,'TL02'!$J$238:$J$451),0),
IF('TL03'!$B$3=P$3,SUMIF('TL03'!$C$10:$C$224,$C243,'TL03'!$J$10:$J$224),0),
IF('TL03'!$B$229=P$3,SUMIF('TL03'!$C$238:$C$451,$C243,'TL03'!$J$238:$J$451),0),
IF('TL04'!$B$3=P$3,SUMIF('TL04'!$C$10:$C$224,$C243,'TL04'!$J$10:$J$224),0),
IF('TL04'!$B$229=P$3,SUMIF('TL04'!$C$238:$C$451,$C243,'TL04'!$J$238:$J$451),0),
IF('TL05'!$B$3=P$3,SUMIF('TL05'!$C$10:$C$224,$C243,'TL05'!$J$10:$J$224),0),
IF('TL05'!$B$229=P$3,SUMIF('TL05'!$C$238:$C$451,$C243,'TL05'!$J$238:$J$451),0),
IF('TL06'!$B$3=P$3,SUMIF('TL06'!$C$10:$C$224,$C243,'TL06'!$J$10:$J$224),0),
IF('TL06'!$B$229=P$3,SUMIF('TL06'!$C$238:$C$451,$C243,'TL06'!$J$238:$J$451),0),
IF('TL07'!$B$3=P$3,SUMIF('TL07'!$C$10:$C$224,$C243,'TL07'!$J$10:$J$224),0),
IF('TL07'!$B$229=P$3,SUMIF('TL07'!$C$238:$C$451,$C243,'TL07'!$J$238:$J$451),0),
IF('TL08'!$B$3=P$3,SUMIF('TL08'!$C$10:$C$224,$C243,'TL08'!$J$10:$J$224),0),
IF('TL08'!$B$229=P$3,SUMIF('TL08'!$C$238:$C$451,$C243,'TL08'!$J$238:$J$451),0),
IF('TL09'!$B$3=P$3,SUMIF('TL09'!$C$10:$C$224,$C243,'TL09'!$J$10:$J$224),0),
IF('TL09'!$B$229=P$3,SUMIF('TL09'!$C$238:$C$451,$C243,'TL09'!$J$238:$J$451),0),
IF('TL10'!$B$3=P$3,SUMIF('TL10'!$C$10:$C$224,$C243,'TL10'!$J$10:$J$224),0),
IF('TL10'!$B$229=P$3,SUMIF('TL10'!$C$238:$C$451,$C243,'TL10'!$J$238:$J$451),0),
IF('TL11'!$B$3=P$3,SUMIF('TL11'!$C$10:$C$224,$C243,'TL11'!$J$10:$J$224),0),
IF('TL11'!$B$229=P$3,SUMIF('TL11'!$C$238:$C$451,$C243,'TL11'!$J$238:$J$451),0),
IF('TL12'!$B$3=P$3,SUMIF('TL12'!$C$10:$C$224,$C243,'TL12'!$J$10:$J$224),0),
IF('TL12'!$B$229=P$3,SUMIF('TL12'!$C$238:$C$451,$C243,'TL12'!$J$238:$J$451),0),
IF('TL13'!$B$3=P$3,SUMIF('TL13'!$C$10:$C$224,$C243,'TL13'!$J$10:$J$224),0),
IF('TL13'!$B$229=P$3,SUMIF('TL13'!$C$238:$C$451,$C243,'TL13'!$J$238:$J$451),0),
IF('TL14'!$B$3=P$3,SUMIF('TL14'!$C$10:$C$224,$C243,'TL14'!$J$10:$J$224),0),
IF('TL14'!$B$229=P$3,SUMIF('TL14'!$C$238:$C$451,$C243,'TL14'!$J$238:$J$451),0),
IF('TL15'!$B$3=P$3,SUMIF('TL15'!$C$10:$C$224,$C243,'TL15'!$J$10:$J$224),0),
IF('TL15'!$B$229=P$3,SUMIF('TL15'!$C$238:$C$451,$C243,'TL15'!$J$238:$J$451),0),
IF('TL16'!$B$3=P$3,SUMIF('TL16'!$C$10:$C$224,$C243,'TL16'!$J$10:$J$224),0),
IF('TL16'!$B$229=P$3,SUMIF('TL16'!$C$238:$C$451,$C243,'TL16'!$J$238:$J$451),0),
IF('TL17'!$B$3=P$3,SUMIF('TL17'!$C$10:$C$224,$C243,'TL17'!$J$10:$J$224),0),
IF('TL17'!$B$229=P$3,SUMIF('TL17'!$C$238:$C$451,$C243,'TL17'!$J$238:$J$451),0),
IF('TL18'!$B$3=P$3,SUMIF('TL18'!$C$10:$C$224,$C243,'TL18'!$J$10:$J$224),0),
IF('TL18'!$B$229=P$3,SUMIF('TL18'!$C$238:$C$451,$C243,'TL18'!$J$238:$J$451),0),
IF('TL19'!$B$3=P$3,SUMIF('TL19'!$C$10:$C$224,$C243,'TL19'!$J$10:$J$224),0),
IF('TL19'!$B$229=P$3,SUMIF('TL19'!$C$238:$C$451,$C243,'TL19'!$J$238:$J$451),0)
),0)</f>
        <v/>
      </c>
      <c r="Q243" s="9">
        <f>IFERROR(SUM(
IF('TL01'!$B$3=Q$3,SUMIF('TL01'!$C$10:$C$224,$C243,'TL01'!$J$10:$J$224),0),
IF('TL01'!$B$229=Q$3,SUMIF('TL01'!$C$238:$C$451,$C243,'TL01'!$J$238:$J$451),0),
IF('TL02'!$B$3=Q$3,SUMIF('TL02'!$C$10:$C$224,$C243,'TL02'!$J$10:$J$224),0),
IF('TL02'!$B$229=Q$3,SUMIF('TL02'!$C$238:$C$451,$C243,'TL02'!$J$238:$J$451),0),
IF('TL03'!$B$3=Q$3,SUMIF('TL03'!$C$10:$C$224,$C243,'TL03'!$J$10:$J$224),0),
IF('TL03'!$B$229=Q$3,SUMIF('TL03'!$C$238:$C$451,$C243,'TL03'!$J$238:$J$451),0),
IF('TL04'!$B$3=Q$3,SUMIF('TL04'!$C$10:$C$224,$C243,'TL04'!$J$10:$J$224),0),
IF('TL04'!$B$229=Q$3,SUMIF('TL04'!$C$238:$C$451,$C243,'TL04'!$J$238:$J$451),0),
IF('TL05'!$B$3=Q$3,SUMIF('TL05'!$C$10:$C$224,$C243,'TL05'!$J$10:$J$224),0),
IF('TL05'!$B$229=Q$3,SUMIF('TL05'!$C$238:$C$451,$C243,'TL05'!$J$238:$J$451),0),
IF('TL06'!$B$3=Q$3,SUMIF('TL06'!$C$10:$C$224,$C243,'TL06'!$J$10:$J$224),0),
IF('TL06'!$B$229=Q$3,SUMIF('TL06'!$C$238:$C$451,$C243,'TL06'!$J$238:$J$451),0),
IF('TL07'!$B$3=Q$3,SUMIF('TL07'!$C$10:$C$224,$C243,'TL07'!$J$10:$J$224),0),
IF('TL07'!$B$229=Q$3,SUMIF('TL07'!$C$238:$C$451,$C243,'TL07'!$J$238:$J$451),0),
IF('TL08'!$B$3=Q$3,SUMIF('TL08'!$C$10:$C$224,$C243,'TL08'!$J$10:$J$224),0),
IF('TL08'!$B$229=Q$3,SUMIF('TL08'!$C$238:$C$451,$C243,'TL08'!$J$238:$J$451),0),
IF('TL09'!$B$3=Q$3,SUMIF('TL09'!$C$10:$C$224,$C243,'TL09'!$J$10:$J$224),0),
IF('TL09'!$B$229=Q$3,SUMIF('TL09'!$C$238:$C$451,$C243,'TL09'!$J$238:$J$451),0),
IF('TL10'!$B$3=Q$3,SUMIF('TL10'!$C$10:$C$224,$C243,'TL10'!$J$10:$J$224),0),
IF('TL10'!$B$229=Q$3,SUMIF('TL10'!$C$238:$C$451,$C243,'TL10'!$J$238:$J$451),0),
IF('TL11'!$B$3=Q$3,SUMIF('TL11'!$C$10:$C$224,$C243,'TL11'!$J$10:$J$224),0),
IF('TL11'!$B$229=Q$3,SUMIF('TL11'!$C$238:$C$451,$C243,'TL11'!$J$238:$J$451),0),
IF('TL12'!$B$3=Q$3,SUMIF('TL12'!$C$10:$C$224,$C243,'TL12'!$J$10:$J$224),0),
IF('TL12'!$B$229=Q$3,SUMIF('TL12'!$C$238:$C$451,$C243,'TL12'!$J$238:$J$451),0),
IF('TL13'!$B$3=Q$3,SUMIF('TL13'!$C$10:$C$224,$C243,'TL13'!$J$10:$J$224),0),
IF('TL13'!$B$229=Q$3,SUMIF('TL13'!$C$238:$C$451,$C243,'TL13'!$J$238:$J$451),0),
IF('TL14'!$B$3=Q$3,SUMIF('TL14'!$C$10:$C$224,$C243,'TL14'!$J$10:$J$224),0),
IF('TL14'!$B$229=Q$3,SUMIF('TL14'!$C$238:$C$451,$C243,'TL14'!$J$238:$J$451),0),
IF('TL15'!$B$3=Q$3,SUMIF('TL15'!$C$10:$C$224,$C243,'TL15'!$J$10:$J$224),0),
IF('TL15'!$B$229=Q$3,SUMIF('TL15'!$C$238:$C$451,$C243,'TL15'!$J$238:$J$451),0),
IF('TL16'!$B$3=Q$3,SUMIF('TL16'!$C$10:$C$224,$C243,'TL16'!$J$10:$J$224),0),
IF('TL16'!$B$229=Q$3,SUMIF('TL16'!$C$238:$C$451,$C243,'TL16'!$J$238:$J$451),0),
IF('TL17'!$B$3=Q$3,SUMIF('TL17'!$C$10:$C$224,$C243,'TL17'!$J$10:$J$224),0),
IF('TL17'!$B$229=Q$3,SUMIF('TL17'!$C$238:$C$451,$C243,'TL17'!$J$238:$J$451),0),
IF('TL18'!$B$3=Q$3,SUMIF('TL18'!$C$10:$C$224,$C243,'TL18'!$J$10:$J$224),0),
IF('TL18'!$B$229=Q$3,SUMIF('TL18'!$C$238:$C$451,$C243,'TL18'!$J$238:$J$451),0),
IF('TL19'!$B$3=Q$3,SUMIF('TL19'!$C$10:$C$224,$C243,'TL19'!$J$10:$J$224),0),
IF('TL19'!$B$229=Q$3,SUMIF('TL19'!$C$238:$C$451,$C243,'TL19'!$J$238:$J$451),0)
),0)</f>
        <v/>
      </c>
      <c r="R243" s="9">
        <f>IFERROR(
SUM(
SUMIF('TL01'!C:C,C243,'TL01'!J:J),
SUMIF('TL02'!C:C,C243,'TL02'!J:J),
SUMIF('TL03'!C:C,C243,'TL03'!J:J),
SUMIF('TL04'!C:C,C243,'TL04'!J:J),
SUMIF('TL05'!C:C,C243,'TL05'!J:J),
SUMIF('TL06'!C:C,C243,'TL06'!J:J),
SUMIF('TL07'!C:C,C243,'TL07'!J:J),
SUMIF('TL08'!C:C,C243,'TL08'!J:J),
SUMIF('TL09'!C:C,C243,'TL09'!J:J),
SUMIF('TL10'!C:C,C243,'TL10'!J:J),
SUMIF('TL11'!C:C,C243,'TL11'!J:J),
SUMIF('TL12'!C:C,C243,'TL12'!J:J),
SUMIF('TL13'!C:C,C243,'TL13'!J:J),
SUMIF('TL14'!C:C,C243,'TL14'!J:J),
SUMIF('TL15'!C:C,C243,'TL15'!J:J),
SUMIF('TL16'!C:C,C243,'TL16'!J:J),
SUMIF('TL17'!C:C,C243,'TL17'!J:J),
SUMIF('TL18'!C:C,C243,'TL18'!J:J),SUMIF('TL19'!C:C,C243,'TL19'!J:J))
,0)</f>
        <v/>
      </c>
      <c r="S243" s="17">
        <f>IFERROR(__xludf.DUMMYFUNCTION("IFERROR(VLOOKUP(C243,
IMPORTRANGE(""1wULbzX32WdYsx-lj2U3uUNBBe2INVIRDtcK0d-Dvl90"",
""26-27!C:G""),
5,
FALSE),
"""")"),0.0)</f>
        <v/>
      </c>
      <c r="T243" s="9" t="n"/>
      <c r="U243" s="92">
        <f>MAX(0,R243-T243)</f>
        <v/>
      </c>
      <c r="V243" s="93">
        <f>U243*S243</f>
        <v/>
      </c>
    </row>
    <row r="244" hidden="1" ht="15.75" customHeight="1" s="297">
      <c r="A244" s="119" t="inlineStr">
        <is>
          <t>FMC</t>
        </is>
      </c>
      <c r="B244" s="120" t="inlineStr">
        <is>
          <t>RC</t>
        </is>
      </c>
      <c r="C244" s="119" t="inlineStr">
        <is>
          <t>SPONSOR</t>
        </is>
      </c>
      <c r="D244" s="119" t="inlineStr">
        <is>
          <t>CLORETO DE MEPIQUATE</t>
        </is>
      </c>
      <c r="E244" s="119" t="n">
        <v>250</v>
      </c>
      <c r="F244" s="4" t="n"/>
      <c r="G244" s="90">
        <f>HYPERLINK("https://www.google.com/search?q=" &amp; C244 &amp; "+bula+agrofit+pdf", "📄 Ver bula")</f>
        <v/>
      </c>
      <c r="H244" s="9">
        <f>IFERROR(__xludf.DUMMYFUNCTION("IFERROR(VLOOKUP(C244,
IMPORTRANGE(""1wULbzX32WdYsx-lj2U3uUNBBe2INVIRDtcK0d-Dvl90"",
""26-27!C:K""),
8,
FALSE),
"""")"),"")</f>
        <v/>
      </c>
      <c r="I244" s="121" t="inlineStr">
        <is>
          <t>1x10</t>
        </is>
      </c>
      <c r="J244" s="9">
        <f>IFERROR(SUM(
IF('TL01'!$B$3=J$3,SUMIF('TL01'!$C$10:$C$224,$C244,'TL01'!$J$10:$J$224),0),
IF('TL01'!$B$229=J$3,SUMIF('TL01'!$C$238:$C$451,$C244,'TL01'!$J$238:$J$451),0),
IF('TL02'!$B$3=J$3,SUMIF('TL02'!$C$10:$C$224,$C244,'TL02'!$J$10:$J$224),0),
IF('TL02'!$B$229=J$3,SUMIF('TL02'!$C$238:$C$451,$C244,'TL02'!$J$238:$J$451),0),
IF('TL03'!$B$3=J$3,SUMIF('TL03'!$C$10:$C$224,$C244,'TL03'!$J$10:$J$224),0),
IF('TL03'!$B$229=J$3,SUMIF('TL03'!$C$238:$C$451,$C244,'TL03'!$J$238:$J$451),0),
IF('TL04'!$B$3=J$3,SUMIF('TL04'!$C$10:$C$224,$C244,'TL04'!$J$10:$J$224),0),
IF('TL04'!$B$229=J$3,SUMIF('TL04'!$C$238:$C$451,$C244,'TL04'!$J$238:$J$451),0),
IF('TL05'!$B$3=J$3,SUMIF('TL05'!$C$10:$C$224,$C244,'TL05'!$J$10:$J$224),0),
IF('TL05'!$B$229=J$3,SUMIF('TL05'!$C$238:$C$451,$C244,'TL05'!$J$238:$J$451),0),
IF('TL06'!$B$3=J$3,SUMIF('TL06'!$C$10:$C$224,$C244,'TL06'!$J$10:$J$224),0),
IF('TL06'!$B$229=J$3,SUMIF('TL06'!$C$238:$C$451,$C244,'TL06'!$J$238:$J$451),0),
IF('TL07'!$B$3=J$3,SUMIF('TL07'!$C$10:$C$224,$C244,'TL07'!$J$10:$J$224),0),
IF('TL07'!$B$229=J$3,SUMIF('TL07'!$C$238:$C$451,$C244,'TL07'!$J$238:$J$451),0),
IF('TL08'!$B$3=J$3,SUMIF('TL08'!$C$10:$C$224,$C244,'TL08'!$J$10:$J$224),0),
IF('TL08'!$B$229=J$3,SUMIF('TL08'!$C$238:$C$451,$C244,'TL08'!$J$238:$J$451),0),
IF('TL09'!$B$3=J$3,SUMIF('TL09'!$C$10:$C$224,$C244,'TL09'!$J$10:$J$224),0),
IF('TL09'!$B$229=J$3,SUMIF('TL09'!$C$238:$C$451,$C244,'TL09'!$J$238:$J$451),0),
IF('TL10'!$B$3=J$3,SUMIF('TL10'!$C$10:$C$224,$C244,'TL10'!$J$10:$J$224),0),
IF('TL10'!$B$229=J$3,SUMIF('TL10'!$C$238:$C$451,$C244,'TL10'!$J$238:$J$451),0),
IF('TL11'!$B$3=J$3,SUMIF('TL11'!$C$10:$C$224,$C244,'TL11'!$J$10:$J$224),0),
IF('TL11'!$B$229=J$3,SUMIF('TL11'!$C$238:$C$451,$C244,'TL11'!$J$238:$J$451),0),
IF('TL12'!$B$3=J$3,SUMIF('TL12'!$C$10:$C$224,$C244,'TL12'!$J$10:$J$224),0),
IF('TL12'!$B$229=J$3,SUMIF('TL12'!$C$238:$C$451,$C244,'TL12'!$J$238:$J$451),0),
IF('TL13'!$B$3=J$3,SUMIF('TL13'!$C$10:$C$224,$C244,'TL13'!$J$10:$J$224),0),
IF('TL13'!$B$229=J$3,SUMIF('TL13'!$C$238:$C$451,$C244,'TL13'!$J$238:$J$451),0),
IF('TL14'!$B$3=J$3,SUMIF('TL14'!$C$10:$C$224,$C244,'TL14'!$J$10:$J$224),0),
IF('TL14'!$B$229=J$3,SUMIF('TL14'!$C$238:$C$451,$C244,'TL14'!$J$238:$J$451),0),
IF('TL15'!$B$3=J$3,SUMIF('TL15'!$C$10:$C$224,$C244,'TL15'!$J$10:$J$224),0),
IF('TL15'!$B$229=J$3,SUMIF('TL15'!$C$238:$C$451,$C244,'TL15'!$J$238:$J$451),0),
IF('TL16'!$B$3=J$3,SUMIF('TL16'!$C$10:$C$224,$C244,'TL16'!$J$10:$J$224),0),
IF('TL16'!$B$229=J$3,SUMIF('TL16'!$C$238:$C$451,$C244,'TL16'!$J$238:$J$451),0),
IF('TL17'!$B$3=J$3,SUMIF('TL17'!$C$10:$C$224,$C244,'TL17'!$J$10:$J$224),0),
IF('TL17'!$B$229=J$3,SUMIF('TL17'!$C$238:$C$451,$C244,'TL17'!$J$238:$J$451),0),
IF('TL18'!$B$3=J$3,SUMIF('TL18'!$C$10:$C$224,$C244,'TL18'!$J$10:$J$224),0),
IF('TL18'!$B$229=J$3,SUMIF('TL18'!$C$238:$C$451,$C244,'TL18'!$J$238:$J$451),0),
IF('TL19'!$B$3=J$3,SUMIF('TL19'!$C$10:$C$224,$C244,'TL19'!$J$10:$J$224),0),
IF('TL19'!$B$229=J$3,SUMIF('TL19'!$C$238:$C$451,$C244,'TL19'!$J$238:$J$451),0)
),0)</f>
        <v/>
      </c>
      <c r="K244" s="9">
        <f>IFERROR(SUM(
IF('TL01'!$B$3=K$3,SUMIF('TL01'!$C$10:$C$224,$C244,'TL01'!$J$10:$J$224),0),
IF('TL01'!$B$229=K$3,SUMIF('TL01'!$C$238:$C$451,$C244,'TL01'!$J$238:$J$451),0),
IF('TL02'!$B$3=K$3,SUMIF('TL02'!$C$10:$C$224,$C244,'TL02'!$J$10:$J$224),0),
IF('TL02'!$B$229=K$3,SUMIF('TL02'!$C$238:$C$451,$C244,'TL02'!$J$238:$J$451),0),
IF('TL03'!$B$3=K$3,SUMIF('TL03'!$C$10:$C$224,$C244,'TL03'!$J$10:$J$224),0),
IF('TL03'!$B$229=K$3,SUMIF('TL03'!$C$238:$C$451,$C244,'TL03'!$J$238:$J$451),0),
IF('TL04'!$B$3=K$3,SUMIF('TL04'!$C$10:$C$224,$C244,'TL04'!$J$10:$J$224),0),
IF('TL04'!$B$229=K$3,SUMIF('TL04'!$C$238:$C$451,$C244,'TL04'!$J$238:$J$451),0),
IF('TL05'!$B$3=K$3,SUMIF('TL05'!$C$10:$C$224,$C244,'TL05'!$J$10:$J$224),0),
IF('TL05'!$B$229=K$3,SUMIF('TL05'!$C$238:$C$451,$C244,'TL05'!$J$238:$J$451),0),
IF('TL06'!$B$3=K$3,SUMIF('TL06'!$C$10:$C$224,$C244,'TL06'!$J$10:$J$224),0),
IF('TL06'!$B$229=K$3,SUMIF('TL06'!$C$238:$C$451,$C244,'TL06'!$J$238:$J$451),0),
IF('TL07'!$B$3=K$3,SUMIF('TL07'!$C$10:$C$224,$C244,'TL07'!$J$10:$J$224),0),
IF('TL07'!$B$229=K$3,SUMIF('TL07'!$C$238:$C$451,$C244,'TL07'!$J$238:$J$451),0),
IF('TL08'!$B$3=K$3,SUMIF('TL08'!$C$10:$C$224,$C244,'TL08'!$J$10:$J$224),0),
IF('TL08'!$B$229=K$3,SUMIF('TL08'!$C$238:$C$451,$C244,'TL08'!$J$238:$J$451),0),
IF('TL09'!$B$3=K$3,SUMIF('TL09'!$C$10:$C$224,$C244,'TL09'!$J$10:$J$224),0),
IF('TL09'!$B$229=K$3,SUMIF('TL09'!$C$238:$C$451,$C244,'TL09'!$J$238:$J$451),0),
IF('TL10'!$B$3=K$3,SUMIF('TL10'!$C$10:$C$224,$C244,'TL10'!$J$10:$J$224),0),
IF('TL10'!$B$229=K$3,SUMIF('TL10'!$C$238:$C$451,$C244,'TL10'!$J$238:$J$451),0),
IF('TL11'!$B$3=K$3,SUMIF('TL11'!$C$10:$C$224,$C244,'TL11'!$J$10:$J$224),0),
IF('TL11'!$B$229=K$3,SUMIF('TL11'!$C$238:$C$451,$C244,'TL11'!$J$238:$J$451),0),
IF('TL12'!$B$3=K$3,SUMIF('TL12'!$C$10:$C$224,$C244,'TL12'!$J$10:$J$224),0),
IF('TL12'!$B$229=K$3,SUMIF('TL12'!$C$238:$C$451,$C244,'TL12'!$J$238:$J$451),0),
IF('TL13'!$B$3=K$3,SUMIF('TL13'!$C$10:$C$224,$C244,'TL13'!$J$10:$J$224),0),
IF('TL13'!$B$229=K$3,SUMIF('TL13'!$C$238:$C$451,$C244,'TL13'!$J$238:$J$451),0),
IF('TL14'!$B$3=K$3,SUMIF('TL14'!$C$10:$C$224,$C244,'TL14'!$J$10:$J$224),0),
IF('TL14'!$B$229=K$3,SUMIF('TL14'!$C$238:$C$451,$C244,'TL14'!$J$238:$J$451),0),
IF('TL15'!$B$3=K$3,SUMIF('TL15'!$C$10:$C$224,$C244,'TL15'!$J$10:$J$224),0),
IF('TL15'!$B$229=K$3,SUMIF('TL15'!$C$238:$C$451,$C244,'TL15'!$J$238:$J$451),0),
IF('TL16'!$B$3=K$3,SUMIF('TL16'!$C$10:$C$224,$C244,'TL16'!$J$10:$J$224),0),
IF('TL16'!$B$229=K$3,SUMIF('TL16'!$C$238:$C$451,$C244,'TL16'!$J$238:$J$451),0),
IF('TL17'!$B$3=K$3,SUMIF('TL17'!$C$10:$C$224,$C244,'TL17'!$J$10:$J$224),0),
IF('TL17'!$B$229=K$3,SUMIF('TL17'!$C$238:$C$451,$C244,'TL17'!$J$238:$J$451),0),
IF('TL18'!$B$3=K$3,SUMIF('TL18'!$C$10:$C$224,$C244,'TL18'!$J$10:$J$224),0),
IF('TL18'!$B$229=K$3,SUMIF('TL18'!$C$238:$C$451,$C244,'TL18'!$J$238:$J$451),0),
IF('TL19'!$B$3=K$3,SUMIF('TL19'!$C$10:$C$224,$C244,'TL19'!$J$10:$J$224),0),
IF('TL19'!$B$229=K$3,SUMIF('TL19'!$C$238:$C$451,$C244,'TL19'!$J$238:$J$451),0)
),0)</f>
        <v/>
      </c>
      <c r="L244" s="9">
        <f>IFERROR(SUM(
IF('TL01'!$B$3=L$3,SUMIF('TL01'!$C$10:$C$224,$C244,'TL01'!$J$10:$J$224),0),
IF('TL01'!$B$229=L$3,SUMIF('TL01'!$C$238:$C$451,$C244,'TL01'!$J$238:$J$451),0),
IF('TL02'!$B$3=L$3,SUMIF('TL02'!$C$10:$C$224,$C244,'TL02'!$J$10:$J$224),0),
IF('TL02'!$B$229=L$3,SUMIF('TL02'!$C$238:$C$451,$C244,'TL02'!$J$238:$J$451),0),
IF('TL03'!$B$3=L$3,SUMIF('TL03'!$C$10:$C$224,$C244,'TL03'!$J$10:$J$224),0),
IF('TL03'!$B$229=L$3,SUMIF('TL03'!$C$238:$C$451,$C244,'TL03'!$J$238:$J$451),0),
IF('TL04'!$B$3=L$3,SUMIF('TL04'!$C$10:$C$224,$C244,'TL04'!$J$10:$J$224),0),
IF('TL04'!$B$229=L$3,SUMIF('TL04'!$C$238:$C$451,$C244,'TL04'!$J$238:$J$451),0),
IF('TL05'!$B$3=L$3,SUMIF('TL05'!$C$10:$C$224,$C244,'TL05'!$J$10:$J$224),0),
IF('TL05'!$B$229=L$3,SUMIF('TL05'!$C$238:$C$451,$C244,'TL05'!$J$238:$J$451),0),
IF('TL06'!$B$3=L$3,SUMIF('TL06'!$C$10:$C$224,$C244,'TL06'!$J$10:$J$224),0),
IF('TL06'!$B$229=L$3,SUMIF('TL06'!$C$238:$C$451,$C244,'TL06'!$J$238:$J$451),0),
IF('TL07'!$B$3=L$3,SUMIF('TL07'!$C$10:$C$224,$C244,'TL07'!$J$10:$J$224),0),
IF('TL07'!$B$229=L$3,SUMIF('TL07'!$C$238:$C$451,$C244,'TL07'!$J$238:$J$451),0),
IF('TL08'!$B$3=L$3,SUMIF('TL08'!$C$10:$C$224,$C244,'TL08'!$J$10:$J$224),0),
IF('TL08'!$B$229=L$3,SUMIF('TL08'!$C$238:$C$451,$C244,'TL08'!$J$238:$J$451),0),
IF('TL09'!$B$3=L$3,SUMIF('TL09'!$C$10:$C$224,$C244,'TL09'!$J$10:$J$224),0),
IF('TL09'!$B$229=L$3,SUMIF('TL09'!$C$238:$C$451,$C244,'TL09'!$J$238:$J$451),0),
IF('TL10'!$B$3=L$3,SUMIF('TL10'!$C$10:$C$224,$C244,'TL10'!$J$10:$J$224),0),
IF('TL10'!$B$229=L$3,SUMIF('TL10'!$C$238:$C$451,$C244,'TL10'!$J$238:$J$451),0),
IF('TL11'!$B$3=L$3,SUMIF('TL11'!$C$10:$C$224,$C244,'TL11'!$J$10:$J$224),0),
IF('TL11'!$B$229=L$3,SUMIF('TL11'!$C$238:$C$451,$C244,'TL11'!$J$238:$J$451),0),
IF('TL12'!$B$3=L$3,SUMIF('TL12'!$C$10:$C$224,$C244,'TL12'!$J$10:$J$224),0),
IF('TL12'!$B$229=L$3,SUMIF('TL12'!$C$238:$C$451,$C244,'TL12'!$J$238:$J$451),0),
IF('TL13'!$B$3=L$3,SUMIF('TL13'!$C$10:$C$224,$C244,'TL13'!$J$10:$J$224),0),
IF('TL13'!$B$229=L$3,SUMIF('TL13'!$C$238:$C$451,$C244,'TL13'!$J$238:$J$451),0),
IF('TL14'!$B$3=L$3,SUMIF('TL14'!$C$10:$C$224,$C244,'TL14'!$J$10:$J$224),0),
IF('TL14'!$B$229=L$3,SUMIF('TL14'!$C$238:$C$451,$C244,'TL14'!$J$238:$J$451),0),
IF('TL15'!$B$3=L$3,SUMIF('TL15'!$C$10:$C$224,$C244,'TL15'!$J$10:$J$224),0),
IF('TL15'!$B$229=L$3,SUMIF('TL15'!$C$238:$C$451,$C244,'TL15'!$J$238:$J$451),0),
IF('TL16'!$B$3=L$3,SUMIF('TL16'!$C$10:$C$224,$C244,'TL16'!$J$10:$J$224),0),
IF('TL16'!$B$229=L$3,SUMIF('TL16'!$C$238:$C$451,$C244,'TL16'!$J$238:$J$451),0),
IF('TL17'!$B$3=L$3,SUMIF('TL17'!$C$10:$C$224,$C244,'TL17'!$J$10:$J$224),0),
IF('TL17'!$B$229=L$3,SUMIF('TL17'!$C$238:$C$451,$C244,'TL17'!$J$238:$J$451),0),
IF('TL18'!$B$3=L$3,SUMIF('TL18'!$C$10:$C$224,$C244,'TL18'!$J$10:$J$224),0),
IF('TL18'!$B$229=L$3,SUMIF('TL18'!$C$238:$C$451,$C244,'TL18'!$J$238:$J$451),0),
IF('TL19'!$B$3=L$3,SUMIF('TL19'!$C$10:$C$224,$C244,'TL19'!$J$10:$J$224),0),
IF('TL19'!$B$229=L$3,SUMIF('TL19'!$C$238:$C$451,$C244,'TL19'!$J$238:$J$451),0)
),0)</f>
        <v/>
      </c>
      <c r="M244" s="9">
        <f>IFERROR(SUM(
IF('TL01'!$B$3=M$3,SUMIF('TL01'!$C$10:$C$224,$C244,'TL01'!$J$10:$J$224),0),
IF('TL01'!$B$229=M$3,SUMIF('TL01'!$C$238:$C$451,$C244,'TL01'!$J$238:$J$451),0),
IF('TL02'!$B$3=M$3,SUMIF('TL02'!$C$10:$C$224,$C244,'TL02'!$J$10:$J$224),0),
IF('TL02'!$B$229=M$3,SUMIF('TL02'!$C$238:$C$451,$C244,'TL02'!$J$238:$J$451),0),
IF('TL03'!$B$3=M$3,SUMIF('TL03'!$C$10:$C$224,$C244,'TL03'!$J$10:$J$224),0),
IF('TL03'!$B$229=M$3,SUMIF('TL03'!$C$238:$C$451,$C244,'TL03'!$J$238:$J$451),0),
IF('TL04'!$B$3=M$3,SUMIF('TL04'!$C$10:$C$224,$C244,'TL04'!$J$10:$J$224),0),
IF('TL04'!$B$229=M$3,SUMIF('TL04'!$C$238:$C$451,$C244,'TL04'!$J$238:$J$451),0),
IF('TL05'!$B$3=M$3,SUMIF('TL05'!$C$10:$C$224,$C244,'TL05'!$J$10:$J$224),0),
IF('TL05'!$B$229=M$3,SUMIF('TL05'!$C$238:$C$451,$C244,'TL05'!$J$238:$J$451),0),
IF('TL06'!$B$3=M$3,SUMIF('TL06'!$C$10:$C$224,$C244,'TL06'!$J$10:$J$224),0),
IF('TL06'!$B$229=M$3,SUMIF('TL06'!$C$238:$C$451,$C244,'TL06'!$J$238:$J$451),0),
IF('TL07'!$B$3=M$3,SUMIF('TL07'!$C$10:$C$224,$C244,'TL07'!$J$10:$J$224),0),
IF('TL07'!$B$229=M$3,SUMIF('TL07'!$C$238:$C$451,$C244,'TL07'!$J$238:$J$451),0),
IF('TL08'!$B$3=M$3,SUMIF('TL08'!$C$10:$C$224,$C244,'TL08'!$J$10:$J$224),0),
IF('TL08'!$B$229=M$3,SUMIF('TL08'!$C$238:$C$451,$C244,'TL08'!$J$238:$J$451),0),
IF('TL09'!$B$3=M$3,SUMIF('TL09'!$C$10:$C$224,$C244,'TL09'!$J$10:$J$224),0),
IF('TL09'!$B$229=M$3,SUMIF('TL09'!$C$238:$C$451,$C244,'TL09'!$J$238:$J$451),0),
IF('TL10'!$B$3=M$3,SUMIF('TL10'!$C$10:$C$224,$C244,'TL10'!$J$10:$J$224),0),
IF('TL10'!$B$229=M$3,SUMIF('TL10'!$C$238:$C$451,$C244,'TL10'!$J$238:$J$451),0),
IF('TL11'!$B$3=M$3,SUMIF('TL11'!$C$10:$C$224,$C244,'TL11'!$J$10:$J$224),0),
IF('TL11'!$B$229=M$3,SUMIF('TL11'!$C$238:$C$451,$C244,'TL11'!$J$238:$J$451),0),
IF('TL12'!$B$3=M$3,SUMIF('TL12'!$C$10:$C$224,$C244,'TL12'!$J$10:$J$224),0),
IF('TL12'!$B$229=M$3,SUMIF('TL12'!$C$238:$C$451,$C244,'TL12'!$J$238:$J$451),0),
IF('TL13'!$B$3=M$3,SUMIF('TL13'!$C$10:$C$224,$C244,'TL13'!$J$10:$J$224),0),
IF('TL13'!$B$229=M$3,SUMIF('TL13'!$C$238:$C$451,$C244,'TL13'!$J$238:$J$451),0),
IF('TL14'!$B$3=M$3,SUMIF('TL14'!$C$10:$C$224,$C244,'TL14'!$J$10:$J$224),0),
IF('TL14'!$B$229=M$3,SUMIF('TL14'!$C$238:$C$451,$C244,'TL14'!$J$238:$J$451),0),
IF('TL15'!$B$3=M$3,SUMIF('TL15'!$C$10:$C$224,$C244,'TL15'!$J$10:$J$224),0),
IF('TL15'!$B$229=M$3,SUMIF('TL15'!$C$238:$C$451,$C244,'TL15'!$J$238:$J$451),0),
IF('TL16'!$B$3=M$3,SUMIF('TL16'!$C$10:$C$224,$C244,'TL16'!$J$10:$J$224),0),
IF('TL16'!$B$229=M$3,SUMIF('TL16'!$C$238:$C$451,$C244,'TL16'!$J$238:$J$451),0),
IF('TL17'!$B$3=M$3,SUMIF('TL17'!$C$10:$C$224,$C244,'TL17'!$J$10:$J$224),0),
IF('TL17'!$B$229=M$3,SUMIF('TL17'!$C$238:$C$451,$C244,'TL17'!$J$238:$J$451),0),
IF('TL18'!$B$3=M$3,SUMIF('TL18'!$C$10:$C$224,$C244,'TL18'!$J$10:$J$224),0),
IF('TL18'!$B$229=M$3,SUMIF('TL18'!$C$238:$C$451,$C244,'TL18'!$J$238:$J$451),0),
IF('TL19'!$B$3=M$3,SUMIF('TL19'!$C$10:$C$224,$C244,'TL19'!$J$10:$J$224),0),
IF('TL19'!$B$229=M$3,SUMIF('TL19'!$C$238:$C$451,$C244,'TL19'!$J$238:$J$451),0)
),0)</f>
        <v/>
      </c>
      <c r="N244" s="9">
        <f>IFERROR(SUM(
IF('TL01'!$B$3=N$3,SUMIF('TL01'!$C$10:$C$224,$C244,'TL01'!$J$10:$J$224),0),
IF('TL01'!$B$229=N$3,SUMIF('TL01'!$C$238:$C$451,$C244,'TL01'!$J$238:$J$451),0),
IF('TL02'!$B$3=N$3,SUMIF('TL02'!$C$10:$C$224,$C244,'TL02'!$J$10:$J$224),0),
IF('TL02'!$B$229=N$3,SUMIF('TL02'!$C$238:$C$451,$C244,'TL02'!$J$238:$J$451),0),
IF('TL03'!$B$3=N$3,SUMIF('TL03'!$C$10:$C$224,$C244,'TL03'!$J$10:$J$224),0),
IF('TL03'!$B$229=N$3,SUMIF('TL03'!$C$238:$C$451,$C244,'TL03'!$J$238:$J$451),0),
IF('TL04'!$B$3=N$3,SUMIF('TL04'!$C$10:$C$224,$C244,'TL04'!$J$10:$J$224),0),
IF('TL04'!$B$229=N$3,SUMIF('TL04'!$C$238:$C$451,$C244,'TL04'!$J$238:$J$451),0),
IF('TL05'!$B$3=N$3,SUMIF('TL05'!$C$10:$C$224,$C244,'TL05'!$J$10:$J$224),0),
IF('TL05'!$B$229=N$3,SUMIF('TL05'!$C$238:$C$451,$C244,'TL05'!$J$238:$J$451),0),
IF('TL06'!$B$3=N$3,SUMIF('TL06'!$C$10:$C$224,$C244,'TL06'!$J$10:$J$224),0),
IF('TL06'!$B$229=N$3,SUMIF('TL06'!$C$238:$C$451,$C244,'TL06'!$J$238:$J$451),0),
IF('TL07'!$B$3=N$3,SUMIF('TL07'!$C$10:$C$224,$C244,'TL07'!$J$10:$J$224),0),
IF('TL07'!$B$229=N$3,SUMIF('TL07'!$C$238:$C$451,$C244,'TL07'!$J$238:$J$451),0),
IF('TL08'!$B$3=N$3,SUMIF('TL08'!$C$10:$C$224,$C244,'TL08'!$J$10:$J$224),0),
IF('TL08'!$B$229=N$3,SUMIF('TL08'!$C$238:$C$451,$C244,'TL08'!$J$238:$J$451),0),
IF('TL09'!$B$3=N$3,SUMIF('TL09'!$C$10:$C$224,$C244,'TL09'!$J$10:$J$224),0),
IF('TL09'!$B$229=N$3,SUMIF('TL09'!$C$238:$C$451,$C244,'TL09'!$J$238:$J$451),0),
IF('TL10'!$B$3=N$3,SUMIF('TL10'!$C$10:$C$224,$C244,'TL10'!$J$10:$J$224),0),
IF('TL10'!$B$229=N$3,SUMIF('TL10'!$C$238:$C$451,$C244,'TL10'!$J$238:$J$451),0),
IF('TL11'!$B$3=N$3,SUMIF('TL11'!$C$10:$C$224,$C244,'TL11'!$J$10:$J$224),0),
IF('TL11'!$B$229=N$3,SUMIF('TL11'!$C$238:$C$451,$C244,'TL11'!$J$238:$J$451),0),
IF('TL12'!$B$3=N$3,SUMIF('TL12'!$C$10:$C$224,$C244,'TL12'!$J$10:$J$224),0),
IF('TL12'!$B$229=N$3,SUMIF('TL12'!$C$238:$C$451,$C244,'TL12'!$J$238:$J$451),0),
IF('TL13'!$B$3=N$3,SUMIF('TL13'!$C$10:$C$224,$C244,'TL13'!$J$10:$J$224),0),
IF('TL13'!$B$229=N$3,SUMIF('TL13'!$C$238:$C$451,$C244,'TL13'!$J$238:$J$451),0),
IF('TL14'!$B$3=N$3,SUMIF('TL14'!$C$10:$C$224,$C244,'TL14'!$J$10:$J$224),0),
IF('TL14'!$B$229=N$3,SUMIF('TL14'!$C$238:$C$451,$C244,'TL14'!$J$238:$J$451),0),
IF('TL15'!$B$3=N$3,SUMIF('TL15'!$C$10:$C$224,$C244,'TL15'!$J$10:$J$224),0),
IF('TL15'!$B$229=N$3,SUMIF('TL15'!$C$238:$C$451,$C244,'TL15'!$J$238:$J$451),0),
IF('TL16'!$B$3=N$3,SUMIF('TL16'!$C$10:$C$224,$C244,'TL16'!$J$10:$J$224),0),
IF('TL16'!$B$229=N$3,SUMIF('TL16'!$C$238:$C$451,$C244,'TL16'!$J$238:$J$451),0),
IF('TL17'!$B$3=N$3,SUMIF('TL17'!$C$10:$C$224,$C244,'TL17'!$J$10:$J$224),0),
IF('TL17'!$B$229=N$3,SUMIF('TL17'!$C$238:$C$451,$C244,'TL17'!$J$238:$J$451),0),
IF('TL18'!$B$3=N$3,SUMIF('TL18'!$C$10:$C$224,$C244,'TL18'!$J$10:$J$224),0),
IF('TL18'!$B$229=N$3,SUMIF('TL18'!$C$238:$C$451,$C244,'TL18'!$J$238:$J$451),0),
IF('TL19'!$B$3=N$3,SUMIF('TL19'!$C$10:$C$224,$C244,'TL19'!$J$10:$J$224),0),
IF('TL19'!$B$229=N$3,SUMIF('TL19'!$C$238:$C$451,$C244,'TL19'!$J$238:$J$451),0)
),0)</f>
        <v/>
      </c>
      <c r="O244" s="9">
        <f>IFERROR(SUM(
IF('TL01'!$B$3=O$3,SUMIF('TL01'!$C$10:$C$224,$C244,'TL01'!$J$10:$J$224),0),
IF('TL01'!$B$229=O$3,SUMIF('TL01'!$C$238:$C$451,$C244,'TL01'!$J$238:$J$451),0),
IF('TL02'!$B$3=O$3,SUMIF('TL02'!$C$10:$C$224,$C244,'TL02'!$J$10:$J$224),0),
IF('TL02'!$B$229=O$3,SUMIF('TL02'!$C$238:$C$451,$C244,'TL02'!$J$238:$J$451),0),
IF('TL03'!$B$3=O$3,SUMIF('TL03'!$C$10:$C$224,$C244,'TL03'!$J$10:$J$224),0),
IF('TL03'!$B$229=O$3,SUMIF('TL03'!$C$238:$C$451,$C244,'TL03'!$J$238:$J$451),0),
IF('TL04'!$B$3=O$3,SUMIF('TL04'!$C$10:$C$224,$C244,'TL04'!$J$10:$J$224),0),
IF('TL04'!$B$229=O$3,SUMIF('TL04'!$C$238:$C$451,$C244,'TL04'!$J$238:$J$451),0),
IF('TL05'!$B$3=O$3,SUMIF('TL05'!$C$10:$C$224,$C244,'TL05'!$J$10:$J$224),0),
IF('TL05'!$B$229=O$3,SUMIF('TL05'!$C$238:$C$451,$C244,'TL05'!$J$238:$J$451),0),
IF('TL06'!$B$3=O$3,SUMIF('TL06'!$C$10:$C$224,$C244,'TL06'!$J$10:$J$224),0),
IF('TL06'!$B$229=O$3,SUMIF('TL06'!$C$238:$C$451,$C244,'TL06'!$J$238:$J$451),0),
IF('TL07'!$B$3=O$3,SUMIF('TL07'!$C$10:$C$224,$C244,'TL07'!$J$10:$J$224),0),
IF('TL07'!$B$229=O$3,SUMIF('TL07'!$C$238:$C$451,$C244,'TL07'!$J$238:$J$451),0),
IF('TL08'!$B$3=O$3,SUMIF('TL08'!$C$10:$C$224,$C244,'TL08'!$J$10:$J$224),0),
IF('TL08'!$B$229=O$3,SUMIF('TL08'!$C$238:$C$451,$C244,'TL08'!$J$238:$J$451),0),
IF('TL09'!$B$3=O$3,SUMIF('TL09'!$C$10:$C$224,$C244,'TL09'!$J$10:$J$224),0),
IF('TL09'!$B$229=O$3,SUMIF('TL09'!$C$238:$C$451,$C244,'TL09'!$J$238:$J$451),0),
IF('TL10'!$B$3=O$3,SUMIF('TL10'!$C$10:$C$224,$C244,'TL10'!$J$10:$J$224),0),
IF('TL10'!$B$229=O$3,SUMIF('TL10'!$C$238:$C$451,$C244,'TL10'!$J$238:$J$451),0),
IF('TL11'!$B$3=O$3,SUMIF('TL11'!$C$10:$C$224,$C244,'TL11'!$J$10:$J$224),0),
IF('TL11'!$B$229=O$3,SUMIF('TL11'!$C$238:$C$451,$C244,'TL11'!$J$238:$J$451),0),
IF('TL12'!$B$3=O$3,SUMIF('TL12'!$C$10:$C$224,$C244,'TL12'!$J$10:$J$224),0),
IF('TL12'!$B$229=O$3,SUMIF('TL12'!$C$238:$C$451,$C244,'TL12'!$J$238:$J$451),0),
IF('TL13'!$B$3=O$3,SUMIF('TL13'!$C$10:$C$224,$C244,'TL13'!$J$10:$J$224),0),
IF('TL13'!$B$229=O$3,SUMIF('TL13'!$C$238:$C$451,$C244,'TL13'!$J$238:$J$451),0),
IF('TL14'!$B$3=O$3,SUMIF('TL14'!$C$10:$C$224,$C244,'TL14'!$J$10:$J$224),0),
IF('TL14'!$B$229=O$3,SUMIF('TL14'!$C$238:$C$451,$C244,'TL14'!$J$238:$J$451),0),
IF('TL15'!$B$3=O$3,SUMIF('TL15'!$C$10:$C$224,$C244,'TL15'!$J$10:$J$224),0),
IF('TL15'!$B$229=O$3,SUMIF('TL15'!$C$238:$C$451,$C244,'TL15'!$J$238:$J$451),0),
IF('TL16'!$B$3=O$3,SUMIF('TL16'!$C$10:$C$224,$C244,'TL16'!$J$10:$J$224),0),
IF('TL16'!$B$229=O$3,SUMIF('TL16'!$C$238:$C$451,$C244,'TL16'!$J$238:$J$451),0),
IF('TL17'!$B$3=O$3,SUMIF('TL17'!$C$10:$C$224,$C244,'TL17'!$J$10:$J$224),0),
IF('TL17'!$B$229=O$3,SUMIF('TL17'!$C$238:$C$451,$C244,'TL17'!$J$238:$J$451),0),
IF('TL18'!$B$3=O$3,SUMIF('TL18'!$C$10:$C$224,$C244,'TL18'!$J$10:$J$224),0),
IF('TL18'!$B$229=O$3,SUMIF('TL18'!$C$238:$C$451,$C244,'TL18'!$J$238:$J$451),0),
IF('TL19'!$B$3=O$3,SUMIF('TL19'!$C$10:$C$224,$C244,'TL19'!$J$10:$J$224),0),
IF('TL19'!$B$229=O$3,SUMIF('TL19'!$C$238:$C$451,$C244,'TL19'!$J$238:$J$451),0)
),0)</f>
        <v/>
      </c>
      <c r="P244" s="9">
        <f>IFERROR(SUM(
IF('TL01'!$B$3=P$3,SUMIF('TL01'!$C$10:$C$224,$C244,'TL01'!$J$10:$J$224),0),
IF('TL01'!$B$229=P$3,SUMIF('TL01'!$C$238:$C$451,$C244,'TL01'!$J$238:$J$451),0),
IF('TL02'!$B$3=P$3,SUMIF('TL02'!$C$10:$C$224,$C244,'TL02'!$J$10:$J$224),0),
IF('TL02'!$B$229=P$3,SUMIF('TL02'!$C$238:$C$451,$C244,'TL02'!$J$238:$J$451),0),
IF('TL03'!$B$3=P$3,SUMIF('TL03'!$C$10:$C$224,$C244,'TL03'!$J$10:$J$224),0),
IF('TL03'!$B$229=P$3,SUMIF('TL03'!$C$238:$C$451,$C244,'TL03'!$J$238:$J$451),0),
IF('TL04'!$B$3=P$3,SUMIF('TL04'!$C$10:$C$224,$C244,'TL04'!$J$10:$J$224),0),
IF('TL04'!$B$229=P$3,SUMIF('TL04'!$C$238:$C$451,$C244,'TL04'!$J$238:$J$451),0),
IF('TL05'!$B$3=P$3,SUMIF('TL05'!$C$10:$C$224,$C244,'TL05'!$J$10:$J$224),0),
IF('TL05'!$B$229=P$3,SUMIF('TL05'!$C$238:$C$451,$C244,'TL05'!$J$238:$J$451),0),
IF('TL06'!$B$3=P$3,SUMIF('TL06'!$C$10:$C$224,$C244,'TL06'!$J$10:$J$224),0),
IF('TL06'!$B$229=P$3,SUMIF('TL06'!$C$238:$C$451,$C244,'TL06'!$J$238:$J$451),0),
IF('TL07'!$B$3=P$3,SUMIF('TL07'!$C$10:$C$224,$C244,'TL07'!$J$10:$J$224),0),
IF('TL07'!$B$229=P$3,SUMIF('TL07'!$C$238:$C$451,$C244,'TL07'!$J$238:$J$451),0),
IF('TL08'!$B$3=P$3,SUMIF('TL08'!$C$10:$C$224,$C244,'TL08'!$J$10:$J$224),0),
IF('TL08'!$B$229=P$3,SUMIF('TL08'!$C$238:$C$451,$C244,'TL08'!$J$238:$J$451),0),
IF('TL09'!$B$3=P$3,SUMIF('TL09'!$C$10:$C$224,$C244,'TL09'!$J$10:$J$224),0),
IF('TL09'!$B$229=P$3,SUMIF('TL09'!$C$238:$C$451,$C244,'TL09'!$J$238:$J$451),0),
IF('TL10'!$B$3=P$3,SUMIF('TL10'!$C$10:$C$224,$C244,'TL10'!$J$10:$J$224),0),
IF('TL10'!$B$229=P$3,SUMIF('TL10'!$C$238:$C$451,$C244,'TL10'!$J$238:$J$451),0),
IF('TL11'!$B$3=P$3,SUMIF('TL11'!$C$10:$C$224,$C244,'TL11'!$J$10:$J$224),0),
IF('TL11'!$B$229=P$3,SUMIF('TL11'!$C$238:$C$451,$C244,'TL11'!$J$238:$J$451),0),
IF('TL12'!$B$3=P$3,SUMIF('TL12'!$C$10:$C$224,$C244,'TL12'!$J$10:$J$224),0),
IF('TL12'!$B$229=P$3,SUMIF('TL12'!$C$238:$C$451,$C244,'TL12'!$J$238:$J$451),0),
IF('TL13'!$B$3=P$3,SUMIF('TL13'!$C$10:$C$224,$C244,'TL13'!$J$10:$J$224),0),
IF('TL13'!$B$229=P$3,SUMIF('TL13'!$C$238:$C$451,$C244,'TL13'!$J$238:$J$451),0),
IF('TL14'!$B$3=P$3,SUMIF('TL14'!$C$10:$C$224,$C244,'TL14'!$J$10:$J$224),0),
IF('TL14'!$B$229=P$3,SUMIF('TL14'!$C$238:$C$451,$C244,'TL14'!$J$238:$J$451),0),
IF('TL15'!$B$3=P$3,SUMIF('TL15'!$C$10:$C$224,$C244,'TL15'!$J$10:$J$224),0),
IF('TL15'!$B$229=P$3,SUMIF('TL15'!$C$238:$C$451,$C244,'TL15'!$J$238:$J$451),0),
IF('TL16'!$B$3=P$3,SUMIF('TL16'!$C$10:$C$224,$C244,'TL16'!$J$10:$J$224),0),
IF('TL16'!$B$229=P$3,SUMIF('TL16'!$C$238:$C$451,$C244,'TL16'!$J$238:$J$451),0),
IF('TL17'!$B$3=P$3,SUMIF('TL17'!$C$10:$C$224,$C244,'TL17'!$J$10:$J$224),0),
IF('TL17'!$B$229=P$3,SUMIF('TL17'!$C$238:$C$451,$C244,'TL17'!$J$238:$J$451),0),
IF('TL18'!$B$3=P$3,SUMIF('TL18'!$C$10:$C$224,$C244,'TL18'!$J$10:$J$224),0),
IF('TL18'!$B$229=P$3,SUMIF('TL18'!$C$238:$C$451,$C244,'TL18'!$J$238:$J$451),0),
IF('TL19'!$B$3=P$3,SUMIF('TL19'!$C$10:$C$224,$C244,'TL19'!$J$10:$J$224),0),
IF('TL19'!$B$229=P$3,SUMIF('TL19'!$C$238:$C$451,$C244,'TL19'!$J$238:$J$451),0)
),0)</f>
        <v/>
      </c>
      <c r="Q244" s="9">
        <f>IFERROR(SUM(
IF('TL01'!$B$3=Q$3,SUMIF('TL01'!$C$10:$C$224,$C244,'TL01'!$J$10:$J$224),0),
IF('TL01'!$B$229=Q$3,SUMIF('TL01'!$C$238:$C$451,$C244,'TL01'!$J$238:$J$451),0),
IF('TL02'!$B$3=Q$3,SUMIF('TL02'!$C$10:$C$224,$C244,'TL02'!$J$10:$J$224),0),
IF('TL02'!$B$229=Q$3,SUMIF('TL02'!$C$238:$C$451,$C244,'TL02'!$J$238:$J$451),0),
IF('TL03'!$B$3=Q$3,SUMIF('TL03'!$C$10:$C$224,$C244,'TL03'!$J$10:$J$224),0),
IF('TL03'!$B$229=Q$3,SUMIF('TL03'!$C$238:$C$451,$C244,'TL03'!$J$238:$J$451),0),
IF('TL04'!$B$3=Q$3,SUMIF('TL04'!$C$10:$C$224,$C244,'TL04'!$J$10:$J$224),0),
IF('TL04'!$B$229=Q$3,SUMIF('TL04'!$C$238:$C$451,$C244,'TL04'!$J$238:$J$451),0),
IF('TL05'!$B$3=Q$3,SUMIF('TL05'!$C$10:$C$224,$C244,'TL05'!$J$10:$J$224),0),
IF('TL05'!$B$229=Q$3,SUMIF('TL05'!$C$238:$C$451,$C244,'TL05'!$J$238:$J$451),0),
IF('TL06'!$B$3=Q$3,SUMIF('TL06'!$C$10:$C$224,$C244,'TL06'!$J$10:$J$224),0),
IF('TL06'!$B$229=Q$3,SUMIF('TL06'!$C$238:$C$451,$C244,'TL06'!$J$238:$J$451),0),
IF('TL07'!$B$3=Q$3,SUMIF('TL07'!$C$10:$C$224,$C244,'TL07'!$J$10:$J$224),0),
IF('TL07'!$B$229=Q$3,SUMIF('TL07'!$C$238:$C$451,$C244,'TL07'!$J$238:$J$451),0),
IF('TL08'!$B$3=Q$3,SUMIF('TL08'!$C$10:$C$224,$C244,'TL08'!$J$10:$J$224),0),
IF('TL08'!$B$229=Q$3,SUMIF('TL08'!$C$238:$C$451,$C244,'TL08'!$J$238:$J$451),0),
IF('TL09'!$B$3=Q$3,SUMIF('TL09'!$C$10:$C$224,$C244,'TL09'!$J$10:$J$224),0),
IF('TL09'!$B$229=Q$3,SUMIF('TL09'!$C$238:$C$451,$C244,'TL09'!$J$238:$J$451),0),
IF('TL10'!$B$3=Q$3,SUMIF('TL10'!$C$10:$C$224,$C244,'TL10'!$J$10:$J$224),0),
IF('TL10'!$B$229=Q$3,SUMIF('TL10'!$C$238:$C$451,$C244,'TL10'!$J$238:$J$451),0),
IF('TL11'!$B$3=Q$3,SUMIF('TL11'!$C$10:$C$224,$C244,'TL11'!$J$10:$J$224),0),
IF('TL11'!$B$229=Q$3,SUMIF('TL11'!$C$238:$C$451,$C244,'TL11'!$J$238:$J$451),0),
IF('TL12'!$B$3=Q$3,SUMIF('TL12'!$C$10:$C$224,$C244,'TL12'!$J$10:$J$224),0),
IF('TL12'!$B$229=Q$3,SUMIF('TL12'!$C$238:$C$451,$C244,'TL12'!$J$238:$J$451),0),
IF('TL13'!$B$3=Q$3,SUMIF('TL13'!$C$10:$C$224,$C244,'TL13'!$J$10:$J$224),0),
IF('TL13'!$B$229=Q$3,SUMIF('TL13'!$C$238:$C$451,$C244,'TL13'!$J$238:$J$451),0),
IF('TL14'!$B$3=Q$3,SUMIF('TL14'!$C$10:$C$224,$C244,'TL14'!$J$10:$J$224),0),
IF('TL14'!$B$229=Q$3,SUMIF('TL14'!$C$238:$C$451,$C244,'TL14'!$J$238:$J$451),0),
IF('TL15'!$B$3=Q$3,SUMIF('TL15'!$C$10:$C$224,$C244,'TL15'!$J$10:$J$224),0),
IF('TL15'!$B$229=Q$3,SUMIF('TL15'!$C$238:$C$451,$C244,'TL15'!$J$238:$J$451),0),
IF('TL16'!$B$3=Q$3,SUMIF('TL16'!$C$10:$C$224,$C244,'TL16'!$J$10:$J$224),0),
IF('TL16'!$B$229=Q$3,SUMIF('TL16'!$C$238:$C$451,$C244,'TL16'!$J$238:$J$451),0),
IF('TL17'!$B$3=Q$3,SUMIF('TL17'!$C$10:$C$224,$C244,'TL17'!$J$10:$J$224),0),
IF('TL17'!$B$229=Q$3,SUMIF('TL17'!$C$238:$C$451,$C244,'TL17'!$J$238:$J$451),0),
IF('TL18'!$B$3=Q$3,SUMIF('TL18'!$C$10:$C$224,$C244,'TL18'!$J$10:$J$224),0),
IF('TL18'!$B$229=Q$3,SUMIF('TL18'!$C$238:$C$451,$C244,'TL18'!$J$238:$J$451),0),
IF('TL19'!$B$3=Q$3,SUMIF('TL19'!$C$10:$C$224,$C244,'TL19'!$J$10:$J$224),0),
IF('TL19'!$B$229=Q$3,SUMIF('TL19'!$C$238:$C$451,$C244,'TL19'!$J$238:$J$451),0)
),0)</f>
        <v/>
      </c>
      <c r="R244" s="9">
        <f>IFERROR(
SUM(
SUMIF('TL01'!C:C,C244,'TL01'!J:J),
SUMIF('TL02'!C:C,C244,'TL02'!J:J),
SUMIF('TL03'!C:C,C244,'TL03'!J:J),
SUMIF('TL04'!C:C,C244,'TL04'!J:J),
SUMIF('TL05'!C:C,C244,'TL05'!J:J),
SUMIF('TL06'!C:C,C244,'TL06'!J:J),
SUMIF('TL07'!C:C,C244,'TL07'!J:J),
SUMIF('TL08'!C:C,C244,'TL08'!J:J),
SUMIF('TL09'!C:C,C244,'TL09'!J:J),
SUMIF('TL10'!C:C,C244,'TL10'!J:J),
SUMIF('TL11'!C:C,C244,'TL11'!J:J),
SUMIF('TL12'!C:C,C244,'TL12'!J:J),
SUMIF('TL13'!C:C,C244,'TL13'!J:J),
SUMIF('TL14'!C:C,C244,'TL14'!J:J),
SUMIF('TL15'!C:C,C244,'TL15'!J:J),
SUMIF('TL16'!C:C,C244,'TL16'!J:J),
SUMIF('TL17'!C:C,C244,'TL17'!J:J),
SUMIF('TL18'!C:C,C244,'TL18'!J:J),SUMIF('TL19'!C:C,C244,'TL19'!J:J))
,0)</f>
        <v/>
      </c>
      <c r="S244" s="17">
        <f>IFERROR(__xludf.DUMMYFUNCTION("IFERROR(VLOOKUP(C244,
IMPORTRANGE(""1wULbzX32WdYsx-lj2U3uUNBBe2INVIRDtcK0d-Dvl90"",
""26-27!C:G""),
5,
FALSE),
"""")"),0.0)</f>
        <v/>
      </c>
      <c r="T244" s="9" t="n"/>
      <c r="U244" s="92">
        <f>MAX(0,R244-T244)</f>
        <v/>
      </c>
      <c r="V244" s="93">
        <f>U244*S244</f>
        <v/>
      </c>
    </row>
    <row r="245" hidden="1" ht="15.75" customHeight="1" s="297">
      <c r="A245" s="122" t="inlineStr">
        <is>
          <t>SUMITOMO</t>
        </is>
      </c>
      <c r="B245" s="120" t="inlineStr">
        <is>
          <t>RC</t>
        </is>
      </c>
      <c r="C245" s="122" t="inlineStr">
        <is>
          <t>IMPULSE</t>
        </is>
      </c>
      <c r="D245" s="122" t="inlineStr">
        <is>
          <t>ETEFOM</t>
        </is>
      </c>
      <c r="E245" s="122" t="n">
        <v>480</v>
      </c>
      <c r="F245" s="4" t="n"/>
      <c r="G245" s="90">
        <f>HYPERLINK("https://www.google.com/search?q=" &amp; C245 &amp; "+bula+agrofit+pdf", "📄 Ver bula")</f>
        <v/>
      </c>
      <c r="H245" s="9">
        <f>IFERROR(__xludf.DUMMYFUNCTION("IFERROR(VLOOKUP(C245,
IMPORTRANGE(""1wULbzX32WdYsx-lj2U3uUNBBe2INVIRDtcK0d-Dvl90"",
""26-27!C:K""),
8,
FALSE),
"""")"),"")</f>
        <v/>
      </c>
      <c r="I245" s="123" t="inlineStr">
        <is>
          <t>1x20</t>
        </is>
      </c>
      <c r="J245" s="9">
        <f>IFERROR(SUM(
IF('TL01'!$B$3=J$3,SUMIF('TL01'!$C$10:$C$224,$C245,'TL01'!$J$10:$J$224),0),
IF('TL01'!$B$229=J$3,SUMIF('TL01'!$C$238:$C$451,$C245,'TL01'!$J$238:$J$451),0),
IF('TL02'!$B$3=J$3,SUMIF('TL02'!$C$10:$C$224,$C245,'TL02'!$J$10:$J$224),0),
IF('TL02'!$B$229=J$3,SUMIF('TL02'!$C$238:$C$451,$C245,'TL02'!$J$238:$J$451),0),
IF('TL03'!$B$3=J$3,SUMIF('TL03'!$C$10:$C$224,$C245,'TL03'!$J$10:$J$224),0),
IF('TL03'!$B$229=J$3,SUMIF('TL03'!$C$238:$C$451,$C245,'TL03'!$J$238:$J$451),0),
IF('TL04'!$B$3=J$3,SUMIF('TL04'!$C$10:$C$224,$C245,'TL04'!$J$10:$J$224),0),
IF('TL04'!$B$229=J$3,SUMIF('TL04'!$C$238:$C$451,$C245,'TL04'!$J$238:$J$451),0),
IF('TL05'!$B$3=J$3,SUMIF('TL05'!$C$10:$C$224,$C245,'TL05'!$J$10:$J$224),0),
IF('TL05'!$B$229=J$3,SUMIF('TL05'!$C$238:$C$451,$C245,'TL05'!$J$238:$J$451),0),
IF('TL06'!$B$3=J$3,SUMIF('TL06'!$C$10:$C$224,$C245,'TL06'!$J$10:$J$224),0),
IF('TL06'!$B$229=J$3,SUMIF('TL06'!$C$238:$C$451,$C245,'TL06'!$J$238:$J$451),0),
IF('TL07'!$B$3=J$3,SUMIF('TL07'!$C$10:$C$224,$C245,'TL07'!$J$10:$J$224),0),
IF('TL07'!$B$229=J$3,SUMIF('TL07'!$C$238:$C$451,$C245,'TL07'!$J$238:$J$451),0),
IF('TL08'!$B$3=J$3,SUMIF('TL08'!$C$10:$C$224,$C245,'TL08'!$J$10:$J$224),0),
IF('TL08'!$B$229=J$3,SUMIF('TL08'!$C$238:$C$451,$C245,'TL08'!$J$238:$J$451),0),
IF('TL09'!$B$3=J$3,SUMIF('TL09'!$C$10:$C$224,$C245,'TL09'!$J$10:$J$224),0),
IF('TL09'!$B$229=J$3,SUMIF('TL09'!$C$238:$C$451,$C245,'TL09'!$J$238:$J$451),0),
IF('TL10'!$B$3=J$3,SUMIF('TL10'!$C$10:$C$224,$C245,'TL10'!$J$10:$J$224),0),
IF('TL10'!$B$229=J$3,SUMIF('TL10'!$C$238:$C$451,$C245,'TL10'!$J$238:$J$451),0),
IF('TL11'!$B$3=J$3,SUMIF('TL11'!$C$10:$C$224,$C245,'TL11'!$J$10:$J$224),0),
IF('TL11'!$B$229=J$3,SUMIF('TL11'!$C$238:$C$451,$C245,'TL11'!$J$238:$J$451),0),
IF('TL12'!$B$3=J$3,SUMIF('TL12'!$C$10:$C$224,$C245,'TL12'!$J$10:$J$224),0),
IF('TL12'!$B$229=J$3,SUMIF('TL12'!$C$238:$C$451,$C245,'TL12'!$J$238:$J$451),0),
IF('TL13'!$B$3=J$3,SUMIF('TL13'!$C$10:$C$224,$C245,'TL13'!$J$10:$J$224),0),
IF('TL13'!$B$229=J$3,SUMIF('TL13'!$C$238:$C$451,$C245,'TL13'!$J$238:$J$451),0),
IF('TL14'!$B$3=J$3,SUMIF('TL14'!$C$10:$C$224,$C245,'TL14'!$J$10:$J$224),0),
IF('TL14'!$B$229=J$3,SUMIF('TL14'!$C$238:$C$451,$C245,'TL14'!$J$238:$J$451),0),
IF('TL15'!$B$3=J$3,SUMIF('TL15'!$C$10:$C$224,$C245,'TL15'!$J$10:$J$224),0),
IF('TL15'!$B$229=J$3,SUMIF('TL15'!$C$238:$C$451,$C245,'TL15'!$J$238:$J$451),0),
IF('TL16'!$B$3=J$3,SUMIF('TL16'!$C$10:$C$224,$C245,'TL16'!$J$10:$J$224),0),
IF('TL16'!$B$229=J$3,SUMIF('TL16'!$C$238:$C$451,$C245,'TL16'!$J$238:$J$451),0),
IF('TL17'!$B$3=J$3,SUMIF('TL17'!$C$10:$C$224,$C245,'TL17'!$J$10:$J$224),0),
IF('TL17'!$B$229=J$3,SUMIF('TL17'!$C$238:$C$451,$C245,'TL17'!$J$238:$J$451),0),
IF('TL18'!$B$3=J$3,SUMIF('TL18'!$C$10:$C$224,$C245,'TL18'!$J$10:$J$224),0),
IF('TL18'!$B$229=J$3,SUMIF('TL18'!$C$238:$C$451,$C245,'TL18'!$J$238:$J$451),0),
IF('TL19'!$B$3=J$3,SUMIF('TL19'!$C$10:$C$224,$C245,'TL19'!$J$10:$J$224),0),
IF('TL19'!$B$229=J$3,SUMIF('TL19'!$C$238:$C$451,$C245,'TL19'!$J$238:$J$451),0)
),0)</f>
        <v/>
      </c>
      <c r="K245" s="9">
        <f>IFERROR(SUM(
IF('TL01'!$B$3=K$3,SUMIF('TL01'!$C$10:$C$224,$C245,'TL01'!$J$10:$J$224),0),
IF('TL01'!$B$229=K$3,SUMIF('TL01'!$C$238:$C$451,$C245,'TL01'!$J$238:$J$451),0),
IF('TL02'!$B$3=K$3,SUMIF('TL02'!$C$10:$C$224,$C245,'TL02'!$J$10:$J$224),0),
IF('TL02'!$B$229=K$3,SUMIF('TL02'!$C$238:$C$451,$C245,'TL02'!$J$238:$J$451),0),
IF('TL03'!$B$3=K$3,SUMIF('TL03'!$C$10:$C$224,$C245,'TL03'!$J$10:$J$224),0),
IF('TL03'!$B$229=K$3,SUMIF('TL03'!$C$238:$C$451,$C245,'TL03'!$J$238:$J$451),0),
IF('TL04'!$B$3=K$3,SUMIF('TL04'!$C$10:$C$224,$C245,'TL04'!$J$10:$J$224),0),
IF('TL04'!$B$229=K$3,SUMIF('TL04'!$C$238:$C$451,$C245,'TL04'!$J$238:$J$451),0),
IF('TL05'!$B$3=K$3,SUMIF('TL05'!$C$10:$C$224,$C245,'TL05'!$J$10:$J$224),0),
IF('TL05'!$B$229=K$3,SUMIF('TL05'!$C$238:$C$451,$C245,'TL05'!$J$238:$J$451),0),
IF('TL06'!$B$3=K$3,SUMIF('TL06'!$C$10:$C$224,$C245,'TL06'!$J$10:$J$224),0),
IF('TL06'!$B$229=K$3,SUMIF('TL06'!$C$238:$C$451,$C245,'TL06'!$J$238:$J$451),0),
IF('TL07'!$B$3=K$3,SUMIF('TL07'!$C$10:$C$224,$C245,'TL07'!$J$10:$J$224),0),
IF('TL07'!$B$229=K$3,SUMIF('TL07'!$C$238:$C$451,$C245,'TL07'!$J$238:$J$451),0),
IF('TL08'!$B$3=K$3,SUMIF('TL08'!$C$10:$C$224,$C245,'TL08'!$J$10:$J$224),0),
IF('TL08'!$B$229=K$3,SUMIF('TL08'!$C$238:$C$451,$C245,'TL08'!$J$238:$J$451),0),
IF('TL09'!$B$3=K$3,SUMIF('TL09'!$C$10:$C$224,$C245,'TL09'!$J$10:$J$224),0),
IF('TL09'!$B$229=K$3,SUMIF('TL09'!$C$238:$C$451,$C245,'TL09'!$J$238:$J$451),0),
IF('TL10'!$B$3=K$3,SUMIF('TL10'!$C$10:$C$224,$C245,'TL10'!$J$10:$J$224),0),
IF('TL10'!$B$229=K$3,SUMIF('TL10'!$C$238:$C$451,$C245,'TL10'!$J$238:$J$451),0),
IF('TL11'!$B$3=K$3,SUMIF('TL11'!$C$10:$C$224,$C245,'TL11'!$J$10:$J$224),0),
IF('TL11'!$B$229=K$3,SUMIF('TL11'!$C$238:$C$451,$C245,'TL11'!$J$238:$J$451),0),
IF('TL12'!$B$3=K$3,SUMIF('TL12'!$C$10:$C$224,$C245,'TL12'!$J$10:$J$224),0),
IF('TL12'!$B$229=K$3,SUMIF('TL12'!$C$238:$C$451,$C245,'TL12'!$J$238:$J$451),0),
IF('TL13'!$B$3=K$3,SUMIF('TL13'!$C$10:$C$224,$C245,'TL13'!$J$10:$J$224),0),
IF('TL13'!$B$229=K$3,SUMIF('TL13'!$C$238:$C$451,$C245,'TL13'!$J$238:$J$451),0),
IF('TL14'!$B$3=K$3,SUMIF('TL14'!$C$10:$C$224,$C245,'TL14'!$J$10:$J$224),0),
IF('TL14'!$B$229=K$3,SUMIF('TL14'!$C$238:$C$451,$C245,'TL14'!$J$238:$J$451),0),
IF('TL15'!$B$3=K$3,SUMIF('TL15'!$C$10:$C$224,$C245,'TL15'!$J$10:$J$224),0),
IF('TL15'!$B$229=K$3,SUMIF('TL15'!$C$238:$C$451,$C245,'TL15'!$J$238:$J$451),0),
IF('TL16'!$B$3=K$3,SUMIF('TL16'!$C$10:$C$224,$C245,'TL16'!$J$10:$J$224),0),
IF('TL16'!$B$229=K$3,SUMIF('TL16'!$C$238:$C$451,$C245,'TL16'!$J$238:$J$451),0),
IF('TL17'!$B$3=K$3,SUMIF('TL17'!$C$10:$C$224,$C245,'TL17'!$J$10:$J$224),0),
IF('TL17'!$B$229=K$3,SUMIF('TL17'!$C$238:$C$451,$C245,'TL17'!$J$238:$J$451),0),
IF('TL18'!$B$3=K$3,SUMIF('TL18'!$C$10:$C$224,$C245,'TL18'!$J$10:$J$224),0),
IF('TL18'!$B$229=K$3,SUMIF('TL18'!$C$238:$C$451,$C245,'TL18'!$J$238:$J$451),0),
IF('TL19'!$B$3=K$3,SUMIF('TL19'!$C$10:$C$224,$C245,'TL19'!$J$10:$J$224),0),
IF('TL19'!$B$229=K$3,SUMIF('TL19'!$C$238:$C$451,$C245,'TL19'!$J$238:$J$451),0)
),0)</f>
        <v/>
      </c>
      <c r="L245" s="9">
        <f>IFERROR(SUM(
IF('TL01'!$B$3=L$3,SUMIF('TL01'!$C$10:$C$224,$C245,'TL01'!$J$10:$J$224),0),
IF('TL01'!$B$229=L$3,SUMIF('TL01'!$C$238:$C$451,$C245,'TL01'!$J$238:$J$451),0),
IF('TL02'!$B$3=L$3,SUMIF('TL02'!$C$10:$C$224,$C245,'TL02'!$J$10:$J$224),0),
IF('TL02'!$B$229=L$3,SUMIF('TL02'!$C$238:$C$451,$C245,'TL02'!$J$238:$J$451),0),
IF('TL03'!$B$3=L$3,SUMIF('TL03'!$C$10:$C$224,$C245,'TL03'!$J$10:$J$224),0),
IF('TL03'!$B$229=L$3,SUMIF('TL03'!$C$238:$C$451,$C245,'TL03'!$J$238:$J$451),0),
IF('TL04'!$B$3=L$3,SUMIF('TL04'!$C$10:$C$224,$C245,'TL04'!$J$10:$J$224),0),
IF('TL04'!$B$229=L$3,SUMIF('TL04'!$C$238:$C$451,$C245,'TL04'!$J$238:$J$451),0),
IF('TL05'!$B$3=L$3,SUMIF('TL05'!$C$10:$C$224,$C245,'TL05'!$J$10:$J$224),0),
IF('TL05'!$B$229=L$3,SUMIF('TL05'!$C$238:$C$451,$C245,'TL05'!$J$238:$J$451),0),
IF('TL06'!$B$3=L$3,SUMIF('TL06'!$C$10:$C$224,$C245,'TL06'!$J$10:$J$224),0),
IF('TL06'!$B$229=L$3,SUMIF('TL06'!$C$238:$C$451,$C245,'TL06'!$J$238:$J$451),0),
IF('TL07'!$B$3=L$3,SUMIF('TL07'!$C$10:$C$224,$C245,'TL07'!$J$10:$J$224),0),
IF('TL07'!$B$229=L$3,SUMIF('TL07'!$C$238:$C$451,$C245,'TL07'!$J$238:$J$451),0),
IF('TL08'!$B$3=L$3,SUMIF('TL08'!$C$10:$C$224,$C245,'TL08'!$J$10:$J$224),0),
IF('TL08'!$B$229=L$3,SUMIF('TL08'!$C$238:$C$451,$C245,'TL08'!$J$238:$J$451),0),
IF('TL09'!$B$3=L$3,SUMIF('TL09'!$C$10:$C$224,$C245,'TL09'!$J$10:$J$224),0),
IF('TL09'!$B$229=L$3,SUMIF('TL09'!$C$238:$C$451,$C245,'TL09'!$J$238:$J$451),0),
IF('TL10'!$B$3=L$3,SUMIF('TL10'!$C$10:$C$224,$C245,'TL10'!$J$10:$J$224),0),
IF('TL10'!$B$229=L$3,SUMIF('TL10'!$C$238:$C$451,$C245,'TL10'!$J$238:$J$451),0),
IF('TL11'!$B$3=L$3,SUMIF('TL11'!$C$10:$C$224,$C245,'TL11'!$J$10:$J$224),0),
IF('TL11'!$B$229=L$3,SUMIF('TL11'!$C$238:$C$451,$C245,'TL11'!$J$238:$J$451),0),
IF('TL12'!$B$3=L$3,SUMIF('TL12'!$C$10:$C$224,$C245,'TL12'!$J$10:$J$224),0),
IF('TL12'!$B$229=L$3,SUMIF('TL12'!$C$238:$C$451,$C245,'TL12'!$J$238:$J$451),0),
IF('TL13'!$B$3=L$3,SUMIF('TL13'!$C$10:$C$224,$C245,'TL13'!$J$10:$J$224),0),
IF('TL13'!$B$229=L$3,SUMIF('TL13'!$C$238:$C$451,$C245,'TL13'!$J$238:$J$451),0),
IF('TL14'!$B$3=L$3,SUMIF('TL14'!$C$10:$C$224,$C245,'TL14'!$J$10:$J$224),0),
IF('TL14'!$B$229=L$3,SUMIF('TL14'!$C$238:$C$451,$C245,'TL14'!$J$238:$J$451),0),
IF('TL15'!$B$3=L$3,SUMIF('TL15'!$C$10:$C$224,$C245,'TL15'!$J$10:$J$224),0),
IF('TL15'!$B$229=L$3,SUMIF('TL15'!$C$238:$C$451,$C245,'TL15'!$J$238:$J$451),0),
IF('TL16'!$B$3=L$3,SUMIF('TL16'!$C$10:$C$224,$C245,'TL16'!$J$10:$J$224),0),
IF('TL16'!$B$229=L$3,SUMIF('TL16'!$C$238:$C$451,$C245,'TL16'!$J$238:$J$451),0),
IF('TL17'!$B$3=L$3,SUMIF('TL17'!$C$10:$C$224,$C245,'TL17'!$J$10:$J$224),0),
IF('TL17'!$B$229=L$3,SUMIF('TL17'!$C$238:$C$451,$C245,'TL17'!$J$238:$J$451),0),
IF('TL18'!$B$3=L$3,SUMIF('TL18'!$C$10:$C$224,$C245,'TL18'!$J$10:$J$224),0),
IF('TL18'!$B$229=L$3,SUMIF('TL18'!$C$238:$C$451,$C245,'TL18'!$J$238:$J$451),0),
IF('TL19'!$B$3=L$3,SUMIF('TL19'!$C$10:$C$224,$C245,'TL19'!$J$10:$J$224),0),
IF('TL19'!$B$229=L$3,SUMIF('TL19'!$C$238:$C$451,$C245,'TL19'!$J$238:$J$451),0)
),0)</f>
        <v/>
      </c>
      <c r="M245" s="9">
        <f>IFERROR(SUM(
IF('TL01'!$B$3=M$3,SUMIF('TL01'!$C$10:$C$224,$C245,'TL01'!$J$10:$J$224),0),
IF('TL01'!$B$229=M$3,SUMIF('TL01'!$C$238:$C$451,$C245,'TL01'!$J$238:$J$451),0),
IF('TL02'!$B$3=M$3,SUMIF('TL02'!$C$10:$C$224,$C245,'TL02'!$J$10:$J$224),0),
IF('TL02'!$B$229=M$3,SUMIF('TL02'!$C$238:$C$451,$C245,'TL02'!$J$238:$J$451),0),
IF('TL03'!$B$3=M$3,SUMIF('TL03'!$C$10:$C$224,$C245,'TL03'!$J$10:$J$224),0),
IF('TL03'!$B$229=M$3,SUMIF('TL03'!$C$238:$C$451,$C245,'TL03'!$J$238:$J$451),0),
IF('TL04'!$B$3=M$3,SUMIF('TL04'!$C$10:$C$224,$C245,'TL04'!$J$10:$J$224),0),
IF('TL04'!$B$229=M$3,SUMIF('TL04'!$C$238:$C$451,$C245,'TL04'!$J$238:$J$451),0),
IF('TL05'!$B$3=M$3,SUMIF('TL05'!$C$10:$C$224,$C245,'TL05'!$J$10:$J$224),0),
IF('TL05'!$B$229=M$3,SUMIF('TL05'!$C$238:$C$451,$C245,'TL05'!$J$238:$J$451),0),
IF('TL06'!$B$3=M$3,SUMIF('TL06'!$C$10:$C$224,$C245,'TL06'!$J$10:$J$224),0),
IF('TL06'!$B$229=M$3,SUMIF('TL06'!$C$238:$C$451,$C245,'TL06'!$J$238:$J$451),0),
IF('TL07'!$B$3=M$3,SUMIF('TL07'!$C$10:$C$224,$C245,'TL07'!$J$10:$J$224),0),
IF('TL07'!$B$229=M$3,SUMIF('TL07'!$C$238:$C$451,$C245,'TL07'!$J$238:$J$451),0),
IF('TL08'!$B$3=M$3,SUMIF('TL08'!$C$10:$C$224,$C245,'TL08'!$J$10:$J$224),0),
IF('TL08'!$B$229=M$3,SUMIF('TL08'!$C$238:$C$451,$C245,'TL08'!$J$238:$J$451),0),
IF('TL09'!$B$3=M$3,SUMIF('TL09'!$C$10:$C$224,$C245,'TL09'!$J$10:$J$224),0),
IF('TL09'!$B$229=M$3,SUMIF('TL09'!$C$238:$C$451,$C245,'TL09'!$J$238:$J$451),0),
IF('TL10'!$B$3=M$3,SUMIF('TL10'!$C$10:$C$224,$C245,'TL10'!$J$10:$J$224),0),
IF('TL10'!$B$229=M$3,SUMIF('TL10'!$C$238:$C$451,$C245,'TL10'!$J$238:$J$451),0),
IF('TL11'!$B$3=M$3,SUMIF('TL11'!$C$10:$C$224,$C245,'TL11'!$J$10:$J$224),0),
IF('TL11'!$B$229=M$3,SUMIF('TL11'!$C$238:$C$451,$C245,'TL11'!$J$238:$J$451),0),
IF('TL12'!$B$3=M$3,SUMIF('TL12'!$C$10:$C$224,$C245,'TL12'!$J$10:$J$224),0),
IF('TL12'!$B$229=M$3,SUMIF('TL12'!$C$238:$C$451,$C245,'TL12'!$J$238:$J$451),0),
IF('TL13'!$B$3=M$3,SUMIF('TL13'!$C$10:$C$224,$C245,'TL13'!$J$10:$J$224),0),
IF('TL13'!$B$229=M$3,SUMIF('TL13'!$C$238:$C$451,$C245,'TL13'!$J$238:$J$451),0),
IF('TL14'!$B$3=M$3,SUMIF('TL14'!$C$10:$C$224,$C245,'TL14'!$J$10:$J$224),0),
IF('TL14'!$B$229=M$3,SUMIF('TL14'!$C$238:$C$451,$C245,'TL14'!$J$238:$J$451),0),
IF('TL15'!$B$3=M$3,SUMIF('TL15'!$C$10:$C$224,$C245,'TL15'!$J$10:$J$224),0),
IF('TL15'!$B$229=M$3,SUMIF('TL15'!$C$238:$C$451,$C245,'TL15'!$J$238:$J$451),0),
IF('TL16'!$B$3=M$3,SUMIF('TL16'!$C$10:$C$224,$C245,'TL16'!$J$10:$J$224),0),
IF('TL16'!$B$229=M$3,SUMIF('TL16'!$C$238:$C$451,$C245,'TL16'!$J$238:$J$451),0),
IF('TL17'!$B$3=M$3,SUMIF('TL17'!$C$10:$C$224,$C245,'TL17'!$J$10:$J$224),0),
IF('TL17'!$B$229=M$3,SUMIF('TL17'!$C$238:$C$451,$C245,'TL17'!$J$238:$J$451),0),
IF('TL18'!$B$3=M$3,SUMIF('TL18'!$C$10:$C$224,$C245,'TL18'!$J$10:$J$224),0),
IF('TL18'!$B$229=M$3,SUMIF('TL18'!$C$238:$C$451,$C245,'TL18'!$J$238:$J$451),0),
IF('TL19'!$B$3=M$3,SUMIF('TL19'!$C$10:$C$224,$C245,'TL19'!$J$10:$J$224),0),
IF('TL19'!$B$229=M$3,SUMIF('TL19'!$C$238:$C$451,$C245,'TL19'!$J$238:$J$451),0)
),0)</f>
        <v/>
      </c>
      <c r="N245" s="9">
        <f>IFERROR(SUM(
IF('TL01'!$B$3=N$3,SUMIF('TL01'!$C$10:$C$224,$C245,'TL01'!$J$10:$J$224),0),
IF('TL01'!$B$229=N$3,SUMIF('TL01'!$C$238:$C$451,$C245,'TL01'!$J$238:$J$451),0),
IF('TL02'!$B$3=N$3,SUMIF('TL02'!$C$10:$C$224,$C245,'TL02'!$J$10:$J$224),0),
IF('TL02'!$B$229=N$3,SUMIF('TL02'!$C$238:$C$451,$C245,'TL02'!$J$238:$J$451),0),
IF('TL03'!$B$3=N$3,SUMIF('TL03'!$C$10:$C$224,$C245,'TL03'!$J$10:$J$224),0),
IF('TL03'!$B$229=N$3,SUMIF('TL03'!$C$238:$C$451,$C245,'TL03'!$J$238:$J$451),0),
IF('TL04'!$B$3=N$3,SUMIF('TL04'!$C$10:$C$224,$C245,'TL04'!$J$10:$J$224),0),
IF('TL04'!$B$229=N$3,SUMIF('TL04'!$C$238:$C$451,$C245,'TL04'!$J$238:$J$451),0),
IF('TL05'!$B$3=N$3,SUMIF('TL05'!$C$10:$C$224,$C245,'TL05'!$J$10:$J$224),0),
IF('TL05'!$B$229=N$3,SUMIF('TL05'!$C$238:$C$451,$C245,'TL05'!$J$238:$J$451),0),
IF('TL06'!$B$3=N$3,SUMIF('TL06'!$C$10:$C$224,$C245,'TL06'!$J$10:$J$224),0),
IF('TL06'!$B$229=N$3,SUMIF('TL06'!$C$238:$C$451,$C245,'TL06'!$J$238:$J$451),0),
IF('TL07'!$B$3=N$3,SUMIF('TL07'!$C$10:$C$224,$C245,'TL07'!$J$10:$J$224),0),
IF('TL07'!$B$229=N$3,SUMIF('TL07'!$C$238:$C$451,$C245,'TL07'!$J$238:$J$451),0),
IF('TL08'!$B$3=N$3,SUMIF('TL08'!$C$10:$C$224,$C245,'TL08'!$J$10:$J$224),0),
IF('TL08'!$B$229=N$3,SUMIF('TL08'!$C$238:$C$451,$C245,'TL08'!$J$238:$J$451),0),
IF('TL09'!$B$3=N$3,SUMIF('TL09'!$C$10:$C$224,$C245,'TL09'!$J$10:$J$224),0),
IF('TL09'!$B$229=N$3,SUMIF('TL09'!$C$238:$C$451,$C245,'TL09'!$J$238:$J$451),0),
IF('TL10'!$B$3=N$3,SUMIF('TL10'!$C$10:$C$224,$C245,'TL10'!$J$10:$J$224),0),
IF('TL10'!$B$229=N$3,SUMIF('TL10'!$C$238:$C$451,$C245,'TL10'!$J$238:$J$451),0),
IF('TL11'!$B$3=N$3,SUMIF('TL11'!$C$10:$C$224,$C245,'TL11'!$J$10:$J$224),0),
IF('TL11'!$B$229=N$3,SUMIF('TL11'!$C$238:$C$451,$C245,'TL11'!$J$238:$J$451),0),
IF('TL12'!$B$3=N$3,SUMIF('TL12'!$C$10:$C$224,$C245,'TL12'!$J$10:$J$224),0),
IF('TL12'!$B$229=N$3,SUMIF('TL12'!$C$238:$C$451,$C245,'TL12'!$J$238:$J$451),0),
IF('TL13'!$B$3=N$3,SUMIF('TL13'!$C$10:$C$224,$C245,'TL13'!$J$10:$J$224),0),
IF('TL13'!$B$229=N$3,SUMIF('TL13'!$C$238:$C$451,$C245,'TL13'!$J$238:$J$451),0),
IF('TL14'!$B$3=N$3,SUMIF('TL14'!$C$10:$C$224,$C245,'TL14'!$J$10:$J$224),0),
IF('TL14'!$B$229=N$3,SUMIF('TL14'!$C$238:$C$451,$C245,'TL14'!$J$238:$J$451),0),
IF('TL15'!$B$3=N$3,SUMIF('TL15'!$C$10:$C$224,$C245,'TL15'!$J$10:$J$224),0),
IF('TL15'!$B$229=N$3,SUMIF('TL15'!$C$238:$C$451,$C245,'TL15'!$J$238:$J$451),0),
IF('TL16'!$B$3=N$3,SUMIF('TL16'!$C$10:$C$224,$C245,'TL16'!$J$10:$J$224),0),
IF('TL16'!$B$229=N$3,SUMIF('TL16'!$C$238:$C$451,$C245,'TL16'!$J$238:$J$451),0),
IF('TL17'!$B$3=N$3,SUMIF('TL17'!$C$10:$C$224,$C245,'TL17'!$J$10:$J$224),0),
IF('TL17'!$B$229=N$3,SUMIF('TL17'!$C$238:$C$451,$C245,'TL17'!$J$238:$J$451),0),
IF('TL18'!$B$3=N$3,SUMIF('TL18'!$C$10:$C$224,$C245,'TL18'!$J$10:$J$224),0),
IF('TL18'!$B$229=N$3,SUMIF('TL18'!$C$238:$C$451,$C245,'TL18'!$J$238:$J$451),0),
IF('TL19'!$B$3=N$3,SUMIF('TL19'!$C$10:$C$224,$C245,'TL19'!$J$10:$J$224),0),
IF('TL19'!$B$229=N$3,SUMIF('TL19'!$C$238:$C$451,$C245,'TL19'!$J$238:$J$451),0)
),0)</f>
        <v/>
      </c>
      <c r="O245" s="9">
        <f>IFERROR(SUM(
IF('TL01'!$B$3=O$3,SUMIF('TL01'!$C$10:$C$224,$C245,'TL01'!$J$10:$J$224),0),
IF('TL01'!$B$229=O$3,SUMIF('TL01'!$C$238:$C$451,$C245,'TL01'!$J$238:$J$451),0),
IF('TL02'!$B$3=O$3,SUMIF('TL02'!$C$10:$C$224,$C245,'TL02'!$J$10:$J$224),0),
IF('TL02'!$B$229=O$3,SUMIF('TL02'!$C$238:$C$451,$C245,'TL02'!$J$238:$J$451),0),
IF('TL03'!$B$3=O$3,SUMIF('TL03'!$C$10:$C$224,$C245,'TL03'!$J$10:$J$224),0),
IF('TL03'!$B$229=O$3,SUMIF('TL03'!$C$238:$C$451,$C245,'TL03'!$J$238:$J$451),0),
IF('TL04'!$B$3=O$3,SUMIF('TL04'!$C$10:$C$224,$C245,'TL04'!$J$10:$J$224),0),
IF('TL04'!$B$229=O$3,SUMIF('TL04'!$C$238:$C$451,$C245,'TL04'!$J$238:$J$451),0),
IF('TL05'!$B$3=O$3,SUMIF('TL05'!$C$10:$C$224,$C245,'TL05'!$J$10:$J$224),0),
IF('TL05'!$B$229=O$3,SUMIF('TL05'!$C$238:$C$451,$C245,'TL05'!$J$238:$J$451),0),
IF('TL06'!$B$3=O$3,SUMIF('TL06'!$C$10:$C$224,$C245,'TL06'!$J$10:$J$224),0),
IF('TL06'!$B$229=O$3,SUMIF('TL06'!$C$238:$C$451,$C245,'TL06'!$J$238:$J$451),0),
IF('TL07'!$B$3=O$3,SUMIF('TL07'!$C$10:$C$224,$C245,'TL07'!$J$10:$J$224),0),
IF('TL07'!$B$229=O$3,SUMIF('TL07'!$C$238:$C$451,$C245,'TL07'!$J$238:$J$451),0),
IF('TL08'!$B$3=O$3,SUMIF('TL08'!$C$10:$C$224,$C245,'TL08'!$J$10:$J$224),0),
IF('TL08'!$B$229=O$3,SUMIF('TL08'!$C$238:$C$451,$C245,'TL08'!$J$238:$J$451),0),
IF('TL09'!$B$3=O$3,SUMIF('TL09'!$C$10:$C$224,$C245,'TL09'!$J$10:$J$224),0),
IF('TL09'!$B$229=O$3,SUMIF('TL09'!$C$238:$C$451,$C245,'TL09'!$J$238:$J$451),0),
IF('TL10'!$B$3=O$3,SUMIF('TL10'!$C$10:$C$224,$C245,'TL10'!$J$10:$J$224),0),
IF('TL10'!$B$229=O$3,SUMIF('TL10'!$C$238:$C$451,$C245,'TL10'!$J$238:$J$451),0),
IF('TL11'!$B$3=O$3,SUMIF('TL11'!$C$10:$C$224,$C245,'TL11'!$J$10:$J$224),0),
IF('TL11'!$B$229=O$3,SUMIF('TL11'!$C$238:$C$451,$C245,'TL11'!$J$238:$J$451),0),
IF('TL12'!$B$3=O$3,SUMIF('TL12'!$C$10:$C$224,$C245,'TL12'!$J$10:$J$224),0),
IF('TL12'!$B$229=O$3,SUMIF('TL12'!$C$238:$C$451,$C245,'TL12'!$J$238:$J$451),0),
IF('TL13'!$B$3=O$3,SUMIF('TL13'!$C$10:$C$224,$C245,'TL13'!$J$10:$J$224),0),
IF('TL13'!$B$229=O$3,SUMIF('TL13'!$C$238:$C$451,$C245,'TL13'!$J$238:$J$451),0),
IF('TL14'!$B$3=O$3,SUMIF('TL14'!$C$10:$C$224,$C245,'TL14'!$J$10:$J$224),0),
IF('TL14'!$B$229=O$3,SUMIF('TL14'!$C$238:$C$451,$C245,'TL14'!$J$238:$J$451),0),
IF('TL15'!$B$3=O$3,SUMIF('TL15'!$C$10:$C$224,$C245,'TL15'!$J$10:$J$224),0),
IF('TL15'!$B$229=O$3,SUMIF('TL15'!$C$238:$C$451,$C245,'TL15'!$J$238:$J$451),0),
IF('TL16'!$B$3=O$3,SUMIF('TL16'!$C$10:$C$224,$C245,'TL16'!$J$10:$J$224),0),
IF('TL16'!$B$229=O$3,SUMIF('TL16'!$C$238:$C$451,$C245,'TL16'!$J$238:$J$451),0),
IF('TL17'!$B$3=O$3,SUMIF('TL17'!$C$10:$C$224,$C245,'TL17'!$J$10:$J$224),0),
IF('TL17'!$B$229=O$3,SUMIF('TL17'!$C$238:$C$451,$C245,'TL17'!$J$238:$J$451),0),
IF('TL18'!$B$3=O$3,SUMIF('TL18'!$C$10:$C$224,$C245,'TL18'!$J$10:$J$224),0),
IF('TL18'!$B$229=O$3,SUMIF('TL18'!$C$238:$C$451,$C245,'TL18'!$J$238:$J$451),0),
IF('TL19'!$B$3=O$3,SUMIF('TL19'!$C$10:$C$224,$C245,'TL19'!$J$10:$J$224),0),
IF('TL19'!$B$229=O$3,SUMIF('TL19'!$C$238:$C$451,$C245,'TL19'!$J$238:$J$451),0)
),0)</f>
        <v/>
      </c>
      <c r="P245" s="9">
        <f>IFERROR(SUM(
IF('TL01'!$B$3=P$3,SUMIF('TL01'!$C$10:$C$224,$C245,'TL01'!$J$10:$J$224),0),
IF('TL01'!$B$229=P$3,SUMIF('TL01'!$C$238:$C$451,$C245,'TL01'!$J$238:$J$451),0),
IF('TL02'!$B$3=P$3,SUMIF('TL02'!$C$10:$C$224,$C245,'TL02'!$J$10:$J$224),0),
IF('TL02'!$B$229=P$3,SUMIF('TL02'!$C$238:$C$451,$C245,'TL02'!$J$238:$J$451),0),
IF('TL03'!$B$3=P$3,SUMIF('TL03'!$C$10:$C$224,$C245,'TL03'!$J$10:$J$224),0),
IF('TL03'!$B$229=P$3,SUMIF('TL03'!$C$238:$C$451,$C245,'TL03'!$J$238:$J$451),0),
IF('TL04'!$B$3=P$3,SUMIF('TL04'!$C$10:$C$224,$C245,'TL04'!$J$10:$J$224),0),
IF('TL04'!$B$229=P$3,SUMIF('TL04'!$C$238:$C$451,$C245,'TL04'!$J$238:$J$451),0),
IF('TL05'!$B$3=P$3,SUMIF('TL05'!$C$10:$C$224,$C245,'TL05'!$J$10:$J$224),0),
IF('TL05'!$B$229=P$3,SUMIF('TL05'!$C$238:$C$451,$C245,'TL05'!$J$238:$J$451),0),
IF('TL06'!$B$3=P$3,SUMIF('TL06'!$C$10:$C$224,$C245,'TL06'!$J$10:$J$224),0),
IF('TL06'!$B$229=P$3,SUMIF('TL06'!$C$238:$C$451,$C245,'TL06'!$J$238:$J$451),0),
IF('TL07'!$B$3=P$3,SUMIF('TL07'!$C$10:$C$224,$C245,'TL07'!$J$10:$J$224),0),
IF('TL07'!$B$229=P$3,SUMIF('TL07'!$C$238:$C$451,$C245,'TL07'!$J$238:$J$451),0),
IF('TL08'!$B$3=P$3,SUMIF('TL08'!$C$10:$C$224,$C245,'TL08'!$J$10:$J$224),0),
IF('TL08'!$B$229=P$3,SUMIF('TL08'!$C$238:$C$451,$C245,'TL08'!$J$238:$J$451),0),
IF('TL09'!$B$3=P$3,SUMIF('TL09'!$C$10:$C$224,$C245,'TL09'!$J$10:$J$224),0),
IF('TL09'!$B$229=P$3,SUMIF('TL09'!$C$238:$C$451,$C245,'TL09'!$J$238:$J$451),0),
IF('TL10'!$B$3=P$3,SUMIF('TL10'!$C$10:$C$224,$C245,'TL10'!$J$10:$J$224),0),
IF('TL10'!$B$229=P$3,SUMIF('TL10'!$C$238:$C$451,$C245,'TL10'!$J$238:$J$451),0),
IF('TL11'!$B$3=P$3,SUMIF('TL11'!$C$10:$C$224,$C245,'TL11'!$J$10:$J$224),0),
IF('TL11'!$B$229=P$3,SUMIF('TL11'!$C$238:$C$451,$C245,'TL11'!$J$238:$J$451),0),
IF('TL12'!$B$3=P$3,SUMIF('TL12'!$C$10:$C$224,$C245,'TL12'!$J$10:$J$224),0),
IF('TL12'!$B$229=P$3,SUMIF('TL12'!$C$238:$C$451,$C245,'TL12'!$J$238:$J$451),0),
IF('TL13'!$B$3=P$3,SUMIF('TL13'!$C$10:$C$224,$C245,'TL13'!$J$10:$J$224),0),
IF('TL13'!$B$229=P$3,SUMIF('TL13'!$C$238:$C$451,$C245,'TL13'!$J$238:$J$451),0),
IF('TL14'!$B$3=P$3,SUMIF('TL14'!$C$10:$C$224,$C245,'TL14'!$J$10:$J$224),0),
IF('TL14'!$B$229=P$3,SUMIF('TL14'!$C$238:$C$451,$C245,'TL14'!$J$238:$J$451),0),
IF('TL15'!$B$3=P$3,SUMIF('TL15'!$C$10:$C$224,$C245,'TL15'!$J$10:$J$224),0),
IF('TL15'!$B$229=P$3,SUMIF('TL15'!$C$238:$C$451,$C245,'TL15'!$J$238:$J$451),0),
IF('TL16'!$B$3=P$3,SUMIF('TL16'!$C$10:$C$224,$C245,'TL16'!$J$10:$J$224),0),
IF('TL16'!$B$229=P$3,SUMIF('TL16'!$C$238:$C$451,$C245,'TL16'!$J$238:$J$451),0),
IF('TL17'!$B$3=P$3,SUMIF('TL17'!$C$10:$C$224,$C245,'TL17'!$J$10:$J$224),0),
IF('TL17'!$B$229=P$3,SUMIF('TL17'!$C$238:$C$451,$C245,'TL17'!$J$238:$J$451),0),
IF('TL18'!$B$3=P$3,SUMIF('TL18'!$C$10:$C$224,$C245,'TL18'!$J$10:$J$224),0),
IF('TL18'!$B$229=P$3,SUMIF('TL18'!$C$238:$C$451,$C245,'TL18'!$J$238:$J$451),0),
IF('TL19'!$B$3=P$3,SUMIF('TL19'!$C$10:$C$224,$C245,'TL19'!$J$10:$J$224),0),
IF('TL19'!$B$229=P$3,SUMIF('TL19'!$C$238:$C$451,$C245,'TL19'!$J$238:$J$451),0)
),0)</f>
        <v/>
      </c>
      <c r="Q245" s="9">
        <f>IFERROR(SUM(
IF('TL01'!$B$3=Q$3,SUMIF('TL01'!$C$10:$C$224,$C245,'TL01'!$J$10:$J$224),0),
IF('TL01'!$B$229=Q$3,SUMIF('TL01'!$C$238:$C$451,$C245,'TL01'!$J$238:$J$451),0),
IF('TL02'!$B$3=Q$3,SUMIF('TL02'!$C$10:$C$224,$C245,'TL02'!$J$10:$J$224),0),
IF('TL02'!$B$229=Q$3,SUMIF('TL02'!$C$238:$C$451,$C245,'TL02'!$J$238:$J$451),0),
IF('TL03'!$B$3=Q$3,SUMIF('TL03'!$C$10:$C$224,$C245,'TL03'!$J$10:$J$224),0),
IF('TL03'!$B$229=Q$3,SUMIF('TL03'!$C$238:$C$451,$C245,'TL03'!$J$238:$J$451),0),
IF('TL04'!$B$3=Q$3,SUMIF('TL04'!$C$10:$C$224,$C245,'TL04'!$J$10:$J$224),0),
IF('TL04'!$B$229=Q$3,SUMIF('TL04'!$C$238:$C$451,$C245,'TL04'!$J$238:$J$451),0),
IF('TL05'!$B$3=Q$3,SUMIF('TL05'!$C$10:$C$224,$C245,'TL05'!$J$10:$J$224),0),
IF('TL05'!$B$229=Q$3,SUMIF('TL05'!$C$238:$C$451,$C245,'TL05'!$J$238:$J$451),0),
IF('TL06'!$B$3=Q$3,SUMIF('TL06'!$C$10:$C$224,$C245,'TL06'!$J$10:$J$224),0),
IF('TL06'!$B$229=Q$3,SUMIF('TL06'!$C$238:$C$451,$C245,'TL06'!$J$238:$J$451),0),
IF('TL07'!$B$3=Q$3,SUMIF('TL07'!$C$10:$C$224,$C245,'TL07'!$J$10:$J$224),0),
IF('TL07'!$B$229=Q$3,SUMIF('TL07'!$C$238:$C$451,$C245,'TL07'!$J$238:$J$451),0),
IF('TL08'!$B$3=Q$3,SUMIF('TL08'!$C$10:$C$224,$C245,'TL08'!$J$10:$J$224),0),
IF('TL08'!$B$229=Q$3,SUMIF('TL08'!$C$238:$C$451,$C245,'TL08'!$J$238:$J$451),0),
IF('TL09'!$B$3=Q$3,SUMIF('TL09'!$C$10:$C$224,$C245,'TL09'!$J$10:$J$224),0),
IF('TL09'!$B$229=Q$3,SUMIF('TL09'!$C$238:$C$451,$C245,'TL09'!$J$238:$J$451),0),
IF('TL10'!$B$3=Q$3,SUMIF('TL10'!$C$10:$C$224,$C245,'TL10'!$J$10:$J$224),0),
IF('TL10'!$B$229=Q$3,SUMIF('TL10'!$C$238:$C$451,$C245,'TL10'!$J$238:$J$451),0),
IF('TL11'!$B$3=Q$3,SUMIF('TL11'!$C$10:$C$224,$C245,'TL11'!$J$10:$J$224),0),
IF('TL11'!$B$229=Q$3,SUMIF('TL11'!$C$238:$C$451,$C245,'TL11'!$J$238:$J$451),0),
IF('TL12'!$B$3=Q$3,SUMIF('TL12'!$C$10:$C$224,$C245,'TL12'!$J$10:$J$224),0),
IF('TL12'!$B$229=Q$3,SUMIF('TL12'!$C$238:$C$451,$C245,'TL12'!$J$238:$J$451),0),
IF('TL13'!$B$3=Q$3,SUMIF('TL13'!$C$10:$C$224,$C245,'TL13'!$J$10:$J$224),0),
IF('TL13'!$B$229=Q$3,SUMIF('TL13'!$C$238:$C$451,$C245,'TL13'!$J$238:$J$451),0),
IF('TL14'!$B$3=Q$3,SUMIF('TL14'!$C$10:$C$224,$C245,'TL14'!$J$10:$J$224),0),
IF('TL14'!$B$229=Q$3,SUMIF('TL14'!$C$238:$C$451,$C245,'TL14'!$J$238:$J$451),0),
IF('TL15'!$B$3=Q$3,SUMIF('TL15'!$C$10:$C$224,$C245,'TL15'!$J$10:$J$224),0),
IF('TL15'!$B$229=Q$3,SUMIF('TL15'!$C$238:$C$451,$C245,'TL15'!$J$238:$J$451),0),
IF('TL16'!$B$3=Q$3,SUMIF('TL16'!$C$10:$C$224,$C245,'TL16'!$J$10:$J$224),0),
IF('TL16'!$B$229=Q$3,SUMIF('TL16'!$C$238:$C$451,$C245,'TL16'!$J$238:$J$451),0),
IF('TL17'!$B$3=Q$3,SUMIF('TL17'!$C$10:$C$224,$C245,'TL17'!$J$10:$J$224),0),
IF('TL17'!$B$229=Q$3,SUMIF('TL17'!$C$238:$C$451,$C245,'TL17'!$J$238:$J$451),0),
IF('TL18'!$B$3=Q$3,SUMIF('TL18'!$C$10:$C$224,$C245,'TL18'!$J$10:$J$224),0),
IF('TL18'!$B$229=Q$3,SUMIF('TL18'!$C$238:$C$451,$C245,'TL18'!$J$238:$J$451),0),
IF('TL19'!$B$3=Q$3,SUMIF('TL19'!$C$10:$C$224,$C245,'TL19'!$J$10:$J$224),0),
IF('TL19'!$B$229=Q$3,SUMIF('TL19'!$C$238:$C$451,$C245,'TL19'!$J$238:$J$451),0)
),0)</f>
        <v/>
      </c>
      <c r="R245" s="9">
        <f>IFERROR(
SUM(
SUMIF('TL01'!C:C,C245,'TL01'!J:J),
SUMIF('TL02'!C:C,C245,'TL02'!J:J),
SUMIF('TL03'!C:C,C245,'TL03'!J:J),
SUMIF('TL04'!C:C,C245,'TL04'!J:J),
SUMIF('TL05'!C:C,C245,'TL05'!J:J),
SUMIF('TL06'!C:C,C245,'TL06'!J:J),
SUMIF('TL07'!C:C,C245,'TL07'!J:J),
SUMIF('TL08'!C:C,C245,'TL08'!J:J),
SUMIF('TL09'!C:C,C245,'TL09'!J:J),
SUMIF('TL10'!C:C,C245,'TL10'!J:J),
SUMIF('TL11'!C:C,C245,'TL11'!J:J),
SUMIF('TL12'!C:C,C245,'TL12'!J:J),
SUMIF('TL13'!C:C,C245,'TL13'!J:J),
SUMIF('TL14'!C:C,C245,'TL14'!J:J),
SUMIF('TL15'!C:C,C245,'TL15'!J:J),
SUMIF('TL16'!C:C,C245,'TL16'!J:J),
SUMIF('TL17'!C:C,C245,'TL17'!J:J),
SUMIF('TL18'!C:C,C245,'TL18'!J:J),SUMIF('TL19'!C:C,C245,'TL19'!J:J))
,0)</f>
        <v/>
      </c>
      <c r="S245" s="17">
        <f>IFERROR(__xludf.DUMMYFUNCTION("IFERROR(VLOOKUP(C245,
IMPORTRANGE(""1wULbzX32WdYsx-lj2U3uUNBBe2INVIRDtcK0d-Dvl90"",
""26-27!C:G""),
5,
FALSE),
"""")"),0.0)</f>
        <v/>
      </c>
      <c r="T245" s="9" t="n"/>
      <c r="U245" s="92">
        <f>MAX(0,R245-T245)</f>
        <v/>
      </c>
      <c r="V245" s="93">
        <f>U245*S245</f>
        <v/>
      </c>
    </row>
    <row r="246" hidden="1" ht="15.75" customHeight="1" s="297">
      <c r="A246" s="119" t="inlineStr">
        <is>
          <t>SUMITOMO</t>
        </is>
      </c>
      <c r="B246" s="120" t="inlineStr">
        <is>
          <t>RC</t>
        </is>
      </c>
      <c r="C246" s="119" t="inlineStr">
        <is>
          <t>MAXCEL</t>
        </is>
      </c>
      <c r="D246" s="119" t="inlineStr">
        <is>
          <t>BENZILADENINA</t>
        </is>
      </c>
      <c r="E246" s="119" t="n">
        <v>20</v>
      </c>
      <c r="F246" s="4" t="n"/>
      <c r="G246" s="90">
        <f>HYPERLINK("https://www.google.com/search?q=" &amp; C246 &amp; "+bula+agrofit+pdf", "📄 Ver bula")</f>
        <v/>
      </c>
      <c r="H246" s="9">
        <f>IFERROR(__xludf.DUMMYFUNCTION("IFERROR(VLOOKUP(C246,
IMPORTRANGE(""1wULbzX32WdYsx-lj2U3uUNBBe2INVIRDtcK0d-Dvl90"",
""26-27!C:K""),
8,
FALSE),
"""")"),"")</f>
        <v/>
      </c>
      <c r="I246" s="121" t="inlineStr">
        <is>
          <t>1X12 ou 2X5</t>
        </is>
      </c>
      <c r="J246" s="9">
        <f>IFERROR(SUM(
IF('TL01'!$B$3=J$3,SUMIF('TL01'!$C$10:$C$224,$C246,'TL01'!$J$10:$J$224),0),
IF('TL01'!$B$229=J$3,SUMIF('TL01'!$C$238:$C$451,$C246,'TL01'!$J$238:$J$451),0),
IF('TL02'!$B$3=J$3,SUMIF('TL02'!$C$10:$C$224,$C246,'TL02'!$J$10:$J$224),0),
IF('TL02'!$B$229=J$3,SUMIF('TL02'!$C$238:$C$451,$C246,'TL02'!$J$238:$J$451),0),
IF('TL03'!$B$3=J$3,SUMIF('TL03'!$C$10:$C$224,$C246,'TL03'!$J$10:$J$224),0),
IF('TL03'!$B$229=J$3,SUMIF('TL03'!$C$238:$C$451,$C246,'TL03'!$J$238:$J$451),0),
IF('TL04'!$B$3=J$3,SUMIF('TL04'!$C$10:$C$224,$C246,'TL04'!$J$10:$J$224),0),
IF('TL04'!$B$229=J$3,SUMIF('TL04'!$C$238:$C$451,$C246,'TL04'!$J$238:$J$451),0),
IF('TL05'!$B$3=J$3,SUMIF('TL05'!$C$10:$C$224,$C246,'TL05'!$J$10:$J$224),0),
IF('TL05'!$B$229=J$3,SUMIF('TL05'!$C$238:$C$451,$C246,'TL05'!$J$238:$J$451),0),
IF('TL06'!$B$3=J$3,SUMIF('TL06'!$C$10:$C$224,$C246,'TL06'!$J$10:$J$224),0),
IF('TL06'!$B$229=J$3,SUMIF('TL06'!$C$238:$C$451,$C246,'TL06'!$J$238:$J$451),0),
IF('TL07'!$B$3=J$3,SUMIF('TL07'!$C$10:$C$224,$C246,'TL07'!$J$10:$J$224),0),
IF('TL07'!$B$229=J$3,SUMIF('TL07'!$C$238:$C$451,$C246,'TL07'!$J$238:$J$451),0),
IF('TL08'!$B$3=J$3,SUMIF('TL08'!$C$10:$C$224,$C246,'TL08'!$J$10:$J$224),0),
IF('TL08'!$B$229=J$3,SUMIF('TL08'!$C$238:$C$451,$C246,'TL08'!$J$238:$J$451),0),
IF('TL09'!$B$3=J$3,SUMIF('TL09'!$C$10:$C$224,$C246,'TL09'!$J$10:$J$224),0),
IF('TL09'!$B$229=J$3,SUMIF('TL09'!$C$238:$C$451,$C246,'TL09'!$J$238:$J$451),0),
IF('TL10'!$B$3=J$3,SUMIF('TL10'!$C$10:$C$224,$C246,'TL10'!$J$10:$J$224),0),
IF('TL10'!$B$229=J$3,SUMIF('TL10'!$C$238:$C$451,$C246,'TL10'!$J$238:$J$451),0),
IF('TL11'!$B$3=J$3,SUMIF('TL11'!$C$10:$C$224,$C246,'TL11'!$J$10:$J$224),0),
IF('TL11'!$B$229=J$3,SUMIF('TL11'!$C$238:$C$451,$C246,'TL11'!$J$238:$J$451),0),
IF('TL12'!$B$3=J$3,SUMIF('TL12'!$C$10:$C$224,$C246,'TL12'!$J$10:$J$224),0),
IF('TL12'!$B$229=J$3,SUMIF('TL12'!$C$238:$C$451,$C246,'TL12'!$J$238:$J$451),0),
IF('TL13'!$B$3=J$3,SUMIF('TL13'!$C$10:$C$224,$C246,'TL13'!$J$10:$J$224),0),
IF('TL13'!$B$229=J$3,SUMIF('TL13'!$C$238:$C$451,$C246,'TL13'!$J$238:$J$451),0),
IF('TL14'!$B$3=J$3,SUMIF('TL14'!$C$10:$C$224,$C246,'TL14'!$J$10:$J$224),0),
IF('TL14'!$B$229=J$3,SUMIF('TL14'!$C$238:$C$451,$C246,'TL14'!$J$238:$J$451),0),
IF('TL15'!$B$3=J$3,SUMIF('TL15'!$C$10:$C$224,$C246,'TL15'!$J$10:$J$224),0),
IF('TL15'!$B$229=J$3,SUMIF('TL15'!$C$238:$C$451,$C246,'TL15'!$J$238:$J$451),0),
IF('TL16'!$B$3=J$3,SUMIF('TL16'!$C$10:$C$224,$C246,'TL16'!$J$10:$J$224),0),
IF('TL16'!$B$229=J$3,SUMIF('TL16'!$C$238:$C$451,$C246,'TL16'!$J$238:$J$451),0),
IF('TL17'!$B$3=J$3,SUMIF('TL17'!$C$10:$C$224,$C246,'TL17'!$J$10:$J$224),0),
IF('TL17'!$B$229=J$3,SUMIF('TL17'!$C$238:$C$451,$C246,'TL17'!$J$238:$J$451),0),
IF('TL18'!$B$3=J$3,SUMIF('TL18'!$C$10:$C$224,$C246,'TL18'!$J$10:$J$224),0),
IF('TL18'!$B$229=J$3,SUMIF('TL18'!$C$238:$C$451,$C246,'TL18'!$J$238:$J$451),0),
IF('TL19'!$B$3=J$3,SUMIF('TL19'!$C$10:$C$224,$C246,'TL19'!$J$10:$J$224),0),
IF('TL19'!$B$229=J$3,SUMIF('TL19'!$C$238:$C$451,$C246,'TL19'!$J$238:$J$451),0)
),0)</f>
        <v/>
      </c>
      <c r="K246" s="9">
        <f>IFERROR(SUM(
IF('TL01'!$B$3=K$3,SUMIF('TL01'!$C$10:$C$224,$C246,'TL01'!$J$10:$J$224),0),
IF('TL01'!$B$229=K$3,SUMIF('TL01'!$C$238:$C$451,$C246,'TL01'!$J$238:$J$451),0),
IF('TL02'!$B$3=K$3,SUMIF('TL02'!$C$10:$C$224,$C246,'TL02'!$J$10:$J$224),0),
IF('TL02'!$B$229=K$3,SUMIF('TL02'!$C$238:$C$451,$C246,'TL02'!$J$238:$J$451),0),
IF('TL03'!$B$3=K$3,SUMIF('TL03'!$C$10:$C$224,$C246,'TL03'!$J$10:$J$224),0),
IF('TL03'!$B$229=K$3,SUMIF('TL03'!$C$238:$C$451,$C246,'TL03'!$J$238:$J$451),0),
IF('TL04'!$B$3=K$3,SUMIF('TL04'!$C$10:$C$224,$C246,'TL04'!$J$10:$J$224),0),
IF('TL04'!$B$229=K$3,SUMIF('TL04'!$C$238:$C$451,$C246,'TL04'!$J$238:$J$451),0),
IF('TL05'!$B$3=K$3,SUMIF('TL05'!$C$10:$C$224,$C246,'TL05'!$J$10:$J$224),0),
IF('TL05'!$B$229=K$3,SUMIF('TL05'!$C$238:$C$451,$C246,'TL05'!$J$238:$J$451),0),
IF('TL06'!$B$3=K$3,SUMIF('TL06'!$C$10:$C$224,$C246,'TL06'!$J$10:$J$224),0),
IF('TL06'!$B$229=K$3,SUMIF('TL06'!$C$238:$C$451,$C246,'TL06'!$J$238:$J$451),0),
IF('TL07'!$B$3=K$3,SUMIF('TL07'!$C$10:$C$224,$C246,'TL07'!$J$10:$J$224),0),
IF('TL07'!$B$229=K$3,SUMIF('TL07'!$C$238:$C$451,$C246,'TL07'!$J$238:$J$451),0),
IF('TL08'!$B$3=K$3,SUMIF('TL08'!$C$10:$C$224,$C246,'TL08'!$J$10:$J$224),0),
IF('TL08'!$B$229=K$3,SUMIF('TL08'!$C$238:$C$451,$C246,'TL08'!$J$238:$J$451),0),
IF('TL09'!$B$3=K$3,SUMIF('TL09'!$C$10:$C$224,$C246,'TL09'!$J$10:$J$224),0),
IF('TL09'!$B$229=K$3,SUMIF('TL09'!$C$238:$C$451,$C246,'TL09'!$J$238:$J$451),0),
IF('TL10'!$B$3=K$3,SUMIF('TL10'!$C$10:$C$224,$C246,'TL10'!$J$10:$J$224),0),
IF('TL10'!$B$229=K$3,SUMIF('TL10'!$C$238:$C$451,$C246,'TL10'!$J$238:$J$451),0),
IF('TL11'!$B$3=K$3,SUMIF('TL11'!$C$10:$C$224,$C246,'TL11'!$J$10:$J$224),0),
IF('TL11'!$B$229=K$3,SUMIF('TL11'!$C$238:$C$451,$C246,'TL11'!$J$238:$J$451),0),
IF('TL12'!$B$3=K$3,SUMIF('TL12'!$C$10:$C$224,$C246,'TL12'!$J$10:$J$224),0),
IF('TL12'!$B$229=K$3,SUMIF('TL12'!$C$238:$C$451,$C246,'TL12'!$J$238:$J$451),0),
IF('TL13'!$B$3=K$3,SUMIF('TL13'!$C$10:$C$224,$C246,'TL13'!$J$10:$J$224),0),
IF('TL13'!$B$229=K$3,SUMIF('TL13'!$C$238:$C$451,$C246,'TL13'!$J$238:$J$451),0),
IF('TL14'!$B$3=K$3,SUMIF('TL14'!$C$10:$C$224,$C246,'TL14'!$J$10:$J$224),0),
IF('TL14'!$B$229=K$3,SUMIF('TL14'!$C$238:$C$451,$C246,'TL14'!$J$238:$J$451),0),
IF('TL15'!$B$3=K$3,SUMIF('TL15'!$C$10:$C$224,$C246,'TL15'!$J$10:$J$224),0),
IF('TL15'!$B$229=K$3,SUMIF('TL15'!$C$238:$C$451,$C246,'TL15'!$J$238:$J$451),0),
IF('TL16'!$B$3=K$3,SUMIF('TL16'!$C$10:$C$224,$C246,'TL16'!$J$10:$J$224),0),
IF('TL16'!$B$229=K$3,SUMIF('TL16'!$C$238:$C$451,$C246,'TL16'!$J$238:$J$451),0),
IF('TL17'!$B$3=K$3,SUMIF('TL17'!$C$10:$C$224,$C246,'TL17'!$J$10:$J$224),0),
IF('TL17'!$B$229=K$3,SUMIF('TL17'!$C$238:$C$451,$C246,'TL17'!$J$238:$J$451),0),
IF('TL18'!$B$3=K$3,SUMIF('TL18'!$C$10:$C$224,$C246,'TL18'!$J$10:$J$224),0),
IF('TL18'!$B$229=K$3,SUMIF('TL18'!$C$238:$C$451,$C246,'TL18'!$J$238:$J$451),0),
IF('TL19'!$B$3=K$3,SUMIF('TL19'!$C$10:$C$224,$C246,'TL19'!$J$10:$J$224),0),
IF('TL19'!$B$229=K$3,SUMIF('TL19'!$C$238:$C$451,$C246,'TL19'!$J$238:$J$451),0)
),0)</f>
        <v/>
      </c>
      <c r="L246" s="9">
        <f>IFERROR(SUM(
IF('TL01'!$B$3=L$3,SUMIF('TL01'!$C$10:$C$224,$C246,'TL01'!$J$10:$J$224),0),
IF('TL01'!$B$229=L$3,SUMIF('TL01'!$C$238:$C$451,$C246,'TL01'!$J$238:$J$451),0),
IF('TL02'!$B$3=L$3,SUMIF('TL02'!$C$10:$C$224,$C246,'TL02'!$J$10:$J$224),0),
IF('TL02'!$B$229=L$3,SUMIF('TL02'!$C$238:$C$451,$C246,'TL02'!$J$238:$J$451),0),
IF('TL03'!$B$3=L$3,SUMIF('TL03'!$C$10:$C$224,$C246,'TL03'!$J$10:$J$224),0),
IF('TL03'!$B$229=L$3,SUMIF('TL03'!$C$238:$C$451,$C246,'TL03'!$J$238:$J$451),0),
IF('TL04'!$B$3=L$3,SUMIF('TL04'!$C$10:$C$224,$C246,'TL04'!$J$10:$J$224),0),
IF('TL04'!$B$229=L$3,SUMIF('TL04'!$C$238:$C$451,$C246,'TL04'!$J$238:$J$451),0),
IF('TL05'!$B$3=L$3,SUMIF('TL05'!$C$10:$C$224,$C246,'TL05'!$J$10:$J$224),0),
IF('TL05'!$B$229=L$3,SUMIF('TL05'!$C$238:$C$451,$C246,'TL05'!$J$238:$J$451),0),
IF('TL06'!$B$3=L$3,SUMIF('TL06'!$C$10:$C$224,$C246,'TL06'!$J$10:$J$224),0),
IF('TL06'!$B$229=L$3,SUMIF('TL06'!$C$238:$C$451,$C246,'TL06'!$J$238:$J$451),0),
IF('TL07'!$B$3=L$3,SUMIF('TL07'!$C$10:$C$224,$C246,'TL07'!$J$10:$J$224),0),
IF('TL07'!$B$229=L$3,SUMIF('TL07'!$C$238:$C$451,$C246,'TL07'!$J$238:$J$451),0),
IF('TL08'!$B$3=L$3,SUMIF('TL08'!$C$10:$C$224,$C246,'TL08'!$J$10:$J$224),0),
IF('TL08'!$B$229=L$3,SUMIF('TL08'!$C$238:$C$451,$C246,'TL08'!$J$238:$J$451),0),
IF('TL09'!$B$3=L$3,SUMIF('TL09'!$C$10:$C$224,$C246,'TL09'!$J$10:$J$224),0),
IF('TL09'!$B$229=L$3,SUMIF('TL09'!$C$238:$C$451,$C246,'TL09'!$J$238:$J$451),0),
IF('TL10'!$B$3=L$3,SUMIF('TL10'!$C$10:$C$224,$C246,'TL10'!$J$10:$J$224),0),
IF('TL10'!$B$229=L$3,SUMIF('TL10'!$C$238:$C$451,$C246,'TL10'!$J$238:$J$451),0),
IF('TL11'!$B$3=L$3,SUMIF('TL11'!$C$10:$C$224,$C246,'TL11'!$J$10:$J$224),0),
IF('TL11'!$B$229=L$3,SUMIF('TL11'!$C$238:$C$451,$C246,'TL11'!$J$238:$J$451),0),
IF('TL12'!$B$3=L$3,SUMIF('TL12'!$C$10:$C$224,$C246,'TL12'!$J$10:$J$224),0),
IF('TL12'!$B$229=L$3,SUMIF('TL12'!$C$238:$C$451,$C246,'TL12'!$J$238:$J$451),0),
IF('TL13'!$B$3=L$3,SUMIF('TL13'!$C$10:$C$224,$C246,'TL13'!$J$10:$J$224),0),
IF('TL13'!$B$229=L$3,SUMIF('TL13'!$C$238:$C$451,$C246,'TL13'!$J$238:$J$451),0),
IF('TL14'!$B$3=L$3,SUMIF('TL14'!$C$10:$C$224,$C246,'TL14'!$J$10:$J$224),0),
IF('TL14'!$B$229=L$3,SUMIF('TL14'!$C$238:$C$451,$C246,'TL14'!$J$238:$J$451),0),
IF('TL15'!$B$3=L$3,SUMIF('TL15'!$C$10:$C$224,$C246,'TL15'!$J$10:$J$224),0),
IF('TL15'!$B$229=L$3,SUMIF('TL15'!$C$238:$C$451,$C246,'TL15'!$J$238:$J$451),0),
IF('TL16'!$B$3=L$3,SUMIF('TL16'!$C$10:$C$224,$C246,'TL16'!$J$10:$J$224),0),
IF('TL16'!$B$229=L$3,SUMIF('TL16'!$C$238:$C$451,$C246,'TL16'!$J$238:$J$451),0),
IF('TL17'!$B$3=L$3,SUMIF('TL17'!$C$10:$C$224,$C246,'TL17'!$J$10:$J$224),0),
IF('TL17'!$B$229=L$3,SUMIF('TL17'!$C$238:$C$451,$C246,'TL17'!$J$238:$J$451),0),
IF('TL18'!$B$3=L$3,SUMIF('TL18'!$C$10:$C$224,$C246,'TL18'!$J$10:$J$224),0),
IF('TL18'!$B$229=L$3,SUMIF('TL18'!$C$238:$C$451,$C246,'TL18'!$J$238:$J$451),0),
IF('TL19'!$B$3=L$3,SUMIF('TL19'!$C$10:$C$224,$C246,'TL19'!$J$10:$J$224),0),
IF('TL19'!$B$229=L$3,SUMIF('TL19'!$C$238:$C$451,$C246,'TL19'!$J$238:$J$451),0)
),0)</f>
        <v/>
      </c>
      <c r="M246" s="9">
        <f>IFERROR(SUM(
IF('TL01'!$B$3=M$3,SUMIF('TL01'!$C$10:$C$224,$C246,'TL01'!$J$10:$J$224),0),
IF('TL01'!$B$229=M$3,SUMIF('TL01'!$C$238:$C$451,$C246,'TL01'!$J$238:$J$451),0),
IF('TL02'!$B$3=M$3,SUMIF('TL02'!$C$10:$C$224,$C246,'TL02'!$J$10:$J$224),0),
IF('TL02'!$B$229=M$3,SUMIF('TL02'!$C$238:$C$451,$C246,'TL02'!$J$238:$J$451),0),
IF('TL03'!$B$3=M$3,SUMIF('TL03'!$C$10:$C$224,$C246,'TL03'!$J$10:$J$224),0),
IF('TL03'!$B$229=M$3,SUMIF('TL03'!$C$238:$C$451,$C246,'TL03'!$J$238:$J$451),0),
IF('TL04'!$B$3=M$3,SUMIF('TL04'!$C$10:$C$224,$C246,'TL04'!$J$10:$J$224),0),
IF('TL04'!$B$229=M$3,SUMIF('TL04'!$C$238:$C$451,$C246,'TL04'!$J$238:$J$451),0),
IF('TL05'!$B$3=M$3,SUMIF('TL05'!$C$10:$C$224,$C246,'TL05'!$J$10:$J$224),0),
IF('TL05'!$B$229=M$3,SUMIF('TL05'!$C$238:$C$451,$C246,'TL05'!$J$238:$J$451),0),
IF('TL06'!$B$3=M$3,SUMIF('TL06'!$C$10:$C$224,$C246,'TL06'!$J$10:$J$224),0),
IF('TL06'!$B$229=M$3,SUMIF('TL06'!$C$238:$C$451,$C246,'TL06'!$J$238:$J$451),0),
IF('TL07'!$B$3=M$3,SUMIF('TL07'!$C$10:$C$224,$C246,'TL07'!$J$10:$J$224),0),
IF('TL07'!$B$229=M$3,SUMIF('TL07'!$C$238:$C$451,$C246,'TL07'!$J$238:$J$451),0),
IF('TL08'!$B$3=M$3,SUMIF('TL08'!$C$10:$C$224,$C246,'TL08'!$J$10:$J$224),0),
IF('TL08'!$B$229=M$3,SUMIF('TL08'!$C$238:$C$451,$C246,'TL08'!$J$238:$J$451),0),
IF('TL09'!$B$3=M$3,SUMIF('TL09'!$C$10:$C$224,$C246,'TL09'!$J$10:$J$224),0),
IF('TL09'!$B$229=M$3,SUMIF('TL09'!$C$238:$C$451,$C246,'TL09'!$J$238:$J$451),0),
IF('TL10'!$B$3=M$3,SUMIF('TL10'!$C$10:$C$224,$C246,'TL10'!$J$10:$J$224),0),
IF('TL10'!$B$229=M$3,SUMIF('TL10'!$C$238:$C$451,$C246,'TL10'!$J$238:$J$451),0),
IF('TL11'!$B$3=M$3,SUMIF('TL11'!$C$10:$C$224,$C246,'TL11'!$J$10:$J$224),0),
IF('TL11'!$B$229=M$3,SUMIF('TL11'!$C$238:$C$451,$C246,'TL11'!$J$238:$J$451),0),
IF('TL12'!$B$3=M$3,SUMIF('TL12'!$C$10:$C$224,$C246,'TL12'!$J$10:$J$224),0),
IF('TL12'!$B$229=M$3,SUMIF('TL12'!$C$238:$C$451,$C246,'TL12'!$J$238:$J$451),0),
IF('TL13'!$B$3=M$3,SUMIF('TL13'!$C$10:$C$224,$C246,'TL13'!$J$10:$J$224),0),
IF('TL13'!$B$229=M$3,SUMIF('TL13'!$C$238:$C$451,$C246,'TL13'!$J$238:$J$451),0),
IF('TL14'!$B$3=M$3,SUMIF('TL14'!$C$10:$C$224,$C246,'TL14'!$J$10:$J$224),0),
IF('TL14'!$B$229=M$3,SUMIF('TL14'!$C$238:$C$451,$C246,'TL14'!$J$238:$J$451),0),
IF('TL15'!$B$3=M$3,SUMIF('TL15'!$C$10:$C$224,$C246,'TL15'!$J$10:$J$224),0),
IF('TL15'!$B$229=M$3,SUMIF('TL15'!$C$238:$C$451,$C246,'TL15'!$J$238:$J$451),0),
IF('TL16'!$B$3=M$3,SUMIF('TL16'!$C$10:$C$224,$C246,'TL16'!$J$10:$J$224),0),
IF('TL16'!$B$229=M$3,SUMIF('TL16'!$C$238:$C$451,$C246,'TL16'!$J$238:$J$451),0),
IF('TL17'!$B$3=M$3,SUMIF('TL17'!$C$10:$C$224,$C246,'TL17'!$J$10:$J$224),0),
IF('TL17'!$B$229=M$3,SUMIF('TL17'!$C$238:$C$451,$C246,'TL17'!$J$238:$J$451),0),
IF('TL18'!$B$3=M$3,SUMIF('TL18'!$C$10:$C$224,$C246,'TL18'!$J$10:$J$224),0),
IF('TL18'!$B$229=M$3,SUMIF('TL18'!$C$238:$C$451,$C246,'TL18'!$J$238:$J$451),0),
IF('TL19'!$B$3=M$3,SUMIF('TL19'!$C$10:$C$224,$C246,'TL19'!$J$10:$J$224),0),
IF('TL19'!$B$229=M$3,SUMIF('TL19'!$C$238:$C$451,$C246,'TL19'!$J$238:$J$451),0)
),0)</f>
        <v/>
      </c>
      <c r="N246" s="9">
        <f>IFERROR(SUM(
IF('TL01'!$B$3=N$3,SUMIF('TL01'!$C$10:$C$224,$C246,'TL01'!$J$10:$J$224),0),
IF('TL01'!$B$229=N$3,SUMIF('TL01'!$C$238:$C$451,$C246,'TL01'!$J$238:$J$451),0),
IF('TL02'!$B$3=N$3,SUMIF('TL02'!$C$10:$C$224,$C246,'TL02'!$J$10:$J$224),0),
IF('TL02'!$B$229=N$3,SUMIF('TL02'!$C$238:$C$451,$C246,'TL02'!$J$238:$J$451),0),
IF('TL03'!$B$3=N$3,SUMIF('TL03'!$C$10:$C$224,$C246,'TL03'!$J$10:$J$224),0),
IF('TL03'!$B$229=N$3,SUMIF('TL03'!$C$238:$C$451,$C246,'TL03'!$J$238:$J$451),0),
IF('TL04'!$B$3=N$3,SUMIF('TL04'!$C$10:$C$224,$C246,'TL04'!$J$10:$J$224),0),
IF('TL04'!$B$229=N$3,SUMIF('TL04'!$C$238:$C$451,$C246,'TL04'!$J$238:$J$451),0),
IF('TL05'!$B$3=N$3,SUMIF('TL05'!$C$10:$C$224,$C246,'TL05'!$J$10:$J$224),0),
IF('TL05'!$B$229=N$3,SUMIF('TL05'!$C$238:$C$451,$C246,'TL05'!$J$238:$J$451),0),
IF('TL06'!$B$3=N$3,SUMIF('TL06'!$C$10:$C$224,$C246,'TL06'!$J$10:$J$224),0),
IF('TL06'!$B$229=N$3,SUMIF('TL06'!$C$238:$C$451,$C246,'TL06'!$J$238:$J$451),0),
IF('TL07'!$B$3=N$3,SUMIF('TL07'!$C$10:$C$224,$C246,'TL07'!$J$10:$J$224),0),
IF('TL07'!$B$229=N$3,SUMIF('TL07'!$C$238:$C$451,$C246,'TL07'!$J$238:$J$451),0),
IF('TL08'!$B$3=N$3,SUMIF('TL08'!$C$10:$C$224,$C246,'TL08'!$J$10:$J$224),0),
IF('TL08'!$B$229=N$3,SUMIF('TL08'!$C$238:$C$451,$C246,'TL08'!$J$238:$J$451),0),
IF('TL09'!$B$3=N$3,SUMIF('TL09'!$C$10:$C$224,$C246,'TL09'!$J$10:$J$224),0),
IF('TL09'!$B$229=N$3,SUMIF('TL09'!$C$238:$C$451,$C246,'TL09'!$J$238:$J$451),0),
IF('TL10'!$B$3=N$3,SUMIF('TL10'!$C$10:$C$224,$C246,'TL10'!$J$10:$J$224),0),
IF('TL10'!$B$229=N$3,SUMIF('TL10'!$C$238:$C$451,$C246,'TL10'!$J$238:$J$451),0),
IF('TL11'!$B$3=N$3,SUMIF('TL11'!$C$10:$C$224,$C246,'TL11'!$J$10:$J$224),0),
IF('TL11'!$B$229=N$3,SUMIF('TL11'!$C$238:$C$451,$C246,'TL11'!$J$238:$J$451),0),
IF('TL12'!$B$3=N$3,SUMIF('TL12'!$C$10:$C$224,$C246,'TL12'!$J$10:$J$224),0),
IF('TL12'!$B$229=N$3,SUMIF('TL12'!$C$238:$C$451,$C246,'TL12'!$J$238:$J$451),0),
IF('TL13'!$B$3=N$3,SUMIF('TL13'!$C$10:$C$224,$C246,'TL13'!$J$10:$J$224),0),
IF('TL13'!$B$229=N$3,SUMIF('TL13'!$C$238:$C$451,$C246,'TL13'!$J$238:$J$451),0),
IF('TL14'!$B$3=N$3,SUMIF('TL14'!$C$10:$C$224,$C246,'TL14'!$J$10:$J$224),0),
IF('TL14'!$B$229=N$3,SUMIF('TL14'!$C$238:$C$451,$C246,'TL14'!$J$238:$J$451),0),
IF('TL15'!$B$3=N$3,SUMIF('TL15'!$C$10:$C$224,$C246,'TL15'!$J$10:$J$224),0),
IF('TL15'!$B$229=N$3,SUMIF('TL15'!$C$238:$C$451,$C246,'TL15'!$J$238:$J$451),0),
IF('TL16'!$B$3=N$3,SUMIF('TL16'!$C$10:$C$224,$C246,'TL16'!$J$10:$J$224),0),
IF('TL16'!$B$229=N$3,SUMIF('TL16'!$C$238:$C$451,$C246,'TL16'!$J$238:$J$451),0),
IF('TL17'!$B$3=N$3,SUMIF('TL17'!$C$10:$C$224,$C246,'TL17'!$J$10:$J$224),0),
IF('TL17'!$B$229=N$3,SUMIF('TL17'!$C$238:$C$451,$C246,'TL17'!$J$238:$J$451),0),
IF('TL18'!$B$3=N$3,SUMIF('TL18'!$C$10:$C$224,$C246,'TL18'!$J$10:$J$224),0),
IF('TL18'!$B$229=N$3,SUMIF('TL18'!$C$238:$C$451,$C246,'TL18'!$J$238:$J$451),0),
IF('TL19'!$B$3=N$3,SUMIF('TL19'!$C$10:$C$224,$C246,'TL19'!$J$10:$J$224),0),
IF('TL19'!$B$229=N$3,SUMIF('TL19'!$C$238:$C$451,$C246,'TL19'!$J$238:$J$451),0)
),0)</f>
        <v/>
      </c>
      <c r="O246" s="9">
        <f>IFERROR(SUM(
IF('TL01'!$B$3=O$3,SUMIF('TL01'!$C$10:$C$224,$C246,'TL01'!$J$10:$J$224),0),
IF('TL01'!$B$229=O$3,SUMIF('TL01'!$C$238:$C$451,$C246,'TL01'!$J$238:$J$451),0),
IF('TL02'!$B$3=O$3,SUMIF('TL02'!$C$10:$C$224,$C246,'TL02'!$J$10:$J$224),0),
IF('TL02'!$B$229=O$3,SUMIF('TL02'!$C$238:$C$451,$C246,'TL02'!$J$238:$J$451),0),
IF('TL03'!$B$3=O$3,SUMIF('TL03'!$C$10:$C$224,$C246,'TL03'!$J$10:$J$224),0),
IF('TL03'!$B$229=O$3,SUMIF('TL03'!$C$238:$C$451,$C246,'TL03'!$J$238:$J$451),0),
IF('TL04'!$B$3=O$3,SUMIF('TL04'!$C$10:$C$224,$C246,'TL04'!$J$10:$J$224),0),
IF('TL04'!$B$229=O$3,SUMIF('TL04'!$C$238:$C$451,$C246,'TL04'!$J$238:$J$451),0),
IF('TL05'!$B$3=O$3,SUMIF('TL05'!$C$10:$C$224,$C246,'TL05'!$J$10:$J$224),0),
IF('TL05'!$B$229=O$3,SUMIF('TL05'!$C$238:$C$451,$C246,'TL05'!$J$238:$J$451),0),
IF('TL06'!$B$3=O$3,SUMIF('TL06'!$C$10:$C$224,$C246,'TL06'!$J$10:$J$224),0),
IF('TL06'!$B$229=O$3,SUMIF('TL06'!$C$238:$C$451,$C246,'TL06'!$J$238:$J$451),0),
IF('TL07'!$B$3=O$3,SUMIF('TL07'!$C$10:$C$224,$C246,'TL07'!$J$10:$J$224),0),
IF('TL07'!$B$229=O$3,SUMIF('TL07'!$C$238:$C$451,$C246,'TL07'!$J$238:$J$451),0),
IF('TL08'!$B$3=O$3,SUMIF('TL08'!$C$10:$C$224,$C246,'TL08'!$J$10:$J$224),0),
IF('TL08'!$B$229=O$3,SUMIF('TL08'!$C$238:$C$451,$C246,'TL08'!$J$238:$J$451),0),
IF('TL09'!$B$3=O$3,SUMIF('TL09'!$C$10:$C$224,$C246,'TL09'!$J$10:$J$224),0),
IF('TL09'!$B$229=O$3,SUMIF('TL09'!$C$238:$C$451,$C246,'TL09'!$J$238:$J$451),0),
IF('TL10'!$B$3=O$3,SUMIF('TL10'!$C$10:$C$224,$C246,'TL10'!$J$10:$J$224),0),
IF('TL10'!$B$229=O$3,SUMIF('TL10'!$C$238:$C$451,$C246,'TL10'!$J$238:$J$451),0),
IF('TL11'!$B$3=O$3,SUMIF('TL11'!$C$10:$C$224,$C246,'TL11'!$J$10:$J$224),0),
IF('TL11'!$B$229=O$3,SUMIF('TL11'!$C$238:$C$451,$C246,'TL11'!$J$238:$J$451),0),
IF('TL12'!$B$3=O$3,SUMIF('TL12'!$C$10:$C$224,$C246,'TL12'!$J$10:$J$224),0),
IF('TL12'!$B$229=O$3,SUMIF('TL12'!$C$238:$C$451,$C246,'TL12'!$J$238:$J$451),0),
IF('TL13'!$B$3=O$3,SUMIF('TL13'!$C$10:$C$224,$C246,'TL13'!$J$10:$J$224),0),
IF('TL13'!$B$229=O$3,SUMIF('TL13'!$C$238:$C$451,$C246,'TL13'!$J$238:$J$451),0),
IF('TL14'!$B$3=O$3,SUMIF('TL14'!$C$10:$C$224,$C246,'TL14'!$J$10:$J$224),0),
IF('TL14'!$B$229=O$3,SUMIF('TL14'!$C$238:$C$451,$C246,'TL14'!$J$238:$J$451),0),
IF('TL15'!$B$3=O$3,SUMIF('TL15'!$C$10:$C$224,$C246,'TL15'!$J$10:$J$224),0),
IF('TL15'!$B$229=O$3,SUMIF('TL15'!$C$238:$C$451,$C246,'TL15'!$J$238:$J$451),0),
IF('TL16'!$B$3=O$3,SUMIF('TL16'!$C$10:$C$224,$C246,'TL16'!$J$10:$J$224),0),
IF('TL16'!$B$229=O$3,SUMIF('TL16'!$C$238:$C$451,$C246,'TL16'!$J$238:$J$451),0),
IF('TL17'!$B$3=O$3,SUMIF('TL17'!$C$10:$C$224,$C246,'TL17'!$J$10:$J$224),0),
IF('TL17'!$B$229=O$3,SUMIF('TL17'!$C$238:$C$451,$C246,'TL17'!$J$238:$J$451),0),
IF('TL18'!$B$3=O$3,SUMIF('TL18'!$C$10:$C$224,$C246,'TL18'!$J$10:$J$224),0),
IF('TL18'!$B$229=O$3,SUMIF('TL18'!$C$238:$C$451,$C246,'TL18'!$J$238:$J$451),0),
IF('TL19'!$B$3=O$3,SUMIF('TL19'!$C$10:$C$224,$C246,'TL19'!$J$10:$J$224),0),
IF('TL19'!$B$229=O$3,SUMIF('TL19'!$C$238:$C$451,$C246,'TL19'!$J$238:$J$451),0)
),0)</f>
        <v/>
      </c>
      <c r="P246" s="9">
        <f>IFERROR(SUM(
IF('TL01'!$B$3=P$3,SUMIF('TL01'!$C$10:$C$224,$C246,'TL01'!$J$10:$J$224),0),
IF('TL01'!$B$229=P$3,SUMIF('TL01'!$C$238:$C$451,$C246,'TL01'!$J$238:$J$451),0),
IF('TL02'!$B$3=P$3,SUMIF('TL02'!$C$10:$C$224,$C246,'TL02'!$J$10:$J$224),0),
IF('TL02'!$B$229=P$3,SUMIF('TL02'!$C$238:$C$451,$C246,'TL02'!$J$238:$J$451),0),
IF('TL03'!$B$3=P$3,SUMIF('TL03'!$C$10:$C$224,$C246,'TL03'!$J$10:$J$224),0),
IF('TL03'!$B$229=P$3,SUMIF('TL03'!$C$238:$C$451,$C246,'TL03'!$J$238:$J$451),0),
IF('TL04'!$B$3=P$3,SUMIF('TL04'!$C$10:$C$224,$C246,'TL04'!$J$10:$J$224),0),
IF('TL04'!$B$229=P$3,SUMIF('TL04'!$C$238:$C$451,$C246,'TL04'!$J$238:$J$451),0),
IF('TL05'!$B$3=P$3,SUMIF('TL05'!$C$10:$C$224,$C246,'TL05'!$J$10:$J$224),0),
IF('TL05'!$B$229=P$3,SUMIF('TL05'!$C$238:$C$451,$C246,'TL05'!$J$238:$J$451),0),
IF('TL06'!$B$3=P$3,SUMIF('TL06'!$C$10:$C$224,$C246,'TL06'!$J$10:$J$224),0),
IF('TL06'!$B$229=P$3,SUMIF('TL06'!$C$238:$C$451,$C246,'TL06'!$J$238:$J$451),0),
IF('TL07'!$B$3=P$3,SUMIF('TL07'!$C$10:$C$224,$C246,'TL07'!$J$10:$J$224),0),
IF('TL07'!$B$229=P$3,SUMIF('TL07'!$C$238:$C$451,$C246,'TL07'!$J$238:$J$451),0),
IF('TL08'!$B$3=P$3,SUMIF('TL08'!$C$10:$C$224,$C246,'TL08'!$J$10:$J$224),0),
IF('TL08'!$B$229=P$3,SUMIF('TL08'!$C$238:$C$451,$C246,'TL08'!$J$238:$J$451),0),
IF('TL09'!$B$3=P$3,SUMIF('TL09'!$C$10:$C$224,$C246,'TL09'!$J$10:$J$224),0),
IF('TL09'!$B$229=P$3,SUMIF('TL09'!$C$238:$C$451,$C246,'TL09'!$J$238:$J$451),0),
IF('TL10'!$B$3=P$3,SUMIF('TL10'!$C$10:$C$224,$C246,'TL10'!$J$10:$J$224),0),
IF('TL10'!$B$229=P$3,SUMIF('TL10'!$C$238:$C$451,$C246,'TL10'!$J$238:$J$451),0),
IF('TL11'!$B$3=P$3,SUMIF('TL11'!$C$10:$C$224,$C246,'TL11'!$J$10:$J$224),0),
IF('TL11'!$B$229=P$3,SUMIF('TL11'!$C$238:$C$451,$C246,'TL11'!$J$238:$J$451),0),
IF('TL12'!$B$3=P$3,SUMIF('TL12'!$C$10:$C$224,$C246,'TL12'!$J$10:$J$224),0),
IF('TL12'!$B$229=P$3,SUMIF('TL12'!$C$238:$C$451,$C246,'TL12'!$J$238:$J$451),0),
IF('TL13'!$B$3=P$3,SUMIF('TL13'!$C$10:$C$224,$C246,'TL13'!$J$10:$J$224),0),
IF('TL13'!$B$229=P$3,SUMIF('TL13'!$C$238:$C$451,$C246,'TL13'!$J$238:$J$451),0),
IF('TL14'!$B$3=P$3,SUMIF('TL14'!$C$10:$C$224,$C246,'TL14'!$J$10:$J$224),0),
IF('TL14'!$B$229=P$3,SUMIF('TL14'!$C$238:$C$451,$C246,'TL14'!$J$238:$J$451),0),
IF('TL15'!$B$3=P$3,SUMIF('TL15'!$C$10:$C$224,$C246,'TL15'!$J$10:$J$224),0),
IF('TL15'!$B$229=P$3,SUMIF('TL15'!$C$238:$C$451,$C246,'TL15'!$J$238:$J$451),0),
IF('TL16'!$B$3=P$3,SUMIF('TL16'!$C$10:$C$224,$C246,'TL16'!$J$10:$J$224),0),
IF('TL16'!$B$229=P$3,SUMIF('TL16'!$C$238:$C$451,$C246,'TL16'!$J$238:$J$451),0),
IF('TL17'!$B$3=P$3,SUMIF('TL17'!$C$10:$C$224,$C246,'TL17'!$J$10:$J$224),0),
IF('TL17'!$B$229=P$3,SUMIF('TL17'!$C$238:$C$451,$C246,'TL17'!$J$238:$J$451),0),
IF('TL18'!$B$3=P$3,SUMIF('TL18'!$C$10:$C$224,$C246,'TL18'!$J$10:$J$224),0),
IF('TL18'!$B$229=P$3,SUMIF('TL18'!$C$238:$C$451,$C246,'TL18'!$J$238:$J$451),0),
IF('TL19'!$B$3=P$3,SUMIF('TL19'!$C$10:$C$224,$C246,'TL19'!$J$10:$J$224),0),
IF('TL19'!$B$229=P$3,SUMIF('TL19'!$C$238:$C$451,$C246,'TL19'!$J$238:$J$451),0)
),0)</f>
        <v/>
      </c>
      <c r="Q246" s="9">
        <f>IFERROR(SUM(
IF('TL01'!$B$3=Q$3,SUMIF('TL01'!$C$10:$C$224,$C246,'TL01'!$J$10:$J$224),0),
IF('TL01'!$B$229=Q$3,SUMIF('TL01'!$C$238:$C$451,$C246,'TL01'!$J$238:$J$451),0),
IF('TL02'!$B$3=Q$3,SUMIF('TL02'!$C$10:$C$224,$C246,'TL02'!$J$10:$J$224),0),
IF('TL02'!$B$229=Q$3,SUMIF('TL02'!$C$238:$C$451,$C246,'TL02'!$J$238:$J$451),0),
IF('TL03'!$B$3=Q$3,SUMIF('TL03'!$C$10:$C$224,$C246,'TL03'!$J$10:$J$224),0),
IF('TL03'!$B$229=Q$3,SUMIF('TL03'!$C$238:$C$451,$C246,'TL03'!$J$238:$J$451),0),
IF('TL04'!$B$3=Q$3,SUMIF('TL04'!$C$10:$C$224,$C246,'TL04'!$J$10:$J$224),0),
IF('TL04'!$B$229=Q$3,SUMIF('TL04'!$C$238:$C$451,$C246,'TL04'!$J$238:$J$451),0),
IF('TL05'!$B$3=Q$3,SUMIF('TL05'!$C$10:$C$224,$C246,'TL05'!$J$10:$J$224),0),
IF('TL05'!$B$229=Q$3,SUMIF('TL05'!$C$238:$C$451,$C246,'TL05'!$J$238:$J$451),0),
IF('TL06'!$B$3=Q$3,SUMIF('TL06'!$C$10:$C$224,$C246,'TL06'!$J$10:$J$224),0),
IF('TL06'!$B$229=Q$3,SUMIF('TL06'!$C$238:$C$451,$C246,'TL06'!$J$238:$J$451),0),
IF('TL07'!$B$3=Q$3,SUMIF('TL07'!$C$10:$C$224,$C246,'TL07'!$J$10:$J$224),0),
IF('TL07'!$B$229=Q$3,SUMIF('TL07'!$C$238:$C$451,$C246,'TL07'!$J$238:$J$451),0),
IF('TL08'!$B$3=Q$3,SUMIF('TL08'!$C$10:$C$224,$C246,'TL08'!$J$10:$J$224),0),
IF('TL08'!$B$229=Q$3,SUMIF('TL08'!$C$238:$C$451,$C246,'TL08'!$J$238:$J$451),0),
IF('TL09'!$B$3=Q$3,SUMIF('TL09'!$C$10:$C$224,$C246,'TL09'!$J$10:$J$224),0),
IF('TL09'!$B$229=Q$3,SUMIF('TL09'!$C$238:$C$451,$C246,'TL09'!$J$238:$J$451),0),
IF('TL10'!$B$3=Q$3,SUMIF('TL10'!$C$10:$C$224,$C246,'TL10'!$J$10:$J$224),0),
IF('TL10'!$B$229=Q$3,SUMIF('TL10'!$C$238:$C$451,$C246,'TL10'!$J$238:$J$451),0),
IF('TL11'!$B$3=Q$3,SUMIF('TL11'!$C$10:$C$224,$C246,'TL11'!$J$10:$J$224),0),
IF('TL11'!$B$229=Q$3,SUMIF('TL11'!$C$238:$C$451,$C246,'TL11'!$J$238:$J$451),0),
IF('TL12'!$B$3=Q$3,SUMIF('TL12'!$C$10:$C$224,$C246,'TL12'!$J$10:$J$224),0),
IF('TL12'!$B$229=Q$3,SUMIF('TL12'!$C$238:$C$451,$C246,'TL12'!$J$238:$J$451),0),
IF('TL13'!$B$3=Q$3,SUMIF('TL13'!$C$10:$C$224,$C246,'TL13'!$J$10:$J$224),0),
IF('TL13'!$B$229=Q$3,SUMIF('TL13'!$C$238:$C$451,$C246,'TL13'!$J$238:$J$451),0),
IF('TL14'!$B$3=Q$3,SUMIF('TL14'!$C$10:$C$224,$C246,'TL14'!$J$10:$J$224),0),
IF('TL14'!$B$229=Q$3,SUMIF('TL14'!$C$238:$C$451,$C246,'TL14'!$J$238:$J$451),0),
IF('TL15'!$B$3=Q$3,SUMIF('TL15'!$C$10:$C$224,$C246,'TL15'!$J$10:$J$224),0),
IF('TL15'!$B$229=Q$3,SUMIF('TL15'!$C$238:$C$451,$C246,'TL15'!$J$238:$J$451),0),
IF('TL16'!$B$3=Q$3,SUMIF('TL16'!$C$10:$C$224,$C246,'TL16'!$J$10:$J$224),0),
IF('TL16'!$B$229=Q$3,SUMIF('TL16'!$C$238:$C$451,$C246,'TL16'!$J$238:$J$451),0),
IF('TL17'!$B$3=Q$3,SUMIF('TL17'!$C$10:$C$224,$C246,'TL17'!$J$10:$J$224),0),
IF('TL17'!$B$229=Q$3,SUMIF('TL17'!$C$238:$C$451,$C246,'TL17'!$J$238:$J$451),0),
IF('TL18'!$B$3=Q$3,SUMIF('TL18'!$C$10:$C$224,$C246,'TL18'!$J$10:$J$224),0),
IF('TL18'!$B$229=Q$3,SUMIF('TL18'!$C$238:$C$451,$C246,'TL18'!$J$238:$J$451),0),
IF('TL19'!$B$3=Q$3,SUMIF('TL19'!$C$10:$C$224,$C246,'TL19'!$J$10:$J$224),0),
IF('TL19'!$B$229=Q$3,SUMIF('TL19'!$C$238:$C$451,$C246,'TL19'!$J$238:$J$451),0)
),0)</f>
        <v/>
      </c>
      <c r="R246" s="9">
        <f>IFERROR(
SUM(
SUMIF('TL01'!C:C,C246,'TL01'!J:J),
SUMIF('TL02'!C:C,C246,'TL02'!J:J),
SUMIF('TL03'!C:C,C246,'TL03'!J:J),
SUMIF('TL04'!C:C,C246,'TL04'!J:J),
SUMIF('TL05'!C:C,C246,'TL05'!J:J),
SUMIF('TL06'!C:C,C246,'TL06'!J:J),
SUMIF('TL07'!C:C,C246,'TL07'!J:J),
SUMIF('TL08'!C:C,C246,'TL08'!J:J),
SUMIF('TL09'!C:C,C246,'TL09'!J:J),
SUMIF('TL10'!C:C,C246,'TL10'!J:J),
SUMIF('TL11'!C:C,C246,'TL11'!J:J),
SUMIF('TL12'!C:C,C246,'TL12'!J:J),
SUMIF('TL13'!C:C,C246,'TL13'!J:J),
SUMIF('TL14'!C:C,C246,'TL14'!J:J),
SUMIF('TL15'!C:C,C246,'TL15'!J:J),
SUMIF('TL16'!C:C,C246,'TL16'!J:J),
SUMIF('TL17'!C:C,C246,'TL17'!J:J),
SUMIF('TL18'!C:C,C246,'TL18'!J:J),SUMIF('TL19'!C:C,C246,'TL19'!J:J))
,0)</f>
        <v/>
      </c>
      <c r="S246" s="17">
        <f>IFERROR(__xludf.DUMMYFUNCTION("IFERROR(VLOOKUP(C246,
IMPORTRANGE(""1wULbzX32WdYsx-lj2U3uUNBBe2INVIRDtcK0d-Dvl90"",
""26-27!C:G""),
5,
FALSE),
"""")"),0.0)</f>
        <v/>
      </c>
      <c r="T246" s="9" t="n"/>
      <c r="U246" s="92">
        <f>MAX(0,R246-T246)</f>
        <v/>
      </c>
      <c r="V246" s="93">
        <f>U246*S246</f>
        <v/>
      </c>
    </row>
    <row r="247" hidden="1" ht="15.75" customHeight="1" s="297">
      <c r="A247" s="122" t="inlineStr">
        <is>
          <t>SUMITOMO</t>
        </is>
      </c>
      <c r="B247" s="120" t="inlineStr">
        <is>
          <t>RC</t>
        </is>
      </c>
      <c r="C247" s="122" t="inlineStr">
        <is>
          <t>PROGIBB 400</t>
        </is>
      </c>
      <c r="D247" s="122" t="inlineStr">
        <is>
          <t>ÁCIDO GIBERÉLICO</t>
        </is>
      </c>
      <c r="E247" s="122" t="n">
        <v>400</v>
      </c>
      <c r="F247" s="4" t="n"/>
      <c r="G247" s="90">
        <f>HYPERLINK("https://www.google.com/search?q=" &amp; C247 &amp; "+bula+agrofit+pdf", "📄 Ver bula")</f>
        <v/>
      </c>
      <c r="H247" s="9">
        <f>IFERROR(__xludf.DUMMYFUNCTION("IFERROR(VLOOKUP(C247,
IMPORTRANGE(""1wULbzX32WdYsx-lj2U3uUNBBe2INVIRDtcK0d-Dvl90"",
""26-27!C:K""),
8,
FALSE),
"""")"),"")</f>
        <v/>
      </c>
      <c r="I247" s="123" t="inlineStr">
        <is>
          <t>10X0,250</t>
        </is>
      </c>
      <c r="J247" s="9">
        <f>IFERROR(SUM(
IF('TL01'!$B$3=J$3,SUMIF('TL01'!$C$10:$C$224,$C247,'TL01'!$J$10:$J$224),0),
IF('TL01'!$B$229=J$3,SUMIF('TL01'!$C$238:$C$451,$C247,'TL01'!$J$238:$J$451),0),
IF('TL02'!$B$3=J$3,SUMIF('TL02'!$C$10:$C$224,$C247,'TL02'!$J$10:$J$224),0),
IF('TL02'!$B$229=J$3,SUMIF('TL02'!$C$238:$C$451,$C247,'TL02'!$J$238:$J$451),0),
IF('TL03'!$B$3=J$3,SUMIF('TL03'!$C$10:$C$224,$C247,'TL03'!$J$10:$J$224),0),
IF('TL03'!$B$229=J$3,SUMIF('TL03'!$C$238:$C$451,$C247,'TL03'!$J$238:$J$451),0),
IF('TL04'!$B$3=J$3,SUMIF('TL04'!$C$10:$C$224,$C247,'TL04'!$J$10:$J$224),0),
IF('TL04'!$B$229=J$3,SUMIF('TL04'!$C$238:$C$451,$C247,'TL04'!$J$238:$J$451),0),
IF('TL05'!$B$3=J$3,SUMIF('TL05'!$C$10:$C$224,$C247,'TL05'!$J$10:$J$224),0),
IF('TL05'!$B$229=J$3,SUMIF('TL05'!$C$238:$C$451,$C247,'TL05'!$J$238:$J$451),0),
IF('TL06'!$B$3=J$3,SUMIF('TL06'!$C$10:$C$224,$C247,'TL06'!$J$10:$J$224),0),
IF('TL06'!$B$229=J$3,SUMIF('TL06'!$C$238:$C$451,$C247,'TL06'!$J$238:$J$451),0),
IF('TL07'!$B$3=J$3,SUMIF('TL07'!$C$10:$C$224,$C247,'TL07'!$J$10:$J$224),0),
IF('TL07'!$B$229=J$3,SUMIF('TL07'!$C$238:$C$451,$C247,'TL07'!$J$238:$J$451),0),
IF('TL08'!$B$3=J$3,SUMIF('TL08'!$C$10:$C$224,$C247,'TL08'!$J$10:$J$224),0),
IF('TL08'!$B$229=J$3,SUMIF('TL08'!$C$238:$C$451,$C247,'TL08'!$J$238:$J$451),0),
IF('TL09'!$B$3=J$3,SUMIF('TL09'!$C$10:$C$224,$C247,'TL09'!$J$10:$J$224),0),
IF('TL09'!$B$229=J$3,SUMIF('TL09'!$C$238:$C$451,$C247,'TL09'!$J$238:$J$451),0),
IF('TL10'!$B$3=J$3,SUMIF('TL10'!$C$10:$C$224,$C247,'TL10'!$J$10:$J$224),0),
IF('TL10'!$B$229=J$3,SUMIF('TL10'!$C$238:$C$451,$C247,'TL10'!$J$238:$J$451),0),
IF('TL11'!$B$3=J$3,SUMIF('TL11'!$C$10:$C$224,$C247,'TL11'!$J$10:$J$224),0),
IF('TL11'!$B$229=J$3,SUMIF('TL11'!$C$238:$C$451,$C247,'TL11'!$J$238:$J$451),0),
IF('TL12'!$B$3=J$3,SUMIF('TL12'!$C$10:$C$224,$C247,'TL12'!$J$10:$J$224),0),
IF('TL12'!$B$229=J$3,SUMIF('TL12'!$C$238:$C$451,$C247,'TL12'!$J$238:$J$451),0),
IF('TL13'!$B$3=J$3,SUMIF('TL13'!$C$10:$C$224,$C247,'TL13'!$J$10:$J$224),0),
IF('TL13'!$B$229=J$3,SUMIF('TL13'!$C$238:$C$451,$C247,'TL13'!$J$238:$J$451),0),
IF('TL14'!$B$3=J$3,SUMIF('TL14'!$C$10:$C$224,$C247,'TL14'!$J$10:$J$224),0),
IF('TL14'!$B$229=J$3,SUMIF('TL14'!$C$238:$C$451,$C247,'TL14'!$J$238:$J$451),0),
IF('TL15'!$B$3=J$3,SUMIF('TL15'!$C$10:$C$224,$C247,'TL15'!$J$10:$J$224),0),
IF('TL15'!$B$229=J$3,SUMIF('TL15'!$C$238:$C$451,$C247,'TL15'!$J$238:$J$451),0),
IF('TL16'!$B$3=J$3,SUMIF('TL16'!$C$10:$C$224,$C247,'TL16'!$J$10:$J$224),0),
IF('TL16'!$B$229=J$3,SUMIF('TL16'!$C$238:$C$451,$C247,'TL16'!$J$238:$J$451),0),
IF('TL17'!$B$3=J$3,SUMIF('TL17'!$C$10:$C$224,$C247,'TL17'!$J$10:$J$224),0),
IF('TL17'!$B$229=J$3,SUMIF('TL17'!$C$238:$C$451,$C247,'TL17'!$J$238:$J$451),0),
IF('TL18'!$B$3=J$3,SUMIF('TL18'!$C$10:$C$224,$C247,'TL18'!$J$10:$J$224),0),
IF('TL18'!$B$229=J$3,SUMIF('TL18'!$C$238:$C$451,$C247,'TL18'!$J$238:$J$451),0),
IF('TL19'!$B$3=J$3,SUMIF('TL19'!$C$10:$C$224,$C247,'TL19'!$J$10:$J$224),0),
IF('TL19'!$B$229=J$3,SUMIF('TL19'!$C$238:$C$451,$C247,'TL19'!$J$238:$J$451),0)
),0)</f>
        <v/>
      </c>
      <c r="K247" s="9">
        <f>IFERROR(SUM(
IF('TL01'!$B$3=K$3,SUMIF('TL01'!$C$10:$C$224,$C247,'TL01'!$J$10:$J$224),0),
IF('TL01'!$B$229=K$3,SUMIF('TL01'!$C$238:$C$451,$C247,'TL01'!$J$238:$J$451),0),
IF('TL02'!$B$3=K$3,SUMIF('TL02'!$C$10:$C$224,$C247,'TL02'!$J$10:$J$224),0),
IF('TL02'!$B$229=K$3,SUMIF('TL02'!$C$238:$C$451,$C247,'TL02'!$J$238:$J$451),0),
IF('TL03'!$B$3=K$3,SUMIF('TL03'!$C$10:$C$224,$C247,'TL03'!$J$10:$J$224),0),
IF('TL03'!$B$229=K$3,SUMIF('TL03'!$C$238:$C$451,$C247,'TL03'!$J$238:$J$451),0),
IF('TL04'!$B$3=K$3,SUMIF('TL04'!$C$10:$C$224,$C247,'TL04'!$J$10:$J$224),0),
IF('TL04'!$B$229=K$3,SUMIF('TL04'!$C$238:$C$451,$C247,'TL04'!$J$238:$J$451),0),
IF('TL05'!$B$3=K$3,SUMIF('TL05'!$C$10:$C$224,$C247,'TL05'!$J$10:$J$224),0),
IF('TL05'!$B$229=K$3,SUMIF('TL05'!$C$238:$C$451,$C247,'TL05'!$J$238:$J$451),0),
IF('TL06'!$B$3=K$3,SUMIF('TL06'!$C$10:$C$224,$C247,'TL06'!$J$10:$J$224),0),
IF('TL06'!$B$229=K$3,SUMIF('TL06'!$C$238:$C$451,$C247,'TL06'!$J$238:$J$451),0),
IF('TL07'!$B$3=K$3,SUMIF('TL07'!$C$10:$C$224,$C247,'TL07'!$J$10:$J$224),0),
IF('TL07'!$B$229=K$3,SUMIF('TL07'!$C$238:$C$451,$C247,'TL07'!$J$238:$J$451),0),
IF('TL08'!$B$3=K$3,SUMIF('TL08'!$C$10:$C$224,$C247,'TL08'!$J$10:$J$224),0),
IF('TL08'!$B$229=K$3,SUMIF('TL08'!$C$238:$C$451,$C247,'TL08'!$J$238:$J$451),0),
IF('TL09'!$B$3=K$3,SUMIF('TL09'!$C$10:$C$224,$C247,'TL09'!$J$10:$J$224),0),
IF('TL09'!$B$229=K$3,SUMIF('TL09'!$C$238:$C$451,$C247,'TL09'!$J$238:$J$451),0),
IF('TL10'!$B$3=K$3,SUMIF('TL10'!$C$10:$C$224,$C247,'TL10'!$J$10:$J$224),0),
IF('TL10'!$B$229=K$3,SUMIF('TL10'!$C$238:$C$451,$C247,'TL10'!$J$238:$J$451),0),
IF('TL11'!$B$3=K$3,SUMIF('TL11'!$C$10:$C$224,$C247,'TL11'!$J$10:$J$224),0),
IF('TL11'!$B$229=K$3,SUMIF('TL11'!$C$238:$C$451,$C247,'TL11'!$J$238:$J$451),0),
IF('TL12'!$B$3=K$3,SUMIF('TL12'!$C$10:$C$224,$C247,'TL12'!$J$10:$J$224),0),
IF('TL12'!$B$229=K$3,SUMIF('TL12'!$C$238:$C$451,$C247,'TL12'!$J$238:$J$451),0),
IF('TL13'!$B$3=K$3,SUMIF('TL13'!$C$10:$C$224,$C247,'TL13'!$J$10:$J$224),0),
IF('TL13'!$B$229=K$3,SUMIF('TL13'!$C$238:$C$451,$C247,'TL13'!$J$238:$J$451),0),
IF('TL14'!$B$3=K$3,SUMIF('TL14'!$C$10:$C$224,$C247,'TL14'!$J$10:$J$224),0),
IF('TL14'!$B$229=K$3,SUMIF('TL14'!$C$238:$C$451,$C247,'TL14'!$J$238:$J$451),0),
IF('TL15'!$B$3=K$3,SUMIF('TL15'!$C$10:$C$224,$C247,'TL15'!$J$10:$J$224),0),
IF('TL15'!$B$229=K$3,SUMIF('TL15'!$C$238:$C$451,$C247,'TL15'!$J$238:$J$451),0),
IF('TL16'!$B$3=K$3,SUMIF('TL16'!$C$10:$C$224,$C247,'TL16'!$J$10:$J$224),0),
IF('TL16'!$B$229=K$3,SUMIF('TL16'!$C$238:$C$451,$C247,'TL16'!$J$238:$J$451),0),
IF('TL17'!$B$3=K$3,SUMIF('TL17'!$C$10:$C$224,$C247,'TL17'!$J$10:$J$224),0),
IF('TL17'!$B$229=K$3,SUMIF('TL17'!$C$238:$C$451,$C247,'TL17'!$J$238:$J$451),0),
IF('TL18'!$B$3=K$3,SUMIF('TL18'!$C$10:$C$224,$C247,'TL18'!$J$10:$J$224),0),
IF('TL18'!$B$229=K$3,SUMIF('TL18'!$C$238:$C$451,$C247,'TL18'!$J$238:$J$451),0),
IF('TL19'!$B$3=K$3,SUMIF('TL19'!$C$10:$C$224,$C247,'TL19'!$J$10:$J$224),0),
IF('TL19'!$B$229=K$3,SUMIF('TL19'!$C$238:$C$451,$C247,'TL19'!$J$238:$J$451),0)
),0)</f>
        <v/>
      </c>
      <c r="L247" s="9">
        <f>IFERROR(SUM(
IF('TL01'!$B$3=L$3,SUMIF('TL01'!$C$10:$C$224,$C247,'TL01'!$J$10:$J$224),0),
IF('TL01'!$B$229=L$3,SUMIF('TL01'!$C$238:$C$451,$C247,'TL01'!$J$238:$J$451),0),
IF('TL02'!$B$3=L$3,SUMIF('TL02'!$C$10:$C$224,$C247,'TL02'!$J$10:$J$224),0),
IF('TL02'!$B$229=L$3,SUMIF('TL02'!$C$238:$C$451,$C247,'TL02'!$J$238:$J$451),0),
IF('TL03'!$B$3=L$3,SUMIF('TL03'!$C$10:$C$224,$C247,'TL03'!$J$10:$J$224),0),
IF('TL03'!$B$229=L$3,SUMIF('TL03'!$C$238:$C$451,$C247,'TL03'!$J$238:$J$451),0),
IF('TL04'!$B$3=L$3,SUMIF('TL04'!$C$10:$C$224,$C247,'TL04'!$J$10:$J$224),0),
IF('TL04'!$B$229=L$3,SUMIF('TL04'!$C$238:$C$451,$C247,'TL04'!$J$238:$J$451),0),
IF('TL05'!$B$3=L$3,SUMIF('TL05'!$C$10:$C$224,$C247,'TL05'!$J$10:$J$224),0),
IF('TL05'!$B$229=L$3,SUMIF('TL05'!$C$238:$C$451,$C247,'TL05'!$J$238:$J$451),0),
IF('TL06'!$B$3=L$3,SUMIF('TL06'!$C$10:$C$224,$C247,'TL06'!$J$10:$J$224),0),
IF('TL06'!$B$229=L$3,SUMIF('TL06'!$C$238:$C$451,$C247,'TL06'!$J$238:$J$451),0),
IF('TL07'!$B$3=L$3,SUMIF('TL07'!$C$10:$C$224,$C247,'TL07'!$J$10:$J$224),0),
IF('TL07'!$B$229=L$3,SUMIF('TL07'!$C$238:$C$451,$C247,'TL07'!$J$238:$J$451),0),
IF('TL08'!$B$3=L$3,SUMIF('TL08'!$C$10:$C$224,$C247,'TL08'!$J$10:$J$224),0),
IF('TL08'!$B$229=L$3,SUMIF('TL08'!$C$238:$C$451,$C247,'TL08'!$J$238:$J$451),0),
IF('TL09'!$B$3=L$3,SUMIF('TL09'!$C$10:$C$224,$C247,'TL09'!$J$10:$J$224),0),
IF('TL09'!$B$229=L$3,SUMIF('TL09'!$C$238:$C$451,$C247,'TL09'!$J$238:$J$451),0),
IF('TL10'!$B$3=L$3,SUMIF('TL10'!$C$10:$C$224,$C247,'TL10'!$J$10:$J$224),0),
IF('TL10'!$B$229=L$3,SUMIF('TL10'!$C$238:$C$451,$C247,'TL10'!$J$238:$J$451),0),
IF('TL11'!$B$3=L$3,SUMIF('TL11'!$C$10:$C$224,$C247,'TL11'!$J$10:$J$224),0),
IF('TL11'!$B$229=L$3,SUMIF('TL11'!$C$238:$C$451,$C247,'TL11'!$J$238:$J$451),0),
IF('TL12'!$B$3=L$3,SUMIF('TL12'!$C$10:$C$224,$C247,'TL12'!$J$10:$J$224),0),
IF('TL12'!$B$229=L$3,SUMIF('TL12'!$C$238:$C$451,$C247,'TL12'!$J$238:$J$451),0),
IF('TL13'!$B$3=L$3,SUMIF('TL13'!$C$10:$C$224,$C247,'TL13'!$J$10:$J$224),0),
IF('TL13'!$B$229=L$3,SUMIF('TL13'!$C$238:$C$451,$C247,'TL13'!$J$238:$J$451),0),
IF('TL14'!$B$3=L$3,SUMIF('TL14'!$C$10:$C$224,$C247,'TL14'!$J$10:$J$224),0),
IF('TL14'!$B$229=L$3,SUMIF('TL14'!$C$238:$C$451,$C247,'TL14'!$J$238:$J$451),0),
IF('TL15'!$B$3=L$3,SUMIF('TL15'!$C$10:$C$224,$C247,'TL15'!$J$10:$J$224),0),
IF('TL15'!$B$229=L$3,SUMIF('TL15'!$C$238:$C$451,$C247,'TL15'!$J$238:$J$451),0),
IF('TL16'!$B$3=L$3,SUMIF('TL16'!$C$10:$C$224,$C247,'TL16'!$J$10:$J$224),0),
IF('TL16'!$B$229=L$3,SUMIF('TL16'!$C$238:$C$451,$C247,'TL16'!$J$238:$J$451),0),
IF('TL17'!$B$3=L$3,SUMIF('TL17'!$C$10:$C$224,$C247,'TL17'!$J$10:$J$224),0),
IF('TL17'!$B$229=L$3,SUMIF('TL17'!$C$238:$C$451,$C247,'TL17'!$J$238:$J$451),0),
IF('TL18'!$B$3=L$3,SUMIF('TL18'!$C$10:$C$224,$C247,'TL18'!$J$10:$J$224),0),
IF('TL18'!$B$229=L$3,SUMIF('TL18'!$C$238:$C$451,$C247,'TL18'!$J$238:$J$451),0),
IF('TL19'!$B$3=L$3,SUMIF('TL19'!$C$10:$C$224,$C247,'TL19'!$J$10:$J$224),0),
IF('TL19'!$B$229=L$3,SUMIF('TL19'!$C$238:$C$451,$C247,'TL19'!$J$238:$J$451),0)
),0)</f>
        <v/>
      </c>
      <c r="M247" s="9">
        <f>IFERROR(SUM(
IF('TL01'!$B$3=M$3,SUMIF('TL01'!$C$10:$C$224,$C247,'TL01'!$J$10:$J$224),0),
IF('TL01'!$B$229=M$3,SUMIF('TL01'!$C$238:$C$451,$C247,'TL01'!$J$238:$J$451),0),
IF('TL02'!$B$3=M$3,SUMIF('TL02'!$C$10:$C$224,$C247,'TL02'!$J$10:$J$224),0),
IF('TL02'!$B$229=M$3,SUMIF('TL02'!$C$238:$C$451,$C247,'TL02'!$J$238:$J$451),0),
IF('TL03'!$B$3=M$3,SUMIF('TL03'!$C$10:$C$224,$C247,'TL03'!$J$10:$J$224),0),
IF('TL03'!$B$229=M$3,SUMIF('TL03'!$C$238:$C$451,$C247,'TL03'!$J$238:$J$451),0),
IF('TL04'!$B$3=M$3,SUMIF('TL04'!$C$10:$C$224,$C247,'TL04'!$J$10:$J$224),0),
IF('TL04'!$B$229=M$3,SUMIF('TL04'!$C$238:$C$451,$C247,'TL04'!$J$238:$J$451),0),
IF('TL05'!$B$3=M$3,SUMIF('TL05'!$C$10:$C$224,$C247,'TL05'!$J$10:$J$224),0),
IF('TL05'!$B$229=M$3,SUMIF('TL05'!$C$238:$C$451,$C247,'TL05'!$J$238:$J$451),0),
IF('TL06'!$B$3=M$3,SUMIF('TL06'!$C$10:$C$224,$C247,'TL06'!$J$10:$J$224),0),
IF('TL06'!$B$229=M$3,SUMIF('TL06'!$C$238:$C$451,$C247,'TL06'!$J$238:$J$451),0),
IF('TL07'!$B$3=M$3,SUMIF('TL07'!$C$10:$C$224,$C247,'TL07'!$J$10:$J$224),0),
IF('TL07'!$B$229=M$3,SUMIF('TL07'!$C$238:$C$451,$C247,'TL07'!$J$238:$J$451),0),
IF('TL08'!$B$3=M$3,SUMIF('TL08'!$C$10:$C$224,$C247,'TL08'!$J$10:$J$224),0),
IF('TL08'!$B$229=M$3,SUMIF('TL08'!$C$238:$C$451,$C247,'TL08'!$J$238:$J$451),0),
IF('TL09'!$B$3=M$3,SUMIF('TL09'!$C$10:$C$224,$C247,'TL09'!$J$10:$J$224),0),
IF('TL09'!$B$229=M$3,SUMIF('TL09'!$C$238:$C$451,$C247,'TL09'!$J$238:$J$451),0),
IF('TL10'!$B$3=M$3,SUMIF('TL10'!$C$10:$C$224,$C247,'TL10'!$J$10:$J$224),0),
IF('TL10'!$B$229=M$3,SUMIF('TL10'!$C$238:$C$451,$C247,'TL10'!$J$238:$J$451),0),
IF('TL11'!$B$3=M$3,SUMIF('TL11'!$C$10:$C$224,$C247,'TL11'!$J$10:$J$224),0),
IF('TL11'!$B$229=M$3,SUMIF('TL11'!$C$238:$C$451,$C247,'TL11'!$J$238:$J$451),0),
IF('TL12'!$B$3=M$3,SUMIF('TL12'!$C$10:$C$224,$C247,'TL12'!$J$10:$J$224),0),
IF('TL12'!$B$229=M$3,SUMIF('TL12'!$C$238:$C$451,$C247,'TL12'!$J$238:$J$451),0),
IF('TL13'!$B$3=M$3,SUMIF('TL13'!$C$10:$C$224,$C247,'TL13'!$J$10:$J$224),0),
IF('TL13'!$B$229=M$3,SUMIF('TL13'!$C$238:$C$451,$C247,'TL13'!$J$238:$J$451),0),
IF('TL14'!$B$3=M$3,SUMIF('TL14'!$C$10:$C$224,$C247,'TL14'!$J$10:$J$224),0),
IF('TL14'!$B$229=M$3,SUMIF('TL14'!$C$238:$C$451,$C247,'TL14'!$J$238:$J$451),0),
IF('TL15'!$B$3=M$3,SUMIF('TL15'!$C$10:$C$224,$C247,'TL15'!$J$10:$J$224),0),
IF('TL15'!$B$229=M$3,SUMIF('TL15'!$C$238:$C$451,$C247,'TL15'!$J$238:$J$451),0),
IF('TL16'!$B$3=M$3,SUMIF('TL16'!$C$10:$C$224,$C247,'TL16'!$J$10:$J$224),0),
IF('TL16'!$B$229=M$3,SUMIF('TL16'!$C$238:$C$451,$C247,'TL16'!$J$238:$J$451),0),
IF('TL17'!$B$3=M$3,SUMIF('TL17'!$C$10:$C$224,$C247,'TL17'!$J$10:$J$224),0),
IF('TL17'!$B$229=M$3,SUMIF('TL17'!$C$238:$C$451,$C247,'TL17'!$J$238:$J$451),0),
IF('TL18'!$B$3=M$3,SUMIF('TL18'!$C$10:$C$224,$C247,'TL18'!$J$10:$J$224),0),
IF('TL18'!$B$229=M$3,SUMIF('TL18'!$C$238:$C$451,$C247,'TL18'!$J$238:$J$451),0),
IF('TL19'!$B$3=M$3,SUMIF('TL19'!$C$10:$C$224,$C247,'TL19'!$J$10:$J$224),0),
IF('TL19'!$B$229=M$3,SUMIF('TL19'!$C$238:$C$451,$C247,'TL19'!$J$238:$J$451),0)
),0)</f>
        <v/>
      </c>
      <c r="N247" s="9">
        <f>IFERROR(SUM(
IF('TL01'!$B$3=N$3,SUMIF('TL01'!$C$10:$C$224,$C247,'TL01'!$J$10:$J$224),0),
IF('TL01'!$B$229=N$3,SUMIF('TL01'!$C$238:$C$451,$C247,'TL01'!$J$238:$J$451),0),
IF('TL02'!$B$3=N$3,SUMIF('TL02'!$C$10:$C$224,$C247,'TL02'!$J$10:$J$224),0),
IF('TL02'!$B$229=N$3,SUMIF('TL02'!$C$238:$C$451,$C247,'TL02'!$J$238:$J$451),0),
IF('TL03'!$B$3=N$3,SUMIF('TL03'!$C$10:$C$224,$C247,'TL03'!$J$10:$J$224),0),
IF('TL03'!$B$229=N$3,SUMIF('TL03'!$C$238:$C$451,$C247,'TL03'!$J$238:$J$451),0),
IF('TL04'!$B$3=N$3,SUMIF('TL04'!$C$10:$C$224,$C247,'TL04'!$J$10:$J$224),0),
IF('TL04'!$B$229=N$3,SUMIF('TL04'!$C$238:$C$451,$C247,'TL04'!$J$238:$J$451),0),
IF('TL05'!$B$3=N$3,SUMIF('TL05'!$C$10:$C$224,$C247,'TL05'!$J$10:$J$224),0),
IF('TL05'!$B$229=N$3,SUMIF('TL05'!$C$238:$C$451,$C247,'TL05'!$J$238:$J$451),0),
IF('TL06'!$B$3=N$3,SUMIF('TL06'!$C$10:$C$224,$C247,'TL06'!$J$10:$J$224),0),
IF('TL06'!$B$229=N$3,SUMIF('TL06'!$C$238:$C$451,$C247,'TL06'!$J$238:$J$451),0),
IF('TL07'!$B$3=N$3,SUMIF('TL07'!$C$10:$C$224,$C247,'TL07'!$J$10:$J$224),0),
IF('TL07'!$B$229=N$3,SUMIF('TL07'!$C$238:$C$451,$C247,'TL07'!$J$238:$J$451),0),
IF('TL08'!$B$3=N$3,SUMIF('TL08'!$C$10:$C$224,$C247,'TL08'!$J$10:$J$224),0),
IF('TL08'!$B$229=N$3,SUMIF('TL08'!$C$238:$C$451,$C247,'TL08'!$J$238:$J$451),0),
IF('TL09'!$B$3=N$3,SUMIF('TL09'!$C$10:$C$224,$C247,'TL09'!$J$10:$J$224),0),
IF('TL09'!$B$229=N$3,SUMIF('TL09'!$C$238:$C$451,$C247,'TL09'!$J$238:$J$451),0),
IF('TL10'!$B$3=N$3,SUMIF('TL10'!$C$10:$C$224,$C247,'TL10'!$J$10:$J$224),0),
IF('TL10'!$B$229=N$3,SUMIF('TL10'!$C$238:$C$451,$C247,'TL10'!$J$238:$J$451),0),
IF('TL11'!$B$3=N$3,SUMIF('TL11'!$C$10:$C$224,$C247,'TL11'!$J$10:$J$224),0),
IF('TL11'!$B$229=N$3,SUMIF('TL11'!$C$238:$C$451,$C247,'TL11'!$J$238:$J$451),0),
IF('TL12'!$B$3=N$3,SUMIF('TL12'!$C$10:$C$224,$C247,'TL12'!$J$10:$J$224),0),
IF('TL12'!$B$229=N$3,SUMIF('TL12'!$C$238:$C$451,$C247,'TL12'!$J$238:$J$451),0),
IF('TL13'!$B$3=N$3,SUMIF('TL13'!$C$10:$C$224,$C247,'TL13'!$J$10:$J$224),0),
IF('TL13'!$B$229=N$3,SUMIF('TL13'!$C$238:$C$451,$C247,'TL13'!$J$238:$J$451),0),
IF('TL14'!$B$3=N$3,SUMIF('TL14'!$C$10:$C$224,$C247,'TL14'!$J$10:$J$224),0),
IF('TL14'!$B$229=N$3,SUMIF('TL14'!$C$238:$C$451,$C247,'TL14'!$J$238:$J$451),0),
IF('TL15'!$B$3=N$3,SUMIF('TL15'!$C$10:$C$224,$C247,'TL15'!$J$10:$J$224),0),
IF('TL15'!$B$229=N$3,SUMIF('TL15'!$C$238:$C$451,$C247,'TL15'!$J$238:$J$451),0),
IF('TL16'!$B$3=N$3,SUMIF('TL16'!$C$10:$C$224,$C247,'TL16'!$J$10:$J$224),0),
IF('TL16'!$B$229=N$3,SUMIF('TL16'!$C$238:$C$451,$C247,'TL16'!$J$238:$J$451),0),
IF('TL17'!$B$3=N$3,SUMIF('TL17'!$C$10:$C$224,$C247,'TL17'!$J$10:$J$224),0),
IF('TL17'!$B$229=N$3,SUMIF('TL17'!$C$238:$C$451,$C247,'TL17'!$J$238:$J$451),0),
IF('TL18'!$B$3=N$3,SUMIF('TL18'!$C$10:$C$224,$C247,'TL18'!$J$10:$J$224),0),
IF('TL18'!$B$229=N$3,SUMIF('TL18'!$C$238:$C$451,$C247,'TL18'!$J$238:$J$451),0),
IF('TL19'!$B$3=N$3,SUMIF('TL19'!$C$10:$C$224,$C247,'TL19'!$J$10:$J$224),0),
IF('TL19'!$B$229=N$3,SUMIF('TL19'!$C$238:$C$451,$C247,'TL19'!$J$238:$J$451),0)
),0)</f>
        <v/>
      </c>
      <c r="O247" s="9">
        <f>IFERROR(SUM(
IF('TL01'!$B$3=O$3,SUMIF('TL01'!$C$10:$C$224,$C247,'TL01'!$J$10:$J$224),0),
IF('TL01'!$B$229=O$3,SUMIF('TL01'!$C$238:$C$451,$C247,'TL01'!$J$238:$J$451),0),
IF('TL02'!$B$3=O$3,SUMIF('TL02'!$C$10:$C$224,$C247,'TL02'!$J$10:$J$224),0),
IF('TL02'!$B$229=O$3,SUMIF('TL02'!$C$238:$C$451,$C247,'TL02'!$J$238:$J$451),0),
IF('TL03'!$B$3=O$3,SUMIF('TL03'!$C$10:$C$224,$C247,'TL03'!$J$10:$J$224),0),
IF('TL03'!$B$229=O$3,SUMIF('TL03'!$C$238:$C$451,$C247,'TL03'!$J$238:$J$451),0),
IF('TL04'!$B$3=O$3,SUMIF('TL04'!$C$10:$C$224,$C247,'TL04'!$J$10:$J$224),0),
IF('TL04'!$B$229=O$3,SUMIF('TL04'!$C$238:$C$451,$C247,'TL04'!$J$238:$J$451),0),
IF('TL05'!$B$3=O$3,SUMIF('TL05'!$C$10:$C$224,$C247,'TL05'!$J$10:$J$224),0),
IF('TL05'!$B$229=O$3,SUMIF('TL05'!$C$238:$C$451,$C247,'TL05'!$J$238:$J$451),0),
IF('TL06'!$B$3=O$3,SUMIF('TL06'!$C$10:$C$224,$C247,'TL06'!$J$10:$J$224),0),
IF('TL06'!$B$229=O$3,SUMIF('TL06'!$C$238:$C$451,$C247,'TL06'!$J$238:$J$451),0),
IF('TL07'!$B$3=O$3,SUMIF('TL07'!$C$10:$C$224,$C247,'TL07'!$J$10:$J$224),0),
IF('TL07'!$B$229=O$3,SUMIF('TL07'!$C$238:$C$451,$C247,'TL07'!$J$238:$J$451),0),
IF('TL08'!$B$3=O$3,SUMIF('TL08'!$C$10:$C$224,$C247,'TL08'!$J$10:$J$224),0),
IF('TL08'!$B$229=O$3,SUMIF('TL08'!$C$238:$C$451,$C247,'TL08'!$J$238:$J$451),0),
IF('TL09'!$B$3=O$3,SUMIF('TL09'!$C$10:$C$224,$C247,'TL09'!$J$10:$J$224),0),
IF('TL09'!$B$229=O$3,SUMIF('TL09'!$C$238:$C$451,$C247,'TL09'!$J$238:$J$451),0),
IF('TL10'!$B$3=O$3,SUMIF('TL10'!$C$10:$C$224,$C247,'TL10'!$J$10:$J$224),0),
IF('TL10'!$B$229=O$3,SUMIF('TL10'!$C$238:$C$451,$C247,'TL10'!$J$238:$J$451),0),
IF('TL11'!$B$3=O$3,SUMIF('TL11'!$C$10:$C$224,$C247,'TL11'!$J$10:$J$224),0),
IF('TL11'!$B$229=O$3,SUMIF('TL11'!$C$238:$C$451,$C247,'TL11'!$J$238:$J$451),0),
IF('TL12'!$B$3=O$3,SUMIF('TL12'!$C$10:$C$224,$C247,'TL12'!$J$10:$J$224),0),
IF('TL12'!$B$229=O$3,SUMIF('TL12'!$C$238:$C$451,$C247,'TL12'!$J$238:$J$451),0),
IF('TL13'!$B$3=O$3,SUMIF('TL13'!$C$10:$C$224,$C247,'TL13'!$J$10:$J$224),0),
IF('TL13'!$B$229=O$3,SUMIF('TL13'!$C$238:$C$451,$C247,'TL13'!$J$238:$J$451),0),
IF('TL14'!$B$3=O$3,SUMIF('TL14'!$C$10:$C$224,$C247,'TL14'!$J$10:$J$224),0),
IF('TL14'!$B$229=O$3,SUMIF('TL14'!$C$238:$C$451,$C247,'TL14'!$J$238:$J$451),0),
IF('TL15'!$B$3=O$3,SUMIF('TL15'!$C$10:$C$224,$C247,'TL15'!$J$10:$J$224),0),
IF('TL15'!$B$229=O$3,SUMIF('TL15'!$C$238:$C$451,$C247,'TL15'!$J$238:$J$451),0),
IF('TL16'!$B$3=O$3,SUMIF('TL16'!$C$10:$C$224,$C247,'TL16'!$J$10:$J$224),0),
IF('TL16'!$B$229=O$3,SUMIF('TL16'!$C$238:$C$451,$C247,'TL16'!$J$238:$J$451),0),
IF('TL17'!$B$3=O$3,SUMIF('TL17'!$C$10:$C$224,$C247,'TL17'!$J$10:$J$224),0),
IF('TL17'!$B$229=O$3,SUMIF('TL17'!$C$238:$C$451,$C247,'TL17'!$J$238:$J$451),0),
IF('TL18'!$B$3=O$3,SUMIF('TL18'!$C$10:$C$224,$C247,'TL18'!$J$10:$J$224),0),
IF('TL18'!$B$229=O$3,SUMIF('TL18'!$C$238:$C$451,$C247,'TL18'!$J$238:$J$451),0),
IF('TL19'!$B$3=O$3,SUMIF('TL19'!$C$10:$C$224,$C247,'TL19'!$J$10:$J$224),0),
IF('TL19'!$B$229=O$3,SUMIF('TL19'!$C$238:$C$451,$C247,'TL19'!$J$238:$J$451),0)
),0)</f>
        <v/>
      </c>
      <c r="P247" s="9">
        <f>IFERROR(SUM(
IF('TL01'!$B$3=P$3,SUMIF('TL01'!$C$10:$C$224,$C247,'TL01'!$J$10:$J$224),0),
IF('TL01'!$B$229=P$3,SUMIF('TL01'!$C$238:$C$451,$C247,'TL01'!$J$238:$J$451),0),
IF('TL02'!$B$3=P$3,SUMIF('TL02'!$C$10:$C$224,$C247,'TL02'!$J$10:$J$224),0),
IF('TL02'!$B$229=P$3,SUMIF('TL02'!$C$238:$C$451,$C247,'TL02'!$J$238:$J$451),0),
IF('TL03'!$B$3=P$3,SUMIF('TL03'!$C$10:$C$224,$C247,'TL03'!$J$10:$J$224),0),
IF('TL03'!$B$229=P$3,SUMIF('TL03'!$C$238:$C$451,$C247,'TL03'!$J$238:$J$451),0),
IF('TL04'!$B$3=P$3,SUMIF('TL04'!$C$10:$C$224,$C247,'TL04'!$J$10:$J$224),0),
IF('TL04'!$B$229=P$3,SUMIF('TL04'!$C$238:$C$451,$C247,'TL04'!$J$238:$J$451),0),
IF('TL05'!$B$3=P$3,SUMIF('TL05'!$C$10:$C$224,$C247,'TL05'!$J$10:$J$224),0),
IF('TL05'!$B$229=P$3,SUMIF('TL05'!$C$238:$C$451,$C247,'TL05'!$J$238:$J$451),0),
IF('TL06'!$B$3=P$3,SUMIF('TL06'!$C$10:$C$224,$C247,'TL06'!$J$10:$J$224),0),
IF('TL06'!$B$229=P$3,SUMIF('TL06'!$C$238:$C$451,$C247,'TL06'!$J$238:$J$451),0),
IF('TL07'!$B$3=P$3,SUMIF('TL07'!$C$10:$C$224,$C247,'TL07'!$J$10:$J$224),0),
IF('TL07'!$B$229=P$3,SUMIF('TL07'!$C$238:$C$451,$C247,'TL07'!$J$238:$J$451),0),
IF('TL08'!$B$3=P$3,SUMIF('TL08'!$C$10:$C$224,$C247,'TL08'!$J$10:$J$224),0),
IF('TL08'!$B$229=P$3,SUMIF('TL08'!$C$238:$C$451,$C247,'TL08'!$J$238:$J$451),0),
IF('TL09'!$B$3=P$3,SUMIF('TL09'!$C$10:$C$224,$C247,'TL09'!$J$10:$J$224),0),
IF('TL09'!$B$229=P$3,SUMIF('TL09'!$C$238:$C$451,$C247,'TL09'!$J$238:$J$451),0),
IF('TL10'!$B$3=P$3,SUMIF('TL10'!$C$10:$C$224,$C247,'TL10'!$J$10:$J$224),0),
IF('TL10'!$B$229=P$3,SUMIF('TL10'!$C$238:$C$451,$C247,'TL10'!$J$238:$J$451),0),
IF('TL11'!$B$3=P$3,SUMIF('TL11'!$C$10:$C$224,$C247,'TL11'!$J$10:$J$224),0),
IF('TL11'!$B$229=P$3,SUMIF('TL11'!$C$238:$C$451,$C247,'TL11'!$J$238:$J$451),0),
IF('TL12'!$B$3=P$3,SUMIF('TL12'!$C$10:$C$224,$C247,'TL12'!$J$10:$J$224),0),
IF('TL12'!$B$229=P$3,SUMIF('TL12'!$C$238:$C$451,$C247,'TL12'!$J$238:$J$451),0),
IF('TL13'!$B$3=P$3,SUMIF('TL13'!$C$10:$C$224,$C247,'TL13'!$J$10:$J$224),0),
IF('TL13'!$B$229=P$3,SUMIF('TL13'!$C$238:$C$451,$C247,'TL13'!$J$238:$J$451),0),
IF('TL14'!$B$3=P$3,SUMIF('TL14'!$C$10:$C$224,$C247,'TL14'!$J$10:$J$224),0),
IF('TL14'!$B$229=P$3,SUMIF('TL14'!$C$238:$C$451,$C247,'TL14'!$J$238:$J$451),0),
IF('TL15'!$B$3=P$3,SUMIF('TL15'!$C$10:$C$224,$C247,'TL15'!$J$10:$J$224),0),
IF('TL15'!$B$229=P$3,SUMIF('TL15'!$C$238:$C$451,$C247,'TL15'!$J$238:$J$451),0),
IF('TL16'!$B$3=P$3,SUMIF('TL16'!$C$10:$C$224,$C247,'TL16'!$J$10:$J$224),0),
IF('TL16'!$B$229=P$3,SUMIF('TL16'!$C$238:$C$451,$C247,'TL16'!$J$238:$J$451),0),
IF('TL17'!$B$3=P$3,SUMIF('TL17'!$C$10:$C$224,$C247,'TL17'!$J$10:$J$224),0),
IF('TL17'!$B$229=P$3,SUMIF('TL17'!$C$238:$C$451,$C247,'TL17'!$J$238:$J$451),0),
IF('TL18'!$B$3=P$3,SUMIF('TL18'!$C$10:$C$224,$C247,'TL18'!$J$10:$J$224),0),
IF('TL18'!$B$229=P$3,SUMIF('TL18'!$C$238:$C$451,$C247,'TL18'!$J$238:$J$451),0),
IF('TL19'!$B$3=P$3,SUMIF('TL19'!$C$10:$C$224,$C247,'TL19'!$J$10:$J$224),0),
IF('TL19'!$B$229=P$3,SUMIF('TL19'!$C$238:$C$451,$C247,'TL19'!$J$238:$J$451),0)
),0)</f>
        <v/>
      </c>
      <c r="Q247" s="9">
        <f>IFERROR(SUM(
IF('TL01'!$B$3=Q$3,SUMIF('TL01'!$C$10:$C$224,$C247,'TL01'!$J$10:$J$224),0),
IF('TL01'!$B$229=Q$3,SUMIF('TL01'!$C$238:$C$451,$C247,'TL01'!$J$238:$J$451),0),
IF('TL02'!$B$3=Q$3,SUMIF('TL02'!$C$10:$C$224,$C247,'TL02'!$J$10:$J$224),0),
IF('TL02'!$B$229=Q$3,SUMIF('TL02'!$C$238:$C$451,$C247,'TL02'!$J$238:$J$451),0),
IF('TL03'!$B$3=Q$3,SUMIF('TL03'!$C$10:$C$224,$C247,'TL03'!$J$10:$J$224),0),
IF('TL03'!$B$229=Q$3,SUMIF('TL03'!$C$238:$C$451,$C247,'TL03'!$J$238:$J$451),0),
IF('TL04'!$B$3=Q$3,SUMIF('TL04'!$C$10:$C$224,$C247,'TL04'!$J$10:$J$224),0),
IF('TL04'!$B$229=Q$3,SUMIF('TL04'!$C$238:$C$451,$C247,'TL04'!$J$238:$J$451),0),
IF('TL05'!$B$3=Q$3,SUMIF('TL05'!$C$10:$C$224,$C247,'TL05'!$J$10:$J$224),0),
IF('TL05'!$B$229=Q$3,SUMIF('TL05'!$C$238:$C$451,$C247,'TL05'!$J$238:$J$451),0),
IF('TL06'!$B$3=Q$3,SUMIF('TL06'!$C$10:$C$224,$C247,'TL06'!$J$10:$J$224),0),
IF('TL06'!$B$229=Q$3,SUMIF('TL06'!$C$238:$C$451,$C247,'TL06'!$J$238:$J$451),0),
IF('TL07'!$B$3=Q$3,SUMIF('TL07'!$C$10:$C$224,$C247,'TL07'!$J$10:$J$224),0),
IF('TL07'!$B$229=Q$3,SUMIF('TL07'!$C$238:$C$451,$C247,'TL07'!$J$238:$J$451),0),
IF('TL08'!$B$3=Q$3,SUMIF('TL08'!$C$10:$C$224,$C247,'TL08'!$J$10:$J$224),0),
IF('TL08'!$B$229=Q$3,SUMIF('TL08'!$C$238:$C$451,$C247,'TL08'!$J$238:$J$451),0),
IF('TL09'!$B$3=Q$3,SUMIF('TL09'!$C$10:$C$224,$C247,'TL09'!$J$10:$J$224),0),
IF('TL09'!$B$229=Q$3,SUMIF('TL09'!$C$238:$C$451,$C247,'TL09'!$J$238:$J$451),0),
IF('TL10'!$B$3=Q$3,SUMIF('TL10'!$C$10:$C$224,$C247,'TL10'!$J$10:$J$224),0),
IF('TL10'!$B$229=Q$3,SUMIF('TL10'!$C$238:$C$451,$C247,'TL10'!$J$238:$J$451),0),
IF('TL11'!$B$3=Q$3,SUMIF('TL11'!$C$10:$C$224,$C247,'TL11'!$J$10:$J$224),0),
IF('TL11'!$B$229=Q$3,SUMIF('TL11'!$C$238:$C$451,$C247,'TL11'!$J$238:$J$451),0),
IF('TL12'!$B$3=Q$3,SUMIF('TL12'!$C$10:$C$224,$C247,'TL12'!$J$10:$J$224),0),
IF('TL12'!$B$229=Q$3,SUMIF('TL12'!$C$238:$C$451,$C247,'TL12'!$J$238:$J$451),0),
IF('TL13'!$B$3=Q$3,SUMIF('TL13'!$C$10:$C$224,$C247,'TL13'!$J$10:$J$224),0),
IF('TL13'!$B$229=Q$3,SUMIF('TL13'!$C$238:$C$451,$C247,'TL13'!$J$238:$J$451),0),
IF('TL14'!$B$3=Q$3,SUMIF('TL14'!$C$10:$C$224,$C247,'TL14'!$J$10:$J$224),0),
IF('TL14'!$B$229=Q$3,SUMIF('TL14'!$C$238:$C$451,$C247,'TL14'!$J$238:$J$451),0),
IF('TL15'!$B$3=Q$3,SUMIF('TL15'!$C$10:$C$224,$C247,'TL15'!$J$10:$J$224),0),
IF('TL15'!$B$229=Q$3,SUMIF('TL15'!$C$238:$C$451,$C247,'TL15'!$J$238:$J$451),0),
IF('TL16'!$B$3=Q$3,SUMIF('TL16'!$C$10:$C$224,$C247,'TL16'!$J$10:$J$224),0),
IF('TL16'!$B$229=Q$3,SUMIF('TL16'!$C$238:$C$451,$C247,'TL16'!$J$238:$J$451),0),
IF('TL17'!$B$3=Q$3,SUMIF('TL17'!$C$10:$C$224,$C247,'TL17'!$J$10:$J$224),0),
IF('TL17'!$B$229=Q$3,SUMIF('TL17'!$C$238:$C$451,$C247,'TL17'!$J$238:$J$451),0),
IF('TL18'!$B$3=Q$3,SUMIF('TL18'!$C$10:$C$224,$C247,'TL18'!$J$10:$J$224),0),
IF('TL18'!$B$229=Q$3,SUMIF('TL18'!$C$238:$C$451,$C247,'TL18'!$J$238:$J$451),0),
IF('TL19'!$B$3=Q$3,SUMIF('TL19'!$C$10:$C$224,$C247,'TL19'!$J$10:$J$224),0),
IF('TL19'!$B$229=Q$3,SUMIF('TL19'!$C$238:$C$451,$C247,'TL19'!$J$238:$J$451),0)
),0)</f>
        <v/>
      </c>
      <c r="R247" s="9">
        <f>IFERROR(
SUM(
SUMIF('TL01'!C:C,C247,'TL01'!J:J),
SUMIF('TL02'!C:C,C247,'TL02'!J:J),
SUMIF('TL03'!C:C,C247,'TL03'!J:J),
SUMIF('TL04'!C:C,C247,'TL04'!J:J),
SUMIF('TL05'!C:C,C247,'TL05'!J:J),
SUMIF('TL06'!C:C,C247,'TL06'!J:J),
SUMIF('TL07'!C:C,C247,'TL07'!J:J),
SUMIF('TL08'!C:C,C247,'TL08'!J:J),
SUMIF('TL09'!C:C,C247,'TL09'!J:J),
SUMIF('TL10'!C:C,C247,'TL10'!J:J),
SUMIF('TL11'!C:C,C247,'TL11'!J:J),
SUMIF('TL12'!C:C,C247,'TL12'!J:J),
SUMIF('TL13'!C:C,C247,'TL13'!J:J),
SUMIF('TL14'!C:C,C247,'TL14'!J:J),
SUMIF('TL15'!C:C,C247,'TL15'!J:J),
SUMIF('TL16'!C:C,C247,'TL16'!J:J),
SUMIF('TL17'!C:C,C247,'TL17'!J:J),
SUMIF('TL18'!C:C,C247,'TL18'!J:J),SUMIF('TL19'!C:C,C247,'TL19'!J:J))
,0)</f>
        <v/>
      </c>
      <c r="S247" s="17">
        <f>IFERROR(__xludf.DUMMYFUNCTION("IFERROR(VLOOKUP(C247,
IMPORTRANGE(""1wULbzX32WdYsx-lj2U3uUNBBe2INVIRDtcK0d-Dvl90"",
""26-27!C:G""),
5,
FALSE),
"""")"),0.0)</f>
        <v/>
      </c>
      <c r="T247" s="9" t="n"/>
      <c r="U247" s="92">
        <f>MAX(0,R247-T247)</f>
        <v/>
      </c>
      <c r="V247" s="93">
        <f>U247*S247</f>
        <v/>
      </c>
    </row>
    <row r="248" hidden="1" ht="15.75" customHeight="1" s="297">
      <c r="A248" s="119" t="inlineStr">
        <is>
          <t>SUMITOMO</t>
        </is>
      </c>
      <c r="B248" s="120" t="inlineStr">
        <is>
          <t>RC</t>
        </is>
      </c>
      <c r="C248" s="119" t="inlineStr">
        <is>
          <t>PROMALIN</t>
        </is>
      </c>
      <c r="D248" s="119" t="inlineStr">
        <is>
          <t>BENZILADENINA + ÁCIDO GIBERÉLICO</t>
        </is>
      </c>
      <c r="E248" s="119" t="inlineStr">
        <is>
          <t>18,8 + 18,8</t>
        </is>
      </c>
      <c r="F248" s="4" t="n"/>
      <c r="G248" s="90">
        <f>HYPERLINK("https://www.google.com/search?q=" &amp; C248 &amp; "+bula+agrofit+pdf", "📄 Ver bula")</f>
        <v/>
      </c>
      <c r="H248" s="9">
        <f>IFERROR(__xludf.DUMMYFUNCTION("IFERROR(VLOOKUP(C248,
IMPORTRANGE(""1wULbzX32WdYsx-lj2U3uUNBBe2INVIRDtcK0d-Dvl90"",
""26-27!C:K""),
8,
FALSE),
"""")"),"")</f>
        <v/>
      </c>
      <c r="I248" s="121" t="inlineStr">
        <is>
          <t>4X5</t>
        </is>
      </c>
      <c r="J248" s="9">
        <f>IFERROR(SUM(
IF('TL01'!$B$3=J$3,SUMIF('TL01'!$C$10:$C$224,$C248,'TL01'!$J$10:$J$224),0),
IF('TL01'!$B$229=J$3,SUMIF('TL01'!$C$238:$C$451,$C248,'TL01'!$J$238:$J$451),0),
IF('TL02'!$B$3=J$3,SUMIF('TL02'!$C$10:$C$224,$C248,'TL02'!$J$10:$J$224),0),
IF('TL02'!$B$229=J$3,SUMIF('TL02'!$C$238:$C$451,$C248,'TL02'!$J$238:$J$451),0),
IF('TL03'!$B$3=J$3,SUMIF('TL03'!$C$10:$C$224,$C248,'TL03'!$J$10:$J$224),0),
IF('TL03'!$B$229=J$3,SUMIF('TL03'!$C$238:$C$451,$C248,'TL03'!$J$238:$J$451),0),
IF('TL04'!$B$3=J$3,SUMIF('TL04'!$C$10:$C$224,$C248,'TL04'!$J$10:$J$224),0),
IF('TL04'!$B$229=J$3,SUMIF('TL04'!$C$238:$C$451,$C248,'TL04'!$J$238:$J$451),0),
IF('TL05'!$B$3=J$3,SUMIF('TL05'!$C$10:$C$224,$C248,'TL05'!$J$10:$J$224),0),
IF('TL05'!$B$229=J$3,SUMIF('TL05'!$C$238:$C$451,$C248,'TL05'!$J$238:$J$451),0),
IF('TL06'!$B$3=J$3,SUMIF('TL06'!$C$10:$C$224,$C248,'TL06'!$J$10:$J$224),0),
IF('TL06'!$B$229=J$3,SUMIF('TL06'!$C$238:$C$451,$C248,'TL06'!$J$238:$J$451),0),
IF('TL07'!$B$3=J$3,SUMIF('TL07'!$C$10:$C$224,$C248,'TL07'!$J$10:$J$224),0),
IF('TL07'!$B$229=J$3,SUMIF('TL07'!$C$238:$C$451,$C248,'TL07'!$J$238:$J$451),0),
IF('TL08'!$B$3=J$3,SUMIF('TL08'!$C$10:$C$224,$C248,'TL08'!$J$10:$J$224),0),
IF('TL08'!$B$229=J$3,SUMIF('TL08'!$C$238:$C$451,$C248,'TL08'!$J$238:$J$451),0),
IF('TL09'!$B$3=J$3,SUMIF('TL09'!$C$10:$C$224,$C248,'TL09'!$J$10:$J$224),0),
IF('TL09'!$B$229=J$3,SUMIF('TL09'!$C$238:$C$451,$C248,'TL09'!$J$238:$J$451),0),
IF('TL10'!$B$3=J$3,SUMIF('TL10'!$C$10:$C$224,$C248,'TL10'!$J$10:$J$224),0),
IF('TL10'!$B$229=J$3,SUMIF('TL10'!$C$238:$C$451,$C248,'TL10'!$J$238:$J$451),0),
IF('TL11'!$B$3=J$3,SUMIF('TL11'!$C$10:$C$224,$C248,'TL11'!$J$10:$J$224),0),
IF('TL11'!$B$229=J$3,SUMIF('TL11'!$C$238:$C$451,$C248,'TL11'!$J$238:$J$451),0),
IF('TL12'!$B$3=J$3,SUMIF('TL12'!$C$10:$C$224,$C248,'TL12'!$J$10:$J$224),0),
IF('TL12'!$B$229=J$3,SUMIF('TL12'!$C$238:$C$451,$C248,'TL12'!$J$238:$J$451),0),
IF('TL13'!$B$3=J$3,SUMIF('TL13'!$C$10:$C$224,$C248,'TL13'!$J$10:$J$224),0),
IF('TL13'!$B$229=J$3,SUMIF('TL13'!$C$238:$C$451,$C248,'TL13'!$J$238:$J$451),0),
IF('TL14'!$B$3=J$3,SUMIF('TL14'!$C$10:$C$224,$C248,'TL14'!$J$10:$J$224),0),
IF('TL14'!$B$229=J$3,SUMIF('TL14'!$C$238:$C$451,$C248,'TL14'!$J$238:$J$451),0),
IF('TL15'!$B$3=J$3,SUMIF('TL15'!$C$10:$C$224,$C248,'TL15'!$J$10:$J$224),0),
IF('TL15'!$B$229=J$3,SUMIF('TL15'!$C$238:$C$451,$C248,'TL15'!$J$238:$J$451),0),
IF('TL16'!$B$3=J$3,SUMIF('TL16'!$C$10:$C$224,$C248,'TL16'!$J$10:$J$224),0),
IF('TL16'!$B$229=J$3,SUMIF('TL16'!$C$238:$C$451,$C248,'TL16'!$J$238:$J$451),0),
IF('TL17'!$B$3=J$3,SUMIF('TL17'!$C$10:$C$224,$C248,'TL17'!$J$10:$J$224),0),
IF('TL17'!$B$229=J$3,SUMIF('TL17'!$C$238:$C$451,$C248,'TL17'!$J$238:$J$451),0),
IF('TL18'!$B$3=J$3,SUMIF('TL18'!$C$10:$C$224,$C248,'TL18'!$J$10:$J$224),0),
IF('TL18'!$B$229=J$3,SUMIF('TL18'!$C$238:$C$451,$C248,'TL18'!$J$238:$J$451),0),
IF('TL19'!$B$3=J$3,SUMIF('TL19'!$C$10:$C$224,$C248,'TL19'!$J$10:$J$224),0),
IF('TL19'!$B$229=J$3,SUMIF('TL19'!$C$238:$C$451,$C248,'TL19'!$J$238:$J$451),0)
),0)</f>
        <v/>
      </c>
      <c r="K248" s="9">
        <f>IFERROR(SUM(
IF('TL01'!$B$3=K$3,SUMIF('TL01'!$C$10:$C$224,$C248,'TL01'!$J$10:$J$224),0),
IF('TL01'!$B$229=K$3,SUMIF('TL01'!$C$238:$C$451,$C248,'TL01'!$J$238:$J$451),0),
IF('TL02'!$B$3=K$3,SUMIF('TL02'!$C$10:$C$224,$C248,'TL02'!$J$10:$J$224),0),
IF('TL02'!$B$229=K$3,SUMIF('TL02'!$C$238:$C$451,$C248,'TL02'!$J$238:$J$451),0),
IF('TL03'!$B$3=K$3,SUMIF('TL03'!$C$10:$C$224,$C248,'TL03'!$J$10:$J$224),0),
IF('TL03'!$B$229=K$3,SUMIF('TL03'!$C$238:$C$451,$C248,'TL03'!$J$238:$J$451),0),
IF('TL04'!$B$3=K$3,SUMIF('TL04'!$C$10:$C$224,$C248,'TL04'!$J$10:$J$224),0),
IF('TL04'!$B$229=K$3,SUMIF('TL04'!$C$238:$C$451,$C248,'TL04'!$J$238:$J$451),0),
IF('TL05'!$B$3=K$3,SUMIF('TL05'!$C$10:$C$224,$C248,'TL05'!$J$10:$J$224),0),
IF('TL05'!$B$229=K$3,SUMIF('TL05'!$C$238:$C$451,$C248,'TL05'!$J$238:$J$451),0),
IF('TL06'!$B$3=K$3,SUMIF('TL06'!$C$10:$C$224,$C248,'TL06'!$J$10:$J$224),0),
IF('TL06'!$B$229=K$3,SUMIF('TL06'!$C$238:$C$451,$C248,'TL06'!$J$238:$J$451),0),
IF('TL07'!$B$3=K$3,SUMIF('TL07'!$C$10:$C$224,$C248,'TL07'!$J$10:$J$224),0),
IF('TL07'!$B$229=K$3,SUMIF('TL07'!$C$238:$C$451,$C248,'TL07'!$J$238:$J$451),0),
IF('TL08'!$B$3=K$3,SUMIF('TL08'!$C$10:$C$224,$C248,'TL08'!$J$10:$J$224),0),
IF('TL08'!$B$229=K$3,SUMIF('TL08'!$C$238:$C$451,$C248,'TL08'!$J$238:$J$451),0),
IF('TL09'!$B$3=K$3,SUMIF('TL09'!$C$10:$C$224,$C248,'TL09'!$J$10:$J$224),0),
IF('TL09'!$B$229=K$3,SUMIF('TL09'!$C$238:$C$451,$C248,'TL09'!$J$238:$J$451),0),
IF('TL10'!$B$3=K$3,SUMIF('TL10'!$C$10:$C$224,$C248,'TL10'!$J$10:$J$224),0),
IF('TL10'!$B$229=K$3,SUMIF('TL10'!$C$238:$C$451,$C248,'TL10'!$J$238:$J$451),0),
IF('TL11'!$B$3=K$3,SUMIF('TL11'!$C$10:$C$224,$C248,'TL11'!$J$10:$J$224),0),
IF('TL11'!$B$229=K$3,SUMIF('TL11'!$C$238:$C$451,$C248,'TL11'!$J$238:$J$451),0),
IF('TL12'!$B$3=K$3,SUMIF('TL12'!$C$10:$C$224,$C248,'TL12'!$J$10:$J$224),0),
IF('TL12'!$B$229=K$3,SUMIF('TL12'!$C$238:$C$451,$C248,'TL12'!$J$238:$J$451),0),
IF('TL13'!$B$3=K$3,SUMIF('TL13'!$C$10:$C$224,$C248,'TL13'!$J$10:$J$224),0),
IF('TL13'!$B$229=K$3,SUMIF('TL13'!$C$238:$C$451,$C248,'TL13'!$J$238:$J$451),0),
IF('TL14'!$B$3=K$3,SUMIF('TL14'!$C$10:$C$224,$C248,'TL14'!$J$10:$J$224),0),
IF('TL14'!$B$229=K$3,SUMIF('TL14'!$C$238:$C$451,$C248,'TL14'!$J$238:$J$451),0),
IF('TL15'!$B$3=K$3,SUMIF('TL15'!$C$10:$C$224,$C248,'TL15'!$J$10:$J$224),0),
IF('TL15'!$B$229=K$3,SUMIF('TL15'!$C$238:$C$451,$C248,'TL15'!$J$238:$J$451),0),
IF('TL16'!$B$3=K$3,SUMIF('TL16'!$C$10:$C$224,$C248,'TL16'!$J$10:$J$224),0),
IF('TL16'!$B$229=K$3,SUMIF('TL16'!$C$238:$C$451,$C248,'TL16'!$J$238:$J$451),0),
IF('TL17'!$B$3=K$3,SUMIF('TL17'!$C$10:$C$224,$C248,'TL17'!$J$10:$J$224),0),
IF('TL17'!$B$229=K$3,SUMIF('TL17'!$C$238:$C$451,$C248,'TL17'!$J$238:$J$451),0),
IF('TL18'!$B$3=K$3,SUMIF('TL18'!$C$10:$C$224,$C248,'TL18'!$J$10:$J$224),0),
IF('TL18'!$B$229=K$3,SUMIF('TL18'!$C$238:$C$451,$C248,'TL18'!$J$238:$J$451),0),
IF('TL19'!$B$3=K$3,SUMIF('TL19'!$C$10:$C$224,$C248,'TL19'!$J$10:$J$224),0),
IF('TL19'!$B$229=K$3,SUMIF('TL19'!$C$238:$C$451,$C248,'TL19'!$J$238:$J$451),0)
),0)</f>
        <v/>
      </c>
      <c r="L248" s="9">
        <f>IFERROR(SUM(
IF('TL01'!$B$3=L$3,SUMIF('TL01'!$C$10:$C$224,$C248,'TL01'!$J$10:$J$224),0),
IF('TL01'!$B$229=L$3,SUMIF('TL01'!$C$238:$C$451,$C248,'TL01'!$J$238:$J$451),0),
IF('TL02'!$B$3=L$3,SUMIF('TL02'!$C$10:$C$224,$C248,'TL02'!$J$10:$J$224),0),
IF('TL02'!$B$229=L$3,SUMIF('TL02'!$C$238:$C$451,$C248,'TL02'!$J$238:$J$451),0),
IF('TL03'!$B$3=L$3,SUMIF('TL03'!$C$10:$C$224,$C248,'TL03'!$J$10:$J$224),0),
IF('TL03'!$B$229=L$3,SUMIF('TL03'!$C$238:$C$451,$C248,'TL03'!$J$238:$J$451),0),
IF('TL04'!$B$3=L$3,SUMIF('TL04'!$C$10:$C$224,$C248,'TL04'!$J$10:$J$224),0),
IF('TL04'!$B$229=L$3,SUMIF('TL04'!$C$238:$C$451,$C248,'TL04'!$J$238:$J$451),0),
IF('TL05'!$B$3=L$3,SUMIF('TL05'!$C$10:$C$224,$C248,'TL05'!$J$10:$J$224),0),
IF('TL05'!$B$229=L$3,SUMIF('TL05'!$C$238:$C$451,$C248,'TL05'!$J$238:$J$451),0),
IF('TL06'!$B$3=L$3,SUMIF('TL06'!$C$10:$C$224,$C248,'TL06'!$J$10:$J$224),0),
IF('TL06'!$B$229=L$3,SUMIF('TL06'!$C$238:$C$451,$C248,'TL06'!$J$238:$J$451),0),
IF('TL07'!$B$3=L$3,SUMIF('TL07'!$C$10:$C$224,$C248,'TL07'!$J$10:$J$224),0),
IF('TL07'!$B$229=L$3,SUMIF('TL07'!$C$238:$C$451,$C248,'TL07'!$J$238:$J$451),0),
IF('TL08'!$B$3=L$3,SUMIF('TL08'!$C$10:$C$224,$C248,'TL08'!$J$10:$J$224),0),
IF('TL08'!$B$229=L$3,SUMIF('TL08'!$C$238:$C$451,$C248,'TL08'!$J$238:$J$451),0),
IF('TL09'!$B$3=L$3,SUMIF('TL09'!$C$10:$C$224,$C248,'TL09'!$J$10:$J$224),0),
IF('TL09'!$B$229=L$3,SUMIF('TL09'!$C$238:$C$451,$C248,'TL09'!$J$238:$J$451),0),
IF('TL10'!$B$3=L$3,SUMIF('TL10'!$C$10:$C$224,$C248,'TL10'!$J$10:$J$224),0),
IF('TL10'!$B$229=L$3,SUMIF('TL10'!$C$238:$C$451,$C248,'TL10'!$J$238:$J$451),0),
IF('TL11'!$B$3=L$3,SUMIF('TL11'!$C$10:$C$224,$C248,'TL11'!$J$10:$J$224),0),
IF('TL11'!$B$229=L$3,SUMIF('TL11'!$C$238:$C$451,$C248,'TL11'!$J$238:$J$451),0),
IF('TL12'!$B$3=L$3,SUMIF('TL12'!$C$10:$C$224,$C248,'TL12'!$J$10:$J$224),0),
IF('TL12'!$B$229=L$3,SUMIF('TL12'!$C$238:$C$451,$C248,'TL12'!$J$238:$J$451),0),
IF('TL13'!$B$3=L$3,SUMIF('TL13'!$C$10:$C$224,$C248,'TL13'!$J$10:$J$224),0),
IF('TL13'!$B$229=L$3,SUMIF('TL13'!$C$238:$C$451,$C248,'TL13'!$J$238:$J$451),0),
IF('TL14'!$B$3=L$3,SUMIF('TL14'!$C$10:$C$224,$C248,'TL14'!$J$10:$J$224),0),
IF('TL14'!$B$229=L$3,SUMIF('TL14'!$C$238:$C$451,$C248,'TL14'!$J$238:$J$451),0),
IF('TL15'!$B$3=L$3,SUMIF('TL15'!$C$10:$C$224,$C248,'TL15'!$J$10:$J$224),0),
IF('TL15'!$B$229=L$3,SUMIF('TL15'!$C$238:$C$451,$C248,'TL15'!$J$238:$J$451),0),
IF('TL16'!$B$3=L$3,SUMIF('TL16'!$C$10:$C$224,$C248,'TL16'!$J$10:$J$224),0),
IF('TL16'!$B$229=L$3,SUMIF('TL16'!$C$238:$C$451,$C248,'TL16'!$J$238:$J$451),0),
IF('TL17'!$B$3=L$3,SUMIF('TL17'!$C$10:$C$224,$C248,'TL17'!$J$10:$J$224),0),
IF('TL17'!$B$229=L$3,SUMIF('TL17'!$C$238:$C$451,$C248,'TL17'!$J$238:$J$451),0),
IF('TL18'!$B$3=L$3,SUMIF('TL18'!$C$10:$C$224,$C248,'TL18'!$J$10:$J$224),0),
IF('TL18'!$B$229=L$3,SUMIF('TL18'!$C$238:$C$451,$C248,'TL18'!$J$238:$J$451),0),
IF('TL19'!$B$3=L$3,SUMIF('TL19'!$C$10:$C$224,$C248,'TL19'!$J$10:$J$224),0),
IF('TL19'!$B$229=L$3,SUMIF('TL19'!$C$238:$C$451,$C248,'TL19'!$J$238:$J$451),0)
),0)</f>
        <v/>
      </c>
      <c r="M248" s="9">
        <f>IFERROR(SUM(
IF('TL01'!$B$3=M$3,SUMIF('TL01'!$C$10:$C$224,$C248,'TL01'!$J$10:$J$224),0),
IF('TL01'!$B$229=M$3,SUMIF('TL01'!$C$238:$C$451,$C248,'TL01'!$J$238:$J$451),0),
IF('TL02'!$B$3=M$3,SUMIF('TL02'!$C$10:$C$224,$C248,'TL02'!$J$10:$J$224),0),
IF('TL02'!$B$229=M$3,SUMIF('TL02'!$C$238:$C$451,$C248,'TL02'!$J$238:$J$451),0),
IF('TL03'!$B$3=M$3,SUMIF('TL03'!$C$10:$C$224,$C248,'TL03'!$J$10:$J$224),0),
IF('TL03'!$B$229=M$3,SUMIF('TL03'!$C$238:$C$451,$C248,'TL03'!$J$238:$J$451),0),
IF('TL04'!$B$3=M$3,SUMIF('TL04'!$C$10:$C$224,$C248,'TL04'!$J$10:$J$224),0),
IF('TL04'!$B$229=M$3,SUMIF('TL04'!$C$238:$C$451,$C248,'TL04'!$J$238:$J$451),0),
IF('TL05'!$B$3=M$3,SUMIF('TL05'!$C$10:$C$224,$C248,'TL05'!$J$10:$J$224),0),
IF('TL05'!$B$229=M$3,SUMIF('TL05'!$C$238:$C$451,$C248,'TL05'!$J$238:$J$451),0),
IF('TL06'!$B$3=M$3,SUMIF('TL06'!$C$10:$C$224,$C248,'TL06'!$J$10:$J$224),0),
IF('TL06'!$B$229=M$3,SUMIF('TL06'!$C$238:$C$451,$C248,'TL06'!$J$238:$J$451),0),
IF('TL07'!$B$3=M$3,SUMIF('TL07'!$C$10:$C$224,$C248,'TL07'!$J$10:$J$224),0),
IF('TL07'!$B$229=M$3,SUMIF('TL07'!$C$238:$C$451,$C248,'TL07'!$J$238:$J$451),0),
IF('TL08'!$B$3=M$3,SUMIF('TL08'!$C$10:$C$224,$C248,'TL08'!$J$10:$J$224),0),
IF('TL08'!$B$229=M$3,SUMIF('TL08'!$C$238:$C$451,$C248,'TL08'!$J$238:$J$451),0),
IF('TL09'!$B$3=M$3,SUMIF('TL09'!$C$10:$C$224,$C248,'TL09'!$J$10:$J$224),0),
IF('TL09'!$B$229=M$3,SUMIF('TL09'!$C$238:$C$451,$C248,'TL09'!$J$238:$J$451),0),
IF('TL10'!$B$3=M$3,SUMIF('TL10'!$C$10:$C$224,$C248,'TL10'!$J$10:$J$224),0),
IF('TL10'!$B$229=M$3,SUMIF('TL10'!$C$238:$C$451,$C248,'TL10'!$J$238:$J$451),0),
IF('TL11'!$B$3=M$3,SUMIF('TL11'!$C$10:$C$224,$C248,'TL11'!$J$10:$J$224),0),
IF('TL11'!$B$229=M$3,SUMIF('TL11'!$C$238:$C$451,$C248,'TL11'!$J$238:$J$451),0),
IF('TL12'!$B$3=M$3,SUMIF('TL12'!$C$10:$C$224,$C248,'TL12'!$J$10:$J$224),0),
IF('TL12'!$B$229=M$3,SUMIF('TL12'!$C$238:$C$451,$C248,'TL12'!$J$238:$J$451),0),
IF('TL13'!$B$3=M$3,SUMIF('TL13'!$C$10:$C$224,$C248,'TL13'!$J$10:$J$224),0),
IF('TL13'!$B$229=M$3,SUMIF('TL13'!$C$238:$C$451,$C248,'TL13'!$J$238:$J$451),0),
IF('TL14'!$B$3=M$3,SUMIF('TL14'!$C$10:$C$224,$C248,'TL14'!$J$10:$J$224),0),
IF('TL14'!$B$229=M$3,SUMIF('TL14'!$C$238:$C$451,$C248,'TL14'!$J$238:$J$451),0),
IF('TL15'!$B$3=M$3,SUMIF('TL15'!$C$10:$C$224,$C248,'TL15'!$J$10:$J$224),0),
IF('TL15'!$B$229=M$3,SUMIF('TL15'!$C$238:$C$451,$C248,'TL15'!$J$238:$J$451),0),
IF('TL16'!$B$3=M$3,SUMIF('TL16'!$C$10:$C$224,$C248,'TL16'!$J$10:$J$224),0),
IF('TL16'!$B$229=M$3,SUMIF('TL16'!$C$238:$C$451,$C248,'TL16'!$J$238:$J$451),0),
IF('TL17'!$B$3=M$3,SUMIF('TL17'!$C$10:$C$224,$C248,'TL17'!$J$10:$J$224),0),
IF('TL17'!$B$229=M$3,SUMIF('TL17'!$C$238:$C$451,$C248,'TL17'!$J$238:$J$451),0),
IF('TL18'!$B$3=M$3,SUMIF('TL18'!$C$10:$C$224,$C248,'TL18'!$J$10:$J$224),0),
IF('TL18'!$B$229=M$3,SUMIF('TL18'!$C$238:$C$451,$C248,'TL18'!$J$238:$J$451),0),
IF('TL19'!$B$3=M$3,SUMIF('TL19'!$C$10:$C$224,$C248,'TL19'!$J$10:$J$224),0),
IF('TL19'!$B$229=M$3,SUMIF('TL19'!$C$238:$C$451,$C248,'TL19'!$J$238:$J$451),0)
),0)</f>
        <v/>
      </c>
      <c r="N248" s="9">
        <f>IFERROR(SUM(
IF('TL01'!$B$3=N$3,SUMIF('TL01'!$C$10:$C$224,$C248,'TL01'!$J$10:$J$224),0),
IF('TL01'!$B$229=N$3,SUMIF('TL01'!$C$238:$C$451,$C248,'TL01'!$J$238:$J$451),0),
IF('TL02'!$B$3=N$3,SUMIF('TL02'!$C$10:$C$224,$C248,'TL02'!$J$10:$J$224),0),
IF('TL02'!$B$229=N$3,SUMIF('TL02'!$C$238:$C$451,$C248,'TL02'!$J$238:$J$451),0),
IF('TL03'!$B$3=N$3,SUMIF('TL03'!$C$10:$C$224,$C248,'TL03'!$J$10:$J$224),0),
IF('TL03'!$B$229=N$3,SUMIF('TL03'!$C$238:$C$451,$C248,'TL03'!$J$238:$J$451),0),
IF('TL04'!$B$3=N$3,SUMIF('TL04'!$C$10:$C$224,$C248,'TL04'!$J$10:$J$224),0),
IF('TL04'!$B$229=N$3,SUMIF('TL04'!$C$238:$C$451,$C248,'TL04'!$J$238:$J$451),0),
IF('TL05'!$B$3=N$3,SUMIF('TL05'!$C$10:$C$224,$C248,'TL05'!$J$10:$J$224),0),
IF('TL05'!$B$229=N$3,SUMIF('TL05'!$C$238:$C$451,$C248,'TL05'!$J$238:$J$451),0),
IF('TL06'!$B$3=N$3,SUMIF('TL06'!$C$10:$C$224,$C248,'TL06'!$J$10:$J$224),0),
IF('TL06'!$B$229=N$3,SUMIF('TL06'!$C$238:$C$451,$C248,'TL06'!$J$238:$J$451),0),
IF('TL07'!$B$3=N$3,SUMIF('TL07'!$C$10:$C$224,$C248,'TL07'!$J$10:$J$224),0),
IF('TL07'!$B$229=N$3,SUMIF('TL07'!$C$238:$C$451,$C248,'TL07'!$J$238:$J$451),0),
IF('TL08'!$B$3=N$3,SUMIF('TL08'!$C$10:$C$224,$C248,'TL08'!$J$10:$J$224),0),
IF('TL08'!$B$229=N$3,SUMIF('TL08'!$C$238:$C$451,$C248,'TL08'!$J$238:$J$451),0),
IF('TL09'!$B$3=N$3,SUMIF('TL09'!$C$10:$C$224,$C248,'TL09'!$J$10:$J$224),0),
IF('TL09'!$B$229=N$3,SUMIF('TL09'!$C$238:$C$451,$C248,'TL09'!$J$238:$J$451),0),
IF('TL10'!$B$3=N$3,SUMIF('TL10'!$C$10:$C$224,$C248,'TL10'!$J$10:$J$224),0),
IF('TL10'!$B$229=N$3,SUMIF('TL10'!$C$238:$C$451,$C248,'TL10'!$J$238:$J$451),0),
IF('TL11'!$B$3=N$3,SUMIF('TL11'!$C$10:$C$224,$C248,'TL11'!$J$10:$J$224),0),
IF('TL11'!$B$229=N$3,SUMIF('TL11'!$C$238:$C$451,$C248,'TL11'!$J$238:$J$451),0),
IF('TL12'!$B$3=N$3,SUMIF('TL12'!$C$10:$C$224,$C248,'TL12'!$J$10:$J$224),0),
IF('TL12'!$B$229=N$3,SUMIF('TL12'!$C$238:$C$451,$C248,'TL12'!$J$238:$J$451),0),
IF('TL13'!$B$3=N$3,SUMIF('TL13'!$C$10:$C$224,$C248,'TL13'!$J$10:$J$224),0),
IF('TL13'!$B$229=N$3,SUMIF('TL13'!$C$238:$C$451,$C248,'TL13'!$J$238:$J$451),0),
IF('TL14'!$B$3=N$3,SUMIF('TL14'!$C$10:$C$224,$C248,'TL14'!$J$10:$J$224),0),
IF('TL14'!$B$229=N$3,SUMIF('TL14'!$C$238:$C$451,$C248,'TL14'!$J$238:$J$451),0),
IF('TL15'!$B$3=N$3,SUMIF('TL15'!$C$10:$C$224,$C248,'TL15'!$J$10:$J$224),0),
IF('TL15'!$B$229=N$3,SUMIF('TL15'!$C$238:$C$451,$C248,'TL15'!$J$238:$J$451),0),
IF('TL16'!$B$3=N$3,SUMIF('TL16'!$C$10:$C$224,$C248,'TL16'!$J$10:$J$224),0),
IF('TL16'!$B$229=N$3,SUMIF('TL16'!$C$238:$C$451,$C248,'TL16'!$J$238:$J$451),0),
IF('TL17'!$B$3=N$3,SUMIF('TL17'!$C$10:$C$224,$C248,'TL17'!$J$10:$J$224),0),
IF('TL17'!$B$229=N$3,SUMIF('TL17'!$C$238:$C$451,$C248,'TL17'!$J$238:$J$451),0),
IF('TL18'!$B$3=N$3,SUMIF('TL18'!$C$10:$C$224,$C248,'TL18'!$J$10:$J$224),0),
IF('TL18'!$B$229=N$3,SUMIF('TL18'!$C$238:$C$451,$C248,'TL18'!$J$238:$J$451),0),
IF('TL19'!$B$3=N$3,SUMIF('TL19'!$C$10:$C$224,$C248,'TL19'!$J$10:$J$224),0),
IF('TL19'!$B$229=N$3,SUMIF('TL19'!$C$238:$C$451,$C248,'TL19'!$J$238:$J$451),0)
),0)</f>
        <v/>
      </c>
      <c r="O248" s="9">
        <f>IFERROR(SUM(
IF('TL01'!$B$3=O$3,SUMIF('TL01'!$C$10:$C$224,$C248,'TL01'!$J$10:$J$224),0),
IF('TL01'!$B$229=O$3,SUMIF('TL01'!$C$238:$C$451,$C248,'TL01'!$J$238:$J$451),0),
IF('TL02'!$B$3=O$3,SUMIF('TL02'!$C$10:$C$224,$C248,'TL02'!$J$10:$J$224),0),
IF('TL02'!$B$229=O$3,SUMIF('TL02'!$C$238:$C$451,$C248,'TL02'!$J$238:$J$451),0),
IF('TL03'!$B$3=O$3,SUMIF('TL03'!$C$10:$C$224,$C248,'TL03'!$J$10:$J$224),0),
IF('TL03'!$B$229=O$3,SUMIF('TL03'!$C$238:$C$451,$C248,'TL03'!$J$238:$J$451),0),
IF('TL04'!$B$3=O$3,SUMIF('TL04'!$C$10:$C$224,$C248,'TL04'!$J$10:$J$224),0),
IF('TL04'!$B$229=O$3,SUMIF('TL04'!$C$238:$C$451,$C248,'TL04'!$J$238:$J$451),0),
IF('TL05'!$B$3=O$3,SUMIF('TL05'!$C$10:$C$224,$C248,'TL05'!$J$10:$J$224),0),
IF('TL05'!$B$229=O$3,SUMIF('TL05'!$C$238:$C$451,$C248,'TL05'!$J$238:$J$451),0),
IF('TL06'!$B$3=O$3,SUMIF('TL06'!$C$10:$C$224,$C248,'TL06'!$J$10:$J$224),0),
IF('TL06'!$B$229=O$3,SUMIF('TL06'!$C$238:$C$451,$C248,'TL06'!$J$238:$J$451),0),
IF('TL07'!$B$3=O$3,SUMIF('TL07'!$C$10:$C$224,$C248,'TL07'!$J$10:$J$224),0),
IF('TL07'!$B$229=O$3,SUMIF('TL07'!$C$238:$C$451,$C248,'TL07'!$J$238:$J$451),0),
IF('TL08'!$B$3=O$3,SUMIF('TL08'!$C$10:$C$224,$C248,'TL08'!$J$10:$J$224),0),
IF('TL08'!$B$229=O$3,SUMIF('TL08'!$C$238:$C$451,$C248,'TL08'!$J$238:$J$451),0),
IF('TL09'!$B$3=O$3,SUMIF('TL09'!$C$10:$C$224,$C248,'TL09'!$J$10:$J$224),0),
IF('TL09'!$B$229=O$3,SUMIF('TL09'!$C$238:$C$451,$C248,'TL09'!$J$238:$J$451),0),
IF('TL10'!$B$3=O$3,SUMIF('TL10'!$C$10:$C$224,$C248,'TL10'!$J$10:$J$224),0),
IF('TL10'!$B$229=O$3,SUMIF('TL10'!$C$238:$C$451,$C248,'TL10'!$J$238:$J$451),0),
IF('TL11'!$B$3=O$3,SUMIF('TL11'!$C$10:$C$224,$C248,'TL11'!$J$10:$J$224),0),
IF('TL11'!$B$229=O$3,SUMIF('TL11'!$C$238:$C$451,$C248,'TL11'!$J$238:$J$451),0),
IF('TL12'!$B$3=O$3,SUMIF('TL12'!$C$10:$C$224,$C248,'TL12'!$J$10:$J$224),0),
IF('TL12'!$B$229=O$3,SUMIF('TL12'!$C$238:$C$451,$C248,'TL12'!$J$238:$J$451),0),
IF('TL13'!$B$3=O$3,SUMIF('TL13'!$C$10:$C$224,$C248,'TL13'!$J$10:$J$224),0),
IF('TL13'!$B$229=O$3,SUMIF('TL13'!$C$238:$C$451,$C248,'TL13'!$J$238:$J$451),0),
IF('TL14'!$B$3=O$3,SUMIF('TL14'!$C$10:$C$224,$C248,'TL14'!$J$10:$J$224),0),
IF('TL14'!$B$229=O$3,SUMIF('TL14'!$C$238:$C$451,$C248,'TL14'!$J$238:$J$451),0),
IF('TL15'!$B$3=O$3,SUMIF('TL15'!$C$10:$C$224,$C248,'TL15'!$J$10:$J$224),0),
IF('TL15'!$B$229=O$3,SUMIF('TL15'!$C$238:$C$451,$C248,'TL15'!$J$238:$J$451),0),
IF('TL16'!$B$3=O$3,SUMIF('TL16'!$C$10:$C$224,$C248,'TL16'!$J$10:$J$224),0),
IF('TL16'!$B$229=O$3,SUMIF('TL16'!$C$238:$C$451,$C248,'TL16'!$J$238:$J$451),0),
IF('TL17'!$B$3=O$3,SUMIF('TL17'!$C$10:$C$224,$C248,'TL17'!$J$10:$J$224),0),
IF('TL17'!$B$229=O$3,SUMIF('TL17'!$C$238:$C$451,$C248,'TL17'!$J$238:$J$451),0),
IF('TL18'!$B$3=O$3,SUMIF('TL18'!$C$10:$C$224,$C248,'TL18'!$J$10:$J$224),0),
IF('TL18'!$B$229=O$3,SUMIF('TL18'!$C$238:$C$451,$C248,'TL18'!$J$238:$J$451),0),
IF('TL19'!$B$3=O$3,SUMIF('TL19'!$C$10:$C$224,$C248,'TL19'!$J$10:$J$224),0),
IF('TL19'!$B$229=O$3,SUMIF('TL19'!$C$238:$C$451,$C248,'TL19'!$J$238:$J$451),0)
),0)</f>
        <v/>
      </c>
      <c r="P248" s="9">
        <f>IFERROR(SUM(
IF('TL01'!$B$3=P$3,SUMIF('TL01'!$C$10:$C$224,$C248,'TL01'!$J$10:$J$224),0),
IF('TL01'!$B$229=P$3,SUMIF('TL01'!$C$238:$C$451,$C248,'TL01'!$J$238:$J$451),0),
IF('TL02'!$B$3=P$3,SUMIF('TL02'!$C$10:$C$224,$C248,'TL02'!$J$10:$J$224),0),
IF('TL02'!$B$229=P$3,SUMIF('TL02'!$C$238:$C$451,$C248,'TL02'!$J$238:$J$451),0),
IF('TL03'!$B$3=P$3,SUMIF('TL03'!$C$10:$C$224,$C248,'TL03'!$J$10:$J$224),0),
IF('TL03'!$B$229=P$3,SUMIF('TL03'!$C$238:$C$451,$C248,'TL03'!$J$238:$J$451),0),
IF('TL04'!$B$3=P$3,SUMIF('TL04'!$C$10:$C$224,$C248,'TL04'!$J$10:$J$224),0),
IF('TL04'!$B$229=P$3,SUMIF('TL04'!$C$238:$C$451,$C248,'TL04'!$J$238:$J$451),0),
IF('TL05'!$B$3=P$3,SUMIF('TL05'!$C$10:$C$224,$C248,'TL05'!$J$10:$J$224),0),
IF('TL05'!$B$229=P$3,SUMIF('TL05'!$C$238:$C$451,$C248,'TL05'!$J$238:$J$451),0),
IF('TL06'!$B$3=P$3,SUMIF('TL06'!$C$10:$C$224,$C248,'TL06'!$J$10:$J$224),0),
IF('TL06'!$B$229=P$3,SUMIF('TL06'!$C$238:$C$451,$C248,'TL06'!$J$238:$J$451),0),
IF('TL07'!$B$3=P$3,SUMIF('TL07'!$C$10:$C$224,$C248,'TL07'!$J$10:$J$224),0),
IF('TL07'!$B$229=P$3,SUMIF('TL07'!$C$238:$C$451,$C248,'TL07'!$J$238:$J$451),0),
IF('TL08'!$B$3=P$3,SUMIF('TL08'!$C$10:$C$224,$C248,'TL08'!$J$10:$J$224),0),
IF('TL08'!$B$229=P$3,SUMIF('TL08'!$C$238:$C$451,$C248,'TL08'!$J$238:$J$451),0),
IF('TL09'!$B$3=P$3,SUMIF('TL09'!$C$10:$C$224,$C248,'TL09'!$J$10:$J$224),0),
IF('TL09'!$B$229=P$3,SUMIF('TL09'!$C$238:$C$451,$C248,'TL09'!$J$238:$J$451),0),
IF('TL10'!$B$3=P$3,SUMIF('TL10'!$C$10:$C$224,$C248,'TL10'!$J$10:$J$224),0),
IF('TL10'!$B$229=P$3,SUMIF('TL10'!$C$238:$C$451,$C248,'TL10'!$J$238:$J$451),0),
IF('TL11'!$B$3=P$3,SUMIF('TL11'!$C$10:$C$224,$C248,'TL11'!$J$10:$J$224),0),
IF('TL11'!$B$229=P$3,SUMIF('TL11'!$C$238:$C$451,$C248,'TL11'!$J$238:$J$451),0),
IF('TL12'!$B$3=P$3,SUMIF('TL12'!$C$10:$C$224,$C248,'TL12'!$J$10:$J$224),0),
IF('TL12'!$B$229=P$3,SUMIF('TL12'!$C$238:$C$451,$C248,'TL12'!$J$238:$J$451),0),
IF('TL13'!$B$3=P$3,SUMIF('TL13'!$C$10:$C$224,$C248,'TL13'!$J$10:$J$224),0),
IF('TL13'!$B$229=P$3,SUMIF('TL13'!$C$238:$C$451,$C248,'TL13'!$J$238:$J$451),0),
IF('TL14'!$B$3=P$3,SUMIF('TL14'!$C$10:$C$224,$C248,'TL14'!$J$10:$J$224),0),
IF('TL14'!$B$229=P$3,SUMIF('TL14'!$C$238:$C$451,$C248,'TL14'!$J$238:$J$451),0),
IF('TL15'!$B$3=P$3,SUMIF('TL15'!$C$10:$C$224,$C248,'TL15'!$J$10:$J$224),0),
IF('TL15'!$B$229=P$3,SUMIF('TL15'!$C$238:$C$451,$C248,'TL15'!$J$238:$J$451),0),
IF('TL16'!$B$3=P$3,SUMIF('TL16'!$C$10:$C$224,$C248,'TL16'!$J$10:$J$224),0),
IF('TL16'!$B$229=P$3,SUMIF('TL16'!$C$238:$C$451,$C248,'TL16'!$J$238:$J$451),0),
IF('TL17'!$B$3=P$3,SUMIF('TL17'!$C$10:$C$224,$C248,'TL17'!$J$10:$J$224),0),
IF('TL17'!$B$229=P$3,SUMIF('TL17'!$C$238:$C$451,$C248,'TL17'!$J$238:$J$451),0),
IF('TL18'!$B$3=P$3,SUMIF('TL18'!$C$10:$C$224,$C248,'TL18'!$J$10:$J$224),0),
IF('TL18'!$B$229=P$3,SUMIF('TL18'!$C$238:$C$451,$C248,'TL18'!$J$238:$J$451),0),
IF('TL19'!$B$3=P$3,SUMIF('TL19'!$C$10:$C$224,$C248,'TL19'!$J$10:$J$224),0),
IF('TL19'!$B$229=P$3,SUMIF('TL19'!$C$238:$C$451,$C248,'TL19'!$J$238:$J$451),0)
),0)</f>
        <v/>
      </c>
      <c r="Q248" s="9">
        <f>IFERROR(SUM(
IF('TL01'!$B$3=Q$3,SUMIF('TL01'!$C$10:$C$224,$C248,'TL01'!$J$10:$J$224),0),
IF('TL01'!$B$229=Q$3,SUMIF('TL01'!$C$238:$C$451,$C248,'TL01'!$J$238:$J$451),0),
IF('TL02'!$B$3=Q$3,SUMIF('TL02'!$C$10:$C$224,$C248,'TL02'!$J$10:$J$224),0),
IF('TL02'!$B$229=Q$3,SUMIF('TL02'!$C$238:$C$451,$C248,'TL02'!$J$238:$J$451),0),
IF('TL03'!$B$3=Q$3,SUMIF('TL03'!$C$10:$C$224,$C248,'TL03'!$J$10:$J$224),0),
IF('TL03'!$B$229=Q$3,SUMIF('TL03'!$C$238:$C$451,$C248,'TL03'!$J$238:$J$451),0),
IF('TL04'!$B$3=Q$3,SUMIF('TL04'!$C$10:$C$224,$C248,'TL04'!$J$10:$J$224),0),
IF('TL04'!$B$229=Q$3,SUMIF('TL04'!$C$238:$C$451,$C248,'TL04'!$J$238:$J$451),0),
IF('TL05'!$B$3=Q$3,SUMIF('TL05'!$C$10:$C$224,$C248,'TL05'!$J$10:$J$224),0),
IF('TL05'!$B$229=Q$3,SUMIF('TL05'!$C$238:$C$451,$C248,'TL05'!$J$238:$J$451),0),
IF('TL06'!$B$3=Q$3,SUMIF('TL06'!$C$10:$C$224,$C248,'TL06'!$J$10:$J$224),0),
IF('TL06'!$B$229=Q$3,SUMIF('TL06'!$C$238:$C$451,$C248,'TL06'!$J$238:$J$451),0),
IF('TL07'!$B$3=Q$3,SUMIF('TL07'!$C$10:$C$224,$C248,'TL07'!$J$10:$J$224),0),
IF('TL07'!$B$229=Q$3,SUMIF('TL07'!$C$238:$C$451,$C248,'TL07'!$J$238:$J$451),0),
IF('TL08'!$B$3=Q$3,SUMIF('TL08'!$C$10:$C$224,$C248,'TL08'!$J$10:$J$224),0),
IF('TL08'!$B$229=Q$3,SUMIF('TL08'!$C$238:$C$451,$C248,'TL08'!$J$238:$J$451),0),
IF('TL09'!$B$3=Q$3,SUMIF('TL09'!$C$10:$C$224,$C248,'TL09'!$J$10:$J$224),0),
IF('TL09'!$B$229=Q$3,SUMIF('TL09'!$C$238:$C$451,$C248,'TL09'!$J$238:$J$451),0),
IF('TL10'!$B$3=Q$3,SUMIF('TL10'!$C$10:$C$224,$C248,'TL10'!$J$10:$J$224),0),
IF('TL10'!$B$229=Q$3,SUMIF('TL10'!$C$238:$C$451,$C248,'TL10'!$J$238:$J$451),0),
IF('TL11'!$B$3=Q$3,SUMIF('TL11'!$C$10:$C$224,$C248,'TL11'!$J$10:$J$224),0),
IF('TL11'!$B$229=Q$3,SUMIF('TL11'!$C$238:$C$451,$C248,'TL11'!$J$238:$J$451),0),
IF('TL12'!$B$3=Q$3,SUMIF('TL12'!$C$10:$C$224,$C248,'TL12'!$J$10:$J$224),0),
IF('TL12'!$B$229=Q$3,SUMIF('TL12'!$C$238:$C$451,$C248,'TL12'!$J$238:$J$451),0),
IF('TL13'!$B$3=Q$3,SUMIF('TL13'!$C$10:$C$224,$C248,'TL13'!$J$10:$J$224),0),
IF('TL13'!$B$229=Q$3,SUMIF('TL13'!$C$238:$C$451,$C248,'TL13'!$J$238:$J$451),0),
IF('TL14'!$B$3=Q$3,SUMIF('TL14'!$C$10:$C$224,$C248,'TL14'!$J$10:$J$224),0),
IF('TL14'!$B$229=Q$3,SUMIF('TL14'!$C$238:$C$451,$C248,'TL14'!$J$238:$J$451),0),
IF('TL15'!$B$3=Q$3,SUMIF('TL15'!$C$10:$C$224,$C248,'TL15'!$J$10:$J$224),0),
IF('TL15'!$B$229=Q$3,SUMIF('TL15'!$C$238:$C$451,$C248,'TL15'!$J$238:$J$451),0),
IF('TL16'!$B$3=Q$3,SUMIF('TL16'!$C$10:$C$224,$C248,'TL16'!$J$10:$J$224),0),
IF('TL16'!$B$229=Q$3,SUMIF('TL16'!$C$238:$C$451,$C248,'TL16'!$J$238:$J$451),0),
IF('TL17'!$B$3=Q$3,SUMIF('TL17'!$C$10:$C$224,$C248,'TL17'!$J$10:$J$224),0),
IF('TL17'!$B$229=Q$3,SUMIF('TL17'!$C$238:$C$451,$C248,'TL17'!$J$238:$J$451),0),
IF('TL18'!$B$3=Q$3,SUMIF('TL18'!$C$10:$C$224,$C248,'TL18'!$J$10:$J$224),0),
IF('TL18'!$B$229=Q$3,SUMIF('TL18'!$C$238:$C$451,$C248,'TL18'!$J$238:$J$451),0),
IF('TL19'!$B$3=Q$3,SUMIF('TL19'!$C$10:$C$224,$C248,'TL19'!$J$10:$J$224),0),
IF('TL19'!$B$229=Q$3,SUMIF('TL19'!$C$238:$C$451,$C248,'TL19'!$J$238:$J$451),0)
),0)</f>
        <v/>
      </c>
      <c r="R248" s="9">
        <f>IFERROR(
SUM(
SUMIF('TL01'!C:C,C248,'TL01'!J:J),
SUMIF('TL02'!C:C,C248,'TL02'!J:J),
SUMIF('TL03'!C:C,C248,'TL03'!J:J),
SUMIF('TL04'!C:C,C248,'TL04'!J:J),
SUMIF('TL05'!C:C,C248,'TL05'!J:J),
SUMIF('TL06'!C:C,C248,'TL06'!J:J),
SUMIF('TL07'!C:C,C248,'TL07'!J:J),
SUMIF('TL08'!C:C,C248,'TL08'!J:J),
SUMIF('TL09'!C:C,C248,'TL09'!J:J),
SUMIF('TL10'!C:C,C248,'TL10'!J:J),
SUMIF('TL11'!C:C,C248,'TL11'!J:J),
SUMIF('TL12'!C:C,C248,'TL12'!J:J),
SUMIF('TL13'!C:C,C248,'TL13'!J:J),
SUMIF('TL14'!C:C,C248,'TL14'!J:J),
SUMIF('TL15'!C:C,C248,'TL15'!J:J),
SUMIF('TL16'!C:C,C248,'TL16'!J:J),
SUMIF('TL17'!C:C,C248,'TL17'!J:J),
SUMIF('TL18'!C:C,C248,'TL18'!J:J),SUMIF('TL19'!C:C,C248,'TL19'!J:J))
,0)</f>
        <v/>
      </c>
      <c r="S248" s="17">
        <f>IFERROR(__xludf.DUMMYFUNCTION("IFERROR(VLOOKUP(C248,
IMPORTRANGE(""1wULbzX32WdYsx-lj2U3uUNBBe2INVIRDtcK0d-Dvl90"",
""26-27!C:G""),
5,
FALSE),
"""")"),0.0)</f>
        <v/>
      </c>
      <c r="T248" s="9" t="n"/>
      <c r="U248" s="92">
        <f>MAX(0,R248-T248)</f>
        <v/>
      </c>
      <c r="V248" s="93">
        <f>U248*S248</f>
        <v/>
      </c>
    </row>
    <row r="249" hidden="1" ht="15.75" customHeight="1" s="297">
      <c r="A249" s="122" t="inlineStr">
        <is>
          <t>SYNGENTA</t>
        </is>
      </c>
      <c r="B249" s="120" t="inlineStr">
        <is>
          <t>RC</t>
        </is>
      </c>
      <c r="C249" s="122" t="inlineStr">
        <is>
          <t>CULTAR 250 SC</t>
        </is>
      </c>
      <c r="D249" s="122" t="inlineStr">
        <is>
          <t>PACLOBUTRAZOL</t>
        </is>
      </c>
      <c r="E249" s="122" t="n">
        <v>250</v>
      </c>
      <c r="F249" s="4" t="n"/>
      <c r="G249" s="90">
        <f>HYPERLINK("https://www.google.com/search?q=" &amp; C249 &amp; "+bula+agrofit+pdf", "📄 Ver bula")</f>
        <v/>
      </c>
      <c r="H249" s="9">
        <f>IFERROR(__xludf.DUMMYFUNCTION("IFERROR(VLOOKUP(C249,
IMPORTRANGE(""1wULbzX32WdYsx-lj2U3uUNBBe2INVIRDtcK0d-Dvl90"",
""26-27!C:K""),
8,
FALSE),
"""")"),"")</f>
        <v/>
      </c>
      <c r="I249" s="123" t="n">
        <v>20</v>
      </c>
      <c r="J249" s="9">
        <f>IFERROR(SUM(
IF('TL01'!$B$3=J$3,SUMIF('TL01'!$C$10:$C$224,$C249,'TL01'!$J$10:$J$224),0),
IF('TL01'!$B$229=J$3,SUMIF('TL01'!$C$238:$C$451,$C249,'TL01'!$J$238:$J$451),0),
IF('TL02'!$B$3=J$3,SUMIF('TL02'!$C$10:$C$224,$C249,'TL02'!$J$10:$J$224),0),
IF('TL02'!$B$229=J$3,SUMIF('TL02'!$C$238:$C$451,$C249,'TL02'!$J$238:$J$451),0),
IF('TL03'!$B$3=J$3,SUMIF('TL03'!$C$10:$C$224,$C249,'TL03'!$J$10:$J$224),0),
IF('TL03'!$B$229=J$3,SUMIF('TL03'!$C$238:$C$451,$C249,'TL03'!$J$238:$J$451),0),
IF('TL04'!$B$3=J$3,SUMIF('TL04'!$C$10:$C$224,$C249,'TL04'!$J$10:$J$224),0),
IF('TL04'!$B$229=J$3,SUMIF('TL04'!$C$238:$C$451,$C249,'TL04'!$J$238:$J$451),0),
IF('TL05'!$B$3=J$3,SUMIF('TL05'!$C$10:$C$224,$C249,'TL05'!$J$10:$J$224),0),
IF('TL05'!$B$229=J$3,SUMIF('TL05'!$C$238:$C$451,$C249,'TL05'!$J$238:$J$451),0),
IF('TL06'!$B$3=J$3,SUMIF('TL06'!$C$10:$C$224,$C249,'TL06'!$J$10:$J$224),0),
IF('TL06'!$B$229=J$3,SUMIF('TL06'!$C$238:$C$451,$C249,'TL06'!$J$238:$J$451),0),
IF('TL07'!$B$3=J$3,SUMIF('TL07'!$C$10:$C$224,$C249,'TL07'!$J$10:$J$224),0),
IF('TL07'!$B$229=J$3,SUMIF('TL07'!$C$238:$C$451,$C249,'TL07'!$J$238:$J$451),0),
IF('TL08'!$B$3=J$3,SUMIF('TL08'!$C$10:$C$224,$C249,'TL08'!$J$10:$J$224),0),
IF('TL08'!$B$229=J$3,SUMIF('TL08'!$C$238:$C$451,$C249,'TL08'!$J$238:$J$451),0),
IF('TL09'!$B$3=J$3,SUMIF('TL09'!$C$10:$C$224,$C249,'TL09'!$J$10:$J$224),0),
IF('TL09'!$B$229=J$3,SUMIF('TL09'!$C$238:$C$451,$C249,'TL09'!$J$238:$J$451),0),
IF('TL10'!$B$3=J$3,SUMIF('TL10'!$C$10:$C$224,$C249,'TL10'!$J$10:$J$224),0),
IF('TL10'!$B$229=J$3,SUMIF('TL10'!$C$238:$C$451,$C249,'TL10'!$J$238:$J$451),0),
IF('TL11'!$B$3=J$3,SUMIF('TL11'!$C$10:$C$224,$C249,'TL11'!$J$10:$J$224),0),
IF('TL11'!$B$229=J$3,SUMIF('TL11'!$C$238:$C$451,$C249,'TL11'!$J$238:$J$451),0),
IF('TL12'!$B$3=J$3,SUMIF('TL12'!$C$10:$C$224,$C249,'TL12'!$J$10:$J$224),0),
IF('TL12'!$B$229=J$3,SUMIF('TL12'!$C$238:$C$451,$C249,'TL12'!$J$238:$J$451),0),
IF('TL13'!$B$3=J$3,SUMIF('TL13'!$C$10:$C$224,$C249,'TL13'!$J$10:$J$224),0),
IF('TL13'!$B$229=J$3,SUMIF('TL13'!$C$238:$C$451,$C249,'TL13'!$J$238:$J$451),0),
IF('TL14'!$B$3=J$3,SUMIF('TL14'!$C$10:$C$224,$C249,'TL14'!$J$10:$J$224),0),
IF('TL14'!$B$229=J$3,SUMIF('TL14'!$C$238:$C$451,$C249,'TL14'!$J$238:$J$451),0),
IF('TL15'!$B$3=J$3,SUMIF('TL15'!$C$10:$C$224,$C249,'TL15'!$J$10:$J$224),0),
IF('TL15'!$B$229=J$3,SUMIF('TL15'!$C$238:$C$451,$C249,'TL15'!$J$238:$J$451),0),
IF('TL16'!$B$3=J$3,SUMIF('TL16'!$C$10:$C$224,$C249,'TL16'!$J$10:$J$224),0),
IF('TL16'!$B$229=J$3,SUMIF('TL16'!$C$238:$C$451,$C249,'TL16'!$J$238:$J$451),0),
IF('TL17'!$B$3=J$3,SUMIF('TL17'!$C$10:$C$224,$C249,'TL17'!$J$10:$J$224),0),
IF('TL17'!$B$229=J$3,SUMIF('TL17'!$C$238:$C$451,$C249,'TL17'!$J$238:$J$451),0),
IF('TL18'!$B$3=J$3,SUMIF('TL18'!$C$10:$C$224,$C249,'TL18'!$J$10:$J$224),0),
IF('TL18'!$B$229=J$3,SUMIF('TL18'!$C$238:$C$451,$C249,'TL18'!$J$238:$J$451),0),
IF('TL19'!$B$3=J$3,SUMIF('TL19'!$C$10:$C$224,$C249,'TL19'!$J$10:$J$224),0),
IF('TL19'!$B$229=J$3,SUMIF('TL19'!$C$238:$C$451,$C249,'TL19'!$J$238:$J$451),0)
),0)</f>
        <v/>
      </c>
      <c r="K249" s="9">
        <f>IFERROR(SUM(
IF('TL01'!$B$3=K$3,SUMIF('TL01'!$C$10:$C$224,$C249,'TL01'!$J$10:$J$224),0),
IF('TL01'!$B$229=K$3,SUMIF('TL01'!$C$238:$C$451,$C249,'TL01'!$J$238:$J$451),0),
IF('TL02'!$B$3=K$3,SUMIF('TL02'!$C$10:$C$224,$C249,'TL02'!$J$10:$J$224),0),
IF('TL02'!$B$229=K$3,SUMIF('TL02'!$C$238:$C$451,$C249,'TL02'!$J$238:$J$451),0),
IF('TL03'!$B$3=K$3,SUMIF('TL03'!$C$10:$C$224,$C249,'TL03'!$J$10:$J$224),0),
IF('TL03'!$B$229=K$3,SUMIF('TL03'!$C$238:$C$451,$C249,'TL03'!$J$238:$J$451),0),
IF('TL04'!$B$3=K$3,SUMIF('TL04'!$C$10:$C$224,$C249,'TL04'!$J$10:$J$224),0),
IF('TL04'!$B$229=K$3,SUMIF('TL04'!$C$238:$C$451,$C249,'TL04'!$J$238:$J$451),0),
IF('TL05'!$B$3=K$3,SUMIF('TL05'!$C$10:$C$224,$C249,'TL05'!$J$10:$J$224),0),
IF('TL05'!$B$229=K$3,SUMIF('TL05'!$C$238:$C$451,$C249,'TL05'!$J$238:$J$451),0),
IF('TL06'!$B$3=K$3,SUMIF('TL06'!$C$10:$C$224,$C249,'TL06'!$J$10:$J$224),0),
IF('TL06'!$B$229=K$3,SUMIF('TL06'!$C$238:$C$451,$C249,'TL06'!$J$238:$J$451),0),
IF('TL07'!$B$3=K$3,SUMIF('TL07'!$C$10:$C$224,$C249,'TL07'!$J$10:$J$224),0),
IF('TL07'!$B$229=K$3,SUMIF('TL07'!$C$238:$C$451,$C249,'TL07'!$J$238:$J$451),0),
IF('TL08'!$B$3=K$3,SUMIF('TL08'!$C$10:$C$224,$C249,'TL08'!$J$10:$J$224),0),
IF('TL08'!$B$229=K$3,SUMIF('TL08'!$C$238:$C$451,$C249,'TL08'!$J$238:$J$451),0),
IF('TL09'!$B$3=K$3,SUMIF('TL09'!$C$10:$C$224,$C249,'TL09'!$J$10:$J$224),0),
IF('TL09'!$B$229=K$3,SUMIF('TL09'!$C$238:$C$451,$C249,'TL09'!$J$238:$J$451),0),
IF('TL10'!$B$3=K$3,SUMIF('TL10'!$C$10:$C$224,$C249,'TL10'!$J$10:$J$224),0),
IF('TL10'!$B$229=K$3,SUMIF('TL10'!$C$238:$C$451,$C249,'TL10'!$J$238:$J$451),0),
IF('TL11'!$B$3=K$3,SUMIF('TL11'!$C$10:$C$224,$C249,'TL11'!$J$10:$J$224),0),
IF('TL11'!$B$229=K$3,SUMIF('TL11'!$C$238:$C$451,$C249,'TL11'!$J$238:$J$451),0),
IF('TL12'!$B$3=K$3,SUMIF('TL12'!$C$10:$C$224,$C249,'TL12'!$J$10:$J$224),0),
IF('TL12'!$B$229=K$3,SUMIF('TL12'!$C$238:$C$451,$C249,'TL12'!$J$238:$J$451),0),
IF('TL13'!$B$3=K$3,SUMIF('TL13'!$C$10:$C$224,$C249,'TL13'!$J$10:$J$224),0),
IF('TL13'!$B$229=K$3,SUMIF('TL13'!$C$238:$C$451,$C249,'TL13'!$J$238:$J$451),0),
IF('TL14'!$B$3=K$3,SUMIF('TL14'!$C$10:$C$224,$C249,'TL14'!$J$10:$J$224),0),
IF('TL14'!$B$229=K$3,SUMIF('TL14'!$C$238:$C$451,$C249,'TL14'!$J$238:$J$451),0),
IF('TL15'!$B$3=K$3,SUMIF('TL15'!$C$10:$C$224,$C249,'TL15'!$J$10:$J$224),0),
IF('TL15'!$B$229=K$3,SUMIF('TL15'!$C$238:$C$451,$C249,'TL15'!$J$238:$J$451),0),
IF('TL16'!$B$3=K$3,SUMIF('TL16'!$C$10:$C$224,$C249,'TL16'!$J$10:$J$224),0),
IF('TL16'!$B$229=K$3,SUMIF('TL16'!$C$238:$C$451,$C249,'TL16'!$J$238:$J$451),0),
IF('TL17'!$B$3=K$3,SUMIF('TL17'!$C$10:$C$224,$C249,'TL17'!$J$10:$J$224),0),
IF('TL17'!$B$229=K$3,SUMIF('TL17'!$C$238:$C$451,$C249,'TL17'!$J$238:$J$451),0),
IF('TL18'!$B$3=K$3,SUMIF('TL18'!$C$10:$C$224,$C249,'TL18'!$J$10:$J$224),0),
IF('TL18'!$B$229=K$3,SUMIF('TL18'!$C$238:$C$451,$C249,'TL18'!$J$238:$J$451),0),
IF('TL19'!$B$3=K$3,SUMIF('TL19'!$C$10:$C$224,$C249,'TL19'!$J$10:$J$224),0),
IF('TL19'!$B$229=K$3,SUMIF('TL19'!$C$238:$C$451,$C249,'TL19'!$J$238:$J$451),0)
),0)</f>
        <v/>
      </c>
      <c r="L249" s="9">
        <f>IFERROR(SUM(
IF('TL01'!$B$3=L$3,SUMIF('TL01'!$C$10:$C$224,$C249,'TL01'!$J$10:$J$224),0),
IF('TL01'!$B$229=L$3,SUMIF('TL01'!$C$238:$C$451,$C249,'TL01'!$J$238:$J$451),0),
IF('TL02'!$B$3=L$3,SUMIF('TL02'!$C$10:$C$224,$C249,'TL02'!$J$10:$J$224),0),
IF('TL02'!$B$229=L$3,SUMIF('TL02'!$C$238:$C$451,$C249,'TL02'!$J$238:$J$451),0),
IF('TL03'!$B$3=L$3,SUMIF('TL03'!$C$10:$C$224,$C249,'TL03'!$J$10:$J$224),0),
IF('TL03'!$B$229=L$3,SUMIF('TL03'!$C$238:$C$451,$C249,'TL03'!$J$238:$J$451),0),
IF('TL04'!$B$3=L$3,SUMIF('TL04'!$C$10:$C$224,$C249,'TL04'!$J$10:$J$224),0),
IF('TL04'!$B$229=L$3,SUMIF('TL04'!$C$238:$C$451,$C249,'TL04'!$J$238:$J$451),0),
IF('TL05'!$B$3=L$3,SUMIF('TL05'!$C$10:$C$224,$C249,'TL05'!$J$10:$J$224),0),
IF('TL05'!$B$229=L$3,SUMIF('TL05'!$C$238:$C$451,$C249,'TL05'!$J$238:$J$451),0),
IF('TL06'!$B$3=L$3,SUMIF('TL06'!$C$10:$C$224,$C249,'TL06'!$J$10:$J$224),0),
IF('TL06'!$B$229=L$3,SUMIF('TL06'!$C$238:$C$451,$C249,'TL06'!$J$238:$J$451),0),
IF('TL07'!$B$3=L$3,SUMIF('TL07'!$C$10:$C$224,$C249,'TL07'!$J$10:$J$224),0),
IF('TL07'!$B$229=L$3,SUMIF('TL07'!$C$238:$C$451,$C249,'TL07'!$J$238:$J$451),0),
IF('TL08'!$B$3=L$3,SUMIF('TL08'!$C$10:$C$224,$C249,'TL08'!$J$10:$J$224),0),
IF('TL08'!$B$229=L$3,SUMIF('TL08'!$C$238:$C$451,$C249,'TL08'!$J$238:$J$451),0),
IF('TL09'!$B$3=L$3,SUMIF('TL09'!$C$10:$C$224,$C249,'TL09'!$J$10:$J$224),0),
IF('TL09'!$B$229=L$3,SUMIF('TL09'!$C$238:$C$451,$C249,'TL09'!$J$238:$J$451),0),
IF('TL10'!$B$3=L$3,SUMIF('TL10'!$C$10:$C$224,$C249,'TL10'!$J$10:$J$224),0),
IF('TL10'!$B$229=L$3,SUMIF('TL10'!$C$238:$C$451,$C249,'TL10'!$J$238:$J$451),0),
IF('TL11'!$B$3=L$3,SUMIF('TL11'!$C$10:$C$224,$C249,'TL11'!$J$10:$J$224),0),
IF('TL11'!$B$229=L$3,SUMIF('TL11'!$C$238:$C$451,$C249,'TL11'!$J$238:$J$451),0),
IF('TL12'!$B$3=L$3,SUMIF('TL12'!$C$10:$C$224,$C249,'TL12'!$J$10:$J$224),0),
IF('TL12'!$B$229=L$3,SUMIF('TL12'!$C$238:$C$451,$C249,'TL12'!$J$238:$J$451),0),
IF('TL13'!$B$3=L$3,SUMIF('TL13'!$C$10:$C$224,$C249,'TL13'!$J$10:$J$224),0),
IF('TL13'!$B$229=L$3,SUMIF('TL13'!$C$238:$C$451,$C249,'TL13'!$J$238:$J$451),0),
IF('TL14'!$B$3=L$3,SUMIF('TL14'!$C$10:$C$224,$C249,'TL14'!$J$10:$J$224),0),
IF('TL14'!$B$229=L$3,SUMIF('TL14'!$C$238:$C$451,$C249,'TL14'!$J$238:$J$451),0),
IF('TL15'!$B$3=L$3,SUMIF('TL15'!$C$10:$C$224,$C249,'TL15'!$J$10:$J$224),0),
IF('TL15'!$B$229=L$3,SUMIF('TL15'!$C$238:$C$451,$C249,'TL15'!$J$238:$J$451),0),
IF('TL16'!$B$3=L$3,SUMIF('TL16'!$C$10:$C$224,$C249,'TL16'!$J$10:$J$224),0),
IF('TL16'!$B$229=L$3,SUMIF('TL16'!$C$238:$C$451,$C249,'TL16'!$J$238:$J$451),0),
IF('TL17'!$B$3=L$3,SUMIF('TL17'!$C$10:$C$224,$C249,'TL17'!$J$10:$J$224),0),
IF('TL17'!$B$229=L$3,SUMIF('TL17'!$C$238:$C$451,$C249,'TL17'!$J$238:$J$451),0),
IF('TL18'!$B$3=L$3,SUMIF('TL18'!$C$10:$C$224,$C249,'TL18'!$J$10:$J$224),0),
IF('TL18'!$B$229=L$3,SUMIF('TL18'!$C$238:$C$451,$C249,'TL18'!$J$238:$J$451),0),
IF('TL19'!$B$3=L$3,SUMIF('TL19'!$C$10:$C$224,$C249,'TL19'!$J$10:$J$224),0),
IF('TL19'!$B$229=L$3,SUMIF('TL19'!$C$238:$C$451,$C249,'TL19'!$J$238:$J$451),0)
),0)</f>
        <v/>
      </c>
      <c r="M249" s="9">
        <f>IFERROR(SUM(
IF('TL01'!$B$3=M$3,SUMIF('TL01'!$C$10:$C$224,$C249,'TL01'!$J$10:$J$224),0),
IF('TL01'!$B$229=M$3,SUMIF('TL01'!$C$238:$C$451,$C249,'TL01'!$J$238:$J$451),0),
IF('TL02'!$B$3=M$3,SUMIF('TL02'!$C$10:$C$224,$C249,'TL02'!$J$10:$J$224),0),
IF('TL02'!$B$229=M$3,SUMIF('TL02'!$C$238:$C$451,$C249,'TL02'!$J$238:$J$451),0),
IF('TL03'!$B$3=M$3,SUMIF('TL03'!$C$10:$C$224,$C249,'TL03'!$J$10:$J$224),0),
IF('TL03'!$B$229=M$3,SUMIF('TL03'!$C$238:$C$451,$C249,'TL03'!$J$238:$J$451),0),
IF('TL04'!$B$3=M$3,SUMIF('TL04'!$C$10:$C$224,$C249,'TL04'!$J$10:$J$224),0),
IF('TL04'!$B$229=M$3,SUMIF('TL04'!$C$238:$C$451,$C249,'TL04'!$J$238:$J$451),0),
IF('TL05'!$B$3=M$3,SUMIF('TL05'!$C$10:$C$224,$C249,'TL05'!$J$10:$J$224),0),
IF('TL05'!$B$229=M$3,SUMIF('TL05'!$C$238:$C$451,$C249,'TL05'!$J$238:$J$451),0),
IF('TL06'!$B$3=M$3,SUMIF('TL06'!$C$10:$C$224,$C249,'TL06'!$J$10:$J$224),0),
IF('TL06'!$B$229=M$3,SUMIF('TL06'!$C$238:$C$451,$C249,'TL06'!$J$238:$J$451),0),
IF('TL07'!$B$3=M$3,SUMIF('TL07'!$C$10:$C$224,$C249,'TL07'!$J$10:$J$224),0),
IF('TL07'!$B$229=M$3,SUMIF('TL07'!$C$238:$C$451,$C249,'TL07'!$J$238:$J$451),0),
IF('TL08'!$B$3=M$3,SUMIF('TL08'!$C$10:$C$224,$C249,'TL08'!$J$10:$J$224),0),
IF('TL08'!$B$229=M$3,SUMIF('TL08'!$C$238:$C$451,$C249,'TL08'!$J$238:$J$451),0),
IF('TL09'!$B$3=M$3,SUMIF('TL09'!$C$10:$C$224,$C249,'TL09'!$J$10:$J$224),0),
IF('TL09'!$B$229=M$3,SUMIF('TL09'!$C$238:$C$451,$C249,'TL09'!$J$238:$J$451),0),
IF('TL10'!$B$3=M$3,SUMIF('TL10'!$C$10:$C$224,$C249,'TL10'!$J$10:$J$224),0),
IF('TL10'!$B$229=M$3,SUMIF('TL10'!$C$238:$C$451,$C249,'TL10'!$J$238:$J$451),0),
IF('TL11'!$B$3=M$3,SUMIF('TL11'!$C$10:$C$224,$C249,'TL11'!$J$10:$J$224),0),
IF('TL11'!$B$229=M$3,SUMIF('TL11'!$C$238:$C$451,$C249,'TL11'!$J$238:$J$451),0),
IF('TL12'!$B$3=M$3,SUMIF('TL12'!$C$10:$C$224,$C249,'TL12'!$J$10:$J$224),0),
IF('TL12'!$B$229=M$3,SUMIF('TL12'!$C$238:$C$451,$C249,'TL12'!$J$238:$J$451),0),
IF('TL13'!$B$3=M$3,SUMIF('TL13'!$C$10:$C$224,$C249,'TL13'!$J$10:$J$224),0),
IF('TL13'!$B$229=M$3,SUMIF('TL13'!$C$238:$C$451,$C249,'TL13'!$J$238:$J$451),0),
IF('TL14'!$B$3=M$3,SUMIF('TL14'!$C$10:$C$224,$C249,'TL14'!$J$10:$J$224),0),
IF('TL14'!$B$229=M$3,SUMIF('TL14'!$C$238:$C$451,$C249,'TL14'!$J$238:$J$451),0),
IF('TL15'!$B$3=M$3,SUMIF('TL15'!$C$10:$C$224,$C249,'TL15'!$J$10:$J$224),0),
IF('TL15'!$B$229=M$3,SUMIF('TL15'!$C$238:$C$451,$C249,'TL15'!$J$238:$J$451),0),
IF('TL16'!$B$3=M$3,SUMIF('TL16'!$C$10:$C$224,$C249,'TL16'!$J$10:$J$224),0),
IF('TL16'!$B$229=M$3,SUMIF('TL16'!$C$238:$C$451,$C249,'TL16'!$J$238:$J$451),0),
IF('TL17'!$B$3=M$3,SUMIF('TL17'!$C$10:$C$224,$C249,'TL17'!$J$10:$J$224),0),
IF('TL17'!$B$229=M$3,SUMIF('TL17'!$C$238:$C$451,$C249,'TL17'!$J$238:$J$451),0),
IF('TL18'!$B$3=M$3,SUMIF('TL18'!$C$10:$C$224,$C249,'TL18'!$J$10:$J$224),0),
IF('TL18'!$B$229=M$3,SUMIF('TL18'!$C$238:$C$451,$C249,'TL18'!$J$238:$J$451),0),
IF('TL19'!$B$3=M$3,SUMIF('TL19'!$C$10:$C$224,$C249,'TL19'!$J$10:$J$224),0),
IF('TL19'!$B$229=M$3,SUMIF('TL19'!$C$238:$C$451,$C249,'TL19'!$J$238:$J$451),0)
),0)</f>
        <v/>
      </c>
      <c r="N249" s="9">
        <f>IFERROR(SUM(
IF('TL01'!$B$3=N$3,SUMIF('TL01'!$C$10:$C$224,$C249,'TL01'!$J$10:$J$224),0),
IF('TL01'!$B$229=N$3,SUMIF('TL01'!$C$238:$C$451,$C249,'TL01'!$J$238:$J$451),0),
IF('TL02'!$B$3=N$3,SUMIF('TL02'!$C$10:$C$224,$C249,'TL02'!$J$10:$J$224),0),
IF('TL02'!$B$229=N$3,SUMIF('TL02'!$C$238:$C$451,$C249,'TL02'!$J$238:$J$451),0),
IF('TL03'!$B$3=N$3,SUMIF('TL03'!$C$10:$C$224,$C249,'TL03'!$J$10:$J$224),0),
IF('TL03'!$B$229=N$3,SUMIF('TL03'!$C$238:$C$451,$C249,'TL03'!$J$238:$J$451),0),
IF('TL04'!$B$3=N$3,SUMIF('TL04'!$C$10:$C$224,$C249,'TL04'!$J$10:$J$224),0),
IF('TL04'!$B$229=N$3,SUMIF('TL04'!$C$238:$C$451,$C249,'TL04'!$J$238:$J$451),0),
IF('TL05'!$B$3=N$3,SUMIF('TL05'!$C$10:$C$224,$C249,'TL05'!$J$10:$J$224),0),
IF('TL05'!$B$229=N$3,SUMIF('TL05'!$C$238:$C$451,$C249,'TL05'!$J$238:$J$451),0),
IF('TL06'!$B$3=N$3,SUMIF('TL06'!$C$10:$C$224,$C249,'TL06'!$J$10:$J$224),0),
IF('TL06'!$B$229=N$3,SUMIF('TL06'!$C$238:$C$451,$C249,'TL06'!$J$238:$J$451),0),
IF('TL07'!$B$3=N$3,SUMIF('TL07'!$C$10:$C$224,$C249,'TL07'!$J$10:$J$224),0),
IF('TL07'!$B$229=N$3,SUMIF('TL07'!$C$238:$C$451,$C249,'TL07'!$J$238:$J$451),0),
IF('TL08'!$B$3=N$3,SUMIF('TL08'!$C$10:$C$224,$C249,'TL08'!$J$10:$J$224),0),
IF('TL08'!$B$229=N$3,SUMIF('TL08'!$C$238:$C$451,$C249,'TL08'!$J$238:$J$451),0),
IF('TL09'!$B$3=N$3,SUMIF('TL09'!$C$10:$C$224,$C249,'TL09'!$J$10:$J$224),0),
IF('TL09'!$B$229=N$3,SUMIF('TL09'!$C$238:$C$451,$C249,'TL09'!$J$238:$J$451),0),
IF('TL10'!$B$3=N$3,SUMIF('TL10'!$C$10:$C$224,$C249,'TL10'!$J$10:$J$224),0),
IF('TL10'!$B$229=N$3,SUMIF('TL10'!$C$238:$C$451,$C249,'TL10'!$J$238:$J$451),0),
IF('TL11'!$B$3=N$3,SUMIF('TL11'!$C$10:$C$224,$C249,'TL11'!$J$10:$J$224),0),
IF('TL11'!$B$229=N$3,SUMIF('TL11'!$C$238:$C$451,$C249,'TL11'!$J$238:$J$451),0),
IF('TL12'!$B$3=N$3,SUMIF('TL12'!$C$10:$C$224,$C249,'TL12'!$J$10:$J$224),0),
IF('TL12'!$B$229=N$3,SUMIF('TL12'!$C$238:$C$451,$C249,'TL12'!$J$238:$J$451),0),
IF('TL13'!$B$3=N$3,SUMIF('TL13'!$C$10:$C$224,$C249,'TL13'!$J$10:$J$224),0),
IF('TL13'!$B$229=N$3,SUMIF('TL13'!$C$238:$C$451,$C249,'TL13'!$J$238:$J$451),0),
IF('TL14'!$B$3=N$3,SUMIF('TL14'!$C$10:$C$224,$C249,'TL14'!$J$10:$J$224),0),
IF('TL14'!$B$229=N$3,SUMIF('TL14'!$C$238:$C$451,$C249,'TL14'!$J$238:$J$451),0),
IF('TL15'!$B$3=N$3,SUMIF('TL15'!$C$10:$C$224,$C249,'TL15'!$J$10:$J$224),0),
IF('TL15'!$B$229=N$3,SUMIF('TL15'!$C$238:$C$451,$C249,'TL15'!$J$238:$J$451),0),
IF('TL16'!$B$3=N$3,SUMIF('TL16'!$C$10:$C$224,$C249,'TL16'!$J$10:$J$224),0),
IF('TL16'!$B$229=N$3,SUMIF('TL16'!$C$238:$C$451,$C249,'TL16'!$J$238:$J$451),0),
IF('TL17'!$B$3=N$3,SUMIF('TL17'!$C$10:$C$224,$C249,'TL17'!$J$10:$J$224),0),
IF('TL17'!$B$229=N$3,SUMIF('TL17'!$C$238:$C$451,$C249,'TL17'!$J$238:$J$451),0),
IF('TL18'!$B$3=N$3,SUMIF('TL18'!$C$10:$C$224,$C249,'TL18'!$J$10:$J$224),0),
IF('TL18'!$B$229=N$3,SUMIF('TL18'!$C$238:$C$451,$C249,'TL18'!$J$238:$J$451),0),
IF('TL19'!$B$3=N$3,SUMIF('TL19'!$C$10:$C$224,$C249,'TL19'!$J$10:$J$224),0),
IF('TL19'!$B$229=N$3,SUMIF('TL19'!$C$238:$C$451,$C249,'TL19'!$J$238:$J$451),0)
),0)</f>
        <v/>
      </c>
      <c r="O249" s="9">
        <f>IFERROR(SUM(
IF('TL01'!$B$3=O$3,SUMIF('TL01'!$C$10:$C$224,$C249,'TL01'!$J$10:$J$224),0),
IF('TL01'!$B$229=O$3,SUMIF('TL01'!$C$238:$C$451,$C249,'TL01'!$J$238:$J$451),0),
IF('TL02'!$B$3=O$3,SUMIF('TL02'!$C$10:$C$224,$C249,'TL02'!$J$10:$J$224),0),
IF('TL02'!$B$229=O$3,SUMIF('TL02'!$C$238:$C$451,$C249,'TL02'!$J$238:$J$451),0),
IF('TL03'!$B$3=O$3,SUMIF('TL03'!$C$10:$C$224,$C249,'TL03'!$J$10:$J$224),0),
IF('TL03'!$B$229=O$3,SUMIF('TL03'!$C$238:$C$451,$C249,'TL03'!$J$238:$J$451),0),
IF('TL04'!$B$3=O$3,SUMIF('TL04'!$C$10:$C$224,$C249,'TL04'!$J$10:$J$224),0),
IF('TL04'!$B$229=O$3,SUMIF('TL04'!$C$238:$C$451,$C249,'TL04'!$J$238:$J$451),0),
IF('TL05'!$B$3=O$3,SUMIF('TL05'!$C$10:$C$224,$C249,'TL05'!$J$10:$J$224),0),
IF('TL05'!$B$229=O$3,SUMIF('TL05'!$C$238:$C$451,$C249,'TL05'!$J$238:$J$451),0),
IF('TL06'!$B$3=O$3,SUMIF('TL06'!$C$10:$C$224,$C249,'TL06'!$J$10:$J$224),0),
IF('TL06'!$B$229=O$3,SUMIF('TL06'!$C$238:$C$451,$C249,'TL06'!$J$238:$J$451),0),
IF('TL07'!$B$3=O$3,SUMIF('TL07'!$C$10:$C$224,$C249,'TL07'!$J$10:$J$224),0),
IF('TL07'!$B$229=O$3,SUMIF('TL07'!$C$238:$C$451,$C249,'TL07'!$J$238:$J$451),0),
IF('TL08'!$B$3=O$3,SUMIF('TL08'!$C$10:$C$224,$C249,'TL08'!$J$10:$J$224),0),
IF('TL08'!$B$229=O$3,SUMIF('TL08'!$C$238:$C$451,$C249,'TL08'!$J$238:$J$451),0),
IF('TL09'!$B$3=O$3,SUMIF('TL09'!$C$10:$C$224,$C249,'TL09'!$J$10:$J$224),0),
IF('TL09'!$B$229=O$3,SUMIF('TL09'!$C$238:$C$451,$C249,'TL09'!$J$238:$J$451),0),
IF('TL10'!$B$3=O$3,SUMIF('TL10'!$C$10:$C$224,$C249,'TL10'!$J$10:$J$224),0),
IF('TL10'!$B$229=O$3,SUMIF('TL10'!$C$238:$C$451,$C249,'TL10'!$J$238:$J$451),0),
IF('TL11'!$B$3=O$3,SUMIF('TL11'!$C$10:$C$224,$C249,'TL11'!$J$10:$J$224),0),
IF('TL11'!$B$229=O$3,SUMIF('TL11'!$C$238:$C$451,$C249,'TL11'!$J$238:$J$451),0),
IF('TL12'!$B$3=O$3,SUMIF('TL12'!$C$10:$C$224,$C249,'TL12'!$J$10:$J$224),0),
IF('TL12'!$B$229=O$3,SUMIF('TL12'!$C$238:$C$451,$C249,'TL12'!$J$238:$J$451),0),
IF('TL13'!$B$3=O$3,SUMIF('TL13'!$C$10:$C$224,$C249,'TL13'!$J$10:$J$224),0),
IF('TL13'!$B$229=O$3,SUMIF('TL13'!$C$238:$C$451,$C249,'TL13'!$J$238:$J$451),0),
IF('TL14'!$B$3=O$3,SUMIF('TL14'!$C$10:$C$224,$C249,'TL14'!$J$10:$J$224),0),
IF('TL14'!$B$229=O$3,SUMIF('TL14'!$C$238:$C$451,$C249,'TL14'!$J$238:$J$451),0),
IF('TL15'!$B$3=O$3,SUMIF('TL15'!$C$10:$C$224,$C249,'TL15'!$J$10:$J$224),0),
IF('TL15'!$B$229=O$3,SUMIF('TL15'!$C$238:$C$451,$C249,'TL15'!$J$238:$J$451),0),
IF('TL16'!$B$3=O$3,SUMIF('TL16'!$C$10:$C$224,$C249,'TL16'!$J$10:$J$224),0),
IF('TL16'!$B$229=O$3,SUMIF('TL16'!$C$238:$C$451,$C249,'TL16'!$J$238:$J$451),0),
IF('TL17'!$B$3=O$3,SUMIF('TL17'!$C$10:$C$224,$C249,'TL17'!$J$10:$J$224),0),
IF('TL17'!$B$229=O$3,SUMIF('TL17'!$C$238:$C$451,$C249,'TL17'!$J$238:$J$451),0),
IF('TL18'!$B$3=O$3,SUMIF('TL18'!$C$10:$C$224,$C249,'TL18'!$J$10:$J$224),0),
IF('TL18'!$B$229=O$3,SUMIF('TL18'!$C$238:$C$451,$C249,'TL18'!$J$238:$J$451),0),
IF('TL19'!$B$3=O$3,SUMIF('TL19'!$C$10:$C$224,$C249,'TL19'!$J$10:$J$224),0),
IF('TL19'!$B$229=O$3,SUMIF('TL19'!$C$238:$C$451,$C249,'TL19'!$J$238:$J$451),0)
),0)</f>
        <v/>
      </c>
      <c r="P249" s="9">
        <f>IFERROR(SUM(
IF('TL01'!$B$3=P$3,SUMIF('TL01'!$C$10:$C$224,$C249,'TL01'!$J$10:$J$224),0),
IF('TL01'!$B$229=P$3,SUMIF('TL01'!$C$238:$C$451,$C249,'TL01'!$J$238:$J$451),0),
IF('TL02'!$B$3=P$3,SUMIF('TL02'!$C$10:$C$224,$C249,'TL02'!$J$10:$J$224),0),
IF('TL02'!$B$229=P$3,SUMIF('TL02'!$C$238:$C$451,$C249,'TL02'!$J$238:$J$451),0),
IF('TL03'!$B$3=P$3,SUMIF('TL03'!$C$10:$C$224,$C249,'TL03'!$J$10:$J$224),0),
IF('TL03'!$B$229=P$3,SUMIF('TL03'!$C$238:$C$451,$C249,'TL03'!$J$238:$J$451),0),
IF('TL04'!$B$3=P$3,SUMIF('TL04'!$C$10:$C$224,$C249,'TL04'!$J$10:$J$224),0),
IF('TL04'!$B$229=P$3,SUMIF('TL04'!$C$238:$C$451,$C249,'TL04'!$J$238:$J$451),0),
IF('TL05'!$B$3=P$3,SUMIF('TL05'!$C$10:$C$224,$C249,'TL05'!$J$10:$J$224),0),
IF('TL05'!$B$229=P$3,SUMIF('TL05'!$C$238:$C$451,$C249,'TL05'!$J$238:$J$451),0),
IF('TL06'!$B$3=P$3,SUMIF('TL06'!$C$10:$C$224,$C249,'TL06'!$J$10:$J$224),0),
IF('TL06'!$B$229=P$3,SUMIF('TL06'!$C$238:$C$451,$C249,'TL06'!$J$238:$J$451),0),
IF('TL07'!$B$3=P$3,SUMIF('TL07'!$C$10:$C$224,$C249,'TL07'!$J$10:$J$224),0),
IF('TL07'!$B$229=P$3,SUMIF('TL07'!$C$238:$C$451,$C249,'TL07'!$J$238:$J$451),0),
IF('TL08'!$B$3=P$3,SUMIF('TL08'!$C$10:$C$224,$C249,'TL08'!$J$10:$J$224),0),
IF('TL08'!$B$229=P$3,SUMIF('TL08'!$C$238:$C$451,$C249,'TL08'!$J$238:$J$451),0),
IF('TL09'!$B$3=P$3,SUMIF('TL09'!$C$10:$C$224,$C249,'TL09'!$J$10:$J$224),0),
IF('TL09'!$B$229=P$3,SUMIF('TL09'!$C$238:$C$451,$C249,'TL09'!$J$238:$J$451),0),
IF('TL10'!$B$3=P$3,SUMIF('TL10'!$C$10:$C$224,$C249,'TL10'!$J$10:$J$224),0),
IF('TL10'!$B$229=P$3,SUMIF('TL10'!$C$238:$C$451,$C249,'TL10'!$J$238:$J$451),0),
IF('TL11'!$B$3=P$3,SUMIF('TL11'!$C$10:$C$224,$C249,'TL11'!$J$10:$J$224),0),
IF('TL11'!$B$229=P$3,SUMIF('TL11'!$C$238:$C$451,$C249,'TL11'!$J$238:$J$451),0),
IF('TL12'!$B$3=P$3,SUMIF('TL12'!$C$10:$C$224,$C249,'TL12'!$J$10:$J$224),0),
IF('TL12'!$B$229=P$3,SUMIF('TL12'!$C$238:$C$451,$C249,'TL12'!$J$238:$J$451),0),
IF('TL13'!$B$3=P$3,SUMIF('TL13'!$C$10:$C$224,$C249,'TL13'!$J$10:$J$224),0),
IF('TL13'!$B$229=P$3,SUMIF('TL13'!$C$238:$C$451,$C249,'TL13'!$J$238:$J$451),0),
IF('TL14'!$B$3=P$3,SUMIF('TL14'!$C$10:$C$224,$C249,'TL14'!$J$10:$J$224),0),
IF('TL14'!$B$229=P$3,SUMIF('TL14'!$C$238:$C$451,$C249,'TL14'!$J$238:$J$451),0),
IF('TL15'!$B$3=P$3,SUMIF('TL15'!$C$10:$C$224,$C249,'TL15'!$J$10:$J$224),0),
IF('TL15'!$B$229=P$3,SUMIF('TL15'!$C$238:$C$451,$C249,'TL15'!$J$238:$J$451),0),
IF('TL16'!$B$3=P$3,SUMIF('TL16'!$C$10:$C$224,$C249,'TL16'!$J$10:$J$224),0),
IF('TL16'!$B$229=P$3,SUMIF('TL16'!$C$238:$C$451,$C249,'TL16'!$J$238:$J$451),0),
IF('TL17'!$B$3=P$3,SUMIF('TL17'!$C$10:$C$224,$C249,'TL17'!$J$10:$J$224),0),
IF('TL17'!$B$229=P$3,SUMIF('TL17'!$C$238:$C$451,$C249,'TL17'!$J$238:$J$451),0),
IF('TL18'!$B$3=P$3,SUMIF('TL18'!$C$10:$C$224,$C249,'TL18'!$J$10:$J$224),0),
IF('TL18'!$B$229=P$3,SUMIF('TL18'!$C$238:$C$451,$C249,'TL18'!$J$238:$J$451),0),
IF('TL19'!$B$3=P$3,SUMIF('TL19'!$C$10:$C$224,$C249,'TL19'!$J$10:$J$224),0),
IF('TL19'!$B$229=P$3,SUMIF('TL19'!$C$238:$C$451,$C249,'TL19'!$J$238:$J$451),0)
),0)</f>
        <v/>
      </c>
      <c r="Q249" s="9">
        <f>IFERROR(SUM(
IF('TL01'!$B$3=Q$3,SUMIF('TL01'!$C$10:$C$224,$C249,'TL01'!$J$10:$J$224),0),
IF('TL01'!$B$229=Q$3,SUMIF('TL01'!$C$238:$C$451,$C249,'TL01'!$J$238:$J$451),0),
IF('TL02'!$B$3=Q$3,SUMIF('TL02'!$C$10:$C$224,$C249,'TL02'!$J$10:$J$224),0),
IF('TL02'!$B$229=Q$3,SUMIF('TL02'!$C$238:$C$451,$C249,'TL02'!$J$238:$J$451),0),
IF('TL03'!$B$3=Q$3,SUMIF('TL03'!$C$10:$C$224,$C249,'TL03'!$J$10:$J$224),0),
IF('TL03'!$B$229=Q$3,SUMIF('TL03'!$C$238:$C$451,$C249,'TL03'!$J$238:$J$451),0),
IF('TL04'!$B$3=Q$3,SUMIF('TL04'!$C$10:$C$224,$C249,'TL04'!$J$10:$J$224),0),
IF('TL04'!$B$229=Q$3,SUMIF('TL04'!$C$238:$C$451,$C249,'TL04'!$J$238:$J$451),0),
IF('TL05'!$B$3=Q$3,SUMIF('TL05'!$C$10:$C$224,$C249,'TL05'!$J$10:$J$224),0),
IF('TL05'!$B$229=Q$3,SUMIF('TL05'!$C$238:$C$451,$C249,'TL05'!$J$238:$J$451),0),
IF('TL06'!$B$3=Q$3,SUMIF('TL06'!$C$10:$C$224,$C249,'TL06'!$J$10:$J$224),0),
IF('TL06'!$B$229=Q$3,SUMIF('TL06'!$C$238:$C$451,$C249,'TL06'!$J$238:$J$451),0),
IF('TL07'!$B$3=Q$3,SUMIF('TL07'!$C$10:$C$224,$C249,'TL07'!$J$10:$J$224),0),
IF('TL07'!$B$229=Q$3,SUMIF('TL07'!$C$238:$C$451,$C249,'TL07'!$J$238:$J$451),0),
IF('TL08'!$B$3=Q$3,SUMIF('TL08'!$C$10:$C$224,$C249,'TL08'!$J$10:$J$224),0),
IF('TL08'!$B$229=Q$3,SUMIF('TL08'!$C$238:$C$451,$C249,'TL08'!$J$238:$J$451),0),
IF('TL09'!$B$3=Q$3,SUMIF('TL09'!$C$10:$C$224,$C249,'TL09'!$J$10:$J$224),0),
IF('TL09'!$B$229=Q$3,SUMIF('TL09'!$C$238:$C$451,$C249,'TL09'!$J$238:$J$451),0),
IF('TL10'!$B$3=Q$3,SUMIF('TL10'!$C$10:$C$224,$C249,'TL10'!$J$10:$J$224),0),
IF('TL10'!$B$229=Q$3,SUMIF('TL10'!$C$238:$C$451,$C249,'TL10'!$J$238:$J$451),0),
IF('TL11'!$B$3=Q$3,SUMIF('TL11'!$C$10:$C$224,$C249,'TL11'!$J$10:$J$224),0),
IF('TL11'!$B$229=Q$3,SUMIF('TL11'!$C$238:$C$451,$C249,'TL11'!$J$238:$J$451),0),
IF('TL12'!$B$3=Q$3,SUMIF('TL12'!$C$10:$C$224,$C249,'TL12'!$J$10:$J$224),0),
IF('TL12'!$B$229=Q$3,SUMIF('TL12'!$C$238:$C$451,$C249,'TL12'!$J$238:$J$451),0),
IF('TL13'!$B$3=Q$3,SUMIF('TL13'!$C$10:$C$224,$C249,'TL13'!$J$10:$J$224),0),
IF('TL13'!$B$229=Q$3,SUMIF('TL13'!$C$238:$C$451,$C249,'TL13'!$J$238:$J$451),0),
IF('TL14'!$B$3=Q$3,SUMIF('TL14'!$C$10:$C$224,$C249,'TL14'!$J$10:$J$224),0),
IF('TL14'!$B$229=Q$3,SUMIF('TL14'!$C$238:$C$451,$C249,'TL14'!$J$238:$J$451),0),
IF('TL15'!$B$3=Q$3,SUMIF('TL15'!$C$10:$C$224,$C249,'TL15'!$J$10:$J$224),0),
IF('TL15'!$B$229=Q$3,SUMIF('TL15'!$C$238:$C$451,$C249,'TL15'!$J$238:$J$451),0),
IF('TL16'!$B$3=Q$3,SUMIF('TL16'!$C$10:$C$224,$C249,'TL16'!$J$10:$J$224),0),
IF('TL16'!$B$229=Q$3,SUMIF('TL16'!$C$238:$C$451,$C249,'TL16'!$J$238:$J$451),0),
IF('TL17'!$B$3=Q$3,SUMIF('TL17'!$C$10:$C$224,$C249,'TL17'!$J$10:$J$224),0),
IF('TL17'!$B$229=Q$3,SUMIF('TL17'!$C$238:$C$451,$C249,'TL17'!$J$238:$J$451),0),
IF('TL18'!$B$3=Q$3,SUMIF('TL18'!$C$10:$C$224,$C249,'TL18'!$J$10:$J$224),0),
IF('TL18'!$B$229=Q$3,SUMIF('TL18'!$C$238:$C$451,$C249,'TL18'!$J$238:$J$451),0),
IF('TL19'!$B$3=Q$3,SUMIF('TL19'!$C$10:$C$224,$C249,'TL19'!$J$10:$J$224),0),
IF('TL19'!$B$229=Q$3,SUMIF('TL19'!$C$238:$C$451,$C249,'TL19'!$J$238:$J$451),0)
),0)</f>
        <v/>
      </c>
      <c r="R249" s="9">
        <f>IFERROR(
SUM(
SUMIF('TL01'!C:C,C249,'TL01'!J:J),
SUMIF('TL02'!C:C,C249,'TL02'!J:J),
SUMIF('TL03'!C:C,C249,'TL03'!J:J),
SUMIF('TL04'!C:C,C249,'TL04'!J:J),
SUMIF('TL05'!C:C,C249,'TL05'!J:J),
SUMIF('TL06'!C:C,C249,'TL06'!J:J),
SUMIF('TL07'!C:C,C249,'TL07'!J:J),
SUMIF('TL08'!C:C,C249,'TL08'!J:J),
SUMIF('TL09'!C:C,C249,'TL09'!J:J),
SUMIF('TL10'!C:C,C249,'TL10'!J:J),
SUMIF('TL11'!C:C,C249,'TL11'!J:J),
SUMIF('TL12'!C:C,C249,'TL12'!J:J),
SUMIF('TL13'!C:C,C249,'TL13'!J:J),
SUMIF('TL14'!C:C,C249,'TL14'!J:J),
SUMIF('TL15'!C:C,C249,'TL15'!J:J),
SUMIF('TL16'!C:C,C249,'TL16'!J:J),
SUMIF('TL17'!C:C,C249,'TL17'!J:J),
SUMIF('TL18'!C:C,C249,'TL18'!J:J),SUMIF('TL19'!C:C,C249,'TL19'!J:J))
,0)</f>
        <v/>
      </c>
      <c r="S249" s="17">
        <f>IFERROR(__xludf.DUMMYFUNCTION("IFERROR(VLOOKUP(C249,
IMPORTRANGE(""1wULbzX32WdYsx-lj2U3uUNBBe2INVIRDtcK0d-Dvl90"",
""26-27!C:G""),
5,
FALSE),
"""")"),0.0)</f>
        <v/>
      </c>
      <c r="T249" s="9" t="n"/>
      <c r="U249" s="92">
        <f>MAX(0,R249-T249)</f>
        <v/>
      </c>
      <c r="V249" s="93">
        <f>U249*S249</f>
        <v/>
      </c>
    </row>
    <row r="250" hidden="1" ht="15.75" customHeight="1" s="297">
      <c r="A250" s="119" t="inlineStr">
        <is>
          <t>SYNGENTA</t>
        </is>
      </c>
      <c r="B250" s="120" t="inlineStr">
        <is>
          <t>RC</t>
        </is>
      </c>
      <c r="C250" s="119" t="inlineStr">
        <is>
          <t>MODDUS</t>
        </is>
      </c>
      <c r="D250" s="119" t="inlineStr">
        <is>
          <t>TRINEXAPAQUE-ETÍLICO</t>
        </is>
      </c>
      <c r="E250" s="119" t="n">
        <v>250</v>
      </c>
      <c r="F250" s="4" t="n"/>
      <c r="G250" s="90">
        <f>HYPERLINK("https://www.google.com/search?q=" &amp; C250 &amp; "+bula+agrofit+pdf", "📄 Ver bula")</f>
        <v/>
      </c>
      <c r="H250" s="9">
        <f>IFERROR(__xludf.DUMMYFUNCTION("IFERROR(VLOOKUP(C250,
IMPORTRANGE(""1wULbzX32WdYsx-lj2U3uUNBBe2INVIRDtcK0d-Dvl90"",
""26-27!C:K""),
8,
FALSE),
"""")"),"")</f>
        <v/>
      </c>
      <c r="I250" s="121" t="inlineStr">
        <is>
          <t>1x20</t>
        </is>
      </c>
      <c r="J250" s="9">
        <f>IFERROR(SUM(
IF('TL01'!$B$3=J$3,SUMIF('TL01'!$C$10:$C$224,$C250,'TL01'!$J$10:$J$224),0),
IF('TL01'!$B$229=J$3,SUMIF('TL01'!$C$238:$C$451,$C250,'TL01'!$J$238:$J$451),0),
IF('TL02'!$B$3=J$3,SUMIF('TL02'!$C$10:$C$224,$C250,'TL02'!$J$10:$J$224),0),
IF('TL02'!$B$229=J$3,SUMIF('TL02'!$C$238:$C$451,$C250,'TL02'!$J$238:$J$451),0),
IF('TL03'!$B$3=J$3,SUMIF('TL03'!$C$10:$C$224,$C250,'TL03'!$J$10:$J$224),0),
IF('TL03'!$B$229=J$3,SUMIF('TL03'!$C$238:$C$451,$C250,'TL03'!$J$238:$J$451),0),
IF('TL04'!$B$3=J$3,SUMIF('TL04'!$C$10:$C$224,$C250,'TL04'!$J$10:$J$224),0),
IF('TL04'!$B$229=J$3,SUMIF('TL04'!$C$238:$C$451,$C250,'TL04'!$J$238:$J$451),0),
IF('TL05'!$B$3=J$3,SUMIF('TL05'!$C$10:$C$224,$C250,'TL05'!$J$10:$J$224),0),
IF('TL05'!$B$229=J$3,SUMIF('TL05'!$C$238:$C$451,$C250,'TL05'!$J$238:$J$451),0),
IF('TL06'!$B$3=J$3,SUMIF('TL06'!$C$10:$C$224,$C250,'TL06'!$J$10:$J$224),0),
IF('TL06'!$B$229=J$3,SUMIF('TL06'!$C$238:$C$451,$C250,'TL06'!$J$238:$J$451),0),
IF('TL07'!$B$3=J$3,SUMIF('TL07'!$C$10:$C$224,$C250,'TL07'!$J$10:$J$224),0),
IF('TL07'!$B$229=J$3,SUMIF('TL07'!$C$238:$C$451,$C250,'TL07'!$J$238:$J$451),0),
IF('TL08'!$B$3=J$3,SUMIF('TL08'!$C$10:$C$224,$C250,'TL08'!$J$10:$J$224),0),
IF('TL08'!$B$229=J$3,SUMIF('TL08'!$C$238:$C$451,$C250,'TL08'!$J$238:$J$451),0),
IF('TL09'!$B$3=J$3,SUMIF('TL09'!$C$10:$C$224,$C250,'TL09'!$J$10:$J$224),0),
IF('TL09'!$B$229=J$3,SUMIF('TL09'!$C$238:$C$451,$C250,'TL09'!$J$238:$J$451),0),
IF('TL10'!$B$3=J$3,SUMIF('TL10'!$C$10:$C$224,$C250,'TL10'!$J$10:$J$224),0),
IF('TL10'!$B$229=J$3,SUMIF('TL10'!$C$238:$C$451,$C250,'TL10'!$J$238:$J$451),0),
IF('TL11'!$B$3=J$3,SUMIF('TL11'!$C$10:$C$224,$C250,'TL11'!$J$10:$J$224),0),
IF('TL11'!$B$229=J$3,SUMIF('TL11'!$C$238:$C$451,$C250,'TL11'!$J$238:$J$451),0),
IF('TL12'!$B$3=J$3,SUMIF('TL12'!$C$10:$C$224,$C250,'TL12'!$J$10:$J$224),0),
IF('TL12'!$B$229=J$3,SUMIF('TL12'!$C$238:$C$451,$C250,'TL12'!$J$238:$J$451),0),
IF('TL13'!$B$3=J$3,SUMIF('TL13'!$C$10:$C$224,$C250,'TL13'!$J$10:$J$224),0),
IF('TL13'!$B$229=J$3,SUMIF('TL13'!$C$238:$C$451,$C250,'TL13'!$J$238:$J$451),0),
IF('TL14'!$B$3=J$3,SUMIF('TL14'!$C$10:$C$224,$C250,'TL14'!$J$10:$J$224),0),
IF('TL14'!$B$229=J$3,SUMIF('TL14'!$C$238:$C$451,$C250,'TL14'!$J$238:$J$451),0),
IF('TL15'!$B$3=J$3,SUMIF('TL15'!$C$10:$C$224,$C250,'TL15'!$J$10:$J$224),0),
IF('TL15'!$B$229=J$3,SUMIF('TL15'!$C$238:$C$451,$C250,'TL15'!$J$238:$J$451),0),
IF('TL16'!$B$3=J$3,SUMIF('TL16'!$C$10:$C$224,$C250,'TL16'!$J$10:$J$224),0),
IF('TL16'!$B$229=J$3,SUMIF('TL16'!$C$238:$C$451,$C250,'TL16'!$J$238:$J$451),0),
IF('TL17'!$B$3=J$3,SUMIF('TL17'!$C$10:$C$224,$C250,'TL17'!$J$10:$J$224),0),
IF('TL17'!$B$229=J$3,SUMIF('TL17'!$C$238:$C$451,$C250,'TL17'!$J$238:$J$451),0),
IF('TL18'!$B$3=J$3,SUMIF('TL18'!$C$10:$C$224,$C250,'TL18'!$J$10:$J$224),0),
IF('TL18'!$B$229=J$3,SUMIF('TL18'!$C$238:$C$451,$C250,'TL18'!$J$238:$J$451),0),
IF('TL19'!$B$3=J$3,SUMIF('TL19'!$C$10:$C$224,$C250,'TL19'!$J$10:$J$224),0),
IF('TL19'!$B$229=J$3,SUMIF('TL19'!$C$238:$C$451,$C250,'TL19'!$J$238:$J$451),0)
),0)</f>
        <v/>
      </c>
      <c r="K250" s="9">
        <f>IFERROR(SUM(
IF('TL01'!$B$3=K$3,SUMIF('TL01'!$C$10:$C$224,$C250,'TL01'!$J$10:$J$224),0),
IF('TL01'!$B$229=K$3,SUMIF('TL01'!$C$238:$C$451,$C250,'TL01'!$J$238:$J$451),0),
IF('TL02'!$B$3=K$3,SUMIF('TL02'!$C$10:$C$224,$C250,'TL02'!$J$10:$J$224),0),
IF('TL02'!$B$229=K$3,SUMIF('TL02'!$C$238:$C$451,$C250,'TL02'!$J$238:$J$451),0),
IF('TL03'!$B$3=K$3,SUMIF('TL03'!$C$10:$C$224,$C250,'TL03'!$J$10:$J$224),0),
IF('TL03'!$B$229=K$3,SUMIF('TL03'!$C$238:$C$451,$C250,'TL03'!$J$238:$J$451),0),
IF('TL04'!$B$3=K$3,SUMIF('TL04'!$C$10:$C$224,$C250,'TL04'!$J$10:$J$224),0),
IF('TL04'!$B$229=K$3,SUMIF('TL04'!$C$238:$C$451,$C250,'TL04'!$J$238:$J$451),0),
IF('TL05'!$B$3=K$3,SUMIF('TL05'!$C$10:$C$224,$C250,'TL05'!$J$10:$J$224),0),
IF('TL05'!$B$229=K$3,SUMIF('TL05'!$C$238:$C$451,$C250,'TL05'!$J$238:$J$451),0),
IF('TL06'!$B$3=K$3,SUMIF('TL06'!$C$10:$C$224,$C250,'TL06'!$J$10:$J$224),0),
IF('TL06'!$B$229=K$3,SUMIF('TL06'!$C$238:$C$451,$C250,'TL06'!$J$238:$J$451),0),
IF('TL07'!$B$3=K$3,SUMIF('TL07'!$C$10:$C$224,$C250,'TL07'!$J$10:$J$224),0),
IF('TL07'!$B$229=K$3,SUMIF('TL07'!$C$238:$C$451,$C250,'TL07'!$J$238:$J$451),0),
IF('TL08'!$B$3=K$3,SUMIF('TL08'!$C$10:$C$224,$C250,'TL08'!$J$10:$J$224),0),
IF('TL08'!$B$229=K$3,SUMIF('TL08'!$C$238:$C$451,$C250,'TL08'!$J$238:$J$451),0),
IF('TL09'!$B$3=K$3,SUMIF('TL09'!$C$10:$C$224,$C250,'TL09'!$J$10:$J$224),0),
IF('TL09'!$B$229=K$3,SUMIF('TL09'!$C$238:$C$451,$C250,'TL09'!$J$238:$J$451),0),
IF('TL10'!$B$3=K$3,SUMIF('TL10'!$C$10:$C$224,$C250,'TL10'!$J$10:$J$224),0),
IF('TL10'!$B$229=K$3,SUMIF('TL10'!$C$238:$C$451,$C250,'TL10'!$J$238:$J$451),0),
IF('TL11'!$B$3=K$3,SUMIF('TL11'!$C$10:$C$224,$C250,'TL11'!$J$10:$J$224),0),
IF('TL11'!$B$229=K$3,SUMIF('TL11'!$C$238:$C$451,$C250,'TL11'!$J$238:$J$451),0),
IF('TL12'!$B$3=K$3,SUMIF('TL12'!$C$10:$C$224,$C250,'TL12'!$J$10:$J$224),0),
IF('TL12'!$B$229=K$3,SUMIF('TL12'!$C$238:$C$451,$C250,'TL12'!$J$238:$J$451),0),
IF('TL13'!$B$3=K$3,SUMIF('TL13'!$C$10:$C$224,$C250,'TL13'!$J$10:$J$224),0),
IF('TL13'!$B$229=K$3,SUMIF('TL13'!$C$238:$C$451,$C250,'TL13'!$J$238:$J$451),0),
IF('TL14'!$B$3=K$3,SUMIF('TL14'!$C$10:$C$224,$C250,'TL14'!$J$10:$J$224),0),
IF('TL14'!$B$229=K$3,SUMIF('TL14'!$C$238:$C$451,$C250,'TL14'!$J$238:$J$451),0),
IF('TL15'!$B$3=K$3,SUMIF('TL15'!$C$10:$C$224,$C250,'TL15'!$J$10:$J$224),0),
IF('TL15'!$B$229=K$3,SUMIF('TL15'!$C$238:$C$451,$C250,'TL15'!$J$238:$J$451),0),
IF('TL16'!$B$3=K$3,SUMIF('TL16'!$C$10:$C$224,$C250,'TL16'!$J$10:$J$224),0),
IF('TL16'!$B$229=K$3,SUMIF('TL16'!$C$238:$C$451,$C250,'TL16'!$J$238:$J$451),0),
IF('TL17'!$B$3=K$3,SUMIF('TL17'!$C$10:$C$224,$C250,'TL17'!$J$10:$J$224),0),
IF('TL17'!$B$229=K$3,SUMIF('TL17'!$C$238:$C$451,$C250,'TL17'!$J$238:$J$451),0),
IF('TL18'!$B$3=K$3,SUMIF('TL18'!$C$10:$C$224,$C250,'TL18'!$J$10:$J$224),0),
IF('TL18'!$B$229=K$3,SUMIF('TL18'!$C$238:$C$451,$C250,'TL18'!$J$238:$J$451),0),
IF('TL19'!$B$3=K$3,SUMIF('TL19'!$C$10:$C$224,$C250,'TL19'!$J$10:$J$224),0),
IF('TL19'!$B$229=K$3,SUMIF('TL19'!$C$238:$C$451,$C250,'TL19'!$J$238:$J$451),0)
),0)</f>
        <v/>
      </c>
      <c r="L250" s="9">
        <f>IFERROR(SUM(
IF('TL01'!$B$3=L$3,SUMIF('TL01'!$C$10:$C$224,$C250,'TL01'!$J$10:$J$224),0),
IF('TL01'!$B$229=L$3,SUMIF('TL01'!$C$238:$C$451,$C250,'TL01'!$J$238:$J$451),0),
IF('TL02'!$B$3=L$3,SUMIF('TL02'!$C$10:$C$224,$C250,'TL02'!$J$10:$J$224),0),
IF('TL02'!$B$229=L$3,SUMIF('TL02'!$C$238:$C$451,$C250,'TL02'!$J$238:$J$451),0),
IF('TL03'!$B$3=L$3,SUMIF('TL03'!$C$10:$C$224,$C250,'TL03'!$J$10:$J$224),0),
IF('TL03'!$B$229=L$3,SUMIF('TL03'!$C$238:$C$451,$C250,'TL03'!$J$238:$J$451),0),
IF('TL04'!$B$3=L$3,SUMIF('TL04'!$C$10:$C$224,$C250,'TL04'!$J$10:$J$224),0),
IF('TL04'!$B$229=L$3,SUMIF('TL04'!$C$238:$C$451,$C250,'TL04'!$J$238:$J$451),0),
IF('TL05'!$B$3=L$3,SUMIF('TL05'!$C$10:$C$224,$C250,'TL05'!$J$10:$J$224),0),
IF('TL05'!$B$229=L$3,SUMIF('TL05'!$C$238:$C$451,$C250,'TL05'!$J$238:$J$451),0),
IF('TL06'!$B$3=L$3,SUMIF('TL06'!$C$10:$C$224,$C250,'TL06'!$J$10:$J$224),0),
IF('TL06'!$B$229=L$3,SUMIF('TL06'!$C$238:$C$451,$C250,'TL06'!$J$238:$J$451),0),
IF('TL07'!$B$3=L$3,SUMIF('TL07'!$C$10:$C$224,$C250,'TL07'!$J$10:$J$224),0),
IF('TL07'!$B$229=L$3,SUMIF('TL07'!$C$238:$C$451,$C250,'TL07'!$J$238:$J$451),0),
IF('TL08'!$B$3=L$3,SUMIF('TL08'!$C$10:$C$224,$C250,'TL08'!$J$10:$J$224),0),
IF('TL08'!$B$229=L$3,SUMIF('TL08'!$C$238:$C$451,$C250,'TL08'!$J$238:$J$451),0),
IF('TL09'!$B$3=L$3,SUMIF('TL09'!$C$10:$C$224,$C250,'TL09'!$J$10:$J$224),0),
IF('TL09'!$B$229=L$3,SUMIF('TL09'!$C$238:$C$451,$C250,'TL09'!$J$238:$J$451),0),
IF('TL10'!$B$3=L$3,SUMIF('TL10'!$C$10:$C$224,$C250,'TL10'!$J$10:$J$224),0),
IF('TL10'!$B$229=L$3,SUMIF('TL10'!$C$238:$C$451,$C250,'TL10'!$J$238:$J$451),0),
IF('TL11'!$B$3=L$3,SUMIF('TL11'!$C$10:$C$224,$C250,'TL11'!$J$10:$J$224),0),
IF('TL11'!$B$229=L$3,SUMIF('TL11'!$C$238:$C$451,$C250,'TL11'!$J$238:$J$451),0),
IF('TL12'!$B$3=L$3,SUMIF('TL12'!$C$10:$C$224,$C250,'TL12'!$J$10:$J$224),0),
IF('TL12'!$B$229=L$3,SUMIF('TL12'!$C$238:$C$451,$C250,'TL12'!$J$238:$J$451),0),
IF('TL13'!$B$3=L$3,SUMIF('TL13'!$C$10:$C$224,$C250,'TL13'!$J$10:$J$224),0),
IF('TL13'!$B$229=L$3,SUMIF('TL13'!$C$238:$C$451,$C250,'TL13'!$J$238:$J$451),0),
IF('TL14'!$B$3=L$3,SUMIF('TL14'!$C$10:$C$224,$C250,'TL14'!$J$10:$J$224),0),
IF('TL14'!$B$229=L$3,SUMIF('TL14'!$C$238:$C$451,$C250,'TL14'!$J$238:$J$451),0),
IF('TL15'!$B$3=L$3,SUMIF('TL15'!$C$10:$C$224,$C250,'TL15'!$J$10:$J$224),0),
IF('TL15'!$B$229=L$3,SUMIF('TL15'!$C$238:$C$451,$C250,'TL15'!$J$238:$J$451),0),
IF('TL16'!$B$3=L$3,SUMIF('TL16'!$C$10:$C$224,$C250,'TL16'!$J$10:$J$224),0),
IF('TL16'!$B$229=L$3,SUMIF('TL16'!$C$238:$C$451,$C250,'TL16'!$J$238:$J$451),0),
IF('TL17'!$B$3=L$3,SUMIF('TL17'!$C$10:$C$224,$C250,'TL17'!$J$10:$J$224),0),
IF('TL17'!$B$229=L$3,SUMIF('TL17'!$C$238:$C$451,$C250,'TL17'!$J$238:$J$451),0),
IF('TL18'!$B$3=L$3,SUMIF('TL18'!$C$10:$C$224,$C250,'TL18'!$J$10:$J$224),0),
IF('TL18'!$B$229=L$3,SUMIF('TL18'!$C$238:$C$451,$C250,'TL18'!$J$238:$J$451),0),
IF('TL19'!$B$3=L$3,SUMIF('TL19'!$C$10:$C$224,$C250,'TL19'!$J$10:$J$224),0),
IF('TL19'!$B$229=L$3,SUMIF('TL19'!$C$238:$C$451,$C250,'TL19'!$J$238:$J$451),0)
),0)</f>
        <v/>
      </c>
      <c r="M250" s="9">
        <f>IFERROR(SUM(
IF('TL01'!$B$3=M$3,SUMIF('TL01'!$C$10:$C$224,$C250,'TL01'!$J$10:$J$224),0),
IF('TL01'!$B$229=M$3,SUMIF('TL01'!$C$238:$C$451,$C250,'TL01'!$J$238:$J$451),0),
IF('TL02'!$B$3=M$3,SUMIF('TL02'!$C$10:$C$224,$C250,'TL02'!$J$10:$J$224),0),
IF('TL02'!$B$229=M$3,SUMIF('TL02'!$C$238:$C$451,$C250,'TL02'!$J$238:$J$451),0),
IF('TL03'!$B$3=M$3,SUMIF('TL03'!$C$10:$C$224,$C250,'TL03'!$J$10:$J$224),0),
IF('TL03'!$B$229=M$3,SUMIF('TL03'!$C$238:$C$451,$C250,'TL03'!$J$238:$J$451),0),
IF('TL04'!$B$3=M$3,SUMIF('TL04'!$C$10:$C$224,$C250,'TL04'!$J$10:$J$224),0),
IF('TL04'!$B$229=M$3,SUMIF('TL04'!$C$238:$C$451,$C250,'TL04'!$J$238:$J$451),0),
IF('TL05'!$B$3=M$3,SUMIF('TL05'!$C$10:$C$224,$C250,'TL05'!$J$10:$J$224),0),
IF('TL05'!$B$229=M$3,SUMIF('TL05'!$C$238:$C$451,$C250,'TL05'!$J$238:$J$451),0),
IF('TL06'!$B$3=M$3,SUMIF('TL06'!$C$10:$C$224,$C250,'TL06'!$J$10:$J$224),0),
IF('TL06'!$B$229=M$3,SUMIF('TL06'!$C$238:$C$451,$C250,'TL06'!$J$238:$J$451),0),
IF('TL07'!$B$3=M$3,SUMIF('TL07'!$C$10:$C$224,$C250,'TL07'!$J$10:$J$224),0),
IF('TL07'!$B$229=M$3,SUMIF('TL07'!$C$238:$C$451,$C250,'TL07'!$J$238:$J$451),0),
IF('TL08'!$B$3=M$3,SUMIF('TL08'!$C$10:$C$224,$C250,'TL08'!$J$10:$J$224),0),
IF('TL08'!$B$229=M$3,SUMIF('TL08'!$C$238:$C$451,$C250,'TL08'!$J$238:$J$451),0),
IF('TL09'!$B$3=M$3,SUMIF('TL09'!$C$10:$C$224,$C250,'TL09'!$J$10:$J$224),0),
IF('TL09'!$B$229=M$3,SUMIF('TL09'!$C$238:$C$451,$C250,'TL09'!$J$238:$J$451),0),
IF('TL10'!$B$3=M$3,SUMIF('TL10'!$C$10:$C$224,$C250,'TL10'!$J$10:$J$224),0),
IF('TL10'!$B$229=M$3,SUMIF('TL10'!$C$238:$C$451,$C250,'TL10'!$J$238:$J$451),0),
IF('TL11'!$B$3=M$3,SUMIF('TL11'!$C$10:$C$224,$C250,'TL11'!$J$10:$J$224),0),
IF('TL11'!$B$229=M$3,SUMIF('TL11'!$C$238:$C$451,$C250,'TL11'!$J$238:$J$451),0),
IF('TL12'!$B$3=M$3,SUMIF('TL12'!$C$10:$C$224,$C250,'TL12'!$J$10:$J$224),0),
IF('TL12'!$B$229=M$3,SUMIF('TL12'!$C$238:$C$451,$C250,'TL12'!$J$238:$J$451),0),
IF('TL13'!$B$3=M$3,SUMIF('TL13'!$C$10:$C$224,$C250,'TL13'!$J$10:$J$224),0),
IF('TL13'!$B$229=M$3,SUMIF('TL13'!$C$238:$C$451,$C250,'TL13'!$J$238:$J$451),0),
IF('TL14'!$B$3=M$3,SUMIF('TL14'!$C$10:$C$224,$C250,'TL14'!$J$10:$J$224),0),
IF('TL14'!$B$229=M$3,SUMIF('TL14'!$C$238:$C$451,$C250,'TL14'!$J$238:$J$451),0),
IF('TL15'!$B$3=M$3,SUMIF('TL15'!$C$10:$C$224,$C250,'TL15'!$J$10:$J$224),0),
IF('TL15'!$B$229=M$3,SUMIF('TL15'!$C$238:$C$451,$C250,'TL15'!$J$238:$J$451),0),
IF('TL16'!$B$3=M$3,SUMIF('TL16'!$C$10:$C$224,$C250,'TL16'!$J$10:$J$224),0),
IF('TL16'!$B$229=M$3,SUMIF('TL16'!$C$238:$C$451,$C250,'TL16'!$J$238:$J$451),0),
IF('TL17'!$B$3=M$3,SUMIF('TL17'!$C$10:$C$224,$C250,'TL17'!$J$10:$J$224),0),
IF('TL17'!$B$229=M$3,SUMIF('TL17'!$C$238:$C$451,$C250,'TL17'!$J$238:$J$451),0),
IF('TL18'!$B$3=M$3,SUMIF('TL18'!$C$10:$C$224,$C250,'TL18'!$J$10:$J$224),0),
IF('TL18'!$B$229=M$3,SUMIF('TL18'!$C$238:$C$451,$C250,'TL18'!$J$238:$J$451),0),
IF('TL19'!$B$3=M$3,SUMIF('TL19'!$C$10:$C$224,$C250,'TL19'!$J$10:$J$224),0),
IF('TL19'!$B$229=M$3,SUMIF('TL19'!$C$238:$C$451,$C250,'TL19'!$J$238:$J$451),0)
),0)</f>
        <v/>
      </c>
      <c r="N250" s="9">
        <f>IFERROR(SUM(
IF('TL01'!$B$3=N$3,SUMIF('TL01'!$C$10:$C$224,$C250,'TL01'!$J$10:$J$224),0),
IF('TL01'!$B$229=N$3,SUMIF('TL01'!$C$238:$C$451,$C250,'TL01'!$J$238:$J$451),0),
IF('TL02'!$B$3=N$3,SUMIF('TL02'!$C$10:$C$224,$C250,'TL02'!$J$10:$J$224),0),
IF('TL02'!$B$229=N$3,SUMIF('TL02'!$C$238:$C$451,$C250,'TL02'!$J$238:$J$451),0),
IF('TL03'!$B$3=N$3,SUMIF('TL03'!$C$10:$C$224,$C250,'TL03'!$J$10:$J$224),0),
IF('TL03'!$B$229=N$3,SUMIF('TL03'!$C$238:$C$451,$C250,'TL03'!$J$238:$J$451),0),
IF('TL04'!$B$3=N$3,SUMIF('TL04'!$C$10:$C$224,$C250,'TL04'!$J$10:$J$224),0),
IF('TL04'!$B$229=N$3,SUMIF('TL04'!$C$238:$C$451,$C250,'TL04'!$J$238:$J$451),0),
IF('TL05'!$B$3=N$3,SUMIF('TL05'!$C$10:$C$224,$C250,'TL05'!$J$10:$J$224),0),
IF('TL05'!$B$229=N$3,SUMIF('TL05'!$C$238:$C$451,$C250,'TL05'!$J$238:$J$451),0),
IF('TL06'!$B$3=N$3,SUMIF('TL06'!$C$10:$C$224,$C250,'TL06'!$J$10:$J$224),0),
IF('TL06'!$B$229=N$3,SUMIF('TL06'!$C$238:$C$451,$C250,'TL06'!$J$238:$J$451),0),
IF('TL07'!$B$3=N$3,SUMIF('TL07'!$C$10:$C$224,$C250,'TL07'!$J$10:$J$224),0),
IF('TL07'!$B$229=N$3,SUMIF('TL07'!$C$238:$C$451,$C250,'TL07'!$J$238:$J$451),0),
IF('TL08'!$B$3=N$3,SUMIF('TL08'!$C$10:$C$224,$C250,'TL08'!$J$10:$J$224),0),
IF('TL08'!$B$229=N$3,SUMIF('TL08'!$C$238:$C$451,$C250,'TL08'!$J$238:$J$451),0),
IF('TL09'!$B$3=N$3,SUMIF('TL09'!$C$10:$C$224,$C250,'TL09'!$J$10:$J$224),0),
IF('TL09'!$B$229=N$3,SUMIF('TL09'!$C$238:$C$451,$C250,'TL09'!$J$238:$J$451),0),
IF('TL10'!$B$3=N$3,SUMIF('TL10'!$C$10:$C$224,$C250,'TL10'!$J$10:$J$224),0),
IF('TL10'!$B$229=N$3,SUMIF('TL10'!$C$238:$C$451,$C250,'TL10'!$J$238:$J$451),0),
IF('TL11'!$B$3=N$3,SUMIF('TL11'!$C$10:$C$224,$C250,'TL11'!$J$10:$J$224),0),
IF('TL11'!$B$229=N$3,SUMIF('TL11'!$C$238:$C$451,$C250,'TL11'!$J$238:$J$451),0),
IF('TL12'!$B$3=N$3,SUMIF('TL12'!$C$10:$C$224,$C250,'TL12'!$J$10:$J$224),0),
IF('TL12'!$B$229=N$3,SUMIF('TL12'!$C$238:$C$451,$C250,'TL12'!$J$238:$J$451),0),
IF('TL13'!$B$3=N$3,SUMIF('TL13'!$C$10:$C$224,$C250,'TL13'!$J$10:$J$224),0),
IF('TL13'!$B$229=N$3,SUMIF('TL13'!$C$238:$C$451,$C250,'TL13'!$J$238:$J$451),0),
IF('TL14'!$B$3=N$3,SUMIF('TL14'!$C$10:$C$224,$C250,'TL14'!$J$10:$J$224),0),
IF('TL14'!$B$229=N$3,SUMIF('TL14'!$C$238:$C$451,$C250,'TL14'!$J$238:$J$451),0),
IF('TL15'!$B$3=N$3,SUMIF('TL15'!$C$10:$C$224,$C250,'TL15'!$J$10:$J$224),0),
IF('TL15'!$B$229=N$3,SUMIF('TL15'!$C$238:$C$451,$C250,'TL15'!$J$238:$J$451),0),
IF('TL16'!$B$3=N$3,SUMIF('TL16'!$C$10:$C$224,$C250,'TL16'!$J$10:$J$224),0),
IF('TL16'!$B$229=N$3,SUMIF('TL16'!$C$238:$C$451,$C250,'TL16'!$J$238:$J$451),0),
IF('TL17'!$B$3=N$3,SUMIF('TL17'!$C$10:$C$224,$C250,'TL17'!$J$10:$J$224),0),
IF('TL17'!$B$229=N$3,SUMIF('TL17'!$C$238:$C$451,$C250,'TL17'!$J$238:$J$451),0),
IF('TL18'!$B$3=N$3,SUMIF('TL18'!$C$10:$C$224,$C250,'TL18'!$J$10:$J$224),0),
IF('TL18'!$B$229=N$3,SUMIF('TL18'!$C$238:$C$451,$C250,'TL18'!$J$238:$J$451),0),
IF('TL19'!$B$3=N$3,SUMIF('TL19'!$C$10:$C$224,$C250,'TL19'!$J$10:$J$224),0),
IF('TL19'!$B$229=N$3,SUMIF('TL19'!$C$238:$C$451,$C250,'TL19'!$J$238:$J$451),0)
),0)</f>
        <v/>
      </c>
      <c r="O250" s="9">
        <f>IFERROR(SUM(
IF('TL01'!$B$3=O$3,SUMIF('TL01'!$C$10:$C$224,$C250,'TL01'!$J$10:$J$224),0),
IF('TL01'!$B$229=O$3,SUMIF('TL01'!$C$238:$C$451,$C250,'TL01'!$J$238:$J$451),0),
IF('TL02'!$B$3=O$3,SUMIF('TL02'!$C$10:$C$224,$C250,'TL02'!$J$10:$J$224),0),
IF('TL02'!$B$229=O$3,SUMIF('TL02'!$C$238:$C$451,$C250,'TL02'!$J$238:$J$451),0),
IF('TL03'!$B$3=O$3,SUMIF('TL03'!$C$10:$C$224,$C250,'TL03'!$J$10:$J$224),0),
IF('TL03'!$B$229=O$3,SUMIF('TL03'!$C$238:$C$451,$C250,'TL03'!$J$238:$J$451),0),
IF('TL04'!$B$3=O$3,SUMIF('TL04'!$C$10:$C$224,$C250,'TL04'!$J$10:$J$224),0),
IF('TL04'!$B$229=O$3,SUMIF('TL04'!$C$238:$C$451,$C250,'TL04'!$J$238:$J$451),0),
IF('TL05'!$B$3=O$3,SUMIF('TL05'!$C$10:$C$224,$C250,'TL05'!$J$10:$J$224),0),
IF('TL05'!$B$229=O$3,SUMIF('TL05'!$C$238:$C$451,$C250,'TL05'!$J$238:$J$451),0),
IF('TL06'!$B$3=O$3,SUMIF('TL06'!$C$10:$C$224,$C250,'TL06'!$J$10:$J$224),0),
IF('TL06'!$B$229=O$3,SUMIF('TL06'!$C$238:$C$451,$C250,'TL06'!$J$238:$J$451),0),
IF('TL07'!$B$3=O$3,SUMIF('TL07'!$C$10:$C$224,$C250,'TL07'!$J$10:$J$224),0),
IF('TL07'!$B$229=O$3,SUMIF('TL07'!$C$238:$C$451,$C250,'TL07'!$J$238:$J$451),0),
IF('TL08'!$B$3=O$3,SUMIF('TL08'!$C$10:$C$224,$C250,'TL08'!$J$10:$J$224),0),
IF('TL08'!$B$229=O$3,SUMIF('TL08'!$C$238:$C$451,$C250,'TL08'!$J$238:$J$451),0),
IF('TL09'!$B$3=O$3,SUMIF('TL09'!$C$10:$C$224,$C250,'TL09'!$J$10:$J$224),0),
IF('TL09'!$B$229=O$3,SUMIF('TL09'!$C$238:$C$451,$C250,'TL09'!$J$238:$J$451),0),
IF('TL10'!$B$3=O$3,SUMIF('TL10'!$C$10:$C$224,$C250,'TL10'!$J$10:$J$224),0),
IF('TL10'!$B$229=O$3,SUMIF('TL10'!$C$238:$C$451,$C250,'TL10'!$J$238:$J$451),0),
IF('TL11'!$B$3=O$3,SUMIF('TL11'!$C$10:$C$224,$C250,'TL11'!$J$10:$J$224),0),
IF('TL11'!$B$229=O$3,SUMIF('TL11'!$C$238:$C$451,$C250,'TL11'!$J$238:$J$451),0),
IF('TL12'!$B$3=O$3,SUMIF('TL12'!$C$10:$C$224,$C250,'TL12'!$J$10:$J$224),0),
IF('TL12'!$B$229=O$3,SUMIF('TL12'!$C$238:$C$451,$C250,'TL12'!$J$238:$J$451),0),
IF('TL13'!$B$3=O$3,SUMIF('TL13'!$C$10:$C$224,$C250,'TL13'!$J$10:$J$224),0),
IF('TL13'!$B$229=O$3,SUMIF('TL13'!$C$238:$C$451,$C250,'TL13'!$J$238:$J$451),0),
IF('TL14'!$B$3=O$3,SUMIF('TL14'!$C$10:$C$224,$C250,'TL14'!$J$10:$J$224),0),
IF('TL14'!$B$229=O$3,SUMIF('TL14'!$C$238:$C$451,$C250,'TL14'!$J$238:$J$451),0),
IF('TL15'!$B$3=O$3,SUMIF('TL15'!$C$10:$C$224,$C250,'TL15'!$J$10:$J$224),0),
IF('TL15'!$B$229=O$3,SUMIF('TL15'!$C$238:$C$451,$C250,'TL15'!$J$238:$J$451),0),
IF('TL16'!$B$3=O$3,SUMIF('TL16'!$C$10:$C$224,$C250,'TL16'!$J$10:$J$224),0),
IF('TL16'!$B$229=O$3,SUMIF('TL16'!$C$238:$C$451,$C250,'TL16'!$J$238:$J$451),0),
IF('TL17'!$B$3=O$3,SUMIF('TL17'!$C$10:$C$224,$C250,'TL17'!$J$10:$J$224),0),
IF('TL17'!$B$229=O$3,SUMIF('TL17'!$C$238:$C$451,$C250,'TL17'!$J$238:$J$451),0),
IF('TL18'!$B$3=O$3,SUMIF('TL18'!$C$10:$C$224,$C250,'TL18'!$J$10:$J$224),0),
IF('TL18'!$B$229=O$3,SUMIF('TL18'!$C$238:$C$451,$C250,'TL18'!$J$238:$J$451),0),
IF('TL19'!$B$3=O$3,SUMIF('TL19'!$C$10:$C$224,$C250,'TL19'!$J$10:$J$224),0),
IF('TL19'!$B$229=O$3,SUMIF('TL19'!$C$238:$C$451,$C250,'TL19'!$J$238:$J$451),0)
),0)</f>
        <v/>
      </c>
      <c r="P250" s="9">
        <f>IFERROR(SUM(
IF('TL01'!$B$3=P$3,SUMIF('TL01'!$C$10:$C$224,$C250,'TL01'!$J$10:$J$224),0),
IF('TL01'!$B$229=P$3,SUMIF('TL01'!$C$238:$C$451,$C250,'TL01'!$J$238:$J$451),0),
IF('TL02'!$B$3=P$3,SUMIF('TL02'!$C$10:$C$224,$C250,'TL02'!$J$10:$J$224),0),
IF('TL02'!$B$229=P$3,SUMIF('TL02'!$C$238:$C$451,$C250,'TL02'!$J$238:$J$451),0),
IF('TL03'!$B$3=P$3,SUMIF('TL03'!$C$10:$C$224,$C250,'TL03'!$J$10:$J$224),0),
IF('TL03'!$B$229=P$3,SUMIF('TL03'!$C$238:$C$451,$C250,'TL03'!$J$238:$J$451),0),
IF('TL04'!$B$3=P$3,SUMIF('TL04'!$C$10:$C$224,$C250,'TL04'!$J$10:$J$224),0),
IF('TL04'!$B$229=P$3,SUMIF('TL04'!$C$238:$C$451,$C250,'TL04'!$J$238:$J$451),0),
IF('TL05'!$B$3=P$3,SUMIF('TL05'!$C$10:$C$224,$C250,'TL05'!$J$10:$J$224),0),
IF('TL05'!$B$229=P$3,SUMIF('TL05'!$C$238:$C$451,$C250,'TL05'!$J$238:$J$451),0),
IF('TL06'!$B$3=P$3,SUMIF('TL06'!$C$10:$C$224,$C250,'TL06'!$J$10:$J$224),0),
IF('TL06'!$B$229=P$3,SUMIF('TL06'!$C$238:$C$451,$C250,'TL06'!$J$238:$J$451),0),
IF('TL07'!$B$3=P$3,SUMIF('TL07'!$C$10:$C$224,$C250,'TL07'!$J$10:$J$224),0),
IF('TL07'!$B$229=P$3,SUMIF('TL07'!$C$238:$C$451,$C250,'TL07'!$J$238:$J$451),0),
IF('TL08'!$B$3=P$3,SUMIF('TL08'!$C$10:$C$224,$C250,'TL08'!$J$10:$J$224),0),
IF('TL08'!$B$229=P$3,SUMIF('TL08'!$C$238:$C$451,$C250,'TL08'!$J$238:$J$451),0),
IF('TL09'!$B$3=P$3,SUMIF('TL09'!$C$10:$C$224,$C250,'TL09'!$J$10:$J$224),0),
IF('TL09'!$B$229=P$3,SUMIF('TL09'!$C$238:$C$451,$C250,'TL09'!$J$238:$J$451),0),
IF('TL10'!$B$3=P$3,SUMIF('TL10'!$C$10:$C$224,$C250,'TL10'!$J$10:$J$224),0),
IF('TL10'!$B$229=P$3,SUMIF('TL10'!$C$238:$C$451,$C250,'TL10'!$J$238:$J$451),0),
IF('TL11'!$B$3=P$3,SUMIF('TL11'!$C$10:$C$224,$C250,'TL11'!$J$10:$J$224),0),
IF('TL11'!$B$229=P$3,SUMIF('TL11'!$C$238:$C$451,$C250,'TL11'!$J$238:$J$451),0),
IF('TL12'!$B$3=P$3,SUMIF('TL12'!$C$10:$C$224,$C250,'TL12'!$J$10:$J$224),0),
IF('TL12'!$B$229=P$3,SUMIF('TL12'!$C$238:$C$451,$C250,'TL12'!$J$238:$J$451),0),
IF('TL13'!$B$3=P$3,SUMIF('TL13'!$C$10:$C$224,$C250,'TL13'!$J$10:$J$224),0),
IF('TL13'!$B$229=P$3,SUMIF('TL13'!$C$238:$C$451,$C250,'TL13'!$J$238:$J$451),0),
IF('TL14'!$B$3=P$3,SUMIF('TL14'!$C$10:$C$224,$C250,'TL14'!$J$10:$J$224),0),
IF('TL14'!$B$229=P$3,SUMIF('TL14'!$C$238:$C$451,$C250,'TL14'!$J$238:$J$451),0),
IF('TL15'!$B$3=P$3,SUMIF('TL15'!$C$10:$C$224,$C250,'TL15'!$J$10:$J$224),0),
IF('TL15'!$B$229=P$3,SUMIF('TL15'!$C$238:$C$451,$C250,'TL15'!$J$238:$J$451),0),
IF('TL16'!$B$3=P$3,SUMIF('TL16'!$C$10:$C$224,$C250,'TL16'!$J$10:$J$224),0),
IF('TL16'!$B$229=P$3,SUMIF('TL16'!$C$238:$C$451,$C250,'TL16'!$J$238:$J$451),0),
IF('TL17'!$B$3=P$3,SUMIF('TL17'!$C$10:$C$224,$C250,'TL17'!$J$10:$J$224),0),
IF('TL17'!$B$229=P$3,SUMIF('TL17'!$C$238:$C$451,$C250,'TL17'!$J$238:$J$451),0),
IF('TL18'!$B$3=P$3,SUMIF('TL18'!$C$10:$C$224,$C250,'TL18'!$J$10:$J$224),0),
IF('TL18'!$B$229=P$3,SUMIF('TL18'!$C$238:$C$451,$C250,'TL18'!$J$238:$J$451),0),
IF('TL19'!$B$3=P$3,SUMIF('TL19'!$C$10:$C$224,$C250,'TL19'!$J$10:$J$224),0),
IF('TL19'!$B$229=P$3,SUMIF('TL19'!$C$238:$C$451,$C250,'TL19'!$J$238:$J$451),0)
),0)</f>
        <v/>
      </c>
      <c r="Q250" s="9">
        <f>IFERROR(SUM(
IF('TL01'!$B$3=Q$3,SUMIF('TL01'!$C$10:$C$224,$C250,'TL01'!$J$10:$J$224),0),
IF('TL01'!$B$229=Q$3,SUMIF('TL01'!$C$238:$C$451,$C250,'TL01'!$J$238:$J$451),0),
IF('TL02'!$B$3=Q$3,SUMIF('TL02'!$C$10:$C$224,$C250,'TL02'!$J$10:$J$224),0),
IF('TL02'!$B$229=Q$3,SUMIF('TL02'!$C$238:$C$451,$C250,'TL02'!$J$238:$J$451),0),
IF('TL03'!$B$3=Q$3,SUMIF('TL03'!$C$10:$C$224,$C250,'TL03'!$J$10:$J$224),0),
IF('TL03'!$B$229=Q$3,SUMIF('TL03'!$C$238:$C$451,$C250,'TL03'!$J$238:$J$451),0),
IF('TL04'!$B$3=Q$3,SUMIF('TL04'!$C$10:$C$224,$C250,'TL04'!$J$10:$J$224),0),
IF('TL04'!$B$229=Q$3,SUMIF('TL04'!$C$238:$C$451,$C250,'TL04'!$J$238:$J$451),0),
IF('TL05'!$B$3=Q$3,SUMIF('TL05'!$C$10:$C$224,$C250,'TL05'!$J$10:$J$224),0),
IF('TL05'!$B$229=Q$3,SUMIF('TL05'!$C$238:$C$451,$C250,'TL05'!$J$238:$J$451),0),
IF('TL06'!$B$3=Q$3,SUMIF('TL06'!$C$10:$C$224,$C250,'TL06'!$J$10:$J$224),0),
IF('TL06'!$B$229=Q$3,SUMIF('TL06'!$C$238:$C$451,$C250,'TL06'!$J$238:$J$451),0),
IF('TL07'!$B$3=Q$3,SUMIF('TL07'!$C$10:$C$224,$C250,'TL07'!$J$10:$J$224),0),
IF('TL07'!$B$229=Q$3,SUMIF('TL07'!$C$238:$C$451,$C250,'TL07'!$J$238:$J$451),0),
IF('TL08'!$B$3=Q$3,SUMIF('TL08'!$C$10:$C$224,$C250,'TL08'!$J$10:$J$224),0),
IF('TL08'!$B$229=Q$3,SUMIF('TL08'!$C$238:$C$451,$C250,'TL08'!$J$238:$J$451),0),
IF('TL09'!$B$3=Q$3,SUMIF('TL09'!$C$10:$C$224,$C250,'TL09'!$J$10:$J$224),0),
IF('TL09'!$B$229=Q$3,SUMIF('TL09'!$C$238:$C$451,$C250,'TL09'!$J$238:$J$451),0),
IF('TL10'!$B$3=Q$3,SUMIF('TL10'!$C$10:$C$224,$C250,'TL10'!$J$10:$J$224),0),
IF('TL10'!$B$229=Q$3,SUMIF('TL10'!$C$238:$C$451,$C250,'TL10'!$J$238:$J$451),0),
IF('TL11'!$B$3=Q$3,SUMIF('TL11'!$C$10:$C$224,$C250,'TL11'!$J$10:$J$224),0),
IF('TL11'!$B$229=Q$3,SUMIF('TL11'!$C$238:$C$451,$C250,'TL11'!$J$238:$J$451),0),
IF('TL12'!$B$3=Q$3,SUMIF('TL12'!$C$10:$C$224,$C250,'TL12'!$J$10:$J$224),0),
IF('TL12'!$B$229=Q$3,SUMIF('TL12'!$C$238:$C$451,$C250,'TL12'!$J$238:$J$451),0),
IF('TL13'!$B$3=Q$3,SUMIF('TL13'!$C$10:$C$224,$C250,'TL13'!$J$10:$J$224),0),
IF('TL13'!$B$229=Q$3,SUMIF('TL13'!$C$238:$C$451,$C250,'TL13'!$J$238:$J$451),0),
IF('TL14'!$B$3=Q$3,SUMIF('TL14'!$C$10:$C$224,$C250,'TL14'!$J$10:$J$224),0),
IF('TL14'!$B$229=Q$3,SUMIF('TL14'!$C$238:$C$451,$C250,'TL14'!$J$238:$J$451),0),
IF('TL15'!$B$3=Q$3,SUMIF('TL15'!$C$10:$C$224,$C250,'TL15'!$J$10:$J$224),0),
IF('TL15'!$B$229=Q$3,SUMIF('TL15'!$C$238:$C$451,$C250,'TL15'!$J$238:$J$451),0),
IF('TL16'!$B$3=Q$3,SUMIF('TL16'!$C$10:$C$224,$C250,'TL16'!$J$10:$J$224),0),
IF('TL16'!$B$229=Q$3,SUMIF('TL16'!$C$238:$C$451,$C250,'TL16'!$J$238:$J$451),0),
IF('TL17'!$B$3=Q$3,SUMIF('TL17'!$C$10:$C$224,$C250,'TL17'!$J$10:$J$224),0),
IF('TL17'!$B$229=Q$3,SUMIF('TL17'!$C$238:$C$451,$C250,'TL17'!$J$238:$J$451),0),
IF('TL18'!$B$3=Q$3,SUMIF('TL18'!$C$10:$C$224,$C250,'TL18'!$J$10:$J$224),0),
IF('TL18'!$B$229=Q$3,SUMIF('TL18'!$C$238:$C$451,$C250,'TL18'!$J$238:$J$451),0),
IF('TL19'!$B$3=Q$3,SUMIF('TL19'!$C$10:$C$224,$C250,'TL19'!$J$10:$J$224),0),
IF('TL19'!$B$229=Q$3,SUMIF('TL19'!$C$238:$C$451,$C250,'TL19'!$J$238:$J$451),0)
),0)</f>
        <v/>
      </c>
      <c r="R250" s="9">
        <f>IFERROR(
SUM(
SUMIF('TL01'!C:C,C250,'TL01'!J:J),
SUMIF('TL02'!C:C,C250,'TL02'!J:J),
SUMIF('TL03'!C:C,C250,'TL03'!J:J),
SUMIF('TL04'!C:C,C250,'TL04'!J:J),
SUMIF('TL05'!C:C,C250,'TL05'!J:J),
SUMIF('TL06'!C:C,C250,'TL06'!J:J),
SUMIF('TL07'!C:C,C250,'TL07'!J:J),
SUMIF('TL08'!C:C,C250,'TL08'!J:J),
SUMIF('TL09'!C:C,C250,'TL09'!J:J),
SUMIF('TL10'!C:C,C250,'TL10'!J:J),
SUMIF('TL11'!C:C,C250,'TL11'!J:J),
SUMIF('TL12'!C:C,C250,'TL12'!J:J),
SUMIF('TL13'!C:C,C250,'TL13'!J:J),
SUMIF('TL14'!C:C,C250,'TL14'!J:J),
SUMIF('TL15'!C:C,C250,'TL15'!J:J),
SUMIF('TL16'!C:C,C250,'TL16'!J:J),
SUMIF('TL17'!C:C,C250,'TL17'!J:J),
SUMIF('TL18'!C:C,C250,'TL18'!J:J),SUMIF('TL19'!C:C,C250,'TL19'!J:J))
,0)</f>
        <v/>
      </c>
      <c r="S250" s="17">
        <f>IFERROR(__xludf.DUMMYFUNCTION("IFERROR(VLOOKUP(C250,
IMPORTRANGE(""1wULbzX32WdYsx-lj2U3uUNBBe2INVIRDtcK0d-Dvl90"",
""26-27!C:G""),
5,
FALSE),
"""")"),0.0)</f>
        <v/>
      </c>
      <c r="T250" s="9" t="n"/>
      <c r="U250" s="92">
        <f>MAX(0,R250-T250)</f>
        <v/>
      </c>
      <c r="V250" s="93">
        <f>U250*S250</f>
        <v/>
      </c>
    </row>
    <row r="251" hidden="1" ht="15.75" customHeight="1" s="297">
      <c r="A251" s="119" t="inlineStr">
        <is>
          <t>CORTEVA</t>
        </is>
      </c>
      <c r="B251" s="120" t="inlineStr">
        <is>
          <t>NEMATICIDA</t>
        </is>
      </c>
      <c r="C251" s="119" t="inlineStr">
        <is>
          <t>LORMELO</t>
        </is>
      </c>
      <c r="D251" s="119" t="inlineStr">
        <is>
          <t>FLUAZAINDOLIZINE</t>
        </is>
      </c>
      <c r="E251" s="119" t="n">
        <v>500</v>
      </c>
      <c r="F251" s="4" t="inlineStr">
        <is>
          <t>L</t>
        </is>
      </c>
      <c r="G251" s="9" t="n"/>
      <c r="H251" s="9">
        <f>IFERROR(__xludf.DUMMYFUNCTION("IFERROR(VLOOKUP(C251,
IMPORTRANGE(""1wULbzX32WdYsx-lj2U3uUNBBe2INVIRDtcK0d-Dvl90"",
""26-27!C:K""),
8,
FALSE),
"""")"),1.0)</f>
        <v/>
      </c>
      <c r="I251" s="121" t="inlineStr">
        <is>
          <t>4X5</t>
        </is>
      </c>
      <c r="J251" s="9">
        <f>IFERROR(SUM(
IF('TL01'!$B$3=J$3,SUMIF('TL01'!$C$10:$C$224,$C251,'TL01'!$J$10:$J$224),0),
IF('TL01'!$B$229=J$3,SUMIF('TL01'!$C$238:$C$451,$C251,'TL01'!$J$238:$J$451),0),
IF('TL02'!$B$3=J$3,SUMIF('TL02'!$C$10:$C$224,$C251,'TL02'!$J$10:$J$224),0),
IF('TL02'!$B$229=J$3,SUMIF('TL02'!$C$238:$C$451,$C251,'TL02'!$J$238:$J$451),0),
IF('TL03'!$B$3=J$3,SUMIF('TL03'!$C$10:$C$224,$C251,'TL03'!$J$10:$J$224),0),
IF('TL03'!$B$229=J$3,SUMIF('TL03'!$C$238:$C$451,$C251,'TL03'!$J$238:$J$451),0),
IF('TL04'!$B$3=J$3,SUMIF('TL04'!$C$10:$C$224,$C251,'TL04'!$J$10:$J$224),0),
IF('TL04'!$B$229=J$3,SUMIF('TL04'!$C$238:$C$451,$C251,'TL04'!$J$238:$J$451),0),
IF('TL05'!$B$3=J$3,SUMIF('TL05'!$C$10:$C$224,$C251,'TL05'!$J$10:$J$224),0),
IF('TL05'!$B$229=J$3,SUMIF('TL05'!$C$238:$C$451,$C251,'TL05'!$J$238:$J$451),0),
IF('TL06'!$B$3=J$3,SUMIF('TL06'!$C$10:$C$224,$C251,'TL06'!$J$10:$J$224),0),
IF('TL06'!$B$229=J$3,SUMIF('TL06'!$C$238:$C$451,$C251,'TL06'!$J$238:$J$451),0),
IF('TL07'!$B$3=J$3,SUMIF('TL07'!$C$10:$C$224,$C251,'TL07'!$J$10:$J$224),0),
IF('TL07'!$B$229=J$3,SUMIF('TL07'!$C$238:$C$451,$C251,'TL07'!$J$238:$J$451),0),
IF('TL08'!$B$3=J$3,SUMIF('TL08'!$C$10:$C$224,$C251,'TL08'!$J$10:$J$224),0),
IF('TL08'!$B$229=J$3,SUMIF('TL08'!$C$238:$C$451,$C251,'TL08'!$J$238:$J$451),0),
IF('TL09'!$B$3=J$3,SUMIF('TL09'!$C$10:$C$224,$C251,'TL09'!$J$10:$J$224),0),
IF('TL09'!$B$229=J$3,SUMIF('TL09'!$C$238:$C$451,$C251,'TL09'!$J$238:$J$451),0),
IF('TL10'!$B$3=J$3,SUMIF('TL10'!$C$10:$C$224,$C251,'TL10'!$J$10:$J$224),0),
IF('TL10'!$B$229=J$3,SUMIF('TL10'!$C$238:$C$451,$C251,'TL10'!$J$238:$J$451),0),
IF('TL11'!$B$3=J$3,SUMIF('TL11'!$C$10:$C$224,$C251,'TL11'!$J$10:$J$224),0),
IF('TL11'!$B$229=J$3,SUMIF('TL11'!$C$238:$C$451,$C251,'TL11'!$J$238:$J$451),0),
IF('TL12'!$B$3=J$3,SUMIF('TL12'!$C$10:$C$224,$C251,'TL12'!$J$10:$J$224),0),
IF('TL12'!$B$229=J$3,SUMIF('TL12'!$C$238:$C$451,$C251,'TL12'!$J$238:$J$451),0),
IF('TL13'!$B$3=J$3,SUMIF('TL13'!$C$10:$C$224,$C251,'TL13'!$J$10:$J$224),0),
IF('TL13'!$B$229=J$3,SUMIF('TL13'!$C$238:$C$451,$C251,'TL13'!$J$238:$J$451),0),
IF('TL14'!$B$3=J$3,SUMIF('TL14'!$C$10:$C$224,$C251,'TL14'!$J$10:$J$224),0),
IF('TL14'!$B$229=J$3,SUMIF('TL14'!$C$238:$C$451,$C251,'TL14'!$J$238:$J$451),0),
IF('TL15'!$B$3=J$3,SUMIF('TL15'!$C$10:$C$224,$C251,'TL15'!$J$10:$J$224),0),
IF('TL15'!$B$229=J$3,SUMIF('TL15'!$C$238:$C$451,$C251,'TL15'!$J$238:$J$451),0),
IF('TL16'!$B$3=J$3,SUMIF('TL16'!$C$10:$C$224,$C251,'TL16'!$J$10:$J$224),0),
IF('TL16'!$B$229=J$3,SUMIF('TL16'!$C$238:$C$451,$C251,'TL16'!$J$238:$J$451),0),
IF('TL17'!$B$3=J$3,SUMIF('TL17'!$C$10:$C$224,$C251,'TL17'!$J$10:$J$224),0),
IF('TL17'!$B$229=J$3,SUMIF('TL17'!$C$238:$C$451,$C251,'TL17'!$J$238:$J$451),0),
IF('TL18'!$B$3=J$3,SUMIF('TL18'!$C$10:$C$224,$C251,'TL18'!$J$10:$J$224),0),
IF('TL18'!$B$229=J$3,SUMIF('TL18'!$C$238:$C$451,$C251,'TL18'!$J$238:$J$451),0),
IF('TL19'!$B$3=J$3,SUMIF('TL19'!$C$10:$C$224,$C251,'TL19'!$J$10:$J$224),0),
IF('TL19'!$B$229=J$3,SUMIF('TL19'!$C$238:$C$451,$C251,'TL19'!$J$238:$J$451),0)
),0)</f>
        <v/>
      </c>
      <c r="K251" s="9">
        <f>IFERROR(SUM(
IF('TL01'!$B$3=K$3,SUMIF('TL01'!$C$10:$C$224,$C251,'TL01'!$J$10:$J$224),0),
IF('TL01'!$B$229=K$3,SUMIF('TL01'!$C$238:$C$451,$C251,'TL01'!$J$238:$J$451),0),
IF('TL02'!$B$3=K$3,SUMIF('TL02'!$C$10:$C$224,$C251,'TL02'!$J$10:$J$224),0),
IF('TL02'!$B$229=K$3,SUMIF('TL02'!$C$238:$C$451,$C251,'TL02'!$J$238:$J$451),0),
IF('TL03'!$B$3=K$3,SUMIF('TL03'!$C$10:$C$224,$C251,'TL03'!$J$10:$J$224),0),
IF('TL03'!$B$229=K$3,SUMIF('TL03'!$C$238:$C$451,$C251,'TL03'!$J$238:$J$451),0),
IF('TL04'!$B$3=K$3,SUMIF('TL04'!$C$10:$C$224,$C251,'TL04'!$J$10:$J$224),0),
IF('TL04'!$B$229=K$3,SUMIF('TL04'!$C$238:$C$451,$C251,'TL04'!$J$238:$J$451),0),
IF('TL05'!$B$3=K$3,SUMIF('TL05'!$C$10:$C$224,$C251,'TL05'!$J$10:$J$224),0),
IF('TL05'!$B$229=K$3,SUMIF('TL05'!$C$238:$C$451,$C251,'TL05'!$J$238:$J$451),0),
IF('TL06'!$B$3=K$3,SUMIF('TL06'!$C$10:$C$224,$C251,'TL06'!$J$10:$J$224),0),
IF('TL06'!$B$229=K$3,SUMIF('TL06'!$C$238:$C$451,$C251,'TL06'!$J$238:$J$451),0),
IF('TL07'!$B$3=K$3,SUMIF('TL07'!$C$10:$C$224,$C251,'TL07'!$J$10:$J$224),0),
IF('TL07'!$B$229=K$3,SUMIF('TL07'!$C$238:$C$451,$C251,'TL07'!$J$238:$J$451),0),
IF('TL08'!$B$3=K$3,SUMIF('TL08'!$C$10:$C$224,$C251,'TL08'!$J$10:$J$224),0),
IF('TL08'!$B$229=K$3,SUMIF('TL08'!$C$238:$C$451,$C251,'TL08'!$J$238:$J$451),0),
IF('TL09'!$B$3=K$3,SUMIF('TL09'!$C$10:$C$224,$C251,'TL09'!$J$10:$J$224),0),
IF('TL09'!$B$229=K$3,SUMIF('TL09'!$C$238:$C$451,$C251,'TL09'!$J$238:$J$451),0),
IF('TL10'!$B$3=K$3,SUMIF('TL10'!$C$10:$C$224,$C251,'TL10'!$J$10:$J$224),0),
IF('TL10'!$B$229=K$3,SUMIF('TL10'!$C$238:$C$451,$C251,'TL10'!$J$238:$J$451),0),
IF('TL11'!$B$3=K$3,SUMIF('TL11'!$C$10:$C$224,$C251,'TL11'!$J$10:$J$224),0),
IF('TL11'!$B$229=K$3,SUMIF('TL11'!$C$238:$C$451,$C251,'TL11'!$J$238:$J$451),0),
IF('TL12'!$B$3=K$3,SUMIF('TL12'!$C$10:$C$224,$C251,'TL12'!$J$10:$J$224),0),
IF('TL12'!$B$229=K$3,SUMIF('TL12'!$C$238:$C$451,$C251,'TL12'!$J$238:$J$451),0),
IF('TL13'!$B$3=K$3,SUMIF('TL13'!$C$10:$C$224,$C251,'TL13'!$J$10:$J$224),0),
IF('TL13'!$B$229=K$3,SUMIF('TL13'!$C$238:$C$451,$C251,'TL13'!$J$238:$J$451),0),
IF('TL14'!$B$3=K$3,SUMIF('TL14'!$C$10:$C$224,$C251,'TL14'!$J$10:$J$224),0),
IF('TL14'!$B$229=K$3,SUMIF('TL14'!$C$238:$C$451,$C251,'TL14'!$J$238:$J$451),0),
IF('TL15'!$B$3=K$3,SUMIF('TL15'!$C$10:$C$224,$C251,'TL15'!$J$10:$J$224),0),
IF('TL15'!$B$229=K$3,SUMIF('TL15'!$C$238:$C$451,$C251,'TL15'!$J$238:$J$451),0),
IF('TL16'!$B$3=K$3,SUMIF('TL16'!$C$10:$C$224,$C251,'TL16'!$J$10:$J$224),0),
IF('TL16'!$B$229=K$3,SUMIF('TL16'!$C$238:$C$451,$C251,'TL16'!$J$238:$J$451),0),
IF('TL17'!$B$3=K$3,SUMIF('TL17'!$C$10:$C$224,$C251,'TL17'!$J$10:$J$224),0),
IF('TL17'!$B$229=K$3,SUMIF('TL17'!$C$238:$C$451,$C251,'TL17'!$J$238:$J$451),0),
IF('TL18'!$B$3=K$3,SUMIF('TL18'!$C$10:$C$224,$C251,'TL18'!$J$10:$J$224),0),
IF('TL18'!$B$229=K$3,SUMIF('TL18'!$C$238:$C$451,$C251,'TL18'!$J$238:$J$451),0),
IF('TL19'!$B$3=K$3,SUMIF('TL19'!$C$10:$C$224,$C251,'TL19'!$J$10:$J$224),0),
IF('TL19'!$B$229=K$3,SUMIF('TL19'!$C$238:$C$451,$C251,'TL19'!$J$238:$J$451),0)
),0)</f>
        <v/>
      </c>
      <c r="L251" s="9">
        <f>IFERROR(SUM(
IF('TL01'!$B$3=L$3,SUMIF('TL01'!$C$10:$C$224,$C251,'TL01'!$J$10:$J$224),0),
IF('TL01'!$B$229=L$3,SUMIF('TL01'!$C$238:$C$451,$C251,'TL01'!$J$238:$J$451),0),
IF('TL02'!$B$3=L$3,SUMIF('TL02'!$C$10:$C$224,$C251,'TL02'!$J$10:$J$224),0),
IF('TL02'!$B$229=L$3,SUMIF('TL02'!$C$238:$C$451,$C251,'TL02'!$J$238:$J$451),0),
IF('TL03'!$B$3=L$3,SUMIF('TL03'!$C$10:$C$224,$C251,'TL03'!$J$10:$J$224),0),
IF('TL03'!$B$229=L$3,SUMIF('TL03'!$C$238:$C$451,$C251,'TL03'!$J$238:$J$451),0),
IF('TL04'!$B$3=L$3,SUMIF('TL04'!$C$10:$C$224,$C251,'TL04'!$J$10:$J$224),0),
IF('TL04'!$B$229=L$3,SUMIF('TL04'!$C$238:$C$451,$C251,'TL04'!$J$238:$J$451),0),
IF('TL05'!$B$3=L$3,SUMIF('TL05'!$C$10:$C$224,$C251,'TL05'!$J$10:$J$224),0),
IF('TL05'!$B$229=L$3,SUMIF('TL05'!$C$238:$C$451,$C251,'TL05'!$J$238:$J$451),0),
IF('TL06'!$B$3=L$3,SUMIF('TL06'!$C$10:$C$224,$C251,'TL06'!$J$10:$J$224),0),
IF('TL06'!$B$229=L$3,SUMIF('TL06'!$C$238:$C$451,$C251,'TL06'!$J$238:$J$451),0),
IF('TL07'!$B$3=L$3,SUMIF('TL07'!$C$10:$C$224,$C251,'TL07'!$J$10:$J$224),0),
IF('TL07'!$B$229=L$3,SUMIF('TL07'!$C$238:$C$451,$C251,'TL07'!$J$238:$J$451),0),
IF('TL08'!$B$3=L$3,SUMIF('TL08'!$C$10:$C$224,$C251,'TL08'!$J$10:$J$224),0),
IF('TL08'!$B$229=L$3,SUMIF('TL08'!$C$238:$C$451,$C251,'TL08'!$J$238:$J$451),0),
IF('TL09'!$B$3=L$3,SUMIF('TL09'!$C$10:$C$224,$C251,'TL09'!$J$10:$J$224),0),
IF('TL09'!$B$229=L$3,SUMIF('TL09'!$C$238:$C$451,$C251,'TL09'!$J$238:$J$451),0),
IF('TL10'!$B$3=L$3,SUMIF('TL10'!$C$10:$C$224,$C251,'TL10'!$J$10:$J$224),0),
IF('TL10'!$B$229=L$3,SUMIF('TL10'!$C$238:$C$451,$C251,'TL10'!$J$238:$J$451),0),
IF('TL11'!$B$3=L$3,SUMIF('TL11'!$C$10:$C$224,$C251,'TL11'!$J$10:$J$224),0),
IF('TL11'!$B$229=L$3,SUMIF('TL11'!$C$238:$C$451,$C251,'TL11'!$J$238:$J$451),0),
IF('TL12'!$B$3=L$3,SUMIF('TL12'!$C$10:$C$224,$C251,'TL12'!$J$10:$J$224),0),
IF('TL12'!$B$229=L$3,SUMIF('TL12'!$C$238:$C$451,$C251,'TL12'!$J$238:$J$451),0),
IF('TL13'!$B$3=L$3,SUMIF('TL13'!$C$10:$C$224,$C251,'TL13'!$J$10:$J$224),0),
IF('TL13'!$B$229=L$3,SUMIF('TL13'!$C$238:$C$451,$C251,'TL13'!$J$238:$J$451),0),
IF('TL14'!$B$3=L$3,SUMIF('TL14'!$C$10:$C$224,$C251,'TL14'!$J$10:$J$224),0),
IF('TL14'!$B$229=L$3,SUMIF('TL14'!$C$238:$C$451,$C251,'TL14'!$J$238:$J$451),0),
IF('TL15'!$B$3=L$3,SUMIF('TL15'!$C$10:$C$224,$C251,'TL15'!$J$10:$J$224),0),
IF('TL15'!$B$229=L$3,SUMIF('TL15'!$C$238:$C$451,$C251,'TL15'!$J$238:$J$451),0),
IF('TL16'!$B$3=L$3,SUMIF('TL16'!$C$10:$C$224,$C251,'TL16'!$J$10:$J$224),0),
IF('TL16'!$B$229=L$3,SUMIF('TL16'!$C$238:$C$451,$C251,'TL16'!$J$238:$J$451),0),
IF('TL17'!$B$3=L$3,SUMIF('TL17'!$C$10:$C$224,$C251,'TL17'!$J$10:$J$224),0),
IF('TL17'!$B$229=L$3,SUMIF('TL17'!$C$238:$C$451,$C251,'TL17'!$J$238:$J$451),0),
IF('TL18'!$B$3=L$3,SUMIF('TL18'!$C$10:$C$224,$C251,'TL18'!$J$10:$J$224),0),
IF('TL18'!$B$229=L$3,SUMIF('TL18'!$C$238:$C$451,$C251,'TL18'!$J$238:$J$451),0),
IF('TL19'!$B$3=L$3,SUMIF('TL19'!$C$10:$C$224,$C251,'TL19'!$J$10:$J$224),0),
IF('TL19'!$B$229=L$3,SUMIF('TL19'!$C$238:$C$451,$C251,'TL19'!$J$238:$J$451),0)
),0)</f>
        <v/>
      </c>
      <c r="M251" s="9">
        <f>IFERROR(SUM(
IF('TL01'!$B$3=M$3,SUMIF('TL01'!$C$10:$C$224,$C251,'TL01'!$J$10:$J$224),0),
IF('TL01'!$B$229=M$3,SUMIF('TL01'!$C$238:$C$451,$C251,'TL01'!$J$238:$J$451),0),
IF('TL02'!$B$3=M$3,SUMIF('TL02'!$C$10:$C$224,$C251,'TL02'!$J$10:$J$224),0),
IF('TL02'!$B$229=M$3,SUMIF('TL02'!$C$238:$C$451,$C251,'TL02'!$J$238:$J$451),0),
IF('TL03'!$B$3=M$3,SUMIF('TL03'!$C$10:$C$224,$C251,'TL03'!$J$10:$J$224),0),
IF('TL03'!$B$229=M$3,SUMIF('TL03'!$C$238:$C$451,$C251,'TL03'!$J$238:$J$451),0),
IF('TL04'!$B$3=M$3,SUMIF('TL04'!$C$10:$C$224,$C251,'TL04'!$J$10:$J$224),0),
IF('TL04'!$B$229=M$3,SUMIF('TL04'!$C$238:$C$451,$C251,'TL04'!$J$238:$J$451),0),
IF('TL05'!$B$3=M$3,SUMIF('TL05'!$C$10:$C$224,$C251,'TL05'!$J$10:$J$224),0),
IF('TL05'!$B$229=M$3,SUMIF('TL05'!$C$238:$C$451,$C251,'TL05'!$J$238:$J$451),0),
IF('TL06'!$B$3=M$3,SUMIF('TL06'!$C$10:$C$224,$C251,'TL06'!$J$10:$J$224),0),
IF('TL06'!$B$229=M$3,SUMIF('TL06'!$C$238:$C$451,$C251,'TL06'!$J$238:$J$451),0),
IF('TL07'!$B$3=M$3,SUMIF('TL07'!$C$10:$C$224,$C251,'TL07'!$J$10:$J$224),0),
IF('TL07'!$B$229=M$3,SUMIF('TL07'!$C$238:$C$451,$C251,'TL07'!$J$238:$J$451),0),
IF('TL08'!$B$3=M$3,SUMIF('TL08'!$C$10:$C$224,$C251,'TL08'!$J$10:$J$224),0),
IF('TL08'!$B$229=M$3,SUMIF('TL08'!$C$238:$C$451,$C251,'TL08'!$J$238:$J$451),0),
IF('TL09'!$B$3=M$3,SUMIF('TL09'!$C$10:$C$224,$C251,'TL09'!$J$10:$J$224),0),
IF('TL09'!$B$229=M$3,SUMIF('TL09'!$C$238:$C$451,$C251,'TL09'!$J$238:$J$451),0),
IF('TL10'!$B$3=M$3,SUMIF('TL10'!$C$10:$C$224,$C251,'TL10'!$J$10:$J$224),0),
IF('TL10'!$B$229=M$3,SUMIF('TL10'!$C$238:$C$451,$C251,'TL10'!$J$238:$J$451),0),
IF('TL11'!$B$3=M$3,SUMIF('TL11'!$C$10:$C$224,$C251,'TL11'!$J$10:$J$224),0),
IF('TL11'!$B$229=M$3,SUMIF('TL11'!$C$238:$C$451,$C251,'TL11'!$J$238:$J$451),0),
IF('TL12'!$B$3=M$3,SUMIF('TL12'!$C$10:$C$224,$C251,'TL12'!$J$10:$J$224),0),
IF('TL12'!$B$229=M$3,SUMIF('TL12'!$C$238:$C$451,$C251,'TL12'!$J$238:$J$451),0),
IF('TL13'!$B$3=M$3,SUMIF('TL13'!$C$10:$C$224,$C251,'TL13'!$J$10:$J$224),0),
IF('TL13'!$B$229=M$3,SUMIF('TL13'!$C$238:$C$451,$C251,'TL13'!$J$238:$J$451),0),
IF('TL14'!$B$3=M$3,SUMIF('TL14'!$C$10:$C$224,$C251,'TL14'!$J$10:$J$224),0),
IF('TL14'!$B$229=M$3,SUMIF('TL14'!$C$238:$C$451,$C251,'TL14'!$J$238:$J$451),0),
IF('TL15'!$B$3=M$3,SUMIF('TL15'!$C$10:$C$224,$C251,'TL15'!$J$10:$J$224),0),
IF('TL15'!$B$229=M$3,SUMIF('TL15'!$C$238:$C$451,$C251,'TL15'!$J$238:$J$451),0),
IF('TL16'!$B$3=M$3,SUMIF('TL16'!$C$10:$C$224,$C251,'TL16'!$J$10:$J$224),0),
IF('TL16'!$B$229=M$3,SUMIF('TL16'!$C$238:$C$451,$C251,'TL16'!$J$238:$J$451),0),
IF('TL17'!$B$3=M$3,SUMIF('TL17'!$C$10:$C$224,$C251,'TL17'!$J$10:$J$224),0),
IF('TL17'!$B$229=M$3,SUMIF('TL17'!$C$238:$C$451,$C251,'TL17'!$J$238:$J$451),0),
IF('TL18'!$B$3=M$3,SUMIF('TL18'!$C$10:$C$224,$C251,'TL18'!$J$10:$J$224),0),
IF('TL18'!$B$229=M$3,SUMIF('TL18'!$C$238:$C$451,$C251,'TL18'!$J$238:$J$451),0),
IF('TL19'!$B$3=M$3,SUMIF('TL19'!$C$10:$C$224,$C251,'TL19'!$J$10:$J$224),0),
IF('TL19'!$B$229=M$3,SUMIF('TL19'!$C$238:$C$451,$C251,'TL19'!$J$238:$J$451),0)
),0)</f>
        <v/>
      </c>
      <c r="N251" s="9">
        <f>IFERROR(SUM(
IF('TL01'!$B$3=N$3,SUMIF('TL01'!$C$10:$C$224,$C251,'TL01'!$J$10:$J$224),0),
IF('TL01'!$B$229=N$3,SUMIF('TL01'!$C$238:$C$451,$C251,'TL01'!$J$238:$J$451),0),
IF('TL02'!$B$3=N$3,SUMIF('TL02'!$C$10:$C$224,$C251,'TL02'!$J$10:$J$224),0),
IF('TL02'!$B$229=N$3,SUMIF('TL02'!$C$238:$C$451,$C251,'TL02'!$J$238:$J$451),0),
IF('TL03'!$B$3=N$3,SUMIF('TL03'!$C$10:$C$224,$C251,'TL03'!$J$10:$J$224),0),
IF('TL03'!$B$229=N$3,SUMIF('TL03'!$C$238:$C$451,$C251,'TL03'!$J$238:$J$451),0),
IF('TL04'!$B$3=N$3,SUMIF('TL04'!$C$10:$C$224,$C251,'TL04'!$J$10:$J$224),0),
IF('TL04'!$B$229=N$3,SUMIF('TL04'!$C$238:$C$451,$C251,'TL04'!$J$238:$J$451),0),
IF('TL05'!$B$3=N$3,SUMIF('TL05'!$C$10:$C$224,$C251,'TL05'!$J$10:$J$224),0),
IF('TL05'!$B$229=N$3,SUMIF('TL05'!$C$238:$C$451,$C251,'TL05'!$J$238:$J$451),0),
IF('TL06'!$B$3=N$3,SUMIF('TL06'!$C$10:$C$224,$C251,'TL06'!$J$10:$J$224),0),
IF('TL06'!$B$229=N$3,SUMIF('TL06'!$C$238:$C$451,$C251,'TL06'!$J$238:$J$451),0),
IF('TL07'!$B$3=N$3,SUMIF('TL07'!$C$10:$C$224,$C251,'TL07'!$J$10:$J$224),0),
IF('TL07'!$B$229=N$3,SUMIF('TL07'!$C$238:$C$451,$C251,'TL07'!$J$238:$J$451),0),
IF('TL08'!$B$3=N$3,SUMIF('TL08'!$C$10:$C$224,$C251,'TL08'!$J$10:$J$224),0),
IF('TL08'!$B$229=N$3,SUMIF('TL08'!$C$238:$C$451,$C251,'TL08'!$J$238:$J$451),0),
IF('TL09'!$B$3=N$3,SUMIF('TL09'!$C$10:$C$224,$C251,'TL09'!$J$10:$J$224),0),
IF('TL09'!$B$229=N$3,SUMIF('TL09'!$C$238:$C$451,$C251,'TL09'!$J$238:$J$451),0),
IF('TL10'!$B$3=N$3,SUMIF('TL10'!$C$10:$C$224,$C251,'TL10'!$J$10:$J$224),0),
IF('TL10'!$B$229=N$3,SUMIF('TL10'!$C$238:$C$451,$C251,'TL10'!$J$238:$J$451),0),
IF('TL11'!$B$3=N$3,SUMIF('TL11'!$C$10:$C$224,$C251,'TL11'!$J$10:$J$224),0),
IF('TL11'!$B$229=N$3,SUMIF('TL11'!$C$238:$C$451,$C251,'TL11'!$J$238:$J$451),0),
IF('TL12'!$B$3=N$3,SUMIF('TL12'!$C$10:$C$224,$C251,'TL12'!$J$10:$J$224),0),
IF('TL12'!$B$229=N$3,SUMIF('TL12'!$C$238:$C$451,$C251,'TL12'!$J$238:$J$451),0),
IF('TL13'!$B$3=N$3,SUMIF('TL13'!$C$10:$C$224,$C251,'TL13'!$J$10:$J$224),0),
IF('TL13'!$B$229=N$3,SUMIF('TL13'!$C$238:$C$451,$C251,'TL13'!$J$238:$J$451),0),
IF('TL14'!$B$3=N$3,SUMIF('TL14'!$C$10:$C$224,$C251,'TL14'!$J$10:$J$224),0),
IF('TL14'!$B$229=N$3,SUMIF('TL14'!$C$238:$C$451,$C251,'TL14'!$J$238:$J$451),0),
IF('TL15'!$B$3=N$3,SUMIF('TL15'!$C$10:$C$224,$C251,'TL15'!$J$10:$J$224),0),
IF('TL15'!$B$229=N$3,SUMIF('TL15'!$C$238:$C$451,$C251,'TL15'!$J$238:$J$451),0),
IF('TL16'!$B$3=N$3,SUMIF('TL16'!$C$10:$C$224,$C251,'TL16'!$J$10:$J$224),0),
IF('TL16'!$B$229=N$3,SUMIF('TL16'!$C$238:$C$451,$C251,'TL16'!$J$238:$J$451),0),
IF('TL17'!$B$3=N$3,SUMIF('TL17'!$C$10:$C$224,$C251,'TL17'!$J$10:$J$224),0),
IF('TL17'!$B$229=N$3,SUMIF('TL17'!$C$238:$C$451,$C251,'TL17'!$J$238:$J$451),0),
IF('TL18'!$B$3=N$3,SUMIF('TL18'!$C$10:$C$224,$C251,'TL18'!$J$10:$J$224),0),
IF('TL18'!$B$229=N$3,SUMIF('TL18'!$C$238:$C$451,$C251,'TL18'!$J$238:$J$451),0),
IF('TL19'!$B$3=N$3,SUMIF('TL19'!$C$10:$C$224,$C251,'TL19'!$J$10:$J$224),0),
IF('TL19'!$B$229=N$3,SUMIF('TL19'!$C$238:$C$451,$C251,'TL19'!$J$238:$J$451),0)
),0)</f>
        <v/>
      </c>
      <c r="O251" s="9">
        <f>IFERROR(SUM(
IF('TL01'!$B$3=O$3,SUMIF('TL01'!$C$10:$C$224,$C251,'TL01'!$J$10:$J$224),0),
IF('TL01'!$B$229=O$3,SUMIF('TL01'!$C$238:$C$451,$C251,'TL01'!$J$238:$J$451),0),
IF('TL02'!$B$3=O$3,SUMIF('TL02'!$C$10:$C$224,$C251,'TL02'!$J$10:$J$224),0),
IF('TL02'!$B$229=O$3,SUMIF('TL02'!$C$238:$C$451,$C251,'TL02'!$J$238:$J$451),0),
IF('TL03'!$B$3=O$3,SUMIF('TL03'!$C$10:$C$224,$C251,'TL03'!$J$10:$J$224),0),
IF('TL03'!$B$229=O$3,SUMIF('TL03'!$C$238:$C$451,$C251,'TL03'!$J$238:$J$451),0),
IF('TL04'!$B$3=O$3,SUMIF('TL04'!$C$10:$C$224,$C251,'TL04'!$J$10:$J$224),0),
IF('TL04'!$B$229=O$3,SUMIF('TL04'!$C$238:$C$451,$C251,'TL04'!$J$238:$J$451),0),
IF('TL05'!$B$3=O$3,SUMIF('TL05'!$C$10:$C$224,$C251,'TL05'!$J$10:$J$224),0),
IF('TL05'!$B$229=O$3,SUMIF('TL05'!$C$238:$C$451,$C251,'TL05'!$J$238:$J$451),0),
IF('TL06'!$B$3=O$3,SUMIF('TL06'!$C$10:$C$224,$C251,'TL06'!$J$10:$J$224),0),
IF('TL06'!$B$229=O$3,SUMIF('TL06'!$C$238:$C$451,$C251,'TL06'!$J$238:$J$451),0),
IF('TL07'!$B$3=O$3,SUMIF('TL07'!$C$10:$C$224,$C251,'TL07'!$J$10:$J$224),0),
IF('TL07'!$B$229=O$3,SUMIF('TL07'!$C$238:$C$451,$C251,'TL07'!$J$238:$J$451),0),
IF('TL08'!$B$3=O$3,SUMIF('TL08'!$C$10:$C$224,$C251,'TL08'!$J$10:$J$224),0),
IF('TL08'!$B$229=O$3,SUMIF('TL08'!$C$238:$C$451,$C251,'TL08'!$J$238:$J$451),0),
IF('TL09'!$B$3=O$3,SUMIF('TL09'!$C$10:$C$224,$C251,'TL09'!$J$10:$J$224),0),
IF('TL09'!$B$229=O$3,SUMIF('TL09'!$C$238:$C$451,$C251,'TL09'!$J$238:$J$451),0),
IF('TL10'!$B$3=O$3,SUMIF('TL10'!$C$10:$C$224,$C251,'TL10'!$J$10:$J$224),0),
IF('TL10'!$B$229=O$3,SUMIF('TL10'!$C$238:$C$451,$C251,'TL10'!$J$238:$J$451),0),
IF('TL11'!$B$3=O$3,SUMIF('TL11'!$C$10:$C$224,$C251,'TL11'!$J$10:$J$224),0),
IF('TL11'!$B$229=O$3,SUMIF('TL11'!$C$238:$C$451,$C251,'TL11'!$J$238:$J$451),0),
IF('TL12'!$B$3=O$3,SUMIF('TL12'!$C$10:$C$224,$C251,'TL12'!$J$10:$J$224),0),
IF('TL12'!$B$229=O$3,SUMIF('TL12'!$C$238:$C$451,$C251,'TL12'!$J$238:$J$451),0),
IF('TL13'!$B$3=O$3,SUMIF('TL13'!$C$10:$C$224,$C251,'TL13'!$J$10:$J$224),0),
IF('TL13'!$B$229=O$3,SUMIF('TL13'!$C$238:$C$451,$C251,'TL13'!$J$238:$J$451),0),
IF('TL14'!$B$3=O$3,SUMIF('TL14'!$C$10:$C$224,$C251,'TL14'!$J$10:$J$224),0),
IF('TL14'!$B$229=O$3,SUMIF('TL14'!$C$238:$C$451,$C251,'TL14'!$J$238:$J$451),0),
IF('TL15'!$B$3=O$3,SUMIF('TL15'!$C$10:$C$224,$C251,'TL15'!$J$10:$J$224),0),
IF('TL15'!$B$229=O$3,SUMIF('TL15'!$C$238:$C$451,$C251,'TL15'!$J$238:$J$451),0),
IF('TL16'!$B$3=O$3,SUMIF('TL16'!$C$10:$C$224,$C251,'TL16'!$J$10:$J$224),0),
IF('TL16'!$B$229=O$3,SUMIF('TL16'!$C$238:$C$451,$C251,'TL16'!$J$238:$J$451),0),
IF('TL17'!$B$3=O$3,SUMIF('TL17'!$C$10:$C$224,$C251,'TL17'!$J$10:$J$224),0),
IF('TL17'!$B$229=O$3,SUMIF('TL17'!$C$238:$C$451,$C251,'TL17'!$J$238:$J$451),0),
IF('TL18'!$B$3=O$3,SUMIF('TL18'!$C$10:$C$224,$C251,'TL18'!$J$10:$J$224),0),
IF('TL18'!$B$229=O$3,SUMIF('TL18'!$C$238:$C$451,$C251,'TL18'!$J$238:$J$451),0),
IF('TL19'!$B$3=O$3,SUMIF('TL19'!$C$10:$C$224,$C251,'TL19'!$J$10:$J$224),0),
IF('TL19'!$B$229=O$3,SUMIF('TL19'!$C$238:$C$451,$C251,'TL19'!$J$238:$J$451),0)
),0)</f>
        <v/>
      </c>
      <c r="P251" s="9">
        <f>IFERROR(SUM(
IF('TL01'!$B$3=P$3,SUMIF('TL01'!$C$10:$C$224,$C251,'TL01'!$J$10:$J$224),0),
IF('TL01'!$B$229=P$3,SUMIF('TL01'!$C$238:$C$451,$C251,'TL01'!$J$238:$J$451),0),
IF('TL02'!$B$3=P$3,SUMIF('TL02'!$C$10:$C$224,$C251,'TL02'!$J$10:$J$224),0),
IF('TL02'!$B$229=P$3,SUMIF('TL02'!$C$238:$C$451,$C251,'TL02'!$J$238:$J$451),0),
IF('TL03'!$B$3=P$3,SUMIF('TL03'!$C$10:$C$224,$C251,'TL03'!$J$10:$J$224),0),
IF('TL03'!$B$229=P$3,SUMIF('TL03'!$C$238:$C$451,$C251,'TL03'!$J$238:$J$451),0),
IF('TL04'!$B$3=P$3,SUMIF('TL04'!$C$10:$C$224,$C251,'TL04'!$J$10:$J$224),0),
IF('TL04'!$B$229=P$3,SUMIF('TL04'!$C$238:$C$451,$C251,'TL04'!$J$238:$J$451),0),
IF('TL05'!$B$3=P$3,SUMIF('TL05'!$C$10:$C$224,$C251,'TL05'!$J$10:$J$224),0),
IF('TL05'!$B$229=P$3,SUMIF('TL05'!$C$238:$C$451,$C251,'TL05'!$J$238:$J$451),0),
IF('TL06'!$B$3=P$3,SUMIF('TL06'!$C$10:$C$224,$C251,'TL06'!$J$10:$J$224),0),
IF('TL06'!$B$229=P$3,SUMIF('TL06'!$C$238:$C$451,$C251,'TL06'!$J$238:$J$451),0),
IF('TL07'!$B$3=P$3,SUMIF('TL07'!$C$10:$C$224,$C251,'TL07'!$J$10:$J$224),0),
IF('TL07'!$B$229=P$3,SUMIF('TL07'!$C$238:$C$451,$C251,'TL07'!$J$238:$J$451),0),
IF('TL08'!$B$3=P$3,SUMIF('TL08'!$C$10:$C$224,$C251,'TL08'!$J$10:$J$224),0),
IF('TL08'!$B$229=P$3,SUMIF('TL08'!$C$238:$C$451,$C251,'TL08'!$J$238:$J$451),0),
IF('TL09'!$B$3=P$3,SUMIF('TL09'!$C$10:$C$224,$C251,'TL09'!$J$10:$J$224),0),
IF('TL09'!$B$229=P$3,SUMIF('TL09'!$C$238:$C$451,$C251,'TL09'!$J$238:$J$451),0),
IF('TL10'!$B$3=P$3,SUMIF('TL10'!$C$10:$C$224,$C251,'TL10'!$J$10:$J$224),0),
IF('TL10'!$B$229=P$3,SUMIF('TL10'!$C$238:$C$451,$C251,'TL10'!$J$238:$J$451),0),
IF('TL11'!$B$3=P$3,SUMIF('TL11'!$C$10:$C$224,$C251,'TL11'!$J$10:$J$224),0),
IF('TL11'!$B$229=P$3,SUMIF('TL11'!$C$238:$C$451,$C251,'TL11'!$J$238:$J$451),0),
IF('TL12'!$B$3=P$3,SUMIF('TL12'!$C$10:$C$224,$C251,'TL12'!$J$10:$J$224),0),
IF('TL12'!$B$229=P$3,SUMIF('TL12'!$C$238:$C$451,$C251,'TL12'!$J$238:$J$451),0),
IF('TL13'!$B$3=P$3,SUMIF('TL13'!$C$10:$C$224,$C251,'TL13'!$J$10:$J$224),0),
IF('TL13'!$B$229=P$3,SUMIF('TL13'!$C$238:$C$451,$C251,'TL13'!$J$238:$J$451),0),
IF('TL14'!$B$3=P$3,SUMIF('TL14'!$C$10:$C$224,$C251,'TL14'!$J$10:$J$224),0),
IF('TL14'!$B$229=P$3,SUMIF('TL14'!$C$238:$C$451,$C251,'TL14'!$J$238:$J$451),0),
IF('TL15'!$B$3=P$3,SUMIF('TL15'!$C$10:$C$224,$C251,'TL15'!$J$10:$J$224),0),
IF('TL15'!$B$229=P$3,SUMIF('TL15'!$C$238:$C$451,$C251,'TL15'!$J$238:$J$451),0),
IF('TL16'!$B$3=P$3,SUMIF('TL16'!$C$10:$C$224,$C251,'TL16'!$J$10:$J$224),0),
IF('TL16'!$B$229=P$3,SUMIF('TL16'!$C$238:$C$451,$C251,'TL16'!$J$238:$J$451),0),
IF('TL17'!$B$3=P$3,SUMIF('TL17'!$C$10:$C$224,$C251,'TL17'!$J$10:$J$224),0),
IF('TL17'!$B$229=P$3,SUMIF('TL17'!$C$238:$C$451,$C251,'TL17'!$J$238:$J$451),0),
IF('TL18'!$B$3=P$3,SUMIF('TL18'!$C$10:$C$224,$C251,'TL18'!$J$10:$J$224),0),
IF('TL18'!$B$229=P$3,SUMIF('TL18'!$C$238:$C$451,$C251,'TL18'!$J$238:$J$451),0),
IF('TL19'!$B$3=P$3,SUMIF('TL19'!$C$10:$C$224,$C251,'TL19'!$J$10:$J$224),0),
IF('TL19'!$B$229=P$3,SUMIF('TL19'!$C$238:$C$451,$C251,'TL19'!$J$238:$J$451),0)
),0)</f>
        <v/>
      </c>
      <c r="Q251" s="9">
        <f>IFERROR(SUM(
IF('TL01'!$B$3=Q$3,SUMIF('TL01'!$C$10:$C$224,$C251,'TL01'!$J$10:$J$224),0),
IF('TL01'!$B$229=Q$3,SUMIF('TL01'!$C$238:$C$451,$C251,'TL01'!$J$238:$J$451),0),
IF('TL02'!$B$3=Q$3,SUMIF('TL02'!$C$10:$C$224,$C251,'TL02'!$J$10:$J$224),0),
IF('TL02'!$B$229=Q$3,SUMIF('TL02'!$C$238:$C$451,$C251,'TL02'!$J$238:$J$451),0),
IF('TL03'!$B$3=Q$3,SUMIF('TL03'!$C$10:$C$224,$C251,'TL03'!$J$10:$J$224),0),
IF('TL03'!$B$229=Q$3,SUMIF('TL03'!$C$238:$C$451,$C251,'TL03'!$J$238:$J$451),0),
IF('TL04'!$B$3=Q$3,SUMIF('TL04'!$C$10:$C$224,$C251,'TL04'!$J$10:$J$224),0),
IF('TL04'!$B$229=Q$3,SUMIF('TL04'!$C$238:$C$451,$C251,'TL04'!$J$238:$J$451),0),
IF('TL05'!$B$3=Q$3,SUMIF('TL05'!$C$10:$C$224,$C251,'TL05'!$J$10:$J$224),0),
IF('TL05'!$B$229=Q$3,SUMIF('TL05'!$C$238:$C$451,$C251,'TL05'!$J$238:$J$451),0),
IF('TL06'!$B$3=Q$3,SUMIF('TL06'!$C$10:$C$224,$C251,'TL06'!$J$10:$J$224),0),
IF('TL06'!$B$229=Q$3,SUMIF('TL06'!$C$238:$C$451,$C251,'TL06'!$J$238:$J$451),0),
IF('TL07'!$B$3=Q$3,SUMIF('TL07'!$C$10:$C$224,$C251,'TL07'!$J$10:$J$224),0),
IF('TL07'!$B$229=Q$3,SUMIF('TL07'!$C$238:$C$451,$C251,'TL07'!$J$238:$J$451),0),
IF('TL08'!$B$3=Q$3,SUMIF('TL08'!$C$10:$C$224,$C251,'TL08'!$J$10:$J$224),0),
IF('TL08'!$B$229=Q$3,SUMIF('TL08'!$C$238:$C$451,$C251,'TL08'!$J$238:$J$451),0),
IF('TL09'!$B$3=Q$3,SUMIF('TL09'!$C$10:$C$224,$C251,'TL09'!$J$10:$J$224),0),
IF('TL09'!$B$229=Q$3,SUMIF('TL09'!$C$238:$C$451,$C251,'TL09'!$J$238:$J$451),0),
IF('TL10'!$B$3=Q$3,SUMIF('TL10'!$C$10:$C$224,$C251,'TL10'!$J$10:$J$224),0),
IF('TL10'!$B$229=Q$3,SUMIF('TL10'!$C$238:$C$451,$C251,'TL10'!$J$238:$J$451),0),
IF('TL11'!$B$3=Q$3,SUMIF('TL11'!$C$10:$C$224,$C251,'TL11'!$J$10:$J$224),0),
IF('TL11'!$B$229=Q$3,SUMIF('TL11'!$C$238:$C$451,$C251,'TL11'!$J$238:$J$451),0),
IF('TL12'!$B$3=Q$3,SUMIF('TL12'!$C$10:$C$224,$C251,'TL12'!$J$10:$J$224),0),
IF('TL12'!$B$229=Q$3,SUMIF('TL12'!$C$238:$C$451,$C251,'TL12'!$J$238:$J$451),0),
IF('TL13'!$B$3=Q$3,SUMIF('TL13'!$C$10:$C$224,$C251,'TL13'!$J$10:$J$224),0),
IF('TL13'!$B$229=Q$3,SUMIF('TL13'!$C$238:$C$451,$C251,'TL13'!$J$238:$J$451),0),
IF('TL14'!$B$3=Q$3,SUMIF('TL14'!$C$10:$C$224,$C251,'TL14'!$J$10:$J$224),0),
IF('TL14'!$B$229=Q$3,SUMIF('TL14'!$C$238:$C$451,$C251,'TL14'!$J$238:$J$451),0),
IF('TL15'!$B$3=Q$3,SUMIF('TL15'!$C$10:$C$224,$C251,'TL15'!$J$10:$J$224),0),
IF('TL15'!$B$229=Q$3,SUMIF('TL15'!$C$238:$C$451,$C251,'TL15'!$J$238:$J$451),0),
IF('TL16'!$B$3=Q$3,SUMIF('TL16'!$C$10:$C$224,$C251,'TL16'!$J$10:$J$224),0),
IF('TL16'!$B$229=Q$3,SUMIF('TL16'!$C$238:$C$451,$C251,'TL16'!$J$238:$J$451),0),
IF('TL17'!$B$3=Q$3,SUMIF('TL17'!$C$10:$C$224,$C251,'TL17'!$J$10:$J$224),0),
IF('TL17'!$B$229=Q$3,SUMIF('TL17'!$C$238:$C$451,$C251,'TL17'!$J$238:$J$451),0),
IF('TL18'!$B$3=Q$3,SUMIF('TL18'!$C$10:$C$224,$C251,'TL18'!$J$10:$J$224),0),
IF('TL18'!$B$229=Q$3,SUMIF('TL18'!$C$238:$C$451,$C251,'TL18'!$J$238:$J$451),0),
IF('TL19'!$B$3=Q$3,SUMIF('TL19'!$C$10:$C$224,$C251,'TL19'!$J$10:$J$224),0),
IF('TL19'!$B$229=Q$3,SUMIF('TL19'!$C$238:$C$451,$C251,'TL19'!$J$238:$J$451),0)
),0)</f>
        <v/>
      </c>
      <c r="R251" s="9">
        <f>IFERROR(
SUM(
SUMIF('TL01'!C:C,C251,'TL01'!J:J),
SUMIF('TL02'!C:C,C251,'TL02'!J:J),
SUMIF('TL03'!C:C,C251,'TL03'!J:J),
SUMIF('TL04'!C:C,C251,'TL04'!J:J),
SUMIF('TL05'!C:C,C251,'TL05'!J:J),
SUMIF('TL06'!C:C,C251,'TL06'!J:J),
SUMIF('TL07'!C:C,C251,'TL07'!J:J),
SUMIF('TL08'!C:C,C251,'TL08'!J:J),
SUMIF('TL09'!C:C,C251,'TL09'!J:J),
SUMIF('TL10'!C:C,C251,'TL10'!J:J),
SUMIF('TL11'!C:C,C251,'TL11'!J:J),
SUMIF('TL12'!C:C,C251,'TL12'!J:J),
SUMIF('TL13'!C:C,C251,'TL13'!J:J),
SUMIF('TL14'!C:C,C251,'TL14'!J:J),
SUMIF('TL15'!C:C,C251,'TL15'!J:J),
SUMIF('TL16'!C:C,C251,'TL16'!J:J),
SUMIF('TL17'!C:C,C251,'TL17'!J:J),
SUMIF('TL18'!C:C,C251,'TL18'!J:J),SUMIF('TL19'!C:C,C251,'TL19'!J:J))
,0)</f>
        <v/>
      </c>
      <c r="S251" s="17">
        <f>IFERROR(__xludf.DUMMYFUNCTION("IFERROR(VLOOKUP(C251,
IMPORTRANGE(""1wULbzX32WdYsx-lj2U3uUNBBe2INVIRDtcK0d-Dvl90"",
""26-27!C:G""),
5,
FALSE),
"""")"),37.11)</f>
        <v/>
      </c>
      <c r="T251" s="9" t="n"/>
      <c r="U251" s="92">
        <f>MAX(0,R251-T251)</f>
        <v/>
      </c>
      <c r="V251" s="93">
        <f>U251*S251</f>
        <v/>
      </c>
    </row>
    <row r="252" hidden="1" ht="15.75" customHeight="1" s="297">
      <c r="A252" s="122" t="inlineStr">
        <is>
          <t>SYNGENTA</t>
        </is>
      </c>
      <c r="B252" s="124" t="inlineStr">
        <is>
          <t>NUTRIÇÃO</t>
        </is>
      </c>
      <c r="C252" s="122" t="inlineStr">
        <is>
          <t>RADIFARM</t>
        </is>
      </c>
      <c r="D252" s="122" t="inlineStr">
        <is>
          <t>N + K2O + ZN + C (Ascophylllum nodosum)</t>
        </is>
      </c>
      <c r="E252" s="122" t="inlineStr">
        <is>
          <t>36,21 + 96,56 + 1,2 + 120,7
 g/L</t>
        </is>
      </c>
      <c r="F252" s="4" t="inlineStr">
        <is>
          <t>L</t>
        </is>
      </c>
      <c r="G252" s="9" t="n"/>
      <c r="H252" s="9">
        <f>IFERROR(__xludf.DUMMYFUNCTION("IFERROR(VLOOKUP(C252,
IMPORTRANGE(""1wULbzX32WdYsx-lj2U3uUNBBe2INVIRDtcK0d-Dvl90"",
""26-27!C:K""),
8,
FALSE),
"""")"),"")</f>
        <v/>
      </c>
      <c r="I252" s="123" t="n">
        <v>1000</v>
      </c>
      <c r="J252" s="9">
        <f>IFERROR(SUM(
IF('TL01'!$B$3=J$3,SUMIF('TL01'!$C$10:$C$224,$C252,'TL01'!$J$10:$J$224),0),
IF('TL01'!$B$229=J$3,SUMIF('TL01'!$C$238:$C$451,$C252,'TL01'!$J$238:$J$451),0),
IF('TL02'!$B$3=J$3,SUMIF('TL02'!$C$10:$C$224,$C252,'TL02'!$J$10:$J$224),0),
IF('TL02'!$B$229=J$3,SUMIF('TL02'!$C$238:$C$451,$C252,'TL02'!$J$238:$J$451),0),
IF('TL03'!$B$3=J$3,SUMIF('TL03'!$C$10:$C$224,$C252,'TL03'!$J$10:$J$224),0),
IF('TL03'!$B$229=J$3,SUMIF('TL03'!$C$238:$C$451,$C252,'TL03'!$J$238:$J$451),0),
IF('TL04'!$B$3=J$3,SUMIF('TL04'!$C$10:$C$224,$C252,'TL04'!$J$10:$J$224),0),
IF('TL04'!$B$229=J$3,SUMIF('TL04'!$C$238:$C$451,$C252,'TL04'!$J$238:$J$451),0),
IF('TL05'!$B$3=J$3,SUMIF('TL05'!$C$10:$C$224,$C252,'TL05'!$J$10:$J$224),0),
IF('TL05'!$B$229=J$3,SUMIF('TL05'!$C$238:$C$451,$C252,'TL05'!$J$238:$J$451),0),
IF('TL06'!$B$3=J$3,SUMIF('TL06'!$C$10:$C$224,$C252,'TL06'!$J$10:$J$224),0),
IF('TL06'!$B$229=J$3,SUMIF('TL06'!$C$238:$C$451,$C252,'TL06'!$J$238:$J$451),0),
IF('TL07'!$B$3=J$3,SUMIF('TL07'!$C$10:$C$224,$C252,'TL07'!$J$10:$J$224),0),
IF('TL07'!$B$229=J$3,SUMIF('TL07'!$C$238:$C$451,$C252,'TL07'!$J$238:$J$451),0),
IF('TL08'!$B$3=J$3,SUMIF('TL08'!$C$10:$C$224,$C252,'TL08'!$J$10:$J$224),0),
IF('TL08'!$B$229=J$3,SUMIF('TL08'!$C$238:$C$451,$C252,'TL08'!$J$238:$J$451),0),
IF('TL09'!$B$3=J$3,SUMIF('TL09'!$C$10:$C$224,$C252,'TL09'!$J$10:$J$224),0),
IF('TL09'!$B$229=J$3,SUMIF('TL09'!$C$238:$C$451,$C252,'TL09'!$J$238:$J$451),0),
IF('TL10'!$B$3=J$3,SUMIF('TL10'!$C$10:$C$224,$C252,'TL10'!$J$10:$J$224),0),
IF('TL10'!$B$229=J$3,SUMIF('TL10'!$C$238:$C$451,$C252,'TL10'!$J$238:$J$451),0),
IF('TL11'!$B$3=J$3,SUMIF('TL11'!$C$10:$C$224,$C252,'TL11'!$J$10:$J$224),0),
IF('TL11'!$B$229=J$3,SUMIF('TL11'!$C$238:$C$451,$C252,'TL11'!$J$238:$J$451),0),
IF('TL12'!$B$3=J$3,SUMIF('TL12'!$C$10:$C$224,$C252,'TL12'!$J$10:$J$224),0),
IF('TL12'!$B$229=J$3,SUMIF('TL12'!$C$238:$C$451,$C252,'TL12'!$J$238:$J$451),0),
IF('TL13'!$B$3=J$3,SUMIF('TL13'!$C$10:$C$224,$C252,'TL13'!$J$10:$J$224),0),
IF('TL13'!$B$229=J$3,SUMIF('TL13'!$C$238:$C$451,$C252,'TL13'!$J$238:$J$451),0),
IF('TL14'!$B$3=J$3,SUMIF('TL14'!$C$10:$C$224,$C252,'TL14'!$J$10:$J$224),0),
IF('TL14'!$B$229=J$3,SUMIF('TL14'!$C$238:$C$451,$C252,'TL14'!$J$238:$J$451),0),
IF('TL15'!$B$3=J$3,SUMIF('TL15'!$C$10:$C$224,$C252,'TL15'!$J$10:$J$224),0),
IF('TL15'!$B$229=J$3,SUMIF('TL15'!$C$238:$C$451,$C252,'TL15'!$J$238:$J$451),0),
IF('TL16'!$B$3=J$3,SUMIF('TL16'!$C$10:$C$224,$C252,'TL16'!$J$10:$J$224),0),
IF('TL16'!$B$229=J$3,SUMIF('TL16'!$C$238:$C$451,$C252,'TL16'!$J$238:$J$451),0),
IF('TL17'!$B$3=J$3,SUMIF('TL17'!$C$10:$C$224,$C252,'TL17'!$J$10:$J$224),0),
IF('TL17'!$B$229=J$3,SUMIF('TL17'!$C$238:$C$451,$C252,'TL17'!$J$238:$J$451),0),
IF('TL18'!$B$3=J$3,SUMIF('TL18'!$C$10:$C$224,$C252,'TL18'!$J$10:$J$224),0),
IF('TL18'!$B$229=J$3,SUMIF('TL18'!$C$238:$C$451,$C252,'TL18'!$J$238:$J$451),0),
IF('TL19'!$B$3=J$3,SUMIF('TL19'!$C$10:$C$224,$C252,'TL19'!$J$10:$J$224),0),
IF('TL19'!$B$229=J$3,SUMIF('TL19'!$C$238:$C$451,$C252,'TL19'!$J$238:$J$451),0)
),0)</f>
        <v/>
      </c>
      <c r="K252" s="9">
        <f>IFERROR(SUM(
IF('TL01'!$B$3=K$3,SUMIF('TL01'!$C$10:$C$224,$C252,'TL01'!$J$10:$J$224),0),
IF('TL01'!$B$229=K$3,SUMIF('TL01'!$C$238:$C$451,$C252,'TL01'!$J$238:$J$451),0),
IF('TL02'!$B$3=K$3,SUMIF('TL02'!$C$10:$C$224,$C252,'TL02'!$J$10:$J$224),0),
IF('TL02'!$B$229=K$3,SUMIF('TL02'!$C$238:$C$451,$C252,'TL02'!$J$238:$J$451),0),
IF('TL03'!$B$3=K$3,SUMIF('TL03'!$C$10:$C$224,$C252,'TL03'!$J$10:$J$224),0),
IF('TL03'!$B$229=K$3,SUMIF('TL03'!$C$238:$C$451,$C252,'TL03'!$J$238:$J$451),0),
IF('TL04'!$B$3=K$3,SUMIF('TL04'!$C$10:$C$224,$C252,'TL04'!$J$10:$J$224),0),
IF('TL04'!$B$229=K$3,SUMIF('TL04'!$C$238:$C$451,$C252,'TL04'!$J$238:$J$451),0),
IF('TL05'!$B$3=K$3,SUMIF('TL05'!$C$10:$C$224,$C252,'TL05'!$J$10:$J$224),0),
IF('TL05'!$B$229=K$3,SUMIF('TL05'!$C$238:$C$451,$C252,'TL05'!$J$238:$J$451),0),
IF('TL06'!$B$3=K$3,SUMIF('TL06'!$C$10:$C$224,$C252,'TL06'!$J$10:$J$224),0),
IF('TL06'!$B$229=K$3,SUMIF('TL06'!$C$238:$C$451,$C252,'TL06'!$J$238:$J$451),0),
IF('TL07'!$B$3=K$3,SUMIF('TL07'!$C$10:$C$224,$C252,'TL07'!$J$10:$J$224),0),
IF('TL07'!$B$229=K$3,SUMIF('TL07'!$C$238:$C$451,$C252,'TL07'!$J$238:$J$451),0),
IF('TL08'!$B$3=K$3,SUMIF('TL08'!$C$10:$C$224,$C252,'TL08'!$J$10:$J$224),0),
IF('TL08'!$B$229=K$3,SUMIF('TL08'!$C$238:$C$451,$C252,'TL08'!$J$238:$J$451),0),
IF('TL09'!$B$3=K$3,SUMIF('TL09'!$C$10:$C$224,$C252,'TL09'!$J$10:$J$224),0),
IF('TL09'!$B$229=K$3,SUMIF('TL09'!$C$238:$C$451,$C252,'TL09'!$J$238:$J$451),0),
IF('TL10'!$B$3=K$3,SUMIF('TL10'!$C$10:$C$224,$C252,'TL10'!$J$10:$J$224),0),
IF('TL10'!$B$229=K$3,SUMIF('TL10'!$C$238:$C$451,$C252,'TL10'!$J$238:$J$451),0),
IF('TL11'!$B$3=K$3,SUMIF('TL11'!$C$10:$C$224,$C252,'TL11'!$J$10:$J$224),0),
IF('TL11'!$B$229=K$3,SUMIF('TL11'!$C$238:$C$451,$C252,'TL11'!$J$238:$J$451),0),
IF('TL12'!$B$3=K$3,SUMIF('TL12'!$C$10:$C$224,$C252,'TL12'!$J$10:$J$224),0),
IF('TL12'!$B$229=K$3,SUMIF('TL12'!$C$238:$C$451,$C252,'TL12'!$J$238:$J$451),0),
IF('TL13'!$B$3=K$3,SUMIF('TL13'!$C$10:$C$224,$C252,'TL13'!$J$10:$J$224),0),
IF('TL13'!$B$229=K$3,SUMIF('TL13'!$C$238:$C$451,$C252,'TL13'!$J$238:$J$451),0),
IF('TL14'!$B$3=K$3,SUMIF('TL14'!$C$10:$C$224,$C252,'TL14'!$J$10:$J$224),0),
IF('TL14'!$B$229=K$3,SUMIF('TL14'!$C$238:$C$451,$C252,'TL14'!$J$238:$J$451),0),
IF('TL15'!$B$3=K$3,SUMIF('TL15'!$C$10:$C$224,$C252,'TL15'!$J$10:$J$224),0),
IF('TL15'!$B$229=K$3,SUMIF('TL15'!$C$238:$C$451,$C252,'TL15'!$J$238:$J$451),0),
IF('TL16'!$B$3=K$3,SUMIF('TL16'!$C$10:$C$224,$C252,'TL16'!$J$10:$J$224),0),
IF('TL16'!$B$229=K$3,SUMIF('TL16'!$C$238:$C$451,$C252,'TL16'!$J$238:$J$451),0),
IF('TL17'!$B$3=K$3,SUMIF('TL17'!$C$10:$C$224,$C252,'TL17'!$J$10:$J$224),0),
IF('TL17'!$B$229=K$3,SUMIF('TL17'!$C$238:$C$451,$C252,'TL17'!$J$238:$J$451),0),
IF('TL18'!$B$3=K$3,SUMIF('TL18'!$C$10:$C$224,$C252,'TL18'!$J$10:$J$224),0),
IF('TL18'!$B$229=K$3,SUMIF('TL18'!$C$238:$C$451,$C252,'TL18'!$J$238:$J$451),0),
IF('TL19'!$B$3=K$3,SUMIF('TL19'!$C$10:$C$224,$C252,'TL19'!$J$10:$J$224),0),
IF('TL19'!$B$229=K$3,SUMIF('TL19'!$C$238:$C$451,$C252,'TL19'!$J$238:$J$451),0)
),0)</f>
        <v/>
      </c>
      <c r="L252" s="9">
        <f>IFERROR(SUM(
IF('TL01'!$B$3=L$3,SUMIF('TL01'!$C$10:$C$224,$C252,'TL01'!$J$10:$J$224),0),
IF('TL01'!$B$229=L$3,SUMIF('TL01'!$C$238:$C$451,$C252,'TL01'!$J$238:$J$451),0),
IF('TL02'!$B$3=L$3,SUMIF('TL02'!$C$10:$C$224,$C252,'TL02'!$J$10:$J$224),0),
IF('TL02'!$B$229=L$3,SUMIF('TL02'!$C$238:$C$451,$C252,'TL02'!$J$238:$J$451),0),
IF('TL03'!$B$3=L$3,SUMIF('TL03'!$C$10:$C$224,$C252,'TL03'!$J$10:$J$224),0),
IF('TL03'!$B$229=L$3,SUMIF('TL03'!$C$238:$C$451,$C252,'TL03'!$J$238:$J$451),0),
IF('TL04'!$B$3=L$3,SUMIF('TL04'!$C$10:$C$224,$C252,'TL04'!$J$10:$J$224),0),
IF('TL04'!$B$229=L$3,SUMIF('TL04'!$C$238:$C$451,$C252,'TL04'!$J$238:$J$451),0),
IF('TL05'!$B$3=L$3,SUMIF('TL05'!$C$10:$C$224,$C252,'TL05'!$J$10:$J$224),0),
IF('TL05'!$B$229=L$3,SUMIF('TL05'!$C$238:$C$451,$C252,'TL05'!$J$238:$J$451),0),
IF('TL06'!$B$3=L$3,SUMIF('TL06'!$C$10:$C$224,$C252,'TL06'!$J$10:$J$224),0),
IF('TL06'!$B$229=L$3,SUMIF('TL06'!$C$238:$C$451,$C252,'TL06'!$J$238:$J$451),0),
IF('TL07'!$B$3=L$3,SUMIF('TL07'!$C$10:$C$224,$C252,'TL07'!$J$10:$J$224),0),
IF('TL07'!$B$229=L$3,SUMIF('TL07'!$C$238:$C$451,$C252,'TL07'!$J$238:$J$451),0),
IF('TL08'!$B$3=L$3,SUMIF('TL08'!$C$10:$C$224,$C252,'TL08'!$J$10:$J$224),0),
IF('TL08'!$B$229=L$3,SUMIF('TL08'!$C$238:$C$451,$C252,'TL08'!$J$238:$J$451),0),
IF('TL09'!$B$3=L$3,SUMIF('TL09'!$C$10:$C$224,$C252,'TL09'!$J$10:$J$224),0),
IF('TL09'!$B$229=L$3,SUMIF('TL09'!$C$238:$C$451,$C252,'TL09'!$J$238:$J$451),0),
IF('TL10'!$B$3=L$3,SUMIF('TL10'!$C$10:$C$224,$C252,'TL10'!$J$10:$J$224),0),
IF('TL10'!$B$229=L$3,SUMIF('TL10'!$C$238:$C$451,$C252,'TL10'!$J$238:$J$451),0),
IF('TL11'!$B$3=L$3,SUMIF('TL11'!$C$10:$C$224,$C252,'TL11'!$J$10:$J$224),0),
IF('TL11'!$B$229=L$3,SUMIF('TL11'!$C$238:$C$451,$C252,'TL11'!$J$238:$J$451),0),
IF('TL12'!$B$3=L$3,SUMIF('TL12'!$C$10:$C$224,$C252,'TL12'!$J$10:$J$224),0),
IF('TL12'!$B$229=L$3,SUMIF('TL12'!$C$238:$C$451,$C252,'TL12'!$J$238:$J$451),0),
IF('TL13'!$B$3=L$3,SUMIF('TL13'!$C$10:$C$224,$C252,'TL13'!$J$10:$J$224),0),
IF('TL13'!$B$229=L$3,SUMIF('TL13'!$C$238:$C$451,$C252,'TL13'!$J$238:$J$451),0),
IF('TL14'!$B$3=L$3,SUMIF('TL14'!$C$10:$C$224,$C252,'TL14'!$J$10:$J$224),0),
IF('TL14'!$B$229=L$3,SUMIF('TL14'!$C$238:$C$451,$C252,'TL14'!$J$238:$J$451),0),
IF('TL15'!$B$3=L$3,SUMIF('TL15'!$C$10:$C$224,$C252,'TL15'!$J$10:$J$224),0),
IF('TL15'!$B$229=L$3,SUMIF('TL15'!$C$238:$C$451,$C252,'TL15'!$J$238:$J$451),0),
IF('TL16'!$B$3=L$3,SUMIF('TL16'!$C$10:$C$224,$C252,'TL16'!$J$10:$J$224),0),
IF('TL16'!$B$229=L$3,SUMIF('TL16'!$C$238:$C$451,$C252,'TL16'!$J$238:$J$451),0),
IF('TL17'!$B$3=L$3,SUMIF('TL17'!$C$10:$C$224,$C252,'TL17'!$J$10:$J$224),0),
IF('TL17'!$B$229=L$3,SUMIF('TL17'!$C$238:$C$451,$C252,'TL17'!$J$238:$J$451),0),
IF('TL18'!$B$3=L$3,SUMIF('TL18'!$C$10:$C$224,$C252,'TL18'!$J$10:$J$224),0),
IF('TL18'!$B$229=L$3,SUMIF('TL18'!$C$238:$C$451,$C252,'TL18'!$J$238:$J$451),0),
IF('TL19'!$B$3=L$3,SUMIF('TL19'!$C$10:$C$224,$C252,'TL19'!$J$10:$J$224),0),
IF('TL19'!$B$229=L$3,SUMIF('TL19'!$C$238:$C$451,$C252,'TL19'!$J$238:$J$451),0)
),0)</f>
        <v/>
      </c>
      <c r="M252" s="9">
        <f>IFERROR(SUM(
IF('TL01'!$B$3=M$3,SUMIF('TL01'!$C$10:$C$224,$C252,'TL01'!$J$10:$J$224),0),
IF('TL01'!$B$229=M$3,SUMIF('TL01'!$C$238:$C$451,$C252,'TL01'!$J$238:$J$451),0),
IF('TL02'!$B$3=M$3,SUMIF('TL02'!$C$10:$C$224,$C252,'TL02'!$J$10:$J$224),0),
IF('TL02'!$B$229=M$3,SUMIF('TL02'!$C$238:$C$451,$C252,'TL02'!$J$238:$J$451),0),
IF('TL03'!$B$3=M$3,SUMIF('TL03'!$C$10:$C$224,$C252,'TL03'!$J$10:$J$224),0),
IF('TL03'!$B$229=M$3,SUMIF('TL03'!$C$238:$C$451,$C252,'TL03'!$J$238:$J$451),0),
IF('TL04'!$B$3=M$3,SUMIF('TL04'!$C$10:$C$224,$C252,'TL04'!$J$10:$J$224),0),
IF('TL04'!$B$229=M$3,SUMIF('TL04'!$C$238:$C$451,$C252,'TL04'!$J$238:$J$451),0),
IF('TL05'!$B$3=M$3,SUMIF('TL05'!$C$10:$C$224,$C252,'TL05'!$J$10:$J$224),0),
IF('TL05'!$B$229=M$3,SUMIF('TL05'!$C$238:$C$451,$C252,'TL05'!$J$238:$J$451),0),
IF('TL06'!$B$3=M$3,SUMIF('TL06'!$C$10:$C$224,$C252,'TL06'!$J$10:$J$224),0),
IF('TL06'!$B$229=M$3,SUMIF('TL06'!$C$238:$C$451,$C252,'TL06'!$J$238:$J$451),0),
IF('TL07'!$B$3=M$3,SUMIF('TL07'!$C$10:$C$224,$C252,'TL07'!$J$10:$J$224),0),
IF('TL07'!$B$229=M$3,SUMIF('TL07'!$C$238:$C$451,$C252,'TL07'!$J$238:$J$451),0),
IF('TL08'!$B$3=M$3,SUMIF('TL08'!$C$10:$C$224,$C252,'TL08'!$J$10:$J$224),0),
IF('TL08'!$B$229=M$3,SUMIF('TL08'!$C$238:$C$451,$C252,'TL08'!$J$238:$J$451),0),
IF('TL09'!$B$3=M$3,SUMIF('TL09'!$C$10:$C$224,$C252,'TL09'!$J$10:$J$224),0),
IF('TL09'!$B$229=M$3,SUMIF('TL09'!$C$238:$C$451,$C252,'TL09'!$J$238:$J$451),0),
IF('TL10'!$B$3=M$3,SUMIF('TL10'!$C$10:$C$224,$C252,'TL10'!$J$10:$J$224),0),
IF('TL10'!$B$229=M$3,SUMIF('TL10'!$C$238:$C$451,$C252,'TL10'!$J$238:$J$451),0),
IF('TL11'!$B$3=M$3,SUMIF('TL11'!$C$10:$C$224,$C252,'TL11'!$J$10:$J$224),0),
IF('TL11'!$B$229=M$3,SUMIF('TL11'!$C$238:$C$451,$C252,'TL11'!$J$238:$J$451),0),
IF('TL12'!$B$3=M$3,SUMIF('TL12'!$C$10:$C$224,$C252,'TL12'!$J$10:$J$224),0),
IF('TL12'!$B$229=M$3,SUMIF('TL12'!$C$238:$C$451,$C252,'TL12'!$J$238:$J$451),0),
IF('TL13'!$B$3=M$3,SUMIF('TL13'!$C$10:$C$224,$C252,'TL13'!$J$10:$J$224),0),
IF('TL13'!$B$229=M$3,SUMIF('TL13'!$C$238:$C$451,$C252,'TL13'!$J$238:$J$451),0),
IF('TL14'!$B$3=M$3,SUMIF('TL14'!$C$10:$C$224,$C252,'TL14'!$J$10:$J$224),0),
IF('TL14'!$B$229=M$3,SUMIF('TL14'!$C$238:$C$451,$C252,'TL14'!$J$238:$J$451),0),
IF('TL15'!$B$3=M$3,SUMIF('TL15'!$C$10:$C$224,$C252,'TL15'!$J$10:$J$224),0),
IF('TL15'!$B$229=M$3,SUMIF('TL15'!$C$238:$C$451,$C252,'TL15'!$J$238:$J$451),0),
IF('TL16'!$B$3=M$3,SUMIF('TL16'!$C$10:$C$224,$C252,'TL16'!$J$10:$J$224),0),
IF('TL16'!$B$229=M$3,SUMIF('TL16'!$C$238:$C$451,$C252,'TL16'!$J$238:$J$451),0),
IF('TL17'!$B$3=M$3,SUMIF('TL17'!$C$10:$C$224,$C252,'TL17'!$J$10:$J$224),0),
IF('TL17'!$B$229=M$3,SUMIF('TL17'!$C$238:$C$451,$C252,'TL17'!$J$238:$J$451),0),
IF('TL18'!$B$3=M$3,SUMIF('TL18'!$C$10:$C$224,$C252,'TL18'!$J$10:$J$224),0),
IF('TL18'!$B$229=M$3,SUMIF('TL18'!$C$238:$C$451,$C252,'TL18'!$J$238:$J$451),0),
IF('TL19'!$B$3=M$3,SUMIF('TL19'!$C$10:$C$224,$C252,'TL19'!$J$10:$J$224),0),
IF('TL19'!$B$229=M$3,SUMIF('TL19'!$C$238:$C$451,$C252,'TL19'!$J$238:$J$451),0)
),0)</f>
        <v/>
      </c>
      <c r="N252" s="9">
        <f>IFERROR(SUM(
IF('TL01'!$B$3=N$3,SUMIF('TL01'!$C$10:$C$224,$C252,'TL01'!$J$10:$J$224),0),
IF('TL01'!$B$229=N$3,SUMIF('TL01'!$C$238:$C$451,$C252,'TL01'!$J$238:$J$451),0),
IF('TL02'!$B$3=N$3,SUMIF('TL02'!$C$10:$C$224,$C252,'TL02'!$J$10:$J$224),0),
IF('TL02'!$B$229=N$3,SUMIF('TL02'!$C$238:$C$451,$C252,'TL02'!$J$238:$J$451),0),
IF('TL03'!$B$3=N$3,SUMIF('TL03'!$C$10:$C$224,$C252,'TL03'!$J$10:$J$224),0),
IF('TL03'!$B$229=N$3,SUMIF('TL03'!$C$238:$C$451,$C252,'TL03'!$J$238:$J$451),0),
IF('TL04'!$B$3=N$3,SUMIF('TL04'!$C$10:$C$224,$C252,'TL04'!$J$10:$J$224),0),
IF('TL04'!$B$229=N$3,SUMIF('TL04'!$C$238:$C$451,$C252,'TL04'!$J$238:$J$451),0),
IF('TL05'!$B$3=N$3,SUMIF('TL05'!$C$10:$C$224,$C252,'TL05'!$J$10:$J$224),0),
IF('TL05'!$B$229=N$3,SUMIF('TL05'!$C$238:$C$451,$C252,'TL05'!$J$238:$J$451),0),
IF('TL06'!$B$3=N$3,SUMIF('TL06'!$C$10:$C$224,$C252,'TL06'!$J$10:$J$224),0),
IF('TL06'!$B$229=N$3,SUMIF('TL06'!$C$238:$C$451,$C252,'TL06'!$J$238:$J$451),0),
IF('TL07'!$B$3=N$3,SUMIF('TL07'!$C$10:$C$224,$C252,'TL07'!$J$10:$J$224),0),
IF('TL07'!$B$229=N$3,SUMIF('TL07'!$C$238:$C$451,$C252,'TL07'!$J$238:$J$451),0),
IF('TL08'!$B$3=N$3,SUMIF('TL08'!$C$10:$C$224,$C252,'TL08'!$J$10:$J$224),0),
IF('TL08'!$B$229=N$3,SUMIF('TL08'!$C$238:$C$451,$C252,'TL08'!$J$238:$J$451),0),
IF('TL09'!$B$3=N$3,SUMIF('TL09'!$C$10:$C$224,$C252,'TL09'!$J$10:$J$224),0),
IF('TL09'!$B$229=N$3,SUMIF('TL09'!$C$238:$C$451,$C252,'TL09'!$J$238:$J$451),0),
IF('TL10'!$B$3=N$3,SUMIF('TL10'!$C$10:$C$224,$C252,'TL10'!$J$10:$J$224),0),
IF('TL10'!$B$229=N$3,SUMIF('TL10'!$C$238:$C$451,$C252,'TL10'!$J$238:$J$451),0),
IF('TL11'!$B$3=N$3,SUMIF('TL11'!$C$10:$C$224,$C252,'TL11'!$J$10:$J$224),0),
IF('TL11'!$B$229=N$3,SUMIF('TL11'!$C$238:$C$451,$C252,'TL11'!$J$238:$J$451),0),
IF('TL12'!$B$3=N$3,SUMIF('TL12'!$C$10:$C$224,$C252,'TL12'!$J$10:$J$224),0),
IF('TL12'!$B$229=N$3,SUMIF('TL12'!$C$238:$C$451,$C252,'TL12'!$J$238:$J$451),0),
IF('TL13'!$B$3=N$3,SUMIF('TL13'!$C$10:$C$224,$C252,'TL13'!$J$10:$J$224),0),
IF('TL13'!$B$229=N$3,SUMIF('TL13'!$C$238:$C$451,$C252,'TL13'!$J$238:$J$451),0),
IF('TL14'!$B$3=N$3,SUMIF('TL14'!$C$10:$C$224,$C252,'TL14'!$J$10:$J$224),0),
IF('TL14'!$B$229=N$3,SUMIF('TL14'!$C$238:$C$451,$C252,'TL14'!$J$238:$J$451),0),
IF('TL15'!$B$3=N$3,SUMIF('TL15'!$C$10:$C$224,$C252,'TL15'!$J$10:$J$224),0),
IF('TL15'!$B$229=N$3,SUMIF('TL15'!$C$238:$C$451,$C252,'TL15'!$J$238:$J$451),0),
IF('TL16'!$B$3=N$3,SUMIF('TL16'!$C$10:$C$224,$C252,'TL16'!$J$10:$J$224),0),
IF('TL16'!$B$229=N$3,SUMIF('TL16'!$C$238:$C$451,$C252,'TL16'!$J$238:$J$451),0),
IF('TL17'!$B$3=N$3,SUMIF('TL17'!$C$10:$C$224,$C252,'TL17'!$J$10:$J$224),0),
IF('TL17'!$B$229=N$3,SUMIF('TL17'!$C$238:$C$451,$C252,'TL17'!$J$238:$J$451),0),
IF('TL18'!$B$3=N$3,SUMIF('TL18'!$C$10:$C$224,$C252,'TL18'!$J$10:$J$224),0),
IF('TL18'!$B$229=N$3,SUMIF('TL18'!$C$238:$C$451,$C252,'TL18'!$J$238:$J$451),0),
IF('TL19'!$B$3=N$3,SUMIF('TL19'!$C$10:$C$224,$C252,'TL19'!$J$10:$J$224),0),
IF('TL19'!$B$229=N$3,SUMIF('TL19'!$C$238:$C$451,$C252,'TL19'!$J$238:$J$451),0)
),0)</f>
        <v/>
      </c>
      <c r="O252" s="9">
        <f>IFERROR(SUM(
IF('TL01'!$B$3=O$3,SUMIF('TL01'!$C$10:$C$224,$C252,'TL01'!$J$10:$J$224),0),
IF('TL01'!$B$229=O$3,SUMIF('TL01'!$C$238:$C$451,$C252,'TL01'!$J$238:$J$451),0),
IF('TL02'!$B$3=O$3,SUMIF('TL02'!$C$10:$C$224,$C252,'TL02'!$J$10:$J$224),0),
IF('TL02'!$B$229=O$3,SUMIF('TL02'!$C$238:$C$451,$C252,'TL02'!$J$238:$J$451),0),
IF('TL03'!$B$3=O$3,SUMIF('TL03'!$C$10:$C$224,$C252,'TL03'!$J$10:$J$224),0),
IF('TL03'!$B$229=O$3,SUMIF('TL03'!$C$238:$C$451,$C252,'TL03'!$J$238:$J$451),0),
IF('TL04'!$B$3=O$3,SUMIF('TL04'!$C$10:$C$224,$C252,'TL04'!$J$10:$J$224),0),
IF('TL04'!$B$229=O$3,SUMIF('TL04'!$C$238:$C$451,$C252,'TL04'!$J$238:$J$451),0),
IF('TL05'!$B$3=O$3,SUMIF('TL05'!$C$10:$C$224,$C252,'TL05'!$J$10:$J$224),0),
IF('TL05'!$B$229=O$3,SUMIF('TL05'!$C$238:$C$451,$C252,'TL05'!$J$238:$J$451),0),
IF('TL06'!$B$3=O$3,SUMIF('TL06'!$C$10:$C$224,$C252,'TL06'!$J$10:$J$224),0),
IF('TL06'!$B$229=O$3,SUMIF('TL06'!$C$238:$C$451,$C252,'TL06'!$J$238:$J$451),0),
IF('TL07'!$B$3=O$3,SUMIF('TL07'!$C$10:$C$224,$C252,'TL07'!$J$10:$J$224),0),
IF('TL07'!$B$229=O$3,SUMIF('TL07'!$C$238:$C$451,$C252,'TL07'!$J$238:$J$451),0),
IF('TL08'!$B$3=O$3,SUMIF('TL08'!$C$10:$C$224,$C252,'TL08'!$J$10:$J$224),0),
IF('TL08'!$B$229=O$3,SUMIF('TL08'!$C$238:$C$451,$C252,'TL08'!$J$238:$J$451),0),
IF('TL09'!$B$3=O$3,SUMIF('TL09'!$C$10:$C$224,$C252,'TL09'!$J$10:$J$224),0),
IF('TL09'!$B$229=O$3,SUMIF('TL09'!$C$238:$C$451,$C252,'TL09'!$J$238:$J$451),0),
IF('TL10'!$B$3=O$3,SUMIF('TL10'!$C$10:$C$224,$C252,'TL10'!$J$10:$J$224),0),
IF('TL10'!$B$229=O$3,SUMIF('TL10'!$C$238:$C$451,$C252,'TL10'!$J$238:$J$451),0),
IF('TL11'!$B$3=O$3,SUMIF('TL11'!$C$10:$C$224,$C252,'TL11'!$J$10:$J$224),0),
IF('TL11'!$B$229=O$3,SUMIF('TL11'!$C$238:$C$451,$C252,'TL11'!$J$238:$J$451),0),
IF('TL12'!$B$3=O$3,SUMIF('TL12'!$C$10:$C$224,$C252,'TL12'!$J$10:$J$224),0),
IF('TL12'!$B$229=O$3,SUMIF('TL12'!$C$238:$C$451,$C252,'TL12'!$J$238:$J$451),0),
IF('TL13'!$B$3=O$3,SUMIF('TL13'!$C$10:$C$224,$C252,'TL13'!$J$10:$J$224),0),
IF('TL13'!$B$229=O$3,SUMIF('TL13'!$C$238:$C$451,$C252,'TL13'!$J$238:$J$451),0),
IF('TL14'!$B$3=O$3,SUMIF('TL14'!$C$10:$C$224,$C252,'TL14'!$J$10:$J$224),0),
IF('TL14'!$B$229=O$3,SUMIF('TL14'!$C$238:$C$451,$C252,'TL14'!$J$238:$J$451),0),
IF('TL15'!$B$3=O$3,SUMIF('TL15'!$C$10:$C$224,$C252,'TL15'!$J$10:$J$224),0),
IF('TL15'!$B$229=O$3,SUMIF('TL15'!$C$238:$C$451,$C252,'TL15'!$J$238:$J$451),0),
IF('TL16'!$B$3=O$3,SUMIF('TL16'!$C$10:$C$224,$C252,'TL16'!$J$10:$J$224),0),
IF('TL16'!$B$229=O$3,SUMIF('TL16'!$C$238:$C$451,$C252,'TL16'!$J$238:$J$451),0),
IF('TL17'!$B$3=O$3,SUMIF('TL17'!$C$10:$C$224,$C252,'TL17'!$J$10:$J$224),0),
IF('TL17'!$B$229=O$3,SUMIF('TL17'!$C$238:$C$451,$C252,'TL17'!$J$238:$J$451),0),
IF('TL18'!$B$3=O$3,SUMIF('TL18'!$C$10:$C$224,$C252,'TL18'!$J$10:$J$224),0),
IF('TL18'!$B$229=O$3,SUMIF('TL18'!$C$238:$C$451,$C252,'TL18'!$J$238:$J$451),0),
IF('TL19'!$B$3=O$3,SUMIF('TL19'!$C$10:$C$224,$C252,'TL19'!$J$10:$J$224),0),
IF('TL19'!$B$229=O$3,SUMIF('TL19'!$C$238:$C$451,$C252,'TL19'!$J$238:$J$451),0)
),0)</f>
        <v/>
      </c>
      <c r="P252" s="9">
        <f>IFERROR(SUM(
IF('TL01'!$B$3=P$3,SUMIF('TL01'!$C$10:$C$224,$C252,'TL01'!$J$10:$J$224),0),
IF('TL01'!$B$229=P$3,SUMIF('TL01'!$C$238:$C$451,$C252,'TL01'!$J$238:$J$451),0),
IF('TL02'!$B$3=P$3,SUMIF('TL02'!$C$10:$C$224,$C252,'TL02'!$J$10:$J$224),0),
IF('TL02'!$B$229=P$3,SUMIF('TL02'!$C$238:$C$451,$C252,'TL02'!$J$238:$J$451),0),
IF('TL03'!$B$3=P$3,SUMIF('TL03'!$C$10:$C$224,$C252,'TL03'!$J$10:$J$224),0),
IF('TL03'!$B$229=P$3,SUMIF('TL03'!$C$238:$C$451,$C252,'TL03'!$J$238:$J$451),0),
IF('TL04'!$B$3=P$3,SUMIF('TL04'!$C$10:$C$224,$C252,'TL04'!$J$10:$J$224),0),
IF('TL04'!$B$229=P$3,SUMIF('TL04'!$C$238:$C$451,$C252,'TL04'!$J$238:$J$451),0),
IF('TL05'!$B$3=P$3,SUMIF('TL05'!$C$10:$C$224,$C252,'TL05'!$J$10:$J$224),0),
IF('TL05'!$B$229=P$3,SUMIF('TL05'!$C$238:$C$451,$C252,'TL05'!$J$238:$J$451),0),
IF('TL06'!$B$3=P$3,SUMIF('TL06'!$C$10:$C$224,$C252,'TL06'!$J$10:$J$224),0),
IF('TL06'!$B$229=P$3,SUMIF('TL06'!$C$238:$C$451,$C252,'TL06'!$J$238:$J$451),0),
IF('TL07'!$B$3=P$3,SUMIF('TL07'!$C$10:$C$224,$C252,'TL07'!$J$10:$J$224),0),
IF('TL07'!$B$229=P$3,SUMIF('TL07'!$C$238:$C$451,$C252,'TL07'!$J$238:$J$451),0),
IF('TL08'!$B$3=P$3,SUMIF('TL08'!$C$10:$C$224,$C252,'TL08'!$J$10:$J$224),0),
IF('TL08'!$B$229=P$3,SUMIF('TL08'!$C$238:$C$451,$C252,'TL08'!$J$238:$J$451),0),
IF('TL09'!$B$3=P$3,SUMIF('TL09'!$C$10:$C$224,$C252,'TL09'!$J$10:$J$224),0),
IF('TL09'!$B$229=P$3,SUMIF('TL09'!$C$238:$C$451,$C252,'TL09'!$J$238:$J$451),0),
IF('TL10'!$B$3=P$3,SUMIF('TL10'!$C$10:$C$224,$C252,'TL10'!$J$10:$J$224),0),
IF('TL10'!$B$229=P$3,SUMIF('TL10'!$C$238:$C$451,$C252,'TL10'!$J$238:$J$451),0),
IF('TL11'!$B$3=P$3,SUMIF('TL11'!$C$10:$C$224,$C252,'TL11'!$J$10:$J$224),0),
IF('TL11'!$B$229=P$3,SUMIF('TL11'!$C$238:$C$451,$C252,'TL11'!$J$238:$J$451),0),
IF('TL12'!$B$3=P$3,SUMIF('TL12'!$C$10:$C$224,$C252,'TL12'!$J$10:$J$224),0),
IF('TL12'!$B$229=P$3,SUMIF('TL12'!$C$238:$C$451,$C252,'TL12'!$J$238:$J$451),0),
IF('TL13'!$B$3=P$3,SUMIF('TL13'!$C$10:$C$224,$C252,'TL13'!$J$10:$J$224),0),
IF('TL13'!$B$229=P$3,SUMIF('TL13'!$C$238:$C$451,$C252,'TL13'!$J$238:$J$451),0),
IF('TL14'!$B$3=P$3,SUMIF('TL14'!$C$10:$C$224,$C252,'TL14'!$J$10:$J$224),0),
IF('TL14'!$B$229=P$3,SUMIF('TL14'!$C$238:$C$451,$C252,'TL14'!$J$238:$J$451),0),
IF('TL15'!$B$3=P$3,SUMIF('TL15'!$C$10:$C$224,$C252,'TL15'!$J$10:$J$224),0),
IF('TL15'!$B$229=P$3,SUMIF('TL15'!$C$238:$C$451,$C252,'TL15'!$J$238:$J$451),0),
IF('TL16'!$B$3=P$3,SUMIF('TL16'!$C$10:$C$224,$C252,'TL16'!$J$10:$J$224),0),
IF('TL16'!$B$229=P$3,SUMIF('TL16'!$C$238:$C$451,$C252,'TL16'!$J$238:$J$451),0),
IF('TL17'!$B$3=P$3,SUMIF('TL17'!$C$10:$C$224,$C252,'TL17'!$J$10:$J$224),0),
IF('TL17'!$B$229=P$3,SUMIF('TL17'!$C$238:$C$451,$C252,'TL17'!$J$238:$J$451),0),
IF('TL18'!$B$3=P$3,SUMIF('TL18'!$C$10:$C$224,$C252,'TL18'!$J$10:$J$224),0),
IF('TL18'!$B$229=P$3,SUMIF('TL18'!$C$238:$C$451,$C252,'TL18'!$J$238:$J$451),0),
IF('TL19'!$B$3=P$3,SUMIF('TL19'!$C$10:$C$224,$C252,'TL19'!$J$10:$J$224),0),
IF('TL19'!$B$229=P$3,SUMIF('TL19'!$C$238:$C$451,$C252,'TL19'!$J$238:$J$451),0)
),0)</f>
        <v/>
      </c>
      <c r="Q252" s="9">
        <f>IFERROR(SUM(
IF('TL01'!$B$3=Q$3,SUMIF('TL01'!$C$10:$C$224,$C252,'TL01'!$J$10:$J$224),0),
IF('TL01'!$B$229=Q$3,SUMIF('TL01'!$C$238:$C$451,$C252,'TL01'!$J$238:$J$451),0),
IF('TL02'!$B$3=Q$3,SUMIF('TL02'!$C$10:$C$224,$C252,'TL02'!$J$10:$J$224),0),
IF('TL02'!$B$229=Q$3,SUMIF('TL02'!$C$238:$C$451,$C252,'TL02'!$J$238:$J$451),0),
IF('TL03'!$B$3=Q$3,SUMIF('TL03'!$C$10:$C$224,$C252,'TL03'!$J$10:$J$224),0),
IF('TL03'!$B$229=Q$3,SUMIF('TL03'!$C$238:$C$451,$C252,'TL03'!$J$238:$J$451),0),
IF('TL04'!$B$3=Q$3,SUMIF('TL04'!$C$10:$C$224,$C252,'TL04'!$J$10:$J$224),0),
IF('TL04'!$B$229=Q$3,SUMIF('TL04'!$C$238:$C$451,$C252,'TL04'!$J$238:$J$451),0),
IF('TL05'!$B$3=Q$3,SUMIF('TL05'!$C$10:$C$224,$C252,'TL05'!$J$10:$J$224),0),
IF('TL05'!$B$229=Q$3,SUMIF('TL05'!$C$238:$C$451,$C252,'TL05'!$J$238:$J$451),0),
IF('TL06'!$B$3=Q$3,SUMIF('TL06'!$C$10:$C$224,$C252,'TL06'!$J$10:$J$224),0),
IF('TL06'!$B$229=Q$3,SUMIF('TL06'!$C$238:$C$451,$C252,'TL06'!$J$238:$J$451),0),
IF('TL07'!$B$3=Q$3,SUMIF('TL07'!$C$10:$C$224,$C252,'TL07'!$J$10:$J$224),0),
IF('TL07'!$B$229=Q$3,SUMIF('TL07'!$C$238:$C$451,$C252,'TL07'!$J$238:$J$451),0),
IF('TL08'!$B$3=Q$3,SUMIF('TL08'!$C$10:$C$224,$C252,'TL08'!$J$10:$J$224),0),
IF('TL08'!$B$229=Q$3,SUMIF('TL08'!$C$238:$C$451,$C252,'TL08'!$J$238:$J$451),0),
IF('TL09'!$B$3=Q$3,SUMIF('TL09'!$C$10:$C$224,$C252,'TL09'!$J$10:$J$224),0),
IF('TL09'!$B$229=Q$3,SUMIF('TL09'!$C$238:$C$451,$C252,'TL09'!$J$238:$J$451),0),
IF('TL10'!$B$3=Q$3,SUMIF('TL10'!$C$10:$C$224,$C252,'TL10'!$J$10:$J$224),0),
IF('TL10'!$B$229=Q$3,SUMIF('TL10'!$C$238:$C$451,$C252,'TL10'!$J$238:$J$451),0),
IF('TL11'!$B$3=Q$3,SUMIF('TL11'!$C$10:$C$224,$C252,'TL11'!$J$10:$J$224),0),
IF('TL11'!$B$229=Q$3,SUMIF('TL11'!$C$238:$C$451,$C252,'TL11'!$J$238:$J$451),0),
IF('TL12'!$B$3=Q$3,SUMIF('TL12'!$C$10:$C$224,$C252,'TL12'!$J$10:$J$224),0),
IF('TL12'!$B$229=Q$3,SUMIF('TL12'!$C$238:$C$451,$C252,'TL12'!$J$238:$J$451),0),
IF('TL13'!$B$3=Q$3,SUMIF('TL13'!$C$10:$C$224,$C252,'TL13'!$J$10:$J$224),0),
IF('TL13'!$B$229=Q$3,SUMIF('TL13'!$C$238:$C$451,$C252,'TL13'!$J$238:$J$451),0),
IF('TL14'!$B$3=Q$3,SUMIF('TL14'!$C$10:$C$224,$C252,'TL14'!$J$10:$J$224),0),
IF('TL14'!$B$229=Q$3,SUMIF('TL14'!$C$238:$C$451,$C252,'TL14'!$J$238:$J$451),0),
IF('TL15'!$B$3=Q$3,SUMIF('TL15'!$C$10:$C$224,$C252,'TL15'!$J$10:$J$224),0),
IF('TL15'!$B$229=Q$3,SUMIF('TL15'!$C$238:$C$451,$C252,'TL15'!$J$238:$J$451),0),
IF('TL16'!$B$3=Q$3,SUMIF('TL16'!$C$10:$C$224,$C252,'TL16'!$J$10:$J$224),0),
IF('TL16'!$B$229=Q$3,SUMIF('TL16'!$C$238:$C$451,$C252,'TL16'!$J$238:$J$451),0),
IF('TL17'!$B$3=Q$3,SUMIF('TL17'!$C$10:$C$224,$C252,'TL17'!$J$10:$J$224),0),
IF('TL17'!$B$229=Q$3,SUMIF('TL17'!$C$238:$C$451,$C252,'TL17'!$J$238:$J$451),0),
IF('TL18'!$B$3=Q$3,SUMIF('TL18'!$C$10:$C$224,$C252,'TL18'!$J$10:$J$224),0),
IF('TL18'!$B$229=Q$3,SUMIF('TL18'!$C$238:$C$451,$C252,'TL18'!$J$238:$J$451),0),
IF('TL19'!$B$3=Q$3,SUMIF('TL19'!$C$10:$C$224,$C252,'TL19'!$J$10:$J$224),0),
IF('TL19'!$B$229=Q$3,SUMIF('TL19'!$C$238:$C$451,$C252,'TL19'!$J$238:$J$451),0)
),0)</f>
        <v/>
      </c>
      <c r="R252" s="9">
        <f>IFERROR(
SUM(
SUMIF('TL01'!C:C,C252,'TL01'!J:J),
SUMIF('TL02'!C:C,C252,'TL02'!J:J),
SUMIF('TL03'!C:C,C252,'TL03'!J:J),
SUMIF('TL04'!C:C,C252,'TL04'!J:J),
SUMIF('TL05'!C:C,C252,'TL05'!J:J),
SUMIF('TL06'!C:C,C252,'TL06'!J:J),
SUMIF('TL07'!C:C,C252,'TL07'!J:J),
SUMIF('TL08'!C:C,C252,'TL08'!J:J),
SUMIF('TL09'!C:C,C252,'TL09'!J:J),
SUMIF('TL10'!C:C,C252,'TL10'!J:J),
SUMIF('TL11'!C:C,C252,'TL11'!J:J),
SUMIF('TL12'!C:C,C252,'TL12'!J:J),
SUMIF('TL13'!C:C,C252,'TL13'!J:J),
SUMIF('TL14'!C:C,C252,'TL14'!J:J),
SUMIF('TL15'!C:C,C252,'TL15'!J:J),
SUMIF('TL16'!C:C,C252,'TL16'!J:J),
SUMIF('TL17'!C:C,C252,'TL17'!J:J),
SUMIF('TL18'!C:C,C252,'TL18'!J:J),SUMIF('TL19'!C:C,C252,'TL19'!J:J))
,0)</f>
        <v/>
      </c>
      <c r="S252" s="17">
        <f>IFERROR(__xludf.DUMMYFUNCTION("IFERROR(VLOOKUP(C252,
IMPORTRANGE(""1wULbzX32WdYsx-lj2U3uUNBBe2INVIRDtcK0d-Dvl90"",
""26-27!C:G""),
5,
FALSE),
"""")"),60.913999999999994)</f>
        <v/>
      </c>
      <c r="T252" s="9" t="n"/>
      <c r="U252" s="92">
        <f>MAX(0,R252-T252)</f>
        <v/>
      </c>
      <c r="V252" s="93">
        <f>U252*S252</f>
        <v/>
      </c>
    </row>
    <row r="253" hidden="1" ht="15.75" customHeight="1" s="297">
      <c r="A253" s="119" t="inlineStr">
        <is>
          <t>SYNGENTA</t>
        </is>
      </c>
      <c r="B253" s="120" t="inlineStr">
        <is>
          <t>NUTRIÇÃO</t>
        </is>
      </c>
      <c r="C253" s="119" t="inlineStr">
        <is>
          <t>MEGAFOL</t>
        </is>
      </c>
      <c r="D253" s="119" t="inlineStr">
        <is>
          <t>N + K2O + Carbono Organico</t>
        </is>
      </c>
      <c r="E253" s="119" t="inlineStr">
        <is>
          <t>3 + 8 + 9</t>
        </is>
      </c>
      <c r="F253" s="4" t="inlineStr">
        <is>
          <t>L</t>
        </is>
      </c>
      <c r="G253" s="9" t="n"/>
      <c r="H253" s="9">
        <f>IFERROR(__xludf.DUMMYFUNCTION("IFERROR(VLOOKUP(C253,
IMPORTRANGE(""1wULbzX32WdYsx-lj2U3uUNBBe2INVIRDtcK0d-Dvl90"",
""26-27!C:K""),
8,
FALSE),
"""")"),"")</f>
        <v/>
      </c>
      <c r="I253" s="121" t="inlineStr">
        <is>
          <t>1x20</t>
        </is>
      </c>
      <c r="J253" s="9">
        <f>IFERROR(SUM(
IF('TL01'!$B$3=J$3,SUMIF('TL01'!$C$10:$C$224,$C253,'TL01'!$J$10:$J$224),0),
IF('TL01'!$B$229=J$3,SUMIF('TL01'!$C$238:$C$451,$C253,'TL01'!$J$238:$J$451),0),
IF('TL02'!$B$3=J$3,SUMIF('TL02'!$C$10:$C$224,$C253,'TL02'!$J$10:$J$224),0),
IF('TL02'!$B$229=J$3,SUMIF('TL02'!$C$238:$C$451,$C253,'TL02'!$J$238:$J$451),0),
IF('TL03'!$B$3=J$3,SUMIF('TL03'!$C$10:$C$224,$C253,'TL03'!$J$10:$J$224),0),
IF('TL03'!$B$229=J$3,SUMIF('TL03'!$C$238:$C$451,$C253,'TL03'!$J$238:$J$451),0),
IF('TL04'!$B$3=J$3,SUMIF('TL04'!$C$10:$C$224,$C253,'TL04'!$J$10:$J$224),0),
IF('TL04'!$B$229=J$3,SUMIF('TL04'!$C$238:$C$451,$C253,'TL04'!$J$238:$J$451),0),
IF('TL05'!$B$3=J$3,SUMIF('TL05'!$C$10:$C$224,$C253,'TL05'!$J$10:$J$224),0),
IF('TL05'!$B$229=J$3,SUMIF('TL05'!$C$238:$C$451,$C253,'TL05'!$J$238:$J$451),0),
IF('TL06'!$B$3=J$3,SUMIF('TL06'!$C$10:$C$224,$C253,'TL06'!$J$10:$J$224),0),
IF('TL06'!$B$229=J$3,SUMIF('TL06'!$C$238:$C$451,$C253,'TL06'!$J$238:$J$451),0),
IF('TL07'!$B$3=J$3,SUMIF('TL07'!$C$10:$C$224,$C253,'TL07'!$J$10:$J$224),0),
IF('TL07'!$B$229=J$3,SUMIF('TL07'!$C$238:$C$451,$C253,'TL07'!$J$238:$J$451),0),
IF('TL08'!$B$3=J$3,SUMIF('TL08'!$C$10:$C$224,$C253,'TL08'!$J$10:$J$224),0),
IF('TL08'!$B$229=J$3,SUMIF('TL08'!$C$238:$C$451,$C253,'TL08'!$J$238:$J$451),0),
IF('TL09'!$B$3=J$3,SUMIF('TL09'!$C$10:$C$224,$C253,'TL09'!$J$10:$J$224),0),
IF('TL09'!$B$229=J$3,SUMIF('TL09'!$C$238:$C$451,$C253,'TL09'!$J$238:$J$451),0),
IF('TL10'!$B$3=J$3,SUMIF('TL10'!$C$10:$C$224,$C253,'TL10'!$J$10:$J$224),0),
IF('TL10'!$B$229=J$3,SUMIF('TL10'!$C$238:$C$451,$C253,'TL10'!$J$238:$J$451),0),
IF('TL11'!$B$3=J$3,SUMIF('TL11'!$C$10:$C$224,$C253,'TL11'!$J$10:$J$224),0),
IF('TL11'!$B$229=J$3,SUMIF('TL11'!$C$238:$C$451,$C253,'TL11'!$J$238:$J$451),0),
IF('TL12'!$B$3=J$3,SUMIF('TL12'!$C$10:$C$224,$C253,'TL12'!$J$10:$J$224),0),
IF('TL12'!$B$229=J$3,SUMIF('TL12'!$C$238:$C$451,$C253,'TL12'!$J$238:$J$451),0),
IF('TL13'!$B$3=J$3,SUMIF('TL13'!$C$10:$C$224,$C253,'TL13'!$J$10:$J$224),0),
IF('TL13'!$B$229=J$3,SUMIF('TL13'!$C$238:$C$451,$C253,'TL13'!$J$238:$J$451),0),
IF('TL14'!$B$3=J$3,SUMIF('TL14'!$C$10:$C$224,$C253,'TL14'!$J$10:$J$224),0),
IF('TL14'!$B$229=J$3,SUMIF('TL14'!$C$238:$C$451,$C253,'TL14'!$J$238:$J$451),0),
IF('TL15'!$B$3=J$3,SUMIF('TL15'!$C$10:$C$224,$C253,'TL15'!$J$10:$J$224),0),
IF('TL15'!$B$229=J$3,SUMIF('TL15'!$C$238:$C$451,$C253,'TL15'!$J$238:$J$451),0),
IF('TL16'!$B$3=J$3,SUMIF('TL16'!$C$10:$C$224,$C253,'TL16'!$J$10:$J$224),0),
IF('TL16'!$B$229=J$3,SUMIF('TL16'!$C$238:$C$451,$C253,'TL16'!$J$238:$J$451),0),
IF('TL17'!$B$3=J$3,SUMIF('TL17'!$C$10:$C$224,$C253,'TL17'!$J$10:$J$224),0),
IF('TL17'!$B$229=J$3,SUMIF('TL17'!$C$238:$C$451,$C253,'TL17'!$J$238:$J$451),0),
IF('TL18'!$B$3=J$3,SUMIF('TL18'!$C$10:$C$224,$C253,'TL18'!$J$10:$J$224),0),
IF('TL18'!$B$229=J$3,SUMIF('TL18'!$C$238:$C$451,$C253,'TL18'!$J$238:$J$451),0),
IF('TL19'!$B$3=J$3,SUMIF('TL19'!$C$10:$C$224,$C253,'TL19'!$J$10:$J$224),0),
IF('TL19'!$B$229=J$3,SUMIF('TL19'!$C$238:$C$451,$C253,'TL19'!$J$238:$J$451),0)
),0)</f>
        <v/>
      </c>
      <c r="K253" s="9">
        <f>IFERROR(SUM(
IF('TL01'!$B$3=K$3,SUMIF('TL01'!$C$10:$C$224,$C253,'TL01'!$J$10:$J$224),0),
IF('TL01'!$B$229=K$3,SUMIF('TL01'!$C$238:$C$451,$C253,'TL01'!$J$238:$J$451),0),
IF('TL02'!$B$3=K$3,SUMIF('TL02'!$C$10:$C$224,$C253,'TL02'!$J$10:$J$224),0),
IF('TL02'!$B$229=K$3,SUMIF('TL02'!$C$238:$C$451,$C253,'TL02'!$J$238:$J$451),0),
IF('TL03'!$B$3=K$3,SUMIF('TL03'!$C$10:$C$224,$C253,'TL03'!$J$10:$J$224),0),
IF('TL03'!$B$229=K$3,SUMIF('TL03'!$C$238:$C$451,$C253,'TL03'!$J$238:$J$451),0),
IF('TL04'!$B$3=K$3,SUMIF('TL04'!$C$10:$C$224,$C253,'TL04'!$J$10:$J$224),0),
IF('TL04'!$B$229=K$3,SUMIF('TL04'!$C$238:$C$451,$C253,'TL04'!$J$238:$J$451),0),
IF('TL05'!$B$3=K$3,SUMIF('TL05'!$C$10:$C$224,$C253,'TL05'!$J$10:$J$224),0),
IF('TL05'!$B$229=K$3,SUMIF('TL05'!$C$238:$C$451,$C253,'TL05'!$J$238:$J$451),0),
IF('TL06'!$B$3=K$3,SUMIF('TL06'!$C$10:$C$224,$C253,'TL06'!$J$10:$J$224),0),
IF('TL06'!$B$229=K$3,SUMIF('TL06'!$C$238:$C$451,$C253,'TL06'!$J$238:$J$451),0),
IF('TL07'!$B$3=K$3,SUMIF('TL07'!$C$10:$C$224,$C253,'TL07'!$J$10:$J$224),0),
IF('TL07'!$B$229=K$3,SUMIF('TL07'!$C$238:$C$451,$C253,'TL07'!$J$238:$J$451),0),
IF('TL08'!$B$3=K$3,SUMIF('TL08'!$C$10:$C$224,$C253,'TL08'!$J$10:$J$224),0),
IF('TL08'!$B$229=K$3,SUMIF('TL08'!$C$238:$C$451,$C253,'TL08'!$J$238:$J$451),0),
IF('TL09'!$B$3=K$3,SUMIF('TL09'!$C$10:$C$224,$C253,'TL09'!$J$10:$J$224),0),
IF('TL09'!$B$229=K$3,SUMIF('TL09'!$C$238:$C$451,$C253,'TL09'!$J$238:$J$451),0),
IF('TL10'!$B$3=K$3,SUMIF('TL10'!$C$10:$C$224,$C253,'TL10'!$J$10:$J$224),0),
IF('TL10'!$B$229=K$3,SUMIF('TL10'!$C$238:$C$451,$C253,'TL10'!$J$238:$J$451),0),
IF('TL11'!$B$3=K$3,SUMIF('TL11'!$C$10:$C$224,$C253,'TL11'!$J$10:$J$224),0),
IF('TL11'!$B$229=K$3,SUMIF('TL11'!$C$238:$C$451,$C253,'TL11'!$J$238:$J$451),0),
IF('TL12'!$B$3=K$3,SUMIF('TL12'!$C$10:$C$224,$C253,'TL12'!$J$10:$J$224),0),
IF('TL12'!$B$229=K$3,SUMIF('TL12'!$C$238:$C$451,$C253,'TL12'!$J$238:$J$451),0),
IF('TL13'!$B$3=K$3,SUMIF('TL13'!$C$10:$C$224,$C253,'TL13'!$J$10:$J$224),0),
IF('TL13'!$B$229=K$3,SUMIF('TL13'!$C$238:$C$451,$C253,'TL13'!$J$238:$J$451),0),
IF('TL14'!$B$3=K$3,SUMIF('TL14'!$C$10:$C$224,$C253,'TL14'!$J$10:$J$224),0),
IF('TL14'!$B$229=K$3,SUMIF('TL14'!$C$238:$C$451,$C253,'TL14'!$J$238:$J$451),0),
IF('TL15'!$B$3=K$3,SUMIF('TL15'!$C$10:$C$224,$C253,'TL15'!$J$10:$J$224),0),
IF('TL15'!$B$229=K$3,SUMIF('TL15'!$C$238:$C$451,$C253,'TL15'!$J$238:$J$451),0),
IF('TL16'!$B$3=K$3,SUMIF('TL16'!$C$10:$C$224,$C253,'TL16'!$J$10:$J$224),0),
IF('TL16'!$B$229=K$3,SUMIF('TL16'!$C$238:$C$451,$C253,'TL16'!$J$238:$J$451),0),
IF('TL17'!$B$3=K$3,SUMIF('TL17'!$C$10:$C$224,$C253,'TL17'!$J$10:$J$224),0),
IF('TL17'!$B$229=K$3,SUMIF('TL17'!$C$238:$C$451,$C253,'TL17'!$J$238:$J$451),0),
IF('TL18'!$B$3=K$3,SUMIF('TL18'!$C$10:$C$224,$C253,'TL18'!$J$10:$J$224),0),
IF('TL18'!$B$229=K$3,SUMIF('TL18'!$C$238:$C$451,$C253,'TL18'!$J$238:$J$451),0),
IF('TL19'!$B$3=K$3,SUMIF('TL19'!$C$10:$C$224,$C253,'TL19'!$J$10:$J$224),0),
IF('TL19'!$B$229=K$3,SUMIF('TL19'!$C$238:$C$451,$C253,'TL19'!$J$238:$J$451),0)
),0)</f>
        <v/>
      </c>
      <c r="L253" s="9">
        <f>IFERROR(SUM(
IF('TL01'!$B$3=L$3,SUMIF('TL01'!$C$10:$C$224,$C253,'TL01'!$J$10:$J$224),0),
IF('TL01'!$B$229=L$3,SUMIF('TL01'!$C$238:$C$451,$C253,'TL01'!$J$238:$J$451),0),
IF('TL02'!$B$3=L$3,SUMIF('TL02'!$C$10:$C$224,$C253,'TL02'!$J$10:$J$224),0),
IF('TL02'!$B$229=L$3,SUMIF('TL02'!$C$238:$C$451,$C253,'TL02'!$J$238:$J$451),0),
IF('TL03'!$B$3=L$3,SUMIF('TL03'!$C$10:$C$224,$C253,'TL03'!$J$10:$J$224),0),
IF('TL03'!$B$229=L$3,SUMIF('TL03'!$C$238:$C$451,$C253,'TL03'!$J$238:$J$451),0),
IF('TL04'!$B$3=L$3,SUMIF('TL04'!$C$10:$C$224,$C253,'TL04'!$J$10:$J$224),0),
IF('TL04'!$B$229=L$3,SUMIF('TL04'!$C$238:$C$451,$C253,'TL04'!$J$238:$J$451),0),
IF('TL05'!$B$3=L$3,SUMIF('TL05'!$C$10:$C$224,$C253,'TL05'!$J$10:$J$224),0),
IF('TL05'!$B$229=L$3,SUMIF('TL05'!$C$238:$C$451,$C253,'TL05'!$J$238:$J$451),0),
IF('TL06'!$B$3=L$3,SUMIF('TL06'!$C$10:$C$224,$C253,'TL06'!$J$10:$J$224),0),
IF('TL06'!$B$229=L$3,SUMIF('TL06'!$C$238:$C$451,$C253,'TL06'!$J$238:$J$451),0),
IF('TL07'!$B$3=L$3,SUMIF('TL07'!$C$10:$C$224,$C253,'TL07'!$J$10:$J$224),0),
IF('TL07'!$B$229=L$3,SUMIF('TL07'!$C$238:$C$451,$C253,'TL07'!$J$238:$J$451),0),
IF('TL08'!$B$3=L$3,SUMIF('TL08'!$C$10:$C$224,$C253,'TL08'!$J$10:$J$224),0),
IF('TL08'!$B$229=L$3,SUMIF('TL08'!$C$238:$C$451,$C253,'TL08'!$J$238:$J$451),0),
IF('TL09'!$B$3=L$3,SUMIF('TL09'!$C$10:$C$224,$C253,'TL09'!$J$10:$J$224),0),
IF('TL09'!$B$229=L$3,SUMIF('TL09'!$C$238:$C$451,$C253,'TL09'!$J$238:$J$451),0),
IF('TL10'!$B$3=L$3,SUMIF('TL10'!$C$10:$C$224,$C253,'TL10'!$J$10:$J$224),0),
IF('TL10'!$B$229=L$3,SUMIF('TL10'!$C$238:$C$451,$C253,'TL10'!$J$238:$J$451),0),
IF('TL11'!$B$3=L$3,SUMIF('TL11'!$C$10:$C$224,$C253,'TL11'!$J$10:$J$224),0),
IF('TL11'!$B$229=L$3,SUMIF('TL11'!$C$238:$C$451,$C253,'TL11'!$J$238:$J$451),0),
IF('TL12'!$B$3=L$3,SUMIF('TL12'!$C$10:$C$224,$C253,'TL12'!$J$10:$J$224),0),
IF('TL12'!$B$229=L$3,SUMIF('TL12'!$C$238:$C$451,$C253,'TL12'!$J$238:$J$451),0),
IF('TL13'!$B$3=L$3,SUMIF('TL13'!$C$10:$C$224,$C253,'TL13'!$J$10:$J$224),0),
IF('TL13'!$B$229=L$3,SUMIF('TL13'!$C$238:$C$451,$C253,'TL13'!$J$238:$J$451),0),
IF('TL14'!$B$3=L$3,SUMIF('TL14'!$C$10:$C$224,$C253,'TL14'!$J$10:$J$224),0),
IF('TL14'!$B$229=L$3,SUMIF('TL14'!$C$238:$C$451,$C253,'TL14'!$J$238:$J$451),0),
IF('TL15'!$B$3=L$3,SUMIF('TL15'!$C$10:$C$224,$C253,'TL15'!$J$10:$J$224),0),
IF('TL15'!$B$229=L$3,SUMIF('TL15'!$C$238:$C$451,$C253,'TL15'!$J$238:$J$451),0),
IF('TL16'!$B$3=L$3,SUMIF('TL16'!$C$10:$C$224,$C253,'TL16'!$J$10:$J$224),0),
IF('TL16'!$B$229=L$3,SUMIF('TL16'!$C$238:$C$451,$C253,'TL16'!$J$238:$J$451),0),
IF('TL17'!$B$3=L$3,SUMIF('TL17'!$C$10:$C$224,$C253,'TL17'!$J$10:$J$224),0),
IF('TL17'!$B$229=L$3,SUMIF('TL17'!$C$238:$C$451,$C253,'TL17'!$J$238:$J$451),0),
IF('TL18'!$B$3=L$3,SUMIF('TL18'!$C$10:$C$224,$C253,'TL18'!$J$10:$J$224),0),
IF('TL18'!$B$229=L$3,SUMIF('TL18'!$C$238:$C$451,$C253,'TL18'!$J$238:$J$451),0),
IF('TL19'!$B$3=L$3,SUMIF('TL19'!$C$10:$C$224,$C253,'TL19'!$J$10:$J$224),0),
IF('TL19'!$B$229=L$3,SUMIF('TL19'!$C$238:$C$451,$C253,'TL19'!$J$238:$J$451),0)
),0)</f>
        <v/>
      </c>
      <c r="M253" s="9">
        <f>IFERROR(SUM(
IF('TL01'!$B$3=M$3,SUMIF('TL01'!$C$10:$C$224,$C253,'TL01'!$J$10:$J$224),0),
IF('TL01'!$B$229=M$3,SUMIF('TL01'!$C$238:$C$451,$C253,'TL01'!$J$238:$J$451),0),
IF('TL02'!$B$3=M$3,SUMIF('TL02'!$C$10:$C$224,$C253,'TL02'!$J$10:$J$224),0),
IF('TL02'!$B$229=M$3,SUMIF('TL02'!$C$238:$C$451,$C253,'TL02'!$J$238:$J$451),0),
IF('TL03'!$B$3=M$3,SUMIF('TL03'!$C$10:$C$224,$C253,'TL03'!$J$10:$J$224),0),
IF('TL03'!$B$229=M$3,SUMIF('TL03'!$C$238:$C$451,$C253,'TL03'!$J$238:$J$451),0),
IF('TL04'!$B$3=M$3,SUMIF('TL04'!$C$10:$C$224,$C253,'TL04'!$J$10:$J$224),0),
IF('TL04'!$B$229=M$3,SUMIF('TL04'!$C$238:$C$451,$C253,'TL04'!$J$238:$J$451),0),
IF('TL05'!$B$3=M$3,SUMIF('TL05'!$C$10:$C$224,$C253,'TL05'!$J$10:$J$224),0),
IF('TL05'!$B$229=M$3,SUMIF('TL05'!$C$238:$C$451,$C253,'TL05'!$J$238:$J$451),0),
IF('TL06'!$B$3=M$3,SUMIF('TL06'!$C$10:$C$224,$C253,'TL06'!$J$10:$J$224),0),
IF('TL06'!$B$229=M$3,SUMIF('TL06'!$C$238:$C$451,$C253,'TL06'!$J$238:$J$451),0),
IF('TL07'!$B$3=M$3,SUMIF('TL07'!$C$10:$C$224,$C253,'TL07'!$J$10:$J$224),0),
IF('TL07'!$B$229=M$3,SUMIF('TL07'!$C$238:$C$451,$C253,'TL07'!$J$238:$J$451),0),
IF('TL08'!$B$3=M$3,SUMIF('TL08'!$C$10:$C$224,$C253,'TL08'!$J$10:$J$224),0),
IF('TL08'!$B$229=M$3,SUMIF('TL08'!$C$238:$C$451,$C253,'TL08'!$J$238:$J$451),0),
IF('TL09'!$B$3=M$3,SUMIF('TL09'!$C$10:$C$224,$C253,'TL09'!$J$10:$J$224),0),
IF('TL09'!$B$229=M$3,SUMIF('TL09'!$C$238:$C$451,$C253,'TL09'!$J$238:$J$451),0),
IF('TL10'!$B$3=M$3,SUMIF('TL10'!$C$10:$C$224,$C253,'TL10'!$J$10:$J$224),0),
IF('TL10'!$B$229=M$3,SUMIF('TL10'!$C$238:$C$451,$C253,'TL10'!$J$238:$J$451),0),
IF('TL11'!$B$3=M$3,SUMIF('TL11'!$C$10:$C$224,$C253,'TL11'!$J$10:$J$224),0),
IF('TL11'!$B$229=M$3,SUMIF('TL11'!$C$238:$C$451,$C253,'TL11'!$J$238:$J$451),0),
IF('TL12'!$B$3=M$3,SUMIF('TL12'!$C$10:$C$224,$C253,'TL12'!$J$10:$J$224),0),
IF('TL12'!$B$229=M$3,SUMIF('TL12'!$C$238:$C$451,$C253,'TL12'!$J$238:$J$451),0),
IF('TL13'!$B$3=M$3,SUMIF('TL13'!$C$10:$C$224,$C253,'TL13'!$J$10:$J$224),0),
IF('TL13'!$B$229=M$3,SUMIF('TL13'!$C$238:$C$451,$C253,'TL13'!$J$238:$J$451),0),
IF('TL14'!$B$3=M$3,SUMIF('TL14'!$C$10:$C$224,$C253,'TL14'!$J$10:$J$224),0),
IF('TL14'!$B$229=M$3,SUMIF('TL14'!$C$238:$C$451,$C253,'TL14'!$J$238:$J$451),0),
IF('TL15'!$B$3=M$3,SUMIF('TL15'!$C$10:$C$224,$C253,'TL15'!$J$10:$J$224),0),
IF('TL15'!$B$229=M$3,SUMIF('TL15'!$C$238:$C$451,$C253,'TL15'!$J$238:$J$451),0),
IF('TL16'!$B$3=M$3,SUMIF('TL16'!$C$10:$C$224,$C253,'TL16'!$J$10:$J$224),0),
IF('TL16'!$B$229=M$3,SUMIF('TL16'!$C$238:$C$451,$C253,'TL16'!$J$238:$J$451),0),
IF('TL17'!$B$3=M$3,SUMIF('TL17'!$C$10:$C$224,$C253,'TL17'!$J$10:$J$224),0),
IF('TL17'!$B$229=M$3,SUMIF('TL17'!$C$238:$C$451,$C253,'TL17'!$J$238:$J$451),0),
IF('TL18'!$B$3=M$3,SUMIF('TL18'!$C$10:$C$224,$C253,'TL18'!$J$10:$J$224),0),
IF('TL18'!$B$229=M$3,SUMIF('TL18'!$C$238:$C$451,$C253,'TL18'!$J$238:$J$451),0),
IF('TL19'!$B$3=M$3,SUMIF('TL19'!$C$10:$C$224,$C253,'TL19'!$J$10:$J$224),0),
IF('TL19'!$B$229=M$3,SUMIF('TL19'!$C$238:$C$451,$C253,'TL19'!$J$238:$J$451),0)
),0)</f>
        <v/>
      </c>
      <c r="N253" s="9">
        <f>IFERROR(SUM(
IF('TL01'!$B$3=N$3,SUMIF('TL01'!$C$10:$C$224,$C253,'TL01'!$J$10:$J$224),0),
IF('TL01'!$B$229=N$3,SUMIF('TL01'!$C$238:$C$451,$C253,'TL01'!$J$238:$J$451),0),
IF('TL02'!$B$3=N$3,SUMIF('TL02'!$C$10:$C$224,$C253,'TL02'!$J$10:$J$224),0),
IF('TL02'!$B$229=N$3,SUMIF('TL02'!$C$238:$C$451,$C253,'TL02'!$J$238:$J$451),0),
IF('TL03'!$B$3=N$3,SUMIF('TL03'!$C$10:$C$224,$C253,'TL03'!$J$10:$J$224),0),
IF('TL03'!$B$229=N$3,SUMIF('TL03'!$C$238:$C$451,$C253,'TL03'!$J$238:$J$451),0),
IF('TL04'!$B$3=N$3,SUMIF('TL04'!$C$10:$C$224,$C253,'TL04'!$J$10:$J$224),0),
IF('TL04'!$B$229=N$3,SUMIF('TL04'!$C$238:$C$451,$C253,'TL04'!$J$238:$J$451),0),
IF('TL05'!$B$3=N$3,SUMIF('TL05'!$C$10:$C$224,$C253,'TL05'!$J$10:$J$224),0),
IF('TL05'!$B$229=N$3,SUMIF('TL05'!$C$238:$C$451,$C253,'TL05'!$J$238:$J$451),0),
IF('TL06'!$B$3=N$3,SUMIF('TL06'!$C$10:$C$224,$C253,'TL06'!$J$10:$J$224),0),
IF('TL06'!$B$229=N$3,SUMIF('TL06'!$C$238:$C$451,$C253,'TL06'!$J$238:$J$451),0),
IF('TL07'!$B$3=N$3,SUMIF('TL07'!$C$10:$C$224,$C253,'TL07'!$J$10:$J$224),0),
IF('TL07'!$B$229=N$3,SUMIF('TL07'!$C$238:$C$451,$C253,'TL07'!$J$238:$J$451),0),
IF('TL08'!$B$3=N$3,SUMIF('TL08'!$C$10:$C$224,$C253,'TL08'!$J$10:$J$224),0),
IF('TL08'!$B$229=N$3,SUMIF('TL08'!$C$238:$C$451,$C253,'TL08'!$J$238:$J$451),0),
IF('TL09'!$B$3=N$3,SUMIF('TL09'!$C$10:$C$224,$C253,'TL09'!$J$10:$J$224),0),
IF('TL09'!$B$229=N$3,SUMIF('TL09'!$C$238:$C$451,$C253,'TL09'!$J$238:$J$451),0),
IF('TL10'!$B$3=N$3,SUMIF('TL10'!$C$10:$C$224,$C253,'TL10'!$J$10:$J$224),0),
IF('TL10'!$B$229=N$3,SUMIF('TL10'!$C$238:$C$451,$C253,'TL10'!$J$238:$J$451),0),
IF('TL11'!$B$3=N$3,SUMIF('TL11'!$C$10:$C$224,$C253,'TL11'!$J$10:$J$224),0),
IF('TL11'!$B$229=N$3,SUMIF('TL11'!$C$238:$C$451,$C253,'TL11'!$J$238:$J$451),0),
IF('TL12'!$B$3=N$3,SUMIF('TL12'!$C$10:$C$224,$C253,'TL12'!$J$10:$J$224),0),
IF('TL12'!$B$229=N$3,SUMIF('TL12'!$C$238:$C$451,$C253,'TL12'!$J$238:$J$451),0),
IF('TL13'!$B$3=N$3,SUMIF('TL13'!$C$10:$C$224,$C253,'TL13'!$J$10:$J$224),0),
IF('TL13'!$B$229=N$3,SUMIF('TL13'!$C$238:$C$451,$C253,'TL13'!$J$238:$J$451),0),
IF('TL14'!$B$3=N$3,SUMIF('TL14'!$C$10:$C$224,$C253,'TL14'!$J$10:$J$224),0),
IF('TL14'!$B$229=N$3,SUMIF('TL14'!$C$238:$C$451,$C253,'TL14'!$J$238:$J$451),0),
IF('TL15'!$B$3=N$3,SUMIF('TL15'!$C$10:$C$224,$C253,'TL15'!$J$10:$J$224),0),
IF('TL15'!$B$229=N$3,SUMIF('TL15'!$C$238:$C$451,$C253,'TL15'!$J$238:$J$451),0),
IF('TL16'!$B$3=N$3,SUMIF('TL16'!$C$10:$C$224,$C253,'TL16'!$J$10:$J$224),0),
IF('TL16'!$B$229=N$3,SUMIF('TL16'!$C$238:$C$451,$C253,'TL16'!$J$238:$J$451),0),
IF('TL17'!$B$3=N$3,SUMIF('TL17'!$C$10:$C$224,$C253,'TL17'!$J$10:$J$224),0),
IF('TL17'!$B$229=N$3,SUMIF('TL17'!$C$238:$C$451,$C253,'TL17'!$J$238:$J$451),0),
IF('TL18'!$B$3=N$3,SUMIF('TL18'!$C$10:$C$224,$C253,'TL18'!$J$10:$J$224),0),
IF('TL18'!$B$229=N$3,SUMIF('TL18'!$C$238:$C$451,$C253,'TL18'!$J$238:$J$451),0),
IF('TL19'!$B$3=N$3,SUMIF('TL19'!$C$10:$C$224,$C253,'TL19'!$J$10:$J$224),0),
IF('TL19'!$B$229=N$3,SUMIF('TL19'!$C$238:$C$451,$C253,'TL19'!$J$238:$J$451),0)
),0)</f>
        <v/>
      </c>
      <c r="O253" s="9">
        <f>IFERROR(SUM(
IF('TL01'!$B$3=O$3,SUMIF('TL01'!$C$10:$C$224,$C253,'TL01'!$J$10:$J$224),0),
IF('TL01'!$B$229=O$3,SUMIF('TL01'!$C$238:$C$451,$C253,'TL01'!$J$238:$J$451),0),
IF('TL02'!$B$3=O$3,SUMIF('TL02'!$C$10:$C$224,$C253,'TL02'!$J$10:$J$224),0),
IF('TL02'!$B$229=O$3,SUMIF('TL02'!$C$238:$C$451,$C253,'TL02'!$J$238:$J$451),0),
IF('TL03'!$B$3=O$3,SUMIF('TL03'!$C$10:$C$224,$C253,'TL03'!$J$10:$J$224),0),
IF('TL03'!$B$229=O$3,SUMIF('TL03'!$C$238:$C$451,$C253,'TL03'!$J$238:$J$451),0),
IF('TL04'!$B$3=O$3,SUMIF('TL04'!$C$10:$C$224,$C253,'TL04'!$J$10:$J$224),0),
IF('TL04'!$B$229=O$3,SUMIF('TL04'!$C$238:$C$451,$C253,'TL04'!$J$238:$J$451),0),
IF('TL05'!$B$3=O$3,SUMIF('TL05'!$C$10:$C$224,$C253,'TL05'!$J$10:$J$224),0),
IF('TL05'!$B$229=O$3,SUMIF('TL05'!$C$238:$C$451,$C253,'TL05'!$J$238:$J$451),0),
IF('TL06'!$B$3=O$3,SUMIF('TL06'!$C$10:$C$224,$C253,'TL06'!$J$10:$J$224),0),
IF('TL06'!$B$229=O$3,SUMIF('TL06'!$C$238:$C$451,$C253,'TL06'!$J$238:$J$451),0),
IF('TL07'!$B$3=O$3,SUMIF('TL07'!$C$10:$C$224,$C253,'TL07'!$J$10:$J$224),0),
IF('TL07'!$B$229=O$3,SUMIF('TL07'!$C$238:$C$451,$C253,'TL07'!$J$238:$J$451),0),
IF('TL08'!$B$3=O$3,SUMIF('TL08'!$C$10:$C$224,$C253,'TL08'!$J$10:$J$224),0),
IF('TL08'!$B$229=O$3,SUMIF('TL08'!$C$238:$C$451,$C253,'TL08'!$J$238:$J$451),0),
IF('TL09'!$B$3=O$3,SUMIF('TL09'!$C$10:$C$224,$C253,'TL09'!$J$10:$J$224),0),
IF('TL09'!$B$229=O$3,SUMIF('TL09'!$C$238:$C$451,$C253,'TL09'!$J$238:$J$451),0),
IF('TL10'!$B$3=O$3,SUMIF('TL10'!$C$10:$C$224,$C253,'TL10'!$J$10:$J$224),0),
IF('TL10'!$B$229=O$3,SUMIF('TL10'!$C$238:$C$451,$C253,'TL10'!$J$238:$J$451),0),
IF('TL11'!$B$3=O$3,SUMIF('TL11'!$C$10:$C$224,$C253,'TL11'!$J$10:$J$224),0),
IF('TL11'!$B$229=O$3,SUMIF('TL11'!$C$238:$C$451,$C253,'TL11'!$J$238:$J$451),0),
IF('TL12'!$B$3=O$3,SUMIF('TL12'!$C$10:$C$224,$C253,'TL12'!$J$10:$J$224),0),
IF('TL12'!$B$229=O$3,SUMIF('TL12'!$C$238:$C$451,$C253,'TL12'!$J$238:$J$451),0),
IF('TL13'!$B$3=O$3,SUMIF('TL13'!$C$10:$C$224,$C253,'TL13'!$J$10:$J$224),0),
IF('TL13'!$B$229=O$3,SUMIF('TL13'!$C$238:$C$451,$C253,'TL13'!$J$238:$J$451),0),
IF('TL14'!$B$3=O$3,SUMIF('TL14'!$C$10:$C$224,$C253,'TL14'!$J$10:$J$224),0),
IF('TL14'!$B$229=O$3,SUMIF('TL14'!$C$238:$C$451,$C253,'TL14'!$J$238:$J$451),0),
IF('TL15'!$B$3=O$3,SUMIF('TL15'!$C$10:$C$224,$C253,'TL15'!$J$10:$J$224),0),
IF('TL15'!$B$229=O$3,SUMIF('TL15'!$C$238:$C$451,$C253,'TL15'!$J$238:$J$451),0),
IF('TL16'!$B$3=O$3,SUMIF('TL16'!$C$10:$C$224,$C253,'TL16'!$J$10:$J$224),0),
IF('TL16'!$B$229=O$3,SUMIF('TL16'!$C$238:$C$451,$C253,'TL16'!$J$238:$J$451),0),
IF('TL17'!$B$3=O$3,SUMIF('TL17'!$C$10:$C$224,$C253,'TL17'!$J$10:$J$224),0),
IF('TL17'!$B$229=O$3,SUMIF('TL17'!$C$238:$C$451,$C253,'TL17'!$J$238:$J$451),0),
IF('TL18'!$B$3=O$3,SUMIF('TL18'!$C$10:$C$224,$C253,'TL18'!$J$10:$J$224),0),
IF('TL18'!$B$229=O$3,SUMIF('TL18'!$C$238:$C$451,$C253,'TL18'!$J$238:$J$451),0),
IF('TL19'!$B$3=O$3,SUMIF('TL19'!$C$10:$C$224,$C253,'TL19'!$J$10:$J$224),0),
IF('TL19'!$B$229=O$3,SUMIF('TL19'!$C$238:$C$451,$C253,'TL19'!$J$238:$J$451),0)
),0)</f>
        <v/>
      </c>
      <c r="P253" s="9">
        <f>IFERROR(SUM(
IF('TL01'!$B$3=P$3,SUMIF('TL01'!$C$10:$C$224,$C253,'TL01'!$J$10:$J$224),0),
IF('TL01'!$B$229=P$3,SUMIF('TL01'!$C$238:$C$451,$C253,'TL01'!$J$238:$J$451),0),
IF('TL02'!$B$3=P$3,SUMIF('TL02'!$C$10:$C$224,$C253,'TL02'!$J$10:$J$224),0),
IF('TL02'!$B$229=P$3,SUMIF('TL02'!$C$238:$C$451,$C253,'TL02'!$J$238:$J$451),0),
IF('TL03'!$B$3=P$3,SUMIF('TL03'!$C$10:$C$224,$C253,'TL03'!$J$10:$J$224),0),
IF('TL03'!$B$229=P$3,SUMIF('TL03'!$C$238:$C$451,$C253,'TL03'!$J$238:$J$451),0),
IF('TL04'!$B$3=P$3,SUMIF('TL04'!$C$10:$C$224,$C253,'TL04'!$J$10:$J$224),0),
IF('TL04'!$B$229=P$3,SUMIF('TL04'!$C$238:$C$451,$C253,'TL04'!$J$238:$J$451),0),
IF('TL05'!$B$3=P$3,SUMIF('TL05'!$C$10:$C$224,$C253,'TL05'!$J$10:$J$224),0),
IF('TL05'!$B$229=P$3,SUMIF('TL05'!$C$238:$C$451,$C253,'TL05'!$J$238:$J$451),0),
IF('TL06'!$B$3=P$3,SUMIF('TL06'!$C$10:$C$224,$C253,'TL06'!$J$10:$J$224),0),
IF('TL06'!$B$229=P$3,SUMIF('TL06'!$C$238:$C$451,$C253,'TL06'!$J$238:$J$451),0),
IF('TL07'!$B$3=P$3,SUMIF('TL07'!$C$10:$C$224,$C253,'TL07'!$J$10:$J$224),0),
IF('TL07'!$B$229=P$3,SUMIF('TL07'!$C$238:$C$451,$C253,'TL07'!$J$238:$J$451),0),
IF('TL08'!$B$3=P$3,SUMIF('TL08'!$C$10:$C$224,$C253,'TL08'!$J$10:$J$224),0),
IF('TL08'!$B$229=P$3,SUMIF('TL08'!$C$238:$C$451,$C253,'TL08'!$J$238:$J$451),0),
IF('TL09'!$B$3=P$3,SUMIF('TL09'!$C$10:$C$224,$C253,'TL09'!$J$10:$J$224),0),
IF('TL09'!$B$229=P$3,SUMIF('TL09'!$C$238:$C$451,$C253,'TL09'!$J$238:$J$451),0),
IF('TL10'!$B$3=P$3,SUMIF('TL10'!$C$10:$C$224,$C253,'TL10'!$J$10:$J$224),0),
IF('TL10'!$B$229=P$3,SUMIF('TL10'!$C$238:$C$451,$C253,'TL10'!$J$238:$J$451),0),
IF('TL11'!$B$3=P$3,SUMIF('TL11'!$C$10:$C$224,$C253,'TL11'!$J$10:$J$224),0),
IF('TL11'!$B$229=P$3,SUMIF('TL11'!$C$238:$C$451,$C253,'TL11'!$J$238:$J$451),0),
IF('TL12'!$B$3=P$3,SUMIF('TL12'!$C$10:$C$224,$C253,'TL12'!$J$10:$J$224),0),
IF('TL12'!$B$229=P$3,SUMIF('TL12'!$C$238:$C$451,$C253,'TL12'!$J$238:$J$451),0),
IF('TL13'!$B$3=P$3,SUMIF('TL13'!$C$10:$C$224,$C253,'TL13'!$J$10:$J$224),0),
IF('TL13'!$B$229=P$3,SUMIF('TL13'!$C$238:$C$451,$C253,'TL13'!$J$238:$J$451),0),
IF('TL14'!$B$3=P$3,SUMIF('TL14'!$C$10:$C$224,$C253,'TL14'!$J$10:$J$224),0),
IF('TL14'!$B$229=P$3,SUMIF('TL14'!$C$238:$C$451,$C253,'TL14'!$J$238:$J$451),0),
IF('TL15'!$B$3=P$3,SUMIF('TL15'!$C$10:$C$224,$C253,'TL15'!$J$10:$J$224),0),
IF('TL15'!$B$229=P$3,SUMIF('TL15'!$C$238:$C$451,$C253,'TL15'!$J$238:$J$451),0),
IF('TL16'!$B$3=P$3,SUMIF('TL16'!$C$10:$C$224,$C253,'TL16'!$J$10:$J$224),0),
IF('TL16'!$B$229=P$3,SUMIF('TL16'!$C$238:$C$451,$C253,'TL16'!$J$238:$J$451),0),
IF('TL17'!$B$3=P$3,SUMIF('TL17'!$C$10:$C$224,$C253,'TL17'!$J$10:$J$224),0),
IF('TL17'!$B$229=P$3,SUMIF('TL17'!$C$238:$C$451,$C253,'TL17'!$J$238:$J$451),0),
IF('TL18'!$B$3=P$3,SUMIF('TL18'!$C$10:$C$224,$C253,'TL18'!$J$10:$J$224),0),
IF('TL18'!$B$229=P$3,SUMIF('TL18'!$C$238:$C$451,$C253,'TL18'!$J$238:$J$451),0),
IF('TL19'!$B$3=P$3,SUMIF('TL19'!$C$10:$C$224,$C253,'TL19'!$J$10:$J$224),0),
IF('TL19'!$B$229=P$3,SUMIF('TL19'!$C$238:$C$451,$C253,'TL19'!$J$238:$J$451),0)
),0)</f>
        <v/>
      </c>
      <c r="Q253" s="9">
        <f>IFERROR(SUM(
IF('TL01'!$B$3=Q$3,SUMIF('TL01'!$C$10:$C$224,$C253,'TL01'!$J$10:$J$224),0),
IF('TL01'!$B$229=Q$3,SUMIF('TL01'!$C$238:$C$451,$C253,'TL01'!$J$238:$J$451),0),
IF('TL02'!$B$3=Q$3,SUMIF('TL02'!$C$10:$C$224,$C253,'TL02'!$J$10:$J$224),0),
IF('TL02'!$B$229=Q$3,SUMIF('TL02'!$C$238:$C$451,$C253,'TL02'!$J$238:$J$451),0),
IF('TL03'!$B$3=Q$3,SUMIF('TL03'!$C$10:$C$224,$C253,'TL03'!$J$10:$J$224),0),
IF('TL03'!$B$229=Q$3,SUMIF('TL03'!$C$238:$C$451,$C253,'TL03'!$J$238:$J$451),0),
IF('TL04'!$B$3=Q$3,SUMIF('TL04'!$C$10:$C$224,$C253,'TL04'!$J$10:$J$224),0),
IF('TL04'!$B$229=Q$3,SUMIF('TL04'!$C$238:$C$451,$C253,'TL04'!$J$238:$J$451),0),
IF('TL05'!$B$3=Q$3,SUMIF('TL05'!$C$10:$C$224,$C253,'TL05'!$J$10:$J$224),0),
IF('TL05'!$B$229=Q$3,SUMIF('TL05'!$C$238:$C$451,$C253,'TL05'!$J$238:$J$451),0),
IF('TL06'!$B$3=Q$3,SUMIF('TL06'!$C$10:$C$224,$C253,'TL06'!$J$10:$J$224),0),
IF('TL06'!$B$229=Q$3,SUMIF('TL06'!$C$238:$C$451,$C253,'TL06'!$J$238:$J$451),0),
IF('TL07'!$B$3=Q$3,SUMIF('TL07'!$C$10:$C$224,$C253,'TL07'!$J$10:$J$224),0),
IF('TL07'!$B$229=Q$3,SUMIF('TL07'!$C$238:$C$451,$C253,'TL07'!$J$238:$J$451),0),
IF('TL08'!$B$3=Q$3,SUMIF('TL08'!$C$10:$C$224,$C253,'TL08'!$J$10:$J$224),0),
IF('TL08'!$B$229=Q$3,SUMIF('TL08'!$C$238:$C$451,$C253,'TL08'!$J$238:$J$451),0),
IF('TL09'!$B$3=Q$3,SUMIF('TL09'!$C$10:$C$224,$C253,'TL09'!$J$10:$J$224),0),
IF('TL09'!$B$229=Q$3,SUMIF('TL09'!$C$238:$C$451,$C253,'TL09'!$J$238:$J$451),0),
IF('TL10'!$B$3=Q$3,SUMIF('TL10'!$C$10:$C$224,$C253,'TL10'!$J$10:$J$224),0),
IF('TL10'!$B$229=Q$3,SUMIF('TL10'!$C$238:$C$451,$C253,'TL10'!$J$238:$J$451),0),
IF('TL11'!$B$3=Q$3,SUMIF('TL11'!$C$10:$C$224,$C253,'TL11'!$J$10:$J$224),0),
IF('TL11'!$B$229=Q$3,SUMIF('TL11'!$C$238:$C$451,$C253,'TL11'!$J$238:$J$451),0),
IF('TL12'!$B$3=Q$3,SUMIF('TL12'!$C$10:$C$224,$C253,'TL12'!$J$10:$J$224),0),
IF('TL12'!$B$229=Q$3,SUMIF('TL12'!$C$238:$C$451,$C253,'TL12'!$J$238:$J$451),0),
IF('TL13'!$B$3=Q$3,SUMIF('TL13'!$C$10:$C$224,$C253,'TL13'!$J$10:$J$224),0),
IF('TL13'!$B$229=Q$3,SUMIF('TL13'!$C$238:$C$451,$C253,'TL13'!$J$238:$J$451),0),
IF('TL14'!$B$3=Q$3,SUMIF('TL14'!$C$10:$C$224,$C253,'TL14'!$J$10:$J$224),0),
IF('TL14'!$B$229=Q$3,SUMIF('TL14'!$C$238:$C$451,$C253,'TL14'!$J$238:$J$451),0),
IF('TL15'!$B$3=Q$3,SUMIF('TL15'!$C$10:$C$224,$C253,'TL15'!$J$10:$J$224),0),
IF('TL15'!$B$229=Q$3,SUMIF('TL15'!$C$238:$C$451,$C253,'TL15'!$J$238:$J$451),0),
IF('TL16'!$B$3=Q$3,SUMIF('TL16'!$C$10:$C$224,$C253,'TL16'!$J$10:$J$224),0),
IF('TL16'!$B$229=Q$3,SUMIF('TL16'!$C$238:$C$451,$C253,'TL16'!$J$238:$J$451),0),
IF('TL17'!$B$3=Q$3,SUMIF('TL17'!$C$10:$C$224,$C253,'TL17'!$J$10:$J$224),0),
IF('TL17'!$B$229=Q$3,SUMIF('TL17'!$C$238:$C$451,$C253,'TL17'!$J$238:$J$451),0),
IF('TL18'!$B$3=Q$3,SUMIF('TL18'!$C$10:$C$224,$C253,'TL18'!$J$10:$J$224),0),
IF('TL18'!$B$229=Q$3,SUMIF('TL18'!$C$238:$C$451,$C253,'TL18'!$J$238:$J$451),0),
IF('TL19'!$B$3=Q$3,SUMIF('TL19'!$C$10:$C$224,$C253,'TL19'!$J$10:$J$224),0),
IF('TL19'!$B$229=Q$3,SUMIF('TL19'!$C$238:$C$451,$C253,'TL19'!$J$238:$J$451),0)
),0)</f>
        <v/>
      </c>
      <c r="R253" s="9">
        <f>IFERROR(
SUM(
SUMIF('TL01'!C:C,C253,'TL01'!J:J),
SUMIF('TL02'!C:C,C253,'TL02'!J:J),
SUMIF('TL03'!C:C,C253,'TL03'!J:J),
SUMIF('TL04'!C:C,C253,'TL04'!J:J),
SUMIF('TL05'!C:C,C253,'TL05'!J:J),
SUMIF('TL06'!C:C,C253,'TL06'!J:J),
SUMIF('TL07'!C:C,C253,'TL07'!J:J),
SUMIF('TL08'!C:C,C253,'TL08'!J:J),
SUMIF('TL09'!C:C,C253,'TL09'!J:J),
SUMIF('TL10'!C:C,C253,'TL10'!J:J),
SUMIF('TL11'!C:C,C253,'TL11'!J:J),
SUMIF('TL12'!C:C,C253,'TL12'!J:J),
SUMIF('TL13'!C:C,C253,'TL13'!J:J),
SUMIF('TL14'!C:C,C253,'TL14'!J:J),
SUMIF('TL15'!C:C,C253,'TL15'!J:J),
SUMIF('TL16'!C:C,C253,'TL16'!J:J),
SUMIF('TL17'!C:C,C253,'TL17'!J:J),
SUMIF('TL18'!C:C,C253,'TL18'!J:J),SUMIF('TL19'!C:C,C253,'TL19'!J:J))
,0)</f>
        <v/>
      </c>
      <c r="S253" s="17">
        <f>IFERROR(__xludf.DUMMYFUNCTION("IFERROR(VLOOKUP(C253,
IMPORTRANGE(""1wULbzX32WdYsx-lj2U3uUNBBe2INVIRDtcK0d-Dvl90"",
""26-27!C:G""),
5,
FALSE),
"""")"),38.304)</f>
        <v/>
      </c>
      <c r="T253" s="9" t="n"/>
      <c r="U253" s="92">
        <f>MAX(0,R253-T253)</f>
        <v/>
      </c>
      <c r="V253" s="93">
        <f>U253*S253</f>
        <v/>
      </c>
    </row>
    <row r="254" hidden="1" ht="15.75" customHeight="1" s="297">
      <c r="A254" s="4" t="n"/>
      <c r="B254" s="125" t="inlineStr">
        <is>
          <t>NUTRIÇÃO</t>
        </is>
      </c>
      <c r="C254" s="4" t="inlineStr">
        <is>
          <t>OCTABORATO</t>
        </is>
      </c>
      <c r="D254" s="20" t="n"/>
      <c r="E254" s="9" t="n"/>
      <c r="F254" s="4" t="inlineStr">
        <is>
          <t>KG</t>
        </is>
      </c>
      <c r="G254" s="9" t="n"/>
      <c r="H254" s="9" t="n">
        <v>2</v>
      </c>
      <c r="I254" s="1" t="n"/>
      <c r="J254" s="9">
        <f>IFERROR(SUM(
IF('TL01'!$B$3=J$3,SUMIF('TL01'!$C$10:$C$224,$C254,'TL01'!$J$10:$J$224),0),
IF('TL01'!$B$229=J$3,SUMIF('TL01'!$C$238:$C$451,$C254,'TL01'!$J$238:$J$451),0),
IF('TL02'!$B$3=J$3,SUMIF('TL02'!$C$10:$C$224,$C254,'TL02'!$J$10:$J$224),0),
IF('TL02'!$B$229=J$3,SUMIF('TL02'!$C$238:$C$451,$C254,'TL02'!$J$238:$J$451),0),
IF('TL03'!$B$3=J$3,SUMIF('TL03'!$C$10:$C$224,$C254,'TL03'!$J$10:$J$224),0),
IF('TL03'!$B$229=J$3,SUMIF('TL03'!$C$238:$C$451,$C254,'TL03'!$J$238:$J$451),0),
IF('TL04'!$B$3=J$3,SUMIF('TL04'!$C$10:$C$224,$C254,'TL04'!$J$10:$J$224),0),
IF('TL04'!$B$229=J$3,SUMIF('TL04'!$C$238:$C$451,$C254,'TL04'!$J$238:$J$451),0),
IF('TL05'!$B$3=J$3,SUMIF('TL05'!$C$10:$C$224,$C254,'TL05'!$J$10:$J$224),0),
IF('TL05'!$B$229=J$3,SUMIF('TL05'!$C$238:$C$451,$C254,'TL05'!$J$238:$J$451),0),
IF('TL06'!$B$3=J$3,SUMIF('TL06'!$C$10:$C$224,$C254,'TL06'!$J$10:$J$224),0),
IF('TL06'!$B$229=J$3,SUMIF('TL06'!$C$238:$C$451,$C254,'TL06'!$J$238:$J$451),0),
IF('TL07'!$B$3=J$3,SUMIF('TL07'!$C$10:$C$224,$C254,'TL07'!$J$10:$J$224),0),
IF('TL07'!$B$229=J$3,SUMIF('TL07'!$C$238:$C$451,$C254,'TL07'!$J$238:$J$451),0),
IF('TL08'!$B$3=J$3,SUMIF('TL08'!$C$10:$C$224,$C254,'TL08'!$J$10:$J$224),0),
IF('TL08'!$B$229=J$3,SUMIF('TL08'!$C$238:$C$451,$C254,'TL08'!$J$238:$J$451),0),
IF('TL09'!$B$3=J$3,SUMIF('TL09'!$C$10:$C$224,$C254,'TL09'!$J$10:$J$224),0),
IF('TL09'!$B$229=J$3,SUMIF('TL09'!$C$238:$C$451,$C254,'TL09'!$J$238:$J$451),0),
IF('TL10'!$B$3=J$3,SUMIF('TL10'!$C$10:$C$224,$C254,'TL10'!$J$10:$J$224),0),
IF('TL10'!$B$229=J$3,SUMIF('TL10'!$C$238:$C$451,$C254,'TL10'!$J$238:$J$451),0),
IF('TL11'!$B$3=J$3,SUMIF('TL11'!$C$10:$C$224,$C254,'TL11'!$J$10:$J$224),0),
IF('TL11'!$B$229=J$3,SUMIF('TL11'!$C$238:$C$451,$C254,'TL11'!$J$238:$J$451),0),
IF('TL12'!$B$3=J$3,SUMIF('TL12'!$C$10:$C$224,$C254,'TL12'!$J$10:$J$224),0),
IF('TL12'!$B$229=J$3,SUMIF('TL12'!$C$238:$C$451,$C254,'TL12'!$J$238:$J$451),0),
IF('TL13'!$B$3=J$3,SUMIF('TL13'!$C$10:$C$224,$C254,'TL13'!$J$10:$J$224),0),
IF('TL13'!$B$229=J$3,SUMIF('TL13'!$C$238:$C$451,$C254,'TL13'!$J$238:$J$451),0),
IF('TL14'!$B$3=J$3,SUMIF('TL14'!$C$10:$C$224,$C254,'TL14'!$J$10:$J$224),0),
IF('TL14'!$B$229=J$3,SUMIF('TL14'!$C$238:$C$451,$C254,'TL14'!$J$238:$J$451),0),
IF('TL15'!$B$3=J$3,SUMIF('TL15'!$C$10:$C$224,$C254,'TL15'!$J$10:$J$224),0),
IF('TL15'!$B$229=J$3,SUMIF('TL15'!$C$238:$C$451,$C254,'TL15'!$J$238:$J$451),0),
IF('TL16'!$B$3=J$3,SUMIF('TL16'!$C$10:$C$224,$C254,'TL16'!$J$10:$J$224),0),
IF('TL16'!$B$229=J$3,SUMIF('TL16'!$C$238:$C$451,$C254,'TL16'!$J$238:$J$451),0),
IF('TL17'!$B$3=J$3,SUMIF('TL17'!$C$10:$C$224,$C254,'TL17'!$J$10:$J$224),0),
IF('TL17'!$B$229=J$3,SUMIF('TL17'!$C$238:$C$451,$C254,'TL17'!$J$238:$J$451),0),
IF('TL18'!$B$3=J$3,SUMIF('TL18'!$C$10:$C$224,$C254,'TL18'!$J$10:$J$224),0),
IF('TL18'!$B$229=J$3,SUMIF('TL18'!$C$238:$C$451,$C254,'TL18'!$J$238:$J$451),0),
IF('TL19'!$B$3=J$3,SUMIF('TL19'!$C$10:$C$224,$C254,'TL19'!$J$10:$J$224),0),
IF('TL19'!$B$229=J$3,SUMIF('TL19'!$C$238:$C$451,$C254,'TL19'!$J$238:$J$451),0)
),0)</f>
        <v/>
      </c>
      <c r="K254" s="9">
        <f>IFERROR(SUM(
IF('TL01'!$B$3=K$3,SUMIF('TL01'!$C$10:$C$224,$C254,'TL01'!$J$10:$J$224),0),
IF('TL01'!$B$229=K$3,SUMIF('TL01'!$C$238:$C$451,$C254,'TL01'!$J$238:$J$451),0),
IF('TL02'!$B$3=K$3,SUMIF('TL02'!$C$10:$C$224,$C254,'TL02'!$J$10:$J$224),0),
IF('TL02'!$B$229=K$3,SUMIF('TL02'!$C$238:$C$451,$C254,'TL02'!$J$238:$J$451),0),
IF('TL03'!$B$3=K$3,SUMIF('TL03'!$C$10:$C$224,$C254,'TL03'!$J$10:$J$224),0),
IF('TL03'!$B$229=K$3,SUMIF('TL03'!$C$238:$C$451,$C254,'TL03'!$J$238:$J$451),0),
IF('TL04'!$B$3=K$3,SUMIF('TL04'!$C$10:$C$224,$C254,'TL04'!$J$10:$J$224),0),
IF('TL04'!$B$229=K$3,SUMIF('TL04'!$C$238:$C$451,$C254,'TL04'!$J$238:$J$451),0),
IF('TL05'!$B$3=K$3,SUMIF('TL05'!$C$10:$C$224,$C254,'TL05'!$J$10:$J$224),0),
IF('TL05'!$B$229=K$3,SUMIF('TL05'!$C$238:$C$451,$C254,'TL05'!$J$238:$J$451),0),
IF('TL06'!$B$3=K$3,SUMIF('TL06'!$C$10:$C$224,$C254,'TL06'!$J$10:$J$224),0),
IF('TL06'!$B$229=K$3,SUMIF('TL06'!$C$238:$C$451,$C254,'TL06'!$J$238:$J$451),0),
IF('TL07'!$B$3=K$3,SUMIF('TL07'!$C$10:$C$224,$C254,'TL07'!$J$10:$J$224),0),
IF('TL07'!$B$229=K$3,SUMIF('TL07'!$C$238:$C$451,$C254,'TL07'!$J$238:$J$451),0),
IF('TL08'!$B$3=K$3,SUMIF('TL08'!$C$10:$C$224,$C254,'TL08'!$J$10:$J$224),0),
IF('TL08'!$B$229=K$3,SUMIF('TL08'!$C$238:$C$451,$C254,'TL08'!$J$238:$J$451),0),
IF('TL09'!$B$3=K$3,SUMIF('TL09'!$C$10:$C$224,$C254,'TL09'!$J$10:$J$224),0),
IF('TL09'!$B$229=K$3,SUMIF('TL09'!$C$238:$C$451,$C254,'TL09'!$J$238:$J$451),0),
IF('TL10'!$B$3=K$3,SUMIF('TL10'!$C$10:$C$224,$C254,'TL10'!$J$10:$J$224),0),
IF('TL10'!$B$229=K$3,SUMIF('TL10'!$C$238:$C$451,$C254,'TL10'!$J$238:$J$451),0),
IF('TL11'!$B$3=K$3,SUMIF('TL11'!$C$10:$C$224,$C254,'TL11'!$J$10:$J$224),0),
IF('TL11'!$B$229=K$3,SUMIF('TL11'!$C$238:$C$451,$C254,'TL11'!$J$238:$J$451),0),
IF('TL12'!$B$3=K$3,SUMIF('TL12'!$C$10:$C$224,$C254,'TL12'!$J$10:$J$224),0),
IF('TL12'!$B$229=K$3,SUMIF('TL12'!$C$238:$C$451,$C254,'TL12'!$J$238:$J$451),0),
IF('TL13'!$B$3=K$3,SUMIF('TL13'!$C$10:$C$224,$C254,'TL13'!$J$10:$J$224),0),
IF('TL13'!$B$229=K$3,SUMIF('TL13'!$C$238:$C$451,$C254,'TL13'!$J$238:$J$451),0),
IF('TL14'!$B$3=K$3,SUMIF('TL14'!$C$10:$C$224,$C254,'TL14'!$J$10:$J$224),0),
IF('TL14'!$B$229=K$3,SUMIF('TL14'!$C$238:$C$451,$C254,'TL14'!$J$238:$J$451),0),
IF('TL15'!$B$3=K$3,SUMIF('TL15'!$C$10:$C$224,$C254,'TL15'!$J$10:$J$224),0),
IF('TL15'!$B$229=K$3,SUMIF('TL15'!$C$238:$C$451,$C254,'TL15'!$J$238:$J$451),0),
IF('TL16'!$B$3=K$3,SUMIF('TL16'!$C$10:$C$224,$C254,'TL16'!$J$10:$J$224),0),
IF('TL16'!$B$229=K$3,SUMIF('TL16'!$C$238:$C$451,$C254,'TL16'!$J$238:$J$451),0),
IF('TL17'!$B$3=K$3,SUMIF('TL17'!$C$10:$C$224,$C254,'TL17'!$J$10:$J$224),0),
IF('TL17'!$B$229=K$3,SUMIF('TL17'!$C$238:$C$451,$C254,'TL17'!$J$238:$J$451),0),
IF('TL18'!$B$3=K$3,SUMIF('TL18'!$C$10:$C$224,$C254,'TL18'!$J$10:$J$224),0),
IF('TL18'!$B$229=K$3,SUMIF('TL18'!$C$238:$C$451,$C254,'TL18'!$J$238:$J$451),0),
IF('TL19'!$B$3=K$3,SUMIF('TL19'!$C$10:$C$224,$C254,'TL19'!$J$10:$J$224),0),
IF('TL19'!$B$229=K$3,SUMIF('TL19'!$C$238:$C$451,$C254,'TL19'!$J$238:$J$451),0)
),0)</f>
        <v/>
      </c>
      <c r="L254" s="9">
        <f>IFERROR(SUM(
IF('TL01'!$B$3=L$3,SUMIF('TL01'!$C$10:$C$224,$C254,'TL01'!$J$10:$J$224),0),
IF('TL01'!$B$229=L$3,SUMIF('TL01'!$C$238:$C$451,$C254,'TL01'!$J$238:$J$451),0),
IF('TL02'!$B$3=L$3,SUMIF('TL02'!$C$10:$C$224,$C254,'TL02'!$J$10:$J$224),0),
IF('TL02'!$B$229=L$3,SUMIF('TL02'!$C$238:$C$451,$C254,'TL02'!$J$238:$J$451),0),
IF('TL03'!$B$3=L$3,SUMIF('TL03'!$C$10:$C$224,$C254,'TL03'!$J$10:$J$224),0),
IF('TL03'!$B$229=L$3,SUMIF('TL03'!$C$238:$C$451,$C254,'TL03'!$J$238:$J$451),0),
IF('TL04'!$B$3=L$3,SUMIF('TL04'!$C$10:$C$224,$C254,'TL04'!$J$10:$J$224),0),
IF('TL04'!$B$229=L$3,SUMIF('TL04'!$C$238:$C$451,$C254,'TL04'!$J$238:$J$451),0),
IF('TL05'!$B$3=L$3,SUMIF('TL05'!$C$10:$C$224,$C254,'TL05'!$J$10:$J$224),0),
IF('TL05'!$B$229=L$3,SUMIF('TL05'!$C$238:$C$451,$C254,'TL05'!$J$238:$J$451),0),
IF('TL06'!$B$3=L$3,SUMIF('TL06'!$C$10:$C$224,$C254,'TL06'!$J$10:$J$224),0),
IF('TL06'!$B$229=L$3,SUMIF('TL06'!$C$238:$C$451,$C254,'TL06'!$J$238:$J$451),0),
IF('TL07'!$B$3=L$3,SUMIF('TL07'!$C$10:$C$224,$C254,'TL07'!$J$10:$J$224),0),
IF('TL07'!$B$229=L$3,SUMIF('TL07'!$C$238:$C$451,$C254,'TL07'!$J$238:$J$451),0),
IF('TL08'!$B$3=L$3,SUMIF('TL08'!$C$10:$C$224,$C254,'TL08'!$J$10:$J$224),0),
IF('TL08'!$B$229=L$3,SUMIF('TL08'!$C$238:$C$451,$C254,'TL08'!$J$238:$J$451),0),
IF('TL09'!$B$3=L$3,SUMIF('TL09'!$C$10:$C$224,$C254,'TL09'!$J$10:$J$224),0),
IF('TL09'!$B$229=L$3,SUMIF('TL09'!$C$238:$C$451,$C254,'TL09'!$J$238:$J$451),0),
IF('TL10'!$B$3=L$3,SUMIF('TL10'!$C$10:$C$224,$C254,'TL10'!$J$10:$J$224),0),
IF('TL10'!$B$229=L$3,SUMIF('TL10'!$C$238:$C$451,$C254,'TL10'!$J$238:$J$451),0),
IF('TL11'!$B$3=L$3,SUMIF('TL11'!$C$10:$C$224,$C254,'TL11'!$J$10:$J$224),0),
IF('TL11'!$B$229=L$3,SUMIF('TL11'!$C$238:$C$451,$C254,'TL11'!$J$238:$J$451),0),
IF('TL12'!$B$3=L$3,SUMIF('TL12'!$C$10:$C$224,$C254,'TL12'!$J$10:$J$224),0),
IF('TL12'!$B$229=L$3,SUMIF('TL12'!$C$238:$C$451,$C254,'TL12'!$J$238:$J$451),0),
IF('TL13'!$B$3=L$3,SUMIF('TL13'!$C$10:$C$224,$C254,'TL13'!$J$10:$J$224),0),
IF('TL13'!$B$229=L$3,SUMIF('TL13'!$C$238:$C$451,$C254,'TL13'!$J$238:$J$451),0),
IF('TL14'!$B$3=L$3,SUMIF('TL14'!$C$10:$C$224,$C254,'TL14'!$J$10:$J$224),0),
IF('TL14'!$B$229=L$3,SUMIF('TL14'!$C$238:$C$451,$C254,'TL14'!$J$238:$J$451),0),
IF('TL15'!$B$3=L$3,SUMIF('TL15'!$C$10:$C$224,$C254,'TL15'!$J$10:$J$224),0),
IF('TL15'!$B$229=L$3,SUMIF('TL15'!$C$238:$C$451,$C254,'TL15'!$J$238:$J$451),0),
IF('TL16'!$B$3=L$3,SUMIF('TL16'!$C$10:$C$224,$C254,'TL16'!$J$10:$J$224),0),
IF('TL16'!$B$229=L$3,SUMIF('TL16'!$C$238:$C$451,$C254,'TL16'!$J$238:$J$451),0),
IF('TL17'!$B$3=L$3,SUMIF('TL17'!$C$10:$C$224,$C254,'TL17'!$J$10:$J$224),0),
IF('TL17'!$B$229=L$3,SUMIF('TL17'!$C$238:$C$451,$C254,'TL17'!$J$238:$J$451),0),
IF('TL18'!$B$3=L$3,SUMIF('TL18'!$C$10:$C$224,$C254,'TL18'!$J$10:$J$224),0),
IF('TL18'!$B$229=L$3,SUMIF('TL18'!$C$238:$C$451,$C254,'TL18'!$J$238:$J$451),0),
IF('TL19'!$B$3=L$3,SUMIF('TL19'!$C$10:$C$224,$C254,'TL19'!$J$10:$J$224),0),
IF('TL19'!$B$229=L$3,SUMIF('TL19'!$C$238:$C$451,$C254,'TL19'!$J$238:$J$451),0)
),0)</f>
        <v/>
      </c>
      <c r="M254" s="9">
        <f>IFERROR(SUM(
IF('TL01'!$B$3=M$3,SUMIF('TL01'!$C$10:$C$224,$C254,'TL01'!$J$10:$J$224),0),
IF('TL01'!$B$229=M$3,SUMIF('TL01'!$C$238:$C$451,$C254,'TL01'!$J$238:$J$451),0),
IF('TL02'!$B$3=M$3,SUMIF('TL02'!$C$10:$C$224,$C254,'TL02'!$J$10:$J$224),0),
IF('TL02'!$B$229=M$3,SUMIF('TL02'!$C$238:$C$451,$C254,'TL02'!$J$238:$J$451),0),
IF('TL03'!$B$3=M$3,SUMIF('TL03'!$C$10:$C$224,$C254,'TL03'!$J$10:$J$224),0),
IF('TL03'!$B$229=M$3,SUMIF('TL03'!$C$238:$C$451,$C254,'TL03'!$J$238:$J$451),0),
IF('TL04'!$B$3=M$3,SUMIF('TL04'!$C$10:$C$224,$C254,'TL04'!$J$10:$J$224),0),
IF('TL04'!$B$229=M$3,SUMIF('TL04'!$C$238:$C$451,$C254,'TL04'!$J$238:$J$451),0),
IF('TL05'!$B$3=M$3,SUMIF('TL05'!$C$10:$C$224,$C254,'TL05'!$J$10:$J$224),0),
IF('TL05'!$B$229=M$3,SUMIF('TL05'!$C$238:$C$451,$C254,'TL05'!$J$238:$J$451),0),
IF('TL06'!$B$3=M$3,SUMIF('TL06'!$C$10:$C$224,$C254,'TL06'!$J$10:$J$224),0),
IF('TL06'!$B$229=M$3,SUMIF('TL06'!$C$238:$C$451,$C254,'TL06'!$J$238:$J$451),0),
IF('TL07'!$B$3=M$3,SUMIF('TL07'!$C$10:$C$224,$C254,'TL07'!$J$10:$J$224),0),
IF('TL07'!$B$229=M$3,SUMIF('TL07'!$C$238:$C$451,$C254,'TL07'!$J$238:$J$451),0),
IF('TL08'!$B$3=M$3,SUMIF('TL08'!$C$10:$C$224,$C254,'TL08'!$J$10:$J$224),0),
IF('TL08'!$B$229=M$3,SUMIF('TL08'!$C$238:$C$451,$C254,'TL08'!$J$238:$J$451),0),
IF('TL09'!$B$3=M$3,SUMIF('TL09'!$C$10:$C$224,$C254,'TL09'!$J$10:$J$224),0),
IF('TL09'!$B$229=M$3,SUMIF('TL09'!$C$238:$C$451,$C254,'TL09'!$J$238:$J$451),0),
IF('TL10'!$B$3=M$3,SUMIF('TL10'!$C$10:$C$224,$C254,'TL10'!$J$10:$J$224),0),
IF('TL10'!$B$229=M$3,SUMIF('TL10'!$C$238:$C$451,$C254,'TL10'!$J$238:$J$451),0),
IF('TL11'!$B$3=M$3,SUMIF('TL11'!$C$10:$C$224,$C254,'TL11'!$J$10:$J$224),0),
IF('TL11'!$B$229=M$3,SUMIF('TL11'!$C$238:$C$451,$C254,'TL11'!$J$238:$J$451),0),
IF('TL12'!$B$3=M$3,SUMIF('TL12'!$C$10:$C$224,$C254,'TL12'!$J$10:$J$224),0),
IF('TL12'!$B$229=M$3,SUMIF('TL12'!$C$238:$C$451,$C254,'TL12'!$J$238:$J$451),0),
IF('TL13'!$B$3=M$3,SUMIF('TL13'!$C$10:$C$224,$C254,'TL13'!$J$10:$J$224),0),
IF('TL13'!$B$229=M$3,SUMIF('TL13'!$C$238:$C$451,$C254,'TL13'!$J$238:$J$451),0),
IF('TL14'!$B$3=M$3,SUMIF('TL14'!$C$10:$C$224,$C254,'TL14'!$J$10:$J$224),0),
IF('TL14'!$B$229=M$3,SUMIF('TL14'!$C$238:$C$451,$C254,'TL14'!$J$238:$J$451),0),
IF('TL15'!$B$3=M$3,SUMIF('TL15'!$C$10:$C$224,$C254,'TL15'!$J$10:$J$224),0),
IF('TL15'!$B$229=M$3,SUMIF('TL15'!$C$238:$C$451,$C254,'TL15'!$J$238:$J$451),0),
IF('TL16'!$B$3=M$3,SUMIF('TL16'!$C$10:$C$224,$C254,'TL16'!$J$10:$J$224),0),
IF('TL16'!$B$229=M$3,SUMIF('TL16'!$C$238:$C$451,$C254,'TL16'!$J$238:$J$451),0),
IF('TL17'!$B$3=M$3,SUMIF('TL17'!$C$10:$C$224,$C254,'TL17'!$J$10:$J$224),0),
IF('TL17'!$B$229=M$3,SUMIF('TL17'!$C$238:$C$451,$C254,'TL17'!$J$238:$J$451),0),
IF('TL18'!$B$3=M$3,SUMIF('TL18'!$C$10:$C$224,$C254,'TL18'!$J$10:$J$224),0),
IF('TL18'!$B$229=M$3,SUMIF('TL18'!$C$238:$C$451,$C254,'TL18'!$J$238:$J$451),0),
IF('TL19'!$B$3=M$3,SUMIF('TL19'!$C$10:$C$224,$C254,'TL19'!$J$10:$J$224),0),
IF('TL19'!$B$229=M$3,SUMIF('TL19'!$C$238:$C$451,$C254,'TL19'!$J$238:$J$451),0)
),0)</f>
        <v/>
      </c>
      <c r="N254" s="9">
        <f>IFERROR(SUM(
IF('TL01'!$B$3=N$3,SUMIF('TL01'!$C$10:$C$224,$C254,'TL01'!$J$10:$J$224),0),
IF('TL01'!$B$229=N$3,SUMIF('TL01'!$C$238:$C$451,$C254,'TL01'!$J$238:$J$451),0),
IF('TL02'!$B$3=N$3,SUMIF('TL02'!$C$10:$C$224,$C254,'TL02'!$J$10:$J$224),0),
IF('TL02'!$B$229=N$3,SUMIF('TL02'!$C$238:$C$451,$C254,'TL02'!$J$238:$J$451),0),
IF('TL03'!$B$3=N$3,SUMIF('TL03'!$C$10:$C$224,$C254,'TL03'!$J$10:$J$224),0),
IF('TL03'!$B$229=N$3,SUMIF('TL03'!$C$238:$C$451,$C254,'TL03'!$J$238:$J$451),0),
IF('TL04'!$B$3=N$3,SUMIF('TL04'!$C$10:$C$224,$C254,'TL04'!$J$10:$J$224),0),
IF('TL04'!$B$229=N$3,SUMIF('TL04'!$C$238:$C$451,$C254,'TL04'!$J$238:$J$451),0),
IF('TL05'!$B$3=N$3,SUMIF('TL05'!$C$10:$C$224,$C254,'TL05'!$J$10:$J$224),0),
IF('TL05'!$B$229=N$3,SUMIF('TL05'!$C$238:$C$451,$C254,'TL05'!$J$238:$J$451),0),
IF('TL06'!$B$3=N$3,SUMIF('TL06'!$C$10:$C$224,$C254,'TL06'!$J$10:$J$224),0),
IF('TL06'!$B$229=N$3,SUMIF('TL06'!$C$238:$C$451,$C254,'TL06'!$J$238:$J$451),0),
IF('TL07'!$B$3=N$3,SUMIF('TL07'!$C$10:$C$224,$C254,'TL07'!$J$10:$J$224),0),
IF('TL07'!$B$229=N$3,SUMIF('TL07'!$C$238:$C$451,$C254,'TL07'!$J$238:$J$451),0),
IF('TL08'!$B$3=N$3,SUMIF('TL08'!$C$10:$C$224,$C254,'TL08'!$J$10:$J$224),0),
IF('TL08'!$B$229=N$3,SUMIF('TL08'!$C$238:$C$451,$C254,'TL08'!$J$238:$J$451),0),
IF('TL09'!$B$3=N$3,SUMIF('TL09'!$C$10:$C$224,$C254,'TL09'!$J$10:$J$224),0),
IF('TL09'!$B$229=N$3,SUMIF('TL09'!$C$238:$C$451,$C254,'TL09'!$J$238:$J$451),0),
IF('TL10'!$B$3=N$3,SUMIF('TL10'!$C$10:$C$224,$C254,'TL10'!$J$10:$J$224),0),
IF('TL10'!$B$229=N$3,SUMIF('TL10'!$C$238:$C$451,$C254,'TL10'!$J$238:$J$451),0),
IF('TL11'!$B$3=N$3,SUMIF('TL11'!$C$10:$C$224,$C254,'TL11'!$J$10:$J$224),0),
IF('TL11'!$B$229=N$3,SUMIF('TL11'!$C$238:$C$451,$C254,'TL11'!$J$238:$J$451),0),
IF('TL12'!$B$3=N$3,SUMIF('TL12'!$C$10:$C$224,$C254,'TL12'!$J$10:$J$224),0),
IF('TL12'!$B$229=N$3,SUMIF('TL12'!$C$238:$C$451,$C254,'TL12'!$J$238:$J$451),0),
IF('TL13'!$B$3=N$3,SUMIF('TL13'!$C$10:$C$224,$C254,'TL13'!$J$10:$J$224),0),
IF('TL13'!$B$229=N$3,SUMIF('TL13'!$C$238:$C$451,$C254,'TL13'!$J$238:$J$451),0),
IF('TL14'!$B$3=N$3,SUMIF('TL14'!$C$10:$C$224,$C254,'TL14'!$J$10:$J$224),0),
IF('TL14'!$B$229=N$3,SUMIF('TL14'!$C$238:$C$451,$C254,'TL14'!$J$238:$J$451),0),
IF('TL15'!$B$3=N$3,SUMIF('TL15'!$C$10:$C$224,$C254,'TL15'!$J$10:$J$224),0),
IF('TL15'!$B$229=N$3,SUMIF('TL15'!$C$238:$C$451,$C254,'TL15'!$J$238:$J$451),0),
IF('TL16'!$B$3=N$3,SUMIF('TL16'!$C$10:$C$224,$C254,'TL16'!$J$10:$J$224),0),
IF('TL16'!$B$229=N$3,SUMIF('TL16'!$C$238:$C$451,$C254,'TL16'!$J$238:$J$451),0),
IF('TL17'!$B$3=N$3,SUMIF('TL17'!$C$10:$C$224,$C254,'TL17'!$J$10:$J$224),0),
IF('TL17'!$B$229=N$3,SUMIF('TL17'!$C$238:$C$451,$C254,'TL17'!$J$238:$J$451),0),
IF('TL18'!$B$3=N$3,SUMIF('TL18'!$C$10:$C$224,$C254,'TL18'!$J$10:$J$224),0),
IF('TL18'!$B$229=N$3,SUMIF('TL18'!$C$238:$C$451,$C254,'TL18'!$J$238:$J$451),0),
IF('TL19'!$B$3=N$3,SUMIF('TL19'!$C$10:$C$224,$C254,'TL19'!$J$10:$J$224),0),
IF('TL19'!$B$229=N$3,SUMIF('TL19'!$C$238:$C$451,$C254,'TL19'!$J$238:$J$451),0)
),0)</f>
        <v/>
      </c>
      <c r="O254" s="9">
        <f>IFERROR(SUM(
IF('TL01'!$B$3=O$3,SUMIF('TL01'!$C$10:$C$224,$C254,'TL01'!$J$10:$J$224),0),
IF('TL01'!$B$229=O$3,SUMIF('TL01'!$C$238:$C$451,$C254,'TL01'!$J$238:$J$451),0),
IF('TL02'!$B$3=O$3,SUMIF('TL02'!$C$10:$C$224,$C254,'TL02'!$J$10:$J$224),0),
IF('TL02'!$B$229=O$3,SUMIF('TL02'!$C$238:$C$451,$C254,'TL02'!$J$238:$J$451),0),
IF('TL03'!$B$3=O$3,SUMIF('TL03'!$C$10:$C$224,$C254,'TL03'!$J$10:$J$224),0),
IF('TL03'!$B$229=O$3,SUMIF('TL03'!$C$238:$C$451,$C254,'TL03'!$J$238:$J$451),0),
IF('TL04'!$B$3=O$3,SUMIF('TL04'!$C$10:$C$224,$C254,'TL04'!$J$10:$J$224),0),
IF('TL04'!$B$229=O$3,SUMIF('TL04'!$C$238:$C$451,$C254,'TL04'!$J$238:$J$451),0),
IF('TL05'!$B$3=O$3,SUMIF('TL05'!$C$10:$C$224,$C254,'TL05'!$J$10:$J$224),0),
IF('TL05'!$B$229=O$3,SUMIF('TL05'!$C$238:$C$451,$C254,'TL05'!$J$238:$J$451),0),
IF('TL06'!$B$3=O$3,SUMIF('TL06'!$C$10:$C$224,$C254,'TL06'!$J$10:$J$224),0),
IF('TL06'!$B$229=O$3,SUMIF('TL06'!$C$238:$C$451,$C254,'TL06'!$J$238:$J$451),0),
IF('TL07'!$B$3=O$3,SUMIF('TL07'!$C$10:$C$224,$C254,'TL07'!$J$10:$J$224),0),
IF('TL07'!$B$229=O$3,SUMIF('TL07'!$C$238:$C$451,$C254,'TL07'!$J$238:$J$451),0),
IF('TL08'!$B$3=O$3,SUMIF('TL08'!$C$10:$C$224,$C254,'TL08'!$J$10:$J$224),0),
IF('TL08'!$B$229=O$3,SUMIF('TL08'!$C$238:$C$451,$C254,'TL08'!$J$238:$J$451),0),
IF('TL09'!$B$3=O$3,SUMIF('TL09'!$C$10:$C$224,$C254,'TL09'!$J$10:$J$224),0),
IF('TL09'!$B$229=O$3,SUMIF('TL09'!$C$238:$C$451,$C254,'TL09'!$J$238:$J$451),0),
IF('TL10'!$B$3=O$3,SUMIF('TL10'!$C$10:$C$224,$C254,'TL10'!$J$10:$J$224),0),
IF('TL10'!$B$229=O$3,SUMIF('TL10'!$C$238:$C$451,$C254,'TL10'!$J$238:$J$451),0),
IF('TL11'!$B$3=O$3,SUMIF('TL11'!$C$10:$C$224,$C254,'TL11'!$J$10:$J$224),0),
IF('TL11'!$B$229=O$3,SUMIF('TL11'!$C$238:$C$451,$C254,'TL11'!$J$238:$J$451),0),
IF('TL12'!$B$3=O$3,SUMIF('TL12'!$C$10:$C$224,$C254,'TL12'!$J$10:$J$224),0),
IF('TL12'!$B$229=O$3,SUMIF('TL12'!$C$238:$C$451,$C254,'TL12'!$J$238:$J$451),0),
IF('TL13'!$B$3=O$3,SUMIF('TL13'!$C$10:$C$224,$C254,'TL13'!$J$10:$J$224),0),
IF('TL13'!$B$229=O$3,SUMIF('TL13'!$C$238:$C$451,$C254,'TL13'!$J$238:$J$451),0),
IF('TL14'!$B$3=O$3,SUMIF('TL14'!$C$10:$C$224,$C254,'TL14'!$J$10:$J$224),0),
IF('TL14'!$B$229=O$3,SUMIF('TL14'!$C$238:$C$451,$C254,'TL14'!$J$238:$J$451),0),
IF('TL15'!$B$3=O$3,SUMIF('TL15'!$C$10:$C$224,$C254,'TL15'!$J$10:$J$224),0),
IF('TL15'!$B$229=O$3,SUMIF('TL15'!$C$238:$C$451,$C254,'TL15'!$J$238:$J$451),0),
IF('TL16'!$B$3=O$3,SUMIF('TL16'!$C$10:$C$224,$C254,'TL16'!$J$10:$J$224),0),
IF('TL16'!$B$229=O$3,SUMIF('TL16'!$C$238:$C$451,$C254,'TL16'!$J$238:$J$451),0),
IF('TL17'!$B$3=O$3,SUMIF('TL17'!$C$10:$C$224,$C254,'TL17'!$J$10:$J$224),0),
IF('TL17'!$B$229=O$3,SUMIF('TL17'!$C$238:$C$451,$C254,'TL17'!$J$238:$J$451),0),
IF('TL18'!$B$3=O$3,SUMIF('TL18'!$C$10:$C$224,$C254,'TL18'!$J$10:$J$224),0),
IF('TL18'!$B$229=O$3,SUMIF('TL18'!$C$238:$C$451,$C254,'TL18'!$J$238:$J$451),0),
IF('TL19'!$B$3=O$3,SUMIF('TL19'!$C$10:$C$224,$C254,'TL19'!$J$10:$J$224),0),
IF('TL19'!$B$229=O$3,SUMIF('TL19'!$C$238:$C$451,$C254,'TL19'!$J$238:$J$451),0)
),0)</f>
        <v/>
      </c>
      <c r="P254" s="9">
        <f>IFERROR(SUM(
IF('TL01'!$B$3=P$3,SUMIF('TL01'!$C$10:$C$224,$C254,'TL01'!$J$10:$J$224),0),
IF('TL01'!$B$229=P$3,SUMIF('TL01'!$C$238:$C$451,$C254,'TL01'!$J$238:$J$451),0),
IF('TL02'!$B$3=P$3,SUMIF('TL02'!$C$10:$C$224,$C254,'TL02'!$J$10:$J$224),0),
IF('TL02'!$B$229=P$3,SUMIF('TL02'!$C$238:$C$451,$C254,'TL02'!$J$238:$J$451),0),
IF('TL03'!$B$3=P$3,SUMIF('TL03'!$C$10:$C$224,$C254,'TL03'!$J$10:$J$224),0),
IF('TL03'!$B$229=P$3,SUMIF('TL03'!$C$238:$C$451,$C254,'TL03'!$J$238:$J$451),0),
IF('TL04'!$B$3=P$3,SUMIF('TL04'!$C$10:$C$224,$C254,'TL04'!$J$10:$J$224),0),
IF('TL04'!$B$229=P$3,SUMIF('TL04'!$C$238:$C$451,$C254,'TL04'!$J$238:$J$451),0),
IF('TL05'!$B$3=P$3,SUMIF('TL05'!$C$10:$C$224,$C254,'TL05'!$J$10:$J$224),0),
IF('TL05'!$B$229=P$3,SUMIF('TL05'!$C$238:$C$451,$C254,'TL05'!$J$238:$J$451),0),
IF('TL06'!$B$3=P$3,SUMIF('TL06'!$C$10:$C$224,$C254,'TL06'!$J$10:$J$224),0),
IF('TL06'!$B$229=P$3,SUMIF('TL06'!$C$238:$C$451,$C254,'TL06'!$J$238:$J$451),0),
IF('TL07'!$B$3=P$3,SUMIF('TL07'!$C$10:$C$224,$C254,'TL07'!$J$10:$J$224),0),
IF('TL07'!$B$229=P$3,SUMIF('TL07'!$C$238:$C$451,$C254,'TL07'!$J$238:$J$451),0),
IF('TL08'!$B$3=P$3,SUMIF('TL08'!$C$10:$C$224,$C254,'TL08'!$J$10:$J$224),0),
IF('TL08'!$B$229=P$3,SUMIF('TL08'!$C$238:$C$451,$C254,'TL08'!$J$238:$J$451),0),
IF('TL09'!$B$3=P$3,SUMIF('TL09'!$C$10:$C$224,$C254,'TL09'!$J$10:$J$224),0),
IF('TL09'!$B$229=P$3,SUMIF('TL09'!$C$238:$C$451,$C254,'TL09'!$J$238:$J$451),0),
IF('TL10'!$B$3=P$3,SUMIF('TL10'!$C$10:$C$224,$C254,'TL10'!$J$10:$J$224),0),
IF('TL10'!$B$229=P$3,SUMIF('TL10'!$C$238:$C$451,$C254,'TL10'!$J$238:$J$451),0),
IF('TL11'!$B$3=P$3,SUMIF('TL11'!$C$10:$C$224,$C254,'TL11'!$J$10:$J$224),0),
IF('TL11'!$B$229=P$3,SUMIF('TL11'!$C$238:$C$451,$C254,'TL11'!$J$238:$J$451),0),
IF('TL12'!$B$3=P$3,SUMIF('TL12'!$C$10:$C$224,$C254,'TL12'!$J$10:$J$224),0),
IF('TL12'!$B$229=P$3,SUMIF('TL12'!$C$238:$C$451,$C254,'TL12'!$J$238:$J$451),0),
IF('TL13'!$B$3=P$3,SUMIF('TL13'!$C$10:$C$224,$C254,'TL13'!$J$10:$J$224),0),
IF('TL13'!$B$229=P$3,SUMIF('TL13'!$C$238:$C$451,$C254,'TL13'!$J$238:$J$451),0),
IF('TL14'!$B$3=P$3,SUMIF('TL14'!$C$10:$C$224,$C254,'TL14'!$J$10:$J$224),0),
IF('TL14'!$B$229=P$3,SUMIF('TL14'!$C$238:$C$451,$C254,'TL14'!$J$238:$J$451),0),
IF('TL15'!$B$3=P$3,SUMIF('TL15'!$C$10:$C$224,$C254,'TL15'!$J$10:$J$224),0),
IF('TL15'!$B$229=P$3,SUMIF('TL15'!$C$238:$C$451,$C254,'TL15'!$J$238:$J$451),0),
IF('TL16'!$B$3=P$3,SUMIF('TL16'!$C$10:$C$224,$C254,'TL16'!$J$10:$J$224),0),
IF('TL16'!$B$229=P$3,SUMIF('TL16'!$C$238:$C$451,$C254,'TL16'!$J$238:$J$451),0),
IF('TL17'!$B$3=P$3,SUMIF('TL17'!$C$10:$C$224,$C254,'TL17'!$J$10:$J$224),0),
IF('TL17'!$B$229=P$3,SUMIF('TL17'!$C$238:$C$451,$C254,'TL17'!$J$238:$J$451),0),
IF('TL18'!$B$3=P$3,SUMIF('TL18'!$C$10:$C$224,$C254,'TL18'!$J$10:$J$224),0),
IF('TL18'!$B$229=P$3,SUMIF('TL18'!$C$238:$C$451,$C254,'TL18'!$J$238:$J$451),0),
IF('TL19'!$B$3=P$3,SUMIF('TL19'!$C$10:$C$224,$C254,'TL19'!$J$10:$J$224),0),
IF('TL19'!$B$229=P$3,SUMIF('TL19'!$C$238:$C$451,$C254,'TL19'!$J$238:$J$451),0)
),0)</f>
        <v/>
      </c>
      <c r="Q254" s="9">
        <f>IFERROR(SUM(
IF('TL01'!$B$3=Q$3,SUMIF('TL01'!$C$10:$C$224,$C254,'TL01'!$J$10:$J$224),0),
IF('TL01'!$B$229=Q$3,SUMIF('TL01'!$C$238:$C$451,$C254,'TL01'!$J$238:$J$451),0),
IF('TL02'!$B$3=Q$3,SUMIF('TL02'!$C$10:$C$224,$C254,'TL02'!$J$10:$J$224),0),
IF('TL02'!$B$229=Q$3,SUMIF('TL02'!$C$238:$C$451,$C254,'TL02'!$J$238:$J$451),0),
IF('TL03'!$B$3=Q$3,SUMIF('TL03'!$C$10:$C$224,$C254,'TL03'!$J$10:$J$224),0),
IF('TL03'!$B$229=Q$3,SUMIF('TL03'!$C$238:$C$451,$C254,'TL03'!$J$238:$J$451),0),
IF('TL04'!$B$3=Q$3,SUMIF('TL04'!$C$10:$C$224,$C254,'TL04'!$J$10:$J$224),0),
IF('TL04'!$B$229=Q$3,SUMIF('TL04'!$C$238:$C$451,$C254,'TL04'!$J$238:$J$451),0),
IF('TL05'!$B$3=Q$3,SUMIF('TL05'!$C$10:$C$224,$C254,'TL05'!$J$10:$J$224),0),
IF('TL05'!$B$229=Q$3,SUMIF('TL05'!$C$238:$C$451,$C254,'TL05'!$J$238:$J$451),0),
IF('TL06'!$B$3=Q$3,SUMIF('TL06'!$C$10:$C$224,$C254,'TL06'!$J$10:$J$224),0),
IF('TL06'!$B$229=Q$3,SUMIF('TL06'!$C$238:$C$451,$C254,'TL06'!$J$238:$J$451),0),
IF('TL07'!$B$3=Q$3,SUMIF('TL07'!$C$10:$C$224,$C254,'TL07'!$J$10:$J$224),0),
IF('TL07'!$B$229=Q$3,SUMIF('TL07'!$C$238:$C$451,$C254,'TL07'!$J$238:$J$451),0),
IF('TL08'!$B$3=Q$3,SUMIF('TL08'!$C$10:$C$224,$C254,'TL08'!$J$10:$J$224),0),
IF('TL08'!$B$229=Q$3,SUMIF('TL08'!$C$238:$C$451,$C254,'TL08'!$J$238:$J$451),0),
IF('TL09'!$B$3=Q$3,SUMIF('TL09'!$C$10:$C$224,$C254,'TL09'!$J$10:$J$224),0),
IF('TL09'!$B$229=Q$3,SUMIF('TL09'!$C$238:$C$451,$C254,'TL09'!$J$238:$J$451),0),
IF('TL10'!$B$3=Q$3,SUMIF('TL10'!$C$10:$C$224,$C254,'TL10'!$J$10:$J$224),0),
IF('TL10'!$B$229=Q$3,SUMIF('TL10'!$C$238:$C$451,$C254,'TL10'!$J$238:$J$451),0),
IF('TL11'!$B$3=Q$3,SUMIF('TL11'!$C$10:$C$224,$C254,'TL11'!$J$10:$J$224),0),
IF('TL11'!$B$229=Q$3,SUMIF('TL11'!$C$238:$C$451,$C254,'TL11'!$J$238:$J$451),0),
IF('TL12'!$B$3=Q$3,SUMIF('TL12'!$C$10:$C$224,$C254,'TL12'!$J$10:$J$224),0),
IF('TL12'!$B$229=Q$3,SUMIF('TL12'!$C$238:$C$451,$C254,'TL12'!$J$238:$J$451),0),
IF('TL13'!$B$3=Q$3,SUMIF('TL13'!$C$10:$C$224,$C254,'TL13'!$J$10:$J$224),0),
IF('TL13'!$B$229=Q$3,SUMIF('TL13'!$C$238:$C$451,$C254,'TL13'!$J$238:$J$451),0),
IF('TL14'!$B$3=Q$3,SUMIF('TL14'!$C$10:$C$224,$C254,'TL14'!$J$10:$J$224),0),
IF('TL14'!$B$229=Q$3,SUMIF('TL14'!$C$238:$C$451,$C254,'TL14'!$J$238:$J$451),0),
IF('TL15'!$B$3=Q$3,SUMIF('TL15'!$C$10:$C$224,$C254,'TL15'!$J$10:$J$224),0),
IF('TL15'!$B$229=Q$3,SUMIF('TL15'!$C$238:$C$451,$C254,'TL15'!$J$238:$J$451),0),
IF('TL16'!$B$3=Q$3,SUMIF('TL16'!$C$10:$C$224,$C254,'TL16'!$J$10:$J$224),0),
IF('TL16'!$B$229=Q$3,SUMIF('TL16'!$C$238:$C$451,$C254,'TL16'!$J$238:$J$451),0),
IF('TL17'!$B$3=Q$3,SUMIF('TL17'!$C$10:$C$224,$C254,'TL17'!$J$10:$J$224),0),
IF('TL17'!$B$229=Q$3,SUMIF('TL17'!$C$238:$C$451,$C254,'TL17'!$J$238:$J$451),0),
IF('TL18'!$B$3=Q$3,SUMIF('TL18'!$C$10:$C$224,$C254,'TL18'!$J$10:$J$224),0),
IF('TL18'!$B$229=Q$3,SUMIF('TL18'!$C$238:$C$451,$C254,'TL18'!$J$238:$J$451),0),
IF('TL19'!$B$3=Q$3,SUMIF('TL19'!$C$10:$C$224,$C254,'TL19'!$J$10:$J$224),0),
IF('TL19'!$B$229=Q$3,SUMIF('TL19'!$C$238:$C$451,$C254,'TL19'!$J$238:$J$451),0)
),0)</f>
        <v/>
      </c>
      <c r="R254" s="9">
        <f>IFERROR(
SUM(
SUMIF('TL01'!C:C,C254,'TL01'!J:J),
SUMIF('TL02'!C:C,C254,'TL02'!J:J),
SUMIF('TL03'!C:C,C254,'TL03'!J:J),
SUMIF('TL04'!C:C,C254,'TL04'!J:J),
SUMIF('TL05'!C:C,C254,'TL05'!J:J),
SUMIF('TL06'!C:C,C254,'TL06'!J:J),
SUMIF('TL07'!C:C,C254,'TL07'!J:J),
SUMIF('TL08'!C:C,C254,'TL08'!J:J),
SUMIF('TL09'!C:C,C254,'TL09'!J:J),
SUMIF('TL10'!C:C,C254,'TL10'!J:J),
SUMIF('TL11'!C:C,C254,'TL11'!J:J),
SUMIF('TL12'!C:C,C254,'TL12'!J:J),
SUMIF('TL13'!C:C,C254,'TL13'!J:J),
SUMIF('TL14'!C:C,C254,'TL14'!J:J),
SUMIF('TL15'!C:C,C254,'TL15'!J:J),
SUMIF('TL16'!C:C,C254,'TL16'!J:J),
SUMIF('TL17'!C:C,C254,'TL17'!J:J),
SUMIF('TL18'!C:C,C254,'TL18'!J:J),SUMIF('TL19'!C:C,C254,'TL19'!J:J))
,0)</f>
        <v/>
      </c>
      <c r="S254" s="17">
        <f>IFERROR(__xludf.DUMMYFUNCTION("IFERROR(VLOOKUP(C254,
IMPORTRANGE(""1wULbzX32WdYsx-lj2U3uUNBBe2INVIRDtcK0d-Dvl90"",
""26-27!C:G""),
5,
FALSE),
"""")"),11.86)</f>
        <v/>
      </c>
      <c r="T254" s="9" t="n"/>
      <c r="U254" s="92">
        <f>MAX(0,R254-T254)</f>
        <v/>
      </c>
      <c r="V254" s="93">
        <f>U254*S254</f>
        <v/>
      </c>
    </row>
    <row r="255" hidden="1" ht="15.75" customHeight="1" s="297">
      <c r="A255" s="4" t="inlineStr">
        <is>
          <t>AGROPLACE</t>
        </is>
      </c>
      <c r="B255" s="125" t="inlineStr">
        <is>
          <t>NUTRIÇÃO</t>
        </is>
      </c>
      <c r="C255" s="4" t="inlineStr">
        <is>
          <t>BOP</t>
        </is>
      </c>
      <c r="D255" s="4" t="inlineStr">
        <is>
          <t>N1%;B9,5%</t>
        </is>
      </c>
      <c r="E255" s="9" t="inlineStr">
        <is>
          <t>13,8g/l + 131,1g/l</t>
        </is>
      </c>
      <c r="F255" s="4" t="inlineStr">
        <is>
          <t>L</t>
        </is>
      </c>
      <c r="G255" s="9" t="n"/>
      <c r="H255" s="9" t="n">
        <v>2</v>
      </c>
      <c r="I255" s="1" t="n"/>
      <c r="J255" s="9">
        <f>IFERROR(SUM(
IF('TL01'!$B$3=J$3,SUMIF('TL01'!$C$10:$C$224,$C255,'TL01'!$J$10:$J$224),0),
IF('TL01'!$B$229=J$3,SUMIF('TL01'!$C$238:$C$451,$C255,'TL01'!$J$238:$J$451),0),
IF('TL02'!$B$3=J$3,SUMIF('TL02'!$C$10:$C$224,$C255,'TL02'!$J$10:$J$224),0),
IF('TL02'!$B$229=J$3,SUMIF('TL02'!$C$238:$C$451,$C255,'TL02'!$J$238:$J$451),0),
IF('TL03'!$B$3=J$3,SUMIF('TL03'!$C$10:$C$224,$C255,'TL03'!$J$10:$J$224),0),
IF('TL03'!$B$229=J$3,SUMIF('TL03'!$C$238:$C$451,$C255,'TL03'!$J$238:$J$451),0),
IF('TL04'!$B$3=J$3,SUMIF('TL04'!$C$10:$C$224,$C255,'TL04'!$J$10:$J$224),0),
IF('TL04'!$B$229=J$3,SUMIF('TL04'!$C$238:$C$451,$C255,'TL04'!$J$238:$J$451),0),
IF('TL05'!$B$3=J$3,SUMIF('TL05'!$C$10:$C$224,$C255,'TL05'!$J$10:$J$224),0),
IF('TL05'!$B$229=J$3,SUMIF('TL05'!$C$238:$C$451,$C255,'TL05'!$J$238:$J$451),0),
IF('TL06'!$B$3=J$3,SUMIF('TL06'!$C$10:$C$224,$C255,'TL06'!$J$10:$J$224),0),
IF('TL06'!$B$229=J$3,SUMIF('TL06'!$C$238:$C$451,$C255,'TL06'!$J$238:$J$451),0),
IF('TL07'!$B$3=J$3,SUMIF('TL07'!$C$10:$C$224,$C255,'TL07'!$J$10:$J$224),0),
IF('TL07'!$B$229=J$3,SUMIF('TL07'!$C$238:$C$451,$C255,'TL07'!$J$238:$J$451),0),
IF('TL08'!$B$3=J$3,SUMIF('TL08'!$C$10:$C$224,$C255,'TL08'!$J$10:$J$224),0),
IF('TL08'!$B$229=J$3,SUMIF('TL08'!$C$238:$C$451,$C255,'TL08'!$J$238:$J$451),0),
IF('TL09'!$B$3=J$3,SUMIF('TL09'!$C$10:$C$224,$C255,'TL09'!$J$10:$J$224),0),
IF('TL09'!$B$229=J$3,SUMIF('TL09'!$C$238:$C$451,$C255,'TL09'!$J$238:$J$451),0),
IF('TL10'!$B$3=J$3,SUMIF('TL10'!$C$10:$C$224,$C255,'TL10'!$J$10:$J$224),0),
IF('TL10'!$B$229=J$3,SUMIF('TL10'!$C$238:$C$451,$C255,'TL10'!$J$238:$J$451),0),
IF('TL11'!$B$3=J$3,SUMIF('TL11'!$C$10:$C$224,$C255,'TL11'!$J$10:$J$224),0),
IF('TL11'!$B$229=J$3,SUMIF('TL11'!$C$238:$C$451,$C255,'TL11'!$J$238:$J$451),0),
IF('TL12'!$B$3=J$3,SUMIF('TL12'!$C$10:$C$224,$C255,'TL12'!$J$10:$J$224),0),
IF('TL12'!$B$229=J$3,SUMIF('TL12'!$C$238:$C$451,$C255,'TL12'!$J$238:$J$451),0),
IF('TL13'!$B$3=J$3,SUMIF('TL13'!$C$10:$C$224,$C255,'TL13'!$J$10:$J$224),0),
IF('TL13'!$B$229=J$3,SUMIF('TL13'!$C$238:$C$451,$C255,'TL13'!$J$238:$J$451),0),
IF('TL14'!$B$3=J$3,SUMIF('TL14'!$C$10:$C$224,$C255,'TL14'!$J$10:$J$224),0),
IF('TL14'!$B$229=J$3,SUMIF('TL14'!$C$238:$C$451,$C255,'TL14'!$J$238:$J$451),0),
IF('TL15'!$B$3=J$3,SUMIF('TL15'!$C$10:$C$224,$C255,'TL15'!$J$10:$J$224),0),
IF('TL15'!$B$229=J$3,SUMIF('TL15'!$C$238:$C$451,$C255,'TL15'!$J$238:$J$451),0),
IF('TL16'!$B$3=J$3,SUMIF('TL16'!$C$10:$C$224,$C255,'TL16'!$J$10:$J$224),0),
IF('TL16'!$B$229=J$3,SUMIF('TL16'!$C$238:$C$451,$C255,'TL16'!$J$238:$J$451),0),
IF('TL17'!$B$3=J$3,SUMIF('TL17'!$C$10:$C$224,$C255,'TL17'!$J$10:$J$224),0),
IF('TL17'!$B$229=J$3,SUMIF('TL17'!$C$238:$C$451,$C255,'TL17'!$J$238:$J$451),0),
IF('TL18'!$B$3=J$3,SUMIF('TL18'!$C$10:$C$224,$C255,'TL18'!$J$10:$J$224),0),
IF('TL18'!$B$229=J$3,SUMIF('TL18'!$C$238:$C$451,$C255,'TL18'!$J$238:$J$451),0),
IF('TL19'!$B$3=J$3,SUMIF('TL19'!$C$10:$C$224,$C255,'TL19'!$J$10:$J$224),0),
IF('TL19'!$B$229=J$3,SUMIF('TL19'!$C$238:$C$451,$C255,'TL19'!$J$238:$J$451),0)
),0)</f>
        <v/>
      </c>
      <c r="K255" s="9">
        <f>IFERROR(SUM(
IF('TL01'!$B$3=K$3,SUMIF('TL01'!$C$10:$C$224,$C255,'TL01'!$J$10:$J$224),0),
IF('TL01'!$B$229=K$3,SUMIF('TL01'!$C$238:$C$451,$C255,'TL01'!$J$238:$J$451),0),
IF('TL02'!$B$3=K$3,SUMIF('TL02'!$C$10:$C$224,$C255,'TL02'!$J$10:$J$224),0),
IF('TL02'!$B$229=K$3,SUMIF('TL02'!$C$238:$C$451,$C255,'TL02'!$J$238:$J$451),0),
IF('TL03'!$B$3=K$3,SUMIF('TL03'!$C$10:$C$224,$C255,'TL03'!$J$10:$J$224),0),
IF('TL03'!$B$229=K$3,SUMIF('TL03'!$C$238:$C$451,$C255,'TL03'!$J$238:$J$451),0),
IF('TL04'!$B$3=K$3,SUMIF('TL04'!$C$10:$C$224,$C255,'TL04'!$J$10:$J$224),0),
IF('TL04'!$B$229=K$3,SUMIF('TL04'!$C$238:$C$451,$C255,'TL04'!$J$238:$J$451),0),
IF('TL05'!$B$3=K$3,SUMIF('TL05'!$C$10:$C$224,$C255,'TL05'!$J$10:$J$224),0),
IF('TL05'!$B$229=K$3,SUMIF('TL05'!$C$238:$C$451,$C255,'TL05'!$J$238:$J$451),0),
IF('TL06'!$B$3=K$3,SUMIF('TL06'!$C$10:$C$224,$C255,'TL06'!$J$10:$J$224),0),
IF('TL06'!$B$229=K$3,SUMIF('TL06'!$C$238:$C$451,$C255,'TL06'!$J$238:$J$451),0),
IF('TL07'!$B$3=K$3,SUMIF('TL07'!$C$10:$C$224,$C255,'TL07'!$J$10:$J$224),0),
IF('TL07'!$B$229=K$3,SUMIF('TL07'!$C$238:$C$451,$C255,'TL07'!$J$238:$J$451),0),
IF('TL08'!$B$3=K$3,SUMIF('TL08'!$C$10:$C$224,$C255,'TL08'!$J$10:$J$224),0),
IF('TL08'!$B$229=K$3,SUMIF('TL08'!$C$238:$C$451,$C255,'TL08'!$J$238:$J$451),0),
IF('TL09'!$B$3=K$3,SUMIF('TL09'!$C$10:$C$224,$C255,'TL09'!$J$10:$J$224),0),
IF('TL09'!$B$229=K$3,SUMIF('TL09'!$C$238:$C$451,$C255,'TL09'!$J$238:$J$451),0),
IF('TL10'!$B$3=K$3,SUMIF('TL10'!$C$10:$C$224,$C255,'TL10'!$J$10:$J$224),0),
IF('TL10'!$B$229=K$3,SUMIF('TL10'!$C$238:$C$451,$C255,'TL10'!$J$238:$J$451),0),
IF('TL11'!$B$3=K$3,SUMIF('TL11'!$C$10:$C$224,$C255,'TL11'!$J$10:$J$224),0),
IF('TL11'!$B$229=K$3,SUMIF('TL11'!$C$238:$C$451,$C255,'TL11'!$J$238:$J$451),0),
IF('TL12'!$B$3=K$3,SUMIF('TL12'!$C$10:$C$224,$C255,'TL12'!$J$10:$J$224),0),
IF('TL12'!$B$229=K$3,SUMIF('TL12'!$C$238:$C$451,$C255,'TL12'!$J$238:$J$451),0),
IF('TL13'!$B$3=K$3,SUMIF('TL13'!$C$10:$C$224,$C255,'TL13'!$J$10:$J$224),0),
IF('TL13'!$B$229=K$3,SUMIF('TL13'!$C$238:$C$451,$C255,'TL13'!$J$238:$J$451),0),
IF('TL14'!$B$3=K$3,SUMIF('TL14'!$C$10:$C$224,$C255,'TL14'!$J$10:$J$224),0),
IF('TL14'!$B$229=K$3,SUMIF('TL14'!$C$238:$C$451,$C255,'TL14'!$J$238:$J$451),0),
IF('TL15'!$B$3=K$3,SUMIF('TL15'!$C$10:$C$224,$C255,'TL15'!$J$10:$J$224),0),
IF('TL15'!$B$229=K$3,SUMIF('TL15'!$C$238:$C$451,$C255,'TL15'!$J$238:$J$451),0),
IF('TL16'!$B$3=K$3,SUMIF('TL16'!$C$10:$C$224,$C255,'TL16'!$J$10:$J$224),0),
IF('TL16'!$B$229=K$3,SUMIF('TL16'!$C$238:$C$451,$C255,'TL16'!$J$238:$J$451),0),
IF('TL17'!$B$3=K$3,SUMIF('TL17'!$C$10:$C$224,$C255,'TL17'!$J$10:$J$224),0),
IF('TL17'!$B$229=K$3,SUMIF('TL17'!$C$238:$C$451,$C255,'TL17'!$J$238:$J$451),0),
IF('TL18'!$B$3=K$3,SUMIF('TL18'!$C$10:$C$224,$C255,'TL18'!$J$10:$J$224),0),
IF('TL18'!$B$229=K$3,SUMIF('TL18'!$C$238:$C$451,$C255,'TL18'!$J$238:$J$451),0),
IF('TL19'!$B$3=K$3,SUMIF('TL19'!$C$10:$C$224,$C255,'TL19'!$J$10:$J$224),0),
IF('TL19'!$B$229=K$3,SUMIF('TL19'!$C$238:$C$451,$C255,'TL19'!$J$238:$J$451),0)
),0)</f>
        <v/>
      </c>
      <c r="L255" s="9">
        <f>IFERROR(SUM(
IF('TL01'!$B$3=L$3,SUMIF('TL01'!$C$10:$C$224,$C255,'TL01'!$J$10:$J$224),0),
IF('TL01'!$B$229=L$3,SUMIF('TL01'!$C$238:$C$451,$C255,'TL01'!$J$238:$J$451),0),
IF('TL02'!$B$3=L$3,SUMIF('TL02'!$C$10:$C$224,$C255,'TL02'!$J$10:$J$224),0),
IF('TL02'!$B$229=L$3,SUMIF('TL02'!$C$238:$C$451,$C255,'TL02'!$J$238:$J$451),0),
IF('TL03'!$B$3=L$3,SUMIF('TL03'!$C$10:$C$224,$C255,'TL03'!$J$10:$J$224),0),
IF('TL03'!$B$229=L$3,SUMIF('TL03'!$C$238:$C$451,$C255,'TL03'!$J$238:$J$451),0),
IF('TL04'!$B$3=L$3,SUMIF('TL04'!$C$10:$C$224,$C255,'TL04'!$J$10:$J$224),0),
IF('TL04'!$B$229=L$3,SUMIF('TL04'!$C$238:$C$451,$C255,'TL04'!$J$238:$J$451),0),
IF('TL05'!$B$3=L$3,SUMIF('TL05'!$C$10:$C$224,$C255,'TL05'!$J$10:$J$224),0),
IF('TL05'!$B$229=L$3,SUMIF('TL05'!$C$238:$C$451,$C255,'TL05'!$J$238:$J$451),0),
IF('TL06'!$B$3=L$3,SUMIF('TL06'!$C$10:$C$224,$C255,'TL06'!$J$10:$J$224),0),
IF('TL06'!$B$229=L$3,SUMIF('TL06'!$C$238:$C$451,$C255,'TL06'!$J$238:$J$451),0),
IF('TL07'!$B$3=L$3,SUMIF('TL07'!$C$10:$C$224,$C255,'TL07'!$J$10:$J$224),0),
IF('TL07'!$B$229=L$3,SUMIF('TL07'!$C$238:$C$451,$C255,'TL07'!$J$238:$J$451),0),
IF('TL08'!$B$3=L$3,SUMIF('TL08'!$C$10:$C$224,$C255,'TL08'!$J$10:$J$224),0),
IF('TL08'!$B$229=L$3,SUMIF('TL08'!$C$238:$C$451,$C255,'TL08'!$J$238:$J$451),0),
IF('TL09'!$B$3=L$3,SUMIF('TL09'!$C$10:$C$224,$C255,'TL09'!$J$10:$J$224),0),
IF('TL09'!$B$229=L$3,SUMIF('TL09'!$C$238:$C$451,$C255,'TL09'!$J$238:$J$451),0),
IF('TL10'!$B$3=L$3,SUMIF('TL10'!$C$10:$C$224,$C255,'TL10'!$J$10:$J$224),0),
IF('TL10'!$B$229=L$3,SUMIF('TL10'!$C$238:$C$451,$C255,'TL10'!$J$238:$J$451),0),
IF('TL11'!$B$3=L$3,SUMIF('TL11'!$C$10:$C$224,$C255,'TL11'!$J$10:$J$224),0),
IF('TL11'!$B$229=L$3,SUMIF('TL11'!$C$238:$C$451,$C255,'TL11'!$J$238:$J$451),0),
IF('TL12'!$B$3=L$3,SUMIF('TL12'!$C$10:$C$224,$C255,'TL12'!$J$10:$J$224),0),
IF('TL12'!$B$229=L$3,SUMIF('TL12'!$C$238:$C$451,$C255,'TL12'!$J$238:$J$451),0),
IF('TL13'!$B$3=L$3,SUMIF('TL13'!$C$10:$C$224,$C255,'TL13'!$J$10:$J$224),0),
IF('TL13'!$B$229=L$3,SUMIF('TL13'!$C$238:$C$451,$C255,'TL13'!$J$238:$J$451),0),
IF('TL14'!$B$3=L$3,SUMIF('TL14'!$C$10:$C$224,$C255,'TL14'!$J$10:$J$224),0),
IF('TL14'!$B$229=L$3,SUMIF('TL14'!$C$238:$C$451,$C255,'TL14'!$J$238:$J$451),0),
IF('TL15'!$B$3=L$3,SUMIF('TL15'!$C$10:$C$224,$C255,'TL15'!$J$10:$J$224),0),
IF('TL15'!$B$229=L$3,SUMIF('TL15'!$C$238:$C$451,$C255,'TL15'!$J$238:$J$451),0),
IF('TL16'!$B$3=L$3,SUMIF('TL16'!$C$10:$C$224,$C255,'TL16'!$J$10:$J$224),0),
IF('TL16'!$B$229=L$3,SUMIF('TL16'!$C$238:$C$451,$C255,'TL16'!$J$238:$J$451),0),
IF('TL17'!$B$3=L$3,SUMIF('TL17'!$C$10:$C$224,$C255,'TL17'!$J$10:$J$224),0),
IF('TL17'!$B$229=L$3,SUMIF('TL17'!$C$238:$C$451,$C255,'TL17'!$J$238:$J$451),0),
IF('TL18'!$B$3=L$3,SUMIF('TL18'!$C$10:$C$224,$C255,'TL18'!$J$10:$J$224),0),
IF('TL18'!$B$229=L$3,SUMIF('TL18'!$C$238:$C$451,$C255,'TL18'!$J$238:$J$451),0),
IF('TL19'!$B$3=L$3,SUMIF('TL19'!$C$10:$C$224,$C255,'TL19'!$J$10:$J$224),0),
IF('TL19'!$B$229=L$3,SUMIF('TL19'!$C$238:$C$451,$C255,'TL19'!$J$238:$J$451),0)
),0)</f>
        <v/>
      </c>
      <c r="M255" s="9">
        <f>IFERROR(SUM(
IF('TL01'!$B$3=M$3,SUMIF('TL01'!$C$10:$C$224,$C255,'TL01'!$J$10:$J$224),0),
IF('TL01'!$B$229=M$3,SUMIF('TL01'!$C$238:$C$451,$C255,'TL01'!$J$238:$J$451),0),
IF('TL02'!$B$3=M$3,SUMIF('TL02'!$C$10:$C$224,$C255,'TL02'!$J$10:$J$224),0),
IF('TL02'!$B$229=M$3,SUMIF('TL02'!$C$238:$C$451,$C255,'TL02'!$J$238:$J$451),0),
IF('TL03'!$B$3=M$3,SUMIF('TL03'!$C$10:$C$224,$C255,'TL03'!$J$10:$J$224),0),
IF('TL03'!$B$229=M$3,SUMIF('TL03'!$C$238:$C$451,$C255,'TL03'!$J$238:$J$451),0),
IF('TL04'!$B$3=M$3,SUMIF('TL04'!$C$10:$C$224,$C255,'TL04'!$J$10:$J$224),0),
IF('TL04'!$B$229=M$3,SUMIF('TL04'!$C$238:$C$451,$C255,'TL04'!$J$238:$J$451),0),
IF('TL05'!$B$3=M$3,SUMIF('TL05'!$C$10:$C$224,$C255,'TL05'!$J$10:$J$224),0),
IF('TL05'!$B$229=M$3,SUMIF('TL05'!$C$238:$C$451,$C255,'TL05'!$J$238:$J$451),0),
IF('TL06'!$B$3=M$3,SUMIF('TL06'!$C$10:$C$224,$C255,'TL06'!$J$10:$J$224),0),
IF('TL06'!$B$229=M$3,SUMIF('TL06'!$C$238:$C$451,$C255,'TL06'!$J$238:$J$451),0),
IF('TL07'!$B$3=M$3,SUMIF('TL07'!$C$10:$C$224,$C255,'TL07'!$J$10:$J$224),0),
IF('TL07'!$B$229=M$3,SUMIF('TL07'!$C$238:$C$451,$C255,'TL07'!$J$238:$J$451),0),
IF('TL08'!$B$3=M$3,SUMIF('TL08'!$C$10:$C$224,$C255,'TL08'!$J$10:$J$224),0),
IF('TL08'!$B$229=M$3,SUMIF('TL08'!$C$238:$C$451,$C255,'TL08'!$J$238:$J$451),0),
IF('TL09'!$B$3=M$3,SUMIF('TL09'!$C$10:$C$224,$C255,'TL09'!$J$10:$J$224),0),
IF('TL09'!$B$229=M$3,SUMIF('TL09'!$C$238:$C$451,$C255,'TL09'!$J$238:$J$451),0),
IF('TL10'!$B$3=M$3,SUMIF('TL10'!$C$10:$C$224,$C255,'TL10'!$J$10:$J$224),0),
IF('TL10'!$B$229=M$3,SUMIF('TL10'!$C$238:$C$451,$C255,'TL10'!$J$238:$J$451),0),
IF('TL11'!$B$3=M$3,SUMIF('TL11'!$C$10:$C$224,$C255,'TL11'!$J$10:$J$224),0),
IF('TL11'!$B$229=M$3,SUMIF('TL11'!$C$238:$C$451,$C255,'TL11'!$J$238:$J$451),0),
IF('TL12'!$B$3=M$3,SUMIF('TL12'!$C$10:$C$224,$C255,'TL12'!$J$10:$J$224),0),
IF('TL12'!$B$229=M$3,SUMIF('TL12'!$C$238:$C$451,$C255,'TL12'!$J$238:$J$451),0),
IF('TL13'!$B$3=M$3,SUMIF('TL13'!$C$10:$C$224,$C255,'TL13'!$J$10:$J$224),0),
IF('TL13'!$B$229=M$3,SUMIF('TL13'!$C$238:$C$451,$C255,'TL13'!$J$238:$J$451),0),
IF('TL14'!$B$3=M$3,SUMIF('TL14'!$C$10:$C$224,$C255,'TL14'!$J$10:$J$224),0),
IF('TL14'!$B$229=M$3,SUMIF('TL14'!$C$238:$C$451,$C255,'TL14'!$J$238:$J$451),0),
IF('TL15'!$B$3=M$3,SUMIF('TL15'!$C$10:$C$224,$C255,'TL15'!$J$10:$J$224),0),
IF('TL15'!$B$229=M$3,SUMIF('TL15'!$C$238:$C$451,$C255,'TL15'!$J$238:$J$451),0),
IF('TL16'!$B$3=M$3,SUMIF('TL16'!$C$10:$C$224,$C255,'TL16'!$J$10:$J$224),0),
IF('TL16'!$B$229=M$3,SUMIF('TL16'!$C$238:$C$451,$C255,'TL16'!$J$238:$J$451),0),
IF('TL17'!$B$3=M$3,SUMIF('TL17'!$C$10:$C$224,$C255,'TL17'!$J$10:$J$224),0),
IF('TL17'!$B$229=M$3,SUMIF('TL17'!$C$238:$C$451,$C255,'TL17'!$J$238:$J$451),0),
IF('TL18'!$B$3=M$3,SUMIF('TL18'!$C$10:$C$224,$C255,'TL18'!$J$10:$J$224),0),
IF('TL18'!$B$229=M$3,SUMIF('TL18'!$C$238:$C$451,$C255,'TL18'!$J$238:$J$451),0),
IF('TL19'!$B$3=M$3,SUMIF('TL19'!$C$10:$C$224,$C255,'TL19'!$J$10:$J$224),0),
IF('TL19'!$B$229=M$3,SUMIF('TL19'!$C$238:$C$451,$C255,'TL19'!$J$238:$J$451),0)
),0)</f>
        <v/>
      </c>
      <c r="N255" s="9">
        <f>IFERROR(SUM(
IF('TL01'!$B$3=N$3,SUMIF('TL01'!$C$10:$C$224,$C255,'TL01'!$J$10:$J$224),0),
IF('TL01'!$B$229=N$3,SUMIF('TL01'!$C$238:$C$451,$C255,'TL01'!$J$238:$J$451),0),
IF('TL02'!$B$3=N$3,SUMIF('TL02'!$C$10:$C$224,$C255,'TL02'!$J$10:$J$224),0),
IF('TL02'!$B$229=N$3,SUMIF('TL02'!$C$238:$C$451,$C255,'TL02'!$J$238:$J$451),0),
IF('TL03'!$B$3=N$3,SUMIF('TL03'!$C$10:$C$224,$C255,'TL03'!$J$10:$J$224),0),
IF('TL03'!$B$229=N$3,SUMIF('TL03'!$C$238:$C$451,$C255,'TL03'!$J$238:$J$451),0),
IF('TL04'!$B$3=N$3,SUMIF('TL04'!$C$10:$C$224,$C255,'TL04'!$J$10:$J$224),0),
IF('TL04'!$B$229=N$3,SUMIF('TL04'!$C$238:$C$451,$C255,'TL04'!$J$238:$J$451),0),
IF('TL05'!$B$3=N$3,SUMIF('TL05'!$C$10:$C$224,$C255,'TL05'!$J$10:$J$224),0),
IF('TL05'!$B$229=N$3,SUMIF('TL05'!$C$238:$C$451,$C255,'TL05'!$J$238:$J$451),0),
IF('TL06'!$B$3=N$3,SUMIF('TL06'!$C$10:$C$224,$C255,'TL06'!$J$10:$J$224),0),
IF('TL06'!$B$229=N$3,SUMIF('TL06'!$C$238:$C$451,$C255,'TL06'!$J$238:$J$451),0),
IF('TL07'!$B$3=N$3,SUMIF('TL07'!$C$10:$C$224,$C255,'TL07'!$J$10:$J$224),0),
IF('TL07'!$B$229=N$3,SUMIF('TL07'!$C$238:$C$451,$C255,'TL07'!$J$238:$J$451),0),
IF('TL08'!$B$3=N$3,SUMIF('TL08'!$C$10:$C$224,$C255,'TL08'!$J$10:$J$224),0),
IF('TL08'!$B$229=N$3,SUMIF('TL08'!$C$238:$C$451,$C255,'TL08'!$J$238:$J$451),0),
IF('TL09'!$B$3=N$3,SUMIF('TL09'!$C$10:$C$224,$C255,'TL09'!$J$10:$J$224),0),
IF('TL09'!$B$229=N$3,SUMIF('TL09'!$C$238:$C$451,$C255,'TL09'!$J$238:$J$451),0),
IF('TL10'!$B$3=N$3,SUMIF('TL10'!$C$10:$C$224,$C255,'TL10'!$J$10:$J$224),0),
IF('TL10'!$B$229=N$3,SUMIF('TL10'!$C$238:$C$451,$C255,'TL10'!$J$238:$J$451),0),
IF('TL11'!$B$3=N$3,SUMIF('TL11'!$C$10:$C$224,$C255,'TL11'!$J$10:$J$224),0),
IF('TL11'!$B$229=N$3,SUMIF('TL11'!$C$238:$C$451,$C255,'TL11'!$J$238:$J$451),0),
IF('TL12'!$B$3=N$3,SUMIF('TL12'!$C$10:$C$224,$C255,'TL12'!$J$10:$J$224),0),
IF('TL12'!$B$229=N$3,SUMIF('TL12'!$C$238:$C$451,$C255,'TL12'!$J$238:$J$451),0),
IF('TL13'!$B$3=N$3,SUMIF('TL13'!$C$10:$C$224,$C255,'TL13'!$J$10:$J$224),0),
IF('TL13'!$B$229=N$3,SUMIF('TL13'!$C$238:$C$451,$C255,'TL13'!$J$238:$J$451),0),
IF('TL14'!$B$3=N$3,SUMIF('TL14'!$C$10:$C$224,$C255,'TL14'!$J$10:$J$224),0),
IF('TL14'!$B$229=N$3,SUMIF('TL14'!$C$238:$C$451,$C255,'TL14'!$J$238:$J$451),0),
IF('TL15'!$B$3=N$3,SUMIF('TL15'!$C$10:$C$224,$C255,'TL15'!$J$10:$J$224),0),
IF('TL15'!$B$229=N$3,SUMIF('TL15'!$C$238:$C$451,$C255,'TL15'!$J$238:$J$451),0),
IF('TL16'!$B$3=N$3,SUMIF('TL16'!$C$10:$C$224,$C255,'TL16'!$J$10:$J$224),0),
IF('TL16'!$B$229=N$3,SUMIF('TL16'!$C$238:$C$451,$C255,'TL16'!$J$238:$J$451),0),
IF('TL17'!$B$3=N$3,SUMIF('TL17'!$C$10:$C$224,$C255,'TL17'!$J$10:$J$224),0),
IF('TL17'!$B$229=N$3,SUMIF('TL17'!$C$238:$C$451,$C255,'TL17'!$J$238:$J$451),0),
IF('TL18'!$B$3=N$3,SUMIF('TL18'!$C$10:$C$224,$C255,'TL18'!$J$10:$J$224),0),
IF('TL18'!$B$229=N$3,SUMIF('TL18'!$C$238:$C$451,$C255,'TL18'!$J$238:$J$451),0),
IF('TL19'!$B$3=N$3,SUMIF('TL19'!$C$10:$C$224,$C255,'TL19'!$J$10:$J$224),0),
IF('TL19'!$B$229=N$3,SUMIF('TL19'!$C$238:$C$451,$C255,'TL19'!$J$238:$J$451),0)
),0)</f>
        <v/>
      </c>
      <c r="O255" s="9">
        <f>IFERROR(SUM(
IF('TL01'!$B$3=O$3,SUMIF('TL01'!$C$10:$C$224,$C255,'TL01'!$J$10:$J$224),0),
IF('TL01'!$B$229=O$3,SUMIF('TL01'!$C$238:$C$451,$C255,'TL01'!$J$238:$J$451),0),
IF('TL02'!$B$3=O$3,SUMIF('TL02'!$C$10:$C$224,$C255,'TL02'!$J$10:$J$224),0),
IF('TL02'!$B$229=O$3,SUMIF('TL02'!$C$238:$C$451,$C255,'TL02'!$J$238:$J$451),0),
IF('TL03'!$B$3=O$3,SUMIF('TL03'!$C$10:$C$224,$C255,'TL03'!$J$10:$J$224),0),
IF('TL03'!$B$229=O$3,SUMIF('TL03'!$C$238:$C$451,$C255,'TL03'!$J$238:$J$451),0),
IF('TL04'!$B$3=O$3,SUMIF('TL04'!$C$10:$C$224,$C255,'TL04'!$J$10:$J$224),0),
IF('TL04'!$B$229=O$3,SUMIF('TL04'!$C$238:$C$451,$C255,'TL04'!$J$238:$J$451),0),
IF('TL05'!$B$3=O$3,SUMIF('TL05'!$C$10:$C$224,$C255,'TL05'!$J$10:$J$224),0),
IF('TL05'!$B$229=O$3,SUMIF('TL05'!$C$238:$C$451,$C255,'TL05'!$J$238:$J$451),0),
IF('TL06'!$B$3=O$3,SUMIF('TL06'!$C$10:$C$224,$C255,'TL06'!$J$10:$J$224),0),
IF('TL06'!$B$229=O$3,SUMIF('TL06'!$C$238:$C$451,$C255,'TL06'!$J$238:$J$451),0),
IF('TL07'!$B$3=O$3,SUMIF('TL07'!$C$10:$C$224,$C255,'TL07'!$J$10:$J$224),0),
IF('TL07'!$B$229=O$3,SUMIF('TL07'!$C$238:$C$451,$C255,'TL07'!$J$238:$J$451),0),
IF('TL08'!$B$3=O$3,SUMIF('TL08'!$C$10:$C$224,$C255,'TL08'!$J$10:$J$224),0),
IF('TL08'!$B$229=O$3,SUMIF('TL08'!$C$238:$C$451,$C255,'TL08'!$J$238:$J$451),0),
IF('TL09'!$B$3=O$3,SUMIF('TL09'!$C$10:$C$224,$C255,'TL09'!$J$10:$J$224),0),
IF('TL09'!$B$229=O$3,SUMIF('TL09'!$C$238:$C$451,$C255,'TL09'!$J$238:$J$451),0),
IF('TL10'!$B$3=O$3,SUMIF('TL10'!$C$10:$C$224,$C255,'TL10'!$J$10:$J$224),0),
IF('TL10'!$B$229=O$3,SUMIF('TL10'!$C$238:$C$451,$C255,'TL10'!$J$238:$J$451),0),
IF('TL11'!$B$3=O$3,SUMIF('TL11'!$C$10:$C$224,$C255,'TL11'!$J$10:$J$224),0),
IF('TL11'!$B$229=O$3,SUMIF('TL11'!$C$238:$C$451,$C255,'TL11'!$J$238:$J$451),0),
IF('TL12'!$B$3=O$3,SUMIF('TL12'!$C$10:$C$224,$C255,'TL12'!$J$10:$J$224),0),
IF('TL12'!$B$229=O$3,SUMIF('TL12'!$C$238:$C$451,$C255,'TL12'!$J$238:$J$451),0),
IF('TL13'!$B$3=O$3,SUMIF('TL13'!$C$10:$C$224,$C255,'TL13'!$J$10:$J$224),0),
IF('TL13'!$B$229=O$3,SUMIF('TL13'!$C$238:$C$451,$C255,'TL13'!$J$238:$J$451),0),
IF('TL14'!$B$3=O$3,SUMIF('TL14'!$C$10:$C$224,$C255,'TL14'!$J$10:$J$224),0),
IF('TL14'!$B$229=O$3,SUMIF('TL14'!$C$238:$C$451,$C255,'TL14'!$J$238:$J$451),0),
IF('TL15'!$B$3=O$3,SUMIF('TL15'!$C$10:$C$224,$C255,'TL15'!$J$10:$J$224),0),
IF('TL15'!$B$229=O$3,SUMIF('TL15'!$C$238:$C$451,$C255,'TL15'!$J$238:$J$451),0),
IF('TL16'!$B$3=O$3,SUMIF('TL16'!$C$10:$C$224,$C255,'TL16'!$J$10:$J$224),0),
IF('TL16'!$B$229=O$3,SUMIF('TL16'!$C$238:$C$451,$C255,'TL16'!$J$238:$J$451),0),
IF('TL17'!$B$3=O$3,SUMIF('TL17'!$C$10:$C$224,$C255,'TL17'!$J$10:$J$224),0),
IF('TL17'!$B$229=O$3,SUMIF('TL17'!$C$238:$C$451,$C255,'TL17'!$J$238:$J$451),0),
IF('TL18'!$B$3=O$3,SUMIF('TL18'!$C$10:$C$224,$C255,'TL18'!$J$10:$J$224),0),
IF('TL18'!$B$229=O$3,SUMIF('TL18'!$C$238:$C$451,$C255,'TL18'!$J$238:$J$451),0),
IF('TL19'!$B$3=O$3,SUMIF('TL19'!$C$10:$C$224,$C255,'TL19'!$J$10:$J$224),0),
IF('TL19'!$B$229=O$3,SUMIF('TL19'!$C$238:$C$451,$C255,'TL19'!$J$238:$J$451),0)
),0)</f>
        <v/>
      </c>
      <c r="P255" s="9">
        <f>IFERROR(SUM(
IF('TL01'!$B$3=P$3,SUMIF('TL01'!$C$10:$C$224,$C255,'TL01'!$J$10:$J$224),0),
IF('TL01'!$B$229=P$3,SUMIF('TL01'!$C$238:$C$451,$C255,'TL01'!$J$238:$J$451),0),
IF('TL02'!$B$3=P$3,SUMIF('TL02'!$C$10:$C$224,$C255,'TL02'!$J$10:$J$224),0),
IF('TL02'!$B$229=P$3,SUMIF('TL02'!$C$238:$C$451,$C255,'TL02'!$J$238:$J$451),0),
IF('TL03'!$B$3=P$3,SUMIF('TL03'!$C$10:$C$224,$C255,'TL03'!$J$10:$J$224),0),
IF('TL03'!$B$229=P$3,SUMIF('TL03'!$C$238:$C$451,$C255,'TL03'!$J$238:$J$451),0),
IF('TL04'!$B$3=P$3,SUMIF('TL04'!$C$10:$C$224,$C255,'TL04'!$J$10:$J$224),0),
IF('TL04'!$B$229=P$3,SUMIF('TL04'!$C$238:$C$451,$C255,'TL04'!$J$238:$J$451),0),
IF('TL05'!$B$3=P$3,SUMIF('TL05'!$C$10:$C$224,$C255,'TL05'!$J$10:$J$224),0),
IF('TL05'!$B$229=P$3,SUMIF('TL05'!$C$238:$C$451,$C255,'TL05'!$J$238:$J$451),0),
IF('TL06'!$B$3=P$3,SUMIF('TL06'!$C$10:$C$224,$C255,'TL06'!$J$10:$J$224),0),
IF('TL06'!$B$229=P$3,SUMIF('TL06'!$C$238:$C$451,$C255,'TL06'!$J$238:$J$451),0),
IF('TL07'!$B$3=P$3,SUMIF('TL07'!$C$10:$C$224,$C255,'TL07'!$J$10:$J$224),0),
IF('TL07'!$B$229=P$3,SUMIF('TL07'!$C$238:$C$451,$C255,'TL07'!$J$238:$J$451),0),
IF('TL08'!$B$3=P$3,SUMIF('TL08'!$C$10:$C$224,$C255,'TL08'!$J$10:$J$224),0),
IF('TL08'!$B$229=P$3,SUMIF('TL08'!$C$238:$C$451,$C255,'TL08'!$J$238:$J$451),0),
IF('TL09'!$B$3=P$3,SUMIF('TL09'!$C$10:$C$224,$C255,'TL09'!$J$10:$J$224),0),
IF('TL09'!$B$229=P$3,SUMIF('TL09'!$C$238:$C$451,$C255,'TL09'!$J$238:$J$451),0),
IF('TL10'!$B$3=P$3,SUMIF('TL10'!$C$10:$C$224,$C255,'TL10'!$J$10:$J$224),0),
IF('TL10'!$B$229=P$3,SUMIF('TL10'!$C$238:$C$451,$C255,'TL10'!$J$238:$J$451),0),
IF('TL11'!$B$3=P$3,SUMIF('TL11'!$C$10:$C$224,$C255,'TL11'!$J$10:$J$224),0),
IF('TL11'!$B$229=P$3,SUMIF('TL11'!$C$238:$C$451,$C255,'TL11'!$J$238:$J$451),0),
IF('TL12'!$B$3=P$3,SUMIF('TL12'!$C$10:$C$224,$C255,'TL12'!$J$10:$J$224),0),
IF('TL12'!$B$229=P$3,SUMIF('TL12'!$C$238:$C$451,$C255,'TL12'!$J$238:$J$451),0),
IF('TL13'!$B$3=P$3,SUMIF('TL13'!$C$10:$C$224,$C255,'TL13'!$J$10:$J$224),0),
IF('TL13'!$B$229=P$3,SUMIF('TL13'!$C$238:$C$451,$C255,'TL13'!$J$238:$J$451),0),
IF('TL14'!$B$3=P$3,SUMIF('TL14'!$C$10:$C$224,$C255,'TL14'!$J$10:$J$224),0),
IF('TL14'!$B$229=P$3,SUMIF('TL14'!$C$238:$C$451,$C255,'TL14'!$J$238:$J$451),0),
IF('TL15'!$B$3=P$3,SUMIF('TL15'!$C$10:$C$224,$C255,'TL15'!$J$10:$J$224),0),
IF('TL15'!$B$229=P$3,SUMIF('TL15'!$C$238:$C$451,$C255,'TL15'!$J$238:$J$451),0),
IF('TL16'!$B$3=P$3,SUMIF('TL16'!$C$10:$C$224,$C255,'TL16'!$J$10:$J$224),0),
IF('TL16'!$B$229=P$3,SUMIF('TL16'!$C$238:$C$451,$C255,'TL16'!$J$238:$J$451),0),
IF('TL17'!$B$3=P$3,SUMIF('TL17'!$C$10:$C$224,$C255,'TL17'!$J$10:$J$224),0),
IF('TL17'!$B$229=P$3,SUMIF('TL17'!$C$238:$C$451,$C255,'TL17'!$J$238:$J$451),0),
IF('TL18'!$B$3=P$3,SUMIF('TL18'!$C$10:$C$224,$C255,'TL18'!$J$10:$J$224),0),
IF('TL18'!$B$229=P$3,SUMIF('TL18'!$C$238:$C$451,$C255,'TL18'!$J$238:$J$451),0),
IF('TL19'!$B$3=P$3,SUMIF('TL19'!$C$10:$C$224,$C255,'TL19'!$J$10:$J$224),0),
IF('TL19'!$B$229=P$3,SUMIF('TL19'!$C$238:$C$451,$C255,'TL19'!$J$238:$J$451),0)
),0)</f>
        <v/>
      </c>
      <c r="Q255" s="9">
        <f>IFERROR(SUM(
IF('TL01'!$B$3=Q$3,SUMIF('TL01'!$C$10:$C$224,$C255,'TL01'!$J$10:$J$224),0),
IF('TL01'!$B$229=Q$3,SUMIF('TL01'!$C$238:$C$451,$C255,'TL01'!$J$238:$J$451),0),
IF('TL02'!$B$3=Q$3,SUMIF('TL02'!$C$10:$C$224,$C255,'TL02'!$J$10:$J$224),0),
IF('TL02'!$B$229=Q$3,SUMIF('TL02'!$C$238:$C$451,$C255,'TL02'!$J$238:$J$451),0),
IF('TL03'!$B$3=Q$3,SUMIF('TL03'!$C$10:$C$224,$C255,'TL03'!$J$10:$J$224),0),
IF('TL03'!$B$229=Q$3,SUMIF('TL03'!$C$238:$C$451,$C255,'TL03'!$J$238:$J$451),0),
IF('TL04'!$B$3=Q$3,SUMIF('TL04'!$C$10:$C$224,$C255,'TL04'!$J$10:$J$224),0),
IF('TL04'!$B$229=Q$3,SUMIF('TL04'!$C$238:$C$451,$C255,'TL04'!$J$238:$J$451),0),
IF('TL05'!$B$3=Q$3,SUMIF('TL05'!$C$10:$C$224,$C255,'TL05'!$J$10:$J$224),0),
IF('TL05'!$B$229=Q$3,SUMIF('TL05'!$C$238:$C$451,$C255,'TL05'!$J$238:$J$451),0),
IF('TL06'!$B$3=Q$3,SUMIF('TL06'!$C$10:$C$224,$C255,'TL06'!$J$10:$J$224),0),
IF('TL06'!$B$229=Q$3,SUMIF('TL06'!$C$238:$C$451,$C255,'TL06'!$J$238:$J$451),0),
IF('TL07'!$B$3=Q$3,SUMIF('TL07'!$C$10:$C$224,$C255,'TL07'!$J$10:$J$224),0),
IF('TL07'!$B$229=Q$3,SUMIF('TL07'!$C$238:$C$451,$C255,'TL07'!$J$238:$J$451),0),
IF('TL08'!$B$3=Q$3,SUMIF('TL08'!$C$10:$C$224,$C255,'TL08'!$J$10:$J$224),0),
IF('TL08'!$B$229=Q$3,SUMIF('TL08'!$C$238:$C$451,$C255,'TL08'!$J$238:$J$451),0),
IF('TL09'!$B$3=Q$3,SUMIF('TL09'!$C$10:$C$224,$C255,'TL09'!$J$10:$J$224),0),
IF('TL09'!$B$229=Q$3,SUMIF('TL09'!$C$238:$C$451,$C255,'TL09'!$J$238:$J$451),0),
IF('TL10'!$B$3=Q$3,SUMIF('TL10'!$C$10:$C$224,$C255,'TL10'!$J$10:$J$224),0),
IF('TL10'!$B$229=Q$3,SUMIF('TL10'!$C$238:$C$451,$C255,'TL10'!$J$238:$J$451),0),
IF('TL11'!$B$3=Q$3,SUMIF('TL11'!$C$10:$C$224,$C255,'TL11'!$J$10:$J$224),0),
IF('TL11'!$B$229=Q$3,SUMIF('TL11'!$C$238:$C$451,$C255,'TL11'!$J$238:$J$451),0),
IF('TL12'!$B$3=Q$3,SUMIF('TL12'!$C$10:$C$224,$C255,'TL12'!$J$10:$J$224),0),
IF('TL12'!$B$229=Q$3,SUMIF('TL12'!$C$238:$C$451,$C255,'TL12'!$J$238:$J$451),0),
IF('TL13'!$B$3=Q$3,SUMIF('TL13'!$C$10:$C$224,$C255,'TL13'!$J$10:$J$224),0),
IF('TL13'!$B$229=Q$3,SUMIF('TL13'!$C$238:$C$451,$C255,'TL13'!$J$238:$J$451),0),
IF('TL14'!$B$3=Q$3,SUMIF('TL14'!$C$10:$C$224,$C255,'TL14'!$J$10:$J$224),0),
IF('TL14'!$B$229=Q$3,SUMIF('TL14'!$C$238:$C$451,$C255,'TL14'!$J$238:$J$451),0),
IF('TL15'!$B$3=Q$3,SUMIF('TL15'!$C$10:$C$224,$C255,'TL15'!$J$10:$J$224),0),
IF('TL15'!$B$229=Q$3,SUMIF('TL15'!$C$238:$C$451,$C255,'TL15'!$J$238:$J$451),0),
IF('TL16'!$B$3=Q$3,SUMIF('TL16'!$C$10:$C$224,$C255,'TL16'!$J$10:$J$224),0),
IF('TL16'!$B$229=Q$3,SUMIF('TL16'!$C$238:$C$451,$C255,'TL16'!$J$238:$J$451),0),
IF('TL17'!$B$3=Q$3,SUMIF('TL17'!$C$10:$C$224,$C255,'TL17'!$J$10:$J$224),0),
IF('TL17'!$B$229=Q$3,SUMIF('TL17'!$C$238:$C$451,$C255,'TL17'!$J$238:$J$451),0),
IF('TL18'!$B$3=Q$3,SUMIF('TL18'!$C$10:$C$224,$C255,'TL18'!$J$10:$J$224),0),
IF('TL18'!$B$229=Q$3,SUMIF('TL18'!$C$238:$C$451,$C255,'TL18'!$J$238:$J$451),0),
IF('TL19'!$B$3=Q$3,SUMIF('TL19'!$C$10:$C$224,$C255,'TL19'!$J$10:$J$224),0),
IF('TL19'!$B$229=Q$3,SUMIF('TL19'!$C$238:$C$451,$C255,'TL19'!$J$238:$J$451),0)
),0)</f>
        <v/>
      </c>
      <c r="R255" s="9">
        <f>IFERROR(
SUM(
SUMIF('TL01'!C:C,C255,'TL01'!J:J),
SUMIF('TL02'!C:C,C255,'TL02'!J:J),
SUMIF('TL03'!C:C,C255,'TL03'!J:J),
SUMIF('TL04'!C:C,C255,'TL04'!J:J),
SUMIF('TL05'!C:C,C255,'TL05'!J:J),
SUMIF('TL06'!C:C,C255,'TL06'!J:J),
SUMIF('TL07'!C:C,C255,'TL07'!J:J),
SUMIF('TL08'!C:C,C255,'TL08'!J:J),
SUMIF('TL09'!C:C,C255,'TL09'!J:J),
SUMIF('TL10'!C:C,C255,'TL10'!J:J),
SUMIF('TL11'!C:C,C255,'TL11'!J:J),
SUMIF('TL12'!C:C,C255,'TL12'!J:J),
SUMIF('TL13'!C:C,C255,'TL13'!J:J),
SUMIF('TL14'!C:C,C255,'TL14'!J:J),
SUMIF('TL15'!C:C,C255,'TL15'!J:J),
SUMIF('TL16'!C:C,C255,'TL16'!J:J),
SUMIF('TL17'!C:C,C255,'TL17'!J:J),
SUMIF('TL18'!C:C,C255,'TL18'!J:J),SUMIF('TL19'!C:C,C255,'TL19'!J:J))
,0)</f>
        <v/>
      </c>
      <c r="S255" s="17">
        <f>IFERROR(__xludf.DUMMYFUNCTION("IFERROR(VLOOKUP(C255,
IMPORTRANGE(""1wULbzX32WdYsx-lj2U3uUNBBe2INVIRDtcK0d-Dvl90"",
""26-27!C:G""),
5,
FALSE),
"""")"),44.78)</f>
        <v/>
      </c>
      <c r="T255" s="9" t="n"/>
      <c r="U255" s="92">
        <f>MAX(0,R255-T255)</f>
        <v/>
      </c>
      <c r="V255" s="93">
        <f>U255*S255</f>
        <v/>
      </c>
    </row>
    <row r="256" hidden="1" ht="15.75" customHeight="1" s="297">
      <c r="A256" s="4" t="inlineStr">
        <is>
          <t>AGROPLACE</t>
        </is>
      </c>
      <c r="B256" s="125" t="inlineStr">
        <is>
          <t>NUTRIÇÃO</t>
        </is>
      </c>
      <c r="C256" s="4" t="inlineStr">
        <is>
          <t>METAL NUTRE</t>
        </is>
      </c>
      <c r="D256" s="4" t="inlineStr">
        <is>
          <t>N1%;Cu3%;Mn10%;Zn10%</t>
        </is>
      </c>
      <c r="E256" s="9" t="inlineStr">
        <is>
          <t>14,5g/l + 43,5g/l + 145g/l + 145g/l</t>
        </is>
      </c>
      <c r="F256" s="4" t="inlineStr">
        <is>
          <t>L</t>
        </is>
      </c>
      <c r="G256" s="9" t="n"/>
      <c r="H256" s="9" t="n">
        <v>0.3</v>
      </c>
      <c r="I256" s="1" t="n"/>
      <c r="J256" s="9">
        <f>IFERROR(SUM(
IF('TL01'!$B$3=J$3,SUMIF('TL01'!$C$10:$C$224,$C256,'TL01'!$J$10:$J$224),0),
IF('TL01'!$B$229=J$3,SUMIF('TL01'!$C$238:$C$451,$C256,'TL01'!$J$238:$J$451),0),
IF('TL02'!$B$3=J$3,SUMIF('TL02'!$C$10:$C$224,$C256,'TL02'!$J$10:$J$224),0),
IF('TL02'!$B$229=J$3,SUMIF('TL02'!$C$238:$C$451,$C256,'TL02'!$J$238:$J$451),0),
IF('TL03'!$B$3=J$3,SUMIF('TL03'!$C$10:$C$224,$C256,'TL03'!$J$10:$J$224),0),
IF('TL03'!$B$229=J$3,SUMIF('TL03'!$C$238:$C$451,$C256,'TL03'!$J$238:$J$451),0),
IF('TL04'!$B$3=J$3,SUMIF('TL04'!$C$10:$C$224,$C256,'TL04'!$J$10:$J$224),0),
IF('TL04'!$B$229=J$3,SUMIF('TL04'!$C$238:$C$451,$C256,'TL04'!$J$238:$J$451),0),
IF('TL05'!$B$3=J$3,SUMIF('TL05'!$C$10:$C$224,$C256,'TL05'!$J$10:$J$224),0),
IF('TL05'!$B$229=J$3,SUMIF('TL05'!$C$238:$C$451,$C256,'TL05'!$J$238:$J$451),0),
IF('TL06'!$B$3=J$3,SUMIF('TL06'!$C$10:$C$224,$C256,'TL06'!$J$10:$J$224),0),
IF('TL06'!$B$229=J$3,SUMIF('TL06'!$C$238:$C$451,$C256,'TL06'!$J$238:$J$451),0),
IF('TL07'!$B$3=J$3,SUMIF('TL07'!$C$10:$C$224,$C256,'TL07'!$J$10:$J$224),0),
IF('TL07'!$B$229=J$3,SUMIF('TL07'!$C$238:$C$451,$C256,'TL07'!$J$238:$J$451),0),
IF('TL08'!$B$3=J$3,SUMIF('TL08'!$C$10:$C$224,$C256,'TL08'!$J$10:$J$224),0),
IF('TL08'!$B$229=J$3,SUMIF('TL08'!$C$238:$C$451,$C256,'TL08'!$J$238:$J$451),0),
IF('TL09'!$B$3=J$3,SUMIF('TL09'!$C$10:$C$224,$C256,'TL09'!$J$10:$J$224),0),
IF('TL09'!$B$229=J$3,SUMIF('TL09'!$C$238:$C$451,$C256,'TL09'!$J$238:$J$451),0),
IF('TL10'!$B$3=J$3,SUMIF('TL10'!$C$10:$C$224,$C256,'TL10'!$J$10:$J$224),0),
IF('TL10'!$B$229=J$3,SUMIF('TL10'!$C$238:$C$451,$C256,'TL10'!$J$238:$J$451),0),
IF('TL11'!$B$3=J$3,SUMIF('TL11'!$C$10:$C$224,$C256,'TL11'!$J$10:$J$224),0),
IF('TL11'!$B$229=J$3,SUMIF('TL11'!$C$238:$C$451,$C256,'TL11'!$J$238:$J$451),0),
IF('TL12'!$B$3=J$3,SUMIF('TL12'!$C$10:$C$224,$C256,'TL12'!$J$10:$J$224),0),
IF('TL12'!$B$229=J$3,SUMIF('TL12'!$C$238:$C$451,$C256,'TL12'!$J$238:$J$451),0),
IF('TL13'!$B$3=J$3,SUMIF('TL13'!$C$10:$C$224,$C256,'TL13'!$J$10:$J$224),0),
IF('TL13'!$B$229=J$3,SUMIF('TL13'!$C$238:$C$451,$C256,'TL13'!$J$238:$J$451),0),
IF('TL14'!$B$3=J$3,SUMIF('TL14'!$C$10:$C$224,$C256,'TL14'!$J$10:$J$224),0),
IF('TL14'!$B$229=J$3,SUMIF('TL14'!$C$238:$C$451,$C256,'TL14'!$J$238:$J$451),0),
IF('TL15'!$B$3=J$3,SUMIF('TL15'!$C$10:$C$224,$C256,'TL15'!$J$10:$J$224),0),
IF('TL15'!$B$229=J$3,SUMIF('TL15'!$C$238:$C$451,$C256,'TL15'!$J$238:$J$451),0),
IF('TL16'!$B$3=J$3,SUMIF('TL16'!$C$10:$C$224,$C256,'TL16'!$J$10:$J$224),0),
IF('TL16'!$B$229=J$3,SUMIF('TL16'!$C$238:$C$451,$C256,'TL16'!$J$238:$J$451),0),
IF('TL17'!$B$3=J$3,SUMIF('TL17'!$C$10:$C$224,$C256,'TL17'!$J$10:$J$224),0),
IF('TL17'!$B$229=J$3,SUMIF('TL17'!$C$238:$C$451,$C256,'TL17'!$J$238:$J$451),0),
IF('TL18'!$B$3=J$3,SUMIF('TL18'!$C$10:$C$224,$C256,'TL18'!$J$10:$J$224),0),
IF('TL18'!$B$229=J$3,SUMIF('TL18'!$C$238:$C$451,$C256,'TL18'!$J$238:$J$451),0),
IF('TL19'!$B$3=J$3,SUMIF('TL19'!$C$10:$C$224,$C256,'TL19'!$J$10:$J$224),0),
IF('TL19'!$B$229=J$3,SUMIF('TL19'!$C$238:$C$451,$C256,'TL19'!$J$238:$J$451),0)
),0)</f>
        <v/>
      </c>
      <c r="K256" s="9">
        <f>IFERROR(SUM(
IF('TL01'!$B$3=K$3,SUMIF('TL01'!$C$10:$C$224,$C256,'TL01'!$J$10:$J$224),0),
IF('TL01'!$B$229=K$3,SUMIF('TL01'!$C$238:$C$451,$C256,'TL01'!$J$238:$J$451),0),
IF('TL02'!$B$3=K$3,SUMIF('TL02'!$C$10:$C$224,$C256,'TL02'!$J$10:$J$224),0),
IF('TL02'!$B$229=K$3,SUMIF('TL02'!$C$238:$C$451,$C256,'TL02'!$J$238:$J$451),0),
IF('TL03'!$B$3=K$3,SUMIF('TL03'!$C$10:$C$224,$C256,'TL03'!$J$10:$J$224),0),
IF('TL03'!$B$229=K$3,SUMIF('TL03'!$C$238:$C$451,$C256,'TL03'!$J$238:$J$451),0),
IF('TL04'!$B$3=K$3,SUMIF('TL04'!$C$10:$C$224,$C256,'TL04'!$J$10:$J$224),0),
IF('TL04'!$B$229=K$3,SUMIF('TL04'!$C$238:$C$451,$C256,'TL04'!$J$238:$J$451),0),
IF('TL05'!$B$3=K$3,SUMIF('TL05'!$C$10:$C$224,$C256,'TL05'!$J$10:$J$224),0),
IF('TL05'!$B$229=K$3,SUMIF('TL05'!$C$238:$C$451,$C256,'TL05'!$J$238:$J$451),0),
IF('TL06'!$B$3=K$3,SUMIF('TL06'!$C$10:$C$224,$C256,'TL06'!$J$10:$J$224),0),
IF('TL06'!$B$229=K$3,SUMIF('TL06'!$C$238:$C$451,$C256,'TL06'!$J$238:$J$451),0),
IF('TL07'!$B$3=K$3,SUMIF('TL07'!$C$10:$C$224,$C256,'TL07'!$J$10:$J$224),0),
IF('TL07'!$B$229=K$3,SUMIF('TL07'!$C$238:$C$451,$C256,'TL07'!$J$238:$J$451),0),
IF('TL08'!$B$3=K$3,SUMIF('TL08'!$C$10:$C$224,$C256,'TL08'!$J$10:$J$224),0),
IF('TL08'!$B$229=K$3,SUMIF('TL08'!$C$238:$C$451,$C256,'TL08'!$J$238:$J$451),0),
IF('TL09'!$B$3=K$3,SUMIF('TL09'!$C$10:$C$224,$C256,'TL09'!$J$10:$J$224),0),
IF('TL09'!$B$229=K$3,SUMIF('TL09'!$C$238:$C$451,$C256,'TL09'!$J$238:$J$451),0),
IF('TL10'!$B$3=K$3,SUMIF('TL10'!$C$10:$C$224,$C256,'TL10'!$J$10:$J$224),0),
IF('TL10'!$B$229=K$3,SUMIF('TL10'!$C$238:$C$451,$C256,'TL10'!$J$238:$J$451),0),
IF('TL11'!$B$3=K$3,SUMIF('TL11'!$C$10:$C$224,$C256,'TL11'!$J$10:$J$224),0),
IF('TL11'!$B$229=K$3,SUMIF('TL11'!$C$238:$C$451,$C256,'TL11'!$J$238:$J$451),0),
IF('TL12'!$B$3=K$3,SUMIF('TL12'!$C$10:$C$224,$C256,'TL12'!$J$10:$J$224),0),
IF('TL12'!$B$229=K$3,SUMIF('TL12'!$C$238:$C$451,$C256,'TL12'!$J$238:$J$451),0),
IF('TL13'!$B$3=K$3,SUMIF('TL13'!$C$10:$C$224,$C256,'TL13'!$J$10:$J$224),0),
IF('TL13'!$B$229=K$3,SUMIF('TL13'!$C$238:$C$451,$C256,'TL13'!$J$238:$J$451),0),
IF('TL14'!$B$3=K$3,SUMIF('TL14'!$C$10:$C$224,$C256,'TL14'!$J$10:$J$224),0),
IF('TL14'!$B$229=K$3,SUMIF('TL14'!$C$238:$C$451,$C256,'TL14'!$J$238:$J$451),0),
IF('TL15'!$B$3=K$3,SUMIF('TL15'!$C$10:$C$224,$C256,'TL15'!$J$10:$J$224),0),
IF('TL15'!$B$229=K$3,SUMIF('TL15'!$C$238:$C$451,$C256,'TL15'!$J$238:$J$451),0),
IF('TL16'!$B$3=K$3,SUMIF('TL16'!$C$10:$C$224,$C256,'TL16'!$J$10:$J$224),0),
IF('TL16'!$B$229=K$3,SUMIF('TL16'!$C$238:$C$451,$C256,'TL16'!$J$238:$J$451),0),
IF('TL17'!$B$3=K$3,SUMIF('TL17'!$C$10:$C$224,$C256,'TL17'!$J$10:$J$224),0),
IF('TL17'!$B$229=K$3,SUMIF('TL17'!$C$238:$C$451,$C256,'TL17'!$J$238:$J$451),0),
IF('TL18'!$B$3=K$3,SUMIF('TL18'!$C$10:$C$224,$C256,'TL18'!$J$10:$J$224),0),
IF('TL18'!$B$229=K$3,SUMIF('TL18'!$C$238:$C$451,$C256,'TL18'!$J$238:$J$451),0),
IF('TL19'!$B$3=K$3,SUMIF('TL19'!$C$10:$C$224,$C256,'TL19'!$J$10:$J$224),0),
IF('TL19'!$B$229=K$3,SUMIF('TL19'!$C$238:$C$451,$C256,'TL19'!$J$238:$J$451),0)
),0)</f>
        <v/>
      </c>
      <c r="L256" s="9">
        <f>IFERROR(SUM(
IF('TL01'!$B$3=L$3,SUMIF('TL01'!$C$10:$C$224,$C256,'TL01'!$J$10:$J$224),0),
IF('TL01'!$B$229=L$3,SUMIF('TL01'!$C$238:$C$451,$C256,'TL01'!$J$238:$J$451),0),
IF('TL02'!$B$3=L$3,SUMIF('TL02'!$C$10:$C$224,$C256,'TL02'!$J$10:$J$224),0),
IF('TL02'!$B$229=L$3,SUMIF('TL02'!$C$238:$C$451,$C256,'TL02'!$J$238:$J$451),0),
IF('TL03'!$B$3=L$3,SUMIF('TL03'!$C$10:$C$224,$C256,'TL03'!$J$10:$J$224),0),
IF('TL03'!$B$229=L$3,SUMIF('TL03'!$C$238:$C$451,$C256,'TL03'!$J$238:$J$451),0),
IF('TL04'!$B$3=L$3,SUMIF('TL04'!$C$10:$C$224,$C256,'TL04'!$J$10:$J$224),0),
IF('TL04'!$B$229=L$3,SUMIF('TL04'!$C$238:$C$451,$C256,'TL04'!$J$238:$J$451),0),
IF('TL05'!$B$3=L$3,SUMIF('TL05'!$C$10:$C$224,$C256,'TL05'!$J$10:$J$224),0),
IF('TL05'!$B$229=L$3,SUMIF('TL05'!$C$238:$C$451,$C256,'TL05'!$J$238:$J$451),0),
IF('TL06'!$B$3=L$3,SUMIF('TL06'!$C$10:$C$224,$C256,'TL06'!$J$10:$J$224),0),
IF('TL06'!$B$229=L$3,SUMIF('TL06'!$C$238:$C$451,$C256,'TL06'!$J$238:$J$451),0),
IF('TL07'!$B$3=L$3,SUMIF('TL07'!$C$10:$C$224,$C256,'TL07'!$J$10:$J$224),0),
IF('TL07'!$B$229=L$3,SUMIF('TL07'!$C$238:$C$451,$C256,'TL07'!$J$238:$J$451),0),
IF('TL08'!$B$3=L$3,SUMIF('TL08'!$C$10:$C$224,$C256,'TL08'!$J$10:$J$224),0),
IF('TL08'!$B$229=L$3,SUMIF('TL08'!$C$238:$C$451,$C256,'TL08'!$J$238:$J$451),0),
IF('TL09'!$B$3=L$3,SUMIF('TL09'!$C$10:$C$224,$C256,'TL09'!$J$10:$J$224),0),
IF('TL09'!$B$229=L$3,SUMIF('TL09'!$C$238:$C$451,$C256,'TL09'!$J$238:$J$451),0),
IF('TL10'!$B$3=L$3,SUMIF('TL10'!$C$10:$C$224,$C256,'TL10'!$J$10:$J$224),0),
IF('TL10'!$B$229=L$3,SUMIF('TL10'!$C$238:$C$451,$C256,'TL10'!$J$238:$J$451),0),
IF('TL11'!$B$3=L$3,SUMIF('TL11'!$C$10:$C$224,$C256,'TL11'!$J$10:$J$224),0),
IF('TL11'!$B$229=L$3,SUMIF('TL11'!$C$238:$C$451,$C256,'TL11'!$J$238:$J$451),0),
IF('TL12'!$B$3=L$3,SUMIF('TL12'!$C$10:$C$224,$C256,'TL12'!$J$10:$J$224),0),
IF('TL12'!$B$229=L$3,SUMIF('TL12'!$C$238:$C$451,$C256,'TL12'!$J$238:$J$451),0),
IF('TL13'!$B$3=L$3,SUMIF('TL13'!$C$10:$C$224,$C256,'TL13'!$J$10:$J$224),0),
IF('TL13'!$B$229=L$3,SUMIF('TL13'!$C$238:$C$451,$C256,'TL13'!$J$238:$J$451),0),
IF('TL14'!$B$3=L$3,SUMIF('TL14'!$C$10:$C$224,$C256,'TL14'!$J$10:$J$224),0),
IF('TL14'!$B$229=L$3,SUMIF('TL14'!$C$238:$C$451,$C256,'TL14'!$J$238:$J$451),0),
IF('TL15'!$B$3=L$3,SUMIF('TL15'!$C$10:$C$224,$C256,'TL15'!$J$10:$J$224),0),
IF('TL15'!$B$229=L$3,SUMIF('TL15'!$C$238:$C$451,$C256,'TL15'!$J$238:$J$451),0),
IF('TL16'!$B$3=L$3,SUMIF('TL16'!$C$10:$C$224,$C256,'TL16'!$J$10:$J$224),0),
IF('TL16'!$B$229=L$3,SUMIF('TL16'!$C$238:$C$451,$C256,'TL16'!$J$238:$J$451),0),
IF('TL17'!$B$3=L$3,SUMIF('TL17'!$C$10:$C$224,$C256,'TL17'!$J$10:$J$224),0),
IF('TL17'!$B$229=L$3,SUMIF('TL17'!$C$238:$C$451,$C256,'TL17'!$J$238:$J$451),0),
IF('TL18'!$B$3=L$3,SUMIF('TL18'!$C$10:$C$224,$C256,'TL18'!$J$10:$J$224),0),
IF('TL18'!$B$229=L$3,SUMIF('TL18'!$C$238:$C$451,$C256,'TL18'!$J$238:$J$451),0),
IF('TL19'!$B$3=L$3,SUMIF('TL19'!$C$10:$C$224,$C256,'TL19'!$J$10:$J$224),0),
IF('TL19'!$B$229=L$3,SUMIF('TL19'!$C$238:$C$451,$C256,'TL19'!$J$238:$J$451),0)
),0)</f>
        <v/>
      </c>
      <c r="M256" s="9">
        <f>IFERROR(SUM(
IF('TL01'!$B$3=M$3,SUMIF('TL01'!$C$10:$C$224,$C256,'TL01'!$J$10:$J$224),0),
IF('TL01'!$B$229=M$3,SUMIF('TL01'!$C$238:$C$451,$C256,'TL01'!$J$238:$J$451),0),
IF('TL02'!$B$3=M$3,SUMIF('TL02'!$C$10:$C$224,$C256,'TL02'!$J$10:$J$224),0),
IF('TL02'!$B$229=M$3,SUMIF('TL02'!$C$238:$C$451,$C256,'TL02'!$J$238:$J$451),0),
IF('TL03'!$B$3=M$3,SUMIF('TL03'!$C$10:$C$224,$C256,'TL03'!$J$10:$J$224),0),
IF('TL03'!$B$229=M$3,SUMIF('TL03'!$C$238:$C$451,$C256,'TL03'!$J$238:$J$451),0),
IF('TL04'!$B$3=M$3,SUMIF('TL04'!$C$10:$C$224,$C256,'TL04'!$J$10:$J$224),0),
IF('TL04'!$B$229=M$3,SUMIF('TL04'!$C$238:$C$451,$C256,'TL04'!$J$238:$J$451),0),
IF('TL05'!$B$3=M$3,SUMIF('TL05'!$C$10:$C$224,$C256,'TL05'!$J$10:$J$224),0),
IF('TL05'!$B$229=M$3,SUMIF('TL05'!$C$238:$C$451,$C256,'TL05'!$J$238:$J$451),0),
IF('TL06'!$B$3=M$3,SUMIF('TL06'!$C$10:$C$224,$C256,'TL06'!$J$10:$J$224),0),
IF('TL06'!$B$229=M$3,SUMIF('TL06'!$C$238:$C$451,$C256,'TL06'!$J$238:$J$451),0),
IF('TL07'!$B$3=M$3,SUMIF('TL07'!$C$10:$C$224,$C256,'TL07'!$J$10:$J$224),0),
IF('TL07'!$B$229=M$3,SUMIF('TL07'!$C$238:$C$451,$C256,'TL07'!$J$238:$J$451),0),
IF('TL08'!$B$3=M$3,SUMIF('TL08'!$C$10:$C$224,$C256,'TL08'!$J$10:$J$224),0),
IF('TL08'!$B$229=M$3,SUMIF('TL08'!$C$238:$C$451,$C256,'TL08'!$J$238:$J$451),0),
IF('TL09'!$B$3=M$3,SUMIF('TL09'!$C$10:$C$224,$C256,'TL09'!$J$10:$J$224),0),
IF('TL09'!$B$229=M$3,SUMIF('TL09'!$C$238:$C$451,$C256,'TL09'!$J$238:$J$451),0),
IF('TL10'!$B$3=M$3,SUMIF('TL10'!$C$10:$C$224,$C256,'TL10'!$J$10:$J$224),0),
IF('TL10'!$B$229=M$3,SUMIF('TL10'!$C$238:$C$451,$C256,'TL10'!$J$238:$J$451),0),
IF('TL11'!$B$3=M$3,SUMIF('TL11'!$C$10:$C$224,$C256,'TL11'!$J$10:$J$224),0),
IF('TL11'!$B$229=M$3,SUMIF('TL11'!$C$238:$C$451,$C256,'TL11'!$J$238:$J$451),0),
IF('TL12'!$B$3=M$3,SUMIF('TL12'!$C$10:$C$224,$C256,'TL12'!$J$10:$J$224),0),
IF('TL12'!$B$229=M$3,SUMIF('TL12'!$C$238:$C$451,$C256,'TL12'!$J$238:$J$451),0),
IF('TL13'!$B$3=M$3,SUMIF('TL13'!$C$10:$C$224,$C256,'TL13'!$J$10:$J$224),0),
IF('TL13'!$B$229=M$3,SUMIF('TL13'!$C$238:$C$451,$C256,'TL13'!$J$238:$J$451),0),
IF('TL14'!$B$3=M$3,SUMIF('TL14'!$C$10:$C$224,$C256,'TL14'!$J$10:$J$224),0),
IF('TL14'!$B$229=M$3,SUMIF('TL14'!$C$238:$C$451,$C256,'TL14'!$J$238:$J$451),0),
IF('TL15'!$B$3=M$3,SUMIF('TL15'!$C$10:$C$224,$C256,'TL15'!$J$10:$J$224),0),
IF('TL15'!$B$229=M$3,SUMIF('TL15'!$C$238:$C$451,$C256,'TL15'!$J$238:$J$451),0),
IF('TL16'!$B$3=M$3,SUMIF('TL16'!$C$10:$C$224,$C256,'TL16'!$J$10:$J$224),0),
IF('TL16'!$B$229=M$3,SUMIF('TL16'!$C$238:$C$451,$C256,'TL16'!$J$238:$J$451),0),
IF('TL17'!$B$3=M$3,SUMIF('TL17'!$C$10:$C$224,$C256,'TL17'!$J$10:$J$224),0),
IF('TL17'!$B$229=M$3,SUMIF('TL17'!$C$238:$C$451,$C256,'TL17'!$J$238:$J$451),0),
IF('TL18'!$B$3=M$3,SUMIF('TL18'!$C$10:$C$224,$C256,'TL18'!$J$10:$J$224),0),
IF('TL18'!$B$229=M$3,SUMIF('TL18'!$C$238:$C$451,$C256,'TL18'!$J$238:$J$451),0),
IF('TL19'!$B$3=M$3,SUMIF('TL19'!$C$10:$C$224,$C256,'TL19'!$J$10:$J$224),0),
IF('TL19'!$B$229=M$3,SUMIF('TL19'!$C$238:$C$451,$C256,'TL19'!$J$238:$J$451),0)
),0)</f>
        <v/>
      </c>
      <c r="N256" s="9">
        <f>IFERROR(SUM(
IF('TL01'!$B$3=N$3,SUMIF('TL01'!$C$10:$C$224,$C256,'TL01'!$J$10:$J$224),0),
IF('TL01'!$B$229=N$3,SUMIF('TL01'!$C$238:$C$451,$C256,'TL01'!$J$238:$J$451),0),
IF('TL02'!$B$3=N$3,SUMIF('TL02'!$C$10:$C$224,$C256,'TL02'!$J$10:$J$224),0),
IF('TL02'!$B$229=N$3,SUMIF('TL02'!$C$238:$C$451,$C256,'TL02'!$J$238:$J$451),0),
IF('TL03'!$B$3=N$3,SUMIF('TL03'!$C$10:$C$224,$C256,'TL03'!$J$10:$J$224),0),
IF('TL03'!$B$229=N$3,SUMIF('TL03'!$C$238:$C$451,$C256,'TL03'!$J$238:$J$451),0),
IF('TL04'!$B$3=N$3,SUMIF('TL04'!$C$10:$C$224,$C256,'TL04'!$J$10:$J$224),0),
IF('TL04'!$B$229=N$3,SUMIF('TL04'!$C$238:$C$451,$C256,'TL04'!$J$238:$J$451),0),
IF('TL05'!$B$3=N$3,SUMIF('TL05'!$C$10:$C$224,$C256,'TL05'!$J$10:$J$224),0),
IF('TL05'!$B$229=N$3,SUMIF('TL05'!$C$238:$C$451,$C256,'TL05'!$J$238:$J$451),0),
IF('TL06'!$B$3=N$3,SUMIF('TL06'!$C$10:$C$224,$C256,'TL06'!$J$10:$J$224),0),
IF('TL06'!$B$229=N$3,SUMIF('TL06'!$C$238:$C$451,$C256,'TL06'!$J$238:$J$451),0),
IF('TL07'!$B$3=N$3,SUMIF('TL07'!$C$10:$C$224,$C256,'TL07'!$J$10:$J$224),0),
IF('TL07'!$B$229=N$3,SUMIF('TL07'!$C$238:$C$451,$C256,'TL07'!$J$238:$J$451),0),
IF('TL08'!$B$3=N$3,SUMIF('TL08'!$C$10:$C$224,$C256,'TL08'!$J$10:$J$224),0),
IF('TL08'!$B$229=N$3,SUMIF('TL08'!$C$238:$C$451,$C256,'TL08'!$J$238:$J$451),0),
IF('TL09'!$B$3=N$3,SUMIF('TL09'!$C$10:$C$224,$C256,'TL09'!$J$10:$J$224),0),
IF('TL09'!$B$229=N$3,SUMIF('TL09'!$C$238:$C$451,$C256,'TL09'!$J$238:$J$451),0),
IF('TL10'!$B$3=N$3,SUMIF('TL10'!$C$10:$C$224,$C256,'TL10'!$J$10:$J$224),0),
IF('TL10'!$B$229=N$3,SUMIF('TL10'!$C$238:$C$451,$C256,'TL10'!$J$238:$J$451),0),
IF('TL11'!$B$3=N$3,SUMIF('TL11'!$C$10:$C$224,$C256,'TL11'!$J$10:$J$224),0),
IF('TL11'!$B$229=N$3,SUMIF('TL11'!$C$238:$C$451,$C256,'TL11'!$J$238:$J$451),0),
IF('TL12'!$B$3=N$3,SUMIF('TL12'!$C$10:$C$224,$C256,'TL12'!$J$10:$J$224),0),
IF('TL12'!$B$229=N$3,SUMIF('TL12'!$C$238:$C$451,$C256,'TL12'!$J$238:$J$451),0),
IF('TL13'!$B$3=N$3,SUMIF('TL13'!$C$10:$C$224,$C256,'TL13'!$J$10:$J$224),0),
IF('TL13'!$B$229=N$3,SUMIF('TL13'!$C$238:$C$451,$C256,'TL13'!$J$238:$J$451),0),
IF('TL14'!$B$3=N$3,SUMIF('TL14'!$C$10:$C$224,$C256,'TL14'!$J$10:$J$224),0),
IF('TL14'!$B$229=N$3,SUMIF('TL14'!$C$238:$C$451,$C256,'TL14'!$J$238:$J$451),0),
IF('TL15'!$B$3=N$3,SUMIF('TL15'!$C$10:$C$224,$C256,'TL15'!$J$10:$J$224),0),
IF('TL15'!$B$229=N$3,SUMIF('TL15'!$C$238:$C$451,$C256,'TL15'!$J$238:$J$451),0),
IF('TL16'!$B$3=N$3,SUMIF('TL16'!$C$10:$C$224,$C256,'TL16'!$J$10:$J$224),0),
IF('TL16'!$B$229=N$3,SUMIF('TL16'!$C$238:$C$451,$C256,'TL16'!$J$238:$J$451),0),
IF('TL17'!$B$3=N$3,SUMIF('TL17'!$C$10:$C$224,$C256,'TL17'!$J$10:$J$224),0),
IF('TL17'!$B$229=N$3,SUMIF('TL17'!$C$238:$C$451,$C256,'TL17'!$J$238:$J$451),0),
IF('TL18'!$B$3=N$3,SUMIF('TL18'!$C$10:$C$224,$C256,'TL18'!$J$10:$J$224),0),
IF('TL18'!$B$229=N$3,SUMIF('TL18'!$C$238:$C$451,$C256,'TL18'!$J$238:$J$451),0),
IF('TL19'!$B$3=N$3,SUMIF('TL19'!$C$10:$C$224,$C256,'TL19'!$J$10:$J$224),0),
IF('TL19'!$B$229=N$3,SUMIF('TL19'!$C$238:$C$451,$C256,'TL19'!$J$238:$J$451),0)
),0)</f>
        <v/>
      </c>
      <c r="O256" s="9">
        <f>IFERROR(SUM(
IF('TL01'!$B$3=O$3,SUMIF('TL01'!$C$10:$C$224,$C256,'TL01'!$J$10:$J$224),0),
IF('TL01'!$B$229=O$3,SUMIF('TL01'!$C$238:$C$451,$C256,'TL01'!$J$238:$J$451),0),
IF('TL02'!$B$3=O$3,SUMIF('TL02'!$C$10:$C$224,$C256,'TL02'!$J$10:$J$224),0),
IF('TL02'!$B$229=O$3,SUMIF('TL02'!$C$238:$C$451,$C256,'TL02'!$J$238:$J$451),0),
IF('TL03'!$B$3=O$3,SUMIF('TL03'!$C$10:$C$224,$C256,'TL03'!$J$10:$J$224),0),
IF('TL03'!$B$229=O$3,SUMIF('TL03'!$C$238:$C$451,$C256,'TL03'!$J$238:$J$451),0),
IF('TL04'!$B$3=O$3,SUMIF('TL04'!$C$10:$C$224,$C256,'TL04'!$J$10:$J$224),0),
IF('TL04'!$B$229=O$3,SUMIF('TL04'!$C$238:$C$451,$C256,'TL04'!$J$238:$J$451),0),
IF('TL05'!$B$3=O$3,SUMIF('TL05'!$C$10:$C$224,$C256,'TL05'!$J$10:$J$224),0),
IF('TL05'!$B$229=O$3,SUMIF('TL05'!$C$238:$C$451,$C256,'TL05'!$J$238:$J$451),0),
IF('TL06'!$B$3=O$3,SUMIF('TL06'!$C$10:$C$224,$C256,'TL06'!$J$10:$J$224),0),
IF('TL06'!$B$229=O$3,SUMIF('TL06'!$C$238:$C$451,$C256,'TL06'!$J$238:$J$451),0),
IF('TL07'!$B$3=O$3,SUMIF('TL07'!$C$10:$C$224,$C256,'TL07'!$J$10:$J$224),0),
IF('TL07'!$B$229=O$3,SUMIF('TL07'!$C$238:$C$451,$C256,'TL07'!$J$238:$J$451),0),
IF('TL08'!$B$3=O$3,SUMIF('TL08'!$C$10:$C$224,$C256,'TL08'!$J$10:$J$224),0),
IF('TL08'!$B$229=O$3,SUMIF('TL08'!$C$238:$C$451,$C256,'TL08'!$J$238:$J$451),0),
IF('TL09'!$B$3=O$3,SUMIF('TL09'!$C$10:$C$224,$C256,'TL09'!$J$10:$J$224),0),
IF('TL09'!$B$229=O$3,SUMIF('TL09'!$C$238:$C$451,$C256,'TL09'!$J$238:$J$451),0),
IF('TL10'!$B$3=O$3,SUMIF('TL10'!$C$10:$C$224,$C256,'TL10'!$J$10:$J$224),0),
IF('TL10'!$B$229=O$3,SUMIF('TL10'!$C$238:$C$451,$C256,'TL10'!$J$238:$J$451),0),
IF('TL11'!$B$3=O$3,SUMIF('TL11'!$C$10:$C$224,$C256,'TL11'!$J$10:$J$224),0),
IF('TL11'!$B$229=O$3,SUMIF('TL11'!$C$238:$C$451,$C256,'TL11'!$J$238:$J$451),0),
IF('TL12'!$B$3=O$3,SUMIF('TL12'!$C$10:$C$224,$C256,'TL12'!$J$10:$J$224),0),
IF('TL12'!$B$229=O$3,SUMIF('TL12'!$C$238:$C$451,$C256,'TL12'!$J$238:$J$451),0),
IF('TL13'!$B$3=O$3,SUMIF('TL13'!$C$10:$C$224,$C256,'TL13'!$J$10:$J$224),0),
IF('TL13'!$B$229=O$3,SUMIF('TL13'!$C$238:$C$451,$C256,'TL13'!$J$238:$J$451),0),
IF('TL14'!$B$3=O$3,SUMIF('TL14'!$C$10:$C$224,$C256,'TL14'!$J$10:$J$224),0),
IF('TL14'!$B$229=O$3,SUMIF('TL14'!$C$238:$C$451,$C256,'TL14'!$J$238:$J$451),0),
IF('TL15'!$B$3=O$3,SUMIF('TL15'!$C$10:$C$224,$C256,'TL15'!$J$10:$J$224),0),
IF('TL15'!$B$229=O$3,SUMIF('TL15'!$C$238:$C$451,$C256,'TL15'!$J$238:$J$451),0),
IF('TL16'!$B$3=O$3,SUMIF('TL16'!$C$10:$C$224,$C256,'TL16'!$J$10:$J$224),0),
IF('TL16'!$B$229=O$3,SUMIF('TL16'!$C$238:$C$451,$C256,'TL16'!$J$238:$J$451),0),
IF('TL17'!$B$3=O$3,SUMIF('TL17'!$C$10:$C$224,$C256,'TL17'!$J$10:$J$224),0),
IF('TL17'!$B$229=O$3,SUMIF('TL17'!$C$238:$C$451,$C256,'TL17'!$J$238:$J$451),0),
IF('TL18'!$B$3=O$3,SUMIF('TL18'!$C$10:$C$224,$C256,'TL18'!$J$10:$J$224),0),
IF('TL18'!$B$229=O$3,SUMIF('TL18'!$C$238:$C$451,$C256,'TL18'!$J$238:$J$451),0),
IF('TL19'!$B$3=O$3,SUMIF('TL19'!$C$10:$C$224,$C256,'TL19'!$J$10:$J$224),0),
IF('TL19'!$B$229=O$3,SUMIF('TL19'!$C$238:$C$451,$C256,'TL19'!$J$238:$J$451),0)
),0)</f>
        <v/>
      </c>
      <c r="P256" s="9">
        <f>IFERROR(SUM(
IF('TL01'!$B$3=P$3,SUMIF('TL01'!$C$10:$C$224,$C256,'TL01'!$J$10:$J$224),0),
IF('TL01'!$B$229=P$3,SUMIF('TL01'!$C$238:$C$451,$C256,'TL01'!$J$238:$J$451),0),
IF('TL02'!$B$3=P$3,SUMIF('TL02'!$C$10:$C$224,$C256,'TL02'!$J$10:$J$224),0),
IF('TL02'!$B$229=P$3,SUMIF('TL02'!$C$238:$C$451,$C256,'TL02'!$J$238:$J$451),0),
IF('TL03'!$B$3=P$3,SUMIF('TL03'!$C$10:$C$224,$C256,'TL03'!$J$10:$J$224),0),
IF('TL03'!$B$229=P$3,SUMIF('TL03'!$C$238:$C$451,$C256,'TL03'!$J$238:$J$451),0),
IF('TL04'!$B$3=P$3,SUMIF('TL04'!$C$10:$C$224,$C256,'TL04'!$J$10:$J$224),0),
IF('TL04'!$B$229=P$3,SUMIF('TL04'!$C$238:$C$451,$C256,'TL04'!$J$238:$J$451),0),
IF('TL05'!$B$3=P$3,SUMIF('TL05'!$C$10:$C$224,$C256,'TL05'!$J$10:$J$224),0),
IF('TL05'!$B$229=P$3,SUMIF('TL05'!$C$238:$C$451,$C256,'TL05'!$J$238:$J$451),0),
IF('TL06'!$B$3=P$3,SUMIF('TL06'!$C$10:$C$224,$C256,'TL06'!$J$10:$J$224),0),
IF('TL06'!$B$229=P$3,SUMIF('TL06'!$C$238:$C$451,$C256,'TL06'!$J$238:$J$451),0),
IF('TL07'!$B$3=P$3,SUMIF('TL07'!$C$10:$C$224,$C256,'TL07'!$J$10:$J$224),0),
IF('TL07'!$B$229=P$3,SUMIF('TL07'!$C$238:$C$451,$C256,'TL07'!$J$238:$J$451),0),
IF('TL08'!$B$3=P$3,SUMIF('TL08'!$C$10:$C$224,$C256,'TL08'!$J$10:$J$224),0),
IF('TL08'!$B$229=P$3,SUMIF('TL08'!$C$238:$C$451,$C256,'TL08'!$J$238:$J$451),0),
IF('TL09'!$B$3=P$3,SUMIF('TL09'!$C$10:$C$224,$C256,'TL09'!$J$10:$J$224),0),
IF('TL09'!$B$229=P$3,SUMIF('TL09'!$C$238:$C$451,$C256,'TL09'!$J$238:$J$451),0),
IF('TL10'!$B$3=P$3,SUMIF('TL10'!$C$10:$C$224,$C256,'TL10'!$J$10:$J$224),0),
IF('TL10'!$B$229=P$3,SUMIF('TL10'!$C$238:$C$451,$C256,'TL10'!$J$238:$J$451),0),
IF('TL11'!$B$3=P$3,SUMIF('TL11'!$C$10:$C$224,$C256,'TL11'!$J$10:$J$224),0),
IF('TL11'!$B$229=P$3,SUMIF('TL11'!$C$238:$C$451,$C256,'TL11'!$J$238:$J$451),0),
IF('TL12'!$B$3=P$3,SUMIF('TL12'!$C$10:$C$224,$C256,'TL12'!$J$10:$J$224),0),
IF('TL12'!$B$229=P$3,SUMIF('TL12'!$C$238:$C$451,$C256,'TL12'!$J$238:$J$451),0),
IF('TL13'!$B$3=P$3,SUMIF('TL13'!$C$10:$C$224,$C256,'TL13'!$J$10:$J$224),0),
IF('TL13'!$B$229=P$3,SUMIF('TL13'!$C$238:$C$451,$C256,'TL13'!$J$238:$J$451),0),
IF('TL14'!$B$3=P$3,SUMIF('TL14'!$C$10:$C$224,$C256,'TL14'!$J$10:$J$224),0),
IF('TL14'!$B$229=P$3,SUMIF('TL14'!$C$238:$C$451,$C256,'TL14'!$J$238:$J$451),0),
IF('TL15'!$B$3=P$3,SUMIF('TL15'!$C$10:$C$224,$C256,'TL15'!$J$10:$J$224),0),
IF('TL15'!$B$229=P$3,SUMIF('TL15'!$C$238:$C$451,$C256,'TL15'!$J$238:$J$451),0),
IF('TL16'!$B$3=P$3,SUMIF('TL16'!$C$10:$C$224,$C256,'TL16'!$J$10:$J$224),0),
IF('TL16'!$B$229=P$3,SUMIF('TL16'!$C$238:$C$451,$C256,'TL16'!$J$238:$J$451),0),
IF('TL17'!$B$3=P$3,SUMIF('TL17'!$C$10:$C$224,$C256,'TL17'!$J$10:$J$224),0),
IF('TL17'!$B$229=P$3,SUMIF('TL17'!$C$238:$C$451,$C256,'TL17'!$J$238:$J$451),0),
IF('TL18'!$B$3=P$3,SUMIF('TL18'!$C$10:$C$224,$C256,'TL18'!$J$10:$J$224),0),
IF('TL18'!$B$229=P$3,SUMIF('TL18'!$C$238:$C$451,$C256,'TL18'!$J$238:$J$451),0),
IF('TL19'!$B$3=P$3,SUMIF('TL19'!$C$10:$C$224,$C256,'TL19'!$J$10:$J$224),0),
IF('TL19'!$B$229=P$3,SUMIF('TL19'!$C$238:$C$451,$C256,'TL19'!$J$238:$J$451),0)
),0)</f>
        <v/>
      </c>
      <c r="Q256" s="9">
        <f>IFERROR(SUM(
IF('TL01'!$B$3=Q$3,SUMIF('TL01'!$C$10:$C$224,$C256,'TL01'!$J$10:$J$224),0),
IF('TL01'!$B$229=Q$3,SUMIF('TL01'!$C$238:$C$451,$C256,'TL01'!$J$238:$J$451),0),
IF('TL02'!$B$3=Q$3,SUMIF('TL02'!$C$10:$C$224,$C256,'TL02'!$J$10:$J$224),0),
IF('TL02'!$B$229=Q$3,SUMIF('TL02'!$C$238:$C$451,$C256,'TL02'!$J$238:$J$451),0),
IF('TL03'!$B$3=Q$3,SUMIF('TL03'!$C$10:$C$224,$C256,'TL03'!$J$10:$J$224),0),
IF('TL03'!$B$229=Q$3,SUMIF('TL03'!$C$238:$C$451,$C256,'TL03'!$J$238:$J$451),0),
IF('TL04'!$B$3=Q$3,SUMIF('TL04'!$C$10:$C$224,$C256,'TL04'!$J$10:$J$224),0),
IF('TL04'!$B$229=Q$3,SUMIF('TL04'!$C$238:$C$451,$C256,'TL04'!$J$238:$J$451),0),
IF('TL05'!$B$3=Q$3,SUMIF('TL05'!$C$10:$C$224,$C256,'TL05'!$J$10:$J$224),0),
IF('TL05'!$B$229=Q$3,SUMIF('TL05'!$C$238:$C$451,$C256,'TL05'!$J$238:$J$451),0),
IF('TL06'!$B$3=Q$3,SUMIF('TL06'!$C$10:$C$224,$C256,'TL06'!$J$10:$J$224),0),
IF('TL06'!$B$229=Q$3,SUMIF('TL06'!$C$238:$C$451,$C256,'TL06'!$J$238:$J$451),0),
IF('TL07'!$B$3=Q$3,SUMIF('TL07'!$C$10:$C$224,$C256,'TL07'!$J$10:$J$224),0),
IF('TL07'!$B$229=Q$3,SUMIF('TL07'!$C$238:$C$451,$C256,'TL07'!$J$238:$J$451),0),
IF('TL08'!$B$3=Q$3,SUMIF('TL08'!$C$10:$C$224,$C256,'TL08'!$J$10:$J$224),0),
IF('TL08'!$B$229=Q$3,SUMIF('TL08'!$C$238:$C$451,$C256,'TL08'!$J$238:$J$451),0),
IF('TL09'!$B$3=Q$3,SUMIF('TL09'!$C$10:$C$224,$C256,'TL09'!$J$10:$J$224),0),
IF('TL09'!$B$229=Q$3,SUMIF('TL09'!$C$238:$C$451,$C256,'TL09'!$J$238:$J$451),0),
IF('TL10'!$B$3=Q$3,SUMIF('TL10'!$C$10:$C$224,$C256,'TL10'!$J$10:$J$224),0),
IF('TL10'!$B$229=Q$3,SUMIF('TL10'!$C$238:$C$451,$C256,'TL10'!$J$238:$J$451),0),
IF('TL11'!$B$3=Q$3,SUMIF('TL11'!$C$10:$C$224,$C256,'TL11'!$J$10:$J$224),0),
IF('TL11'!$B$229=Q$3,SUMIF('TL11'!$C$238:$C$451,$C256,'TL11'!$J$238:$J$451),0),
IF('TL12'!$B$3=Q$3,SUMIF('TL12'!$C$10:$C$224,$C256,'TL12'!$J$10:$J$224),0),
IF('TL12'!$B$229=Q$3,SUMIF('TL12'!$C$238:$C$451,$C256,'TL12'!$J$238:$J$451),0),
IF('TL13'!$B$3=Q$3,SUMIF('TL13'!$C$10:$C$224,$C256,'TL13'!$J$10:$J$224),0),
IF('TL13'!$B$229=Q$3,SUMIF('TL13'!$C$238:$C$451,$C256,'TL13'!$J$238:$J$451),0),
IF('TL14'!$B$3=Q$3,SUMIF('TL14'!$C$10:$C$224,$C256,'TL14'!$J$10:$J$224),0),
IF('TL14'!$B$229=Q$3,SUMIF('TL14'!$C$238:$C$451,$C256,'TL14'!$J$238:$J$451),0),
IF('TL15'!$B$3=Q$3,SUMIF('TL15'!$C$10:$C$224,$C256,'TL15'!$J$10:$J$224),0),
IF('TL15'!$B$229=Q$3,SUMIF('TL15'!$C$238:$C$451,$C256,'TL15'!$J$238:$J$451),0),
IF('TL16'!$B$3=Q$3,SUMIF('TL16'!$C$10:$C$224,$C256,'TL16'!$J$10:$J$224),0),
IF('TL16'!$B$229=Q$3,SUMIF('TL16'!$C$238:$C$451,$C256,'TL16'!$J$238:$J$451),0),
IF('TL17'!$B$3=Q$3,SUMIF('TL17'!$C$10:$C$224,$C256,'TL17'!$J$10:$J$224),0),
IF('TL17'!$B$229=Q$3,SUMIF('TL17'!$C$238:$C$451,$C256,'TL17'!$J$238:$J$451),0),
IF('TL18'!$B$3=Q$3,SUMIF('TL18'!$C$10:$C$224,$C256,'TL18'!$J$10:$J$224),0),
IF('TL18'!$B$229=Q$3,SUMIF('TL18'!$C$238:$C$451,$C256,'TL18'!$J$238:$J$451),0),
IF('TL19'!$B$3=Q$3,SUMIF('TL19'!$C$10:$C$224,$C256,'TL19'!$J$10:$J$224),0),
IF('TL19'!$B$229=Q$3,SUMIF('TL19'!$C$238:$C$451,$C256,'TL19'!$J$238:$J$451),0)
),0)</f>
        <v/>
      </c>
      <c r="R256" s="9">
        <f>IFERROR(
SUM(
SUMIF('TL01'!C:C,C256,'TL01'!J:J),
SUMIF('TL02'!C:C,C256,'TL02'!J:J),
SUMIF('TL03'!C:C,C256,'TL03'!J:J),
SUMIF('TL04'!C:C,C256,'TL04'!J:J),
SUMIF('TL05'!C:C,C256,'TL05'!J:J),
SUMIF('TL06'!C:C,C256,'TL06'!J:J),
SUMIF('TL07'!C:C,C256,'TL07'!J:J),
SUMIF('TL08'!C:C,C256,'TL08'!J:J),
SUMIF('TL09'!C:C,C256,'TL09'!J:J),
SUMIF('TL10'!C:C,C256,'TL10'!J:J),
SUMIF('TL11'!C:C,C256,'TL11'!J:J),
SUMIF('TL12'!C:C,C256,'TL12'!J:J),
SUMIF('TL13'!C:C,C256,'TL13'!J:J),
SUMIF('TL14'!C:C,C256,'TL14'!J:J),
SUMIF('TL15'!C:C,C256,'TL15'!J:J),
SUMIF('TL16'!C:C,C256,'TL16'!J:J),
SUMIF('TL17'!C:C,C256,'TL17'!J:J),
SUMIF('TL18'!C:C,C256,'TL18'!J:J),SUMIF('TL19'!C:C,C256,'TL19'!J:J))
,0)</f>
        <v/>
      </c>
      <c r="S256" s="17">
        <f>IFERROR(__xludf.DUMMYFUNCTION("IFERROR(VLOOKUP(C256,
IMPORTRANGE(""1wULbzX32WdYsx-lj2U3uUNBBe2INVIRDtcK0d-Dvl90"",
""26-27!C:G""),
5,
FALSE),
"""")"),92.95)</f>
        <v/>
      </c>
      <c r="T256" s="9" t="n"/>
      <c r="U256" s="92">
        <f>MAX(0,R256-T256)</f>
        <v/>
      </c>
      <c r="V256" s="93">
        <f>U256*S256</f>
        <v/>
      </c>
    </row>
    <row r="257" hidden="1" ht="15.75" customHeight="1" s="297">
      <c r="A257" s="4" t="inlineStr">
        <is>
          <t>AGROPLACE</t>
        </is>
      </c>
      <c r="B257" s="125" t="inlineStr">
        <is>
          <t>NUTRIÇÃO</t>
        </is>
      </c>
      <c r="C257" s="4" t="inlineStr">
        <is>
          <t>MONIC</t>
        </is>
      </c>
      <c r="D257" s="4" t="inlineStr">
        <is>
          <t>N1%;Co0,4%;Mo7,4%;Ni0,8%</t>
        </is>
      </c>
      <c r="E257" s="9" t="inlineStr">
        <is>
          <t>13,7g/l + 5,48g/l + 101,3g/l + 10,96g/l</t>
        </is>
      </c>
      <c r="F257" s="4" t="inlineStr">
        <is>
          <t>L</t>
        </is>
      </c>
      <c r="G257" s="9" t="n"/>
      <c r="H257" s="9" t="n">
        <v>0.2</v>
      </c>
      <c r="I257" s="1" t="n"/>
      <c r="J257" s="9">
        <f>IFERROR(SUM(
IF('TL01'!$B$3=J$3,SUMIF('TL01'!$C$10:$C$224,$C257,'TL01'!$J$10:$J$224),0),
IF('TL01'!$B$229=J$3,SUMIF('TL01'!$C$238:$C$451,$C257,'TL01'!$J$238:$J$451),0),
IF('TL02'!$B$3=J$3,SUMIF('TL02'!$C$10:$C$224,$C257,'TL02'!$J$10:$J$224),0),
IF('TL02'!$B$229=J$3,SUMIF('TL02'!$C$238:$C$451,$C257,'TL02'!$J$238:$J$451),0),
IF('TL03'!$B$3=J$3,SUMIF('TL03'!$C$10:$C$224,$C257,'TL03'!$J$10:$J$224),0),
IF('TL03'!$B$229=J$3,SUMIF('TL03'!$C$238:$C$451,$C257,'TL03'!$J$238:$J$451),0),
IF('TL04'!$B$3=J$3,SUMIF('TL04'!$C$10:$C$224,$C257,'TL04'!$J$10:$J$224),0),
IF('TL04'!$B$229=J$3,SUMIF('TL04'!$C$238:$C$451,$C257,'TL04'!$J$238:$J$451),0),
IF('TL05'!$B$3=J$3,SUMIF('TL05'!$C$10:$C$224,$C257,'TL05'!$J$10:$J$224),0),
IF('TL05'!$B$229=J$3,SUMIF('TL05'!$C$238:$C$451,$C257,'TL05'!$J$238:$J$451),0),
IF('TL06'!$B$3=J$3,SUMIF('TL06'!$C$10:$C$224,$C257,'TL06'!$J$10:$J$224),0),
IF('TL06'!$B$229=J$3,SUMIF('TL06'!$C$238:$C$451,$C257,'TL06'!$J$238:$J$451),0),
IF('TL07'!$B$3=J$3,SUMIF('TL07'!$C$10:$C$224,$C257,'TL07'!$J$10:$J$224),0),
IF('TL07'!$B$229=J$3,SUMIF('TL07'!$C$238:$C$451,$C257,'TL07'!$J$238:$J$451),0),
IF('TL08'!$B$3=J$3,SUMIF('TL08'!$C$10:$C$224,$C257,'TL08'!$J$10:$J$224),0),
IF('TL08'!$B$229=J$3,SUMIF('TL08'!$C$238:$C$451,$C257,'TL08'!$J$238:$J$451),0),
IF('TL09'!$B$3=J$3,SUMIF('TL09'!$C$10:$C$224,$C257,'TL09'!$J$10:$J$224),0),
IF('TL09'!$B$229=J$3,SUMIF('TL09'!$C$238:$C$451,$C257,'TL09'!$J$238:$J$451),0),
IF('TL10'!$B$3=J$3,SUMIF('TL10'!$C$10:$C$224,$C257,'TL10'!$J$10:$J$224),0),
IF('TL10'!$B$229=J$3,SUMIF('TL10'!$C$238:$C$451,$C257,'TL10'!$J$238:$J$451),0),
IF('TL11'!$B$3=J$3,SUMIF('TL11'!$C$10:$C$224,$C257,'TL11'!$J$10:$J$224),0),
IF('TL11'!$B$229=J$3,SUMIF('TL11'!$C$238:$C$451,$C257,'TL11'!$J$238:$J$451),0),
IF('TL12'!$B$3=J$3,SUMIF('TL12'!$C$10:$C$224,$C257,'TL12'!$J$10:$J$224),0),
IF('TL12'!$B$229=J$3,SUMIF('TL12'!$C$238:$C$451,$C257,'TL12'!$J$238:$J$451),0),
IF('TL13'!$B$3=J$3,SUMIF('TL13'!$C$10:$C$224,$C257,'TL13'!$J$10:$J$224),0),
IF('TL13'!$B$229=J$3,SUMIF('TL13'!$C$238:$C$451,$C257,'TL13'!$J$238:$J$451),0),
IF('TL14'!$B$3=J$3,SUMIF('TL14'!$C$10:$C$224,$C257,'TL14'!$J$10:$J$224),0),
IF('TL14'!$B$229=J$3,SUMIF('TL14'!$C$238:$C$451,$C257,'TL14'!$J$238:$J$451),0),
IF('TL15'!$B$3=J$3,SUMIF('TL15'!$C$10:$C$224,$C257,'TL15'!$J$10:$J$224),0),
IF('TL15'!$B$229=J$3,SUMIF('TL15'!$C$238:$C$451,$C257,'TL15'!$J$238:$J$451),0),
IF('TL16'!$B$3=J$3,SUMIF('TL16'!$C$10:$C$224,$C257,'TL16'!$J$10:$J$224),0),
IF('TL16'!$B$229=J$3,SUMIF('TL16'!$C$238:$C$451,$C257,'TL16'!$J$238:$J$451),0),
IF('TL17'!$B$3=J$3,SUMIF('TL17'!$C$10:$C$224,$C257,'TL17'!$J$10:$J$224),0),
IF('TL17'!$B$229=J$3,SUMIF('TL17'!$C$238:$C$451,$C257,'TL17'!$J$238:$J$451),0),
IF('TL18'!$B$3=J$3,SUMIF('TL18'!$C$10:$C$224,$C257,'TL18'!$J$10:$J$224),0),
IF('TL18'!$B$229=J$3,SUMIF('TL18'!$C$238:$C$451,$C257,'TL18'!$J$238:$J$451),0),
IF('TL19'!$B$3=J$3,SUMIF('TL19'!$C$10:$C$224,$C257,'TL19'!$J$10:$J$224),0),
IF('TL19'!$B$229=J$3,SUMIF('TL19'!$C$238:$C$451,$C257,'TL19'!$J$238:$J$451),0)
),0)</f>
        <v/>
      </c>
      <c r="K257" s="9">
        <f>IFERROR(SUM(
IF('TL01'!$B$3=K$3,SUMIF('TL01'!$C$10:$C$224,$C257,'TL01'!$J$10:$J$224),0),
IF('TL01'!$B$229=K$3,SUMIF('TL01'!$C$238:$C$451,$C257,'TL01'!$J$238:$J$451),0),
IF('TL02'!$B$3=K$3,SUMIF('TL02'!$C$10:$C$224,$C257,'TL02'!$J$10:$J$224),0),
IF('TL02'!$B$229=K$3,SUMIF('TL02'!$C$238:$C$451,$C257,'TL02'!$J$238:$J$451),0),
IF('TL03'!$B$3=K$3,SUMIF('TL03'!$C$10:$C$224,$C257,'TL03'!$J$10:$J$224),0),
IF('TL03'!$B$229=K$3,SUMIF('TL03'!$C$238:$C$451,$C257,'TL03'!$J$238:$J$451),0),
IF('TL04'!$B$3=K$3,SUMIF('TL04'!$C$10:$C$224,$C257,'TL04'!$J$10:$J$224),0),
IF('TL04'!$B$229=K$3,SUMIF('TL04'!$C$238:$C$451,$C257,'TL04'!$J$238:$J$451),0),
IF('TL05'!$B$3=K$3,SUMIF('TL05'!$C$10:$C$224,$C257,'TL05'!$J$10:$J$224),0),
IF('TL05'!$B$229=K$3,SUMIF('TL05'!$C$238:$C$451,$C257,'TL05'!$J$238:$J$451),0),
IF('TL06'!$B$3=K$3,SUMIF('TL06'!$C$10:$C$224,$C257,'TL06'!$J$10:$J$224),0),
IF('TL06'!$B$229=K$3,SUMIF('TL06'!$C$238:$C$451,$C257,'TL06'!$J$238:$J$451),0),
IF('TL07'!$B$3=K$3,SUMIF('TL07'!$C$10:$C$224,$C257,'TL07'!$J$10:$J$224),0),
IF('TL07'!$B$229=K$3,SUMIF('TL07'!$C$238:$C$451,$C257,'TL07'!$J$238:$J$451),0),
IF('TL08'!$B$3=K$3,SUMIF('TL08'!$C$10:$C$224,$C257,'TL08'!$J$10:$J$224),0),
IF('TL08'!$B$229=K$3,SUMIF('TL08'!$C$238:$C$451,$C257,'TL08'!$J$238:$J$451),0),
IF('TL09'!$B$3=K$3,SUMIF('TL09'!$C$10:$C$224,$C257,'TL09'!$J$10:$J$224),0),
IF('TL09'!$B$229=K$3,SUMIF('TL09'!$C$238:$C$451,$C257,'TL09'!$J$238:$J$451),0),
IF('TL10'!$B$3=K$3,SUMIF('TL10'!$C$10:$C$224,$C257,'TL10'!$J$10:$J$224),0),
IF('TL10'!$B$229=K$3,SUMIF('TL10'!$C$238:$C$451,$C257,'TL10'!$J$238:$J$451),0),
IF('TL11'!$B$3=K$3,SUMIF('TL11'!$C$10:$C$224,$C257,'TL11'!$J$10:$J$224),0),
IF('TL11'!$B$229=K$3,SUMIF('TL11'!$C$238:$C$451,$C257,'TL11'!$J$238:$J$451),0),
IF('TL12'!$B$3=K$3,SUMIF('TL12'!$C$10:$C$224,$C257,'TL12'!$J$10:$J$224),0),
IF('TL12'!$B$229=K$3,SUMIF('TL12'!$C$238:$C$451,$C257,'TL12'!$J$238:$J$451),0),
IF('TL13'!$B$3=K$3,SUMIF('TL13'!$C$10:$C$224,$C257,'TL13'!$J$10:$J$224),0),
IF('TL13'!$B$229=K$3,SUMIF('TL13'!$C$238:$C$451,$C257,'TL13'!$J$238:$J$451),0),
IF('TL14'!$B$3=K$3,SUMIF('TL14'!$C$10:$C$224,$C257,'TL14'!$J$10:$J$224),0),
IF('TL14'!$B$229=K$3,SUMIF('TL14'!$C$238:$C$451,$C257,'TL14'!$J$238:$J$451),0),
IF('TL15'!$B$3=K$3,SUMIF('TL15'!$C$10:$C$224,$C257,'TL15'!$J$10:$J$224),0),
IF('TL15'!$B$229=K$3,SUMIF('TL15'!$C$238:$C$451,$C257,'TL15'!$J$238:$J$451),0),
IF('TL16'!$B$3=K$3,SUMIF('TL16'!$C$10:$C$224,$C257,'TL16'!$J$10:$J$224),0),
IF('TL16'!$B$229=K$3,SUMIF('TL16'!$C$238:$C$451,$C257,'TL16'!$J$238:$J$451),0),
IF('TL17'!$B$3=K$3,SUMIF('TL17'!$C$10:$C$224,$C257,'TL17'!$J$10:$J$224),0),
IF('TL17'!$B$229=K$3,SUMIF('TL17'!$C$238:$C$451,$C257,'TL17'!$J$238:$J$451),0),
IF('TL18'!$B$3=K$3,SUMIF('TL18'!$C$10:$C$224,$C257,'TL18'!$J$10:$J$224),0),
IF('TL18'!$B$229=K$3,SUMIF('TL18'!$C$238:$C$451,$C257,'TL18'!$J$238:$J$451),0),
IF('TL19'!$B$3=K$3,SUMIF('TL19'!$C$10:$C$224,$C257,'TL19'!$J$10:$J$224),0),
IF('TL19'!$B$229=K$3,SUMIF('TL19'!$C$238:$C$451,$C257,'TL19'!$J$238:$J$451),0)
),0)</f>
        <v/>
      </c>
      <c r="L257" s="9">
        <f>IFERROR(SUM(
IF('TL01'!$B$3=L$3,SUMIF('TL01'!$C$10:$C$224,$C257,'TL01'!$J$10:$J$224),0),
IF('TL01'!$B$229=L$3,SUMIF('TL01'!$C$238:$C$451,$C257,'TL01'!$J$238:$J$451),0),
IF('TL02'!$B$3=L$3,SUMIF('TL02'!$C$10:$C$224,$C257,'TL02'!$J$10:$J$224),0),
IF('TL02'!$B$229=L$3,SUMIF('TL02'!$C$238:$C$451,$C257,'TL02'!$J$238:$J$451),0),
IF('TL03'!$B$3=L$3,SUMIF('TL03'!$C$10:$C$224,$C257,'TL03'!$J$10:$J$224),0),
IF('TL03'!$B$229=L$3,SUMIF('TL03'!$C$238:$C$451,$C257,'TL03'!$J$238:$J$451),0),
IF('TL04'!$B$3=L$3,SUMIF('TL04'!$C$10:$C$224,$C257,'TL04'!$J$10:$J$224),0),
IF('TL04'!$B$229=L$3,SUMIF('TL04'!$C$238:$C$451,$C257,'TL04'!$J$238:$J$451),0),
IF('TL05'!$B$3=L$3,SUMIF('TL05'!$C$10:$C$224,$C257,'TL05'!$J$10:$J$224),0),
IF('TL05'!$B$229=L$3,SUMIF('TL05'!$C$238:$C$451,$C257,'TL05'!$J$238:$J$451),0),
IF('TL06'!$B$3=L$3,SUMIF('TL06'!$C$10:$C$224,$C257,'TL06'!$J$10:$J$224),0),
IF('TL06'!$B$229=L$3,SUMIF('TL06'!$C$238:$C$451,$C257,'TL06'!$J$238:$J$451),0),
IF('TL07'!$B$3=L$3,SUMIF('TL07'!$C$10:$C$224,$C257,'TL07'!$J$10:$J$224),0),
IF('TL07'!$B$229=L$3,SUMIF('TL07'!$C$238:$C$451,$C257,'TL07'!$J$238:$J$451),0),
IF('TL08'!$B$3=L$3,SUMIF('TL08'!$C$10:$C$224,$C257,'TL08'!$J$10:$J$224),0),
IF('TL08'!$B$229=L$3,SUMIF('TL08'!$C$238:$C$451,$C257,'TL08'!$J$238:$J$451),0),
IF('TL09'!$B$3=L$3,SUMIF('TL09'!$C$10:$C$224,$C257,'TL09'!$J$10:$J$224),0),
IF('TL09'!$B$229=L$3,SUMIF('TL09'!$C$238:$C$451,$C257,'TL09'!$J$238:$J$451),0),
IF('TL10'!$B$3=L$3,SUMIF('TL10'!$C$10:$C$224,$C257,'TL10'!$J$10:$J$224),0),
IF('TL10'!$B$229=L$3,SUMIF('TL10'!$C$238:$C$451,$C257,'TL10'!$J$238:$J$451),0),
IF('TL11'!$B$3=L$3,SUMIF('TL11'!$C$10:$C$224,$C257,'TL11'!$J$10:$J$224),0),
IF('TL11'!$B$229=L$3,SUMIF('TL11'!$C$238:$C$451,$C257,'TL11'!$J$238:$J$451),0),
IF('TL12'!$B$3=L$3,SUMIF('TL12'!$C$10:$C$224,$C257,'TL12'!$J$10:$J$224),0),
IF('TL12'!$B$229=L$3,SUMIF('TL12'!$C$238:$C$451,$C257,'TL12'!$J$238:$J$451),0),
IF('TL13'!$B$3=L$3,SUMIF('TL13'!$C$10:$C$224,$C257,'TL13'!$J$10:$J$224),0),
IF('TL13'!$B$229=L$3,SUMIF('TL13'!$C$238:$C$451,$C257,'TL13'!$J$238:$J$451),0),
IF('TL14'!$B$3=L$3,SUMIF('TL14'!$C$10:$C$224,$C257,'TL14'!$J$10:$J$224),0),
IF('TL14'!$B$229=L$3,SUMIF('TL14'!$C$238:$C$451,$C257,'TL14'!$J$238:$J$451),0),
IF('TL15'!$B$3=L$3,SUMIF('TL15'!$C$10:$C$224,$C257,'TL15'!$J$10:$J$224),0),
IF('TL15'!$B$229=L$3,SUMIF('TL15'!$C$238:$C$451,$C257,'TL15'!$J$238:$J$451),0),
IF('TL16'!$B$3=L$3,SUMIF('TL16'!$C$10:$C$224,$C257,'TL16'!$J$10:$J$224),0),
IF('TL16'!$B$229=L$3,SUMIF('TL16'!$C$238:$C$451,$C257,'TL16'!$J$238:$J$451),0),
IF('TL17'!$B$3=L$3,SUMIF('TL17'!$C$10:$C$224,$C257,'TL17'!$J$10:$J$224),0),
IF('TL17'!$B$229=L$3,SUMIF('TL17'!$C$238:$C$451,$C257,'TL17'!$J$238:$J$451),0),
IF('TL18'!$B$3=L$3,SUMIF('TL18'!$C$10:$C$224,$C257,'TL18'!$J$10:$J$224),0),
IF('TL18'!$B$229=L$3,SUMIF('TL18'!$C$238:$C$451,$C257,'TL18'!$J$238:$J$451),0),
IF('TL19'!$B$3=L$3,SUMIF('TL19'!$C$10:$C$224,$C257,'TL19'!$J$10:$J$224),0),
IF('TL19'!$B$229=L$3,SUMIF('TL19'!$C$238:$C$451,$C257,'TL19'!$J$238:$J$451),0)
),0)</f>
        <v/>
      </c>
      <c r="M257" s="9">
        <f>IFERROR(SUM(
IF('TL01'!$B$3=M$3,SUMIF('TL01'!$C$10:$C$224,$C257,'TL01'!$J$10:$J$224),0),
IF('TL01'!$B$229=M$3,SUMIF('TL01'!$C$238:$C$451,$C257,'TL01'!$J$238:$J$451),0),
IF('TL02'!$B$3=M$3,SUMIF('TL02'!$C$10:$C$224,$C257,'TL02'!$J$10:$J$224),0),
IF('TL02'!$B$229=M$3,SUMIF('TL02'!$C$238:$C$451,$C257,'TL02'!$J$238:$J$451),0),
IF('TL03'!$B$3=M$3,SUMIF('TL03'!$C$10:$C$224,$C257,'TL03'!$J$10:$J$224),0),
IF('TL03'!$B$229=M$3,SUMIF('TL03'!$C$238:$C$451,$C257,'TL03'!$J$238:$J$451),0),
IF('TL04'!$B$3=M$3,SUMIF('TL04'!$C$10:$C$224,$C257,'TL04'!$J$10:$J$224),0),
IF('TL04'!$B$229=M$3,SUMIF('TL04'!$C$238:$C$451,$C257,'TL04'!$J$238:$J$451),0),
IF('TL05'!$B$3=M$3,SUMIF('TL05'!$C$10:$C$224,$C257,'TL05'!$J$10:$J$224),0),
IF('TL05'!$B$229=M$3,SUMIF('TL05'!$C$238:$C$451,$C257,'TL05'!$J$238:$J$451),0),
IF('TL06'!$B$3=M$3,SUMIF('TL06'!$C$10:$C$224,$C257,'TL06'!$J$10:$J$224),0),
IF('TL06'!$B$229=M$3,SUMIF('TL06'!$C$238:$C$451,$C257,'TL06'!$J$238:$J$451),0),
IF('TL07'!$B$3=M$3,SUMIF('TL07'!$C$10:$C$224,$C257,'TL07'!$J$10:$J$224),0),
IF('TL07'!$B$229=M$3,SUMIF('TL07'!$C$238:$C$451,$C257,'TL07'!$J$238:$J$451),0),
IF('TL08'!$B$3=M$3,SUMIF('TL08'!$C$10:$C$224,$C257,'TL08'!$J$10:$J$224),0),
IF('TL08'!$B$229=M$3,SUMIF('TL08'!$C$238:$C$451,$C257,'TL08'!$J$238:$J$451),0),
IF('TL09'!$B$3=M$3,SUMIF('TL09'!$C$10:$C$224,$C257,'TL09'!$J$10:$J$224),0),
IF('TL09'!$B$229=M$3,SUMIF('TL09'!$C$238:$C$451,$C257,'TL09'!$J$238:$J$451),0),
IF('TL10'!$B$3=M$3,SUMIF('TL10'!$C$10:$C$224,$C257,'TL10'!$J$10:$J$224),0),
IF('TL10'!$B$229=M$3,SUMIF('TL10'!$C$238:$C$451,$C257,'TL10'!$J$238:$J$451),0),
IF('TL11'!$B$3=M$3,SUMIF('TL11'!$C$10:$C$224,$C257,'TL11'!$J$10:$J$224),0),
IF('TL11'!$B$229=M$3,SUMIF('TL11'!$C$238:$C$451,$C257,'TL11'!$J$238:$J$451),0),
IF('TL12'!$B$3=M$3,SUMIF('TL12'!$C$10:$C$224,$C257,'TL12'!$J$10:$J$224),0),
IF('TL12'!$B$229=M$3,SUMIF('TL12'!$C$238:$C$451,$C257,'TL12'!$J$238:$J$451),0),
IF('TL13'!$B$3=M$3,SUMIF('TL13'!$C$10:$C$224,$C257,'TL13'!$J$10:$J$224),0),
IF('TL13'!$B$229=M$3,SUMIF('TL13'!$C$238:$C$451,$C257,'TL13'!$J$238:$J$451),0),
IF('TL14'!$B$3=M$3,SUMIF('TL14'!$C$10:$C$224,$C257,'TL14'!$J$10:$J$224),0),
IF('TL14'!$B$229=M$3,SUMIF('TL14'!$C$238:$C$451,$C257,'TL14'!$J$238:$J$451),0),
IF('TL15'!$B$3=M$3,SUMIF('TL15'!$C$10:$C$224,$C257,'TL15'!$J$10:$J$224),0),
IF('TL15'!$B$229=M$3,SUMIF('TL15'!$C$238:$C$451,$C257,'TL15'!$J$238:$J$451),0),
IF('TL16'!$B$3=M$3,SUMIF('TL16'!$C$10:$C$224,$C257,'TL16'!$J$10:$J$224),0),
IF('TL16'!$B$229=M$3,SUMIF('TL16'!$C$238:$C$451,$C257,'TL16'!$J$238:$J$451),0),
IF('TL17'!$B$3=M$3,SUMIF('TL17'!$C$10:$C$224,$C257,'TL17'!$J$10:$J$224),0),
IF('TL17'!$B$229=M$3,SUMIF('TL17'!$C$238:$C$451,$C257,'TL17'!$J$238:$J$451),0),
IF('TL18'!$B$3=M$3,SUMIF('TL18'!$C$10:$C$224,$C257,'TL18'!$J$10:$J$224),0),
IF('TL18'!$B$229=M$3,SUMIF('TL18'!$C$238:$C$451,$C257,'TL18'!$J$238:$J$451),0),
IF('TL19'!$B$3=M$3,SUMIF('TL19'!$C$10:$C$224,$C257,'TL19'!$J$10:$J$224),0),
IF('TL19'!$B$229=M$3,SUMIF('TL19'!$C$238:$C$451,$C257,'TL19'!$J$238:$J$451),0)
),0)</f>
        <v/>
      </c>
      <c r="N257" s="9">
        <f>IFERROR(SUM(
IF('TL01'!$B$3=N$3,SUMIF('TL01'!$C$10:$C$224,$C257,'TL01'!$J$10:$J$224),0),
IF('TL01'!$B$229=N$3,SUMIF('TL01'!$C$238:$C$451,$C257,'TL01'!$J$238:$J$451),0),
IF('TL02'!$B$3=N$3,SUMIF('TL02'!$C$10:$C$224,$C257,'TL02'!$J$10:$J$224),0),
IF('TL02'!$B$229=N$3,SUMIF('TL02'!$C$238:$C$451,$C257,'TL02'!$J$238:$J$451),0),
IF('TL03'!$B$3=N$3,SUMIF('TL03'!$C$10:$C$224,$C257,'TL03'!$J$10:$J$224),0),
IF('TL03'!$B$229=N$3,SUMIF('TL03'!$C$238:$C$451,$C257,'TL03'!$J$238:$J$451),0),
IF('TL04'!$B$3=N$3,SUMIF('TL04'!$C$10:$C$224,$C257,'TL04'!$J$10:$J$224),0),
IF('TL04'!$B$229=N$3,SUMIF('TL04'!$C$238:$C$451,$C257,'TL04'!$J$238:$J$451),0),
IF('TL05'!$B$3=N$3,SUMIF('TL05'!$C$10:$C$224,$C257,'TL05'!$J$10:$J$224),0),
IF('TL05'!$B$229=N$3,SUMIF('TL05'!$C$238:$C$451,$C257,'TL05'!$J$238:$J$451),0),
IF('TL06'!$B$3=N$3,SUMIF('TL06'!$C$10:$C$224,$C257,'TL06'!$J$10:$J$224),0),
IF('TL06'!$B$229=N$3,SUMIF('TL06'!$C$238:$C$451,$C257,'TL06'!$J$238:$J$451),0),
IF('TL07'!$B$3=N$3,SUMIF('TL07'!$C$10:$C$224,$C257,'TL07'!$J$10:$J$224),0),
IF('TL07'!$B$229=N$3,SUMIF('TL07'!$C$238:$C$451,$C257,'TL07'!$J$238:$J$451),0),
IF('TL08'!$B$3=N$3,SUMIF('TL08'!$C$10:$C$224,$C257,'TL08'!$J$10:$J$224),0),
IF('TL08'!$B$229=N$3,SUMIF('TL08'!$C$238:$C$451,$C257,'TL08'!$J$238:$J$451),0),
IF('TL09'!$B$3=N$3,SUMIF('TL09'!$C$10:$C$224,$C257,'TL09'!$J$10:$J$224),0),
IF('TL09'!$B$229=N$3,SUMIF('TL09'!$C$238:$C$451,$C257,'TL09'!$J$238:$J$451),0),
IF('TL10'!$B$3=N$3,SUMIF('TL10'!$C$10:$C$224,$C257,'TL10'!$J$10:$J$224),0),
IF('TL10'!$B$229=N$3,SUMIF('TL10'!$C$238:$C$451,$C257,'TL10'!$J$238:$J$451),0),
IF('TL11'!$B$3=N$3,SUMIF('TL11'!$C$10:$C$224,$C257,'TL11'!$J$10:$J$224),0),
IF('TL11'!$B$229=N$3,SUMIF('TL11'!$C$238:$C$451,$C257,'TL11'!$J$238:$J$451),0),
IF('TL12'!$B$3=N$3,SUMIF('TL12'!$C$10:$C$224,$C257,'TL12'!$J$10:$J$224),0),
IF('TL12'!$B$229=N$3,SUMIF('TL12'!$C$238:$C$451,$C257,'TL12'!$J$238:$J$451),0),
IF('TL13'!$B$3=N$3,SUMIF('TL13'!$C$10:$C$224,$C257,'TL13'!$J$10:$J$224),0),
IF('TL13'!$B$229=N$3,SUMIF('TL13'!$C$238:$C$451,$C257,'TL13'!$J$238:$J$451),0),
IF('TL14'!$B$3=N$3,SUMIF('TL14'!$C$10:$C$224,$C257,'TL14'!$J$10:$J$224),0),
IF('TL14'!$B$229=N$3,SUMIF('TL14'!$C$238:$C$451,$C257,'TL14'!$J$238:$J$451),0),
IF('TL15'!$B$3=N$3,SUMIF('TL15'!$C$10:$C$224,$C257,'TL15'!$J$10:$J$224),0),
IF('TL15'!$B$229=N$3,SUMIF('TL15'!$C$238:$C$451,$C257,'TL15'!$J$238:$J$451),0),
IF('TL16'!$B$3=N$3,SUMIF('TL16'!$C$10:$C$224,$C257,'TL16'!$J$10:$J$224),0),
IF('TL16'!$B$229=N$3,SUMIF('TL16'!$C$238:$C$451,$C257,'TL16'!$J$238:$J$451),0),
IF('TL17'!$B$3=N$3,SUMIF('TL17'!$C$10:$C$224,$C257,'TL17'!$J$10:$J$224),0),
IF('TL17'!$B$229=N$3,SUMIF('TL17'!$C$238:$C$451,$C257,'TL17'!$J$238:$J$451),0),
IF('TL18'!$B$3=N$3,SUMIF('TL18'!$C$10:$C$224,$C257,'TL18'!$J$10:$J$224),0),
IF('TL18'!$B$229=N$3,SUMIF('TL18'!$C$238:$C$451,$C257,'TL18'!$J$238:$J$451),0),
IF('TL19'!$B$3=N$3,SUMIF('TL19'!$C$10:$C$224,$C257,'TL19'!$J$10:$J$224),0),
IF('TL19'!$B$229=N$3,SUMIF('TL19'!$C$238:$C$451,$C257,'TL19'!$J$238:$J$451),0)
),0)</f>
        <v/>
      </c>
      <c r="O257" s="9">
        <f>IFERROR(SUM(
IF('TL01'!$B$3=O$3,SUMIF('TL01'!$C$10:$C$224,$C257,'TL01'!$J$10:$J$224),0),
IF('TL01'!$B$229=O$3,SUMIF('TL01'!$C$238:$C$451,$C257,'TL01'!$J$238:$J$451),0),
IF('TL02'!$B$3=O$3,SUMIF('TL02'!$C$10:$C$224,$C257,'TL02'!$J$10:$J$224),0),
IF('TL02'!$B$229=O$3,SUMIF('TL02'!$C$238:$C$451,$C257,'TL02'!$J$238:$J$451),0),
IF('TL03'!$B$3=O$3,SUMIF('TL03'!$C$10:$C$224,$C257,'TL03'!$J$10:$J$224),0),
IF('TL03'!$B$229=O$3,SUMIF('TL03'!$C$238:$C$451,$C257,'TL03'!$J$238:$J$451),0),
IF('TL04'!$B$3=O$3,SUMIF('TL04'!$C$10:$C$224,$C257,'TL04'!$J$10:$J$224),0),
IF('TL04'!$B$229=O$3,SUMIF('TL04'!$C$238:$C$451,$C257,'TL04'!$J$238:$J$451),0),
IF('TL05'!$B$3=O$3,SUMIF('TL05'!$C$10:$C$224,$C257,'TL05'!$J$10:$J$224),0),
IF('TL05'!$B$229=O$3,SUMIF('TL05'!$C$238:$C$451,$C257,'TL05'!$J$238:$J$451),0),
IF('TL06'!$B$3=O$3,SUMIF('TL06'!$C$10:$C$224,$C257,'TL06'!$J$10:$J$224),0),
IF('TL06'!$B$229=O$3,SUMIF('TL06'!$C$238:$C$451,$C257,'TL06'!$J$238:$J$451),0),
IF('TL07'!$B$3=O$3,SUMIF('TL07'!$C$10:$C$224,$C257,'TL07'!$J$10:$J$224),0),
IF('TL07'!$B$229=O$3,SUMIF('TL07'!$C$238:$C$451,$C257,'TL07'!$J$238:$J$451),0),
IF('TL08'!$B$3=O$3,SUMIF('TL08'!$C$10:$C$224,$C257,'TL08'!$J$10:$J$224),0),
IF('TL08'!$B$229=O$3,SUMIF('TL08'!$C$238:$C$451,$C257,'TL08'!$J$238:$J$451),0),
IF('TL09'!$B$3=O$3,SUMIF('TL09'!$C$10:$C$224,$C257,'TL09'!$J$10:$J$224),0),
IF('TL09'!$B$229=O$3,SUMIF('TL09'!$C$238:$C$451,$C257,'TL09'!$J$238:$J$451),0),
IF('TL10'!$B$3=O$3,SUMIF('TL10'!$C$10:$C$224,$C257,'TL10'!$J$10:$J$224),0),
IF('TL10'!$B$229=O$3,SUMIF('TL10'!$C$238:$C$451,$C257,'TL10'!$J$238:$J$451),0),
IF('TL11'!$B$3=O$3,SUMIF('TL11'!$C$10:$C$224,$C257,'TL11'!$J$10:$J$224),0),
IF('TL11'!$B$229=O$3,SUMIF('TL11'!$C$238:$C$451,$C257,'TL11'!$J$238:$J$451),0),
IF('TL12'!$B$3=O$3,SUMIF('TL12'!$C$10:$C$224,$C257,'TL12'!$J$10:$J$224),0),
IF('TL12'!$B$229=O$3,SUMIF('TL12'!$C$238:$C$451,$C257,'TL12'!$J$238:$J$451),0),
IF('TL13'!$B$3=O$3,SUMIF('TL13'!$C$10:$C$224,$C257,'TL13'!$J$10:$J$224),0),
IF('TL13'!$B$229=O$3,SUMIF('TL13'!$C$238:$C$451,$C257,'TL13'!$J$238:$J$451),0),
IF('TL14'!$B$3=O$3,SUMIF('TL14'!$C$10:$C$224,$C257,'TL14'!$J$10:$J$224),0),
IF('TL14'!$B$229=O$3,SUMIF('TL14'!$C$238:$C$451,$C257,'TL14'!$J$238:$J$451),0),
IF('TL15'!$B$3=O$3,SUMIF('TL15'!$C$10:$C$224,$C257,'TL15'!$J$10:$J$224),0),
IF('TL15'!$B$229=O$3,SUMIF('TL15'!$C$238:$C$451,$C257,'TL15'!$J$238:$J$451),0),
IF('TL16'!$B$3=O$3,SUMIF('TL16'!$C$10:$C$224,$C257,'TL16'!$J$10:$J$224),0),
IF('TL16'!$B$229=O$3,SUMIF('TL16'!$C$238:$C$451,$C257,'TL16'!$J$238:$J$451),0),
IF('TL17'!$B$3=O$3,SUMIF('TL17'!$C$10:$C$224,$C257,'TL17'!$J$10:$J$224),0),
IF('TL17'!$B$229=O$3,SUMIF('TL17'!$C$238:$C$451,$C257,'TL17'!$J$238:$J$451),0),
IF('TL18'!$B$3=O$3,SUMIF('TL18'!$C$10:$C$224,$C257,'TL18'!$J$10:$J$224),0),
IF('TL18'!$B$229=O$3,SUMIF('TL18'!$C$238:$C$451,$C257,'TL18'!$J$238:$J$451),0),
IF('TL19'!$B$3=O$3,SUMIF('TL19'!$C$10:$C$224,$C257,'TL19'!$J$10:$J$224),0),
IF('TL19'!$B$229=O$3,SUMIF('TL19'!$C$238:$C$451,$C257,'TL19'!$J$238:$J$451),0)
),0)</f>
        <v/>
      </c>
      <c r="P257" s="9">
        <f>IFERROR(SUM(
IF('TL01'!$B$3=P$3,SUMIF('TL01'!$C$10:$C$224,$C257,'TL01'!$J$10:$J$224),0),
IF('TL01'!$B$229=P$3,SUMIF('TL01'!$C$238:$C$451,$C257,'TL01'!$J$238:$J$451),0),
IF('TL02'!$B$3=P$3,SUMIF('TL02'!$C$10:$C$224,$C257,'TL02'!$J$10:$J$224),0),
IF('TL02'!$B$229=P$3,SUMIF('TL02'!$C$238:$C$451,$C257,'TL02'!$J$238:$J$451),0),
IF('TL03'!$B$3=P$3,SUMIF('TL03'!$C$10:$C$224,$C257,'TL03'!$J$10:$J$224),0),
IF('TL03'!$B$229=P$3,SUMIF('TL03'!$C$238:$C$451,$C257,'TL03'!$J$238:$J$451),0),
IF('TL04'!$B$3=P$3,SUMIF('TL04'!$C$10:$C$224,$C257,'TL04'!$J$10:$J$224),0),
IF('TL04'!$B$229=P$3,SUMIF('TL04'!$C$238:$C$451,$C257,'TL04'!$J$238:$J$451),0),
IF('TL05'!$B$3=P$3,SUMIF('TL05'!$C$10:$C$224,$C257,'TL05'!$J$10:$J$224),0),
IF('TL05'!$B$229=P$3,SUMIF('TL05'!$C$238:$C$451,$C257,'TL05'!$J$238:$J$451),0),
IF('TL06'!$B$3=P$3,SUMIF('TL06'!$C$10:$C$224,$C257,'TL06'!$J$10:$J$224),0),
IF('TL06'!$B$229=P$3,SUMIF('TL06'!$C$238:$C$451,$C257,'TL06'!$J$238:$J$451),0),
IF('TL07'!$B$3=P$3,SUMIF('TL07'!$C$10:$C$224,$C257,'TL07'!$J$10:$J$224),0),
IF('TL07'!$B$229=P$3,SUMIF('TL07'!$C$238:$C$451,$C257,'TL07'!$J$238:$J$451),0),
IF('TL08'!$B$3=P$3,SUMIF('TL08'!$C$10:$C$224,$C257,'TL08'!$J$10:$J$224),0),
IF('TL08'!$B$229=P$3,SUMIF('TL08'!$C$238:$C$451,$C257,'TL08'!$J$238:$J$451),0),
IF('TL09'!$B$3=P$3,SUMIF('TL09'!$C$10:$C$224,$C257,'TL09'!$J$10:$J$224),0),
IF('TL09'!$B$229=P$3,SUMIF('TL09'!$C$238:$C$451,$C257,'TL09'!$J$238:$J$451),0),
IF('TL10'!$B$3=P$3,SUMIF('TL10'!$C$10:$C$224,$C257,'TL10'!$J$10:$J$224),0),
IF('TL10'!$B$229=P$3,SUMIF('TL10'!$C$238:$C$451,$C257,'TL10'!$J$238:$J$451),0),
IF('TL11'!$B$3=P$3,SUMIF('TL11'!$C$10:$C$224,$C257,'TL11'!$J$10:$J$224),0),
IF('TL11'!$B$229=P$3,SUMIF('TL11'!$C$238:$C$451,$C257,'TL11'!$J$238:$J$451),0),
IF('TL12'!$B$3=P$3,SUMIF('TL12'!$C$10:$C$224,$C257,'TL12'!$J$10:$J$224),0),
IF('TL12'!$B$229=P$3,SUMIF('TL12'!$C$238:$C$451,$C257,'TL12'!$J$238:$J$451),0),
IF('TL13'!$B$3=P$3,SUMIF('TL13'!$C$10:$C$224,$C257,'TL13'!$J$10:$J$224),0),
IF('TL13'!$B$229=P$3,SUMIF('TL13'!$C$238:$C$451,$C257,'TL13'!$J$238:$J$451),0),
IF('TL14'!$B$3=P$3,SUMIF('TL14'!$C$10:$C$224,$C257,'TL14'!$J$10:$J$224),0),
IF('TL14'!$B$229=P$3,SUMIF('TL14'!$C$238:$C$451,$C257,'TL14'!$J$238:$J$451),0),
IF('TL15'!$B$3=P$3,SUMIF('TL15'!$C$10:$C$224,$C257,'TL15'!$J$10:$J$224),0),
IF('TL15'!$B$229=P$3,SUMIF('TL15'!$C$238:$C$451,$C257,'TL15'!$J$238:$J$451),0),
IF('TL16'!$B$3=P$3,SUMIF('TL16'!$C$10:$C$224,$C257,'TL16'!$J$10:$J$224),0),
IF('TL16'!$B$229=P$3,SUMIF('TL16'!$C$238:$C$451,$C257,'TL16'!$J$238:$J$451),0),
IF('TL17'!$B$3=P$3,SUMIF('TL17'!$C$10:$C$224,$C257,'TL17'!$J$10:$J$224),0),
IF('TL17'!$B$229=P$3,SUMIF('TL17'!$C$238:$C$451,$C257,'TL17'!$J$238:$J$451),0),
IF('TL18'!$B$3=P$3,SUMIF('TL18'!$C$10:$C$224,$C257,'TL18'!$J$10:$J$224),0),
IF('TL18'!$B$229=P$3,SUMIF('TL18'!$C$238:$C$451,$C257,'TL18'!$J$238:$J$451),0),
IF('TL19'!$B$3=P$3,SUMIF('TL19'!$C$10:$C$224,$C257,'TL19'!$J$10:$J$224),0),
IF('TL19'!$B$229=P$3,SUMIF('TL19'!$C$238:$C$451,$C257,'TL19'!$J$238:$J$451),0)
),0)</f>
        <v/>
      </c>
      <c r="Q257" s="9">
        <f>IFERROR(SUM(
IF('TL01'!$B$3=Q$3,SUMIF('TL01'!$C$10:$C$224,$C257,'TL01'!$J$10:$J$224),0),
IF('TL01'!$B$229=Q$3,SUMIF('TL01'!$C$238:$C$451,$C257,'TL01'!$J$238:$J$451),0),
IF('TL02'!$B$3=Q$3,SUMIF('TL02'!$C$10:$C$224,$C257,'TL02'!$J$10:$J$224),0),
IF('TL02'!$B$229=Q$3,SUMIF('TL02'!$C$238:$C$451,$C257,'TL02'!$J$238:$J$451),0),
IF('TL03'!$B$3=Q$3,SUMIF('TL03'!$C$10:$C$224,$C257,'TL03'!$J$10:$J$224),0),
IF('TL03'!$B$229=Q$3,SUMIF('TL03'!$C$238:$C$451,$C257,'TL03'!$J$238:$J$451),0),
IF('TL04'!$B$3=Q$3,SUMIF('TL04'!$C$10:$C$224,$C257,'TL04'!$J$10:$J$224),0),
IF('TL04'!$B$229=Q$3,SUMIF('TL04'!$C$238:$C$451,$C257,'TL04'!$J$238:$J$451),0),
IF('TL05'!$B$3=Q$3,SUMIF('TL05'!$C$10:$C$224,$C257,'TL05'!$J$10:$J$224),0),
IF('TL05'!$B$229=Q$3,SUMIF('TL05'!$C$238:$C$451,$C257,'TL05'!$J$238:$J$451),0),
IF('TL06'!$B$3=Q$3,SUMIF('TL06'!$C$10:$C$224,$C257,'TL06'!$J$10:$J$224),0),
IF('TL06'!$B$229=Q$3,SUMIF('TL06'!$C$238:$C$451,$C257,'TL06'!$J$238:$J$451),0),
IF('TL07'!$B$3=Q$3,SUMIF('TL07'!$C$10:$C$224,$C257,'TL07'!$J$10:$J$224),0),
IF('TL07'!$B$229=Q$3,SUMIF('TL07'!$C$238:$C$451,$C257,'TL07'!$J$238:$J$451),0),
IF('TL08'!$B$3=Q$3,SUMIF('TL08'!$C$10:$C$224,$C257,'TL08'!$J$10:$J$224),0),
IF('TL08'!$B$229=Q$3,SUMIF('TL08'!$C$238:$C$451,$C257,'TL08'!$J$238:$J$451),0),
IF('TL09'!$B$3=Q$3,SUMIF('TL09'!$C$10:$C$224,$C257,'TL09'!$J$10:$J$224),0),
IF('TL09'!$B$229=Q$3,SUMIF('TL09'!$C$238:$C$451,$C257,'TL09'!$J$238:$J$451),0),
IF('TL10'!$B$3=Q$3,SUMIF('TL10'!$C$10:$C$224,$C257,'TL10'!$J$10:$J$224),0),
IF('TL10'!$B$229=Q$3,SUMIF('TL10'!$C$238:$C$451,$C257,'TL10'!$J$238:$J$451),0),
IF('TL11'!$B$3=Q$3,SUMIF('TL11'!$C$10:$C$224,$C257,'TL11'!$J$10:$J$224),0),
IF('TL11'!$B$229=Q$3,SUMIF('TL11'!$C$238:$C$451,$C257,'TL11'!$J$238:$J$451),0),
IF('TL12'!$B$3=Q$3,SUMIF('TL12'!$C$10:$C$224,$C257,'TL12'!$J$10:$J$224),0),
IF('TL12'!$B$229=Q$3,SUMIF('TL12'!$C$238:$C$451,$C257,'TL12'!$J$238:$J$451),0),
IF('TL13'!$B$3=Q$3,SUMIF('TL13'!$C$10:$C$224,$C257,'TL13'!$J$10:$J$224),0),
IF('TL13'!$B$229=Q$3,SUMIF('TL13'!$C$238:$C$451,$C257,'TL13'!$J$238:$J$451),0),
IF('TL14'!$B$3=Q$3,SUMIF('TL14'!$C$10:$C$224,$C257,'TL14'!$J$10:$J$224),0),
IF('TL14'!$B$229=Q$3,SUMIF('TL14'!$C$238:$C$451,$C257,'TL14'!$J$238:$J$451),0),
IF('TL15'!$B$3=Q$3,SUMIF('TL15'!$C$10:$C$224,$C257,'TL15'!$J$10:$J$224),0),
IF('TL15'!$B$229=Q$3,SUMIF('TL15'!$C$238:$C$451,$C257,'TL15'!$J$238:$J$451),0),
IF('TL16'!$B$3=Q$3,SUMIF('TL16'!$C$10:$C$224,$C257,'TL16'!$J$10:$J$224),0),
IF('TL16'!$B$229=Q$3,SUMIF('TL16'!$C$238:$C$451,$C257,'TL16'!$J$238:$J$451),0),
IF('TL17'!$B$3=Q$3,SUMIF('TL17'!$C$10:$C$224,$C257,'TL17'!$J$10:$J$224),0),
IF('TL17'!$B$229=Q$3,SUMIF('TL17'!$C$238:$C$451,$C257,'TL17'!$J$238:$J$451),0),
IF('TL18'!$B$3=Q$3,SUMIF('TL18'!$C$10:$C$224,$C257,'TL18'!$J$10:$J$224),0),
IF('TL18'!$B$229=Q$3,SUMIF('TL18'!$C$238:$C$451,$C257,'TL18'!$J$238:$J$451),0),
IF('TL19'!$B$3=Q$3,SUMIF('TL19'!$C$10:$C$224,$C257,'TL19'!$J$10:$J$224),0),
IF('TL19'!$B$229=Q$3,SUMIF('TL19'!$C$238:$C$451,$C257,'TL19'!$J$238:$J$451),0)
),0)</f>
        <v/>
      </c>
      <c r="R257" s="9">
        <f>IFERROR(
SUM(
SUMIF('TL01'!C:C,C257,'TL01'!J:J),
SUMIF('TL02'!C:C,C257,'TL02'!J:J),
SUMIF('TL03'!C:C,C257,'TL03'!J:J),
SUMIF('TL04'!C:C,C257,'TL04'!J:J),
SUMIF('TL05'!C:C,C257,'TL05'!J:J),
SUMIF('TL06'!C:C,C257,'TL06'!J:J),
SUMIF('TL07'!C:C,C257,'TL07'!J:J),
SUMIF('TL08'!C:C,C257,'TL08'!J:J),
SUMIF('TL09'!C:C,C257,'TL09'!J:J),
SUMIF('TL10'!C:C,C257,'TL10'!J:J),
SUMIF('TL11'!C:C,C257,'TL11'!J:J),
SUMIF('TL12'!C:C,C257,'TL12'!J:J),
SUMIF('TL13'!C:C,C257,'TL13'!J:J),
SUMIF('TL14'!C:C,C257,'TL14'!J:J),
SUMIF('TL15'!C:C,C257,'TL15'!J:J),
SUMIF('TL16'!C:C,C257,'TL16'!J:J),
SUMIF('TL17'!C:C,C257,'TL17'!J:J),
SUMIF('TL18'!C:C,C257,'TL18'!J:J),SUMIF('TL19'!C:C,C257,'TL19'!J:J))
,0)</f>
        <v/>
      </c>
      <c r="S257" s="17">
        <f>IFERROR(__xludf.DUMMYFUNCTION("IFERROR(VLOOKUP(C257,
IMPORTRANGE(""1wULbzX32WdYsx-lj2U3uUNBBe2INVIRDtcK0d-Dvl90"",
""26-27!C:G""),
5,
FALSE),
"""")"),142.6)</f>
        <v/>
      </c>
      <c r="T257" s="9" t="n"/>
      <c r="U257" s="92">
        <f>MAX(0,R257-T257)</f>
        <v/>
      </c>
      <c r="V257" s="93">
        <f>U257*S257</f>
        <v/>
      </c>
    </row>
    <row r="258" hidden="1" ht="15.75" customHeight="1" s="297">
      <c r="A258" s="4" t="inlineStr">
        <is>
          <t>AGROPLACE</t>
        </is>
      </c>
      <c r="B258" s="125" t="inlineStr">
        <is>
          <t>NUTRIÇÃO</t>
        </is>
      </c>
      <c r="C258" s="4" t="inlineStr">
        <is>
          <t>AP MAGNÉSIO</t>
        </is>
      </c>
      <c r="D258" s="4" t="inlineStr">
        <is>
          <t>N4%;S4,25%;Mg4%</t>
        </is>
      </c>
      <c r="E258" s="9" t="inlineStr">
        <is>
          <t>52g/l + 55,2g/l + 52g/l</t>
        </is>
      </c>
      <c r="F258" s="4" t="inlineStr">
        <is>
          <t>L</t>
        </is>
      </c>
      <c r="G258" s="9" t="n"/>
      <c r="H258" s="9" t="n">
        <v>0.5</v>
      </c>
      <c r="I258" s="1" t="n"/>
      <c r="J258" s="9">
        <f>IFERROR(SUM(
IF('TL01'!$B$3=J$3,SUMIF('TL01'!$C$10:$C$224,$C258,'TL01'!$J$10:$J$224),0),
IF('TL01'!$B$229=J$3,SUMIF('TL01'!$C$238:$C$451,$C258,'TL01'!$J$238:$J$451),0),
IF('TL02'!$B$3=J$3,SUMIF('TL02'!$C$10:$C$224,$C258,'TL02'!$J$10:$J$224),0),
IF('TL02'!$B$229=J$3,SUMIF('TL02'!$C$238:$C$451,$C258,'TL02'!$J$238:$J$451),0),
IF('TL03'!$B$3=J$3,SUMIF('TL03'!$C$10:$C$224,$C258,'TL03'!$J$10:$J$224),0),
IF('TL03'!$B$229=J$3,SUMIF('TL03'!$C$238:$C$451,$C258,'TL03'!$J$238:$J$451),0),
IF('TL04'!$B$3=J$3,SUMIF('TL04'!$C$10:$C$224,$C258,'TL04'!$J$10:$J$224),0),
IF('TL04'!$B$229=J$3,SUMIF('TL04'!$C$238:$C$451,$C258,'TL04'!$J$238:$J$451),0),
IF('TL05'!$B$3=J$3,SUMIF('TL05'!$C$10:$C$224,$C258,'TL05'!$J$10:$J$224),0),
IF('TL05'!$B$229=J$3,SUMIF('TL05'!$C$238:$C$451,$C258,'TL05'!$J$238:$J$451),0),
IF('TL06'!$B$3=J$3,SUMIF('TL06'!$C$10:$C$224,$C258,'TL06'!$J$10:$J$224),0),
IF('TL06'!$B$229=J$3,SUMIF('TL06'!$C$238:$C$451,$C258,'TL06'!$J$238:$J$451),0),
IF('TL07'!$B$3=J$3,SUMIF('TL07'!$C$10:$C$224,$C258,'TL07'!$J$10:$J$224),0),
IF('TL07'!$B$229=J$3,SUMIF('TL07'!$C$238:$C$451,$C258,'TL07'!$J$238:$J$451),0),
IF('TL08'!$B$3=J$3,SUMIF('TL08'!$C$10:$C$224,$C258,'TL08'!$J$10:$J$224),0),
IF('TL08'!$B$229=J$3,SUMIF('TL08'!$C$238:$C$451,$C258,'TL08'!$J$238:$J$451),0),
IF('TL09'!$B$3=J$3,SUMIF('TL09'!$C$10:$C$224,$C258,'TL09'!$J$10:$J$224),0),
IF('TL09'!$B$229=J$3,SUMIF('TL09'!$C$238:$C$451,$C258,'TL09'!$J$238:$J$451),0),
IF('TL10'!$B$3=J$3,SUMIF('TL10'!$C$10:$C$224,$C258,'TL10'!$J$10:$J$224),0),
IF('TL10'!$B$229=J$3,SUMIF('TL10'!$C$238:$C$451,$C258,'TL10'!$J$238:$J$451),0),
IF('TL11'!$B$3=J$3,SUMIF('TL11'!$C$10:$C$224,$C258,'TL11'!$J$10:$J$224),0),
IF('TL11'!$B$229=J$3,SUMIF('TL11'!$C$238:$C$451,$C258,'TL11'!$J$238:$J$451),0),
IF('TL12'!$B$3=J$3,SUMIF('TL12'!$C$10:$C$224,$C258,'TL12'!$J$10:$J$224),0),
IF('TL12'!$B$229=J$3,SUMIF('TL12'!$C$238:$C$451,$C258,'TL12'!$J$238:$J$451),0),
IF('TL13'!$B$3=J$3,SUMIF('TL13'!$C$10:$C$224,$C258,'TL13'!$J$10:$J$224),0),
IF('TL13'!$B$229=J$3,SUMIF('TL13'!$C$238:$C$451,$C258,'TL13'!$J$238:$J$451),0),
IF('TL14'!$B$3=J$3,SUMIF('TL14'!$C$10:$C$224,$C258,'TL14'!$J$10:$J$224),0),
IF('TL14'!$B$229=J$3,SUMIF('TL14'!$C$238:$C$451,$C258,'TL14'!$J$238:$J$451),0),
IF('TL15'!$B$3=J$3,SUMIF('TL15'!$C$10:$C$224,$C258,'TL15'!$J$10:$J$224),0),
IF('TL15'!$B$229=J$3,SUMIF('TL15'!$C$238:$C$451,$C258,'TL15'!$J$238:$J$451),0),
IF('TL16'!$B$3=J$3,SUMIF('TL16'!$C$10:$C$224,$C258,'TL16'!$J$10:$J$224),0),
IF('TL16'!$B$229=J$3,SUMIF('TL16'!$C$238:$C$451,$C258,'TL16'!$J$238:$J$451),0),
IF('TL17'!$B$3=J$3,SUMIF('TL17'!$C$10:$C$224,$C258,'TL17'!$J$10:$J$224),0),
IF('TL17'!$B$229=J$3,SUMIF('TL17'!$C$238:$C$451,$C258,'TL17'!$J$238:$J$451),0),
IF('TL18'!$B$3=J$3,SUMIF('TL18'!$C$10:$C$224,$C258,'TL18'!$J$10:$J$224),0),
IF('TL18'!$B$229=J$3,SUMIF('TL18'!$C$238:$C$451,$C258,'TL18'!$J$238:$J$451),0),
IF('TL19'!$B$3=J$3,SUMIF('TL19'!$C$10:$C$224,$C258,'TL19'!$J$10:$J$224),0),
IF('TL19'!$B$229=J$3,SUMIF('TL19'!$C$238:$C$451,$C258,'TL19'!$J$238:$J$451),0)
),0)</f>
        <v/>
      </c>
      <c r="K258" s="9">
        <f>IFERROR(SUM(
IF('TL01'!$B$3=K$3,SUMIF('TL01'!$C$10:$C$224,$C258,'TL01'!$J$10:$J$224),0),
IF('TL01'!$B$229=K$3,SUMIF('TL01'!$C$238:$C$451,$C258,'TL01'!$J$238:$J$451),0),
IF('TL02'!$B$3=K$3,SUMIF('TL02'!$C$10:$C$224,$C258,'TL02'!$J$10:$J$224),0),
IF('TL02'!$B$229=K$3,SUMIF('TL02'!$C$238:$C$451,$C258,'TL02'!$J$238:$J$451),0),
IF('TL03'!$B$3=K$3,SUMIF('TL03'!$C$10:$C$224,$C258,'TL03'!$J$10:$J$224),0),
IF('TL03'!$B$229=K$3,SUMIF('TL03'!$C$238:$C$451,$C258,'TL03'!$J$238:$J$451),0),
IF('TL04'!$B$3=K$3,SUMIF('TL04'!$C$10:$C$224,$C258,'TL04'!$J$10:$J$224),0),
IF('TL04'!$B$229=K$3,SUMIF('TL04'!$C$238:$C$451,$C258,'TL04'!$J$238:$J$451),0),
IF('TL05'!$B$3=K$3,SUMIF('TL05'!$C$10:$C$224,$C258,'TL05'!$J$10:$J$224),0),
IF('TL05'!$B$229=K$3,SUMIF('TL05'!$C$238:$C$451,$C258,'TL05'!$J$238:$J$451),0),
IF('TL06'!$B$3=K$3,SUMIF('TL06'!$C$10:$C$224,$C258,'TL06'!$J$10:$J$224),0),
IF('TL06'!$B$229=K$3,SUMIF('TL06'!$C$238:$C$451,$C258,'TL06'!$J$238:$J$451),0),
IF('TL07'!$B$3=K$3,SUMIF('TL07'!$C$10:$C$224,$C258,'TL07'!$J$10:$J$224),0),
IF('TL07'!$B$229=K$3,SUMIF('TL07'!$C$238:$C$451,$C258,'TL07'!$J$238:$J$451),0),
IF('TL08'!$B$3=K$3,SUMIF('TL08'!$C$10:$C$224,$C258,'TL08'!$J$10:$J$224),0),
IF('TL08'!$B$229=K$3,SUMIF('TL08'!$C$238:$C$451,$C258,'TL08'!$J$238:$J$451),0),
IF('TL09'!$B$3=K$3,SUMIF('TL09'!$C$10:$C$224,$C258,'TL09'!$J$10:$J$224),0),
IF('TL09'!$B$229=K$3,SUMIF('TL09'!$C$238:$C$451,$C258,'TL09'!$J$238:$J$451),0),
IF('TL10'!$B$3=K$3,SUMIF('TL10'!$C$10:$C$224,$C258,'TL10'!$J$10:$J$224),0),
IF('TL10'!$B$229=K$3,SUMIF('TL10'!$C$238:$C$451,$C258,'TL10'!$J$238:$J$451),0),
IF('TL11'!$B$3=K$3,SUMIF('TL11'!$C$10:$C$224,$C258,'TL11'!$J$10:$J$224),0),
IF('TL11'!$B$229=K$3,SUMIF('TL11'!$C$238:$C$451,$C258,'TL11'!$J$238:$J$451),0),
IF('TL12'!$B$3=K$3,SUMIF('TL12'!$C$10:$C$224,$C258,'TL12'!$J$10:$J$224),0),
IF('TL12'!$B$229=K$3,SUMIF('TL12'!$C$238:$C$451,$C258,'TL12'!$J$238:$J$451),0),
IF('TL13'!$B$3=K$3,SUMIF('TL13'!$C$10:$C$224,$C258,'TL13'!$J$10:$J$224),0),
IF('TL13'!$B$229=K$3,SUMIF('TL13'!$C$238:$C$451,$C258,'TL13'!$J$238:$J$451),0),
IF('TL14'!$B$3=K$3,SUMIF('TL14'!$C$10:$C$224,$C258,'TL14'!$J$10:$J$224),0),
IF('TL14'!$B$229=K$3,SUMIF('TL14'!$C$238:$C$451,$C258,'TL14'!$J$238:$J$451),0),
IF('TL15'!$B$3=K$3,SUMIF('TL15'!$C$10:$C$224,$C258,'TL15'!$J$10:$J$224),0),
IF('TL15'!$B$229=K$3,SUMIF('TL15'!$C$238:$C$451,$C258,'TL15'!$J$238:$J$451),0),
IF('TL16'!$B$3=K$3,SUMIF('TL16'!$C$10:$C$224,$C258,'TL16'!$J$10:$J$224),0),
IF('TL16'!$B$229=K$3,SUMIF('TL16'!$C$238:$C$451,$C258,'TL16'!$J$238:$J$451),0),
IF('TL17'!$B$3=K$3,SUMIF('TL17'!$C$10:$C$224,$C258,'TL17'!$J$10:$J$224),0),
IF('TL17'!$B$229=K$3,SUMIF('TL17'!$C$238:$C$451,$C258,'TL17'!$J$238:$J$451),0),
IF('TL18'!$B$3=K$3,SUMIF('TL18'!$C$10:$C$224,$C258,'TL18'!$J$10:$J$224),0),
IF('TL18'!$B$229=K$3,SUMIF('TL18'!$C$238:$C$451,$C258,'TL18'!$J$238:$J$451),0),
IF('TL19'!$B$3=K$3,SUMIF('TL19'!$C$10:$C$224,$C258,'TL19'!$J$10:$J$224),0),
IF('TL19'!$B$229=K$3,SUMIF('TL19'!$C$238:$C$451,$C258,'TL19'!$J$238:$J$451),0)
),0)</f>
        <v/>
      </c>
      <c r="L258" s="9">
        <f>IFERROR(SUM(
IF('TL01'!$B$3=L$3,SUMIF('TL01'!$C$10:$C$224,$C258,'TL01'!$J$10:$J$224),0),
IF('TL01'!$B$229=L$3,SUMIF('TL01'!$C$238:$C$451,$C258,'TL01'!$J$238:$J$451),0),
IF('TL02'!$B$3=L$3,SUMIF('TL02'!$C$10:$C$224,$C258,'TL02'!$J$10:$J$224),0),
IF('TL02'!$B$229=L$3,SUMIF('TL02'!$C$238:$C$451,$C258,'TL02'!$J$238:$J$451),0),
IF('TL03'!$B$3=L$3,SUMIF('TL03'!$C$10:$C$224,$C258,'TL03'!$J$10:$J$224),0),
IF('TL03'!$B$229=L$3,SUMIF('TL03'!$C$238:$C$451,$C258,'TL03'!$J$238:$J$451),0),
IF('TL04'!$B$3=L$3,SUMIF('TL04'!$C$10:$C$224,$C258,'TL04'!$J$10:$J$224),0),
IF('TL04'!$B$229=L$3,SUMIF('TL04'!$C$238:$C$451,$C258,'TL04'!$J$238:$J$451),0),
IF('TL05'!$B$3=L$3,SUMIF('TL05'!$C$10:$C$224,$C258,'TL05'!$J$10:$J$224),0),
IF('TL05'!$B$229=L$3,SUMIF('TL05'!$C$238:$C$451,$C258,'TL05'!$J$238:$J$451),0),
IF('TL06'!$B$3=L$3,SUMIF('TL06'!$C$10:$C$224,$C258,'TL06'!$J$10:$J$224),0),
IF('TL06'!$B$229=L$3,SUMIF('TL06'!$C$238:$C$451,$C258,'TL06'!$J$238:$J$451),0),
IF('TL07'!$B$3=L$3,SUMIF('TL07'!$C$10:$C$224,$C258,'TL07'!$J$10:$J$224),0),
IF('TL07'!$B$229=L$3,SUMIF('TL07'!$C$238:$C$451,$C258,'TL07'!$J$238:$J$451),0),
IF('TL08'!$B$3=L$3,SUMIF('TL08'!$C$10:$C$224,$C258,'TL08'!$J$10:$J$224),0),
IF('TL08'!$B$229=L$3,SUMIF('TL08'!$C$238:$C$451,$C258,'TL08'!$J$238:$J$451),0),
IF('TL09'!$B$3=L$3,SUMIF('TL09'!$C$10:$C$224,$C258,'TL09'!$J$10:$J$224),0),
IF('TL09'!$B$229=L$3,SUMIF('TL09'!$C$238:$C$451,$C258,'TL09'!$J$238:$J$451),0),
IF('TL10'!$B$3=L$3,SUMIF('TL10'!$C$10:$C$224,$C258,'TL10'!$J$10:$J$224),0),
IF('TL10'!$B$229=L$3,SUMIF('TL10'!$C$238:$C$451,$C258,'TL10'!$J$238:$J$451),0),
IF('TL11'!$B$3=L$3,SUMIF('TL11'!$C$10:$C$224,$C258,'TL11'!$J$10:$J$224),0),
IF('TL11'!$B$229=L$3,SUMIF('TL11'!$C$238:$C$451,$C258,'TL11'!$J$238:$J$451),0),
IF('TL12'!$B$3=L$3,SUMIF('TL12'!$C$10:$C$224,$C258,'TL12'!$J$10:$J$224),0),
IF('TL12'!$B$229=L$3,SUMIF('TL12'!$C$238:$C$451,$C258,'TL12'!$J$238:$J$451),0),
IF('TL13'!$B$3=L$3,SUMIF('TL13'!$C$10:$C$224,$C258,'TL13'!$J$10:$J$224),0),
IF('TL13'!$B$229=L$3,SUMIF('TL13'!$C$238:$C$451,$C258,'TL13'!$J$238:$J$451),0),
IF('TL14'!$B$3=L$3,SUMIF('TL14'!$C$10:$C$224,$C258,'TL14'!$J$10:$J$224),0),
IF('TL14'!$B$229=L$3,SUMIF('TL14'!$C$238:$C$451,$C258,'TL14'!$J$238:$J$451),0),
IF('TL15'!$B$3=L$3,SUMIF('TL15'!$C$10:$C$224,$C258,'TL15'!$J$10:$J$224),0),
IF('TL15'!$B$229=L$3,SUMIF('TL15'!$C$238:$C$451,$C258,'TL15'!$J$238:$J$451),0),
IF('TL16'!$B$3=L$3,SUMIF('TL16'!$C$10:$C$224,$C258,'TL16'!$J$10:$J$224),0),
IF('TL16'!$B$229=L$3,SUMIF('TL16'!$C$238:$C$451,$C258,'TL16'!$J$238:$J$451),0),
IF('TL17'!$B$3=L$3,SUMIF('TL17'!$C$10:$C$224,$C258,'TL17'!$J$10:$J$224),0),
IF('TL17'!$B$229=L$3,SUMIF('TL17'!$C$238:$C$451,$C258,'TL17'!$J$238:$J$451),0),
IF('TL18'!$B$3=L$3,SUMIF('TL18'!$C$10:$C$224,$C258,'TL18'!$J$10:$J$224),0),
IF('TL18'!$B$229=L$3,SUMIF('TL18'!$C$238:$C$451,$C258,'TL18'!$J$238:$J$451),0),
IF('TL19'!$B$3=L$3,SUMIF('TL19'!$C$10:$C$224,$C258,'TL19'!$J$10:$J$224),0),
IF('TL19'!$B$229=L$3,SUMIF('TL19'!$C$238:$C$451,$C258,'TL19'!$J$238:$J$451),0)
),0)</f>
        <v/>
      </c>
      <c r="M258" s="9">
        <f>IFERROR(SUM(
IF('TL01'!$B$3=M$3,SUMIF('TL01'!$C$10:$C$224,$C258,'TL01'!$J$10:$J$224),0),
IF('TL01'!$B$229=M$3,SUMIF('TL01'!$C$238:$C$451,$C258,'TL01'!$J$238:$J$451),0),
IF('TL02'!$B$3=M$3,SUMIF('TL02'!$C$10:$C$224,$C258,'TL02'!$J$10:$J$224),0),
IF('TL02'!$B$229=M$3,SUMIF('TL02'!$C$238:$C$451,$C258,'TL02'!$J$238:$J$451),0),
IF('TL03'!$B$3=M$3,SUMIF('TL03'!$C$10:$C$224,$C258,'TL03'!$J$10:$J$224),0),
IF('TL03'!$B$229=M$3,SUMIF('TL03'!$C$238:$C$451,$C258,'TL03'!$J$238:$J$451),0),
IF('TL04'!$B$3=M$3,SUMIF('TL04'!$C$10:$C$224,$C258,'TL04'!$J$10:$J$224),0),
IF('TL04'!$B$229=M$3,SUMIF('TL04'!$C$238:$C$451,$C258,'TL04'!$J$238:$J$451),0),
IF('TL05'!$B$3=M$3,SUMIF('TL05'!$C$10:$C$224,$C258,'TL05'!$J$10:$J$224),0),
IF('TL05'!$B$229=M$3,SUMIF('TL05'!$C$238:$C$451,$C258,'TL05'!$J$238:$J$451),0),
IF('TL06'!$B$3=M$3,SUMIF('TL06'!$C$10:$C$224,$C258,'TL06'!$J$10:$J$224),0),
IF('TL06'!$B$229=M$3,SUMIF('TL06'!$C$238:$C$451,$C258,'TL06'!$J$238:$J$451),0),
IF('TL07'!$B$3=M$3,SUMIF('TL07'!$C$10:$C$224,$C258,'TL07'!$J$10:$J$224),0),
IF('TL07'!$B$229=M$3,SUMIF('TL07'!$C$238:$C$451,$C258,'TL07'!$J$238:$J$451),0),
IF('TL08'!$B$3=M$3,SUMIF('TL08'!$C$10:$C$224,$C258,'TL08'!$J$10:$J$224),0),
IF('TL08'!$B$229=M$3,SUMIF('TL08'!$C$238:$C$451,$C258,'TL08'!$J$238:$J$451),0),
IF('TL09'!$B$3=M$3,SUMIF('TL09'!$C$10:$C$224,$C258,'TL09'!$J$10:$J$224),0),
IF('TL09'!$B$229=M$3,SUMIF('TL09'!$C$238:$C$451,$C258,'TL09'!$J$238:$J$451),0),
IF('TL10'!$B$3=M$3,SUMIF('TL10'!$C$10:$C$224,$C258,'TL10'!$J$10:$J$224),0),
IF('TL10'!$B$229=M$3,SUMIF('TL10'!$C$238:$C$451,$C258,'TL10'!$J$238:$J$451),0),
IF('TL11'!$B$3=M$3,SUMIF('TL11'!$C$10:$C$224,$C258,'TL11'!$J$10:$J$224),0),
IF('TL11'!$B$229=M$3,SUMIF('TL11'!$C$238:$C$451,$C258,'TL11'!$J$238:$J$451),0),
IF('TL12'!$B$3=M$3,SUMIF('TL12'!$C$10:$C$224,$C258,'TL12'!$J$10:$J$224),0),
IF('TL12'!$B$229=M$3,SUMIF('TL12'!$C$238:$C$451,$C258,'TL12'!$J$238:$J$451),0),
IF('TL13'!$B$3=M$3,SUMIF('TL13'!$C$10:$C$224,$C258,'TL13'!$J$10:$J$224),0),
IF('TL13'!$B$229=M$3,SUMIF('TL13'!$C$238:$C$451,$C258,'TL13'!$J$238:$J$451),0),
IF('TL14'!$B$3=M$3,SUMIF('TL14'!$C$10:$C$224,$C258,'TL14'!$J$10:$J$224),0),
IF('TL14'!$B$229=M$3,SUMIF('TL14'!$C$238:$C$451,$C258,'TL14'!$J$238:$J$451),0),
IF('TL15'!$B$3=M$3,SUMIF('TL15'!$C$10:$C$224,$C258,'TL15'!$J$10:$J$224),0),
IF('TL15'!$B$229=M$3,SUMIF('TL15'!$C$238:$C$451,$C258,'TL15'!$J$238:$J$451),0),
IF('TL16'!$B$3=M$3,SUMIF('TL16'!$C$10:$C$224,$C258,'TL16'!$J$10:$J$224),0),
IF('TL16'!$B$229=M$3,SUMIF('TL16'!$C$238:$C$451,$C258,'TL16'!$J$238:$J$451),0),
IF('TL17'!$B$3=M$3,SUMIF('TL17'!$C$10:$C$224,$C258,'TL17'!$J$10:$J$224),0),
IF('TL17'!$B$229=M$3,SUMIF('TL17'!$C$238:$C$451,$C258,'TL17'!$J$238:$J$451),0),
IF('TL18'!$B$3=M$3,SUMIF('TL18'!$C$10:$C$224,$C258,'TL18'!$J$10:$J$224),0),
IF('TL18'!$B$229=M$3,SUMIF('TL18'!$C$238:$C$451,$C258,'TL18'!$J$238:$J$451),0),
IF('TL19'!$B$3=M$3,SUMIF('TL19'!$C$10:$C$224,$C258,'TL19'!$J$10:$J$224),0),
IF('TL19'!$B$229=M$3,SUMIF('TL19'!$C$238:$C$451,$C258,'TL19'!$J$238:$J$451),0)
),0)</f>
        <v/>
      </c>
      <c r="N258" s="9">
        <f>IFERROR(SUM(
IF('TL01'!$B$3=N$3,SUMIF('TL01'!$C$10:$C$224,$C258,'TL01'!$J$10:$J$224),0),
IF('TL01'!$B$229=N$3,SUMIF('TL01'!$C$238:$C$451,$C258,'TL01'!$J$238:$J$451),0),
IF('TL02'!$B$3=N$3,SUMIF('TL02'!$C$10:$C$224,$C258,'TL02'!$J$10:$J$224),0),
IF('TL02'!$B$229=N$3,SUMIF('TL02'!$C$238:$C$451,$C258,'TL02'!$J$238:$J$451),0),
IF('TL03'!$B$3=N$3,SUMIF('TL03'!$C$10:$C$224,$C258,'TL03'!$J$10:$J$224),0),
IF('TL03'!$B$229=N$3,SUMIF('TL03'!$C$238:$C$451,$C258,'TL03'!$J$238:$J$451),0),
IF('TL04'!$B$3=N$3,SUMIF('TL04'!$C$10:$C$224,$C258,'TL04'!$J$10:$J$224),0),
IF('TL04'!$B$229=N$3,SUMIF('TL04'!$C$238:$C$451,$C258,'TL04'!$J$238:$J$451),0),
IF('TL05'!$B$3=N$3,SUMIF('TL05'!$C$10:$C$224,$C258,'TL05'!$J$10:$J$224),0),
IF('TL05'!$B$229=N$3,SUMIF('TL05'!$C$238:$C$451,$C258,'TL05'!$J$238:$J$451),0),
IF('TL06'!$B$3=N$3,SUMIF('TL06'!$C$10:$C$224,$C258,'TL06'!$J$10:$J$224),0),
IF('TL06'!$B$229=N$3,SUMIF('TL06'!$C$238:$C$451,$C258,'TL06'!$J$238:$J$451),0),
IF('TL07'!$B$3=N$3,SUMIF('TL07'!$C$10:$C$224,$C258,'TL07'!$J$10:$J$224),0),
IF('TL07'!$B$229=N$3,SUMIF('TL07'!$C$238:$C$451,$C258,'TL07'!$J$238:$J$451),0),
IF('TL08'!$B$3=N$3,SUMIF('TL08'!$C$10:$C$224,$C258,'TL08'!$J$10:$J$224),0),
IF('TL08'!$B$229=N$3,SUMIF('TL08'!$C$238:$C$451,$C258,'TL08'!$J$238:$J$451),0),
IF('TL09'!$B$3=N$3,SUMIF('TL09'!$C$10:$C$224,$C258,'TL09'!$J$10:$J$224),0),
IF('TL09'!$B$229=N$3,SUMIF('TL09'!$C$238:$C$451,$C258,'TL09'!$J$238:$J$451),0),
IF('TL10'!$B$3=N$3,SUMIF('TL10'!$C$10:$C$224,$C258,'TL10'!$J$10:$J$224),0),
IF('TL10'!$B$229=N$3,SUMIF('TL10'!$C$238:$C$451,$C258,'TL10'!$J$238:$J$451),0),
IF('TL11'!$B$3=N$3,SUMIF('TL11'!$C$10:$C$224,$C258,'TL11'!$J$10:$J$224),0),
IF('TL11'!$B$229=N$3,SUMIF('TL11'!$C$238:$C$451,$C258,'TL11'!$J$238:$J$451),0),
IF('TL12'!$B$3=N$3,SUMIF('TL12'!$C$10:$C$224,$C258,'TL12'!$J$10:$J$224),0),
IF('TL12'!$B$229=N$3,SUMIF('TL12'!$C$238:$C$451,$C258,'TL12'!$J$238:$J$451),0),
IF('TL13'!$B$3=N$3,SUMIF('TL13'!$C$10:$C$224,$C258,'TL13'!$J$10:$J$224),0),
IF('TL13'!$B$229=N$3,SUMIF('TL13'!$C$238:$C$451,$C258,'TL13'!$J$238:$J$451),0),
IF('TL14'!$B$3=N$3,SUMIF('TL14'!$C$10:$C$224,$C258,'TL14'!$J$10:$J$224),0),
IF('TL14'!$B$229=N$3,SUMIF('TL14'!$C$238:$C$451,$C258,'TL14'!$J$238:$J$451),0),
IF('TL15'!$B$3=N$3,SUMIF('TL15'!$C$10:$C$224,$C258,'TL15'!$J$10:$J$224),0),
IF('TL15'!$B$229=N$3,SUMIF('TL15'!$C$238:$C$451,$C258,'TL15'!$J$238:$J$451),0),
IF('TL16'!$B$3=N$3,SUMIF('TL16'!$C$10:$C$224,$C258,'TL16'!$J$10:$J$224),0),
IF('TL16'!$B$229=N$3,SUMIF('TL16'!$C$238:$C$451,$C258,'TL16'!$J$238:$J$451),0),
IF('TL17'!$B$3=N$3,SUMIF('TL17'!$C$10:$C$224,$C258,'TL17'!$J$10:$J$224),0),
IF('TL17'!$B$229=N$3,SUMIF('TL17'!$C$238:$C$451,$C258,'TL17'!$J$238:$J$451),0),
IF('TL18'!$B$3=N$3,SUMIF('TL18'!$C$10:$C$224,$C258,'TL18'!$J$10:$J$224),0),
IF('TL18'!$B$229=N$3,SUMIF('TL18'!$C$238:$C$451,$C258,'TL18'!$J$238:$J$451),0),
IF('TL19'!$B$3=N$3,SUMIF('TL19'!$C$10:$C$224,$C258,'TL19'!$J$10:$J$224),0),
IF('TL19'!$B$229=N$3,SUMIF('TL19'!$C$238:$C$451,$C258,'TL19'!$J$238:$J$451),0)
),0)</f>
        <v/>
      </c>
      <c r="O258" s="9">
        <f>IFERROR(SUM(
IF('TL01'!$B$3=O$3,SUMIF('TL01'!$C$10:$C$224,$C258,'TL01'!$J$10:$J$224),0),
IF('TL01'!$B$229=O$3,SUMIF('TL01'!$C$238:$C$451,$C258,'TL01'!$J$238:$J$451),0),
IF('TL02'!$B$3=O$3,SUMIF('TL02'!$C$10:$C$224,$C258,'TL02'!$J$10:$J$224),0),
IF('TL02'!$B$229=O$3,SUMIF('TL02'!$C$238:$C$451,$C258,'TL02'!$J$238:$J$451),0),
IF('TL03'!$B$3=O$3,SUMIF('TL03'!$C$10:$C$224,$C258,'TL03'!$J$10:$J$224),0),
IF('TL03'!$B$229=O$3,SUMIF('TL03'!$C$238:$C$451,$C258,'TL03'!$J$238:$J$451),0),
IF('TL04'!$B$3=O$3,SUMIF('TL04'!$C$10:$C$224,$C258,'TL04'!$J$10:$J$224),0),
IF('TL04'!$B$229=O$3,SUMIF('TL04'!$C$238:$C$451,$C258,'TL04'!$J$238:$J$451),0),
IF('TL05'!$B$3=O$3,SUMIF('TL05'!$C$10:$C$224,$C258,'TL05'!$J$10:$J$224),0),
IF('TL05'!$B$229=O$3,SUMIF('TL05'!$C$238:$C$451,$C258,'TL05'!$J$238:$J$451),0),
IF('TL06'!$B$3=O$3,SUMIF('TL06'!$C$10:$C$224,$C258,'TL06'!$J$10:$J$224),0),
IF('TL06'!$B$229=O$3,SUMIF('TL06'!$C$238:$C$451,$C258,'TL06'!$J$238:$J$451),0),
IF('TL07'!$B$3=O$3,SUMIF('TL07'!$C$10:$C$224,$C258,'TL07'!$J$10:$J$224),0),
IF('TL07'!$B$229=O$3,SUMIF('TL07'!$C$238:$C$451,$C258,'TL07'!$J$238:$J$451),0),
IF('TL08'!$B$3=O$3,SUMIF('TL08'!$C$10:$C$224,$C258,'TL08'!$J$10:$J$224),0),
IF('TL08'!$B$229=O$3,SUMIF('TL08'!$C$238:$C$451,$C258,'TL08'!$J$238:$J$451),0),
IF('TL09'!$B$3=O$3,SUMIF('TL09'!$C$10:$C$224,$C258,'TL09'!$J$10:$J$224),0),
IF('TL09'!$B$229=O$3,SUMIF('TL09'!$C$238:$C$451,$C258,'TL09'!$J$238:$J$451),0),
IF('TL10'!$B$3=O$3,SUMIF('TL10'!$C$10:$C$224,$C258,'TL10'!$J$10:$J$224),0),
IF('TL10'!$B$229=O$3,SUMIF('TL10'!$C$238:$C$451,$C258,'TL10'!$J$238:$J$451),0),
IF('TL11'!$B$3=O$3,SUMIF('TL11'!$C$10:$C$224,$C258,'TL11'!$J$10:$J$224),0),
IF('TL11'!$B$229=O$3,SUMIF('TL11'!$C$238:$C$451,$C258,'TL11'!$J$238:$J$451),0),
IF('TL12'!$B$3=O$3,SUMIF('TL12'!$C$10:$C$224,$C258,'TL12'!$J$10:$J$224),0),
IF('TL12'!$B$229=O$3,SUMIF('TL12'!$C$238:$C$451,$C258,'TL12'!$J$238:$J$451),0),
IF('TL13'!$B$3=O$3,SUMIF('TL13'!$C$10:$C$224,$C258,'TL13'!$J$10:$J$224),0),
IF('TL13'!$B$229=O$3,SUMIF('TL13'!$C$238:$C$451,$C258,'TL13'!$J$238:$J$451),0),
IF('TL14'!$B$3=O$3,SUMIF('TL14'!$C$10:$C$224,$C258,'TL14'!$J$10:$J$224),0),
IF('TL14'!$B$229=O$3,SUMIF('TL14'!$C$238:$C$451,$C258,'TL14'!$J$238:$J$451),0),
IF('TL15'!$B$3=O$3,SUMIF('TL15'!$C$10:$C$224,$C258,'TL15'!$J$10:$J$224),0),
IF('TL15'!$B$229=O$3,SUMIF('TL15'!$C$238:$C$451,$C258,'TL15'!$J$238:$J$451),0),
IF('TL16'!$B$3=O$3,SUMIF('TL16'!$C$10:$C$224,$C258,'TL16'!$J$10:$J$224),0),
IF('TL16'!$B$229=O$3,SUMIF('TL16'!$C$238:$C$451,$C258,'TL16'!$J$238:$J$451),0),
IF('TL17'!$B$3=O$3,SUMIF('TL17'!$C$10:$C$224,$C258,'TL17'!$J$10:$J$224),0),
IF('TL17'!$B$229=O$3,SUMIF('TL17'!$C$238:$C$451,$C258,'TL17'!$J$238:$J$451),0),
IF('TL18'!$B$3=O$3,SUMIF('TL18'!$C$10:$C$224,$C258,'TL18'!$J$10:$J$224),0),
IF('TL18'!$B$229=O$3,SUMIF('TL18'!$C$238:$C$451,$C258,'TL18'!$J$238:$J$451),0),
IF('TL19'!$B$3=O$3,SUMIF('TL19'!$C$10:$C$224,$C258,'TL19'!$J$10:$J$224),0),
IF('TL19'!$B$229=O$3,SUMIF('TL19'!$C$238:$C$451,$C258,'TL19'!$J$238:$J$451),0)
),0)</f>
        <v/>
      </c>
      <c r="P258" s="9">
        <f>IFERROR(SUM(
IF('TL01'!$B$3=P$3,SUMIF('TL01'!$C$10:$C$224,$C258,'TL01'!$J$10:$J$224),0),
IF('TL01'!$B$229=P$3,SUMIF('TL01'!$C$238:$C$451,$C258,'TL01'!$J$238:$J$451),0),
IF('TL02'!$B$3=P$3,SUMIF('TL02'!$C$10:$C$224,$C258,'TL02'!$J$10:$J$224),0),
IF('TL02'!$B$229=P$3,SUMIF('TL02'!$C$238:$C$451,$C258,'TL02'!$J$238:$J$451),0),
IF('TL03'!$B$3=P$3,SUMIF('TL03'!$C$10:$C$224,$C258,'TL03'!$J$10:$J$224),0),
IF('TL03'!$B$229=P$3,SUMIF('TL03'!$C$238:$C$451,$C258,'TL03'!$J$238:$J$451),0),
IF('TL04'!$B$3=P$3,SUMIF('TL04'!$C$10:$C$224,$C258,'TL04'!$J$10:$J$224),0),
IF('TL04'!$B$229=P$3,SUMIF('TL04'!$C$238:$C$451,$C258,'TL04'!$J$238:$J$451),0),
IF('TL05'!$B$3=P$3,SUMIF('TL05'!$C$10:$C$224,$C258,'TL05'!$J$10:$J$224),0),
IF('TL05'!$B$229=P$3,SUMIF('TL05'!$C$238:$C$451,$C258,'TL05'!$J$238:$J$451),0),
IF('TL06'!$B$3=P$3,SUMIF('TL06'!$C$10:$C$224,$C258,'TL06'!$J$10:$J$224),0),
IF('TL06'!$B$229=P$3,SUMIF('TL06'!$C$238:$C$451,$C258,'TL06'!$J$238:$J$451),0),
IF('TL07'!$B$3=P$3,SUMIF('TL07'!$C$10:$C$224,$C258,'TL07'!$J$10:$J$224),0),
IF('TL07'!$B$229=P$3,SUMIF('TL07'!$C$238:$C$451,$C258,'TL07'!$J$238:$J$451),0),
IF('TL08'!$B$3=P$3,SUMIF('TL08'!$C$10:$C$224,$C258,'TL08'!$J$10:$J$224),0),
IF('TL08'!$B$229=P$3,SUMIF('TL08'!$C$238:$C$451,$C258,'TL08'!$J$238:$J$451),0),
IF('TL09'!$B$3=P$3,SUMIF('TL09'!$C$10:$C$224,$C258,'TL09'!$J$10:$J$224),0),
IF('TL09'!$B$229=P$3,SUMIF('TL09'!$C$238:$C$451,$C258,'TL09'!$J$238:$J$451),0),
IF('TL10'!$B$3=P$3,SUMIF('TL10'!$C$10:$C$224,$C258,'TL10'!$J$10:$J$224),0),
IF('TL10'!$B$229=P$3,SUMIF('TL10'!$C$238:$C$451,$C258,'TL10'!$J$238:$J$451),0),
IF('TL11'!$B$3=P$3,SUMIF('TL11'!$C$10:$C$224,$C258,'TL11'!$J$10:$J$224),0),
IF('TL11'!$B$229=P$3,SUMIF('TL11'!$C$238:$C$451,$C258,'TL11'!$J$238:$J$451),0),
IF('TL12'!$B$3=P$3,SUMIF('TL12'!$C$10:$C$224,$C258,'TL12'!$J$10:$J$224),0),
IF('TL12'!$B$229=P$3,SUMIF('TL12'!$C$238:$C$451,$C258,'TL12'!$J$238:$J$451),0),
IF('TL13'!$B$3=P$3,SUMIF('TL13'!$C$10:$C$224,$C258,'TL13'!$J$10:$J$224),0),
IF('TL13'!$B$229=P$3,SUMIF('TL13'!$C$238:$C$451,$C258,'TL13'!$J$238:$J$451),0),
IF('TL14'!$B$3=P$3,SUMIF('TL14'!$C$10:$C$224,$C258,'TL14'!$J$10:$J$224),0),
IF('TL14'!$B$229=P$3,SUMIF('TL14'!$C$238:$C$451,$C258,'TL14'!$J$238:$J$451),0),
IF('TL15'!$B$3=P$3,SUMIF('TL15'!$C$10:$C$224,$C258,'TL15'!$J$10:$J$224),0),
IF('TL15'!$B$229=P$3,SUMIF('TL15'!$C$238:$C$451,$C258,'TL15'!$J$238:$J$451),0),
IF('TL16'!$B$3=P$3,SUMIF('TL16'!$C$10:$C$224,$C258,'TL16'!$J$10:$J$224),0),
IF('TL16'!$B$229=P$3,SUMIF('TL16'!$C$238:$C$451,$C258,'TL16'!$J$238:$J$451),0),
IF('TL17'!$B$3=P$3,SUMIF('TL17'!$C$10:$C$224,$C258,'TL17'!$J$10:$J$224),0),
IF('TL17'!$B$229=P$3,SUMIF('TL17'!$C$238:$C$451,$C258,'TL17'!$J$238:$J$451),0),
IF('TL18'!$B$3=P$3,SUMIF('TL18'!$C$10:$C$224,$C258,'TL18'!$J$10:$J$224),0),
IF('TL18'!$B$229=P$3,SUMIF('TL18'!$C$238:$C$451,$C258,'TL18'!$J$238:$J$451),0),
IF('TL19'!$B$3=P$3,SUMIF('TL19'!$C$10:$C$224,$C258,'TL19'!$J$10:$J$224),0),
IF('TL19'!$B$229=P$3,SUMIF('TL19'!$C$238:$C$451,$C258,'TL19'!$J$238:$J$451),0)
),0)</f>
        <v/>
      </c>
      <c r="Q258" s="9">
        <f>IFERROR(SUM(
IF('TL01'!$B$3=Q$3,SUMIF('TL01'!$C$10:$C$224,$C258,'TL01'!$J$10:$J$224),0),
IF('TL01'!$B$229=Q$3,SUMIF('TL01'!$C$238:$C$451,$C258,'TL01'!$J$238:$J$451),0),
IF('TL02'!$B$3=Q$3,SUMIF('TL02'!$C$10:$C$224,$C258,'TL02'!$J$10:$J$224),0),
IF('TL02'!$B$229=Q$3,SUMIF('TL02'!$C$238:$C$451,$C258,'TL02'!$J$238:$J$451),0),
IF('TL03'!$B$3=Q$3,SUMIF('TL03'!$C$10:$C$224,$C258,'TL03'!$J$10:$J$224),0),
IF('TL03'!$B$229=Q$3,SUMIF('TL03'!$C$238:$C$451,$C258,'TL03'!$J$238:$J$451),0),
IF('TL04'!$B$3=Q$3,SUMIF('TL04'!$C$10:$C$224,$C258,'TL04'!$J$10:$J$224),0),
IF('TL04'!$B$229=Q$3,SUMIF('TL04'!$C$238:$C$451,$C258,'TL04'!$J$238:$J$451),0),
IF('TL05'!$B$3=Q$3,SUMIF('TL05'!$C$10:$C$224,$C258,'TL05'!$J$10:$J$224),0),
IF('TL05'!$B$229=Q$3,SUMIF('TL05'!$C$238:$C$451,$C258,'TL05'!$J$238:$J$451),0),
IF('TL06'!$B$3=Q$3,SUMIF('TL06'!$C$10:$C$224,$C258,'TL06'!$J$10:$J$224),0),
IF('TL06'!$B$229=Q$3,SUMIF('TL06'!$C$238:$C$451,$C258,'TL06'!$J$238:$J$451),0),
IF('TL07'!$B$3=Q$3,SUMIF('TL07'!$C$10:$C$224,$C258,'TL07'!$J$10:$J$224),0),
IF('TL07'!$B$229=Q$3,SUMIF('TL07'!$C$238:$C$451,$C258,'TL07'!$J$238:$J$451),0),
IF('TL08'!$B$3=Q$3,SUMIF('TL08'!$C$10:$C$224,$C258,'TL08'!$J$10:$J$224),0),
IF('TL08'!$B$229=Q$3,SUMIF('TL08'!$C$238:$C$451,$C258,'TL08'!$J$238:$J$451),0),
IF('TL09'!$B$3=Q$3,SUMIF('TL09'!$C$10:$C$224,$C258,'TL09'!$J$10:$J$224),0),
IF('TL09'!$B$229=Q$3,SUMIF('TL09'!$C$238:$C$451,$C258,'TL09'!$J$238:$J$451),0),
IF('TL10'!$B$3=Q$3,SUMIF('TL10'!$C$10:$C$224,$C258,'TL10'!$J$10:$J$224),0),
IF('TL10'!$B$229=Q$3,SUMIF('TL10'!$C$238:$C$451,$C258,'TL10'!$J$238:$J$451),0),
IF('TL11'!$B$3=Q$3,SUMIF('TL11'!$C$10:$C$224,$C258,'TL11'!$J$10:$J$224),0),
IF('TL11'!$B$229=Q$3,SUMIF('TL11'!$C$238:$C$451,$C258,'TL11'!$J$238:$J$451),0),
IF('TL12'!$B$3=Q$3,SUMIF('TL12'!$C$10:$C$224,$C258,'TL12'!$J$10:$J$224),0),
IF('TL12'!$B$229=Q$3,SUMIF('TL12'!$C$238:$C$451,$C258,'TL12'!$J$238:$J$451),0),
IF('TL13'!$B$3=Q$3,SUMIF('TL13'!$C$10:$C$224,$C258,'TL13'!$J$10:$J$224),0),
IF('TL13'!$B$229=Q$3,SUMIF('TL13'!$C$238:$C$451,$C258,'TL13'!$J$238:$J$451),0),
IF('TL14'!$B$3=Q$3,SUMIF('TL14'!$C$10:$C$224,$C258,'TL14'!$J$10:$J$224),0),
IF('TL14'!$B$229=Q$3,SUMIF('TL14'!$C$238:$C$451,$C258,'TL14'!$J$238:$J$451),0),
IF('TL15'!$B$3=Q$3,SUMIF('TL15'!$C$10:$C$224,$C258,'TL15'!$J$10:$J$224),0),
IF('TL15'!$B$229=Q$3,SUMIF('TL15'!$C$238:$C$451,$C258,'TL15'!$J$238:$J$451),0),
IF('TL16'!$B$3=Q$3,SUMIF('TL16'!$C$10:$C$224,$C258,'TL16'!$J$10:$J$224),0),
IF('TL16'!$B$229=Q$3,SUMIF('TL16'!$C$238:$C$451,$C258,'TL16'!$J$238:$J$451),0),
IF('TL17'!$B$3=Q$3,SUMIF('TL17'!$C$10:$C$224,$C258,'TL17'!$J$10:$J$224),0),
IF('TL17'!$B$229=Q$3,SUMIF('TL17'!$C$238:$C$451,$C258,'TL17'!$J$238:$J$451),0),
IF('TL18'!$B$3=Q$3,SUMIF('TL18'!$C$10:$C$224,$C258,'TL18'!$J$10:$J$224),0),
IF('TL18'!$B$229=Q$3,SUMIF('TL18'!$C$238:$C$451,$C258,'TL18'!$J$238:$J$451),0),
IF('TL19'!$B$3=Q$3,SUMIF('TL19'!$C$10:$C$224,$C258,'TL19'!$J$10:$J$224),0),
IF('TL19'!$B$229=Q$3,SUMIF('TL19'!$C$238:$C$451,$C258,'TL19'!$J$238:$J$451),0)
),0)</f>
        <v/>
      </c>
      <c r="R258" s="9">
        <f>IFERROR(
SUM(
SUMIF('TL01'!C:C,C258,'TL01'!J:J),
SUMIF('TL02'!C:C,C258,'TL02'!J:J),
SUMIF('TL03'!C:C,C258,'TL03'!J:J),
SUMIF('TL04'!C:C,C258,'TL04'!J:J),
SUMIF('TL05'!C:C,C258,'TL05'!J:J),
SUMIF('TL06'!C:C,C258,'TL06'!J:J),
SUMIF('TL07'!C:C,C258,'TL07'!J:J),
SUMIF('TL08'!C:C,C258,'TL08'!J:J),
SUMIF('TL09'!C:C,C258,'TL09'!J:J),
SUMIF('TL10'!C:C,C258,'TL10'!J:J),
SUMIF('TL11'!C:C,C258,'TL11'!J:J),
SUMIF('TL12'!C:C,C258,'TL12'!J:J),
SUMIF('TL13'!C:C,C258,'TL13'!J:J),
SUMIF('TL14'!C:C,C258,'TL14'!J:J),
SUMIF('TL15'!C:C,C258,'TL15'!J:J),
SUMIF('TL16'!C:C,C258,'TL16'!J:J),
SUMIF('TL17'!C:C,C258,'TL17'!J:J),
SUMIF('TL18'!C:C,C258,'TL18'!J:J),SUMIF('TL19'!C:C,C258,'TL19'!J:J))
,0)</f>
        <v/>
      </c>
      <c r="S258" s="17">
        <f>IFERROR(__xludf.DUMMYFUNCTION("IFERROR(VLOOKUP(C258,
IMPORTRANGE(""1wULbzX32WdYsx-lj2U3uUNBBe2INVIRDtcK0d-Dvl90"",
""26-27!C:G""),
5,
FALSE),
"""")"),23.92)</f>
        <v/>
      </c>
      <c r="T258" s="9" t="n"/>
      <c r="U258" s="92">
        <f>MAX(0,R258-T258)</f>
        <v/>
      </c>
      <c r="V258" s="93">
        <f>U258*S258</f>
        <v/>
      </c>
    </row>
    <row r="259" hidden="1" ht="15.75" customHeight="1" s="297">
      <c r="A259" s="4" t="inlineStr">
        <is>
          <t>AGROPLACE</t>
        </is>
      </c>
      <c r="B259" s="125" t="inlineStr">
        <is>
          <t>NUTRIÇÃO</t>
        </is>
      </c>
      <c r="C259" s="4" t="inlineStr">
        <is>
          <t>GRANO KMG</t>
        </is>
      </c>
      <c r="D259" s="4" t="inlineStr">
        <is>
          <t>K2O8%; Mg1,5%; B0,32%</t>
        </is>
      </c>
      <c r="E259" s="9" t="inlineStr">
        <is>
          <t>92,4g/l + 17,3g/l + 3,7g/l</t>
        </is>
      </c>
      <c r="F259" s="4" t="inlineStr">
        <is>
          <t>L</t>
        </is>
      </c>
      <c r="G259" s="9" t="n"/>
      <c r="H259" s="9" t="n">
        <v>1</v>
      </c>
      <c r="I259" s="1" t="n"/>
      <c r="J259" s="9">
        <f>IFERROR(SUM(
IF('TL01'!$B$3=J$3,SUMIF('TL01'!$C$10:$C$224,$C259,'TL01'!$J$10:$J$224),0),
IF('TL01'!$B$229=J$3,SUMIF('TL01'!$C$238:$C$451,$C259,'TL01'!$J$238:$J$451),0),
IF('TL02'!$B$3=J$3,SUMIF('TL02'!$C$10:$C$224,$C259,'TL02'!$J$10:$J$224),0),
IF('TL02'!$B$229=J$3,SUMIF('TL02'!$C$238:$C$451,$C259,'TL02'!$J$238:$J$451),0),
IF('TL03'!$B$3=J$3,SUMIF('TL03'!$C$10:$C$224,$C259,'TL03'!$J$10:$J$224),0),
IF('TL03'!$B$229=J$3,SUMIF('TL03'!$C$238:$C$451,$C259,'TL03'!$J$238:$J$451),0),
IF('TL04'!$B$3=J$3,SUMIF('TL04'!$C$10:$C$224,$C259,'TL04'!$J$10:$J$224),0),
IF('TL04'!$B$229=J$3,SUMIF('TL04'!$C$238:$C$451,$C259,'TL04'!$J$238:$J$451),0),
IF('TL05'!$B$3=J$3,SUMIF('TL05'!$C$10:$C$224,$C259,'TL05'!$J$10:$J$224),0),
IF('TL05'!$B$229=J$3,SUMIF('TL05'!$C$238:$C$451,$C259,'TL05'!$J$238:$J$451),0),
IF('TL06'!$B$3=J$3,SUMIF('TL06'!$C$10:$C$224,$C259,'TL06'!$J$10:$J$224),0),
IF('TL06'!$B$229=J$3,SUMIF('TL06'!$C$238:$C$451,$C259,'TL06'!$J$238:$J$451),0),
IF('TL07'!$B$3=J$3,SUMIF('TL07'!$C$10:$C$224,$C259,'TL07'!$J$10:$J$224),0),
IF('TL07'!$B$229=J$3,SUMIF('TL07'!$C$238:$C$451,$C259,'TL07'!$J$238:$J$451),0),
IF('TL08'!$B$3=J$3,SUMIF('TL08'!$C$10:$C$224,$C259,'TL08'!$J$10:$J$224),0),
IF('TL08'!$B$229=J$3,SUMIF('TL08'!$C$238:$C$451,$C259,'TL08'!$J$238:$J$451),0),
IF('TL09'!$B$3=J$3,SUMIF('TL09'!$C$10:$C$224,$C259,'TL09'!$J$10:$J$224),0),
IF('TL09'!$B$229=J$3,SUMIF('TL09'!$C$238:$C$451,$C259,'TL09'!$J$238:$J$451),0),
IF('TL10'!$B$3=J$3,SUMIF('TL10'!$C$10:$C$224,$C259,'TL10'!$J$10:$J$224),0),
IF('TL10'!$B$229=J$3,SUMIF('TL10'!$C$238:$C$451,$C259,'TL10'!$J$238:$J$451),0),
IF('TL11'!$B$3=J$3,SUMIF('TL11'!$C$10:$C$224,$C259,'TL11'!$J$10:$J$224),0),
IF('TL11'!$B$229=J$3,SUMIF('TL11'!$C$238:$C$451,$C259,'TL11'!$J$238:$J$451),0),
IF('TL12'!$B$3=J$3,SUMIF('TL12'!$C$10:$C$224,$C259,'TL12'!$J$10:$J$224),0),
IF('TL12'!$B$229=J$3,SUMIF('TL12'!$C$238:$C$451,$C259,'TL12'!$J$238:$J$451),0),
IF('TL13'!$B$3=J$3,SUMIF('TL13'!$C$10:$C$224,$C259,'TL13'!$J$10:$J$224),0),
IF('TL13'!$B$229=J$3,SUMIF('TL13'!$C$238:$C$451,$C259,'TL13'!$J$238:$J$451),0),
IF('TL14'!$B$3=J$3,SUMIF('TL14'!$C$10:$C$224,$C259,'TL14'!$J$10:$J$224),0),
IF('TL14'!$B$229=J$3,SUMIF('TL14'!$C$238:$C$451,$C259,'TL14'!$J$238:$J$451),0),
IF('TL15'!$B$3=J$3,SUMIF('TL15'!$C$10:$C$224,$C259,'TL15'!$J$10:$J$224),0),
IF('TL15'!$B$229=J$3,SUMIF('TL15'!$C$238:$C$451,$C259,'TL15'!$J$238:$J$451),0),
IF('TL16'!$B$3=J$3,SUMIF('TL16'!$C$10:$C$224,$C259,'TL16'!$J$10:$J$224),0),
IF('TL16'!$B$229=J$3,SUMIF('TL16'!$C$238:$C$451,$C259,'TL16'!$J$238:$J$451),0),
IF('TL17'!$B$3=J$3,SUMIF('TL17'!$C$10:$C$224,$C259,'TL17'!$J$10:$J$224),0),
IF('TL17'!$B$229=J$3,SUMIF('TL17'!$C$238:$C$451,$C259,'TL17'!$J$238:$J$451),0),
IF('TL18'!$B$3=J$3,SUMIF('TL18'!$C$10:$C$224,$C259,'TL18'!$J$10:$J$224),0),
IF('TL18'!$B$229=J$3,SUMIF('TL18'!$C$238:$C$451,$C259,'TL18'!$J$238:$J$451),0),
IF('TL19'!$B$3=J$3,SUMIF('TL19'!$C$10:$C$224,$C259,'TL19'!$J$10:$J$224),0),
IF('TL19'!$B$229=J$3,SUMIF('TL19'!$C$238:$C$451,$C259,'TL19'!$J$238:$J$451),0)
),0)</f>
        <v/>
      </c>
      <c r="K259" s="9">
        <f>IFERROR(SUM(
IF('TL01'!$B$3=K$3,SUMIF('TL01'!$C$10:$C$224,$C259,'TL01'!$J$10:$J$224),0),
IF('TL01'!$B$229=K$3,SUMIF('TL01'!$C$238:$C$451,$C259,'TL01'!$J$238:$J$451),0),
IF('TL02'!$B$3=K$3,SUMIF('TL02'!$C$10:$C$224,$C259,'TL02'!$J$10:$J$224),0),
IF('TL02'!$B$229=K$3,SUMIF('TL02'!$C$238:$C$451,$C259,'TL02'!$J$238:$J$451),0),
IF('TL03'!$B$3=K$3,SUMIF('TL03'!$C$10:$C$224,$C259,'TL03'!$J$10:$J$224),0),
IF('TL03'!$B$229=K$3,SUMIF('TL03'!$C$238:$C$451,$C259,'TL03'!$J$238:$J$451),0),
IF('TL04'!$B$3=K$3,SUMIF('TL04'!$C$10:$C$224,$C259,'TL04'!$J$10:$J$224),0),
IF('TL04'!$B$229=K$3,SUMIF('TL04'!$C$238:$C$451,$C259,'TL04'!$J$238:$J$451),0),
IF('TL05'!$B$3=K$3,SUMIF('TL05'!$C$10:$C$224,$C259,'TL05'!$J$10:$J$224),0),
IF('TL05'!$B$229=K$3,SUMIF('TL05'!$C$238:$C$451,$C259,'TL05'!$J$238:$J$451),0),
IF('TL06'!$B$3=K$3,SUMIF('TL06'!$C$10:$C$224,$C259,'TL06'!$J$10:$J$224),0),
IF('TL06'!$B$229=K$3,SUMIF('TL06'!$C$238:$C$451,$C259,'TL06'!$J$238:$J$451),0),
IF('TL07'!$B$3=K$3,SUMIF('TL07'!$C$10:$C$224,$C259,'TL07'!$J$10:$J$224),0),
IF('TL07'!$B$229=K$3,SUMIF('TL07'!$C$238:$C$451,$C259,'TL07'!$J$238:$J$451),0),
IF('TL08'!$B$3=K$3,SUMIF('TL08'!$C$10:$C$224,$C259,'TL08'!$J$10:$J$224),0),
IF('TL08'!$B$229=K$3,SUMIF('TL08'!$C$238:$C$451,$C259,'TL08'!$J$238:$J$451),0),
IF('TL09'!$B$3=K$3,SUMIF('TL09'!$C$10:$C$224,$C259,'TL09'!$J$10:$J$224),0),
IF('TL09'!$B$229=K$3,SUMIF('TL09'!$C$238:$C$451,$C259,'TL09'!$J$238:$J$451),0),
IF('TL10'!$B$3=K$3,SUMIF('TL10'!$C$10:$C$224,$C259,'TL10'!$J$10:$J$224),0),
IF('TL10'!$B$229=K$3,SUMIF('TL10'!$C$238:$C$451,$C259,'TL10'!$J$238:$J$451),0),
IF('TL11'!$B$3=K$3,SUMIF('TL11'!$C$10:$C$224,$C259,'TL11'!$J$10:$J$224),0),
IF('TL11'!$B$229=K$3,SUMIF('TL11'!$C$238:$C$451,$C259,'TL11'!$J$238:$J$451),0),
IF('TL12'!$B$3=K$3,SUMIF('TL12'!$C$10:$C$224,$C259,'TL12'!$J$10:$J$224),0),
IF('TL12'!$B$229=K$3,SUMIF('TL12'!$C$238:$C$451,$C259,'TL12'!$J$238:$J$451),0),
IF('TL13'!$B$3=K$3,SUMIF('TL13'!$C$10:$C$224,$C259,'TL13'!$J$10:$J$224),0),
IF('TL13'!$B$229=K$3,SUMIF('TL13'!$C$238:$C$451,$C259,'TL13'!$J$238:$J$451),0),
IF('TL14'!$B$3=K$3,SUMIF('TL14'!$C$10:$C$224,$C259,'TL14'!$J$10:$J$224),0),
IF('TL14'!$B$229=K$3,SUMIF('TL14'!$C$238:$C$451,$C259,'TL14'!$J$238:$J$451),0),
IF('TL15'!$B$3=K$3,SUMIF('TL15'!$C$10:$C$224,$C259,'TL15'!$J$10:$J$224),0),
IF('TL15'!$B$229=K$3,SUMIF('TL15'!$C$238:$C$451,$C259,'TL15'!$J$238:$J$451),0),
IF('TL16'!$B$3=K$3,SUMIF('TL16'!$C$10:$C$224,$C259,'TL16'!$J$10:$J$224),0),
IF('TL16'!$B$229=K$3,SUMIF('TL16'!$C$238:$C$451,$C259,'TL16'!$J$238:$J$451),0),
IF('TL17'!$B$3=K$3,SUMIF('TL17'!$C$10:$C$224,$C259,'TL17'!$J$10:$J$224),0),
IF('TL17'!$B$229=K$3,SUMIF('TL17'!$C$238:$C$451,$C259,'TL17'!$J$238:$J$451),0),
IF('TL18'!$B$3=K$3,SUMIF('TL18'!$C$10:$C$224,$C259,'TL18'!$J$10:$J$224),0),
IF('TL18'!$B$229=K$3,SUMIF('TL18'!$C$238:$C$451,$C259,'TL18'!$J$238:$J$451),0),
IF('TL19'!$B$3=K$3,SUMIF('TL19'!$C$10:$C$224,$C259,'TL19'!$J$10:$J$224),0),
IF('TL19'!$B$229=K$3,SUMIF('TL19'!$C$238:$C$451,$C259,'TL19'!$J$238:$J$451),0)
),0)</f>
        <v/>
      </c>
      <c r="L259" s="9">
        <f>IFERROR(SUM(
IF('TL01'!$B$3=L$3,SUMIF('TL01'!$C$10:$C$224,$C259,'TL01'!$J$10:$J$224),0),
IF('TL01'!$B$229=L$3,SUMIF('TL01'!$C$238:$C$451,$C259,'TL01'!$J$238:$J$451),0),
IF('TL02'!$B$3=L$3,SUMIF('TL02'!$C$10:$C$224,$C259,'TL02'!$J$10:$J$224),0),
IF('TL02'!$B$229=L$3,SUMIF('TL02'!$C$238:$C$451,$C259,'TL02'!$J$238:$J$451),0),
IF('TL03'!$B$3=L$3,SUMIF('TL03'!$C$10:$C$224,$C259,'TL03'!$J$10:$J$224),0),
IF('TL03'!$B$229=L$3,SUMIF('TL03'!$C$238:$C$451,$C259,'TL03'!$J$238:$J$451),0),
IF('TL04'!$B$3=L$3,SUMIF('TL04'!$C$10:$C$224,$C259,'TL04'!$J$10:$J$224),0),
IF('TL04'!$B$229=L$3,SUMIF('TL04'!$C$238:$C$451,$C259,'TL04'!$J$238:$J$451),0),
IF('TL05'!$B$3=L$3,SUMIF('TL05'!$C$10:$C$224,$C259,'TL05'!$J$10:$J$224),0),
IF('TL05'!$B$229=L$3,SUMIF('TL05'!$C$238:$C$451,$C259,'TL05'!$J$238:$J$451),0),
IF('TL06'!$B$3=L$3,SUMIF('TL06'!$C$10:$C$224,$C259,'TL06'!$J$10:$J$224),0),
IF('TL06'!$B$229=L$3,SUMIF('TL06'!$C$238:$C$451,$C259,'TL06'!$J$238:$J$451),0),
IF('TL07'!$B$3=L$3,SUMIF('TL07'!$C$10:$C$224,$C259,'TL07'!$J$10:$J$224),0),
IF('TL07'!$B$229=L$3,SUMIF('TL07'!$C$238:$C$451,$C259,'TL07'!$J$238:$J$451),0),
IF('TL08'!$B$3=L$3,SUMIF('TL08'!$C$10:$C$224,$C259,'TL08'!$J$10:$J$224),0),
IF('TL08'!$B$229=L$3,SUMIF('TL08'!$C$238:$C$451,$C259,'TL08'!$J$238:$J$451),0),
IF('TL09'!$B$3=L$3,SUMIF('TL09'!$C$10:$C$224,$C259,'TL09'!$J$10:$J$224),0),
IF('TL09'!$B$229=L$3,SUMIF('TL09'!$C$238:$C$451,$C259,'TL09'!$J$238:$J$451),0),
IF('TL10'!$B$3=L$3,SUMIF('TL10'!$C$10:$C$224,$C259,'TL10'!$J$10:$J$224),0),
IF('TL10'!$B$229=L$3,SUMIF('TL10'!$C$238:$C$451,$C259,'TL10'!$J$238:$J$451),0),
IF('TL11'!$B$3=L$3,SUMIF('TL11'!$C$10:$C$224,$C259,'TL11'!$J$10:$J$224),0),
IF('TL11'!$B$229=L$3,SUMIF('TL11'!$C$238:$C$451,$C259,'TL11'!$J$238:$J$451),0),
IF('TL12'!$B$3=L$3,SUMIF('TL12'!$C$10:$C$224,$C259,'TL12'!$J$10:$J$224),0),
IF('TL12'!$B$229=L$3,SUMIF('TL12'!$C$238:$C$451,$C259,'TL12'!$J$238:$J$451),0),
IF('TL13'!$B$3=L$3,SUMIF('TL13'!$C$10:$C$224,$C259,'TL13'!$J$10:$J$224),0),
IF('TL13'!$B$229=L$3,SUMIF('TL13'!$C$238:$C$451,$C259,'TL13'!$J$238:$J$451),0),
IF('TL14'!$B$3=L$3,SUMIF('TL14'!$C$10:$C$224,$C259,'TL14'!$J$10:$J$224),0),
IF('TL14'!$B$229=L$3,SUMIF('TL14'!$C$238:$C$451,$C259,'TL14'!$J$238:$J$451),0),
IF('TL15'!$B$3=L$3,SUMIF('TL15'!$C$10:$C$224,$C259,'TL15'!$J$10:$J$224),0),
IF('TL15'!$B$229=L$3,SUMIF('TL15'!$C$238:$C$451,$C259,'TL15'!$J$238:$J$451),0),
IF('TL16'!$B$3=L$3,SUMIF('TL16'!$C$10:$C$224,$C259,'TL16'!$J$10:$J$224),0),
IF('TL16'!$B$229=L$3,SUMIF('TL16'!$C$238:$C$451,$C259,'TL16'!$J$238:$J$451),0),
IF('TL17'!$B$3=L$3,SUMIF('TL17'!$C$10:$C$224,$C259,'TL17'!$J$10:$J$224),0),
IF('TL17'!$B$229=L$3,SUMIF('TL17'!$C$238:$C$451,$C259,'TL17'!$J$238:$J$451),0),
IF('TL18'!$B$3=L$3,SUMIF('TL18'!$C$10:$C$224,$C259,'TL18'!$J$10:$J$224),0),
IF('TL18'!$B$229=L$3,SUMIF('TL18'!$C$238:$C$451,$C259,'TL18'!$J$238:$J$451),0),
IF('TL19'!$B$3=L$3,SUMIF('TL19'!$C$10:$C$224,$C259,'TL19'!$J$10:$J$224),0),
IF('TL19'!$B$229=L$3,SUMIF('TL19'!$C$238:$C$451,$C259,'TL19'!$J$238:$J$451),0)
),0)</f>
        <v/>
      </c>
      <c r="M259" s="9">
        <f>IFERROR(SUM(
IF('TL01'!$B$3=M$3,SUMIF('TL01'!$C$10:$C$224,$C259,'TL01'!$J$10:$J$224),0),
IF('TL01'!$B$229=M$3,SUMIF('TL01'!$C$238:$C$451,$C259,'TL01'!$J$238:$J$451),0),
IF('TL02'!$B$3=M$3,SUMIF('TL02'!$C$10:$C$224,$C259,'TL02'!$J$10:$J$224),0),
IF('TL02'!$B$229=M$3,SUMIF('TL02'!$C$238:$C$451,$C259,'TL02'!$J$238:$J$451),0),
IF('TL03'!$B$3=M$3,SUMIF('TL03'!$C$10:$C$224,$C259,'TL03'!$J$10:$J$224),0),
IF('TL03'!$B$229=M$3,SUMIF('TL03'!$C$238:$C$451,$C259,'TL03'!$J$238:$J$451),0),
IF('TL04'!$B$3=M$3,SUMIF('TL04'!$C$10:$C$224,$C259,'TL04'!$J$10:$J$224),0),
IF('TL04'!$B$229=M$3,SUMIF('TL04'!$C$238:$C$451,$C259,'TL04'!$J$238:$J$451),0),
IF('TL05'!$B$3=M$3,SUMIF('TL05'!$C$10:$C$224,$C259,'TL05'!$J$10:$J$224),0),
IF('TL05'!$B$229=M$3,SUMIF('TL05'!$C$238:$C$451,$C259,'TL05'!$J$238:$J$451),0),
IF('TL06'!$B$3=M$3,SUMIF('TL06'!$C$10:$C$224,$C259,'TL06'!$J$10:$J$224),0),
IF('TL06'!$B$229=M$3,SUMIF('TL06'!$C$238:$C$451,$C259,'TL06'!$J$238:$J$451),0),
IF('TL07'!$B$3=M$3,SUMIF('TL07'!$C$10:$C$224,$C259,'TL07'!$J$10:$J$224),0),
IF('TL07'!$B$229=M$3,SUMIF('TL07'!$C$238:$C$451,$C259,'TL07'!$J$238:$J$451),0),
IF('TL08'!$B$3=M$3,SUMIF('TL08'!$C$10:$C$224,$C259,'TL08'!$J$10:$J$224),0),
IF('TL08'!$B$229=M$3,SUMIF('TL08'!$C$238:$C$451,$C259,'TL08'!$J$238:$J$451),0),
IF('TL09'!$B$3=M$3,SUMIF('TL09'!$C$10:$C$224,$C259,'TL09'!$J$10:$J$224),0),
IF('TL09'!$B$229=M$3,SUMIF('TL09'!$C$238:$C$451,$C259,'TL09'!$J$238:$J$451),0),
IF('TL10'!$B$3=M$3,SUMIF('TL10'!$C$10:$C$224,$C259,'TL10'!$J$10:$J$224),0),
IF('TL10'!$B$229=M$3,SUMIF('TL10'!$C$238:$C$451,$C259,'TL10'!$J$238:$J$451),0),
IF('TL11'!$B$3=M$3,SUMIF('TL11'!$C$10:$C$224,$C259,'TL11'!$J$10:$J$224),0),
IF('TL11'!$B$229=M$3,SUMIF('TL11'!$C$238:$C$451,$C259,'TL11'!$J$238:$J$451),0),
IF('TL12'!$B$3=M$3,SUMIF('TL12'!$C$10:$C$224,$C259,'TL12'!$J$10:$J$224),0),
IF('TL12'!$B$229=M$3,SUMIF('TL12'!$C$238:$C$451,$C259,'TL12'!$J$238:$J$451),0),
IF('TL13'!$B$3=M$3,SUMIF('TL13'!$C$10:$C$224,$C259,'TL13'!$J$10:$J$224),0),
IF('TL13'!$B$229=M$3,SUMIF('TL13'!$C$238:$C$451,$C259,'TL13'!$J$238:$J$451),0),
IF('TL14'!$B$3=M$3,SUMIF('TL14'!$C$10:$C$224,$C259,'TL14'!$J$10:$J$224),0),
IF('TL14'!$B$229=M$3,SUMIF('TL14'!$C$238:$C$451,$C259,'TL14'!$J$238:$J$451),0),
IF('TL15'!$B$3=M$3,SUMIF('TL15'!$C$10:$C$224,$C259,'TL15'!$J$10:$J$224),0),
IF('TL15'!$B$229=M$3,SUMIF('TL15'!$C$238:$C$451,$C259,'TL15'!$J$238:$J$451),0),
IF('TL16'!$B$3=M$3,SUMIF('TL16'!$C$10:$C$224,$C259,'TL16'!$J$10:$J$224),0),
IF('TL16'!$B$229=M$3,SUMIF('TL16'!$C$238:$C$451,$C259,'TL16'!$J$238:$J$451),0),
IF('TL17'!$B$3=M$3,SUMIF('TL17'!$C$10:$C$224,$C259,'TL17'!$J$10:$J$224),0),
IF('TL17'!$B$229=M$3,SUMIF('TL17'!$C$238:$C$451,$C259,'TL17'!$J$238:$J$451),0),
IF('TL18'!$B$3=M$3,SUMIF('TL18'!$C$10:$C$224,$C259,'TL18'!$J$10:$J$224),0),
IF('TL18'!$B$229=M$3,SUMIF('TL18'!$C$238:$C$451,$C259,'TL18'!$J$238:$J$451),0),
IF('TL19'!$B$3=M$3,SUMIF('TL19'!$C$10:$C$224,$C259,'TL19'!$J$10:$J$224),0),
IF('TL19'!$B$229=M$3,SUMIF('TL19'!$C$238:$C$451,$C259,'TL19'!$J$238:$J$451),0)
),0)</f>
        <v/>
      </c>
      <c r="N259" s="9">
        <f>IFERROR(SUM(
IF('TL01'!$B$3=N$3,SUMIF('TL01'!$C$10:$C$224,$C259,'TL01'!$J$10:$J$224),0),
IF('TL01'!$B$229=N$3,SUMIF('TL01'!$C$238:$C$451,$C259,'TL01'!$J$238:$J$451),0),
IF('TL02'!$B$3=N$3,SUMIF('TL02'!$C$10:$C$224,$C259,'TL02'!$J$10:$J$224),0),
IF('TL02'!$B$229=N$3,SUMIF('TL02'!$C$238:$C$451,$C259,'TL02'!$J$238:$J$451),0),
IF('TL03'!$B$3=N$3,SUMIF('TL03'!$C$10:$C$224,$C259,'TL03'!$J$10:$J$224),0),
IF('TL03'!$B$229=N$3,SUMIF('TL03'!$C$238:$C$451,$C259,'TL03'!$J$238:$J$451),0),
IF('TL04'!$B$3=N$3,SUMIF('TL04'!$C$10:$C$224,$C259,'TL04'!$J$10:$J$224),0),
IF('TL04'!$B$229=N$3,SUMIF('TL04'!$C$238:$C$451,$C259,'TL04'!$J$238:$J$451),0),
IF('TL05'!$B$3=N$3,SUMIF('TL05'!$C$10:$C$224,$C259,'TL05'!$J$10:$J$224),0),
IF('TL05'!$B$229=N$3,SUMIF('TL05'!$C$238:$C$451,$C259,'TL05'!$J$238:$J$451),0),
IF('TL06'!$B$3=N$3,SUMIF('TL06'!$C$10:$C$224,$C259,'TL06'!$J$10:$J$224),0),
IF('TL06'!$B$229=N$3,SUMIF('TL06'!$C$238:$C$451,$C259,'TL06'!$J$238:$J$451),0),
IF('TL07'!$B$3=N$3,SUMIF('TL07'!$C$10:$C$224,$C259,'TL07'!$J$10:$J$224),0),
IF('TL07'!$B$229=N$3,SUMIF('TL07'!$C$238:$C$451,$C259,'TL07'!$J$238:$J$451),0),
IF('TL08'!$B$3=N$3,SUMIF('TL08'!$C$10:$C$224,$C259,'TL08'!$J$10:$J$224),0),
IF('TL08'!$B$229=N$3,SUMIF('TL08'!$C$238:$C$451,$C259,'TL08'!$J$238:$J$451),0),
IF('TL09'!$B$3=N$3,SUMIF('TL09'!$C$10:$C$224,$C259,'TL09'!$J$10:$J$224),0),
IF('TL09'!$B$229=N$3,SUMIF('TL09'!$C$238:$C$451,$C259,'TL09'!$J$238:$J$451),0),
IF('TL10'!$B$3=N$3,SUMIF('TL10'!$C$10:$C$224,$C259,'TL10'!$J$10:$J$224),0),
IF('TL10'!$B$229=N$3,SUMIF('TL10'!$C$238:$C$451,$C259,'TL10'!$J$238:$J$451),0),
IF('TL11'!$B$3=N$3,SUMIF('TL11'!$C$10:$C$224,$C259,'TL11'!$J$10:$J$224),0),
IF('TL11'!$B$229=N$3,SUMIF('TL11'!$C$238:$C$451,$C259,'TL11'!$J$238:$J$451),0),
IF('TL12'!$B$3=N$3,SUMIF('TL12'!$C$10:$C$224,$C259,'TL12'!$J$10:$J$224),0),
IF('TL12'!$B$229=N$3,SUMIF('TL12'!$C$238:$C$451,$C259,'TL12'!$J$238:$J$451),0),
IF('TL13'!$B$3=N$3,SUMIF('TL13'!$C$10:$C$224,$C259,'TL13'!$J$10:$J$224),0),
IF('TL13'!$B$229=N$3,SUMIF('TL13'!$C$238:$C$451,$C259,'TL13'!$J$238:$J$451),0),
IF('TL14'!$B$3=N$3,SUMIF('TL14'!$C$10:$C$224,$C259,'TL14'!$J$10:$J$224),0),
IF('TL14'!$B$229=N$3,SUMIF('TL14'!$C$238:$C$451,$C259,'TL14'!$J$238:$J$451),0),
IF('TL15'!$B$3=N$3,SUMIF('TL15'!$C$10:$C$224,$C259,'TL15'!$J$10:$J$224),0),
IF('TL15'!$B$229=N$3,SUMIF('TL15'!$C$238:$C$451,$C259,'TL15'!$J$238:$J$451),0),
IF('TL16'!$B$3=N$3,SUMIF('TL16'!$C$10:$C$224,$C259,'TL16'!$J$10:$J$224),0),
IF('TL16'!$B$229=N$3,SUMIF('TL16'!$C$238:$C$451,$C259,'TL16'!$J$238:$J$451),0),
IF('TL17'!$B$3=N$3,SUMIF('TL17'!$C$10:$C$224,$C259,'TL17'!$J$10:$J$224),0),
IF('TL17'!$B$229=N$3,SUMIF('TL17'!$C$238:$C$451,$C259,'TL17'!$J$238:$J$451),0),
IF('TL18'!$B$3=N$3,SUMIF('TL18'!$C$10:$C$224,$C259,'TL18'!$J$10:$J$224),0),
IF('TL18'!$B$229=N$3,SUMIF('TL18'!$C$238:$C$451,$C259,'TL18'!$J$238:$J$451),0),
IF('TL19'!$B$3=N$3,SUMIF('TL19'!$C$10:$C$224,$C259,'TL19'!$J$10:$J$224),0),
IF('TL19'!$B$229=N$3,SUMIF('TL19'!$C$238:$C$451,$C259,'TL19'!$J$238:$J$451),0)
),0)</f>
        <v/>
      </c>
      <c r="O259" s="9">
        <f>IFERROR(SUM(
IF('TL01'!$B$3=O$3,SUMIF('TL01'!$C$10:$C$224,$C259,'TL01'!$J$10:$J$224),0),
IF('TL01'!$B$229=O$3,SUMIF('TL01'!$C$238:$C$451,$C259,'TL01'!$J$238:$J$451),0),
IF('TL02'!$B$3=O$3,SUMIF('TL02'!$C$10:$C$224,$C259,'TL02'!$J$10:$J$224),0),
IF('TL02'!$B$229=O$3,SUMIF('TL02'!$C$238:$C$451,$C259,'TL02'!$J$238:$J$451),0),
IF('TL03'!$B$3=O$3,SUMIF('TL03'!$C$10:$C$224,$C259,'TL03'!$J$10:$J$224),0),
IF('TL03'!$B$229=O$3,SUMIF('TL03'!$C$238:$C$451,$C259,'TL03'!$J$238:$J$451),0),
IF('TL04'!$B$3=O$3,SUMIF('TL04'!$C$10:$C$224,$C259,'TL04'!$J$10:$J$224),0),
IF('TL04'!$B$229=O$3,SUMIF('TL04'!$C$238:$C$451,$C259,'TL04'!$J$238:$J$451),0),
IF('TL05'!$B$3=O$3,SUMIF('TL05'!$C$10:$C$224,$C259,'TL05'!$J$10:$J$224),0),
IF('TL05'!$B$229=O$3,SUMIF('TL05'!$C$238:$C$451,$C259,'TL05'!$J$238:$J$451),0),
IF('TL06'!$B$3=O$3,SUMIF('TL06'!$C$10:$C$224,$C259,'TL06'!$J$10:$J$224),0),
IF('TL06'!$B$229=O$3,SUMIF('TL06'!$C$238:$C$451,$C259,'TL06'!$J$238:$J$451),0),
IF('TL07'!$B$3=O$3,SUMIF('TL07'!$C$10:$C$224,$C259,'TL07'!$J$10:$J$224),0),
IF('TL07'!$B$229=O$3,SUMIF('TL07'!$C$238:$C$451,$C259,'TL07'!$J$238:$J$451),0),
IF('TL08'!$B$3=O$3,SUMIF('TL08'!$C$10:$C$224,$C259,'TL08'!$J$10:$J$224),0),
IF('TL08'!$B$229=O$3,SUMIF('TL08'!$C$238:$C$451,$C259,'TL08'!$J$238:$J$451),0),
IF('TL09'!$B$3=O$3,SUMIF('TL09'!$C$10:$C$224,$C259,'TL09'!$J$10:$J$224),0),
IF('TL09'!$B$229=O$3,SUMIF('TL09'!$C$238:$C$451,$C259,'TL09'!$J$238:$J$451),0),
IF('TL10'!$B$3=O$3,SUMIF('TL10'!$C$10:$C$224,$C259,'TL10'!$J$10:$J$224),0),
IF('TL10'!$B$229=O$3,SUMIF('TL10'!$C$238:$C$451,$C259,'TL10'!$J$238:$J$451),0),
IF('TL11'!$B$3=O$3,SUMIF('TL11'!$C$10:$C$224,$C259,'TL11'!$J$10:$J$224),0),
IF('TL11'!$B$229=O$3,SUMIF('TL11'!$C$238:$C$451,$C259,'TL11'!$J$238:$J$451),0),
IF('TL12'!$B$3=O$3,SUMIF('TL12'!$C$10:$C$224,$C259,'TL12'!$J$10:$J$224),0),
IF('TL12'!$B$229=O$3,SUMIF('TL12'!$C$238:$C$451,$C259,'TL12'!$J$238:$J$451),0),
IF('TL13'!$B$3=O$3,SUMIF('TL13'!$C$10:$C$224,$C259,'TL13'!$J$10:$J$224),0),
IF('TL13'!$B$229=O$3,SUMIF('TL13'!$C$238:$C$451,$C259,'TL13'!$J$238:$J$451),0),
IF('TL14'!$B$3=O$3,SUMIF('TL14'!$C$10:$C$224,$C259,'TL14'!$J$10:$J$224),0),
IF('TL14'!$B$229=O$3,SUMIF('TL14'!$C$238:$C$451,$C259,'TL14'!$J$238:$J$451),0),
IF('TL15'!$B$3=O$3,SUMIF('TL15'!$C$10:$C$224,$C259,'TL15'!$J$10:$J$224),0),
IF('TL15'!$B$229=O$3,SUMIF('TL15'!$C$238:$C$451,$C259,'TL15'!$J$238:$J$451),0),
IF('TL16'!$B$3=O$3,SUMIF('TL16'!$C$10:$C$224,$C259,'TL16'!$J$10:$J$224),0),
IF('TL16'!$B$229=O$3,SUMIF('TL16'!$C$238:$C$451,$C259,'TL16'!$J$238:$J$451),0),
IF('TL17'!$B$3=O$3,SUMIF('TL17'!$C$10:$C$224,$C259,'TL17'!$J$10:$J$224),0),
IF('TL17'!$B$229=O$3,SUMIF('TL17'!$C$238:$C$451,$C259,'TL17'!$J$238:$J$451),0),
IF('TL18'!$B$3=O$3,SUMIF('TL18'!$C$10:$C$224,$C259,'TL18'!$J$10:$J$224),0),
IF('TL18'!$B$229=O$3,SUMIF('TL18'!$C$238:$C$451,$C259,'TL18'!$J$238:$J$451),0),
IF('TL19'!$B$3=O$3,SUMIF('TL19'!$C$10:$C$224,$C259,'TL19'!$J$10:$J$224),0),
IF('TL19'!$B$229=O$3,SUMIF('TL19'!$C$238:$C$451,$C259,'TL19'!$J$238:$J$451),0)
),0)</f>
        <v/>
      </c>
      <c r="P259" s="9">
        <f>IFERROR(SUM(
IF('TL01'!$B$3=P$3,SUMIF('TL01'!$C$10:$C$224,$C259,'TL01'!$J$10:$J$224),0),
IF('TL01'!$B$229=P$3,SUMIF('TL01'!$C$238:$C$451,$C259,'TL01'!$J$238:$J$451),0),
IF('TL02'!$B$3=P$3,SUMIF('TL02'!$C$10:$C$224,$C259,'TL02'!$J$10:$J$224),0),
IF('TL02'!$B$229=P$3,SUMIF('TL02'!$C$238:$C$451,$C259,'TL02'!$J$238:$J$451),0),
IF('TL03'!$B$3=P$3,SUMIF('TL03'!$C$10:$C$224,$C259,'TL03'!$J$10:$J$224),0),
IF('TL03'!$B$229=P$3,SUMIF('TL03'!$C$238:$C$451,$C259,'TL03'!$J$238:$J$451),0),
IF('TL04'!$B$3=P$3,SUMIF('TL04'!$C$10:$C$224,$C259,'TL04'!$J$10:$J$224),0),
IF('TL04'!$B$229=P$3,SUMIF('TL04'!$C$238:$C$451,$C259,'TL04'!$J$238:$J$451),0),
IF('TL05'!$B$3=P$3,SUMIF('TL05'!$C$10:$C$224,$C259,'TL05'!$J$10:$J$224),0),
IF('TL05'!$B$229=P$3,SUMIF('TL05'!$C$238:$C$451,$C259,'TL05'!$J$238:$J$451),0),
IF('TL06'!$B$3=P$3,SUMIF('TL06'!$C$10:$C$224,$C259,'TL06'!$J$10:$J$224),0),
IF('TL06'!$B$229=P$3,SUMIF('TL06'!$C$238:$C$451,$C259,'TL06'!$J$238:$J$451),0),
IF('TL07'!$B$3=P$3,SUMIF('TL07'!$C$10:$C$224,$C259,'TL07'!$J$10:$J$224),0),
IF('TL07'!$B$229=P$3,SUMIF('TL07'!$C$238:$C$451,$C259,'TL07'!$J$238:$J$451),0),
IF('TL08'!$B$3=P$3,SUMIF('TL08'!$C$10:$C$224,$C259,'TL08'!$J$10:$J$224),0),
IF('TL08'!$B$229=P$3,SUMIF('TL08'!$C$238:$C$451,$C259,'TL08'!$J$238:$J$451),0),
IF('TL09'!$B$3=P$3,SUMIF('TL09'!$C$10:$C$224,$C259,'TL09'!$J$10:$J$224),0),
IF('TL09'!$B$229=P$3,SUMIF('TL09'!$C$238:$C$451,$C259,'TL09'!$J$238:$J$451),0),
IF('TL10'!$B$3=P$3,SUMIF('TL10'!$C$10:$C$224,$C259,'TL10'!$J$10:$J$224),0),
IF('TL10'!$B$229=P$3,SUMIF('TL10'!$C$238:$C$451,$C259,'TL10'!$J$238:$J$451),0),
IF('TL11'!$B$3=P$3,SUMIF('TL11'!$C$10:$C$224,$C259,'TL11'!$J$10:$J$224),0),
IF('TL11'!$B$229=P$3,SUMIF('TL11'!$C$238:$C$451,$C259,'TL11'!$J$238:$J$451),0),
IF('TL12'!$B$3=P$3,SUMIF('TL12'!$C$10:$C$224,$C259,'TL12'!$J$10:$J$224),0),
IF('TL12'!$B$229=P$3,SUMIF('TL12'!$C$238:$C$451,$C259,'TL12'!$J$238:$J$451),0),
IF('TL13'!$B$3=P$3,SUMIF('TL13'!$C$10:$C$224,$C259,'TL13'!$J$10:$J$224),0),
IF('TL13'!$B$229=P$3,SUMIF('TL13'!$C$238:$C$451,$C259,'TL13'!$J$238:$J$451),0),
IF('TL14'!$B$3=P$3,SUMIF('TL14'!$C$10:$C$224,$C259,'TL14'!$J$10:$J$224),0),
IF('TL14'!$B$229=P$3,SUMIF('TL14'!$C$238:$C$451,$C259,'TL14'!$J$238:$J$451),0),
IF('TL15'!$B$3=P$3,SUMIF('TL15'!$C$10:$C$224,$C259,'TL15'!$J$10:$J$224),0),
IF('TL15'!$B$229=P$3,SUMIF('TL15'!$C$238:$C$451,$C259,'TL15'!$J$238:$J$451),0),
IF('TL16'!$B$3=P$3,SUMIF('TL16'!$C$10:$C$224,$C259,'TL16'!$J$10:$J$224),0),
IF('TL16'!$B$229=P$3,SUMIF('TL16'!$C$238:$C$451,$C259,'TL16'!$J$238:$J$451),0),
IF('TL17'!$B$3=P$3,SUMIF('TL17'!$C$10:$C$224,$C259,'TL17'!$J$10:$J$224),0),
IF('TL17'!$B$229=P$3,SUMIF('TL17'!$C$238:$C$451,$C259,'TL17'!$J$238:$J$451),0),
IF('TL18'!$B$3=P$3,SUMIF('TL18'!$C$10:$C$224,$C259,'TL18'!$J$10:$J$224),0),
IF('TL18'!$B$229=P$3,SUMIF('TL18'!$C$238:$C$451,$C259,'TL18'!$J$238:$J$451),0),
IF('TL19'!$B$3=P$3,SUMIF('TL19'!$C$10:$C$224,$C259,'TL19'!$J$10:$J$224),0),
IF('TL19'!$B$229=P$3,SUMIF('TL19'!$C$238:$C$451,$C259,'TL19'!$J$238:$J$451),0)
),0)</f>
        <v/>
      </c>
      <c r="Q259" s="9">
        <f>IFERROR(SUM(
IF('TL01'!$B$3=Q$3,SUMIF('TL01'!$C$10:$C$224,$C259,'TL01'!$J$10:$J$224),0),
IF('TL01'!$B$229=Q$3,SUMIF('TL01'!$C$238:$C$451,$C259,'TL01'!$J$238:$J$451),0),
IF('TL02'!$B$3=Q$3,SUMIF('TL02'!$C$10:$C$224,$C259,'TL02'!$J$10:$J$224),0),
IF('TL02'!$B$229=Q$3,SUMIF('TL02'!$C$238:$C$451,$C259,'TL02'!$J$238:$J$451),0),
IF('TL03'!$B$3=Q$3,SUMIF('TL03'!$C$10:$C$224,$C259,'TL03'!$J$10:$J$224),0),
IF('TL03'!$B$229=Q$3,SUMIF('TL03'!$C$238:$C$451,$C259,'TL03'!$J$238:$J$451),0),
IF('TL04'!$B$3=Q$3,SUMIF('TL04'!$C$10:$C$224,$C259,'TL04'!$J$10:$J$224),0),
IF('TL04'!$B$229=Q$3,SUMIF('TL04'!$C$238:$C$451,$C259,'TL04'!$J$238:$J$451),0),
IF('TL05'!$B$3=Q$3,SUMIF('TL05'!$C$10:$C$224,$C259,'TL05'!$J$10:$J$224),0),
IF('TL05'!$B$229=Q$3,SUMIF('TL05'!$C$238:$C$451,$C259,'TL05'!$J$238:$J$451),0),
IF('TL06'!$B$3=Q$3,SUMIF('TL06'!$C$10:$C$224,$C259,'TL06'!$J$10:$J$224),0),
IF('TL06'!$B$229=Q$3,SUMIF('TL06'!$C$238:$C$451,$C259,'TL06'!$J$238:$J$451),0),
IF('TL07'!$B$3=Q$3,SUMIF('TL07'!$C$10:$C$224,$C259,'TL07'!$J$10:$J$224),0),
IF('TL07'!$B$229=Q$3,SUMIF('TL07'!$C$238:$C$451,$C259,'TL07'!$J$238:$J$451),0),
IF('TL08'!$B$3=Q$3,SUMIF('TL08'!$C$10:$C$224,$C259,'TL08'!$J$10:$J$224),0),
IF('TL08'!$B$229=Q$3,SUMIF('TL08'!$C$238:$C$451,$C259,'TL08'!$J$238:$J$451),0),
IF('TL09'!$B$3=Q$3,SUMIF('TL09'!$C$10:$C$224,$C259,'TL09'!$J$10:$J$224),0),
IF('TL09'!$B$229=Q$3,SUMIF('TL09'!$C$238:$C$451,$C259,'TL09'!$J$238:$J$451),0),
IF('TL10'!$B$3=Q$3,SUMIF('TL10'!$C$10:$C$224,$C259,'TL10'!$J$10:$J$224),0),
IF('TL10'!$B$229=Q$3,SUMIF('TL10'!$C$238:$C$451,$C259,'TL10'!$J$238:$J$451),0),
IF('TL11'!$B$3=Q$3,SUMIF('TL11'!$C$10:$C$224,$C259,'TL11'!$J$10:$J$224),0),
IF('TL11'!$B$229=Q$3,SUMIF('TL11'!$C$238:$C$451,$C259,'TL11'!$J$238:$J$451),0),
IF('TL12'!$B$3=Q$3,SUMIF('TL12'!$C$10:$C$224,$C259,'TL12'!$J$10:$J$224),0),
IF('TL12'!$B$229=Q$3,SUMIF('TL12'!$C$238:$C$451,$C259,'TL12'!$J$238:$J$451),0),
IF('TL13'!$B$3=Q$3,SUMIF('TL13'!$C$10:$C$224,$C259,'TL13'!$J$10:$J$224),0),
IF('TL13'!$B$229=Q$3,SUMIF('TL13'!$C$238:$C$451,$C259,'TL13'!$J$238:$J$451),0),
IF('TL14'!$B$3=Q$3,SUMIF('TL14'!$C$10:$C$224,$C259,'TL14'!$J$10:$J$224),0),
IF('TL14'!$B$229=Q$3,SUMIF('TL14'!$C$238:$C$451,$C259,'TL14'!$J$238:$J$451),0),
IF('TL15'!$B$3=Q$3,SUMIF('TL15'!$C$10:$C$224,$C259,'TL15'!$J$10:$J$224),0),
IF('TL15'!$B$229=Q$3,SUMIF('TL15'!$C$238:$C$451,$C259,'TL15'!$J$238:$J$451),0),
IF('TL16'!$B$3=Q$3,SUMIF('TL16'!$C$10:$C$224,$C259,'TL16'!$J$10:$J$224),0),
IF('TL16'!$B$229=Q$3,SUMIF('TL16'!$C$238:$C$451,$C259,'TL16'!$J$238:$J$451),0),
IF('TL17'!$B$3=Q$3,SUMIF('TL17'!$C$10:$C$224,$C259,'TL17'!$J$10:$J$224),0),
IF('TL17'!$B$229=Q$3,SUMIF('TL17'!$C$238:$C$451,$C259,'TL17'!$J$238:$J$451),0),
IF('TL18'!$B$3=Q$3,SUMIF('TL18'!$C$10:$C$224,$C259,'TL18'!$J$10:$J$224),0),
IF('TL18'!$B$229=Q$3,SUMIF('TL18'!$C$238:$C$451,$C259,'TL18'!$J$238:$J$451),0),
IF('TL19'!$B$3=Q$3,SUMIF('TL19'!$C$10:$C$224,$C259,'TL19'!$J$10:$J$224),0),
IF('TL19'!$B$229=Q$3,SUMIF('TL19'!$C$238:$C$451,$C259,'TL19'!$J$238:$J$451),0)
),0)</f>
        <v/>
      </c>
      <c r="R259" s="9">
        <f>IFERROR(
SUM(
SUMIF('TL01'!C:C,C259,'TL01'!J:J),
SUMIF('TL02'!C:C,C259,'TL02'!J:J),
SUMIF('TL03'!C:C,C259,'TL03'!J:J),
SUMIF('TL04'!C:C,C259,'TL04'!J:J),
SUMIF('TL05'!C:C,C259,'TL05'!J:J),
SUMIF('TL06'!C:C,C259,'TL06'!J:J),
SUMIF('TL07'!C:C,C259,'TL07'!J:J),
SUMIF('TL08'!C:C,C259,'TL08'!J:J),
SUMIF('TL09'!C:C,C259,'TL09'!J:J),
SUMIF('TL10'!C:C,C259,'TL10'!J:J),
SUMIF('TL11'!C:C,C259,'TL11'!J:J),
SUMIF('TL12'!C:C,C259,'TL12'!J:J),
SUMIF('TL13'!C:C,C259,'TL13'!J:J),
SUMIF('TL14'!C:C,C259,'TL14'!J:J),
SUMIF('TL15'!C:C,C259,'TL15'!J:J),
SUMIF('TL16'!C:C,C259,'TL16'!J:J),
SUMIF('TL17'!C:C,C259,'TL17'!J:J),
SUMIF('TL18'!C:C,C259,'TL18'!J:J),SUMIF('TL19'!C:C,C259,'TL19'!J:J))
,0)</f>
        <v/>
      </c>
      <c r="S259" s="17">
        <f>IFERROR(__xludf.DUMMYFUNCTION("IFERROR(VLOOKUP(C259,
IMPORTRANGE(""1wULbzX32WdYsx-lj2U3uUNBBe2INVIRDtcK0d-Dvl90"",
""26-27!C:G""),
5,
FALSE),
"""")"),40.33)</f>
        <v/>
      </c>
      <c r="T259" s="9" t="n"/>
      <c r="U259" s="92">
        <f>MAX(0,R259-T259)</f>
        <v/>
      </c>
      <c r="V259" s="93">
        <f>U259*S259</f>
        <v/>
      </c>
    </row>
    <row r="260" hidden="1" ht="15.75" customHeight="1" s="297">
      <c r="A260" s="4" t="inlineStr">
        <is>
          <t>AGROPLACE</t>
        </is>
      </c>
      <c r="B260" s="125" t="inlineStr">
        <is>
          <t>NUTRIÇÃO</t>
        </is>
      </c>
      <c r="C260" s="4" t="inlineStr">
        <is>
          <t>AP MANGANÊS</t>
        </is>
      </c>
      <c r="D260" s="4" t="inlineStr">
        <is>
          <t>N1%; Mn20%</t>
        </is>
      </c>
      <c r="E260" s="9" t="inlineStr">
        <is>
          <t>15,4g/l + 308g/l</t>
        </is>
      </c>
      <c r="F260" s="4" t="inlineStr">
        <is>
          <t>L</t>
        </is>
      </c>
      <c r="G260" s="9" t="n"/>
      <c r="H260" s="9" t="n">
        <v>0.4</v>
      </c>
      <c r="I260" s="1" t="n"/>
      <c r="J260" s="9">
        <f>IFERROR(SUM(
IF('TL01'!$B$3=J$3,SUMIF('TL01'!$C$10:$C$224,$C260,'TL01'!$J$10:$J$224),0),
IF('TL01'!$B$229=J$3,SUMIF('TL01'!$C$238:$C$451,$C260,'TL01'!$J$238:$J$451),0),
IF('TL02'!$B$3=J$3,SUMIF('TL02'!$C$10:$C$224,$C260,'TL02'!$J$10:$J$224),0),
IF('TL02'!$B$229=J$3,SUMIF('TL02'!$C$238:$C$451,$C260,'TL02'!$J$238:$J$451),0),
IF('TL03'!$B$3=J$3,SUMIF('TL03'!$C$10:$C$224,$C260,'TL03'!$J$10:$J$224),0),
IF('TL03'!$B$229=J$3,SUMIF('TL03'!$C$238:$C$451,$C260,'TL03'!$J$238:$J$451),0),
IF('TL04'!$B$3=J$3,SUMIF('TL04'!$C$10:$C$224,$C260,'TL04'!$J$10:$J$224),0),
IF('TL04'!$B$229=J$3,SUMIF('TL04'!$C$238:$C$451,$C260,'TL04'!$J$238:$J$451),0),
IF('TL05'!$B$3=J$3,SUMIF('TL05'!$C$10:$C$224,$C260,'TL05'!$J$10:$J$224),0),
IF('TL05'!$B$229=J$3,SUMIF('TL05'!$C$238:$C$451,$C260,'TL05'!$J$238:$J$451),0),
IF('TL06'!$B$3=J$3,SUMIF('TL06'!$C$10:$C$224,$C260,'TL06'!$J$10:$J$224),0),
IF('TL06'!$B$229=J$3,SUMIF('TL06'!$C$238:$C$451,$C260,'TL06'!$J$238:$J$451),0),
IF('TL07'!$B$3=J$3,SUMIF('TL07'!$C$10:$C$224,$C260,'TL07'!$J$10:$J$224),0),
IF('TL07'!$B$229=J$3,SUMIF('TL07'!$C$238:$C$451,$C260,'TL07'!$J$238:$J$451),0),
IF('TL08'!$B$3=J$3,SUMIF('TL08'!$C$10:$C$224,$C260,'TL08'!$J$10:$J$224),0),
IF('TL08'!$B$229=J$3,SUMIF('TL08'!$C$238:$C$451,$C260,'TL08'!$J$238:$J$451),0),
IF('TL09'!$B$3=J$3,SUMIF('TL09'!$C$10:$C$224,$C260,'TL09'!$J$10:$J$224),0),
IF('TL09'!$B$229=J$3,SUMIF('TL09'!$C$238:$C$451,$C260,'TL09'!$J$238:$J$451),0),
IF('TL10'!$B$3=J$3,SUMIF('TL10'!$C$10:$C$224,$C260,'TL10'!$J$10:$J$224),0),
IF('TL10'!$B$229=J$3,SUMIF('TL10'!$C$238:$C$451,$C260,'TL10'!$J$238:$J$451),0),
IF('TL11'!$B$3=J$3,SUMIF('TL11'!$C$10:$C$224,$C260,'TL11'!$J$10:$J$224),0),
IF('TL11'!$B$229=J$3,SUMIF('TL11'!$C$238:$C$451,$C260,'TL11'!$J$238:$J$451),0),
IF('TL12'!$B$3=J$3,SUMIF('TL12'!$C$10:$C$224,$C260,'TL12'!$J$10:$J$224),0),
IF('TL12'!$B$229=J$3,SUMIF('TL12'!$C$238:$C$451,$C260,'TL12'!$J$238:$J$451),0),
IF('TL13'!$B$3=J$3,SUMIF('TL13'!$C$10:$C$224,$C260,'TL13'!$J$10:$J$224),0),
IF('TL13'!$B$229=J$3,SUMIF('TL13'!$C$238:$C$451,$C260,'TL13'!$J$238:$J$451),0),
IF('TL14'!$B$3=J$3,SUMIF('TL14'!$C$10:$C$224,$C260,'TL14'!$J$10:$J$224),0),
IF('TL14'!$B$229=J$3,SUMIF('TL14'!$C$238:$C$451,$C260,'TL14'!$J$238:$J$451),0),
IF('TL15'!$B$3=J$3,SUMIF('TL15'!$C$10:$C$224,$C260,'TL15'!$J$10:$J$224),0),
IF('TL15'!$B$229=J$3,SUMIF('TL15'!$C$238:$C$451,$C260,'TL15'!$J$238:$J$451),0),
IF('TL16'!$B$3=J$3,SUMIF('TL16'!$C$10:$C$224,$C260,'TL16'!$J$10:$J$224),0),
IF('TL16'!$B$229=J$3,SUMIF('TL16'!$C$238:$C$451,$C260,'TL16'!$J$238:$J$451),0),
IF('TL17'!$B$3=J$3,SUMIF('TL17'!$C$10:$C$224,$C260,'TL17'!$J$10:$J$224),0),
IF('TL17'!$B$229=J$3,SUMIF('TL17'!$C$238:$C$451,$C260,'TL17'!$J$238:$J$451),0),
IF('TL18'!$B$3=J$3,SUMIF('TL18'!$C$10:$C$224,$C260,'TL18'!$J$10:$J$224),0),
IF('TL18'!$B$229=J$3,SUMIF('TL18'!$C$238:$C$451,$C260,'TL18'!$J$238:$J$451),0),
IF('TL19'!$B$3=J$3,SUMIF('TL19'!$C$10:$C$224,$C260,'TL19'!$J$10:$J$224),0),
IF('TL19'!$B$229=J$3,SUMIF('TL19'!$C$238:$C$451,$C260,'TL19'!$J$238:$J$451),0)
),0)</f>
        <v/>
      </c>
      <c r="K260" s="9">
        <f>IFERROR(SUM(
IF('TL01'!$B$3=K$3,SUMIF('TL01'!$C$10:$C$224,$C260,'TL01'!$J$10:$J$224),0),
IF('TL01'!$B$229=K$3,SUMIF('TL01'!$C$238:$C$451,$C260,'TL01'!$J$238:$J$451),0),
IF('TL02'!$B$3=K$3,SUMIF('TL02'!$C$10:$C$224,$C260,'TL02'!$J$10:$J$224),0),
IF('TL02'!$B$229=K$3,SUMIF('TL02'!$C$238:$C$451,$C260,'TL02'!$J$238:$J$451),0),
IF('TL03'!$B$3=K$3,SUMIF('TL03'!$C$10:$C$224,$C260,'TL03'!$J$10:$J$224),0),
IF('TL03'!$B$229=K$3,SUMIF('TL03'!$C$238:$C$451,$C260,'TL03'!$J$238:$J$451),0),
IF('TL04'!$B$3=K$3,SUMIF('TL04'!$C$10:$C$224,$C260,'TL04'!$J$10:$J$224),0),
IF('TL04'!$B$229=K$3,SUMIF('TL04'!$C$238:$C$451,$C260,'TL04'!$J$238:$J$451),0),
IF('TL05'!$B$3=K$3,SUMIF('TL05'!$C$10:$C$224,$C260,'TL05'!$J$10:$J$224),0),
IF('TL05'!$B$229=K$3,SUMIF('TL05'!$C$238:$C$451,$C260,'TL05'!$J$238:$J$451),0),
IF('TL06'!$B$3=K$3,SUMIF('TL06'!$C$10:$C$224,$C260,'TL06'!$J$10:$J$224),0),
IF('TL06'!$B$229=K$3,SUMIF('TL06'!$C$238:$C$451,$C260,'TL06'!$J$238:$J$451),0),
IF('TL07'!$B$3=K$3,SUMIF('TL07'!$C$10:$C$224,$C260,'TL07'!$J$10:$J$224),0),
IF('TL07'!$B$229=K$3,SUMIF('TL07'!$C$238:$C$451,$C260,'TL07'!$J$238:$J$451),0),
IF('TL08'!$B$3=K$3,SUMIF('TL08'!$C$10:$C$224,$C260,'TL08'!$J$10:$J$224),0),
IF('TL08'!$B$229=K$3,SUMIF('TL08'!$C$238:$C$451,$C260,'TL08'!$J$238:$J$451),0),
IF('TL09'!$B$3=K$3,SUMIF('TL09'!$C$10:$C$224,$C260,'TL09'!$J$10:$J$224),0),
IF('TL09'!$B$229=K$3,SUMIF('TL09'!$C$238:$C$451,$C260,'TL09'!$J$238:$J$451),0),
IF('TL10'!$B$3=K$3,SUMIF('TL10'!$C$10:$C$224,$C260,'TL10'!$J$10:$J$224),0),
IF('TL10'!$B$229=K$3,SUMIF('TL10'!$C$238:$C$451,$C260,'TL10'!$J$238:$J$451),0),
IF('TL11'!$B$3=K$3,SUMIF('TL11'!$C$10:$C$224,$C260,'TL11'!$J$10:$J$224),0),
IF('TL11'!$B$229=K$3,SUMIF('TL11'!$C$238:$C$451,$C260,'TL11'!$J$238:$J$451),0),
IF('TL12'!$B$3=K$3,SUMIF('TL12'!$C$10:$C$224,$C260,'TL12'!$J$10:$J$224),0),
IF('TL12'!$B$229=K$3,SUMIF('TL12'!$C$238:$C$451,$C260,'TL12'!$J$238:$J$451),0),
IF('TL13'!$B$3=K$3,SUMIF('TL13'!$C$10:$C$224,$C260,'TL13'!$J$10:$J$224),0),
IF('TL13'!$B$229=K$3,SUMIF('TL13'!$C$238:$C$451,$C260,'TL13'!$J$238:$J$451),0),
IF('TL14'!$B$3=K$3,SUMIF('TL14'!$C$10:$C$224,$C260,'TL14'!$J$10:$J$224),0),
IF('TL14'!$B$229=K$3,SUMIF('TL14'!$C$238:$C$451,$C260,'TL14'!$J$238:$J$451),0),
IF('TL15'!$B$3=K$3,SUMIF('TL15'!$C$10:$C$224,$C260,'TL15'!$J$10:$J$224),0),
IF('TL15'!$B$229=K$3,SUMIF('TL15'!$C$238:$C$451,$C260,'TL15'!$J$238:$J$451),0),
IF('TL16'!$B$3=K$3,SUMIF('TL16'!$C$10:$C$224,$C260,'TL16'!$J$10:$J$224),0),
IF('TL16'!$B$229=K$3,SUMIF('TL16'!$C$238:$C$451,$C260,'TL16'!$J$238:$J$451),0),
IF('TL17'!$B$3=K$3,SUMIF('TL17'!$C$10:$C$224,$C260,'TL17'!$J$10:$J$224),0),
IF('TL17'!$B$229=K$3,SUMIF('TL17'!$C$238:$C$451,$C260,'TL17'!$J$238:$J$451),0),
IF('TL18'!$B$3=K$3,SUMIF('TL18'!$C$10:$C$224,$C260,'TL18'!$J$10:$J$224),0),
IF('TL18'!$B$229=K$3,SUMIF('TL18'!$C$238:$C$451,$C260,'TL18'!$J$238:$J$451),0),
IF('TL19'!$B$3=K$3,SUMIF('TL19'!$C$10:$C$224,$C260,'TL19'!$J$10:$J$224),0),
IF('TL19'!$B$229=K$3,SUMIF('TL19'!$C$238:$C$451,$C260,'TL19'!$J$238:$J$451),0)
),0)</f>
        <v/>
      </c>
      <c r="L260" s="9">
        <f>IFERROR(SUM(
IF('TL01'!$B$3=L$3,SUMIF('TL01'!$C$10:$C$224,$C260,'TL01'!$J$10:$J$224),0),
IF('TL01'!$B$229=L$3,SUMIF('TL01'!$C$238:$C$451,$C260,'TL01'!$J$238:$J$451),0),
IF('TL02'!$B$3=L$3,SUMIF('TL02'!$C$10:$C$224,$C260,'TL02'!$J$10:$J$224),0),
IF('TL02'!$B$229=L$3,SUMIF('TL02'!$C$238:$C$451,$C260,'TL02'!$J$238:$J$451),0),
IF('TL03'!$B$3=L$3,SUMIF('TL03'!$C$10:$C$224,$C260,'TL03'!$J$10:$J$224),0),
IF('TL03'!$B$229=L$3,SUMIF('TL03'!$C$238:$C$451,$C260,'TL03'!$J$238:$J$451),0),
IF('TL04'!$B$3=L$3,SUMIF('TL04'!$C$10:$C$224,$C260,'TL04'!$J$10:$J$224),0),
IF('TL04'!$B$229=L$3,SUMIF('TL04'!$C$238:$C$451,$C260,'TL04'!$J$238:$J$451),0),
IF('TL05'!$B$3=L$3,SUMIF('TL05'!$C$10:$C$224,$C260,'TL05'!$J$10:$J$224),0),
IF('TL05'!$B$229=L$3,SUMIF('TL05'!$C$238:$C$451,$C260,'TL05'!$J$238:$J$451),0),
IF('TL06'!$B$3=L$3,SUMIF('TL06'!$C$10:$C$224,$C260,'TL06'!$J$10:$J$224),0),
IF('TL06'!$B$229=L$3,SUMIF('TL06'!$C$238:$C$451,$C260,'TL06'!$J$238:$J$451),0),
IF('TL07'!$B$3=L$3,SUMIF('TL07'!$C$10:$C$224,$C260,'TL07'!$J$10:$J$224),0),
IF('TL07'!$B$229=L$3,SUMIF('TL07'!$C$238:$C$451,$C260,'TL07'!$J$238:$J$451),0),
IF('TL08'!$B$3=L$3,SUMIF('TL08'!$C$10:$C$224,$C260,'TL08'!$J$10:$J$224),0),
IF('TL08'!$B$229=L$3,SUMIF('TL08'!$C$238:$C$451,$C260,'TL08'!$J$238:$J$451),0),
IF('TL09'!$B$3=L$3,SUMIF('TL09'!$C$10:$C$224,$C260,'TL09'!$J$10:$J$224),0),
IF('TL09'!$B$229=L$3,SUMIF('TL09'!$C$238:$C$451,$C260,'TL09'!$J$238:$J$451),0),
IF('TL10'!$B$3=L$3,SUMIF('TL10'!$C$10:$C$224,$C260,'TL10'!$J$10:$J$224),0),
IF('TL10'!$B$229=L$3,SUMIF('TL10'!$C$238:$C$451,$C260,'TL10'!$J$238:$J$451),0),
IF('TL11'!$B$3=L$3,SUMIF('TL11'!$C$10:$C$224,$C260,'TL11'!$J$10:$J$224),0),
IF('TL11'!$B$229=L$3,SUMIF('TL11'!$C$238:$C$451,$C260,'TL11'!$J$238:$J$451),0),
IF('TL12'!$B$3=L$3,SUMIF('TL12'!$C$10:$C$224,$C260,'TL12'!$J$10:$J$224),0),
IF('TL12'!$B$229=L$3,SUMIF('TL12'!$C$238:$C$451,$C260,'TL12'!$J$238:$J$451),0),
IF('TL13'!$B$3=L$3,SUMIF('TL13'!$C$10:$C$224,$C260,'TL13'!$J$10:$J$224),0),
IF('TL13'!$B$229=L$3,SUMIF('TL13'!$C$238:$C$451,$C260,'TL13'!$J$238:$J$451),0),
IF('TL14'!$B$3=L$3,SUMIF('TL14'!$C$10:$C$224,$C260,'TL14'!$J$10:$J$224),0),
IF('TL14'!$B$229=L$3,SUMIF('TL14'!$C$238:$C$451,$C260,'TL14'!$J$238:$J$451),0),
IF('TL15'!$B$3=L$3,SUMIF('TL15'!$C$10:$C$224,$C260,'TL15'!$J$10:$J$224),0),
IF('TL15'!$B$229=L$3,SUMIF('TL15'!$C$238:$C$451,$C260,'TL15'!$J$238:$J$451),0),
IF('TL16'!$B$3=L$3,SUMIF('TL16'!$C$10:$C$224,$C260,'TL16'!$J$10:$J$224),0),
IF('TL16'!$B$229=L$3,SUMIF('TL16'!$C$238:$C$451,$C260,'TL16'!$J$238:$J$451),0),
IF('TL17'!$B$3=L$3,SUMIF('TL17'!$C$10:$C$224,$C260,'TL17'!$J$10:$J$224),0),
IF('TL17'!$B$229=L$3,SUMIF('TL17'!$C$238:$C$451,$C260,'TL17'!$J$238:$J$451),0),
IF('TL18'!$B$3=L$3,SUMIF('TL18'!$C$10:$C$224,$C260,'TL18'!$J$10:$J$224),0),
IF('TL18'!$B$229=L$3,SUMIF('TL18'!$C$238:$C$451,$C260,'TL18'!$J$238:$J$451),0),
IF('TL19'!$B$3=L$3,SUMIF('TL19'!$C$10:$C$224,$C260,'TL19'!$J$10:$J$224),0),
IF('TL19'!$B$229=L$3,SUMIF('TL19'!$C$238:$C$451,$C260,'TL19'!$J$238:$J$451),0)
),0)</f>
        <v/>
      </c>
      <c r="M260" s="9">
        <f>IFERROR(SUM(
IF('TL01'!$B$3=M$3,SUMIF('TL01'!$C$10:$C$224,$C260,'TL01'!$J$10:$J$224),0),
IF('TL01'!$B$229=M$3,SUMIF('TL01'!$C$238:$C$451,$C260,'TL01'!$J$238:$J$451),0),
IF('TL02'!$B$3=M$3,SUMIF('TL02'!$C$10:$C$224,$C260,'TL02'!$J$10:$J$224),0),
IF('TL02'!$B$229=M$3,SUMIF('TL02'!$C$238:$C$451,$C260,'TL02'!$J$238:$J$451),0),
IF('TL03'!$B$3=M$3,SUMIF('TL03'!$C$10:$C$224,$C260,'TL03'!$J$10:$J$224),0),
IF('TL03'!$B$229=M$3,SUMIF('TL03'!$C$238:$C$451,$C260,'TL03'!$J$238:$J$451),0),
IF('TL04'!$B$3=M$3,SUMIF('TL04'!$C$10:$C$224,$C260,'TL04'!$J$10:$J$224),0),
IF('TL04'!$B$229=M$3,SUMIF('TL04'!$C$238:$C$451,$C260,'TL04'!$J$238:$J$451),0),
IF('TL05'!$B$3=M$3,SUMIF('TL05'!$C$10:$C$224,$C260,'TL05'!$J$10:$J$224),0),
IF('TL05'!$B$229=M$3,SUMIF('TL05'!$C$238:$C$451,$C260,'TL05'!$J$238:$J$451),0),
IF('TL06'!$B$3=M$3,SUMIF('TL06'!$C$10:$C$224,$C260,'TL06'!$J$10:$J$224),0),
IF('TL06'!$B$229=M$3,SUMIF('TL06'!$C$238:$C$451,$C260,'TL06'!$J$238:$J$451),0),
IF('TL07'!$B$3=M$3,SUMIF('TL07'!$C$10:$C$224,$C260,'TL07'!$J$10:$J$224),0),
IF('TL07'!$B$229=M$3,SUMIF('TL07'!$C$238:$C$451,$C260,'TL07'!$J$238:$J$451),0),
IF('TL08'!$B$3=M$3,SUMIF('TL08'!$C$10:$C$224,$C260,'TL08'!$J$10:$J$224),0),
IF('TL08'!$B$229=M$3,SUMIF('TL08'!$C$238:$C$451,$C260,'TL08'!$J$238:$J$451),0),
IF('TL09'!$B$3=M$3,SUMIF('TL09'!$C$10:$C$224,$C260,'TL09'!$J$10:$J$224),0),
IF('TL09'!$B$229=M$3,SUMIF('TL09'!$C$238:$C$451,$C260,'TL09'!$J$238:$J$451),0),
IF('TL10'!$B$3=M$3,SUMIF('TL10'!$C$10:$C$224,$C260,'TL10'!$J$10:$J$224),0),
IF('TL10'!$B$229=M$3,SUMIF('TL10'!$C$238:$C$451,$C260,'TL10'!$J$238:$J$451),0),
IF('TL11'!$B$3=M$3,SUMIF('TL11'!$C$10:$C$224,$C260,'TL11'!$J$10:$J$224),0),
IF('TL11'!$B$229=M$3,SUMIF('TL11'!$C$238:$C$451,$C260,'TL11'!$J$238:$J$451),0),
IF('TL12'!$B$3=M$3,SUMIF('TL12'!$C$10:$C$224,$C260,'TL12'!$J$10:$J$224),0),
IF('TL12'!$B$229=M$3,SUMIF('TL12'!$C$238:$C$451,$C260,'TL12'!$J$238:$J$451),0),
IF('TL13'!$B$3=M$3,SUMIF('TL13'!$C$10:$C$224,$C260,'TL13'!$J$10:$J$224),0),
IF('TL13'!$B$229=M$3,SUMIF('TL13'!$C$238:$C$451,$C260,'TL13'!$J$238:$J$451),0),
IF('TL14'!$B$3=M$3,SUMIF('TL14'!$C$10:$C$224,$C260,'TL14'!$J$10:$J$224),0),
IF('TL14'!$B$229=M$3,SUMIF('TL14'!$C$238:$C$451,$C260,'TL14'!$J$238:$J$451),0),
IF('TL15'!$B$3=M$3,SUMIF('TL15'!$C$10:$C$224,$C260,'TL15'!$J$10:$J$224),0),
IF('TL15'!$B$229=M$3,SUMIF('TL15'!$C$238:$C$451,$C260,'TL15'!$J$238:$J$451),0),
IF('TL16'!$B$3=M$3,SUMIF('TL16'!$C$10:$C$224,$C260,'TL16'!$J$10:$J$224),0),
IF('TL16'!$B$229=M$3,SUMIF('TL16'!$C$238:$C$451,$C260,'TL16'!$J$238:$J$451),0),
IF('TL17'!$B$3=M$3,SUMIF('TL17'!$C$10:$C$224,$C260,'TL17'!$J$10:$J$224),0),
IF('TL17'!$B$229=M$3,SUMIF('TL17'!$C$238:$C$451,$C260,'TL17'!$J$238:$J$451),0),
IF('TL18'!$B$3=M$3,SUMIF('TL18'!$C$10:$C$224,$C260,'TL18'!$J$10:$J$224),0),
IF('TL18'!$B$229=M$3,SUMIF('TL18'!$C$238:$C$451,$C260,'TL18'!$J$238:$J$451),0),
IF('TL19'!$B$3=M$3,SUMIF('TL19'!$C$10:$C$224,$C260,'TL19'!$J$10:$J$224),0),
IF('TL19'!$B$229=M$3,SUMIF('TL19'!$C$238:$C$451,$C260,'TL19'!$J$238:$J$451),0)
),0)</f>
        <v/>
      </c>
      <c r="N260" s="9">
        <f>IFERROR(SUM(
IF('TL01'!$B$3=N$3,SUMIF('TL01'!$C$10:$C$224,$C260,'TL01'!$J$10:$J$224),0),
IF('TL01'!$B$229=N$3,SUMIF('TL01'!$C$238:$C$451,$C260,'TL01'!$J$238:$J$451),0),
IF('TL02'!$B$3=N$3,SUMIF('TL02'!$C$10:$C$224,$C260,'TL02'!$J$10:$J$224),0),
IF('TL02'!$B$229=N$3,SUMIF('TL02'!$C$238:$C$451,$C260,'TL02'!$J$238:$J$451),0),
IF('TL03'!$B$3=N$3,SUMIF('TL03'!$C$10:$C$224,$C260,'TL03'!$J$10:$J$224),0),
IF('TL03'!$B$229=N$3,SUMIF('TL03'!$C$238:$C$451,$C260,'TL03'!$J$238:$J$451),0),
IF('TL04'!$B$3=N$3,SUMIF('TL04'!$C$10:$C$224,$C260,'TL04'!$J$10:$J$224),0),
IF('TL04'!$B$229=N$3,SUMIF('TL04'!$C$238:$C$451,$C260,'TL04'!$J$238:$J$451),0),
IF('TL05'!$B$3=N$3,SUMIF('TL05'!$C$10:$C$224,$C260,'TL05'!$J$10:$J$224),0),
IF('TL05'!$B$229=N$3,SUMIF('TL05'!$C$238:$C$451,$C260,'TL05'!$J$238:$J$451),0),
IF('TL06'!$B$3=N$3,SUMIF('TL06'!$C$10:$C$224,$C260,'TL06'!$J$10:$J$224),0),
IF('TL06'!$B$229=N$3,SUMIF('TL06'!$C$238:$C$451,$C260,'TL06'!$J$238:$J$451),0),
IF('TL07'!$B$3=N$3,SUMIF('TL07'!$C$10:$C$224,$C260,'TL07'!$J$10:$J$224),0),
IF('TL07'!$B$229=N$3,SUMIF('TL07'!$C$238:$C$451,$C260,'TL07'!$J$238:$J$451),0),
IF('TL08'!$B$3=N$3,SUMIF('TL08'!$C$10:$C$224,$C260,'TL08'!$J$10:$J$224),0),
IF('TL08'!$B$229=N$3,SUMIF('TL08'!$C$238:$C$451,$C260,'TL08'!$J$238:$J$451),0),
IF('TL09'!$B$3=N$3,SUMIF('TL09'!$C$10:$C$224,$C260,'TL09'!$J$10:$J$224),0),
IF('TL09'!$B$229=N$3,SUMIF('TL09'!$C$238:$C$451,$C260,'TL09'!$J$238:$J$451),0),
IF('TL10'!$B$3=N$3,SUMIF('TL10'!$C$10:$C$224,$C260,'TL10'!$J$10:$J$224),0),
IF('TL10'!$B$229=N$3,SUMIF('TL10'!$C$238:$C$451,$C260,'TL10'!$J$238:$J$451),0),
IF('TL11'!$B$3=N$3,SUMIF('TL11'!$C$10:$C$224,$C260,'TL11'!$J$10:$J$224),0),
IF('TL11'!$B$229=N$3,SUMIF('TL11'!$C$238:$C$451,$C260,'TL11'!$J$238:$J$451),0),
IF('TL12'!$B$3=N$3,SUMIF('TL12'!$C$10:$C$224,$C260,'TL12'!$J$10:$J$224),0),
IF('TL12'!$B$229=N$3,SUMIF('TL12'!$C$238:$C$451,$C260,'TL12'!$J$238:$J$451),0),
IF('TL13'!$B$3=N$3,SUMIF('TL13'!$C$10:$C$224,$C260,'TL13'!$J$10:$J$224),0),
IF('TL13'!$B$229=N$3,SUMIF('TL13'!$C$238:$C$451,$C260,'TL13'!$J$238:$J$451),0),
IF('TL14'!$B$3=N$3,SUMIF('TL14'!$C$10:$C$224,$C260,'TL14'!$J$10:$J$224),0),
IF('TL14'!$B$229=N$3,SUMIF('TL14'!$C$238:$C$451,$C260,'TL14'!$J$238:$J$451),0),
IF('TL15'!$B$3=N$3,SUMIF('TL15'!$C$10:$C$224,$C260,'TL15'!$J$10:$J$224),0),
IF('TL15'!$B$229=N$3,SUMIF('TL15'!$C$238:$C$451,$C260,'TL15'!$J$238:$J$451),0),
IF('TL16'!$B$3=N$3,SUMIF('TL16'!$C$10:$C$224,$C260,'TL16'!$J$10:$J$224),0),
IF('TL16'!$B$229=N$3,SUMIF('TL16'!$C$238:$C$451,$C260,'TL16'!$J$238:$J$451),0),
IF('TL17'!$B$3=N$3,SUMIF('TL17'!$C$10:$C$224,$C260,'TL17'!$J$10:$J$224),0),
IF('TL17'!$B$229=N$3,SUMIF('TL17'!$C$238:$C$451,$C260,'TL17'!$J$238:$J$451),0),
IF('TL18'!$B$3=N$3,SUMIF('TL18'!$C$10:$C$224,$C260,'TL18'!$J$10:$J$224),0),
IF('TL18'!$B$229=N$3,SUMIF('TL18'!$C$238:$C$451,$C260,'TL18'!$J$238:$J$451),0),
IF('TL19'!$B$3=N$3,SUMIF('TL19'!$C$10:$C$224,$C260,'TL19'!$J$10:$J$224),0),
IF('TL19'!$B$229=N$3,SUMIF('TL19'!$C$238:$C$451,$C260,'TL19'!$J$238:$J$451),0)
),0)</f>
        <v/>
      </c>
      <c r="O260" s="9">
        <f>IFERROR(SUM(
IF('TL01'!$B$3=O$3,SUMIF('TL01'!$C$10:$C$224,$C260,'TL01'!$J$10:$J$224),0),
IF('TL01'!$B$229=O$3,SUMIF('TL01'!$C$238:$C$451,$C260,'TL01'!$J$238:$J$451),0),
IF('TL02'!$B$3=O$3,SUMIF('TL02'!$C$10:$C$224,$C260,'TL02'!$J$10:$J$224),0),
IF('TL02'!$B$229=O$3,SUMIF('TL02'!$C$238:$C$451,$C260,'TL02'!$J$238:$J$451),0),
IF('TL03'!$B$3=O$3,SUMIF('TL03'!$C$10:$C$224,$C260,'TL03'!$J$10:$J$224),0),
IF('TL03'!$B$229=O$3,SUMIF('TL03'!$C$238:$C$451,$C260,'TL03'!$J$238:$J$451),0),
IF('TL04'!$B$3=O$3,SUMIF('TL04'!$C$10:$C$224,$C260,'TL04'!$J$10:$J$224),0),
IF('TL04'!$B$229=O$3,SUMIF('TL04'!$C$238:$C$451,$C260,'TL04'!$J$238:$J$451),0),
IF('TL05'!$B$3=O$3,SUMIF('TL05'!$C$10:$C$224,$C260,'TL05'!$J$10:$J$224),0),
IF('TL05'!$B$229=O$3,SUMIF('TL05'!$C$238:$C$451,$C260,'TL05'!$J$238:$J$451),0),
IF('TL06'!$B$3=O$3,SUMIF('TL06'!$C$10:$C$224,$C260,'TL06'!$J$10:$J$224),0),
IF('TL06'!$B$229=O$3,SUMIF('TL06'!$C$238:$C$451,$C260,'TL06'!$J$238:$J$451),0),
IF('TL07'!$B$3=O$3,SUMIF('TL07'!$C$10:$C$224,$C260,'TL07'!$J$10:$J$224),0),
IF('TL07'!$B$229=O$3,SUMIF('TL07'!$C$238:$C$451,$C260,'TL07'!$J$238:$J$451),0),
IF('TL08'!$B$3=O$3,SUMIF('TL08'!$C$10:$C$224,$C260,'TL08'!$J$10:$J$224),0),
IF('TL08'!$B$229=O$3,SUMIF('TL08'!$C$238:$C$451,$C260,'TL08'!$J$238:$J$451),0),
IF('TL09'!$B$3=O$3,SUMIF('TL09'!$C$10:$C$224,$C260,'TL09'!$J$10:$J$224),0),
IF('TL09'!$B$229=O$3,SUMIF('TL09'!$C$238:$C$451,$C260,'TL09'!$J$238:$J$451),0),
IF('TL10'!$B$3=O$3,SUMIF('TL10'!$C$10:$C$224,$C260,'TL10'!$J$10:$J$224),0),
IF('TL10'!$B$229=O$3,SUMIF('TL10'!$C$238:$C$451,$C260,'TL10'!$J$238:$J$451),0),
IF('TL11'!$B$3=O$3,SUMIF('TL11'!$C$10:$C$224,$C260,'TL11'!$J$10:$J$224),0),
IF('TL11'!$B$229=O$3,SUMIF('TL11'!$C$238:$C$451,$C260,'TL11'!$J$238:$J$451),0),
IF('TL12'!$B$3=O$3,SUMIF('TL12'!$C$10:$C$224,$C260,'TL12'!$J$10:$J$224),0),
IF('TL12'!$B$229=O$3,SUMIF('TL12'!$C$238:$C$451,$C260,'TL12'!$J$238:$J$451),0),
IF('TL13'!$B$3=O$3,SUMIF('TL13'!$C$10:$C$224,$C260,'TL13'!$J$10:$J$224),0),
IF('TL13'!$B$229=O$3,SUMIF('TL13'!$C$238:$C$451,$C260,'TL13'!$J$238:$J$451),0),
IF('TL14'!$B$3=O$3,SUMIF('TL14'!$C$10:$C$224,$C260,'TL14'!$J$10:$J$224),0),
IF('TL14'!$B$229=O$3,SUMIF('TL14'!$C$238:$C$451,$C260,'TL14'!$J$238:$J$451),0),
IF('TL15'!$B$3=O$3,SUMIF('TL15'!$C$10:$C$224,$C260,'TL15'!$J$10:$J$224),0),
IF('TL15'!$B$229=O$3,SUMIF('TL15'!$C$238:$C$451,$C260,'TL15'!$J$238:$J$451),0),
IF('TL16'!$B$3=O$3,SUMIF('TL16'!$C$10:$C$224,$C260,'TL16'!$J$10:$J$224),0),
IF('TL16'!$B$229=O$3,SUMIF('TL16'!$C$238:$C$451,$C260,'TL16'!$J$238:$J$451),0),
IF('TL17'!$B$3=O$3,SUMIF('TL17'!$C$10:$C$224,$C260,'TL17'!$J$10:$J$224),0),
IF('TL17'!$B$229=O$3,SUMIF('TL17'!$C$238:$C$451,$C260,'TL17'!$J$238:$J$451),0),
IF('TL18'!$B$3=O$3,SUMIF('TL18'!$C$10:$C$224,$C260,'TL18'!$J$10:$J$224),0),
IF('TL18'!$B$229=O$3,SUMIF('TL18'!$C$238:$C$451,$C260,'TL18'!$J$238:$J$451),0),
IF('TL19'!$B$3=O$3,SUMIF('TL19'!$C$10:$C$224,$C260,'TL19'!$J$10:$J$224),0),
IF('TL19'!$B$229=O$3,SUMIF('TL19'!$C$238:$C$451,$C260,'TL19'!$J$238:$J$451),0)
),0)</f>
        <v/>
      </c>
      <c r="P260" s="9">
        <f>IFERROR(SUM(
IF('TL01'!$B$3=P$3,SUMIF('TL01'!$C$10:$C$224,$C260,'TL01'!$J$10:$J$224),0),
IF('TL01'!$B$229=P$3,SUMIF('TL01'!$C$238:$C$451,$C260,'TL01'!$J$238:$J$451),0),
IF('TL02'!$B$3=P$3,SUMIF('TL02'!$C$10:$C$224,$C260,'TL02'!$J$10:$J$224),0),
IF('TL02'!$B$229=P$3,SUMIF('TL02'!$C$238:$C$451,$C260,'TL02'!$J$238:$J$451),0),
IF('TL03'!$B$3=P$3,SUMIF('TL03'!$C$10:$C$224,$C260,'TL03'!$J$10:$J$224),0),
IF('TL03'!$B$229=P$3,SUMIF('TL03'!$C$238:$C$451,$C260,'TL03'!$J$238:$J$451),0),
IF('TL04'!$B$3=P$3,SUMIF('TL04'!$C$10:$C$224,$C260,'TL04'!$J$10:$J$224),0),
IF('TL04'!$B$229=P$3,SUMIF('TL04'!$C$238:$C$451,$C260,'TL04'!$J$238:$J$451),0),
IF('TL05'!$B$3=P$3,SUMIF('TL05'!$C$10:$C$224,$C260,'TL05'!$J$10:$J$224),0),
IF('TL05'!$B$229=P$3,SUMIF('TL05'!$C$238:$C$451,$C260,'TL05'!$J$238:$J$451),0),
IF('TL06'!$B$3=P$3,SUMIF('TL06'!$C$10:$C$224,$C260,'TL06'!$J$10:$J$224),0),
IF('TL06'!$B$229=P$3,SUMIF('TL06'!$C$238:$C$451,$C260,'TL06'!$J$238:$J$451),0),
IF('TL07'!$B$3=P$3,SUMIF('TL07'!$C$10:$C$224,$C260,'TL07'!$J$10:$J$224),0),
IF('TL07'!$B$229=P$3,SUMIF('TL07'!$C$238:$C$451,$C260,'TL07'!$J$238:$J$451),0),
IF('TL08'!$B$3=P$3,SUMIF('TL08'!$C$10:$C$224,$C260,'TL08'!$J$10:$J$224),0),
IF('TL08'!$B$229=P$3,SUMIF('TL08'!$C$238:$C$451,$C260,'TL08'!$J$238:$J$451),0),
IF('TL09'!$B$3=P$3,SUMIF('TL09'!$C$10:$C$224,$C260,'TL09'!$J$10:$J$224),0),
IF('TL09'!$B$229=P$3,SUMIF('TL09'!$C$238:$C$451,$C260,'TL09'!$J$238:$J$451),0),
IF('TL10'!$B$3=P$3,SUMIF('TL10'!$C$10:$C$224,$C260,'TL10'!$J$10:$J$224),0),
IF('TL10'!$B$229=P$3,SUMIF('TL10'!$C$238:$C$451,$C260,'TL10'!$J$238:$J$451),0),
IF('TL11'!$B$3=P$3,SUMIF('TL11'!$C$10:$C$224,$C260,'TL11'!$J$10:$J$224),0),
IF('TL11'!$B$229=P$3,SUMIF('TL11'!$C$238:$C$451,$C260,'TL11'!$J$238:$J$451),0),
IF('TL12'!$B$3=P$3,SUMIF('TL12'!$C$10:$C$224,$C260,'TL12'!$J$10:$J$224),0),
IF('TL12'!$B$229=P$3,SUMIF('TL12'!$C$238:$C$451,$C260,'TL12'!$J$238:$J$451),0),
IF('TL13'!$B$3=P$3,SUMIF('TL13'!$C$10:$C$224,$C260,'TL13'!$J$10:$J$224),0),
IF('TL13'!$B$229=P$3,SUMIF('TL13'!$C$238:$C$451,$C260,'TL13'!$J$238:$J$451),0),
IF('TL14'!$B$3=P$3,SUMIF('TL14'!$C$10:$C$224,$C260,'TL14'!$J$10:$J$224),0),
IF('TL14'!$B$229=P$3,SUMIF('TL14'!$C$238:$C$451,$C260,'TL14'!$J$238:$J$451),0),
IF('TL15'!$B$3=P$3,SUMIF('TL15'!$C$10:$C$224,$C260,'TL15'!$J$10:$J$224),0),
IF('TL15'!$B$229=P$3,SUMIF('TL15'!$C$238:$C$451,$C260,'TL15'!$J$238:$J$451),0),
IF('TL16'!$B$3=P$3,SUMIF('TL16'!$C$10:$C$224,$C260,'TL16'!$J$10:$J$224),0),
IF('TL16'!$B$229=P$3,SUMIF('TL16'!$C$238:$C$451,$C260,'TL16'!$J$238:$J$451),0),
IF('TL17'!$B$3=P$3,SUMIF('TL17'!$C$10:$C$224,$C260,'TL17'!$J$10:$J$224),0),
IF('TL17'!$B$229=P$3,SUMIF('TL17'!$C$238:$C$451,$C260,'TL17'!$J$238:$J$451),0),
IF('TL18'!$B$3=P$3,SUMIF('TL18'!$C$10:$C$224,$C260,'TL18'!$J$10:$J$224),0),
IF('TL18'!$B$229=P$3,SUMIF('TL18'!$C$238:$C$451,$C260,'TL18'!$J$238:$J$451),0),
IF('TL19'!$B$3=P$3,SUMIF('TL19'!$C$10:$C$224,$C260,'TL19'!$J$10:$J$224),0),
IF('TL19'!$B$229=P$3,SUMIF('TL19'!$C$238:$C$451,$C260,'TL19'!$J$238:$J$451),0)
),0)</f>
        <v/>
      </c>
      <c r="Q260" s="9">
        <f>IFERROR(SUM(
IF('TL01'!$B$3=Q$3,SUMIF('TL01'!$C$10:$C$224,$C260,'TL01'!$J$10:$J$224),0),
IF('TL01'!$B$229=Q$3,SUMIF('TL01'!$C$238:$C$451,$C260,'TL01'!$J$238:$J$451),0),
IF('TL02'!$B$3=Q$3,SUMIF('TL02'!$C$10:$C$224,$C260,'TL02'!$J$10:$J$224),0),
IF('TL02'!$B$229=Q$3,SUMIF('TL02'!$C$238:$C$451,$C260,'TL02'!$J$238:$J$451),0),
IF('TL03'!$B$3=Q$3,SUMIF('TL03'!$C$10:$C$224,$C260,'TL03'!$J$10:$J$224),0),
IF('TL03'!$B$229=Q$3,SUMIF('TL03'!$C$238:$C$451,$C260,'TL03'!$J$238:$J$451),0),
IF('TL04'!$B$3=Q$3,SUMIF('TL04'!$C$10:$C$224,$C260,'TL04'!$J$10:$J$224),0),
IF('TL04'!$B$229=Q$3,SUMIF('TL04'!$C$238:$C$451,$C260,'TL04'!$J$238:$J$451),0),
IF('TL05'!$B$3=Q$3,SUMIF('TL05'!$C$10:$C$224,$C260,'TL05'!$J$10:$J$224),0),
IF('TL05'!$B$229=Q$3,SUMIF('TL05'!$C$238:$C$451,$C260,'TL05'!$J$238:$J$451),0),
IF('TL06'!$B$3=Q$3,SUMIF('TL06'!$C$10:$C$224,$C260,'TL06'!$J$10:$J$224),0),
IF('TL06'!$B$229=Q$3,SUMIF('TL06'!$C$238:$C$451,$C260,'TL06'!$J$238:$J$451),0),
IF('TL07'!$B$3=Q$3,SUMIF('TL07'!$C$10:$C$224,$C260,'TL07'!$J$10:$J$224),0),
IF('TL07'!$B$229=Q$3,SUMIF('TL07'!$C$238:$C$451,$C260,'TL07'!$J$238:$J$451),0),
IF('TL08'!$B$3=Q$3,SUMIF('TL08'!$C$10:$C$224,$C260,'TL08'!$J$10:$J$224),0),
IF('TL08'!$B$229=Q$3,SUMIF('TL08'!$C$238:$C$451,$C260,'TL08'!$J$238:$J$451),0),
IF('TL09'!$B$3=Q$3,SUMIF('TL09'!$C$10:$C$224,$C260,'TL09'!$J$10:$J$224),0),
IF('TL09'!$B$229=Q$3,SUMIF('TL09'!$C$238:$C$451,$C260,'TL09'!$J$238:$J$451),0),
IF('TL10'!$B$3=Q$3,SUMIF('TL10'!$C$10:$C$224,$C260,'TL10'!$J$10:$J$224),0),
IF('TL10'!$B$229=Q$3,SUMIF('TL10'!$C$238:$C$451,$C260,'TL10'!$J$238:$J$451),0),
IF('TL11'!$B$3=Q$3,SUMIF('TL11'!$C$10:$C$224,$C260,'TL11'!$J$10:$J$224),0),
IF('TL11'!$B$229=Q$3,SUMIF('TL11'!$C$238:$C$451,$C260,'TL11'!$J$238:$J$451),0),
IF('TL12'!$B$3=Q$3,SUMIF('TL12'!$C$10:$C$224,$C260,'TL12'!$J$10:$J$224),0),
IF('TL12'!$B$229=Q$3,SUMIF('TL12'!$C$238:$C$451,$C260,'TL12'!$J$238:$J$451),0),
IF('TL13'!$B$3=Q$3,SUMIF('TL13'!$C$10:$C$224,$C260,'TL13'!$J$10:$J$224),0),
IF('TL13'!$B$229=Q$3,SUMIF('TL13'!$C$238:$C$451,$C260,'TL13'!$J$238:$J$451),0),
IF('TL14'!$B$3=Q$3,SUMIF('TL14'!$C$10:$C$224,$C260,'TL14'!$J$10:$J$224),0),
IF('TL14'!$B$229=Q$3,SUMIF('TL14'!$C$238:$C$451,$C260,'TL14'!$J$238:$J$451),0),
IF('TL15'!$B$3=Q$3,SUMIF('TL15'!$C$10:$C$224,$C260,'TL15'!$J$10:$J$224),0),
IF('TL15'!$B$229=Q$3,SUMIF('TL15'!$C$238:$C$451,$C260,'TL15'!$J$238:$J$451),0),
IF('TL16'!$B$3=Q$3,SUMIF('TL16'!$C$10:$C$224,$C260,'TL16'!$J$10:$J$224),0),
IF('TL16'!$B$229=Q$3,SUMIF('TL16'!$C$238:$C$451,$C260,'TL16'!$J$238:$J$451),0),
IF('TL17'!$B$3=Q$3,SUMIF('TL17'!$C$10:$C$224,$C260,'TL17'!$J$10:$J$224),0),
IF('TL17'!$B$229=Q$3,SUMIF('TL17'!$C$238:$C$451,$C260,'TL17'!$J$238:$J$451),0),
IF('TL18'!$B$3=Q$3,SUMIF('TL18'!$C$10:$C$224,$C260,'TL18'!$J$10:$J$224),0),
IF('TL18'!$B$229=Q$3,SUMIF('TL18'!$C$238:$C$451,$C260,'TL18'!$J$238:$J$451),0),
IF('TL19'!$B$3=Q$3,SUMIF('TL19'!$C$10:$C$224,$C260,'TL19'!$J$10:$J$224),0),
IF('TL19'!$B$229=Q$3,SUMIF('TL19'!$C$238:$C$451,$C260,'TL19'!$J$238:$J$451),0)
),0)</f>
        <v/>
      </c>
      <c r="R260" s="9">
        <f>IFERROR(
SUM(
SUMIF('TL01'!C:C,C260,'TL01'!J:J),
SUMIF('TL02'!C:C,C260,'TL02'!J:J),
SUMIF('TL03'!C:C,C260,'TL03'!J:J),
SUMIF('TL04'!C:C,C260,'TL04'!J:J),
SUMIF('TL05'!C:C,C260,'TL05'!J:J),
SUMIF('TL06'!C:C,C260,'TL06'!J:J),
SUMIF('TL07'!C:C,C260,'TL07'!J:J),
SUMIF('TL08'!C:C,C260,'TL08'!J:J),
SUMIF('TL09'!C:C,C260,'TL09'!J:J),
SUMIF('TL10'!C:C,C260,'TL10'!J:J),
SUMIF('TL11'!C:C,C260,'TL11'!J:J),
SUMIF('TL12'!C:C,C260,'TL12'!J:J),
SUMIF('TL13'!C:C,C260,'TL13'!J:J),
SUMIF('TL14'!C:C,C260,'TL14'!J:J),
SUMIF('TL15'!C:C,C260,'TL15'!J:J),
SUMIF('TL16'!C:C,C260,'TL16'!J:J),
SUMIF('TL17'!C:C,C260,'TL17'!J:J),
SUMIF('TL18'!C:C,C260,'TL18'!J:J),SUMIF('TL19'!C:C,C260,'TL19'!J:J))
,0)</f>
        <v/>
      </c>
      <c r="S260" s="17">
        <f>IFERROR(__xludf.DUMMYFUNCTION("IFERROR(VLOOKUP(C260,
IMPORTRANGE(""1wULbzX32WdYsx-lj2U3uUNBBe2INVIRDtcK0d-Dvl90"",
""26-27!C:G""),
5,
FALSE),
"""")"),46.61)</f>
        <v/>
      </c>
      <c r="T260" s="9" t="n"/>
      <c r="U260" s="92">
        <f>MAX(0,R260-T260)</f>
        <v/>
      </c>
      <c r="V260" s="93">
        <f>U260*S260</f>
        <v/>
      </c>
    </row>
    <row r="261" hidden="1" ht="15.75" customHeight="1" s="297">
      <c r="A261" s="4" t="inlineStr">
        <is>
          <t>AGROPLACE</t>
        </is>
      </c>
      <c r="B261" s="125" t="inlineStr">
        <is>
          <t>NUTRIÇÃO</t>
        </is>
      </c>
      <c r="C261" s="4" t="inlineStr">
        <is>
          <t>AMINOS Mn</t>
        </is>
      </c>
      <c r="D261" s="4" t="inlineStr">
        <is>
          <t>N4%; P2O5 4%; S3,6%; Mn6%; Ni0,2%; Zn0,4%</t>
        </is>
      </c>
      <c r="E261" s="9" t="inlineStr">
        <is>
          <t>54,8g/l + 54,8g/l + 49,32g/l + 82,2g/l + 2,7g/l + 5,4g/l</t>
        </is>
      </c>
      <c r="F261" s="4" t="inlineStr">
        <is>
          <t>L</t>
        </is>
      </c>
      <c r="G261" s="9" t="n"/>
      <c r="H261" s="9" t="n">
        <v>0.5</v>
      </c>
      <c r="I261" s="1" t="n"/>
      <c r="J261" s="9">
        <f>IFERROR(SUM(
IF('TL01'!$B$3=J$3,SUMIF('TL01'!$C$10:$C$224,$C261,'TL01'!$J$10:$J$224),0),
IF('TL01'!$B$229=J$3,SUMIF('TL01'!$C$238:$C$451,$C261,'TL01'!$J$238:$J$451),0),
IF('TL02'!$B$3=J$3,SUMIF('TL02'!$C$10:$C$224,$C261,'TL02'!$J$10:$J$224),0),
IF('TL02'!$B$229=J$3,SUMIF('TL02'!$C$238:$C$451,$C261,'TL02'!$J$238:$J$451),0),
IF('TL03'!$B$3=J$3,SUMIF('TL03'!$C$10:$C$224,$C261,'TL03'!$J$10:$J$224),0),
IF('TL03'!$B$229=J$3,SUMIF('TL03'!$C$238:$C$451,$C261,'TL03'!$J$238:$J$451),0),
IF('TL04'!$B$3=J$3,SUMIF('TL04'!$C$10:$C$224,$C261,'TL04'!$J$10:$J$224),0),
IF('TL04'!$B$229=J$3,SUMIF('TL04'!$C$238:$C$451,$C261,'TL04'!$J$238:$J$451),0),
IF('TL05'!$B$3=J$3,SUMIF('TL05'!$C$10:$C$224,$C261,'TL05'!$J$10:$J$224),0),
IF('TL05'!$B$229=J$3,SUMIF('TL05'!$C$238:$C$451,$C261,'TL05'!$J$238:$J$451),0),
IF('TL06'!$B$3=J$3,SUMIF('TL06'!$C$10:$C$224,$C261,'TL06'!$J$10:$J$224),0),
IF('TL06'!$B$229=J$3,SUMIF('TL06'!$C$238:$C$451,$C261,'TL06'!$J$238:$J$451),0),
IF('TL07'!$B$3=J$3,SUMIF('TL07'!$C$10:$C$224,$C261,'TL07'!$J$10:$J$224),0),
IF('TL07'!$B$229=J$3,SUMIF('TL07'!$C$238:$C$451,$C261,'TL07'!$J$238:$J$451),0),
IF('TL08'!$B$3=J$3,SUMIF('TL08'!$C$10:$C$224,$C261,'TL08'!$J$10:$J$224),0),
IF('TL08'!$B$229=J$3,SUMIF('TL08'!$C$238:$C$451,$C261,'TL08'!$J$238:$J$451),0),
IF('TL09'!$B$3=J$3,SUMIF('TL09'!$C$10:$C$224,$C261,'TL09'!$J$10:$J$224),0),
IF('TL09'!$B$229=J$3,SUMIF('TL09'!$C$238:$C$451,$C261,'TL09'!$J$238:$J$451),0),
IF('TL10'!$B$3=J$3,SUMIF('TL10'!$C$10:$C$224,$C261,'TL10'!$J$10:$J$224),0),
IF('TL10'!$B$229=J$3,SUMIF('TL10'!$C$238:$C$451,$C261,'TL10'!$J$238:$J$451),0),
IF('TL11'!$B$3=J$3,SUMIF('TL11'!$C$10:$C$224,$C261,'TL11'!$J$10:$J$224),0),
IF('TL11'!$B$229=J$3,SUMIF('TL11'!$C$238:$C$451,$C261,'TL11'!$J$238:$J$451),0),
IF('TL12'!$B$3=J$3,SUMIF('TL12'!$C$10:$C$224,$C261,'TL12'!$J$10:$J$224),0),
IF('TL12'!$B$229=J$3,SUMIF('TL12'!$C$238:$C$451,$C261,'TL12'!$J$238:$J$451),0),
IF('TL13'!$B$3=J$3,SUMIF('TL13'!$C$10:$C$224,$C261,'TL13'!$J$10:$J$224),0),
IF('TL13'!$B$229=J$3,SUMIF('TL13'!$C$238:$C$451,$C261,'TL13'!$J$238:$J$451),0),
IF('TL14'!$B$3=J$3,SUMIF('TL14'!$C$10:$C$224,$C261,'TL14'!$J$10:$J$224),0),
IF('TL14'!$B$229=J$3,SUMIF('TL14'!$C$238:$C$451,$C261,'TL14'!$J$238:$J$451),0),
IF('TL15'!$B$3=J$3,SUMIF('TL15'!$C$10:$C$224,$C261,'TL15'!$J$10:$J$224),0),
IF('TL15'!$B$229=J$3,SUMIF('TL15'!$C$238:$C$451,$C261,'TL15'!$J$238:$J$451),0),
IF('TL16'!$B$3=J$3,SUMIF('TL16'!$C$10:$C$224,$C261,'TL16'!$J$10:$J$224),0),
IF('TL16'!$B$229=J$3,SUMIF('TL16'!$C$238:$C$451,$C261,'TL16'!$J$238:$J$451),0),
IF('TL17'!$B$3=J$3,SUMIF('TL17'!$C$10:$C$224,$C261,'TL17'!$J$10:$J$224),0),
IF('TL17'!$B$229=J$3,SUMIF('TL17'!$C$238:$C$451,$C261,'TL17'!$J$238:$J$451),0),
IF('TL18'!$B$3=J$3,SUMIF('TL18'!$C$10:$C$224,$C261,'TL18'!$J$10:$J$224),0),
IF('TL18'!$B$229=J$3,SUMIF('TL18'!$C$238:$C$451,$C261,'TL18'!$J$238:$J$451),0),
IF('TL19'!$B$3=J$3,SUMIF('TL19'!$C$10:$C$224,$C261,'TL19'!$J$10:$J$224),0),
IF('TL19'!$B$229=J$3,SUMIF('TL19'!$C$238:$C$451,$C261,'TL19'!$J$238:$J$451),0)
),0)</f>
        <v/>
      </c>
      <c r="K261" s="9">
        <f>IFERROR(SUM(
IF('TL01'!$B$3=K$3,SUMIF('TL01'!$C$10:$C$224,$C261,'TL01'!$J$10:$J$224),0),
IF('TL01'!$B$229=K$3,SUMIF('TL01'!$C$238:$C$451,$C261,'TL01'!$J$238:$J$451),0),
IF('TL02'!$B$3=K$3,SUMIF('TL02'!$C$10:$C$224,$C261,'TL02'!$J$10:$J$224),0),
IF('TL02'!$B$229=K$3,SUMIF('TL02'!$C$238:$C$451,$C261,'TL02'!$J$238:$J$451),0),
IF('TL03'!$B$3=K$3,SUMIF('TL03'!$C$10:$C$224,$C261,'TL03'!$J$10:$J$224),0),
IF('TL03'!$B$229=K$3,SUMIF('TL03'!$C$238:$C$451,$C261,'TL03'!$J$238:$J$451),0),
IF('TL04'!$B$3=K$3,SUMIF('TL04'!$C$10:$C$224,$C261,'TL04'!$J$10:$J$224),0),
IF('TL04'!$B$229=K$3,SUMIF('TL04'!$C$238:$C$451,$C261,'TL04'!$J$238:$J$451),0),
IF('TL05'!$B$3=K$3,SUMIF('TL05'!$C$10:$C$224,$C261,'TL05'!$J$10:$J$224),0),
IF('TL05'!$B$229=K$3,SUMIF('TL05'!$C$238:$C$451,$C261,'TL05'!$J$238:$J$451),0),
IF('TL06'!$B$3=K$3,SUMIF('TL06'!$C$10:$C$224,$C261,'TL06'!$J$10:$J$224),0),
IF('TL06'!$B$229=K$3,SUMIF('TL06'!$C$238:$C$451,$C261,'TL06'!$J$238:$J$451),0),
IF('TL07'!$B$3=K$3,SUMIF('TL07'!$C$10:$C$224,$C261,'TL07'!$J$10:$J$224),0),
IF('TL07'!$B$229=K$3,SUMIF('TL07'!$C$238:$C$451,$C261,'TL07'!$J$238:$J$451),0),
IF('TL08'!$B$3=K$3,SUMIF('TL08'!$C$10:$C$224,$C261,'TL08'!$J$10:$J$224),0),
IF('TL08'!$B$229=K$3,SUMIF('TL08'!$C$238:$C$451,$C261,'TL08'!$J$238:$J$451),0),
IF('TL09'!$B$3=K$3,SUMIF('TL09'!$C$10:$C$224,$C261,'TL09'!$J$10:$J$224),0),
IF('TL09'!$B$229=K$3,SUMIF('TL09'!$C$238:$C$451,$C261,'TL09'!$J$238:$J$451),0),
IF('TL10'!$B$3=K$3,SUMIF('TL10'!$C$10:$C$224,$C261,'TL10'!$J$10:$J$224),0),
IF('TL10'!$B$229=K$3,SUMIF('TL10'!$C$238:$C$451,$C261,'TL10'!$J$238:$J$451),0),
IF('TL11'!$B$3=K$3,SUMIF('TL11'!$C$10:$C$224,$C261,'TL11'!$J$10:$J$224),0),
IF('TL11'!$B$229=K$3,SUMIF('TL11'!$C$238:$C$451,$C261,'TL11'!$J$238:$J$451),0),
IF('TL12'!$B$3=K$3,SUMIF('TL12'!$C$10:$C$224,$C261,'TL12'!$J$10:$J$224),0),
IF('TL12'!$B$229=K$3,SUMIF('TL12'!$C$238:$C$451,$C261,'TL12'!$J$238:$J$451),0),
IF('TL13'!$B$3=K$3,SUMIF('TL13'!$C$10:$C$224,$C261,'TL13'!$J$10:$J$224),0),
IF('TL13'!$B$229=K$3,SUMIF('TL13'!$C$238:$C$451,$C261,'TL13'!$J$238:$J$451),0),
IF('TL14'!$B$3=K$3,SUMIF('TL14'!$C$10:$C$224,$C261,'TL14'!$J$10:$J$224),0),
IF('TL14'!$B$229=K$3,SUMIF('TL14'!$C$238:$C$451,$C261,'TL14'!$J$238:$J$451),0),
IF('TL15'!$B$3=K$3,SUMIF('TL15'!$C$10:$C$224,$C261,'TL15'!$J$10:$J$224),0),
IF('TL15'!$B$229=K$3,SUMIF('TL15'!$C$238:$C$451,$C261,'TL15'!$J$238:$J$451),0),
IF('TL16'!$B$3=K$3,SUMIF('TL16'!$C$10:$C$224,$C261,'TL16'!$J$10:$J$224),0),
IF('TL16'!$B$229=K$3,SUMIF('TL16'!$C$238:$C$451,$C261,'TL16'!$J$238:$J$451),0),
IF('TL17'!$B$3=K$3,SUMIF('TL17'!$C$10:$C$224,$C261,'TL17'!$J$10:$J$224),0),
IF('TL17'!$B$229=K$3,SUMIF('TL17'!$C$238:$C$451,$C261,'TL17'!$J$238:$J$451),0),
IF('TL18'!$B$3=K$3,SUMIF('TL18'!$C$10:$C$224,$C261,'TL18'!$J$10:$J$224),0),
IF('TL18'!$B$229=K$3,SUMIF('TL18'!$C$238:$C$451,$C261,'TL18'!$J$238:$J$451),0),
IF('TL19'!$B$3=K$3,SUMIF('TL19'!$C$10:$C$224,$C261,'TL19'!$J$10:$J$224),0),
IF('TL19'!$B$229=K$3,SUMIF('TL19'!$C$238:$C$451,$C261,'TL19'!$J$238:$J$451),0)
),0)</f>
        <v/>
      </c>
      <c r="L261" s="9">
        <f>IFERROR(SUM(
IF('TL01'!$B$3=L$3,SUMIF('TL01'!$C$10:$C$224,$C261,'TL01'!$J$10:$J$224),0),
IF('TL01'!$B$229=L$3,SUMIF('TL01'!$C$238:$C$451,$C261,'TL01'!$J$238:$J$451),0),
IF('TL02'!$B$3=L$3,SUMIF('TL02'!$C$10:$C$224,$C261,'TL02'!$J$10:$J$224),0),
IF('TL02'!$B$229=L$3,SUMIF('TL02'!$C$238:$C$451,$C261,'TL02'!$J$238:$J$451),0),
IF('TL03'!$B$3=L$3,SUMIF('TL03'!$C$10:$C$224,$C261,'TL03'!$J$10:$J$224),0),
IF('TL03'!$B$229=L$3,SUMIF('TL03'!$C$238:$C$451,$C261,'TL03'!$J$238:$J$451),0),
IF('TL04'!$B$3=L$3,SUMIF('TL04'!$C$10:$C$224,$C261,'TL04'!$J$10:$J$224),0),
IF('TL04'!$B$229=L$3,SUMIF('TL04'!$C$238:$C$451,$C261,'TL04'!$J$238:$J$451),0),
IF('TL05'!$B$3=L$3,SUMIF('TL05'!$C$10:$C$224,$C261,'TL05'!$J$10:$J$224),0),
IF('TL05'!$B$229=L$3,SUMIF('TL05'!$C$238:$C$451,$C261,'TL05'!$J$238:$J$451),0),
IF('TL06'!$B$3=L$3,SUMIF('TL06'!$C$10:$C$224,$C261,'TL06'!$J$10:$J$224),0),
IF('TL06'!$B$229=L$3,SUMIF('TL06'!$C$238:$C$451,$C261,'TL06'!$J$238:$J$451),0),
IF('TL07'!$B$3=L$3,SUMIF('TL07'!$C$10:$C$224,$C261,'TL07'!$J$10:$J$224),0),
IF('TL07'!$B$229=L$3,SUMIF('TL07'!$C$238:$C$451,$C261,'TL07'!$J$238:$J$451),0),
IF('TL08'!$B$3=L$3,SUMIF('TL08'!$C$10:$C$224,$C261,'TL08'!$J$10:$J$224),0),
IF('TL08'!$B$229=L$3,SUMIF('TL08'!$C$238:$C$451,$C261,'TL08'!$J$238:$J$451),0),
IF('TL09'!$B$3=L$3,SUMIF('TL09'!$C$10:$C$224,$C261,'TL09'!$J$10:$J$224),0),
IF('TL09'!$B$229=L$3,SUMIF('TL09'!$C$238:$C$451,$C261,'TL09'!$J$238:$J$451),0),
IF('TL10'!$B$3=L$3,SUMIF('TL10'!$C$10:$C$224,$C261,'TL10'!$J$10:$J$224),0),
IF('TL10'!$B$229=L$3,SUMIF('TL10'!$C$238:$C$451,$C261,'TL10'!$J$238:$J$451),0),
IF('TL11'!$B$3=L$3,SUMIF('TL11'!$C$10:$C$224,$C261,'TL11'!$J$10:$J$224),0),
IF('TL11'!$B$229=L$3,SUMIF('TL11'!$C$238:$C$451,$C261,'TL11'!$J$238:$J$451),0),
IF('TL12'!$B$3=L$3,SUMIF('TL12'!$C$10:$C$224,$C261,'TL12'!$J$10:$J$224),0),
IF('TL12'!$B$229=L$3,SUMIF('TL12'!$C$238:$C$451,$C261,'TL12'!$J$238:$J$451),0),
IF('TL13'!$B$3=L$3,SUMIF('TL13'!$C$10:$C$224,$C261,'TL13'!$J$10:$J$224),0),
IF('TL13'!$B$229=L$3,SUMIF('TL13'!$C$238:$C$451,$C261,'TL13'!$J$238:$J$451),0),
IF('TL14'!$B$3=L$3,SUMIF('TL14'!$C$10:$C$224,$C261,'TL14'!$J$10:$J$224),0),
IF('TL14'!$B$229=L$3,SUMIF('TL14'!$C$238:$C$451,$C261,'TL14'!$J$238:$J$451),0),
IF('TL15'!$B$3=L$3,SUMIF('TL15'!$C$10:$C$224,$C261,'TL15'!$J$10:$J$224),0),
IF('TL15'!$B$229=L$3,SUMIF('TL15'!$C$238:$C$451,$C261,'TL15'!$J$238:$J$451),0),
IF('TL16'!$B$3=L$3,SUMIF('TL16'!$C$10:$C$224,$C261,'TL16'!$J$10:$J$224),0),
IF('TL16'!$B$229=L$3,SUMIF('TL16'!$C$238:$C$451,$C261,'TL16'!$J$238:$J$451),0),
IF('TL17'!$B$3=L$3,SUMIF('TL17'!$C$10:$C$224,$C261,'TL17'!$J$10:$J$224),0),
IF('TL17'!$B$229=L$3,SUMIF('TL17'!$C$238:$C$451,$C261,'TL17'!$J$238:$J$451),0),
IF('TL18'!$B$3=L$3,SUMIF('TL18'!$C$10:$C$224,$C261,'TL18'!$J$10:$J$224),0),
IF('TL18'!$B$229=L$3,SUMIF('TL18'!$C$238:$C$451,$C261,'TL18'!$J$238:$J$451),0),
IF('TL19'!$B$3=L$3,SUMIF('TL19'!$C$10:$C$224,$C261,'TL19'!$J$10:$J$224),0),
IF('TL19'!$B$229=L$3,SUMIF('TL19'!$C$238:$C$451,$C261,'TL19'!$J$238:$J$451),0)
),0)</f>
        <v/>
      </c>
      <c r="M261" s="9">
        <f>IFERROR(SUM(
IF('TL01'!$B$3=M$3,SUMIF('TL01'!$C$10:$C$224,$C261,'TL01'!$J$10:$J$224),0),
IF('TL01'!$B$229=M$3,SUMIF('TL01'!$C$238:$C$451,$C261,'TL01'!$J$238:$J$451),0),
IF('TL02'!$B$3=M$3,SUMIF('TL02'!$C$10:$C$224,$C261,'TL02'!$J$10:$J$224),0),
IF('TL02'!$B$229=M$3,SUMIF('TL02'!$C$238:$C$451,$C261,'TL02'!$J$238:$J$451),0),
IF('TL03'!$B$3=M$3,SUMIF('TL03'!$C$10:$C$224,$C261,'TL03'!$J$10:$J$224),0),
IF('TL03'!$B$229=M$3,SUMIF('TL03'!$C$238:$C$451,$C261,'TL03'!$J$238:$J$451),0),
IF('TL04'!$B$3=M$3,SUMIF('TL04'!$C$10:$C$224,$C261,'TL04'!$J$10:$J$224),0),
IF('TL04'!$B$229=M$3,SUMIF('TL04'!$C$238:$C$451,$C261,'TL04'!$J$238:$J$451),0),
IF('TL05'!$B$3=M$3,SUMIF('TL05'!$C$10:$C$224,$C261,'TL05'!$J$10:$J$224),0),
IF('TL05'!$B$229=M$3,SUMIF('TL05'!$C$238:$C$451,$C261,'TL05'!$J$238:$J$451),0),
IF('TL06'!$B$3=M$3,SUMIF('TL06'!$C$10:$C$224,$C261,'TL06'!$J$10:$J$224),0),
IF('TL06'!$B$229=M$3,SUMIF('TL06'!$C$238:$C$451,$C261,'TL06'!$J$238:$J$451),0),
IF('TL07'!$B$3=M$3,SUMIF('TL07'!$C$10:$C$224,$C261,'TL07'!$J$10:$J$224),0),
IF('TL07'!$B$229=M$3,SUMIF('TL07'!$C$238:$C$451,$C261,'TL07'!$J$238:$J$451),0),
IF('TL08'!$B$3=M$3,SUMIF('TL08'!$C$10:$C$224,$C261,'TL08'!$J$10:$J$224),0),
IF('TL08'!$B$229=M$3,SUMIF('TL08'!$C$238:$C$451,$C261,'TL08'!$J$238:$J$451),0),
IF('TL09'!$B$3=M$3,SUMIF('TL09'!$C$10:$C$224,$C261,'TL09'!$J$10:$J$224),0),
IF('TL09'!$B$229=M$3,SUMIF('TL09'!$C$238:$C$451,$C261,'TL09'!$J$238:$J$451),0),
IF('TL10'!$B$3=M$3,SUMIF('TL10'!$C$10:$C$224,$C261,'TL10'!$J$10:$J$224),0),
IF('TL10'!$B$229=M$3,SUMIF('TL10'!$C$238:$C$451,$C261,'TL10'!$J$238:$J$451),0),
IF('TL11'!$B$3=M$3,SUMIF('TL11'!$C$10:$C$224,$C261,'TL11'!$J$10:$J$224),0),
IF('TL11'!$B$229=M$3,SUMIF('TL11'!$C$238:$C$451,$C261,'TL11'!$J$238:$J$451),0),
IF('TL12'!$B$3=M$3,SUMIF('TL12'!$C$10:$C$224,$C261,'TL12'!$J$10:$J$224),0),
IF('TL12'!$B$229=M$3,SUMIF('TL12'!$C$238:$C$451,$C261,'TL12'!$J$238:$J$451),0),
IF('TL13'!$B$3=M$3,SUMIF('TL13'!$C$10:$C$224,$C261,'TL13'!$J$10:$J$224),0),
IF('TL13'!$B$229=M$3,SUMIF('TL13'!$C$238:$C$451,$C261,'TL13'!$J$238:$J$451),0),
IF('TL14'!$B$3=M$3,SUMIF('TL14'!$C$10:$C$224,$C261,'TL14'!$J$10:$J$224),0),
IF('TL14'!$B$229=M$3,SUMIF('TL14'!$C$238:$C$451,$C261,'TL14'!$J$238:$J$451),0),
IF('TL15'!$B$3=M$3,SUMIF('TL15'!$C$10:$C$224,$C261,'TL15'!$J$10:$J$224),0),
IF('TL15'!$B$229=M$3,SUMIF('TL15'!$C$238:$C$451,$C261,'TL15'!$J$238:$J$451),0),
IF('TL16'!$B$3=M$3,SUMIF('TL16'!$C$10:$C$224,$C261,'TL16'!$J$10:$J$224),0),
IF('TL16'!$B$229=M$3,SUMIF('TL16'!$C$238:$C$451,$C261,'TL16'!$J$238:$J$451),0),
IF('TL17'!$B$3=M$3,SUMIF('TL17'!$C$10:$C$224,$C261,'TL17'!$J$10:$J$224),0),
IF('TL17'!$B$229=M$3,SUMIF('TL17'!$C$238:$C$451,$C261,'TL17'!$J$238:$J$451),0),
IF('TL18'!$B$3=M$3,SUMIF('TL18'!$C$10:$C$224,$C261,'TL18'!$J$10:$J$224),0),
IF('TL18'!$B$229=M$3,SUMIF('TL18'!$C$238:$C$451,$C261,'TL18'!$J$238:$J$451),0),
IF('TL19'!$B$3=M$3,SUMIF('TL19'!$C$10:$C$224,$C261,'TL19'!$J$10:$J$224),0),
IF('TL19'!$B$229=M$3,SUMIF('TL19'!$C$238:$C$451,$C261,'TL19'!$J$238:$J$451),0)
),0)</f>
        <v/>
      </c>
      <c r="N261" s="9">
        <f>IFERROR(SUM(
IF('TL01'!$B$3=N$3,SUMIF('TL01'!$C$10:$C$224,$C261,'TL01'!$J$10:$J$224),0),
IF('TL01'!$B$229=N$3,SUMIF('TL01'!$C$238:$C$451,$C261,'TL01'!$J$238:$J$451),0),
IF('TL02'!$B$3=N$3,SUMIF('TL02'!$C$10:$C$224,$C261,'TL02'!$J$10:$J$224),0),
IF('TL02'!$B$229=N$3,SUMIF('TL02'!$C$238:$C$451,$C261,'TL02'!$J$238:$J$451),0),
IF('TL03'!$B$3=N$3,SUMIF('TL03'!$C$10:$C$224,$C261,'TL03'!$J$10:$J$224),0),
IF('TL03'!$B$229=N$3,SUMIF('TL03'!$C$238:$C$451,$C261,'TL03'!$J$238:$J$451),0),
IF('TL04'!$B$3=N$3,SUMIF('TL04'!$C$10:$C$224,$C261,'TL04'!$J$10:$J$224),0),
IF('TL04'!$B$229=N$3,SUMIF('TL04'!$C$238:$C$451,$C261,'TL04'!$J$238:$J$451),0),
IF('TL05'!$B$3=N$3,SUMIF('TL05'!$C$10:$C$224,$C261,'TL05'!$J$10:$J$224),0),
IF('TL05'!$B$229=N$3,SUMIF('TL05'!$C$238:$C$451,$C261,'TL05'!$J$238:$J$451),0),
IF('TL06'!$B$3=N$3,SUMIF('TL06'!$C$10:$C$224,$C261,'TL06'!$J$10:$J$224),0),
IF('TL06'!$B$229=N$3,SUMIF('TL06'!$C$238:$C$451,$C261,'TL06'!$J$238:$J$451),0),
IF('TL07'!$B$3=N$3,SUMIF('TL07'!$C$10:$C$224,$C261,'TL07'!$J$10:$J$224),0),
IF('TL07'!$B$229=N$3,SUMIF('TL07'!$C$238:$C$451,$C261,'TL07'!$J$238:$J$451),0),
IF('TL08'!$B$3=N$3,SUMIF('TL08'!$C$10:$C$224,$C261,'TL08'!$J$10:$J$224),0),
IF('TL08'!$B$229=N$3,SUMIF('TL08'!$C$238:$C$451,$C261,'TL08'!$J$238:$J$451),0),
IF('TL09'!$B$3=N$3,SUMIF('TL09'!$C$10:$C$224,$C261,'TL09'!$J$10:$J$224),0),
IF('TL09'!$B$229=N$3,SUMIF('TL09'!$C$238:$C$451,$C261,'TL09'!$J$238:$J$451),0),
IF('TL10'!$B$3=N$3,SUMIF('TL10'!$C$10:$C$224,$C261,'TL10'!$J$10:$J$224),0),
IF('TL10'!$B$229=N$3,SUMIF('TL10'!$C$238:$C$451,$C261,'TL10'!$J$238:$J$451),0),
IF('TL11'!$B$3=N$3,SUMIF('TL11'!$C$10:$C$224,$C261,'TL11'!$J$10:$J$224),0),
IF('TL11'!$B$229=N$3,SUMIF('TL11'!$C$238:$C$451,$C261,'TL11'!$J$238:$J$451),0),
IF('TL12'!$B$3=N$3,SUMIF('TL12'!$C$10:$C$224,$C261,'TL12'!$J$10:$J$224),0),
IF('TL12'!$B$229=N$3,SUMIF('TL12'!$C$238:$C$451,$C261,'TL12'!$J$238:$J$451),0),
IF('TL13'!$B$3=N$3,SUMIF('TL13'!$C$10:$C$224,$C261,'TL13'!$J$10:$J$224),0),
IF('TL13'!$B$229=N$3,SUMIF('TL13'!$C$238:$C$451,$C261,'TL13'!$J$238:$J$451),0),
IF('TL14'!$B$3=N$3,SUMIF('TL14'!$C$10:$C$224,$C261,'TL14'!$J$10:$J$224),0),
IF('TL14'!$B$229=N$3,SUMIF('TL14'!$C$238:$C$451,$C261,'TL14'!$J$238:$J$451),0),
IF('TL15'!$B$3=N$3,SUMIF('TL15'!$C$10:$C$224,$C261,'TL15'!$J$10:$J$224),0),
IF('TL15'!$B$229=N$3,SUMIF('TL15'!$C$238:$C$451,$C261,'TL15'!$J$238:$J$451),0),
IF('TL16'!$B$3=N$3,SUMIF('TL16'!$C$10:$C$224,$C261,'TL16'!$J$10:$J$224),0),
IF('TL16'!$B$229=N$3,SUMIF('TL16'!$C$238:$C$451,$C261,'TL16'!$J$238:$J$451),0),
IF('TL17'!$B$3=N$3,SUMIF('TL17'!$C$10:$C$224,$C261,'TL17'!$J$10:$J$224),0),
IF('TL17'!$B$229=N$3,SUMIF('TL17'!$C$238:$C$451,$C261,'TL17'!$J$238:$J$451),0),
IF('TL18'!$B$3=N$3,SUMIF('TL18'!$C$10:$C$224,$C261,'TL18'!$J$10:$J$224),0),
IF('TL18'!$B$229=N$3,SUMIF('TL18'!$C$238:$C$451,$C261,'TL18'!$J$238:$J$451),0),
IF('TL19'!$B$3=N$3,SUMIF('TL19'!$C$10:$C$224,$C261,'TL19'!$J$10:$J$224),0),
IF('TL19'!$B$229=N$3,SUMIF('TL19'!$C$238:$C$451,$C261,'TL19'!$J$238:$J$451),0)
),0)</f>
        <v/>
      </c>
      <c r="O261" s="9">
        <f>IFERROR(SUM(
IF('TL01'!$B$3=O$3,SUMIF('TL01'!$C$10:$C$224,$C261,'TL01'!$J$10:$J$224),0),
IF('TL01'!$B$229=O$3,SUMIF('TL01'!$C$238:$C$451,$C261,'TL01'!$J$238:$J$451),0),
IF('TL02'!$B$3=O$3,SUMIF('TL02'!$C$10:$C$224,$C261,'TL02'!$J$10:$J$224),0),
IF('TL02'!$B$229=O$3,SUMIF('TL02'!$C$238:$C$451,$C261,'TL02'!$J$238:$J$451),0),
IF('TL03'!$B$3=O$3,SUMIF('TL03'!$C$10:$C$224,$C261,'TL03'!$J$10:$J$224),0),
IF('TL03'!$B$229=O$3,SUMIF('TL03'!$C$238:$C$451,$C261,'TL03'!$J$238:$J$451),0),
IF('TL04'!$B$3=O$3,SUMIF('TL04'!$C$10:$C$224,$C261,'TL04'!$J$10:$J$224),0),
IF('TL04'!$B$229=O$3,SUMIF('TL04'!$C$238:$C$451,$C261,'TL04'!$J$238:$J$451),0),
IF('TL05'!$B$3=O$3,SUMIF('TL05'!$C$10:$C$224,$C261,'TL05'!$J$10:$J$224),0),
IF('TL05'!$B$229=O$3,SUMIF('TL05'!$C$238:$C$451,$C261,'TL05'!$J$238:$J$451),0),
IF('TL06'!$B$3=O$3,SUMIF('TL06'!$C$10:$C$224,$C261,'TL06'!$J$10:$J$224),0),
IF('TL06'!$B$229=O$3,SUMIF('TL06'!$C$238:$C$451,$C261,'TL06'!$J$238:$J$451),0),
IF('TL07'!$B$3=O$3,SUMIF('TL07'!$C$10:$C$224,$C261,'TL07'!$J$10:$J$224),0),
IF('TL07'!$B$229=O$3,SUMIF('TL07'!$C$238:$C$451,$C261,'TL07'!$J$238:$J$451),0),
IF('TL08'!$B$3=O$3,SUMIF('TL08'!$C$10:$C$224,$C261,'TL08'!$J$10:$J$224),0),
IF('TL08'!$B$229=O$3,SUMIF('TL08'!$C$238:$C$451,$C261,'TL08'!$J$238:$J$451),0),
IF('TL09'!$B$3=O$3,SUMIF('TL09'!$C$10:$C$224,$C261,'TL09'!$J$10:$J$224),0),
IF('TL09'!$B$229=O$3,SUMIF('TL09'!$C$238:$C$451,$C261,'TL09'!$J$238:$J$451),0),
IF('TL10'!$B$3=O$3,SUMIF('TL10'!$C$10:$C$224,$C261,'TL10'!$J$10:$J$224),0),
IF('TL10'!$B$229=O$3,SUMIF('TL10'!$C$238:$C$451,$C261,'TL10'!$J$238:$J$451),0),
IF('TL11'!$B$3=O$3,SUMIF('TL11'!$C$10:$C$224,$C261,'TL11'!$J$10:$J$224),0),
IF('TL11'!$B$229=O$3,SUMIF('TL11'!$C$238:$C$451,$C261,'TL11'!$J$238:$J$451),0),
IF('TL12'!$B$3=O$3,SUMIF('TL12'!$C$10:$C$224,$C261,'TL12'!$J$10:$J$224),0),
IF('TL12'!$B$229=O$3,SUMIF('TL12'!$C$238:$C$451,$C261,'TL12'!$J$238:$J$451),0),
IF('TL13'!$B$3=O$3,SUMIF('TL13'!$C$10:$C$224,$C261,'TL13'!$J$10:$J$224),0),
IF('TL13'!$B$229=O$3,SUMIF('TL13'!$C$238:$C$451,$C261,'TL13'!$J$238:$J$451),0),
IF('TL14'!$B$3=O$3,SUMIF('TL14'!$C$10:$C$224,$C261,'TL14'!$J$10:$J$224),0),
IF('TL14'!$B$229=O$3,SUMIF('TL14'!$C$238:$C$451,$C261,'TL14'!$J$238:$J$451),0),
IF('TL15'!$B$3=O$3,SUMIF('TL15'!$C$10:$C$224,$C261,'TL15'!$J$10:$J$224),0),
IF('TL15'!$B$229=O$3,SUMIF('TL15'!$C$238:$C$451,$C261,'TL15'!$J$238:$J$451),0),
IF('TL16'!$B$3=O$3,SUMIF('TL16'!$C$10:$C$224,$C261,'TL16'!$J$10:$J$224),0),
IF('TL16'!$B$229=O$3,SUMIF('TL16'!$C$238:$C$451,$C261,'TL16'!$J$238:$J$451),0),
IF('TL17'!$B$3=O$3,SUMIF('TL17'!$C$10:$C$224,$C261,'TL17'!$J$10:$J$224),0),
IF('TL17'!$B$229=O$3,SUMIF('TL17'!$C$238:$C$451,$C261,'TL17'!$J$238:$J$451),0),
IF('TL18'!$B$3=O$3,SUMIF('TL18'!$C$10:$C$224,$C261,'TL18'!$J$10:$J$224),0),
IF('TL18'!$B$229=O$3,SUMIF('TL18'!$C$238:$C$451,$C261,'TL18'!$J$238:$J$451),0),
IF('TL19'!$B$3=O$3,SUMIF('TL19'!$C$10:$C$224,$C261,'TL19'!$J$10:$J$224),0),
IF('TL19'!$B$229=O$3,SUMIF('TL19'!$C$238:$C$451,$C261,'TL19'!$J$238:$J$451),0)
),0)</f>
        <v/>
      </c>
      <c r="P261" s="9">
        <f>IFERROR(SUM(
IF('TL01'!$B$3=P$3,SUMIF('TL01'!$C$10:$C$224,$C261,'TL01'!$J$10:$J$224),0),
IF('TL01'!$B$229=P$3,SUMIF('TL01'!$C$238:$C$451,$C261,'TL01'!$J$238:$J$451),0),
IF('TL02'!$B$3=P$3,SUMIF('TL02'!$C$10:$C$224,$C261,'TL02'!$J$10:$J$224),0),
IF('TL02'!$B$229=P$3,SUMIF('TL02'!$C$238:$C$451,$C261,'TL02'!$J$238:$J$451),0),
IF('TL03'!$B$3=P$3,SUMIF('TL03'!$C$10:$C$224,$C261,'TL03'!$J$10:$J$224),0),
IF('TL03'!$B$229=P$3,SUMIF('TL03'!$C$238:$C$451,$C261,'TL03'!$J$238:$J$451),0),
IF('TL04'!$B$3=P$3,SUMIF('TL04'!$C$10:$C$224,$C261,'TL04'!$J$10:$J$224),0),
IF('TL04'!$B$229=P$3,SUMIF('TL04'!$C$238:$C$451,$C261,'TL04'!$J$238:$J$451),0),
IF('TL05'!$B$3=P$3,SUMIF('TL05'!$C$10:$C$224,$C261,'TL05'!$J$10:$J$224),0),
IF('TL05'!$B$229=P$3,SUMIF('TL05'!$C$238:$C$451,$C261,'TL05'!$J$238:$J$451),0),
IF('TL06'!$B$3=P$3,SUMIF('TL06'!$C$10:$C$224,$C261,'TL06'!$J$10:$J$224),0),
IF('TL06'!$B$229=P$3,SUMIF('TL06'!$C$238:$C$451,$C261,'TL06'!$J$238:$J$451),0),
IF('TL07'!$B$3=P$3,SUMIF('TL07'!$C$10:$C$224,$C261,'TL07'!$J$10:$J$224),0),
IF('TL07'!$B$229=P$3,SUMIF('TL07'!$C$238:$C$451,$C261,'TL07'!$J$238:$J$451),0),
IF('TL08'!$B$3=P$3,SUMIF('TL08'!$C$10:$C$224,$C261,'TL08'!$J$10:$J$224),0),
IF('TL08'!$B$229=P$3,SUMIF('TL08'!$C$238:$C$451,$C261,'TL08'!$J$238:$J$451),0),
IF('TL09'!$B$3=P$3,SUMIF('TL09'!$C$10:$C$224,$C261,'TL09'!$J$10:$J$224),0),
IF('TL09'!$B$229=P$3,SUMIF('TL09'!$C$238:$C$451,$C261,'TL09'!$J$238:$J$451),0),
IF('TL10'!$B$3=P$3,SUMIF('TL10'!$C$10:$C$224,$C261,'TL10'!$J$10:$J$224),0),
IF('TL10'!$B$229=P$3,SUMIF('TL10'!$C$238:$C$451,$C261,'TL10'!$J$238:$J$451),0),
IF('TL11'!$B$3=P$3,SUMIF('TL11'!$C$10:$C$224,$C261,'TL11'!$J$10:$J$224),0),
IF('TL11'!$B$229=P$3,SUMIF('TL11'!$C$238:$C$451,$C261,'TL11'!$J$238:$J$451),0),
IF('TL12'!$B$3=P$3,SUMIF('TL12'!$C$10:$C$224,$C261,'TL12'!$J$10:$J$224),0),
IF('TL12'!$B$229=P$3,SUMIF('TL12'!$C$238:$C$451,$C261,'TL12'!$J$238:$J$451),0),
IF('TL13'!$B$3=P$3,SUMIF('TL13'!$C$10:$C$224,$C261,'TL13'!$J$10:$J$224),0),
IF('TL13'!$B$229=P$3,SUMIF('TL13'!$C$238:$C$451,$C261,'TL13'!$J$238:$J$451),0),
IF('TL14'!$B$3=P$3,SUMIF('TL14'!$C$10:$C$224,$C261,'TL14'!$J$10:$J$224),0),
IF('TL14'!$B$229=P$3,SUMIF('TL14'!$C$238:$C$451,$C261,'TL14'!$J$238:$J$451),0),
IF('TL15'!$B$3=P$3,SUMIF('TL15'!$C$10:$C$224,$C261,'TL15'!$J$10:$J$224),0),
IF('TL15'!$B$229=P$3,SUMIF('TL15'!$C$238:$C$451,$C261,'TL15'!$J$238:$J$451),0),
IF('TL16'!$B$3=P$3,SUMIF('TL16'!$C$10:$C$224,$C261,'TL16'!$J$10:$J$224),0),
IF('TL16'!$B$229=P$3,SUMIF('TL16'!$C$238:$C$451,$C261,'TL16'!$J$238:$J$451),0),
IF('TL17'!$B$3=P$3,SUMIF('TL17'!$C$10:$C$224,$C261,'TL17'!$J$10:$J$224),0),
IF('TL17'!$B$229=P$3,SUMIF('TL17'!$C$238:$C$451,$C261,'TL17'!$J$238:$J$451),0),
IF('TL18'!$B$3=P$3,SUMIF('TL18'!$C$10:$C$224,$C261,'TL18'!$J$10:$J$224),0),
IF('TL18'!$B$229=P$3,SUMIF('TL18'!$C$238:$C$451,$C261,'TL18'!$J$238:$J$451),0),
IF('TL19'!$B$3=P$3,SUMIF('TL19'!$C$10:$C$224,$C261,'TL19'!$J$10:$J$224),0),
IF('TL19'!$B$229=P$3,SUMIF('TL19'!$C$238:$C$451,$C261,'TL19'!$J$238:$J$451),0)
),0)</f>
        <v/>
      </c>
      <c r="Q261" s="9">
        <f>IFERROR(SUM(
IF('TL01'!$B$3=Q$3,SUMIF('TL01'!$C$10:$C$224,$C261,'TL01'!$J$10:$J$224),0),
IF('TL01'!$B$229=Q$3,SUMIF('TL01'!$C$238:$C$451,$C261,'TL01'!$J$238:$J$451),0),
IF('TL02'!$B$3=Q$3,SUMIF('TL02'!$C$10:$C$224,$C261,'TL02'!$J$10:$J$224),0),
IF('TL02'!$B$229=Q$3,SUMIF('TL02'!$C$238:$C$451,$C261,'TL02'!$J$238:$J$451),0),
IF('TL03'!$B$3=Q$3,SUMIF('TL03'!$C$10:$C$224,$C261,'TL03'!$J$10:$J$224),0),
IF('TL03'!$B$229=Q$3,SUMIF('TL03'!$C$238:$C$451,$C261,'TL03'!$J$238:$J$451),0),
IF('TL04'!$B$3=Q$3,SUMIF('TL04'!$C$10:$C$224,$C261,'TL04'!$J$10:$J$224),0),
IF('TL04'!$B$229=Q$3,SUMIF('TL04'!$C$238:$C$451,$C261,'TL04'!$J$238:$J$451),0),
IF('TL05'!$B$3=Q$3,SUMIF('TL05'!$C$10:$C$224,$C261,'TL05'!$J$10:$J$224),0),
IF('TL05'!$B$229=Q$3,SUMIF('TL05'!$C$238:$C$451,$C261,'TL05'!$J$238:$J$451),0),
IF('TL06'!$B$3=Q$3,SUMIF('TL06'!$C$10:$C$224,$C261,'TL06'!$J$10:$J$224),0),
IF('TL06'!$B$229=Q$3,SUMIF('TL06'!$C$238:$C$451,$C261,'TL06'!$J$238:$J$451),0),
IF('TL07'!$B$3=Q$3,SUMIF('TL07'!$C$10:$C$224,$C261,'TL07'!$J$10:$J$224),0),
IF('TL07'!$B$229=Q$3,SUMIF('TL07'!$C$238:$C$451,$C261,'TL07'!$J$238:$J$451),0),
IF('TL08'!$B$3=Q$3,SUMIF('TL08'!$C$10:$C$224,$C261,'TL08'!$J$10:$J$224),0),
IF('TL08'!$B$229=Q$3,SUMIF('TL08'!$C$238:$C$451,$C261,'TL08'!$J$238:$J$451),0),
IF('TL09'!$B$3=Q$3,SUMIF('TL09'!$C$10:$C$224,$C261,'TL09'!$J$10:$J$224),0),
IF('TL09'!$B$229=Q$3,SUMIF('TL09'!$C$238:$C$451,$C261,'TL09'!$J$238:$J$451),0),
IF('TL10'!$B$3=Q$3,SUMIF('TL10'!$C$10:$C$224,$C261,'TL10'!$J$10:$J$224),0),
IF('TL10'!$B$229=Q$3,SUMIF('TL10'!$C$238:$C$451,$C261,'TL10'!$J$238:$J$451),0),
IF('TL11'!$B$3=Q$3,SUMIF('TL11'!$C$10:$C$224,$C261,'TL11'!$J$10:$J$224),0),
IF('TL11'!$B$229=Q$3,SUMIF('TL11'!$C$238:$C$451,$C261,'TL11'!$J$238:$J$451),0),
IF('TL12'!$B$3=Q$3,SUMIF('TL12'!$C$10:$C$224,$C261,'TL12'!$J$10:$J$224),0),
IF('TL12'!$B$229=Q$3,SUMIF('TL12'!$C$238:$C$451,$C261,'TL12'!$J$238:$J$451),0),
IF('TL13'!$B$3=Q$3,SUMIF('TL13'!$C$10:$C$224,$C261,'TL13'!$J$10:$J$224),0),
IF('TL13'!$B$229=Q$3,SUMIF('TL13'!$C$238:$C$451,$C261,'TL13'!$J$238:$J$451),0),
IF('TL14'!$B$3=Q$3,SUMIF('TL14'!$C$10:$C$224,$C261,'TL14'!$J$10:$J$224),0),
IF('TL14'!$B$229=Q$3,SUMIF('TL14'!$C$238:$C$451,$C261,'TL14'!$J$238:$J$451),0),
IF('TL15'!$B$3=Q$3,SUMIF('TL15'!$C$10:$C$224,$C261,'TL15'!$J$10:$J$224),0),
IF('TL15'!$B$229=Q$3,SUMIF('TL15'!$C$238:$C$451,$C261,'TL15'!$J$238:$J$451),0),
IF('TL16'!$B$3=Q$3,SUMIF('TL16'!$C$10:$C$224,$C261,'TL16'!$J$10:$J$224),0),
IF('TL16'!$B$229=Q$3,SUMIF('TL16'!$C$238:$C$451,$C261,'TL16'!$J$238:$J$451),0),
IF('TL17'!$B$3=Q$3,SUMIF('TL17'!$C$10:$C$224,$C261,'TL17'!$J$10:$J$224),0),
IF('TL17'!$B$229=Q$3,SUMIF('TL17'!$C$238:$C$451,$C261,'TL17'!$J$238:$J$451),0),
IF('TL18'!$B$3=Q$3,SUMIF('TL18'!$C$10:$C$224,$C261,'TL18'!$J$10:$J$224),0),
IF('TL18'!$B$229=Q$3,SUMIF('TL18'!$C$238:$C$451,$C261,'TL18'!$J$238:$J$451),0),
IF('TL19'!$B$3=Q$3,SUMIF('TL19'!$C$10:$C$224,$C261,'TL19'!$J$10:$J$224),0),
IF('TL19'!$B$229=Q$3,SUMIF('TL19'!$C$238:$C$451,$C261,'TL19'!$J$238:$J$451),0)
),0)</f>
        <v/>
      </c>
      <c r="R261" s="9">
        <f>IFERROR(
SUM(
SUMIF('TL01'!C:C,C261,'TL01'!J:J),
SUMIF('TL02'!C:C,C261,'TL02'!J:J),
SUMIF('TL03'!C:C,C261,'TL03'!J:J),
SUMIF('TL04'!C:C,C261,'TL04'!J:J),
SUMIF('TL05'!C:C,C261,'TL05'!J:J),
SUMIF('TL06'!C:C,C261,'TL06'!J:J),
SUMIF('TL07'!C:C,C261,'TL07'!J:J),
SUMIF('TL08'!C:C,C261,'TL08'!J:J),
SUMIF('TL09'!C:C,C261,'TL09'!J:J),
SUMIF('TL10'!C:C,C261,'TL10'!J:J),
SUMIF('TL11'!C:C,C261,'TL11'!J:J),
SUMIF('TL12'!C:C,C261,'TL12'!J:J),
SUMIF('TL13'!C:C,C261,'TL13'!J:J),
SUMIF('TL14'!C:C,C261,'TL14'!J:J),
SUMIF('TL15'!C:C,C261,'TL15'!J:J),
SUMIF('TL16'!C:C,C261,'TL16'!J:J),
SUMIF('TL17'!C:C,C261,'TL17'!J:J),
SUMIF('TL18'!C:C,C261,'TL18'!J:J),SUMIF('TL19'!C:C,C261,'TL19'!J:J))
,0)</f>
        <v/>
      </c>
      <c r="S261" s="17">
        <f>IFERROR(__xludf.DUMMYFUNCTION("IFERROR(VLOOKUP(C261,
IMPORTRANGE(""1wULbzX32WdYsx-lj2U3uUNBBe2INVIRDtcK0d-Dvl90"",
""26-27!C:G""),
5,
FALSE),
"""")"),49.21)</f>
        <v/>
      </c>
      <c r="T261" s="9" t="n"/>
      <c r="U261" s="92">
        <f>MAX(0,R261-T261)</f>
        <v/>
      </c>
      <c r="V261" s="93">
        <f>U261*S261</f>
        <v/>
      </c>
    </row>
    <row r="262" hidden="1" ht="15.75" customHeight="1" s="297">
      <c r="A262" s="4" t="inlineStr">
        <is>
          <t>AGROPLACE</t>
        </is>
      </c>
      <c r="B262" s="125" t="inlineStr">
        <is>
          <t>NUTRIÇÃO</t>
        </is>
      </c>
      <c r="C262" s="4" t="inlineStr">
        <is>
          <t>MICROBOX</t>
        </is>
      </c>
      <c r="D262" s="20" t="n"/>
      <c r="E262" s="9" t="n"/>
      <c r="F262" s="4" t="inlineStr">
        <is>
          <t>L</t>
        </is>
      </c>
      <c r="G262" s="9" t="n"/>
      <c r="H262" s="9" t="n">
        <v>2</v>
      </c>
      <c r="I262" s="1" t="n"/>
      <c r="J262" s="9">
        <f>IFERROR(SUM(
IF('TL01'!$B$3=J$3,SUMIF('TL01'!$C$10:$C$224,$C262,'TL01'!$J$10:$J$224),0),
IF('TL01'!$B$229=J$3,SUMIF('TL01'!$C$238:$C$451,$C262,'TL01'!$J$238:$J$451),0),
IF('TL02'!$B$3=J$3,SUMIF('TL02'!$C$10:$C$224,$C262,'TL02'!$J$10:$J$224),0),
IF('TL02'!$B$229=J$3,SUMIF('TL02'!$C$238:$C$451,$C262,'TL02'!$J$238:$J$451),0),
IF('TL03'!$B$3=J$3,SUMIF('TL03'!$C$10:$C$224,$C262,'TL03'!$J$10:$J$224),0),
IF('TL03'!$B$229=J$3,SUMIF('TL03'!$C$238:$C$451,$C262,'TL03'!$J$238:$J$451),0),
IF('TL04'!$B$3=J$3,SUMIF('TL04'!$C$10:$C$224,$C262,'TL04'!$J$10:$J$224),0),
IF('TL04'!$B$229=J$3,SUMIF('TL04'!$C$238:$C$451,$C262,'TL04'!$J$238:$J$451),0),
IF('TL05'!$B$3=J$3,SUMIF('TL05'!$C$10:$C$224,$C262,'TL05'!$J$10:$J$224),0),
IF('TL05'!$B$229=J$3,SUMIF('TL05'!$C$238:$C$451,$C262,'TL05'!$J$238:$J$451),0),
IF('TL06'!$B$3=J$3,SUMIF('TL06'!$C$10:$C$224,$C262,'TL06'!$J$10:$J$224),0),
IF('TL06'!$B$229=J$3,SUMIF('TL06'!$C$238:$C$451,$C262,'TL06'!$J$238:$J$451),0),
IF('TL07'!$B$3=J$3,SUMIF('TL07'!$C$10:$C$224,$C262,'TL07'!$J$10:$J$224),0),
IF('TL07'!$B$229=J$3,SUMIF('TL07'!$C$238:$C$451,$C262,'TL07'!$J$238:$J$451),0),
IF('TL08'!$B$3=J$3,SUMIF('TL08'!$C$10:$C$224,$C262,'TL08'!$J$10:$J$224),0),
IF('TL08'!$B$229=J$3,SUMIF('TL08'!$C$238:$C$451,$C262,'TL08'!$J$238:$J$451),0),
IF('TL09'!$B$3=J$3,SUMIF('TL09'!$C$10:$C$224,$C262,'TL09'!$J$10:$J$224),0),
IF('TL09'!$B$229=J$3,SUMIF('TL09'!$C$238:$C$451,$C262,'TL09'!$J$238:$J$451),0),
IF('TL10'!$B$3=J$3,SUMIF('TL10'!$C$10:$C$224,$C262,'TL10'!$J$10:$J$224),0),
IF('TL10'!$B$229=J$3,SUMIF('TL10'!$C$238:$C$451,$C262,'TL10'!$J$238:$J$451),0),
IF('TL11'!$B$3=J$3,SUMIF('TL11'!$C$10:$C$224,$C262,'TL11'!$J$10:$J$224),0),
IF('TL11'!$B$229=J$3,SUMIF('TL11'!$C$238:$C$451,$C262,'TL11'!$J$238:$J$451),0),
IF('TL12'!$B$3=J$3,SUMIF('TL12'!$C$10:$C$224,$C262,'TL12'!$J$10:$J$224),0),
IF('TL12'!$B$229=J$3,SUMIF('TL12'!$C$238:$C$451,$C262,'TL12'!$J$238:$J$451),0),
IF('TL13'!$B$3=J$3,SUMIF('TL13'!$C$10:$C$224,$C262,'TL13'!$J$10:$J$224),0),
IF('TL13'!$B$229=J$3,SUMIF('TL13'!$C$238:$C$451,$C262,'TL13'!$J$238:$J$451),0),
IF('TL14'!$B$3=J$3,SUMIF('TL14'!$C$10:$C$224,$C262,'TL14'!$J$10:$J$224),0),
IF('TL14'!$B$229=J$3,SUMIF('TL14'!$C$238:$C$451,$C262,'TL14'!$J$238:$J$451),0),
IF('TL15'!$B$3=J$3,SUMIF('TL15'!$C$10:$C$224,$C262,'TL15'!$J$10:$J$224),0),
IF('TL15'!$B$229=J$3,SUMIF('TL15'!$C$238:$C$451,$C262,'TL15'!$J$238:$J$451),0),
IF('TL16'!$B$3=J$3,SUMIF('TL16'!$C$10:$C$224,$C262,'TL16'!$J$10:$J$224),0),
IF('TL16'!$B$229=J$3,SUMIF('TL16'!$C$238:$C$451,$C262,'TL16'!$J$238:$J$451),0),
IF('TL17'!$B$3=J$3,SUMIF('TL17'!$C$10:$C$224,$C262,'TL17'!$J$10:$J$224),0),
IF('TL17'!$B$229=J$3,SUMIF('TL17'!$C$238:$C$451,$C262,'TL17'!$J$238:$J$451),0),
IF('TL18'!$B$3=J$3,SUMIF('TL18'!$C$10:$C$224,$C262,'TL18'!$J$10:$J$224),0),
IF('TL18'!$B$229=J$3,SUMIF('TL18'!$C$238:$C$451,$C262,'TL18'!$J$238:$J$451),0),
IF('TL19'!$B$3=J$3,SUMIF('TL19'!$C$10:$C$224,$C262,'TL19'!$J$10:$J$224),0),
IF('TL19'!$B$229=J$3,SUMIF('TL19'!$C$238:$C$451,$C262,'TL19'!$J$238:$J$451),0)
),0)</f>
        <v/>
      </c>
      <c r="K262" s="9">
        <f>IFERROR(SUM(
IF('TL01'!$B$3=K$3,SUMIF('TL01'!$C$10:$C$224,$C262,'TL01'!$J$10:$J$224),0),
IF('TL01'!$B$229=K$3,SUMIF('TL01'!$C$238:$C$451,$C262,'TL01'!$J$238:$J$451),0),
IF('TL02'!$B$3=K$3,SUMIF('TL02'!$C$10:$C$224,$C262,'TL02'!$J$10:$J$224),0),
IF('TL02'!$B$229=K$3,SUMIF('TL02'!$C$238:$C$451,$C262,'TL02'!$J$238:$J$451),0),
IF('TL03'!$B$3=K$3,SUMIF('TL03'!$C$10:$C$224,$C262,'TL03'!$J$10:$J$224),0),
IF('TL03'!$B$229=K$3,SUMIF('TL03'!$C$238:$C$451,$C262,'TL03'!$J$238:$J$451),0),
IF('TL04'!$B$3=K$3,SUMIF('TL04'!$C$10:$C$224,$C262,'TL04'!$J$10:$J$224),0),
IF('TL04'!$B$229=K$3,SUMIF('TL04'!$C$238:$C$451,$C262,'TL04'!$J$238:$J$451),0),
IF('TL05'!$B$3=K$3,SUMIF('TL05'!$C$10:$C$224,$C262,'TL05'!$J$10:$J$224),0),
IF('TL05'!$B$229=K$3,SUMIF('TL05'!$C$238:$C$451,$C262,'TL05'!$J$238:$J$451),0),
IF('TL06'!$B$3=K$3,SUMIF('TL06'!$C$10:$C$224,$C262,'TL06'!$J$10:$J$224),0),
IF('TL06'!$B$229=K$3,SUMIF('TL06'!$C$238:$C$451,$C262,'TL06'!$J$238:$J$451),0),
IF('TL07'!$B$3=K$3,SUMIF('TL07'!$C$10:$C$224,$C262,'TL07'!$J$10:$J$224),0),
IF('TL07'!$B$229=K$3,SUMIF('TL07'!$C$238:$C$451,$C262,'TL07'!$J$238:$J$451),0),
IF('TL08'!$B$3=K$3,SUMIF('TL08'!$C$10:$C$224,$C262,'TL08'!$J$10:$J$224),0),
IF('TL08'!$B$229=K$3,SUMIF('TL08'!$C$238:$C$451,$C262,'TL08'!$J$238:$J$451),0),
IF('TL09'!$B$3=K$3,SUMIF('TL09'!$C$10:$C$224,$C262,'TL09'!$J$10:$J$224),0),
IF('TL09'!$B$229=K$3,SUMIF('TL09'!$C$238:$C$451,$C262,'TL09'!$J$238:$J$451),0),
IF('TL10'!$B$3=K$3,SUMIF('TL10'!$C$10:$C$224,$C262,'TL10'!$J$10:$J$224),0),
IF('TL10'!$B$229=K$3,SUMIF('TL10'!$C$238:$C$451,$C262,'TL10'!$J$238:$J$451),0),
IF('TL11'!$B$3=K$3,SUMIF('TL11'!$C$10:$C$224,$C262,'TL11'!$J$10:$J$224),0),
IF('TL11'!$B$229=K$3,SUMIF('TL11'!$C$238:$C$451,$C262,'TL11'!$J$238:$J$451),0),
IF('TL12'!$B$3=K$3,SUMIF('TL12'!$C$10:$C$224,$C262,'TL12'!$J$10:$J$224),0),
IF('TL12'!$B$229=K$3,SUMIF('TL12'!$C$238:$C$451,$C262,'TL12'!$J$238:$J$451),0),
IF('TL13'!$B$3=K$3,SUMIF('TL13'!$C$10:$C$224,$C262,'TL13'!$J$10:$J$224),0),
IF('TL13'!$B$229=K$3,SUMIF('TL13'!$C$238:$C$451,$C262,'TL13'!$J$238:$J$451),0),
IF('TL14'!$B$3=K$3,SUMIF('TL14'!$C$10:$C$224,$C262,'TL14'!$J$10:$J$224),0),
IF('TL14'!$B$229=K$3,SUMIF('TL14'!$C$238:$C$451,$C262,'TL14'!$J$238:$J$451),0),
IF('TL15'!$B$3=K$3,SUMIF('TL15'!$C$10:$C$224,$C262,'TL15'!$J$10:$J$224),0),
IF('TL15'!$B$229=K$3,SUMIF('TL15'!$C$238:$C$451,$C262,'TL15'!$J$238:$J$451),0),
IF('TL16'!$B$3=K$3,SUMIF('TL16'!$C$10:$C$224,$C262,'TL16'!$J$10:$J$224),0),
IF('TL16'!$B$229=K$3,SUMIF('TL16'!$C$238:$C$451,$C262,'TL16'!$J$238:$J$451),0),
IF('TL17'!$B$3=K$3,SUMIF('TL17'!$C$10:$C$224,$C262,'TL17'!$J$10:$J$224),0),
IF('TL17'!$B$229=K$3,SUMIF('TL17'!$C$238:$C$451,$C262,'TL17'!$J$238:$J$451),0),
IF('TL18'!$B$3=K$3,SUMIF('TL18'!$C$10:$C$224,$C262,'TL18'!$J$10:$J$224),0),
IF('TL18'!$B$229=K$3,SUMIF('TL18'!$C$238:$C$451,$C262,'TL18'!$J$238:$J$451),0),
IF('TL19'!$B$3=K$3,SUMIF('TL19'!$C$10:$C$224,$C262,'TL19'!$J$10:$J$224),0),
IF('TL19'!$B$229=K$3,SUMIF('TL19'!$C$238:$C$451,$C262,'TL19'!$J$238:$J$451),0)
),0)</f>
        <v/>
      </c>
      <c r="L262" s="9">
        <f>IFERROR(SUM(
IF('TL01'!$B$3=L$3,SUMIF('TL01'!$C$10:$C$224,$C262,'TL01'!$J$10:$J$224),0),
IF('TL01'!$B$229=L$3,SUMIF('TL01'!$C$238:$C$451,$C262,'TL01'!$J$238:$J$451),0),
IF('TL02'!$B$3=L$3,SUMIF('TL02'!$C$10:$C$224,$C262,'TL02'!$J$10:$J$224),0),
IF('TL02'!$B$229=L$3,SUMIF('TL02'!$C$238:$C$451,$C262,'TL02'!$J$238:$J$451),0),
IF('TL03'!$B$3=L$3,SUMIF('TL03'!$C$10:$C$224,$C262,'TL03'!$J$10:$J$224),0),
IF('TL03'!$B$229=L$3,SUMIF('TL03'!$C$238:$C$451,$C262,'TL03'!$J$238:$J$451),0),
IF('TL04'!$B$3=L$3,SUMIF('TL04'!$C$10:$C$224,$C262,'TL04'!$J$10:$J$224),0),
IF('TL04'!$B$229=L$3,SUMIF('TL04'!$C$238:$C$451,$C262,'TL04'!$J$238:$J$451),0),
IF('TL05'!$B$3=L$3,SUMIF('TL05'!$C$10:$C$224,$C262,'TL05'!$J$10:$J$224),0),
IF('TL05'!$B$229=L$3,SUMIF('TL05'!$C$238:$C$451,$C262,'TL05'!$J$238:$J$451),0),
IF('TL06'!$B$3=L$3,SUMIF('TL06'!$C$10:$C$224,$C262,'TL06'!$J$10:$J$224),0),
IF('TL06'!$B$229=L$3,SUMIF('TL06'!$C$238:$C$451,$C262,'TL06'!$J$238:$J$451),0),
IF('TL07'!$B$3=L$3,SUMIF('TL07'!$C$10:$C$224,$C262,'TL07'!$J$10:$J$224),0),
IF('TL07'!$B$229=L$3,SUMIF('TL07'!$C$238:$C$451,$C262,'TL07'!$J$238:$J$451),0),
IF('TL08'!$B$3=L$3,SUMIF('TL08'!$C$10:$C$224,$C262,'TL08'!$J$10:$J$224),0),
IF('TL08'!$B$229=L$3,SUMIF('TL08'!$C$238:$C$451,$C262,'TL08'!$J$238:$J$451),0),
IF('TL09'!$B$3=L$3,SUMIF('TL09'!$C$10:$C$224,$C262,'TL09'!$J$10:$J$224),0),
IF('TL09'!$B$229=L$3,SUMIF('TL09'!$C$238:$C$451,$C262,'TL09'!$J$238:$J$451),0),
IF('TL10'!$B$3=L$3,SUMIF('TL10'!$C$10:$C$224,$C262,'TL10'!$J$10:$J$224),0),
IF('TL10'!$B$229=L$3,SUMIF('TL10'!$C$238:$C$451,$C262,'TL10'!$J$238:$J$451),0),
IF('TL11'!$B$3=L$3,SUMIF('TL11'!$C$10:$C$224,$C262,'TL11'!$J$10:$J$224),0),
IF('TL11'!$B$229=L$3,SUMIF('TL11'!$C$238:$C$451,$C262,'TL11'!$J$238:$J$451),0),
IF('TL12'!$B$3=L$3,SUMIF('TL12'!$C$10:$C$224,$C262,'TL12'!$J$10:$J$224),0),
IF('TL12'!$B$229=L$3,SUMIF('TL12'!$C$238:$C$451,$C262,'TL12'!$J$238:$J$451),0),
IF('TL13'!$B$3=L$3,SUMIF('TL13'!$C$10:$C$224,$C262,'TL13'!$J$10:$J$224),0),
IF('TL13'!$B$229=L$3,SUMIF('TL13'!$C$238:$C$451,$C262,'TL13'!$J$238:$J$451),0),
IF('TL14'!$B$3=L$3,SUMIF('TL14'!$C$10:$C$224,$C262,'TL14'!$J$10:$J$224),0),
IF('TL14'!$B$229=L$3,SUMIF('TL14'!$C$238:$C$451,$C262,'TL14'!$J$238:$J$451),0),
IF('TL15'!$B$3=L$3,SUMIF('TL15'!$C$10:$C$224,$C262,'TL15'!$J$10:$J$224),0),
IF('TL15'!$B$229=L$3,SUMIF('TL15'!$C$238:$C$451,$C262,'TL15'!$J$238:$J$451),0),
IF('TL16'!$B$3=L$3,SUMIF('TL16'!$C$10:$C$224,$C262,'TL16'!$J$10:$J$224),0),
IF('TL16'!$B$229=L$3,SUMIF('TL16'!$C$238:$C$451,$C262,'TL16'!$J$238:$J$451),0),
IF('TL17'!$B$3=L$3,SUMIF('TL17'!$C$10:$C$224,$C262,'TL17'!$J$10:$J$224),0),
IF('TL17'!$B$229=L$3,SUMIF('TL17'!$C$238:$C$451,$C262,'TL17'!$J$238:$J$451),0),
IF('TL18'!$B$3=L$3,SUMIF('TL18'!$C$10:$C$224,$C262,'TL18'!$J$10:$J$224),0),
IF('TL18'!$B$229=L$3,SUMIF('TL18'!$C$238:$C$451,$C262,'TL18'!$J$238:$J$451),0),
IF('TL19'!$B$3=L$3,SUMIF('TL19'!$C$10:$C$224,$C262,'TL19'!$J$10:$J$224),0),
IF('TL19'!$B$229=L$3,SUMIF('TL19'!$C$238:$C$451,$C262,'TL19'!$J$238:$J$451),0)
),0)</f>
        <v/>
      </c>
      <c r="M262" s="9">
        <f>IFERROR(SUM(
IF('TL01'!$B$3=M$3,SUMIF('TL01'!$C$10:$C$224,$C262,'TL01'!$J$10:$J$224),0),
IF('TL01'!$B$229=M$3,SUMIF('TL01'!$C$238:$C$451,$C262,'TL01'!$J$238:$J$451),0),
IF('TL02'!$B$3=M$3,SUMIF('TL02'!$C$10:$C$224,$C262,'TL02'!$J$10:$J$224),0),
IF('TL02'!$B$229=M$3,SUMIF('TL02'!$C$238:$C$451,$C262,'TL02'!$J$238:$J$451),0),
IF('TL03'!$B$3=M$3,SUMIF('TL03'!$C$10:$C$224,$C262,'TL03'!$J$10:$J$224),0),
IF('TL03'!$B$229=M$3,SUMIF('TL03'!$C$238:$C$451,$C262,'TL03'!$J$238:$J$451),0),
IF('TL04'!$B$3=M$3,SUMIF('TL04'!$C$10:$C$224,$C262,'TL04'!$J$10:$J$224),0),
IF('TL04'!$B$229=M$3,SUMIF('TL04'!$C$238:$C$451,$C262,'TL04'!$J$238:$J$451),0),
IF('TL05'!$B$3=M$3,SUMIF('TL05'!$C$10:$C$224,$C262,'TL05'!$J$10:$J$224),0),
IF('TL05'!$B$229=M$3,SUMIF('TL05'!$C$238:$C$451,$C262,'TL05'!$J$238:$J$451),0),
IF('TL06'!$B$3=M$3,SUMIF('TL06'!$C$10:$C$224,$C262,'TL06'!$J$10:$J$224),0),
IF('TL06'!$B$229=M$3,SUMIF('TL06'!$C$238:$C$451,$C262,'TL06'!$J$238:$J$451),0),
IF('TL07'!$B$3=M$3,SUMIF('TL07'!$C$10:$C$224,$C262,'TL07'!$J$10:$J$224),0),
IF('TL07'!$B$229=M$3,SUMIF('TL07'!$C$238:$C$451,$C262,'TL07'!$J$238:$J$451),0),
IF('TL08'!$B$3=M$3,SUMIF('TL08'!$C$10:$C$224,$C262,'TL08'!$J$10:$J$224),0),
IF('TL08'!$B$229=M$3,SUMIF('TL08'!$C$238:$C$451,$C262,'TL08'!$J$238:$J$451),0),
IF('TL09'!$B$3=M$3,SUMIF('TL09'!$C$10:$C$224,$C262,'TL09'!$J$10:$J$224),0),
IF('TL09'!$B$229=M$3,SUMIF('TL09'!$C$238:$C$451,$C262,'TL09'!$J$238:$J$451),0),
IF('TL10'!$B$3=M$3,SUMIF('TL10'!$C$10:$C$224,$C262,'TL10'!$J$10:$J$224),0),
IF('TL10'!$B$229=M$3,SUMIF('TL10'!$C$238:$C$451,$C262,'TL10'!$J$238:$J$451),0),
IF('TL11'!$B$3=M$3,SUMIF('TL11'!$C$10:$C$224,$C262,'TL11'!$J$10:$J$224),0),
IF('TL11'!$B$229=M$3,SUMIF('TL11'!$C$238:$C$451,$C262,'TL11'!$J$238:$J$451),0),
IF('TL12'!$B$3=M$3,SUMIF('TL12'!$C$10:$C$224,$C262,'TL12'!$J$10:$J$224),0),
IF('TL12'!$B$229=M$3,SUMIF('TL12'!$C$238:$C$451,$C262,'TL12'!$J$238:$J$451),0),
IF('TL13'!$B$3=M$3,SUMIF('TL13'!$C$10:$C$224,$C262,'TL13'!$J$10:$J$224),0),
IF('TL13'!$B$229=M$3,SUMIF('TL13'!$C$238:$C$451,$C262,'TL13'!$J$238:$J$451),0),
IF('TL14'!$B$3=M$3,SUMIF('TL14'!$C$10:$C$224,$C262,'TL14'!$J$10:$J$224),0),
IF('TL14'!$B$229=M$3,SUMIF('TL14'!$C$238:$C$451,$C262,'TL14'!$J$238:$J$451),0),
IF('TL15'!$B$3=M$3,SUMIF('TL15'!$C$10:$C$224,$C262,'TL15'!$J$10:$J$224),0),
IF('TL15'!$B$229=M$3,SUMIF('TL15'!$C$238:$C$451,$C262,'TL15'!$J$238:$J$451),0),
IF('TL16'!$B$3=M$3,SUMIF('TL16'!$C$10:$C$224,$C262,'TL16'!$J$10:$J$224),0),
IF('TL16'!$B$229=M$3,SUMIF('TL16'!$C$238:$C$451,$C262,'TL16'!$J$238:$J$451),0),
IF('TL17'!$B$3=M$3,SUMIF('TL17'!$C$10:$C$224,$C262,'TL17'!$J$10:$J$224),0),
IF('TL17'!$B$229=M$3,SUMIF('TL17'!$C$238:$C$451,$C262,'TL17'!$J$238:$J$451),0),
IF('TL18'!$B$3=M$3,SUMIF('TL18'!$C$10:$C$224,$C262,'TL18'!$J$10:$J$224),0),
IF('TL18'!$B$229=M$3,SUMIF('TL18'!$C$238:$C$451,$C262,'TL18'!$J$238:$J$451),0),
IF('TL19'!$B$3=M$3,SUMIF('TL19'!$C$10:$C$224,$C262,'TL19'!$J$10:$J$224),0),
IF('TL19'!$B$229=M$3,SUMIF('TL19'!$C$238:$C$451,$C262,'TL19'!$J$238:$J$451),0)
),0)</f>
        <v/>
      </c>
      <c r="N262" s="9">
        <f>IFERROR(SUM(
IF('TL01'!$B$3=N$3,SUMIF('TL01'!$C$10:$C$224,$C262,'TL01'!$J$10:$J$224),0),
IF('TL01'!$B$229=N$3,SUMIF('TL01'!$C$238:$C$451,$C262,'TL01'!$J$238:$J$451),0),
IF('TL02'!$B$3=N$3,SUMIF('TL02'!$C$10:$C$224,$C262,'TL02'!$J$10:$J$224),0),
IF('TL02'!$B$229=N$3,SUMIF('TL02'!$C$238:$C$451,$C262,'TL02'!$J$238:$J$451),0),
IF('TL03'!$B$3=N$3,SUMIF('TL03'!$C$10:$C$224,$C262,'TL03'!$J$10:$J$224),0),
IF('TL03'!$B$229=N$3,SUMIF('TL03'!$C$238:$C$451,$C262,'TL03'!$J$238:$J$451),0),
IF('TL04'!$B$3=N$3,SUMIF('TL04'!$C$10:$C$224,$C262,'TL04'!$J$10:$J$224),0),
IF('TL04'!$B$229=N$3,SUMIF('TL04'!$C$238:$C$451,$C262,'TL04'!$J$238:$J$451),0),
IF('TL05'!$B$3=N$3,SUMIF('TL05'!$C$10:$C$224,$C262,'TL05'!$J$10:$J$224),0),
IF('TL05'!$B$229=N$3,SUMIF('TL05'!$C$238:$C$451,$C262,'TL05'!$J$238:$J$451),0),
IF('TL06'!$B$3=N$3,SUMIF('TL06'!$C$10:$C$224,$C262,'TL06'!$J$10:$J$224),0),
IF('TL06'!$B$229=N$3,SUMIF('TL06'!$C$238:$C$451,$C262,'TL06'!$J$238:$J$451),0),
IF('TL07'!$B$3=N$3,SUMIF('TL07'!$C$10:$C$224,$C262,'TL07'!$J$10:$J$224),0),
IF('TL07'!$B$229=N$3,SUMIF('TL07'!$C$238:$C$451,$C262,'TL07'!$J$238:$J$451),0),
IF('TL08'!$B$3=N$3,SUMIF('TL08'!$C$10:$C$224,$C262,'TL08'!$J$10:$J$224),0),
IF('TL08'!$B$229=N$3,SUMIF('TL08'!$C$238:$C$451,$C262,'TL08'!$J$238:$J$451),0),
IF('TL09'!$B$3=N$3,SUMIF('TL09'!$C$10:$C$224,$C262,'TL09'!$J$10:$J$224),0),
IF('TL09'!$B$229=N$3,SUMIF('TL09'!$C$238:$C$451,$C262,'TL09'!$J$238:$J$451),0),
IF('TL10'!$B$3=N$3,SUMIF('TL10'!$C$10:$C$224,$C262,'TL10'!$J$10:$J$224),0),
IF('TL10'!$B$229=N$3,SUMIF('TL10'!$C$238:$C$451,$C262,'TL10'!$J$238:$J$451),0),
IF('TL11'!$B$3=N$3,SUMIF('TL11'!$C$10:$C$224,$C262,'TL11'!$J$10:$J$224),0),
IF('TL11'!$B$229=N$3,SUMIF('TL11'!$C$238:$C$451,$C262,'TL11'!$J$238:$J$451),0),
IF('TL12'!$B$3=N$3,SUMIF('TL12'!$C$10:$C$224,$C262,'TL12'!$J$10:$J$224),0),
IF('TL12'!$B$229=N$3,SUMIF('TL12'!$C$238:$C$451,$C262,'TL12'!$J$238:$J$451),0),
IF('TL13'!$B$3=N$3,SUMIF('TL13'!$C$10:$C$224,$C262,'TL13'!$J$10:$J$224),0),
IF('TL13'!$B$229=N$3,SUMIF('TL13'!$C$238:$C$451,$C262,'TL13'!$J$238:$J$451),0),
IF('TL14'!$B$3=N$3,SUMIF('TL14'!$C$10:$C$224,$C262,'TL14'!$J$10:$J$224),0),
IF('TL14'!$B$229=N$3,SUMIF('TL14'!$C$238:$C$451,$C262,'TL14'!$J$238:$J$451),0),
IF('TL15'!$B$3=N$3,SUMIF('TL15'!$C$10:$C$224,$C262,'TL15'!$J$10:$J$224),0),
IF('TL15'!$B$229=N$3,SUMIF('TL15'!$C$238:$C$451,$C262,'TL15'!$J$238:$J$451),0),
IF('TL16'!$B$3=N$3,SUMIF('TL16'!$C$10:$C$224,$C262,'TL16'!$J$10:$J$224),0),
IF('TL16'!$B$229=N$3,SUMIF('TL16'!$C$238:$C$451,$C262,'TL16'!$J$238:$J$451),0),
IF('TL17'!$B$3=N$3,SUMIF('TL17'!$C$10:$C$224,$C262,'TL17'!$J$10:$J$224),0),
IF('TL17'!$B$229=N$3,SUMIF('TL17'!$C$238:$C$451,$C262,'TL17'!$J$238:$J$451),0),
IF('TL18'!$B$3=N$3,SUMIF('TL18'!$C$10:$C$224,$C262,'TL18'!$J$10:$J$224),0),
IF('TL18'!$B$229=N$3,SUMIF('TL18'!$C$238:$C$451,$C262,'TL18'!$J$238:$J$451),0),
IF('TL19'!$B$3=N$3,SUMIF('TL19'!$C$10:$C$224,$C262,'TL19'!$J$10:$J$224),0),
IF('TL19'!$B$229=N$3,SUMIF('TL19'!$C$238:$C$451,$C262,'TL19'!$J$238:$J$451),0)
),0)</f>
        <v/>
      </c>
      <c r="O262" s="9">
        <f>IFERROR(SUM(
IF('TL01'!$B$3=O$3,SUMIF('TL01'!$C$10:$C$224,$C262,'TL01'!$J$10:$J$224),0),
IF('TL01'!$B$229=O$3,SUMIF('TL01'!$C$238:$C$451,$C262,'TL01'!$J$238:$J$451),0),
IF('TL02'!$B$3=O$3,SUMIF('TL02'!$C$10:$C$224,$C262,'TL02'!$J$10:$J$224),0),
IF('TL02'!$B$229=O$3,SUMIF('TL02'!$C$238:$C$451,$C262,'TL02'!$J$238:$J$451),0),
IF('TL03'!$B$3=O$3,SUMIF('TL03'!$C$10:$C$224,$C262,'TL03'!$J$10:$J$224),0),
IF('TL03'!$B$229=O$3,SUMIF('TL03'!$C$238:$C$451,$C262,'TL03'!$J$238:$J$451),0),
IF('TL04'!$B$3=O$3,SUMIF('TL04'!$C$10:$C$224,$C262,'TL04'!$J$10:$J$224),0),
IF('TL04'!$B$229=O$3,SUMIF('TL04'!$C$238:$C$451,$C262,'TL04'!$J$238:$J$451),0),
IF('TL05'!$B$3=O$3,SUMIF('TL05'!$C$10:$C$224,$C262,'TL05'!$J$10:$J$224),0),
IF('TL05'!$B$229=O$3,SUMIF('TL05'!$C$238:$C$451,$C262,'TL05'!$J$238:$J$451),0),
IF('TL06'!$B$3=O$3,SUMIF('TL06'!$C$10:$C$224,$C262,'TL06'!$J$10:$J$224),0),
IF('TL06'!$B$229=O$3,SUMIF('TL06'!$C$238:$C$451,$C262,'TL06'!$J$238:$J$451),0),
IF('TL07'!$B$3=O$3,SUMIF('TL07'!$C$10:$C$224,$C262,'TL07'!$J$10:$J$224),0),
IF('TL07'!$B$229=O$3,SUMIF('TL07'!$C$238:$C$451,$C262,'TL07'!$J$238:$J$451),0),
IF('TL08'!$B$3=O$3,SUMIF('TL08'!$C$10:$C$224,$C262,'TL08'!$J$10:$J$224),0),
IF('TL08'!$B$229=O$3,SUMIF('TL08'!$C$238:$C$451,$C262,'TL08'!$J$238:$J$451),0),
IF('TL09'!$B$3=O$3,SUMIF('TL09'!$C$10:$C$224,$C262,'TL09'!$J$10:$J$224),0),
IF('TL09'!$B$229=O$3,SUMIF('TL09'!$C$238:$C$451,$C262,'TL09'!$J$238:$J$451),0),
IF('TL10'!$B$3=O$3,SUMIF('TL10'!$C$10:$C$224,$C262,'TL10'!$J$10:$J$224),0),
IF('TL10'!$B$229=O$3,SUMIF('TL10'!$C$238:$C$451,$C262,'TL10'!$J$238:$J$451),0),
IF('TL11'!$B$3=O$3,SUMIF('TL11'!$C$10:$C$224,$C262,'TL11'!$J$10:$J$224),0),
IF('TL11'!$B$229=O$3,SUMIF('TL11'!$C$238:$C$451,$C262,'TL11'!$J$238:$J$451),0),
IF('TL12'!$B$3=O$3,SUMIF('TL12'!$C$10:$C$224,$C262,'TL12'!$J$10:$J$224),0),
IF('TL12'!$B$229=O$3,SUMIF('TL12'!$C$238:$C$451,$C262,'TL12'!$J$238:$J$451),0),
IF('TL13'!$B$3=O$3,SUMIF('TL13'!$C$10:$C$224,$C262,'TL13'!$J$10:$J$224),0),
IF('TL13'!$B$229=O$3,SUMIF('TL13'!$C$238:$C$451,$C262,'TL13'!$J$238:$J$451),0),
IF('TL14'!$B$3=O$3,SUMIF('TL14'!$C$10:$C$224,$C262,'TL14'!$J$10:$J$224),0),
IF('TL14'!$B$229=O$3,SUMIF('TL14'!$C$238:$C$451,$C262,'TL14'!$J$238:$J$451),0),
IF('TL15'!$B$3=O$3,SUMIF('TL15'!$C$10:$C$224,$C262,'TL15'!$J$10:$J$224),0),
IF('TL15'!$B$229=O$3,SUMIF('TL15'!$C$238:$C$451,$C262,'TL15'!$J$238:$J$451),0),
IF('TL16'!$B$3=O$3,SUMIF('TL16'!$C$10:$C$224,$C262,'TL16'!$J$10:$J$224),0),
IF('TL16'!$B$229=O$3,SUMIF('TL16'!$C$238:$C$451,$C262,'TL16'!$J$238:$J$451),0),
IF('TL17'!$B$3=O$3,SUMIF('TL17'!$C$10:$C$224,$C262,'TL17'!$J$10:$J$224),0),
IF('TL17'!$B$229=O$3,SUMIF('TL17'!$C$238:$C$451,$C262,'TL17'!$J$238:$J$451),0),
IF('TL18'!$B$3=O$3,SUMIF('TL18'!$C$10:$C$224,$C262,'TL18'!$J$10:$J$224),0),
IF('TL18'!$B$229=O$3,SUMIF('TL18'!$C$238:$C$451,$C262,'TL18'!$J$238:$J$451),0),
IF('TL19'!$B$3=O$3,SUMIF('TL19'!$C$10:$C$224,$C262,'TL19'!$J$10:$J$224),0),
IF('TL19'!$B$229=O$3,SUMIF('TL19'!$C$238:$C$451,$C262,'TL19'!$J$238:$J$451),0)
),0)</f>
        <v/>
      </c>
      <c r="P262" s="9">
        <f>IFERROR(SUM(
IF('TL01'!$B$3=P$3,SUMIF('TL01'!$C$10:$C$224,$C262,'TL01'!$J$10:$J$224),0),
IF('TL01'!$B$229=P$3,SUMIF('TL01'!$C$238:$C$451,$C262,'TL01'!$J$238:$J$451),0),
IF('TL02'!$B$3=P$3,SUMIF('TL02'!$C$10:$C$224,$C262,'TL02'!$J$10:$J$224),0),
IF('TL02'!$B$229=P$3,SUMIF('TL02'!$C$238:$C$451,$C262,'TL02'!$J$238:$J$451),0),
IF('TL03'!$B$3=P$3,SUMIF('TL03'!$C$10:$C$224,$C262,'TL03'!$J$10:$J$224),0),
IF('TL03'!$B$229=P$3,SUMIF('TL03'!$C$238:$C$451,$C262,'TL03'!$J$238:$J$451),0),
IF('TL04'!$B$3=P$3,SUMIF('TL04'!$C$10:$C$224,$C262,'TL04'!$J$10:$J$224),0),
IF('TL04'!$B$229=P$3,SUMIF('TL04'!$C$238:$C$451,$C262,'TL04'!$J$238:$J$451),0),
IF('TL05'!$B$3=P$3,SUMIF('TL05'!$C$10:$C$224,$C262,'TL05'!$J$10:$J$224),0),
IF('TL05'!$B$229=P$3,SUMIF('TL05'!$C$238:$C$451,$C262,'TL05'!$J$238:$J$451),0),
IF('TL06'!$B$3=P$3,SUMIF('TL06'!$C$10:$C$224,$C262,'TL06'!$J$10:$J$224),0),
IF('TL06'!$B$229=P$3,SUMIF('TL06'!$C$238:$C$451,$C262,'TL06'!$J$238:$J$451),0),
IF('TL07'!$B$3=P$3,SUMIF('TL07'!$C$10:$C$224,$C262,'TL07'!$J$10:$J$224),0),
IF('TL07'!$B$229=P$3,SUMIF('TL07'!$C$238:$C$451,$C262,'TL07'!$J$238:$J$451),0),
IF('TL08'!$B$3=P$3,SUMIF('TL08'!$C$10:$C$224,$C262,'TL08'!$J$10:$J$224),0),
IF('TL08'!$B$229=P$3,SUMIF('TL08'!$C$238:$C$451,$C262,'TL08'!$J$238:$J$451),0),
IF('TL09'!$B$3=P$3,SUMIF('TL09'!$C$10:$C$224,$C262,'TL09'!$J$10:$J$224),0),
IF('TL09'!$B$229=P$3,SUMIF('TL09'!$C$238:$C$451,$C262,'TL09'!$J$238:$J$451),0),
IF('TL10'!$B$3=P$3,SUMIF('TL10'!$C$10:$C$224,$C262,'TL10'!$J$10:$J$224),0),
IF('TL10'!$B$229=P$3,SUMIF('TL10'!$C$238:$C$451,$C262,'TL10'!$J$238:$J$451),0),
IF('TL11'!$B$3=P$3,SUMIF('TL11'!$C$10:$C$224,$C262,'TL11'!$J$10:$J$224),0),
IF('TL11'!$B$229=P$3,SUMIF('TL11'!$C$238:$C$451,$C262,'TL11'!$J$238:$J$451),0),
IF('TL12'!$B$3=P$3,SUMIF('TL12'!$C$10:$C$224,$C262,'TL12'!$J$10:$J$224),0),
IF('TL12'!$B$229=P$3,SUMIF('TL12'!$C$238:$C$451,$C262,'TL12'!$J$238:$J$451),0),
IF('TL13'!$B$3=P$3,SUMIF('TL13'!$C$10:$C$224,$C262,'TL13'!$J$10:$J$224),0),
IF('TL13'!$B$229=P$3,SUMIF('TL13'!$C$238:$C$451,$C262,'TL13'!$J$238:$J$451),0),
IF('TL14'!$B$3=P$3,SUMIF('TL14'!$C$10:$C$224,$C262,'TL14'!$J$10:$J$224),0),
IF('TL14'!$B$229=P$3,SUMIF('TL14'!$C$238:$C$451,$C262,'TL14'!$J$238:$J$451),0),
IF('TL15'!$B$3=P$3,SUMIF('TL15'!$C$10:$C$224,$C262,'TL15'!$J$10:$J$224),0),
IF('TL15'!$B$229=P$3,SUMIF('TL15'!$C$238:$C$451,$C262,'TL15'!$J$238:$J$451),0),
IF('TL16'!$B$3=P$3,SUMIF('TL16'!$C$10:$C$224,$C262,'TL16'!$J$10:$J$224),0),
IF('TL16'!$B$229=P$3,SUMIF('TL16'!$C$238:$C$451,$C262,'TL16'!$J$238:$J$451),0),
IF('TL17'!$B$3=P$3,SUMIF('TL17'!$C$10:$C$224,$C262,'TL17'!$J$10:$J$224),0),
IF('TL17'!$B$229=P$3,SUMIF('TL17'!$C$238:$C$451,$C262,'TL17'!$J$238:$J$451),0),
IF('TL18'!$B$3=P$3,SUMIF('TL18'!$C$10:$C$224,$C262,'TL18'!$J$10:$J$224),0),
IF('TL18'!$B$229=P$3,SUMIF('TL18'!$C$238:$C$451,$C262,'TL18'!$J$238:$J$451),0),
IF('TL19'!$B$3=P$3,SUMIF('TL19'!$C$10:$C$224,$C262,'TL19'!$J$10:$J$224),0),
IF('TL19'!$B$229=P$3,SUMIF('TL19'!$C$238:$C$451,$C262,'TL19'!$J$238:$J$451),0)
),0)</f>
        <v/>
      </c>
      <c r="Q262" s="9">
        <f>IFERROR(SUM(
IF('TL01'!$B$3=Q$3,SUMIF('TL01'!$C$10:$C$224,$C262,'TL01'!$J$10:$J$224),0),
IF('TL01'!$B$229=Q$3,SUMIF('TL01'!$C$238:$C$451,$C262,'TL01'!$J$238:$J$451),0),
IF('TL02'!$B$3=Q$3,SUMIF('TL02'!$C$10:$C$224,$C262,'TL02'!$J$10:$J$224),0),
IF('TL02'!$B$229=Q$3,SUMIF('TL02'!$C$238:$C$451,$C262,'TL02'!$J$238:$J$451),0),
IF('TL03'!$B$3=Q$3,SUMIF('TL03'!$C$10:$C$224,$C262,'TL03'!$J$10:$J$224),0),
IF('TL03'!$B$229=Q$3,SUMIF('TL03'!$C$238:$C$451,$C262,'TL03'!$J$238:$J$451),0),
IF('TL04'!$B$3=Q$3,SUMIF('TL04'!$C$10:$C$224,$C262,'TL04'!$J$10:$J$224),0),
IF('TL04'!$B$229=Q$3,SUMIF('TL04'!$C$238:$C$451,$C262,'TL04'!$J$238:$J$451),0),
IF('TL05'!$B$3=Q$3,SUMIF('TL05'!$C$10:$C$224,$C262,'TL05'!$J$10:$J$224),0),
IF('TL05'!$B$229=Q$3,SUMIF('TL05'!$C$238:$C$451,$C262,'TL05'!$J$238:$J$451),0),
IF('TL06'!$B$3=Q$3,SUMIF('TL06'!$C$10:$C$224,$C262,'TL06'!$J$10:$J$224),0),
IF('TL06'!$B$229=Q$3,SUMIF('TL06'!$C$238:$C$451,$C262,'TL06'!$J$238:$J$451),0),
IF('TL07'!$B$3=Q$3,SUMIF('TL07'!$C$10:$C$224,$C262,'TL07'!$J$10:$J$224),0),
IF('TL07'!$B$229=Q$3,SUMIF('TL07'!$C$238:$C$451,$C262,'TL07'!$J$238:$J$451),0),
IF('TL08'!$B$3=Q$3,SUMIF('TL08'!$C$10:$C$224,$C262,'TL08'!$J$10:$J$224),0),
IF('TL08'!$B$229=Q$3,SUMIF('TL08'!$C$238:$C$451,$C262,'TL08'!$J$238:$J$451),0),
IF('TL09'!$B$3=Q$3,SUMIF('TL09'!$C$10:$C$224,$C262,'TL09'!$J$10:$J$224),0),
IF('TL09'!$B$229=Q$3,SUMIF('TL09'!$C$238:$C$451,$C262,'TL09'!$J$238:$J$451),0),
IF('TL10'!$B$3=Q$3,SUMIF('TL10'!$C$10:$C$224,$C262,'TL10'!$J$10:$J$224),0),
IF('TL10'!$B$229=Q$3,SUMIF('TL10'!$C$238:$C$451,$C262,'TL10'!$J$238:$J$451),0),
IF('TL11'!$B$3=Q$3,SUMIF('TL11'!$C$10:$C$224,$C262,'TL11'!$J$10:$J$224),0),
IF('TL11'!$B$229=Q$3,SUMIF('TL11'!$C$238:$C$451,$C262,'TL11'!$J$238:$J$451),0),
IF('TL12'!$B$3=Q$3,SUMIF('TL12'!$C$10:$C$224,$C262,'TL12'!$J$10:$J$224),0),
IF('TL12'!$B$229=Q$3,SUMIF('TL12'!$C$238:$C$451,$C262,'TL12'!$J$238:$J$451),0),
IF('TL13'!$B$3=Q$3,SUMIF('TL13'!$C$10:$C$224,$C262,'TL13'!$J$10:$J$224),0),
IF('TL13'!$B$229=Q$3,SUMIF('TL13'!$C$238:$C$451,$C262,'TL13'!$J$238:$J$451),0),
IF('TL14'!$B$3=Q$3,SUMIF('TL14'!$C$10:$C$224,$C262,'TL14'!$J$10:$J$224),0),
IF('TL14'!$B$229=Q$3,SUMIF('TL14'!$C$238:$C$451,$C262,'TL14'!$J$238:$J$451),0),
IF('TL15'!$B$3=Q$3,SUMIF('TL15'!$C$10:$C$224,$C262,'TL15'!$J$10:$J$224),0),
IF('TL15'!$B$229=Q$3,SUMIF('TL15'!$C$238:$C$451,$C262,'TL15'!$J$238:$J$451),0),
IF('TL16'!$B$3=Q$3,SUMIF('TL16'!$C$10:$C$224,$C262,'TL16'!$J$10:$J$224),0),
IF('TL16'!$B$229=Q$3,SUMIF('TL16'!$C$238:$C$451,$C262,'TL16'!$J$238:$J$451),0),
IF('TL17'!$B$3=Q$3,SUMIF('TL17'!$C$10:$C$224,$C262,'TL17'!$J$10:$J$224),0),
IF('TL17'!$B$229=Q$3,SUMIF('TL17'!$C$238:$C$451,$C262,'TL17'!$J$238:$J$451),0),
IF('TL18'!$B$3=Q$3,SUMIF('TL18'!$C$10:$C$224,$C262,'TL18'!$J$10:$J$224),0),
IF('TL18'!$B$229=Q$3,SUMIF('TL18'!$C$238:$C$451,$C262,'TL18'!$J$238:$J$451),0),
IF('TL19'!$B$3=Q$3,SUMIF('TL19'!$C$10:$C$224,$C262,'TL19'!$J$10:$J$224),0),
IF('TL19'!$B$229=Q$3,SUMIF('TL19'!$C$238:$C$451,$C262,'TL19'!$J$238:$J$451),0)
),0)</f>
        <v/>
      </c>
      <c r="R262" s="9">
        <f>IFERROR(
SUM(
SUMIF('TL01'!C:C,C262,'TL01'!J:J),
SUMIF('TL02'!C:C,C262,'TL02'!J:J),
SUMIF('TL03'!C:C,C262,'TL03'!J:J),
SUMIF('TL04'!C:C,C262,'TL04'!J:J),
SUMIF('TL05'!C:C,C262,'TL05'!J:J),
SUMIF('TL06'!C:C,C262,'TL06'!J:J),
SUMIF('TL07'!C:C,C262,'TL07'!J:J),
SUMIF('TL08'!C:C,C262,'TL08'!J:J),
SUMIF('TL09'!C:C,C262,'TL09'!J:J),
SUMIF('TL10'!C:C,C262,'TL10'!J:J),
SUMIF('TL11'!C:C,C262,'TL11'!J:J),
SUMIF('TL12'!C:C,C262,'TL12'!J:J),
SUMIF('TL13'!C:C,C262,'TL13'!J:J),
SUMIF('TL14'!C:C,C262,'TL14'!J:J),
SUMIF('TL15'!C:C,C262,'TL15'!J:J),
SUMIF('TL16'!C:C,C262,'TL16'!J:J),
SUMIF('TL17'!C:C,C262,'TL17'!J:J),
SUMIF('TL18'!C:C,C262,'TL18'!J:J),SUMIF('TL19'!C:C,C262,'TL19'!J:J))
,0)</f>
        <v/>
      </c>
      <c r="S262" s="17">
        <f>IFERROR(__xludf.DUMMYFUNCTION("IFERROR(VLOOKUP(C262,
IMPORTRANGE(""1wULbzX32WdYsx-lj2U3uUNBBe2INVIRDtcK0d-Dvl90"",
""26-27!C:G""),
5,
FALSE),
"""")"),21.08)</f>
        <v/>
      </c>
      <c r="T262" s="9" t="n"/>
      <c r="U262" s="92">
        <f>MAX(0,R262-T262)</f>
        <v/>
      </c>
      <c r="V262" s="93">
        <f>U262*S262</f>
        <v/>
      </c>
    </row>
    <row r="263" hidden="1" ht="15.75" customHeight="1" s="297">
      <c r="A263" s="4" t="inlineStr">
        <is>
          <t>ACRESENTE</t>
        </is>
      </c>
      <c r="B263" s="125" t="inlineStr">
        <is>
          <t>NUTRIÇÃO</t>
        </is>
      </c>
      <c r="C263" s="4" t="inlineStr">
        <is>
          <t>ACRESECENT ALGA</t>
        </is>
      </c>
      <c r="D263" s="20" t="n"/>
      <c r="E263" s="9" t="n"/>
      <c r="F263" s="4" t="inlineStr">
        <is>
          <t>L</t>
        </is>
      </c>
      <c r="G263" s="9" t="n"/>
      <c r="H263" s="9" t="n">
        <v>3</v>
      </c>
      <c r="I263" s="1" t="n"/>
      <c r="J263" s="9">
        <f>IFERROR(SUM(
IF('TL01'!$B$3=J$3,SUMIF('TL01'!$C$10:$C$224,$C263,'TL01'!$J$10:$J$224),0),
IF('TL01'!$B$229=J$3,SUMIF('TL01'!$C$238:$C$451,$C263,'TL01'!$J$238:$J$451),0),
IF('TL02'!$B$3=J$3,SUMIF('TL02'!$C$10:$C$224,$C263,'TL02'!$J$10:$J$224),0),
IF('TL02'!$B$229=J$3,SUMIF('TL02'!$C$238:$C$451,$C263,'TL02'!$J$238:$J$451),0),
IF('TL03'!$B$3=J$3,SUMIF('TL03'!$C$10:$C$224,$C263,'TL03'!$J$10:$J$224),0),
IF('TL03'!$B$229=J$3,SUMIF('TL03'!$C$238:$C$451,$C263,'TL03'!$J$238:$J$451),0),
IF('TL04'!$B$3=J$3,SUMIF('TL04'!$C$10:$C$224,$C263,'TL04'!$J$10:$J$224),0),
IF('TL04'!$B$229=J$3,SUMIF('TL04'!$C$238:$C$451,$C263,'TL04'!$J$238:$J$451),0),
IF('TL05'!$B$3=J$3,SUMIF('TL05'!$C$10:$C$224,$C263,'TL05'!$J$10:$J$224),0),
IF('TL05'!$B$229=J$3,SUMIF('TL05'!$C$238:$C$451,$C263,'TL05'!$J$238:$J$451),0),
IF('TL06'!$B$3=J$3,SUMIF('TL06'!$C$10:$C$224,$C263,'TL06'!$J$10:$J$224),0),
IF('TL06'!$B$229=J$3,SUMIF('TL06'!$C$238:$C$451,$C263,'TL06'!$J$238:$J$451),0),
IF('TL07'!$B$3=J$3,SUMIF('TL07'!$C$10:$C$224,$C263,'TL07'!$J$10:$J$224),0),
IF('TL07'!$B$229=J$3,SUMIF('TL07'!$C$238:$C$451,$C263,'TL07'!$J$238:$J$451),0),
IF('TL08'!$B$3=J$3,SUMIF('TL08'!$C$10:$C$224,$C263,'TL08'!$J$10:$J$224),0),
IF('TL08'!$B$229=J$3,SUMIF('TL08'!$C$238:$C$451,$C263,'TL08'!$J$238:$J$451),0),
IF('TL09'!$B$3=J$3,SUMIF('TL09'!$C$10:$C$224,$C263,'TL09'!$J$10:$J$224),0),
IF('TL09'!$B$229=J$3,SUMIF('TL09'!$C$238:$C$451,$C263,'TL09'!$J$238:$J$451),0),
IF('TL10'!$B$3=J$3,SUMIF('TL10'!$C$10:$C$224,$C263,'TL10'!$J$10:$J$224),0),
IF('TL10'!$B$229=J$3,SUMIF('TL10'!$C$238:$C$451,$C263,'TL10'!$J$238:$J$451),0),
IF('TL11'!$B$3=J$3,SUMIF('TL11'!$C$10:$C$224,$C263,'TL11'!$J$10:$J$224),0),
IF('TL11'!$B$229=J$3,SUMIF('TL11'!$C$238:$C$451,$C263,'TL11'!$J$238:$J$451),0),
IF('TL12'!$B$3=J$3,SUMIF('TL12'!$C$10:$C$224,$C263,'TL12'!$J$10:$J$224),0),
IF('TL12'!$B$229=J$3,SUMIF('TL12'!$C$238:$C$451,$C263,'TL12'!$J$238:$J$451),0),
IF('TL13'!$B$3=J$3,SUMIF('TL13'!$C$10:$C$224,$C263,'TL13'!$J$10:$J$224),0),
IF('TL13'!$B$229=J$3,SUMIF('TL13'!$C$238:$C$451,$C263,'TL13'!$J$238:$J$451),0),
IF('TL14'!$B$3=J$3,SUMIF('TL14'!$C$10:$C$224,$C263,'TL14'!$J$10:$J$224),0),
IF('TL14'!$B$229=J$3,SUMIF('TL14'!$C$238:$C$451,$C263,'TL14'!$J$238:$J$451),0),
IF('TL15'!$B$3=J$3,SUMIF('TL15'!$C$10:$C$224,$C263,'TL15'!$J$10:$J$224),0),
IF('TL15'!$B$229=J$3,SUMIF('TL15'!$C$238:$C$451,$C263,'TL15'!$J$238:$J$451),0),
IF('TL16'!$B$3=J$3,SUMIF('TL16'!$C$10:$C$224,$C263,'TL16'!$J$10:$J$224),0),
IF('TL16'!$B$229=J$3,SUMIF('TL16'!$C$238:$C$451,$C263,'TL16'!$J$238:$J$451),0),
IF('TL17'!$B$3=J$3,SUMIF('TL17'!$C$10:$C$224,$C263,'TL17'!$J$10:$J$224),0),
IF('TL17'!$B$229=J$3,SUMIF('TL17'!$C$238:$C$451,$C263,'TL17'!$J$238:$J$451),0),
IF('TL18'!$B$3=J$3,SUMIF('TL18'!$C$10:$C$224,$C263,'TL18'!$J$10:$J$224),0),
IF('TL18'!$B$229=J$3,SUMIF('TL18'!$C$238:$C$451,$C263,'TL18'!$J$238:$J$451),0),
IF('TL19'!$B$3=J$3,SUMIF('TL19'!$C$10:$C$224,$C263,'TL19'!$J$10:$J$224),0),
IF('TL19'!$B$229=J$3,SUMIF('TL19'!$C$238:$C$451,$C263,'TL19'!$J$238:$J$451),0)
),0)</f>
        <v/>
      </c>
      <c r="K263" s="9">
        <f>IFERROR(SUM(
IF('TL01'!$B$3=K$3,SUMIF('TL01'!$C$10:$C$224,$C263,'TL01'!$J$10:$J$224),0),
IF('TL01'!$B$229=K$3,SUMIF('TL01'!$C$238:$C$451,$C263,'TL01'!$J$238:$J$451),0),
IF('TL02'!$B$3=K$3,SUMIF('TL02'!$C$10:$C$224,$C263,'TL02'!$J$10:$J$224),0),
IF('TL02'!$B$229=K$3,SUMIF('TL02'!$C$238:$C$451,$C263,'TL02'!$J$238:$J$451),0),
IF('TL03'!$B$3=K$3,SUMIF('TL03'!$C$10:$C$224,$C263,'TL03'!$J$10:$J$224),0),
IF('TL03'!$B$229=K$3,SUMIF('TL03'!$C$238:$C$451,$C263,'TL03'!$J$238:$J$451),0),
IF('TL04'!$B$3=K$3,SUMIF('TL04'!$C$10:$C$224,$C263,'TL04'!$J$10:$J$224),0),
IF('TL04'!$B$229=K$3,SUMIF('TL04'!$C$238:$C$451,$C263,'TL04'!$J$238:$J$451),0),
IF('TL05'!$B$3=K$3,SUMIF('TL05'!$C$10:$C$224,$C263,'TL05'!$J$10:$J$224),0),
IF('TL05'!$B$229=K$3,SUMIF('TL05'!$C$238:$C$451,$C263,'TL05'!$J$238:$J$451),0),
IF('TL06'!$B$3=K$3,SUMIF('TL06'!$C$10:$C$224,$C263,'TL06'!$J$10:$J$224),0),
IF('TL06'!$B$229=K$3,SUMIF('TL06'!$C$238:$C$451,$C263,'TL06'!$J$238:$J$451),0),
IF('TL07'!$B$3=K$3,SUMIF('TL07'!$C$10:$C$224,$C263,'TL07'!$J$10:$J$224),0),
IF('TL07'!$B$229=K$3,SUMIF('TL07'!$C$238:$C$451,$C263,'TL07'!$J$238:$J$451),0),
IF('TL08'!$B$3=K$3,SUMIF('TL08'!$C$10:$C$224,$C263,'TL08'!$J$10:$J$224),0),
IF('TL08'!$B$229=K$3,SUMIF('TL08'!$C$238:$C$451,$C263,'TL08'!$J$238:$J$451),0),
IF('TL09'!$B$3=K$3,SUMIF('TL09'!$C$10:$C$224,$C263,'TL09'!$J$10:$J$224),0),
IF('TL09'!$B$229=K$3,SUMIF('TL09'!$C$238:$C$451,$C263,'TL09'!$J$238:$J$451),0),
IF('TL10'!$B$3=K$3,SUMIF('TL10'!$C$10:$C$224,$C263,'TL10'!$J$10:$J$224),0),
IF('TL10'!$B$229=K$3,SUMIF('TL10'!$C$238:$C$451,$C263,'TL10'!$J$238:$J$451),0),
IF('TL11'!$B$3=K$3,SUMIF('TL11'!$C$10:$C$224,$C263,'TL11'!$J$10:$J$224),0),
IF('TL11'!$B$229=K$3,SUMIF('TL11'!$C$238:$C$451,$C263,'TL11'!$J$238:$J$451),0),
IF('TL12'!$B$3=K$3,SUMIF('TL12'!$C$10:$C$224,$C263,'TL12'!$J$10:$J$224),0),
IF('TL12'!$B$229=K$3,SUMIF('TL12'!$C$238:$C$451,$C263,'TL12'!$J$238:$J$451),0),
IF('TL13'!$B$3=K$3,SUMIF('TL13'!$C$10:$C$224,$C263,'TL13'!$J$10:$J$224),0),
IF('TL13'!$B$229=K$3,SUMIF('TL13'!$C$238:$C$451,$C263,'TL13'!$J$238:$J$451),0),
IF('TL14'!$B$3=K$3,SUMIF('TL14'!$C$10:$C$224,$C263,'TL14'!$J$10:$J$224),0),
IF('TL14'!$B$229=K$3,SUMIF('TL14'!$C$238:$C$451,$C263,'TL14'!$J$238:$J$451),0),
IF('TL15'!$B$3=K$3,SUMIF('TL15'!$C$10:$C$224,$C263,'TL15'!$J$10:$J$224),0),
IF('TL15'!$B$229=K$3,SUMIF('TL15'!$C$238:$C$451,$C263,'TL15'!$J$238:$J$451),0),
IF('TL16'!$B$3=K$3,SUMIF('TL16'!$C$10:$C$224,$C263,'TL16'!$J$10:$J$224),0),
IF('TL16'!$B$229=K$3,SUMIF('TL16'!$C$238:$C$451,$C263,'TL16'!$J$238:$J$451),0),
IF('TL17'!$B$3=K$3,SUMIF('TL17'!$C$10:$C$224,$C263,'TL17'!$J$10:$J$224),0),
IF('TL17'!$B$229=K$3,SUMIF('TL17'!$C$238:$C$451,$C263,'TL17'!$J$238:$J$451),0),
IF('TL18'!$B$3=K$3,SUMIF('TL18'!$C$10:$C$224,$C263,'TL18'!$J$10:$J$224),0),
IF('TL18'!$B$229=K$3,SUMIF('TL18'!$C$238:$C$451,$C263,'TL18'!$J$238:$J$451),0),
IF('TL19'!$B$3=K$3,SUMIF('TL19'!$C$10:$C$224,$C263,'TL19'!$J$10:$J$224),0),
IF('TL19'!$B$229=K$3,SUMIF('TL19'!$C$238:$C$451,$C263,'TL19'!$J$238:$J$451),0)
),0)</f>
        <v/>
      </c>
      <c r="L263" s="9">
        <f>IFERROR(SUM(
IF('TL01'!$B$3=L$3,SUMIF('TL01'!$C$10:$C$224,$C263,'TL01'!$J$10:$J$224),0),
IF('TL01'!$B$229=L$3,SUMIF('TL01'!$C$238:$C$451,$C263,'TL01'!$J$238:$J$451),0),
IF('TL02'!$B$3=L$3,SUMIF('TL02'!$C$10:$C$224,$C263,'TL02'!$J$10:$J$224),0),
IF('TL02'!$B$229=L$3,SUMIF('TL02'!$C$238:$C$451,$C263,'TL02'!$J$238:$J$451),0),
IF('TL03'!$B$3=L$3,SUMIF('TL03'!$C$10:$C$224,$C263,'TL03'!$J$10:$J$224),0),
IF('TL03'!$B$229=L$3,SUMIF('TL03'!$C$238:$C$451,$C263,'TL03'!$J$238:$J$451),0),
IF('TL04'!$B$3=L$3,SUMIF('TL04'!$C$10:$C$224,$C263,'TL04'!$J$10:$J$224),0),
IF('TL04'!$B$229=L$3,SUMIF('TL04'!$C$238:$C$451,$C263,'TL04'!$J$238:$J$451),0),
IF('TL05'!$B$3=L$3,SUMIF('TL05'!$C$10:$C$224,$C263,'TL05'!$J$10:$J$224),0),
IF('TL05'!$B$229=L$3,SUMIF('TL05'!$C$238:$C$451,$C263,'TL05'!$J$238:$J$451),0),
IF('TL06'!$B$3=L$3,SUMIF('TL06'!$C$10:$C$224,$C263,'TL06'!$J$10:$J$224),0),
IF('TL06'!$B$229=L$3,SUMIF('TL06'!$C$238:$C$451,$C263,'TL06'!$J$238:$J$451),0),
IF('TL07'!$B$3=L$3,SUMIF('TL07'!$C$10:$C$224,$C263,'TL07'!$J$10:$J$224),0),
IF('TL07'!$B$229=L$3,SUMIF('TL07'!$C$238:$C$451,$C263,'TL07'!$J$238:$J$451),0),
IF('TL08'!$B$3=L$3,SUMIF('TL08'!$C$10:$C$224,$C263,'TL08'!$J$10:$J$224),0),
IF('TL08'!$B$229=L$3,SUMIF('TL08'!$C$238:$C$451,$C263,'TL08'!$J$238:$J$451),0),
IF('TL09'!$B$3=L$3,SUMIF('TL09'!$C$10:$C$224,$C263,'TL09'!$J$10:$J$224),0),
IF('TL09'!$B$229=L$3,SUMIF('TL09'!$C$238:$C$451,$C263,'TL09'!$J$238:$J$451),0),
IF('TL10'!$B$3=L$3,SUMIF('TL10'!$C$10:$C$224,$C263,'TL10'!$J$10:$J$224),0),
IF('TL10'!$B$229=L$3,SUMIF('TL10'!$C$238:$C$451,$C263,'TL10'!$J$238:$J$451),0),
IF('TL11'!$B$3=L$3,SUMIF('TL11'!$C$10:$C$224,$C263,'TL11'!$J$10:$J$224),0),
IF('TL11'!$B$229=L$3,SUMIF('TL11'!$C$238:$C$451,$C263,'TL11'!$J$238:$J$451),0),
IF('TL12'!$B$3=L$3,SUMIF('TL12'!$C$10:$C$224,$C263,'TL12'!$J$10:$J$224),0),
IF('TL12'!$B$229=L$3,SUMIF('TL12'!$C$238:$C$451,$C263,'TL12'!$J$238:$J$451),0),
IF('TL13'!$B$3=L$3,SUMIF('TL13'!$C$10:$C$224,$C263,'TL13'!$J$10:$J$224),0),
IF('TL13'!$B$229=L$3,SUMIF('TL13'!$C$238:$C$451,$C263,'TL13'!$J$238:$J$451),0),
IF('TL14'!$B$3=L$3,SUMIF('TL14'!$C$10:$C$224,$C263,'TL14'!$J$10:$J$224),0),
IF('TL14'!$B$229=L$3,SUMIF('TL14'!$C$238:$C$451,$C263,'TL14'!$J$238:$J$451),0),
IF('TL15'!$B$3=L$3,SUMIF('TL15'!$C$10:$C$224,$C263,'TL15'!$J$10:$J$224),0),
IF('TL15'!$B$229=L$3,SUMIF('TL15'!$C$238:$C$451,$C263,'TL15'!$J$238:$J$451),0),
IF('TL16'!$B$3=L$3,SUMIF('TL16'!$C$10:$C$224,$C263,'TL16'!$J$10:$J$224),0),
IF('TL16'!$B$229=L$3,SUMIF('TL16'!$C$238:$C$451,$C263,'TL16'!$J$238:$J$451),0),
IF('TL17'!$B$3=L$3,SUMIF('TL17'!$C$10:$C$224,$C263,'TL17'!$J$10:$J$224),0),
IF('TL17'!$B$229=L$3,SUMIF('TL17'!$C$238:$C$451,$C263,'TL17'!$J$238:$J$451),0),
IF('TL18'!$B$3=L$3,SUMIF('TL18'!$C$10:$C$224,$C263,'TL18'!$J$10:$J$224),0),
IF('TL18'!$B$229=L$3,SUMIF('TL18'!$C$238:$C$451,$C263,'TL18'!$J$238:$J$451),0),
IF('TL19'!$B$3=L$3,SUMIF('TL19'!$C$10:$C$224,$C263,'TL19'!$J$10:$J$224),0),
IF('TL19'!$B$229=L$3,SUMIF('TL19'!$C$238:$C$451,$C263,'TL19'!$J$238:$J$451),0)
),0)</f>
        <v/>
      </c>
      <c r="M263" s="9">
        <f>IFERROR(SUM(
IF('TL01'!$B$3=M$3,SUMIF('TL01'!$C$10:$C$224,$C263,'TL01'!$J$10:$J$224),0),
IF('TL01'!$B$229=M$3,SUMIF('TL01'!$C$238:$C$451,$C263,'TL01'!$J$238:$J$451),0),
IF('TL02'!$B$3=M$3,SUMIF('TL02'!$C$10:$C$224,$C263,'TL02'!$J$10:$J$224),0),
IF('TL02'!$B$229=M$3,SUMIF('TL02'!$C$238:$C$451,$C263,'TL02'!$J$238:$J$451),0),
IF('TL03'!$B$3=M$3,SUMIF('TL03'!$C$10:$C$224,$C263,'TL03'!$J$10:$J$224),0),
IF('TL03'!$B$229=M$3,SUMIF('TL03'!$C$238:$C$451,$C263,'TL03'!$J$238:$J$451),0),
IF('TL04'!$B$3=M$3,SUMIF('TL04'!$C$10:$C$224,$C263,'TL04'!$J$10:$J$224),0),
IF('TL04'!$B$229=M$3,SUMIF('TL04'!$C$238:$C$451,$C263,'TL04'!$J$238:$J$451),0),
IF('TL05'!$B$3=M$3,SUMIF('TL05'!$C$10:$C$224,$C263,'TL05'!$J$10:$J$224),0),
IF('TL05'!$B$229=M$3,SUMIF('TL05'!$C$238:$C$451,$C263,'TL05'!$J$238:$J$451),0),
IF('TL06'!$B$3=M$3,SUMIF('TL06'!$C$10:$C$224,$C263,'TL06'!$J$10:$J$224),0),
IF('TL06'!$B$229=M$3,SUMIF('TL06'!$C$238:$C$451,$C263,'TL06'!$J$238:$J$451),0),
IF('TL07'!$B$3=M$3,SUMIF('TL07'!$C$10:$C$224,$C263,'TL07'!$J$10:$J$224),0),
IF('TL07'!$B$229=M$3,SUMIF('TL07'!$C$238:$C$451,$C263,'TL07'!$J$238:$J$451),0),
IF('TL08'!$B$3=M$3,SUMIF('TL08'!$C$10:$C$224,$C263,'TL08'!$J$10:$J$224),0),
IF('TL08'!$B$229=M$3,SUMIF('TL08'!$C$238:$C$451,$C263,'TL08'!$J$238:$J$451),0),
IF('TL09'!$B$3=M$3,SUMIF('TL09'!$C$10:$C$224,$C263,'TL09'!$J$10:$J$224),0),
IF('TL09'!$B$229=M$3,SUMIF('TL09'!$C$238:$C$451,$C263,'TL09'!$J$238:$J$451),0),
IF('TL10'!$B$3=M$3,SUMIF('TL10'!$C$10:$C$224,$C263,'TL10'!$J$10:$J$224),0),
IF('TL10'!$B$229=M$3,SUMIF('TL10'!$C$238:$C$451,$C263,'TL10'!$J$238:$J$451),0),
IF('TL11'!$B$3=M$3,SUMIF('TL11'!$C$10:$C$224,$C263,'TL11'!$J$10:$J$224),0),
IF('TL11'!$B$229=M$3,SUMIF('TL11'!$C$238:$C$451,$C263,'TL11'!$J$238:$J$451),0),
IF('TL12'!$B$3=M$3,SUMIF('TL12'!$C$10:$C$224,$C263,'TL12'!$J$10:$J$224),0),
IF('TL12'!$B$229=M$3,SUMIF('TL12'!$C$238:$C$451,$C263,'TL12'!$J$238:$J$451),0),
IF('TL13'!$B$3=M$3,SUMIF('TL13'!$C$10:$C$224,$C263,'TL13'!$J$10:$J$224),0),
IF('TL13'!$B$229=M$3,SUMIF('TL13'!$C$238:$C$451,$C263,'TL13'!$J$238:$J$451),0),
IF('TL14'!$B$3=M$3,SUMIF('TL14'!$C$10:$C$224,$C263,'TL14'!$J$10:$J$224),0),
IF('TL14'!$B$229=M$3,SUMIF('TL14'!$C$238:$C$451,$C263,'TL14'!$J$238:$J$451),0),
IF('TL15'!$B$3=M$3,SUMIF('TL15'!$C$10:$C$224,$C263,'TL15'!$J$10:$J$224),0),
IF('TL15'!$B$229=M$3,SUMIF('TL15'!$C$238:$C$451,$C263,'TL15'!$J$238:$J$451),0),
IF('TL16'!$B$3=M$3,SUMIF('TL16'!$C$10:$C$224,$C263,'TL16'!$J$10:$J$224),0),
IF('TL16'!$B$229=M$3,SUMIF('TL16'!$C$238:$C$451,$C263,'TL16'!$J$238:$J$451),0),
IF('TL17'!$B$3=M$3,SUMIF('TL17'!$C$10:$C$224,$C263,'TL17'!$J$10:$J$224),0),
IF('TL17'!$B$229=M$3,SUMIF('TL17'!$C$238:$C$451,$C263,'TL17'!$J$238:$J$451),0),
IF('TL18'!$B$3=M$3,SUMIF('TL18'!$C$10:$C$224,$C263,'TL18'!$J$10:$J$224),0),
IF('TL18'!$B$229=M$3,SUMIF('TL18'!$C$238:$C$451,$C263,'TL18'!$J$238:$J$451),0),
IF('TL19'!$B$3=M$3,SUMIF('TL19'!$C$10:$C$224,$C263,'TL19'!$J$10:$J$224),0),
IF('TL19'!$B$229=M$3,SUMIF('TL19'!$C$238:$C$451,$C263,'TL19'!$J$238:$J$451),0)
),0)</f>
        <v/>
      </c>
      <c r="N263" s="9">
        <f>IFERROR(SUM(
IF('TL01'!$B$3=N$3,SUMIF('TL01'!$C$10:$C$224,$C263,'TL01'!$J$10:$J$224),0),
IF('TL01'!$B$229=N$3,SUMIF('TL01'!$C$238:$C$451,$C263,'TL01'!$J$238:$J$451),0),
IF('TL02'!$B$3=N$3,SUMIF('TL02'!$C$10:$C$224,$C263,'TL02'!$J$10:$J$224),0),
IF('TL02'!$B$229=N$3,SUMIF('TL02'!$C$238:$C$451,$C263,'TL02'!$J$238:$J$451),0),
IF('TL03'!$B$3=N$3,SUMIF('TL03'!$C$10:$C$224,$C263,'TL03'!$J$10:$J$224),0),
IF('TL03'!$B$229=N$3,SUMIF('TL03'!$C$238:$C$451,$C263,'TL03'!$J$238:$J$451),0),
IF('TL04'!$B$3=N$3,SUMIF('TL04'!$C$10:$C$224,$C263,'TL04'!$J$10:$J$224),0),
IF('TL04'!$B$229=N$3,SUMIF('TL04'!$C$238:$C$451,$C263,'TL04'!$J$238:$J$451),0),
IF('TL05'!$B$3=N$3,SUMIF('TL05'!$C$10:$C$224,$C263,'TL05'!$J$10:$J$224),0),
IF('TL05'!$B$229=N$3,SUMIF('TL05'!$C$238:$C$451,$C263,'TL05'!$J$238:$J$451),0),
IF('TL06'!$B$3=N$3,SUMIF('TL06'!$C$10:$C$224,$C263,'TL06'!$J$10:$J$224),0),
IF('TL06'!$B$229=N$3,SUMIF('TL06'!$C$238:$C$451,$C263,'TL06'!$J$238:$J$451),0),
IF('TL07'!$B$3=N$3,SUMIF('TL07'!$C$10:$C$224,$C263,'TL07'!$J$10:$J$224),0),
IF('TL07'!$B$229=N$3,SUMIF('TL07'!$C$238:$C$451,$C263,'TL07'!$J$238:$J$451),0),
IF('TL08'!$B$3=N$3,SUMIF('TL08'!$C$10:$C$224,$C263,'TL08'!$J$10:$J$224),0),
IF('TL08'!$B$229=N$3,SUMIF('TL08'!$C$238:$C$451,$C263,'TL08'!$J$238:$J$451),0),
IF('TL09'!$B$3=N$3,SUMIF('TL09'!$C$10:$C$224,$C263,'TL09'!$J$10:$J$224),0),
IF('TL09'!$B$229=N$3,SUMIF('TL09'!$C$238:$C$451,$C263,'TL09'!$J$238:$J$451),0),
IF('TL10'!$B$3=N$3,SUMIF('TL10'!$C$10:$C$224,$C263,'TL10'!$J$10:$J$224),0),
IF('TL10'!$B$229=N$3,SUMIF('TL10'!$C$238:$C$451,$C263,'TL10'!$J$238:$J$451),0),
IF('TL11'!$B$3=N$3,SUMIF('TL11'!$C$10:$C$224,$C263,'TL11'!$J$10:$J$224),0),
IF('TL11'!$B$229=N$3,SUMIF('TL11'!$C$238:$C$451,$C263,'TL11'!$J$238:$J$451),0),
IF('TL12'!$B$3=N$3,SUMIF('TL12'!$C$10:$C$224,$C263,'TL12'!$J$10:$J$224),0),
IF('TL12'!$B$229=N$3,SUMIF('TL12'!$C$238:$C$451,$C263,'TL12'!$J$238:$J$451),0),
IF('TL13'!$B$3=N$3,SUMIF('TL13'!$C$10:$C$224,$C263,'TL13'!$J$10:$J$224),0),
IF('TL13'!$B$229=N$3,SUMIF('TL13'!$C$238:$C$451,$C263,'TL13'!$J$238:$J$451),0),
IF('TL14'!$B$3=N$3,SUMIF('TL14'!$C$10:$C$224,$C263,'TL14'!$J$10:$J$224),0),
IF('TL14'!$B$229=N$3,SUMIF('TL14'!$C$238:$C$451,$C263,'TL14'!$J$238:$J$451),0),
IF('TL15'!$B$3=N$3,SUMIF('TL15'!$C$10:$C$224,$C263,'TL15'!$J$10:$J$224),0),
IF('TL15'!$B$229=N$3,SUMIF('TL15'!$C$238:$C$451,$C263,'TL15'!$J$238:$J$451),0),
IF('TL16'!$B$3=N$3,SUMIF('TL16'!$C$10:$C$224,$C263,'TL16'!$J$10:$J$224),0),
IF('TL16'!$B$229=N$3,SUMIF('TL16'!$C$238:$C$451,$C263,'TL16'!$J$238:$J$451),0),
IF('TL17'!$B$3=N$3,SUMIF('TL17'!$C$10:$C$224,$C263,'TL17'!$J$10:$J$224),0),
IF('TL17'!$B$229=N$3,SUMIF('TL17'!$C$238:$C$451,$C263,'TL17'!$J$238:$J$451),0),
IF('TL18'!$B$3=N$3,SUMIF('TL18'!$C$10:$C$224,$C263,'TL18'!$J$10:$J$224),0),
IF('TL18'!$B$229=N$3,SUMIF('TL18'!$C$238:$C$451,$C263,'TL18'!$J$238:$J$451),0),
IF('TL19'!$B$3=N$3,SUMIF('TL19'!$C$10:$C$224,$C263,'TL19'!$J$10:$J$224),0),
IF('TL19'!$B$229=N$3,SUMIF('TL19'!$C$238:$C$451,$C263,'TL19'!$J$238:$J$451),0)
),0)</f>
        <v/>
      </c>
      <c r="O263" s="9">
        <f>IFERROR(SUM(
IF('TL01'!$B$3=O$3,SUMIF('TL01'!$C$10:$C$224,$C263,'TL01'!$J$10:$J$224),0),
IF('TL01'!$B$229=O$3,SUMIF('TL01'!$C$238:$C$451,$C263,'TL01'!$J$238:$J$451),0),
IF('TL02'!$B$3=O$3,SUMIF('TL02'!$C$10:$C$224,$C263,'TL02'!$J$10:$J$224),0),
IF('TL02'!$B$229=O$3,SUMIF('TL02'!$C$238:$C$451,$C263,'TL02'!$J$238:$J$451),0),
IF('TL03'!$B$3=O$3,SUMIF('TL03'!$C$10:$C$224,$C263,'TL03'!$J$10:$J$224),0),
IF('TL03'!$B$229=O$3,SUMIF('TL03'!$C$238:$C$451,$C263,'TL03'!$J$238:$J$451),0),
IF('TL04'!$B$3=O$3,SUMIF('TL04'!$C$10:$C$224,$C263,'TL04'!$J$10:$J$224),0),
IF('TL04'!$B$229=O$3,SUMIF('TL04'!$C$238:$C$451,$C263,'TL04'!$J$238:$J$451),0),
IF('TL05'!$B$3=O$3,SUMIF('TL05'!$C$10:$C$224,$C263,'TL05'!$J$10:$J$224),0),
IF('TL05'!$B$229=O$3,SUMIF('TL05'!$C$238:$C$451,$C263,'TL05'!$J$238:$J$451),0),
IF('TL06'!$B$3=O$3,SUMIF('TL06'!$C$10:$C$224,$C263,'TL06'!$J$10:$J$224),0),
IF('TL06'!$B$229=O$3,SUMIF('TL06'!$C$238:$C$451,$C263,'TL06'!$J$238:$J$451),0),
IF('TL07'!$B$3=O$3,SUMIF('TL07'!$C$10:$C$224,$C263,'TL07'!$J$10:$J$224),0),
IF('TL07'!$B$229=O$3,SUMIF('TL07'!$C$238:$C$451,$C263,'TL07'!$J$238:$J$451),0),
IF('TL08'!$B$3=O$3,SUMIF('TL08'!$C$10:$C$224,$C263,'TL08'!$J$10:$J$224),0),
IF('TL08'!$B$229=O$3,SUMIF('TL08'!$C$238:$C$451,$C263,'TL08'!$J$238:$J$451),0),
IF('TL09'!$B$3=O$3,SUMIF('TL09'!$C$10:$C$224,$C263,'TL09'!$J$10:$J$224),0),
IF('TL09'!$B$229=O$3,SUMIF('TL09'!$C$238:$C$451,$C263,'TL09'!$J$238:$J$451),0),
IF('TL10'!$B$3=O$3,SUMIF('TL10'!$C$10:$C$224,$C263,'TL10'!$J$10:$J$224),0),
IF('TL10'!$B$229=O$3,SUMIF('TL10'!$C$238:$C$451,$C263,'TL10'!$J$238:$J$451),0),
IF('TL11'!$B$3=O$3,SUMIF('TL11'!$C$10:$C$224,$C263,'TL11'!$J$10:$J$224),0),
IF('TL11'!$B$229=O$3,SUMIF('TL11'!$C$238:$C$451,$C263,'TL11'!$J$238:$J$451),0),
IF('TL12'!$B$3=O$3,SUMIF('TL12'!$C$10:$C$224,$C263,'TL12'!$J$10:$J$224),0),
IF('TL12'!$B$229=O$3,SUMIF('TL12'!$C$238:$C$451,$C263,'TL12'!$J$238:$J$451),0),
IF('TL13'!$B$3=O$3,SUMIF('TL13'!$C$10:$C$224,$C263,'TL13'!$J$10:$J$224),0),
IF('TL13'!$B$229=O$3,SUMIF('TL13'!$C$238:$C$451,$C263,'TL13'!$J$238:$J$451),0),
IF('TL14'!$B$3=O$3,SUMIF('TL14'!$C$10:$C$224,$C263,'TL14'!$J$10:$J$224),0),
IF('TL14'!$B$229=O$3,SUMIF('TL14'!$C$238:$C$451,$C263,'TL14'!$J$238:$J$451),0),
IF('TL15'!$B$3=O$3,SUMIF('TL15'!$C$10:$C$224,$C263,'TL15'!$J$10:$J$224),0),
IF('TL15'!$B$229=O$3,SUMIF('TL15'!$C$238:$C$451,$C263,'TL15'!$J$238:$J$451),0),
IF('TL16'!$B$3=O$3,SUMIF('TL16'!$C$10:$C$224,$C263,'TL16'!$J$10:$J$224),0),
IF('TL16'!$B$229=O$3,SUMIF('TL16'!$C$238:$C$451,$C263,'TL16'!$J$238:$J$451),0),
IF('TL17'!$B$3=O$3,SUMIF('TL17'!$C$10:$C$224,$C263,'TL17'!$J$10:$J$224),0),
IF('TL17'!$B$229=O$3,SUMIF('TL17'!$C$238:$C$451,$C263,'TL17'!$J$238:$J$451),0),
IF('TL18'!$B$3=O$3,SUMIF('TL18'!$C$10:$C$224,$C263,'TL18'!$J$10:$J$224),0),
IF('TL18'!$B$229=O$3,SUMIF('TL18'!$C$238:$C$451,$C263,'TL18'!$J$238:$J$451),0),
IF('TL19'!$B$3=O$3,SUMIF('TL19'!$C$10:$C$224,$C263,'TL19'!$J$10:$J$224),0),
IF('TL19'!$B$229=O$3,SUMIF('TL19'!$C$238:$C$451,$C263,'TL19'!$J$238:$J$451),0)
),0)</f>
        <v/>
      </c>
      <c r="P263" s="9">
        <f>IFERROR(SUM(
IF('TL01'!$B$3=P$3,SUMIF('TL01'!$C$10:$C$224,$C263,'TL01'!$J$10:$J$224),0),
IF('TL01'!$B$229=P$3,SUMIF('TL01'!$C$238:$C$451,$C263,'TL01'!$J$238:$J$451),0),
IF('TL02'!$B$3=P$3,SUMIF('TL02'!$C$10:$C$224,$C263,'TL02'!$J$10:$J$224),0),
IF('TL02'!$B$229=P$3,SUMIF('TL02'!$C$238:$C$451,$C263,'TL02'!$J$238:$J$451),0),
IF('TL03'!$B$3=P$3,SUMIF('TL03'!$C$10:$C$224,$C263,'TL03'!$J$10:$J$224),0),
IF('TL03'!$B$229=P$3,SUMIF('TL03'!$C$238:$C$451,$C263,'TL03'!$J$238:$J$451),0),
IF('TL04'!$B$3=P$3,SUMIF('TL04'!$C$10:$C$224,$C263,'TL04'!$J$10:$J$224),0),
IF('TL04'!$B$229=P$3,SUMIF('TL04'!$C$238:$C$451,$C263,'TL04'!$J$238:$J$451),0),
IF('TL05'!$B$3=P$3,SUMIF('TL05'!$C$10:$C$224,$C263,'TL05'!$J$10:$J$224),0),
IF('TL05'!$B$229=P$3,SUMIF('TL05'!$C$238:$C$451,$C263,'TL05'!$J$238:$J$451),0),
IF('TL06'!$B$3=P$3,SUMIF('TL06'!$C$10:$C$224,$C263,'TL06'!$J$10:$J$224),0),
IF('TL06'!$B$229=P$3,SUMIF('TL06'!$C$238:$C$451,$C263,'TL06'!$J$238:$J$451),0),
IF('TL07'!$B$3=P$3,SUMIF('TL07'!$C$10:$C$224,$C263,'TL07'!$J$10:$J$224),0),
IF('TL07'!$B$229=P$3,SUMIF('TL07'!$C$238:$C$451,$C263,'TL07'!$J$238:$J$451),0),
IF('TL08'!$B$3=P$3,SUMIF('TL08'!$C$10:$C$224,$C263,'TL08'!$J$10:$J$224),0),
IF('TL08'!$B$229=P$3,SUMIF('TL08'!$C$238:$C$451,$C263,'TL08'!$J$238:$J$451),0),
IF('TL09'!$B$3=P$3,SUMIF('TL09'!$C$10:$C$224,$C263,'TL09'!$J$10:$J$224),0),
IF('TL09'!$B$229=P$3,SUMIF('TL09'!$C$238:$C$451,$C263,'TL09'!$J$238:$J$451),0),
IF('TL10'!$B$3=P$3,SUMIF('TL10'!$C$10:$C$224,$C263,'TL10'!$J$10:$J$224),0),
IF('TL10'!$B$229=P$3,SUMIF('TL10'!$C$238:$C$451,$C263,'TL10'!$J$238:$J$451),0),
IF('TL11'!$B$3=P$3,SUMIF('TL11'!$C$10:$C$224,$C263,'TL11'!$J$10:$J$224),0),
IF('TL11'!$B$229=P$3,SUMIF('TL11'!$C$238:$C$451,$C263,'TL11'!$J$238:$J$451),0),
IF('TL12'!$B$3=P$3,SUMIF('TL12'!$C$10:$C$224,$C263,'TL12'!$J$10:$J$224),0),
IF('TL12'!$B$229=P$3,SUMIF('TL12'!$C$238:$C$451,$C263,'TL12'!$J$238:$J$451),0),
IF('TL13'!$B$3=P$3,SUMIF('TL13'!$C$10:$C$224,$C263,'TL13'!$J$10:$J$224),0),
IF('TL13'!$B$229=P$3,SUMIF('TL13'!$C$238:$C$451,$C263,'TL13'!$J$238:$J$451),0),
IF('TL14'!$B$3=P$3,SUMIF('TL14'!$C$10:$C$224,$C263,'TL14'!$J$10:$J$224),0),
IF('TL14'!$B$229=P$3,SUMIF('TL14'!$C$238:$C$451,$C263,'TL14'!$J$238:$J$451),0),
IF('TL15'!$B$3=P$3,SUMIF('TL15'!$C$10:$C$224,$C263,'TL15'!$J$10:$J$224),0),
IF('TL15'!$B$229=P$3,SUMIF('TL15'!$C$238:$C$451,$C263,'TL15'!$J$238:$J$451),0),
IF('TL16'!$B$3=P$3,SUMIF('TL16'!$C$10:$C$224,$C263,'TL16'!$J$10:$J$224),0),
IF('TL16'!$B$229=P$3,SUMIF('TL16'!$C$238:$C$451,$C263,'TL16'!$J$238:$J$451),0),
IF('TL17'!$B$3=P$3,SUMIF('TL17'!$C$10:$C$224,$C263,'TL17'!$J$10:$J$224),0),
IF('TL17'!$B$229=P$3,SUMIF('TL17'!$C$238:$C$451,$C263,'TL17'!$J$238:$J$451),0),
IF('TL18'!$B$3=P$3,SUMIF('TL18'!$C$10:$C$224,$C263,'TL18'!$J$10:$J$224),0),
IF('TL18'!$B$229=P$3,SUMIF('TL18'!$C$238:$C$451,$C263,'TL18'!$J$238:$J$451),0),
IF('TL19'!$B$3=P$3,SUMIF('TL19'!$C$10:$C$224,$C263,'TL19'!$J$10:$J$224),0),
IF('TL19'!$B$229=P$3,SUMIF('TL19'!$C$238:$C$451,$C263,'TL19'!$J$238:$J$451),0)
),0)</f>
        <v/>
      </c>
      <c r="Q263" s="9">
        <f>IFERROR(SUM(
IF('TL01'!$B$3=Q$3,SUMIF('TL01'!$C$10:$C$224,$C263,'TL01'!$J$10:$J$224),0),
IF('TL01'!$B$229=Q$3,SUMIF('TL01'!$C$238:$C$451,$C263,'TL01'!$J$238:$J$451),0),
IF('TL02'!$B$3=Q$3,SUMIF('TL02'!$C$10:$C$224,$C263,'TL02'!$J$10:$J$224),0),
IF('TL02'!$B$229=Q$3,SUMIF('TL02'!$C$238:$C$451,$C263,'TL02'!$J$238:$J$451),0),
IF('TL03'!$B$3=Q$3,SUMIF('TL03'!$C$10:$C$224,$C263,'TL03'!$J$10:$J$224),0),
IF('TL03'!$B$229=Q$3,SUMIF('TL03'!$C$238:$C$451,$C263,'TL03'!$J$238:$J$451),0),
IF('TL04'!$B$3=Q$3,SUMIF('TL04'!$C$10:$C$224,$C263,'TL04'!$J$10:$J$224),0),
IF('TL04'!$B$229=Q$3,SUMIF('TL04'!$C$238:$C$451,$C263,'TL04'!$J$238:$J$451),0),
IF('TL05'!$B$3=Q$3,SUMIF('TL05'!$C$10:$C$224,$C263,'TL05'!$J$10:$J$224),0),
IF('TL05'!$B$229=Q$3,SUMIF('TL05'!$C$238:$C$451,$C263,'TL05'!$J$238:$J$451),0),
IF('TL06'!$B$3=Q$3,SUMIF('TL06'!$C$10:$C$224,$C263,'TL06'!$J$10:$J$224),0),
IF('TL06'!$B$229=Q$3,SUMIF('TL06'!$C$238:$C$451,$C263,'TL06'!$J$238:$J$451),0),
IF('TL07'!$B$3=Q$3,SUMIF('TL07'!$C$10:$C$224,$C263,'TL07'!$J$10:$J$224),0),
IF('TL07'!$B$229=Q$3,SUMIF('TL07'!$C$238:$C$451,$C263,'TL07'!$J$238:$J$451),0),
IF('TL08'!$B$3=Q$3,SUMIF('TL08'!$C$10:$C$224,$C263,'TL08'!$J$10:$J$224),0),
IF('TL08'!$B$229=Q$3,SUMIF('TL08'!$C$238:$C$451,$C263,'TL08'!$J$238:$J$451),0),
IF('TL09'!$B$3=Q$3,SUMIF('TL09'!$C$10:$C$224,$C263,'TL09'!$J$10:$J$224),0),
IF('TL09'!$B$229=Q$3,SUMIF('TL09'!$C$238:$C$451,$C263,'TL09'!$J$238:$J$451),0),
IF('TL10'!$B$3=Q$3,SUMIF('TL10'!$C$10:$C$224,$C263,'TL10'!$J$10:$J$224),0),
IF('TL10'!$B$229=Q$3,SUMIF('TL10'!$C$238:$C$451,$C263,'TL10'!$J$238:$J$451),0),
IF('TL11'!$B$3=Q$3,SUMIF('TL11'!$C$10:$C$224,$C263,'TL11'!$J$10:$J$224),0),
IF('TL11'!$B$229=Q$3,SUMIF('TL11'!$C$238:$C$451,$C263,'TL11'!$J$238:$J$451),0),
IF('TL12'!$B$3=Q$3,SUMIF('TL12'!$C$10:$C$224,$C263,'TL12'!$J$10:$J$224),0),
IF('TL12'!$B$229=Q$3,SUMIF('TL12'!$C$238:$C$451,$C263,'TL12'!$J$238:$J$451),0),
IF('TL13'!$B$3=Q$3,SUMIF('TL13'!$C$10:$C$224,$C263,'TL13'!$J$10:$J$224),0),
IF('TL13'!$B$229=Q$3,SUMIF('TL13'!$C$238:$C$451,$C263,'TL13'!$J$238:$J$451),0),
IF('TL14'!$B$3=Q$3,SUMIF('TL14'!$C$10:$C$224,$C263,'TL14'!$J$10:$J$224),0),
IF('TL14'!$B$229=Q$3,SUMIF('TL14'!$C$238:$C$451,$C263,'TL14'!$J$238:$J$451),0),
IF('TL15'!$B$3=Q$3,SUMIF('TL15'!$C$10:$C$224,$C263,'TL15'!$J$10:$J$224),0),
IF('TL15'!$B$229=Q$3,SUMIF('TL15'!$C$238:$C$451,$C263,'TL15'!$J$238:$J$451),0),
IF('TL16'!$B$3=Q$3,SUMIF('TL16'!$C$10:$C$224,$C263,'TL16'!$J$10:$J$224),0),
IF('TL16'!$B$229=Q$3,SUMIF('TL16'!$C$238:$C$451,$C263,'TL16'!$J$238:$J$451),0),
IF('TL17'!$B$3=Q$3,SUMIF('TL17'!$C$10:$C$224,$C263,'TL17'!$J$10:$J$224),0),
IF('TL17'!$B$229=Q$3,SUMIF('TL17'!$C$238:$C$451,$C263,'TL17'!$J$238:$J$451),0),
IF('TL18'!$B$3=Q$3,SUMIF('TL18'!$C$10:$C$224,$C263,'TL18'!$J$10:$J$224),0),
IF('TL18'!$B$229=Q$3,SUMIF('TL18'!$C$238:$C$451,$C263,'TL18'!$J$238:$J$451),0),
IF('TL19'!$B$3=Q$3,SUMIF('TL19'!$C$10:$C$224,$C263,'TL19'!$J$10:$J$224),0),
IF('TL19'!$B$229=Q$3,SUMIF('TL19'!$C$238:$C$451,$C263,'TL19'!$J$238:$J$451),0)
),0)</f>
        <v/>
      </c>
      <c r="R263" s="9">
        <f>IFERROR(
SUM(
SUMIF('TL01'!C:C,C263,'TL01'!J:J),
SUMIF('TL02'!C:C,C263,'TL02'!J:J),
SUMIF('TL03'!C:C,C263,'TL03'!J:J),
SUMIF('TL04'!C:C,C263,'TL04'!J:J),
SUMIF('TL05'!C:C,C263,'TL05'!J:J),
SUMIF('TL06'!C:C,C263,'TL06'!J:J),
SUMIF('TL07'!C:C,C263,'TL07'!J:J),
SUMIF('TL08'!C:C,C263,'TL08'!J:J),
SUMIF('TL09'!C:C,C263,'TL09'!J:J),
SUMIF('TL10'!C:C,C263,'TL10'!J:J),
SUMIF('TL11'!C:C,C263,'TL11'!J:J),
SUMIF('TL12'!C:C,C263,'TL12'!J:J),
SUMIF('TL13'!C:C,C263,'TL13'!J:J),
SUMIF('TL14'!C:C,C263,'TL14'!J:J),
SUMIF('TL15'!C:C,C263,'TL15'!J:J),
SUMIF('TL16'!C:C,C263,'TL16'!J:J),
SUMIF('TL17'!C:C,C263,'TL17'!J:J),
SUMIF('TL18'!C:C,C263,'TL18'!J:J),SUMIF('TL19'!C:C,C263,'TL19'!J:J))
,0)</f>
        <v/>
      </c>
      <c r="S263" s="17">
        <f>IFERROR(__xludf.DUMMYFUNCTION("IFERROR(VLOOKUP(C263,
IMPORTRANGE(""1wULbzX32WdYsx-lj2U3uUNBBe2INVIRDtcK0d-Dvl90"",
""26-27!C:G""),
5,
FALSE),
"""")"),38.8)</f>
        <v/>
      </c>
      <c r="T263" s="9" t="n"/>
      <c r="U263" s="92">
        <f>MAX(0,R263-T263)</f>
        <v/>
      </c>
      <c r="V263" s="93">
        <f>U263*S263</f>
        <v/>
      </c>
    </row>
    <row r="264" hidden="1" ht="15.75" customHeight="1" s="297">
      <c r="A264" s="4" t="inlineStr">
        <is>
          <t>ACRESENTE</t>
        </is>
      </c>
      <c r="B264" s="125" t="inlineStr">
        <is>
          <t>NUTRIÇÃO</t>
        </is>
      </c>
      <c r="C264" s="4" t="inlineStr">
        <is>
          <t>RAIZ F</t>
        </is>
      </c>
      <c r="D264" s="20" t="n"/>
      <c r="E264" s="9" t="n"/>
      <c r="F264" s="4" t="inlineStr">
        <is>
          <t>L</t>
        </is>
      </c>
      <c r="G264" s="9" t="n"/>
      <c r="H264" s="9" t="n">
        <v>0.1</v>
      </c>
      <c r="I264" s="1" t="n"/>
      <c r="J264" s="9">
        <f>IFERROR(SUM(
IF('TL01'!$B$3=J$3,SUMIF('TL01'!$C$10:$C$224,$C264,'TL01'!$J$10:$J$224),0),
IF('TL01'!$B$229=J$3,SUMIF('TL01'!$C$238:$C$451,$C264,'TL01'!$J$238:$J$451),0),
IF('TL02'!$B$3=J$3,SUMIF('TL02'!$C$10:$C$224,$C264,'TL02'!$J$10:$J$224),0),
IF('TL02'!$B$229=J$3,SUMIF('TL02'!$C$238:$C$451,$C264,'TL02'!$J$238:$J$451),0),
IF('TL03'!$B$3=J$3,SUMIF('TL03'!$C$10:$C$224,$C264,'TL03'!$J$10:$J$224),0),
IF('TL03'!$B$229=J$3,SUMIF('TL03'!$C$238:$C$451,$C264,'TL03'!$J$238:$J$451),0),
IF('TL04'!$B$3=J$3,SUMIF('TL04'!$C$10:$C$224,$C264,'TL04'!$J$10:$J$224),0),
IF('TL04'!$B$229=J$3,SUMIF('TL04'!$C$238:$C$451,$C264,'TL04'!$J$238:$J$451),0),
IF('TL05'!$B$3=J$3,SUMIF('TL05'!$C$10:$C$224,$C264,'TL05'!$J$10:$J$224),0),
IF('TL05'!$B$229=J$3,SUMIF('TL05'!$C$238:$C$451,$C264,'TL05'!$J$238:$J$451),0),
IF('TL06'!$B$3=J$3,SUMIF('TL06'!$C$10:$C$224,$C264,'TL06'!$J$10:$J$224),0),
IF('TL06'!$B$229=J$3,SUMIF('TL06'!$C$238:$C$451,$C264,'TL06'!$J$238:$J$451),0),
IF('TL07'!$B$3=J$3,SUMIF('TL07'!$C$10:$C$224,$C264,'TL07'!$J$10:$J$224),0),
IF('TL07'!$B$229=J$3,SUMIF('TL07'!$C$238:$C$451,$C264,'TL07'!$J$238:$J$451),0),
IF('TL08'!$B$3=J$3,SUMIF('TL08'!$C$10:$C$224,$C264,'TL08'!$J$10:$J$224),0),
IF('TL08'!$B$229=J$3,SUMIF('TL08'!$C$238:$C$451,$C264,'TL08'!$J$238:$J$451),0),
IF('TL09'!$B$3=J$3,SUMIF('TL09'!$C$10:$C$224,$C264,'TL09'!$J$10:$J$224),0),
IF('TL09'!$B$229=J$3,SUMIF('TL09'!$C$238:$C$451,$C264,'TL09'!$J$238:$J$451),0),
IF('TL10'!$B$3=J$3,SUMIF('TL10'!$C$10:$C$224,$C264,'TL10'!$J$10:$J$224),0),
IF('TL10'!$B$229=J$3,SUMIF('TL10'!$C$238:$C$451,$C264,'TL10'!$J$238:$J$451),0),
IF('TL11'!$B$3=J$3,SUMIF('TL11'!$C$10:$C$224,$C264,'TL11'!$J$10:$J$224),0),
IF('TL11'!$B$229=J$3,SUMIF('TL11'!$C$238:$C$451,$C264,'TL11'!$J$238:$J$451),0),
IF('TL12'!$B$3=J$3,SUMIF('TL12'!$C$10:$C$224,$C264,'TL12'!$J$10:$J$224),0),
IF('TL12'!$B$229=J$3,SUMIF('TL12'!$C$238:$C$451,$C264,'TL12'!$J$238:$J$451),0),
IF('TL13'!$B$3=J$3,SUMIF('TL13'!$C$10:$C$224,$C264,'TL13'!$J$10:$J$224),0),
IF('TL13'!$B$229=J$3,SUMIF('TL13'!$C$238:$C$451,$C264,'TL13'!$J$238:$J$451),0),
IF('TL14'!$B$3=J$3,SUMIF('TL14'!$C$10:$C$224,$C264,'TL14'!$J$10:$J$224),0),
IF('TL14'!$B$229=J$3,SUMIF('TL14'!$C$238:$C$451,$C264,'TL14'!$J$238:$J$451),0),
IF('TL15'!$B$3=J$3,SUMIF('TL15'!$C$10:$C$224,$C264,'TL15'!$J$10:$J$224),0),
IF('TL15'!$B$229=J$3,SUMIF('TL15'!$C$238:$C$451,$C264,'TL15'!$J$238:$J$451),0),
IF('TL16'!$B$3=J$3,SUMIF('TL16'!$C$10:$C$224,$C264,'TL16'!$J$10:$J$224),0),
IF('TL16'!$B$229=J$3,SUMIF('TL16'!$C$238:$C$451,$C264,'TL16'!$J$238:$J$451),0),
IF('TL17'!$B$3=J$3,SUMIF('TL17'!$C$10:$C$224,$C264,'TL17'!$J$10:$J$224),0),
IF('TL17'!$B$229=J$3,SUMIF('TL17'!$C$238:$C$451,$C264,'TL17'!$J$238:$J$451),0),
IF('TL18'!$B$3=J$3,SUMIF('TL18'!$C$10:$C$224,$C264,'TL18'!$J$10:$J$224),0),
IF('TL18'!$B$229=J$3,SUMIF('TL18'!$C$238:$C$451,$C264,'TL18'!$J$238:$J$451),0),
IF('TL19'!$B$3=J$3,SUMIF('TL19'!$C$10:$C$224,$C264,'TL19'!$J$10:$J$224),0),
IF('TL19'!$B$229=J$3,SUMIF('TL19'!$C$238:$C$451,$C264,'TL19'!$J$238:$J$451),0)
),0)</f>
        <v/>
      </c>
      <c r="K264" s="9">
        <f>IFERROR(SUM(
IF('TL01'!$B$3=K$3,SUMIF('TL01'!$C$10:$C$224,$C264,'TL01'!$J$10:$J$224),0),
IF('TL01'!$B$229=K$3,SUMIF('TL01'!$C$238:$C$451,$C264,'TL01'!$J$238:$J$451),0),
IF('TL02'!$B$3=K$3,SUMIF('TL02'!$C$10:$C$224,$C264,'TL02'!$J$10:$J$224),0),
IF('TL02'!$B$229=K$3,SUMIF('TL02'!$C$238:$C$451,$C264,'TL02'!$J$238:$J$451),0),
IF('TL03'!$B$3=K$3,SUMIF('TL03'!$C$10:$C$224,$C264,'TL03'!$J$10:$J$224),0),
IF('TL03'!$B$229=K$3,SUMIF('TL03'!$C$238:$C$451,$C264,'TL03'!$J$238:$J$451),0),
IF('TL04'!$B$3=K$3,SUMIF('TL04'!$C$10:$C$224,$C264,'TL04'!$J$10:$J$224),0),
IF('TL04'!$B$229=K$3,SUMIF('TL04'!$C$238:$C$451,$C264,'TL04'!$J$238:$J$451),0),
IF('TL05'!$B$3=K$3,SUMIF('TL05'!$C$10:$C$224,$C264,'TL05'!$J$10:$J$224),0),
IF('TL05'!$B$229=K$3,SUMIF('TL05'!$C$238:$C$451,$C264,'TL05'!$J$238:$J$451),0),
IF('TL06'!$B$3=K$3,SUMIF('TL06'!$C$10:$C$224,$C264,'TL06'!$J$10:$J$224),0),
IF('TL06'!$B$229=K$3,SUMIF('TL06'!$C$238:$C$451,$C264,'TL06'!$J$238:$J$451),0),
IF('TL07'!$B$3=K$3,SUMIF('TL07'!$C$10:$C$224,$C264,'TL07'!$J$10:$J$224),0),
IF('TL07'!$B$229=K$3,SUMIF('TL07'!$C$238:$C$451,$C264,'TL07'!$J$238:$J$451),0),
IF('TL08'!$B$3=K$3,SUMIF('TL08'!$C$10:$C$224,$C264,'TL08'!$J$10:$J$224),0),
IF('TL08'!$B$229=K$3,SUMIF('TL08'!$C$238:$C$451,$C264,'TL08'!$J$238:$J$451),0),
IF('TL09'!$B$3=K$3,SUMIF('TL09'!$C$10:$C$224,$C264,'TL09'!$J$10:$J$224),0),
IF('TL09'!$B$229=K$3,SUMIF('TL09'!$C$238:$C$451,$C264,'TL09'!$J$238:$J$451),0),
IF('TL10'!$B$3=K$3,SUMIF('TL10'!$C$10:$C$224,$C264,'TL10'!$J$10:$J$224),0),
IF('TL10'!$B$229=K$3,SUMIF('TL10'!$C$238:$C$451,$C264,'TL10'!$J$238:$J$451),0),
IF('TL11'!$B$3=K$3,SUMIF('TL11'!$C$10:$C$224,$C264,'TL11'!$J$10:$J$224),0),
IF('TL11'!$B$229=K$3,SUMIF('TL11'!$C$238:$C$451,$C264,'TL11'!$J$238:$J$451),0),
IF('TL12'!$B$3=K$3,SUMIF('TL12'!$C$10:$C$224,$C264,'TL12'!$J$10:$J$224),0),
IF('TL12'!$B$229=K$3,SUMIF('TL12'!$C$238:$C$451,$C264,'TL12'!$J$238:$J$451),0),
IF('TL13'!$B$3=K$3,SUMIF('TL13'!$C$10:$C$224,$C264,'TL13'!$J$10:$J$224),0),
IF('TL13'!$B$229=K$3,SUMIF('TL13'!$C$238:$C$451,$C264,'TL13'!$J$238:$J$451),0),
IF('TL14'!$B$3=K$3,SUMIF('TL14'!$C$10:$C$224,$C264,'TL14'!$J$10:$J$224),0),
IF('TL14'!$B$229=K$3,SUMIF('TL14'!$C$238:$C$451,$C264,'TL14'!$J$238:$J$451),0),
IF('TL15'!$B$3=K$3,SUMIF('TL15'!$C$10:$C$224,$C264,'TL15'!$J$10:$J$224),0),
IF('TL15'!$B$229=K$3,SUMIF('TL15'!$C$238:$C$451,$C264,'TL15'!$J$238:$J$451),0),
IF('TL16'!$B$3=K$3,SUMIF('TL16'!$C$10:$C$224,$C264,'TL16'!$J$10:$J$224),0),
IF('TL16'!$B$229=K$3,SUMIF('TL16'!$C$238:$C$451,$C264,'TL16'!$J$238:$J$451),0),
IF('TL17'!$B$3=K$3,SUMIF('TL17'!$C$10:$C$224,$C264,'TL17'!$J$10:$J$224),0),
IF('TL17'!$B$229=K$3,SUMIF('TL17'!$C$238:$C$451,$C264,'TL17'!$J$238:$J$451),0),
IF('TL18'!$B$3=K$3,SUMIF('TL18'!$C$10:$C$224,$C264,'TL18'!$J$10:$J$224),0),
IF('TL18'!$B$229=K$3,SUMIF('TL18'!$C$238:$C$451,$C264,'TL18'!$J$238:$J$451),0),
IF('TL19'!$B$3=K$3,SUMIF('TL19'!$C$10:$C$224,$C264,'TL19'!$J$10:$J$224),0),
IF('TL19'!$B$229=K$3,SUMIF('TL19'!$C$238:$C$451,$C264,'TL19'!$J$238:$J$451),0)
),0)</f>
        <v/>
      </c>
      <c r="L264" s="9">
        <f>IFERROR(SUM(
IF('TL01'!$B$3=L$3,SUMIF('TL01'!$C$10:$C$224,$C264,'TL01'!$J$10:$J$224),0),
IF('TL01'!$B$229=L$3,SUMIF('TL01'!$C$238:$C$451,$C264,'TL01'!$J$238:$J$451),0),
IF('TL02'!$B$3=L$3,SUMIF('TL02'!$C$10:$C$224,$C264,'TL02'!$J$10:$J$224),0),
IF('TL02'!$B$229=L$3,SUMIF('TL02'!$C$238:$C$451,$C264,'TL02'!$J$238:$J$451),0),
IF('TL03'!$B$3=L$3,SUMIF('TL03'!$C$10:$C$224,$C264,'TL03'!$J$10:$J$224),0),
IF('TL03'!$B$229=L$3,SUMIF('TL03'!$C$238:$C$451,$C264,'TL03'!$J$238:$J$451),0),
IF('TL04'!$B$3=L$3,SUMIF('TL04'!$C$10:$C$224,$C264,'TL04'!$J$10:$J$224),0),
IF('TL04'!$B$229=L$3,SUMIF('TL04'!$C$238:$C$451,$C264,'TL04'!$J$238:$J$451),0),
IF('TL05'!$B$3=L$3,SUMIF('TL05'!$C$10:$C$224,$C264,'TL05'!$J$10:$J$224),0),
IF('TL05'!$B$229=L$3,SUMIF('TL05'!$C$238:$C$451,$C264,'TL05'!$J$238:$J$451),0),
IF('TL06'!$B$3=L$3,SUMIF('TL06'!$C$10:$C$224,$C264,'TL06'!$J$10:$J$224),0),
IF('TL06'!$B$229=L$3,SUMIF('TL06'!$C$238:$C$451,$C264,'TL06'!$J$238:$J$451),0),
IF('TL07'!$B$3=L$3,SUMIF('TL07'!$C$10:$C$224,$C264,'TL07'!$J$10:$J$224),0),
IF('TL07'!$B$229=L$3,SUMIF('TL07'!$C$238:$C$451,$C264,'TL07'!$J$238:$J$451),0),
IF('TL08'!$B$3=L$3,SUMIF('TL08'!$C$10:$C$224,$C264,'TL08'!$J$10:$J$224),0),
IF('TL08'!$B$229=L$3,SUMIF('TL08'!$C$238:$C$451,$C264,'TL08'!$J$238:$J$451),0),
IF('TL09'!$B$3=L$3,SUMIF('TL09'!$C$10:$C$224,$C264,'TL09'!$J$10:$J$224),0),
IF('TL09'!$B$229=L$3,SUMIF('TL09'!$C$238:$C$451,$C264,'TL09'!$J$238:$J$451),0),
IF('TL10'!$B$3=L$3,SUMIF('TL10'!$C$10:$C$224,$C264,'TL10'!$J$10:$J$224),0),
IF('TL10'!$B$229=L$3,SUMIF('TL10'!$C$238:$C$451,$C264,'TL10'!$J$238:$J$451),0),
IF('TL11'!$B$3=L$3,SUMIF('TL11'!$C$10:$C$224,$C264,'TL11'!$J$10:$J$224),0),
IF('TL11'!$B$229=L$3,SUMIF('TL11'!$C$238:$C$451,$C264,'TL11'!$J$238:$J$451),0),
IF('TL12'!$B$3=L$3,SUMIF('TL12'!$C$10:$C$224,$C264,'TL12'!$J$10:$J$224),0),
IF('TL12'!$B$229=L$3,SUMIF('TL12'!$C$238:$C$451,$C264,'TL12'!$J$238:$J$451),0),
IF('TL13'!$B$3=L$3,SUMIF('TL13'!$C$10:$C$224,$C264,'TL13'!$J$10:$J$224),0),
IF('TL13'!$B$229=L$3,SUMIF('TL13'!$C$238:$C$451,$C264,'TL13'!$J$238:$J$451),0),
IF('TL14'!$B$3=L$3,SUMIF('TL14'!$C$10:$C$224,$C264,'TL14'!$J$10:$J$224),0),
IF('TL14'!$B$229=L$3,SUMIF('TL14'!$C$238:$C$451,$C264,'TL14'!$J$238:$J$451),0),
IF('TL15'!$B$3=L$3,SUMIF('TL15'!$C$10:$C$224,$C264,'TL15'!$J$10:$J$224),0),
IF('TL15'!$B$229=L$3,SUMIF('TL15'!$C$238:$C$451,$C264,'TL15'!$J$238:$J$451),0),
IF('TL16'!$B$3=L$3,SUMIF('TL16'!$C$10:$C$224,$C264,'TL16'!$J$10:$J$224),0),
IF('TL16'!$B$229=L$3,SUMIF('TL16'!$C$238:$C$451,$C264,'TL16'!$J$238:$J$451),0),
IF('TL17'!$B$3=L$3,SUMIF('TL17'!$C$10:$C$224,$C264,'TL17'!$J$10:$J$224),0),
IF('TL17'!$B$229=L$3,SUMIF('TL17'!$C$238:$C$451,$C264,'TL17'!$J$238:$J$451),0),
IF('TL18'!$B$3=L$3,SUMIF('TL18'!$C$10:$C$224,$C264,'TL18'!$J$10:$J$224),0),
IF('TL18'!$B$229=L$3,SUMIF('TL18'!$C$238:$C$451,$C264,'TL18'!$J$238:$J$451),0),
IF('TL19'!$B$3=L$3,SUMIF('TL19'!$C$10:$C$224,$C264,'TL19'!$J$10:$J$224),0),
IF('TL19'!$B$229=L$3,SUMIF('TL19'!$C$238:$C$451,$C264,'TL19'!$J$238:$J$451),0)
),0)</f>
        <v/>
      </c>
      <c r="M264" s="9">
        <f>IFERROR(SUM(
IF('TL01'!$B$3=M$3,SUMIF('TL01'!$C$10:$C$224,$C264,'TL01'!$J$10:$J$224),0),
IF('TL01'!$B$229=M$3,SUMIF('TL01'!$C$238:$C$451,$C264,'TL01'!$J$238:$J$451),0),
IF('TL02'!$B$3=M$3,SUMIF('TL02'!$C$10:$C$224,$C264,'TL02'!$J$10:$J$224),0),
IF('TL02'!$B$229=M$3,SUMIF('TL02'!$C$238:$C$451,$C264,'TL02'!$J$238:$J$451),0),
IF('TL03'!$B$3=M$3,SUMIF('TL03'!$C$10:$C$224,$C264,'TL03'!$J$10:$J$224),0),
IF('TL03'!$B$229=M$3,SUMIF('TL03'!$C$238:$C$451,$C264,'TL03'!$J$238:$J$451),0),
IF('TL04'!$B$3=M$3,SUMIF('TL04'!$C$10:$C$224,$C264,'TL04'!$J$10:$J$224),0),
IF('TL04'!$B$229=M$3,SUMIF('TL04'!$C$238:$C$451,$C264,'TL04'!$J$238:$J$451),0),
IF('TL05'!$B$3=M$3,SUMIF('TL05'!$C$10:$C$224,$C264,'TL05'!$J$10:$J$224),0),
IF('TL05'!$B$229=M$3,SUMIF('TL05'!$C$238:$C$451,$C264,'TL05'!$J$238:$J$451),0),
IF('TL06'!$B$3=M$3,SUMIF('TL06'!$C$10:$C$224,$C264,'TL06'!$J$10:$J$224),0),
IF('TL06'!$B$229=M$3,SUMIF('TL06'!$C$238:$C$451,$C264,'TL06'!$J$238:$J$451),0),
IF('TL07'!$B$3=M$3,SUMIF('TL07'!$C$10:$C$224,$C264,'TL07'!$J$10:$J$224),0),
IF('TL07'!$B$229=M$3,SUMIF('TL07'!$C$238:$C$451,$C264,'TL07'!$J$238:$J$451),0),
IF('TL08'!$B$3=M$3,SUMIF('TL08'!$C$10:$C$224,$C264,'TL08'!$J$10:$J$224),0),
IF('TL08'!$B$229=M$3,SUMIF('TL08'!$C$238:$C$451,$C264,'TL08'!$J$238:$J$451),0),
IF('TL09'!$B$3=M$3,SUMIF('TL09'!$C$10:$C$224,$C264,'TL09'!$J$10:$J$224),0),
IF('TL09'!$B$229=M$3,SUMIF('TL09'!$C$238:$C$451,$C264,'TL09'!$J$238:$J$451),0),
IF('TL10'!$B$3=M$3,SUMIF('TL10'!$C$10:$C$224,$C264,'TL10'!$J$10:$J$224),0),
IF('TL10'!$B$229=M$3,SUMIF('TL10'!$C$238:$C$451,$C264,'TL10'!$J$238:$J$451),0),
IF('TL11'!$B$3=M$3,SUMIF('TL11'!$C$10:$C$224,$C264,'TL11'!$J$10:$J$224),0),
IF('TL11'!$B$229=M$3,SUMIF('TL11'!$C$238:$C$451,$C264,'TL11'!$J$238:$J$451),0),
IF('TL12'!$B$3=M$3,SUMIF('TL12'!$C$10:$C$224,$C264,'TL12'!$J$10:$J$224),0),
IF('TL12'!$B$229=M$3,SUMIF('TL12'!$C$238:$C$451,$C264,'TL12'!$J$238:$J$451),0),
IF('TL13'!$B$3=M$3,SUMIF('TL13'!$C$10:$C$224,$C264,'TL13'!$J$10:$J$224),0),
IF('TL13'!$B$229=M$3,SUMIF('TL13'!$C$238:$C$451,$C264,'TL13'!$J$238:$J$451),0),
IF('TL14'!$B$3=M$3,SUMIF('TL14'!$C$10:$C$224,$C264,'TL14'!$J$10:$J$224),0),
IF('TL14'!$B$229=M$3,SUMIF('TL14'!$C$238:$C$451,$C264,'TL14'!$J$238:$J$451),0),
IF('TL15'!$B$3=M$3,SUMIF('TL15'!$C$10:$C$224,$C264,'TL15'!$J$10:$J$224),0),
IF('TL15'!$B$229=M$3,SUMIF('TL15'!$C$238:$C$451,$C264,'TL15'!$J$238:$J$451),0),
IF('TL16'!$B$3=M$3,SUMIF('TL16'!$C$10:$C$224,$C264,'TL16'!$J$10:$J$224),0),
IF('TL16'!$B$229=M$3,SUMIF('TL16'!$C$238:$C$451,$C264,'TL16'!$J$238:$J$451),0),
IF('TL17'!$B$3=M$3,SUMIF('TL17'!$C$10:$C$224,$C264,'TL17'!$J$10:$J$224),0),
IF('TL17'!$B$229=M$3,SUMIF('TL17'!$C$238:$C$451,$C264,'TL17'!$J$238:$J$451),0),
IF('TL18'!$B$3=M$3,SUMIF('TL18'!$C$10:$C$224,$C264,'TL18'!$J$10:$J$224),0),
IF('TL18'!$B$229=M$3,SUMIF('TL18'!$C$238:$C$451,$C264,'TL18'!$J$238:$J$451),0),
IF('TL19'!$B$3=M$3,SUMIF('TL19'!$C$10:$C$224,$C264,'TL19'!$J$10:$J$224),0),
IF('TL19'!$B$229=M$3,SUMIF('TL19'!$C$238:$C$451,$C264,'TL19'!$J$238:$J$451),0)
),0)</f>
        <v/>
      </c>
      <c r="N264" s="9">
        <f>IFERROR(SUM(
IF('TL01'!$B$3=N$3,SUMIF('TL01'!$C$10:$C$224,$C264,'TL01'!$J$10:$J$224),0),
IF('TL01'!$B$229=N$3,SUMIF('TL01'!$C$238:$C$451,$C264,'TL01'!$J$238:$J$451),0),
IF('TL02'!$B$3=N$3,SUMIF('TL02'!$C$10:$C$224,$C264,'TL02'!$J$10:$J$224),0),
IF('TL02'!$B$229=N$3,SUMIF('TL02'!$C$238:$C$451,$C264,'TL02'!$J$238:$J$451),0),
IF('TL03'!$B$3=N$3,SUMIF('TL03'!$C$10:$C$224,$C264,'TL03'!$J$10:$J$224),0),
IF('TL03'!$B$229=N$3,SUMIF('TL03'!$C$238:$C$451,$C264,'TL03'!$J$238:$J$451),0),
IF('TL04'!$B$3=N$3,SUMIF('TL04'!$C$10:$C$224,$C264,'TL04'!$J$10:$J$224),0),
IF('TL04'!$B$229=N$3,SUMIF('TL04'!$C$238:$C$451,$C264,'TL04'!$J$238:$J$451),0),
IF('TL05'!$B$3=N$3,SUMIF('TL05'!$C$10:$C$224,$C264,'TL05'!$J$10:$J$224),0),
IF('TL05'!$B$229=N$3,SUMIF('TL05'!$C$238:$C$451,$C264,'TL05'!$J$238:$J$451),0),
IF('TL06'!$B$3=N$3,SUMIF('TL06'!$C$10:$C$224,$C264,'TL06'!$J$10:$J$224),0),
IF('TL06'!$B$229=N$3,SUMIF('TL06'!$C$238:$C$451,$C264,'TL06'!$J$238:$J$451),0),
IF('TL07'!$B$3=N$3,SUMIF('TL07'!$C$10:$C$224,$C264,'TL07'!$J$10:$J$224),0),
IF('TL07'!$B$229=N$3,SUMIF('TL07'!$C$238:$C$451,$C264,'TL07'!$J$238:$J$451),0),
IF('TL08'!$B$3=N$3,SUMIF('TL08'!$C$10:$C$224,$C264,'TL08'!$J$10:$J$224),0),
IF('TL08'!$B$229=N$3,SUMIF('TL08'!$C$238:$C$451,$C264,'TL08'!$J$238:$J$451),0),
IF('TL09'!$B$3=N$3,SUMIF('TL09'!$C$10:$C$224,$C264,'TL09'!$J$10:$J$224),0),
IF('TL09'!$B$229=N$3,SUMIF('TL09'!$C$238:$C$451,$C264,'TL09'!$J$238:$J$451),0),
IF('TL10'!$B$3=N$3,SUMIF('TL10'!$C$10:$C$224,$C264,'TL10'!$J$10:$J$224),0),
IF('TL10'!$B$229=N$3,SUMIF('TL10'!$C$238:$C$451,$C264,'TL10'!$J$238:$J$451),0),
IF('TL11'!$B$3=N$3,SUMIF('TL11'!$C$10:$C$224,$C264,'TL11'!$J$10:$J$224),0),
IF('TL11'!$B$229=N$3,SUMIF('TL11'!$C$238:$C$451,$C264,'TL11'!$J$238:$J$451),0),
IF('TL12'!$B$3=N$3,SUMIF('TL12'!$C$10:$C$224,$C264,'TL12'!$J$10:$J$224),0),
IF('TL12'!$B$229=N$3,SUMIF('TL12'!$C$238:$C$451,$C264,'TL12'!$J$238:$J$451),0),
IF('TL13'!$B$3=N$3,SUMIF('TL13'!$C$10:$C$224,$C264,'TL13'!$J$10:$J$224),0),
IF('TL13'!$B$229=N$3,SUMIF('TL13'!$C$238:$C$451,$C264,'TL13'!$J$238:$J$451),0),
IF('TL14'!$B$3=N$3,SUMIF('TL14'!$C$10:$C$224,$C264,'TL14'!$J$10:$J$224),0),
IF('TL14'!$B$229=N$3,SUMIF('TL14'!$C$238:$C$451,$C264,'TL14'!$J$238:$J$451),0),
IF('TL15'!$B$3=N$3,SUMIF('TL15'!$C$10:$C$224,$C264,'TL15'!$J$10:$J$224),0),
IF('TL15'!$B$229=N$3,SUMIF('TL15'!$C$238:$C$451,$C264,'TL15'!$J$238:$J$451),0),
IF('TL16'!$B$3=N$3,SUMIF('TL16'!$C$10:$C$224,$C264,'TL16'!$J$10:$J$224),0),
IF('TL16'!$B$229=N$3,SUMIF('TL16'!$C$238:$C$451,$C264,'TL16'!$J$238:$J$451),0),
IF('TL17'!$B$3=N$3,SUMIF('TL17'!$C$10:$C$224,$C264,'TL17'!$J$10:$J$224),0),
IF('TL17'!$B$229=N$3,SUMIF('TL17'!$C$238:$C$451,$C264,'TL17'!$J$238:$J$451),0),
IF('TL18'!$B$3=N$3,SUMIF('TL18'!$C$10:$C$224,$C264,'TL18'!$J$10:$J$224),0),
IF('TL18'!$B$229=N$3,SUMIF('TL18'!$C$238:$C$451,$C264,'TL18'!$J$238:$J$451),0),
IF('TL19'!$B$3=N$3,SUMIF('TL19'!$C$10:$C$224,$C264,'TL19'!$J$10:$J$224),0),
IF('TL19'!$B$229=N$3,SUMIF('TL19'!$C$238:$C$451,$C264,'TL19'!$J$238:$J$451),0)
),0)</f>
        <v/>
      </c>
      <c r="O264" s="9">
        <f>IFERROR(SUM(
IF('TL01'!$B$3=O$3,SUMIF('TL01'!$C$10:$C$224,$C264,'TL01'!$J$10:$J$224),0),
IF('TL01'!$B$229=O$3,SUMIF('TL01'!$C$238:$C$451,$C264,'TL01'!$J$238:$J$451),0),
IF('TL02'!$B$3=O$3,SUMIF('TL02'!$C$10:$C$224,$C264,'TL02'!$J$10:$J$224),0),
IF('TL02'!$B$229=O$3,SUMIF('TL02'!$C$238:$C$451,$C264,'TL02'!$J$238:$J$451),0),
IF('TL03'!$B$3=O$3,SUMIF('TL03'!$C$10:$C$224,$C264,'TL03'!$J$10:$J$224),0),
IF('TL03'!$B$229=O$3,SUMIF('TL03'!$C$238:$C$451,$C264,'TL03'!$J$238:$J$451),0),
IF('TL04'!$B$3=O$3,SUMIF('TL04'!$C$10:$C$224,$C264,'TL04'!$J$10:$J$224),0),
IF('TL04'!$B$229=O$3,SUMIF('TL04'!$C$238:$C$451,$C264,'TL04'!$J$238:$J$451),0),
IF('TL05'!$B$3=O$3,SUMIF('TL05'!$C$10:$C$224,$C264,'TL05'!$J$10:$J$224),0),
IF('TL05'!$B$229=O$3,SUMIF('TL05'!$C$238:$C$451,$C264,'TL05'!$J$238:$J$451),0),
IF('TL06'!$B$3=O$3,SUMIF('TL06'!$C$10:$C$224,$C264,'TL06'!$J$10:$J$224),0),
IF('TL06'!$B$229=O$3,SUMIF('TL06'!$C$238:$C$451,$C264,'TL06'!$J$238:$J$451),0),
IF('TL07'!$B$3=O$3,SUMIF('TL07'!$C$10:$C$224,$C264,'TL07'!$J$10:$J$224),0),
IF('TL07'!$B$229=O$3,SUMIF('TL07'!$C$238:$C$451,$C264,'TL07'!$J$238:$J$451),0),
IF('TL08'!$B$3=O$3,SUMIF('TL08'!$C$10:$C$224,$C264,'TL08'!$J$10:$J$224),0),
IF('TL08'!$B$229=O$3,SUMIF('TL08'!$C$238:$C$451,$C264,'TL08'!$J$238:$J$451),0),
IF('TL09'!$B$3=O$3,SUMIF('TL09'!$C$10:$C$224,$C264,'TL09'!$J$10:$J$224),0),
IF('TL09'!$B$229=O$3,SUMIF('TL09'!$C$238:$C$451,$C264,'TL09'!$J$238:$J$451),0),
IF('TL10'!$B$3=O$3,SUMIF('TL10'!$C$10:$C$224,$C264,'TL10'!$J$10:$J$224),0),
IF('TL10'!$B$229=O$3,SUMIF('TL10'!$C$238:$C$451,$C264,'TL10'!$J$238:$J$451),0),
IF('TL11'!$B$3=O$3,SUMIF('TL11'!$C$10:$C$224,$C264,'TL11'!$J$10:$J$224),0),
IF('TL11'!$B$229=O$3,SUMIF('TL11'!$C$238:$C$451,$C264,'TL11'!$J$238:$J$451),0),
IF('TL12'!$B$3=O$3,SUMIF('TL12'!$C$10:$C$224,$C264,'TL12'!$J$10:$J$224),0),
IF('TL12'!$B$229=O$3,SUMIF('TL12'!$C$238:$C$451,$C264,'TL12'!$J$238:$J$451),0),
IF('TL13'!$B$3=O$3,SUMIF('TL13'!$C$10:$C$224,$C264,'TL13'!$J$10:$J$224),0),
IF('TL13'!$B$229=O$3,SUMIF('TL13'!$C$238:$C$451,$C264,'TL13'!$J$238:$J$451),0),
IF('TL14'!$B$3=O$3,SUMIF('TL14'!$C$10:$C$224,$C264,'TL14'!$J$10:$J$224),0),
IF('TL14'!$B$229=O$3,SUMIF('TL14'!$C$238:$C$451,$C264,'TL14'!$J$238:$J$451),0),
IF('TL15'!$B$3=O$3,SUMIF('TL15'!$C$10:$C$224,$C264,'TL15'!$J$10:$J$224),0),
IF('TL15'!$B$229=O$3,SUMIF('TL15'!$C$238:$C$451,$C264,'TL15'!$J$238:$J$451),0),
IF('TL16'!$B$3=O$3,SUMIF('TL16'!$C$10:$C$224,$C264,'TL16'!$J$10:$J$224),0),
IF('TL16'!$B$229=O$3,SUMIF('TL16'!$C$238:$C$451,$C264,'TL16'!$J$238:$J$451),0),
IF('TL17'!$B$3=O$3,SUMIF('TL17'!$C$10:$C$224,$C264,'TL17'!$J$10:$J$224),0),
IF('TL17'!$B$229=O$3,SUMIF('TL17'!$C$238:$C$451,$C264,'TL17'!$J$238:$J$451),0),
IF('TL18'!$B$3=O$3,SUMIF('TL18'!$C$10:$C$224,$C264,'TL18'!$J$10:$J$224),0),
IF('TL18'!$B$229=O$3,SUMIF('TL18'!$C$238:$C$451,$C264,'TL18'!$J$238:$J$451),0),
IF('TL19'!$B$3=O$3,SUMIF('TL19'!$C$10:$C$224,$C264,'TL19'!$J$10:$J$224),0),
IF('TL19'!$B$229=O$3,SUMIF('TL19'!$C$238:$C$451,$C264,'TL19'!$J$238:$J$451),0)
),0)</f>
        <v/>
      </c>
      <c r="P264" s="9">
        <f>IFERROR(SUM(
IF('TL01'!$B$3=P$3,SUMIF('TL01'!$C$10:$C$224,$C264,'TL01'!$J$10:$J$224),0),
IF('TL01'!$B$229=P$3,SUMIF('TL01'!$C$238:$C$451,$C264,'TL01'!$J$238:$J$451),0),
IF('TL02'!$B$3=P$3,SUMIF('TL02'!$C$10:$C$224,$C264,'TL02'!$J$10:$J$224),0),
IF('TL02'!$B$229=P$3,SUMIF('TL02'!$C$238:$C$451,$C264,'TL02'!$J$238:$J$451),0),
IF('TL03'!$B$3=P$3,SUMIF('TL03'!$C$10:$C$224,$C264,'TL03'!$J$10:$J$224),0),
IF('TL03'!$B$229=P$3,SUMIF('TL03'!$C$238:$C$451,$C264,'TL03'!$J$238:$J$451),0),
IF('TL04'!$B$3=P$3,SUMIF('TL04'!$C$10:$C$224,$C264,'TL04'!$J$10:$J$224),0),
IF('TL04'!$B$229=P$3,SUMIF('TL04'!$C$238:$C$451,$C264,'TL04'!$J$238:$J$451),0),
IF('TL05'!$B$3=P$3,SUMIF('TL05'!$C$10:$C$224,$C264,'TL05'!$J$10:$J$224),0),
IF('TL05'!$B$229=P$3,SUMIF('TL05'!$C$238:$C$451,$C264,'TL05'!$J$238:$J$451),0),
IF('TL06'!$B$3=P$3,SUMIF('TL06'!$C$10:$C$224,$C264,'TL06'!$J$10:$J$224),0),
IF('TL06'!$B$229=P$3,SUMIF('TL06'!$C$238:$C$451,$C264,'TL06'!$J$238:$J$451),0),
IF('TL07'!$B$3=P$3,SUMIF('TL07'!$C$10:$C$224,$C264,'TL07'!$J$10:$J$224),0),
IF('TL07'!$B$229=P$3,SUMIF('TL07'!$C$238:$C$451,$C264,'TL07'!$J$238:$J$451),0),
IF('TL08'!$B$3=P$3,SUMIF('TL08'!$C$10:$C$224,$C264,'TL08'!$J$10:$J$224),0),
IF('TL08'!$B$229=P$3,SUMIF('TL08'!$C$238:$C$451,$C264,'TL08'!$J$238:$J$451),0),
IF('TL09'!$B$3=P$3,SUMIF('TL09'!$C$10:$C$224,$C264,'TL09'!$J$10:$J$224),0),
IF('TL09'!$B$229=P$3,SUMIF('TL09'!$C$238:$C$451,$C264,'TL09'!$J$238:$J$451),0),
IF('TL10'!$B$3=P$3,SUMIF('TL10'!$C$10:$C$224,$C264,'TL10'!$J$10:$J$224),0),
IF('TL10'!$B$229=P$3,SUMIF('TL10'!$C$238:$C$451,$C264,'TL10'!$J$238:$J$451),0),
IF('TL11'!$B$3=P$3,SUMIF('TL11'!$C$10:$C$224,$C264,'TL11'!$J$10:$J$224),0),
IF('TL11'!$B$229=P$3,SUMIF('TL11'!$C$238:$C$451,$C264,'TL11'!$J$238:$J$451),0),
IF('TL12'!$B$3=P$3,SUMIF('TL12'!$C$10:$C$224,$C264,'TL12'!$J$10:$J$224),0),
IF('TL12'!$B$229=P$3,SUMIF('TL12'!$C$238:$C$451,$C264,'TL12'!$J$238:$J$451),0),
IF('TL13'!$B$3=P$3,SUMIF('TL13'!$C$10:$C$224,$C264,'TL13'!$J$10:$J$224),0),
IF('TL13'!$B$229=P$3,SUMIF('TL13'!$C$238:$C$451,$C264,'TL13'!$J$238:$J$451),0),
IF('TL14'!$B$3=P$3,SUMIF('TL14'!$C$10:$C$224,$C264,'TL14'!$J$10:$J$224),0),
IF('TL14'!$B$229=P$3,SUMIF('TL14'!$C$238:$C$451,$C264,'TL14'!$J$238:$J$451),0),
IF('TL15'!$B$3=P$3,SUMIF('TL15'!$C$10:$C$224,$C264,'TL15'!$J$10:$J$224),0),
IF('TL15'!$B$229=P$3,SUMIF('TL15'!$C$238:$C$451,$C264,'TL15'!$J$238:$J$451),0),
IF('TL16'!$B$3=P$3,SUMIF('TL16'!$C$10:$C$224,$C264,'TL16'!$J$10:$J$224),0),
IF('TL16'!$B$229=P$3,SUMIF('TL16'!$C$238:$C$451,$C264,'TL16'!$J$238:$J$451),0),
IF('TL17'!$B$3=P$3,SUMIF('TL17'!$C$10:$C$224,$C264,'TL17'!$J$10:$J$224),0),
IF('TL17'!$B$229=P$3,SUMIF('TL17'!$C$238:$C$451,$C264,'TL17'!$J$238:$J$451),0),
IF('TL18'!$B$3=P$3,SUMIF('TL18'!$C$10:$C$224,$C264,'TL18'!$J$10:$J$224),0),
IF('TL18'!$B$229=P$3,SUMIF('TL18'!$C$238:$C$451,$C264,'TL18'!$J$238:$J$451),0),
IF('TL19'!$B$3=P$3,SUMIF('TL19'!$C$10:$C$224,$C264,'TL19'!$J$10:$J$224),0),
IF('TL19'!$B$229=P$3,SUMIF('TL19'!$C$238:$C$451,$C264,'TL19'!$J$238:$J$451),0)
),0)</f>
        <v/>
      </c>
      <c r="Q264" s="9">
        <f>IFERROR(SUM(
IF('TL01'!$B$3=Q$3,SUMIF('TL01'!$C$10:$C$224,$C264,'TL01'!$J$10:$J$224),0),
IF('TL01'!$B$229=Q$3,SUMIF('TL01'!$C$238:$C$451,$C264,'TL01'!$J$238:$J$451),0),
IF('TL02'!$B$3=Q$3,SUMIF('TL02'!$C$10:$C$224,$C264,'TL02'!$J$10:$J$224),0),
IF('TL02'!$B$229=Q$3,SUMIF('TL02'!$C$238:$C$451,$C264,'TL02'!$J$238:$J$451),0),
IF('TL03'!$B$3=Q$3,SUMIF('TL03'!$C$10:$C$224,$C264,'TL03'!$J$10:$J$224),0),
IF('TL03'!$B$229=Q$3,SUMIF('TL03'!$C$238:$C$451,$C264,'TL03'!$J$238:$J$451),0),
IF('TL04'!$B$3=Q$3,SUMIF('TL04'!$C$10:$C$224,$C264,'TL04'!$J$10:$J$224),0),
IF('TL04'!$B$229=Q$3,SUMIF('TL04'!$C$238:$C$451,$C264,'TL04'!$J$238:$J$451),0),
IF('TL05'!$B$3=Q$3,SUMIF('TL05'!$C$10:$C$224,$C264,'TL05'!$J$10:$J$224),0),
IF('TL05'!$B$229=Q$3,SUMIF('TL05'!$C$238:$C$451,$C264,'TL05'!$J$238:$J$451),0),
IF('TL06'!$B$3=Q$3,SUMIF('TL06'!$C$10:$C$224,$C264,'TL06'!$J$10:$J$224),0),
IF('TL06'!$B$229=Q$3,SUMIF('TL06'!$C$238:$C$451,$C264,'TL06'!$J$238:$J$451),0),
IF('TL07'!$B$3=Q$3,SUMIF('TL07'!$C$10:$C$224,$C264,'TL07'!$J$10:$J$224),0),
IF('TL07'!$B$229=Q$3,SUMIF('TL07'!$C$238:$C$451,$C264,'TL07'!$J$238:$J$451),0),
IF('TL08'!$B$3=Q$3,SUMIF('TL08'!$C$10:$C$224,$C264,'TL08'!$J$10:$J$224),0),
IF('TL08'!$B$229=Q$3,SUMIF('TL08'!$C$238:$C$451,$C264,'TL08'!$J$238:$J$451),0),
IF('TL09'!$B$3=Q$3,SUMIF('TL09'!$C$10:$C$224,$C264,'TL09'!$J$10:$J$224),0),
IF('TL09'!$B$229=Q$3,SUMIF('TL09'!$C$238:$C$451,$C264,'TL09'!$J$238:$J$451),0),
IF('TL10'!$B$3=Q$3,SUMIF('TL10'!$C$10:$C$224,$C264,'TL10'!$J$10:$J$224),0),
IF('TL10'!$B$229=Q$3,SUMIF('TL10'!$C$238:$C$451,$C264,'TL10'!$J$238:$J$451),0),
IF('TL11'!$B$3=Q$3,SUMIF('TL11'!$C$10:$C$224,$C264,'TL11'!$J$10:$J$224),0),
IF('TL11'!$B$229=Q$3,SUMIF('TL11'!$C$238:$C$451,$C264,'TL11'!$J$238:$J$451),0),
IF('TL12'!$B$3=Q$3,SUMIF('TL12'!$C$10:$C$224,$C264,'TL12'!$J$10:$J$224),0),
IF('TL12'!$B$229=Q$3,SUMIF('TL12'!$C$238:$C$451,$C264,'TL12'!$J$238:$J$451),0),
IF('TL13'!$B$3=Q$3,SUMIF('TL13'!$C$10:$C$224,$C264,'TL13'!$J$10:$J$224),0),
IF('TL13'!$B$229=Q$3,SUMIF('TL13'!$C$238:$C$451,$C264,'TL13'!$J$238:$J$451),0),
IF('TL14'!$B$3=Q$3,SUMIF('TL14'!$C$10:$C$224,$C264,'TL14'!$J$10:$J$224),0),
IF('TL14'!$B$229=Q$3,SUMIF('TL14'!$C$238:$C$451,$C264,'TL14'!$J$238:$J$451),0),
IF('TL15'!$B$3=Q$3,SUMIF('TL15'!$C$10:$C$224,$C264,'TL15'!$J$10:$J$224),0),
IF('TL15'!$B$229=Q$3,SUMIF('TL15'!$C$238:$C$451,$C264,'TL15'!$J$238:$J$451),0),
IF('TL16'!$B$3=Q$3,SUMIF('TL16'!$C$10:$C$224,$C264,'TL16'!$J$10:$J$224),0),
IF('TL16'!$B$229=Q$3,SUMIF('TL16'!$C$238:$C$451,$C264,'TL16'!$J$238:$J$451),0),
IF('TL17'!$B$3=Q$3,SUMIF('TL17'!$C$10:$C$224,$C264,'TL17'!$J$10:$J$224),0),
IF('TL17'!$B$229=Q$3,SUMIF('TL17'!$C$238:$C$451,$C264,'TL17'!$J$238:$J$451),0),
IF('TL18'!$B$3=Q$3,SUMIF('TL18'!$C$10:$C$224,$C264,'TL18'!$J$10:$J$224),0),
IF('TL18'!$B$229=Q$3,SUMIF('TL18'!$C$238:$C$451,$C264,'TL18'!$J$238:$J$451),0),
IF('TL19'!$B$3=Q$3,SUMIF('TL19'!$C$10:$C$224,$C264,'TL19'!$J$10:$J$224),0),
IF('TL19'!$B$229=Q$3,SUMIF('TL19'!$C$238:$C$451,$C264,'TL19'!$J$238:$J$451),0)
),0)</f>
        <v/>
      </c>
      <c r="R264" s="9">
        <f>IFERROR(
SUM(
SUMIF('TL01'!C:C,C264,'TL01'!J:J),
SUMIF('TL02'!C:C,C264,'TL02'!J:J),
SUMIF('TL03'!C:C,C264,'TL03'!J:J),
SUMIF('TL04'!C:C,C264,'TL04'!J:J),
SUMIF('TL05'!C:C,C264,'TL05'!J:J),
SUMIF('TL06'!C:C,C264,'TL06'!J:J),
SUMIF('TL07'!C:C,C264,'TL07'!J:J),
SUMIF('TL08'!C:C,C264,'TL08'!J:J),
SUMIF('TL09'!C:C,C264,'TL09'!J:J),
SUMIF('TL10'!C:C,C264,'TL10'!J:J),
SUMIF('TL11'!C:C,C264,'TL11'!J:J),
SUMIF('TL12'!C:C,C264,'TL12'!J:J),
SUMIF('TL13'!C:C,C264,'TL13'!J:J),
SUMIF('TL14'!C:C,C264,'TL14'!J:J),
SUMIF('TL15'!C:C,C264,'TL15'!J:J),
SUMIF('TL16'!C:C,C264,'TL16'!J:J),
SUMIF('TL17'!C:C,C264,'TL17'!J:J),
SUMIF('TL18'!C:C,C264,'TL18'!J:J),SUMIF('TL19'!C:C,C264,'TL19'!J:J))
,0)</f>
        <v/>
      </c>
      <c r="S264" s="17">
        <f>IFERROR(__xludf.DUMMYFUNCTION("IFERROR(VLOOKUP(C264,
IMPORTRANGE(""1wULbzX32WdYsx-lj2U3uUNBBe2INVIRDtcK0d-Dvl90"",
""26-27!C:G""),
5,
FALSE),
"""")"),339.5)</f>
        <v/>
      </c>
      <c r="T264" s="9" t="n"/>
      <c r="U264" s="92">
        <f>MAX(0,R264-T264)</f>
        <v/>
      </c>
      <c r="V264" s="93">
        <f>U264*S264</f>
        <v/>
      </c>
    </row>
    <row r="265" hidden="1" ht="15.75" customHeight="1" s="297">
      <c r="A265" s="4" t="inlineStr">
        <is>
          <t>ACRESENTE</t>
        </is>
      </c>
      <c r="B265" s="125" t="inlineStr">
        <is>
          <t>NUTRIÇÃO</t>
        </is>
      </c>
      <c r="C265" s="4" t="inlineStr">
        <is>
          <t>ACRESCENTE SOLUS F</t>
        </is>
      </c>
      <c r="D265" s="20" t="n"/>
      <c r="E265" s="9" t="n"/>
      <c r="F265" s="4" t="inlineStr">
        <is>
          <t>L</t>
        </is>
      </c>
      <c r="G265" s="9" t="n"/>
      <c r="H265" s="9" t="n">
        <v>2</v>
      </c>
      <c r="I265" s="1" t="n"/>
      <c r="J265" s="9">
        <f>IFERROR(SUM(
IF('TL01'!$B$3=J$3,SUMIF('TL01'!$C$10:$C$224,$C265,'TL01'!$J$10:$J$224),0),
IF('TL01'!$B$229=J$3,SUMIF('TL01'!$C$238:$C$451,$C265,'TL01'!$J$238:$J$451),0),
IF('TL02'!$B$3=J$3,SUMIF('TL02'!$C$10:$C$224,$C265,'TL02'!$J$10:$J$224),0),
IF('TL02'!$B$229=J$3,SUMIF('TL02'!$C$238:$C$451,$C265,'TL02'!$J$238:$J$451),0),
IF('TL03'!$B$3=J$3,SUMIF('TL03'!$C$10:$C$224,$C265,'TL03'!$J$10:$J$224),0),
IF('TL03'!$B$229=J$3,SUMIF('TL03'!$C$238:$C$451,$C265,'TL03'!$J$238:$J$451),0),
IF('TL04'!$B$3=J$3,SUMIF('TL04'!$C$10:$C$224,$C265,'TL04'!$J$10:$J$224),0),
IF('TL04'!$B$229=J$3,SUMIF('TL04'!$C$238:$C$451,$C265,'TL04'!$J$238:$J$451),0),
IF('TL05'!$B$3=J$3,SUMIF('TL05'!$C$10:$C$224,$C265,'TL05'!$J$10:$J$224),0),
IF('TL05'!$B$229=J$3,SUMIF('TL05'!$C$238:$C$451,$C265,'TL05'!$J$238:$J$451),0),
IF('TL06'!$B$3=J$3,SUMIF('TL06'!$C$10:$C$224,$C265,'TL06'!$J$10:$J$224),0),
IF('TL06'!$B$229=J$3,SUMIF('TL06'!$C$238:$C$451,$C265,'TL06'!$J$238:$J$451),0),
IF('TL07'!$B$3=J$3,SUMIF('TL07'!$C$10:$C$224,$C265,'TL07'!$J$10:$J$224),0),
IF('TL07'!$B$229=J$3,SUMIF('TL07'!$C$238:$C$451,$C265,'TL07'!$J$238:$J$451),0),
IF('TL08'!$B$3=J$3,SUMIF('TL08'!$C$10:$C$224,$C265,'TL08'!$J$10:$J$224),0),
IF('TL08'!$B$229=J$3,SUMIF('TL08'!$C$238:$C$451,$C265,'TL08'!$J$238:$J$451),0),
IF('TL09'!$B$3=J$3,SUMIF('TL09'!$C$10:$C$224,$C265,'TL09'!$J$10:$J$224),0),
IF('TL09'!$B$229=J$3,SUMIF('TL09'!$C$238:$C$451,$C265,'TL09'!$J$238:$J$451),0),
IF('TL10'!$B$3=J$3,SUMIF('TL10'!$C$10:$C$224,$C265,'TL10'!$J$10:$J$224),0),
IF('TL10'!$B$229=J$3,SUMIF('TL10'!$C$238:$C$451,$C265,'TL10'!$J$238:$J$451),0),
IF('TL11'!$B$3=J$3,SUMIF('TL11'!$C$10:$C$224,$C265,'TL11'!$J$10:$J$224),0),
IF('TL11'!$B$229=J$3,SUMIF('TL11'!$C$238:$C$451,$C265,'TL11'!$J$238:$J$451),0),
IF('TL12'!$B$3=J$3,SUMIF('TL12'!$C$10:$C$224,$C265,'TL12'!$J$10:$J$224),0),
IF('TL12'!$B$229=J$3,SUMIF('TL12'!$C$238:$C$451,$C265,'TL12'!$J$238:$J$451),0),
IF('TL13'!$B$3=J$3,SUMIF('TL13'!$C$10:$C$224,$C265,'TL13'!$J$10:$J$224),0),
IF('TL13'!$B$229=J$3,SUMIF('TL13'!$C$238:$C$451,$C265,'TL13'!$J$238:$J$451),0),
IF('TL14'!$B$3=J$3,SUMIF('TL14'!$C$10:$C$224,$C265,'TL14'!$J$10:$J$224),0),
IF('TL14'!$B$229=J$3,SUMIF('TL14'!$C$238:$C$451,$C265,'TL14'!$J$238:$J$451),0),
IF('TL15'!$B$3=J$3,SUMIF('TL15'!$C$10:$C$224,$C265,'TL15'!$J$10:$J$224),0),
IF('TL15'!$B$229=J$3,SUMIF('TL15'!$C$238:$C$451,$C265,'TL15'!$J$238:$J$451),0),
IF('TL16'!$B$3=J$3,SUMIF('TL16'!$C$10:$C$224,$C265,'TL16'!$J$10:$J$224),0),
IF('TL16'!$B$229=J$3,SUMIF('TL16'!$C$238:$C$451,$C265,'TL16'!$J$238:$J$451),0),
IF('TL17'!$B$3=J$3,SUMIF('TL17'!$C$10:$C$224,$C265,'TL17'!$J$10:$J$224),0),
IF('TL17'!$B$229=J$3,SUMIF('TL17'!$C$238:$C$451,$C265,'TL17'!$J$238:$J$451),0),
IF('TL18'!$B$3=J$3,SUMIF('TL18'!$C$10:$C$224,$C265,'TL18'!$J$10:$J$224),0),
IF('TL18'!$B$229=J$3,SUMIF('TL18'!$C$238:$C$451,$C265,'TL18'!$J$238:$J$451),0),
IF('TL19'!$B$3=J$3,SUMIF('TL19'!$C$10:$C$224,$C265,'TL19'!$J$10:$J$224),0),
IF('TL19'!$B$229=J$3,SUMIF('TL19'!$C$238:$C$451,$C265,'TL19'!$J$238:$J$451),0)
),0)</f>
        <v/>
      </c>
      <c r="K265" s="9">
        <f>IFERROR(SUM(
IF('TL01'!$B$3=K$3,SUMIF('TL01'!$C$10:$C$224,$C265,'TL01'!$J$10:$J$224),0),
IF('TL01'!$B$229=K$3,SUMIF('TL01'!$C$238:$C$451,$C265,'TL01'!$J$238:$J$451),0),
IF('TL02'!$B$3=K$3,SUMIF('TL02'!$C$10:$C$224,$C265,'TL02'!$J$10:$J$224),0),
IF('TL02'!$B$229=K$3,SUMIF('TL02'!$C$238:$C$451,$C265,'TL02'!$J$238:$J$451),0),
IF('TL03'!$B$3=K$3,SUMIF('TL03'!$C$10:$C$224,$C265,'TL03'!$J$10:$J$224),0),
IF('TL03'!$B$229=K$3,SUMIF('TL03'!$C$238:$C$451,$C265,'TL03'!$J$238:$J$451),0),
IF('TL04'!$B$3=K$3,SUMIF('TL04'!$C$10:$C$224,$C265,'TL04'!$J$10:$J$224),0),
IF('TL04'!$B$229=K$3,SUMIF('TL04'!$C$238:$C$451,$C265,'TL04'!$J$238:$J$451),0),
IF('TL05'!$B$3=K$3,SUMIF('TL05'!$C$10:$C$224,$C265,'TL05'!$J$10:$J$224),0),
IF('TL05'!$B$229=K$3,SUMIF('TL05'!$C$238:$C$451,$C265,'TL05'!$J$238:$J$451),0),
IF('TL06'!$B$3=K$3,SUMIF('TL06'!$C$10:$C$224,$C265,'TL06'!$J$10:$J$224),0),
IF('TL06'!$B$229=K$3,SUMIF('TL06'!$C$238:$C$451,$C265,'TL06'!$J$238:$J$451),0),
IF('TL07'!$B$3=K$3,SUMIF('TL07'!$C$10:$C$224,$C265,'TL07'!$J$10:$J$224),0),
IF('TL07'!$B$229=K$3,SUMIF('TL07'!$C$238:$C$451,$C265,'TL07'!$J$238:$J$451),0),
IF('TL08'!$B$3=K$3,SUMIF('TL08'!$C$10:$C$224,$C265,'TL08'!$J$10:$J$224),0),
IF('TL08'!$B$229=K$3,SUMIF('TL08'!$C$238:$C$451,$C265,'TL08'!$J$238:$J$451),0),
IF('TL09'!$B$3=K$3,SUMIF('TL09'!$C$10:$C$224,$C265,'TL09'!$J$10:$J$224),0),
IF('TL09'!$B$229=K$3,SUMIF('TL09'!$C$238:$C$451,$C265,'TL09'!$J$238:$J$451),0),
IF('TL10'!$B$3=K$3,SUMIF('TL10'!$C$10:$C$224,$C265,'TL10'!$J$10:$J$224),0),
IF('TL10'!$B$229=K$3,SUMIF('TL10'!$C$238:$C$451,$C265,'TL10'!$J$238:$J$451),0),
IF('TL11'!$B$3=K$3,SUMIF('TL11'!$C$10:$C$224,$C265,'TL11'!$J$10:$J$224),0),
IF('TL11'!$B$229=K$3,SUMIF('TL11'!$C$238:$C$451,$C265,'TL11'!$J$238:$J$451),0),
IF('TL12'!$B$3=K$3,SUMIF('TL12'!$C$10:$C$224,$C265,'TL12'!$J$10:$J$224),0),
IF('TL12'!$B$229=K$3,SUMIF('TL12'!$C$238:$C$451,$C265,'TL12'!$J$238:$J$451),0),
IF('TL13'!$B$3=K$3,SUMIF('TL13'!$C$10:$C$224,$C265,'TL13'!$J$10:$J$224),0),
IF('TL13'!$B$229=K$3,SUMIF('TL13'!$C$238:$C$451,$C265,'TL13'!$J$238:$J$451),0),
IF('TL14'!$B$3=K$3,SUMIF('TL14'!$C$10:$C$224,$C265,'TL14'!$J$10:$J$224),0),
IF('TL14'!$B$229=K$3,SUMIF('TL14'!$C$238:$C$451,$C265,'TL14'!$J$238:$J$451),0),
IF('TL15'!$B$3=K$3,SUMIF('TL15'!$C$10:$C$224,$C265,'TL15'!$J$10:$J$224),0),
IF('TL15'!$B$229=K$3,SUMIF('TL15'!$C$238:$C$451,$C265,'TL15'!$J$238:$J$451),0),
IF('TL16'!$B$3=K$3,SUMIF('TL16'!$C$10:$C$224,$C265,'TL16'!$J$10:$J$224),0),
IF('TL16'!$B$229=K$3,SUMIF('TL16'!$C$238:$C$451,$C265,'TL16'!$J$238:$J$451),0),
IF('TL17'!$B$3=K$3,SUMIF('TL17'!$C$10:$C$224,$C265,'TL17'!$J$10:$J$224),0),
IF('TL17'!$B$229=K$3,SUMIF('TL17'!$C$238:$C$451,$C265,'TL17'!$J$238:$J$451),0),
IF('TL18'!$B$3=K$3,SUMIF('TL18'!$C$10:$C$224,$C265,'TL18'!$J$10:$J$224),0),
IF('TL18'!$B$229=K$3,SUMIF('TL18'!$C$238:$C$451,$C265,'TL18'!$J$238:$J$451),0),
IF('TL19'!$B$3=K$3,SUMIF('TL19'!$C$10:$C$224,$C265,'TL19'!$J$10:$J$224),0),
IF('TL19'!$B$229=K$3,SUMIF('TL19'!$C$238:$C$451,$C265,'TL19'!$J$238:$J$451),0)
),0)</f>
        <v/>
      </c>
      <c r="L265" s="9">
        <f>IFERROR(SUM(
IF('TL01'!$B$3=L$3,SUMIF('TL01'!$C$10:$C$224,$C265,'TL01'!$J$10:$J$224),0),
IF('TL01'!$B$229=L$3,SUMIF('TL01'!$C$238:$C$451,$C265,'TL01'!$J$238:$J$451),0),
IF('TL02'!$B$3=L$3,SUMIF('TL02'!$C$10:$C$224,$C265,'TL02'!$J$10:$J$224),0),
IF('TL02'!$B$229=L$3,SUMIF('TL02'!$C$238:$C$451,$C265,'TL02'!$J$238:$J$451),0),
IF('TL03'!$B$3=L$3,SUMIF('TL03'!$C$10:$C$224,$C265,'TL03'!$J$10:$J$224),0),
IF('TL03'!$B$229=L$3,SUMIF('TL03'!$C$238:$C$451,$C265,'TL03'!$J$238:$J$451),0),
IF('TL04'!$B$3=L$3,SUMIF('TL04'!$C$10:$C$224,$C265,'TL04'!$J$10:$J$224),0),
IF('TL04'!$B$229=L$3,SUMIF('TL04'!$C$238:$C$451,$C265,'TL04'!$J$238:$J$451),0),
IF('TL05'!$B$3=L$3,SUMIF('TL05'!$C$10:$C$224,$C265,'TL05'!$J$10:$J$224),0),
IF('TL05'!$B$229=L$3,SUMIF('TL05'!$C$238:$C$451,$C265,'TL05'!$J$238:$J$451),0),
IF('TL06'!$B$3=L$3,SUMIF('TL06'!$C$10:$C$224,$C265,'TL06'!$J$10:$J$224),0),
IF('TL06'!$B$229=L$3,SUMIF('TL06'!$C$238:$C$451,$C265,'TL06'!$J$238:$J$451),0),
IF('TL07'!$B$3=L$3,SUMIF('TL07'!$C$10:$C$224,$C265,'TL07'!$J$10:$J$224),0),
IF('TL07'!$B$229=L$3,SUMIF('TL07'!$C$238:$C$451,$C265,'TL07'!$J$238:$J$451),0),
IF('TL08'!$B$3=L$3,SUMIF('TL08'!$C$10:$C$224,$C265,'TL08'!$J$10:$J$224),0),
IF('TL08'!$B$229=L$3,SUMIF('TL08'!$C$238:$C$451,$C265,'TL08'!$J$238:$J$451),0),
IF('TL09'!$B$3=L$3,SUMIF('TL09'!$C$10:$C$224,$C265,'TL09'!$J$10:$J$224),0),
IF('TL09'!$B$229=L$3,SUMIF('TL09'!$C$238:$C$451,$C265,'TL09'!$J$238:$J$451),0),
IF('TL10'!$B$3=L$3,SUMIF('TL10'!$C$10:$C$224,$C265,'TL10'!$J$10:$J$224),0),
IF('TL10'!$B$229=L$3,SUMIF('TL10'!$C$238:$C$451,$C265,'TL10'!$J$238:$J$451),0),
IF('TL11'!$B$3=L$3,SUMIF('TL11'!$C$10:$C$224,$C265,'TL11'!$J$10:$J$224),0),
IF('TL11'!$B$229=L$3,SUMIF('TL11'!$C$238:$C$451,$C265,'TL11'!$J$238:$J$451),0),
IF('TL12'!$B$3=L$3,SUMIF('TL12'!$C$10:$C$224,$C265,'TL12'!$J$10:$J$224),0),
IF('TL12'!$B$229=L$3,SUMIF('TL12'!$C$238:$C$451,$C265,'TL12'!$J$238:$J$451),0),
IF('TL13'!$B$3=L$3,SUMIF('TL13'!$C$10:$C$224,$C265,'TL13'!$J$10:$J$224),0),
IF('TL13'!$B$229=L$3,SUMIF('TL13'!$C$238:$C$451,$C265,'TL13'!$J$238:$J$451),0),
IF('TL14'!$B$3=L$3,SUMIF('TL14'!$C$10:$C$224,$C265,'TL14'!$J$10:$J$224),0),
IF('TL14'!$B$229=L$3,SUMIF('TL14'!$C$238:$C$451,$C265,'TL14'!$J$238:$J$451),0),
IF('TL15'!$B$3=L$3,SUMIF('TL15'!$C$10:$C$224,$C265,'TL15'!$J$10:$J$224),0),
IF('TL15'!$B$229=L$3,SUMIF('TL15'!$C$238:$C$451,$C265,'TL15'!$J$238:$J$451),0),
IF('TL16'!$B$3=L$3,SUMIF('TL16'!$C$10:$C$224,$C265,'TL16'!$J$10:$J$224),0),
IF('TL16'!$B$229=L$3,SUMIF('TL16'!$C$238:$C$451,$C265,'TL16'!$J$238:$J$451),0),
IF('TL17'!$B$3=L$3,SUMIF('TL17'!$C$10:$C$224,$C265,'TL17'!$J$10:$J$224),0),
IF('TL17'!$B$229=L$3,SUMIF('TL17'!$C$238:$C$451,$C265,'TL17'!$J$238:$J$451),0),
IF('TL18'!$B$3=L$3,SUMIF('TL18'!$C$10:$C$224,$C265,'TL18'!$J$10:$J$224),0),
IF('TL18'!$B$229=L$3,SUMIF('TL18'!$C$238:$C$451,$C265,'TL18'!$J$238:$J$451),0),
IF('TL19'!$B$3=L$3,SUMIF('TL19'!$C$10:$C$224,$C265,'TL19'!$J$10:$J$224),0),
IF('TL19'!$B$229=L$3,SUMIF('TL19'!$C$238:$C$451,$C265,'TL19'!$J$238:$J$451),0)
),0)</f>
        <v/>
      </c>
      <c r="M265" s="9">
        <f>IFERROR(SUM(
IF('TL01'!$B$3=M$3,SUMIF('TL01'!$C$10:$C$224,$C265,'TL01'!$J$10:$J$224),0),
IF('TL01'!$B$229=M$3,SUMIF('TL01'!$C$238:$C$451,$C265,'TL01'!$J$238:$J$451),0),
IF('TL02'!$B$3=M$3,SUMIF('TL02'!$C$10:$C$224,$C265,'TL02'!$J$10:$J$224),0),
IF('TL02'!$B$229=M$3,SUMIF('TL02'!$C$238:$C$451,$C265,'TL02'!$J$238:$J$451),0),
IF('TL03'!$B$3=M$3,SUMIF('TL03'!$C$10:$C$224,$C265,'TL03'!$J$10:$J$224),0),
IF('TL03'!$B$229=M$3,SUMIF('TL03'!$C$238:$C$451,$C265,'TL03'!$J$238:$J$451),0),
IF('TL04'!$B$3=M$3,SUMIF('TL04'!$C$10:$C$224,$C265,'TL04'!$J$10:$J$224),0),
IF('TL04'!$B$229=M$3,SUMIF('TL04'!$C$238:$C$451,$C265,'TL04'!$J$238:$J$451),0),
IF('TL05'!$B$3=M$3,SUMIF('TL05'!$C$10:$C$224,$C265,'TL05'!$J$10:$J$224),0),
IF('TL05'!$B$229=M$3,SUMIF('TL05'!$C$238:$C$451,$C265,'TL05'!$J$238:$J$451),0),
IF('TL06'!$B$3=M$3,SUMIF('TL06'!$C$10:$C$224,$C265,'TL06'!$J$10:$J$224),0),
IF('TL06'!$B$229=M$3,SUMIF('TL06'!$C$238:$C$451,$C265,'TL06'!$J$238:$J$451),0),
IF('TL07'!$B$3=M$3,SUMIF('TL07'!$C$10:$C$224,$C265,'TL07'!$J$10:$J$224),0),
IF('TL07'!$B$229=M$3,SUMIF('TL07'!$C$238:$C$451,$C265,'TL07'!$J$238:$J$451),0),
IF('TL08'!$B$3=M$3,SUMIF('TL08'!$C$10:$C$224,$C265,'TL08'!$J$10:$J$224),0),
IF('TL08'!$B$229=M$3,SUMIF('TL08'!$C$238:$C$451,$C265,'TL08'!$J$238:$J$451),0),
IF('TL09'!$B$3=M$3,SUMIF('TL09'!$C$10:$C$224,$C265,'TL09'!$J$10:$J$224),0),
IF('TL09'!$B$229=M$3,SUMIF('TL09'!$C$238:$C$451,$C265,'TL09'!$J$238:$J$451),0),
IF('TL10'!$B$3=M$3,SUMIF('TL10'!$C$10:$C$224,$C265,'TL10'!$J$10:$J$224),0),
IF('TL10'!$B$229=M$3,SUMIF('TL10'!$C$238:$C$451,$C265,'TL10'!$J$238:$J$451),0),
IF('TL11'!$B$3=M$3,SUMIF('TL11'!$C$10:$C$224,$C265,'TL11'!$J$10:$J$224),0),
IF('TL11'!$B$229=M$3,SUMIF('TL11'!$C$238:$C$451,$C265,'TL11'!$J$238:$J$451),0),
IF('TL12'!$B$3=M$3,SUMIF('TL12'!$C$10:$C$224,$C265,'TL12'!$J$10:$J$224),0),
IF('TL12'!$B$229=M$3,SUMIF('TL12'!$C$238:$C$451,$C265,'TL12'!$J$238:$J$451),0),
IF('TL13'!$B$3=M$3,SUMIF('TL13'!$C$10:$C$224,$C265,'TL13'!$J$10:$J$224),0),
IF('TL13'!$B$229=M$3,SUMIF('TL13'!$C$238:$C$451,$C265,'TL13'!$J$238:$J$451),0),
IF('TL14'!$B$3=M$3,SUMIF('TL14'!$C$10:$C$224,$C265,'TL14'!$J$10:$J$224),0),
IF('TL14'!$B$229=M$3,SUMIF('TL14'!$C$238:$C$451,$C265,'TL14'!$J$238:$J$451),0),
IF('TL15'!$B$3=M$3,SUMIF('TL15'!$C$10:$C$224,$C265,'TL15'!$J$10:$J$224),0),
IF('TL15'!$B$229=M$3,SUMIF('TL15'!$C$238:$C$451,$C265,'TL15'!$J$238:$J$451),0),
IF('TL16'!$B$3=M$3,SUMIF('TL16'!$C$10:$C$224,$C265,'TL16'!$J$10:$J$224),0),
IF('TL16'!$B$229=M$3,SUMIF('TL16'!$C$238:$C$451,$C265,'TL16'!$J$238:$J$451),0),
IF('TL17'!$B$3=M$3,SUMIF('TL17'!$C$10:$C$224,$C265,'TL17'!$J$10:$J$224),0),
IF('TL17'!$B$229=M$3,SUMIF('TL17'!$C$238:$C$451,$C265,'TL17'!$J$238:$J$451),0),
IF('TL18'!$B$3=M$3,SUMIF('TL18'!$C$10:$C$224,$C265,'TL18'!$J$10:$J$224),0),
IF('TL18'!$B$229=M$3,SUMIF('TL18'!$C$238:$C$451,$C265,'TL18'!$J$238:$J$451),0),
IF('TL19'!$B$3=M$3,SUMIF('TL19'!$C$10:$C$224,$C265,'TL19'!$J$10:$J$224),0),
IF('TL19'!$B$229=M$3,SUMIF('TL19'!$C$238:$C$451,$C265,'TL19'!$J$238:$J$451),0)
),0)</f>
        <v/>
      </c>
      <c r="N265" s="9">
        <f>IFERROR(SUM(
IF('TL01'!$B$3=N$3,SUMIF('TL01'!$C$10:$C$224,$C265,'TL01'!$J$10:$J$224),0),
IF('TL01'!$B$229=N$3,SUMIF('TL01'!$C$238:$C$451,$C265,'TL01'!$J$238:$J$451),0),
IF('TL02'!$B$3=N$3,SUMIF('TL02'!$C$10:$C$224,$C265,'TL02'!$J$10:$J$224),0),
IF('TL02'!$B$229=N$3,SUMIF('TL02'!$C$238:$C$451,$C265,'TL02'!$J$238:$J$451),0),
IF('TL03'!$B$3=N$3,SUMIF('TL03'!$C$10:$C$224,$C265,'TL03'!$J$10:$J$224),0),
IF('TL03'!$B$229=N$3,SUMIF('TL03'!$C$238:$C$451,$C265,'TL03'!$J$238:$J$451),0),
IF('TL04'!$B$3=N$3,SUMIF('TL04'!$C$10:$C$224,$C265,'TL04'!$J$10:$J$224),0),
IF('TL04'!$B$229=N$3,SUMIF('TL04'!$C$238:$C$451,$C265,'TL04'!$J$238:$J$451),0),
IF('TL05'!$B$3=N$3,SUMIF('TL05'!$C$10:$C$224,$C265,'TL05'!$J$10:$J$224),0),
IF('TL05'!$B$229=N$3,SUMIF('TL05'!$C$238:$C$451,$C265,'TL05'!$J$238:$J$451),0),
IF('TL06'!$B$3=N$3,SUMIF('TL06'!$C$10:$C$224,$C265,'TL06'!$J$10:$J$224),0),
IF('TL06'!$B$229=N$3,SUMIF('TL06'!$C$238:$C$451,$C265,'TL06'!$J$238:$J$451),0),
IF('TL07'!$B$3=N$3,SUMIF('TL07'!$C$10:$C$224,$C265,'TL07'!$J$10:$J$224),0),
IF('TL07'!$B$229=N$3,SUMIF('TL07'!$C$238:$C$451,$C265,'TL07'!$J$238:$J$451),0),
IF('TL08'!$B$3=N$3,SUMIF('TL08'!$C$10:$C$224,$C265,'TL08'!$J$10:$J$224),0),
IF('TL08'!$B$229=N$3,SUMIF('TL08'!$C$238:$C$451,$C265,'TL08'!$J$238:$J$451),0),
IF('TL09'!$B$3=N$3,SUMIF('TL09'!$C$10:$C$224,$C265,'TL09'!$J$10:$J$224),0),
IF('TL09'!$B$229=N$3,SUMIF('TL09'!$C$238:$C$451,$C265,'TL09'!$J$238:$J$451),0),
IF('TL10'!$B$3=N$3,SUMIF('TL10'!$C$10:$C$224,$C265,'TL10'!$J$10:$J$224),0),
IF('TL10'!$B$229=N$3,SUMIF('TL10'!$C$238:$C$451,$C265,'TL10'!$J$238:$J$451),0),
IF('TL11'!$B$3=N$3,SUMIF('TL11'!$C$10:$C$224,$C265,'TL11'!$J$10:$J$224),0),
IF('TL11'!$B$229=N$3,SUMIF('TL11'!$C$238:$C$451,$C265,'TL11'!$J$238:$J$451),0),
IF('TL12'!$B$3=N$3,SUMIF('TL12'!$C$10:$C$224,$C265,'TL12'!$J$10:$J$224),0),
IF('TL12'!$B$229=N$3,SUMIF('TL12'!$C$238:$C$451,$C265,'TL12'!$J$238:$J$451),0),
IF('TL13'!$B$3=N$3,SUMIF('TL13'!$C$10:$C$224,$C265,'TL13'!$J$10:$J$224),0),
IF('TL13'!$B$229=N$3,SUMIF('TL13'!$C$238:$C$451,$C265,'TL13'!$J$238:$J$451),0),
IF('TL14'!$B$3=N$3,SUMIF('TL14'!$C$10:$C$224,$C265,'TL14'!$J$10:$J$224),0),
IF('TL14'!$B$229=N$3,SUMIF('TL14'!$C$238:$C$451,$C265,'TL14'!$J$238:$J$451),0),
IF('TL15'!$B$3=N$3,SUMIF('TL15'!$C$10:$C$224,$C265,'TL15'!$J$10:$J$224),0),
IF('TL15'!$B$229=N$3,SUMIF('TL15'!$C$238:$C$451,$C265,'TL15'!$J$238:$J$451),0),
IF('TL16'!$B$3=N$3,SUMIF('TL16'!$C$10:$C$224,$C265,'TL16'!$J$10:$J$224),0),
IF('TL16'!$B$229=N$3,SUMIF('TL16'!$C$238:$C$451,$C265,'TL16'!$J$238:$J$451),0),
IF('TL17'!$B$3=N$3,SUMIF('TL17'!$C$10:$C$224,$C265,'TL17'!$J$10:$J$224),0),
IF('TL17'!$B$229=N$3,SUMIF('TL17'!$C$238:$C$451,$C265,'TL17'!$J$238:$J$451),0),
IF('TL18'!$B$3=N$3,SUMIF('TL18'!$C$10:$C$224,$C265,'TL18'!$J$10:$J$224),0),
IF('TL18'!$B$229=N$3,SUMIF('TL18'!$C$238:$C$451,$C265,'TL18'!$J$238:$J$451),0),
IF('TL19'!$B$3=N$3,SUMIF('TL19'!$C$10:$C$224,$C265,'TL19'!$J$10:$J$224),0),
IF('TL19'!$B$229=N$3,SUMIF('TL19'!$C$238:$C$451,$C265,'TL19'!$J$238:$J$451),0)
),0)</f>
        <v/>
      </c>
      <c r="O265" s="9">
        <f>IFERROR(SUM(
IF('TL01'!$B$3=O$3,SUMIF('TL01'!$C$10:$C$224,$C265,'TL01'!$J$10:$J$224),0),
IF('TL01'!$B$229=O$3,SUMIF('TL01'!$C$238:$C$451,$C265,'TL01'!$J$238:$J$451),0),
IF('TL02'!$B$3=O$3,SUMIF('TL02'!$C$10:$C$224,$C265,'TL02'!$J$10:$J$224),0),
IF('TL02'!$B$229=O$3,SUMIF('TL02'!$C$238:$C$451,$C265,'TL02'!$J$238:$J$451),0),
IF('TL03'!$B$3=O$3,SUMIF('TL03'!$C$10:$C$224,$C265,'TL03'!$J$10:$J$224),0),
IF('TL03'!$B$229=O$3,SUMIF('TL03'!$C$238:$C$451,$C265,'TL03'!$J$238:$J$451),0),
IF('TL04'!$B$3=O$3,SUMIF('TL04'!$C$10:$C$224,$C265,'TL04'!$J$10:$J$224),0),
IF('TL04'!$B$229=O$3,SUMIF('TL04'!$C$238:$C$451,$C265,'TL04'!$J$238:$J$451),0),
IF('TL05'!$B$3=O$3,SUMIF('TL05'!$C$10:$C$224,$C265,'TL05'!$J$10:$J$224),0),
IF('TL05'!$B$229=O$3,SUMIF('TL05'!$C$238:$C$451,$C265,'TL05'!$J$238:$J$451),0),
IF('TL06'!$B$3=O$3,SUMIF('TL06'!$C$10:$C$224,$C265,'TL06'!$J$10:$J$224),0),
IF('TL06'!$B$229=O$3,SUMIF('TL06'!$C$238:$C$451,$C265,'TL06'!$J$238:$J$451),0),
IF('TL07'!$B$3=O$3,SUMIF('TL07'!$C$10:$C$224,$C265,'TL07'!$J$10:$J$224),0),
IF('TL07'!$B$229=O$3,SUMIF('TL07'!$C$238:$C$451,$C265,'TL07'!$J$238:$J$451),0),
IF('TL08'!$B$3=O$3,SUMIF('TL08'!$C$10:$C$224,$C265,'TL08'!$J$10:$J$224),0),
IF('TL08'!$B$229=O$3,SUMIF('TL08'!$C$238:$C$451,$C265,'TL08'!$J$238:$J$451),0),
IF('TL09'!$B$3=O$3,SUMIF('TL09'!$C$10:$C$224,$C265,'TL09'!$J$10:$J$224),0),
IF('TL09'!$B$229=O$3,SUMIF('TL09'!$C$238:$C$451,$C265,'TL09'!$J$238:$J$451),0),
IF('TL10'!$B$3=O$3,SUMIF('TL10'!$C$10:$C$224,$C265,'TL10'!$J$10:$J$224),0),
IF('TL10'!$B$229=O$3,SUMIF('TL10'!$C$238:$C$451,$C265,'TL10'!$J$238:$J$451),0),
IF('TL11'!$B$3=O$3,SUMIF('TL11'!$C$10:$C$224,$C265,'TL11'!$J$10:$J$224),0),
IF('TL11'!$B$229=O$3,SUMIF('TL11'!$C$238:$C$451,$C265,'TL11'!$J$238:$J$451),0),
IF('TL12'!$B$3=O$3,SUMIF('TL12'!$C$10:$C$224,$C265,'TL12'!$J$10:$J$224),0),
IF('TL12'!$B$229=O$3,SUMIF('TL12'!$C$238:$C$451,$C265,'TL12'!$J$238:$J$451),0),
IF('TL13'!$B$3=O$3,SUMIF('TL13'!$C$10:$C$224,$C265,'TL13'!$J$10:$J$224),0),
IF('TL13'!$B$229=O$3,SUMIF('TL13'!$C$238:$C$451,$C265,'TL13'!$J$238:$J$451),0),
IF('TL14'!$B$3=O$3,SUMIF('TL14'!$C$10:$C$224,$C265,'TL14'!$J$10:$J$224),0),
IF('TL14'!$B$229=O$3,SUMIF('TL14'!$C$238:$C$451,$C265,'TL14'!$J$238:$J$451),0),
IF('TL15'!$B$3=O$3,SUMIF('TL15'!$C$10:$C$224,$C265,'TL15'!$J$10:$J$224),0),
IF('TL15'!$B$229=O$3,SUMIF('TL15'!$C$238:$C$451,$C265,'TL15'!$J$238:$J$451),0),
IF('TL16'!$B$3=O$3,SUMIF('TL16'!$C$10:$C$224,$C265,'TL16'!$J$10:$J$224),0),
IF('TL16'!$B$229=O$3,SUMIF('TL16'!$C$238:$C$451,$C265,'TL16'!$J$238:$J$451),0),
IF('TL17'!$B$3=O$3,SUMIF('TL17'!$C$10:$C$224,$C265,'TL17'!$J$10:$J$224),0),
IF('TL17'!$B$229=O$3,SUMIF('TL17'!$C$238:$C$451,$C265,'TL17'!$J$238:$J$451),0),
IF('TL18'!$B$3=O$3,SUMIF('TL18'!$C$10:$C$224,$C265,'TL18'!$J$10:$J$224),0),
IF('TL18'!$B$229=O$3,SUMIF('TL18'!$C$238:$C$451,$C265,'TL18'!$J$238:$J$451),0),
IF('TL19'!$B$3=O$3,SUMIF('TL19'!$C$10:$C$224,$C265,'TL19'!$J$10:$J$224),0),
IF('TL19'!$B$229=O$3,SUMIF('TL19'!$C$238:$C$451,$C265,'TL19'!$J$238:$J$451),0)
),0)</f>
        <v/>
      </c>
      <c r="P265" s="9">
        <f>IFERROR(SUM(
IF('TL01'!$B$3=P$3,SUMIF('TL01'!$C$10:$C$224,$C265,'TL01'!$J$10:$J$224),0),
IF('TL01'!$B$229=P$3,SUMIF('TL01'!$C$238:$C$451,$C265,'TL01'!$J$238:$J$451),0),
IF('TL02'!$B$3=P$3,SUMIF('TL02'!$C$10:$C$224,$C265,'TL02'!$J$10:$J$224),0),
IF('TL02'!$B$229=P$3,SUMIF('TL02'!$C$238:$C$451,$C265,'TL02'!$J$238:$J$451),0),
IF('TL03'!$B$3=P$3,SUMIF('TL03'!$C$10:$C$224,$C265,'TL03'!$J$10:$J$224),0),
IF('TL03'!$B$229=P$3,SUMIF('TL03'!$C$238:$C$451,$C265,'TL03'!$J$238:$J$451),0),
IF('TL04'!$B$3=P$3,SUMIF('TL04'!$C$10:$C$224,$C265,'TL04'!$J$10:$J$224),0),
IF('TL04'!$B$229=P$3,SUMIF('TL04'!$C$238:$C$451,$C265,'TL04'!$J$238:$J$451),0),
IF('TL05'!$B$3=P$3,SUMIF('TL05'!$C$10:$C$224,$C265,'TL05'!$J$10:$J$224),0),
IF('TL05'!$B$229=P$3,SUMIF('TL05'!$C$238:$C$451,$C265,'TL05'!$J$238:$J$451),0),
IF('TL06'!$B$3=P$3,SUMIF('TL06'!$C$10:$C$224,$C265,'TL06'!$J$10:$J$224),0),
IF('TL06'!$B$229=P$3,SUMIF('TL06'!$C$238:$C$451,$C265,'TL06'!$J$238:$J$451),0),
IF('TL07'!$B$3=P$3,SUMIF('TL07'!$C$10:$C$224,$C265,'TL07'!$J$10:$J$224),0),
IF('TL07'!$B$229=P$3,SUMIF('TL07'!$C$238:$C$451,$C265,'TL07'!$J$238:$J$451),0),
IF('TL08'!$B$3=P$3,SUMIF('TL08'!$C$10:$C$224,$C265,'TL08'!$J$10:$J$224),0),
IF('TL08'!$B$229=P$3,SUMIF('TL08'!$C$238:$C$451,$C265,'TL08'!$J$238:$J$451),0),
IF('TL09'!$B$3=P$3,SUMIF('TL09'!$C$10:$C$224,$C265,'TL09'!$J$10:$J$224),0),
IF('TL09'!$B$229=P$3,SUMIF('TL09'!$C$238:$C$451,$C265,'TL09'!$J$238:$J$451),0),
IF('TL10'!$B$3=P$3,SUMIF('TL10'!$C$10:$C$224,$C265,'TL10'!$J$10:$J$224),0),
IF('TL10'!$B$229=P$3,SUMIF('TL10'!$C$238:$C$451,$C265,'TL10'!$J$238:$J$451),0),
IF('TL11'!$B$3=P$3,SUMIF('TL11'!$C$10:$C$224,$C265,'TL11'!$J$10:$J$224),0),
IF('TL11'!$B$229=P$3,SUMIF('TL11'!$C$238:$C$451,$C265,'TL11'!$J$238:$J$451),0),
IF('TL12'!$B$3=P$3,SUMIF('TL12'!$C$10:$C$224,$C265,'TL12'!$J$10:$J$224),0),
IF('TL12'!$B$229=P$3,SUMIF('TL12'!$C$238:$C$451,$C265,'TL12'!$J$238:$J$451),0),
IF('TL13'!$B$3=P$3,SUMIF('TL13'!$C$10:$C$224,$C265,'TL13'!$J$10:$J$224),0),
IF('TL13'!$B$229=P$3,SUMIF('TL13'!$C$238:$C$451,$C265,'TL13'!$J$238:$J$451),0),
IF('TL14'!$B$3=P$3,SUMIF('TL14'!$C$10:$C$224,$C265,'TL14'!$J$10:$J$224),0),
IF('TL14'!$B$229=P$3,SUMIF('TL14'!$C$238:$C$451,$C265,'TL14'!$J$238:$J$451),0),
IF('TL15'!$B$3=P$3,SUMIF('TL15'!$C$10:$C$224,$C265,'TL15'!$J$10:$J$224),0),
IF('TL15'!$B$229=P$3,SUMIF('TL15'!$C$238:$C$451,$C265,'TL15'!$J$238:$J$451),0),
IF('TL16'!$B$3=P$3,SUMIF('TL16'!$C$10:$C$224,$C265,'TL16'!$J$10:$J$224),0),
IF('TL16'!$B$229=P$3,SUMIF('TL16'!$C$238:$C$451,$C265,'TL16'!$J$238:$J$451),0),
IF('TL17'!$B$3=P$3,SUMIF('TL17'!$C$10:$C$224,$C265,'TL17'!$J$10:$J$224),0),
IF('TL17'!$B$229=P$3,SUMIF('TL17'!$C$238:$C$451,$C265,'TL17'!$J$238:$J$451),0),
IF('TL18'!$B$3=P$3,SUMIF('TL18'!$C$10:$C$224,$C265,'TL18'!$J$10:$J$224),0),
IF('TL18'!$B$229=P$3,SUMIF('TL18'!$C$238:$C$451,$C265,'TL18'!$J$238:$J$451),0),
IF('TL19'!$B$3=P$3,SUMIF('TL19'!$C$10:$C$224,$C265,'TL19'!$J$10:$J$224),0),
IF('TL19'!$B$229=P$3,SUMIF('TL19'!$C$238:$C$451,$C265,'TL19'!$J$238:$J$451),0)
),0)</f>
        <v/>
      </c>
      <c r="Q265" s="9">
        <f>IFERROR(SUM(
IF('TL01'!$B$3=Q$3,SUMIF('TL01'!$C$10:$C$224,$C265,'TL01'!$J$10:$J$224),0),
IF('TL01'!$B$229=Q$3,SUMIF('TL01'!$C$238:$C$451,$C265,'TL01'!$J$238:$J$451),0),
IF('TL02'!$B$3=Q$3,SUMIF('TL02'!$C$10:$C$224,$C265,'TL02'!$J$10:$J$224),0),
IF('TL02'!$B$229=Q$3,SUMIF('TL02'!$C$238:$C$451,$C265,'TL02'!$J$238:$J$451),0),
IF('TL03'!$B$3=Q$3,SUMIF('TL03'!$C$10:$C$224,$C265,'TL03'!$J$10:$J$224),0),
IF('TL03'!$B$229=Q$3,SUMIF('TL03'!$C$238:$C$451,$C265,'TL03'!$J$238:$J$451),0),
IF('TL04'!$B$3=Q$3,SUMIF('TL04'!$C$10:$C$224,$C265,'TL04'!$J$10:$J$224),0),
IF('TL04'!$B$229=Q$3,SUMIF('TL04'!$C$238:$C$451,$C265,'TL04'!$J$238:$J$451),0),
IF('TL05'!$B$3=Q$3,SUMIF('TL05'!$C$10:$C$224,$C265,'TL05'!$J$10:$J$224),0),
IF('TL05'!$B$229=Q$3,SUMIF('TL05'!$C$238:$C$451,$C265,'TL05'!$J$238:$J$451),0),
IF('TL06'!$B$3=Q$3,SUMIF('TL06'!$C$10:$C$224,$C265,'TL06'!$J$10:$J$224),0),
IF('TL06'!$B$229=Q$3,SUMIF('TL06'!$C$238:$C$451,$C265,'TL06'!$J$238:$J$451),0),
IF('TL07'!$B$3=Q$3,SUMIF('TL07'!$C$10:$C$224,$C265,'TL07'!$J$10:$J$224),0),
IF('TL07'!$B$229=Q$3,SUMIF('TL07'!$C$238:$C$451,$C265,'TL07'!$J$238:$J$451),0),
IF('TL08'!$B$3=Q$3,SUMIF('TL08'!$C$10:$C$224,$C265,'TL08'!$J$10:$J$224),0),
IF('TL08'!$B$229=Q$3,SUMIF('TL08'!$C$238:$C$451,$C265,'TL08'!$J$238:$J$451),0),
IF('TL09'!$B$3=Q$3,SUMIF('TL09'!$C$10:$C$224,$C265,'TL09'!$J$10:$J$224),0),
IF('TL09'!$B$229=Q$3,SUMIF('TL09'!$C$238:$C$451,$C265,'TL09'!$J$238:$J$451),0),
IF('TL10'!$B$3=Q$3,SUMIF('TL10'!$C$10:$C$224,$C265,'TL10'!$J$10:$J$224),0),
IF('TL10'!$B$229=Q$3,SUMIF('TL10'!$C$238:$C$451,$C265,'TL10'!$J$238:$J$451),0),
IF('TL11'!$B$3=Q$3,SUMIF('TL11'!$C$10:$C$224,$C265,'TL11'!$J$10:$J$224),0),
IF('TL11'!$B$229=Q$3,SUMIF('TL11'!$C$238:$C$451,$C265,'TL11'!$J$238:$J$451),0),
IF('TL12'!$B$3=Q$3,SUMIF('TL12'!$C$10:$C$224,$C265,'TL12'!$J$10:$J$224),0),
IF('TL12'!$B$229=Q$3,SUMIF('TL12'!$C$238:$C$451,$C265,'TL12'!$J$238:$J$451),0),
IF('TL13'!$B$3=Q$3,SUMIF('TL13'!$C$10:$C$224,$C265,'TL13'!$J$10:$J$224),0),
IF('TL13'!$B$229=Q$3,SUMIF('TL13'!$C$238:$C$451,$C265,'TL13'!$J$238:$J$451),0),
IF('TL14'!$B$3=Q$3,SUMIF('TL14'!$C$10:$C$224,$C265,'TL14'!$J$10:$J$224),0),
IF('TL14'!$B$229=Q$3,SUMIF('TL14'!$C$238:$C$451,$C265,'TL14'!$J$238:$J$451),0),
IF('TL15'!$B$3=Q$3,SUMIF('TL15'!$C$10:$C$224,$C265,'TL15'!$J$10:$J$224),0),
IF('TL15'!$B$229=Q$3,SUMIF('TL15'!$C$238:$C$451,$C265,'TL15'!$J$238:$J$451),0),
IF('TL16'!$B$3=Q$3,SUMIF('TL16'!$C$10:$C$224,$C265,'TL16'!$J$10:$J$224),0),
IF('TL16'!$B$229=Q$3,SUMIF('TL16'!$C$238:$C$451,$C265,'TL16'!$J$238:$J$451),0),
IF('TL17'!$B$3=Q$3,SUMIF('TL17'!$C$10:$C$224,$C265,'TL17'!$J$10:$J$224),0),
IF('TL17'!$B$229=Q$3,SUMIF('TL17'!$C$238:$C$451,$C265,'TL17'!$J$238:$J$451),0),
IF('TL18'!$B$3=Q$3,SUMIF('TL18'!$C$10:$C$224,$C265,'TL18'!$J$10:$J$224),0),
IF('TL18'!$B$229=Q$3,SUMIF('TL18'!$C$238:$C$451,$C265,'TL18'!$J$238:$J$451),0),
IF('TL19'!$B$3=Q$3,SUMIF('TL19'!$C$10:$C$224,$C265,'TL19'!$J$10:$J$224),0),
IF('TL19'!$B$229=Q$3,SUMIF('TL19'!$C$238:$C$451,$C265,'TL19'!$J$238:$J$451),0)
),0)</f>
        <v/>
      </c>
      <c r="R265" s="9">
        <f>IFERROR(
SUM(
SUMIF('TL01'!C:C,C265,'TL01'!J:J),
SUMIF('TL02'!C:C,C265,'TL02'!J:J),
SUMIF('TL03'!C:C,C265,'TL03'!J:J),
SUMIF('TL04'!C:C,C265,'TL04'!J:J),
SUMIF('TL05'!C:C,C265,'TL05'!J:J),
SUMIF('TL06'!C:C,C265,'TL06'!J:J),
SUMIF('TL07'!C:C,C265,'TL07'!J:J),
SUMIF('TL08'!C:C,C265,'TL08'!J:J),
SUMIF('TL09'!C:C,C265,'TL09'!J:J),
SUMIF('TL10'!C:C,C265,'TL10'!J:J),
SUMIF('TL11'!C:C,C265,'TL11'!J:J),
SUMIF('TL12'!C:C,C265,'TL12'!J:J),
SUMIF('TL13'!C:C,C265,'TL13'!J:J),
SUMIF('TL14'!C:C,C265,'TL14'!J:J),
SUMIF('TL15'!C:C,C265,'TL15'!J:J),
SUMIF('TL16'!C:C,C265,'TL16'!J:J),
SUMIF('TL17'!C:C,C265,'TL17'!J:J),
SUMIF('TL18'!C:C,C265,'TL18'!J:J),SUMIF('TL19'!C:C,C265,'TL19'!J:J))
,0)</f>
        <v/>
      </c>
      <c r="S265" s="17">
        <f>IFERROR(__xludf.DUMMYFUNCTION("IFERROR(VLOOKUP(C265,
IMPORTRANGE(""1wULbzX32WdYsx-lj2U3uUNBBe2INVIRDtcK0d-Dvl90"",
""26-27!C:G""),
5,
FALSE),
"""")"),32.98)</f>
        <v/>
      </c>
      <c r="T265" s="9" t="n"/>
      <c r="U265" s="92">
        <f>MAX(0,R265-T265)</f>
        <v/>
      </c>
      <c r="V265" s="93">
        <f>U265*S265</f>
        <v/>
      </c>
    </row>
    <row r="266" hidden="1" ht="15.75" customHeight="1" s="297">
      <c r="A266" s="4" t="n"/>
      <c r="B266" s="125" t="inlineStr">
        <is>
          <t>NUTRIÇÃO</t>
        </is>
      </c>
      <c r="C266" s="4" t="inlineStr">
        <is>
          <t>SALUT</t>
        </is>
      </c>
      <c r="D266" s="20" t="n"/>
      <c r="E266" s="9" t="n"/>
      <c r="F266" s="4" t="inlineStr">
        <is>
          <t>L</t>
        </is>
      </c>
      <c r="G266" s="9" t="n"/>
      <c r="H266" s="9" t="n">
        <v>1</v>
      </c>
      <c r="I266" s="1" t="n"/>
      <c r="J266" s="9">
        <f>IFERROR(SUM(
IF('TL01'!$B$3=J$3,SUMIF('TL01'!$C$10:$C$224,$C266,'TL01'!$J$10:$J$224),0),
IF('TL01'!$B$229=J$3,SUMIF('TL01'!$C$238:$C$451,$C266,'TL01'!$J$238:$J$451),0),
IF('TL02'!$B$3=J$3,SUMIF('TL02'!$C$10:$C$224,$C266,'TL02'!$J$10:$J$224),0),
IF('TL02'!$B$229=J$3,SUMIF('TL02'!$C$238:$C$451,$C266,'TL02'!$J$238:$J$451),0),
IF('TL03'!$B$3=J$3,SUMIF('TL03'!$C$10:$C$224,$C266,'TL03'!$J$10:$J$224),0),
IF('TL03'!$B$229=J$3,SUMIF('TL03'!$C$238:$C$451,$C266,'TL03'!$J$238:$J$451),0),
IF('TL04'!$B$3=J$3,SUMIF('TL04'!$C$10:$C$224,$C266,'TL04'!$J$10:$J$224),0),
IF('TL04'!$B$229=J$3,SUMIF('TL04'!$C$238:$C$451,$C266,'TL04'!$J$238:$J$451),0),
IF('TL05'!$B$3=J$3,SUMIF('TL05'!$C$10:$C$224,$C266,'TL05'!$J$10:$J$224),0),
IF('TL05'!$B$229=J$3,SUMIF('TL05'!$C$238:$C$451,$C266,'TL05'!$J$238:$J$451),0),
IF('TL06'!$B$3=J$3,SUMIF('TL06'!$C$10:$C$224,$C266,'TL06'!$J$10:$J$224),0),
IF('TL06'!$B$229=J$3,SUMIF('TL06'!$C$238:$C$451,$C266,'TL06'!$J$238:$J$451),0),
IF('TL07'!$B$3=J$3,SUMIF('TL07'!$C$10:$C$224,$C266,'TL07'!$J$10:$J$224),0),
IF('TL07'!$B$229=J$3,SUMIF('TL07'!$C$238:$C$451,$C266,'TL07'!$J$238:$J$451),0),
IF('TL08'!$B$3=J$3,SUMIF('TL08'!$C$10:$C$224,$C266,'TL08'!$J$10:$J$224),0),
IF('TL08'!$B$229=J$3,SUMIF('TL08'!$C$238:$C$451,$C266,'TL08'!$J$238:$J$451),0),
IF('TL09'!$B$3=J$3,SUMIF('TL09'!$C$10:$C$224,$C266,'TL09'!$J$10:$J$224),0),
IF('TL09'!$B$229=J$3,SUMIF('TL09'!$C$238:$C$451,$C266,'TL09'!$J$238:$J$451),0),
IF('TL10'!$B$3=J$3,SUMIF('TL10'!$C$10:$C$224,$C266,'TL10'!$J$10:$J$224),0),
IF('TL10'!$B$229=J$3,SUMIF('TL10'!$C$238:$C$451,$C266,'TL10'!$J$238:$J$451),0),
IF('TL11'!$B$3=J$3,SUMIF('TL11'!$C$10:$C$224,$C266,'TL11'!$J$10:$J$224),0),
IF('TL11'!$B$229=J$3,SUMIF('TL11'!$C$238:$C$451,$C266,'TL11'!$J$238:$J$451),0),
IF('TL12'!$B$3=J$3,SUMIF('TL12'!$C$10:$C$224,$C266,'TL12'!$J$10:$J$224),0),
IF('TL12'!$B$229=J$3,SUMIF('TL12'!$C$238:$C$451,$C266,'TL12'!$J$238:$J$451),0),
IF('TL13'!$B$3=J$3,SUMIF('TL13'!$C$10:$C$224,$C266,'TL13'!$J$10:$J$224),0),
IF('TL13'!$B$229=J$3,SUMIF('TL13'!$C$238:$C$451,$C266,'TL13'!$J$238:$J$451),0),
IF('TL14'!$B$3=J$3,SUMIF('TL14'!$C$10:$C$224,$C266,'TL14'!$J$10:$J$224),0),
IF('TL14'!$B$229=J$3,SUMIF('TL14'!$C$238:$C$451,$C266,'TL14'!$J$238:$J$451),0),
IF('TL15'!$B$3=J$3,SUMIF('TL15'!$C$10:$C$224,$C266,'TL15'!$J$10:$J$224),0),
IF('TL15'!$B$229=J$3,SUMIF('TL15'!$C$238:$C$451,$C266,'TL15'!$J$238:$J$451),0),
IF('TL16'!$B$3=J$3,SUMIF('TL16'!$C$10:$C$224,$C266,'TL16'!$J$10:$J$224),0),
IF('TL16'!$B$229=J$3,SUMIF('TL16'!$C$238:$C$451,$C266,'TL16'!$J$238:$J$451),0),
IF('TL17'!$B$3=J$3,SUMIF('TL17'!$C$10:$C$224,$C266,'TL17'!$J$10:$J$224),0),
IF('TL17'!$B$229=J$3,SUMIF('TL17'!$C$238:$C$451,$C266,'TL17'!$J$238:$J$451),0),
IF('TL18'!$B$3=J$3,SUMIF('TL18'!$C$10:$C$224,$C266,'TL18'!$J$10:$J$224),0),
IF('TL18'!$B$229=J$3,SUMIF('TL18'!$C$238:$C$451,$C266,'TL18'!$J$238:$J$451),0),
IF('TL19'!$B$3=J$3,SUMIF('TL19'!$C$10:$C$224,$C266,'TL19'!$J$10:$J$224),0),
IF('TL19'!$B$229=J$3,SUMIF('TL19'!$C$238:$C$451,$C266,'TL19'!$J$238:$J$451),0)
),0)</f>
        <v/>
      </c>
      <c r="K266" s="9">
        <f>IFERROR(SUM(
IF('TL01'!$B$3=K$3,SUMIF('TL01'!$C$10:$C$224,$C266,'TL01'!$J$10:$J$224),0),
IF('TL01'!$B$229=K$3,SUMIF('TL01'!$C$238:$C$451,$C266,'TL01'!$J$238:$J$451),0),
IF('TL02'!$B$3=K$3,SUMIF('TL02'!$C$10:$C$224,$C266,'TL02'!$J$10:$J$224),0),
IF('TL02'!$B$229=K$3,SUMIF('TL02'!$C$238:$C$451,$C266,'TL02'!$J$238:$J$451),0),
IF('TL03'!$B$3=K$3,SUMIF('TL03'!$C$10:$C$224,$C266,'TL03'!$J$10:$J$224),0),
IF('TL03'!$B$229=K$3,SUMIF('TL03'!$C$238:$C$451,$C266,'TL03'!$J$238:$J$451),0),
IF('TL04'!$B$3=K$3,SUMIF('TL04'!$C$10:$C$224,$C266,'TL04'!$J$10:$J$224),0),
IF('TL04'!$B$229=K$3,SUMIF('TL04'!$C$238:$C$451,$C266,'TL04'!$J$238:$J$451),0),
IF('TL05'!$B$3=K$3,SUMIF('TL05'!$C$10:$C$224,$C266,'TL05'!$J$10:$J$224),0),
IF('TL05'!$B$229=K$3,SUMIF('TL05'!$C$238:$C$451,$C266,'TL05'!$J$238:$J$451),0),
IF('TL06'!$B$3=K$3,SUMIF('TL06'!$C$10:$C$224,$C266,'TL06'!$J$10:$J$224),0),
IF('TL06'!$B$229=K$3,SUMIF('TL06'!$C$238:$C$451,$C266,'TL06'!$J$238:$J$451),0),
IF('TL07'!$B$3=K$3,SUMIF('TL07'!$C$10:$C$224,$C266,'TL07'!$J$10:$J$224),0),
IF('TL07'!$B$229=K$3,SUMIF('TL07'!$C$238:$C$451,$C266,'TL07'!$J$238:$J$451),0),
IF('TL08'!$B$3=K$3,SUMIF('TL08'!$C$10:$C$224,$C266,'TL08'!$J$10:$J$224),0),
IF('TL08'!$B$229=K$3,SUMIF('TL08'!$C$238:$C$451,$C266,'TL08'!$J$238:$J$451),0),
IF('TL09'!$B$3=K$3,SUMIF('TL09'!$C$10:$C$224,$C266,'TL09'!$J$10:$J$224),0),
IF('TL09'!$B$229=K$3,SUMIF('TL09'!$C$238:$C$451,$C266,'TL09'!$J$238:$J$451),0),
IF('TL10'!$B$3=K$3,SUMIF('TL10'!$C$10:$C$224,$C266,'TL10'!$J$10:$J$224),0),
IF('TL10'!$B$229=K$3,SUMIF('TL10'!$C$238:$C$451,$C266,'TL10'!$J$238:$J$451),0),
IF('TL11'!$B$3=K$3,SUMIF('TL11'!$C$10:$C$224,$C266,'TL11'!$J$10:$J$224),0),
IF('TL11'!$B$229=K$3,SUMIF('TL11'!$C$238:$C$451,$C266,'TL11'!$J$238:$J$451),0),
IF('TL12'!$B$3=K$3,SUMIF('TL12'!$C$10:$C$224,$C266,'TL12'!$J$10:$J$224),0),
IF('TL12'!$B$229=K$3,SUMIF('TL12'!$C$238:$C$451,$C266,'TL12'!$J$238:$J$451),0),
IF('TL13'!$B$3=K$3,SUMIF('TL13'!$C$10:$C$224,$C266,'TL13'!$J$10:$J$224),0),
IF('TL13'!$B$229=K$3,SUMIF('TL13'!$C$238:$C$451,$C266,'TL13'!$J$238:$J$451),0),
IF('TL14'!$B$3=K$3,SUMIF('TL14'!$C$10:$C$224,$C266,'TL14'!$J$10:$J$224),0),
IF('TL14'!$B$229=K$3,SUMIF('TL14'!$C$238:$C$451,$C266,'TL14'!$J$238:$J$451),0),
IF('TL15'!$B$3=K$3,SUMIF('TL15'!$C$10:$C$224,$C266,'TL15'!$J$10:$J$224),0),
IF('TL15'!$B$229=K$3,SUMIF('TL15'!$C$238:$C$451,$C266,'TL15'!$J$238:$J$451),0),
IF('TL16'!$B$3=K$3,SUMIF('TL16'!$C$10:$C$224,$C266,'TL16'!$J$10:$J$224),0),
IF('TL16'!$B$229=K$3,SUMIF('TL16'!$C$238:$C$451,$C266,'TL16'!$J$238:$J$451),0),
IF('TL17'!$B$3=K$3,SUMIF('TL17'!$C$10:$C$224,$C266,'TL17'!$J$10:$J$224),0),
IF('TL17'!$B$229=K$3,SUMIF('TL17'!$C$238:$C$451,$C266,'TL17'!$J$238:$J$451),0),
IF('TL18'!$B$3=K$3,SUMIF('TL18'!$C$10:$C$224,$C266,'TL18'!$J$10:$J$224),0),
IF('TL18'!$B$229=K$3,SUMIF('TL18'!$C$238:$C$451,$C266,'TL18'!$J$238:$J$451),0),
IF('TL19'!$B$3=K$3,SUMIF('TL19'!$C$10:$C$224,$C266,'TL19'!$J$10:$J$224),0),
IF('TL19'!$B$229=K$3,SUMIF('TL19'!$C$238:$C$451,$C266,'TL19'!$J$238:$J$451),0)
),0)</f>
        <v/>
      </c>
      <c r="L266" s="9">
        <f>IFERROR(SUM(
IF('TL01'!$B$3=L$3,SUMIF('TL01'!$C$10:$C$224,$C266,'TL01'!$J$10:$J$224),0),
IF('TL01'!$B$229=L$3,SUMIF('TL01'!$C$238:$C$451,$C266,'TL01'!$J$238:$J$451),0),
IF('TL02'!$B$3=L$3,SUMIF('TL02'!$C$10:$C$224,$C266,'TL02'!$J$10:$J$224),0),
IF('TL02'!$B$229=L$3,SUMIF('TL02'!$C$238:$C$451,$C266,'TL02'!$J$238:$J$451),0),
IF('TL03'!$B$3=L$3,SUMIF('TL03'!$C$10:$C$224,$C266,'TL03'!$J$10:$J$224),0),
IF('TL03'!$B$229=L$3,SUMIF('TL03'!$C$238:$C$451,$C266,'TL03'!$J$238:$J$451),0),
IF('TL04'!$B$3=L$3,SUMIF('TL04'!$C$10:$C$224,$C266,'TL04'!$J$10:$J$224),0),
IF('TL04'!$B$229=L$3,SUMIF('TL04'!$C$238:$C$451,$C266,'TL04'!$J$238:$J$451),0),
IF('TL05'!$B$3=L$3,SUMIF('TL05'!$C$10:$C$224,$C266,'TL05'!$J$10:$J$224),0),
IF('TL05'!$B$229=L$3,SUMIF('TL05'!$C$238:$C$451,$C266,'TL05'!$J$238:$J$451),0),
IF('TL06'!$B$3=L$3,SUMIF('TL06'!$C$10:$C$224,$C266,'TL06'!$J$10:$J$224),0),
IF('TL06'!$B$229=L$3,SUMIF('TL06'!$C$238:$C$451,$C266,'TL06'!$J$238:$J$451),0),
IF('TL07'!$B$3=L$3,SUMIF('TL07'!$C$10:$C$224,$C266,'TL07'!$J$10:$J$224),0),
IF('TL07'!$B$229=L$3,SUMIF('TL07'!$C$238:$C$451,$C266,'TL07'!$J$238:$J$451),0),
IF('TL08'!$B$3=L$3,SUMIF('TL08'!$C$10:$C$224,$C266,'TL08'!$J$10:$J$224),0),
IF('TL08'!$B$229=L$3,SUMIF('TL08'!$C$238:$C$451,$C266,'TL08'!$J$238:$J$451),0),
IF('TL09'!$B$3=L$3,SUMIF('TL09'!$C$10:$C$224,$C266,'TL09'!$J$10:$J$224),0),
IF('TL09'!$B$229=L$3,SUMIF('TL09'!$C$238:$C$451,$C266,'TL09'!$J$238:$J$451),0),
IF('TL10'!$B$3=L$3,SUMIF('TL10'!$C$10:$C$224,$C266,'TL10'!$J$10:$J$224),0),
IF('TL10'!$B$229=L$3,SUMIF('TL10'!$C$238:$C$451,$C266,'TL10'!$J$238:$J$451),0),
IF('TL11'!$B$3=L$3,SUMIF('TL11'!$C$10:$C$224,$C266,'TL11'!$J$10:$J$224),0),
IF('TL11'!$B$229=L$3,SUMIF('TL11'!$C$238:$C$451,$C266,'TL11'!$J$238:$J$451),0),
IF('TL12'!$B$3=L$3,SUMIF('TL12'!$C$10:$C$224,$C266,'TL12'!$J$10:$J$224),0),
IF('TL12'!$B$229=L$3,SUMIF('TL12'!$C$238:$C$451,$C266,'TL12'!$J$238:$J$451),0),
IF('TL13'!$B$3=L$3,SUMIF('TL13'!$C$10:$C$224,$C266,'TL13'!$J$10:$J$224),0),
IF('TL13'!$B$229=L$3,SUMIF('TL13'!$C$238:$C$451,$C266,'TL13'!$J$238:$J$451),0),
IF('TL14'!$B$3=L$3,SUMIF('TL14'!$C$10:$C$224,$C266,'TL14'!$J$10:$J$224),0),
IF('TL14'!$B$229=L$3,SUMIF('TL14'!$C$238:$C$451,$C266,'TL14'!$J$238:$J$451),0),
IF('TL15'!$B$3=L$3,SUMIF('TL15'!$C$10:$C$224,$C266,'TL15'!$J$10:$J$224),0),
IF('TL15'!$B$229=L$3,SUMIF('TL15'!$C$238:$C$451,$C266,'TL15'!$J$238:$J$451),0),
IF('TL16'!$B$3=L$3,SUMIF('TL16'!$C$10:$C$224,$C266,'TL16'!$J$10:$J$224),0),
IF('TL16'!$B$229=L$3,SUMIF('TL16'!$C$238:$C$451,$C266,'TL16'!$J$238:$J$451),0),
IF('TL17'!$B$3=L$3,SUMIF('TL17'!$C$10:$C$224,$C266,'TL17'!$J$10:$J$224),0),
IF('TL17'!$B$229=L$3,SUMIF('TL17'!$C$238:$C$451,$C266,'TL17'!$J$238:$J$451),0),
IF('TL18'!$B$3=L$3,SUMIF('TL18'!$C$10:$C$224,$C266,'TL18'!$J$10:$J$224),0),
IF('TL18'!$B$229=L$3,SUMIF('TL18'!$C$238:$C$451,$C266,'TL18'!$J$238:$J$451),0),
IF('TL19'!$B$3=L$3,SUMIF('TL19'!$C$10:$C$224,$C266,'TL19'!$J$10:$J$224),0),
IF('TL19'!$B$229=L$3,SUMIF('TL19'!$C$238:$C$451,$C266,'TL19'!$J$238:$J$451),0)
),0)</f>
        <v/>
      </c>
      <c r="M266" s="9">
        <f>IFERROR(SUM(
IF('TL01'!$B$3=M$3,SUMIF('TL01'!$C$10:$C$224,$C266,'TL01'!$J$10:$J$224),0),
IF('TL01'!$B$229=M$3,SUMIF('TL01'!$C$238:$C$451,$C266,'TL01'!$J$238:$J$451),0),
IF('TL02'!$B$3=M$3,SUMIF('TL02'!$C$10:$C$224,$C266,'TL02'!$J$10:$J$224),0),
IF('TL02'!$B$229=M$3,SUMIF('TL02'!$C$238:$C$451,$C266,'TL02'!$J$238:$J$451),0),
IF('TL03'!$B$3=M$3,SUMIF('TL03'!$C$10:$C$224,$C266,'TL03'!$J$10:$J$224),0),
IF('TL03'!$B$229=M$3,SUMIF('TL03'!$C$238:$C$451,$C266,'TL03'!$J$238:$J$451),0),
IF('TL04'!$B$3=M$3,SUMIF('TL04'!$C$10:$C$224,$C266,'TL04'!$J$10:$J$224),0),
IF('TL04'!$B$229=M$3,SUMIF('TL04'!$C$238:$C$451,$C266,'TL04'!$J$238:$J$451),0),
IF('TL05'!$B$3=M$3,SUMIF('TL05'!$C$10:$C$224,$C266,'TL05'!$J$10:$J$224),0),
IF('TL05'!$B$229=M$3,SUMIF('TL05'!$C$238:$C$451,$C266,'TL05'!$J$238:$J$451),0),
IF('TL06'!$B$3=M$3,SUMIF('TL06'!$C$10:$C$224,$C266,'TL06'!$J$10:$J$224),0),
IF('TL06'!$B$229=M$3,SUMIF('TL06'!$C$238:$C$451,$C266,'TL06'!$J$238:$J$451),0),
IF('TL07'!$B$3=M$3,SUMIF('TL07'!$C$10:$C$224,$C266,'TL07'!$J$10:$J$224),0),
IF('TL07'!$B$229=M$3,SUMIF('TL07'!$C$238:$C$451,$C266,'TL07'!$J$238:$J$451),0),
IF('TL08'!$B$3=M$3,SUMIF('TL08'!$C$10:$C$224,$C266,'TL08'!$J$10:$J$224),0),
IF('TL08'!$B$229=M$3,SUMIF('TL08'!$C$238:$C$451,$C266,'TL08'!$J$238:$J$451),0),
IF('TL09'!$B$3=M$3,SUMIF('TL09'!$C$10:$C$224,$C266,'TL09'!$J$10:$J$224),0),
IF('TL09'!$B$229=M$3,SUMIF('TL09'!$C$238:$C$451,$C266,'TL09'!$J$238:$J$451),0),
IF('TL10'!$B$3=M$3,SUMIF('TL10'!$C$10:$C$224,$C266,'TL10'!$J$10:$J$224),0),
IF('TL10'!$B$229=M$3,SUMIF('TL10'!$C$238:$C$451,$C266,'TL10'!$J$238:$J$451),0),
IF('TL11'!$B$3=M$3,SUMIF('TL11'!$C$10:$C$224,$C266,'TL11'!$J$10:$J$224),0),
IF('TL11'!$B$229=M$3,SUMIF('TL11'!$C$238:$C$451,$C266,'TL11'!$J$238:$J$451),0),
IF('TL12'!$B$3=M$3,SUMIF('TL12'!$C$10:$C$224,$C266,'TL12'!$J$10:$J$224),0),
IF('TL12'!$B$229=M$3,SUMIF('TL12'!$C$238:$C$451,$C266,'TL12'!$J$238:$J$451),0),
IF('TL13'!$B$3=M$3,SUMIF('TL13'!$C$10:$C$224,$C266,'TL13'!$J$10:$J$224),0),
IF('TL13'!$B$229=M$3,SUMIF('TL13'!$C$238:$C$451,$C266,'TL13'!$J$238:$J$451),0),
IF('TL14'!$B$3=M$3,SUMIF('TL14'!$C$10:$C$224,$C266,'TL14'!$J$10:$J$224),0),
IF('TL14'!$B$229=M$3,SUMIF('TL14'!$C$238:$C$451,$C266,'TL14'!$J$238:$J$451),0),
IF('TL15'!$B$3=M$3,SUMIF('TL15'!$C$10:$C$224,$C266,'TL15'!$J$10:$J$224),0),
IF('TL15'!$B$229=M$3,SUMIF('TL15'!$C$238:$C$451,$C266,'TL15'!$J$238:$J$451),0),
IF('TL16'!$B$3=M$3,SUMIF('TL16'!$C$10:$C$224,$C266,'TL16'!$J$10:$J$224),0),
IF('TL16'!$B$229=M$3,SUMIF('TL16'!$C$238:$C$451,$C266,'TL16'!$J$238:$J$451),0),
IF('TL17'!$B$3=M$3,SUMIF('TL17'!$C$10:$C$224,$C266,'TL17'!$J$10:$J$224),0),
IF('TL17'!$B$229=M$3,SUMIF('TL17'!$C$238:$C$451,$C266,'TL17'!$J$238:$J$451),0),
IF('TL18'!$B$3=M$3,SUMIF('TL18'!$C$10:$C$224,$C266,'TL18'!$J$10:$J$224),0),
IF('TL18'!$B$229=M$3,SUMIF('TL18'!$C$238:$C$451,$C266,'TL18'!$J$238:$J$451),0),
IF('TL19'!$B$3=M$3,SUMIF('TL19'!$C$10:$C$224,$C266,'TL19'!$J$10:$J$224),0),
IF('TL19'!$B$229=M$3,SUMIF('TL19'!$C$238:$C$451,$C266,'TL19'!$J$238:$J$451),0)
),0)</f>
        <v/>
      </c>
      <c r="N266" s="9">
        <f>IFERROR(SUM(
IF('TL01'!$B$3=N$3,SUMIF('TL01'!$C$10:$C$224,$C266,'TL01'!$J$10:$J$224),0),
IF('TL01'!$B$229=N$3,SUMIF('TL01'!$C$238:$C$451,$C266,'TL01'!$J$238:$J$451),0),
IF('TL02'!$B$3=N$3,SUMIF('TL02'!$C$10:$C$224,$C266,'TL02'!$J$10:$J$224),0),
IF('TL02'!$B$229=N$3,SUMIF('TL02'!$C$238:$C$451,$C266,'TL02'!$J$238:$J$451),0),
IF('TL03'!$B$3=N$3,SUMIF('TL03'!$C$10:$C$224,$C266,'TL03'!$J$10:$J$224),0),
IF('TL03'!$B$229=N$3,SUMIF('TL03'!$C$238:$C$451,$C266,'TL03'!$J$238:$J$451),0),
IF('TL04'!$B$3=N$3,SUMIF('TL04'!$C$10:$C$224,$C266,'TL04'!$J$10:$J$224),0),
IF('TL04'!$B$229=N$3,SUMIF('TL04'!$C$238:$C$451,$C266,'TL04'!$J$238:$J$451),0),
IF('TL05'!$B$3=N$3,SUMIF('TL05'!$C$10:$C$224,$C266,'TL05'!$J$10:$J$224),0),
IF('TL05'!$B$229=N$3,SUMIF('TL05'!$C$238:$C$451,$C266,'TL05'!$J$238:$J$451),0),
IF('TL06'!$B$3=N$3,SUMIF('TL06'!$C$10:$C$224,$C266,'TL06'!$J$10:$J$224),0),
IF('TL06'!$B$229=N$3,SUMIF('TL06'!$C$238:$C$451,$C266,'TL06'!$J$238:$J$451),0),
IF('TL07'!$B$3=N$3,SUMIF('TL07'!$C$10:$C$224,$C266,'TL07'!$J$10:$J$224),0),
IF('TL07'!$B$229=N$3,SUMIF('TL07'!$C$238:$C$451,$C266,'TL07'!$J$238:$J$451),0),
IF('TL08'!$B$3=N$3,SUMIF('TL08'!$C$10:$C$224,$C266,'TL08'!$J$10:$J$224),0),
IF('TL08'!$B$229=N$3,SUMIF('TL08'!$C$238:$C$451,$C266,'TL08'!$J$238:$J$451),0),
IF('TL09'!$B$3=N$3,SUMIF('TL09'!$C$10:$C$224,$C266,'TL09'!$J$10:$J$224),0),
IF('TL09'!$B$229=N$3,SUMIF('TL09'!$C$238:$C$451,$C266,'TL09'!$J$238:$J$451),0),
IF('TL10'!$B$3=N$3,SUMIF('TL10'!$C$10:$C$224,$C266,'TL10'!$J$10:$J$224),0),
IF('TL10'!$B$229=N$3,SUMIF('TL10'!$C$238:$C$451,$C266,'TL10'!$J$238:$J$451),0),
IF('TL11'!$B$3=N$3,SUMIF('TL11'!$C$10:$C$224,$C266,'TL11'!$J$10:$J$224),0),
IF('TL11'!$B$229=N$3,SUMIF('TL11'!$C$238:$C$451,$C266,'TL11'!$J$238:$J$451),0),
IF('TL12'!$B$3=N$3,SUMIF('TL12'!$C$10:$C$224,$C266,'TL12'!$J$10:$J$224),0),
IF('TL12'!$B$229=N$3,SUMIF('TL12'!$C$238:$C$451,$C266,'TL12'!$J$238:$J$451),0),
IF('TL13'!$B$3=N$3,SUMIF('TL13'!$C$10:$C$224,$C266,'TL13'!$J$10:$J$224),0),
IF('TL13'!$B$229=N$3,SUMIF('TL13'!$C$238:$C$451,$C266,'TL13'!$J$238:$J$451),0),
IF('TL14'!$B$3=N$3,SUMIF('TL14'!$C$10:$C$224,$C266,'TL14'!$J$10:$J$224),0),
IF('TL14'!$B$229=N$3,SUMIF('TL14'!$C$238:$C$451,$C266,'TL14'!$J$238:$J$451),0),
IF('TL15'!$B$3=N$3,SUMIF('TL15'!$C$10:$C$224,$C266,'TL15'!$J$10:$J$224),0),
IF('TL15'!$B$229=N$3,SUMIF('TL15'!$C$238:$C$451,$C266,'TL15'!$J$238:$J$451),0),
IF('TL16'!$B$3=N$3,SUMIF('TL16'!$C$10:$C$224,$C266,'TL16'!$J$10:$J$224),0),
IF('TL16'!$B$229=N$3,SUMIF('TL16'!$C$238:$C$451,$C266,'TL16'!$J$238:$J$451),0),
IF('TL17'!$B$3=N$3,SUMIF('TL17'!$C$10:$C$224,$C266,'TL17'!$J$10:$J$224),0),
IF('TL17'!$B$229=N$3,SUMIF('TL17'!$C$238:$C$451,$C266,'TL17'!$J$238:$J$451),0),
IF('TL18'!$B$3=N$3,SUMIF('TL18'!$C$10:$C$224,$C266,'TL18'!$J$10:$J$224),0),
IF('TL18'!$B$229=N$3,SUMIF('TL18'!$C$238:$C$451,$C266,'TL18'!$J$238:$J$451),0),
IF('TL19'!$B$3=N$3,SUMIF('TL19'!$C$10:$C$224,$C266,'TL19'!$J$10:$J$224),0),
IF('TL19'!$B$229=N$3,SUMIF('TL19'!$C$238:$C$451,$C266,'TL19'!$J$238:$J$451),0)
),0)</f>
        <v/>
      </c>
      <c r="O266" s="9">
        <f>IFERROR(SUM(
IF('TL01'!$B$3=O$3,SUMIF('TL01'!$C$10:$C$224,$C266,'TL01'!$J$10:$J$224),0),
IF('TL01'!$B$229=O$3,SUMIF('TL01'!$C$238:$C$451,$C266,'TL01'!$J$238:$J$451),0),
IF('TL02'!$B$3=O$3,SUMIF('TL02'!$C$10:$C$224,$C266,'TL02'!$J$10:$J$224),0),
IF('TL02'!$B$229=O$3,SUMIF('TL02'!$C$238:$C$451,$C266,'TL02'!$J$238:$J$451),0),
IF('TL03'!$B$3=O$3,SUMIF('TL03'!$C$10:$C$224,$C266,'TL03'!$J$10:$J$224),0),
IF('TL03'!$B$229=O$3,SUMIF('TL03'!$C$238:$C$451,$C266,'TL03'!$J$238:$J$451),0),
IF('TL04'!$B$3=O$3,SUMIF('TL04'!$C$10:$C$224,$C266,'TL04'!$J$10:$J$224),0),
IF('TL04'!$B$229=O$3,SUMIF('TL04'!$C$238:$C$451,$C266,'TL04'!$J$238:$J$451),0),
IF('TL05'!$B$3=O$3,SUMIF('TL05'!$C$10:$C$224,$C266,'TL05'!$J$10:$J$224),0),
IF('TL05'!$B$229=O$3,SUMIF('TL05'!$C$238:$C$451,$C266,'TL05'!$J$238:$J$451),0),
IF('TL06'!$B$3=O$3,SUMIF('TL06'!$C$10:$C$224,$C266,'TL06'!$J$10:$J$224),0),
IF('TL06'!$B$229=O$3,SUMIF('TL06'!$C$238:$C$451,$C266,'TL06'!$J$238:$J$451),0),
IF('TL07'!$B$3=O$3,SUMIF('TL07'!$C$10:$C$224,$C266,'TL07'!$J$10:$J$224),0),
IF('TL07'!$B$229=O$3,SUMIF('TL07'!$C$238:$C$451,$C266,'TL07'!$J$238:$J$451),0),
IF('TL08'!$B$3=O$3,SUMIF('TL08'!$C$10:$C$224,$C266,'TL08'!$J$10:$J$224),0),
IF('TL08'!$B$229=O$3,SUMIF('TL08'!$C$238:$C$451,$C266,'TL08'!$J$238:$J$451),0),
IF('TL09'!$B$3=O$3,SUMIF('TL09'!$C$10:$C$224,$C266,'TL09'!$J$10:$J$224),0),
IF('TL09'!$B$229=O$3,SUMIF('TL09'!$C$238:$C$451,$C266,'TL09'!$J$238:$J$451),0),
IF('TL10'!$B$3=O$3,SUMIF('TL10'!$C$10:$C$224,$C266,'TL10'!$J$10:$J$224),0),
IF('TL10'!$B$229=O$3,SUMIF('TL10'!$C$238:$C$451,$C266,'TL10'!$J$238:$J$451),0),
IF('TL11'!$B$3=O$3,SUMIF('TL11'!$C$10:$C$224,$C266,'TL11'!$J$10:$J$224),0),
IF('TL11'!$B$229=O$3,SUMIF('TL11'!$C$238:$C$451,$C266,'TL11'!$J$238:$J$451),0),
IF('TL12'!$B$3=O$3,SUMIF('TL12'!$C$10:$C$224,$C266,'TL12'!$J$10:$J$224),0),
IF('TL12'!$B$229=O$3,SUMIF('TL12'!$C$238:$C$451,$C266,'TL12'!$J$238:$J$451),0),
IF('TL13'!$B$3=O$3,SUMIF('TL13'!$C$10:$C$224,$C266,'TL13'!$J$10:$J$224),0),
IF('TL13'!$B$229=O$3,SUMIF('TL13'!$C$238:$C$451,$C266,'TL13'!$J$238:$J$451),0),
IF('TL14'!$B$3=O$3,SUMIF('TL14'!$C$10:$C$224,$C266,'TL14'!$J$10:$J$224),0),
IF('TL14'!$B$229=O$3,SUMIF('TL14'!$C$238:$C$451,$C266,'TL14'!$J$238:$J$451),0),
IF('TL15'!$B$3=O$3,SUMIF('TL15'!$C$10:$C$224,$C266,'TL15'!$J$10:$J$224),0),
IF('TL15'!$B$229=O$3,SUMIF('TL15'!$C$238:$C$451,$C266,'TL15'!$J$238:$J$451),0),
IF('TL16'!$B$3=O$3,SUMIF('TL16'!$C$10:$C$224,$C266,'TL16'!$J$10:$J$224),0),
IF('TL16'!$B$229=O$3,SUMIF('TL16'!$C$238:$C$451,$C266,'TL16'!$J$238:$J$451),0),
IF('TL17'!$B$3=O$3,SUMIF('TL17'!$C$10:$C$224,$C266,'TL17'!$J$10:$J$224),0),
IF('TL17'!$B$229=O$3,SUMIF('TL17'!$C$238:$C$451,$C266,'TL17'!$J$238:$J$451),0),
IF('TL18'!$B$3=O$3,SUMIF('TL18'!$C$10:$C$224,$C266,'TL18'!$J$10:$J$224),0),
IF('TL18'!$B$229=O$3,SUMIF('TL18'!$C$238:$C$451,$C266,'TL18'!$J$238:$J$451),0),
IF('TL19'!$B$3=O$3,SUMIF('TL19'!$C$10:$C$224,$C266,'TL19'!$J$10:$J$224),0),
IF('TL19'!$B$229=O$3,SUMIF('TL19'!$C$238:$C$451,$C266,'TL19'!$J$238:$J$451),0)
),0)</f>
        <v/>
      </c>
      <c r="P266" s="9">
        <f>IFERROR(SUM(
IF('TL01'!$B$3=P$3,SUMIF('TL01'!$C$10:$C$224,$C266,'TL01'!$J$10:$J$224),0),
IF('TL01'!$B$229=P$3,SUMIF('TL01'!$C$238:$C$451,$C266,'TL01'!$J$238:$J$451),0),
IF('TL02'!$B$3=P$3,SUMIF('TL02'!$C$10:$C$224,$C266,'TL02'!$J$10:$J$224),0),
IF('TL02'!$B$229=P$3,SUMIF('TL02'!$C$238:$C$451,$C266,'TL02'!$J$238:$J$451),0),
IF('TL03'!$B$3=P$3,SUMIF('TL03'!$C$10:$C$224,$C266,'TL03'!$J$10:$J$224),0),
IF('TL03'!$B$229=P$3,SUMIF('TL03'!$C$238:$C$451,$C266,'TL03'!$J$238:$J$451),0),
IF('TL04'!$B$3=P$3,SUMIF('TL04'!$C$10:$C$224,$C266,'TL04'!$J$10:$J$224),0),
IF('TL04'!$B$229=P$3,SUMIF('TL04'!$C$238:$C$451,$C266,'TL04'!$J$238:$J$451),0),
IF('TL05'!$B$3=P$3,SUMIF('TL05'!$C$10:$C$224,$C266,'TL05'!$J$10:$J$224),0),
IF('TL05'!$B$229=P$3,SUMIF('TL05'!$C$238:$C$451,$C266,'TL05'!$J$238:$J$451),0),
IF('TL06'!$B$3=P$3,SUMIF('TL06'!$C$10:$C$224,$C266,'TL06'!$J$10:$J$224),0),
IF('TL06'!$B$229=P$3,SUMIF('TL06'!$C$238:$C$451,$C266,'TL06'!$J$238:$J$451),0),
IF('TL07'!$B$3=P$3,SUMIF('TL07'!$C$10:$C$224,$C266,'TL07'!$J$10:$J$224),0),
IF('TL07'!$B$229=P$3,SUMIF('TL07'!$C$238:$C$451,$C266,'TL07'!$J$238:$J$451),0),
IF('TL08'!$B$3=P$3,SUMIF('TL08'!$C$10:$C$224,$C266,'TL08'!$J$10:$J$224),0),
IF('TL08'!$B$229=P$3,SUMIF('TL08'!$C$238:$C$451,$C266,'TL08'!$J$238:$J$451),0),
IF('TL09'!$B$3=P$3,SUMIF('TL09'!$C$10:$C$224,$C266,'TL09'!$J$10:$J$224),0),
IF('TL09'!$B$229=P$3,SUMIF('TL09'!$C$238:$C$451,$C266,'TL09'!$J$238:$J$451),0),
IF('TL10'!$B$3=P$3,SUMIF('TL10'!$C$10:$C$224,$C266,'TL10'!$J$10:$J$224),0),
IF('TL10'!$B$229=P$3,SUMIF('TL10'!$C$238:$C$451,$C266,'TL10'!$J$238:$J$451),0),
IF('TL11'!$B$3=P$3,SUMIF('TL11'!$C$10:$C$224,$C266,'TL11'!$J$10:$J$224),0),
IF('TL11'!$B$229=P$3,SUMIF('TL11'!$C$238:$C$451,$C266,'TL11'!$J$238:$J$451),0),
IF('TL12'!$B$3=P$3,SUMIF('TL12'!$C$10:$C$224,$C266,'TL12'!$J$10:$J$224),0),
IF('TL12'!$B$229=P$3,SUMIF('TL12'!$C$238:$C$451,$C266,'TL12'!$J$238:$J$451),0),
IF('TL13'!$B$3=P$3,SUMIF('TL13'!$C$10:$C$224,$C266,'TL13'!$J$10:$J$224),0),
IF('TL13'!$B$229=P$3,SUMIF('TL13'!$C$238:$C$451,$C266,'TL13'!$J$238:$J$451),0),
IF('TL14'!$B$3=P$3,SUMIF('TL14'!$C$10:$C$224,$C266,'TL14'!$J$10:$J$224),0),
IF('TL14'!$B$229=P$3,SUMIF('TL14'!$C$238:$C$451,$C266,'TL14'!$J$238:$J$451),0),
IF('TL15'!$B$3=P$3,SUMIF('TL15'!$C$10:$C$224,$C266,'TL15'!$J$10:$J$224),0),
IF('TL15'!$B$229=P$3,SUMIF('TL15'!$C$238:$C$451,$C266,'TL15'!$J$238:$J$451),0),
IF('TL16'!$B$3=P$3,SUMIF('TL16'!$C$10:$C$224,$C266,'TL16'!$J$10:$J$224),0),
IF('TL16'!$B$229=P$3,SUMIF('TL16'!$C$238:$C$451,$C266,'TL16'!$J$238:$J$451),0),
IF('TL17'!$B$3=P$3,SUMIF('TL17'!$C$10:$C$224,$C266,'TL17'!$J$10:$J$224),0),
IF('TL17'!$B$229=P$3,SUMIF('TL17'!$C$238:$C$451,$C266,'TL17'!$J$238:$J$451),0),
IF('TL18'!$B$3=P$3,SUMIF('TL18'!$C$10:$C$224,$C266,'TL18'!$J$10:$J$224),0),
IF('TL18'!$B$229=P$3,SUMIF('TL18'!$C$238:$C$451,$C266,'TL18'!$J$238:$J$451),0),
IF('TL19'!$B$3=P$3,SUMIF('TL19'!$C$10:$C$224,$C266,'TL19'!$J$10:$J$224),0),
IF('TL19'!$B$229=P$3,SUMIF('TL19'!$C$238:$C$451,$C266,'TL19'!$J$238:$J$451),0)
),0)</f>
        <v/>
      </c>
      <c r="Q266" s="9">
        <f>IFERROR(SUM(
IF('TL01'!$B$3=Q$3,SUMIF('TL01'!$C$10:$C$224,$C266,'TL01'!$J$10:$J$224),0),
IF('TL01'!$B$229=Q$3,SUMIF('TL01'!$C$238:$C$451,$C266,'TL01'!$J$238:$J$451),0),
IF('TL02'!$B$3=Q$3,SUMIF('TL02'!$C$10:$C$224,$C266,'TL02'!$J$10:$J$224),0),
IF('TL02'!$B$229=Q$3,SUMIF('TL02'!$C$238:$C$451,$C266,'TL02'!$J$238:$J$451),0),
IF('TL03'!$B$3=Q$3,SUMIF('TL03'!$C$10:$C$224,$C266,'TL03'!$J$10:$J$224),0),
IF('TL03'!$B$229=Q$3,SUMIF('TL03'!$C$238:$C$451,$C266,'TL03'!$J$238:$J$451),0),
IF('TL04'!$B$3=Q$3,SUMIF('TL04'!$C$10:$C$224,$C266,'TL04'!$J$10:$J$224),0),
IF('TL04'!$B$229=Q$3,SUMIF('TL04'!$C$238:$C$451,$C266,'TL04'!$J$238:$J$451),0),
IF('TL05'!$B$3=Q$3,SUMIF('TL05'!$C$10:$C$224,$C266,'TL05'!$J$10:$J$224),0),
IF('TL05'!$B$229=Q$3,SUMIF('TL05'!$C$238:$C$451,$C266,'TL05'!$J$238:$J$451),0),
IF('TL06'!$B$3=Q$3,SUMIF('TL06'!$C$10:$C$224,$C266,'TL06'!$J$10:$J$224),0),
IF('TL06'!$B$229=Q$3,SUMIF('TL06'!$C$238:$C$451,$C266,'TL06'!$J$238:$J$451),0),
IF('TL07'!$B$3=Q$3,SUMIF('TL07'!$C$10:$C$224,$C266,'TL07'!$J$10:$J$224),0),
IF('TL07'!$B$229=Q$3,SUMIF('TL07'!$C$238:$C$451,$C266,'TL07'!$J$238:$J$451),0),
IF('TL08'!$B$3=Q$3,SUMIF('TL08'!$C$10:$C$224,$C266,'TL08'!$J$10:$J$224),0),
IF('TL08'!$B$229=Q$3,SUMIF('TL08'!$C$238:$C$451,$C266,'TL08'!$J$238:$J$451),0),
IF('TL09'!$B$3=Q$3,SUMIF('TL09'!$C$10:$C$224,$C266,'TL09'!$J$10:$J$224),0),
IF('TL09'!$B$229=Q$3,SUMIF('TL09'!$C$238:$C$451,$C266,'TL09'!$J$238:$J$451),0),
IF('TL10'!$B$3=Q$3,SUMIF('TL10'!$C$10:$C$224,$C266,'TL10'!$J$10:$J$224),0),
IF('TL10'!$B$229=Q$3,SUMIF('TL10'!$C$238:$C$451,$C266,'TL10'!$J$238:$J$451),0),
IF('TL11'!$B$3=Q$3,SUMIF('TL11'!$C$10:$C$224,$C266,'TL11'!$J$10:$J$224),0),
IF('TL11'!$B$229=Q$3,SUMIF('TL11'!$C$238:$C$451,$C266,'TL11'!$J$238:$J$451),0),
IF('TL12'!$B$3=Q$3,SUMIF('TL12'!$C$10:$C$224,$C266,'TL12'!$J$10:$J$224),0),
IF('TL12'!$B$229=Q$3,SUMIF('TL12'!$C$238:$C$451,$C266,'TL12'!$J$238:$J$451),0),
IF('TL13'!$B$3=Q$3,SUMIF('TL13'!$C$10:$C$224,$C266,'TL13'!$J$10:$J$224),0),
IF('TL13'!$B$229=Q$3,SUMIF('TL13'!$C$238:$C$451,$C266,'TL13'!$J$238:$J$451),0),
IF('TL14'!$B$3=Q$3,SUMIF('TL14'!$C$10:$C$224,$C266,'TL14'!$J$10:$J$224),0),
IF('TL14'!$B$229=Q$3,SUMIF('TL14'!$C$238:$C$451,$C266,'TL14'!$J$238:$J$451),0),
IF('TL15'!$B$3=Q$3,SUMIF('TL15'!$C$10:$C$224,$C266,'TL15'!$J$10:$J$224),0),
IF('TL15'!$B$229=Q$3,SUMIF('TL15'!$C$238:$C$451,$C266,'TL15'!$J$238:$J$451),0),
IF('TL16'!$B$3=Q$3,SUMIF('TL16'!$C$10:$C$224,$C266,'TL16'!$J$10:$J$224),0),
IF('TL16'!$B$229=Q$3,SUMIF('TL16'!$C$238:$C$451,$C266,'TL16'!$J$238:$J$451),0),
IF('TL17'!$B$3=Q$3,SUMIF('TL17'!$C$10:$C$224,$C266,'TL17'!$J$10:$J$224),0),
IF('TL17'!$B$229=Q$3,SUMIF('TL17'!$C$238:$C$451,$C266,'TL17'!$J$238:$J$451),0),
IF('TL18'!$B$3=Q$3,SUMIF('TL18'!$C$10:$C$224,$C266,'TL18'!$J$10:$J$224),0),
IF('TL18'!$B$229=Q$3,SUMIF('TL18'!$C$238:$C$451,$C266,'TL18'!$J$238:$J$451),0),
IF('TL19'!$B$3=Q$3,SUMIF('TL19'!$C$10:$C$224,$C266,'TL19'!$J$10:$J$224),0),
IF('TL19'!$B$229=Q$3,SUMIF('TL19'!$C$238:$C$451,$C266,'TL19'!$J$238:$J$451),0)
),0)</f>
        <v/>
      </c>
      <c r="R266" s="9">
        <f>IFERROR(
SUM(
SUMIF('TL01'!C:C,C266,'TL01'!J:J),
SUMIF('TL02'!C:C,C266,'TL02'!J:J),
SUMIF('TL03'!C:C,C266,'TL03'!J:J),
SUMIF('TL04'!C:C,C266,'TL04'!J:J),
SUMIF('TL05'!C:C,C266,'TL05'!J:J),
SUMIF('TL06'!C:C,C266,'TL06'!J:J),
SUMIF('TL07'!C:C,C266,'TL07'!J:J),
SUMIF('TL08'!C:C,C266,'TL08'!J:J),
SUMIF('TL09'!C:C,C266,'TL09'!J:J),
SUMIF('TL10'!C:C,C266,'TL10'!J:J),
SUMIF('TL11'!C:C,C266,'TL11'!J:J),
SUMIF('TL12'!C:C,C266,'TL12'!J:J),
SUMIF('TL13'!C:C,C266,'TL13'!J:J),
SUMIF('TL14'!C:C,C266,'TL14'!J:J),
SUMIF('TL15'!C:C,C266,'TL15'!J:J),
SUMIF('TL16'!C:C,C266,'TL16'!J:J),
SUMIF('TL17'!C:C,C266,'TL17'!J:J),
SUMIF('TL18'!C:C,C266,'TL18'!J:J),SUMIF('TL19'!C:C,C266,'TL19'!J:J))
,0)</f>
        <v/>
      </c>
      <c r="S266" s="17">
        <f>IFERROR(__xludf.DUMMYFUNCTION("IFERROR(VLOOKUP(C266,
IMPORTRANGE(""1wULbzX32WdYsx-lj2U3uUNBBe2INVIRDtcK0d-Dvl90"",
""26-27!C:G""),
5,
FALSE),
"""")"),59.0)</f>
        <v/>
      </c>
      <c r="T266" s="9" t="n"/>
      <c r="U266" s="92">
        <f>MAX(0,R266-T266)</f>
        <v/>
      </c>
      <c r="V266" s="93">
        <f>U266*S266</f>
        <v/>
      </c>
    </row>
    <row r="267" hidden="1" ht="15.75" customHeight="1" s="297">
      <c r="A267" s="4" t="n"/>
      <c r="B267" s="125" t="inlineStr">
        <is>
          <t>NUTRIÇÃO</t>
        </is>
      </c>
      <c r="C267" s="4" t="inlineStr">
        <is>
          <t>MATRIZ D</t>
        </is>
      </c>
      <c r="D267" s="20" t="n"/>
      <c r="E267" s="9" t="n"/>
      <c r="F267" s="4" t="inlineStr">
        <is>
          <t>L</t>
        </is>
      </c>
      <c r="G267" s="9" t="n"/>
      <c r="H267" s="9" t="n">
        <v>1</v>
      </c>
      <c r="I267" s="1" t="n"/>
      <c r="J267" s="9">
        <f>IFERROR(SUM(
IF('TL01'!$B$3=J$3,SUMIF('TL01'!$C$10:$C$224,$C267,'TL01'!$J$10:$J$224),0),
IF('TL01'!$B$229=J$3,SUMIF('TL01'!$C$238:$C$451,$C267,'TL01'!$J$238:$J$451),0),
IF('TL02'!$B$3=J$3,SUMIF('TL02'!$C$10:$C$224,$C267,'TL02'!$J$10:$J$224),0),
IF('TL02'!$B$229=J$3,SUMIF('TL02'!$C$238:$C$451,$C267,'TL02'!$J$238:$J$451),0),
IF('TL03'!$B$3=J$3,SUMIF('TL03'!$C$10:$C$224,$C267,'TL03'!$J$10:$J$224),0),
IF('TL03'!$B$229=J$3,SUMIF('TL03'!$C$238:$C$451,$C267,'TL03'!$J$238:$J$451),0),
IF('TL04'!$B$3=J$3,SUMIF('TL04'!$C$10:$C$224,$C267,'TL04'!$J$10:$J$224),0),
IF('TL04'!$B$229=J$3,SUMIF('TL04'!$C$238:$C$451,$C267,'TL04'!$J$238:$J$451),0),
IF('TL05'!$B$3=J$3,SUMIF('TL05'!$C$10:$C$224,$C267,'TL05'!$J$10:$J$224),0),
IF('TL05'!$B$229=J$3,SUMIF('TL05'!$C$238:$C$451,$C267,'TL05'!$J$238:$J$451),0),
IF('TL06'!$B$3=J$3,SUMIF('TL06'!$C$10:$C$224,$C267,'TL06'!$J$10:$J$224),0),
IF('TL06'!$B$229=J$3,SUMIF('TL06'!$C$238:$C$451,$C267,'TL06'!$J$238:$J$451),0),
IF('TL07'!$B$3=J$3,SUMIF('TL07'!$C$10:$C$224,$C267,'TL07'!$J$10:$J$224),0),
IF('TL07'!$B$229=J$3,SUMIF('TL07'!$C$238:$C$451,$C267,'TL07'!$J$238:$J$451),0),
IF('TL08'!$B$3=J$3,SUMIF('TL08'!$C$10:$C$224,$C267,'TL08'!$J$10:$J$224),0),
IF('TL08'!$B$229=J$3,SUMIF('TL08'!$C$238:$C$451,$C267,'TL08'!$J$238:$J$451),0),
IF('TL09'!$B$3=J$3,SUMIF('TL09'!$C$10:$C$224,$C267,'TL09'!$J$10:$J$224),0),
IF('TL09'!$B$229=J$3,SUMIF('TL09'!$C$238:$C$451,$C267,'TL09'!$J$238:$J$451),0),
IF('TL10'!$B$3=J$3,SUMIF('TL10'!$C$10:$C$224,$C267,'TL10'!$J$10:$J$224),0),
IF('TL10'!$B$229=J$3,SUMIF('TL10'!$C$238:$C$451,$C267,'TL10'!$J$238:$J$451),0),
IF('TL11'!$B$3=J$3,SUMIF('TL11'!$C$10:$C$224,$C267,'TL11'!$J$10:$J$224),0),
IF('TL11'!$B$229=J$3,SUMIF('TL11'!$C$238:$C$451,$C267,'TL11'!$J$238:$J$451),0),
IF('TL12'!$B$3=J$3,SUMIF('TL12'!$C$10:$C$224,$C267,'TL12'!$J$10:$J$224),0),
IF('TL12'!$B$229=J$3,SUMIF('TL12'!$C$238:$C$451,$C267,'TL12'!$J$238:$J$451),0),
IF('TL13'!$B$3=J$3,SUMIF('TL13'!$C$10:$C$224,$C267,'TL13'!$J$10:$J$224),0),
IF('TL13'!$B$229=J$3,SUMIF('TL13'!$C$238:$C$451,$C267,'TL13'!$J$238:$J$451),0),
IF('TL14'!$B$3=J$3,SUMIF('TL14'!$C$10:$C$224,$C267,'TL14'!$J$10:$J$224),0),
IF('TL14'!$B$229=J$3,SUMIF('TL14'!$C$238:$C$451,$C267,'TL14'!$J$238:$J$451),0),
IF('TL15'!$B$3=J$3,SUMIF('TL15'!$C$10:$C$224,$C267,'TL15'!$J$10:$J$224),0),
IF('TL15'!$B$229=J$3,SUMIF('TL15'!$C$238:$C$451,$C267,'TL15'!$J$238:$J$451),0),
IF('TL16'!$B$3=J$3,SUMIF('TL16'!$C$10:$C$224,$C267,'TL16'!$J$10:$J$224),0),
IF('TL16'!$B$229=J$3,SUMIF('TL16'!$C$238:$C$451,$C267,'TL16'!$J$238:$J$451),0),
IF('TL17'!$B$3=J$3,SUMIF('TL17'!$C$10:$C$224,$C267,'TL17'!$J$10:$J$224),0),
IF('TL17'!$B$229=J$3,SUMIF('TL17'!$C$238:$C$451,$C267,'TL17'!$J$238:$J$451),0),
IF('TL18'!$B$3=J$3,SUMIF('TL18'!$C$10:$C$224,$C267,'TL18'!$J$10:$J$224),0),
IF('TL18'!$B$229=J$3,SUMIF('TL18'!$C$238:$C$451,$C267,'TL18'!$J$238:$J$451),0),
IF('TL19'!$B$3=J$3,SUMIF('TL19'!$C$10:$C$224,$C267,'TL19'!$J$10:$J$224),0),
IF('TL19'!$B$229=J$3,SUMIF('TL19'!$C$238:$C$451,$C267,'TL19'!$J$238:$J$451),0)
),0)</f>
        <v/>
      </c>
      <c r="K267" s="9">
        <f>IFERROR(SUM(
IF('TL01'!$B$3=K$3,SUMIF('TL01'!$C$10:$C$224,$C267,'TL01'!$J$10:$J$224),0),
IF('TL01'!$B$229=K$3,SUMIF('TL01'!$C$238:$C$451,$C267,'TL01'!$J$238:$J$451),0),
IF('TL02'!$B$3=K$3,SUMIF('TL02'!$C$10:$C$224,$C267,'TL02'!$J$10:$J$224),0),
IF('TL02'!$B$229=K$3,SUMIF('TL02'!$C$238:$C$451,$C267,'TL02'!$J$238:$J$451),0),
IF('TL03'!$B$3=K$3,SUMIF('TL03'!$C$10:$C$224,$C267,'TL03'!$J$10:$J$224),0),
IF('TL03'!$B$229=K$3,SUMIF('TL03'!$C$238:$C$451,$C267,'TL03'!$J$238:$J$451),0),
IF('TL04'!$B$3=K$3,SUMIF('TL04'!$C$10:$C$224,$C267,'TL04'!$J$10:$J$224),0),
IF('TL04'!$B$229=K$3,SUMIF('TL04'!$C$238:$C$451,$C267,'TL04'!$J$238:$J$451),0),
IF('TL05'!$B$3=K$3,SUMIF('TL05'!$C$10:$C$224,$C267,'TL05'!$J$10:$J$224),0),
IF('TL05'!$B$229=K$3,SUMIF('TL05'!$C$238:$C$451,$C267,'TL05'!$J$238:$J$451),0),
IF('TL06'!$B$3=K$3,SUMIF('TL06'!$C$10:$C$224,$C267,'TL06'!$J$10:$J$224),0),
IF('TL06'!$B$229=K$3,SUMIF('TL06'!$C$238:$C$451,$C267,'TL06'!$J$238:$J$451),0),
IF('TL07'!$B$3=K$3,SUMIF('TL07'!$C$10:$C$224,$C267,'TL07'!$J$10:$J$224),0),
IF('TL07'!$B$229=K$3,SUMIF('TL07'!$C$238:$C$451,$C267,'TL07'!$J$238:$J$451),0),
IF('TL08'!$B$3=K$3,SUMIF('TL08'!$C$10:$C$224,$C267,'TL08'!$J$10:$J$224),0),
IF('TL08'!$B$229=K$3,SUMIF('TL08'!$C$238:$C$451,$C267,'TL08'!$J$238:$J$451),0),
IF('TL09'!$B$3=K$3,SUMIF('TL09'!$C$10:$C$224,$C267,'TL09'!$J$10:$J$224),0),
IF('TL09'!$B$229=K$3,SUMIF('TL09'!$C$238:$C$451,$C267,'TL09'!$J$238:$J$451),0),
IF('TL10'!$B$3=K$3,SUMIF('TL10'!$C$10:$C$224,$C267,'TL10'!$J$10:$J$224),0),
IF('TL10'!$B$229=K$3,SUMIF('TL10'!$C$238:$C$451,$C267,'TL10'!$J$238:$J$451),0),
IF('TL11'!$B$3=K$3,SUMIF('TL11'!$C$10:$C$224,$C267,'TL11'!$J$10:$J$224),0),
IF('TL11'!$B$229=K$3,SUMIF('TL11'!$C$238:$C$451,$C267,'TL11'!$J$238:$J$451),0),
IF('TL12'!$B$3=K$3,SUMIF('TL12'!$C$10:$C$224,$C267,'TL12'!$J$10:$J$224),0),
IF('TL12'!$B$229=K$3,SUMIF('TL12'!$C$238:$C$451,$C267,'TL12'!$J$238:$J$451),0),
IF('TL13'!$B$3=K$3,SUMIF('TL13'!$C$10:$C$224,$C267,'TL13'!$J$10:$J$224),0),
IF('TL13'!$B$229=K$3,SUMIF('TL13'!$C$238:$C$451,$C267,'TL13'!$J$238:$J$451),0),
IF('TL14'!$B$3=K$3,SUMIF('TL14'!$C$10:$C$224,$C267,'TL14'!$J$10:$J$224),0),
IF('TL14'!$B$229=K$3,SUMIF('TL14'!$C$238:$C$451,$C267,'TL14'!$J$238:$J$451),0),
IF('TL15'!$B$3=K$3,SUMIF('TL15'!$C$10:$C$224,$C267,'TL15'!$J$10:$J$224),0),
IF('TL15'!$B$229=K$3,SUMIF('TL15'!$C$238:$C$451,$C267,'TL15'!$J$238:$J$451),0),
IF('TL16'!$B$3=K$3,SUMIF('TL16'!$C$10:$C$224,$C267,'TL16'!$J$10:$J$224),0),
IF('TL16'!$B$229=K$3,SUMIF('TL16'!$C$238:$C$451,$C267,'TL16'!$J$238:$J$451),0),
IF('TL17'!$B$3=K$3,SUMIF('TL17'!$C$10:$C$224,$C267,'TL17'!$J$10:$J$224),0),
IF('TL17'!$B$229=K$3,SUMIF('TL17'!$C$238:$C$451,$C267,'TL17'!$J$238:$J$451),0),
IF('TL18'!$B$3=K$3,SUMIF('TL18'!$C$10:$C$224,$C267,'TL18'!$J$10:$J$224),0),
IF('TL18'!$B$229=K$3,SUMIF('TL18'!$C$238:$C$451,$C267,'TL18'!$J$238:$J$451),0),
IF('TL19'!$B$3=K$3,SUMIF('TL19'!$C$10:$C$224,$C267,'TL19'!$J$10:$J$224),0),
IF('TL19'!$B$229=K$3,SUMIF('TL19'!$C$238:$C$451,$C267,'TL19'!$J$238:$J$451),0)
),0)</f>
        <v/>
      </c>
      <c r="L267" s="9">
        <f>IFERROR(SUM(
IF('TL01'!$B$3=L$3,SUMIF('TL01'!$C$10:$C$224,$C267,'TL01'!$J$10:$J$224),0),
IF('TL01'!$B$229=L$3,SUMIF('TL01'!$C$238:$C$451,$C267,'TL01'!$J$238:$J$451),0),
IF('TL02'!$B$3=L$3,SUMIF('TL02'!$C$10:$C$224,$C267,'TL02'!$J$10:$J$224),0),
IF('TL02'!$B$229=L$3,SUMIF('TL02'!$C$238:$C$451,$C267,'TL02'!$J$238:$J$451),0),
IF('TL03'!$B$3=L$3,SUMIF('TL03'!$C$10:$C$224,$C267,'TL03'!$J$10:$J$224),0),
IF('TL03'!$B$229=L$3,SUMIF('TL03'!$C$238:$C$451,$C267,'TL03'!$J$238:$J$451),0),
IF('TL04'!$B$3=L$3,SUMIF('TL04'!$C$10:$C$224,$C267,'TL04'!$J$10:$J$224),0),
IF('TL04'!$B$229=L$3,SUMIF('TL04'!$C$238:$C$451,$C267,'TL04'!$J$238:$J$451),0),
IF('TL05'!$B$3=L$3,SUMIF('TL05'!$C$10:$C$224,$C267,'TL05'!$J$10:$J$224),0),
IF('TL05'!$B$229=L$3,SUMIF('TL05'!$C$238:$C$451,$C267,'TL05'!$J$238:$J$451),0),
IF('TL06'!$B$3=L$3,SUMIF('TL06'!$C$10:$C$224,$C267,'TL06'!$J$10:$J$224),0),
IF('TL06'!$B$229=L$3,SUMIF('TL06'!$C$238:$C$451,$C267,'TL06'!$J$238:$J$451),0),
IF('TL07'!$B$3=L$3,SUMIF('TL07'!$C$10:$C$224,$C267,'TL07'!$J$10:$J$224),0),
IF('TL07'!$B$229=L$3,SUMIF('TL07'!$C$238:$C$451,$C267,'TL07'!$J$238:$J$451),0),
IF('TL08'!$B$3=L$3,SUMIF('TL08'!$C$10:$C$224,$C267,'TL08'!$J$10:$J$224),0),
IF('TL08'!$B$229=L$3,SUMIF('TL08'!$C$238:$C$451,$C267,'TL08'!$J$238:$J$451),0),
IF('TL09'!$B$3=L$3,SUMIF('TL09'!$C$10:$C$224,$C267,'TL09'!$J$10:$J$224),0),
IF('TL09'!$B$229=L$3,SUMIF('TL09'!$C$238:$C$451,$C267,'TL09'!$J$238:$J$451),0),
IF('TL10'!$B$3=L$3,SUMIF('TL10'!$C$10:$C$224,$C267,'TL10'!$J$10:$J$224),0),
IF('TL10'!$B$229=L$3,SUMIF('TL10'!$C$238:$C$451,$C267,'TL10'!$J$238:$J$451),0),
IF('TL11'!$B$3=L$3,SUMIF('TL11'!$C$10:$C$224,$C267,'TL11'!$J$10:$J$224),0),
IF('TL11'!$B$229=L$3,SUMIF('TL11'!$C$238:$C$451,$C267,'TL11'!$J$238:$J$451),0),
IF('TL12'!$B$3=L$3,SUMIF('TL12'!$C$10:$C$224,$C267,'TL12'!$J$10:$J$224),0),
IF('TL12'!$B$229=L$3,SUMIF('TL12'!$C$238:$C$451,$C267,'TL12'!$J$238:$J$451),0),
IF('TL13'!$B$3=L$3,SUMIF('TL13'!$C$10:$C$224,$C267,'TL13'!$J$10:$J$224),0),
IF('TL13'!$B$229=L$3,SUMIF('TL13'!$C$238:$C$451,$C267,'TL13'!$J$238:$J$451),0),
IF('TL14'!$B$3=L$3,SUMIF('TL14'!$C$10:$C$224,$C267,'TL14'!$J$10:$J$224),0),
IF('TL14'!$B$229=L$3,SUMIF('TL14'!$C$238:$C$451,$C267,'TL14'!$J$238:$J$451),0),
IF('TL15'!$B$3=L$3,SUMIF('TL15'!$C$10:$C$224,$C267,'TL15'!$J$10:$J$224),0),
IF('TL15'!$B$229=L$3,SUMIF('TL15'!$C$238:$C$451,$C267,'TL15'!$J$238:$J$451),0),
IF('TL16'!$B$3=L$3,SUMIF('TL16'!$C$10:$C$224,$C267,'TL16'!$J$10:$J$224),0),
IF('TL16'!$B$229=L$3,SUMIF('TL16'!$C$238:$C$451,$C267,'TL16'!$J$238:$J$451),0),
IF('TL17'!$B$3=L$3,SUMIF('TL17'!$C$10:$C$224,$C267,'TL17'!$J$10:$J$224),0),
IF('TL17'!$B$229=L$3,SUMIF('TL17'!$C$238:$C$451,$C267,'TL17'!$J$238:$J$451),0),
IF('TL18'!$B$3=L$3,SUMIF('TL18'!$C$10:$C$224,$C267,'TL18'!$J$10:$J$224),0),
IF('TL18'!$B$229=L$3,SUMIF('TL18'!$C$238:$C$451,$C267,'TL18'!$J$238:$J$451),0),
IF('TL19'!$B$3=L$3,SUMIF('TL19'!$C$10:$C$224,$C267,'TL19'!$J$10:$J$224),0),
IF('TL19'!$B$229=L$3,SUMIF('TL19'!$C$238:$C$451,$C267,'TL19'!$J$238:$J$451),0)
),0)</f>
        <v/>
      </c>
      <c r="M267" s="9">
        <f>IFERROR(SUM(
IF('TL01'!$B$3=M$3,SUMIF('TL01'!$C$10:$C$224,$C267,'TL01'!$J$10:$J$224),0),
IF('TL01'!$B$229=M$3,SUMIF('TL01'!$C$238:$C$451,$C267,'TL01'!$J$238:$J$451),0),
IF('TL02'!$B$3=M$3,SUMIF('TL02'!$C$10:$C$224,$C267,'TL02'!$J$10:$J$224),0),
IF('TL02'!$B$229=M$3,SUMIF('TL02'!$C$238:$C$451,$C267,'TL02'!$J$238:$J$451),0),
IF('TL03'!$B$3=M$3,SUMIF('TL03'!$C$10:$C$224,$C267,'TL03'!$J$10:$J$224),0),
IF('TL03'!$B$229=M$3,SUMIF('TL03'!$C$238:$C$451,$C267,'TL03'!$J$238:$J$451),0),
IF('TL04'!$B$3=M$3,SUMIF('TL04'!$C$10:$C$224,$C267,'TL04'!$J$10:$J$224),0),
IF('TL04'!$B$229=M$3,SUMIF('TL04'!$C$238:$C$451,$C267,'TL04'!$J$238:$J$451),0),
IF('TL05'!$B$3=M$3,SUMIF('TL05'!$C$10:$C$224,$C267,'TL05'!$J$10:$J$224),0),
IF('TL05'!$B$229=M$3,SUMIF('TL05'!$C$238:$C$451,$C267,'TL05'!$J$238:$J$451),0),
IF('TL06'!$B$3=M$3,SUMIF('TL06'!$C$10:$C$224,$C267,'TL06'!$J$10:$J$224),0),
IF('TL06'!$B$229=M$3,SUMIF('TL06'!$C$238:$C$451,$C267,'TL06'!$J$238:$J$451),0),
IF('TL07'!$B$3=M$3,SUMIF('TL07'!$C$10:$C$224,$C267,'TL07'!$J$10:$J$224),0),
IF('TL07'!$B$229=M$3,SUMIF('TL07'!$C$238:$C$451,$C267,'TL07'!$J$238:$J$451),0),
IF('TL08'!$B$3=M$3,SUMIF('TL08'!$C$10:$C$224,$C267,'TL08'!$J$10:$J$224),0),
IF('TL08'!$B$229=M$3,SUMIF('TL08'!$C$238:$C$451,$C267,'TL08'!$J$238:$J$451),0),
IF('TL09'!$B$3=M$3,SUMIF('TL09'!$C$10:$C$224,$C267,'TL09'!$J$10:$J$224),0),
IF('TL09'!$B$229=M$3,SUMIF('TL09'!$C$238:$C$451,$C267,'TL09'!$J$238:$J$451),0),
IF('TL10'!$B$3=M$3,SUMIF('TL10'!$C$10:$C$224,$C267,'TL10'!$J$10:$J$224),0),
IF('TL10'!$B$229=M$3,SUMIF('TL10'!$C$238:$C$451,$C267,'TL10'!$J$238:$J$451),0),
IF('TL11'!$B$3=M$3,SUMIF('TL11'!$C$10:$C$224,$C267,'TL11'!$J$10:$J$224),0),
IF('TL11'!$B$229=M$3,SUMIF('TL11'!$C$238:$C$451,$C267,'TL11'!$J$238:$J$451),0),
IF('TL12'!$B$3=M$3,SUMIF('TL12'!$C$10:$C$224,$C267,'TL12'!$J$10:$J$224),0),
IF('TL12'!$B$229=M$3,SUMIF('TL12'!$C$238:$C$451,$C267,'TL12'!$J$238:$J$451),0),
IF('TL13'!$B$3=M$3,SUMIF('TL13'!$C$10:$C$224,$C267,'TL13'!$J$10:$J$224),0),
IF('TL13'!$B$229=M$3,SUMIF('TL13'!$C$238:$C$451,$C267,'TL13'!$J$238:$J$451),0),
IF('TL14'!$B$3=M$3,SUMIF('TL14'!$C$10:$C$224,$C267,'TL14'!$J$10:$J$224),0),
IF('TL14'!$B$229=M$3,SUMIF('TL14'!$C$238:$C$451,$C267,'TL14'!$J$238:$J$451),0),
IF('TL15'!$B$3=M$3,SUMIF('TL15'!$C$10:$C$224,$C267,'TL15'!$J$10:$J$224),0),
IF('TL15'!$B$229=M$3,SUMIF('TL15'!$C$238:$C$451,$C267,'TL15'!$J$238:$J$451),0),
IF('TL16'!$B$3=M$3,SUMIF('TL16'!$C$10:$C$224,$C267,'TL16'!$J$10:$J$224),0),
IF('TL16'!$B$229=M$3,SUMIF('TL16'!$C$238:$C$451,$C267,'TL16'!$J$238:$J$451),0),
IF('TL17'!$B$3=M$3,SUMIF('TL17'!$C$10:$C$224,$C267,'TL17'!$J$10:$J$224),0),
IF('TL17'!$B$229=M$3,SUMIF('TL17'!$C$238:$C$451,$C267,'TL17'!$J$238:$J$451),0),
IF('TL18'!$B$3=M$3,SUMIF('TL18'!$C$10:$C$224,$C267,'TL18'!$J$10:$J$224),0),
IF('TL18'!$B$229=M$3,SUMIF('TL18'!$C$238:$C$451,$C267,'TL18'!$J$238:$J$451),0),
IF('TL19'!$B$3=M$3,SUMIF('TL19'!$C$10:$C$224,$C267,'TL19'!$J$10:$J$224),0),
IF('TL19'!$B$229=M$3,SUMIF('TL19'!$C$238:$C$451,$C267,'TL19'!$J$238:$J$451),0)
),0)</f>
        <v/>
      </c>
      <c r="N267" s="9">
        <f>IFERROR(SUM(
IF('TL01'!$B$3=N$3,SUMIF('TL01'!$C$10:$C$224,$C267,'TL01'!$J$10:$J$224),0),
IF('TL01'!$B$229=N$3,SUMIF('TL01'!$C$238:$C$451,$C267,'TL01'!$J$238:$J$451),0),
IF('TL02'!$B$3=N$3,SUMIF('TL02'!$C$10:$C$224,$C267,'TL02'!$J$10:$J$224),0),
IF('TL02'!$B$229=N$3,SUMIF('TL02'!$C$238:$C$451,$C267,'TL02'!$J$238:$J$451),0),
IF('TL03'!$B$3=N$3,SUMIF('TL03'!$C$10:$C$224,$C267,'TL03'!$J$10:$J$224),0),
IF('TL03'!$B$229=N$3,SUMIF('TL03'!$C$238:$C$451,$C267,'TL03'!$J$238:$J$451),0),
IF('TL04'!$B$3=N$3,SUMIF('TL04'!$C$10:$C$224,$C267,'TL04'!$J$10:$J$224),0),
IF('TL04'!$B$229=N$3,SUMIF('TL04'!$C$238:$C$451,$C267,'TL04'!$J$238:$J$451),0),
IF('TL05'!$B$3=N$3,SUMIF('TL05'!$C$10:$C$224,$C267,'TL05'!$J$10:$J$224),0),
IF('TL05'!$B$229=N$3,SUMIF('TL05'!$C$238:$C$451,$C267,'TL05'!$J$238:$J$451),0),
IF('TL06'!$B$3=N$3,SUMIF('TL06'!$C$10:$C$224,$C267,'TL06'!$J$10:$J$224),0),
IF('TL06'!$B$229=N$3,SUMIF('TL06'!$C$238:$C$451,$C267,'TL06'!$J$238:$J$451),0),
IF('TL07'!$B$3=N$3,SUMIF('TL07'!$C$10:$C$224,$C267,'TL07'!$J$10:$J$224),0),
IF('TL07'!$B$229=N$3,SUMIF('TL07'!$C$238:$C$451,$C267,'TL07'!$J$238:$J$451),0),
IF('TL08'!$B$3=N$3,SUMIF('TL08'!$C$10:$C$224,$C267,'TL08'!$J$10:$J$224),0),
IF('TL08'!$B$229=N$3,SUMIF('TL08'!$C$238:$C$451,$C267,'TL08'!$J$238:$J$451),0),
IF('TL09'!$B$3=N$3,SUMIF('TL09'!$C$10:$C$224,$C267,'TL09'!$J$10:$J$224),0),
IF('TL09'!$B$229=N$3,SUMIF('TL09'!$C$238:$C$451,$C267,'TL09'!$J$238:$J$451),0),
IF('TL10'!$B$3=N$3,SUMIF('TL10'!$C$10:$C$224,$C267,'TL10'!$J$10:$J$224),0),
IF('TL10'!$B$229=N$3,SUMIF('TL10'!$C$238:$C$451,$C267,'TL10'!$J$238:$J$451),0),
IF('TL11'!$B$3=N$3,SUMIF('TL11'!$C$10:$C$224,$C267,'TL11'!$J$10:$J$224),0),
IF('TL11'!$B$229=N$3,SUMIF('TL11'!$C$238:$C$451,$C267,'TL11'!$J$238:$J$451),0),
IF('TL12'!$B$3=N$3,SUMIF('TL12'!$C$10:$C$224,$C267,'TL12'!$J$10:$J$224),0),
IF('TL12'!$B$229=N$3,SUMIF('TL12'!$C$238:$C$451,$C267,'TL12'!$J$238:$J$451),0),
IF('TL13'!$B$3=N$3,SUMIF('TL13'!$C$10:$C$224,$C267,'TL13'!$J$10:$J$224),0),
IF('TL13'!$B$229=N$3,SUMIF('TL13'!$C$238:$C$451,$C267,'TL13'!$J$238:$J$451),0),
IF('TL14'!$B$3=N$3,SUMIF('TL14'!$C$10:$C$224,$C267,'TL14'!$J$10:$J$224),0),
IF('TL14'!$B$229=N$3,SUMIF('TL14'!$C$238:$C$451,$C267,'TL14'!$J$238:$J$451),0),
IF('TL15'!$B$3=N$3,SUMIF('TL15'!$C$10:$C$224,$C267,'TL15'!$J$10:$J$224),0),
IF('TL15'!$B$229=N$3,SUMIF('TL15'!$C$238:$C$451,$C267,'TL15'!$J$238:$J$451),0),
IF('TL16'!$B$3=N$3,SUMIF('TL16'!$C$10:$C$224,$C267,'TL16'!$J$10:$J$224),0),
IF('TL16'!$B$229=N$3,SUMIF('TL16'!$C$238:$C$451,$C267,'TL16'!$J$238:$J$451),0),
IF('TL17'!$B$3=N$3,SUMIF('TL17'!$C$10:$C$224,$C267,'TL17'!$J$10:$J$224),0),
IF('TL17'!$B$229=N$3,SUMIF('TL17'!$C$238:$C$451,$C267,'TL17'!$J$238:$J$451),0),
IF('TL18'!$B$3=N$3,SUMIF('TL18'!$C$10:$C$224,$C267,'TL18'!$J$10:$J$224),0),
IF('TL18'!$B$229=N$3,SUMIF('TL18'!$C$238:$C$451,$C267,'TL18'!$J$238:$J$451),0),
IF('TL19'!$B$3=N$3,SUMIF('TL19'!$C$10:$C$224,$C267,'TL19'!$J$10:$J$224),0),
IF('TL19'!$B$229=N$3,SUMIF('TL19'!$C$238:$C$451,$C267,'TL19'!$J$238:$J$451),0)
),0)</f>
        <v/>
      </c>
      <c r="O267" s="9">
        <f>IFERROR(SUM(
IF('TL01'!$B$3=O$3,SUMIF('TL01'!$C$10:$C$224,$C267,'TL01'!$J$10:$J$224),0),
IF('TL01'!$B$229=O$3,SUMIF('TL01'!$C$238:$C$451,$C267,'TL01'!$J$238:$J$451),0),
IF('TL02'!$B$3=O$3,SUMIF('TL02'!$C$10:$C$224,$C267,'TL02'!$J$10:$J$224),0),
IF('TL02'!$B$229=O$3,SUMIF('TL02'!$C$238:$C$451,$C267,'TL02'!$J$238:$J$451),0),
IF('TL03'!$B$3=O$3,SUMIF('TL03'!$C$10:$C$224,$C267,'TL03'!$J$10:$J$224),0),
IF('TL03'!$B$229=O$3,SUMIF('TL03'!$C$238:$C$451,$C267,'TL03'!$J$238:$J$451),0),
IF('TL04'!$B$3=O$3,SUMIF('TL04'!$C$10:$C$224,$C267,'TL04'!$J$10:$J$224),0),
IF('TL04'!$B$229=O$3,SUMIF('TL04'!$C$238:$C$451,$C267,'TL04'!$J$238:$J$451),0),
IF('TL05'!$B$3=O$3,SUMIF('TL05'!$C$10:$C$224,$C267,'TL05'!$J$10:$J$224),0),
IF('TL05'!$B$229=O$3,SUMIF('TL05'!$C$238:$C$451,$C267,'TL05'!$J$238:$J$451),0),
IF('TL06'!$B$3=O$3,SUMIF('TL06'!$C$10:$C$224,$C267,'TL06'!$J$10:$J$224),0),
IF('TL06'!$B$229=O$3,SUMIF('TL06'!$C$238:$C$451,$C267,'TL06'!$J$238:$J$451),0),
IF('TL07'!$B$3=O$3,SUMIF('TL07'!$C$10:$C$224,$C267,'TL07'!$J$10:$J$224),0),
IF('TL07'!$B$229=O$3,SUMIF('TL07'!$C$238:$C$451,$C267,'TL07'!$J$238:$J$451),0),
IF('TL08'!$B$3=O$3,SUMIF('TL08'!$C$10:$C$224,$C267,'TL08'!$J$10:$J$224),0),
IF('TL08'!$B$229=O$3,SUMIF('TL08'!$C$238:$C$451,$C267,'TL08'!$J$238:$J$451),0),
IF('TL09'!$B$3=O$3,SUMIF('TL09'!$C$10:$C$224,$C267,'TL09'!$J$10:$J$224),0),
IF('TL09'!$B$229=O$3,SUMIF('TL09'!$C$238:$C$451,$C267,'TL09'!$J$238:$J$451),0),
IF('TL10'!$B$3=O$3,SUMIF('TL10'!$C$10:$C$224,$C267,'TL10'!$J$10:$J$224),0),
IF('TL10'!$B$229=O$3,SUMIF('TL10'!$C$238:$C$451,$C267,'TL10'!$J$238:$J$451),0),
IF('TL11'!$B$3=O$3,SUMIF('TL11'!$C$10:$C$224,$C267,'TL11'!$J$10:$J$224),0),
IF('TL11'!$B$229=O$3,SUMIF('TL11'!$C$238:$C$451,$C267,'TL11'!$J$238:$J$451),0),
IF('TL12'!$B$3=O$3,SUMIF('TL12'!$C$10:$C$224,$C267,'TL12'!$J$10:$J$224),0),
IF('TL12'!$B$229=O$3,SUMIF('TL12'!$C$238:$C$451,$C267,'TL12'!$J$238:$J$451),0),
IF('TL13'!$B$3=O$3,SUMIF('TL13'!$C$10:$C$224,$C267,'TL13'!$J$10:$J$224),0),
IF('TL13'!$B$229=O$3,SUMIF('TL13'!$C$238:$C$451,$C267,'TL13'!$J$238:$J$451),0),
IF('TL14'!$B$3=O$3,SUMIF('TL14'!$C$10:$C$224,$C267,'TL14'!$J$10:$J$224),0),
IF('TL14'!$B$229=O$3,SUMIF('TL14'!$C$238:$C$451,$C267,'TL14'!$J$238:$J$451),0),
IF('TL15'!$B$3=O$3,SUMIF('TL15'!$C$10:$C$224,$C267,'TL15'!$J$10:$J$224),0),
IF('TL15'!$B$229=O$3,SUMIF('TL15'!$C$238:$C$451,$C267,'TL15'!$J$238:$J$451),0),
IF('TL16'!$B$3=O$3,SUMIF('TL16'!$C$10:$C$224,$C267,'TL16'!$J$10:$J$224),0),
IF('TL16'!$B$229=O$3,SUMIF('TL16'!$C$238:$C$451,$C267,'TL16'!$J$238:$J$451),0),
IF('TL17'!$B$3=O$3,SUMIF('TL17'!$C$10:$C$224,$C267,'TL17'!$J$10:$J$224),0),
IF('TL17'!$B$229=O$3,SUMIF('TL17'!$C$238:$C$451,$C267,'TL17'!$J$238:$J$451),0),
IF('TL18'!$B$3=O$3,SUMIF('TL18'!$C$10:$C$224,$C267,'TL18'!$J$10:$J$224),0),
IF('TL18'!$B$229=O$3,SUMIF('TL18'!$C$238:$C$451,$C267,'TL18'!$J$238:$J$451),0),
IF('TL19'!$B$3=O$3,SUMIF('TL19'!$C$10:$C$224,$C267,'TL19'!$J$10:$J$224),0),
IF('TL19'!$B$229=O$3,SUMIF('TL19'!$C$238:$C$451,$C267,'TL19'!$J$238:$J$451),0)
),0)</f>
        <v/>
      </c>
      <c r="P267" s="9">
        <f>IFERROR(SUM(
IF('TL01'!$B$3=P$3,SUMIF('TL01'!$C$10:$C$224,$C267,'TL01'!$J$10:$J$224),0),
IF('TL01'!$B$229=P$3,SUMIF('TL01'!$C$238:$C$451,$C267,'TL01'!$J$238:$J$451),0),
IF('TL02'!$B$3=P$3,SUMIF('TL02'!$C$10:$C$224,$C267,'TL02'!$J$10:$J$224),0),
IF('TL02'!$B$229=P$3,SUMIF('TL02'!$C$238:$C$451,$C267,'TL02'!$J$238:$J$451),0),
IF('TL03'!$B$3=P$3,SUMIF('TL03'!$C$10:$C$224,$C267,'TL03'!$J$10:$J$224),0),
IF('TL03'!$B$229=P$3,SUMIF('TL03'!$C$238:$C$451,$C267,'TL03'!$J$238:$J$451),0),
IF('TL04'!$B$3=P$3,SUMIF('TL04'!$C$10:$C$224,$C267,'TL04'!$J$10:$J$224),0),
IF('TL04'!$B$229=P$3,SUMIF('TL04'!$C$238:$C$451,$C267,'TL04'!$J$238:$J$451),0),
IF('TL05'!$B$3=P$3,SUMIF('TL05'!$C$10:$C$224,$C267,'TL05'!$J$10:$J$224),0),
IF('TL05'!$B$229=P$3,SUMIF('TL05'!$C$238:$C$451,$C267,'TL05'!$J$238:$J$451),0),
IF('TL06'!$B$3=P$3,SUMIF('TL06'!$C$10:$C$224,$C267,'TL06'!$J$10:$J$224),0),
IF('TL06'!$B$229=P$3,SUMIF('TL06'!$C$238:$C$451,$C267,'TL06'!$J$238:$J$451),0),
IF('TL07'!$B$3=P$3,SUMIF('TL07'!$C$10:$C$224,$C267,'TL07'!$J$10:$J$224),0),
IF('TL07'!$B$229=P$3,SUMIF('TL07'!$C$238:$C$451,$C267,'TL07'!$J$238:$J$451),0),
IF('TL08'!$B$3=P$3,SUMIF('TL08'!$C$10:$C$224,$C267,'TL08'!$J$10:$J$224),0),
IF('TL08'!$B$229=P$3,SUMIF('TL08'!$C$238:$C$451,$C267,'TL08'!$J$238:$J$451),0),
IF('TL09'!$B$3=P$3,SUMIF('TL09'!$C$10:$C$224,$C267,'TL09'!$J$10:$J$224),0),
IF('TL09'!$B$229=P$3,SUMIF('TL09'!$C$238:$C$451,$C267,'TL09'!$J$238:$J$451),0),
IF('TL10'!$B$3=P$3,SUMIF('TL10'!$C$10:$C$224,$C267,'TL10'!$J$10:$J$224),0),
IF('TL10'!$B$229=P$3,SUMIF('TL10'!$C$238:$C$451,$C267,'TL10'!$J$238:$J$451),0),
IF('TL11'!$B$3=P$3,SUMIF('TL11'!$C$10:$C$224,$C267,'TL11'!$J$10:$J$224),0),
IF('TL11'!$B$229=P$3,SUMIF('TL11'!$C$238:$C$451,$C267,'TL11'!$J$238:$J$451),0),
IF('TL12'!$B$3=P$3,SUMIF('TL12'!$C$10:$C$224,$C267,'TL12'!$J$10:$J$224),0),
IF('TL12'!$B$229=P$3,SUMIF('TL12'!$C$238:$C$451,$C267,'TL12'!$J$238:$J$451),0),
IF('TL13'!$B$3=P$3,SUMIF('TL13'!$C$10:$C$224,$C267,'TL13'!$J$10:$J$224),0),
IF('TL13'!$B$229=P$3,SUMIF('TL13'!$C$238:$C$451,$C267,'TL13'!$J$238:$J$451),0),
IF('TL14'!$B$3=P$3,SUMIF('TL14'!$C$10:$C$224,$C267,'TL14'!$J$10:$J$224),0),
IF('TL14'!$B$229=P$3,SUMIF('TL14'!$C$238:$C$451,$C267,'TL14'!$J$238:$J$451),0),
IF('TL15'!$B$3=P$3,SUMIF('TL15'!$C$10:$C$224,$C267,'TL15'!$J$10:$J$224),0),
IF('TL15'!$B$229=P$3,SUMIF('TL15'!$C$238:$C$451,$C267,'TL15'!$J$238:$J$451),0),
IF('TL16'!$B$3=P$3,SUMIF('TL16'!$C$10:$C$224,$C267,'TL16'!$J$10:$J$224),0),
IF('TL16'!$B$229=P$3,SUMIF('TL16'!$C$238:$C$451,$C267,'TL16'!$J$238:$J$451),0),
IF('TL17'!$B$3=P$3,SUMIF('TL17'!$C$10:$C$224,$C267,'TL17'!$J$10:$J$224),0),
IF('TL17'!$B$229=P$3,SUMIF('TL17'!$C$238:$C$451,$C267,'TL17'!$J$238:$J$451),0),
IF('TL18'!$B$3=P$3,SUMIF('TL18'!$C$10:$C$224,$C267,'TL18'!$J$10:$J$224),0),
IF('TL18'!$B$229=P$3,SUMIF('TL18'!$C$238:$C$451,$C267,'TL18'!$J$238:$J$451),0),
IF('TL19'!$B$3=P$3,SUMIF('TL19'!$C$10:$C$224,$C267,'TL19'!$J$10:$J$224),0),
IF('TL19'!$B$229=P$3,SUMIF('TL19'!$C$238:$C$451,$C267,'TL19'!$J$238:$J$451),0)
),0)</f>
        <v/>
      </c>
      <c r="Q267" s="9">
        <f>IFERROR(SUM(
IF('TL01'!$B$3=Q$3,SUMIF('TL01'!$C$10:$C$224,$C267,'TL01'!$J$10:$J$224),0),
IF('TL01'!$B$229=Q$3,SUMIF('TL01'!$C$238:$C$451,$C267,'TL01'!$J$238:$J$451),0),
IF('TL02'!$B$3=Q$3,SUMIF('TL02'!$C$10:$C$224,$C267,'TL02'!$J$10:$J$224),0),
IF('TL02'!$B$229=Q$3,SUMIF('TL02'!$C$238:$C$451,$C267,'TL02'!$J$238:$J$451),0),
IF('TL03'!$B$3=Q$3,SUMIF('TL03'!$C$10:$C$224,$C267,'TL03'!$J$10:$J$224),0),
IF('TL03'!$B$229=Q$3,SUMIF('TL03'!$C$238:$C$451,$C267,'TL03'!$J$238:$J$451),0),
IF('TL04'!$B$3=Q$3,SUMIF('TL04'!$C$10:$C$224,$C267,'TL04'!$J$10:$J$224),0),
IF('TL04'!$B$229=Q$3,SUMIF('TL04'!$C$238:$C$451,$C267,'TL04'!$J$238:$J$451),0),
IF('TL05'!$B$3=Q$3,SUMIF('TL05'!$C$10:$C$224,$C267,'TL05'!$J$10:$J$224),0),
IF('TL05'!$B$229=Q$3,SUMIF('TL05'!$C$238:$C$451,$C267,'TL05'!$J$238:$J$451),0),
IF('TL06'!$B$3=Q$3,SUMIF('TL06'!$C$10:$C$224,$C267,'TL06'!$J$10:$J$224),0),
IF('TL06'!$B$229=Q$3,SUMIF('TL06'!$C$238:$C$451,$C267,'TL06'!$J$238:$J$451),0),
IF('TL07'!$B$3=Q$3,SUMIF('TL07'!$C$10:$C$224,$C267,'TL07'!$J$10:$J$224),0),
IF('TL07'!$B$229=Q$3,SUMIF('TL07'!$C$238:$C$451,$C267,'TL07'!$J$238:$J$451),0),
IF('TL08'!$B$3=Q$3,SUMIF('TL08'!$C$10:$C$224,$C267,'TL08'!$J$10:$J$224),0),
IF('TL08'!$B$229=Q$3,SUMIF('TL08'!$C$238:$C$451,$C267,'TL08'!$J$238:$J$451),0),
IF('TL09'!$B$3=Q$3,SUMIF('TL09'!$C$10:$C$224,$C267,'TL09'!$J$10:$J$224),0),
IF('TL09'!$B$229=Q$3,SUMIF('TL09'!$C$238:$C$451,$C267,'TL09'!$J$238:$J$451),0),
IF('TL10'!$B$3=Q$3,SUMIF('TL10'!$C$10:$C$224,$C267,'TL10'!$J$10:$J$224),0),
IF('TL10'!$B$229=Q$3,SUMIF('TL10'!$C$238:$C$451,$C267,'TL10'!$J$238:$J$451),0),
IF('TL11'!$B$3=Q$3,SUMIF('TL11'!$C$10:$C$224,$C267,'TL11'!$J$10:$J$224),0),
IF('TL11'!$B$229=Q$3,SUMIF('TL11'!$C$238:$C$451,$C267,'TL11'!$J$238:$J$451),0),
IF('TL12'!$B$3=Q$3,SUMIF('TL12'!$C$10:$C$224,$C267,'TL12'!$J$10:$J$224),0),
IF('TL12'!$B$229=Q$3,SUMIF('TL12'!$C$238:$C$451,$C267,'TL12'!$J$238:$J$451),0),
IF('TL13'!$B$3=Q$3,SUMIF('TL13'!$C$10:$C$224,$C267,'TL13'!$J$10:$J$224),0),
IF('TL13'!$B$229=Q$3,SUMIF('TL13'!$C$238:$C$451,$C267,'TL13'!$J$238:$J$451),0),
IF('TL14'!$B$3=Q$3,SUMIF('TL14'!$C$10:$C$224,$C267,'TL14'!$J$10:$J$224),0),
IF('TL14'!$B$229=Q$3,SUMIF('TL14'!$C$238:$C$451,$C267,'TL14'!$J$238:$J$451),0),
IF('TL15'!$B$3=Q$3,SUMIF('TL15'!$C$10:$C$224,$C267,'TL15'!$J$10:$J$224),0),
IF('TL15'!$B$229=Q$3,SUMIF('TL15'!$C$238:$C$451,$C267,'TL15'!$J$238:$J$451),0),
IF('TL16'!$B$3=Q$3,SUMIF('TL16'!$C$10:$C$224,$C267,'TL16'!$J$10:$J$224),0),
IF('TL16'!$B$229=Q$3,SUMIF('TL16'!$C$238:$C$451,$C267,'TL16'!$J$238:$J$451),0),
IF('TL17'!$B$3=Q$3,SUMIF('TL17'!$C$10:$C$224,$C267,'TL17'!$J$10:$J$224),0),
IF('TL17'!$B$229=Q$3,SUMIF('TL17'!$C$238:$C$451,$C267,'TL17'!$J$238:$J$451),0),
IF('TL18'!$B$3=Q$3,SUMIF('TL18'!$C$10:$C$224,$C267,'TL18'!$J$10:$J$224),0),
IF('TL18'!$B$229=Q$3,SUMIF('TL18'!$C$238:$C$451,$C267,'TL18'!$J$238:$J$451),0),
IF('TL19'!$B$3=Q$3,SUMIF('TL19'!$C$10:$C$224,$C267,'TL19'!$J$10:$J$224),0),
IF('TL19'!$B$229=Q$3,SUMIF('TL19'!$C$238:$C$451,$C267,'TL19'!$J$238:$J$451),0)
),0)</f>
        <v/>
      </c>
      <c r="R267" s="9">
        <f>IFERROR(
SUM(
SUMIF('TL01'!C:C,C267,'TL01'!J:J),
SUMIF('TL02'!C:C,C267,'TL02'!J:J),
SUMIF('TL03'!C:C,C267,'TL03'!J:J),
SUMIF('TL04'!C:C,C267,'TL04'!J:J),
SUMIF('TL05'!C:C,C267,'TL05'!J:J),
SUMIF('TL06'!C:C,C267,'TL06'!J:J),
SUMIF('TL07'!C:C,C267,'TL07'!J:J),
SUMIF('TL08'!C:C,C267,'TL08'!J:J),
SUMIF('TL09'!C:C,C267,'TL09'!J:J),
SUMIF('TL10'!C:C,C267,'TL10'!J:J),
SUMIF('TL11'!C:C,C267,'TL11'!J:J),
SUMIF('TL12'!C:C,C267,'TL12'!J:J),
SUMIF('TL13'!C:C,C267,'TL13'!J:J),
SUMIF('TL14'!C:C,C267,'TL14'!J:J),
SUMIF('TL15'!C:C,C267,'TL15'!J:J),
SUMIF('TL16'!C:C,C267,'TL16'!J:J),
SUMIF('TL17'!C:C,C267,'TL17'!J:J),
SUMIF('TL18'!C:C,C267,'TL18'!J:J),SUMIF('TL19'!C:C,C267,'TL19'!J:J))
,0)</f>
        <v/>
      </c>
      <c r="S267" s="17">
        <f>IFERROR(__xludf.DUMMYFUNCTION("IFERROR(VLOOKUP(C267,
IMPORTRANGE(""1wULbzX32WdYsx-lj2U3uUNBBe2INVIRDtcK0d-Dvl90"",
""26-27!C:G""),
5,
FALSE),
"""")"),30.5)</f>
        <v/>
      </c>
      <c r="T267" s="9" t="n"/>
      <c r="U267" s="92">
        <f>MAX(0,R267-T267)</f>
        <v/>
      </c>
      <c r="V267" s="93">
        <f>U267*S267</f>
        <v/>
      </c>
    </row>
    <row r="268" ht="15.75" customHeight="1" s="297">
      <c r="A268" s="4" t="n"/>
      <c r="B268" s="125" t="n"/>
      <c r="C268" s="20" t="n"/>
      <c r="D268" s="20" t="n"/>
      <c r="E268" s="9" t="n"/>
      <c r="F268" s="4" t="inlineStr">
        <is>
          <t>L</t>
        </is>
      </c>
      <c r="G268" s="9" t="n"/>
      <c r="H268" s="9" t="n"/>
      <c r="I268" s="1" t="n"/>
      <c r="J268" s="9">
        <f>IFERROR(SUM(
IF('TL01'!$B$3=J$3,SUMIF('TL01'!$C$10:$C$224,$C268,'TL01'!$J$10:$J$224),0),
IF('TL01'!$B$229=J$3,SUMIF('TL01'!$C$238:$C$451,$C268,'TL01'!$J$238:$J$451),0),
IF('TL02'!$B$3=J$3,SUMIF('TL02'!$C$10:$C$224,$C268,'TL02'!$J$10:$J$224),0),
IF('TL02'!$B$229=J$3,SUMIF('TL02'!$C$238:$C$451,$C268,'TL02'!$J$238:$J$451),0),
IF('TL03'!$B$3=J$3,SUMIF('TL03'!$C$10:$C$224,$C268,'TL03'!$J$10:$J$224),0),
IF('TL03'!$B$229=J$3,SUMIF('TL03'!$C$238:$C$451,$C268,'TL03'!$J$238:$J$451),0),
IF('TL04'!$B$3=J$3,SUMIF('TL04'!$C$10:$C$224,$C268,'TL04'!$J$10:$J$224),0),
IF('TL04'!$B$229=J$3,SUMIF('TL04'!$C$238:$C$451,$C268,'TL04'!$J$238:$J$451),0),
IF('TL05'!$B$3=J$3,SUMIF('TL05'!$C$10:$C$224,$C268,'TL05'!$J$10:$J$224),0),
IF('TL05'!$B$229=J$3,SUMIF('TL05'!$C$238:$C$451,$C268,'TL05'!$J$238:$J$451),0),
IF('TL06'!$B$3=J$3,SUMIF('TL06'!$C$10:$C$224,$C268,'TL06'!$J$10:$J$224),0),
IF('TL06'!$B$229=J$3,SUMIF('TL06'!$C$238:$C$451,$C268,'TL06'!$J$238:$J$451),0),
IF('TL07'!$B$3=J$3,SUMIF('TL07'!$C$10:$C$224,$C268,'TL07'!$J$10:$J$224),0),
IF('TL07'!$B$229=J$3,SUMIF('TL07'!$C$238:$C$451,$C268,'TL07'!$J$238:$J$451),0),
IF('TL08'!$B$3=J$3,SUMIF('TL08'!$C$10:$C$224,$C268,'TL08'!$J$10:$J$224),0),
IF('TL08'!$B$229=J$3,SUMIF('TL08'!$C$238:$C$451,$C268,'TL08'!$J$238:$J$451),0),
IF('TL09'!$B$3=J$3,SUMIF('TL09'!$C$10:$C$224,$C268,'TL09'!$J$10:$J$224),0),
IF('TL09'!$B$229=J$3,SUMIF('TL09'!$C$238:$C$451,$C268,'TL09'!$J$238:$J$451),0),
IF('TL10'!$B$3=J$3,SUMIF('TL10'!$C$10:$C$224,$C268,'TL10'!$J$10:$J$224),0),
IF('TL10'!$B$229=J$3,SUMIF('TL10'!$C$238:$C$451,$C268,'TL10'!$J$238:$J$451),0),
IF('TL11'!$B$3=J$3,SUMIF('TL11'!$C$10:$C$224,$C268,'TL11'!$J$10:$J$224),0),
IF('TL11'!$B$229=J$3,SUMIF('TL11'!$C$238:$C$451,$C268,'TL11'!$J$238:$J$451),0),
IF('TL12'!$B$3=J$3,SUMIF('TL12'!$C$10:$C$224,$C268,'TL12'!$J$10:$J$224),0),
IF('TL12'!$B$229=J$3,SUMIF('TL12'!$C$238:$C$451,$C268,'TL12'!$J$238:$J$451),0),
IF('TL13'!$B$3=J$3,SUMIF('TL13'!$C$10:$C$224,$C268,'TL13'!$J$10:$J$224),0),
IF('TL13'!$B$229=J$3,SUMIF('TL13'!$C$238:$C$451,$C268,'TL13'!$J$238:$J$451),0),
IF('TL14'!$B$3=J$3,SUMIF('TL14'!$C$10:$C$224,$C268,'TL14'!$J$10:$J$224),0),
IF('TL14'!$B$229=J$3,SUMIF('TL14'!$C$238:$C$451,$C268,'TL14'!$J$238:$J$451),0),
IF('TL15'!$B$3=J$3,SUMIF('TL15'!$C$10:$C$224,$C268,'TL15'!$J$10:$J$224),0),
IF('TL15'!$B$229=J$3,SUMIF('TL15'!$C$238:$C$451,$C268,'TL15'!$J$238:$J$451),0),
IF('TL16'!$B$3=J$3,SUMIF('TL16'!$C$10:$C$224,$C268,'TL16'!$J$10:$J$224),0),
IF('TL16'!$B$229=J$3,SUMIF('TL16'!$C$238:$C$451,$C268,'TL16'!$J$238:$J$451),0),
IF('TL17'!$B$3=J$3,SUMIF('TL17'!$C$10:$C$224,$C268,'TL17'!$J$10:$J$224),0),
IF('TL17'!$B$229=J$3,SUMIF('TL17'!$C$238:$C$451,$C268,'TL17'!$J$238:$J$451),0),
IF('TL18'!$B$3=J$3,SUMIF('TL18'!$C$10:$C$224,$C268,'TL18'!$J$10:$J$224),0),
IF('TL18'!$B$229=J$3,SUMIF('TL18'!$C$238:$C$451,$C268,'TL18'!$J$238:$J$451),0),
IF('TL19'!$B$3=J$3,SUMIF('TL19'!$C$10:$C$224,$C268,'TL19'!$J$10:$J$224),0),
IF('TL19'!$B$229=J$3,SUMIF('TL19'!$C$238:$C$451,$C268,'TL19'!$J$238:$J$451),0)
),0)</f>
        <v/>
      </c>
      <c r="K268" s="9">
        <f>IFERROR(SUM(
IF('TL01'!$B$3=K$3,SUMIF('TL01'!$C$10:$C$224,$C268,'TL01'!$J$10:$J$224),0),
IF('TL01'!$B$229=K$3,SUMIF('TL01'!$C$238:$C$451,$C268,'TL01'!$J$238:$J$451),0),
IF('TL02'!$B$3=K$3,SUMIF('TL02'!$C$10:$C$224,$C268,'TL02'!$J$10:$J$224),0),
IF('TL02'!$B$229=K$3,SUMIF('TL02'!$C$238:$C$451,$C268,'TL02'!$J$238:$J$451),0),
IF('TL03'!$B$3=K$3,SUMIF('TL03'!$C$10:$C$224,$C268,'TL03'!$J$10:$J$224),0),
IF('TL03'!$B$229=K$3,SUMIF('TL03'!$C$238:$C$451,$C268,'TL03'!$J$238:$J$451),0),
IF('TL04'!$B$3=K$3,SUMIF('TL04'!$C$10:$C$224,$C268,'TL04'!$J$10:$J$224),0),
IF('TL04'!$B$229=K$3,SUMIF('TL04'!$C$238:$C$451,$C268,'TL04'!$J$238:$J$451),0),
IF('TL05'!$B$3=K$3,SUMIF('TL05'!$C$10:$C$224,$C268,'TL05'!$J$10:$J$224),0),
IF('TL05'!$B$229=K$3,SUMIF('TL05'!$C$238:$C$451,$C268,'TL05'!$J$238:$J$451),0),
IF('TL06'!$B$3=K$3,SUMIF('TL06'!$C$10:$C$224,$C268,'TL06'!$J$10:$J$224),0),
IF('TL06'!$B$229=K$3,SUMIF('TL06'!$C$238:$C$451,$C268,'TL06'!$J$238:$J$451),0),
IF('TL07'!$B$3=K$3,SUMIF('TL07'!$C$10:$C$224,$C268,'TL07'!$J$10:$J$224),0),
IF('TL07'!$B$229=K$3,SUMIF('TL07'!$C$238:$C$451,$C268,'TL07'!$J$238:$J$451),0),
IF('TL08'!$B$3=K$3,SUMIF('TL08'!$C$10:$C$224,$C268,'TL08'!$J$10:$J$224),0),
IF('TL08'!$B$229=K$3,SUMIF('TL08'!$C$238:$C$451,$C268,'TL08'!$J$238:$J$451),0),
IF('TL09'!$B$3=K$3,SUMIF('TL09'!$C$10:$C$224,$C268,'TL09'!$J$10:$J$224),0),
IF('TL09'!$B$229=K$3,SUMIF('TL09'!$C$238:$C$451,$C268,'TL09'!$J$238:$J$451),0),
IF('TL10'!$B$3=K$3,SUMIF('TL10'!$C$10:$C$224,$C268,'TL10'!$J$10:$J$224),0),
IF('TL10'!$B$229=K$3,SUMIF('TL10'!$C$238:$C$451,$C268,'TL10'!$J$238:$J$451),0),
IF('TL11'!$B$3=K$3,SUMIF('TL11'!$C$10:$C$224,$C268,'TL11'!$J$10:$J$224),0),
IF('TL11'!$B$229=K$3,SUMIF('TL11'!$C$238:$C$451,$C268,'TL11'!$J$238:$J$451),0),
IF('TL12'!$B$3=K$3,SUMIF('TL12'!$C$10:$C$224,$C268,'TL12'!$J$10:$J$224),0),
IF('TL12'!$B$229=K$3,SUMIF('TL12'!$C$238:$C$451,$C268,'TL12'!$J$238:$J$451),0),
IF('TL13'!$B$3=K$3,SUMIF('TL13'!$C$10:$C$224,$C268,'TL13'!$J$10:$J$224),0),
IF('TL13'!$B$229=K$3,SUMIF('TL13'!$C$238:$C$451,$C268,'TL13'!$J$238:$J$451),0),
IF('TL14'!$B$3=K$3,SUMIF('TL14'!$C$10:$C$224,$C268,'TL14'!$J$10:$J$224),0),
IF('TL14'!$B$229=K$3,SUMIF('TL14'!$C$238:$C$451,$C268,'TL14'!$J$238:$J$451),0),
IF('TL15'!$B$3=K$3,SUMIF('TL15'!$C$10:$C$224,$C268,'TL15'!$J$10:$J$224),0),
IF('TL15'!$B$229=K$3,SUMIF('TL15'!$C$238:$C$451,$C268,'TL15'!$J$238:$J$451),0),
IF('TL16'!$B$3=K$3,SUMIF('TL16'!$C$10:$C$224,$C268,'TL16'!$J$10:$J$224),0),
IF('TL16'!$B$229=K$3,SUMIF('TL16'!$C$238:$C$451,$C268,'TL16'!$J$238:$J$451),0),
IF('TL17'!$B$3=K$3,SUMIF('TL17'!$C$10:$C$224,$C268,'TL17'!$J$10:$J$224),0),
IF('TL17'!$B$229=K$3,SUMIF('TL17'!$C$238:$C$451,$C268,'TL17'!$J$238:$J$451),0),
IF('TL18'!$B$3=K$3,SUMIF('TL18'!$C$10:$C$224,$C268,'TL18'!$J$10:$J$224),0),
IF('TL18'!$B$229=K$3,SUMIF('TL18'!$C$238:$C$451,$C268,'TL18'!$J$238:$J$451),0),
IF('TL19'!$B$3=K$3,SUMIF('TL19'!$C$10:$C$224,$C268,'TL19'!$J$10:$J$224),0),
IF('TL19'!$B$229=K$3,SUMIF('TL19'!$C$238:$C$451,$C268,'TL19'!$J$238:$J$451),0)
),0)</f>
        <v/>
      </c>
      <c r="L268" s="9">
        <f>IFERROR(SUM(
IF('TL01'!$B$3=L$3,SUMIF('TL01'!$C$10:$C$224,$C268,'TL01'!$J$10:$J$224),0),
IF('TL01'!$B$229=L$3,SUMIF('TL01'!$C$238:$C$451,$C268,'TL01'!$J$238:$J$451),0),
IF('TL02'!$B$3=L$3,SUMIF('TL02'!$C$10:$C$224,$C268,'TL02'!$J$10:$J$224),0),
IF('TL02'!$B$229=L$3,SUMIF('TL02'!$C$238:$C$451,$C268,'TL02'!$J$238:$J$451),0),
IF('TL03'!$B$3=L$3,SUMIF('TL03'!$C$10:$C$224,$C268,'TL03'!$J$10:$J$224),0),
IF('TL03'!$B$229=L$3,SUMIF('TL03'!$C$238:$C$451,$C268,'TL03'!$J$238:$J$451),0),
IF('TL04'!$B$3=L$3,SUMIF('TL04'!$C$10:$C$224,$C268,'TL04'!$J$10:$J$224),0),
IF('TL04'!$B$229=L$3,SUMIF('TL04'!$C$238:$C$451,$C268,'TL04'!$J$238:$J$451),0),
IF('TL05'!$B$3=L$3,SUMIF('TL05'!$C$10:$C$224,$C268,'TL05'!$J$10:$J$224),0),
IF('TL05'!$B$229=L$3,SUMIF('TL05'!$C$238:$C$451,$C268,'TL05'!$J$238:$J$451),0),
IF('TL06'!$B$3=L$3,SUMIF('TL06'!$C$10:$C$224,$C268,'TL06'!$J$10:$J$224),0),
IF('TL06'!$B$229=L$3,SUMIF('TL06'!$C$238:$C$451,$C268,'TL06'!$J$238:$J$451),0),
IF('TL07'!$B$3=L$3,SUMIF('TL07'!$C$10:$C$224,$C268,'TL07'!$J$10:$J$224),0),
IF('TL07'!$B$229=L$3,SUMIF('TL07'!$C$238:$C$451,$C268,'TL07'!$J$238:$J$451),0),
IF('TL08'!$B$3=L$3,SUMIF('TL08'!$C$10:$C$224,$C268,'TL08'!$J$10:$J$224),0),
IF('TL08'!$B$229=L$3,SUMIF('TL08'!$C$238:$C$451,$C268,'TL08'!$J$238:$J$451),0),
IF('TL09'!$B$3=L$3,SUMIF('TL09'!$C$10:$C$224,$C268,'TL09'!$J$10:$J$224),0),
IF('TL09'!$B$229=L$3,SUMIF('TL09'!$C$238:$C$451,$C268,'TL09'!$J$238:$J$451),0),
IF('TL10'!$B$3=L$3,SUMIF('TL10'!$C$10:$C$224,$C268,'TL10'!$J$10:$J$224),0),
IF('TL10'!$B$229=L$3,SUMIF('TL10'!$C$238:$C$451,$C268,'TL10'!$J$238:$J$451),0),
IF('TL11'!$B$3=L$3,SUMIF('TL11'!$C$10:$C$224,$C268,'TL11'!$J$10:$J$224),0),
IF('TL11'!$B$229=L$3,SUMIF('TL11'!$C$238:$C$451,$C268,'TL11'!$J$238:$J$451),0),
IF('TL12'!$B$3=L$3,SUMIF('TL12'!$C$10:$C$224,$C268,'TL12'!$J$10:$J$224),0),
IF('TL12'!$B$229=L$3,SUMIF('TL12'!$C$238:$C$451,$C268,'TL12'!$J$238:$J$451),0),
IF('TL13'!$B$3=L$3,SUMIF('TL13'!$C$10:$C$224,$C268,'TL13'!$J$10:$J$224),0),
IF('TL13'!$B$229=L$3,SUMIF('TL13'!$C$238:$C$451,$C268,'TL13'!$J$238:$J$451),0),
IF('TL14'!$B$3=L$3,SUMIF('TL14'!$C$10:$C$224,$C268,'TL14'!$J$10:$J$224),0),
IF('TL14'!$B$229=L$3,SUMIF('TL14'!$C$238:$C$451,$C268,'TL14'!$J$238:$J$451),0),
IF('TL15'!$B$3=L$3,SUMIF('TL15'!$C$10:$C$224,$C268,'TL15'!$J$10:$J$224),0),
IF('TL15'!$B$229=L$3,SUMIF('TL15'!$C$238:$C$451,$C268,'TL15'!$J$238:$J$451),0),
IF('TL16'!$B$3=L$3,SUMIF('TL16'!$C$10:$C$224,$C268,'TL16'!$J$10:$J$224),0),
IF('TL16'!$B$229=L$3,SUMIF('TL16'!$C$238:$C$451,$C268,'TL16'!$J$238:$J$451),0),
IF('TL17'!$B$3=L$3,SUMIF('TL17'!$C$10:$C$224,$C268,'TL17'!$J$10:$J$224),0),
IF('TL17'!$B$229=L$3,SUMIF('TL17'!$C$238:$C$451,$C268,'TL17'!$J$238:$J$451),0),
IF('TL18'!$B$3=L$3,SUMIF('TL18'!$C$10:$C$224,$C268,'TL18'!$J$10:$J$224),0),
IF('TL18'!$B$229=L$3,SUMIF('TL18'!$C$238:$C$451,$C268,'TL18'!$J$238:$J$451),0),
IF('TL19'!$B$3=L$3,SUMIF('TL19'!$C$10:$C$224,$C268,'TL19'!$J$10:$J$224),0),
IF('TL19'!$B$229=L$3,SUMIF('TL19'!$C$238:$C$451,$C268,'TL19'!$J$238:$J$451),0)
),0)</f>
        <v/>
      </c>
      <c r="M268" s="9">
        <f>IFERROR(SUM(
IF('TL01'!$B$3=M$3,SUMIF('TL01'!$C$10:$C$224,$C268,'TL01'!$J$10:$J$224),0),
IF('TL01'!$B$229=M$3,SUMIF('TL01'!$C$238:$C$451,$C268,'TL01'!$J$238:$J$451),0),
IF('TL02'!$B$3=M$3,SUMIF('TL02'!$C$10:$C$224,$C268,'TL02'!$J$10:$J$224),0),
IF('TL02'!$B$229=M$3,SUMIF('TL02'!$C$238:$C$451,$C268,'TL02'!$J$238:$J$451),0),
IF('TL03'!$B$3=M$3,SUMIF('TL03'!$C$10:$C$224,$C268,'TL03'!$J$10:$J$224),0),
IF('TL03'!$B$229=M$3,SUMIF('TL03'!$C$238:$C$451,$C268,'TL03'!$J$238:$J$451),0),
IF('TL04'!$B$3=M$3,SUMIF('TL04'!$C$10:$C$224,$C268,'TL04'!$J$10:$J$224),0),
IF('TL04'!$B$229=M$3,SUMIF('TL04'!$C$238:$C$451,$C268,'TL04'!$J$238:$J$451),0),
IF('TL05'!$B$3=M$3,SUMIF('TL05'!$C$10:$C$224,$C268,'TL05'!$J$10:$J$224),0),
IF('TL05'!$B$229=M$3,SUMIF('TL05'!$C$238:$C$451,$C268,'TL05'!$J$238:$J$451),0),
IF('TL06'!$B$3=M$3,SUMIF('TL06'!$C$10:$C$224,$C268,'TL06'!$J$10:$J$224),0),
IF('TL06'!$B$229=M$3,SUMIF('TL06'!$C$238:$C$451,$C268,'TL06'!$J$238:$J$451),0),
IF('TL07'!$B$3=M$3,SUMIF('TL07'!$C$10:$C$224,$C268,'TL07'!$J$10:$J$224),0),
IF('TL07'!$B$229=M$3,SUMIF('TL07'!$C$238:$C$451,$C268,'TL07'!$J$238:$J$451),0),
IF('TL08'!$B$3=M$3,SUMIF('TL08'!$C$10:$C$224,$C268,'TL08'!$J$10:$J$224),0),
IF('TL08'!$B$229=M$3,SUMIF('TL08'!$C$238:$C$451,$C268,'TL08'!$J$238:$J$451),0),
IF('TL09'!$B$3=M$3,SUMIF('TL09'!$C$10:$C$224,$C268,'TL09'!$J$10:$J$224),0),
IF('TL09'!$B$229=M$3,SUMIF('TL09'!$C$238:$C$451,$C268,'TL09'!$J$238:$J$451),0),
IF('TL10'!$B$3=M$3,SUMIF('TL10'!$C$10:$C$224,$C268,'TL10'!$J$10:$J$224),0),
IF('TL10'!$B$229=M$3,SUMIF('TL10'!$C$238:$C$451,$C268,'TL10'!$J$238:$J$451),0),
IF('TL11'!$B$3=M$3,SUMIF('TL11'!$C$10:$C$224,$C268,'TL11'!$J$10:$J$224),0),
IF('TL11'!$B$229=M$3,SUMIF('TL11'!$C$238:$C$451,$C268,'TL11'!$J$238:$J$451),0),
IF('TL12'!$B$3=M$3,SUMIF('TL12'!$C$10:$C$224,$C268,'TL12'!$J$10:$J$224),0),
IF('TL12'!$B$229=M$3,SUMIF('TL12'!$C$238:$C$451,$C268,'TL12'!$J$238:$J$451),0),
IF('TL13'!$B$3=M$3,SUMIF('TL13'!$C$10:$C$224,$C268,'TL13'!$J$10:$J$224),0),
IF('TL13'!$B$229=M$3,SUMIF('TL13'!$C$238:$C$451,$C268,'TL13'!$J$238:$J$451),0),
IF('TL14'!$B$3=M$3,SUMIF('TL14'!$C$10:$C$224,$C268,'TL14'!$J$10:$J$224),0),
IF('TL14'!$B$229=M$3,SUMIF('TL14'!$C$238:$C$451,$C268,'TL14'!$J$238:$J$451),0),
IF('TL15'!$B$3=M$3,SUMIF('TL15'!$C$10:$C$224,$C268,'TL15'!$J$10:$J$224),0),
IF('TL15'!$B$229=M$3,SUMIF('TL15'!$C$238:$C$451,$C268,'TL15'!$J$238:$J$451),0),
IF('TL16'!$B$3=M$3,SUMIF('TL16'!$C$10:$C$224,$C268,'TL16'!$J$10:$J$224),0),
IF('TL16'!$B$229=M$3,SUMIF('TL16'!$C$238:$C$451,$C268,'TL16'!$J$238:$J$451),0),
IF('TL17'!$B$3=M$3,SUMIF('TL17'!$C$10:$C$224,$C268,'TL17'!$J$10:$J$224),0),
IF('TL17'!$B$229=M$3,SUMIF('TL17'!$C$238:$C$451,$C268,'TL17'!$J$238:$J$451),0),
IF('TL18'!$B$3=M$3,SUMIF('TL18'!$C$10:$C$224,$C268,'TL18'!$J$10:$J$224),0),
IF('TL18'!$B$229=M$3,SUMIF('TL18'!$C$238:$C$451,$C268,'TL18'!$J$238:$J$451),0),
IF('TL19'!$B$3=M$3,SUMIF('TL19'!$C$10:$C$224,$C268,'TL19'!$J$10:$J$224),0),
IF('TL19'!$B$229=M$3,SUMIF('TL19'!$C$238:$C$451,$C268,'TL19'!$J$238:$J$451),0)
),0)</f>
        <v/>
      </c>
      <c r="N268" s="9">
        <f>IFERROR(SUM(
IF('TL01'!$B$3=N$3,SUMIF('TL01'!$C$10:$C$224,$C268,'TL01'!$J$10:$J$224),0),
IF('TL01'!$B$229=N$3,SUMIF('TL01'!$C$238:$C$451,$C268,'TL01'!$J$238:$J$451),0),
IF('TL02'!$B$3=N$3,SUMIF('TL02'!$C$10:$C$224,$C268,'TL02'!$J$10:$J$224),0),
IF('TL02'!$B$229=N$3,SUMIF('TL02'!$C$238:$C$451,$C268,'TL02'!$J$238:$J$451),0),
IF('TL03'!$B$3=N$3,SUMIF('TL03'!$C$10:$C$224,$C268,'TL03'!$J$10:$J$224),0),
IF('TL03'!$B$229=N$3,SUMIF('TL03'!$C$238:$C$451,$C268,'TL03'!$J$238:$J$451),0),
IF('TL04'!$B$3=N$3,SUMIF('TL04'!$C$10:$C$224,$C268,'TL04'!$J$10:$J$224),0),
IF('TL04'!$B$229=N$3,SUMIF('TL04'!$C$238:$C$451,$C268,'TL04'!$J$238:$J$451),0),
IF('TL05'!$B$3=N$3,SUMIF('TL05'!$C$10:$C$224,$C268,'TL05'!$J$10:$J$224),0),
IF('TL05'!$B$229=N$3,SUMIF('TL05'!$C$238:$C$451,$C268,'TL05'!$J$238:$J$451),0),
IF('TL06'!$B$3=N$3,SUMIF('TL06'!$C$10:$C$224,$C268,'TL06'!$J$10:$J$224),0),
IF('TL06'!$B$229=N$3,SUMIF('TL06'!$C$238:$C$451,$C268,'TL06'!$J$238:$J$451),0),
IF('TL07'!$B$3=N$3,SUMIF('TL07'!$C$10:$C$224,$C268,'TL07'!$J$10:$J$224),0),
IF('TL07'!$B$229=N$3,SUMIF('TL07'!$C$238:$C$451,$C268,'TL07'!$J$238:$J$451),0),
IF('TL08'!$B$3=N$3,SUMIF('TL08'!$C$10:$C$224,$C268,'TL08'!$J$10:$J$224),0),
IF('TL08'!$B$229=N$3,SUMIF('TL08'!$C$238:$C$451,$C268,'TL08'!$J$238:$J$451),0),
IF('TL09'!$B$3=N$3,SUMIF('TL09'!$C$10:$C$224,$C268,'TL09'!$J$10:$J$224),0),
IF('TL09'!$B$229=N$3,SUMIF('TL09'!$C$238:$C$451,$C268,'TL09'!$J$238:$J$451),0),
IF('TL10'!$B$3=N$3,SUMIF('TL10'!$C$10:$C$224,$C268,'TL10'!$J$10:$J$224),0),
IF('TL10'!$B$229=N$3,SUMIF('TL10'!$C$238:$C$451,$C268,'TL10'!$J$238:$J$451),0),
IF('TL11'!$B$3=N$3,SUMIF('TL11'!$C$10:$C$224,$C268,'TL11'!$J$10:$J$224),0),
IF('TL11'!$B$229=N$3,SUMIF('TL11'!$C$238:$C$451,$C268,'TL11'!$J$238:$J$451),0),
IF('TL12'!$B$3=N$3,SUMIF('TL12'!$C$10:$C$224,$C268,'TL12'!$J$10:$J$224),0),
IF('TL12'!$B$229=N$3,SUMIF('TL12'!$C$238:$C$451,$C268,'TL12'!$J$238:$J$451),0),
IF('TL13'!$B$3=N$3,SUMIF('TL13'!$C$10:$C$224,$C268,'TL13'!$J$10:$J$224),0),
IF('TL13'!$B$229=N$3,SUMIF('TL13'!$C$238:$C$451,$C268,'TL13'!$J$238:$J$451),0),
IF('TL14'!$B$3=N$3,SUMIF('TL14'!$C$10:$C$224,$C268,'TL14'!$J$10:$J$224),0),
IF('TL14'!$B$229=N$3,SUMIF('TL14'!$C$238:$C$451,$C268,'TL14'!$J$238:$J$451),0),
IF('TL15'!$B$3=N$3,SUMIF('TL15'!$C$10:$C$224,$C268,'TL15'!$J$10:$J$224),0),
IF('TL15'!$B$229=N$3,SUMIF('TL15'!$C$238:$C$451,$C268,'TL15'!$J$238:$J$451),0),
IF('TL16'!$B$3=N$3,SUMIF('TL16'!$C$10:$C$224,$C268,'TL16'!$J$10:$J$224),0),
IF('TL16'!$B$229=N$3,SUMIF('TL16'!$C$238:$C$451,$C268,'TL16'!$J$238:$J$451),0),
IF('TL17'!$B$3=N$3,SUMIF('TL17'!$C$10:$C$224,$C268,'TL17'!$J$10:$J$224),0),
IF('TL17'!$B$229=N$3,SUMIF('TL17'!$C$238:$C$451,$C268,'TL17'!$J$238:$J$451),0),
IF('TL18'!$B$3=N$3,SUMIF('TL18'!$C$10:$C$224,$C268,'TL18'!$J$10:$J$224),0),
IF('TL18'!$B$229=N$3,SUMIF('TL18'!$C$238:$C$451,$C268,'TL18'!$J$238:$J$451),0),
IF('TL19'!$B$3=N$3,SUMIF('TL19'!$C$10:$C$224,$C268,'TL19'!$J$10:$J$224),0),
IF('TL19'!$B$229=N$3,SUMIF('TL19'!$C$238:$C$451,$C268,'TL19'!$J$238:$J$451),0)
),0)</f>
        <v/>
      </c>
      <c r="O268" s="9">
        <f>IFERROR(SUM(
IF('TL01'!$B$3=O$3,SUMIF('TL01'!$C$10:$C$224,$C268,'TL01'!$J$10:$J$224),0),
IF('TL01'!$B$229=O$3,SUMIF('TL01'!$C$238:$C$451,$C268,'TL01'!$J$238:$J$451),0),
IF('TL02'!$B$3=O$3,SUMIF('TL02'!$C$10:$C$224,$C268,'TL02'!$J$10:$J$224),0),
IF('TL02'!$B$229=O$3,SUMIF('TL02'!$C$238:$C$451,$C268,'TL02'!$J$238:$J$451),0),
IF('TL03'!$B$3=O$3,SUMIF('TL03'!$C$10:$C$224,$C268,'TL03'!$J$10:$J$224),0),
IF('TL03'!$B$229=O$3,SUMIF('TL03'!$C$238:$C$451,$C268,'TL03'!$J$238:$J$451),0),
IF('TL04'!$B$3=O$3,SUMIF('TL04'!$C$10:$C$224,$C268,'TL04'!$J$10:$J$224),0),
IF('TL04'!$B$229=O$3,SUMIF('TL04'!$C$238:$C$451,$C268,'TL04'!$J$238:$J$451),0),
IF('TL05'!$B$3=O$3,SUMIF('TL05'!$C$10:$C$224,$C268,'TL05'!$J$10:$J$224),0),
IF('TL05'!$B$229=O$3,SUMIF('TL05'!$C$238:$C$451,$C268,'TL05'!$J$238:$J$451),0),
IF('TL06'!$B$3=O$3,SUMIF('TL06'!$C$10:$C$224,$C268,'TL06'!$J$10:$J$224),0),
IF('TL06'!$B$229=O$3,SUMIF('TL06'!$C$238:$C$451,$C268,'TL06'!$J$238:$J$451),0),
IF('TL07'!$B$3=O$3,SUMIF('TL07'!$C$10:$C$224,$C268,'TL07'!$J$10:$J$224),0),
IF('TL07'!$B$229=O$3,SUMIF('TL07'!$C$238:$C$451,$C268,'TL07'!$J$238:$J$451),0),
IF('TL08'!$B$3=O$3,SUMIF('TL08'!$C$10:$C$224,$C268,'TL08'!$J$10:$J$224),0),
IF('TL08'!$B$229=O$3,SUMIF('TL08'!$C$238:$C$451,$C268,'TL08'!$J$238:$J$451),0),
IF('TL09'!$B$3=O$3,SUMIF('TL09'!$C$10:$C$224,$C268,'TL09'!$J$10:$J$224),0),
IF('TL09'!$B$229=O$3,SUMIF('TL09'!$C$238:$C$451,$C268,'TL09'!$J$238:$J$451),0),
IF('TL10'!$B$3=O$3,SUMIF('TL10'!$C$10:$C$224,$C268,'TL10'!$J$10:$J$224),0),
IF('TL10'!$B$229=O$3,SUMIF('TL10'!$C$238:$C$451,$C268,'TL10'!$J$238:$J$451),0),
IF('TL11'!$B$3=O$3,SUMIF('TL11'!$C$10:$C$224,$C268,'TL11'!$J$10:$J$224),0),
IF('TL11'!$B$229=O$3,SUMIF('TL11'!$C$238:$C$451,$C268,'TL11'!$J$238:$J$451),0),
IF('TL12'!$B$3=O$3,SUMIF('TL12'!$C$10:$C$224,$C268,'TL12'!$J$10:$J$224),0),
IF('TL12'!$B$229=O$3,SUMIF('TL12'!$C$238:$C$451,$C268,'TL12'!$J$238:$J$451),0),
IF('TL13'!$B$3=O$3,SUMIF('TL13'!$C$10:$C$224,$C268,'TL13'!$J$10:$J$224),0),
IF('TL13'!$B$229=O$3,SUMIF('TL13'!$C$238:$C$451,$C268,'TL13'!$J$238:$J$451),0),
IF('TL14'!$B$3=O$3,SUMIF('TL14'!$C$10:$C$224,$C268,'TL14'!$J$10:$J$224),0),
IF('TL14'!$B$229=O$3,SUMIF('TL14'!$C$238:$C$451,$C268,'TL14'!$J$238:$J$451),0),
IF('TL15'!$B$3=O$3,SUMIF('TL15'!$C$10:$C$224,$C268,'TL15'!$J$10:$J$224),0),
IF('TL15'!$B$229=O$3,SUMIF('TL15'!$C$238:$C$451,$C268,'TL15'!$J$238:$J$451),0),
IF('TL16'!$B$3=O$3,SUMIF('TL16'!$C$10:$C$224,$C268,'TL16'!$J$10:$J$224),0),
IF('TL16'!$B$229=O$3,SUMIF('TL16'!$C$238:$C$451,$C268,'TL16'!$J$238:$J$451),0),
IF('TL17'!$B$3=O$3,SUMIF('TL17'!$C$10:$C$224,$C268,'TL17'!$J$10:$J$224),0),
IF('TL17'!$B$229=O$3,SUMIF('TL17'!$C$238:$C$451,$C268,'TL17'!$J$238:$J$451),0),
IF('TL18'!$B$3=O$3,SUMIF('TL18'!$C$10:$C$224,$C268,'TL18'!$J$10:$J$224),0),
IF('TL18'!$B$229=O$3,SUMIF('TL18'!$C$238:$C$451,$C268,'TL18'!$J$238:$J$451),0),
IF('TL19'!$B$3=O$3,SUMIF('TL19'!$C$10:$C$224,$C268,'TL19'!$J$10:$J$224),0),
IF('TL19'!$B$229=O$3,SUMIF('TL19'!$C$238:$C$451,$C268,'TL19'!$J$238:$J$451),0)
),0)</f>
        <v/>
      </c>
      <c r="P268" s="9">
        <f>IFERROR(SUM(
IF('TL01'!$B$3=P$3,SUMIF('TL01'!$C$10:$C$224,$C268,'TL01'!$J$10:$J$224),0),
IF('TL01'!$B$229=P$3,SUMIF('TL01'!$C$238:$C$451,$C268,'TL01'!$J$238:$J$451),0),
IF('TL02'!$B$3=P$3,SUMIF('TL02'!$C$10:$C$224,$C268,'TL02'!$J$10:$J$224),0),
IF('TL02'!$B$229=P$3,SUMIF('TL02'!$C$238:$C$451,$C268,'TL02'!$J$238:$J$451),0),
IF('TL03'!$B$3=P$3,SUMIF('TL03'!$C$10:$C$224,$C268,'TL03'!$J$10:$J$224),0),
IF('TL03'!$B$229=P$3,SUMIF('TL03'!$C$238:$C$451,$C268,'TL03'!$J$238:$J$451),0),
IF('TL04'!$B$3=P$3,SUMIF('TL04'!$C$10:$C$224,$C268,'TL04'!$J$10:$J$224),0),
IF('TL04'!$B$229=P$3,SUMIF('TL04'!$C$238:$C$451,$C268,'TL04'!$J$238:$J$451),0),
IF('TL05'!$B$3=P$3,SUMIF('TL05'!$C$10:$C$224,$C268,'TL05'!$J$10:$J$224),0),
IF('TL05'!$B$229=P$3,SUMIF('TL05'!$C$238:$C$451,$C268,'TL05'!$J$238:$J$451),0),
IF('TL06'!$B$3=P$3,SUMIF('TL06'!$C$10:$C$224,$C268,'TL06'!$J$10:$J$224),0),
IF('TL06'!$B$229=P$3,SUMIF('TL06'!$C$238:$C$451,$C268,'TL06'!$J$238:$J$451),0),
IF('TL07'!$B$3=P$3,SUMIF('TL07'!$C$10:$C$224,$C268,'TL07'!$J$10:$J$224),0),
IF('TL07'!$B$229=P$3,SUMIF('TL07'!$C$238:$C$451,$C268,'TL07'!$J$238:$J$451),0),
IF('TL08'!$B$3=P$3,SUMIF('TL08'!$C$10:$C$224,$C268,'TL08'!$J$10:$J$224),0),
IF('TL08'!$B$229=P$3,SUMIF('TL08'!$C$238:$C$451,$C268,'TL08'!$J$238:$J$451),0),
IF('TL09'!$B$3=P$3,SUMIF('TL09'!$C$10:$C$224,$C268,'TL09'!$J$10:$J$224),0),
IF('TL09'!$B$229=P$3,SUMIF('TL09'!$C$238:$C$451,$C268,'TL09'!$J$238:$J$451),0),
IF('TL10'!$B$3=P$3,SUMIF('TL10'!$C$10:$C$224,$C268,'TL10'!$J$10:$J$224),0),
IF('TL10'!$B$229=P$3,SUMIF('TL10'!$C$238:$C$451,$C268,'TL10'!$J$238:$J$451),0),
IF('TL11'!$B$3=P$3,SUMIF('TL11'!$C$10:$C$224,$C268,'TL11'!$J$10:$J$224),0),
IF('TL11'!$B$229=P$3,SUMIF('TL11'!$C$238:$C$451,$C268,'TL11'!$J$238:$J$451),0),
IF('TL12'!$B$3=P$3,SUMIF('TL12'!$C$10:$C$224,$C268,'TL12'!$J$10:$J$224),0),
IF('TL12'!$B$229=P$3,SUMIF('TL12'!$C$238:$C$451,$C268,'TL12'!$J$238:$J$451),0),
IF('TL13'!$B$3=P$3,SUMIF('TL13'!$C$10:$C$224,$C268,'TL13'!$J$10:$J$224),0),
IF('TL13'!$B$229=P$3,SUMIF('TL13'!$C$238:$C$451,$C268,'TL13'!$J$238:$J$451),0),
IF('TL14'!$B$3=P$3,SUMIF('TL14'!$C$10:$C$224,$C268,'TL14'!$J$10:$J$224),0),
IF('TL14'!$B$229=P$3,SUMIF('TL14'!$C$238:$C$451,$C268,'TL14'!$J$238:$J$451),0),
IF('TL15'!$B$3=P$3,SUMIF('TL15'!$C$10:$C$224,$C268,'TL15'!$J$10:$J$224),0),
IF('TL15'!$B$229=P$3,SUMIF('TL15'!$C$238:$C$451,$C268,'TL15'!$J$238:$J$451),0),
IF('TL16'!$B$3=P$3,SUMIF('TL16'!$C$10:$C$224,$C268,'TL16'!$J$10:$J$224),0),
IF('TL16'!$B$229=P$3,SUMIF('TL16'!$C$238:$C$451,$C268,'TL16'!$J$238:$J$451),0),
IF('TL17'!$B$3=P$3,SUMIF('TL17'!$C$10:$C$224,$C268,'TL17'!$J$10:$J$224),0),
IF('TL17'!$B$229=P$3,SUMIF('TL17'!$C$238:$C$451,$C268,'TL17'!$J$238:$J$451),0),
IF('TL18'!$B$3=P$3,SUMIF('TL18'!$C$10:$C$224,$C268,'TL18'!$J$10:$J$224),0),
IF('TL18'!$B$229=P$3,SUMIF('TL18'!$C$238:$C$451,$C268,'TL18'!$J$238:$J$451),0),
IF('TL19'!$B$3=P$3,SUMIF('TL19'!$C$10:$C$224,$C268,'TL19'!$J$10:$J$224),0),
IF('TL19'!$B$229=P$3,SUMIF('TL19'!$C$238:$C$451,$C268,'TL19'!$J$238:$J$451),0)
),0)</f>
        <v/>
      </c>
      <c r="Q268" s="9">
        <f>IFERROR(SUM(
IF('TL01'!$B$3=Q$3,SUMIF('TL01'!$C$10:$C$224,$C268,'TL01'!$J$10:$J$224),0),
IF('TL01'!$B$229=Q$3,SUMIF('TL01'!$C$238:$C$451,$C268,'TL01'!$J$238:$J$451),0),
IF('TL02'!$B$3=Q$3,SUMIF('TL02'!$C$10:$C$224,$C268,'TL02'!$J$10:$J$224),0),
IF('TL02'!$B$229=Q$3,SUMIF('TL02'!$C$238:$C$451,$C268,'TL02'!$J$238:$J$451),0),
IF('TL03'!$B$3=Q$3,SUMIF('TL03'!$C$10:$C$224,$C268,'TL03'!$J$10:$J$224),0),
IF('TL03'!$B$229=Q$3,SUMIF('TL03'!$C$238:$C$451,$C268,'TL03'!$J$238:$J$451),0),
IF('TL04'!$B$3=Q$3,SUMIF('TL04'!$C$10:$C$224,$C268,'TL04'!$J$10:$J$224),0),
IF('TL04'!$B$229=Q$3,SUMIF('TL04'!$C$238:$C$451,$C268,'TL04'!$J$238:$J$451),0),
IF('TL05'!$B$3=Q$3,SUMIF('TL05'!$C$10:$C$224,$C268,'TL05'!$J$10:$J$224),0),
IF('TL05'!$B$229=Q$3,SUMIF('TL05'!$C$238:$C$451,$C268,'TL05'!$J$238:$J$451),0),
IF('TL06'!$B$3=Q$3,SUMIF('TL06'!$C$10:$C$224,$C268,'TL06'!$J$10:$J$224),0),
IF('TL06'!$B$229=Q$3,SUMIF('TL06'!$C$238:$C$451,$C268,'TL06'!$J$238:$J$451),0),
IF('TL07'!$B$3=Q$3,SUMIF('TL07'!$C$10:$C$224,$C268,'TL07'!$J$10:$J$224),0),
IF('TL07'!$B$229=Q$3,SUMIF('TL07'!$C$238:$C$451,$C268,'TL07'!$J$238:$J$451),0),
IF('TL08'!$B$3=Q$3,SUMIF('TL08'!$C$10:$C$224,$C268,'TL08'!$J$10:$J$224),0),
IF('TL08'!$B$229=Q$3,SUMIF('TL08'!$C$238:$C$451,$C268,'TL08'!$J$238:$J$451),0),
IF('TL09'!$B$3=Q$3,SUMIF('TL09'!$C$10:$C$224,$C268,'TL09'!$J$10:$J$224),0),
IF('TL09'!$B$229=Q$3,SUMIF('TL09'!$C$238:$C$451,$C268,'TL09'!$J$238:$J$451),0),
IF('TL10'!$B$3=Q$3,SUMIF('TL10'!$C$10:$C$224,$C268,'TL10'!$J$10:$J$224),0),
IF('TL10'!$B$229=Q$3,SUMIF('TL10'!$C$238:$C$451,$C268,'TL10'!$J$238:$J$451),0),
IF('TL11'!$B$3=Q$3,SUMIF('TL11'!$C$10:$C$224,$C268,'TL11'!$J$10:$J$224),0),
IF('TL11'!$B$229=Q$3,SUMIF('TL11'!$C$238:$C$451,$C268,'TL11'!$J$238:$J$451),0),
IF('TL12'!$B$3=Q$3,SUMIF('TL12'!$C$10:$C$224,$C268,'TL12'!$J$10:$J$224),0),
IF('TL12'!$B$229=Q$3,SUMIF('TL12'!$C$238:$C$451,$C268,'TL12'!$J$238:$J$451),0),
IF('TL13'!$B$3=Q$3,SUMIF('TL13'!$C$10:$C$224,$C268,'TL13'!$J$10:$J$224),0),
IF('TL13'!$B$229=Q$3,SUMIF('TL13'!$C$238:$C$451,$C268,'TL13'!$J$238:$J$451),0),
IF('TL14'!$B$3=Q$3,SUMIF('TL14'!$C$10:$C$224,$C268,'TL14'!$J$10:$J$224),0),
IF('TL14'!$B$229=Q$3,SUMIF('TL14'!$C$238:$C$451,$C268,'TL14'!$J$238:$J$451),0),
IF('TL15'!$B$3=Q$3,SUMIF('TL15'!$C$10:$C$224,$C268,'TL15'!$J$10:$J$224),0),
IF('TL15'!$B$229=Q$3,SUMIF('TL15'!$C$238:$C$451,$C268,'TL15'!$J$238:$J$451),0),
IF('TL16'!$B$3=Q$3,SUMIF('TL16'!$C$10:$C$224,$C268,'TL16'!$J$10:$J$224),0),
IF('TL16'!$B$229=Q$3,SUMIF('TL16'!$C$238:$C$451,$C268,'TL16'!$J$238:$J$451),0),
IF('TL17'!$B$3=Q$3,SUMIF('TL17'!$C$10:$C$224,$C268,'TL17'!$J$10:$J$224),0),
IF('TL17'!$B$229=Q$3,SUMIF('TL17'!$C$238:$C$451,$C268,'TL17'!$J$238:$J$451),0),
IF('TL18'!$B$3=Q$3,SUMIF('TL18'!$C$10:$C$224,$C268,'TL18'!$J$10:$J$224),0),
IF('TL18'!$B$229=Q$3,SUMIF('TL18'!$C$238:$C$451,$C268,'TL18'!$J$238:$J$451),0),
IF('TL19'!$B$3=Q$3,SUMIF('TL19'!$C$10:$C$224,$C268,'TL19'!$J$10:$J$224),0),
IF('TL19'!$B$229=Q$3,SUMIF('TL19'!$C$238:$C$451,$C268,'TL19'!$J$238:$J$451),0)
),0)</f>
        <v/>
      </c>
      <c r="R268" s="9">
        <f>IFERROR(
SUM(
SUMIF('TL01'!C:C,C268,'TL01'!J:J),
SUMIF('TL02'!C:C,C268,'TL02'!J:J),
SUMIF('TL03'!C:C,C268,'TL03'!J:J),
SUMIF('TL04'!C:C,C268,'TL04'!J:J),
SUMIF('TL05'!C:C,C268,'TL05'!J:J),
SUMIF('TL06'!C:C,C268,'TL06'!J:J),
SUMIF('TL07'!C:C,C268,'TL07'!J:J),
SUMIF('TL08'!C:C,C268,'TL08'!J:J),
SUMIF('TL09'!C:C,C268,'TL09'!J:J),
SUMIF('TL10'!C:C,C268,'TL10'!J:J),
SUMIF('TL11'!C:C,C268,'TL11'!J:J),
SUMIF('TL12'!C:C,C268,'TL12'!J:J),
SUMIF('TL13'!C:C,C268,'TL13'!J:J),
SUMIF('TL14'!C:C,C268,'TL14'!J:J),
SUMIF('TL15'!C:C,C268,'TL15'!J:J),
SUMIF('TL16'!C:C,C268,'TL16'!J:J),
SUMIF('TL17'!C:C,C268,'TL17'!J:J),
SUMIF('TL18'!C:C,C268,'TL18'!J:J),SUMIF('TL19'!C:C,C268,'TL19'!J:J))
,0)</f>
        <v/>
      </c>
      <c r="S268" s="17">
        <f>IFERROR(__xludf.DUMMYFUNCTION("IFERROR(VLOOKUP(C268,
IMPORTRANGE(""1wULbzX32WdYsx-lj2U3uUNBBe2INVIRDtcK0d-Dvl90"",
""26-27!C:G""),
5,
FALSE),
"""")"),"")</f>
        <v/>
      </c>
      <c r="T268" s="9" t="n"/>
      <c r="U268" s="92">
        <f>MAX(0,R268-T268)</f>
        <v/>
      </c>
      <c r="V268" s="93">
        <f>U268*S268</f>
        <v/>
      </c>
    </row>
    <row r="269" hidden="1" ht="15.75" customHeight="1" s="297">
      <c r="A269" s="4" t="inlineStr">
        <is>
          <t>GRAN7</t>
        </is>
      </c>
      <c r="B269" s="125" t="inlineStr">
        <is>
          <t>NUTRIÇÃO</t>
        </is>
      </c>
      <c r="C269" s="4" t="inlineStr">
        <is>
          <t>BRAVERO</t>
        </is>
      </c>
      <c r="D269" s="4" t="inlineStr">
        <is>
          <t>Co1%; Mo10%; Ni1%</t>
        </is>
      </c>
      <c r="E269" s="9" t="n"/>
      <c r="F269" s="4" t="inlineStr">
        <is>
          <t>L</t>
        </is>
      </c>
      <c r="G269" s="9" t="n"/>
      <c r="H269" s="9" t="n">
        <v>0.2</v>
      </c>
      <c r="I269" s="1" t="n"/>
      <c r="J269" s="9">
        <f>IFERROR(SUM(
IF('TL01'!$B$3=J$3,SUMIF('TL01'!$C$10:$C$224,$C269,'TL01'!$J$10:$J$224),0),
IF('TL01'!$B$229=J$3,SUMIF('TL01'!$C$238:$C$451,$C269,'TL01'!$J$238:$J$451),0),
IF('TL02'!$B$3=J$3,SUMIF('TL02'!$C$10:$C$224,$C269,'TL02'!$J$10:$J$224),0),
IF('TL02'!$B$229=J$3,SUMIF('TL02'!$C$238:$C$451,$C269,'TL02'!$J$238:$J$451),0),
IF('TL03'!$B$3=J$3,SUMIF('TL03'!$C$10:$C$224,$C269,'TL03'!$J$10:$J$224),0),
IF('TL03'!$B$229=J$3,SUMIF('TL03'!$C$238:$C$451,$C269,'TL03'!$J$238:$J$451),0),
IF('TL04'!$B$3=J$3,SUMIF('TL04'!$C$10:$C$224,$C269,'TL04'!$J$10:$J$224),0),
IF('TL04'!$B$229=J$3,SUMIF('TL04'!$C$238:$C$451,$C269,'TL04'!$J$238:$J$451),0),
IF('TL05'!$B$3=J$3,SUMIF('TL05'!$C$10:$C$224,$C269,'TL05'!$J$10:$J$224),0),
IF('TL05'!$B$229=J$3,SUMIF('TL05'!$C$238:$C$451,$C269,'TL05'!$J$238:$J$451),0),
IF('TL06'!$B$3=J$3,SUMIF('TL06'!$C$10:$C$224,$C269,'TL06'!$J$10:$J$224),0),
IF('TL06'!$B$229=J$3,SUMIF('TL06'!$C$238:$C$451,$C269,'TL06'!$J$238:$J$451),0),
IF('TL07'!$B$3=J$3,SUMIF('TL07'!$C$10:$C$224,$C269,'TL07'!$J$10:$J$224),0),
IF('TL07'!$B$229=J$3,SUMIF('TL07'!$C$238:$C$451,$C269,'TL07'!$J$238:$J$451),0),
IF('TL08'!$B$3=J$3,SUMIF('TL08'!$C$10:$C$224,$C269,'TL08'!$J$10:$J$224),0),
IF('TL08'!$B$229=J$3,SUMIF('TL08'!$C$238:$C$451,$C269,'TL08'!$J$238:$J$451),0),
IF('TL09'!$B$3=J$3,SUMIF('TL09'!$C$10:$C$224,$C269,'TL09'!$J$10:$J$224),0),
IF('TL09'!$B$229=J$3,SUMIF('TL09'!$C$238:$C$451,$C269,'TL09'!$J$238:$J$451),0),
IF('TL10'!$B$3=J$3,SUMIF('TL10'!$C$10:$C$224,$C269,'TL10'!$J$10:$J$224),0),
IF('TL10'!$B$229=J$3,SUMIF('TL10'!$C$238:$C$451,$C269,'TL10'!$J$238:$J$451),0),
IF('TL11'!$B$3=J$3,SUMIF('TL11'!$C$10:$C$224,$C269,'TL11'!$J$10:$J$224),0),
IF('TL11'!$B$229=J$3,SUMIF('TL11'!$C$238:$C$451,$C269,'TL11'!$J$238:$J$451),0),
IF('TL12'!$B$3=J$3,SUMIF('TL12'!$C$10:$C$224,$C269,'TL12'!$J$10:$J$224),0),
IF('TL12'!$B$229=J$3,SUMIF('TL12'!$C$238:$C$451,$C269,'TL12'!$J$238:$J$451),0),
IF('TL13'!$B$3=J$3,SUMIF('TL13'!$C$10:$C$224,$C269,'TL13'!$J$10:$J$224),0),
IF('TL13'!$B$229=J$3,SUMIF('TL13'!$C$238:$C$451,$C269,'TL13'!$J$238:$J$451),0),
IF('TL14'!$B$3=J$3,SUMIF('TL14'!$C$10:$C$224,$C269,'TL14'!$J$10:$J$224),0),
IF('TL14'!$B$229=J$3,SUMIF('TL14'!$C$238:$C$451,$C269,'TL14'!$J$238:$J$451),0),
IF('TL15'!$B$3=J$3,SUMIF('TL15'!$C$10:$C$224,$C269,'TL15'!$J$10:$J$224),0),
IF('TL15'!$B$229=J$3,SUMIF('TL15'!$C$238:$C$451,$C269,'TL15'!$J$238:$J$451),0),
IF('TL16'!$B$3=J$3,SUMIF('TL16'!$C$10:$C$224,$C269,'TL16'!$J$10:$J$224),0),
IF('TL16'!$B$229=J$3,SUMIF('TL16'!$C$238:$C$451,$C269,'TL16'!$J$238:$J$451),0),
IF('TL17'!$B$3=J$3,SUMIF('TL17'!$C$10:$C$224,$C269,'TL17'!$J$10:$J$224),0),
IF('TL17'!$B$229=J$3,SUMIF('TL17'!$C$238:$C$451,$C269,'TL17'!$J$238:$J$451),0),
IF('TL18'!$B$3=J$3,SUMIF('TL18'!$C$10:$C$224,$C269,'TL18'!$J$10:$J$224),0),
IF('TL18'!$B$229=J$3,SUMIF('TL18'!$C$238:$C$451,$C269,'TL18'!$J$238:$J$451),0),
IF('TL19'!$B$3=J$3,SUMIF('TL19'!$C$10:$C$224,$C269,'TL19'!$J$10:$J$224),0),
IF('TL19'!$B$229=J$3,SUMIF('TL19'!$C$238:$C$451,$C269,'TL19'!$J$238:$J$451),0)
),0)</f>
        <v/>
      </c>
      <c r="K269" s="9">
        <f>IFERROR(SUM(
IF('TL01'!$B$3=K$3,SUMIF('TL01'!$C$10:$C$224,$C269,'TL01'!$J$10:$J$224),0),
IF('TL01'!$B$229=K$3,SUMIF('TL01'!$C$238:$C$451,$C269,'TL01'!$J$238:$J$451),0),
IF('TL02'!$B$3=K$3,SUMIF('TL02'!$C$10:$C$224,$C269,'TL02'!$J$10:$J$224),0),
IF('TL02'!$B$229=K$3,SUMIF('TL02'!$C$238:$C$451,$C269,'TL02'!$J$238:$J$451),0),
IF('TL03'!$B$3=K$3,SUMIF('TL03'!$C$10:$C$224,$C269,'TL03'!$J$10:$J$224),0),
IF('TL03'!$B$229=K$3,SUMIF('TL03'!$C$238:$C$451,$C269,'TL03'!$J$238:$J$451),0),
IF('TL04'!$B$3=K$3,SUMIF('TL04'!$C$10:$C$224,$C269,'TL04'!$J$10:$J$224),0),
IF('TL04'!$B$229=K$3,SUMIF('TL04'!$C$238:$C$451,$C269,'TL04'!$J$238:$J$451),0),
IF('TL05'!$B$3=K$3,SUMIF('TL05'!$C$10:$C$224,$C269,'TL05'!$J$10:$J$224),0),
IF('TL05'!$B$229=K$3,SUMIF('TL05'!$C$238:$C$451,$C269,'TL05'!$J$238:$J$451),0),
IF('TL06'!$B$3=K$3,SUMIF('TL06'!$C$10:$C$224,$C269,'TL06'!$J$10:$J$224),0),
IF('TL06'!$B$229=K$3,SUMIF('TL06'!$C$238:$C$451,$C269,'TL06'!$J$238:$J$451),0),
IF('TL07'!$B$3=K$3,SUMIF('TL07'!$C$10:$C$224,$C269,'TL07'!$J$10:$J$224),0),
IF('TL07'!$B$229=K$3,SUMIF('TL07'!$C$238:$C$451,$C269,'TL07'!$J$238:$J$451),0),
IF('TL08'!$B$3=K$3,SUMIF('TL08'!$C$10:$C$224,$C269,'TL08'!$J$10:$J$224),0),
IF('TL08'!$B$229=K$3,SUMIF('TL08'!$C$238:$C$451,$C269,'TL08'!$J$238:$J$451),0),
IF('TL09'!$B$3=K$3,SUMIF('TL09'!$C$10:$C$224,$C269,'TL09'!$J$10:$J$224),0),
IF('TL09'!$B$229=K$3,SUMIF('TL09'!$C$238:$C$451,$C269,'TL09'!$J$238:$J$451),0),
IF('TL10'!$B$3=K$3,SUMIF('TL10'!$C$10:$C$224,$C269,'TL10'!$J$10:$J$224),0),
IF('TL10'!$B$229=K$3,SUMIF('TL10'!$C$238:$C$451,$C269,'TL10'!$J$238:$J$451),0),
IF('TL11'!$B$3=K$3,SUMIF('TL11'!$C$10:$C$224,$C269,'TL11'!$J$10:$J$224),0),
IF('TL11'!$B$229=K$3,SUMIF('TL11'!$C$238:$C$451,$C269,'TL11'!$J$238:$J$451),0),
IF('TL12'!$B$3=K$3,SUMIF('TL12'!$C$10:$C$224,$C269,'TL12'!$J$10:$J$224),0),
IF('TL12'!$B$229=K$3,SUMIF('TL12'!$C$238:$C$451,$C269,'TL12'!$J$238:$J$451),0),
IF('TL13'!$B$3=K$3,SUMIF('TL13'!$C$10:$C$224,$C269,'TL13'!$J$10:$J$224),0),
IF('TL13'!$B$229=K$3,SUMIF('TL13'!$C$238:$C$451,$C269,'TL13'!$J$238:$J$451),0),
IF('TL14'!$B$3=K$3,SUMIF('TL14'!$C$10:$C$224,$C269,'TL14'!$J$10:$J$224),0),
IF('TL14'!$B$229=K$3,SUMIF('TL14'!$C$238:$C$451,$C269,'TL14'!$J$238:$J$451),0),
IF('TL15'!$B$3=K$3,SUMIF('TL15'!$C$10:$C$224,$C269,'TL15'!$J$10:$J$224),0),
IF('TL15'!$B$229=K$3,SUMIF('TL15'!$C$238:$C$451,$C269,'TL15'!$J$238:$J$451),0),
IF('TL16'!$B$3=K$3,SUMIF('TL16'!$C$10:$C$224,$C269,'TL16'!$J$10:$J$224),0),
IF('TL16'!$B$229=K$3,SUMIF('TL16'!$C$238:$C$451,$C269,'TL16'!$J$238:$J$451),0),
IF('TL17'!$B$3=K$3,SUMIF('TL17'!$C$10:$C$224,$C269,'TL17'!$J$10:$J$224),0),
IF('TL17'!$B$229=K$3,SUMIF('TL17'!$C$238:$C$451,$C269,'TL17'!$J$238:$J$451),0),
IF('TL18'!$B$3=K$3,SUMIF('TL18'!$C$10:$C$224,$C269,'TL18'!$J$10:$J$224),0),
IF('TL18'!$B$229=K$3,SUMIF('TL18'!$C$238:$C$451,$C269,'TL18'!$J$238:$J$451),0),
IF('TL19'!$B$3=K$3,SUMIF('TL19'!$C$10:$C$224,$C269,'TL19'!$J$10:$J$224),0),
IF('TL19'!$B$229=K$3,SUMIF('TL19'!$C$238:$C$451,$C269,'TL19'!$J$238:$J$451),0)
),0)</f>
        <v/>
      </c>
      <c r="L269" s="9">
        <f>IFERROR(SUM(
IF('TL01'!$B$3=L$3,SUMIF('TL01'!$C$10:$C$224,$C269,'TL01'!$J$10:$J$224),0),
IF('TL01'!$B$229=L$3,SUMIF('TL01'!$C$238:$C$451,$C269,'TL01'!$J$238:$J$451),0),
IF('TL02'!$B$3=L$3,SUMIF('TL02'!$C$10:$C$224,$C269,'TL02'!$J$10:$J$224),0),
IF('TL02'!$B$229=L$3,SUMIF('TL02'!$C$238:$C$451,$C269,'TL02'!$J$238:$J$451),0),
IF('TL03'!$B$3=L$3,SUMIF('TL03'!$C$10:$C$224,$C269,'TL03'!$J$10:$J$224),0),
IF('TL03'!$B$229=L$3,SUMIF('TL03'!$C$238:$C$451,$C269,'TL03'!$J$238:$J$451),0),
IF('TL04'!$B$3=L$3,SUMIF('TL04'!$C$10:$C$224,$C269,'TL04'!$J$10:$J$224),0),
IF('TL04'!$B$229=L$3,SUMIF('TL04'!$C$238:$C$451,$C269,'TL04'!$J$238:$J$451),0),
IF('TL05'!$B$3=L$3,SUMIF('TL05'!$C$10:$C$224,$C269,'TL05'!$J$10:$J$224),0),
IF('TL05'!$B$229=L$3,SUMIF('TL05'!$C$238:$C$451,$C269,'TL05'!$J$238:$J$451),0),
IF('TL06'!$B$3=L$3,SUMIF('TL06'!$C$10:$C$224,$C269,'TL06'!$J$10:$J$224),0),
IF('TL06'!$B$229=L$3,SUMIF('TL06'!$C$238:$C$451,$C269,'TL06'!$J$238:$J$451),0),
IF('TL07'!$B$3=L$3,SUMIF('TL07'!$C$10:$C$224,$C269,'TL07'!$J$10:$J$224),0),
IF('TL07'!$B$229=L$3,SUMIF('TL07'!$C$238:$C$451,$C269,'TL07'!$J$238:$J$451),0),
IF('TL08'!$B$3=L$3,SUMIF('TL08'!$C$10:$C$224,$C269,'TL08'!$J$10:$J$224),0),
IF('TL08'!$B$229=L$3,SUMIF('TL08'!$C$238:$C$451,$C269,'TL08'!$J$238:$J$451),0),
IF('TL09'!$B$3=L$3,SUMIF('TL09'!$C$10:$C$224,$C269,'TL09'!$J$10:$J$224),0),
IF('TL09'!$B$229=L$3,SUMIF('TL09'!$C$238:$C$451,$C269,'TL09'!$J$238:$J$451),0),
IF('TL10'!$B$3=L$3,SUMIF('TL10'!$C$10:$C$224,$C269,'TL10'!$J$10:$J$224),0),
IF('TL10'!$B$229=L$3,SUMIF('TL10'!$C$238:$C$451,$C269,'TL10'!$J$238:$J$451),0),
IF('TL11'!$B$3=L$3,SUMIF('TL11'!$C$10:$C$224,$C269,'TL11'!$J$10:$J$224),0),
IF('TL11'!$B$229=L$3,SUMIF('TL11'!$C$238:$C$451,$C269,'TL11'!$J$238:$J$451),0),
IF('TL12'!$B$3=L$3,SUMIF('TL12'!$C$10:$C$224,$C269,'TL12'!$J$10:$J$224),0),
IF('TL12'!$B$229=L$3,SUMIF('TL12'!$C$238:$C$451,$C269,'TL12'!$J$238:$J$451),0),
IF('TL13'!$B$3=L$3,SUMIF('TL13'!$C$10:$C$224,$C269,'TL13'!$J$10:$J$224),0),
IF('TL13'!$B$229=L$3,SUMIF('TL13'!$C$238:$C$451,$C269,'TL13'!$J$238:$J$451),0),
IF('TL14'!$B$3=L$3,SUMIF('TL14'!$C$10:$C$224,$C269,'TL14'!$J$10:$J$224),0),
IF('TL14'!$B$229=L$3,SUMIF('TL14'!$C$238:$C$451,$C269,'TL14'!$J$238:$J$451),0),
IF('TL15'!$B$3=L$3,SUMIF('TL15'!$C$10:$C$224,$C269,'TL15'!$J$10:$J$224),0),
IF('TL15'!$B$229=L$3,SUMIF('TL15'!$C$238:$C$451,$C269,'TL15'!$J$238:$J$451),0),
IF('TL16'!$B$3=L$3,SUMIF('TL16'!$C$10:$C$224,$C269,'TL16'!$J$10:$J$224),0),
IF('TL16'!$B$229=L$3,SUMIF('TL16'!$C$238:$C$451,$C269,'TL16'!$J$238:$J$451),0),
IF('TL17'!$B$3=L$3,SUMIF('TL17'!$C$10:$C$224,$C269,'TL17'!$J$10:$J$224),0),
IF('TL17'!$B$229=L$3,SUMIF('TL17'!$C$238:$C$451,$C269,'TL17'!$J$238:$J$451),0),
IF('TL18'!$B$3=L$3,SUMIF('TL18'!$C$10:$C$224,$C269,'TL18'!$J$10:$J$224),0),
IF('TL18'!$B$229=L$3,SUMIF('TL18'!$C$238:$C$451,$C269,'TL18'!$J$238:$J$451),0),
IF('TL19'!$B$3=L$3,SUMIF('TL19'!$C$10:$C$224,$C269,'TL19'!$J$10:$J$224),0),
IF('TL19'!$B$229=L$3,SUMIF('TL19'!$C$238:$C$451,$C269,'TL19'!$J$238:$J$451),0)
),0)</f>
        <v/>
      </c>
      <c r="M269" s="9">
        <f>IFERROR(SUM(
IF('TL01'!$B$3=M$3,SUMIF('TL01'!$C$10:$C$224,$C269,'TL01'!$J$10:$J$224),0),
IF('TL01'!$B$229=M$3,SUMIF('TL01'!$C$238:$C$451,$C269,'TL01'!$J$238:$J$451),0),
IF('TL02'!$B$3=M$3,SUMIF('TL02'!$C$10:$C$224,$C269,'TL02'!$J$10:$J$224),0),
IF('TL02'!$B$229=M$3,SUMIF('TL02'!$C$238:$C$451,$C269,'TL02'!$J$238:$J$451),0),
IF('TL03'!$B$3=M$3,SUMIF('TL03'!$C$10:$C$224,$C269,'TL03'!$J$10:$J$224),0),
IF('TL03'!$B$229=M$3,SUMIF('TL03'!$C$238:$C$451,$C269,'TL03'!$J$238:$J$451),0),
IF('TL04'!$B$3=M$3,SUMIF('TL04'!$C$10:$C$224,$C269,'TL04'!$J$10:$J$224),0),
IF('TL04'!$B$229=M$3,SUMIF('TL04'!$C$238:$C$451,$C269,'TL04'!$J$238:$J$451),0),
IF('TL05'!$B$3=M$3,SUMIF('TL05'!$C$10:$C$224,$C269,'TL05'!$J$10:$J$224),0),
IF('TL05'!$B$229=M$3,SUMIF('TL05'!$C$238:$C$451,$C269,'TL05'!$J$238:$J$451),0),
IF('TL06'!$B$3=M$3,SUMIF('TL06'!$C$10:$C$224,$C269,'TL06'!$J$10:$J$224),0),
IF('TL06'!$B$229=M$3,SUMIF('TL06'!$C$238:$C$451,$C269,'TL06'!$J$238:$J$451),0),
IF('TL07'!$B$3=M$3,SUMIF('TL07'!$C$10:$C$224,$C269,'TL07'!$J$10:$J$224),0),
IF('TL07'!$B$229=M$3,SUMIF('TL07'!$C$238:$C$451,$C269,'TL07'!$J$238:$J$451),0),
IF('TL08'!$B$3=M$3,SUMIF('TL08'!$C$10:$C$224,$C269,'TL08'!$J$10:$J$224),0),
IF('TL08'!$B$229=M$3,SUMIF('TL08'!$C$238:$C$451,$C269,'TL08'!$J$238:$J$451),0),
IF('TL09'!$B$3=M$3,SUMIF('TL09'!$C$10:$C$224,$C269,'TL09'!$J$10:$J$224),0),
IF('TL09'!$B$229=M$3,SUMIF('TL09'!$C$238:$C$451,$C269,'TL09'!$J$238:$J$451),0),
IF('TL10'!$B$3=M$3,SUMIF('TL10'!$C$10:$C$224,$C269,'TL10'!$J$10:$J$224),0),
IF('TL10'!$B$229=M$3,SUMIF('TL10'!$C$238:$C$451,$C269,'TL10'!$J$238:$J$451),0),
IF('TL11'!$B$3=M$3,SUMIF('TL11'!$C$10:$C$224,$C269,'TL11'!$J$10:$J$224),0),
IF('TL11'!$B$229=M$3,SUMIF('TL11'!$C$238:$C$451,$C269,'TL11'!$J$238:$J$451),0),
IF('TL12'!$B$3=M$3,SUMIF('TL12'!$C$10:$C$224,$C269,'TL12'!$J$10:$J$224),0),
IF('TL12'!$B$229=M$3,SUMIF('TL12'!$C$238:$C$451,$C269,'TL12'!$J$238:$J$451),0),
IF('TL13'!$B$3=M$3,SUMIF('TL13'!$C$10:$C$224,$C269,'TL13'!$J$10:$J$224),0),
IF('TL13'!$B$229=M$3,SUMIF('TL13'!$C$238:$C$451,$C269,'TL13'!$J$238:$J$451),0),
IF('TL14'!$B$3=M$3,SUMIF('TL14'!$C$10:$C$224,$C269,'TL14'!$J$10:$J$224),0),
IF('TL14'!$B$229=M$3,SUMIF('TL14'!$C$238:$C$451,$C269,'TL14'!$J$238:$J$451),0),
IF('TL15'!$B$3=M$3,SUMIF('TL15'!$C$10:$C$224,$C269,'TL15'!$J$10:$J$224),0),
IF('TL15'!$B$229=M$3,SUMIF('TL15'!$C$238:$C$451,$C269,'TL15'!$J$238:$J$451),0),
IF('TL16'!$B$3=M$3,SUMIF('TL16'!$C$10:$C$224,$C269,'TL16'!$J$10:$J$224),0),
IF('TL16'!$B$229=M$3,SUMIF('TL16'!$C$238:$C$451,$C269,'TL16'!$J$238:$J$451),0),
IF('TL17'!$B$3=M$3,SUMIF('TL17'!$C$10:$C$224,$C269,'TL17'!$J$10:$J$224),0),
IF('TL17'!$B$229=M$3,SUMIF('TL17'!$C$238:$C$451,$C269,'TL17'!$J$238:$J$451),0),
IF('TL18'!$B$3=M$3,SUMIF('TL18'!$C$10:$C$224,$C269,'TL18'!$J$10:$J$224),0),
IF('TL18'!$B$229=M$3,SUMIF('TL18'!$C$238:$C$451,$C269,'TL18'!$J$238:$J$451),0),
IF('TL19'!$B$3=M$3,SUMIF('TL19'!$C$10:$C$224,$C269,'TL19'!$J$10:$J$224),0),
IF('TL19'!$B$229=M$3,SUMIF('TL19'!$C$238:$C$451,$C269,'TL19'!$J$238:$J$451),0)
),0)</f>
        <v/>
      </c>
      <c r="N269" s="9">
        <f>IFERROR(SUM(
IF('TL01'!$B$3=N$3,SUMIF('TL01'!$C$10:$C$224,$C269,'TL01'!$J$10:$J$224),0),
IF('TL01'!$B$229=N$3,SUMIF('TL01'!$C$238:$C$451,$C269,'TL01'!$J$238:$J$451),0),
IF('TL02'!$B$3=N$3,SUMIF('TL02'!$C$10:$C$224,$C269,'TL02'!$J$10:$J$224),0),
IF('TL02'!$B$229=N$3,SUMIF('TL02'!$C$238:$C$451,$C269,'TL02'!$J$238:$J$451),0),
IF('TL03'!$B$3=N$3,SUMIF('TL03'!$C$10:$C$224,$C269,'TL03'!$J$10:$J$224),0),
IF('TL03'!$B$229=N$3,SUMIF('TL03'!$C$238:$C$451,$C269,'TL03'!$J$238:$J$451),0),
IF('TL04'!$B$3=N$3,SUMIF('TL04'!$C$10:$C$224,$C269,'TL04'!$J$10:$J$224),0),
IF('TL04'!$B$229=N$3,SUMIF('TL04'!$C$238:$C$451,$C269,'TL04'!$J$238:$J$451),0),
IF('TL05'!$B$3=N$3,SUMIF('TL05'!$C$10:$C$224,$C269,'TL05'!$J$10:$J$224),0),
IF('TL05'!$B$229=N$3,SUMIF('TL05'!$C$238:$C$451,$C269,'TL05'!$J$238:$J$451),0),
IF('TL06'!$B$3=N$3,SUMIF('TL06'!$C$10:$C$224,$C269,'TL06'!$J$10:$J$224),0),
IF('TL06'!$B$229=N$3,SUMIF('TL06'!$C$238:$C$451,$C269,'TL06'!$J$238:$J$451),0),
IF('TL07'!$B$3=N$3,SUMIF('TL07'!$C$10:$C$224,$C269,'TL07'!$J$10:$J$224),0),
IF('TL07'!$B$229=N$3,SUMIF('TL07'!$C$238:$C$451,$C269,'TL07'!$J$238:$J$451),0),
IF('TL08'!$B$3=N$3,SUMIF('TL08'!$C$10:$C$224,$C269,'TL08'!$J$10:$J$224),0),
IF('TL08'!$B$229=N$3,SUMIF('TL08'!$C$238:$C$451,$C269,'TL08'!$J$238:$J$451),0),
IF('TL09'!$B$3=N$3,SUMIF('TL09'!$C$10:$C$224,$C269,'TL09'!$J$10:$J$224),0),
IF('TL09'!$B$229=N$3,SUMIF('TL09'!$C$238:$C$451,$C269,'TL09'!$J$238:$J$451),0),
IF('TL10'!$B$3=N$3,SUMIF('TL10'!$C$10:$C$224,$C269,'TL10'!$J$10:$J$224),0),
IF('TL10'!$B$229=N$3,SUMIF('TL10'!$C$238:$C$451,$C269,'TL10'!$J$238:$J$451),0),
IF('TL11'!$B$3=N$3,SUMIF('TL11'!$C$10:$C$224,$C269,'TL11'!$J$10:$J$224),0),
IF('TL11'!$B$229=N$3,SUMIF('TL11'!$C$238:$C$451,$C269,'TL11'!$J$238:$J$451),0),
IF('TL12'!$B$3=N$3,SUMIF('TL12'!$C$10:$C$224,$C269,'TL12'!$J$10:$J$224),0),
IF('TL12'!$B$229=N$3,SUMIF('TL12'!$C$238:$C$451,$C269,'TL12'!$J$238:$J$451),0),
IF('TL13'!$B$3=N$3,SUMIF('TL13'!$C$10:$C$224,$C269,'TL13'!$J$10:$J$224),0),
IF('TL13'!$B$229=N$3,SUMIF('TL13'!$C$238:$C$451,$C269,'TL13'!$J$238:$J$451),0),
IF('TL14'!$B$3=N$3,SUMIF('TL14'!$C$10:$C$224,$C269,'TL14'!$J$10:$J$224),0),
IF('TL14'!$B$229=N$3,SUMIF('TL14'!$C$238:$C$451,$C269,'TL14'!$J$238:$J$451),0),
IF('TL15'!$B$3=N$3,SUMIF('TL15'!$C$10:$C$224,$C269,'TL15'!$J$10:$J$224),0),
IF('TL15'!$B$229=N$3,SUMIF('TL15'!$C$238:$C$451,$C269,'TL15'!$J$238:$J$451),0),
IF('TL16'!$B$3=N$3,SUMIF('TL16'!$C$10:$C$224,$C269,'TL16'!$J$10:$J$224),0),
IF('TL16'!$B$229=N$3,SUMIF('TL16'!$C$238:$C$451,$C269,'TL16'!$J$238:$J$451),0),
IF('TL17'!$B$3=N$3,SUMIF('TL17'!$C$10:$C$224,$C269,'TL17'!$J$10:$J$224),0),
IF('TL17'!$B$229=N$3,SUMIF('TL17'!$C$238:$C$451,$C269,'TL17'!$J$238:$J$451),0),
IF('TL18'!$B$3=N$3,SUMIF('TL18'!$C$10:$C$224,$C269,'TL18'!$J$10:$J$224),0),
IF('TL18'!$B$229=N$3,SUMIF('TL18'!$C$238:$C$451,$C269,'TL18'!$J$238:$J$451),0),
IF('TL19'!$B$3=N$3,SUMIF('TL19'!$C$10:$C$224,$C269,'TL19'!$J$10:$J$224),0),
IF('TL19'!$B$229=N$3,SUMIF('TL19'!$C$238:$C$451,$C269,'TL19'!$J$238:$J$451),0)
),0)</f>
        <v/>
      </c>
      <c r="O269" s="9">
        <f>IFERROR(SUM(
IF('TL01'!$B$3=O$3,SUMIF('TL01'!$C$10:$C$224,$C269,'TL01'!$J$10:$J$224),0),
IF('TL01'!$B$229=O$3,SUMIF('TL01'!$C$238:$C$451,$C269,'TL01'!$J$238:$J$451),0),
IF('TL02'!$B$3=O$3,SUMIF('TL02'!$C$10:$C$224,$C269,'TL02'!$J$10:$J$224),0),
IF('TL02'!$B$229=O$3,SUMIF('TL02'!$C$238:$C$451,$C269,'TL02'!$J$238:$J$451),0),
IF('TL03'!$B$3=O$3,SUMIF('TL03'!$C$10:$C$224,$C269,'TL03'!$J$10:$J$224),0),
IF('TL03'!$B$229=O$3,SUMIF('TL03'!$C$238:$C$451,$C269,'TL03'!$J$238:$J$451),0),
IF('TL04'!$B$3=O$3,SUMIF('TL04'!$C$10:$C$224,$C269,'TL04'!$J$10:$J$224),0),
IF('TL04'!$B$229=O$3,SUMIF('TL04'!$C$238:$C$451,$C269,'TL04'!$J$238:$J$451),0),
IF('TL05'!$B$3=O$3,SUMIF('TL05'!$C$10:$C$224,$C269,'TL05'!$J$10:$J$224),0),
IF('TL05'!$B$229=O$3,SUMIF('TL05'!$C$238:$C$451,$C269,'TL05'!$J$238:$J$451),0),
IF('TL06'!$B$3=O$3,SUMIF('TL06'!$C$10:$C$224,$C269,'TL06'!$J$10:$J$224),0),
IF('TL06'!$B$229=O$3,SUMIF('TL06'!$C$238:$C$451,$C269,'TL06'!$J$238:$J$451),0),
IF('TL07'!$B$3=O$3,SUMIF('TL07'!$C$10:$C$224,$C269,'TL07'!$J$10:$J$224),0),
IF('TL07'!$B$229=O$3,SUMIF('TL07'!$C$238:$C$451,$C269,'TL07'!$J$238:$J$451),0),
IF('TL08'!$B$3=O$3,SUMIF('TL08'!$C$10:$C$224,$C269,'TL08'!$J$10:$J$224),0),
IF('TL08'!$B$229=O$3,SUMIF('TL08'!$C$238:$C$451,$C269,'TL08'!$J$238:$J$451),0),
IF('TL09'!$B$3=O$3,SUMIF('TL09'!$C$10:$C$224,$C269,'TL09'!$J$10:$J$224),0),
IF('TL09'!$B$229=O$3,SUMIF('TL09'!$C$238:$C$451,$C269,'TL09'!$J$238:$J$451),0),
IF('TL10'!$B$3=O$3,SUMIF('TL10'!$C$10:$C$224,$C269,'TL10'!$J$10:$J$224),0),
IF('TL10'!$B$229=O$3,SUMIF('TL10'!$C$238:$C$451,$C269,'TL10'!$J$238:$J$451),0),
IF('TL11'!$B$3=O$3,SUMIF('TL11'!$C$10:$C$224,$C269,'TL11'!$J$10:$J$224),0),
IF('TL11'!$B$229=O$3,SUMIF('TL11'!$C$238:$C$451,$C269,'TL11'!$J$238:$J$451),0),
IF('TL12'!$B$3=O$3,SUMIF('TL12'!$C$10:$C$224,$C269,'TL12'!$J$10:$J$224),0),
IF('TL12'!$B$229=O$3,SUMIF('TL12'!$C$238:$C$451,$C269,'TL12'!$J$238:$J$451),0),
IF('TL13'!$B$3=O$3,SUMIF('TL13'!$C$10:$C$224,$C269,'TL13'!$J$10:$J$224),0),
IF('TL13'!$B$229=O$3,SUMIF('TL13'!$C$238:$C$451,$C269,'TL13'!$J$238:$J$451),0),
IF('TL14'!$B$3=O$3,SUMIF('TL14'!$C$10:$C$224,$C269,'TL14'!$J$10:$J$224),0),
IF('TL14'!$B$229=O$3,SUMIF('TL14'!$C$238:$C$451,$C269,'TL14'!$J$238:$J$451),0),
IF('TL15'!$B$3=O$3,SUMIF('TL15'!$C$10:$C$224,$C269,'TL15'!$J$10:$J$224),0),
IF('TL15'!$B$229=O$3,SUMIF('TL15'!$C$238:$C$451,$C269,'TL15'!$J$238:$J$451),0),
IF('TL16'!$B$3=O$3,SUMIF('TL16'!$C$10:$C$224,$C269,'TL16'!$J$10:$J$224),0),
IF('TL16'!$B$229=O$3,SUMIF('TL16'!$C$238:$C$451,$C269,'TL16'!$J$238:$J$451),0),
IF('TL17'!$B$3=O$3,SUMIF('TL17'!$C$10:$C$224,$C269,'TL17'!$J$10:$J$224),0),
IF('TL17'!$B$229=O$3,SUMIF('TL17'!$C$238:$C$451,$C269,'TL17'!$J$238:$J$451),0),
IF('TL18'!$B$3=O$3,SUMIF('TL18'!$C$10:$C$224,$C269,'TL18'!$J$10:$J$224),0),
IF('TL18'!$B$229=O$3,SUMIF('TL18'!$C$238:$C$451,$C269,'TL18'!$J$238:$J$451),0),
IF('TL19'!$B$3=O$3,SUMIF('TL19'!$C$10:$C$224,$C269,'TL19'!$J$10:$J$224),0),
IF('TL19'!$B$229=O$3,SUMIF('TL19'!$C$238:$C$451,$C269,'TL19'!$J$238:$J$451),0)
),0)</f>
        <v/>
      </c>
      <c r="P269" s="9">
        <f>IFERROR(SUM(
IF('TL01'!$B$3=P$3,SUMIF('TL01'!$C$10:$C$224,$C269,'TL01'!$J$10:$J$224),0),
IF('TL01'!$B$229=P$3,SUMIF('TL01'!$C$238:$C$451,$C269,'TL01'!$J$238:$J$451),0),
IF('TL02'!$B$3=P$3,SUMIF('TL02'!$C$10:$C$224,$C269,'TL02'!$J$10:$J$224),0),
IF('TL02'!$B$229=P$3,SUMIF('TL02'!$C$238:$C$451,$C269,'TL02'!$J$238:$J$451),0),
IF('TL03'!$B$3=P$3,SUMIF('TL03'!$C$10:$C$224,$C269,'TL03'!$J$10:$J$224),0),
IF('TL03'!$B$229=P$3,SUMIF('TL03'!$C$238:$C$451,$C269,'TL03'!$J$238:$J$451),0),
IF('TL04'!$B$3=P$3,SUMIF('TL04'!$C$10:$C$224,$C269,'TL04'!$J$10:$J$224),0),
IF('TL04'!$B$229=P$3,SUMIF('TL04'!$C$238:$C$451,$C269,'TL04'!$J$238:$J$451),0),
IF('TL05'!$B$3=P$3,SUMIF('TL05'!$C$10:$C$224,$C269,'TL05'!$J$10:$J$224),0),
IF('TL05'!$B$229=P$3,SUMIF('TL05'!$C$238:$C$451,$C269,'TL05'!$J$238:$J$451),0),
IF('TL06'!$B$3=P$3,SUMIF('TL06'!$C$10:$C$224,$C269,'TL06'!$J$10:$J$224),0),
IF('TL06'!$B$229=P$3,SUMIF('TL06'!$C$238:$C$451,$C269,'TL06'!$J$238:$J$451),0),
IF('TL07'!$B$3=P$3,SUMIF('TL07'!$C$10:$C$224,$C269,'TL07'!$J$10:$J$224),0),
IF('TL07'!$B$229=P$3,SUMIF('TL07'!$C$238:$C$451,$C269,'TL07'!$J$238:$J$451),0),
IF('TL08'!$B$3=P$3,SUMIF('TL08'!$C$10:$C$224,$C269,'TL08'!$J$10:$J$224),0),
IF('TL08'!$B$229=P$3,SUMIF('TL08'!$C$238:$C$451,$C269,'TL08'!$J$238:$J$451),0),
IF('TL09'!$B$3=P$3,SUMIF('TL09'!$C$10:$C$224,$C269,'TL09'!$J$10:$J$224),0),
IF('TL09'!$B$229=P$3,SUMIF('TL09'!$C$238:$C$451,$C269,'TL09'!$J$238:$J$451),0),
IF('TL10'!$B$3=P$3,SUMIF('TL10'!$C$10:$C$224,$C269,'TL10'!$J$10:$J$224),0),
IF('TL10'!$B$229=P$3,SUMIF('TL10'!$C$238:$C$451,$C269,'TL10'!$J$238:$J$451),0),
IF('TL11'!$B$3=P$3,SUMIF('TL11'!$C$10:$C$224,$C269,'TL11'!$J$10:$J$224),0),
IF('TL11'!$B$229=P$3,SUMIF('TL11'!$C$238:$C$451,$C269,'TL11'!$J$238:$J$451),0),
IF('TL12'!$B$3=P$3,SUMIF('TL12'!$C$10:$C$224,$C269,'TL12'!$J$10:$J$224),0),
IF('TL12'!$B$229=P$3,SUMIF('TL12'!$C$238:$C$451,$C269,'TL12'!$J$238:$J$451),0),
IF('TL13'!$B$3=P$3,SUMIF('TL13'!$C$10:$C$224,$C269,'TL13'!$J$10:$J$224),0),
IF('TL13'!$B$229=P$3,SUMIF('TL13'!$C$238:$C$451,$C269,'TL13'!$J$238:$J$451),0),
IF('TL14'!$B$3=P$3,SUMIF('TL14'!$C$10:$C$224,$C269,'TL14'!$J$10:$J$224),0),
IF('TL14'!$B$229=P$3,SUMIF('TL14'!$C$238:$C$451,$C269,'TL14'!$J$238:$J$451),0),
IF('TL15'!$B$3=P$3,SUMIF('TL15'!$C$10:$C$224,$C269,'TL15'!$J$10:$J$224),0),
IF('TL15'!$B$229=P$3,SUMIF('TL15'!$C$238:$C$451,$C269,'TL15'!$J$238:$J$451),0),
IF('TL16'!$B$3=P$3,SUMIF('TL16'!$C$10:$C$224,$C269,'TL16'!$J$10:$J$224),0),
IF('TL16'!$B$229=P$3,SUMIF('TL16'!$C$238:$C$451,$C269,'TL16'!$J$238:$J$451),0),
IF('TL17'!$B$3=P$3,SUMIF('TL17'!$C$10:$C$224,$C269,'TL17'!$J$10:$J$224),0),
IF('TL17'!$B$229=P$3,SUMIF('TL17'!$C$238:$C$451,$C269,'TL17'!$J$238:$J$451),0),
IF('TL18'!$B$3=P$3,SUMIF('TL18'!$C$10:$C$224,$C269,'TL18'!$J$10:$J$224),0),
IF('TL18'!$B$229=P$3,SUMIF('TL18'!$C$238:$C$451,$C269,'TL18'!$J$238:$J$451),0),
IF('TL19'!$B$3=P$3,SUMIF('TL19'!$C$10:$C$224,$C269,'TL19'!$J$10:$J$224),0),
IF('TL19'!$B$229=P$3,SUMIF('TL19'!$C$238:$C$451,$C269,'TL19'!$J$238:$J$451),0)
),0)</f>
        <v/>
      </c>
      <c r="Q269" s="9">
        <f>IFERROR(SUM(
IF('TL01'!$B$3=Q$3,SUMIF('TL01'!$C$10:$C$224,$C269,'TL01'!$J$10:$J$224),0),
IF('TL01'!$B$229=Q$3,SUMIF('TL01'!$C$238:$C$451,$C269,'TL01'!$J$238:$J$451),0),
IF('TL02'!$B$3=Q$3,SUMIF('TL02'!$C$10:$C$224,$C269,'TL02'!$J$10:$J$224),0),
IF('TL02'!$B$229=Q$3,SUMIF('TL02'!$C$238:$C$451,$C269,'TL02'!$J$238:$J$451),0),
IF('TL03'!$B$3=Q$3,SUMIF('TL03'!$C$10:$C$224,$C269,'TL03'!$J$10:$J$224),0),
IF('TL03'!$B$229=Q$3,SUMIF('TL03'!$C$238:$C$451,$C269,'TL03'!$J$238:$J$451),0),
IF('TL04'!$B$3=Q$3,SUMIF('TL04'!$C$10:$C$224,$C269,'TL04'!$J$10:$J$224),0),
IF('TL04'!$B$229=Q$3,SUMIF('TL04'!$C$238:$C$451,$C269,'TL04'!$J$238:$J$451),0),
IF('TL05'!$B$3=Q$3,SUMIF('TL05'!$C$10:$C$224,$C269,'TL05'!$J$10:$J$224),0),
IF('TL05'!$B$229=Q$3,SUMIF('TL05'!$C$238:$C$451,$C269,'TL05'!$J$238:$J$451),0),
IF('TL06'!$B$3=Q$3,SUMIF('TL06'!$C$10:$C$224,$C269,'TL06'!$J$10:$J$224),0),
IF('TL06'!$B$229=Q$3,SUMIF('TL06'!$C$238:$C$451,$C269,'TL06'!$J$238:$J$451),0),
IF('TL07'!$B$3=Q$3,SUMIF('TL07'!$C$10:$C$224,$C269,'TL07'!$J$10:$J$224),0),
IF('TL07'!$B$229=Q$3,SUMIF('TL07'!$C$238:$C$451,$C269,'TL07'!$J$238:$J$451),0),
IF('TL08'!$B$3=Q$3,SUMIF('TL08'!$C$10:$C$224,$C269,'TL08'!$J$10:$J$224),0),
IF('TL08'!$B$229=Q$3,SUMIF('TL08'!$C$238:$C$451,$C269,'TL08'!$J$238:$J$451),0),
IF('TL09'!$B$3=Q$3,SUMIF('TL09'!$C$10:$C$224,$C269,'TL09'!$J$10:$J$224),0),
IF('TL09'!$B$229=Q$3,SUMIF('TL09'!$C$238:$C$451,$C269,'TL09'!$J$238:$J$451),0),
IF('TL10'!$B$3=Q$3,SUMIF('TL10'!$C$10:$C$224,$C269,'TL10'!$J$10:$J$224),0),
IF('TL10'!$B$229=Q$3,SUMIF('TL10'!$C$238:$C$451,$C269,'TL10'!$J$238:$J$451),0),
IF('TL11'!$B$3=Q$3,SUMIF('TL11'!$C$10:$C$224,$C269,'TL11'!$J$10:$J$224),0),
IF('TL11'!$B$229=Q$3,SUMIF('TL11'!$C$238:$C$451,$C269,'TL11'!$J$238:$J$451),0),
IF('TL12'!$B$3=Q$3,SUMIF('TL12'!$C$10:$C$224,$C269,'TL12'!$J$10:$J$224),0),
IF('TL12'!$B$229=Q$3,SUMIF('TL12'!$C$238:$C$451,$C269,'TL12'!$J$238:$J$451),0),
IF('TL13'!$B$3=Q$3,SUMIF('TL13'!$C$10:$C$224,$C269,'TL13'!$J$10:$J$224),0),
IF('TL13'!$B$229=Q$3,SUMIF('TL13'!$C$238:$C$451,$C269,'TL13'!$J$238:$J$451),0),
IF('TL14'!$B$3=Q$3,SUMIF('TL14'!$C$10:$C$224,$C269,'TL14'!$J$10:$J$224),0),
IF('TL14'!$B$229=Q$3,SUMIF('TL14'!$C$238:$C$451,$C269,'TL14'!$J$238:$J$451),0),
IF('TL15'!$B$3=Q$3,SUMIF('TL15'!$C$10:$C$224,$C269,'TL15'!$J$10:$J$224),0),
IF('TL15'!$B$229=Q$3,SUMIF('TL15'!$C$238:$C$451,$C269,'TL15'!$J$238:$J$451),0),
IF('TL16'!$B$3=Q$3,SUMIF('TL16'!$C$10:$C$224,$C269,'TL16'!$J$10:$J$224),0),
IF('TL16'!$B$229=Q$3,SUMIF('TL16'!$C$238:$C$451,$C269,'TL16'!$J$238:$J$451),0),
IF('TL17'!$B$3=Q$3,SUMIF('TL17'!$C$10:$C$224,$C269,'TL17'!$J$10:$J$224),0),
IF('TL17'!$B$229=Q$3,SUMIF('TL17'!$C$238:$C$451,$C269,'TL17'!$J$238:$J$451),0),
IF('TL18'!$B$3=Q$3,SUMIF('TL18'!$C$10:$C$224,$C269,'TL18'!$J$10:$J$224),0),
IF('TL18'!$B$229=Q$3,SUMIF('TL18'!$C$238:$C$451,$C269,'TL18'!$J$238:$J$451),0),
IF('TL19'!$B$3=Q$3,SUMIF('TL19'!$C$10:$C$224,$C269,'TL19'!$J$10:$J$224),0),
IF('TL19'!$B$229=Q$3,SUMIF('TL19'!$C$238:$C$451,$C269,'TL19'!$J$238:$J$451),0)
),0)</f>
        <v/>
      </c>
      <c r="R269" s="9">
        <f>IFERROR(
SUM(
SUMIF('TL01'!C:C,C269,'TL01'!J:J),
SUMIF('TL02'!C:C,C269,'TL02'!J:J),
SUMIF('TL03'!C:C,C269,'TL03'!J:J),
SUMIF('TL04'!C:C,C269,'TL04'!J:J),
SUMIF('TL05'!C:C,C269,'TL05'!J:J),
SUMIF('TL06'!C:C,C269,'TL06'!J:J),
SUMIF('TL07'!C:C,C269,'TL07'!J:J),
SUMIF('TL08'!C:C,C269,'TL08'!J:J),
SUMIF('TL09'!C:C,C269,'TL09'!J:J),
SUMIF('TL10'!C:C,C269,'TL10'!J:J),
SUMIF('TL11'!C:C,C269,'TL11'!J:J),
SUMIF('TL12'!C:C,C269,'TL12'!J:J),
SUMIF('TL13'!C:C,C269,'TL13'!J:J),
SUMIF('TL14'!C:C,C269,'TL14'!J:J),
SUMIF('TL15'!C:C,C269,'TL15'!J:J),
SUMIF('TL16'!C:C,C269,'TL16'!J:J),
SUMIF('TL17'!C:C,C269,'TL17'!J:J),
SUMIF('TL18'!C:C,C269,'TL18'!J:J),SUMIF('TL19'!C:C,C269,'TL19'!J:J))
,0)</f>
        <v/>
      </c>
      <c r="S269" s="17">
        <f>IFERROR(__xludf.DUMMYFUNCTION("IFERROR(VLOOKUP(C269,
IMPORTRANGE(""1wULbzX32WdYsx-lj2U3uUNBBe2INVIRDtcK0d-Dvl90"",
""26-27!C:G""),
5,
FALSE),
"""")"),109.0)</f>
        <v/>
      </c>
      <c r="T269" s="9" t="n"/>
      <c r="U269" s="92">
        <f>MAX(0,R269-T269)</f>
        <v/>
      </c>
      <c r="V269" s="93">
        <f>U269*S269</f>
        <v/>
      </c>
    </row>
    <row r="270" hidden="1" ht="15.75" customHeight="1" s="297">
      <c r="A270" s="4" t="inlineStr">
        <is>
          <t>GRAN7</t>
        </is>
      </c>
      <c r="B270" s="125" t="inlineStr">
        <is>
          <t>NUTRIÇÃO</t>
        </is>
      </c>
      <c r="C270" s="4" t="inlineStr">
        <is>
          <t>Glyfort</t>
        </is>
      </c>
      <c r="D270" s="4" t="inlineStr">
        <is>
          <t>32% Glicina Betaína + 4% Ac. Fúlvicos</t>
        </is>
      </c>
      <c r="E270" s="9" t="n"/>
      <c r="F270" s="4" t="inlineStr">
        <is>
          <t>L</t>
        </is>
      </c>
      <c r="G270" s="9" t="n"/>
      <c r="H270" s="9" t="n">
        <v>1</v>
      </c>
      <c r="I270" s="1" t="n"/>
      <c r="J270" s="9">
        <f>IFERROR(SUM(
IF('TL01'!$B$3=J$3,SUMIF('TL01'!$C$10:$C$224,$C270,'TL01'!$J$10:$J$224),0),
IF('TL01'!$B$229=J$3,SUMIF('TL01'!$C$238:$C$451,$C270,'TL01'!$J$238:$J$451),0),
IF('TL02'!$B$3=J$3,SUMIF('TL02'!$C$10:$C$224,$C270,'TL02'!$J$10:$J$224),0),
IF('TL02'!$B$229=J$3,SUMIF('TL02'!$C$238:$C$451,$C270,'TL02'!$J$238:$J$451),0),
IF('TL03'!$B$3=J$3,SUMIF('TL03'!$C$10:$C$224,$C270,'TL03'!$J$10:$J$224),0),
IF('TL03'!$B$229=J$3,SUMIF('TL03'!$C$238:$C$451,$C270,'TL03'!$J$238:$J$451),0),
IF('TL04'!$B$3=J$3,SUMIF('TL04'!$C$10:$C$224,$C270,'TL04'!$J$10:$J$224),0),
IF('TL04'!$B$229=J$3,SUMIF('TL04'!$C$238:$C$451,$C270,'TL04'!$J$238:$J$451),0),
IF('TL05'!$B$3=J$3,SUMIF('TL05'!$C$10:$C$224,$C270,'TL05'!$J$10:$J$224),0),
IF('TL05'!$B$229=J$3,SUMIF('TL05'!$C$238:$C$451,$C270,'TL05'!$J$238:$J$451),0),
IF('TL06'!$B$3=J$3,SUMIF('TL06'!$C$10:$C$224,$C270,'TL06'!$J$10:$J$224),0),
IF('TL06'!$B$229=J$3,SUMIF('TL06'!$C$238:$C$451,$C270,'TL06'!$J$238:$J$451),0),
IF('TL07'!$B$3=J$3,SUMIF('TL07'!$C$10:$C$224,$C270,'TL07'!$J$10:$J$224),0),
IF('TL07'!$B$229=J$3,SUMIF('TL07'!$C$238:$C$451,$C270,'TL07'!$J$238:$J$451),0),
IF('TL08'!$B$3=J$3,SUMIF('TL08'!$C$10:$C$224,$C270,'TL08'!$J$10:$J$224),0),
IF('TL08'!$B$229=J$3,SUMIF('TL08'!$C$238:$C$451,$C270,'TL08'!$J$238:$J$451),0),
IF('TL09'!$B$3=J$3,SUMIF('TL09'!$C$10:$C$224,$C270,'TL09'!$J$10:$J$224),0),
IF('TL09'!$B$229=J$3,SUMIF('TL09'!$C$238:$C$451,$C270,'TL09'!$J$238:$J$451),0),
IF('TL10'!$B$3=J$3,SUMIF('TL10'!$C$10:$C$224,$C270,'TL10'!$J$10:$J$224),0),
IF('TL10'!$B$229=J$3,SUMIF('TL10'!$C$238:$C$451,$C270,'TL10'!$J$238:$J$451),0),
IF('TL11'!$B$3=J$3,SUMIF('TL11'!$C$10:$C$224,$C270,'TL11'!$J$10:$J$224),0),
IF('TL11'!$B$229=J$3,SUMIF('TL11'!$C$238:$C$451,$C270,'TL11'!$J$238:$J$451),0),
IF('TL12'!$B$3=J$3,SUMIF('TL12'!$C$10:$C$224,$C270,'TL12'!$J$10:$J$224),0),
IF('TL12'!$B$229=J$3,SUMIF('TL12'!$C$238:$C$451,$C270,'TL12'!$J$238:$J$451),0),
IF('TL13'!$B$3=J$3,SUMIF('TL13'!$C$10:$C$224,$C270,'TL13'!$J$10:$J$224),0),
IF('TL13'!$B$229=J$3,SUMIF('TL13'!$C$238:$C$451,$C270,'TL13'!$J$238:$J$451),0),
IF('TL14'!$B$3=J$3,SUMIF('TL14'!$C$10:$C$224,$C270,'TL14'!$J$10:$J$224),0),
IF('TL14'!$B$229=J$3,SUMIF('TL14'!$C$238:$C$451,$C270,'TL14'!$J$238:$J$451),0),
IF('TL15'!$B$3=J$3,SUMIF('TL15'!$C$10:$C$224,$C270,'TL15'!$J$10:$J$224),0),
IF('TL15'!$B$229=J$3,SUMIF('TL15'!$C$238:$C$451,$C270,'TL15'!$J$238:$J$451),0),
IF('TL16'!$B$3=J$3,SUMIF('TL16'!$C$10:$C$224,$C270,'TL16'!$J$10:$J$224),0),
IF('TL16'!$B$229=J$3,SUMIF('TL16'!$C$238:$C$451,$C270,'TL16'!$J$238:$J$451),0),
IF('TL17'!$B$3=J$3,SUMIF('TL17'!$C$10:$C$224,$C270,'TL17'!$J$10:$J$224),0),
IF('TL17'!$B$229=J$3,SUMIF('TL17'!$C$238:$C$451,$C270,'TL17'!$J$238:$J$451),0),
IF('TL18'!$B$3=J$3,SUMIF('TL18'!$C$10:$C$224,$C270,'TL18'!$J$10:$J$224),0),
IF('TL18'!$B$229=J$3,SUMIF('TL18'!$C$238:$C$451,$C270,'TL18'!$J$238:$J$451),0),
IF('TL19'!$B$3=J$3,SUMIF('TL19'!$C$10:$C$224,$C270,'TL19'!$J$10:$J$224),0),
IF('TL19'!$B$229=J$3,SUMIF('TL19'!$C$238:$C$451,$C270,'TL19'!$J$238:$J$451),0)
),0)</f>
        <v/>
      </c>
      <c r="K270" s="9">
        <f>IFERROR(SUM(
IF('TL01'!$B$3=K$3,SUMIF('TL01'!$C$10:$C$224,$C270,'TL01'!$J$10:$J$224),0),
IF('TL01'!$B$229=K$3,SUMIF('TL01'!$C$238:$C$451,$C270,'TL01'!$J$238:$J$451),0),
IF('TL02'!$B$3=K$3,SUMIF('TL02'!$C$10:$C$224,$C270,'TL02'!$J$10:$J$224),0),
IF('TL02'!$B$229=K$3,SUMIF('TL02'!$C$238:$C$451,$C270,'TL02'!$J$238:$J$451),0),
IF('TL03'!$B$3=K$3,SUMIF('TL03'!$C$10:$C$224,$C270,'TL03'!$J$10:$J$224),0),
IF('TL03'!$B$229=K$3,SUMIF('TL03'!$C$238:$C$451,$C270,'TL03'!$J$238:$J$451),0),
IF('TL04'!$B$3=K$3,SUMIF('TL04'!$C$10:$C$224,$C270,'TL04'!$J$10:$J$224),0),
IF('TL04'!$B$229=K$3,SUMIF('TL04'!$C$238:$C$451,$C270,'TL04'!$J$238:$J$451),0),
IF('TL05'!$B$3=K$3,SUMIF('TL05'!$C$10:$C$224,$C270,'TL05'!$J$10:$J$224),0),
IF('TL05'!$B$229=K$3,SUMIF('TL05'!$C$238:$C$451,$C270,'TL05'!$J$238:$J$451),0),
IF('TL06'!$B$3=K$3,SUMIF('TL06'!$C$10:$C$224,$C270,'TL06'!$J$10:$J$224),0),
IF('TL06'!$B$229=K$3,SUMIF('TL06'!$C$238:$C$451,$C270,'TL06'!$J$238:$J$451),0),
IF('TL07'!$B$3=K$3,SUMIF('TL07'!$C$10:$C$224,$C270,'TL07'!$J$10:$J$224),0),
IF('TL07'!$B$229=K$3,SUMIF('TL07'!$C$238:$C$451,$C270,'TL07'!$J$238:$J$451),0),
IF('TL08'!$B$3=K$3,SUMIF('TL08'!$C$10:$C$224,$C270,'TL08'!$J$10:$J$224),0),
IF('TL08'!$B$229=K$3,SUMIF('TL08'!$C$238:$C$451,$C270,'TL08'!$J$238:$J$451),0),
IF('TL09'!$B$3=K$3,SUMIF('TL09'!$C$10:$C$224,$C270,'TL09'!$J$10:$J$224),0),
IF('TL09'!$B$229=K$3,SUMIF('TL09'!$C$238:$C$451,$C270,'TL09'!$J$238:$J$451),0),
IF('TL10'!$B$3=K$3,SUMIF('TL10'!$C$10:$C$224,$C270,'TL10'!$J$10:$J$224),0),
IF('TL10'!$B$229=K$3,SUMIF('TL10'!$C$238:$C$451,$C270,'TL10'!$J$238:$J$451),0),
IF('TL11'!$B$3=K$3,SUMIF('TL11'!$C$10:$C$224,$C270,'TL11'!$J$10:$J$224),0),
IF('TL11'!$B$229=K$3,SUMIF('TL11'!$C$238:$C$451,$C270,'TL11'!$J$238:$J$451),0),
IF('TL12'!$B$3=K$3,SUMIF('TL12'!$C$10:$C$224,$C270,'TL12'!$J$10:$J$224),0),
IF('TL12'!$B$229=K$3,SUMIF('TL12'!$C$238:$C$451,$C270,'TL12'!$J$238:$J$451),0),
IF('TL13'!$B$3=K$3,SUMIF('TL13'!$C$10:$C$224,$C270,'TL13'!$J$10:$J$224),0),
IF('TL13'!$B$229=K$3,SUMIF('TL13'!$C$238:$C$451,$C270,'TL13'!$J$238:$J$451),0),
IF('TL14'!$B$3=K$3,SUMIF('TL14'!$C$10:$C$224,$C270,'TL14'!$J$10:$J$224),0),
IF('TL14'!$B$229=K$3,SUMIF('TL14'!$C$238:$C$451,$C270,'TL14'!$J$238:$J$451),0),
IF('TL15'!$B$3=K$3,SUMIF('TL15'!$C$10:$C$224,$C270,'TL15'!$J$10:$J$224),0),
IF('TL15'!$B$229=K$3,SUMIF('TL15'!$C$238:$C$451,$C270,'TL15'!$J$238:$J$451),0),
IF('TL16'!$B$3=K$3,SUMIF('TL16'!$C$10:$C$224,$C270,'TL16'!$J$10:$J$224),0),
IF('TL16'!$B$229=K$3,SUMIF('TL16'!$C$238:$C$451,$C270,'TL16'!$J$238:$J$451),0),
IF('TL17'!$B$3=K$3,SUMIF('TL17'!$C$10:$C$224,$C270,'TL17'!$J$10:$J$224),0),
IF('TL17'!$B$229=K$3,SUMIF('TL17'!$C$238:$C$451,$C270,'TL17'!$J$238:$J$451),0),
IF('TL18'!$B$3=K$3,SUMIF('TL18'!$C$10:$C$224,$C270,'TL18'!$J$10:$J$224),0),
IF('TL18'!$B$229=K$3,SUMIF('TL18'!$C$238:$C$451,$C270,'TL18'!$J$238:$J$451),0),
IF('TL19'!$B$3=K$3,SUMIF('TL19'!$C$10:$C$224,$C270,'TL19'!$J$10:$J$224),0),
IF('TL19'!$B$229=K$3,SUMIF('TL19'!$C$238:$C$451,$C270,'TL19'!$J$238:$J$451),0)
),0)</f>
        <v/>
      </c>
      <c r="L270" s="9">
        <f>IFERROR(SUM(
IF('TL01'!$B$3=L$3,SUMIF('TL01'!$C$10:$C$224,$C270,'TL01'!$J$10:$J$224),0),
IF('TL01'!$B$229=L$3,SUMIF('TL01'!$C$238:$C$451,$C270,'TL01'!$J$238:$J$451),0),
IF('TL02'!$B$3=L$3,SUMIF('TL02'!$C$10:$C$224,$C270,'TL02'!$J$10:$J$224),0),
IF('TL02'!$B$229=L$3,SUMIF('TL02'!$C$238:$C$451,$C270,'TL02'!$J$238:$J$451),0),
IF('TL03'!$B$3=L$3,SUMIF('TL03'!$C$10:$C$224,$C270,'TL03'!$J$10:$J$224),0),
IF('TL03'!$B$229=L$3,SUMIF('TL03'!$C$238:$C$451,$C270,'TL03'!$J$238:$J$451),0),
IF('TL04'!$B$3=L$3,SUMIF('TL04'!$C$10:$C$224,$C270,'TL04'!$J$10:$J$224),0),
IF('TL04'!$B$229=L$3,SUMIF('TL04'!$C$238:$C$451,$C270,'TL04'!$J$238:$J$451),0),
IF('TL05'!$B$3=L$3,SUMIF('TL05'!$C$10:$C$224,$C270,'TL05'!$J$10:$J$224),0),
IF('TL05'!$B$229=L$3,SUMIF('TL05'!$C$238:$C$451,$C270,'TL05'!$J$238:$J$451),0),
IF('TL06'!$B$3=L$3,SUMIF('TL06'!$C$10:$C$224,$C270,'TL06'!$J$10:$J$224),0),
IF('TL06'!$B$229=L$3,SUMIF('TL06'!$C$238:$C$451,$C270,'TL06'!$J$238:$J$451),0),
IF('TL07'!$B$3=L$3,SUMIF('TL07'!$C$10:$C$224,$C270,'TL07'!$J$10:$J$224),0),
IF('TL07'!$B$229=L$3,SUMIF('TL07'!$C$238:$C$451,$C270,'TL07'!$J$238:$J$451),0),
IF('TL08'!$B$3=L$3,SUMIF('TL08'!$C$10:$C$224,$C270,'TL08'!$J$10:$J$224),0),
IF('TL08'!$B$229=L$3,SUMIF('TL08'!$C$238:$C$451,$C270,'TL08'!$J$238:$J$451),0),
IF('TL09'!$B$3=L$3,SUMIF('TL09'!$C$10:$C$224,$C270,'TL09'!$J$10:$J$224),0),
IF('TL09'!$B$229=L$3,SUMIF('TL09'!$C$238:$C$451,$C270,'TL09'!$J$238:$J$451),0),
IF('TL10'!$B$3=L$3,SUMIF('TL10'!$C$10:$C$224,$C270,'TL10'!$J$10:$J$224),0),
IF('TL10'!$B$229=L$3,SUMIF('TL10'!$C$238:$C$451,$C270,'TL10'!$J$238:$J$451),0),
IF('TL11'!$B$3=L$3,SUMIF('TL11'!$C$10:$C$224,$C270,'TL11'!$J$10:$J$224),0),
IF('TL11'!$B$229=L$3,SUMIF('TL11'!$C$238:$C$451,$C270,'TL11'!$J$238:$J$451),0),
IF('TL12'!$B$3=L$3,SUMIF('TL12'!$C$10:$C$224,$C270,'TL12'!$J$10:$J$224),0),
IF('TL12'!$B$229=L$3,SUMIF('TL12'!$C$238:$C$451,$C270,'TL12'!$J$238:$J$451),0),
IF('TL13'!$B$3=L$3,SUMIF('TL13'!$C$10:$C$224,$C270,'TL13'!$J$10:$J$224),0),
IF('TL13'!$B$229=L$3,SUMIF('TL13'!$C$238:$C$451,$C270,'TL13'!$J$238:$J$451),0),
IF('TL14'!$B$3=L$3,SUMIF('TL14'!$C$10:$C$224,$C270,'TL14'!$J$10:$J$224),0),
IF('TL14'!$B$229=L$3,SUMIF('TL14'!$C$238:$C$451,$C270,'TL14'!$J$238:$J$451),0),
IF('TL15'!$B$3=L$3,SUMIF('TL15'!$C$10:$C$224,$C270,'TL15'!$J$10:$J$224),0),
IF('TL15'!$B$229=L$3,SUMIF('TL15'!$C$238:$C$451,$C270,'TL15'!$J$238:$J$451),0),
IF('TL16'!$B$3=L$3,SUMIF('TL16'!$C$10:$C$224,$C270,'TL16'!$J$10:$J$224),0),
IF('TL16'!$B$229=L$3,SUMIF('TL16'!$C$238:$C$451,$C270,'TL16'!$J$238:$J$451),0),
IF('TL17'!$B$3=L$3,SUMIF('TL17'!$C$10:$C$224,$C270,'TL17'!$J$10:$J$224),0),
IF('TL17'!$B$229=L$3,SUMIF('TL17'!$C$238:$C$451,$C270,'TL17'!$J$238:$J$451),0),
IF('TL18'!$B$3=L$3,SUMIF('TL18'!$C$10:$C$224,$C270,'TL18'!$J$10:$J$224),0),
IF('TL18'!$B$229=L$3,SUMIF('TL18'!$C$238:$C$451,$C270,'TL18'!$J$238:$J$451),0),
IF('TL19'!$B$3=L$3,SUMIF('TL19'!$C$10:$C$224,$C270,'TL19'!$J$10:$J$224),0),
IF('TL19'!$B$229=L$3,SUMIF('TL19'!$C$238:$C$451,$C270,'TL19'!$J$238:$J$451),0)
),0)</f>
        <v/>
      </c>
      <c r="M270" s="9">
        <f>IFERROR(SUM(
IF('TL01'!$B$3=M$3,SUMIF('TL01'!$C$10:$C$224,$C270,'TL01'!$J$10:$J$224),0),
IF('TL01'!$B$229=M$3,SUMIF('TL01'!$C$238:$C$451,$C270,'TL01'!$J$238:$J$451),0),
IF('TL02'!$B$3=M$3,SUMIF('TL02'!$C$10:$C$224,$C270,'TL02'!$J$10:$J$224),0),
IF('TL02'!$B$229=M$3,SUMIF('TL02'!$C$238:$C$451,$C270,'TL02'!$J$238:$J$451),0),
IF('TL03'!$B$3=M$3,SUMIF('TL03'!$C$10:$C$224,$C270,'TL03'!$J$10:$J$224),0),
IF('TL03'!$B$229=M$3,SUMIF('TL03'!$C$238:$C$451,$C270,'TL03'!$J$238:$J$451),0),
IF('TL04'!$B$3=M$3,SUMIF('TL04'!$C$10:$C$224,$C270,'TL04'!$J$10:$J$224),0),
IF('TL04'!$B$229=M$3,SUMIF('TL04'!$C$238:$C$451,$C270,'TL04'!$J$238:$J$451),0),
IF('TL05'!$B$3=M$3,SUMIF('TL05'!$C$10:$C$224,$C270,'TL05'!$J$10:$J$224),0),
IF('TL05'!$B$229=M$3,SUMIF('TL05'!$C$238:$C$451,$C270,'TL05'!$J$238:$J$451),0),
IF('TL06'!$B$3=M$3,SUMIF('TL06'!$C$10:$C$224,$C270,'TL06'!$J$10:$J$224),0),
IF('TL06'!$B$229=M$3,SUMIF('TL06'!$C$238:$C$451,$C270,'TL06'!$J$238:$J$451),0),
IF('TL07'!$B$3=M$3,SUMIF('TL07'!$C$10:$C$224,$C270,'TL07'!$J$10:$J$224),0),
IF('TL07'!$B$229=M$3,SUMIF('TL07'!$C$238:$C$451,$C270,'TL07'!$J$238:$J$451),0),
IF('TL08'!$B$3=M$3,SUMIF('TL08'!$C$10:$C$224,$C270,'TL08'!$J$10:$J$224),0),
IF('TL08'!$B$229=M$3,SUMIF('TL08'!$C$238:$C$451,$C270,'TL08'!$J$238:$J$451),0),
IF('TL09'!$B$3=M$3,SUMIF('TL09'!$C$10:$C$224,$C270,'TL09'!$J$10:$J$224),0),
IF('TL09'!$B$229=M$3,SUMIF('TL09'!$C$238:$C$451,$C270,'TL09'!$J$238:$J$451),0),
IF('TL10'!$B$3=M$3,SUMIF('TL10'!$C$10:$C$224,$C270,'TL10'!$J$10:$J$224),0),
IF('TL10'!$B$229=M$3,SUMIF('TL10'!$C$238:$C$451,$C270,'TL10'!$J$238:$J$451),0),
IF('TL11'!$B$3=M$3,SUMIF('TL11'!$C$10:$C$224,$C270,'TL11'!$J$10:$J$224),0),
IF('TL11'!$B$229=M$3,SUMIF('TL11'!$C$238:$C$451,$C270,'TL11'!$J$238:$J$451),0),
IF('TL12'!$B$3=M$3,SUMIF('TL12'!$C$10:$C$224,$C270,'TL12'!$J$10:$J$224),0),
IF('TL12'!$B$229=M$3,SUMIF('TL12'!$C$238:$C$451,$C270,'TL12'!$J$238:$J$451),0),
IF('TL13'!$B$3=M$3,SUMIF('TL13'!$C$10:$C$224,$C270,'TL13'!$J$10:$J$224),0),
IF('TL13'!$B$229=M$3,SUMIF('TL13'!$C$238:$C$451,$C270,'TL13'!$J$238:$J$451),0),
IF('TL14'!$B$3=M$3,SUMIF('TL14'!$C$10:$C$224,$C270,'TL14'!$J$10:$J$224),0),
IF('TL14'!$B$229=M$3,SUMIF('TL14'!$C$238:$C$451,$C270,'TL14'!$J$238:$J$451),0),
IF('TL15'!$B$3=M$3,SUMIF('TL15'!$C$10:$C$224,$C270,'TL15'!$J$10:$J$224),0),
IF('TL15'!$B$229=M$3,SUMIF('TL15'!$C$238:$C$451,$C270,'TL15'!$J$238:$J$451),0),
IF('TL16'!$B$3=M$3,SUMIF('TL16'!$C$10:$C$224,$C270,'TL16'!$J$10:$J$224),0),
IF('TL16'!$B$229=M$3,SUMIF('TL16'!$C$238:$C$451,$C270,'TL16'!$J$238:$J$451),0),
IF('TL17'!$B$3=M$3,SUMIF('TL17'!$C$10:$C$224,$C270,'TL17'!$J$10:$J$224),0),
IF('TL17'!$B$229=M$3,SUMIF('TL17'!$C$238:$C$451,$C270,'TL17'!$J$238:$J$451),0),
IF('TL18'!$B$3=M$3,SUMIF('TL18'!$C$10:$C$224,$C270,'TL18'!$J$10:$J$224),0),
IF('TL18'!$B$229=M$3,SUMIF('TL18'!$C$238:$C$451,$C270,'TL18'!$J$238:$J$451),0),
IF('TL19'!$B$3=M$3,SUMIF('TL19'!$C$10:$C$224,$C270,'TL19'!$J$10:$J$224),0),
IF('TL19'!$B$229=M$3,SUMIF('TL19'!$C$238:$C$451,$C270,'TL19'!$J$238:$J$451),0)
),0)</f>
        <v/>
      </c>
      <c r="N270" s="9">
        <f>IFERROR(SUM(
IF('TL01'!$B$3=N$3,SUMIF('TL01'!$C$10:$C$224,$C270,'TL01'!$J$10:$J$224),0),
IF('TL01'!$B$229=N$3,SUMIF('TL01'!$C$238:$C$451,$C270,'TL01'!$J$238:$J$451),0),
IF('TL02'!$B$3=N$3,SUMIF('TL02'!$C$10:$C$224,$C270,'TL02'!$J$10:$J$224),0),
IF('TL02'!$B$229=N$3,SUMIF('TL02'!$C$238:$C$451,$C270,'TL02'!$J$238:$J$451),0),
IF('TL03'!$B$3=N$3,SUMIF('TL03'!$C$10:$C$224,$C270,'TL03'!$J$10:$J$224),0),
IF('TL03'!$B$229=N$3,SUMIF('TL03'!$C$238:$C$451,$C270,'TL03'!$J$238:$J$451),0),
IF('TL04'!$B$3=N$3,SUMIF('TL04'!$C$10:$C$224,$C270,'TL04'!$J$10:$J$224),0),
IF('TL04'!$B$229=N$3,SUMIF('TL04'!$C$238:$C$451,$C270,'TL04'!$J$238:$J$451),0),
IF('TL05'!$B$3=N$3,SUMIF('TL05'!$C$10:$C$224,$C270,'TL05'!$J$10:$J$224),0),
IF('TL05'!$B$229=N$3,SUMIF('TL05'!$C$238:$C$451,$C270,'TL05'!$J$238:$J$451),0),
IF('TL06'!$B$3=N$3,SUMIF('TL06'!$C$10:$C$224,$C270,'TL06'!$J$10:$J$224),0),
IF('TL06'!$B$229=N$3,SUMIF('TL06'!$C$238:$C$451,$C270,'TL06'!$J$238:$J$451),0),
IF('TL07'!$B$3=N$3,SUMIF('TL07'!$C$10:$C$224,$C270,'TL07'!$J$10:$J$224),0),
IF('TL07'!$B$229=N$3,SUMIF('TL07'!$C$238:$C$451,$C270,'TL07'!$J$238:$J$451),0),
IF('TL08'!$B$3=N$3,SUMIF('TL08'!$C$10:$C$224,$C270,'TL08'!$J$10:$J$224),0),
IF('TL08'!$B$229=N$3,SUMIF('TL08'!$C$238:$C$451,$C270,'TL08'!$J$238:$J$451),0),
IF('TL09'!$B$3=N$3,SUMIF('TL09'!$C$10:$C$224,$C270,'TL09'!$J$10:$J$224),0),
IF('TL09'!$B$229=N$3,SUMIF('TL09'!$C$238:$C$451,$C270,'TL09'!$J$238:$J$451),0),
IF('TL10'!$B$3=N$3,SUMIF('TL10'!$C$10:$C$224,$C270,'TL10'!$J$10:$J$224),0),
IF('TL10'!$B$229=N$3,SUMIF('TL10'!$C$238:$C$451,$C270,'TL10'!$J$238:$J$451),0),
IF('TL11'!$B$3=N$3,SUMIF('TL11'!$C$10:$C$224,$C270,'TL11'!$J$10:$J$224),0),
IF('TL11'!$B$229=N$3,SUMIF('TL11'!$C$238:$C$451,$C270,'TL11'!$J$238:$J$451),0),
IF('TL12'!$B$3=N$3,SUMIF('TL12'!$C$10:$C$224,$C270,'TL12'!$J$10:$J$224),0),
IF('TL12'!$B$229=N$3,SUMIF('TL12'!$C$238:$C$451,$C270,'TL12'!$J$238:$J$451),0),
IF('TL13'!$B$3=N$3,SUMIF('TL13'!$C$10:$C$224,$C270,'TL13'!$J$10:$J$224),0),
IF('TL13'!$B$229=N$3,SUMIF('TL13'!$C$238:$C$451,$C270,'TL13'!$J$238:$J$451),0),
IF('TL14'!$B$3=N$3,SUMIF('TL14'!$C$10:$C$224,$C270,'TL14'!$J$10:$J$224),0),
IF('TL14'!$B$229=N$3,SUMIF('TL14'!$C$238:$C$451,$C270,'TL14'!$J$238:$J$451),0),
IF('TL15'!$B$3=N$3,SUMIF('TL15'!$C$10:$C$224,$C270,'TL15'!$J$10:$J$224),0),
IF('TL15'!$B$229=N$3,SUMIF('TL15'!$C$238:$C$451,$C270,'TL15'!$J$238:$J$451),0),
IF('TL16'!$B$3=N$3,SUMIF('TL16'!$C$10:$C$224,$C270,'TL16'!$J$10:$J$224),0),
IF('TL16'!$B$229=N$3,SUMIF('TL16'!$C$238:$C$451,$C270,'TL16'!$J$238:$J$451),0),
IF('TL17'!$B$3=N$3,SUMIF('TL17'!$C$10:$C$224,$C270,'TL17'!$J$10:$J$224),0),
IF('TL17'!$B$229=N$3,SUMIF('TL17'!$C$238:$C$451,$C270,'TL17'!$J$238:$J$451),0),
IF('TL18'!$B$3=N$3,SUMIF('TL18'!$C$10:$C$224,$C270,'TL18'!$J$10:$J$224),0),
IF('TL18'!$B$229=N$3,SUMIF('TL18'!$C$238:$C$451,$C270,'TL18'!$J$238:$J$451),0),
IF('TL19'!$B$3=N$3,SUMIF('TL19'!$C$10:$C$224,$C270,'TL19'!$J$10:$J$224),0),
IF('TL19'!$B$229=N$3,SUMIF('TL19'!$C$238:$C$451,$C270,'TL19'!$J$238:$J$451),0)
),0)</f>
        <v/>
      </c>
      <c r="O270" s="9">
        <f>IFERROR(SUM(
IF('TL01'!$B$3=O$3,SUMIF('TL01'!$C$10:$C$224,$C270,'TL01'!$J$10:$J$224),0),
IF('TL01'!$B$229=O$3,SUMIF('TL01'!$C$238:$C$451,$C270,'TL01'!$J$238:$J$451),0),
IF('TL02'!$B$3=O$3,SUMIF('TL02'!$C$10:$C$224,$C270,'TL02'!$J$10:$J$224),0),
IF('TL02'!$B$229=O$3,SUMIF('TL02'!$C$238:$C$451,$C270,'TL02'!$J$238:$J$451),0),
IF('TL03'!$B$3=O$3,SUMIF('TL03'!$C$10:$C$224,$C270,'TL03'!$J$10:$J$224),0),
IF('TL03'!$B$229=O$3,SUMIF('TL03'!$C$238:$C$451,$C270,'TL03'!$J$238:$J$451),0),
IF('TL04'!$B$3=O$3,SUMIF('TL04'!$C$10:$C$224,$C270,'TL04'!$J$10:$J$224),0),
IF('TL04'!$B$229=O$3,SUMIF('TL04'!$C$238:$C$451,$C270,'TL04'!$J$238:$J$451),0),
IF('TL05'!$B$3=O$3,SUMIF('TL05'!$C$10:$C$224,$C270,'TL05'!$J$10:$J$224),0),
IF('TL05'!$B$229=O$3,SUMIF('TL05'!$C$238:$C$451,$C270,'TL05'!$J$238:$J$451),0),
IF('TL06'!$B$3=O$3,SUMIF('TL06'!$C$10:$C$224,$C270,'TL06'!$J$10:$J$224),0),
IF('TL06'!$B$229=O$3,SUMIF('TL06'!$C$238:$C$451,$C270,'TL06'!$J$238:$J$451),0),
IF('TL07'!$B$3=O$3,SUMIF('TL07'!$C$10:$C$224,$C270,'TL07'!$J$10:$J$224),0),
IF('TL07'!$B$229=O$3,SUMIF('TL07'!$C$238:$C$451,$C270,'TL07'!$J$238:$J$451),0),
IF('TL08'!$B$3=O$3,SUMIF('TL08'!$C$10:$C$224,$C270,'TL08'!$J$10:$J$224),0),
IF('TL08'!$B$229=O$3,SUMIF('TL08'!$C$238:$C$451,$C270,'TL08'!$J$238:$J$451),0),
IF('TL09'!$B$3=O$3,SUMIF('TL09'!$C$10:$C$224,$C270,'TL09'!$J$10:$J$224),0),
IF('TL09'!$B$229=O$3,SUMIF('TL09'!$C$238:$C$451,$C270,'TL09'!$J$238:$J$451),0),
IF('TL10'!$B$3=O$3,SUMIF('TL10'!$C$10:$C$224,$C270,'TL10'!$J$10:$J$224),0),
IF('TL10'!$B$229=O$3,SUMIF('TL10'!$C$238:$C$451,$C270,'TL10'!$J$238:$J$451),0),
IF('TL11'!$B$3=O$3,SUMIF('TL11'!$C$10:$C$224,$C270,'TL11'!$J$10:$J$224),0),
IF('TL11'!$B$229=O$3,SUMIF('TL11'!$C$238:$C$451,$C270,'TL11'!$J$238:$J$451),0),
IF('TL12'!$B$3=O$3,SUMIF('TL12'!$C$10:$C$224,$C270,'TL12'!$J$10:$J$224),0),
IF('TL12'!$B$229=O$3,SUMIF('TL12'!$C$238:$C$451,$C270,'TL12'!$J$238:$J$451),0),
IF('TL13'!$B$3=O$3,SUMIF('TL13'!$C$10:$C$224,$C270,'TL13'!$J$10:$J$224),0),
IF('TL13'!$B$229=O$3,SUMIF('TL13'!$C$238:$C$451,$C270,'TL13'!$J$238:$J$451),0),
IF('TL14'!$B$3=O$3,SUMIF('TL14'!$C$10:$C$224,$C270,'TL14'!$J$10:$J$224),0),
IF('TL14'!$B$229=O$3,SUMIF('TL14'!$C$238:$C$451,$C270,'TL14'!$J$238:$J$451),0),
IF('TL15'!$B$3=O$3,SUMIF('TL15'!$C$10:$C$224,$C270,'TL15'!$J$10:$J$224),0),
IF('TL15'!$B$229=O$3,SUMIF('TL15'!$C$238:$C$451,$C270,'TL15'!$J$238:$J$451),0),
IF('TL16'!$B$3=O$3,SUMIF('TL16'!$C$10:$C$224,$C270,'TL16'!$J$10:$J$224),0),
IF('TL16'!$B$229=O$3,SUMIF('TL16'!$C$238:$C$451,$C270,'TL16'!$J$238:$J$451),0),
IF('TL17'!$B$3=O$3,SUMIF('TL17'!$C$10:$C$224,$C270,'TL17'!$J$10:$J$224),0),
IF('TL17'!$B$229=O$3,SUMIF('TL17'!$C$238:$C$451,$C270,'TL17'!$J$238:$J$451),0),
IF('TL18'!$B$3=O$3,SUMIF('TL18'!$C$10:$C$224,$C270,'TL18'!$J$10:$J$224),0),
IF('TL18'!$B$229=O$3,SUMIF('TL18'!$C$238:$C$451,$C270,'TL18'!$J$238:$J$451),0),
IF('TL19'!$B$3=O$3,SUMIF('TL19'!$C$10:$C$224,$C270,'TL19'!$J$10:$J$224),0),
IF('TL19'!$B$229=O$3,SUMIF('TL19'!$C$238:$C$451,$C270,'TL19'!$J$238:$J$451),0)
),0)</f>
        <v/>
      </c>
      <c r="P270" s="9">
        <f>IFERROR(SUM(
IF('TL01'!$B$3=P$3,SUMIF('TL01'!$C$10:$C$224,$C270,'TL01'!$J$10:$J$224),0),
IF('TL01'!$B$229=P$3,SUMIF('TL01'!$C$238:$C$451,$C270,'TL01'!$J$238:$J$451),0),
IF('TL02'!$B$3=P$3,SUMIF('TL02'!$C$10:$C$224,$C270,'TL02'!$J$10:$J$224),0),
IF('TL02'!$B$229=P$3,SUMIF('TL02'!$C$238:$C$451,$C270,'TL02'!$J$238:$J$451),0),
IF('TL03'!$B$3=P$3,SUMIF('TL03'!$C$10:$C$224,$C270,'TL03'!$J$10:$J$224),0),
IF('TL03'!$B$229=P$3,SUMIF('TL03'!$C$238:$C$451,$C270,'TL03'!$J$238:$J$451),0),
IF('TL04'!$B$3=P$3,SUMIF('TL04'!$C$10:$C$224,$C270,'TL04'!$J$10:$J$224),0),
IF('TL04'!$B$229=P$3,SUMIF('TL04'!$C$238:$C$451,$C270,'TL04'!$J$238:$J$451),0),
IF('TL05'!$B$3=P$3,SUMIF('TL05'!$C$10:$C$224,$C270,'TL05'!$J$10:$J$224),0),
IF('TL05'!$B$229=P$3,SUMIF('TL05'!$C$238:$C$451,$C270,'TL05'!$J$238:$J$451),0),
IF('TL06'!$B$3=P$3,SUMIF('TL06'!$C$10:$C$224,$C270,'TL06'!$J$10:$J$224),0),
IF('TL06'!$B$229=P$3,SUMIF('TL06'!$C$238:$C$451,$C270,'TL06'!$J$238:$J$451),0),
IF('TL07'!$B$3=P$3,SUMIF('TL07'!$C$10:$C$224,$C270,'TL07'!$J$10:$J$224),0),
IF('TL07'!$B$229=P$3,SUMIF('TL07'!$C$238:$C$451,$C270,'TL07'!$J$238:$J$451),0),
IF('TL08'!$B$3=P$3,SUMIF('TL08'!$C$10:$C$224,$C270,'TL08'!$J$10:$J$224),0),
IF('TL08'!$B$229=P$3,SUMIF('TL08'!$C$238:$C$451,$C270,'TL08'!$J$238:$J$451),0),
IF('TL09'!$B$3=P$3,SUMIF('TL09'!$C$10:$C$224,$C270,'TL09'!$J$10:$J$224),0),
IF('TL09'!$B$229=P$3,SUMIF('TL09'!$C$238:$C$451,$C270,'TL09'!$J$238:$J$451),0),
IF('TL10'!$B$3=P$3,SUMIF('TL10'!$C$10:$C$224,$C270,'TL10'!$J$10:$J$224),0),
IF('TL10'!$B$229=P$3,SUMIF('TL10'!$C$238:$C$451,$C270,'TL10'!$J$238:$J$451),0),
IF('TL11'!$B$3=P$3,SUMIF('TL11'!$C$10:$C$224,$C270,'TL11'!$J$10:$J$224),0),
IF('TL11'!$B$229=P$3,SUMIF('TL11'!$C$238:$C$451,$C270,'TL11'!$J$238:$J$451),0),
IF('TL12'!$B$3=P$3,SUMIF('TL12'!$C$10:$C$224,$C270,'TL12'!$J$10:$J$224),0),
IF('TL12'!$B$229=P$3,SUMIF('TL12'!$C$238:$C$451,$C270,'TL12'!$J$238:$J$451),0),
IF('TL13'!$B$3=P$3,SUMIF('TL13'!$C$10:$C$224,$C270,'TL13'!$J$10:$J$224),0),
IF('TL13'!$B$229=P$3,SUMIF('TL13'!$C$238:$C$451,$C270,'TL13'!$J$238:$J$451),0),
IF('TL14'!$B$3=P$3,SUMIF('TL14'!$C$10:$C$224,$C270,'TL14'!$J$10:$J$224),0),
IF('TL14'!$B$229=P$3,SUMIF('TL14'!$C$238:$C$451,$C270,'TL14'!$J$238:$J$451),0),
IF('TL15'!$B$3=P$3,SUMIF('TL15'!$C$10:$C$224,$C270,'TL15'!$J$10:$J$224),0),
IF('TL15'!$B$229=P$3,SUMIF('TL15'!$C$238:$C$451,$C270,'TL15'!$J$238:$J$451),0),
IF('TL16'!$B$3=P$3,SUMIF('TL16'!$C$10:$C$224,$C270,'TL16'!$J$10:$J$224),0),
IF('TL16'!$B$229=P$3,SUMIF('TL16'!$C$238:$C$451,$C270,'TL16'!$J$238:$J$451),0),
IF('TL17'!$B$3=P$3,SUMIF('TL17'!$C$10:$C$224,$C270,'TL17'!$J$10:$J$224),0),
IF('TL17'!$B$229=P$3,SUMIF('TL17'!$C$238:$C$451,$C270,'TL17'!$J$238:$J$451),0),
IF('TL18'!$B$3=P$3,SUMIF('TL18'!$C$10:$C$224,$C270,'TL18'!$J$10:$J$224),0),
IF('TL18'!$B$229=P$3,SUMIF('TL18'!$C$238:$C$451,$C270,'TL18'!$J$238:$J$451),0),
IF('TL19'!$B$3=P$3,SUMIF('TL19'!$C$10:$C$224,$C270,'TL19'!$J$10:$J$224),0),
IF('TL19'!$B$229=P$3,SUMIF('TL19'!$C$238:$C$451,$C270,'TL19'!$J$238:$J$451),0)
),0)</f>
        <v/>
      </c>
      <c r="Q270" s="9">
        <f>IFERROR(SUM(
IF('TL01'!$B$3=Q$3,SUMIF('TL01'!$C$10:$C$224,$C270,'TL01'!$J$10:$J$224),0),
IF('TL01'!$B$229=Q$3,SUMIF('TL01'!$C$238:$C$451,$C270,'TL01'!$J$238:$J$451),0),
IF('TL02'!$B$3=Q$3,SUMIF('TL02'!$C$10:$C$224,$C270,'TL02'!$J$10:$J$224),0),
IF('TL02'!$B$229=Q$3,SUMIF('TL02'!$C$238:$C$451,$C270,'TL02'!$J$238:$J$451),0),
IF('TL03'!$B$3=Q$3,SUMIF('TL03'!$C$10:$C$224,$C270,'TL03'!$J$10:$J$224),0),
IF('TL03'!$B$229=Q$3,SUMIF('TL03'!$C$238:$C$451,$C270,'TL03'!$J$238:$J$451),0),
IF('TL04'!$B$3=Q$3,SUMIF('TL04'!$C$10:$C$224,$C270,'TL04'!$J$10:$J$224),0),
IF('TL04'!$B$229=Q$3,SUMIF('TL04'!$C$238:$C$451,$C270,'TL04'!$J$238:$J$451),0),
IF('TL05'!$B$3=Q$3,SUMIF('TL05'!$C$10:$C$224,$C270,'TL05'!$J$10:$J$224),0),
IF('TL05'!$B$229=Q$3,SUMIF('TL05'!$C$238:$C$451,$C270,'TL05'!$J$238:$J$451),0),
IF('TL06'!$B$3=Q$3,SUMIF('TL06'!$C$10:$C$224,$C270,'TL06'!$J$10:$J$224),0),
IF('TL06'!$B$229=Q$3,SUMIF('TL06'!$C$238:$C$451,$C270,'TL06'!$J$238:$J$451),0),
IF('TL07'!$B$3=Q$3,SUMIF('TL07'!$C$10:$C$224,$C270,'TL07'!$J$10:$J$224),0),
IF('TL07'!$B$229=Q$3,SUMIF('TL07'!$C$238:$C$451,$C270,'TL07'!$J$238:$J$451),0),
IF('TL08'!$B$3=Q$3,SUMIF('TL08'!$C$10:$C$224,$C270,'TL08'!$J$10:$J$224),0),
IF('TL08'!$B$229=Q$3,SUMIF('TL08'!$C$238:$C$451,$C270,'TL08'!$J$238:$J$451),0),
IF('TL09'!$B$3=Q$3,SUMIF('TL09'!$C$10:$C$224,$C270,'TL09'!$J$10:$J$224),0),
IF('TL09'!$B$229=Q$3,SUMIF('TL09'!$C$238:$C$451,$C270,'TL09'!$J$238:$J$451),0),
IF('TL10'!$B$3=Q$3,SUMIF('TL10'!$C$10:$C$224,$C270,'TL10'!$J$10:$J$224),0),
IF('TL10'!$B$229=Q$3,SUMIF('TL10'!$C$238:$C$451,$C270,'TL10'!$J$238:$J$451),0),
IF('TL11'!$B$3=Q$3,SUMIF('TL11'!$C$10:$C$224,$C270,'TL11'!$J$10:$J$224),0),
IF('TL11'!$B$229=Q$3,SUMIF('TL11'!$C$238:$C$451,$C270,'TL11'!$J$238:$J$451),0),
IF('TL12'!$B$3=Q$3,SUMIF('TL12'!$C$10:$C$224,$C270,'TL12'!$J$10:$J$224),0),
IF('TL12'!$B$229=Q$3,SUMIF('TL12'!$C$238:$C$451,$C270,'TL12'!$J$238:$J$451),0),
IF('TL13'!$B$3=Q$3,SUMIF('TL13'!$C$10:$C$224,$C270,'TL13'!$J$10:$J$224),0),
IF('TL13'!$B$229=Q$3,SUMIF('TL13'!$C$238:$C$451,$C270,'TL13'!$J$238:$J$451),0),
IF('TL14'!$B$3=Q$3,SUMIF('TL14'!$C$10:$C$224,$C270,'TL14'!$J$10:$J$224),0),
IF('TL14'!$B$229=Q$3,SUMIF('TL14'!$C$238:$C$451,$C270,'TL14'!$J$238:$J$451),0),
IF('TL15'!$B$3=Q$3,SUMIF('TL15'!$C$10:$C$224,$C270,'TL15'!$J$10:$J$224),0),
IF('TL15'!$B$229=Q$3,SUMIF('TL15'!$C$238:$C$451,$C270,'TL15'!$J$238:$J$451),0),
IF('TL16'!$B$3=Q$3,SUMIF('TL16'!$C$10:$C$224,$C270,'TL16'!$J$10:$J$224),0),
IF('TL16'!$B$229=Q$3,SUMIF('TL16'!$C$238:$C$451,$C270,'TL16'!$J$238:$J$451),0),
IF('TL17'!$B$3=Q$3,SUMIF('TL17'!$C$10:$C$224,$C270,'TL17'!$J$10:$J$224),0),
IF('TL17'!$B$229=Q$3,SUMIF('TL17'!$C$238:$C$451,$C270,'TL17'!$J$238:$J$451),0),
IF('TL18'!$B$3=Q$3,SUMIF('TL18'!$C$10:$C$224,$C270,'TL18'!$J$10:$J$224),0),
IF('TL18'!$B$229=Q$3,SUMIF('TL18'!$C$238:$C$451,$C270,'TL18'!$J$238:$J$451),0),
IF('TL19'!$B$3=Q$3,SUMIF('TL19'!$C$10:$C$224,$C270,'TL19'!$J$10:$J$224),0),
IF('TL19'!$B$229=Q$3,SUMIF('TL19'!$C$238:$C$451,$C270,'TL19'!$J$238:$J$451),0)
),0)</f>
        <v/>
      </c>
      <c r="R270" s="9">
        <f>IFERROR(
SUM(
SUMIF('TL01'!C:C,C270,'TL01'!J:J),
SUMIF('TL02'!C:C,C270,'TL02'!J:J),
SUMIF('TL03'!C:C,C270,'TL03'!J:J),
SUMIF('TL04'!C:C,C270,'TL04'!J:J),
SUMIF('TL05'!C:C,C270,'TL05'!J:J),
SUMIF('TL06'!C:C,C270,'TL06'!J:J),
SUMIF('TL07'!C:C,C270,'TL07'!J:J),
SUMIF('TL08'!C:C,C270,'TL08'!J:J),
SUMIF('TL09'!C:C,C270,'TL09'!J:J),
SUMIF('TL10'!C:C,C270,'TL10'!J:J),
SUMIF('TL11'!C:C,C270,'TL11'!J:J),
SUMIF('TL12'!C:C,C270,'TL12'!J:J),
SUMIF('TL13'!C:C,C270,'TL13'!J:J),
SUMIF('TL14'!C:C,C270,'TL14'!J:J),
SUMIF('TL15'!C:C,C270,'TL15'!J:J),
SUMIF('TL16'!C:C,C270,'TL16'!J:J),
SUMIF('TL17'!C:C,C270,'TL17'!J:J),
SUMIF('TL18'!C:C,C270,'TL18'!J:J),SUMIF('TL19'!C:C,C270,'TL19'!J:J))
,0)</f>
        <v/>
      </c>
      <c r="S270" s="17">
        <f>IFERROR(__xludf.DUMMYFUNCTION("IFERROR(VLOOKUP(C270,
IMPORTRANGE(""1wULbzX32WdYsx-lj2U3uUNBBe2INVIRDtcK0d-Dvl90"",
""26-27!C:G""),
5,
FALSE),
"""")"),153.0)</f>
        <v/>
      </c>
      <c r="T270" s="9" t="n"/>
      <c r="U270" s="92">
        <f>MAX(0,R270-T270)</f>
        <v/>
      </c>
      <c r="V270" s="93">
        <f>U270*S270</f>
        <v/>
      </c>
    </row>
    <row r="271" hidden="1" ht="15.75" customHeight="1" s="297">
      <c r="A271" s="4" t="inlineStr">
        <is>
          <t>GRAN7</t>
        </is>
      </c>
      <c r="B271" s="125" t="inlineStr">
        <is>
          <t>NUTRIÇÃO</t>
        </is>
      </c>
      <c r="C271" s="4" t="inlineStr">
        <is>
          <t>Fergsum</t>
        </is>
      </c>
      <c r="D271" s="4" t="inlineStr">
        <is>
          <t>4% Glicina Betaína + 22% Ac. Fúlvicos</t>
        </is>
      </c>
      <c r="E271" s="9" t="n"/>
      <c r="F271" s="4" t="inlineStr">
        <is>
          <t>L</t>
        </is>
      </c>
      <c r="G271" s="9" t="n"/>
      <c r="H271" s="9" t="n">
        <v>0.3</v>
      </c>
      <c r="I271" s="1" t="n"/>
      <c r="J271" s="9">
        <f>IFERROR(SUM(
IF('TL01'!$B$3=J$3,SUMIF('TL01'!$C$10:$C$224,$C271,'TL01'!$J$10:$J$224),0),
IF('TL01'!$B$229=J$3,SUMIF('TL01'!$C$238:$C$451,$C271,'TL01'!$J$238:$J$451),0),
IF('TL02'!$B$3=J$3,SUMIF('TL02'!$C$10:$C$224,$C271,'TL02'!$J$10:$J$224),0),
IF('TL02'!$B$229=J$3,SUMIF('TL02'!$C$238:$C$451,$C271,'TL02'!$J$238:$J$451),0),
IF('TL03'!$B$3=J$3,SUMIF('TL03'!$C$10:$C$224,$C271,'TL03'!$J$10:$J$224),0),
IF('TL03'!$B$229=J$3,SUMIF('TL03'!$C$238:$C$451,$C271,'TL03'!$J$238:$J$451),0),
IF('TL04'!$B$3=J$3,SUMIF('TL04'!$C$10:$C$224,$C271,'TL04'!$J$10:$J$224),0),
IF('TL04'!$B$229=J$3,SUMIF('TL04'!$C$238:$C$451,$C271,'TL04'!$J$238:$J$451),0),
IF('TL05'!$B$3=J$3,SUMIF('TL05'!$C$10:$C$224,$C271,'TL05'!$J$10:$J$224),0),
IF('TL05'!$B$229=J$3,SUMIF('TL05'!$C$238:$C$451,$C271,'TL05'!$J$238:$J$451),0),
IF('TL06'!$B$3=J$3,SUMIF('TL06'!$C$10:$C$224,$C271,'TL06'!$J$10:$J$224),0),
IF('TL06'!$B$229=J$3,SUMIF('TL06'!$C$238:$C$451,$C271,'TL06'!$J$238:$J$451),0),
IF('TL07'!$B$3=J$3,SUMIF('TL07'!$C$10:$C$224,$C271,'TL07'!$J$10:$J$224),0),
IF('TL07'!$B$229=J$3,SUMIF('TL07'!$C$238:$C$451,$C271,'TL07'!$J$238:$J$451),0),
IF('TL08'!$B$3=J$3,SUMIF('TL08'!$C$10:$C$224,$C271,'TL08'!$J$10:$J$224),0),
IF('TL08'!$B$229=J$3,SUMIF('TL08'!$C$238:$C$451,$C271,'TL08'!$J$238:$J$451),0),
IF('TL09'!$B$3=J$3,SUMIF('TL09'!$C$10:$C$224,$C271,'TL09'!$J$10:$J$224),0),
IF('TL09'!$B$229=J$3,SUMIF('TL09'!$C$238:$C$451,$C271,'TL09'!$J$238:$J$451),0),
IF('TL10'!$B$3=J$3,SUMIF('TL10'!$C$10:$C$224,$C271,'TL10'!$J$10:$J$224),0),
IF('TL10'!$B$229=J$3,SUMIF('TL10'!$C$238:$C$451,$C271,'TL10'!$J$238:$J$451),0),
IF('TL11'!$B$3=J$3,SUMIF('TL11'!$C$10:$C$224,$C271,'TL11'!$J$10:$J$224),0),
IF('TL11'!$B$229=J$3,SUMIF('TL11'!$C$238:$C$451,$C271,'TL11'!$J$238:$J$451),0),
IF('TL12'!$B$3=J$3,SUMIF('TL12'!$C$10:$C$224,$C271,'TL12'!$J$10:$J$224),0),
IF('TL12'!$B$229=J$3,SUMIF('TL12'!$C$238:$C$451,$C271,'TL12'!$J$238:$J$451),0),
IF('TL13'!$B$3=J$3,SUMIF('TL13'!$C$10:$C$224,$C271,'TL13'!$J$10:$J$224),0),
IF('TL13'!$B$229=J$3,SUMIF('TL13'!$C$238:$C$451,$C271,'TL13'!$J$238:$J$451),0),
IF('TL14'!$B$3=J$3,SUMIF('TL14'!$C$10:$C$224,$C271,'TL14'!$J$10:$J$224),0),
IF('TL14'!$B$229=J$3,SUMIF('TL14'!$C$238:$C$451,$C271,'TL14'!$J$238:$J$451),0),
IF('TL15'!$B$3=J$3,SUMIF('TL15'!$C$10:$C$224,$C271,'TL15'!$J$10:$J$224),0),
IF('TL15'!$B$229=J$3,SUMIF('TL15'!$C$238:$C$451,$C271,'TL15'!$J$238:$J$451),0),
IF('TL16'!$B$3=J$3,SUMIF('TL16'!$C$10:$C$224,$C271,'TL16'!$J$10:$J$224),0),
IF('TL16'!$B$229=J$3,SUMIF('TL16'!$C$238:$C$451,$C271,'TL16'!$J$238:$J$451),0),
IF('TL17'!$B$3=J$3,SUMIF('TL17'!$C$10:$C$224,$C271,'TL17'!$J$10:$J$224),0),
IF('TL17'!$B$229=J$3,SUMIF('TL17'!$C$238:$C$451,$C271,'TL17'!$J$238:$J$451),0),
IF('TL18'!$B$3=J$3,SUMIF('TL18'!$C$10:$C$224,$C271,'TL18'!$J$10:$J$224),0),
IF('TL18'!$B$229=J$3,SUMIF('TL18'!$C$238:$C$451,$C271,'TL18'!$J$238:$J$451),0),
IF('TL19'!$B$3=J$3,SUMIF('TL19'!$C$10:$C$224,$C271,'TL19'!$J$10:$J$224),0),
IF('TL19'!$B$229=J$3,SUMIF('TL19'!$C$238:$C$451,$C271,'TL19'!$J$238:$J$451),0)
),0)</f>
        <v/>
      </c>
      <c r="K271" s="9">
        <f>IFERROR(SUM(
IF('TL01'!$B$3=K$3,SUMIF('TL01'!$C$10:$C$224,$C271,'TL01'!$J$10:$J$224),0),
IF('TL01'!$B$229=K$3,SUMIF('TL01'!$C$238:$C$451,$C271,'TL01'!$J$238:$J$451),0),
IF('TL02'!$B$3=K$3,SUMIF('TL02'!$C$10:$C$224,$C271,'TL02'!$J$10:$J$224),0),
IF('TL02'!$B$229=K$3,SUMIF('TL02'!$C$238:$C$451,$C271,'TL02'!$J$238:$J$451),0),
IF('TL03'!$B$3=K$3,SUMIF('TL03'!$C$10:$C$224,$C271,'TL03'!$J$10:$J$224),0),
IF('TL03'!$B$229=K$3,SUMIF('TL03'!$C$238:$C$451,$C271,'TL03'!$J$238:$J$451),0),
IF('TL04'!$B$3=K$3,SUMIF('TL04'!$C$10:$C$224,$C271,'TL04'!$J$10:$J$224),0),
IF('TL04'!$B$229=K$3,SUMIF('TL04'!$C$238:$C$451,$C271,'TL04'!$J$238:$J$451),0),
IF('TL05'!$B$3=K$3,SUMIF('TL05'!$C$10:$C$224,$C271,'TL05'!$J$10:$J$224),0),
IF('TL05'!$B$229=K$3,SUMIF('TL05'!$C$238:$C$451,$C271,'TL05'!$J$238:$J$451),0),
IF('TL06'!$B$3=K$3,SUMIF('TL06'!$C$10:$C$224,$C271,'TL06'!$J$10:$J$224),0),
IF('TL06'!$B$229=K$3,SUMIF('TL06'!$C$238:$C$451,$C271,'TL06'!$J$238:$J$451),0),
IF('TL07'!$B$3=K$3,SUMIF('TL07'!$C$10:$C$224,$C271,'TL07'!$J$10:$J$224),0),
IF('TL07'!$B$229=K$3,SUMIF('TL07'!$C$238:$C$451,$C271,'TL07'!$J$238:$J$451),0),
IF('TL08'!$B$3=K$3,SUMIF('TL08'!$C$10:$C$224,$C271,'TL08'!$J$10:$J$224),0),
IF('TL08'!$B$229=K$3,SUMIF('TL08'!$C$238:$C$451,$C271,'TL08'!$J$238:$J$451),0),
IF('TL09'!$B$3=K$3,SUMIF('TL09'!$C$10:$C$224,$C271,'TL09'!$J$10:$J$224),0),
IF('TL09'!$B$229=K$3,SUMIF('TL09'!$C$238:$C$451,$C271,'TL09'!$J$238:$J$451),0),
IF('TL10'!$B$3=K$3,SUMIF('TL10'!$C$10:$C$224,$C271,'TL10'!$J$10:$J$224),0),
IF('TL10'!$B$229=K$3,SUMIF('TL10'!$C$238:$C$451,$C271,'TL10'!$J$238:$J$451),0),
IF('TL11'!$B$3=K$3,SUMIF('TL11'!$C$10:$C$224,$C271,'TL11'!$J$10:$J$224),0),
IF('TL11'!$B$229=K$3,SUMIF('TL11'!$C$238:$C$451,$C271,'TL11'!$J$238:$J$451),0),
IF('TL12'!$B$3=K$3,SUMIF('TL12'!$C$10:$C$224,$C271,'TL12'!$J$10:$J$224),0),
IF('TL12'!$B$229=K$3,SUMIF('TL12'!$C$238:$C$451,$C271,'TL12'!$J$238:$J$451),0),
IF('TL13'!$B$3=K$3,SUMIF('TL13'!$C$10:$C$224,$C271,'TL13'!$J$10:$J$224),0),
IF('TL13'!$B$229=K$3,SUMIF('TL13'!$C$238:$C$451,$C271,'TL13'!$J$238:$J$451),0),
IF('TL14'!$B$3=K$3,SUMIF('TL14'!$C$10:$C$224,$C271,'TL14'!$J$10:$J$224),0),
IF('TL14'!$B$229=K$3,SUMIF('TL14'!$C$238:$C$451,$C271,'TL14'!$J$238:$J$451),0),
IF('TL15'!$B$3=K$3,SUMIF('TL15'!$C$10:$C$224,$C271,'TL15'!$J$10:$J$224),0),
IF('TL15'!$B$229=K$3,SUMIF('TL15'!$C$238:$C$451,$C271,'TL15'!$J$238:$J$451),0),
IF('TL16'!$B$3=K$3,SUMIF('TL16'!$C$10:$C$224,$C271,'TL16'!$J$10:$J$224),0),
IF('TL16'!$B$229=K$3,SUMIF('TL16'!$C$238:$C$451,$C271,'TL16'!$J$238:$J$451),0),
IF('TL17'!$B$3=K$3,SUMIF('TL17'!$C$10:$C$224,$C271,'TL17'!$J$10:$J$224),0),
IF('TL17'!$B$229=K$3,SUMIF('TL17'!$C$238:$C$451,$C271,'TL17'!$J$238:$J$451),0),
IF('TL18'!$B$3=K$3,SUMIF('TL18'!$C$10:$C$224,$C271,'TL18'!$J$10:$J$224),0),
IF('TL18'!$B$229=K$3,SUMIF('TL18'!$C$238:$C$451,$C271,'TL18'!$J$238:$J$451),0),
IF('TL19'!$B$3=K$3,SUMIF('TL19'!$C$10:$C$224,$C271,'TL19'!$J$10:$J$224),0),
IF('TL19'!$B$229=K$3,SUMIF('TL19'!$C$238:$C$451,$C271,'TL19'!$J$238:$J$451),0)
),0)</f>
        <v/>
      </c>
      <c r="L271" s="9">
        <f>IFERROR(SUM(
IF('TL01'!$B$3=L$3,SUMIF('TL01'!$C$10:$C$224,$C271,'TL01'!$J$10:$J$224),0),
IF('TL01'!$B$229=L$3,SUMIF('TL01'!$C$238:$C$451,$C271,'TL01'!$J$238:$J$451),0),
IF('TL02'!$B$3=L$3,SUMIF('TL02'!$C$10:$C$224,$C271,'TL02'!$J$10:$J$224),0),
IF('TL02'!$B$229=L$3,SUMIF('TL02'!$C$238:$C$451,$C271,'TL02'!$J$238:$J$451),0),
IF('TL03'!$B$3=L$3,SUMIF('TL03'!$C$10:$C$224,$C271,'TL03'!$J$10:$J$224),0),
IF('TL03'!$B$229=L$3,SUMIF('TL03'!$C$238:$C$451,$C271,'TL03'!$J$238:$J$451),0),
IF('TL04'!$B$3=L$3,SUMIF('TL04'!$C$10:$C$224,$C271,'TL04'!$J$10:$J$224),0),
IF('TL04'!$B$229=L$3,SUMIF('TL04'!$C$238:$C$451,$C271,'TL04'!$J$238:$J$451),0),
IF('TL05'!$B$3=L$3,SUMIF('TL05'!$C$10:$C$224,$C271,'TL05'!$J$10:$J$224),0),
IF('TL05'!$B$229=L$3,SUMIF('TL05'!$C$238:$C$451,$C271,'TL05'!$J$238:$J$451),0),
IF('TL06'!$B$3=L$3,SUMIF('TL06'!$C$10:$C$224,$C271,'TL06'!$J$10:$J$224),0),
IF('TL06'!$B$229=L$3,SUMIF('TL06'!$C$238:$C$451,$C271,'TL06'!$J$238:$J$451),0),
IF('TL07'!$B$3=L$3,SUMIF('TL07'!$C$10:$C$224,$C271,'TL07'!$J$10:$J$224),0),
IF('TL07'!$B$229=L$3,SUMIF('TL07'!$C$238:$C$451,$C271,'TL07'!$J$238:$J$451),0),
IF('TL08'!$B$3=L$3,SUMIF('TL08'!$C$10:$C$224,$C271,'TL08'!$J$10:$J$224),0),
IF('TL08'!$B$229=L$3,SUMIF('TL08'!$C$238:$C$451,$C271,'TL08'!$J$238:$J$451),0),
IF('TL09'!$B$3=L$3,SUMIF('TL09'!$C$10:$C$224,$C271,'TL09'!$J$10:$J$224),0),
IF('TL09'!$B$229=L$3,SUMIF('TL09'!$C$238:$C$451,$C271,'TL09'!$J$238:$J$451),0),
IF('TL10'!$B$3=L$3,SUMIF('TL10'!$C$10:$C$224,$C271,'TL10'!$J$10:$J$224),0),
IF('TL10'!$B$229=L$3,SUMIF('TL10'!$C$238:$C$451,$C271,'TL10'!$J$238:$J$451),0),
IF('TL11'!$B$3=L$3,SUMIF('TL11'!$C$10:$C$224,$C271,'TL11'!$J$10:$J$224),0),
IF('TL11'!$B$229=L$3,SUMIF('TL11'!$C$238:$C$451,$C271,'TL11'!$J$238:$J$451),0),
IF('TL12'!$B$3=L$3,SUMIF('TL12'!$C$10:$C$224,$C271,'TL12'!$J$10:$J$224),0),
IF('TL12'!$B$229=L$3,SUMIF('TL12'!$C$238:$C$451,$C271,'TL12'!$J$238:$J$451),0),
IF('TL13'!$B$3=L$3,SUMIF('TL13'!$C$10:$C$224,$C271,'TL13'!$J$10:$J$224),0),
IF('TL13'!$B$229=L$3,SUMIF('TL13'!$C$238:$C$451,$C271,'TL13'!$J$238:$J$451),0),
IF('TL14'!$B$3=L$3,SUMIF('TL14'!$C$10:$C$224,$C271,'TL14'!$J$10:$J$224),0),
IF('TL14'!$B$229=L$3,SUMIF('TL14'!$C$238:$C$451,$C271,'TL14'!$J$238:$J$451),0),
IF('TL15'!$B$3=L$3,SUMIF('TL15'!$C$10:$C$224,$C271,'TL15'!$J$10:$J$224),0),
IF('TL15'!$B$229=L$3,SUMIF('TL15'!$C$238:$C$451,$C271,'TL15'!$J$238:$J$451),0),
IF('TL16'!$B$3=L$3,SUMIF('TL16'!$C$10:$C$224,$C271,'TL16'!$J$10:$J$224),0),
IF('TL16'!$B$229=L$3,SUMIF('TL16'!$C$238:$C$451,$C271,'TL16'!$J$238:$J$451),0),
IF('TL17'!$B$3=L$3,SUMIF('TL17'!$C$10:$C$224,$C271,'TL17'!$J$10:$J$224),0),
IF('TL17'!$B$229=L$3,SUMIF('TL17'!$C$238:$C$451,$C271,'TL17'!$J$238:$J$451),0),
IF('TL18'!$B$3=L$3,SUMIF('TL18'!$C$10:$C$224,$C271,'TL18'!$J$10:$J$224),0),
IF('TL18'!$B$229=L$3,SUMIF('TL18'!$C$238:$C$451,$C271,'TL18'!$J$238:$J$451),0),
IF('TL19'!$B$3=L$3,SUMIF('TL19'!$C$10:$C$224,$C271,'TL19'!$J$10:$J$224),0),
IF('TL19'!$B$229=L$3,SUMIF('TL19'!$C$238:$C$451,$C271,'TL19'!$J$238:$J$451),0)
),0)</f>
        <v/>
      </c>
      <c r="M271" s="9">
        <f>IFERROR(SUM(
IF('TL01'!$B$3=M$3,SUMIF('TL01'!$C$10:$C$224,$C271,'TL01'!$J$10:$J$224),0),
IF('TL01'!$B$229=M$3,SUMIF('TL01'!$C$238:$C$451,$C271,'TL01'!$J$238:$J$451),0),
IF('TL02'!$B$3=M$3,SUMIF('TL02'!$C$10:$C$224,$C271,'TL02'!$J$10:$J$224),0),
IF('TL02'!$B$229=M$3,SUMIF('TL02'!$C$238:$C$451,$C271,'TL02'!$J$238:$J$451),0),
IF('TL03'!$B$3=M$3,SUMIF('TL03'!$C$10:$C$224,$C271,'TL03'!$J$10:$J$224),0),
IF('TL03'!$B$229=M$3,SUMIF('TL03'!$C$238:$C$451,$C271,'TL03'!$J$238:$J$451),0),
IF('TL04'!$B$3=M$3,SUMIF('TL04'!$C$10:$C$224,$C271,'TL04'!$J$10:$J$224),0),
IF('TL04'!$B$229=M$3,SUMIF('TL04'!$C$238:$C$451,$C271,'TL04'!$J$238:$J$451),0),
IF('TL05'!$B$3=M$3,SUMIF('TL05'!$C$10:$C$224,$C271,'TL05'!$J$10:$J$224),0),
IF('TL05'!$B$229=M$3,SUMIF('TL05'!$C$238:$C$451,$C271,'TL05'!$J$238:$J$451),0),
IF('TL06'!$B$3=M$3,SUMIF('TL06'!$C$10:$C$224,$C271,'TL06'!$J$10:$J$224),0),
IF('TL06'!$B$229=M$3,SUMIF('TL06'!$C$238:$C$451,$C271,'TL06'!$J$238:$J$451),0),
IF('TL07'!$B$3=M$3,SUMIF('TL07'!$C$10:$C$224,$C271,'TL07'!$J$10:$J$224),0),
IF('TL07'!$B$229=M$3,SUMIF('TL07'!$C$238:$C$451,$C271,'TL07'!$J$238:$J$451),0),
IF('TL08'!$B$3=M$3,SUMIF('TL08'!$C$10:$C$224,$C271,'TL08'!$J$10:$J$224),0),
IF('TL08'!$B$229=M$3,SUMIF('TL08'!$C$238:$C$451,$C271,'TL08'!$J$238:$J$451),0),
IF('TL09'!$B$3=M$3,SUMIF('TL09'!$C$10:$C$224,$C271,'TL09'!$J$10:$J$224),0),
IF('TL09'!$B$229=M$3,SUMIF('TL09'!$C$238:$C$451,$C271,'TL09'!$J$238:$J$451),0),
IF('TL10'!$B$3=M$3,SUMIF('TL10'!$C$10:$C$224,$C271,'TL10'!$J$10:$J$224),0),
IF('TL10'!$B$229=M$3,SUMIF('TL10'!$C$238:$C$451,$C271,'TL10'!$J$238:$J$451),0),
IF('TL11'!$B$3=M$3,SUMIF('TL11'!$C$10:$C$224,$C271,'TL11'!$J$10:$J$224),0),
IF('TL11'!$B$229=M$3,SUMIF('TL11'!$C$238:$C$451,$C271,'TL11'!$J$238:$J$451),0),
IF('TL12'!$B$3=M$3,SUMIF('TL12'!$C$10:$C$224,$C271,'TL12'!$J$10:$J$224),0),
IF('TL12'!$B$229=M$3,SUMIF('TL12'!$C$238:$C$451,$C271,'TL12'!$J$238:$J$451),0),
IF('TL13'!$B$3=M$3,SUMIF('TL13'!$C$10:$C$224,$C271,'TL13'!$J$10:$J$224),0),
IF('TL13'!$B$229=M$3,SUMIF('TL13'!$C$238:$C$451,$C271,'TL13'!$J$238:$J$451),0),
IF('TL14'!$B$3=M$3,SUMIF('TL14'!$C$10:$C$224,$C271,'TL14'!$J$10:$J$224),0),
IF('TL14'!$B$229=M$3,SUMIF('TL14'!$C$238:$C$451,$C271,'TL14'!$J$238:$J$451),0),
IF('TL15'!$B$3=M$3,SUMIF('TL15'!$C$10:$C$224,$C271,'TL15'!$J$10:$J$224),0),
IF('TL15'!$B$229=M$3,SUMIF('TL15'!$C$238:$C$451,$C271,'TL15'!$J$238:$J$451),0),
IF('TL16'!$B$3=M$3,SUMIF('TL16'!$C$10:$C$224,$C271,'TL16'!$J$10:$J$224),0),
IF('TL16'!$B$229=M$3,SUMIF('TL16'!$C$238:$C$451,$C271,'TL16'!$J$238:$J$451),0),
IF('TL17'!$B$3=M$3,SUMIF('TL17'!$C$10:$C$224,$C271,'TL17'!$J$10:$J$224),0),
IF('TL17'!$B$229=M$3,SUMIF('TL17'!$C$238:$C$451,$C271,'TL17'!$J$238:$J$451),0),
IF('TL18'!$B$3=M$3,SUMIF('TL18'!$C$10:$C$224,$C271,'TL18'!$J$10:$J$224),0),
IF('TL18'!$B$229=M$3,SUMIF('TL18'!$C$238:$C$451,$C271,'TL18'!$J$238:$J$451),0),
IF('TL19'!$B$3=M$3,SUMIF('TL19'!$C$10:$C$224,$C271,'TL19'!$J$10:$J$224),0),
IF('TL19'!$B$229=M$3,SUMIF('TL19'!$C$238:$C$451,$C271,'TL19'!$J$238:$J$451),0)
),0)</f>
        <v/>
      </c>
      <c r="N271" s="9">
        <f>IFERROR(SUM(
IF('TL01'!$B$3=N$3,SUMIF('TL01'!$C$10:$C$224,$C271,'TL01'!$J$10:$J$224),0),
IF('TL01'!$B$229=N$3,SUMIF('TL01'!$C$238:$C$451,$C271,'TL01'!$J$238:$J$451),0),
IF('TL02'!$B$3=N$3,SUMIF('TL02'!$C$10:$C$224,$C271,'TL02'!$J$10:$J$224),0),
IF('TL02'!$B$229=N$3,SUMIF('TL02'!$C$238:$C$451,$C271,'TL02'!$J$238:$J$451),0),
IF('TL03'!$B$3=N$3,SUMIF('TL03'!$C$10:$C$224,$C271,'TL03'!$J$10:$J$224),0),
IF('TL03'!$B$229=N$3,SUMIF('TL03'!$C$238:$C$451,$C271,'TL03'!$J$238:$J$451),0),
IF('TL04'!$B$3=N$3,SUMIF('TL04'!$C$10:$C$224,$C271,'TL04'!$J$10:$J$224),0),
IF('TL04'!$B$229=N$3,SUMIF('TL04'!$C$238:$C$451,$C271,'TL04'!$J$238:$J$451),0),
IF('TL05'!$B$3=N$3,SUMIF('TL05'!$C$10:$C$224,$C271,'TL05'!$J$10:$J$224),0),
IF('TL05'!$B$229=N$3,SUMIF('TL05'!$C$238:$C$451,$C271,'TL05'!$J$238:$J$451),0),
IF('TL06'!$B$3=N$3,SUMIF('TL06'!$C$10:$C$224,$C271,'TL06'!$J$10:$J$224),0),
IF('TL06'!$B$229=N$3,SUMIF('TL06'!$C$238:$C$451,$C271,'TL06'!$J$238:$J$451),0),
IF('TL07'!$B$3=N$3,SUMIF('TL07'!$C$10:$C$224,$C271,'TL07'!$J$10:$J$224),0),
IF('TL07'!$B$229=N$3,SUMIF('TL07'!$C$238:$C$451,$C271,'TL07'!$J$238:$J$451),0),
IF('TL08'!$B$3=N$3,SUMIF('TL08'!$C$10:$C$224,$C271,'TL08'!$J$10:$J$224),0),
IF('TL08'!$B$229=N$3,SUMIF('TL08'!$C$238:$C$451,$C271,'TL08'!$J$238:$J$451),0),
IF('TL09'!$B$3=N$3,SUMIF('TL09'!$C$10:$C$224,$C271,'TL09'!$J$10:$J$224),0),
IF('TL09'!$B$229=N$3,SUMIF('TL09'!$C$238:$C$451,$C271,'TL09'!$J$238:$J$451),0),
IF('TL10'!$B$3=N$3,SUMIF('TL10'!$C$10:$C$224,$C271,'TL10'!$J$10:$J$224),0),
IF('TL10'!$B$229=N$3,SUMIF('TL10'!$C$238:$C$451,$C271,'TL10'!$J$238:$J$451),0),
IF('TL11'!$B$3=N$3,SUMIF('TL11'!$C$10:$C$224,$C271,'TL11'!$J$10:$J$224),0),
IF('TL11'!$B$229=N$3,SUMIF('TL11'!$C$238:$C$451,$C271,'TL11'!$J$238:$J$451),0),
IF('TL12'!$B$3=N$3,SUMIF('TL12'!$C$10:$C$224,$C271,'TL12'!$J$10:$J$224),0),
IF('TL12'!$B$229=N$3,SUMIF('TL12'!$C$238:$C$451,$C271,'TL12'!$J$238:$J$451),0),
IF('TL13'!$B$3=N$3,SUMIF('TL13'!$C$10:$C$224,$C271,'TL13'!$J$10:$J$224),0),
IF('TL13'!$B$229=N$3,SUMIF('TL13'!$C$238:$C$451,$C271,'TL13'!$J$238:$J$451),0),
IF('TL14'!$B$3=N$3,SUMIF('TL14'!$C$10:$C$224,$C271,'TL14'!$J$10:$J$224),0),
IF('TL14'!$B$229=N$3,SUMIF('TL14'!$C$238:$C$451,$C271,'TL14'!$J$238:$J$451),0),
IF('TL15'!$B$3=N$3,SUMIF('TL15'!$C$10:$C$224,$C271,'TL15'!$J$10:$J$224),0),
IF('TL15'!$B$229=N$3,SUMIF('TL15'!$C$238:$C$451,$C271,'TL15'!$J$238:$J$451),0),
IF('TL16'!$B$3=N$3,SUMIF('TL16'!$C$10:$C$224,$C271,'TL16'!$J$10:$J$224),0),
IF('TL16'!$B$229=N$3,SUMIF('TL16'!$C$238:$C$451,$C271,'TL16'!$J$238:$J$451),0),
IF('TL17'!$B$3=N$3,SUMIF('TL17'!$C$10:$C$224,$C271,'TL17'!$J$10:$J$224),0),
IF('TL17'!$B$229=N$3,SUMIF('TL17'!$C$238:$C$451,$C271,'TL17'!$J$238:$J$451),0),
IF('TL18'!$B$3=N$3,SUMIF('TL18'!$C$10:$C$224,$C271,'TL18'!$J$10:$J$224),0),
IF('TL18'!$B$229=N$3,SUMIF('TL18'!$C$238:$C$451,$C271,'TL18'!$J$238:$J$451),0),
IF('TL19'!$B$3=N$3,SUMIF('TL19'!$C$10:$C$224,$C271,'TL19'!$J$10:$J$224),0),
IF('TL19'!$B$229=N$3,SUMIF('TL19'!$C$238:$C$451,$C271,'TL19'!$J$238:$J$451),0)
),0)</f>
        <v/>
      </c>
      <c r="O271" s="9">
        <f>IFERROR(SUM(
IF('TL01'!$B$3=O$3,SUMIF('TL01'!$C$10:$C$224,$C271,'TL01'!$J$10:$J$224),0),
IF('TL01'!$B$229=O$3,SUMIF('TL01'!$C$238:$C$451,$C271,'TL01'!$J$238:$J$451),0),
IF('TL02'!$B$3=O$3,SUMIF('TL02'!$C$10:$C$224,$C271,'TL02'!$J$10:$J$224),0),
IF('TL02'!$B$229=O$3,SUMIF('TL02'!$C$238:$C$451,$C271,'TL02'!$J$238:$J$451),0),
IF('TL03'!$B$3=O$3,SUMIF('TL03'!$C$10:$C$224,$C271,'TL03'!$J$10:$J$224),0),
IF('TL03'!$B$229=O$3,SUMIF('TL03'!$C$238:$C$451,$C271,'TL03'!$J$238:$J$451),0),
IF('TL04'!$B$3=O$3,SUMIF('TL04'!$C$10:$C$224,$C271,'TL04'!$J$10:$J$224),0),
IF('TL04'!$B$229=O$3,SUMIF('TL04'!$C$238:$C$451,$C271,'TL04'!$J$238:$J$451),0),
IF('TL05'!$B$3=O$3,SUMIF('TL05'!$C$10:$C$224,$C271,'TL05'!$J$10:$J$224),0),
IF('TL05'!$B$229=O$3,SUMIF('TL05'!$C$238:$C$451,$C271,'TL05'!$J$238:$J$451),0),
IF('TL06'!$B$3=O$3,SUMIF('TL06'!$C$10:$C$224,$C271,'TL06'!$J$10:$J$224),0),
IF('TL06'!$B$229=O$3,SUMIF('TL06'!$C$238:$C$451,$C271,'TL06'!$J$238:$J$451),0),
IF('TL07'!$B$3=O$3,SUMIF('TL07'!$C$10:$C$224,$C271,'TL07'!$J$10:$J$224),0),
IF('TL07'!$B$229=O$3,SUMIF('TL07'!$C$238:$C$451,$C271,'TL07'!$J$238:$J$451),0),
IF('TL08'!$B$3=O$3,SUMIF('TL08'!$C$10:$C$224,$C271,'TL08'!$J$10:$J$224),0),
IF('TL08'!$B$229=O$3,SUMIF('TL08'!$C$238:$C$451,$C271,'TL08'!$J$238:$J$451),0),
IF('TL09'!$B$3=O$3,SUMIF('TL09'!$C$10:$C$224,$C271,'TL09'!$J$10:$J$224),0),
IF('TL09'!$B$229=O$3,SUMIF('TL09'!$C$238:$C$451,$C271,'TL09'!$J$238:$J$451),0),
IF('TL10'!$B$3=O$3,SUMIF('TL10'!$C$10:$C$224,$C271,'TL10'!$J$10:$J$224),0),
IF('TL10'!$B$229=O$3,SUMIF('TL10'!$C$238:$C$451,$C271,'TL10'!$J$238:$J$451),0),
IF('TL11'!$B$3=O$3,SUMIF('TL11'!$C$10:$C$224,$C271,'TL11'!$J$10:$J$224),0),
IF('TL11'!$B$229=O$3,SUMIF('TL11'!$C$238:$C$451,$C271,'TL11'!$J$238:$J$451),0),
IF('TL12'!$B$3=O$3,SUMIF('TL12'!$C$10:$C$224,$C271,'TL12'!$J$10:$J$224),0),
IF('TL12'!$B$229=O$3,SUMIF('TL12'!$C$238:$C$451,$C271,'TL12'!$J$238:$J$451),0),
IF('TL13'!$B$3=O$3,SUMIF('TL13'!$C$10:$C$224,$C271,'TL13'!$J$10:$J$224),0),
IF('TL13'!$B$229=O$3,SUMIF('TL13'!$C$238:$C$451,$C271,'TL13'!$J$238:$J$451),0),
IF('TL14'!$B$3=O$3,SUMIF('TL14'!$C$10:$C$224,$C271,'TL14'!$J$10:$J$224),0),
IF('TL14'!$B$229=O$3,SUMIF('TL14'!$C$238:$C$451,$C271,'TL14'!$J$238:$J$451),0),
IF('TL15'!$B$3=O$3,SUMIF('TL15'!$C$10:$C$224,$C271,'TL15'!$J$10:$J$224),0),
IF('TL15'!$B$229=O$3,SUMIF('TL15'!$C$238:$C$451,$C271,'TL15'!$J$238:$J$451),0),
IF('TL16'!$B$3=O$3,SUMIF('TL16'!$C$10:$C$224,$C271,'TL16'!$J$10:$J$224),0),
IF('TL16'!$B$229=O$3,SUMIF('TL16'!$C$238:$C$451,$C271,'TL16'!$J$238:$J$451),0),
IF('TL17'!$B$3=O$3,SUMIF('TL17'!$C$10:$C$224,$C271,'TL17'!$J$10:$J$224),0),
IF('TL17'!$B$229=O$3,SUMIF('TL17'!$C$238:$C$451,$C271,'TL17'!$J$238:$J$451),0),
IF('TL18'!$B$3=O$3,SUMIF('TL18'!$C$10:$C$224,$C271,'TL18'!$J$10:$J$224),0),
IF('TL18'!$B$229=O$3,SUMIF('TL18'!$C$238:$C$451,$C271,'TL18'!$J$238:$J$451),0),
IF('TL19'!$B$3=O$3,SUMIF('TL19'!$C$10:$C$224,$C271,'TL19'!$J$10:$J$224),0),
IF('TL19'!$B$229=O$3,SUMIF('TL19'!$C$238:$C$451,$C271,'TL19'!$J$238:$J$451),0)
),0)</f>
        <v/>
      </c>
      <c r="P271" s="9">
        <f>IFERROR(SUM(
IF('TL01'!$B$3=P$3,SUMIF('TL01'!$C$10:$C$224,$C271,'TL01'!$J$10:$J$224),0),
IF('TL01'!$B$229=P$3,SUMIF('TL01'!$C$238:$C$451,$C271,'TL01'!$J$238:$J$451),0),
IF('TL02'!$B$3=P$3,SUMIF('TL02'!$C$10:$C$224,$C271,'TL02'!$J$10:$J$224),0),
IF('TL02'!$B$229=P$3,SUMIF('TL02'!$C$238:$C$451,$C271,'TL02'!$J$238:$J$451),0),
IF('TL03'!$B$3=P$3,SUMIF('TL03'!$C$10:$C$224,$C271,'TL03'!$J$10:$J$224),0),
IF('TL03'!$B$229=P$3,SUMIF('TL03'!$C$238:$C$451,$C271,'TL03'!$J$238:$J$451),0),
IF('TL04'!$B$3=P$3,SUMIF('TL04'!$C$10:$C$224,$C271,'TL04'!$J$10:$J$224),0),
IF('TL04'!$B$229=P$3,SUMIF('TL04'!$C$238:$C$451,$C271,'TL04'!$J$238:$J$451),0),
IF('TL05'!$B$3=P$3,SUMIF('TL05'!$C$10:$C$224,$C271,'TL05'!$J$10:$J$224),0),
IF('TL05'!$B$229=P$3,SUMIF('TL05'!$C$238:$C$451,$C271,'TL05'!$J$238:$J$451),0),
IF('TL06'!$B$3=P$3,SUMIF('TL06'!$C$10:$C$224,$C271,'TL06'!$J$10:$J$224),0),
IF('TL06'!$B$229=P$3,SUMIF('TL06'!$C$238:$C$451,$C271,'TL06'!$J$238:$J$451),0),
IF('TL07'!$B$3=P$3,SUMIF('TL07'!$C$10:$C$224,$C271,'TL07'!$J$10:$J$224),0),
IF('TL07'!$B$229=P$3,SUMIF('TL07'!$C$238:$C$451,$C271,'TL07'!$J$238:$J$451),0),
IF('TL08'!$B$3=P$3,SUMIF('TL08'!$C$10:$C$224,$C271,'TL08'!$J$10:$J$224),0),
IF('TL08'!$B$229=P$3,SUMIF('TL08'!$C$238:$C$451,$C271,'TL08'!$J$238:$J$451),0),
IF('TL09'!$B$3=P$3,SUMIF('TL09'!$C$10:$C$224,$C271,'TL09'!$J$10:$J$224),0),
IF('TL09'!$B$229=P$3,SUMIF('TL09'!$C$238:$C$451,$C271,'TL09'!$J$238:$J$451),0),
IF('TL10'!$B$3=P$3,SUMIF('TL10'!$C$10:$C$224,$C271,'TL10'!$J$10:$J$224),0),
IF('TL10'!$B$229=P$3,SUMIF('TL10'!$C$238:$C$451,$C271,'TL10'!$J$238:$J$451),0),
IF('TL11'!$B$3=P$3,SUMIF('TL11'!$C$10:$C$224,$C271,'TL11'!$J$10:$J$224),0),
IF('TL11'!$B$229=P$3,SUMIF('TL11'!$C$238:$C$451,$C271,'TL11'!$J$238:$J$451),0),
IF('TL12'!$B$3=P$3,SUMIF('TL12'!$C$10:$C$224,$C271,'TL12'!$J$10:$J$224),0),
IF('TL12'!$B$229=P$3,SUMIF('TL12'!$C$238:$C$451,$C271,'TL12'!$J$238:$J$451),0),
IF('TL13'!$B$3=P$3,SUMIF('TL13'!$C$10:$C$224,$C271,'TL13'!$J$10:$J$224),0),
IF('TL13'!$B$229=P$3,SUMIF('TL13'!$C$238:$C$451,$C271,'TL13'!$J$238:$J$451),0),
IF('TL14'!$B$3=P$3,SUMIF('TL14'!$C$10:$C$224,$C271,'TL14'!$J$10:$J$224),0),
IF('TL14'!$B$229=P$3,SUMIF('TL14'!$C$238:$C$451,$C271,'TL14'!$J$238:$J$451),0),
IF('TL15'!$B$3=P$3,SUMIF('TL15'!$C$10:$C$224,$C271,'TL15'!$J$10:$J$224),0),
IF('TL15'!$B$229=P$3,SUMIF('TL15'!$C$238:$C$451,$C271,'TL15'!$J$238:$J$451),0),
IF('TL16'!$B$3=P$3,SUMIF('TL16'!$C$10:$C$224,$C271,'TL16'!$J$10:$J$224),0),
IF('TL16'!$B$229=P$3,SUMIF('TL16'!$C$238:$C$451,$C271,'TL16'!$J$238:$J$451),0),
IF('TL17'!$B$3=P$3,SUMIF('TL17'!$C$10:$C$224,$C271,'TL17'!$J$10:$J$224),0),
IF('TL17'!$B$229=P$3,SUMIF('TL17'!$C$238:$C$451,$C271,'TL17'!$J$238:$J$451),0),
IF('TL18'!$B$3=P$3,SUMIF('TL18'!$C$10:$C$224,$C271,'TL18'!$J$10:$J$224),0),
IF('TL18'!$B$229=P$3,SUMIF('TL18'!$C$238:$C$451,$C271,'TL18'!$J$238:$J$451),0),
IF('TL19'!$B$3=P$3,SUMIF('TL19'!$C$10:$C$224,$C271,'TL19'!$J$10:$J$224),0),
IF('TL19'!$B$229=P$3,SUMIF('TL19'!$C$238:$C$451,$C271,'TL19'!$J$238:$J$451),0)
),0)</f>
        <v/>
      </c>
      <c r="Q271" s="9">
        <f>IFERROR(SUM(
IF('TL01'!$B$3=Q$3,SUMIF('TL01'!$C$10:$C$224,$C271,'TL01'!$J$10:$J$224),0),
IF('TL01'!$B$229=Q$3,SUMIF('TL01'!$C$238:$C$451,$C271,'TL01'!$J$238:$J$451),0),
IF('TL02'!$B$3=Q$3,SUMIF('TL02'!$C$10:$C$224,$C271,'TL02'!$J$10:$J$224),0),
IF('TL02'!$B$229=Q$3,SUMIF('TL02'!$C$238:$C$451,$C271,'TL02'!$J$238:$J$451),0),
IF('TL03'!$B$3=Q$3,SUMIF('TL03'!$C$10:$C$224,$C271,'TL03'!$J$10:$J$224),0),
IF('TL03'!$B$229=Q$3,SUMIF('TL03'!$C$238:$C$451,$C271,'TL03'!$J$238:$J$451),0),
IF('TL04'!$B$3=Q$3,SUMIF('TL04'!$C$10:$C$224,$C271,'TL04'!$J$10:$J$224),0),
IF('TL04'!$B$229=Q$3,SUMIF('TL04'!$C$238:$C$451,$C271,'TL04'!$J$238:$J$451),0),
IF('TL05'!$B$3=Q$3,SUMIF('TL05'!$C$10:$C$224,$C271,'TL05'!$J$10:$J$224),0),
IF('TL05'!$B$229=Q$3,SUMIF('TL05'!$C$238:$C$451,$C271,'TL05'!$J$238:$J$451),0),
IF('TL06'!$B$3=Q$3,SUMIF('TL06'!$C$10:$C$224,$C271,'TL06'!$J$10:$J$224),0),
IF('TL06'!$B$229=Q$3,SUMIF('TL06'!$C$238:$C$451,$C271,'TL06'!$J$238:$J$451),0),
IF('TL07'!$B$3=Q$3,SUMIF('TL07'!$C$10:$C$224,$C271,'TL07'!$J$10:$J$224),0),
IF('TL07'!$B$229=Q$3,SUMIF('TL07'!$C$238:$C$451,$C271,'TL07'!$J$238:$J$451),0),
IF('TL08'!$B$3=Q$3,SUMIF('TL08'!$C$10:$C$224,$C271,'TL08'!$J$10:$J$224),0),
IF('TL08'!$B$229=Q$3,SUMIF('TL08'!$C$238:$C$451,$C271,'TL08'!$J$238:$J$451),0),
IF('TL09'!$B$3=Q$3,SUMIF('TL09'!$C$10:$C$224,$C271,'TL09'!$J$10:$J$224),0),
IF('TL09'!$B$229=Q$3,SUMIF('TL09'!$C$238:$C$451,$C271,'TL09'!$J$238:$J$451),0),
IF('TL10'!$B$3=Q$3,SUMIF('TL10'!$C$10:$C$224,$C271,'TL10'!$J$10:$J$224),0),
IF('TL10'!$B$229=Q$3,SUMIF('TL10'!$C$238:$C$451,$C271,'TL10'!$J$238:$J$451),0),
IF('TL11'!$B$3=Q$3,SUMIF('TL11'!$C$10:$C$224,$C271,'TL11'!$J$10:$J$224),0),
IF('TL11'!$B$229=Q$3,SUMIF('TL11'!$C$238:$C$451,$C271,'TL11'!$J$238:$J$451),0),
IF('TL12'!$B$3=Q$3,SUMIF('TL12'!$C$10:$C$224,$C271,'TL12'!$J$10:$J$224),0),
IF('TL12'!$B$229=Q$3,SUMIF('TL12'!$C$238:$C$451,$C271,'TL12'!$J$238:$J$451),0),
IF('TL13'!$B$3=Q$3,SUMIF('TL13'!$C$10:$C$224,$C271,'TL13'!$J$10:$J$224),0),
IF('TL13'!$B$229=Q$3,SUMIF('TL13'!$C$238:$C$451,$C271,'TL13'!$J$238:$J$451),0),
IF('TL14'!$B$3=Q$3,SUMIF('TL14'!$C$10:$C$224,$C271,'TL14'!$J$10:$J$224),0),
IF('TL14'!$B$229=Q$3,SUMIF('TL14'!$C$238:$C$451,$C271,'TL14'!$J$238:$J$451),0),
IF('TL15'!$B$3=Q$3,SUMIF('TL15'!$C$10:$C$224,$C271,'TL15'!$J$10:$J$224),0),
IF('TL15'!$B$229=Q$3,SUMIF('TL15'!$C$238:$C$451,$C271,'TL15'!$J$238:$J$451),0),
IF('TL16'!$B$3=Q$3,SUMIF('TL16'!$C$10:$C$224,$C271,'TL16'!$J$10:$J$224),0),
IF('TL16'!$B$229=Q$3,SUMIF('TL16'!$C$238:$C$451,$C271,'TL16'!$J$238:$J$451),0),
IF('TL17'!$B$3=Q$3,SUMIF('TL17'!$C$10:$C$224,$C271,'TL17'!$J$10:$J$224),0),
IF('TL17'!$B$229=Q$3,SUMIF('TL17'!$C$238:$C$451,$C271,'TL17'!$J$238:$J$451),0),
IF('TL18'!$B$3=Q$3,SUMIF('TL18'!$C$10:$C$224,$C271,'TL18'!$J$10:$J$224),0),
IF('TL18'!$B$229=Q$3,SUMIF('TL18'!$C$238:$C$451,$C271,'TL18'!$J$238:$J$451),0),
IF('TL19'!$B$3=Q$3,SUMIF('TL19'!$C$10:$C$224,$C271,'TL19'!$J$10:$J$224),0),
IF('TL19'!$B$229=Q$3,SUMIF('TL19'!$C$238:$C$451,$C271,'TL19'!$J$238:$J$451),0)
),0)</f>
        <v/>
      </c>
      <c r="R271" s="9">
        <f>IFERROR(
SUM(
SUMIF('TL01'!C:C,C271,'TL01'!J:J),
SUMIF('TL02'!C:C,C271,'TL02'!J:J),
SUMIF('TL03'!C:C,C271,'TL03'!J:J),
SUMIF('TL04'!C:C,C271,'TL04'!J:J),
SUMIF('TL05'!C:C,C271,'TL05'!J:J),
SUMIF('TL06'!C:C,C271,'TL06'!J:J),
SUMIF('TL07'!C:C,C271,'TL07'!J:J),
SUMIF('TL08'!C:C,C271,'TL08'!J:J),
SUMIF('TL09'!C:C,C271,'TL09'!J:J),
SUMIF('TL10'!C:C,C271,'TL10'!J:J),
SUMIF('TL11'!C:C,C271,'TL11'!J:J),
SUMIF('TL12'!C:C,C271,'TL12'!J:J),
SUMIF('TL13'!C:C,C271,'TL13'!J:J),
SUMIF('TL14'!C:C,C271,'TL14'!J:J),
SUMIF('TL15'!C:C,C271,'TL15'!J:J),
SUMIF('TL16'!C:C,C271,'TL16'!J:J),
SUMIF('TL17'!C:C,C271,'TL17'!J:J),
SUMIF('TL18'!C:C,C271,'TL18'!J:J),SUMIF('TL19'!C:C,C271,'TL19'!J:J))
,0)</f>
        <v/>
      </c>
      <c r="S271" s="17">
        <f>IFERROR(__xludf.DUMMYFUNCTION("IFERROR(VLOOKUP(C271,
IMPORTRANGE(""1wULbzX32WdYsx-lj2U3uUNBBe2INVIRDtcK0d-Dvl90"",
""26-27!C:G""),
5,
FALSE),
"""")"),50.0)</f>
        <v/>
      </c>
      <c r="T271" s="9" t="n"/>
      <c r="U271" s="92">
        <f>MAX(0,R271-T271)</f>
        <v/>
      </c>
      <c r="V271" s="93">
        <f>U271*S271</f>
        <v/>
      </c>
    </row>
    <row r="272" hidden="1" ht="15.75" customHeight="1" s="297">
      <c r="A272" s="4" t="inlineStr">
        <is>
          <t>GRAN7</t>
        </is>
      </c>
      <c r="B272" s="125" t="inlineStr">
        <is>
          <t>NUTRIÇÃO</t>
        </is>
      </c>
      <c r="C272" s="4" t="inlineStr">
        <is>
          <t>Spander</t>
        </is>
      </c>
      <c r="D272" s="4" t="inlineStr">
        <is>
          <t>Precursor de hormônios + 0.08% Giberelina + 0.08% Cinetina + Azospirillum Brasilense</t>
        </is>
      </c>
      <c r="E272" s="9" t="n"/>
      <c r="F272" s="4" t="inlineStr">
        <is>
          <t>L</t>
        </is>
      </c>
      <c r="G272" s="9" t="n"/>
      <c r="H272" s="9" t="n">
        <v>0.4</v>
      </c>
      <c r="I272" s="1" t="n"/>
      <c r="J272" s="9">
        <f>IFERROR(SUM(
IF('TL01'!$B$3=J$3,SUMIF('TL01'!$C$10:$C$224,$C272,'TL01'!$J$10:$J$224),0),
IF('TL01'!$B$229=J$3,SUMIF('TL01'!$C$238:$C$451,$C272,'TL01'!$J$238:$J$451),0),
IF('TL02'!$B$3=J$3,SUMIF('TL02'!$C$10:$C$224,$C272,'TL02'!$J$10:$J$224),0),
IF('TL02'!$B$229=J$3,SUMIF('TL02'!$C$238:$C$451,$C272,'TL02'!$J$238:$J$451),0),
IF('TL03'!$B$3=J$3,SUMIF('TL03'!$C$10:$C$224,$C272,'TL03'!$J$10:$J$224),0),
IF('TL03'!$B$229=J$3,SUMIF('TL03'!$C$238:$C$451,$C272,'TL03'!$J$238:$J$451),0),
IF('TL04'!$B$3=J$3,SUMIF('TL04'!$C$10:$C$224,$C272,'TL04'!$J$10:$J$224),0),
IF('TL04'!$B$229=J$3,SUMIF('TL04'!$C$238:$C$451,$C272,'TL04'!$J$238:$J$451),0),
IF('TL05'!$B$3=J$3,SUMIF('TL05'!$C$10:$C$224,$C272,'TL05'!$J$10:$J$224),0),
IF('TL05'!$B$229=J$3,SUMIF('TL05'!$C$238:$C$451,$C272,'TL05'!$J$238:$J$451),0),
IF('TL06'!$B$3=J$3,SUMIF('TL06'!$C$10:$C$224,$C272,'TL06'!$J$10:$J$224),0),
IF('TL06'!$B$229=J$3,SUMIF('TL06'!$C$238:$C$451,$C272,'TL06'!$J$238:$J$451),0),
IF('TL07'!$B$3=J$3,SUMIF('TL07'!$C$10:$C$224,$C272,'TL07'!$J$10:$J$224),0),
IF('TL07'!$B$229=J$3,SUMIF('TL07'!$C$238:$C$451,$C272,'TL07'!$J$238:$J$451),0),
IF('TL08'!$B$3=J$3,SUMIF('TL08'!$C$10:$C$224,$C272,'TL08'!$J$10:$J$224),0),
IF('TL08'!$B$229=J$3,SUMIF('TL08'!$C$238:$C$451,$C272,'TL08'!$J$238:$J$451),0),
IF('TL09'!$B$3=J$3,SUMIF('TL09'!$C$10:$C$224,$C272,'TL09'!$J$10:$J$224),0),
IF('TL09'!$B$229=J$3,SUMIF('TL09'!$C$238:$C$451,$C272,'TL09'!$J$238:$J$451),0),
IF('TL10'!$B$3=J$3,SUMIF('TL10'!$C$10:$C$224,$C272,'TL10'!$J$10:$J$224),0),
IF('TL10'!$B$229=J$3,SUMIF('TL10'!$C$238:$C$451,$C272,'TL10'!$J$238:$J$451),0),
IF('TL11'!$B$3=J$3,SUMIF('TL11'!$C$10:$C$224,$C272,'TL11'!$J$10:$J$224),0),
IF('TL11'!$B$229=J$3,SUMIF('TL11'!$C$238:$C$451,$C272,'TL11'!$J$238:$J$451),0),
IF('TL12'!$B$3=J$3,SUMIF('TL12'!$C$10:$C$224,$C272,'TL12'!$J$10:$J$224),0),
IF('TL12'!$B$229=J$3,SUMIF('TL12'!$C$238:$C$451,$C272,'TL12'!$J$238:$J$451),0),
IF('TL13'!$B$3=J$3,SUMIF('TL13'!$C$10:$C$224,$C272,'TL13'!$J$10:$J$224),0),
IF('TL13'!$B$229=J$3,SUMIF('TL13'!$C$238:$C$451,$C272,'TL13'!$J$238:$J$451),0),
IF('TL14'!$B$3=J$3,SUMIF('TL14'!$C$10:$C$224,$C272,'TL14'!$J$10:$J$224),0),
IF('TL14'!$B$229=J$3,SUMIF('TL14'!$C$238:$C$451,$C272,'TL14'!$J$238:$J$451),0),
IF('TL15'!$B$3=J$3,SUMIF('TL15'!$C$10:$C$224,$C272,'TL15'!$J$10:$J$224),0),
IF('TL15'!$B$229=J$3,SUMIF('TL15'!$C$238:$C$451,$C272,'TL15'!$J$238:$J$451),0),
IF('TL16'!$B$3=J$3,SUMIF('TL16'!$C$10:$C$224,$C272,'TL16'!$J$10:$J$224),0),
IF('TL16'!$B$229=J$3,SUMIF('TL16'!$C$238:$C$451,$C272,'TL16'!$J$238:$J$451),0),
IF('TL17'!$B$3=J$3,SUMIF('TL17'!$C$10:$C$224,$C272,'TL17'!$J$10:$J$224),0),
IF('TL17'!$B$229=J$3,SUMIF('TL17'!$C$238:$C$451,$C272,'TL17'!$J$238:$J$451),0),
IF('TL18'!$B$3=J$3,SUMIF('TL18'!$C$10:$C$224,$C272,'TL18'!$J$10:$J$224),0),
IF('TL18'!$B$229=J$3,SUMIF('TL18'!$C$238:$C$451,$C272,'TL18'!$J$238:$J$451),0),
IF('TL19'!$B$3=J$3,SUMIF('TL19'!$C$10:$C$224,$C272,'TL19'!$J$10:$J$224),0),
IF('TL19'!$B$229=J$3,SUMIF('TL19'!$C$238:$C$451,$C272,'TL19'!$J$238:$J$451),0)
),0)</f>
        <v/>
      </c>
      <c r="K272" s="9">
        <f>IFERROR(SUM(
IF('TL01'!$B$3=K$3,SUMIF('TL01'!$C$10:$C$224,$C272,'TL01'!$J$10:$J$224),0),
IF('TL01'!$B$229=K$3,SUMIF('TL01'!$C$238:$C$451,$C272,'TL01'!$J$238:$J$451),0),
IF('TL02'!$B$3=K$3,SUMIF('TL02'!$C$10:$C$224,$C272,'TL02'!$J$10:$J$224),0),
IF('TL02'!$B$229=K$3,SUMIF('TL02'!$C$238:$C$451,$C272,'TL02'!$J$238:$J$451),0),
IF('TL03'!$B$3=K$3,SUMIF('TL03'!$C$10:$C$224,$C272,'TL03'!$J$10:$J$224),0),
IF('TL03'!$B$229=K$3,SUMIF('TL03'!$C$238:$C$451,$C272,'TL03'!$J$238:$J$451),0),
IF('TL04'!$B$3=K$3,SUMIF('TL04'!$C$10:$C$224,$C272,'TL04'!$J$10:$J$224),0),
IF('TL04'!$B$229=K$3,SUMIF('TL04'!$C$238:$C$451,$C272,'TL04'!$J$238:$J$451),0),
IF('TL05'!$B$3=K$3,SUMIF('TL05'!$C$10:$C$224,$C272,'TL05'!$J$10:$J$224),0),
IF('TL05'!$B$229=K$3,SUMIF('TL05'!$C$238:$C$451,$C272,'TL05'!$J$238:$J$451),0),
IF('TL06'!$B$3=K$3,SUMIF('TL06'!$C$10:$C$224,$C272,'TL06'!$J$10:$J$224),0),
IF('TL06'!$B$229=K$3,SUMIF('TL06'!$C$238:$C$451,$C272,'TL06'!$J$238:$J$451),0),
IF('TL07'!$B$3=K$3,SUMIF('TL07'!$C$10:$C$224,$C272,'TL07'!$J$10:$J$224),0),
IF('TL07'!$B$229=K$3,SUMIF('TL07'!$C$238:$C$451,$C272,'TL07'!$J$238:$J$451),0),
IF('TL08'!$B$3=K$3,SUMIF('TL08'!$C$10:$C$224,$C272,'TL08'!$J$10:$J$224),0),
IF('TL08'!$B$229=K$3,SUMIF('TL08'!$C$238:$C$451,$C272,'TL08'!$J$238:$J$451),0),
IF('TL09'!$B$3=K$3,SUMIF('TL09'!$C$10:$C$224,$C272,'TL09'!$J$10:$J$224),0),
IF('TL09'!$B$229=K$3,SUMIF('TL09'!$C$238:$C$451,$C272,'TL09'!$J$238:$J$451),0),
IF('TL10'!$B$3=K$3,SUMIF('TL10'!$C$10:$C$224,$C272,'TL10'!$J$10:$J$224),0),
IF('TL10'!$B$229=K$3,SUMIF('TL10'!$C$238:$C$451,$C272,'TL10'!$J$238:$J$451),0),
IF('TL11'!$B$3=K$3,SUMIF('TL11'!$C$10:$C$224,$C272,'TL11'!$J$10:$J$224),0),
IF('TL11'!$B$229=K$3,SUMIF('TL11'!$C$238:$C$451,$C272,'TL11'!$J$238:$J$451),0),
IF('TL12'!$B$3=K$3,SUMIF('TL12'!$C$10:$C$224,$C272,'TL12'!$J$10:$J$224),0),
IF('TL12'!$B$229=K$3,SUMIF('TL12'!$C$238:$C$451,$C272,'TL12'!$J$238:$J$451),0),
IF('TL13'!$B$3=K$3,SUMIF('TL13'!$C$10:$C$224,$C272,'TL13'!$J$10:$J$224),0),
IF('TL13'!$B$229=K$3,SUMIF('TL13'!$C$238:$C$451,$C272,'TL13'!$J$238:$J$451),0),
IF('TL14'!$B$3=K$3,SUMIF('TL14'!$C$10:$C$224,$C272,'TL14'!$J$10:$J$224),0),
IF('TL14'!$B$229=K$3,SUMIF('TL14'!$C$238:$C$451,$C272,'TL14'!$J$238:$J$451),0),
IF('TL15'!$B$3=K$3,SUMIF('TL15'!$C$10:$C$224,$C272,'TL15'!$J$10:$J$224),0),
IF('TL15'!$B$229=K$3,SUMIF('TL15'!$C$238:$C$451,$C272,'TL15'!$J$238:$J$451),0),
IF('TL16'!$B$3=K$3,SUMIF('TL16'!$C$10:$C$224,$C272,'TL16'!$J$10:$J$224),0),
IF('TL16'!$B$229=K$3,SUMIF('TL16'!$C$238:$C$451,$C272,'TL16'!$J$238:$J$451),0),
IF('TL17'!$B$3=K$3,SUMIF('TL17'!$C$10:$C$224,$C272,'TL17'!$J$10:$J$224),0),
IF('TL17'!$B$229=K$3,SUMIF('TL17'!$C$238:$C$451,$C272,'TL17'!$J$238:$J$451),0),
IF('TL18'!$B$3=K$3,SUMIF('TL18'!$C$10:$C$224,$C272,'TL18'!$J$10:$J$224),0),
IF('TL18'!$B$229=K$3,SUMIF('TL18'!$C$238:$C$451,$C272,'TL18'!$J$238:$J$451),0),
IF('TL19'!$B$3=K$3,SUMIF('TL19'!$C$10:$C$224,$C272,'TL19'!$J$10:$J$224),0),
IF('TL19'!$B$229=K$3,SUMIF('TL19'!$C$238:$C$451,$C272,'TL19'!$J$238:$J$451),0)
),0)</f>
        <v/>
      </c>
      <c r="L272" s="9">
        <f>IFERROR(SUM(
IF('TL01'!$B$3=L$3,SUMIF('TL01'!$C$10:$C$224,$C272,'TL01'!$J$10:$J$224),0),
IF('TL01'!$B$229=L$3,SUMIF('TL01'!$C$238:$C$451,$C272,'TL01'!$J$238:$J$451),0),
IF('TL02'!$B$3=L$3,SUMIF('TL02'!$C$10:$C$224,$C272,'TL02'!$J$10:$J$224),0),
IF('TL02'!$B$229=L$3,SUMIF('TL02'!$C$238:$C$451,$C272,'TL02'!$J$238:$J$451),0),
IF('TL03'!$B$3=L$3,SUMIF('TL03'!$C$10:$C$224,$C272,'TL03'!$J$10:$J$224),0),
IF('TL03'!$B$229=L$3,SUMIF('TL03'!$C$238:$C$451,$C272,'TL03'!$J$238:$J$451),0),
IF('TL04'!$B$3=L$3,SUMIF('TL04'!$C$10:$C$224,$C272,'TL04'!$J$10:$J$224),0),
IF('TL04'!$B$229=L$3,SUMIF('TL04'!$C$238:$C$451,$C272,'TL04'!$J$238:$J$451),0),
IF('TL05'!$B$3=L$3,SUMIF('TL05'!$C$10:$C$224,$C272,'TL05'!$J$10:$J$224),0),
IF('TL05'!$B$229=L$3,SUMIF('TL05'!$C$238:$C$451,$C272,'TL05'!$J$238:$J$451),0),
IF('TL06'!$B$3=L$3,SUMIF('TL06'!$C$10:$C$224,$C272,'TL06'!$J$10:$J$224),0),
IF('TL06'!$B$229=L$3,SUMIF('TL06'!$C$238:$C$451,$C272,'TL06'!$J$238:$J$451),0),
IF('TL07'!$B$3=L$3,SUMIF('TL07'!$C$10:$C$224,$C272,'TL07'!$J$10:$J$224),0),
IF('TL07'!$B$229=L$3,SUMIF('TL07'!$C$238:$C$451,$C272,'TL07'!$J$238:$J$451),0),
IF('TL08'!$B$3=L$3,SUMIF('TL08'!$C$10:$C$224,$C272,'TL08'!$J$10:$J$224),0),
IF('TL08'!$B$229=L$3,SUMIF('TL08'!$C$238:$C$451,$C272,'TL08'!$J$238:$J$451),0),
IF('TL09'!$B$3=L$3,SUMIF('TL09'!$C$10:$C$224,$C272,'TL09'!$J$10:$J$224),0),
IF('TL09'!$B$229=L$3,SUMIF('TL09'!$C$238:$C$451,$C272,'TL09'!$J$238:$J$451),0),
IF('TL10'!$B$3=L$3,SUMIF('TL10'!$C$10:$C$224,$C272,'TL10'!$J$10:$J$224),0),
IF('TL10'!$B$229=L$3,SUMIF('TL10'!$C$238:$C$451,$C272,'TL10'!$J$238:$J$451),0),
IF('TL11'!$B$3=L$3,SUMIF('TL11'!$C$10:$C$224,$C272,'TL11'!$J$10:$J$224),0),
IF('TL11'!$B$229=L$3,SUMIF('TL11'!$C$238:$C$451,$C272,'TL11'!$J$238:$J$451),0),
IF('TL12'!$B$3=L$3,SUMIF('TL12'!$C$10:$C$224,$C272,'TL12'!$J$10:$J$224),0),
IF('TL12'!$B$229=L$3,SUMIF('TL12'!$C$238:$C$451,$C272,'TL12'!$J$238:$J$451),0),
IF('TL13'!$B$3=L$3,SUMIF('TL13'!$C$10:$C$224,$C272,'TL13'!$J$10:$J$224),0),
IF('TL13'!$B$229=L$3,SUMIF('TL13'!$C$238:$C$451,$C272,'TL13'!$J$238:$J$451),0),
IF('TL14'!$B$3=L$3,SUMIF('TL14'!$C$10:$C$224,$C272,'TL14'!$J$10:$J$224),0),
IF('TL14'!$B$229=L$3,SUMIF('TL14'!$C$238:$C$451,$C272,'TL14'!$J$238:$J$451),0),
IF('TL15'!$B$3=L$3,SUMIF('TL15'!$C$10:$C$224,$C272,'TL15'!$J$10:$J$224),0),
IF('TL15'!$B$229=L$3,SUMIF('TL15'!$C$238:$C$451,$C272,'TL15'!$J$238:$J$451),0),
IF('TL16'!$B$3=L$3,SUMIF('TL16'!$C$10:$C$224,$C272,'TL16'!$J$10:$J$224),0),
IF('TL16'!$B$229=L$3,SUMIF('TL16'!$C$238:$C$451,$C272,'TL16'!$J$238:$J$451),0),
IF('TL17'!$B$3=L$3,SUMIF('TL17'!$C$10:$C$224,$C272,'TL17'!$J$10:$J$224),0),
IF('TL17'!$B$229=L$3,SUMIF('TL17'!$C$238:$C$451,$C272,'TL17'!$J$238:$J$451),0),
IF('TL18'!$B$3=L$3,SUMIF('TL18'!$C$10:$C$224,$C272,'TL18'!$J$10:$J$224),0),
IF('TL18'!$B$229=L$3,SUMIF('TL18'!$C$238:$C$451,$C272,'TL18'!$J$238:$J$451),0),
IF('TL19'!$B$3=L$3,SUMIF('TL19'!$C$10:$C$224,$C272,'TL19'!$J$10:$J$224),0),
IF('TL19'!$B$229=L$3,SUMIF('TL19'!$C$238:$C$451,$C272,'TL19'!$J$238:$J$451),0)
),0)</f>
        <v/>
      </c>
      <c r="M272" s="9">
        <f>IFERROR(SUM(
IF('TL01'!$B$3=M$3,SUMIF('TL01'!$C$10:$C$224,$C272,'TL01'!$J$10:$J$224),0),
IF('TL01'!$B$229=M$3,SUMIF('TL01'!$C$238:$C$451,$C272,'TL01'!$J$238:$J$451),0),
IF('TL02'!$B$3=M$3,SUMIF('TL02'!$C$10:$C$224,$C272,'TL02'!$J$10:$J$224),0),
IF('TL02'!$B$229=M$3,SUMIF('TL02'!$C$238:$C$451,$C272,'TL02'!$J$238:$J$451),0),
IF('TL03'!$B$3=M$3,SUMIF('TL03'!$C$10:$C$224,$C272,'TL03'!$J$10:$J$224),0),
IF('TL03'!$B$229=M$3,SUMIF('TL03'!$C$238:$C$451,$C272,'TL03'!$J$238:$J$451),0),
IF('TL04'!$B$3=M$3,SUMIF('TL04'!$C$10:$C$224,$C272,'TL04'!$J$10:$J$224),0),
IF('TL04'!$B$229=M$3,SUMIF('TL04'!$C$238:$C$451,$C272,'TL04'!$J$238:$J$451),0),
IF('TL05'!$B$3=M$3,SUMIF('TL05'!$C$10:$C$224,$C272,'TL05'!$J$10:$J$224),0),
IF('TL05'!$B$229=M$3,SUMIF('TL05'!$C$238:$C$451,$C272,'TL05'!$J$238:$J$451),0),
IF('TL06'!$B$3=M$3,SUMIF('TL06'!$C$10:$C$224,$C272,'TL06'!$J$10:$J$224),0),
IF('TL06'!$B$229=M$3,SUMIF('TL06'!$C$238:$C$451,$C272,'TL06'!$J$238:$J$451),0),
IF('TL07'!$B$3=M$3,SUMIF('TL07'!$C$10:$C$224,$C272,'TL07'!$J$10:$J$224),0),
IF('TL07'!$B$229=M$3,SUMIF('TL07'!$C$238:$C$451,$C272,'TL07'!$J$238:$J$451),0),
IF('TL08'!$B$3=M$3,SUMIF('TL08'!$C$10:$C$224,$C272,'TL08'!$J$10:$J$224),0),
IF('TL08'!$B$229=M$3,SUMIF('TL08'!$C$238:$C$451,$C272,'TL08'!$J$238:$J$451),0),
IF('TL09'!$B$3=M$3,SUMIF('TL09'!$C$10:$C$224,$C272,'TL09'!$J$10:$J$224),0),
IF('TL09'!$B$229=M$3,SUMIF('TL09'!$C$238:$C$451,$C272,'TL09'!$J$238:$J$451),0),
IF('TL10'!$B$3=M$3,SUMIF('TL10'!$C$10:$C$224,$C272,'TL10'!$J$10:$J$224),0),
IF('TL10'!$B$229=M$3,SUMIF('TL10'!$C$238:$C$451,$C272,'TL10'!$J$238:$J$451),0),
IF('TL11'!$B$3=M$3,SUMIF('TL11'!$C$10:$C$224,$C272,'TL11'!$J$10:$J$224),0),
IF('TL11'!$B$229=M$3,SUMIF('TL11'!$C$238:$C$451,$C272,'TL11'!$J$238:$J$451),0),
IF('TL12'!$B$3=M$3,SUMIF('TL12'!$C$10:$C$224,$C272,'TL12'!$J$10:$J$224),0),
IF('TL12'!$B$229=M$3,SUMIF('TL12'!$C$238:$C$451,$C272,'TL12'!$J$238:$J$451),0),
IF('TL13'!$B$3=M$3,SUMIF('TL13'!$C$10:$C$224,$C272,'TL13'!$J$10:$J$224),0),
IF('TL13'!$B$229=M$3,SUMIF('TL13'!$C$238:$C$451,$C272,'TL13'!$J$238:$J$451),0),
IF('TL14'!$B$3=M$3,SUMIF('TL14'!$C$10:$C$224,$C272,'TL14'!$J$10:$J$224),0),
IF('TL14'!$B$229=M$3,SUMIF('TL14'!$C$238:$C$451,$C272,'TL14'!$J$238:$J$451),0),
IF('TL15'!$B$3=M$3,SUMIF('TL15'!$C$10:$C$224,$C272,'TL15'!$J$10:$J$224),0),
IF('TL15'!$B$229=M$3,SUMIF('TL15'!$C$238:$C$451,$C272,'TL15'!$J$238:$J$451),0),
IF('TL16'!$B$3=M$3,SUMIF('TL16'!$C$10:$C$224,$C272,'TL16'!$J$10:$J$224),0),
IF('TL16'!$B$229=M$3,SUMIF('TL16'!$C$238:$C$451,$C272,'TL16'!$J$238:$J$451),0),
IF('TL17'!$B$3=M$3,SUMIF('TL17'!$C$10:$C$224,$C272,'TL17'!$J$10:$J$224),0),
IF('TL17'!$B$229=M$3,SUMIF('TL17'!$C$238:$C$451,$C272,'TL17'!$J$238:$J$451),0),
IF('TL18'!$B$3=M$3,SUMIF('TL18'!$C$10:$C$224,$C272,'TL18'!$J$10:$J$224),0),
IF('TL18'!$B$229=M$3,SUMIF('TL18'!$C$238:$C$451,$C272,'TL18'!$J$238:$J$451),0),
IF('TL19'!$B$3=M$3,SUMIF('TL19'!$C$10:$C$224,$C272,'TL19'!$J$10:$J$224),0),
IF('TL19'!$B$229=M$3,SUMIF('TL19'!$C$238:$C$451,$C272,'TL19'!$J$238:$J$451),0)
),0)</f>
        <v/>
      </c>
      <c r="N272" s="9">
        <f>IFERROR(SUM(
IF('TL01'!$B$3=N$3,SUMIF('TL01'!$C$10:$C$224,$C272,'TL01'!$J$10:$J$224),0),
IF('TL01'!$B$229=N$3,SUMIF('TL01'!$C$238:$C$451,$C272,'TL01'!$J$238:$J$451),0),
IF('TL02'!$B$3=N$3,SUMIF('TL02'!$C$10:$C$224,$C272,'TL02'!$J$10:$J$224),0),
IF('TL02'!$B$229=N$3,SUMIF('TL02'!$C$238:$C$451,$C272,'TL02'!$J$238:$J$451),0),
IF('TL03'!$B$3=N$3,SUMIF('TL03'!$C$10:$C$224,$C272,'TL03'!$J$10:$J$224),0),
IF('TL03'!$B$229=N$3,SUMIF('TL03'!$C$238:$C$451,$C272,'TL03'!$J$238:$J$451),0),
IF('TL04'!$B$3=N$3,SUMIF('TL04'!$C$10:$C$224,$C272,'TL04'!$J$10:$J$224),0),
IF('TL04'!$B$229=N$3,SUMIF('TL04'!$C$238:$C$451,$C272,'TL04'!$J$238:$J$451),0),
IF('TL05'!$B$3=N$3,SUMIF('TL05'!$C$10:$C$224,$C272,'TL05'!$J$10:$J$224),0),
IF('TL05'!$B$229=N$3,SUMIF('TL05'!$C$238:$C$451,$C272,'TL05'!$J$238:$J$451),0),
IF('TL06'!$B$3=N$3,SUMIF('TL06'!$C$10:$C$224,$C272,'TL06'!$J$10:$J$224),0),
IF('TL06'!$B$229=N$3,SUMIF('TL06'!$C$238:$C$451,$C272,'TL06'!$J$238:$J$451),0),
IF('TL07'!$B$3=N$3,SUMIF('TL07'!$C$10:$C$224,$C272,'TL07'!$J$10:$J$224),0),
IF('TL07'!$B$229=N$3,SUMIF('TL07'!$C$238:$C$451,$C272,'TL07'!$J$238:$J$451),0),
IF('TL08'!$B$3=N$3,SUMIF('TL08'!$C$10:$C$224,$C272,'TL08'!$J$10:$J$224),0),
IF('TL08'!$B$229=N$3,SUMIF('TL08'!$C$238:$C$451,$C272,'TL08'!$J$238:$J$451),0),
IF('TL09'!$B$3=N$3,SUMIF('TL09'!$C$10:$C$224,$C272,'TL09'!$J$10:$J$224),0),
IF('TL09'!$B$229=N$3,SUMIF('TL09'!$C$238:$C$451,$C272,'TL09'!$J$238:$J$451),0),
IF('TL10'!$B$3=N$3,SUMIF('TL10'!$C$10:$C$224,$C272,'TL10'!$J$10:$J$224),0),
IF('TL10'!$B$229=N$3,SUMIF('TL10'!$C$238:$C$451,$C272,'TL10'!$J$238:$J$451),0),
IF('TL11'!$B$3=N$3,SUMIF('TL11'!$C$10:$C$224,$C272,'TL11'!$J$10:$J$224),0),
IF('TL11'!$B$229=N$3,SUMIF('TL11'!$C$238:$C$451,$C272,'TL11'!$J$238:$J$451),0),
IF('TL12'!$B$3=N$3,SUMIF('TL12'!$C$10:$C$224,$C272,'TL12'!$J$10:$J$224),0),
IF('TL12'!$B$229=N$3,SUMIF('TL12'!$C$238:$C$451,$C272,'TL12'!$J$238:$J$451),0),
IF('TL13'!$B$3=N$3,SUMIF('TL13'!$C$10:$C$224,$C272,'TL13'!$J$10:$J$224),0),
IF('TL13'!$B$229=N$3,SUMIF('TL13'!$C$238:$C$451,$C272,'TL13'!$J$238:$J$451),0),
IF('TL14'!$B$3=N$3,SUMIF('TL14'!$C$10:$C$224,$C272,'TL14'!$J$10:$J$224),0),
IF('TL14'!$B$229=N$3,SUMIF('TL14'!$C$238:$C$451,$C272,'TL14'!$J$238:$J$451),0),
IF('TL15'!$B$3=N$3,SUMIF('TL15'!$C$10:$C$224,$C272,'TL15'!$J$10:$J$224),0),
IF('TL15'!$B$229=N$3,SUMIF('TL15'!$C$238:$C$451,$C272,'TL15'!$J$238:$J$451),0),
IF('TL16'!$B$3=N$3,SUMIF('TL16'!$C$10:$C$224,$C272,'TL16'!$J$10:$J$224),0),
IF('TL16'!$B$229=N$3,SUMIF('TL16'!$C$238:$C$451,$C272,'TL16'!$J$238:$J$451),0),
IF('TL17'!$B$3=N$3,SUMIF('TL17'!$C$10:$C$224,$C272,'TL17'!$J$10:$J$224),0),
IF('TL17'!$B$229=N$3,SUMIF('TL17'!$C$238:$C$451,$C272,'TL17'!$J$238:$J$451),0),
IF('TL18'!$B$3=N$3,SUMIF('TL18'!$C$10:$C$224,$C272,'TL18'!$J$10:$J$224),0),
IF('TL18'!$B$229=N$3,SUMIF('TL18'!$C$238:$C$451,$C272,'TL18'!$J$238:$J$451),0),
IF('TL19'!$B$3=N$3,SUMIF('TL19'!$C$10:$C$224,$C272,'TL19'!$J$10:$J$224),0),
IF('TL19'!$B$229=N$3,SUMIF('TL19'!$C$238:$C$451,$C272,'TL19'!$J$238:$J$451),0)
),0)</f>
        <v/>
      </c>
      <c r="O272" s="9">
        <f>IFERROR(SUM(
IF('TL01'!$B$3=O$3,SUMIF('TL01'!$C$10:$C$224,$C272,'TL01'!$J$10:$J$224),0),
IF('TL01'!$B$229=O$3,SUMIF('TL01'!$C$238:$C$451,$C272,'TL01'!$J$238:$J$451),0),
IF('TL02'!$B$3=O$3,SUMIF('TL02'!$C$10:$C$224,$C272,'TL02'!$J$10:$J$224),0),
IF('TL02'!$B$229=O$3,SUMIF('TL02'!$C$238:$C$451,$C272,'TL02'!$J$238:$J$451),0),
IF('TL03'!$B$3=O$3,SUMIF('TL03'!$C$10:$C$224,$C272,'TL03'!$J$10:$J$224),0),
IF('TL03'!$B$229=O$3,SUMIF('TL03'!$C$238:$C$451,$C272,'TL03'!$J$238:$J$451),0),
IF('TL04'!$B$3=O$3,SUMIF('TL04'!$C$10:$C$224,$C272,'TL04'!$J$10:$J$224),0),
IF('TL04'!$B$229=O$3,SUMIF('TL04'!$C$238:$C$451,$C272,'TL04'!$J$238:$J$451),0),
IF('TL05'!$B$3=O$3,SUMIF('TL05'!$C$10:$C$224,$C272,'TL05'!$J$10:$J$224),0),
IF('TL05'!$B$229=O$3,SUMIF('TL05'!$C$238:$C$451,$C272,'TL05'!$J$238:$J$451),0),
IF('TL06'!$B$3=O$3,SUMIF('TL06'!$C$10:$C$224,$C272,'TL06'!$J$10:$J$224),0),
IF('TL06'!$B$229=O$3,SUMIF('TL06'!$C$238:$C$451,$C272,'TL06'!$J$238:$J$451),0),
IF('TL07'!$B$3=O$3,SUMIF('TL07'!$C$10:$C$224,$C272,'TL07'!$J$10:$J$224),0),
IF('TL07'!$B$229=O$3,SUMIF('TL07'!$C$238:$C$451,$C272,'TL07'!$J$238:$J$451),0),
IF('TL08'!$B$3=O$3,SUMIF('TL08'!$C$10:$C$224,$C272,'TL08'!$J$10:$J$224),0),
IF('TL08'!$B$229=O$3,SUMIF('TL08'!$C$238:$C$451,$C272,'TL08'!$J$238:$J$451),0),
IF('TL09'!$B$3=O$3,SUMIF('TL09'!$C$10:$C$224,$C272,'TL09'!$J$10:$J$224),0),
IF('TL09'!$B$229=O$3,SUMIF('TL09'!$C$238:$C$451,$C272,'TL09'!$J$238:$J$451),0),
IF('TL10'!$B$3=O$3,SUMIF('TL10'!$C$10:$C$224,$C272,'TL10'!$J$10:$J$224),0),
IF('TL10'!$B$229=O$3,SUMIF('TL10'!$C$238:$C$451,$C272,'TL10'!$J$238:$J$451),0),
IF('TL11'!$B$3=O$3,SUMIF('TL11'!$C$10:$C$224,$C272,'TL11'!$J$10:$J$224),0),
IF('TL11'!$B$229=O$3,SUMIF('TL11'!$C$238:$C$451,$C272,'TL11'!$J$238:$J$451),0),
IF('TL12'!$B$3=O$3,SUMIF('TL12'!$C$10:$C$224,$C272,'TL12'!$J$10:$J$224),0),
IF('TL12'!$B$229=O$3,SUMIF('TL12'!$C$238:$C$451,$C272,'TL12'!$J$238:$J$451),0),
IF('TL13'!$B$3=O$3,SUMIF('TL13'!$C$10:$C$224,$C272,'TL13'!$J$10:$J$224),0),
IF('TL13'!$B$229=O$3,SUMIF('TL13'!$C$238:$C$451,$C272,'TL13'!$J$238:$J$451),0),
IF('TL14'!$B$3=O$3,SUMIF('TL14'!$C$10:$C$224,$C272,'TL14'!$J$10:$J$224),0),
IF('TL14'!$B$229=O$3,SUMIF('TL14'!$C$238:$C$451,$C272,'TL14'!$J$238:$J$451),0),
IF('TL15'!$B$3=O$3,SUMIF('TL15'!$C$10:$C$224,$C272,'TL15'!$J$10:$J$224),0),
IF('TL15'!$B$229=O$3,SUMIF('TL15'!$C$238:$C$451,$C272,'TL15'!$J$238:$J$451),0),
IF('TL16'!$B$3=O$3,SUMIF('TL16'!$C$10:$C$224,$C272,'TL16'!$J$10:$J$224),0),
IF('TL16'!$B$229=O$3,SUMIF('TL16'!$C$238:$C$451,$C272,'TL16'!$J$238:$J$451),0),
IF('TL17'!$B$3=O$3,SUMIF('TL17'!$C$10:$C$224,$C272,'TL17'!$J$10:$J$224),0),
IF('TL17'!$B$229=O$3,SUMIF('TL17'!$C$238:$C$451,$C272,'TL17'!$J$238:$J$451),0),
IF('TL18'!$B$3=O$3,SUMIF('TL18'!$C$10:$C$224,$C272,'TL18'!$J$10:$J$224),0),
IF('TL18'!$B$229=O$3,SUMIF('TL18'!$C$238:$C$451,$C272,'TL18'!$J$238:$J$451),0),
IF('TL19'!$B$3=O$3,SUMIF('TL19'!$C$10:$C$224,$C272,'TL19'!$J$10:$J$224),0),
IF('TL19'!$B$229=O$3,SUMIF('TL19'!$C$238:$C$451,$C272,'TL19'!$J$238:$J$451),0)
),0)</f>
        <v/>
      </c>
      <c r="P272" s="9">
        <f>IFERROR(SUM(
IF('TL01'!$B$3=P$3,SUMIF('TL01'!$C$10:$C$224,$C272,'TL01'!$J$10:$J$224),0),
IF('TL01'!$B$229=P$3,SUMIF('TL01'!$C$238:$C$451,$C272,'TL01'!$J$238:$J$451),0),
IF('TL02'!$B$3=P$3,SUMIF('TL02'!$C$10:$C$224,$C272,'TL02'!$J$10:$J$224),0),
IF('TL02'!$B$229=P$3,SUMIF('TL02'!$C$238:$C$451,$C272,'TL02'!$J$238:$J$451),0),
IF('TL03'!$B$3=P$3,SUMIF('TL03'!$C$10:$C$224,$C272,'TL03'!$J$10:$J$224),0),
IF('TL03'!$B$229=P$3,SUMIF('TL03'!$C$238:$C$451,$C272,'TL03'!$J$238:$J$451),0),
IF('TL04'!$B$3=P$3,SUMIF('TL04'!$C$10:$C$224,$C272,'TL04'!$J$10:$J$224),0),
IF('TL04'!$B$229=P$3,SUMIF('TL04'!$C$238:$C$451,$C272,'TL04'!$J$238:$J$451),0),
IF('TL05'!$B$3=P$3,SUMIF('TL05'!$C$10:$C$224,$C272,'TL05'!$J$10:$J$224),0),
IF('TL05'!$B$229=P$3,SUMIF('TL05'!$C$238:$C$451,$C272,'TL05'!$J$238:$J$451),0),
IF('TL06'!$B$3=P$3,SUMIF('TL06'!$C$10:$C$224,$C272,'TL06'!$J$10:$J$224),0),
IF('TL06'!$B$229=P$3,SUMIF('TL06'!$C$238:$C$451,$C272,'TL06'!$J$238:$J$451),0),
IF('TL07'!$B$3=P$3,SUMIF('TL07'!$C$10:$C$224,$C272,'TL07'!$J$10:$J$224),0),
IF('TL07'!$B$229=P$3,SUMIF('TL07'!$C$238:$C$451,$C272,'TL07'!$J$238:$J$451),0),
IF('TL08'!$B$3=P$3,SUMIF('TL08'!$C$10:$C$224,$C272,'TL08'!$J$10:$J$224),0),
IF('TL08'!$B$229=P$3,SUMIF('TL08'!$C$238:$C$451,$C272,'TL08'!$J$238:$J$451),0),
IF('TL09'!$B$3=P$3,SUMIF('TL09'!$C$10:$C$224,$C272,'TL09'!$J$10:$J$224),0),
IF('TL09'!$B$229=P$3,SUMIF('TL09'!$C$238:$C$451,$C272,'TL09'!$J$238:$J$451),0),
IF('TL10'!$B$3=P$3,SUMIF('TL10'!$C$10:$C$224,$C272,'TL10'!$J$10:$J$224),0),
IF('TL10'!$B$229=P$3,SUMIF('TL10'!$C$238:$C$451,$C272,'TL10'!$J$238:$J$451),0),
IF('TL11'!$B$3=P$3,SUMIF('TL11'!$C$10:$C$224,$C272,'TL11'!$J$10:$J$224),0),
IF('TL11'!$B$229=P$3,SUMIF('TL11'!$C$238:$C$451,$C272,'TL11'!$J$238:$J$451),0),
IF('TL12'!$B$3=P$3,SUMIF('TL12'!$C$10:$C$224,$C272,'TL12'!$J$10:$J$224),0),
IF('TL12'!$B$229=P$3,SUMIF('TL12'!$C$238:$C$451,$C272,'TL12'!$J$238:$J$451),0),
IF('TL13'!$B$3=P$3,SUMIF('TL13'!$C$10:$C$224,$C272,'TL13'!$J$10:$J$224),0),
IF('TL13'!$B$229=P$3,SUMIF('TL13'!$C$238:$C$451,$C272,'TL13'!$J$238:$J$451),0),
IF('TL14'!$B$3=P$3,SUMIF('TL14'!$C$10:$C$224,$C272,'TL14'!$J$10:$J$224),0),
IF('TL14'!$B$229=P$3,SUMIF('TL14'!$C$238:$C$451,$C272,'TL14'!$J$238:$J$451),0),
IF('TL15'!$B$3=P$3,SUMIF('TL15'!$C$10:$C$224,$C272,'TL15'!$J$10:$J$224),0),
IF('TL15'!$B$229=P$3,SUMIF('TL15'!$C$238:$C$451,$C272,'TL15'!$J$238:$J$451),0),
IF('TL16'!$B$3=P$3,SUMIF('TL16'!$C$10:$C$224,$C272,'TL16'!$J$10:$J$224),0),
IF('TL16'!$B$229=P$3,SUMIF('TL16'!$C$238:$C$451,$C272,'TL16'!$J$238:$J$451),0),
IF('TL17'!$B$3=P$3,SUMIF('TL17'!$C$10:$C$224,$C272,'TL17'!$J$10:$J$224),0),
IF('TL17'!$B$229=P$3,SUMIF('TL17'!$C$238:$C$451,$C272,'TL17'!$J$238:$J$451),0),
IF('TL18'!$B$3=P$3,SUMIF('TL18'!$C$10:$C$224,$C272,'TL18'!$J$10:$J$224),0),
IF('TL18'!$B$229=P$3,SUMIF('TL18'!$C$238:$C$451,$C272,'TL18'!$J$238:$J$451),0),
IF('TL19'!$B$3=P$3,SUMIF('TL19'!$C$10:$C$224,$C272,'TL19'!$J$10:$J$224),0),
IF('TL19'!$B$229=P$3,SUMIF('TL19'!$C$238:$C$451,$C272,'TL19'!$J$238:$J$451),0)
),0)</f>
        <v/>
      </c>
      <c r="Q272" s="9">
        <f>IFERROR(SUM(
IF('TL01'!$B$3=Q$3,SUMIF('TL01'!$C$10:$C$224,$C272,'TL01'!$J$10:$J$224),0),
IF('TL01'!$B$229=Q$3,SUMIF('TL01'!$C$238:$C$451,$C272,'TL01'!$J$238:$J$451),0),
IF('TL02'!$B$3=Q$3,SUMIF('TL02'!$C$10:$C$224,$C272,'TL02'!$J$10:$J$224),0),
IF('TL02'!$B$229=Q$3,SUMIF('TL02'!$C$238:$C$451,$C272,'TL02'!$J$238:$J$451),0),
IF('TL03'!$B$3=Q$3,SUMIF('TL03'!$C$10:$C$224,$C272,'TL03'!$J$10:$J$224),0),
IF('TL03'!$B$229=Q$3,SUMIF('TL03'!$C$238:$C$451,$C272,'TL03'!$J$238:$J$451),0),
IF('TL04'!$B$3=Q$3,SUMIF('TL04'!$C$10:$C$224,$C272,'TL04'!$J$10:$J$224),0),
IF('TL04'!$B$229=Q$3,SUMIF('TL04'!$C$238:$C$451,$C272,'TL04'!$J$238:$J$451),0),
IF('TL05'!$B$3=Q$3,SUMIF('TL05'!$C$10:$C$224,$C272,'TL05'!$J$10:$J$224),0),
IF('TL05'!$B$229=Q$3,SUMIF('TL05'!$C$238:$C$451,$C272,'TL05'!$J$238:$J$451),0),
IF('TL06'!$B$3=Q$3,SUMIF('TL06'!$C$10:$C$224,$C272,'TL06'!$J$10:$J$224),0),
IF('TL06'!$B$229=Q$3,SUMIF('TL06'!$C$238:$C$451,$C272,'TL06'!$J$238:$J$451),0),
IF('TL07'!$B$3=Q$3,SUMIF('TL07'!$C$10:$C$224,$C272,'TL07'!$J$10:$J$224),0),
IF('TL07'!$B$229=Q$3,SUMIF('TL07'!$C$238:$C$451,$C272,'TL07'!$J$238:$J$451),0),
IF('TL08'!$B$3=Q$3,SUMIF('TL08'!$C$10:$C$224,$C272,'TL08'!$J$10:$J$224),0),
IF('TL08'!$B$229=Q$3,SUMIF('TL08'!$C$238:$C$451,$C272,'TL08'!$J$238:$J$451),0),
IF('TL09'!$B$3=Q$3,SUMIF('TL09'!$C$10:$C$224,$C272,'TL09'!$J$10:$J$224),0),
IF('TL09'!$B$229=Q$3,SUMIF('TL09'!$C$238:$C$451,$C272,'TL09'!$J$238:$J$451),0),
IF('TL10'!$B$3=Q$3,SUMIF('TL10'!$C$10:$C$224,$C272,'TL10'!$J$10:$J$224),0),
IF('TL10'!$B$229=Q$3,SUMIF('TL10'!$C$238:$C$451,$C272,'TL10'!$J$238:$J$451),0),
IF('TL11'!$B$3=Q$3,SUMIF('TL11'!$C$10:$C$224,$C272,'TL11'!$J$10:$J$224),0),
IF('TL11'!$B$229=Q$3,SUMIF('TL11'!$C$238:$C$451,$C272,'TL11'!$J$238:$J$451),0),
IF('TL12'!$B$3=Q$3,SUMIF('TL12'!$C$10:$C$224,$C272,'TL12'!$J$10:$J$224),0),
IF('TL12'!$B$229=Q$3,SUMIF('TL12'!$C$238:$C$451,$C272,'TL12'!$J$238:$J$451),0),
IF('TL13'!$B$3=Q$3,SUMIF('TL13'!$C$10:$C$224,$C272,'TL13'!$J$10:$J$224),0),
IF('TL13'!$B$229=Q$3,SUMIF('TL13'!$C$238:$C$451,$C272,'TL13'!$J$238:$J$451),0),
IF('TL14'!$B$3=Q$3,SUMIF('TL14'!$C$10:$C$224,$C272,'TL14'!$J$10:$J$224),0),
IF('TL14'!$B$229=Q$3,SUMIF('TL14'!$C$238:$C$451,$C272,'TL14'!$J$238:$J$451),0),
IF('TL15'!$B$3=Q$3,SUMIF('TL15'!$C$10:$C$224,$C272,'TL15'!$J$10:$J$224),0),
IF('TL15'!$B$229=Q$3,SUMIF('TL15'!$C$238:$C$451,$C272,'TL15'!$J$238:$J$451),0),
IF('TL16'!$B$3=Q$3,SUMIF('TL16'!$C$10:$C$224,$C272,'TL16'!$J$10:$J$224),0),
IF('TL16'!$B$229=Q$3,SUMIF('TL16'!$C$238:$C$451,$C272,'TL16'!$J$238:$J$451),0),
IF('TL17'!$B$3=Q$3,SUMIF('TL17'!$C$10:$C$224,$C272,'TL17'!$J$10:$J$224),0),
IF('TL17'!$B$229=Q$3,SUMIF('TL17'!$C$238:$C$451,$C272,'TL17'!$J$238:$J$451),0),
IF('TL18'!$B$3=Q$3,SUMIF('TL18'!$C$10:$C$224,$C272,'TL18'!$J$10:$J$224),0),
IF('TL18'!$B$229=Q$3,SUMIF('TL18'!$C$238:$C$451,$C272,'TL18'!$J$238:$J$451),0),
IF('TL19'!$B$3=Q$3,SUMIF('TL19'!$C$10:$C$224,$C272,'TL19'!$J$10:$J$224),0),
IF('TL19'!$B$229=Q$3,SUMIF('TL19'!$C$238:$C$451,$C272,'TL19'!$J$238:$J$451),0)
),0)</f>
        <v/>
      </c>
      <c r="R272" s="9">
        <f>IFERROR(
SUM(
SUMIF('TL01'!C:C,C272,'TL01'!J:J),
SUMIF('TL02'!C:C,C272,'TL02'!J:J),
SUMIF('TL03'!C:C,C272,'TL03'!J:J),
SUMIF('TL04'!C:C,C272,'TL04'!J:J),
SUMIF('TL05'!C:C,C272,'TL05'!J:J),
SUMIF('TL06'!C:C,C272,'TL06'!J:J),
SUMIF('TL07'!C:C,C272,'TL07'!J:J),
SUMIF('TL08'!C:C,C272,'TL08'!J:J),
SUMIF('TL09'!C:C,C272,'TL09'!J:J),
SUMIF('TL10'!C:C,C272,'TL10'!J:J),
SUMIF('TL11'!C:C,C272,'TL11'!J:J),
SUMIF('TL12'!C:C,C272,'TL12'!J:J),
SUMIF('TL13'!C:C,C272,'TL13'!J:J),
SUMIF('TL14'!C:C,C272,'TL14'!J:J),
SUMIF('TL15'!C:C,C272,'TL15'!J:J),
SUMIF('TL16'!C:C,C272,'TL16'!J:J),
SUMIF('TL17'!C:C,C272,'TL17'!J:J),
SUMIF('TL18'!C:C,C272,'TL18'!J:J),SUMIF('TL19'!C:C,C272,'TL19'!J:J))
,0)</f>
        <v/>
      </c>
      <c r="S272" s="17">
        <f>IFERROR(__xludf.DUMMYFUNCTION("IFERROR(VLOOKUP(C272,
IMPORTRANGE(""1wULbzX32WdYsx-lj2U3uUNBBe2INVIRDtcK0d-Dvl90"",
""26-27!C:G""),
5,
FALSE),
"""")"),77.0)</f>
        <v/>
      </c>
      <c r="T272" s="9" t="n"/>
      <c r="U272" s="92">
        <f>MAX(0,R272-T272)</f>
        <v/>
      </c>
      <c r="V272" s="93">
        <f>U272*S272</f>
        <v/>
      </c>
    </row>
    <row r="273" hidden="1" ht="15.75" customHeight="1" s="297">
      <c r="A273" s="4" t="inlineStr">
        <is>
          <t>GRAN7</t>
        </is>
      </c>
      <c r="B273" s="125" t="inlineStr">
        <is>
          <t>NUTRIÇÃO</t>
        </is>
      </c>
      <c r="C273" s="4" t="inlineStr">
        <is>
          <t>Halattus</t>
        </is>
      </c>
      <c r="D273" s="4" t="inlineStr">
        <is>
          <t>27.5% Ácidos Fúlvicos + 15% Ácidos Húmicos</t>
        </is>
      </c>
      <c r="E273" s="9" t="n"/>
      <c r="F273" s="4" t="inlineStr">
        <is>
          <t>L</t>
        </is>
      </c>
      <c r="G273" s="9" t="n"/>
      <c r="H273" s="9" t="n">
        <v>0.2</v>
      </c>
      <c r="I273" s="1" t="n"/>
      <c r="J273" s="9">
        <f>IFERROR(SUM(
IF('TL01'!$B$3=J$3,SUMIF('TL01'!$C$10:$C$224,$C273,'TL01'!$J$10:$J$224),0),
IF('TL01'!$B$229=J$3,SUMIF('TL01'!$C$238:$C$451,$C273,'TL01'!$J$238:$J$451),0),
IF('TL02'!$B$3=J$3,SUMIF('TL02'!$C$10:$C$224,$C273,'TL02'!$J$10:$J$224),0),
IF('TL02'!$B$229=J$3,SUMIF('TL02'!$C$238:$C$451,$C273,'TL02'!$J$238:$J$451),0),
IF('TL03'!$B$3=J$3,SUMIF('TL03'!$C$10:$C$224,$C273,'TL03'!$J$10:$J$224),0),
IF('TL03'!$B$229=J$3,SUMIF('TL03'!$C$238:$C$451,$C273,'TL03'!$J$238:$J$451),0),
IF('TL04'!$B$3=J$3,SUMIF('TL04'!$C$10:$C$224,$C273,'TL04'!$J$10:$J$224),0),
IF('TL04'!$B$229=J$3,SUMIF('TL04'!$C$238:$C$451,$C273,'TL04'!$J$238:$J$451),0),
IF('TL05'!$B$3=J$3,SUMIF('TL05'!$C$10:$C$224,$C273,'TL05'!$J$10:$J$224),0),
IF('TL05'!$B$229=J$3,SUMIF('TL05'!$C$238:$C$451,$C273,'TL05'!$J$238:$J$451),0),
IF('TL06'!$B$3=J$3,SUMIF('TL06'!$C$10:$C$224,$C273,'TL06'!$J$10:$J$224),0),
IF('TL06'!$B$229=J$3,SUMIF('TL06'!$C$238:$C$451,$C273,'TL06'!$J$238:$J$451),0),
IF('TL07'!$B$3=J$3,SUMIF('TL07'!$C$10:$C$224,$C273,'TL07'!$J$10:$J$224),0),
IF('TL07'!$B$229=J$3,SUMIF('TL07'!$C$238:$C$451,$C273,'TL07'!$J$238:$J$451),0),
IF('TL08'!$B$3=J$3,SUMIF('TL08'!$C$10:$C$224,$C273,'TL08'!$J$10:$J$224),0),
IF('TL08'!$B$229=J$3,SUMIF('TL08'!$C$238:$C$451,$C273,'TL08'!$J$238:$J$451),0),
IF('TL09'!$B$3=J$3,SUMIF('TL09'!$C$10:$C$224,$C273,'TL09'!$J$10:$J$224),0),
IF('TL09'!$B$229=J$3,SUMIF('TL09'!$C$238:$C$451,$C273,'TL09'!$J$238:$J$451),0),
IF('TL10'!$B$3=J$3,SUMIF('TL10'!$C$10:$C$224,$C273,'TL10'!$J$10:$J$224),0),
IF('TL10'!$B$229=J$3,SUMIF('TL10'!$C$238:$C$451,$C273,'TL10'!$J$238:$J$451),0),
IF('TL11'!$B$3=J$3,SUMIF('TL11'!$C$10:$C$224,$C273,'TL11'!$J$10:$J$224),0),
IF('TL11'!$B$229=J$3,SUMIF('TL11'!$C$238:$C$451,$C273,'TL11'!$J$238:$J$451),0),
IF('TL12'!$B$3=J$3,SUMIF('TL12'!$C$10:$C$224,$C273,'TL12'!$J$10:$J$224),0),
IF('TL12'!$B$229=J$3,SUMIF('TL12'!$C$238:$C$451,$C273,'TL12'!$J$238:$J$451),0),
IF('TL13'!$B$3=J$3,SUMIF('TL13'!$C$10:$C$224,$C273,'TL13'!$J$10:$J$224),0),
IF('TL13'!$B$229=J$3,SUMIF('TL13'!$C$238:$C$451,$C273,'TL13'!$J$238:$J$451),0),
IF('TL14'!$B$3=J$3,SUMIF('TL14'!$C$10:$C$224,$C273,'TL14'!$J$10:$J$224),0),
IF('TL14'!$B$229=J$3,SUMIF('TL14'!$C$238:$C$451,$C273,'TL14'!$J$238:$J$451),0),
IF('TL15'!$B$3=J$3,SUMIF('TL15'!$C$10:$C$224,$C273,'TL15'!$J$10:$J$224),0),
IF('TL15'!$B$229=J$3,SUMIF('TL15'!$C$238:$C$451,$C273,'TL15'!$J$238:$J$451),0),
IF('TL16'!$B$3=J$3,SUMIF('TL16'!$C$10:$C$224,$C273,'TL16'!$J$10:$J$224),0),
IF('TL16'!$B$229=J$3,SUMIF('TL16'!$C$238:$C$451,$C273,'TL16'!$J$238:$J$451),0),
IF('TL17'!$B$3=J$3,SUMIF('TL17'!$C$10:$C$224,$C273,'TL17'!$J$10:$J$224),0),
IF('TL17'!$B$229=J$3,SUMIF('TL17'!$C$238:$C$451,$C273,'TL17'!$J$238:$J$451),0),
IF('TL18'!$B$3=J$3,SUMIF('TL18'!$C$10:$C$224,$C273,'TL18'!$J$10:$J$224),0),
IF('TL18'!$B$229=J$3,SUMIF('TL18'!$C$238:$C$451,$C273,'TL18'!$J$238:$J$451),0),
IF('TL19'!$B$3=J$3,SUMIF('TL19'!$C$10:$C$224,$C273,'TL19'!$J$10:$J$224),0),
IF('TL19'!$B$229=J$3,SUMIF('TL19'!$C$238:$C$451,$C273,'TL19'!$J$238:$J$451),0)
),0)</f>
        <v/>
      </c>
      <c r="K273" s="9">
        <f>IFERROR(SUM(
IF('TL01'!$B$3=K$3,SUMIF('TL01'!$C$10:$C$224,$C273,'TL01'!$J$10:$J$224),0),
IF('TL01'!$B$229=K$3,SUMIF('TL01'!$C$238:$C$451,$C273,'TL01'!$J$238:$J$451),0),
IF('TL02'!$B$3=K$3,SUMIF('TL02'!$C$10:$C$224,$C273,'TL02'!$J$10:$J$224),0),
IF('TL02'!$B$229=K$3,SUMIF('TL02'!$C$238:$C$451,$C273,'TL02'!$J$238:$J$451),0),
IF('TL03'!$B$3=K$3,SUMIF('TL03'!$C$10:$C$224,$C273,'TL03'!$J$10:$J$224),0),
IF('TL03'!$B$229=K$3,SUMIF('TL03'!$C$238:$C$451,$C273,'TL03'!$J$238:$J$451),0),
IF('TL04'!$B$3=K$3,SUMIF('TL04'!$C$10:$C$224,$C273,'TL04'!$J$10:$J$224),0),
IF('TL04'!$B$229=K$3,SUMIF('TL04'!$C$238:$C$451,$C273,'TL04'!$J$238:$J$451),0),
IF('TL05'!$B$3=K$3,SUMIF('TL05'!$C$10:$C$224,$C273,'TL05'!$J$10:$J$224),0),
IF('TL05'!$B$229=K$3,SUMIF('TL05'!$C$238:$C$451,$C273,'TL05'!$J$238:$J$451),0),
IF('TL06'!$B$3=K$3,SUMIF('TL06'!$C$10:$C$224,$C273,'TL06'!$J$10:$J$224),0),
IF('TL06'!$B$229=K$3,SUMIF('TL06'!$C$238:$C$451,$C273,'TL06'!$J$238:$J$451),0),
IF('TL07'!$B$3=K$3,SUMIF('TL07'!$C$10:$C$224,$C273,'TL07'!$J$10:$J$224),0),
IF('TL07'!$B$229=K$3,SUMIF('TL07'!$C$238:$C$451,$C273,'TL07'!$J$238:$J$451),0),
IF('TL08'!$B$3=K$3,SUMIF('TL08'!$C$10:$C$224,$C273,'TL08'!$J$10:$J$224),0),
IF('TL08'!$B$229=K$3,SUMIF('TL08'!$C$238:$C$451,$C273,'TL08'!$J$238:$J$451),0),
IF('TL09'!$B$3=K$3,SUMIF('TL09'!$C$10:$C$224,$C273,'TL09'!$J$10:$J$224),0),
IF('TL09'!$B$229=K$3,SUMIF('TL09'!$C$238:$C$451,$C273,'TL09'!$J$238:$J$451),0),
IF('TL10'!$B$3=K$3,SUMIF('TL10'!$C$10:$C$224,$C273,'TL10'!$J$10:$J$224),0),
IF('TL10'!$B$229=K$3,SUMIF('TL10'!$C$238:$C$451,$C273,'TL10'!$J$238:$J$451),0),
IF('TL11'!$B$3=K$3,SUMIF('TL11'!$C$10:$C$224,$C273,'TL11'!$J$10:$J$224),0),
IF('TL11'!$B$229=K$3,SUMIF('TL11'!$C$238:$C$451,$C273,'TL11'!$J$238:$J$451),0),
IF('TL12'!$B$3=K$3,SUMIF('TL12'!$C$10:$C$224,$C273,'TL12'!$J$10:$J$224),0),
IF('TL12'!$B$229=K$3,SUMIF('TL12'!$C$238:$C$451,$C273,'TL12'!$J$238:$J$451),0),
IF('TL13'!$B$3=K$3,SUMIF('TL13'!$C$10:$C$224,$C273,'TL13'!$J$10:$J$224),0),
IF('TL13'!$B$229=K$3,SUMIF('TL13'!$C$238:$C$451,$C273,'TL13'!$J$238:$J$451),0),
IF('TL14'!$B$3=K$3,SUMIF('TL14'!$C$10:$C$224,$C273,'TL14'!$J$10:$J$224),0),
IF('TL14'!$B$229=K$3,SUMIF('TL14'!$C$238:$C$451,$C273,'TL14'!$J$238:$J$451),0),
IF('TL15'!$B$3=K$3,SUMIF('TL15'!$C$10:$C$224,$C273,'TL15'!$J$10:$J$224),0),
IF('TL15'!$B$229=K$3,SUMIF('TL15'!$C$238:$C$451,$C273,'TL15'!$J$238:$J$451),0),
IF('TL16'!$B$3=K$3,SUMIF('TL16'!$C$10:$C$224,$C273,'TL16'!$J$10:$J$224),0),
IF('TL16'!$B$229=K$3,SUMIF('TL16'!$C$238:$C$451,$C273,'TL16'!$J$238:$J$451),0),
IF('TL17'!$B$3=K$3,SUMIF('TL17'!$C$10:$C$224,$C273,'TL17'!$J$10:$J$224),0),
IF('TL17'!$B$229=K$3,SUMIF('TL17'!$C$238:$C$451,$C273,'TL17'!$J$238:$J$451),0),
IF('TL18'!$B$3=K$3,SUMIF('TL18'!$C$10:$C$224,$C273,'TL18'!$J$10:$J$224),0),
IF('TL18'!$B$229=K$3,SUMIF('TL18'!$C$238:$C$451,$C273,'TL18'!$J$238:$J$451),0),
IF('TL19'!$B$3=K$3,SUMIF('TL19'!$C$10:$C$224,$C273,'TL19'!$J$10:$J$224),0),
IF('TL19'!$B$229=K$3,SUMIF('TL19'!$C$238:$C$451,$C273,'TL19'!$J$238:$J$451),0)
),0)</f>
        <v/>
      </c>
      <c r="L273" s="9">
        <f>IFERROR(SUM(
IF('TL01'!$B$3=L$3,SUMIF('TL01'!$C$10:$C$224,$C273,'TL01'!$J$10:$J$224),0),
IF('TL01'!$B$229=L$3,SUMIF('TL01'!$C$238:$C$451,$C273,'TL01'!$J$238:$J$451),0),
IF('TL02'!$B$3=L$3,SUMIF('TL02'!$C$10:$C$224,$C273,'TL02'!$J$10:$J$224),0),
IF('TL02'!$B$229=L$3,SUMIF('TL02'!$C$238:$C$451,$C273,'TL02'!$J$238:$J$451),0),
IF('TL03'!$B$3=L$3,SUMIF('TL03'!$C$10:$C$224,$C273,'TL03'!$J$10:$J$224),0),
IF('TL03'!$B$229=L$3,SUMIF('TL03'!$C$238:$C$451,$C273,'TL03'!$J$238:$J$451),0),
IF('TL04'!$B$3=L$3,SUMIF('TL04'!$C$10:$C$224,$C273,'TL04'!$J$10:$J$224),0),
IF('TL04'!$B$229=L$3,SUMIF('TL04'!$C$238:$C$451,$C273,'TL04'!$J$238:$J$451),0),
IF('TL05'!$B$3=L$3,SUMIF('TL05'!$C$10:$C$224,$C273,'TL05'!$J$10:$J$224),0),
IF('TL05'!$B$229=L$3,SUMIF('TL05'!$C$238:$C$451,$C273,'TL05'!$J$238:$J$451),0),
IF('TL06'!$B$3=L$3,SUMIF('TL06'!$C$10:$C$224,$C273,'TL06'!$J$10:$J$224),0),
IF('TL06'!$B$229=L$3,SUMIF('TL06'!$C$238:$C$451,$C273,'TL06'!$J$238:$J$451),0),
IF('TL07'!$B$3=L$3,SUMIF('TL07'!$C$10:$C$224,$C273,'TL07'!$J$10:$J$224),0),
IF('TL07'!$B$229=L$3,SUMIF('TL07'!$C$238:$C$451,$C273,'TL07'!$J$238:$J$451),0),
IF('TL08'!$B$3=L$3,SUMIF('TL08'!$C$10:$C$224,$C273,'TL08'!$J$10:$J$224),0),
IF('TL08'!$B$229=L$3,SUMIF('TL08'!$C$238:$C$451,$C273,'TL08'!$J$238:$J$451),0),
IF('TL09'!$B$3=L$3,SUMIF('TL09'!$C$10:$C$224,$C273,'TL09'!$J$10:$J$224),0),
IF('TL09'!$B$229=L$3,SUMIF('TL09'!$C$238:$C$451,$C273,'TL09'!$J$238:$J$451),0),
IF('TL10'!$B$3=L$3,SUMIF('TL10'!$C$10:$C$224,$C273,'TL10'!$J$10:$J$224),0),
IF('TL10'!$B$229=L$3,SUMIF('TL10'!$C$238:$C$451,$C273,'TL10'!$J$238:$J$451),0),
IF('TL11'!$B$3=L$3,SUMIF('TL11'!$C$10:$C$224,$C273,'TL11'!$J$10:$J$224),0),
IF('TL11'!$B$229=L$3,SUMIF('TL11'!$C$238:$C$451,$C273,'TL11'!$J$238:$J$451),0),
IF('TL12'!$B$3=L$3,SUMIF('TL12'!$C$10:$C$224,$C273,'TL12'!$J$10:$J$224),0),
IF('TL12'!$B$229=L$3,SUMIF('TL12'!$C$238:$C$451,$C273,'TL12'!$J$238:$J$451),0),
IF('TL13'!$B$3=L$3,SUMIF('TL13'!$C$10:$C$224,$C273,'TL13'!$J$10:$J$224),0),
IF('TL13'!$B$229=L$3,SUMIF('TL13'!$C$238:$C$451,$C273,'TL13'!$J$238:$J$451),0),
IF('TL14'!$B$3=L$3,SUMIF('TL14'!$C$10:$C$224,$C273,'TL14'!$J$10:$J$224),0),
IF('TL14'!$B$229=L$3,SUMIF('TL14'!$C$238:$C$451,$C273,'TL14'!$J$238:$J$451),0),
IF('TL15'!$B$3=L$3,SUMIF('TL15'!$C$10:$C$224,$C273,'TL15'!$J$10:$J$224),0),
IF('TL15'!$B$229=L$3,SUMIF('TL15'!$C$238:$C$451,$C273,'TL15'!$J$238:$J$451),0),
IF('TL16'!$B$3=L$3,SUMIF('TL16'!$C$10:$C$224,$C273,'TL16'!$J$10:$J$224),0),
IF('TL16'!$B$229=L$3,SUMIF('TL16'!$C$238:$C$451,$C273,'TL16'!$J$238:$J$451),0),
IF('TL17'!$B$3=L$3,SUMIF('TL17'!$C$10:$C$224,$C273,'TL17'!$J$10:$J$224),0),
IF('TL17'!$B$229=L$3,SUMIF('TL17'!$C$238:$C$451,$C273,'TL17'!$J$238:$J$451),0),
IF('TL18'!$B$3=L$3,SUMIF('TL18'!$C$10:$C$224,$C273,'TL18'!$J$10:$J$224),0),
IF('TL18'!$B$229=L$3,SUMIF('TL18'!$C$238:$C$451,$C273,'TL18'!$J$238:$J$451),0),
IF('TL19'!$B$3=L$3,SUMIF('TL19'!$C$10:$C$224,$C273,'TL19'!$J$10:$J$224),0),
IF('TL19'!$B$229=L$3,SUMIF('TL19'!$C$238:$C$451,$C273,'TL19'!$J$238:$J$451),0)
),0)</f>
        <v/>
      </c>
      <c r="M273" s="9">
        <f>IFERROR(SUM(
IF('TL01'!$B$3=M$3,SUMIF('TL01'!$C$10:$C$224,$C273,'TL01'!$J$10:$J$224),0),
IF('TL01'!$B$229=M$3,SUMIF('TL01'!$C$238:$C$451,$C273,'TL01'!$J$238:$J$451),0),
IF('TL02'!$B$3=M$3,SUMIF('TL02'!$C$10:$C$224,$C273,'TL02'!$J$10:$J$224),0),
IF('TL02'!$B$229=M$3,SUMIF('TL02'!$C$238:$C$451,$C273,'TL02'!$J$238:$J$451),0),
IF('TL03'!$B$3=M$3,SUMIF('TL03'!$C$10:$C$224,$C273,'TL03'!$J$10:$J$224),0),
IF('TL03'!$B$229=M$3,SUMIF('TL03'!$C$238:$C$451,$C273,'TL03'!$J$238:$J$451),0),
IF('TL04'!$B$3=M$3,SUMIF('TL04'!$C$10:$C$224,$C273,'TL04'!$J$10:$J$224),0),
IF('TL04'!$B$229=M$3,SUMIF('TL04'!$C$238:$C$451,$C273,'TL04'!$J$238:$J$451),0),
IF('TL05'!$B$3=M$3,SUMIF('TL05'!$C$10:$C$224,$C273,'TL05'!$J$10:$J$224),0),
IF('TL05'!$B$229=M$3,SUMIF('TL05'!$C$238:$C$451,$C273,'TL05'!$J$238:$J$451),0),
IF('TL06'!$B$3=M$3,SUMIF('TL06'!$C$10:$C$224,$C273,'TL06'!$J$10:$J$224),0),
IF('TL06'!$B$229=M$3,SUMIF('TL06'!$C$238:$C$451,$C273,'TL06'!$J$238:$J$451),0),
IF('TL07'!$B$3=M$3,SUMIF('TL07'!$C$10:$C$224,$C273,'TL07'!$J$10:$J$224),0),
IF('TL07'!$B$229=M$3,SUMIF('TL07'!$C$238:$C$451,$C273,'TL07'!$J$238:$J$451),0),
IF('TL08'!$B$3=M$3,SUMIF('TL08'!$C$10:$C$224,$C273,'TL08'!$J$10:$J$224),0),
IF('TL08'!$B$229=M$3,SUMIF('TL08'!$C$238:$C$451,$C273,'TL08'!$J$238:$J$451),0),
IF('TL09'!$B$3=M$3,SUMIF('TL09'!$C$10:$C$224,$C273,'TL09'!$J$10:$J$224),0),
IF('TL09'!$B$229=M$3,SUMIF('TL09'!$C$238:$C$451,$C273,'TL09'!$J$238:$J$451),0),
IF('TL10'!$B$3=M$3,SUMIF('TL10'!$C$10:$C$224,$C273,'TL10'!$J$10:$J$224),0),
IF('TL10'!$B$229=M$3,SUMIF('TL10'!$C$238:$C$451,$C273,'TL10'!$J$238:$J$451),0),
IF('TL11'!$B$3=M$3,SUMIF('TL11'!$C$10:$C$224,$C273,'TL11'!$J$10:$J$224),0),
IF('TL11'!$B$229=M$3,SUMIF('TL11'!$C$238:$C$451,$C273,'TL11'!$J$238:$J$451),0),
IF('TL12'!$B$3=M$3,SUMIF('TL12'!$C$10:$C$224,$C273,'TL12'!$J$10:$J$224),0),
IF('TL12'!$B$229=M$3,SUMIF('TL12'!$C$238:$C$451,$C273,'TL12'!$J$238:$J$451),0),
IF('TL13'!$B$3=M$3,SUMIF('TL13'!$C$10:$C$224,$C273,'TL13'!$J$10:$J$224),0),
IF('TL13'!$B$229=M$3,SUMIF('TL13'!$C$238:$C$451,$C273,'TL13'!$J$238:$J$451),0),
IF('TL14'!$B$3=M$3,SUMIF('TL14'!$C$10:$C$224,$C273,'TL14'!$J$10:$J$224),0),
IF('TL14'!$B$229=M$3,SUMIF('TL14'!$C$238:$C$451,$C273,'TL14'!$J$238:$J$451),0),
IF('TL15'!$B$3=M$3,SUMIF('TL15'!$C$10:$C$224,$C273,'TL15'!$J$10:$J$224),0),
IF('TL15'!$B$229=M$3,SUMIF('TL15'!$C$238:$C$451,$C273,'TL15'!$J$238:$J$451),0),
IF('TL16'!$B$3=M$3,SUMIF('TL16'!$C$10:$C$224,$C273,'TL16'!$J$10:$J$224),0),
IF('TL16'!$B$229=M$3,SUMIF('TL16'!$C$238:$C$451,$C273,'TL16'!$J$238:$J$451),0),
IF('TL17'!$B$3=M$3,SUMIF('TL17'!$C$10:$C$224,$C273,'TL17'!$J$10:$J$224),0),
IF('TL17'!$B$229=M$3,SUMIF('TL17'!$C$238:$C$451,$C273,'TL17'!$J$238:$J$451),0),
IF('TL18'!$B$3=M$3,SUMIF('TL18'!$C$10:$C$224,$C273,'TL18'!$J$10:$J$224),0),
IF('TL18'!$B$229=M$3,SUMIF('TL18'!$C$238:$C$451,$C273,'TL18'!$J$238:$J$451),0),
IF('TL19'!$B$3=M$3,SUMIF('TL19'!$C$10:$C$224,$C273,'TL19'!$J$10:$J$224),0),
IF('TL19'!$B$229=M$3,SUMIF('TL19'!$C$238:$C$451,$C273,'TL19'!$J$238:$J$451),0)
),0)</f>
        <v/>
      </c>
      <c r="N273" s="9">
        <f>IFERROR(SUM(
IF('TL01'!$B$3=N$3,SUMIF('TL01'!$C$10:$C$224,$C273,'TL01'!$J$10:$J$224),0),
IF('TL01'!$B$229=N$3,SUMIF('TL01'!$C$238:$C$451,$C273,'TL01'!$J$238:$J$451),0),
IF('TL02'!$B$3=N$3,SUMIF('TL02'!$C$10:$C$224,$C273,'TL02'!$J$10:$J$224),0),
IF('TL02'!$B$229=N$3,SUMIF('TL02'!$C$238:$C$451,$C273,'TL02'!$J$238:$J$451),0),
IF('TL03'!$B$3=N$3,SUMIF('TL03'!$C$10:$C$224,$C273,'TL03'!$J$10:$J$224),0),
IF('TL03'!$B$229=N$3,SUMIF('TL03'!$C$238:$C$451,$C273,'TL03'!$J$238:$J$451),0),
IF('TL04'!$B$3=N$3,SUMIF('TL04'!$C$10:$C$224,$C273,'TL04'!$J$10:$J$224),0),
IF('TL04'!$B$229=N$3,SUMIF('TL04'!$C$238:$C$451,$C273,'TL04'!$J$238:$J$451),0),
IF('TL05'!$B$3=N$3,SUMIF('TL05'!$C$10:$C$224,$C273,'TL05'!$J$10:$J$224),0),
IF('TL05'!$B$229=N$3,SUMIF('TL05'!$C$238:$C$451,$C273,'TL05'!$J$238:$J$451),0),
IF('TL06'!$B$3=N$3,SUMIF('TL06'!$C$10:$C$224,$C273,'TL06'!$J$10:$J$224),0),
IF('TL06'!$B$229=N$3,SUMIF('TL06'!$C$238:$C$451,$C273,'TL06'!$J$238:$J$451),0),
IF('TL07'!$B$3=N$3,SUMIF('TL07'!$C$10:$C$224,$C273,'TL07'!$J$10:$J$224),0),
IF('TL07'!$B$229=N$3,SUMIF('TL07'!$C$238:$C$451,$C273,'TL07'!$J$238:$J$451),0),
IF('TL08'!$B$3=N$3,SUMIF('TL08'!$C$10:$C$224,$C273,'TL08'!$J$10:$J$224),0),
IF('TL08'!$B$229=N$3,SUMIF('TL08'!$C$238:$C$451,$C273,'TL08'!$J$238:$J$451),0),
IF('TL09'!$B$3=N$3,SUMIF('TL09'!$C$10:$C$224,$C273,'TL09'!$J$10:$J$224),0),
IF('TL09'!$B$229=N$3,SUMIF('TL09'!$C$238:$C$451,$C273,'TL09'!$J$238:$J$451),0),
IF('TL10'!$B$3=N$3,SUMIF('TL10'!$C$10:$C$224,$C273,'TL10'!$J$10:$J$224),0),
IF('TL10'!$B$229=N$3,SUMIF('TL10'!$C$238:$C$451,$C273,'TL10'!$J$238:$J$451),0),
IF('TL11'!$B$3=N$3,SUMIF('TL11'!$C$10:$C$224,$C273,'TL11'!$J$10:$J$224),0),
IF('TL11'!$B$229=N$3,SUMIF('TL11'!$C$238:$C$451,$C273,'TL11'!$J$238:$J$451),0),
IF('TL12'!$B$3=N$3,SUMIF('TL12'!$C$10:$C$224,$C273,'TL12'!$J$10:$J$224),0),
IF('TL12'!$B$229=N$3,SUMIF('TL12'!$C$238:$C$451,$C273,'TL12'!$J$238:$J$451),0),
IF('TL13'!$B$3=N$3,SUMIF('TL13'!$C$10:$C$224,$C273,'TL13'!$J$10:$J$224),0),
IF('TL13'!$B$229=N$3,SUMIF('TL13'!$C$238:$C$451,$C273,'TL13'!$J$238:$J$451),0),
IF('TL14'!$B$3=N$3,SUMIF('TL14'!$C$10:$C$224,$C273,'TL14'!$J$10:$J$224),0),
IF('TL14'!$B$229=N$3,SUMIF('TL14'!$C$238:$C$451,$C273,'TL14'!$J$238:$J$451),0),
IF('TL15'!$B$3=N$3,SUMIF('TL15'!$C$10:$C$224,$C273,'TL15'!$J$10:$J$224),0),
IF('TL15'!$B$229=N$3,SUMIF('TL15'!$C$238:$C$451,$C273,'TL15'!$J$238:$J$451),0),
IF('TL16'!$B$3=N$3,SUMIF('TL16'!$C$10:$C$224,$C273,'TL16'!$J$10:$J$224),0),
IF('TL16'!$B$229=N$3,SUMIF('TL16'!$C$238:$C$451,$C273,'TL16'!$J$238:$J$451),0),
IF('TL17'!$B$3=N$3,SUMIF('TL17'!$C$10:$C$224,$C273,'TL17'!$J$10:$J$224),0),
IF('TL17'!$B$229=N$3,SUMIF('TL17'!$C$238:$C$451,$C273,'TL17'!$J$238:$J$451),0),
IF('TL18'!$B$3=N$3,SUMIF('TL18'!$C$10:$C$224,$C273,'TL18'!$J$10:$J$224),0),
IF('TL18'!$B$229=N$3,SUMIF('TL18'!$C$238:$C$451,$C273,'TL18'!$J$238:$J$451),0),
IF('TL19'!$B$3=N$3,SUMIF('TL19'!$C$10:$C$224,$C273,'TL19'!$J$10:$J$224),0),
IF('TL19'!$B$229=N$3,SUMIF('TL19'!$C$238:$C$451,$C273,'TL19'!$J$238:$J$451),0)
),0)</f>
        <v/>
      </c>
      <c r="O273" s="9">
        <f>IFERROR(SUM(
IF('TL01'!$B$3=O$3,SUMIF('TL01'!$C$10:$C$224,$C273,'TL01'!$J$10:$J$224),0),
IF('TL01'!$B$229=O$3,SUMIF('TL01'!$C$238:$C$451,$C273,'TL01'!$J$238:$J$451),0),
IF('TL02'!$B$3=O$3,SUMIF('TL02'!$C$10:$C$224,$C273,'TL02'!$J$10:$J$224),0),
IF('TL02'!$B$229=O$3,SUMIF('TL02'!$C$238:$C$451,$C273,'TL02'!$J$238:$J$451),0),
IF('TL03'!$B$3=O$3,SUMIF('TL03'!$C$10:$C$224,$C273,'TL03'!$J$10:$J$224),0),
IF('TL03'!$B$229=O$3,SUMIF('TL03'!$C$238:$C$451,$C273,'TL03'!$J$238:$J$451),0),
IF('TL04'!$B$3=O$3,SUMIF('TL04'!$C$10:$C$224,$C273,'TL04'!$J$10:$J$224),0),
IF('TL04'!$B$229=O$3,SUMIF('TL04'!$C$238:$C$451,$C273,'TL04'!$J$238:$J$451),0),
IF('TL05'!$B$3=O$3,SUMIF('TL05'!$C$10:$C$224,$C273,'TL05'!$J$10:$J$224),0),
IF('TL05'!$B$229=O$3,SUMIF('TL05'!$C$238:$C$451,$C273,'TL05'!$J$238:$J$451),0),
IF('TL06'!$B$3=O$3,SUMIF('TL06'!$C$10:$C$224,$C273,'TL06'!$J$10:$J$224),0),
IF('TL06'!$B$229=O$3,SUMIF('TL06'!$C$238:$C$451,$C273,'TL06'!$J$238:$J$451),0),
IF('TL07'!$B$3=O$3,SUMIF('TL07'!$C$10:$C$224,$C273,'TL07'!$J$10:$J$224),0),
IF('TL07'!$B$229=O$3,SUMIF('TL07'!$C$238:$C$451,$C273,'TL07'!$J$238:$J$451),0),
IF('TL08'!$B$3=O$3,SUMIF('TL08'!$C$10:$C$224,$C273,'TL08'!$J$10:$J$224),0),
IF('TL08'!$B$229=O$3,SUMIF('TL08'!$C$238:$C$451,$C273,'TL08'!$J$238:$J$451),0),
IF('TL09'!$B$3=O$3,SUMIF('TL09'!$C$10:$C$224,$C273,'TL09'!$J$10:$J$224),0),
IF('TL09'!$B$229=O$3,SUMIF('TL09'!$C$238:$C$451,$C273,'TL09'!$J$238:$J$451),0),
IF('TL10'!$B$3=O$3,SUMIF('TL10'!$C$10:$C$224,$C273,'TL10'!$J$10:$J$224),0),
IF('TL10'!$B$229=O$3,SUMIF('TL10'!$C$238:$C$451,$C273,'TL10'!$J$238:$J$451),0),
IF('TL11'!$B$3=O$3,SUMIF('TL11'!$C$10:$C$224,$C273,'TL11'!$J$10:$J$224),0),
IF('TL11'!$B$229=O$3,SUMIF('TL11'!$C$238:$C$451,$C273,'TL11'!$J$238:$J$451),0),
IF('TL12'!$B$3=O$3,SUMIF('TL12'!$C$10:$C$224,$C273,'TL12'!$J$10:$J$224),0),
IF('TL12'!$B$229=O$3,SUMIF('TL12'!$C$238:$C$451,$C273,'TL12'!$J$238:$J$451),0),
IF('TL13'!$B$3=O$3,SUMIF('TL13'!$C$10:$C$224,$C273,'TL13'!$J$10:$J$224),0),
IF('TL13'!$B$229=O$3,SUMIF('TL13'!$C$238:$C$451,$C273,'TL13'!$J$238:$J$451),0),
IF('TL14'!$B$3=O$3,SUMIF('TL14'!$C$10:$C$224,$C273,'TL14'!$J$10:$J$224),0),
IF('TL14'!$B$229=O$3,SUMIF('TL14'!$C$238:$C$451,$C273,'TL14'!$J$238:$J$451),0),
IF('TL15'!$B$3=O$3,SUMIF('TL15'!$C$10:$C$224,$C273,'TL15'!$J$10:$J$224),0),
IF('TL15'!$B$229=O$3,SUMIF('TL15'!$C$238:$C$451,$C273,'TL15'!$J$238:$J$451),0),
IF('TL16'!$B$3=O$3,SUMIF('TL16'!$C$10:$C$224,$C273,'TL16'!$J$10:$J$224),0),
IF('TL16'!$B$229=O$3,SUMIF('TL16'!$C$238:$C$451,$C273,'TL16'!$J$238:$J$451),0),
IF('TL17'!$B$3=O$3,SUMIF('TL17'!$C$10:$C$224,$C273,'TL17'!$J$10:$J$224),0),
IF('TL17'!$B$229=O$3,SUMIF('TL17'!$C$238:$C$451,$C273,'TL17'!$J$238:$J$451),0),
IF('TL18'!$B$3=O$3,SUMIF('TL18'!$C$10:$C$224,$C273,'TL18'!$J$10:$J$224),0),
IF('TL18'!$B$229=O$3,SUMIF('TL18'!$C$238:$C$451,$C273,'TL18'!$J$238:$J$451),0),
IF('TL19'!$B$3=O$3,SUMIF('TL19'!$C$10:$C$224,$C273,'TL19'!$J$10:$J$224),0),
IF('TL19'!$B$229=O$3,SUMIF('TL19'!$C$238:$C$451,$C273,'TL19'!$J$238:$J$451),0)
),0)</f>
        <v/>
      </c>
      <c r="P273" s="9">
        <f>IFERROR(SUM(
IF('TL01'!$B$3=P$3,SUMIF('TL01'!$C$10:$C$224,$C273,'TL01'!$J$10:$J$224),0),
IF('TL01'!$B$229=P$3,SUMIF('TL01'!$C$238:$C$451,$C273,'TL01'!$J$238:$J$451),0),
IF('TL02'!$B$3=P$3,SUMIF('TL02'!$C$10:$C$224,$C273,'TL02'!$J$10:$J$224),0),
IF('TL02'!$B$229=P$3,SUMIF('TL02'!$C$238:$C$451,$C273,'TL02'!$J$238:$J$451),0),
IF('TL03'!$B$3=P$3,SUMIF('TL03'!$C$10:$C$224,$C273,'TL03'!$J$10:$J$224),0),
IF('TL03'!$B$229=P$3,SUMIF('TL03'!$C$238:$C$451,$C273,'TL03'!$J$238:$J$451),0),
IF('TL04'!$B$3=P$3,SUMIF('TL04'!$C$10:$C$224,$C273,'TL04'!$J$10:$J$224),0),
IF('TL04'!$B$229=P$3,SUMIF('TL04'!$C$238:$C$451,$C273,'TL04'!$J$238:$J$451),0),
IF('TL05'!$B$3=P$3,SUMIF('TL05'!$C$10:$C$224,$C273,'TL05'!$J$10:$J$224),0),
IF('TL05'!$B$229=P$3,SUMIF('TL05'!$C$238:$C$451,$C273,'TL05'!$J$238:$J$451),0),
IF('TL06'!$B$3=P$3,SUMIF('TL06'!$C$10:$C$224,$C273,'TL06'!$J$10:$J$224),0),
IF('TL06'!$B$229=P$3,SUMIF('TL06'!$C$238:$C$451,$C273,'TL06'!$J$238:$J$451),0),
IF('TL07'!$B$3=P$3,SUMIF('TL07'!$C$10:$C$224,$C273,'TL07'!$J$10:$J$224),0),
IF('TL07'!$B$229=P$3,SUMIF('TL07'!$C$238:$C$451,$C273,'TL07'!$J$238:$J$451),0),
IF('TL08'!$B$3=P$3,SUMIF('TL08'!$C$10:$C$224,$C273,'TL08'!$J$10:$J$224),0),
IF('TL08'!$B$229=P$3,SUMIF('TL08'!$C$238:$C$451,$C273,'TL08'!$J$238:$J$451),0),
IF('TL09'!$B$3=P$3,SUMIF('TL09'!$C$10:$C$224,$C273,'TL09'!$J$10:$J$224),0),
IF('TL09'!$B$229=P$3,SUMIF('TL09'!$C$238:$C$451,$C273,'TL09'!$J$238:$J$451),0),
IF('TL10'!$B$3=P$3,SUMIF('TL10'!$C$10:$C$224,$C273,'TL10'!$J$10:$J$224),0),
IF('TL10'!$B$229=P$3,SUMIF('TL10'!$C$238:$C$451,$C273,'TL10'!$J$238:$J$451),0),
IF('TL11'!$B$3=P$3,SUMIF('TL11'!$C$10:$C$224,$C273,'TL11'!$J$10:$J$224),0),
IF('TL11'!$B$229=P$3,SUMIF('TL11'!$C$238:$C$451,$C273,'TL11'!$J$238:$J$451),0),
IF('TL12'!$B$3=P$3,SUMIF('TL12'!$C$10:$C$224,$C273,'TL12'!$J$10:$J$224),0),
IF('TL12'!$B$229=P$3,SUMIF('TL12'!$C$238:$C$451,$C273,'TL12'!$J$238:$J$451),0),
IF('TL13'!$B$3=P$3,SUMIF('TL13'!$C$10:$C$224,$C273,'TL13'!$J$10:$J$224),0),
IF('TL13'!$B$229=P$3,SUMIF('TL13'!$C$238:$C$451,$C273,'TL13'!$J$238:$J$451),0),
IF('TL14'!$B$3=P$3,SUMIF('TL14'!$C$10:$C$224,$C273,'TL14'!$J$10:$J$224),0),
IF('TL14'!$B$229=P$3,SUMIF('TL14'!$C$238:$C$451,$C273,'TL14'!$J$238:$J$451),0),
IF('TL15'!$B$3=P$3,SUMIF('TL15'!$C$10:$C$224,$C273,'TL15'!$J$10:$J$224),0),
IF('TL15'!$B$229=P$3,SUMIF('TL15'!$C$238:$C$451,$C273,'TL15'!$J$238:$J$451),0),
IF('TL16'!$B$3=P$3,SUMIF('TL16'!$C$10:$C$224,$C273,'TL16'!$J$10:$J$224),0),
IF('TL16'!$B$229=P$3,SUMIF('TL16'!$C$238:$C$451,$C273,'TL16'!$J$238:$J$451),0),
IF('TL17'!$B$3=P$3,SUMIF('TL17'!$C$10:$C$224,$C273,'TL17'!$J$10:$J$224),0),
IF('TL17'!$B$229=P$3,SUMIF('TL17'!$C$238:$C$451,$C273,'TL17'!$J$238:$J$451),0),
IF('TL18'!$B$3=P$3,SUMIF('TL18'!$C$10:$C$224,$C273,'TL18'!$J$10:$J$224),0),
IF('TL18'!$B$229=P$3,SUMIF('TL18'!$C$238:$C$451,$C273,'TL18'!$J$238:$J$451),0),
IF('TL19'!$B$3=P$3,SUMIF('TL19'!$C$10:$C$224,$C273,'TL19'!$J$10:$J$224),0),
IF('TL19'!$B$229=P$3,SUMIF('TL19'!$C$238:$C$451,$C273,'TL19'!$J$238:$J$451),0)
),0)</f>
        <v/>
      </c>
      <c r="Q273" s="9">
        <f>IFERROR(SUM(
IF('TL01'!$B$3=Q$3,SUMIF('TL01'!$C$10:$C$224,$C273,'TL01'!$J$10:$J$224),0),
IF('TL01'!$B$229=Q$3,SUMIF('TL01'!$C$238:$C$451,$C273,'TL01'!$J$238:$J$451),0),
IF('TL02'!$B$3=Q$3,SUMIF('TL02'!$C$10:$C$224,$C273,'TL02'!$J$10:$J$224),0),
IF('TL02'!$B$229=Q$3,SUMIF('TL02'!$C$238:$C$451,$C273,'TL02'!$J$238:$J$451),0),
IF('TL03'!$B$3=Q$3,SUMIF('TL03'!$C$10:$C$224,$C273,'TL03'!$J$10:$J$224),0),
IF('TL03'!$B$229=Q$3,SUMIF('TL03'!$C$238:$C$451,$C273,'TL03'!$J$238:$J$451),0),
IF('TL04'!$B$3=Q$3,SUMIF('TL04'!$C$10:$C$224,$C273,'TL04'!$J$10:$J$224),0),
IF('TL04'!$B$229=Q$3,SUMIF('TL04'!$C$238:$C$451,$C273,'TL04'!$J$238:$J$451),0),
IF('TL05'!$B$3=Q$3,SUMIF('TL05'!$C$10:$C$224,$C273,'TL05'!$J$10:$J$224),0),
IF('TL05'!$B$229=Q$3,SUMIF('TL05'!$C$238:$C$451,$C273,'TL05'!$J$238:$J$451),0),
IF('TL06'!$B$3=Q$3,SUMIF('TL06'!$C$10:$C$224,$C273,'TL06'!$J$10:$J$224),0),
IF('TL06'!$B$229=Q$3,SUMIF('TL06'!$C$238:$C$451,$C273,'TL06'!$J$238:$J$451),0),
IF('TL07'!$B$3=Q$3,SUMIF('TL07'!$C$10:$C$224,$C273,'TL07'!$J$10:$J$224),0),
IF('TL07'!$B$229=Q$3,SUMIF('TL07'!$C$238:$C$451,$C273,'TL07'!$J$238:$J$451),0),
IF('TL08'!$B$3=Q$3,SUMIF('TL08'!$C$10:$C$224,$C273,'TL08'!$J$10:$J$224),0),
IF('TL08'!$B$229=Q$3,SUMIF('TL08'!$C$238:$C$451,$C273,'TL08'!$J$238:$J$451),0),
IF('TL09'!$B$3=Q$3,SUMIF('TL09'!$C$10:$C$224,$C273,'TL09'!$J$10:$J$224),0),
IF('TL09'!$B$229=Q$3,SUMIF('TL09'!$C$238:$C$451,$C273,'TL09'!$J$238:$J$451),0),
IF('TL10'!$B$3=Q$3,SUMIF('TL10'!$C$10:$C$224,$C273,'TL10'!$J$10:$J$224),0),
IF('TL10'!$B$229=Q$3,SUMIF('TL10'!$C$238:$C$451,$C273,'TL10'!$J$238:$J$451),0),
IF('TL11'!$B$3=Q$3,SUMIF('TL11'!$C$10:$C$224,$C273,'TL11'!$J$10:$J$224),0),
IF('TL11'!$B$229=Q$3,SUMIF('TL11'!$C$238:$C$451,$C273,'TL11'!$J$238:$J$451),0),
IF('TL12'!$B$3=Q$3,SUMIF('TL12'!$C$10:$C$224,$C273,'TL12'!$J$10:$J$224),0),
IF('TL12'!$B$229=Q$3,SUMIF('TL12'!$C$238:$C$451,$C273,'TL12'!$J$238:$J$451),0),
IF('TL13'!$B$3=Q$3,SUMIF('TL13'!$C$10:$C$224,$C273,'TL13'!$J$10:$J$224),0),
IF('TL13'!$B$229=Q$3,SUMIF('TL13'!$C$238:$C$451,$C273,'TL13'!$J$238:$J$451),0),
IF('TL14'!$B$3=Q$3,SUMIF('TL14'!$C$10:$C$224,$C273,'TL14'!$J$10:$J$224),0),
IF('TL14'!$B$229=Q$3,SUMIF('TL14'!$C$238:$C$451,$C273,'TL14'!$J$238:$J$451),0),
IF('TL15'!$B$3=Q$3,SUMIF('TL15'!$C$10:$C$224,$C273,'TL15'!$J$10:$J$224),0),
IF('TL15'!$B$229=Q$3,SUMIF('TL15'!$C$238:$C$451,$C273,'TL15'!$J$238:$J$451),0),
IF('TL16'!$B$3=Q$3,SUMIF('TL16'!$C$10:$C$224,$C273,'TL16'!$J$10:$J$224),0),
IF('TL16'!$B$229=Q$3,SUMIF('TL16'!$C$238:$C$451,$C273,'TL16'!$J$238:$J$451),0),
IF('TL17'!$B$3=Q$3,SUMIF('TL17'!$C$10:$C$224,$C273,'TL17'!$J$10:$J$224),0),
IF('TL17'!$B$229=Q$3,SUMIF('TL17'!$C$238:$C$451,$C273,'TL17'!$J$238:$J$451),0),
IF('TL18'!$B$3=Q$3,SUMIF('TL18'!$C$10:$C$224,$C273,'TL18'!$J$10:$J$224),0),
IF('TL18'!$B$229=Q$3,SUMIF('TL18'!$C$238:$C$451,$C273,'TL18'!$J$238:$J$451),0),
IF('TL19'!$B$3=Q$3,SUMIF('TL19'!$C$10:$C$224,$C273,'TL19'!$J$10:$J$224),0),
IF('TL19'!$B$229=Q$3,SUMIF('TL19'!$C$238:$C$451,$C273,'TL19'!$J$238:$J$451),0)
),0)</f>
        <v/>
      </c>
      <c r="R273" s="9">
        <f>IFERROR(
SUM(
SUMIF('TL01'!C:C,C273,'TL01'!J:J),
SUMIF('TL02'!C:C,C273,'TL02'!J:J),
SUMIF('TL03'!C:C,C273,'TL03'!J:J),
SUMIF('TL04'!C:C,C273,'TL04'!J:J),
SUMIF('TL05'!C:C,C273,'TL05'!J:J),
SUMIF('TL06'!C:C,C273,'TL06'!J:J),
SUMIF('TL07'!C:C,C273,'TL07'!J:J),
SUMIF('TL08'!C:C,C273,'TL08'!J:J),
SUMIF('TL09'!C:C,C273,'TL09'!J:J),
SUMIF('TL10'!C:C,C273,'TL10'!J:J),
SUMIF('TL11'!C:C,C273,'TL11'!J:J),
SUMIF('TL12'!C:C,C273,'TL12'!J:J),
SUMIF('TL13'!C:C,C273,'TL13'!J:J),
SUMIF('TL14'!C:C,C273,'TL14'!J:J),
SUMIF('TL15'!C:C,C273,'TL15'!J:J),
SUMIF('TL16'!C:C,C273,'TL16'!J:J),
SUMIF('TL17'!C:C,C273,'TL17'!J:J),
SUMIF('TL18'!C:C,C273,'TL18'!J:J),SUMIF('TL19'!C:C,C273,'TL19'!J:J))
,0)</f>
        <v/>
      </c>
      <c r="S273" s="17">
        <f>IFERROR(__xludf.DUMMYFUNCTION("IFERROR(VLOOKUP(C273,
IMPORTRANGE(""1wULbzX32WdYsx-lj2U3uUNBBe2INVIRDtcK0d-Dvl90"",
""26-27!C:G""),
5,
FALSE),
"""")"),17.0)</f>
        <v/>
      </c>
      <c r="T273" s="9" t="n"/>
      <c r="U273" s="92">
        <f>MAX(0,R273-T273)</f>
        <v/>
      </c>
      <c r="V273" s="93">
        <f>U273*S273</f>
        <v/>
      </c>
    </row>
    <row r="274" hidden="1" ht="15.75" customHeight="1" s="297">
      <c r="A274" s="4" t="inlineStr">
        <is>
          <t>GRAN7</t>
        </is>
      </c>
      <c r="B274" s="125" t="inlineStr">
        <is>
          <t>NUTRIÇÃO</t>
        </is>
      </c>
      <c r="C274" s="4" t="inlineStr">
        <is>
          <t>Sallvare Complex</t>
        </is>
      </c>
      <c r="D274" s="4" t="inlineStr">
        <is>
          <t>Cu 8%, Fe 0,1%,Quelatizado Organicamente</t>
        </is>
      </c>
      <c r="E274" s="9" t="n"/>
      <c r="F274" s="4" t="inlineStr">
        <is>
          <t>L</t>
        </is>
      </c>
      <c r="G274" s="9" t="n"/>
      <c r="H274" s="9" t="n">
        <v>0.6</v>
      </c>
      <c r="I274" s="1" t="n"/>
      <c r="J274" s="9">
        <f>IFERROR(SUM(
IF('TL01'!$B$3=J$3,SUMIF('TL01'!$C$10:$C$224,$C274,'TL01'!$J$10:$J$224),0),
IF('TL01'!$B$229=J$3,SUMIF('TL01'!$C$238:$C$451,$C274,'TL01'!$J$238:$J$451),0),
IF('TL02'!$B$3=J$3,SUMIF('TL02'!$C$10:$C$224,$C274,'TL02'!$J$10:$J$224),0),
IF('TL02'!$B$229=J$3,SUMIF('TL02'!$C$238:$C$451,$C274,'TL02'!$J$238:$J$451),0),
IF('TL03'!$B$3=J$3,SUMIF('TL03'!$C$10:$C$224,$C274,'TL03'!$J$10:$J$224),0),
IF('TL03'!$B$229=J$3,SUMIF('TL03'!$C$238:$C$451,$C274,'TL03'!$J$238:$J$451),0),
IF('TL04'!$B$3=J$3,SUMIF('TL04'!$C$10:$C$224,$C274,'TL04'!$J$10:$J$224),0),
IF('TL04'!$B$229=J$3,SUMIF('TL04'!$C$238:$C$451,$C274,'TL04'!$J$238:$J$451),0),
IF('TL05'!$B$3=J$3,SUMIF('TL05'!$C$10:$C$224,$C274,'TL05'!$J$10:$J$224),0),
IF('TL05'!$B$229=J$3,SUMIF('TL05'!$C$238:$C$451,$C274,'TL05'!$J$238:$J$451),0),
IF('TL06'!$B$3=J$3,SUMIF('TL06'!$C$10:$C$224,$C274,'TL06'!$J$10:$J$224),0),
IF('TL06'!$B$229=J$3,SUMIF('TL06'!$C$238:$C$451,$C274,'TL06'!$J$238:$J$451),0),
IF('TL07'!$B$3=J$3,SUMIF('TL07'!$C$10:$C$224,$C274,'TL07'!$J$10:$J$224),0),
IF('TL07'!$B$229=J$3,SUMIF('TL07'!$C$238:$C$451,$C274,'TL07'!$J$238:$J$451),0),
IF('TL08'!$B$3=J$3,SUMIF('TL08'!$C$10:$C$224,$C274,'TL08'!$J$10:$J$224),0),
IF('TL08'!$B$229=J$3,SUMIF('TL08'!$C$238:$C$451,$C274,'TL08'!$J$238:$J$451),0),
IF('TL09'!$B$3=J$3,SUMIF('TL09'!$C$10:$C$224,$C274,'TL09'!$J$10:$J$224),0),
IF('TL09'!$B$229=J$3,SUMIF('TL09'!$C$238:$C$451,$C274,'TL09'!$J$238:$J$451),0),
IF('TL10'!$B$3=J$3,SUMIF('TL10'!$C$10:$C$224,$C274,'TL10'!$J$10:$J$224),0),
IF('TL10'!$B$229=J$3,SUMIF('TL10'!$C$238:$C$451,$C274,'TL10'!$J$238:$J$451),0),
IF('TL11'!$B$3=J$3,SUMIF('TL11'!$C$10:$C$224,$C274,'TL11'!$J$10:$J$224),0),
IF('TL11'!$B$229=J$3,SUMIF('TL11'!$C$238:$C$451,$C274,'TL11'!$J$238:$J$451),0),
IF('TL12'!$B$3=J$3,SUMIF('TL12'!$C$10:$C$224,$C274,'TL12'!$J$10:$J$224),0),
IF('TL12'!$B$229=J$3,SUMIF('TL12'!$C$238:$C$451,$C274,'TL12'!$J$238:$J$451),0),
IF('TL13'!$B$3=J$3,SUMIF('TL13'!$C$10:$C$224,$C274,'TL13'!$J$10:$J$224),0),
IF('TL13'!$B$229=J$3,SUMIF('TL13'!$C$238:$C$451,$C274,'TL13'!$J$238:$J$451),0),
IF('TL14'!$B$3=J$3,SUMIF('TL14'!$C$10:$C$224,$C274,'TL14'!$J$10:$J$224),0),
IF('TL14'!$B$229=J$3,SUMIF('TL14'!$C$238:$C$451,$C274,'TL14'!$J$238:$J$451),0),
IF('TL15'!$B$3=J$3,SUMIF('TL15'!$C$10:$C$224,$C274,'TL15'!$J$10:$J$224),0),
IF('TL15'!$B$229=J$3,SUMIF('TL15'!$C$238:$C$451,$C274,'TL15'!$J$238:$J$451),0),
IF('TL16'!$B$3=J$3,SUMIF('TL16'!$C$10:$C$224,$C274,'TL16'!$J$10:$J$224),0),
IF('TL16'!$B$229=J$3,SUMIF('TL16'!$C$238:$C$451,$C274,'TL16'!$J$238:$J$451),0),
IF('TL17'!$B$3=J$3,SUMIF('TL17'!$C$10:$C$224,$C274,'TL17'!$J$10:$J$224),0),
IF('TL17'!$B$229=J$3,SUMIF('TL17'!$C$238:$C$451,$C274,'TL17'!$J$238:$J$451),0),
IF('TL18'!$B$3=J$3,SUMIF('TL18'!$C$10:$C$224,$C274,'TL18'!$J$10:$J$224),0),
IF('TL18'!$B$229=J$3,SUMIF('TL18'!$C$238:$C$451,$C274,'TL18'!$J$238:$J$451),0),
IF('TL19'!$B$3=J$3,SUMIF('TL19'!$C$10:$C$224,$C274,'TL19'!$J$10:$J$224),0),
IF('TL19'!$B$229=J$3,SUMIF('TL19'!$C$238:$C$451,$C274,'TL19'!$J$238:$J$451),0)
),0)</f>
        <v/>
      </c>
      <c r="K274" s="9">
        <f>IFERROR(SUM(
IF('TL01'!$B$3=K$3,SUMIF('TL01'!$C$10:$C$224,$C274,'TL01'!$J$10:$J$224),0),
IF('TL01'!$B$229=K$3,SUMIF('TL01'!$C$238:$C$451,$C274,'TL01'!$J$238:$J$451),0),
IF('TL02'!$B$3=K$3,SUMIF('TL02'!$C$10:$C$224,$C274,'TL02'!$J$10:$J$224),0),
IF('TL02'!$B$229=K$3,SUMIF('TL02'!$C$238:$C$451,$C274,'TL02'!$J$238:$J$451),0),
IF('TL03'!$B$3=K$3,SUMIF('TL03'!$C$10:$C$224,$C274,'TL03'!$J$10:$J$224),0),
IF('TL03'!$B$229=K$3,SUMIF('TL03'!$C$238:$C$451,$C274,'TL03'!$J$238:$J$451),0),
IF('TL04'!$B$3=K$3,SUMIF('TL04'!$C$10:$C$224,$C274,'TL04'!$J$10:$J$224),0),
IF('TL04'!$B$229=K$3,SUMIF('TL04'!$C$238:$C$451,$C274,'TL04'!$J$238:$J$451),0),
IF('TL05'!$B$3=K$3,SUMIF('TL05'!$C$10:$C$224,$C274,'TL05'!$J$10:$J$224),0),
IF('TL05'!$B$229=K$3,SUMIF('TL05'!$C$238:$C$451,$C274,'TL05'!$J$238:$J$451),0),
IF('TL06'!$B$3=K$3,SUMIF('TL06'!$C$10:$C$224,$C274,'TL06'!$J$10:$J$224),0),
IF('TL06'!$B$229=K$3,SUMIF('TL06'!$C$238:$C$451,$C274,'TL06'!$J$238:$J$451),0),
IF('TL07'!$B$3=K$3,SUMIF('TL07'!$C$10:$C$224,$C274,'TL07'!$J$10:$J$224),0),
IF('TL07'!$B$229=K$3,SUMIF('TL07'!$C$238:$C$451,$C274,'TL07'!$J$238:$J$451),0),
IF('TL08'!$B$3=K$3,SUMIF('TL08'!$C$10:$C$224,$C274,'TL08'!$J$10:$J$224),0),
IF('TL08'!$B$229=K$3,SUMIF('TL08'!$C$238:$C$451,$C274,'TL08'!$J$238:$J$451),0),
IF('TL09'!$B$3=K$3,SUMIF('TL09'!$C$10:$C$224,$C274,'TL09'!$J$10:$J$224),0),
IF('TL09'!$B$229=K$3,SUMIF('TL09'!$C$238:$C$451,$C274,'TL09'!$J$238:$J$451),0),
IF('TL10'!$B$3=K$3,SUMIF('TL10'!$C$10:$C$224,$C274,'TL10'!$J$10:$J$224),0),
IF('TL10'!$B$229=K$3,SUMIF('TL10'!$C$238:$C$451,$C274,'TL10'!$J$238:$J$451),0),
IF('TL11'!$B$3=K$3,SUMIF('TL11'!$C$10:$C$224,$C274,'TL11'!$J$10:$J$224),0),
IF('TL11'!$B$229=K$3,SUMIF('TL11'!$C$238:$C$451,$C274,'TL11'!$J$238:$J$451),0),
IF('TL12'!$B$3=K$3,SUMIF('TL12'!$C$10:$C$224,$C274,'TL12'!$J$10:$J$224),0),
IF('TL12'!$B$229=K$3,SUMIF('TL12'!$C$238:$C$451,$C274,'TL12'!$J$238:$J$451),0),
IF('TL13'!$B$3=K$3,SUMIF('TL13'!$C$10:$C$224,$C274,'TL13'!$J$10:$J$224),0),
IF('TL13'!$B$229=K$3,SUMIF('TL13'!$C$238:$C$451,$C274,'TL13'!$J$238:$J$451),0),
IF('TL14'!$B$3=K$3,SUMIF('TL14'!$C$10:$C$224,$C274,'TL14'!$J$10:$J$224),0),
IF('TL14'!$B$229=K$3,SUMIF('TL14'!$C$238:$C$451,$C274,'TL14'!$J$238:$J$451),0),
IF('TL15'!$B$3=K$3,SUMIF('TL15'!$C$10:$C$224,$C274,'TL15'!$J$10:$J$224),0),
IF('TL15'!$B$229=K$3,SUMIF('TL15'!$C$238:$C$451,$C274,'TL15'!$J$238:$J$451),0),
IF('TL16'!$B$3=K$3,SUMIF('TL16'!$C$10:$C$224,$C274,'TL16'!$J$10:$J$224),0),
IF('TL16'!$B$229=K$3,SUMIF('TL16'!$C$238:$C$451,$C274,'TL16'!$J$238:$J$451),0),
IF('TL17'!$B$3=K$3,SUMIF('TL17'!$C$10:$C$224,$C274,'TL17'!$J$10:$J$224),0),
IF('TL17'!$B$229=K$3,SUMIF('TL17'!$C$238:$C$451,$C274,'TL17'!$J$238:$J$451),0),
IF('TL18'!$B$3=K$3,SUMIF('TL18'!$C$10:$C$224,$C274,'TL18'!$J$10:$J$224),0),
IF('TL18'!$B$229=K$3,SUMIF('TL18'!$C$238:$C$451,$C274,'TL18'!$J$238:$J$451),0),
IF('TL19'!$B$3=K$3,SUMIF('TL19'!$C$10:$C$224,$C274,'TL19'!$J$10:$J$224),0),
IF('TL19'!$B$229=K$3,SUMIF('TL19'!$C$238:$C$451,$C274,'TL19'!$J$238:$J$451),0)
),0)</f>
        <v/>
      </c>
      <c r="L274" s="9">
        <f>IFERROR(SUM(
IF('TL01'!$B$3=L$3,SUMIF('TL01'!$C$10:$C$224,$C274,'TL01'!$J$10:$J$224),0),
IF('TL01'!$B$229=L$3,SUMIF('TL01'!$C$238:$C$451,$C274,'TL01'!$J$238:$J$451),0),
IF('TL02'!$B$3=L$3,SUMIF('TL02'!$C$10:$C$224,$C274,'TL02'!$J$10:$J$224),0),
IF('TL02'!$B$229=L$3,SUMIF('TL02'!$C$238:$C$451,$C274,'TL02'!$J$238:$J$451),0),
IF('TL03'!$B$3=L$3,SUMIF('TL03'!$C$10:$C$224,$C274,'TL03'!$J$10:$J$224),0),
IF('TL03'!$B$229=L$3,SUMIF('TL03'!$C$238:$C$451,$C274,'TL03'!$J$238:$J$451),0),
IF('TL04'!$B$3=L$3,SUMIF('TL04'!$C$10:$C$224,$C274,'TL04'!$J$10:$J$224),0),
IF('TL04'!$B$229=L$3,SUMIF('TL04'!$C$238:$C$451,$C274,'TL04'!$J$238:$J$451),0),
IF('TL05'!$B$3=L$3,SUMIF('TL05'!$C$10:$C$224,$C274,'TL05'!$J$10:$J$224),0),
IF('TL05'!$B$229=L$3,SUMIF('TL05'!$C$238:$C$451,$C274,'TL05'!$J$238:$J$451),0),
IF('TL06'!$B$3=L$3,SUMIF('TL06'!$C$10:$C$224,$C274,'TL06'!$J$10:$J$224),0),
IF('TL06'!$B$229=L$3,SUMIF('TL06'!$C$238:$C$451,$C274,'TL06'!$J$238:$J$451),0),
IF('TL07'!$B$3=L$3,SUMIF('TL07'!$C$10:$C$224,$C274,'TL07'!$J$10:$J$224),0),
IF('TL07'!$B$229=L$3,SUMIF('TL07'!$C$238:$C$451,$C274,'TL07'!$J$238:$J$451),0),
IF('TL08'!$B$3=L$3,SUMIF('TL08'!$C$10:$C$224,$C274,'TL08'!$J$10:$J$224),0),
IF('TL08'!$B$229=L$3,SUMIF('TL08'!$C$238:$C$451,$C274,'TL08'!$J$238:$J$451),0),
IF('TL09'!$B$3=L$3,SUMIF('TL09'!$C$10:$C$224,$C274,'TL09'!$J$10:$J$224),0),
IF('TL09'!$B$229=L$3,SUMIF('TL09'!$C$238:$C$451,$C274,'TL09'!$J$238:$J$451),0),
IF('TL10'!$B$3=L$3,SUMIF('TL10'!$C$10:$C$224,$C274,'TL10'!$J$10:$J$224),0),
IF('TL10'!$B$229=L$3,SUMIF('TL10'!$C$238:$C$451,$C274,'TL10'!$J$238:$J$451),0),
IF('TL11'!$B$3=L$3,SUMIF('TL11'!$C$10:$C$224,$C274,'TL11'!$J$10:$J$224),0),
IF('TL11'!$B$229=L$3,SUMIF('TL11'!$C$238:$C$451,$C274,'TL11'!$J$238:$J$451),0),
IF('TL12'!$B$3=L$3,SUMIF('TL12'!$C$10:$C$224,$C274,'TL12'!$J$10:$J$224),0),
IF('TL12'!$B$229=L$3,SUMIF('TL12'!$C$238:$C$451,$C274,'TL12'!$J$238:$J$451),0),
IF('TL13'!$B$3=L$3,SUMIF('TL13'!$C$10:$C$224,$C274,'TL13'!$J$10:$J$224),0),
IF('TL13'!$B$229=L$3,SUMIF('TL13'!$C$238:$C$451,$C274,'TL13'!$J$238:$J$451),0),
IF('TL14'!$B$3=L$3,SUMIF('TL14'!$C$10:$C$224,$C274,'TL14'!$J$10:$J$224),0),
IF('TL14'!$B$229=L$3,SUMIF('TL14'!$C$238:$C$451,$C274,'TL14'!$J$238:$J$451),0),
IF('TL15'!$B$3=L$3,SUMIF('TL15'!$C$10:$C$224,$C274,'TL15'!$J$10:$J$224),0),
IF('TL15'!$B$229=L$3,SUMIF('TL15'!$C$238:$C$451,$C274,'TL15'!$J$238:$J$451),0),
IF('TL16'!$B$3=L$3,SUMIF('TL16'!$C$10:$C$224,$C274,'TL16'!$J$10:$J$224),0),
IF('TL16'!$B$229=L$3,SUMIF('TL16'!$C$238:$C$451,$C274,'TL16'!$J$238:$J$451),0),
IF('TL17'!$B$3=L$3,SUMIF('TL17'!$C$10:$C$224,$C274,'TL17'!$J$10:$J$224),0),
IF('TL17'!$B$229=L$3,SUMIF('TL17'!$C$238:$C$451,$C274,'TL17'!$J$238:$J$451),0),
IF('TL18'!$B$3=L$3,SUMIF('TL18'!$C$10:$C$224,$C274,'TL18'!$J$10:$J$224),0),
IF('TL18'!$B$229=L$3,SUMIF('TL18'!$C$238:$C$451,$C274,'TL18'!$J$238:$J$451),0),
IF('TL19'!$B$3=L$3,SUMIF('TL19'!$C$10:$C$224,$C274,'TL19'!$J$10:$J$224),0),
IF('TL19'!$B$229=L$3,SUMIF('TL19'!$C$238:$C$451,$C274,'TL19'!$J$238:$J$451),0)
),0)</f>
        <v/>
      </c>
      <c r="M274" s="9">
        <f>IFERROR(SUM(
IF('TL01'!$B$3=M$3,SUMIF('TL01'!$C$10:$C$224,$C274,'TL01'!$J$10:$J$224),0),
IF('TL01'!$B$229=M$3,SUMIF('TL01'!$C$238:$C$451,$C274,'TL01'!$J$238:$J$451),0),
IF('TL02'!$B$3=M$3,SUMIF('TL02'!$C$10:$C$224,$C274,'TL02'!$J$10:$J$224),0),
IF('TL02'!$B$229=M$3,SUMIF('TL02'!$C$238:$C$451,$C274,'TL02'!$J$238:$J$451),0),
IF('TL03'!$B$3=M$3,SUMIF('TL03'!$C$10:$C$224,$C274,'TL03'!$J$10:$J$224),0),
IF('TL03'!$B$229=M$3,SUMIF('TL03'!$C$238:$C$451,$C274,'TL03'!$J$238:$J$451),0),
IF('TL04'!$B$3=M$3,SUMIF('TL04'!$C$10:$C$224,$C274,'TL04'!$J$10:$J$224),0),
IF('TL04'!$B$229=M$3,SUMIF('TL04'!$C$238:$C$451,$C274,'TL04'!$J$238:$J$451),0),
IF('TL05'!$B$3=M$3,SUMIF('TL05'!$C$10:$C$224,$C274,'TL05'!$J$10:$J$224),0),
IF('TL05'!$B$229=M$3,SUMIF('TL05'!$C$238:$C$451,$C274,'TL05'!$J$238:$J$451),0),
IF('TL06'!$B$3=M$3,SUMIF('TL06'!$C$10:$C$224,$C274,'TL06'!$J$10:$J$224),0),
IF('TL06'!$B$229=M$3,SUMIF('TL06'!$C$238:$C$451,$C274,'TL06'!$J$238:$J$451),0),
IF('TL07'!$B$3=M$3,SUMIF('TL07'!$C$10:$C$224,$C274,'TL07'!$J$10:$J$224),0),
IF('TL07'!$B$229=M$3,SUMIF('TL07'!$C$238:$C$451,$C274,'TL07'!$J$238:$J$451),0),
IF('TL08'!$B$3=M$3,SUMIF('TL08'!$C$10:$C$224,$C274,'TL08'!$J$10:$J$224),0),
IF('TL08'!$B$229=M$3,SUMIF('TL08'!$C$238:$C$451,$C274,'TL08'!$J$238:$J$451),0),
IF('TL09'!$B$3=M$3,SUMIF('TL09'!$C$10:$C$224,$C274,'TL09'!$J$10:$J$224),0),
IF('TL09'!$B$229=M$3,SUMIF('TL09'!$C$238:$C$451,$C274,'TL09'!$J$238:$J$451),0),
IF('TL10'!$B$3=M$3,SUMIF('TL10'!$C$10:$C$224,$C274,'TL10'!$J$10:$J$224),0),
IF('TL10'!$B$229=M$3,SUMIF('TL10'!$C$238:$C$451,$C274,'TL10'!$J$238:$J$451),0),
IF('TL11'!$B$3=M$3,SUMIF('TL11'!$C$10:$C$224,$C274,'TL11'!$J$10:$J$224),0),
IF('TL11'!$B$229=M$3,SUMIF('TL11'!$C$238:$C$451,$C274,'TL11'!$J$238:$J$451),0),
IF('TL12'!$B$3=M$3,SUMIF('TL12'!$C$10:$C$224,$C274,'TL12'!$J$10:$J$224),0),
IF('TL12'!$B$229=M$3,SUMIF('TL12'!$C$238:$C$451,$C274,'TL12'!$J$238:$J$451),0),
IF('TL13'!$B$3=M$3,SUMIF('TL13'!$C$10:$C$224,$C274,'TL13'!$J$10:$J$224),0),
IF('TL13'!$B$229=M$3,SUMIF('TL13'!$C$238:$C$451,$C274,'TL13'!$J$238:$J$451),0),
IF('TL14'!$B$3=M$3,SUMIF('TL14'!$C$10:$C$224,$C274,'TL14'!$J$10:$J$224),0),
IF('TL14'!$B$229=M$3,SUMIF('TL14'!$C$238:$C$451,$C274,'TL14'!$J$238:$J$451),0),
IF('TL15'!$B$3=M$3,SUMIF('TL15'!$C$10:$C$224,$C274,'TL15'!$J$10:$J$224),0),
IF('TL15'!$B$229=M$3,SUMIF('TL15'!$C$238:$C$451,$C274,'TL15'!$J$238:$J$451),0),
IF('TL16'!$B$3=M$3,SUMIF('TL16'!$C$10:$C$224,$C274,'TL16'!$J$10:$J$224),0),
IF('TL16'!$B$229=M$3,SUMIF('TL16'!$C$238:$C$451,$C274,'TL16'!$J$238:$J$451),0),
IF('TL17'!$B$3=M$3,SUMIF('TL17'!$C$10:$C$224,$C274,'TL17'!$J$10:$J$224),0),
IF('TL17'!$B$229=M$3,SUMIF('TL17'!$C$238:$C$451,$C274,'TL17'!$J$238:$J$451),0),
IF('TL18'!$B$3=M$3,SUMIF('TL18'!$C$10:$C$224,$C274,'TL18'!$J$10:$J$224),0),
IF('TL18'!$B$229=M$3,SUMIF('TL18'!$C$238:$C$451,$C274,'TL18'!$J$238:$J$451),0),
IF('TL19'!$B$3=M$3,SUMIF('TL19'!$C$10:$C$224,$C274,'TL19'!$J$10:$J$224),0),
IF('TL19'!$B$229=M$3,SUMIF('TL19'!$C$238:$C$451,$C274,'TL19'!$J$238:$J$451),0)
),0)</f>
        <v/>
      </c>
      <c r="N274" s="9">
        <f>IFERROR(SUM(
IF('TL01'!$B$3=N$3,SUMIF('TL01'!$C$10:$C$224,$C274,'TL01'!$J$10:$J$224),0),
IF('TL01'!$B$229=N$3,SUMIF('TL01'!$C$238:$C$451,$C274,'TL01'!$J$238:$J$451),0),
IF('TL02'!$B$3=N$3,SUMIF('TL02'!$C$10:$C$224,$C274,'TL02'!$J$10:$J$224),0),
IF('TL02'!$B$229=N$3,SUMIF('TL02'!$C$238:$C$451,$C274,'TL02'!$J$238:$J$451),0),
IF('TL03'!$B$3=N$3,SUMIF('TL03'!$C$10:$C$224,$C274,'TL03'!$J$10:$J$224),0),
IF('TL03'!$B$229=N$3,SUMIF('TL03'!$C$238:$C$451,$C274,'TL03'!$J$238:$J$451),0),
IF('TL04'!$B$3=N$3,SUMIF('TL04'!$C$10:$C$224,$C274,'TL04'!$J$10:$J$224),0),
IF('TL04'!$B$229=N$3,SUMIF('TL04'!$C$238:$C$451,$C274,'TL04'!$J$238:$J$451),0),
IF('TL05'!$B$3=N$3,SUMIF('TL05'!$C$10:$C$224,$C274,'TL05'!$J$10:$J$224),0),
IF('TL05'!$B$229=N$3,SUMIF('TL05'!$C$238:$C$451,$C274,'TL05'!$J$238:$J$451),0),
IF('TL06'!$B$3=N$3,SUMIF('TL06'!$C$10:$C$224,$C274,'TL06'!$J$10:$J$224),0),
IF('TL06'!$B$229=N$3,SUMIF('TL06'!$C$238:$C$451,$C274,'TL06'!$J$238:$J$451),0),
IF('TL07'!$B$3=N$3,SUMIF('TL07'!$C$10:$C$224,$C274,'TL07'!$J$10:$J$224),0),
IF('TL07'!$B$229=N$3,SUMIF('TL07'!$C$238:$C$451,$C274,'TL07'!$J$238:$J$451),0),
IF('TL08'!$B$3=N$3,SUMIF('TL08'!$C$10:$C$224,$C274,'TL08'!$J$10:$J$224),0),
IF('TL08'!$B$229=N$3,SUMIF('TL08'!$C$238:$C$451,$C274,'TL08'!$J$238:$J$451),0),
IF('TL09'!$B$3=N$3,SUMIF('TL09'!$C$10:$C$224,$C274,'TL09'!$J$10:$J$224),0),
IF('TL09'!$B$229=N$3,SUMIF('TL09'!$C$238:$C$451,$C274,'TL09'!$J$238:$J$451),0),
IF('TL10'!$B$3=N$3,SUMIF('TL10'!$C$10:$C$224,$C274,'TL10'!$J$10:$J$224),0),
IF('TL10'!$B$229=N$3,SUMIF('TL10'!$C$238:$C$451,$C274,'TL10'!$J$238:$J$451),0),
IF('TL11'!$B$3=N$3,SUMIF('TL11'!$C$10:$C$224,$C274,'TL11'!$J$10:$J$224),0),
IF('TL11'!$B$229=N$3,SUMIF('TL11'!$C$238:$C$451,$C274,'TL11'!$J$238:$J$451),0),
IF('TL12'!$B$3=N$3,SUMIF('TL12'!$C$10:$C$224,$C274,'TL12'!$J$10:$J$224),0),
IF('TL12'!$B$229=N$3,SUMIF('TL12'!$C$238:$C$451,$C274,'TL12'!$J$238:$J$451),0),
IF('TL13'!$B$3=N$3,SUMIF('TL13'!$C$10:$C$224,$C274,'TL13'!$J$10:$J$224),0),
IF('TL13'!$B$229=N$3,SUMIF('TL13'!$C$238:$C$451,$C274,'TL13'!$J$238:$J$451),0),
IF('TL14'!$B$3=N$3,SUMIF('TL14'!$C$10:$C$224,$C274,'TL14'!$J$10:$J$224),0),
IF('TL14'!$B$229=N$3,SUMIF('TL14'!$C$238:$C$451,$C274,'TL14'!$J$238:$J$451),0),
IF('TL15'!$B$3=N$3,SUMIF('TL15'!$C$10:$C$224,$C274,'TL15'!$J$10:$J$224),0),
IF('TL15'!$B$229=N$3,SUMIF('TL15'!$C$238:$C$451,$C274,'TL15'!$J$238:$J$451),0),
IF('TL16'!$B$3=N$3,SUMIF('TL16'!$C$10:$C$224,$C274,'TL16'!$J$10:$J$224),0),
IF('TL16'!$B$229=N$3,SUMIF('TL16'!$C$238:$C$451,$C274,'TL16'!$J$238:$J$451),0),
IF('TL17'!$B$3=N$3,SUMIF('TL17'!$C$10:$C$224,$C274,'TL17'!$J$10:$J$224),0),
IF('TL17'!$B$229=N$3,SUMIF('TL17'!$C$238:$C$451,$C274,'TL17'!$J$238:$J$451),0),
IF('TL18'!$B$3=N$3,SUMIF('TL18'!$C$10:$C$224,$C274,'TL18'!$J$10:$J$224),0),
IF('TL18'!$B$229=N$3,SUMIF('TL18'!$C$238:$C$451,$C274,'TL18'!$J$238:$J$451),0),
IF('TL19'!$B$3=N$3,SUMIF('TL19'!$C$10:$C$224,$C274,'TL19'!$J$10:$J$224),0),
IF('TL19'!$B$229=N$3,SUMIF('TL19'!$C$238:$C$451,$C274,'TL19'!$J$238:$J$451),0)
),0)</f>
        <v/>
      </c>
      <c r="O274" s="9">
        <f>IFERROR(SUM(
IF('TL01'!$B$3=O$3,SUMIF('TL01'!$C$10:$C$224,$C274,'TL01'!$J$10:$J$224),0),
IF('TL01'!$B$229=O$3,SUMIF('TL01'!$C$238:$C$451,$C274,'TL01'!$J$238:$J$451),0),
IF('TL02'!$B$3=O$3,SUMIF('TL02'!$C$10:$C$224,$C274,'TL02'!$J$10:$J$224),0),
IF('TL02'!$B$229=O$3,SUMIF('TL02'!$C$238:$C$451,$C274,'TL02'!$J$238:$J$451),0),
IF('TL03'!$B$3=O$3,SUMIF('TL03'!$C$10:$C$224,$C274,'TL03'!$J$10:$J$224),0),
IF('TL03'!$B$229=O$3,SUMIF('TL03'!$C$238:$C$451,$C274,'TL03'!$J$238:$J$451),0),
IF('TL04'!$B$3=O$3,SUMIF('TL04'!$C$10:$C$224,$C274,'TL04'!$J$10:$J$224),0),
IF('TL04'!$B$229=O$3,SUMIF('TL04'!$C$238:$C$451,$C274,'TL04'!$J$238:$J$451),0),
IF('TL05'!$B$3=O$3,SUMIF('TL05'!$C$10:$C$224,$C274,'TL05'!$J$10:$J$224),0),
IF('TL05'!$B$229=O$3,SUMIF('TL05'!$C$238:$C$451,$C274,'TL05'!$J$238:$J$451),0),
IF('TL06'!$B$3=O$3,SUMIF('TL06'!$C$10:$C$224,$C274,'TL06'!$J$10:$J$224),0),
IF('TL06'!$B$229=O$3,SUMIF('TL06'!$C$238:$C$451,$C274,'TL06'!$J$238:$J$451),0),
IF('TL07'!$B$3=O$3,SUMIF('TL07'!$C$10:$C$224,$C274,'TL07'!$J$10:$J$224),0),
IF('TL07'!$B$229=O$3,SUMIF('TL07'!$C$238:$C$451,$C274,'TL07'!$J$238:$J$451),0),
IF('TL08'!$B$3=O$3,SUMIF('TL08'!$C$10:$C$224,$C274,'TL08'!$J$10:$J$224),0),
IF('TL08'!$B$229=O$3,SUMIF('TL08'!$C$238:$C$451,$C274,'TL08'!$J$238:$J$451),0),
IF('TL09'!$B$3=O$3,SUMIF('TL09'!$C$10:$C$224,$C274,'TL09'!$J$10:$J$224),0),
IF('TL09'!$B$229=O$3,SUMIF('TL09'!$C$238:$C$451,$C274,'TL09'!$J$238:$J$451),0),
IF('TL10'!$B$3=O$3,SUMIF('TL10'!$C$10:$C$224,$C274,'TL10'!$J$10:$J$224),0),
IF('TL10'!$B$229=O$3,SUMIF('TL10'!$C$238:$C$451,$C274,'TL10'!$J$238:$J$451),0),
IF('TL11'!$B$3=O$3,SUMIF('TL11'!$C$10:$C$224,$C274,'TL11'!$J$10:$J$224),0),
IF('TL11'!$B$229=O$3,SUMIF('TL11'!$C$238:$C$451,$C274,'TL11'!$J$238:$J$451),0),
IF('TL12'!$B$3=O$3,SUMIF('TL12'!$C$10:$C$224,$C274,'TL12'!$J$10:$J$224),0),
IF('TL12'!$B$229=O$3,SUMIF('TL12'!$C$238:$C$451,$C274,'TL12'!$J$238:$J$451),0),
IF('TL13'!$B$3=O$3,SUMIF('TL13'!$C$10:$C$224,$C274,'TL13'!$J$10:$J$224),0),
IF('TL13'!$B$229=O$3,SUMIF('TL13'!$C$238:$C$451,$C274,'TL13'!$J$238:$J$451),0),
IF('TL14'!$B$3=O$3,SUMIF('TL14'!$C$10:$C$224,$C274,'TL14'!$J$10:$J$224),0),
IF('TL14'!$B$229=O$3,SUMIF('TL14'!$C$238:$C$451,$C274,'TL14'!$J$238:$J$451),0),
IF('TL15'!$B$3=O$3,SUMIF('TL15'!$C$10:$C$224,$C274,'TL15'!$J$10:$J$224),0),
IF('TL15'!$B$229=O$3,SUMIF('TL15'!$C$238:$C$451,$C274,'TL15'!$J$238:$J$451),0),
IF('TL16'!$B$3=O$3,SUMIF('TL16'!$C$10:$C$224,$C274,'TL16'!$J$10:$J$224),0),
IF('TL16'!$B$229=O$3,SUMIF('TL16'!$C$238:$C$451,$C274,'TL16'!$J$238:$J$451),0),
IF('TL17'!$B$3=O$3,SUMIF('TL17'!$C$10:$C$224,$C274,'TL17'!$J$10:$J$224),0),
IF('TL17'!$B$229=O$3,SUMIF('TL17'!$C$238:$C$451,$C274,'TL17'!$J$238:$J$451),0),
IF('TL18'!$B$3=O$3,SUMIF('TL18'!$C$10:$C$224,$C274,'TL18'!$J$10:$J$224),0),
IF('TL18'!$B$229=O$3,SUMIF('TL18'!$C$238:$C$451,$C274,'TL18'!$J$238:$J$451),0),
IF('TL19'!$B$3=O$3,SUMIF('TL19'!$C$10:$C$224,$C274,'TL19'!$J$10:$J$224),0),
IF('TL19'!$B$229=O$3,SUMIF('TL19'!$C$238:$C$451,$C274,'TL19'!$J$238:$J$451),0)
),0)</f>
        <v/>
      </c>
      <c r="P274" s="9">
        <f>IFERROR(SUM(
IF('TL01'!$B$3=P$3,SUMIF('TL01'!$C$10:$C$224,$C274,'TL01'!$J$10:$J$224),0),
IF('TL01'!$B$229=P$3,SUMIF('TL01'!$C$238:$C$451,$C274,'TL01'!$J$238:$J$451),0),
IF('TL02'!$B$3=P$3,SUMIF('TL02'!$C$10:$C$224,$C274,'TL02'!$J$10:$J$224),0),
IF('TL02'!$B$229=P$3,SUMIF('TL02'!$C$238:$C$451,$C274,'TL02'!$J$238:$J$451),0),
IF('TL03'!$B$3=P$3,SUMIF('TL03'!$C$10:$C$224,$C274,'TL03'!$J$10:$J$224),0),
IF('TL03'!$B$229=P$3,SUMIF('TL03'!$C$238:$C$451,$C274,'TL03'!$J$238:$J$451),0),
IF('TL04'!$B$3=P$3,SUMIF('TL04'!$C$10:$C$224,$C274,'TL04'!$J$10:$J$224),0),
IF('TL04'!$B$229=P$3,SUMIF('TL04'!$C$238:$C$451,$C274,'TL04'!$J$238:$J$451),0),
IF('TL05'!$B$3=P$3,SUMIF('TL05'!$C$10:$C$224,$C274,'TL05'!$J$10:$J$224),0),
IF('TL05'!$B$229=P$3,SUMIF('TL05'!$C$238:$C$451,$C274,'TL05'!$J$238:$J$451),0),
IF('TL06'!$B$3=P$3,SUMIF('TL06'!$C$10:$C$224,$C274,'TL06'!$J$10:$J$224),0),
IF('TL06'!$B$229=P$3,SUMIF('TL06'!$C$238:$C$451,$C274,'TL06'!$J$238:$J$451),0),
IF('TL07'!$B$3=P$3,SUMIF('TL07'!$C$10:$C$224,$C274,'TL07'!$J$10:$J$224),0),
IF('TL07'!$B$229=P$3,SUMIF('TL07'!$C$238:$C$451,$C274,'TL07'!$J$238:$J$451),0),
IF('TL08'!$B$3=P$3,SUMIF('TL08'!$C$10:$C$224,$C274,'TL08'!$J$10:$J$224),0),
IF('TL08'!$B$229=P$3,SUMIF('TL08'!$C$238:$C$451,$C274,'TL08'!$J$238:$J$451),0),
IF('TL09'!$B$3=P$3,SUMIF('TL09'!$C$10:$C$224,$C274,'TL09'!$J$10:$J$224),0),
IF('TL09'!$B$229=P$3,SUMIF('TL09'!$C$238:$C$451,$C274,'TL09'!$J$238:$J$451),0),
IF('TL10'!$B$3=P$3,SUMIF('TL10'!$C$10:$C$224,$C274,'TL10'!$J$10:$J$224),0),
IF('TL10'!$B$229=P$3,SUMIF('TL10'!$C$238:$C$451,$C274,'TL10'!$J$238:$J$451),0),
IF('TL11'!$B$3=P$3,SUMIF('TL11'!$C$10:$C$224,$C274,'TL11'!$J$10:$J$224),0),
IF('TL11'!$B$229=P$3,SUMIF('TL11'!$C$238:$C$451,$C274,'TL11'!$J$238:$J$451),0),
IF('TL12'!$B$3=P$3,SUMIF('TL12'!$C$10:$C$224,$C274,'TL12'!$J$10:$J$224),0),
IF('TL12'!$B$229=P$3,SUMIF('TL12'!$C$238:$C$451,$C274,'TL12'!$J$238:$J$451),0),
IF('TL13'!$B$3=P$3,SUMIF('TL13'!$C$10:$C$224,$C274,'TL13'!$J$10:$J$224),0),
IF('TL13'!$B$229=P$3,SUMIF('TL13'!$C$238:$C$451,$C274,'TL13'!$J$238:$J$451),0),
IF('TL14'!$B$3=P$3,SUMIF('TL14'!$C$10:$C$224,$C274,'TL14'!$J$10:$J$224),0),
IF('TL14'!$B$229=P$3,SUMIF('TL14'!$C$238:$C$451,$C274,'TL14'!$J$238:$J$451),0),
IF('TL15'!$B$3=P$3,SUMIF('TL15'!$C$10:$C$224,$C274,'TL15'!$J$10:$J$224),0),
IF('TL15'!$B$229=P$3,SUMIF('TL15'!$C$238:$C$451,$C274,'TL15'!$J$238:$J$451),0),
IF('TL16'!$B$3=P$3,SUMIF('TL16'!$C$10:$C$224,$C274,'TL16'!$J$10:$J$224),0),
IF('TL16'!$B$229=P$3,SUMIF('TL16'!$C$238:$C$451,$C274,'TL16'!$J$238:$J$451),0),
IF('TL17'!$B$3=P$3,SUMIF('TL17'!$C$10:$C$224,$C274,'TL17'!$J$10:$J$224),0),
IF('TL17'!$B$229=P$3,SUMIF('TL17'!$C$238:$C$451,$C274,'TL17'!$J$238:$J$451),0),
IF('TL18'!$B$3=P$3,SUMIF('TL18'!$C$10:$C$224,$C274,'TL18'!$J$10:$J$224),0),
IF('TL18'!$B$229=P$3,SUMIF('TL18'!$C$238:$C$451,$C274,'TL18'!$J$238:$J$451),0),
IF('TL19'!$B$3=P$3,SUMIF('TL19'!$C$10:$C$224,$C274,'TL19'!$J$10:$J$224),0),
IF('TL19'!$B$229=P$3,SUMIF('TL19'!$C$238:$C$451,$C274,'TL19'!$J$238:$J$451),0)
),0)</f>
        <v/>
      </c>
      <c r="Q274" s="9">
        <f>IFERROR(SUM(
IF('TL01'!$B$3=Q$3,SUMIF('TL01'!$C$10:$C$224,$C274,'TL01'!$J$10:$J$224),0),
IF('TL01'!$B$229=Q$3,SUMIF('TL01'!$C$238:$C$451,$C274,'TL01'!$J$238:$J$451),0),
IF('TL02'!$B$3=Q$3,SUMIF('TL02'!$C$10:$C$224,$C274,'TL02'!$J$10:$J$224),0),
IF('TL02'!$B$229=Q$3,SUMIF('TL02'!$C$238:$C$451,$C274,'TL02'!$J$238:$J$451),0),
IF('TL03'!$B$3=Q$3,SUMIF('TL03'!$C$10:$C$224,$C274,'TL03'!$J$10:$J$224),0),
IF('TL03'!$B$229=Q$3,SUMIF('TL03'!$C$238:$C$451,$C274,'TL03'!$J$238:$J$451),0),
IF('TL04'!$B$3=Q$3,SUMIF('TL04'!$C$10:$C$224,$C274,'TL04'!$J$10:$J$224),0),
IF('TL04'!$B$229=Q$3,SUMIF('TL04'!$C$238:$C$451,$C274,'TL04'!$J$238:$J$451),0),
IF('TL05'!$B$3=Q$3,SUMIF('TL05'!$C$10:$C$224,$C274,'TL05'!$J$10:$J$224),0),
IF('TL05'!$B$229=Q$3,SUMIF('TL05'!$C$238:$C$451,$C274,'TL05'!$J$238:$J$451),0),
IF('TL06'!$B$3=Q$3,SUMIF('TL06'!$C$10:$C$224,$C274,'TL06'!$J$10:$J$224),0),
IF('TL06'!$B$229=Q$3,SUMIF('TL06'!$C$238:$C$451,$C274,'TL06'!$J$238:$J$451),0),
IF('TL07'!$B$3=Q$3,SUMIF('TL07'!$C$10:$C$224,$C274,'TL07'!$J$10:$J$224),0),
IF('TL07'!$B$229=Q$3,SUMIF('TL07'!$C$238:$C$451,$C274,'TL07'!$J$238:$J$451),0),
IF('TL08'!$B$3=Q$3,SUMIF('TL08'!$C$10:$C$224,$C274,'TL08'!$J$10:$J$224),0),
IF('TL08'!$B$229=Q$3,SUMIF('TL08'!$C$238:$C$451,$C274,'TL08'!$J$238:$J$451),0),
IF('TL09'!$B$3=Q$3,SUMIF('TL09'!$C$10:$C$224,$C274,'TL09'!$J$10:$J$224),0),
IF('TL09'!$B$229=Q$3,SUMIF('TL09'!$C$238:$C$451,$C274,'TL09'!$J$238:$J$451),0),
IF('TL10'!$B$3=Q$3,SUMIF('TL10'!$C$10:$C$224,$C274,'TL10'!$J$10:$J$224),0),
IF('TL10'!$B$229=Q$3,SUMIF('TL10'!$C$238:$C$451,$C274,'TL10'!$J$238:$J$451),0),
IF('TL11'!$B$3=Q$3,SUMIF('TL11'!$C$10:$C$224,$C274,'TL11'!$J$10:$J$224),0),
IF('TL11'!$B$229=Q$3,SUMIF('TL11'!$C$238:$C$451,$C274,'TL11'!$J$238:$J$451),0),
IF('TL12'!$B$3=Q$3,SUMIF('TL12'!$C$10:$C$224,$C274,'TL12'!$J$10:$J$224),0),
IF('TL12'!$B$229=Q$3,SUMIF('TL12'!$C$238:$C$451,$C274,'TL12'!$J$238:$J$451),0),
IF('TL13'!$B$3=Q$3,SUMIF('TL13'!$C$10:$C$224,$C274,'TL13'!$J$10:$J$224),0),
IF('TL13'!$B$229=Q$3,SUMIF('TL13'!$C$238:$C$451,$C274,'TL13'!$J$238:$J$451),0),
IF('TL14'!$B$3=Q$3,SUMIF('TL14'!$C$10:$C$224,$C274,'TL14'!$J$10:$J$224),0),
IF('TL14'!$B$229=Q$3,SUMIF('TL14'!$C$238:$C$451,$C274,'TL14'!$J$238:$J$451),0),
IF('TL15'!$B$3=Q$3,SUMIF('TL15'!$C$10:$C$224,$C274,'TL15'!$J$10:$J$224),0),
IF('TL15'!$B$229=Q$3,SUMIF('TL15'!$C$238:$C$451,$C274,'TL15'!$J$238:$J$451),0),
IF('TL16'!$B$3=Q$3,SUMIF('TL16'!$C$10:$C$224,$C274,'TL16'!$J$10:$J$224),0),
IF('TL16'!$B$229=Q$3,SUMIF('TL16'!$C$238:$C$451,$C274,'TL16'!$J$238:$J$451),0),
IF('TL17'!$B$3=Q$3,SUMIF('TL17'!$C$10:$C$224,$C274,'TL17'!$J$10:$J$224),0),
IF('TL17'!$B$229=Q$3,SUMIF('TL17'!$C$238:$C$451,$C274,'TL17'!$J$238:$J$451),0),
IF('TL18'!$B$3=Q$3,SUMIF('TL18'!$C$10:$C$224,$C274,'TL18'!$J$10:$J$224),0),
IF('TL18'!$B$229=Q$3,SUMIF('TL18'!$C$238:$C$451,$C274,'TL18'!$J$238:$J$451),0),
IF('TL19'!$B$3=Q$3,SUMIF('TL19'!$C$10:$C$224,$C274,'TL19'!$J$10:$J$224),0),
IF('TL19'!$B$229=Q$3,SUMIF('TL19'!$C$238:$C$451,$C274,'TL19'!$J$238:$J$451),0)
),0)</f>
        <v/>
      </c>
      <c r="R274" s="9">
        <f>IFERROR(
SUM(
SUMIF('TL01'!C:C,C274,'TL01'!J:J),
SUMIF('TL02'!C:C,C274,'TL02'!J:J),
SUMIF('TL03'!C:C,C274,'TL03'!J:J),
SUMIF('TL04'!C:C,C274,'TL04'!J:J),
SUMIF('TL05'!C:C,C274,'TL05'!J:J),
SUMIF('TL06'!C:C,C274,'TL06'!J:J),
SUMIF('TL07'!C:C,C274,'TL07'!J:J),
SUMIF('TL08'!C:C,C274,'TL08'!J:J),
SUMIF('TL09'!C:C,C274,'TL09'!J:J),
SUMIF('TL10'!C:C,C274,'TL10'!J:J),
SUMIF('TL11'!C:C,C274,'TL11'!J:J),
SUMIF('TL12'!C:C,C274,'TL12'!J:J),
SUMIF('TL13'!C:C,C274,'TL13'!J:J),
SUMIF('TL14'!C:C,C274,'TL14'!J:J),
SUMIF('TL15'!C:C,C274,'TL15'!J:J),
SUMIF('TL16'!C:C,C274,'TL16'!J:J),
SUMIF('TL17'!C:C,C274,'TL17'!J:J),
SUMIF('TL18'!C:C,C274,'TL18'!J:J),SUMIF('TL19'!C:C,C274,'TL19'!J:J))
,0)</f>
        <v/>
      </c>
      <c r="S274" s="17">
        <f>IFERROR(__xludf.DUMMYFUNCTION("IFERROR(VLOOKUP(C274,
IMPORTRANGE(""1wULbzX32WdYsx-lj2U3uUNBBe2INVIRDtcK0d-Dvl90"",
""26-27!C:G""),
5,
FALSE),
"""")"),67.0)</f>
        <v/>
      </c>
      <c r="T274" s="9" t="n"/>
      <c r="U274" s="92">
        <f>MAX(0,R274-T274)</f>
        <v/>
      </c>
      <c r="V274" s="93">
        <f>U274*S274</f>
        <v/>
      </c>
    </row>
    <row r="275" hidden="1" ht="15.75" customHeight="1" s="297">
      <c r="A275" s="4" t="inlineStr">
        <is>
          <t>GRAN7</t>
        </is>
      </c>
      <c r="B275" s="125" t="inlineStr">
        <is>
          <t>NUTRIÇÃO</t>
        </is>
      </c>
      <c r="C275" s="4" t="inlineStr">
        <is>
          <t>Zinctaus Complex</t>
        </is>
      </c>
      <c r="D275" s="4" t="inlineStr">
        <is>
          <t>Zn 5,8%, S2,8% - Quelatizado Organicamente</t>
        </is>
      </c>
      <c r="E275" s="9" t="n"/>
      <c r="F275" s="4" t="inlineStr">
        <is>
          <t>L</t>
        </is>
      </c>
      <c r="G275" s="9" t="n"/>
      <c r="H275" s="9" t="n">
        <v>0.6</v>
      </c>
      <c r="I275" s="1" t="n"/>
      <c r="J275" s="9">
        <f>IFERROR(SUM(
IF('TL01'!$B$3=J$3,SUMIF('TL01'!$C$10:$C$224,$C275,'TL01'!$J$10:$J$224),0),
IF('TL01'!$B$229=J$3,SUMIF('TL01'!$C$238:$C$451,$C275,'TL01'!$J$238:$J$451),0),
IF('TL02'!$B$3=J$3,SUMIF('TL02'!$C$10:$C$224,$C275,'TL02'!$J$10:$J$224),0),
IF('TL02'!$B$229=J$3,SUMIF('TL02'!$C$238:$C$451,$C275,'TL02'!$J$238:$J$451),0),
IF('TL03'!$B$3=J$3,SUMIF('TL03'!$C$10:$C$224,$C275,'TL03'!$J$10:$J$224),0),
IF('TL03'!$B$229=J$3,SUMIF('TL03'!$C$238:$C$451,$C275,'TL03'!$J$238:$J$451),0),
IF('TL04'!$B$3=J$3,SUMIF('TL04'!$C$10:$C$224,$C275,'TL04'!$J$10:$J$224),0),
IF('TL04'!$B$229=J$3,SUMIF('TL04'!$C$238:$C$451,$C275,'TL04'!$J$238:$J$451),0),
IF('TL05'!$B$3=J$3,SUMIF('TL05'!$C$10:$C$224,$C275,'TL05'!$J$10:$J$224),0),
IF('TL05'!$B$229=J$3,SUMIF('TL05'!$C$238:$C$451,$C275,'TL05'!$J$238:$J$451),0),
IF('TL06'!$B$3=J$3,SUMIF('TL06'!$C$10:$C$224,$C275,'TL06'!$J$10:$J$224),0),
IF('TL06'!$B$229=J$3,SUMIF('TL06'!$C$238:$C$451,$C275,'TL06'!$J$238:$J$451),0),
IF('TL07'!$B$3=J$3,SUMIF('TL07'!$C$10:$C$224,$C275,'TL07'!$J$10:$J$224),0),
IF('TL07'!$B$229=J$3,SUMIF('TL07'!$C$238:$C$451,$C275,'TL07'!$J$238:$J$451),0),
IF('TL08'!$B$3=J$3,SUMIF('TL08'!$C$10:$C$224,$C275,'TL08'!$J$10:$J$224),0),
IF('TL08'!$B$229=J$3,SUMIF('TL08'!$C$238:$C$451,$C275,'TL08'!$J$238:$J$451),0),
IF('TL09'!$B$3=J$3,SUMIF('TL09'!$C$10:$C$224,$C275,'TL09'!$J$10:$J$224),0),
IF('TL09'!$B$229=J$3,SUMIF('TL09'!$C$238:$C$451,$C275,'TL09'!$J$238:$J$451),0),
IF('TL10'!$B$3=J$3,SUMIF('TL10'!$C$10:$C$224,$C275,'TL10'!$J$10:$J$224),0),
IF('TL10'!$B$229=J$3,SUMIF('TL10'!$C$238:$C$451,$C275,'TL10'!$J$238:$J$451),0),
IF('TL11'!$B$3=J$3,SUMIF('TL11'!$C$10:$C$224,$C275,'TL11'!$J$10:$J$224),0),
IF('TL11'!$B$229=J$3,SUMIF('TL11'!$C$238:$C$451,$C275,'TL11'!$J$238:$J$451),0),
IF('TL12'!$B$3=J$3,SUMIF('TL12'!$C$10:$C$224,$C275,'TL12'!$J$10:$J$224),0),
IF('TL12'!$B$229=J$3,SUMIF('TL12'!$C$238:$C$451,$C275,'TL12'!$J$238:$J$451),0),
IF('TL13'!$B$3=J$3,SUMIF('TL13'!$C$10:$C$224,$C275,'TL13'!$J$10:$J$224),0),
IF('TL13'!$B$229=J$3,SUMIF('TL13'!$C$238:$C$451,$C275,'TL13'!$J$238:$J$451),0),
IF('TL14'!$B$3=J$3,SUMIF('TL14'!$C$10:$C$224,$C275,'TL14'!$J$10:$J$224),0),
IF('TL14'!$B$229=J$3,SUMIF('TL14'!$C$238:$C$451,$C275,'TL14'!$J$238:$J$451),0),
IF('TL15'!$B$3=J$3,SUMIF('TL15'!$C$10:$C$224,$C275,'TL15'!$J$10:$J$224),0),
IF('TL15'!$B$229=J$3,SUMIF('TL15'!$C$238:$C$451,$C275,'TL15'!$J$238:$J$451),0),
IF('TL16'!$B$3=J$3,SUMIF('TL16'!$C$10:$C$224,$C275,'TL16'!$J$10:$J$224),0),
IF('TL16'!$B$229=J$3,SUMIF('TL16'!$C$238:$C$451,$C275,'TL16'!$J$238:$J$451),0),
IF('TL17'!$B$3=J$3,SUMIF('TL17'!$C$10:$C$224,$C275,'TL17'!$J$10:$J$224),0),
IF('TL17'!$B$229=J$3,SUMIF('TL17'!$C$238:$C$451,$C275,'TL17'!$J$238:$J$451),0),
IF('TL18'!$B$3=J$3,SUMIF('TL18'!$C$10:$C$224,$C275,'TL18'!$J$10:$J$224),0),
IF('TL18'!$B$229=J$3,SUMIF('TL18'!$C$238:$C$451,$C275,'TL18'!$J$238:$J$451),0),
IF('TL19'!$B$3=J$3,SUMIF('TL19'!$C$10:$C$224,$C275,'TL19'!$J$10:$J$224),0),
IF('TL19'!$B$229=J$3,SUMIF('TL19'!$C$238:$C$451,$C275,'TL19'!$J$238:$J$451),0)
),0)</f>
        <v/>
      </c>
      <c r="K275" s="9">
        <f>IFERROR(SUM(
IF('TL01'!$B$3=K$3,SUMIF('TL01'!$C$10:$C$224,$C275,'TL01'!$J$10:$J$224),0),
IF('TL01'!$B$229=K$3,SUMIF('TL01'!$C$238:$C$451,$C275,'TL01'!$J$238:$J$451),0),
IF('TL02'!$B$3=K$3,SUMIF('TL02'!$C$10:$C$224,$C275,'TL02'!$J$10:$J$224),0),
IF('TL02'!$B$229=K$3,SUMIF('TL02'!$C$238:$C$451,$C275,'TL02'!$J$238:$J$451),0),
IF('TL03'!$B$3=K$3,SUMIF('TL03'!$C$10:$C$224,$C275,'TL03'!$J$10:$J$224),0),
IF('TL03'!$B$229=K$3,SUMIF('TL03'!$C$238:$C$451,$C275,'TL03'!$J$238:$J$451),0),
IF('TL04'!$B$3=K$3,SUMIF('TL04'!$C$10:$C$224,$C275,'TL04'!$J$10:$J$224),0),
IF('TL04'!$B$229=K$3,SUMIF('TL04'!$C$238:$C$451,$C275,'TL04'!$J$238:$J$451),0),
IF('TL05'!$B$3=K$3,SUMIF('TL05'!$C$10:$C$224,$C275,'TL05'!$J$10:$J$224),0),
IF('TL05'!$B$229=K$3,SUMIF('TL05'!$C$238:$C$451,$C275,'TL05'!$J$238:$J$451),0),
IF('TL06'!$B$3=K$3,SUMIF('TL06'!$C$10:$C$224,$C275,'TL06'!$J$10:$J$224),0),
IF('TL06'!$B$229=K$3,SUMIF('TL06'!$C$238:$C$451,$C275,'TL06'!$J$238:$J$451),0),
IF('TL07'!$B$3=K$3,SUMIF('TL07'!$C$10:$C$224,$C275,'TL07'!$J$10:$J$224),0),
IF('TL07'!$B$229=K$3,SUMIF('TL07'!$C$238:$C$451,$C275,'TL07'!$J$238:$J$451),0),
IF('TL08'!$B$3=K$3,SUMIF('TL08'!$C$10:$C$224,$C275,'TL08'!$J$10:$J$224),0),
IF('TL08'!$B$229=K$3,SUMIF('TL08'!$C$238:$C$451,$C275,'TL08'!$J$238:$J$451),0),
IF('TL09'!$B$3=K$3,SUMIF('TL09'!$C$10:$C$224,$C275,'TL09'!$J$10:$J$224),0),
IF('TL09'!$B$229=K$3,SUMIF('TL09'!$C$238:$C$451,$C275,'TL09'!$J$238:$J$451),0),
IF('TL10'!$B$3=K$3,SUMIF('TL10'!$C$10:$C$224,$C275,'TL10'!$J$10:$J$224),0),
IF('TL10'!$B$229=K$3,SUMIF('TL10'!$C$238:$C$451,$C275,'TL10'!$J$238:$J$451),0),
IF('TL11'!$B$3=K$3,SUMIF('TL11'!$C$10:$C$224,$C275,'TL11'!$J$10:$J$224),0),
IF('TL11'!$B$229=K$3,SUMIF('TL11'!$C$238:$C$451,$C275,'TL11'!$J$238:$J$451),0),
IF('TL12'!$B$3=K$3,SUMIF('TL12'!$C$10:$C$224,$C275,'TL12'!$J$10:$J$224),0),
IF('TL12'!$B$229=K$3,SUMIF('TL12'!$C$238:$C$451,$C275,'TL12'!$J$238:$J$451),0),
IF('TL13'!$B$3=K$3,SUMIF('TL13'!$C$10:$C$224,$C275,'TL13'!$J$10:$J$224),0),
IF('TL13'!$B$229=K$3,SUMIF('TL13'!$C$238:$C$451,$C275,'TL13'!$J$238:$J$451),0),
IF('TL14'!$B$3=K$3,SUMIF('TL14'!$C$10:$C$224,$C275,'TL14'!$J$10:$J$224),0),
IF('TL14'!$B$229=K$3,SUMIF('TL14'!$C$238:$C$451,$C275,'TL14'!$J$238:$J$451),0),
IF('TL15'!$B$3=K$3,SUMIF('TL15'!$C$10:$C$224,$C275,'TL15'!$J$10:$J$224),0),
IF('TL15'!$B$229=K$3,SUMIF('TL15'!$C$238:$C$451,$C275,'TL15'!$J$238:$J$451),0),
IF('TL16'!$B$3=K$3,SUMIF('TL16'!$C$10:$C$224,$C275,'TL16'!$J$10:$J$224),0),
IF('TL16'!$B$229=K$3,SUMIF('TL16'!$C$238:$C$451,$C275,'TL16'!$J$238:$J$451),0),
IF('TL17'!$B$3=K$3,SUMIF('TL17'!$C$10:$C$224,$C275,'TL17'!$J$10:$J$224),0),
IF('TL17'!$B$229=K$3,SUMIF('TL17'!$C$238:$C$451,$C275,'TL17'!$J$238:$J$451),0),
IF('TL18'!$B$3=K$3,SUMIF('TL18'!$C$10:$C$224,$C275,'TL18'!$J$10:$J$224),0),
IF('TL18'!$B$229=K$3,SUMIF('TL18'!$C$238:$C$451,$C275,'TL18'!$J$238:$J$451),0),
IF('TL19'!$B$3=K$3,SUMIF('TL19'!$C$10:$C$224,$C275,'TL19'!$J$10:$J$224),0),
IF('TL19'!$B$229=K$3,SUMIF('TL19'!$C$238:$C$451,$C275,'TL19'!$J$238:$J$451),0)
),0)</f>
        <v/>
      </c>
      <c r="L275" s="9">
        <f>IFERROR(SUM(
IF('TL01'!$B$3=L$3,SUMIF('TL01'!$C$10:$C$224,$C275,'TL01'!$J$10:$J$224),0),
IF('TL01'!$B$229=L$3,SUMIF('TL01'!$C$238:$C$451,$C275,'TL01'!$J$238:$J$451),0),
IF('TL02'!$B$3=L$3,SUMIF('TL02'!$C$10:$C$224,$C275,'TL02'!$J$10:$J$224),0),
IF('TL02'!$B$229=L$3,SUMIF('TL02'!$C$238:$C$451,$C275,'TL02'!$J$238:$J$451),0),
IF('TL03'!$B$3=L$3,SUMIF('TL03'!$C$10:$C$224,$C275,'TL03'!$J$10:$J$224),0),
IF('TL03'!$B$229=L$3,SUMIF('TL03'!$C$238:$C$451,$C275,'TL03'!$J$238:$J$451),0),
IF('TL04'!$B$3=L$3,SUMIF('TL04'!$C$10:$C$224,$C275,'TL04'!$J$10:$J$224),0),
IF('TL04'!$B$229=L$3,SUMIF('TL04'!$C$238:$C$451,$C275,'TL04'!$J$238:$J$451),0),
IF('TL05'!$B$3=L$3,SUMIF('TL05'!$C$10:$C$224,$C275,'TL05'!$J$10:$J$224),0),
IF('TL05'!$B$229=L$3,SUMIF('TL05'!$C$238:$C$451,$C275,'TL05'!$J$238:$J$451),0),
IF('TL06'!$B$3=L$3,SUMIF('TL06'!$C$10:$C$224,$C275,'TL06'!$J$10:$J$224),0),
IF('TL06'!$B$229=L$3,SUMIF('TL06'!$C$238:$C$451,$C275,'TL06'!$J$238:$J$451),0),
IF('TL07'!$B$3=L$3,SUMIF('TL07'!$C$10:$C$224,$C275,'TL07'!$J$10:$J$224),0),
IF('TL07'!$B$229=L$3,SUMIF('TL07'!$C$238:$C$451,$C275,'TL07'!$J$238:$J$451),0),
IF('TL08'!$B$3=L$3,SUMIF('TL08'!$C$10:$C$224,$C275,'TL08'!$J$10:$J$224),0),
IF('TL08'!$B$229=L$3,SUMIF('TL08'!$C$238:$C$451,$C275,'TL08'!$J$238:$J$451),0),
IF('TL09'!$B$3=L$3,SUMIF('TL09'!$C$10:$C$224,$C275,'TL09'!$J$10:$J$224),0),
IF('TL09'!$B$229=L$3,SUMIF('TL09'!$C$238:$C$451,$C275,'TL09'!$J$238:$J$451),0),
IF('TL10'!$B$3=L$3,SUMIF('TL10'!$C$10:$C$224,$C275,'TL10'!$J$10:$J$224),0),
IF('TL10'!$B$229=L$3,SUMIF('TL10'!$C$238:$C$451,$C275,'TL10'!$J$238:$J$451),0),
IF('TL11'!$B$3=L$3,SUMIF('TL11'!$C$10:$C$224,$C275,'TL11'!$J$10:$J$224),0),
IF('TL11'!$B$229=L$3,SUMIF('TL11'!$C$238:$C$451,$C275,'TL11'!$J$238:$J$451),0),
IF('TL12'!$B$3=L$3,SUMIF('TL12'!$C$10:$C$224,$C275,'TL12'!$J$10:$J$224),0),
IF('TL12'!$B$229=L$3,SUMIF('TL12'!$C$238:$C$451,$C275,'TL12'!$J$238:$J$451),0),
IF('TL13'!$B$3=L$3,SUMIF('TL13'!$C$10:$C$224,$C275,'TL13'!$J$10:$J$224),0),
IF('TL13'!$B$229=L$3,SUMIF('TL13'!$C$238:$C$451,$C275,'TL13'!$J$238:$J$451),0),
IF('TL14'!$B$3=L$3,SUMIF('TL14'!$C$10:$C$224,$C275,'TL14'!$J$10:$J$224),0),
IF('TL14'!$B$229=L$3,SUMIF('TL14'!$C$238:$C$451,$C275,'TL14'!$J$238:$J$451),0),
IF('TL15'!$B$3=L$3,SUMIF('TL15'!$C$10:$C$224,$C275,'TL15'!$J$10:$J$224),0),
IF('TL15'!$B$229=L$3,SUMIF('TL15'!$C$238:$C$451,$C275,'TL15'!$J$238:$J$451),0),
IF('TL16'!$B$3=L$3,SUMIF('TL16'!$C$10:$C$224,$C275,'TL16'!$J$10:$J$224),0),
IF('TL16'!$B$229=L$3,SUMIF('TL16'!$C$238:$C$451,$C275,'TL16'!$J$238:$J$451),0),
IF('TL17'!$B$3=L$3,SUMIF('TL17'!$C$10:$C$224,$C275,'TL17'!$J$10:$J$224),0),
IF('TL17'!$B$229=L$3,SUMIF('TL17'!$C$238:$C$451,$C275,'TL17'!$J$238:$J$451),0),
IF('TL18'!$B$3=L$3,SUMIF('TL18'!$C$10:$C$224,$C275,'TL18'!$J$10:$J$224),0),
IF('TL18'!$B$229=L$3,SUMIF('TL18'!$C$238:$C$451,$C275,'TL18'!$J$238:$J$451),0),
IF('TL19'!$B$3=L$3,SUMIF('TL19'!$C$10:$C$224,$C275,'TL19'!$J$10:$J$224),0),
IF('TL19'!$B$229=L$3,SUMIF('TL19'!$C$238:$C$451,$C275,'TL19'!$J$238:$J$451),0)
),0)</f>
        <v/>
      </c>
      <c r="M275" s="9">
        <f>IFERROR(SUM(
IF('TL01'!$B$3=M$3,SUMIF('TL01'!$C$10:$C$224,$C275,'TL01'!$J$10:$J$224),0),
IF('TL01'!$B$229=M$3,SUMIF('TL01'!$C$238:$C$451,$C275,'TL01'!$J$238:$J$451),0),
IF('TL02'!$B$3=M$3,SUMIF('TL02'!$C$10:$C$224,$C275,'TL02'!$J$10:$J$224),0),
IF('TL02'!$B$229=M$3,SUMIF('TL02'!$C$238:$C$451,$C275,'TL02'!$J$238:$J$451),0),
IF('TL03'!$B$3=M$3,SUMIF('TL03'!$C$10:$C$224,$C275,'TL03'!$J$10:$J$224),0),
IF('TL03'!$B$229=M$3,SUMIF('TL03'!$C$238:$C$451,$C275,'TL03'!$J$238:$J$451),0),
IF('TL04'!$B$3=M$3,SUMIF('TL04'!$C$10:$C$224,$C275,'TL04'!$J$10:$J$224),0),
IF('TL04'!$B$229=M$3,SUMIF('TL04'!$C$238:$C$451,$C275,'TL04'!$J$238:$J$451),0),
IF('TL05'!$B$3=M$3,SUMIF('TL05'!$C$10:$C$224,$C275,'TL05'!$J$10:$J$224),0),
IF('TL05'!$B$229=M$3,SUMIF('TL05'!$C$238:$C$451,$C275,'TL05'!$J$238:$J$451),0),
IF('TL06'!$B$3=M$3,SUMIF('TL06'!$C$10:$C$224,$C275,'TL06'!$J$10:$J$224),0),
IF('TL06'!$B$229=M$3,SUMIF('TL06'!$C$238:$C$451,$C275,'TL06'!$J$238:$J$451),0),
IF('TL07'!$B$3=M$3,SUMIF('TL07'!$C$10:$C$224,$C275,'TL07'!$J$10:$J$224),0),
IF('TL07'!$B$229=M$3,SUMIF('TL07'!$C$238:$C$451,$C275,'TL07'!$J$238:$J$451),0),
IF('TL08'!$B$3=M$3,SUMIF('TL08'!$C$10:$C$224,$C275,'TL08'!$J$10:$J$224),0),
IF('TL08'!$B$229=M$3,SUMIF('TL08'!$C$238:$C$451,$C275,'TL08'!$J$238:$J$451),0),
IF('TL09'!$B$3=M$3,SUMIF('TL09'!$C$10:$C$224,$C275,'TL09'!$J$10:$J$224),0),
IF('TL09'!$B$229=M$3,SUMIF('TL09'!$C$238:$C$451,$C275,'TL09'!$J$238:$J$451),0),
IF('TL10'!$B$3=M$3,SUMIF('TL10'!$C$10:$C$224,$C275,'TL10'!$J$10:$J$224),0),
IF('TL10'!$B$229=M$3,SUMIF('TL10'!$C$238:$C$451,$C275,'TL10'!$J$238:$J$451),0),
IF('TL11'!$B$3=M$3,SUMIF('TL11'!$C$10:$C$224,$C275,'TL11'!$J$10:$J$224),0),
IF('TL11'!$B$229=M$3,SUMIF('TL11'!$C$238:$C$451,$C275,'TL11'!$J$238:$J$451),0),
IF('TL12'!$B$3=M$3,SUMIF('TL12'!$C$10:$C$224,$C275,'TL12'!$J$10:$J$224),0),
IF('TL12'!$B$229=M$3,SUMIF('TL12'!$C$238:$C$451,$C275,'TL12'!$J$238:$J$451),0),
IF('TL13'!$B$3=M$3,SUMIF('TL13'!$C$10:$C$224,$C275,'TL13'!$J$10:$J$224),0),
IF('TL13'!$B$229=M$3,SUMIF('TL13'!$C$238:$C$451,$C275,'TL13'!$J$238:$J$451),0),
IF('TL14'!$B$3=M$3,SUMIF('TL14'!$C$10:$C$224,$C275,'TL14'!$J$10:$J$224),0),
IF('TL14'!$B$229=M$3,SUMIF('TL14'!$C$238:$C$451,$C275,'TL14'!$J$238:$J$451),0),
IF('TL15'!$B$3=M$3,SUMIF('TL15'!$C$10:$C$224,$C275,'TL15'!$J$10:$J$224),0),
IF('TL15'!$B$229=M$3,SUMIF('TL15'!$C$238:$C$451,$C275,'TL15'!$J$238:$J$451),0),
IF('TL16'!$B$3=M$3,SUMIF('TL16'!$C$10:$C$224,$C275,'TL16'!$J$10:$J$224),0),
IF('TL16'!$B$229=M$3,SUMIF('TL16'!$C$238:$C$451,$C275,'TL16'!$J$238:$J$451),0),
IF('TL17'!$B$3=M$3,SUMIF('TL17'!$C$10:$C$224,$C275,'TL17'!$J$10:$J$224),0),
IF('TL17'!$B$229=M$3,SUMIF('TL17'!$C$238:$C$451,$C275,'TL17'!$J$238:$J$451),0),
IF('TL18'!$B$3=M$3,SUMIF('TL18'!$C$10:$C$224,$C275,'TL18'!$J$10:$J$224),0),
IF('TL18'!$B$229=M$3,SUMIF('TL18'!$C$238:$C$451,$C275,'TL18'!$J$238:$J$451),0),
IF('TL19'!$B$3=M$3,SUMIF('TL19'!$C$10:$C$224,$C275,'TL19'!$J$10:$J$224),0),
IF('TL19'!$B$229=M$3,SUMIF('TL19'!$C$238:$C$451,$C275,'TL19'!$J$238:$J$451),0)
),0)</f>
        <v/>
      </c>
      <c r="N275" s="9">
        <f>IFERROR(SUM(
IF('TL01'!$B$3=N$3,SUMIF('TL01'!$C$10:$C$224,$C275,'TL01'!$J$10:$J$224),0),
IF('TL01'!$B$229=N$3,SUMIF('TL01'!$C$238:$C$451,$C275,'TL01'!$J$238:$J$451),0),
IF('TL02'!$B$3=N$3,SUMIF('TL02'!$C$10:$C$224,$C275,'TL02'!$J$10:$J$224),0),
IF('TL02'!$B$229=N$3,SUMIF('TL02'!$C$238:$C$451,$C275,'TL02'!$J$238:$J$451),0),
IF('TL03'!$B$3=N$3,SUMIF('TL03'!$C$10:$C$224,$C275,'TL03'!$J$10:$J$224),0),
IF('TL03'!$B$229=N$3,SUMIF('TL03'!$C$238:$C$451,$C275,'TL03'!$J$238:$J$451),0),
IF('TL04'!$B$3=N$3,SUMIF('TL04'!$C$10:$C$224,$C275,'TL04'!$J$10:$J$224),0),
IF('TL04'!$B$229=N$3,SUMIF('TL04'!$C$238:$C$451,$C275,'TL04'!$J$238:$J$451),0),
IF('TL05'!$B$3=N$3,SUMIF('TL05'!$C$10:$C$224,$C275,'TL05'!$J$10:$J$224),0),
IF('TL05'!$B$229=N$3,SUMIF('TL05'!$C$238:$C$451,$C275,'TL05'!$J$238:$J$451),0),
IF('TL06'!$B$3=N$3,SUMIF('TL06'!$C$10:$C$224,$C275,'TL06'!$J$10:$J$224),0),
IF('TL06'!$B$229=N$3,SUMIF('TL06'!$C$238:$C$451,$C275,'TL06'!$J$238:$J$451),0),
IF('TL07'!$B$3=N$3,SUMIF('TL07'!$C$10:$C$224,$C275,'TL07'!$J$10:$J$224),0),
IF('TL07'!$B$229=N$3,SUMIF('TL07'!$C$238:$C$451,$C275,'TL07'!$J$238:$J$451),0),
IF('TL08'!$B$3=N$3,SUMIF('TL08'!$C$10:$C$224,$C275,'TL08'!$J$10:$J$224),0),
IF('TL08'!$B$229=N$3,SUMIF('TL08'!$C$238:$C$451,$C275,'TL08'!$J$238:$J$451),0),
IF('TL09'!$B$3=N$3,SUMIF('TL09'!$C$10:$C$224,$C275,'TL09'!$J$10:$J$224),0),
IF('TL09'!$B$229=N$3,SUMIF('TL09'!$C$238:$C$451,$C275,'TL09'!$J$238:$J$451),0),
IF('TL10'!$B$3=N$3,SUMIF('TL10'!$C$10:$C$224,$C275,'TL10'!$J$10:$J$224),0),
IF('TL10'!$B$229=N$3,SUMIF('TL10'!$C$238:$C$451,$C275,'TL10'!$J$238:$J$451),0),
IF('TL11'!$B$3=N$3,SUMIF('TL11'!$C$10:$C$224,$C275,'TL11'!$J$10:$J$224),0),
IF('TL11'!$B$229=N$3,SUMIF('TL11'!$C$238:$C$451,$C275,'TL11'!$J$238:$J$451),0),
IF('TL12'!$B$3=N$3,SUMIF('TL12'!$C$10:$C$224,$C275,'TL12'!$J$10:$J$224),0),
IF('TL12'!$B$229=N$3,SUMIF('TL12'!$C$238:$C$451,$C275,'TL12'!$J$238:$J$451),0),
IF('TL13'!$B$3=N$3,SUMIF('TL13'!$C$10:$C$224,$C275,'TL13'!$J$10:$J$224),0),
IF('TL13'!$B$229=N$3,SUMIF('TL13'!$C$238:$C$451,$C275,'TL13'!$J$238:$J$451),0),
IF('TL14'!$B$3=N$3,SUMIF('TL14'!$C$10:$C$224,$C275,'TL14'!$J$10:$J$224),0),
IF('TL14'!$B$229=N$3,SUMIF('TL14'!$C$238:$C$451,$C275,'TL14'!$J$238:$J$451),0),
IF('TL15'!$B$3=N$3,SUMIF('TL15'!$C$10:$C$224,$C275,'TL15'!$J$10:$J$224),0),
IF('TL15'!$B$229=N$3,SUMIF('TL15'!$C$238:$C$451,$C275,'TL15'!$J$238:$J$451),0),
IF('TL16'!$B$3=N$3,SUMIF('TL16'!$C$10:$C$224,$C275,'TL16'!$J$10:$J$224),0),
IF('TL16'!$B$229=N$3,SUMIF('TL16'!$C$238:$C$451,$C275,'TL16'!$J$238:$J$451),0),
IF('TL17'!$B$3=N$3,SUMIF('TL17'!$C$10:$C$224,$C275,'TL17'!$J$10:$J$224),0),
IF('TL17'!$B$229=N$3,SUMIF('TL17'!$C$238:$C$451,$C275,'TL17'!$J$238:$J$451),0),
IF('TL18'!$B$3=N$3,SUMIF('TL18'!$C$10:$C$224,$C275,'TL18'!$J$10:$J$224),0),
IF('TL18'!$B$229=N$3,SUMIF('TL18'!$C$238:$C$451,$C275,'TL18'!$J$238:$J$451),0),
IF('TL19'!$B$3=N$3,SUMIF('TL19'!$C$10:$C$224,$C275,'TL19'!$J$10:$J$224),0),
IF('TL19'!$B$229=N$3,SUMIF('TL19'!$C$238:$C$451,$C275,'TL19'!$J$238:$J$451),0)
),0)</f>
        <v/>
      </c>
      <c r="O275" s="9">
        <f>IFERROR(SUM(
IF('TL01'!$B$3=O$3,SUMIF('TL01'!$C$10:$C$224,$C275,'TL01'!$J$10:$J$224),0),
IF('TL01'!$B$229=O$3,SUMIF('TL01'!$C$238:$C$451,$C275,'TL01'!$J$238:$J$451),0),
IF('TL02'!$B$3=O$3,SUMIF('TL02'!$C$10:$C$224,$C275,'TL02'!$J$10:$J$224),0),
IF('TL02'!$B$229=O$3,SUMIF('TL02'!$C$238:$C$451,$C275,'TL02'!$J$238:$J$451),0),
IF('TL03'!$B$3=O$3,SUMIF('TL03'!$C$10:$C$224,$C275,'TL03'!$J$10:$J$224),0),
IF('TL03'!$B$229=O$3,SUMIF('TL03'!$C$238:$C$451,$C275,'TL03'!$J$238:$J$451),0),
IF('TL04'!$B$3=O$3,SUMIF('TL04'!$C$10:$C$224,$C275,'TL04'!$J$10:$J$224),0),
IF('TL04'!$B$229=O$3,SUMIF('TL04'!$C$238:$C$451,$C275,'TL04'!$J$238:$J$451),0),
IF('TL05'!$B$3=O$3,SUMIF('TL05'!$C$10:$C$224,$C275,'TL05'!$J$10:$J$224),0),
IF('TL05'!$B$229=O$3,SUMIF('TL05'!$C$238:$C$451,$C275,'TL05'!$J$238:$J$451),0),
IF('TL06'!$B$3=O$3,SUMIF('TL06'!$C$10:$C$224,$C275,'TL06'!$J$10:$J$224),0),
IF('TL06'!$B$229=O$3,SUMIF('TL06'!$C$238:$C$451,$C275,'TL06'!$J$238:$J$451),0),
IF('TL07'!$B$3=O$3,SUMIF('TL07'!$C$10:$C$224,$C275,'TL07'!$J$10:$J$224),0),
IF('TL07'!$B$229=O$3,SUMIF('TL07'!$C$238:$C$451,$C275,'TL07'!$J$238:$J$451),0),
IF('TL08'!$B$3=O$3,SUMIF('TL08'!$C$10:$C$224,$C275,'TL08'!$J$10:$J$224),0),
IF('TL08'!$B$229=O$3,SUMIF('TL08'!$C$238:$C$451,$C275,'TL08'!$J$238:$J$451),0),
IF('TL09'!$B$3=O$3,SUMIF('TL09'!$C$10:$C$224,$C275,'TL09'!$J$10:$J$224),0),
IF('TL09'!$B$229=O$3,SUMIF('TL09'!$C$238:$C$451,$C275,'TL09'!$J$238:$J$451),0),
IF('TL10'!$B$3=O$3,SUMIF('TL10'!$C$10:$C$224,$C275,'TL10'!$J$10:$J$224),0),
IF('TL10'!$B$229=O$3,SUMIF('TL10'!$C$238:$C$451,$C275,'TL10'!$J$238:$J$451),0),
IF('TL11'!$B$3=O$3,SUMIF('TL11'!$C$10:$C$224,$C275,'TL11'!$J$10:$J$224),0),
IF('TL11'!$B$229=O$3,SUMIF('TL11'!$C$238:$C$451,$C275,'TL11'!$J$238:$J$451),0),
IF('TL12'!$B$3=O$3,SUMIF('TL12'!$C$10:$C$224,$C275,'TL12'!$J$10:$J$224),0),
IF('TL12'!$B$229=O$3,SUMIF('TL12'!$C$238:$C$451,$C275,'TL12'!$J$238:$J$451),0),
IF('TL13'!$B$3=O$3,SUMIF('TL13'!$C$10:$C$224,$C275,'TL13'!$J$10:$J$224),0),
IF('TL13'!$B$229=O$3,SUMIF('TL13'!$C$238:$C$451,$C275,'TL13'!$J$238:$J$451),0),
IF('TL14'!$B$3=O$3,SUMIF('TL14'!$C$10:$C$224,$C275,'TL14'!$J$10:$J$224),0),
IF('TL14'!$B$229=O$3,SUMIF('TL14'!$C$238:$C$451,$C275,'TL14'!$J$238:$J$451),0),
IF('TL15'!$B$3=O$3,SUMIF('TL15'!$C$10:$C$224,$C275,'TL15'!$J$10:$J$224),0),
IF('TL15'!$B$229=O$3,SUMIF('TL15'!$C$238:$C$451,$C275,'TL15'!$J$238:$J$451),0),
IF('TL16'!$B$3=O$3,SUMIF('TL16'!$C$10:$C$224,$C275,'TL16'!$J$10:$J$224),0),
IF('TL16'!$B$229=O$3,SUMIF('TL16'!$C$238:$C$451,$C275,'TL16'!$J$238:$J$451),0),
IF('TL17'!$B$3=O$3,SUMIF('TL17'!$C$10:$C$224,$C275,'TL17'!$J$10:$J$224),0),
IF('TL17'!$B$229=O$3,SUMIF('TL17'!$C$238:$C$451,$C275,'TL17'!$J$238:$J$451),0),
IF('TL18'!$B$3=O$3,SUMIF('TL18'!$C$10:$C$224,$C275,'TL18'!$J$10:$J$224),0),
IF('TL18'!$B$229=O$3,SUMIF('TL18'!$C$238:$C$451,$C275,'TL18'!$J$238:$J$451),0),
IF('TL19'!$B$3=O$3,SUMIF('TL19'!$C$10:$C$224,$C275,'TL19'!$J$10:$J$224),0),
IF('TL19'!$B$229=O$3,SUMIF('TL19'!$C$238:$C$451,$C275,'TL19'!$J$238:$J$451),0)
),0)</f>
        <v/>
      </c>
      <c r="P275" s="9">
        <f>IFERROR(SUM(
IF('TL01'!$B$3=P$3,SUMIF('TL01'!$C$10:$C$224,$C275,'TL01'!$J$10:$J$224),0),
IF('TL01'!$B$229=P$3,SUMIF('TL01'!$C$238:$C$451,$C275,'TL01'!$J$238:$J$451),0),
IF('TL02'!$B$3=P$3,SUMIF('TL02'!$C$10:$C$224,$C275,'TL02'!$J$10:$J$224),0),
IF('TL02'!$B$229=P$3,SUMIF('TL02'!$C$238:$C$451,$C275,'TL02'!$J$238:$J$451),0),
IF('TL03'!$B$3=P$3,SUMIF('TL03'!$C$10:$C$224,$C275,'TL03'!$J$10:$J$224),0),
IF('TL03'!$B$229=P$3,SUMIF('TL03'!$C$238:$C$451,$C275,'TL03'!$J$238:$J$451),0),
IF('TL04'!$B$3=P$3,SUMIF('TL04'!$C$10:$C$224,$C275,'TL04'!$J$10:$J$224),0),
IF('TL04'!$B$229=P$3,SUMIF('TL04'!$C$238:$C$451,$C275,'TL04'!$J$238:$J$451),0),
IF('TL05'!$B$3=P$3,SUMIF('TL05'!$C$10:$C$224,$C275,'TL05'!$J$10:$J$224),0),
IF('TL05'!$B$229=P$3,SUMIF('TL05'!$C$238:$C$451,$C275,'TL05'!$J$238:$J$451),0),
IF('TL06'!$B$3=P$3,SUMIF('TL06'!$C$10:$C$224,$C275,'TL06'!$J$10:$J$224),0),
IF('TL06'!$B$229=P$3,SUMIF('TL06'!$C$238:$C$451,$C275,'TL06'!$J$238:$J$451),0),
IF('TL07'!$B$3=P$3,SUMIF('TL07'!$C$10:$C$224,$C275,'TL07'!$J$10:$J$224),0),
IF('TL07'!$B$229=P$3,SUMIF('TL07'!$C$238:$C$451,$C275,'TL07'!$J$238:$J$451),0),
IF('TL08'!$B$3=P$3,SUMIF('TL08'!$C$10:$C$224,$C275,'TL08'!$J$10:$J$224),0),
IF('TL08'!$B$229=P$3,SUMIF('TL08'!$C$238:$C$451,$C275,'TL08'!$J$238:$J$451),0),
IF('TL09'!$B$3=P$3,SUMIF('TL09'!$C$10:$C$224,$C275,'TL09'!$J$10:$J$224),0),
IF('TL09'!$B$229=P$3,SUMIF('TL09'!$C$238:$C$451,$C275,'TL09'!$J$238:$J$451),0),
IF('TL10'!$B$3=P$3,SUMIF('TL10'!$C$10:$C$224,$C275,'TL10'!$J$10:$J$224),0),
IF('TL10'!$B$229=P$3,SUMIF('TL10'!$C$238:$C$451,$C275,'TL10'!$J$238:$J$451),0),
IF('TL11'!$B$3=P$3,SUMIF('TL11'!$C$10:$C$224,$C275,'TL11'!$J$10:$J$224),0),
IF('TL11'!$B$229=P$3,SUMIF('TL11'!$C$238:$C$451,$C275,'TL11'!$J$238:$J$451),0),
IF('TL12'!$B$3=P$3,SUMIF('TL12'!$C$10:$C$224,$C275,'TL12'!$J$10:$J$224),0),
IF('TL12'!$B$229=P$3,SUMIF('TL12'!$C$238:$C$451,$C275,'TL12'!$J$238:$J$451),0),
IF('TL13'!$B$3=P$3,SUMIF('TL13'!$C$10:$C$224,$C275,'TL13'!$J$10:$J$224),0),
IF('TL13'!$B$229=P$3,SUMIF('TL13'!$C$238:$C$451,$C275,'TL13'!$J$238:$J$451),0),
IF('TL14'!$B$3=P$3,SUMIF('TL14'!$C$10:$C$224,$C275,'TL14'!$J$10:$J$224),0),
IF('TL14'!$B$229=P$3,SUMIF('TL14'!$C$238:$C$451,$C275,'TL14'!$J$238:$J$451),0),
IF('TL15'!$B$3=P$3,SUMIF('TL15'!$C$10:$C$224,$C275,'TL15'!$J$10:$J$224),0),
IF('TL15'!$B$229=P$3,SUMIF('TL15'!$C$238:$C$451,$C275,'TL15'!$J$238:$J$451),0),
IF('TL16'!$B$3=P$3,SUMIF('TL16'!$C$10:$C$224,$C275,'TL16'!$J$10:$J$224),0),
IF('TL16'!$B$229=P$3,SUMIF('TL16'!$C$238:$C$451,$C275,'TL16'!$J$238:$J$451),0),
IF('TL17'!$B$3=P$3,SUMIF('TL17'!$C$10:$C$224,$C275,'TL17'!$J$10:$J$224),0),
IF('TL17'!$B$229=P$3,SUMIF('TL17'!$C$238:$C$451,$C275,'TL17'!$J$238:$J$451),0),
IF('TL18'!$B$3=P$3,SUMIF('TL18'!$C$10:$C$224,$C275,'TL18'!$J$10:$J$224),0),
IF('TL18'!$B$229=P$3,SUMIF('TL18'!$C$238:$C$451,$C275,'TL18'!$J$238:$J$451),0),
IF('TL19'!$B$3=P$3,SUMIF('TL19'!$C$10:$C$224,$C275,'TL19'!$J$10:$J$224),0),
IF('TL19'!$B$229=P$3,SUMIF('TL19'!$C$238:$C$451,$C275,'TL19'!$J$238:$J$451),0)
),0)</f>
        <v/>
      </c>
      <c r="Q275" s="9">
        <f>IFERROR(SUM(
IF('TL01'!$B$3=Q$3,SUMIF('TL01'!$C$10:$C$224,$C275,'TL01'!$J$10:$J$224),0),
IF('TL01'!$B$229=Q$3,SUMIF('TL01'!$C$238:$C$451,$C275,'TL01'!$J$238:$J$451),0),
IF('TL02'!$B$3=Q$3,SUMIF('TL02'!$C$10:$C$224,$C275,'TL02'!$J$10:$J$224),0),
IF('TL02'!$B$229=Q$3,SUMIF('TL02'!$C$238:$C$451,$C275,'TL02'!$J$238:$J$451),0),
IF('TL03'!$B$3=Q$3,SUMIF('TL03'!$C$10:$C$224,$C275,'TL03'!$J$10:$J$224),0),
IF('TL03'!$B$229=Q$3,SUMIF('TL03'!$C$238:$C$451,$C275,'TL03'!$J$238:$J$451),0),
IF('TL04'!$B$3=Q$3,SUMIF('TL04'!$C$10:$C$224,$C275,'TL04'!$J$10:$J$224),0),
IF('TL04'!$B$229=Q$3,SUMIF('TL04'!$C$238:$C$451,$C275,'TL04'!$J$238:$J$451),0),
IF('TL05'!$B$3=Q$3,SUMIF('TL05'!$C$10:$C$224,$C275,'TL05'!$J$10:$J$224),0),
IF('TL05'!$B$229=Q$3,SUMIF('TL05'!$C$238:$C$451,$C275,'TL05'!$J$238:$J$451),0),
IF('TL06'!$B$3=Q$3,SUMIF('TL06'!$C$10:$C$224,$C275,'TL06'!$J$10:$J$224),0),
IF('TL06'!$B$229=Q$3,SUMIF('TL06'!$C$238:$C$451,$C275,'TL06'!$J$238:$J$451),0),
IF('TL07'!$B$3=Q$3,SUMIF('TL07'!$C$10:$C$224,$C275,'TL07'!$J$10:$J$224),0),
IF('TL07'!$B$229=Q$3,SUMIF('TL07'!$C$238:$C$451,$C275,'TL07'!$J$238:$J$451),0),
IF('TL08'!$B$3=Q$3,SUMIF('TL08'!$C$10:$C$224,$C275,'TL08'!$J$10:$J$224),0),
IF('TL08'!$B$229=Q$3,SUMIF('TL08'!$C$238:$C$451,$C275,'TL08'!$J$238:$J$451),0),
IF('TL09'!$B$3=Q$3,SUMIF('TL09'!$C$10:$C$224,$C275,'TL09'!$J$10:$J$224),0),
IF('TL09'!$B$229=Q$3,SUMIF('TL09'!$C$238:$C$451,$C275,'TL09'!$J$238:$J$451),0),
IF('TL10'!$B$3=Q$3,SUMIF('TL10'!$C$10:$C$224,$C275,'TL10'!$J$10:$J$224),0),
IF('TL10'!$B$229=Q$3,SUMIF('TL10'!$C$238:$C$451,$C275,'TL10'!$J$238:$J$451),0),
IF('TL11'!$B$3=Q$3,SUMIF('TL11'!$C$10:$C$224,$C275,'TL11'!$J$10:$J$224),0),
IF('TL11'!$B$229=Q$3,SUMIF('TL11'!$C$238:$C$451,$C275,'TL11'!$J$238:$J$451),0),
IF('TL12'!$B$3=Q$3,SUMIF('TL12'!$C$10:$C$224,$C275,'TL12'!$J$10:$J$224),0),
IF('TL12'!$B$229=Q$3,SUMIF('TL12'!$C$238:$C$451,$C275,'TL12'!$J$238:$J$451),0),
IF('TL13'!$B$3=Q$3,SUMIF('TL13'!$C$10:$C$224,$C275,'TL13'!$J$10:$J$224),0),
IF('TL13'!$B$229=Q$3,SUMIF('TL13'!$C$238:$C$451,$C275,'TL13'!$J$238:$J$451),0),
IF('TL14'!$B$3=Q$3,SUMIF('TL14'!$C$10:$C$224,$C275,'TL14'!$J$10:$J$224),0),
IF('TL14'!$B$229=Q$3,SUMIF('TL14'!$C$238:$C$451,$C275,'TL14'!$J$238:$J$451),0),
IF('TL15'!$B$3=Q$3,SUMIF('TL15'!$C$10:$C$224,$C275,'TL15'!$J$10:$J$224),0),
IF('TL15'!$B$229=Q$3,SUMIF('TL15'!$C$238:$C$451,$C275,'TL15'!$J$238:$J$451),0),
IF('TL16'!$B$3=Q$3,SUMIF('TL16'!$C$10:$C$224,$C275,'TL16'!$J$10:$J$224),0),
IF('TL16'!$B$229=Q$3,SUMIF('TL16'!$C$238:$C$451,$C275,'TL16'!$J$238:$J$451),0),
IF('TL17'!$B$3=Q$3,SUMIF('TL17'!$C$10:$C$224,$C275,'TL17'!$J$10:$J$224),0),
IF('TL17'!$B$229=Q$3,SUMIF('TL17'!$C$238:$C$451,$C275,'TL17'!$J$238:$J$451),0),
IF('TL18'!$B$3=Q$3,SUMIF('TL18'!$C$10:$C$224,$C275,'TL18'!$J$10:$J$224),0),
IF('TL18'!$B$229=Q$3,SUMIF('TL18'!$C$238:$C$451,$C275,'TL18'!$J$238:$J$451),0),
IF('TL19'!$B$3=Q$3,SUMIF('TL19'!$C$10:$C$224,$C275,'TL19'!$J$10:$J$224),0),
IF('TL19'!$B$229=Q$3,SUMIF('TL19'!$C$238:$C$451,$C275,'TL19'!$J$238:$J$451),0)
),0)</f>
        <v/>
      </c>
      <c r="R275" s="9">
        <f>IFERROR(
SUM(
SUMIF('TL01'!C:C,C275,'TL01'!J:J),
SUMIF('TL02'!C:C,C275,'TL02'!J:J),
SUMIF('TL03'!C:C,C275,'TL03'!J:J),
SUMIF('TL04'!C:C,C275,'TL04'!J:J),
SUMIF('TL05'!C:C,C275,'TL05'!J:J),
SUMIF('TL06'!C:C,C275,'TL06'!J:J),
SUMIF('TL07'!C:C,C275,'TL07'!J:J),
SUMIF('TL08'!C:C,C275,'TL08'!J:J),
SUMIF('TL09'!C:C,C275,'TL09'!J:J),
SUMIF('TL10'!C:C,C275,'TL10'!J:J),
SUMIF('TL11'!C:C,C275,'TL11'!J:J),
SUMIF('TL12'!C:C,C275,'TL12'!J:J),
SUMIF('TL13'!C:C,C275,'TL13'!J:J),
SUMIF('TL14'!C:C,C275,'TL14'!J:J),
SUMIF('TL15'!C:C,C275,'TL15'!J:J),
SUMIF('TL16'!C:C,C275,'TL16'!J:J),
SUMIF('TL17'!C:C,C275,'TL17'!J:J),
SUMIF('TL18'!C:C,C275,'TL18'!J:J),SUMIF('TL19'!C:C,C275,'TL19'!J:J))
,0)</f>
        <v/>
      </c>
      <c r="S275" s="17">
        <f>IFERROR(__xludf.DUMMYFUNCTION("IFERROR(VLOOKUP(C275,
IMPORTRANGE(""1wULbzX32WdYsx-lj2U3uUNBBe2INVIRDtcK0d-Dvl90"",
""26-27!C:G""),
5,
FALSE),
"""")"),26.0)</f>
        <v/>
      </c>
      <c r="T275" s="9" t="n"/>
      <c r="U275" s="92">
        <f>MAX(0,R275-T275)</f>
        <v/>
      </c>
      <c r="V275" s="93">
        <f>U275*S275</f>
        <v/>
      </c>
    </row>
    <row r="276" hidden="1" ht="15.75" customHeight="1" s="297">
      <c r="A276" s="4" t="inlineStr">
        <is>
          <t>GRAN7</t>
        </is>
      </c>
      <c r="B276" s="125" t="inlineStr">
        <is>
          <t>NUTRIÇÃO</t>
        </is>
      </c>
      <c r="C276" s="4" t="inlineStr">
        <is>
          <t>Emezine Complex</t>
        </is>
      </c>
      <c r="D276" s="4" t="inlineStr">
        <is>
          <t>Mn 3%, Zn 3%, Cu3,2% - Quelatizado Organicamente</t>
        </is>
      </c>
      <c r="E276" s="9" t="n"/>
      <c r="F276" s="4" t="inlineStr">
        <is>
          <t>L</t>
        </is>
      </c>
      <c r="G276" s="9" t="n"/>
      <c r="H276" s="9" t="n">
        <v>1.4</v>
      </c>
      <c r="I276" s="1" t="n"/>
      <c r="J276" s="9">
        <f>IFERROR(SUM(
IF('TL01'!$B$3=J$3,SUMIF('TL01'!$C$10:$C$224,$C276,'TL01'!$J$10:$J$224),0),
IF('TL01'!$B$229=J$3,SUMIF('TL01'!$C$238:$C$451,$C276,'TL01'!$J$238:$J$451),0),
IF('TL02'!$B$3=J$3,SUMIF('TL02'!$C$10:$C$224,$C276,'TL02'!$J$10:$J$224),0),
IF('TL02'!$B$229=J$3,SUMIF('TL02'!$C$238:$C$451,$C276,'TL02'!$J$238:$J$451),0),
IF('TL03'!$B$3=J$3,SUMIF('TL03'!$C$10:$C$224,$C276,'TL03'!$J$10:$J$224),0),
IF('TL03'!$B$229=J$3,SUMIF('TL03'!$C$238:$C$451,$C276,'TL03'!$J$238:$J$451),0),
IF('TL04'!$B$3=J$3,SUMIF('TL04'!$C$10:$C$224,$C276,'TL04'!$J$10:$J$224),0),
IF('TL04'!$B$229=J$3,SUMIF('TL04'!$C$238:$C$451,$C276,'TL04'!$J$238:$J$451),0),
IF('TL05'!$B$3=J$3,SUMIF('TL05'!$C$10:$C$224,$C276,'TL05'!$J$10:$J$224),0),
IF('TL05'!$B$229=J$3,SUMIF('TL05'!$C$238:$C$451,$C276,'TL05'!$J$238:$J$451),0),
IF('TL06'!$B$3=J$3,SUMIF('TL06'!$C$10:$C$224,$C276,'TL06'!$J$10:$J$224),0),
IF('TL06'!$B$229=J$3,SUMIF('TL06'!$C$238:$C$451,$C276,'TL06'!$J$238:$J$451),0),
IF('TL07'!$B$3=J$3,SUMIF('TL07'!$C$10:$C$224,$C276,'TL07'!$J$10:$J$224),0),
IF('TL07'!$B$229=J$3,SUMIF('TL07'!$C$238:$C$451,$C276,'TL07'!$J$238:$J$451),0),
IF('TL08'!$B$3=J$3,SUMIF('TL08'!$C$10:$C$224,$C276,'TL08'!$J$10:$J$224),0),
IF('TL08'!$B$229=J$3,SUMIF('TL08'!$C$238:$C$451,$C276,'TL08'!$J$238:$J$451),0),
IF('TL09'!$B$3=J$3,SUMIF('TL09'!$C$10:$C$224,$C276,'TL09'!$J$10:$J$224),0),
IF('TL09'!$B$229=J$3,SUMIF('TL09'!$C$238:$C$451,$C276,'TL09'!$J$238:$J$451),0),
IF('TL10'!$B$3=J$3,SUMIF('TL10'!$C$10:$C$224,$C276,'TL10'!$J$10:$J$224),0),
IF('TL10'!$B$229=J$3,SUMIF('TL10'!$C$238:$C$451,$C276,'TL10'!$J$238:$J$451),0),
IF('TL11'!$B$3=J$3,SUMIF('TL11'!$C$10:$C$224,$C276,'TL11'!$J$10:$J$224),0),
IF('TL11'!$B$229=J$3,SUMIF('TL11'!$C$238:$C$451,$C276,'TL11'!$J$238:$J$451),0),
IF('TL12'!$B$3=J$3,SUMIF('TL12'!$C$10:$C$224,$C276,'TL12'!$J$10:$J$224),0),
IF('TL12'!$B$229=J$3,SUMIF('TL12'!$C$238:$C$451,$C276,'TL12'!$J$238:$J$451),0),
IF('TL13'!$B$3=J$3,SUMIF('TL13'!$C$10:$C$224,$C276,'TL13'!$J$10:$J$224),0),
IF('TL13'!$B$229=J$3,SUMIF('TL13'!$C$238:$C$451,$C276,'TL13'!$J$238:$J$451),0),
IF('TL14'!$B$3=J$3,SUMIF('TL14'!$C$10:$C$224,$C276,'TL14'!$J$10:$J$224),0),
IF('TL14'!$B$229=J$3,SUMIF('TL14'!$C$238:$C$451,$C276,'TL14'!$J$238:$J$451),0),
IF('TL15'!$B$3=J$3,SUMIF('TL15'!$C$10:$C$224,$C276,'TL15'!$J$10:$J$224),0),
IF('TL15'!$B$229=J$3,SUMIF('TL15'!$C$238:$C$451,$C276,'TL15'!$J$238:$J$451),0),
IF('TL16'!$B$3=J$3,SUMIF('TL16'!$C$10:$C$224,$C276,'TL16'!$J$10:$J$224),0),
IF('TL16'!$B$229=J$3,SUMIF('TL16'!$C$238:$C$451,$C276,'TL16'!$J$238:$J$451),0),
IF('TL17'!$B$3=J$3,SUMIF('TL17'!$C$10:$C$224,$C276,'TL17'!$J$10:$J$224),0),
IF('TL17'!$B$229=J$3,SUMIF('TL17'!$C$238:$C$451,$C276,'TL17'!$J$238:$J$451),0),
IF('TL18'!$B$3=J$3,SUMIF('TL18'!$C$10:$C$224,$C276,'TL18'!$J$10:$J$224),0),
IF('TL18'!$B$229=J$3,SUMIF('TL18'!$C$238:$C$451,$C276,'TL18'!$J$238:$J$451),0),
IF('TL19'!$B$3=J$3,SUMIF('TL19'!$C$10:$C$224,$C276,'TL19'!$J$10:$J$224),0),
IF('TL19'!$B$229=J$3,SUMIF('TL19'!$C$238:$C$451,$C276,'TL19'!$J$238:$J$451),0)
),0)</f>
        <v/>
      </c>
      <c r="K276" s="9">
        <f>IFERROR(SUM(
IF('TL01'!$B$3=K$3,SUMIF('TL01'!$C$10:$C$224,$C276,'TL01'!$J$10:$J$224),0),
IF('TL01'!$B$229=K$3,SUMIF('TL01'!$C$238:$C$451,$C276,'TL01'!$J$238:$J$451),0),
IF('TL02'!$B$3=K$3,SUMIF('TL02'!$C$10:$C$224,$C276,'TL02'!$J$10:$J$224),0),
IF('TL02'!$B$229=K$3,SUMIF('TL02'!$C$238:$C$451,$C276,'TL02'!$J$238:$J$451),0),
IF('TL03'!$B$3=K$3,SUMIF('TL03'!$C$10:$C$224,$C276,'TL03'!$J$10:$J$224),0),
IF('TL03'!$B$229=K$3,SUMIF('TL03'!$C$238:$C$451,$C276,'TL03'!$J$238:$J$451),0),
IF('TL04'!$B$3=K$3,SUMIF('TL04'!$C$10:$C$224,$C276,'TL04'!$J$10:$J$224),0),
IF('TL04'!$B$229=K$3,SUMIF('TL04'!$C$238:$C$451,$C276,'TL04'!$J$238:$J$451),0),
IF('TL05'!$B$3=K$3,SUMIF('TL05'!$C$10:$C$224,$C276,'TL05'!$J$10:$J$224),0),
IF('TL05'!$B$229=K$3,SUMIF('TL05'!$C$238:$C$451,$C276,'TL05'!$J$238:$J$451),0),
IF('TL06'!$B$3=K$3,SUMIF('TL06'!$C$10:$C$224,$C276,'TL06'!$J$10:$J$224),0),
IF('TL06'!$B$229=K$3,SUMIF('TL06'!$C$238:$C$451,$C276,'TL06'!$J$238:$J$451),0),
IF('TL07'!$B$3=K$3,SUMIF('TL07'!$C$10:$C$224,$C276,'TL07'!$J$10:$J$224),0),
IF('TL07'!$B$229=K$3,SUMIF('TL07'!$C$238:$C$451,$C276,'TL07'!$J$238:$J$451),0),
IF('TL08'!$B$3=K$3,SUMIF('TL08'!$C$10:$C$224,$C276,'TL08'!$J$10:$J$224),0),
IF('TL08'!$B$229=K$3,SUMIF('TL08'!$C$238:$C$451,$C276,'TL08'!$J$238:$J$451),0),
IF('TL09'!$B$3=K$3,SUMIF('TL09'!$C$10:$C$224,$C276,'TL09'!$J$10:$J$224),0),
IF('TL09'!$B$229=K$3,SUMIF('TL09'!$C$238:$C$451,$C276,'TL09'!$J$238:$J$451),0),
IF('TL10'!$B$3=K$3,SUMIF('TL10'!$C$10:$C$224,$C276,'TL10'!$J$10:$J$224),0),
IF('TL10'!$B$229=K$3,SUMIF('TL10'!$C$238:$C$451,$C276,'TL10'!$J$238:$J$451),0),
IF('TL11'!$B$3=K$3,SUMIF('TL11'!$C$10:$C$224,$C276,'TL11'!$J$10:$J$224),0),
IF('TL11'!$B$229=K$3,SUMIF('TL11'!$C$238:$C$451,$C276,'TL11'!$J$238:$J$451),0),
IF('TL12'!$B$3=K$3,SUMIF('TL12'!$C$10:$C$224,$C276,'TL12'!$J$10:$J$224),0),
IF('TL12'!$B$229=K$3,SUMIF('TL12'!$C$238:$C$451,$C276,'TL12'!$J$238:$J$451),0),
IF('TL13'!$B$3=K$3,SUMIF('TL13'!$C$10:$C$224,$C276,'TL13'!$J$10:$J$224),0),
IF('TL13'!$B$229=K$3,SUMIF('TL13'!$C$238:$C$451,$C276,'TL13'!$J$238:$J$451),0),
IF('TL14'!$B$3=K$3,SUMIF('TL14'!$C$10:$C$224,$C276,'TL14'!$J$10:$J$224),0),
IF('TL14'!$B$229=K$3,SUMIF('TL14'!$C$238:$C$451,$C276,'TL14'!$J$238:$J$451),0),
IF('TL15'!$B$3=K$3,SUMIF('TL15'!$C$10:$C$224,$C276,'TL15'!$J$10:$J$224),0),
IF('TL15'!$B$229=K$3,SUMIF('TL15'!$C$238:$C$451,$C276,'TL15'!$J$238:$J$451),0),
IF('TL16'!$B$3=K$3,SUMIF('TL16'!$C$10:$C$224,$C276,'TL16'!$J$10:$J$224),0),
IF('TL16'!$B$229=K$3,SUMIF('TL16'!$C$238:$C$451,$C276,'TL16'!$J$238:$J$451),0),
IF('TL17'!$B$3=K$3,SUMIF('TL17'!$C$10:$C$224,$C276,'TL17'!$J$10:$J$224),0),
IF('TL17'!$B$229=K$3,SUMIF('TL17'!$C$238:$C$451,$C276,'TL17'!$J$238:$J$451),0),
IF('TL18'!$B$3=K$3,SUMIF('TL18'!$C$10:$C$224,$C276,'TL18'!$J$10:$J$224),0),
IF('TL18'!$B$229=K$3,SUMIF('TL18'!$C$238:$C$451,$C276,'TL18'!$J$238:$J$451),0),
IF('TL19'!$B$3=K$3,SUMIF('TL19'!$C$10:$C$224,$C276,'TL19'!$J$10:$J$224),0),
IF('TL19'!$B$229=K$3,SUMIF('TL19'!$C$238:$C$451,$C276,'TL19'!$J$238:$J$451),0)
),0)</f>
        <v/>
      </c>
      <c r="L276" s="9">
        <f>IFERROR(SUM(
IF('TL01'!$B$3=L$3,SUMIF('TL01'!$C$10:$C$224,$C276,'TL01'!$J$10:$J$224),0),
IF('TL01'!$B$229=L$3,SUMIF('TL01'!$C$238:$C$451,$C276,'TL01'!$J$238:$J$451),0),
IF('TL02'!$B$3=L$3,SUMIF('TL02'!$C$10:$C$224,$C276,'TL02'!$J$10:$J$224),0),
IF('TL02'!$B$229=L$3,SUMIF('TL02'!$C$238:$C$451,$C276,'TL02'!$J$238:$J$451),0),
IF('TL03'!$B$3=L$3,SUMIF('TL03'!$C$10:$C$224,$C276,'TL03'!$J$10:$J$224),0),
IF('TL03'!$B$229=L$3,SUMIF('TL03'!$C$238:$C$451,$C276,'TL03'!$J$238:$J$451),0),
IF('TL04'!$B$3=L$3,SUMIF('TL04'!$C$10:$C$224,$C276,'TL04'!$J$10:$J$224),0),
IF('TL04'!$B$229=L$3,SUMIF('TL04'!$C$238:$C$451,$C276,'TL04'!$J$238:$J$451),0),
IF('TL05'!$B$3=L$3,SUMIF('TL05'!$C$10:$C$224,$C276,'TL05'!$J$10:$J$224),0),
IF('TL05'!$B$229=L$3,SUMIF('TL05'!$C$238:$C$451,$C276,'TL05'!$J$238:$J$451),0),
IF('TL06'!$B$3=L$3,SUMIF('TL06'!$C$10:$C$224,$C276,'TL06'!$J$10:$J$224),0),
IF('TL06'!$B$229=L$3,SUMIF('TL06'!$C$238:$C$451,$C276,'TL06'!$J$238:$J$451),0),
IF('TL07'!$B$3=L$3,SUMIF('TL07'!$C$10:$C$224,$C276,'TL07'!$J$10:$J$224),0),
IF('TL07'!$B$229=L$3,SUMIF('TL07'!$C$238:$C$451,$C276,'TL07'!$J$238:$J$451),0),
IF('TL08'!$B$3=L$3,SUMIF('TL08'!$C$10:$C$224,$C276,'TL08'!$J$10:$J$224),0),
IF('TL08'!$B$229=L$3,SUMIF('TL08'!$C$238:$C$451,$C276,'TL08'!$J$238:$J$451),0),
IF('TL09'!$B$3=L$3,SUMIF('TL09'!$C$10:$C$224,$C276,'TL09'!$J$10:$J$224),0),
IF('TL09'!$B$229=L$3,SUMIF('TL09'!$C$238:$C$451,$C276,'TL09'!$J$238:$J$451),0),
IF('TL10'!$B$3=L$3,SUMIF('TL10'!$C$10:$C$224,$C276,'TL10'!$J$10:$J$224),0),
IF('TL10'!$B$229=L$3,SUMIF('TL10'!$C$238:$C$451,$C276,'TL10'!$J$238:$J$451),0),
IF('TL11'!$B$3=L$3,SUMIF('TL11'!$C$10:$C$224,$C276,'TL11'!$J$10:$J$224),0),
IF('TL11'!$B$229=L$3,SUMIF('TL11'!$C$238:$C$451,$C276,'TL11'!$J$238:$J$451),0),
IF('TL12'!$B$3=L$3,SUMIF('TL12'!$C$10:$C$224,$C276,'TL12'!$J$10:$J$224),0),
IF('TL12'!$B$229=L$3,SUMIF('TL12'!$C$238:$C$451,$C276,'TL12'!$J$238:$J$451),0),
IF('TL13'!$B$3=L$3,SUMIF('TL13'!$C$10:$C$224,$C276,'TL13'!$J$10:$J$224),0),
IF('TL13'!$B$229=L$3,SUMIF('TL13'!$C$238:$C$451,$C276,'TL13'!$J$238:$J$451),0),
IF('TL14'!$B$3=L$3,SUMIF('TL14'!$C$10:$C$224,$C276,'TL14'!$J$10:$J$224),0),
IF('TL14'!$B$229=L$3,SUMIF('TL14'!$C$238:$C$451,$C276,'TL14'!$J$238:$J$451),0),
IF('TL15'!$B$3=L$3,SUMIF('TL15'!$C$10:$C$224,$C276,'TL15'!$J$10:$J$224),0),
IF('TL15'!$B$229=L$3,SUMIF('TL15'!$C$238:$C$451,$C276,'TL15'!$J$238:$J$451),0),
IF('TL16'!$B$3=L$3,SUMIF('TL16'!$C$10:$C$224,$C276,'TL16'!$J$10:$J$224),0),
IF('TL16'!$B$229=L$3,SUMIF('TL16'!$C$238:$C$451,$C276,'TL16'!$J$238:$J$451),0),
IF('TL17'!$B$3=L$3,SUMIF('TL17'!$C$10:$C$224,$C276,'TL17'!$J$10:$J$224),0),
IF('TL17'!$B$229=L$3,SUMIF('TL17'!$C$238:$C$451,$C276,'TL17'!$J$238:$J$451),0),
IF('TL18'!$B$3=L$3,SUMIF('TL18'!$C$10:$C$224,$C276,'TL18'!$J$10:$J$224),0),
IF('TL18'!$B$229=L$3,SUMIF('TL18'!$C$238:$C$451,$C276,'TL18'!$J$238:$J$451),0),
IF('TL19'!$B$3=L$3,SUMIF('TL19'!$C$10:$C$224,$C276,'TL19'!$J$10:$J$224),0),
IF('TL19'!$B$229=L$3,SUMIF('TL19'!$C$238:$C$451,$C276,'TL19'!$J$238:$J$451),0)
),0)</f>
        <v/>
      </c>
      <c r="M276" s="9">
        <f>IFERROR(SUM(
IF('TL01'!$B$3=M$3,SUMIF('TL01'!$C$10:$C$224,$C276,'TL01'!$J$10:$J$224),0),
IF('TL01'!$B$229=M$3,SUMIF('TL01'!$C$238:$C$451,$C276,'TL01'!$J$238:$J$451),0),
IF('TL02'!$B$3=M$3,SUMIF('TL02'!$C$10:$C$224,$C276,'TL02'!$J$10:$J$224),0),
IF('TL02'!$B$229=M$3,SUMIF('TL02'!$C$238:$C$451,$C276,'TL02'!$J$238:$J$451),0),
IF('TL03'!$B$3=M$3,SUMIF('TL03'!$C$10:$C$224,$C276,'TL03'!$J$10:$J$224),0),
IF('TL03'!$B$229=M$3,SUMIF('TL03'!$C$238:$C$451,$C276,'TL03'!$J$238:$J$451),0),
IF('TL04'!$B$3=M$3,SUMIF('TL04'!$C$10:$C$224,$C276,'TL04'!$J$10:$J$224),0),
IF('TL04'!$B$229=M$3,SUMIF('TL04'!$C$238:$C$451,$C276,'TL04'!$J$238:$J$451),0),
IF('TL05'!$B$3=M$3,SUMIF('TL05'!$C$10:$C$224,$C276,'TL05'!$J$10:$J$224),0),
IF('TL05'!$B$229=M$3,SUMIF('TL05'!$C$238:$C$451,$C276,'TL05'!$J$238:$J$451),0),
IF('TL06'!$B$3=M$3,SUMIF('TL06'!$C$10:$C$224,$C276,'TL06'!$J$10:$J$224),0),
IF('TL06'!$B$229=M$3,SUMIF('TL06'!$C$238:$C$451,$C276,'TL06'!$J$238:$J$451),0),
IF('TL07'!$B$3=M$3,SUMIF('TL07'!$C$10:$C$224,$C276,'TL07'!$J$10:$J$224),0),
IF('TL07'!$B$229=M$3,SUMIF('TL07'!$C$238:$C$451,$C276,'TL07'!$J$238:$J$451),0),
IF('TL08'!$B$3=M$3,SUMIF('TL08'!$C$10:$C$224,$C276,'TL08'!$J$10:$J$224),0),
IF('TL08'!$B$229=M$3,SUMIF('TL08'!$C$238:$C$451,$C276,'TL08'!$J$238:$J$451),0),
IF('TL09'!$B$3=M$3,SUMIF('TL09'!$C$10:$C$224,$C276,'TL09'!$J$10:$J$224),0),
IF('TL09'!$B$229=M$3,SUMIF('TL09'!$C$238:$C$451,$C276,'TL09'!$J$238:$J$451),0),
IF('TL10'!$B$3=M$3,SUMIF('TL10'!$C$10:$C$224,$C276,'TL10'!$J$10:$J$224),0),
IF('TL10'!$B$229=M$3,SUMIF('TL10'!$C$238:$C$451,$C276,'TL10'!$J$238:$J$451),0),
IF('TL11'!$B$3=M$3,SUMIF('TL11'!$C$10:$C$224,$C276,'TL11'!$J$10:$J$224),0),
IF('TL11'!$B$229=M$3,SUMIF('TL11'!$C$238:$C$451,$C276,'TL11'!$J$238:$J$451),0),
IF('TL12'!$B$3=M$3,SUMIF('TL12'!$C$10:$C$224,$C276,'TL12'!$J$10:$J$224),0),
IF('TL12'!$B$229=M$3,SUMIF('TL12'!$C$238:$C$451,$C276,'TL12'!$J$238:$J$451),0),
IF('TL13'!$B$3=M$3,SUMIF('TL13'!$C$10:$C$224,$C276,'TL13'!$J$10:$J$224),0),
IF('TL13'!$B$229=M$3,SUMIF('TL13'!$C$238:$C$451,$C276,'TL13'!$J$238:$J$451),0),
IF('TL14'!$B$3=M$3,SUMIF('TL14'!$C$10:$C$224,$C276,'TL14'!$J$10:$J$224),0),
IF('TL14'!$B$229=M$3,SUMIF('TL14'!$C$238:$C$451,$C276,'TL14'!$J$238:$J$451),0),
IF('TL15'!$B$3=M$3,SUMIF('TL15'!$C$10:$C$224,$C276,'TL15'!$J$10:$J$224),0),
IF('TL15'!$B$229=M$3,SUMIF('TL15'!$C$238:$C$451,$C276,'TL15'!$J$238:$J$451),0),
IF('TL16'!$B$3=M$3,SUMIF('TL16'!$C$10:$C$224,$C276,'TL16'!$J$10:$J$224),0),
IF('TL16'!$B$229=M$3,SUMIF('TL16'!$C$238:$C$451,$C276,'TL16'!$J$238:$J$451),0),
IF('TL17'!$B$3=M$3,SUMIF('TL17'!$C$10:$C$224,$C276,'TL17'!$J$10:$J$224),0),
IF('TL17'!$B$229=M$3,SUMIF('TL17'!$C$238:$C$451,$C276,'TL17'!$J$238:$J$451),0),
IF('TL18'!$B$3=M$3,SUMIF('TL18'!$C$10:$C$224,$C276,'TL18'!$J$10:$J$224),0),
IF('TL18'!$B$229=M$3,SUMIF('TL18'!$C$238:$C$451,$C276,'TL18'!$J$238:$J$451),0),
IF('TL19'!$B$3=M$3,SUMIF('TL19'!$C$10:$C$224,$C276,'TL19'!$J$10:$J$224),0),
IF('TL19'!$B$229=M$3,SUMIF('TL19'!$C$238:$C$451,$C276,'TL19'!$J$238:$J$451),0)
),0)</f>
        <v/>
      </c>
      <c r="N276" s="9">
        <f>IFERROR(SUM(
IF('TL01'!$B$3=N$3,SUMIF('TL01'!$C$10:$C$224,$C276,'TL01'!$J$10:$J$224),0),
IF('TL01'!$B$229=N$3,SUMIF('TL01'!$C$238:$C$451,$C276,'TL01'!$J$238:$J$451),0),
IF('TL02'!$B$3=N$3,SUMIF('TL02'!$C$10:$C$224,$C276,'TL02'!$J$10:$J$224),0),
IF('TL02'!$B$229=N$3,SUMIF('TL02'!$C$238:$C$451,$C276,'TL02'!$J$238:$J$451),0),
IF('TL03'!$B$3=N$3,SUMIF('TL03'!$C$10:$C$224,$C276,'TL03'!$J$10:$J$224),0),
IF('TL03'!$B$229=N$3,SUMIF('TL03'!$C$238:$C$451,$C276,'TL03'!$J$238:$J$451),0),
IF('TL04'!$B$3=N$3,SUMIF('TL04'!$C$10:$C$224,$C276,'TL04'!$J$10:$J$224),0),
IF('TL04'!$B$229=N$3,SUMIF('TL04'!$C$238:$C$451,$C276,'TL04'!$J$238:$J$451),0),
IF('TL05'!$B$3=N$3,SUMIF('TL05'!$C$10:$C$224,$C276,'TL05'!$J$10:$J$224),0),
IF('TL05'!$B$229=N$3,SUMIF('TL05'!$C$238:$C$451,$C276,'TL05'!$J$238:$J$451),0),
IF('TL06'!$B$3=N$3,SUMIF('TL06'!$C$10:$C$224,$C276,'TL06'!$J$10:$J$224),0),
IF('TL06'!$B$229=N$3,SUMIF('TL06'!$C$238:$C$451,$C276,'TL06'!$J$238:$J$451),0),
IF('TL07'!$B$3=N$3,SUMIF('TL07'!$C$10:$C$224,$C276,'TL07'!$J$10:$J$224),0),
IF('TL07'!$B$229=N$3,SUMIF('TL07'!$C$238:$C$451,$C276,'TL07'!$J$238:$J$451),0),
IF('TL08'!$B$3=N$3,SUMIF('TL08'!$C$10:$C$224,$C276,'TL08'!$J$10:$J$224),0),
IF('TL08'!$B$229=N$3,SUMIF('TL08'!$C$238:$C$451,$C276,'TL08'!$J$238:$J$451),0),
IF('TL09'!$B$3=N$3,SUMIF('TL09'!$C$10:$C$224,$C276,'TL09'!$J$10:$J$224),0),
IF('TL09'!$B$229=N$3,SUMIF('TL09'!$C$238:$C$451,$C276,'TL09'!$J$238:$J$451),0),
IF('TL10'!$B$3=N$3,SUMIF('TL10'!$C$10:$C$224,$C276,'TL10'!$J$10:$J$224),0),
IF('TL10'!$B$229=N$3,SUMIF('TL10'!$C$238:$C$451,$C276,'TL10'!$J$238:$J$451),0),
IF('TL11'!$B$3=N$3,SUMIF('TL11'!$C$10:$C$224,$C276,'TL11'!$J$10:$J$224),0),
IF('TL11'!$B$229=N$3,SUMIF('TL11'!$C$238:$C$451,$C276,'TL11'!$J$238:$J$451),0),
IF('TL12'!$B$3=N$3,SUMIF('TL12'!$C$10:$C$224,$C276,'TL12'!$J$10:$J$224),0),
IF('TL12'!$B$229=N$3,SUMIF('TL12'!$C$238:$C$451,$C276,'TL12'!$J$238:$J$451),0),
IF('TL13'!$B$3=N$3,SUMIF('TL13'!$C$10:$C$224,$C276,'TL13'!$J$10:$J$224),0),
IF('TL13'!$B$229=N$3,SUMIF('TL13'!$C$238:$C$451,$C276,'TL13'!$J$238:$J$451),0),
IF('TL14'!$B$3=N$3,SUMIF('TL14'!$C$10:$C$224,$C276,'TL14'!$J$10:$J$224),0),
IF('TL14'!$B$229=N$3,SUMIF('TL14'!$C$238:$C$451,$C276,'TL14'!$J$238:$J$451),0),
IF('TL15'!$B$3=N$3,SUMIF('TL15'!$C$10:$C$224,$C276,'TL15'!$J$10:$J$224),0),
IF('TL15'!$B$229=N$3,SUMIF('TL15'!$C$238:$C$451,$C276,'TL15'!$J$238:$J$451),0),
IF('TL16'!$B$3=N$3,SUMIF('TL16'!$C$10:$C$224,$C276,'TL16'!$J$10:$J$224),0),
IF('TL16'!$B$229=N$3,SUMIF('TL16'!$C$238:$C$451,$C276,'TL16'!$J$238:$J$451),0),
IF('TL17'!$B$3=N$3,SUMIF('TL17'!$C$10:$C$224,$C276,'TL17'!$J$10:$J$224),0),
IF('TL17'!$B$229=N$3,SUMIF('TL17'!$C$238:$C$451,$C276,'TL17'!$J$238:$J$451),0),
IF('TL18'!$B$3=N$3,SUMIF('TL18'!$C$10:$C$224,$C276,'TL18'!$J$10:$J$224),0),
IF('TL18'!$B$229=N$3,SUMIF('TL18'!$C$238:$C$451,$C276,'TL18'!$J$238:$J$451),0),
IF('TL19'!$B$3=N$3,SUMIF('TL19'!$C$10:$C$224,$C276,'TL19'!$J$10:$J$224),0),
IF('TL19'!$B$229=N$3,SUMIF('TL19'!$C$238:$C$451,$C276,'TL19'!$J$238:$J$451),0)
),0)</f>
        <v/>
      </c>
      <c r="O276" s="9">
        <f>IFERROR(SUM(
IF('TL01'!$B$3=O$3,SUMIF('TL01'!$C$10:$C$224,$C276,'TL01'!$J$10:$J$224),0),
IF('TL01'!$B$229=O$3,SUMIF('TL01'!$C$238:$C$451,$C276,'TL01'!$J$238:$J$451),0),
IF('TL02'!$B$3=O$3,SUMIF('TL02'!$C$10:$C$224,$C276,'TL02'!$J$10:$J$224),0),
IF('TL02'!$B$229=O$3,SUMIF('TL02'!$C$238:$C$451,$C276,'TL02'!$J$238:$J$451),0),
IF('TL03'!$B$3=O$3,SUMIF('TL03'!$C$10:$C$224,$C276,'TL03'!$J$10:$J$224),0),
IF('TL03'!$B$229=O$3,SUMIF('TL03'!$C$238:$C$451,$C276,'TL03'!$J$238:$J$451),0),
IF('TL04'!$B$3=O$3,SUMIF('TL04'!$C$10:$C$224,$C276,'TL04'!$J$10:$J$224),0),
IF('TL04'!$B$229=O$3,SUMIF('TL04'!$C$238:$C$451,$C276,'TL04'!$J$238:$J$451),0),
IF('TL05'!$B$3=O$3,SUMIF('TL05'!$C$10:$C$224,$C276,'TL05'!$J$10:$J$224),0),
IF('TL05'!$B$229=O$3,SUMIF('TL05'!$C$238:$C$451,$C276,'TL05'!$J$238:$J$451),0),
IF('TL06'!$B$3=O$3,SUMIF('TL06'!$C$10:$C$224,$C276,'TL06'!$J$10:$J$224),0),
IF('TL06'!$B$229=O$3,SUMIF('TL06'!$C$238:$C$451,$C276,'TL06'!$J$238:$J$451),0),
IF('TL07'!$B$3=O$3,SUMIF('TL07'!$C$10:$C$224,$C276,'TL07'!$J$10:$J$224),0),
IF('TL07'!$B$229=O$3,SUMIF('TL07'!$C$238:$C$451,$C276,'TL07'!$J$238:$J$451),0),
IF('TL08'!$B$3=O$3,SUMIF('TL08'!$C$10:$C$224,$C276,'TL08'!$J$10:$J$224),0),
IF('TL08'!$B$229=O$3,SUMIF('TL08'!$C$238:$C$451,$C276,'TL08'!$J$238:$J$451),0),
IF('TL09'!$B$3=O$3,SUMIF('TL09'!$C$10:$C$224,$C276,'TL09'!$J$10:$J$224),0),
IF('TL09'!$B$229=O$3,SUMIF('TL09'!$C$238:$C$451,$C276,'TL09'!$J$238:$J$451),0),
IF('TL10'!$B$3=O$3,SUMIF('TL10'!$C$10:$C$224,$C276,'TL10'!$J$10:$J$224),0),
IF('TL10'!$B$229=O$3,SUMIF('TL10'!$C$238:$C$451,$C276,'TL10'!$J$238:$J$451),0),
IF('TL11'!$B$3=O$3,SUMIF('TL11'!$C$10:$C$224,$C276,'TL11'!$J$10:$J$224),0),
IF('TL11'!$B$229=O$3,SUMIF('TL11'!$C$238:$C$451,$C276,'TL11'!$J$238:$J$451),0),
IF('TL12'!$B$3=O$3,SUMIF('TL12'!$C$10:$C$224,$C276,'TL12'!$J$10:$J$224),0),
IF('TL12'!$B$229=O$3,SUMIF('TL12'!$C$238:$C$451,$C276,'TL12'!$J$238:$J$451),0),
IF('TL13'!$B$3=O$3,SUMIF('TL13'!$C$10:$C$224,$C276,'TL13'!$J$10:$J$224),0),
IF('TL13'!$B$229=O$3,SUMIF('TL13'!$C$238:$C$451,$C276,'TL13'!$J$238:$J$451),0),
IF('TL14'!$B$3=O$3,SUMIF('TL14'!$C$10:$C$224,$C276,'TL14'!$J$10:$J$224),0),
IF('TL14'!$B$229=O$3,SUMIF('TL14'!$C$238:$C$451,$C276,'TL14'!$J$238:$J$451),0),
IF('TL15'!$B$3=O$3,SUMIF('TL15'!$C$10:$C$224,$C276,'TL15'!$J$10:$J$224),0),
IF('TL15'!$B$229=O$3,SUMIF('TL15'!$C$238:$C$451,$C276,'TL15'!$J$238:$J$451),0),
IF('TL16'!$B$3=O$3,SUMIF('TL16'!$C$10:$C$224,$C276,'TL16'!$J$10:$J$224),0),
IF('TL16'!$B$229=O$3,SUMIF('TL16'!$C$238:$C$451,$C276,'TL16'!$J$238:$J$451),0),
IF('TL17'!$B$3=O$3,SUMIF('TL17'!$C$10:$C$224,$C276,'TL17'!$J$10:$J$224),0),
IF('TL17'!$B$229=O$3,SUMIF('TL17'!$C$238:$C$451,$C276,'TL17'!$J$238:$J$451),0),
IF('TL18'!$B$3=O$3,SUMIF('TL18'!$C$10:$C$224,$C276,'TL18'!$J$10:$J$224),0),
IF('TL18'!$B$229=O$3,SUMIF('TL18'!$C$238:$C$451,$C276,'TL18'!$J$238:$J$451),0),
IF('TL19'!$B$3=O$3,SUMIF('TL19'!$C$10:$C$224,$C276,'TL19'!$J$10:$J$224),0),
IF('TL19'!$B$229=O$3,SUMIF('TL19'!$C$238:$C$451,$C276,'TL19'!$J$238:$J$451),0)
),0)</f>
        <v/>
      </c>
      <c r="P276" s="9">
        <f>IFERROR(SUM(
IF('TL01'!$B$3=P$3,SUMIF('TL01'!$C$10:$C$224,$C276,'TL01'!$J$10:$J$224),0),
IF('TL01'!$B$229=P$3,SUMIF('TL01'!$C$238:$C$451,$C276,'TL01'!$J$238:$J$451),0),
IF('TL02'!$B$3=P$3,SUMIF('TL02'!$C$10:$C$224,$C276,'TL02'!$J$10:$J$224),0),
IF('TL02'!$B$229=P$3,SUMIF('TL02'!$C$238:$C$451,$C276,'TL02'!$J$238:$J$451),0),
IF('TL03'!$B$3=P$3,SUMIF('TL03'!$C$10:$C$224,$C276,'TL03'!$J$10:$J$224),0),
IF('TL03'!$B$229=P$3,SUMIF('TL03'!$C$238:$C$451,$C276,'TL03'!$J$238:$J$451),0),
IF('TL04'!$B$3=P$3,SUMIF('TL04'!$C$10:$C$224,$C276,'TL04'!$J$10:$J$224),0),
IF('TL04'!$B$229=P$3,SUMIF('TL04'!$C$238:$C$451,$C276,'TL04'!$J$238:$J$451),0),
IF('TL05'!$B$3=P$3,SUMIF('TL05'!$C$10:$C$224,$C276,'TL05'!$J$10:$J$224),0),
IF('TL05'!$B$229=P$3,SUMIF('TL05'!$C$238:$C$451,$C276,'TL05'!$J$238:$J$451),0),
IF('TL06'!$B$3=P$3,SUMIF('TL06'!$C$10:$C$224,$C276,'TL06'!$J$10:$J$224),0),
IF('TL06'!$B$229=P$3,SUMIF('TL06'!$C$238:$C$451,$C276,'TL06'!$J$238:$J$451),0),
IF('TL07'!$B$3=P$3,SUMIF('TL07'!$C$10:$C$224,$C276,'TL07'!$J$10:$J$224),0),
IF('TL07'!$B$229=P$3,SUMIF('TL07'!$C$238:$C$451,$C276,'TL07'!$J$238:$J$451),0),
IF('TL08'!$B$3=P$3,SUMIF('TL08'!$C$10:$C$224,$C276,'TL08'!$J$10:$J$224),0),
IF('TL08'!$B$229=P$3,SUMIF('TL08'!$C$238:$C$451,$C276,'TL08'!$J$238:$J$451),0),
IF('TL09'!$B$3=P$3,SUMIF('TL09'!$C$10:$C$224,$C276,'TL09'!$J$10:$J$224),0),
IF('TL09'!$B$229=P$3,SUMIF('TL09'!$C$238:$C$451,$C276,'TL09'!$J$238:$J$451),0),
IF('TL10'!$B$3=P$3,SUMIF('TL10'!$C$10:$C$224,$C276,'TL10'!$J$10:$J$224),0),
IF('TL10'!$B$229=P$3,SUMIF('TL10'!$C$238:$C$451,$C276,'TL10'!$J$238:$J$451),0),
IF('TL11'!$B$3=P$3,SUMIF('TL11'!$C$10:$C$224,$C276,'TL11'!$J$10:$J$224),0),
IF('TL11'!$B$229=P$3,SUMIF('TL11'!$C$238:$C$451,$C276,'TL11'!$J$238:$J$451),0),
IF('TL12'!$B$3=P$3,SUMIF('TL12'!$C$10:$C$224,$C276,'TL12'!$J$10:$J$224),0),
IF('TL12'!$B$229=P$3,SUMIF('TL12'!$C$238:$C$451,$C276,'TL12'!$J$238:$J$451),0),
IF('TL13'!$B$3=P$3,SUMIF('TL13'!$C$10:$C$224,$C276,'TL13'!$J$10:$J$224),0),
IF('TL13'!$B$229=P$3,SUMIF('TL13'!$C$238:$C$451,$C276,'TL13'!$J$238:$J$451),0),
IF('TL14'!$B$3=P$3,SUMIF('TL14'!$C$10:$C$224,$C276,'TL14'!$J$10:$J$224),0),
IF('TL14'!$B$229=P$3,SUMIF('TL14'!$C$238:$C$451,$C276,'TL14'!$J$238:$J$451),0),
IF('TL15'!$B$3=P$3,SUMIF('TL15'!$C$10:$C$224,$C276,'TL15'!$J$10:$J$224),0),
IF('TL15'!$B$229=P$3,SUMIF('TL15'!$C$238:$C$451,$C276,'TL15'!$J$238:$J$451),0),
IF('TL16'!$B$3=P$3,SUMIF('TL16'!$C$10:$C$224,$C276,'TL16'!$J$10:$J$224),0),
IF('TL16'!$B$229=P$3,SUMIF('TL16'!$C$238:$C$451,$C276,'TL16'!$J$238:$J$451),0),
IF('TL17'!$B$3=P$3,SUMIF('TL17'!$C$10:$C$224,$C276,'TL17'!$J$10:$J$224),0),
IF('TL17'!$B$229=P$3,SUMIF('TL17'!$C$238:$C$451,$C276,'TL17'!$J$238:$J$451),0),
IF('TL18'!$B$3=P$3,SUMIF('TL18'!$C$10:$C$224,$C276,'TL18'!$J$10:$J$224),0),
IF('TL18'!$B$229=P$3,SUMIF('TL18'!$C$238:$C$451,$C276,'TL18'!$J$238:$J$451),0),
IF('TL19'!$B$3=P$3,SUMIF('TL19'!$C$10:$C$224,$C276,'TL19'!$J$10:$J$224),0),
IF('TL19'!$B$229=P$3,SUMIF('TL19'!$C$238:$C$451,$C276,'TL19'!$J$238:$J$451),0)
),0)</f>
        <v/>
      </c>
      <c r="Q276" s="9">
        <f>IFERROR(SUM(
IF('TL01'!$B$3=Q$3,SUMIF('TL01'!$C$10:$C$224,$C276,'TL01'!$J$10:$J$224),0),
IF('TL01'!$B$229=Q$3,SUMIF('TL01'!$C$238:$C$451,$C276,'TL01'!$J$238:$J$451),0),
IF('TL02'!$B$3=Q$3,SUMIF('TL02'!$C$10:$C$224,$C276,'TL02'!$J$10:$J$224),0),
IF('TL02'!$B$229=Q$3,SUMIF('TL02'!$C$238:$C$451,$C276,'TL02'!$J$238:$J$451),0),
IF('TL03'!$B$3=Q$3,SUMIF('TL03'!$C$10:$C$224,$C276,'TL03'!$J$10:$J$224),0),
IF('TL03'!$B$229=Q$3,SUMIF('TL03'!$C$238:$C$451,$C276,'TL03'!$J$238:$J$451),0),
IF('TL04'!$B$3=Q$3,SUMIF('TL04'!$C$10:$C$224,$C276,'TL04'!$J$10:$J$224),0),
IF('TL04'!$B$229=Q$3,SUMIF('TL04'!$C$238:$C$451,$C276,'TL04'!$J$238:$J$451),0),
IF('TL05'!$B$3=Q$3,SUMIF('TL05'!$C$10:$C$224,$C276,'TL05'!$J$10:$J$224),0),
IF('TL05'!$B$229=Q$3,SUMIF('TL05'!$C$238:$C$451,$C276,'TL05'!$J$238:$J$451),0),
IF('TL06'!$B$3=Q$3,SUMIF('TL06'!$C$10:$C$224,$C276,'TL06'!$J$10:$J$224),0),
IF('TL06'!$B$229=Q$3,SUMIF('TL06'!$C$238:$C$451,$C276,'TL06'!$J$238:$J$451),0),
IF('TL07'!$B$3=Q$3,SUMIF('TL07'!$C$10:$C$224,$C276,'TL07'!$J$10:$J$224),0),
IF('TL07'!$B$229=Q$3,SUMIF('TL07'!$C$238:$C$451,$C276,'TL07'!$J$238:$J$451),0),
IF('TL08'!$B$3=Q$3,SUMIF('TL08'!$C$10:$C$224,$C276,'TL08'!$J$10:$J$224),0),
IF('TL08'!$B$229=Q$3,SUMIF('TL08'!$C$238:$C$451,$C276,'TL08'!$J$238:$J$451),0),
IF('TL09'!$B$3=Q$3,SUMIF('TL09'!$C$10:$C$224,$C276,'TL09'!$J$10:$J$224),0),
IF('TL09'!$B$229=Q$3,SUMIF('TL09'!$C$238:$C$451,$C276,'TL09'!$J$238:$J$451),0),
IF('TL10'!$B$3=Q$3,SUMIF('TL10'!$C$10:$C$224,$C276,'TL10'!$J$10:$J$224),0),
IF('TL10'!$B$229=Q$3,SUMIF('TL10'!$C$238:$C$451,$C276,'TL10'!$J$238:$J$451),0),
IF('TL11'!$B$3=Q$3,SUMIF('TL11'!$C$10:$C$224,$C276,'TL11'!$J$10:$J$224),0),
IF('TL11'!$B$229=Q$3,SUMIF('TL11'!$C$238:$C$451,$C276,'TL11'!$J$238:$J$451),0),
IF('TL12'!$B$3=Q$3,SUMIF('TL12'!$C$10:$C$224,$C276,'TL12'!$J$10:$J$224),0),
IF('TL12'!$B$229=Q$3,SUMIF('TL12'!$C$238:$C$451,$C276,'TL12'!$J$238:$J$451),0),
IF('TL13'!$B$3=Q$3,SUMIF('TL13'!$C$10:$C$224,$C276,'TL13'!$J$10:$J$224),0),
IF('TL13'!$B$229=Q$3,SUMIF('TL13'!$C$238:$C$451,$C276,'TL13'!$J$238:$J$451),0),
IF('TL14'!$B$3=Q$3,SUMIF('TL14'!$C$10:$C$224,$C276,'TL14'!$J$10:$J$224),0),
IF('TL14'!$B$229=Q$3,SUMIF('TL14'!$C$238:$C$451,$C276,'TL14'!$J$238:$J$451),0),
IF('TL15'!$B$3=Q$3,SUMIF('TL15'!$C$10:$C$224,$C276,'TL15'!$J$10:$J$224),0),
IF('TL15'!$B$229=Q$3,SUMIF('TL15'!$C$238:$C$451,$C276,'TL15'!$J$238:$J$451),0),
IF('TL16'!$B$3=Q$3,SUMIF('TL16'!$C$10:$C$224,$C276,'TL16'!$J$10:$J$224),0),
IF('TL16'!$B$229=Q$3,SUMIF('TL16'!$C$238:$C$451,$C276,'TL16'!$J$238:$J$451),0),
IF('TL17'!$B$3=Q$3,SUMIF('TL17'!$C$10:$C$224,$C276,'TL17'!$J$10:$J$224),0),
IF('TL17'!$B$229=Q$3,SUMIF('TL17'!$C$238:$C$451,$C276,'TL17'!$J$238:$J$451),0),
IF('TL18'!$B$3=Q$3,SUMIF('TL18'!$C$10:$C$224,$C276,'TL18'!$J$10:$J$224),0),
IF('TL18'!$B$229=Q$3,SUMIF('TL18'!$C$238:$C$451,$C276,'TL18'!$J$238:$J$451),0),
IF('TL19'!$B$3=Q$3,SUMIF('TL19'!$C$10:$C$224,$C276,'TL19'!$J$10:$J$224),0),
IF('TL19'!$B$229=Q$3,SUMIF('TL19'!$C$238:$C$451,$C276,'TL19'!$J$238:$J$451),0)
),0)</f>
        <v/>
      </c>
      <c r="R276" s="9">
        <f>IFERROR(
SUM(
SUMIF('TL01'!C:C,C276,'TL01'!J:J),
SUMIF('TL02'!C:C,C276,'TL02'!J:J),
SUMIF('TL03'!C:C,C276,'TL03'!J:J),
SUMIF('TL04'!C:C,C276,'TL04'!J:J),
SUMIF('TL05'!C:C,C276,'TL05'!J:J),
SUMIF('TL06'!C:C,C276,'TL06'!J:J),
SUMIF('TL07'!C:C,C276,'TL07'!J:J),
SUMIF('TL08'!C:C,C276,'TL08'!J:J),
SUMIF('TL09'!C:C,C276,'TL09'!J:J),
SUMIF('TL10'!C:C,C276,'TL10'!J:J),
SUMIF('TL11'!C:C,C276,'TL11'!J:J),
SUMIF('TL12'!C:C,C276,'TL12'!J:J),
SUMIF('TL13'!C:C,C276,'TL13'!J:J),
SUMIF('TL14'!C:C,C276,'TL14'!J:J),
SUMIF('TL15'!C:C,C276,'TL15'!J:J),
SUMIF('TL16'!C:C,C276,'TL16'!J:J),
SUMIF('TL17'!C:C,C276,'TL17'!J:J),
SUMIF('TL18'!C:C,C276,'TL18'!J:J),SUMIF('TL19'!C:C,C276,'TL19'!J:J))
,0)</f>
        <v/>
      </c>
      <c r="S276" s="17">
        <f>IFERROR(__xludf.DUMMYFUNCTION("IFERROR(VLOOKUP(C276,
IMPORTRANGE(""1wULbzX32WdYsx-lj2U3uUNBBe2INVIRDtcK0d-Dvl90"",
""26-27!C:G""),
5,
FALSE),
"""")"),30.0)</f>
        <v/>
      </c>
      <c r="T276" s="9" t="n"/>
      <c r="U276" s="92">
        <f>MAX(0,R276-T276)</f>
        <v/>
      </c>
      <c r="V276" s="93">
        <f>U276*S276</f>
        <v/>
      </c>
    </row>
    <row r="277" hidden="1" ht="15.75" customHeight="1" s="297">
      <c r="A277" s="4" t="inlineStr">
        <is>
          <t>GRAN7</t>
        </is>
      </c>
      <c r="B277" s="125" t="inlineStr">
        <is>
          <t>NUTRIÇÃO</t>
        </is>
      </c>
      <c r="C277" s="4" t="inlineStr">
        <is>
          <t>Boratus Complex</t>
        </is>
      </c>
      <c r="D277" s="4" t="inlineStr">
        <is>
          <t>B 10% + Manitol + Sorbitol - Quelatizado Organicamente</t>
        </is>
      </c>
      <c r="E277" s="9" t="n"/>
      <c r="F277" s="4" t="inlineStr">
        <is>
          <t>L</t>
        </is>
      </c>
      <c r="G277" s="9" t="n"/>
      <c r="H277" s="9" t="n">
        <v>0.4</v>
      </c>
      <c r="I277" s="1" t="n"/>
      <c r="J277" s="9">
        <f>IFERROR(SUM(
IF('TL01'!$B$3=J$3,SUMIF('TL01'!$C$10:$C$224,$C277,'TL01'!$J$10:$J$224),0),
IF('TL01'!$B$229=J$3,SUMIF('TL01'!$C$238:$C$451,$C277,'TL01'!$J$238:$J$451),0),
IF('TL02'!$B$3=J$3,SUMIF('TL02'!$C$10:$C$224,$C277,'TL02'!$J$10:$J$224),0),
IF('TL02'!$B$229=J$3,SUMIF('TL02'!$C$238:$C$451,$C277,'TL02'!$J$238:$J$451),0),
IF('TL03'!$B$3=J$3,SUMIF('TL03'!$C$10:$C$224,$C277,'TL03'!$J$10:$J$224),0),
IF('TL03'!$B$229=J$3,SUMIF('TL03'!$C$238:$C$451,$C277,'TL03'!$J$238:$J$451),0),
IF('TL04'!$B$3=J$3,SUMIF('TL04'!$C$10:$C$224,$C277,'TL04'!$J$10:$J$224),0),
IF('TL04'!$B$229=J$3,SUMIF('TL04'!$C$238:$C$451,$C277,'TL04'!$J$238:$J$451),0),
IF('TL05'!$B$3=J$3,SUMIF('TL05'!$C$10:$C$224,$C277,'TL05'!$J$10:$J$224),0),
IF('TL05'!$B$229=J$3,SUMIF('TL05'!$C$238:$C$451,$C277,'TL05'!$J$238:$J$451),0),
IF('TL06'!$B$3=J$3,SUMIF('TL06'!$C$10:$C$224,$C277,'TL06'!$J$10:$J$224),0),
IF('TL06'!$B$229=J$3,SUMIF('TL06'!$C$238:$C$451,$C277,'TL06'!$J$238:$J$451),0),
IF('TL07'!$B$3=J$3,SUMIF('TL07'!$C$10:$C$224,$C277,'TL07'!$J$10:$J$224),0),
IF('TL07'!$B$229=J$3,SUMIF('TL07'!$C$238:$C$451,$C277,'TL07'!$J$238:$J$451),0),
IF('TL08'!$B$3=J$3,SUMIF('TL08'!$C$10:$C$224,$C277,'TL08'!$J$10:$J$224),0),
IF('TL08'!$B$229=J$3,SUMIF('TL08'!$C$238:$C$451,$C277,'TL08'!$J$238:$J$451),0),
IF('TL09'!$B$3=J$3,SUMIF('TL09'!$C$10:$C$224,$C277,'TL09'!$J$10:$J$224),0),
IF('TL09'!$B$229=J$3,SUMIF('TL09'!$C$238:$C$451,$C277,'TL09'!$J$238:$J$451),0),
IF('TL10'!$B$3=J$3,SUMIF('TL10'!$C$10:$C$224,$C277,'TL10'!$J$10:$J$224),0),
IF('TL10'!$B$229=J$3,SUMIF('TL10'!$C$238:$C$451,$C277,'TL10'!$J$238:$J$451),0),
IF('TL11'!$B$3=J$3,SUMIF('TL11'!$C$10:$C$224,$C277,'TL11'!$J$10:$J$224),0),
IF('TL11'!$B$229=J$3,SUMIF('TL11'!$C$238:$C$451,$C277,'TL11'!$J$238:$J$451),0),
IF('TL12'!$B$3=J$3,SUMIF('TL12'!$C$10:$C$224,$C277,'TL12'!$J$10:$J$224),0),
IF('TL12'!$B$229=J$3,SUMIF('TL12'!$C$238:$C$451,$C277,'TL12'!$J$238:$J$451),0),
IF('TL13'!$B$3=J$3,SUMIF('TL13'!$C$10:$C$224,$C277,'TL13'!$J$10:$J$224),0),
IF('TL13'!$B$229=J$3,SUMIF('TL13'!$C$238:$C$451,$C277,'TL13'!$J$238:$J$451),0),
IF('TL14'!$B$3=J$3,SUMIF('TL14'!$C$10:$C$224,$C277,'TL14'!$J$10:$J$224),0),
IF('TL14'!$B$229=J$3,SUMIF('TL14'!$C$238:$C$451,$C277,'TL14'!$J$238:$J$451),0),
IF('TL15'!$B$3=J$3,SUMIF('TL15'!$C$10:$C$224,$C277,'TL15'!$J$10:$J$224),0),
IF('TL15'!$B$229=J$3,SUMIF('TL15'!$C$238:$C$451,$C277,'TL15'!$J$238:$J$451),0),
IF('TL16'!$B$3=J$3,SUMIF('TL16'!$C$10:$C$224,$C277,'TL16'!$J$10:$J$224),0),
IF('TL16'!$B$229=J$3,SUMIF('TL16'!$C$238:$C$451,$C277,'TL16'!$J$238:$J$451),0),
IF('TL17'!$B$3=J$3,SUMIF('TL17'!$C$10:$C$224,$C277,'TL17'!$J$10:$J$224),0),
IF('TL17'!$B$229=J$3,SUMIF('TL17'!$C$238:$C$451,$C277,'TL17'!$J$238:$J$451),0),
IF('TL18'!$B$3=J$3,SUMIF('TL18'!$C$10:$C$224,$C277,'TL18'!$J$10:$J$224),0),
IF('TL18'!$B$229=J$3,SUMIF('TL18'!$C$238:$C$451,$C277,'TL18'!$J$238:$J$451),0),
IF('TL19'!$B$3=J$3,SUMIF('TL19'!$C$10:$C$224,$C277,'TL19'!$J$10:$J$224),0),
IF('TL19'!$B$229=J$3,SUMIF('TL19'!$C$238:$C$451,$C277,'TL19'!$J$238:$J$451),0)
),0)</f>
        <v/>
      </c>
      <c r="K277" s="9">
        <f>IFERROR(SUM(
IF('TL01'!$B$3=K$3,SUMIF('TL01'!$C$10:$C$224,$C277,'TL01'!$J$10:$J$224),0),
IF('TL01'!$B$229=K$3,SUMIF('TL01'!$C$238:$C$451,$C277,'TL01'!$J$238:$J$451),0),
IF('TL02'!$B$3=K$3,SUMIF('TL02'!$C$10:$C$224,$C277,'TL02'!$J$10:$J$224),0),
IF('TL02'!$B$229=K$3,SUMIF('TL02'!$C$238:$C$451,$C277,'TL02'!$J$238:$J$451),0),
IF('TL03'!$B$3=K$3,SUMIF('TL03'!$C$10:$C$224,$C277,'TL03'!$J$10:$J$224),0),
IF('TL03'!$B$229=K$3,SUMIF('TL03'!$C$238:$C$451,$C277,'TL03'!$J$238:$J$451),0),
IF('TL04'!$B$3=K$3,SUMIF('TL04'!$C$10:$C$224,$C277,'TL04'!$J$10:$J$224),0),
IF('TL04'!$B$229=K$3,SUMIF('TL04'!$C$238:$C$451,$C277,'TL04'!$J$238:$J$451),0),
IF('TL05'!$B$3=K$3,SUMIF('TL05'!$C$10:$C$224,$C277,'TL05'!$J$10:$J$224),0),
IF('TL05'!$B$229=K$3,SUMIF('TL05'!$C$238:$C$451,$C277,'TL05'!$J$238:$J$451),0),
IF('TL06'!$B$3=K$3,SUMIF('TL06'!$C$10:$C$224,$C277,'TL06'!$J$10:$J$224),0),
IF('TL06'!$B$229=K$3,SUMIF('TL06'!$C$238:$C$451,$C277,'TL06'!$J$238:$J$451),0),
IF('TL07'!$B$3=K$3,SUMIF('TL07'!$C$10:$C$224,$C277,'TL07'!$J$10:$J$224),0),
IF('TL07'!$B$229=K$3,SUMIF('TL07'!$C$238:$C$451,$C277,'TL07'!$J$238:$J$451),0),
IF('TL08'!$B$3=K$3,SUMIF('TL08'!$C$10:$C$224,$C277,'TL08'!$J$10:$J$224),0),
IF('TL08'!$B$229=K$3,SUMIF('TL08'!$C$238:$C$451,$C277,'TL08'!$J$238:$J$451),0),
IF('TL09'!$B$3=K$3,SUMIF('TL09'!$C$10:$C$224,$C277,'TL09'!$J$10:$J$224),0),
IF('TL09'!$B$229=K$3,SUMIF('TL09'!$C$238:$C$451,$C277,'TL09'!$J$238:$J$451),0),
IF('TL10'!$B$3=K$3,SUMIF('TL10'!$C$10:$C$224,$C277,'TL10'!$J$10:$J$224),0),
IF('TL10'!$B$229=K$3,SUMIF('TL10'!$C$238:$C$451,$C277,'TL10'!$J$238:$J$451),0),
IF('TL11'!$B$3=K$3,SUMIF('TL11'!$C$10:$C$224,$C277,'TL11'!$J$10:$J$224),0),
IF('TL11'!$B$229=K$3,SUMIF('TL11'!$C$238:$C$451,$C277,'TL11'!$J$238:$J$451),0),
IF('TL12'!$B$3=K$3,SUMIF('TL12'!$C$10:$C$224,$C277,'TL12'!$J$10:$J$224),0),
IF('TL12'!$B$229=K$3,SUMIF('TL12'!$C$238:$C$451,$C277,'TL12'!$J$238:$J$451),0),
IF('TL13'!$B$3=K$3,SUMIF('TL13'!$C$10:$C$224,$C277,'TL13'!$J$10:$J$224),0),
IF('TL13'!$B$229=K$3,SUMIF('TL13'!$C$238:$C$451,$C277,'TL13'!$J$238:$J$451),0),
IF('TL14'!$B$3=K$3,SUMIF('TL14'!$C$10:$C$224,$C277,'TL14'!$J$10:$J$224),0),
IF('TL14'!$B$229=K$3,SUMIF('TL14'!$C$238:$C$451,$C277,'TL14'!$J$238:$J$451),0),
IF('TL15'!$B$3=K$3,SUMIF('TL15'!$C$10:$C$224,$C277,'TL15'!$J$10:$J$224),0),
IF('TL15'!$B$229=K$3,SUMIF('TL15'!$C$238:$C$451,$C277,'TL15'!$J$238:$J$451),0),
IF('TL16'!$B$3=K$3,SUMIF('TL16'!$C$10:$C$224,$C277,'TL16'!$J$10:$J$224),0),
IF('TL16'!$B$229=K$3,SUMIF('TL16'!$C$238:$C$451,$C277,'TL16'!$J$238:$J$451),0),
IF('TL17'!$B$3=K$3,SUMIF('TL17'!$C$10:$C$224,$C277,'TL17'!$J$10:$J$224),0),
IF('TL17'!$B$229=K$3,SUMIF('TL17'!$C$238:$C$451,$C277,'TL17'!$J$238:$J$451),0),
IF('TL18'!$B$3=K$3,SUMIF('TL18'!$C$10:$C$224,$C277,'TL18'!$J$10:$J$224),0),
IF('TL18'!$B$229=K$3,SUMIF('TL18'!$C$238:$C$451,$C277,'TL18'!$J$238:$J$451),0),
IF('TL19'!$B$3=K$3,SUMIF('TL19'!$C$10:$C$224,$C277,'TL19'!$J$10:$J$224),0),
IF('TL19'!$B$229=K$3,SUMIF('TL19'!$C$238:$C$451,$C277,'TL19'!$J$238:$J$451),0)
),0)</f>
        <v/>
      </c>
      <c r="L277" s="9">
        <f>IFERROR(SUM(
IF('TL01'!$B$3=L$3,SUMIF('TL01'!$C$10:$C$224,$C277,'TL01'!$J$10:$J$224),0),
IF('TL01'!$B$229=L$3,SUMIF('TL01'!$C$238:$C$451,$C277,'TL01'!$J$238:$J$451),0),
IF('TL02'!$B$3=L$3,SUMIF('TL02'!$C$10:$C$224,$C277,'TL02'!$J$10:$J$224),0),
IF('TL02'!$B$229=L$3,SUMIF('TL02'!$C$238:$C$451,$C277,'TL02'!$J$238:$J$451),0),
IF('TL03'!$B$3=L$3,SUMIF('TL03'!$C$10:$C$224,$C277,'TL03'!$J$10:$J$224),0),
IF('TL03'!$B$229=L$3,SUMIF('TL03'!$C$238:$C$451,$C277,'TL03'!$J$238:$J$451),0),
IF('TL04'!$B$3=L$3,SUMIF('TL04'!$C$10:$C$224,$C277,'TL04'!$J$10:$J$224),0),
IF('TL04'!$B$229=L$3,SUMIF('TL04'!$C$238:$C$451,$C277,'TL04'!$J$238:$J$451),0),
IF('TL05'!$B$3=L$3,SUMIF('TL05'!$C$10:$C$224,$C277,'TL05'!$J$10:$J$224),0),
IF('TL05'!$B$229=L$3,SUMIF('TL05'!$C$238:$C$451,$C277,'TL05'!$J$238:$J$451),0),
IF('TL06'!$B$3=L$3,SUMIF('TL06'!$C$10:$C$224,$C277,'TL06'!$J$10:$J$224),0),
IF('TL06'!$B$229=L$3,SUMIF('TL06'!$C$238:$C$451,$C277,'TL06'!$J$238:$J$451),0),
IF('TL07'!$B$3=L$3,SUMIF('TL07'!$C$10:$C$224,$C277,'TL07'!$J$10:$J$224),0),
IF('TL07'!$B$229=L$3,SUMIF('TL07'!$C$238:$C$451,$C277,'TL07'!$J$238:$J$451),0),
IF('TL08'!$B$3=L$3,SUMIF('TL08'!$C$10:$C$224,$C277,'TL08'!$J$10:$J$224),0),
IF('TL08'!$B$229=L$3,SUMIF('TL08'!$C$238:$C$451,$C277,'TL08'!$J$238:$J$451),0),
IF('TL09'!$B$3=L$3,SUMIF('TL09'!$C$10:$C$224,$C277,'TL09'!$J$10:$J$224),0),
IF('TL09'!$B$229=L$3,SUMIF('TL09'!$C$238:$C$451,$C277,'TL09'!$J$238:$J$451),0),
IF('TL10'!$B$3=L$3,SUMIF('TL10'!$C$10:$C$224,$C277,'TL10'!$J$10:$J$224),0),
IF('TL10'!$B$229=L$3,SUMIF('TL10'!$C$238:$C$451,$C277,'TL10'!$J$238:$J$451),0),
IF('TL11'!$B$3=L$3,SUMIF('TL11'!$C$10:$C$224,$C277,'TL11'!$J$10:$J$224),0),
IF('TL11'!$B$229=L$3,SUMIF('TL11'!$C$238:$C$451,$C277,'TL11'!$J$238:$J$451),0),
IF('TL12'!$B$3=L$3,SUMIF('TL12'!$C$10:$C$224,$C277,'TL12'!$J$10:$J$224),0),
IF('TL12'!$B$229=L$3,SUMIF('TL12'!$C$238:$C$451,$C277,'TL12'!$J$238:$J$451),0),
IF('TL13'!$B$3=L$3,SUMIF('TL13'!$C$10:$C$224,$C277,'TL13'!$J$10:$J$224),0),
IF('TL13'!$B$229=L$3,SUMIF('TL13'!$C$238:$C$451,$C277,'TL13'!$J$238:$J$451),0),
IF('TL14'!$B$3=L$3,SUMIF('TL14'!$C$10:$C$224,$C277,'TL14'!$J$10:$J$224),0),
IF('TL14'!$B$229=L$3,SUMIF('TL14'!$C$238:$C$451,$C277,'TL14'!$J$238:$J$451),0),
IF('TL15'!$B$3=L$3,SUMIF('TL15'!$C$10:$C$224,$C277,'TL15'!$J$10:$J$224),0),
IF('TL15'!$B$229=L$3,SUMIF('TL15'!$C$238:$C$451,$C277,'TL15'!$J$238:$J$451),0),
IF('TL16'!$B$3=L$3,SUMIF('TL16'!$C$10:$C$224,$C277,'TL16'!$J$10:$J$224),0),
IF('TL16'!$B$229=L$3,SUMIF('TL16'!$C$238:$C$451,$C277,'TL16'!$J$238:$J$451),0),
IF('TL17'!$B$3=L$3,SUMIF('TL17'!$C$10:$C$224,$C277,'TL17'!$J$10:$J$224),0),
IF('TL17'!$B$229=L$3,SUMIF('TL17'!$C$238:$C$451,$C277,'TL17'!$J$238:$J$451),0),
IF('TL18'!$B$3=L$3,SUMIF('TL18'!$C$10:$C$224,$C277,'TL18'!$J$10:$J$224),0),
IF('TL18'!$B$229=L$3,SUMIF('TL18'!$C$238:$C$451,$C277,'TL18'!$J$238:$J$451),0),
IF('TL19'!$B$3=L$3,SUMIF('TL19'!$C$10:$C$224,$C277,'TL19'!$J$10:$J$224),0),
IF('TL19'!$B$229=L$3,SUMIF('TL19'!$C$238:$C$451,$C277,'TL19'!$J$238:$J$451),0)
),0)</f>
        <v/>
      </c>
      <c r="M277" s="9">
        <f>IFERROR(SUM(
IF('TL01'!$B$3=M$3,SUMIF('TL01'!$C$10:$C$224,$C277,'TL01'!$J$10:$J$224),0),
IF('TL01'!$B$229=M$3,SUMIF('TL01'!$C$238:$C$451,$C277,'TL01'!$J$238:$J$451),0),
IF('TL02'!$B$3=M$3,SUMIF('TL02'!$C$10:$C$224,$C277,'TL02'!$J$10:$J$224),0),
IF('TL02'!$B$229=M$3,SUMIF('TL02'!$C$238:$C$451,$C277,'TL02'!$J$238:$J$451),0),
IF('TL03'!$B$3=M$3,SUMIF('TL03'!$C$10:$C$224,$C277,'TL03'!$J$10:$J$224),0),
IF('TL03'!$B$229=M$3,SUMIF('TL03'!$C$238:$C$451,$C277,'TL03'!$J$238:$J$451),0),
IF('TL04'!$B$3=M$3,SUMIF('TL04'!$C$10:$C$224,$C277,'TL04'!$J$10:$J$224),0),
IF('TL04'!$B$229=M$3,SUMIF('TL04'!$C$238:$C$451,$C277,'TL04'!$J$238:$J$451),0),
IF('TL05'!$B$3=M$3,SUMIF('TL05'!$C$10:$C$224,$C277,'TL05'!$J$10:$J$224),0),
IF('TL05'!$B$229=M$3,SUMIF('TL05'!$C$238:$C$451,$C277,'TL05'!$J$238:$J$451),0),
IF('TL06'!$B$3=M$3,SUMIF('TL06'!$C$10:$C$224,$C277,'TL06'!$J$10:$J$224),0),
IF('TL06'!$B$229=M$3,SUMIF('TL06'!$C$238:$C$451,$C277,'TL06'!$J$238:$J$451),0),
IF('TL07'!$B$3=M$3,SUMIF('TL07'!$C$10:$C$224,$C277,'TL07'!$J$10:$J$224),0),
IF('TL07'!$B$229=M$3,SUMIF('TL07'!$C$238:$C$451,$C277,'TL07'!$J$238:$J$451),0),
IF('TL08'!$B$3=M$3,SUMIF('TL08'!$C$10:$C$224,$C277,'TL08'!$J$10:$J$224),0),
IF('TL08'!$B$229=M$3,SUMIF('TL08'!$C$238:$C$451,$C277,'TL08'!$J$238:$J$451),0),
IF('TL09'!$B$3=M$3,SUMIF('TL09'!$C$10:$C$224,$C277,'TL09'!$J$10:$J$224),0),
IF('TL09'!$B$229=M$3,SUMIF('TL09'!$C$238:$C$451,$C277,'TL09'!$J$238:$J$451),0),
IF('TL10'!$B$3=M$3,SUMIF('TL10'!$C$10:$C$224,$C277,'TL10'!$J$10:$J$224),0),
IF('TL10'!$B$229=M$3,SUMIF('TL10'!$C$238:$C$451,$C277,'TL10'!$J$238:$J$451),0),
IF('TL11'!$B$3=M$3,SUMIF('TL11'!$C$10:$C$224,$C277,'TL11'!$J$10:$J$224),0),
IF('TL11'!$B$229=M$3,SUMIF('TL11'!$C$238:$C$451,$C277,'TL11'!$J$238:$J$451),0),
IF('TL12'!$B$3=M$3,SUMIF('TL12'!$C$10:$C$224,$C277,'TL12'!$J$10:$J$224),0),
IF('TL12'!$B$229=M$3,SUMIF('TL12'!$C$238:$C$451,$C277,'TL12'!$J$238:$J$451),0),
IF('TL13'!$B$3=M$3,SUMIF('TL13'!$C$10:$C$224,$C277,'TL13'!$J$10:$J$224),0),
IF('TL13'!$B$229=M$3,SUMIF('TL13'!$C$238:$C$451,$C277,'TL13'!$J$238:$J$451),0),
IF('TL14'!$B$3=M$3,SUMIF('TL14'!$C$10:$C$224,$C277,'TL14'!$J$10:$J$224),0),
IF('TL14'!$B$229=M$3,SUMIF('TL14'!$C$238:$C$451,$C277,'TL14'!$J$238:$J$451),0),
IF('TL15'!$B$3=M$3,SUMIF('TL15'!$C$10:$C$224,$C277,'TL15'!$J$10:$J$224),0),
IF('TL15'!$B$229=M$3,SUMIF('TL15'!$C$238:$C$451,$C277,'TL15'!$J$238:$J$451),0),
IF('TL16'!$B$3=M$3,SUMIF('TL16'!$C$10:$C$224,$C277,'TL16'!$J$10:$J$224),0),
IF('TL16'!$B$229=M$3,SUMIF('TL16'!$C$238:$C$451,$C277,'TL16'!$J$238:$J$451),0),
IF('TL17'!$B$3=M$3,SUMIF('TL17'!$C$10:$C$224,$C277,'TL17'!$J$10:$J$224),0),
IF('TL17'!$B$229=M$3,SUMIF('TL17'!$C$238:$C$451,$C277,'TL17'!$J$238:$J$451),0),
IF('TL18'!$B$3=M$3,SUMIF('TL18'!$C$10:$C$224,$C277,'TL18'!$J$10:$J$224),0),
IF('TL18'!$B$229=M$3,SUMIF('TL18'!$C$238:$C$451,$C277,'TL18'!$J$238:$J$451),0),
IF('TL19'!$B$3=M$3,SUMIF('TL19'!$C$10:$C$224,$C277,'TL19'!$J$10:$J$224),0),
IF('TL19'!$B$229=M$3,SUMIF('TL19'!$C$238:$C$451,$C277,'TL19'!$J$238:$J$451),0)
),0)</f>
        <v/>
      </c>
      <c r="N277" s="9">
        <f>IFERROR(SUM(
IF('TL01'!$B$3=N$3,SUMIF('TL01'!$C$10:$C$224,$C277,'TL01'!$J$10:$J$224),0),
IF('TL01'!$B$229=N$3,SUMIF('TL01'!$C$238:$C$451,$C277,'TL01'!$J$238:$J$451),0),
IF('TL02'!$B$3=N$3,SUMIF('TL02'!$C$10:$C$224,$C277,'TL02'!$J$10:$J$224),0),
IF('TL02'!$B$229=N$3,SUMIF('TL02'!$C$238:$C$451,$C277,'TL02'!$J$238:$J$451),0),
IF('TL03'!$B$3=N$3,SUMIF('TL03'!$C$10:$C$224,$C277,'TL03'!$J$10:$J$224),0),
IF('TL03'!$B$229=N$3,SUMIF('TL03'!$C$238:$C$451,$C277,'TL03'!$J$238:$J$451),0),
IF('TL04'!$B$3=N$3,SUMIF('TL04'!$C$10:$C$224,$C277,'TL04'!$J$10:$J$224),0),
IF('TL04'!$B$229=N$3,SUMIF('TL04'!$C$238:$C$451,$C277,'TL04'!$J$238:$J$451),0),
IF('TL05'!$B$3=N$3,SUMIF('TL05'!$C$10:$C$224,$C277,'TL05'!$J$10:$J$224),0),
IF('TL05'!$B$229=N$3,SUMIF('TL05'!$C$238:$C$451,$C277,'TL05'!$J$238:$J$451),0),
IF('TL06'!$B$3=N$3,SUMIF('TL06'!$C$10:$C$224,$C277,'TL06'!$J$10:$J$224),0),
IF('TL06'!$B$229=N$3,SUMIF('TL06'!$C$238:$C$451,$C277,'TL06'!$J$238:$J$451),0),
IF('TL07'!$B$3=N$3,SUMIF('TL07'!$C$10:$C$224,$C277,'TL07'!$J$10:$J$224),0),
IF('TL07'!$B$229=N$3,SUMIF('TL07'!$C$238:$C$451,$C277,'TL07'!$J$238:$J$451),0),
IF('TL08'!$B$3=N$3,SUMIF('TL08'!$C$10:$C$224,$C277,'TL08'!$J$10:$J$224),0),
IF('TL08'!$B$229=N$3,SUMIF('TL08'!$C$238:$C$451,$C277,'TL08'!$J$238:$J$451),0),
IF('TL09'!$B$3=N$3,SUMIF('TL09'!$C$10:$C$224,$C277,'TL09'!$J$10:$J$224),0),
IF('TL09'!$B$229=N$3,SUMIF('TL09'!$C$238:$C$451,$C277,'TL09'!$J$238:$J$451),0),
IF('TL10'!$B$3=N$3,SUMIF('TL10'!$C$10:$C$224,$C277,'TL10'!$J$10:$J$224),0),
IF('TL10'!$B$229=N$3,SUMIF('TL10'!$C$238:$C$451,$C277,'TL10'!$J$238:$J$451),0),
IF('TL11'!$B$3=N$3,SUMIF('TL11'!$C$10:$C$224,$C277,'TL11'!$J$10:$J$224),0),
IF('TL11'!$B$229=N$3,SUMIF('TL11'!$C$238:$C$451,$C277,'TL11'!$J$238:$J$451),0),
IF('TL12'!$B$3=N$3,SUMIF('TL12'!$C$10:$C$224,$C277,'TL12'!$J$10:$J$224),0),
IF('TL12'!$B$229=N$3,SUMIF('TL12'!$C$238:$C$451,$C277,'TL12'!$J$238:$J$451),0),
IF('TL13'!$B$3=N$3,SUMIF('TL13'!$C$10:$C$224,$C277,'TL13'!$J$10:$J$224),0),
IF('TL13'!$B$229=N$3,SUMIF('TL13'!$C$238:$C$451,$C277,'TL13'!$J$238:$J$451),0),
IF('TL14'!$B$3=N$3,SUMIF('TL14'!$C$10:$C$224,$C277,'TL14'!$J$10:$J$224),0),
IF('TL14'!$B$229=N$3,SUMIF('TL14'!$C$238:$C$451,$C277,'TL14'!$J$238:$J$451),0),
IF('TL15'!$B$3=N$3,SUMIF('TL15'!$C$10:$C$224,$C277,'TL15'!$J$10:$J$224),0),
IF('TL15'!$B$229=N$3,SUMIF('TL15'!$C$238:$C$451,$C277,'TL15'!$J$238:$J$451),0),
IF('TL16'!$B$3=N$3,SUMIF('TL16'!$C$10:$C$224,$C277,'TL16'!$J$10:$J$224),0),
IF('TL16'!$B$229=N$3,SUMIF('TL16'!$C$238:$C$451,$C277,'TL16'!$J$238:$J$451),0),
IF('TL17'!$B$3=N$3,SUMIF('TL17'!$C$10:$C$224,$C277,'TL17'!$J$10:$J$224),0),
IF('TL17'!$B$229=N$3,SUMIF('TL17'!$C$238:$C$451,$C277,'TL17'!$J$238:$J$451),0),
IF('TL18'!$B$3=N$3,SUMIF('TL18'!$C$10:$C$224,$C277,'TL18'!$J$10:$J$224),0),
IF('TL18'!$B$229=N$3,SUMIF('TL18'!$C$238:$C$451,$C277,'TL18'!$J$238:$J$451),0),
IF('TL19'!$B$3=N$3,SUMIF('TL19'!$C$10:$C$224,$C277,'TL19'!$J$10:$J$224),0),
IF('TL19'!$B$229=N$3,SUMIF('TL19'!$C$238:$C$451,$C277,'TL19'!$J$238:$J$451),0)
),0)</f>
        <v/>
      </c>
      <c r="O277" s="9">
        <f>IFERROR(SUM(
IF('TL01'!$B$3=O$3,SUMIF('TL01'!$C$10:$C$224,$C277,'TL01'!$J$10:$J$224),0),
IF('TL01'!$B$229=O$3,SUMIF('TL01'!$C$238:$C$451,$C277,'TL01'!$J$238:$J$451),0),
IF('TL02'!$B$3=O$3,SUMIF('TL02'!$C$10:$C$224,$C277,'TL02'!$J$10:$J$224),0),
IF('TL02'!$B$229=O$3,SUMIF('TL02'!$C$238:$C$451,$C277,'TL02'!$J$238:$J$451),0),
IF('TL03'!$B$3=O$3,SUMIF('TL03'!$C$10:$C$224,$C277,'TL03'!$J$10:$J$224),0),
IF('TL03'!$B$229=O$3,SUMIF('TL03'!$C$238:$C$451,$C277,'TL03'!$J$238:$J$451),0),
IF('TL04'!$B$3=O$3,SUMIF('TL04'!$C$10:$C$224,$C277,'TL04'!$J$10:$J$224),0),
IF('TL04'!$B$229=O$3,SUMIF('TL04'!$C$238:$C$451,$C277,'TL04'!$J$238:$J$451),0),
IF('TL05'!$B$3=O$3,SUMIF('TL05'!$C$10:$C$224,$C277,'TL05'!$J$10:$J$224),0),
IF('TL05'!$B$229=O$3,SUMIF('TL05'!$C$238:$C$451,$C277,'TL05'!$J$238:$J$451),0),
IF('TL06'!$B$3=O$3,SUMIF('TL06'!$C$10:$C$224,$C277,'TL06'!$J$10:$J$224),0),
IF('TL06'!$B$229=O$3,SUMIF('TL06'!$C$238:$C$451,$C277,'TL06'!$J$238:$J$451),0),
IF('TL07'!$B$3=O$3,SUMIF('TL07'!$C$10:$C$224,$C277,'TL07'!$J$10:$J$224),0),
IF('TL07'!$B$229=O$3,SUMIF('TL07'!$C$238:$C$451,$C277,'TL07'!$J$238:$J$451),0),
IF('TL08'!$B$3=O$3,SUMIF('TL08'!$C$10:$C$224,$C277,'TL08'!$J$10:$J$224),0),
IF('TL08'!$B$229=O$3,SUMIF('TL08'!$C$238:$C$451,$C277,'TL08'!$J$238:$J$451),0),
IF('TL09'!$B$3=O$3,SUMIF('TL09'!$C$10:$C$224,$C277,'TL09'!$J$10:$J$224),0),
IF('TL09'!$B$229=O$3,SUMIF('TL09'!$C$238:$C$451,$C277,'TL09'!$J$238:$J$451),0),
IF('TL10'!$B$3=O$3,SUMIF('TL10'!$C$10:$C$224,$C277,'TL10'!$J$10:$J$224),0),
IF('TL10'!$B$229=O$3,SUMIF('TL10'!$C$238:$C$451,$C277,'TL10'!$J$238:$J$451),0),
IF('TL11'!$B$3=O$3,SUMIF('TL11'!$C$10:$C$224,$C277,'TL11'!$J$10:$J$224),0),
IF('TL11'!$B$229=O$3,SUMIF('TL11'!$C$238:$C$451,$C277,'TL11'!$J$238:$J$451),0),
IF('TL12'!$B$3=O$3,SUMIF('TL12'!$C$10:$C$224,$C277,'TL12'!$J$10:$J$224),0),
IF('TL12'!$B$229=O$3,SUMIF('TL12'!$C$238:$C$451,$C277,'TL12'!$J$238:$J$451),0),
IF('TL13'!$B$3=O$3,SUMIF('TL13'!$C$10:$C$224,$C277,'TL13'!$J$10:$J$224),0),
IF('TL13'!$B$229=O$3,SUMIF('TL13'!$C$238:$C$451,$C277,'TL13'!$J$238:$J$451),0),
IF('TL14'!$B$3=O$3,SUMIF('TL14'!$C$10:$C$224,$C277,'TL14'!$J$10:$J$224),0),
IF('TL14'!$B$229=O$3,SUMIF('TL14'!$C$238:$C$451,$C277,'TL14'!$J$238:$J$451),0),
IF('TL15'!$B$3=O$3,SUMIF('TL15'!$C$10:$C$224,$C277,'TL15'!$J$10:$J$224),0),
IF('TL15'!$B$229=O$3,SUMIF('TL15'!$C$238:$C$451,$C277,'TL15'!$J$238:$J$451),0),
IF('TL16'!$B$3=O$3,SUMIF('TL16'!$C$10:$C$224,$C277,'TL16'!$J$10:$J$224),0),
IF('TL16'!$B$229=O$3,SUMIF('TL16'!$C$238:$C$451,$C277,'TL16'!$J$238:$J$451),0),
IF('TL17'!$B$3=O$3,SUMIF('TL17'!$C$10:$C$224,$C277,'TL17'!$J$10:$J$224),0),
IF('TL17'!$B$229=O$3,SUMIF('TL17'!$C$238:$C$451,$C277,'TL17'!$J$238:$J$451),0),
IF('TL18'!$B$3=O$3,SUMIF('TL18'!$C$10:$C$224,$C277,'TL18'!$J$10:$J$224),0),
IF('TL18'!$B$229=O$3,SUMIF('TL18'!$C$238:$C$451,$C277,'TL18'!$J$238:$J$451),0),
IF('TL19'!$B$3=O$3,SUMIF('TL19'!$C$10:$C$224,$C277,'TL19'!$J$10:$J$224),0),
IF('TL19'!$B$229=O$3,SUMIF('TL19'!$C$238:$C$451,$C277,'TL19'!$J$238:$J$451),0)
),0)</f>
        <v/>
      </c>
      <c r="P277" s="9">
        <f>IFERROR(SUM(
IF('TL01'!$B$3=P$3,SUMIF('TL01'!$C$10:$C$224,$C277,'TL01'!$J$10:$J$224),0),
IF('TL01'!$B$229=P$3,SUMIF('TL01'!$C$238:$C$451,$C277,'TL01'!$J$238:$J$451),0),
IF('TL02'!$B$3=P$3,SUMIF('TL02'!$C$10:$C$224,$C277,'TL02'!$J$10:$J$224),0),
IF('TL02'!$B$229=P$3,SUMIF('TL02'!$C$238:$C$451,$C277,'TL02'!$J$238:$J$451),0),
IF('TL03'!$B$3=P$3,SUMIF('TL03'!$C$10:$C$224,$C277,'TL03'!$J$10:$J$224),0),
IF('TL03'!$B$229=P$3,SUMIF('TL03'!$C$238:$C$451,$C277,'TL03'!$J$238:$J$451),0),
IF('TL04'!$B$3=P$3,SUMIF('TL04'!$C$10:$C$224,$C277,'TL04'!$J$10:$J$224),0),
IF('TL04'!$B$229=P$3,SUMIF('TL04'!$C$238:$C$451,$C277,'TL04'!$J$238:$J$451),0),
IF('TL05'!$B$3=P$3,SUMIF('TL05'!$C$10:$C$224,$C277,'TL05'!$J$10:$J$224),0),
IF('TL05'!$B$229=P$3,SUMIF('TL05'!$C$238:$C$451,$C277,'TL05'!$J$238:$J$451),0),
IF('TL06'!$B$3=P$3,SUMIF('TL06'!$C$10:$C$224,$C277,'TL06'!$J$10:$J$224),0),
IF('TL06'!$B$229=P$3,SUMIF('TL06'!$C$238:$C$451,$C277,'TL06'!$J$238:$J$451),0),
IF('TL07'!$B$3=P$3,SUMIF('TL07'!$C$10:$C$224,$C277,'TL07'!$J$10:$J$224),0),
IF('TL07'!$B$229=P$3,SUMIF('TL07'!$C$238:$C$451,$C277,'TL07'!$J$238:$J$451),0),
IF('TL08'!$B$3=P$3,SUMIF('TL08'!$C$10:$C$224,$C277,'TL08'!$J$10:$J$224),0),
IF('TL08'!$B$229=P$3,SUMIF('TL08'!$C$238:$C$451,$C277,'TL08'!$J$238:$J$451),0),
IF('TL09'!$B$3=P$3,SUMIF('TL09'!$C$10:$C$224,$C277,'TL09'!$J$10:$J$224),0),
IF('TL09'!$B$229=P$3,SUMIF('TL09'!$C$238:$C$451,$C277,'TL09'!$J$238:$J$451),0),
IF('TL10'!$B$3=P$3,SUMIF('TL10'!$C$10:$C$224,$C277,'TL10'!$J$10:$J$224),0),
IF('TL10'!$B$229=P$3,SUMIF('TL10'!$C$238:$C$451,$C277,'TL10'!$J$238:$J$451),0),
IF('TL11'!$B$3=P$3,SUMIF('TL11'!$C$10:$C$224,$C277,'TL11'!$J$10:$J$224),0),
IF('TL11'!$B$229=P$3,SUMIF('TL11'!$C$238:$C$451,$C277,'TL11'!$J$238:$J$451),0),
IF('TL12'!$B$3=P$3,SUMIF('TL12'!$C$10:$C$224,$C277,'TL12'!$J$10:$J$224),0),
IF('TL12'!$B$229=P$3,SUMIF('TL12'!$C$238:$C$451,$C277,'TL12'!$J$238:$J$451),0),
IF('TL13'!$B$3=P$3,SUMIF('TL13'!$C$10:$C$224,$C277,'TL13'!$J$10:$J$224),0),
IF('TL13'!$B$229=P$3,SUMIF('TL13'!$C$238:$C$451,$C277,'TL13'!$J$238:$J$451),0),
IF('TL14'!$B$3=P$3,SUMIF('TL14'!$C$10:$C$224,$C277,'TL14'!$J$10:$J$224),0),
IF('TL14'!$B$229=P$3,SUMIF('TL14'!$C$238:$C$451,$C277,'TL14'!$J$238:$J$451),0),
IF('TL15'!$B$3=P$3,SUMIF('TL15'!$C$10:$C$224,$C277,'TL15'!$J$10:$J$224),0),
IF('TL15'!$B$229=P$3,SUMIF('TL15'!$C$238:$C$451,$C277,'TL15'!$J$238:$J$451),0),
IF('TL16'!$B$3=P$3,SUMIF('TL16'!$C$10:$C$224,$C277,'TL16'!$J$10:$J$224),0),
IF('TL16'!$B$229=P$3,SUMIF('TL16'!$C$238:$C$451,$C277,'TL16'!$J$238:$J$451),0),
IF('TL17'!$B$3=P$3,SUMIF('TL17'!$C$10:$C$224,$C277,'TL17'!$J$10:$J$224),0),
IF('TL17'!$B$229=P$3,SUMIF('TL17'!$C$238:$C$451,$C277,'TL17'!$J$238:$J$451),0),
IF('TL18'!$B$3=P$3,SUMIF('TL18'!$C$10:$C$224,$C277,'TL18'!$J$10:$J$224),0),
IF('TL18'!$B$229=P$3,SUMIF('TL18'!$C$238:$C$451,$C277,'TL18'!$J$238:$J$451),0),
IF('TL19'!$B$3=P$3,SUMIF('TL19'!$C$10:$C$224,$C277,'TL19'!$J$10:$J$224),0),
IF('TL19'!$B$229=P$3,SUMIF('TL19'!$C$238:$C$451,$C277,'TL19'!$J$238:$J$451),0)
),0)</f>
        <v/>
      </c>
      <c r="Q277" s="9">
        <f>IFERROR(SUM(
IF('TL01'!$B$3=Q$3,SUMIF('TL01'!$C$10:$C$224,$C277,'TL01'!$J$10:$J$224),0),
IF('TL01'!$B$229=Q$3,SUMIF('TL01'!$C$238:$C$451,$C277,'TL01'!$J$238:$J$451),0),
IF('TL02'!$B$3=Q$3,SUMIF('TL02'!$C$10:$C$224,$C277,'TL02'!$J$10:$J$224),0),
IF('TL02'!$B$229=Q$3,SUMIF('TL02'!$C$238:$C$451,$C277,'TL02'!$J$238:$J$451),0),
IF('TL03'!$B$3=Q$3,SUMIF('TL03'!$C$10:$C$224,$C277,'TL03'!$J$10:$J$224),0),
IF('TL03'!$B$229=Q$3,SUMIF('TL03'!$C$238:$C$451,$C277,'TL03'!$J$238:$J$451),0),
IF('TL04'!$B$3=Q$3,SUMIF('TL04'!$C$10:$C$224,$C277,'TL04'!$J$10:$J$224),0),
IF('TL04'!$B$229=Q$3,SUMIF('TL04'!$C$238:$C$451,$C277,'TL04'!$J$238:$J$451),0),
IF('TL05'!$B$3=Q$3,SUMIF('TL05'!$C$10:$C$224,$C277,'TL05'!$J$10:$J$224),0),
IF('TL05'!$B$229=Q$3,SUMIF('TL05'!$C$238:$C$451,$C277,'TL05'!$J$238:$J$451),0),
IF('TL06'!$B$3=Q$3,SUMIF('TL06'!$C$10:$C$224,$C277,'TL06'!$J$10:$J$224),0),
IF('TL06'!$B$229=Q$3,SUMIF('TL06'!$C$238:$C$451,$C277,'TL06'!$J$238:$J$451),0),
IF('TL07'!$B$3=Q$3,SUMIF('TL07'!$C$10:$C$224,$C277,'TL07'!$J$10:$J$224),0),
IF('TL07'!$B$229=Q$3,SUMIF('TL07'!$C$238:$C$451,$C277,'TL07'!$J$238:$J$451),0),
IF('TL08'!$B$3=Q$3,SUMIF('TL08'!$C$10:$C$224,$C277,'TL08'!$J$10:$J$224),0),
IF('TL08'!$B$229=Q$3,SUMIF('TL08'!$C$238:$C$451,$C277,'TL08'!$J$238:$J$451),0),
IF('TL09'!$B$3=Q$3,SUMIF('TL09'!$C$10:$C$224,$C277,'TL09'!$J$10:$J$224),0),
IF('TL09'!$B$229=Q$3,SUMIF('TL09'!$C$238:$C$451,$C277,'TL09'!$J$238:$J$451),0),
IF('TL10'!$B$3=Q$3,SUMIF('TL10'!$C$10:$C$224,$C277,'TL10'!$J$10:$J$224),0),
IF('TL10'!$B$229=Q$3,SUMIF('TL10'!$C$238:$C$451,$C277,'TL10'!$J$238:$J$451),0),
IF('TL11'!$B$3=Q$3,SUMIF('TL11'!$C$10:$C$224,$C277,'TL11'!$J$10:$J$224),0),
IF('TL11'!$B$229=Q$3,SUMIF('TL11'!$C$238:$C$451,$C277,'TL11'!$J$238:$J$451),0),
IF('TL12'!$B$3=Q$3,SUMIF('TL12'!$C$10:$C$224,$C277,'TL12'!$J$10:$J$224),0),
IF('TL12'!$B$229=Q$3,SUMIF('TL12'!$C$238:$C$451,$C277,'TL12'!$J$238:$J$451),0),
IF('TL13'!$B$3=Q$3,SUMIF('TL13'!$C$10:$C$224,$C277,'TL13'!$J$10:$J$224),0),
IF('TL13'!$B$229=Q$3,SUMIF('TL13'!$C$238:$C$451,$C277,'TL13'!$J$238:$J$451),0),
IF('TL14'!$B$3=Q$3,SUMIF('TL14'!$C$10:$C$224,$C277,'TL14'!$J$10:$J$224),0),
IF('TL14'!$B$229=Q$3,SUMIF('TL14'!$C$238:$C$451,$C277,'TL14'!$J$238:$J$451),0),
IF('TL15'!$B$3=Q$3,SUMIF('TL15'!$C$10:$C$224,$C277,'TL15'!$J$10:$J$224),0),
IF('TL15'!$B$229=Q$3,SUMIF('TL15'!$C$238:$C$451,$C277,'TL15'!$J$238:$J$451),0),
IF('TL16'!$B$3=Q$3,SUMIF('TL16'!$C$10:$C$224,$C277,'TL16'!$J$10:$J$224),0),
IF('TL16'!$B$229=Q$3,SUMIF('TL16'!$C$238:$C$451,$C277,'TL16'!$J$238:$J$451),0),
IF('TL17'!$B$3=Q$3,SUMIF('TL17'!$C$10:$C$224,$C277,'TL17'!$J$10:$J$224),0),
IF('TL17'!$B$229=Q$3,SUMIF('TL17'!$C$238:$C$451,$C277,'TL17'!$J$238:$J$451),0),
IF('TL18'!$B$3=Q$3,SUMIF('TL18'!$C$10:$C$224,$C277,'TL18'!$J$10:$J$224),0),
IF('TL18'!$B$229=Q$3,SUMIF('TL18'!$C$238:$C$451,$C277,'TL18'!$J$238:$J$451),0),
IF('TL19'!$B$3=Q$3,SUMIF('TL19'!$C$10:$C$224,$C277,'TL19'!$J$10:$J$224),0),
IF('TL19'!$B$229=Q$3,SUMIF('TL19'!$C$238:$C$451,$C277,'TL19'!$J$238:$J$451),0)
),0)</f>
        <v/>
      </c>
      <c r="R277" s="9">
        <f>IFERROR(
SUM(
SUMIF('TL01'!C:C,C277,'TL01'!J:J),
SUMIF('TL02'!C:C,C277,'TL02'!J:J),
SUMIF('TL03'!C:C,C277,'TL03'!J:J),
SUMIF('TL04'!C:C,C277,'TL04'!J:J),
SUMIF('TL05'!C:C,C277,'TL05'!J:J),
SUMIF('TL06'!C:C,C277,'TL06'!J:J),
SUMIF('TL07'!C:C,C277,'TL07'!J:J),
SUMIF('TL08'!C:C,C277,'TL08'!J:J),
SUMIF('TL09'!C:C,C277,'TL09'!J:J),
SUMIF('TL10'!C:C,C277,'TL10'!J:J),
SUMIF('TL11'!C:C,C277,'TL11'!J:J),
SUMIF('TL12'!C:C,C277,'TL12'!J:J),
SUMIF('TL13'!C:C,C277,'TL13'!J:J),
SUMIF('TL14'!C:C,C277,'TL14'!J:J),
SUMIF('TL15'!C:C,C277,'TL15'!J:J),
SUMIF('TL16'!C:C,C277,'TL16'!J:J),
SUMIF('TL17'!C:C,C277,'TL17'!J:J),
SUMIF('TL18'!C:C,C277,'TL18'!J:J),SUMIF('TL19'!C:C,C277,'TL19'!J:J))
,0)</f>
        <v/>
      </c>
      <c r="S277" s="17">
        <f>IFERROR(__xludf.DUMMYFUNCTION("IFERROR(VLOOKUP(C277,
IMPORTRANGE(""1wULbzX32WdYsx-lj2U3uUNBBe2INVIRDtcK0d-Dvl90"",
""26-27!C:G""),
5,
FALSE),
"""")"),34.0)</f>
        <v/>
      </c>
      <c r="T277" s="9" t="n"/>
      <c r="U277" s="92">
        <f>MAX(0,R277-T277)</f>
        <v/>
      </c>
      <c r="V277" s="93">
        <f>U277*S277</f>
        <v/>
      </c>
    </row>
    <row r="278" hidden="1" ht="15.75" customHeight="1" s="297">
      <c r="A278" s="4" t="inlineStr">
        <is>
          <t>GRAN7</t>
        </is>
      </c>
      <c r="B278" s="125" t="inlineStr">
        <is>
          <t>NUTRIÇÃO</t>
        </is>
      </c>
      <c r="C278" s="4" t="inlineStr">
        <is>
          <t>Magmill Complex</t>
        </is>
      </c>
      <c r="D278" s="4" t="inlineStr">
        <is>
          <t>N6%; Mg 5%; Mn 0,08%;B 0,05%; Mo 0,015%  Organicamente Quelatizado</t>
        </is>
      </c>
      <c r="E278" s="9" t="n"/>
      <c r="F278" s="4" t="inlineStr">
        <is>
          <t>L</t>
        </is>
      </c>
      <c r="G278" s="9" t="n"/>
      <c r="H278" s="9" t="n">
        <v>0.6</v>
      </c>
      <c r="I278" s="1" t="n"/>
      <c r="J278" s="9">
        <f>IFERROR(SUM(
IF('TL01'!$B$3=J$3,SUMIF('TL01'!$C$10:$C$224,$C278,'TL01'!$J$10:$J$224),0),
IF('TL01'!$B$229=J$3,SUMIF('TL01'!$C$238:$C$451,$C278,'TL01'!$J$238:$J$451),0),
IF('TL02'!$B$3=J$3,SUMIF('TL02'!$C$10:$C$224,$C278,'TL02'!$J$10:$J$224),0),
IF('TL02'!$B$229=J$3,SUMIF('TL02'!$C$238:$C$451,$C278,'TL02'!$J$238:$J$451),0),
IF('TL03'!$B$3=J$3,SUMIF('TL03'!$C$10:$C$224,$C278,'TL03'!$J$10:$J$224),0),
IF('TL03'!$B$229=J$3,SUMIF('TL03'!$C$238:$C$451,$C278,'TL03'!$J$238:$J$451),0),
IF('TL04'!$B$3=J$3,SUMIF('TL04'!$C$10:$C$224,$C278,'TL04'!$J$10:$J$224),0),
IF('TL04'!$B$229=J$3,SUMIF('TL04'!$C$238:$C$451,$C278,'TL04'!$J$238:$J$451),0),
IF('TL05'!$B$3=J$3,SUMIF('TL05'!$C$10:$C$224,$C278,'TL05'!$J$10:$J$224),0),
IF('TL05'!$B$229=J$3,SUMIF('TL05'!$C$238:$C$451,$C278,'TL05'!$J$238:$J$451),0),
IF('TL06'!$B$3=J$3,SUMIF('TL06'!$C$10:$C$224,$C278,'TL06'!$J$10:$J$224),0),
IF('TL06'!$B$229=J$3,SUMIF('TL06'!$C$238:$C$451,$C278,'TL06'!$J$238:$J$451),0),
IF('TL07'!$B$3=J$3,SUMIF('TL07'!$C$10:$C$224,$C278,'TL07'!$J$10:$J$224),0),
IF('TL07'!$B$229=J$3,SUMIF('TL07'!$C$238:$C$451,$C278,'TL07'!$J$238:$J$451),0),
IF('TL08'!$B$3=J$3,SUMIF('TL08'!$C$10:$C$224,$C278,'TL08'!$J$10:$J$224),0),
IF('TL08'!$B$229=J$3,SUMIF('TL08'!$C$238:$C$451,$C278,'TL08'!$J$238:$J$451),0),
IF('TL09'!$B$3=J$3,SUMIF('TL09'!$C$10:$C$224,$C278,'TL09'!$J$10:$J$224),0),
IF('TL09'!$B$229=J$3,SUMIF('TL09'!$C$238:$C$451,$C278,'TL09'!$J$238:$J$451),0),
IF('TL10'!$B$3=J$3,SUMIF('TL10'!$C$10:$C$224,$C278,'TL10'!$J$10:$J$224),0),
IF('TL10'!$B$229=J$3,SUMIF('TL10'!$C$238:$C$451,$C278,'TL10'!$J$238:$J$451),0),
IF('TL11'!$B$3=J$3,SUMIF('TL11'!$C$10:$C$224,$C278,'TL11'!$J$10:$J$224),0),
IF('TL11'!$B$229=J$3,SUMIF('TL11'!$C$238:$C$451,$C278,'TL11'!$J$238:$J$451),0),
IF('TL12'!$B$3=J$3,SUMIF('TL12'!$C$10:$C$224,$C278,'TL12'!$J$10:$J$224),0),
IF('TL12'!$B$229=J$3,SUMIF('TL12'!$C$238:$C$451,$C278,'TL12'!$J$238:$J$451),0),
IF('TL13'!$B$3=J$3,SUMIF('TL13'!$C$10:$C$224,$C278,'TL13'!$J$10:$J$224),0),
IF('TL13'!$B$229=J$3,SUMIF('TL13'!$C$238:$C$451,$C278,'TL13'!$J$238:$J$451),0),
IF('TL14'!$B$3=J$3,SUMIF('TL14'!$C$10:$C$224,$C278,'TL14'!$J$10:$J$224),0),
IF('TL14'!$B$229=J$3,SUMIF('TL14'!$C$238:$C$451,$C278,'TL14'!$J$238:$J$451),0),
IF('TL15'!$B$3=J$3,SUMIF('TL15'!$C$10:$C$224,$C278,'TL15'!$J$10:$J$224),0),
IF('TL15'!$B$229=J$3,SUMIF('TL15'!$C$238:$C$451,$C278,'TL15'!$J$238:$J$451),0),
IF('TL16'!$B$3=J$3,SUMIF('TL16'!$C$10:$C$224,$C278,'TL16'!$J$10:$J$224),0),
IF('TL16'!$B$229=J$3,SUMIF('TL16'!$C$238:$C$451,$C278,'TL16'!$J$238:$J$451),0),
IF('TL17'!$B$3=J$3,SUMIF('TL17'!$C$10:$C$224,$C278,'TL17'!$J$10:$J$224),0),
IF('TL17'!$B$229=J$3,SUMIF('TL17'!$C$238:$C$451,$C278,'TL17'!$J$238:$J$451),0),
IF('TL18'!$B$3=J$3,SUMIF('TL18'!$C$10:$C$224,$C278,'TL18'!$J$10:$J$224),0),
IF('TL18'!$B$229=J$3,SUMIF('TL18'!$C$238:$C$451,$C278,'TL18'!$J$238:$J$451),0),
IF('TL19'!$B$3=J$3,SUMIF('TL19'!$C$10:$C$224,$C278,'TL19'!$J$10:$J$224),0),
IF('TL19'!$B$229=J$3,SUMIF('TL19'!$C$238:$C$451,$C278,'TL19'!$J$238:$J$451),0)
),0)</f>
        <v/>
      </c>
      <c r="K278" s="9">
        <f>IFERROR(SUM(
IF('TL01'!$B$3=K$3,SUMIF('TL01'!$C$10:$C$224,$C278,'TL01'!$J$10:$J$224),0),
IF('TL01'!$B$229=K$3,SUMIF('TL01'!$C$238:$C$451,$C278,'TL01'!$J$238:$J$451),0),
IF('TL02'!$B$3=K$3,SUMIF('TL02'!$C$10:$C$224,$C278,'TL02'!$J$10:$J$224),0),
IF('TL02'!$B$229=K$3,SUMIF('TL02'!$C$238:$C$451,$C278,'TL02'!$J$238:$J$451),0),
IF('TL03'!$B$3=K$3,SUMIF('TL03'!$C$10:$C$224,$C278,'TL03'!$J$10:$J$224),0),
IF('TL03'!$B$229=K$3,SUMIF('TL03'!$C$238:$C$451,$C278,'TL03'!$J$238:$J$451),0),
IF('TL04'!$B$3=K$3,SUMIF('TL04'!$C$10:$C$224,$C278,'TL04'!$J$10:$J$224),0),
IF('TL04'!$B$229=K$3,SUMIF('TL04'!$C$238:$C$451,$C278,'TL04'!$J$238:$J$451),0),
IF('TL05'!$B$3=K$3,SUMIF('TL05'!$C$10:$C$224,$C278,'TL05'!$J$10:$J$224),0),
IF('TL05'!$B$229=K$3,SUMIF('TL05'!$C$238:$C$451,$C278,'TL05'!$J$238:$J$451),0),
IF('TL06'!$B$3=K$3,SUMIF('TL06'!$C$10:$C$224,$C278,'TL06'!$J$10:$J$224),0),
IF('TL06'!$B$229=K$3,SUMIF('TL06'!$C$238:$C$451,$C278,'TL06'!$J$238:$J$451),0),
IF('TL07'!$B$3=K$3,SUMIF('TL07'!$C$10:$C$224,$C278,'TL07'!$J$10:$J$224),0),
IF('TL07'!$B$229=K$3,SUMIF('TL07'!$C$238:$C$451,$C278,'TL07'!$J$238:$J$451),0),
IF('TL08'!$B$3=K$3,SUMIF('TL08'!$C$10:$C$224,$C278,'TL08'!$J$10:$J$224),0),
IF('TL08'!$B$229=K$3,SUMIF('TL08'!$C$238:$C$451,$C278,'TL08'!$J$238:$J$451),0),
IF('TL09'!$B$3=K$3,SUMIF('TL09'!$C$10:$C$224,$C278,'TL09'!$J$10:$J$224),0),
IF('TL09'!$B$229=K$3,SUMIF('TL09'!$C$238:$C$451,$C278,'TL09'!$J$238:$J$451),0),
IF('TL10'!$B$3=K$3,SUMIF('TL10'!$C$10:$C$224,$C278,'TL10'!$J$10:$J$224),0),
IF('TL10'!$B$229=K$3,SUMIF('TL10'!$C$238:$C$451,$C278,'TL10'!$J$238:$J$451),0),
IF('TL11'!$B$3=K$3,SUMIF('TL11'!$C$10:$C$224,$C278,'TL11'!$J$10:$J$224),0),
IF('TL11'!$B$229=K$3,SUMIF('TL11'!$C$238:$C$451,$C278,'TL11'!$J$238:$J$451),0),
IF('TL12'!$B$3=K$3,SUMIF('TL12'!$C$10:$C$224,$C278,'TL12'!$J$10:$J$224),0),
IF('TL12'!$B$229=K$3,SUMIF('TL12'!$C$238:$C$451,$C278,'TL12'!$J$238:$J$451),0),
IF('TL13'!$B$3=K$3,SUMIF('TL13'!$C$10:$C$224,$C278,'TL13'!$J$10:$J$224),0),
IF('TL13'!$B$229=K$3,SUMIF('TL13'!$C$238:$C$451,$C278,'TL13'!$J$238:$J$451),0),
IF('TL14'!$B$3=K$3,SUMIF('TL14'!$C$10:$C$224,$C278,'TL14'!$J$10:$J$224),0),
IF('TL14'!$B$229=K$3,SUMIF('TL14'!$C$238:$C$451,$C278,'TL14'!$J$238:$J$451),0),
IF('TL15'!$B$3=K$3,SUMIF('TL15'!$C$10:$C$224,$C278,'TL15'!$J$10:$J$224),0),
IF('TL15'!$B$229=K$3,SUMIF('TL15'!$C$238:$C$451,$C278,'TL15'!$J$238:$J$451),0),
IF('TL16'!$B$3=K$3,SUMIF('TL16'!$C$10:$C$224,$C278,'TL16'!$J$10:$J$224),0),
IF('TL16'!$B$229=K$3,SUMIF('TL16'!$C$238:$C$451,$C278,'TL16'!$J$238:$J$451),0),
IF('TL17'!$B$3=K$3,SUMIF('TL17'!$C$10:$C$224,$C278,'TL17'!$J$10:$J$224),0),
IF('TL17'!$B$229=K$3,SUMIF('TL17'!$C$238:$C$451,$C278,'TL17'!$J$238:$J$451),0),
IF('TL18'!$B$3=K$3,SUMIF('TL18'!$C$10:$C$224,$C278,'TL18'!$J$10:$J$224),0),
IF('TL18'!$B$229=K$3,SUMIF('TL18'!$C$238:$C$451,$C278,'TL18'!$J$238:$J$451),0),
IF('TL19'!$B$3=K$3,SUMIF('TL19'!$C$10:$C$224,$C278,'TL19'!$J$10:$J$224),0),
IF('TL19'!$B$229=K$3,SUMIF('TL19'!$C$238:$C$451,$C278,'TL19'!$J$238:$J$451),0)
),0)</f>
        <v/>
      </c>
      <c r="L278" s="9">
        <f>IFERROR(SUM(
IF('TL01'!$B$3=L$3,SUMIF('TL01'!$C$10:$C$224,$C278,'TL01'!$J$10:$J$224),0),
IF('TL01'!$B$229=L$3,SUMIF('TL01'!$C$238:$C$451,$C278,'TL01'!$J$238:$J$451),0),
IF('TL02'!$B$3=L$3,SUMIF('TL02'!$C$10:$C$224,$C278,'TL02'!$J$10:$J$224),0),
IF('TL02'!$B$229=L$3,SUMIF('TL02'!$C$238:$C$451,$C278,'TL02'!$J$238:$J$451),0),
IF('TL03'!$B$3=L$3,SUMIF('TL03'!$C$10:$C$224,$C278,'TL03'!$J$10:$J$224),0),
IF('TL03'!$B$229=L$3,SUMIF('TL03'!$C$238:$C$451,$C278,'TL03'!$J$238:$J$451),0),
IF('TL04'!$B$3=L$3,SUMIF('TL04'!$C$10:$C$224,$C278,'TL04'!$J$10:$J$224),0),
IF('TL04'!$B$229=L$3,SUMIF('TL04'!$C$238:$C$451,$C278,'TL04'!$J$238:$J$451),0),
IF('TL05'!$B$3=L$3,SUMIF('TL05'!$C$10:$C$224,$C278,'TL05'!$J$10:$J$224),0),
IF('TL05'!$B$229=L$3,SUMIF('TL05'!$C$238:$C$451,$C278,'TL05'!$J$238:$J$451),0),
IF('TL06'!$B$3=L$3,SUMIF('TL06'!$C$10:$C$224,$C278,'TL06'!$J$10:$J$224),0),
IF('TL06'!$B$229=L$3,SUMIF('TL06'!$C$238:$C$451,$C278,'TL06'!$J$238:$J$451),0),
IF('TL07'!$B$3=L$3,SUMIF('TL07'!$C$10:$C$224,$C278,'TL07'!$J$10:$J$224),0),
IF('TL07'!$B$229=L$3,SUMIF('TL07'!$C$238:$C$451,$C278,'TL07'!$J$238:$J$451),0),
IF('TL08'!$B$3=L$3,SUMIF('TL08'!$C$10:$C$224,$C278,'TL08'!$J$10:$J$224),0),
IF('TL08'!$B$229=L$3,SUMIF('TL08'!$C$238:$C$451,$C278,'TL08'!$J$238:$J$451),0),
IF('TL09'!$B$3=L$3,SUMIF('TL09'!$C$10:$C$224,$C278,'TL09'!$J$10:$J$224),0),
IF('TL09'!$B$229=L$3,SUMIF('TL09'!$C$238:$C$451,$C278,'TL09'!$J$238:$J$451),0),
IF('TL10'!$B$3=L$3,SUMIF('TL10'!$C$10:$C$224,$C278,'TL10'!$J$10:$J$224),0),
IF('TL10'!$B$229=L$3,SUMIF('TL10'!$C$238:$C$451,$C278,'TL10'!$J$238:$J$451),0),
IF('TL11'!$B$3=L$3,SUMIF('TL11'!$C$10:$C$224,$C278,'TL11'!$J$10:$J$224),0),
IF('TL11'!$B$229=L$3,SUMIF('TL11'!$C$238:$C$451,$C278,'TL11'!$J$238:$J$451),0),
IF('TL12'!$B$3=L$3,SUMIF('TL12'!$C$10:$C$224,$C278,'TL12'!$J$10:$J$224),0),
IF('TL12'!$B$229=L$3,SUMIF('TL12'!$C$238:$C$451,$C278,'TL12'!$J$238:$J$451),0),
IF('TL13'!$B$3=L$3,SUMIF('TL13'!$C$10:$C$224,$C278,'TL13'!$J$10:$J$224),0),
IF('TL13'!$B$229=L$3,SUMIF('TL13'!$C$238:$C$451,$C278,'TL13'!$J$238:$J$451),0),
IF('TL14'!$B$3=L$3,SUMIF('TL14'!$C$10:$C$224,$C278,'TL14'!$J$10:$J$224),0),
IF('TL14'!$B$229=L$3,SUMIF('TL14'!$C$238:$C$451,$C278,'TL14'!$J$238:$J$451),0),
IF('TL15'!$B$3=L$3,SUMIF('TL15'!$C$10:$C$224,$C278,'TL15'!$J$10:$J$224),0),
IF('TL15'!$B$229=L$3,SUMIF('TL15'!$C$238:$C$451,$C278,'TL15'!$J$238:$J$451),0),
IF('TL16'!$B$3=L$3,SUMIF('TL16'!$C$10:$C$224,$C278,'TL16'!$J$10:$J$224),0),
IF('TL16'!$B$229=L$3,SUMIF('TL16'!$C$238:$C$451,$C278,'TL16'!$J$238:$J$451),0),
IF('TL17'!$B$3=L$3,SUMIF('TL17'!$C$10:$C$224,$C278,'TL17'!$J$10:$J$224),0),
IF('TL17'!$B$229=L$3,SUMIF('TL17'!$C$238:$C$451,$C278,'TL17'!$J$238:$J$451),0),
IF('TL18'!$B$3=L$3,SUMIF('TL18'!$C$10:$C$224,$C278,'TL18'!$J$10:$J$224),0),
IF('TL18'!$B$229=L$3,SUMIF('TL18'!$C$238:$C$451,$C278,'TL18'!$J$238:$J$451),0),
IF('TL19'!$B$3=L$3,SUMIF('TL19'!$C$10:$C$224,$C278,'TL19'!$J$10:$J$224),0),
IF('TL19'!$B$229=L$3,SUMIF('TL19'!$C$238:$C$451,$C278,'TL19'!$J$238:$J$451),0)
),0)</f>
        <v/>
      </c>
      <c r="M278" s="9">
        <f>IFERROR(SUM(
IF('TL01'!$B$3=M$3,SUMIF('TL01'!$C$10:$C$224,$C278,'TL01'!$J$10:$J$224),0),
IF('TL01'!$B$229=M$3,SUMIF('TL01'!$C$238:$C$451,$C278,'TL01'!$J$238:$J$451),0),
IF('TL02'!$B$3=M$3,SUMIF('TL02'!$C$10:$C$224,$C278,'TL02'!$J$10:$J$224),0),
IF('TL02'!$B$229=M$3,SUMIF('TL02'!$C$238:$C$451,$C278,'TL02'!$J$238:$J$451),0),
IF('TL03'!$B$3=M$3,SUMIF('TL03'!$C$10:$C$224,$C278,'TL03'!$J$10:$J$224),0),
IF('TL03'!$B$229=M$3,SUMIF('TL03'!$C$238:$C$451,$C278,'TL03'!$J$238:$J$451),0),
IF('TL04'!$B$3=M$3,SUMIF('TL04'!$C$10:$C$224,$C278,'TL04'!$J$10:$J$224),0),
IF('TL04'!$B$229=M$3,SUMIF('TL04'!$C$238:$C$451,$C278,'TL04'!$J$238:$J$451),0),
IF('TL05'!$B$3=M$3,SUMIF('TL05'!$C$10:$C$224,$C278,'TL05'!$J$10:$J$224),0),
IF('TL05'!$B$229=M$3,SUMIF('TL05'!$C$238:$C$451,$C278,'TL05'!$J$238:$J$451),0),
IF('TL06'!$B$3=M$3,SUMIF('TL06'!$C$10:$C$224,$C278,'TL06'!$J$10:$J$224),0),
IF('TL06'!$B$229=M$3,SUMIF('TL06'!$C$238:$C$451,$C278,'TL06'!$J$238:$J$451),0),
IF('TL07'!$B$3=M$3,SUMIF('TL07'!$C$10:$C$224,$C278,'TL07'!$J$10:$J$224),0),
IF('TL07'!$B$229=M$3,SUMIF('TL07'!$C$238:$C$451,$C278,'TL07'!$J$238:$J$451),0),
IF('TL08'!$B$3=M$3,SUMIF('TL08'!$C$10:$C$224,$C278,'TL08'!$J$10:$J$224),0),
IF('TL08'!$B$229=M$3,SUMIF('TL08'!$C$238:$C$451,$C278,'TL08'!$J$238:$J$451),0),
IF('TL09'!$B$3=M$3,SUMIF('TL09'!$C$10:$C$224,$C278,'TL09'!$J$10:$J$224),0),
IF('TL09'!$B$229=M$3,SUMIF('TL09'!$C$238:$C$451,$C278,'TL09'!$J$238:$J$451),0),
IF('TL10'!$B$3=M$3,SUMIF('TL10'!$C$10:$C$224,$C278,'TL10'!$J$10:$J$224),0),
IF('TL10'!$B$229=M$3,SUMIF('TL10'!$C$238:$C$451,$C278,'TL10'!$J$238:$J$451),0),
IF('TL11'!$B$3=M$3,SUMIF('TL11'!$C$10:$C$224,$C278,'TL11'!$J$10:$J$224),0),
IF('TL11'!$B$229=M$3,SUMIF('TL11'!$C$238:$C$451,$C278,'TL11'!$J$238:$J$451),0),
IF('TL12'!$B$3=M$3,SUMIF('TL12'!$C$10:$C$224,$C278,'TL12'!$J$10:$J$224),0),
IF('TL12'!$B$229=M$3,SUMIF('TL12'!$C$238:$C$451,$C278,'TL12'!$J$238:$J$451),0),
IF('TL13'!$B$3=M$3,SUMIF('TL13'!$C$10:$C$224,$C278,'TL13'!$J$10:$J$224),0),
IF('TL13'!$B$229=M$3,SUMIF('TL13'!$C$238:$C$451,$C278,'TL13'!$J$238:$J$451),0),
IF('TL14'!$B$3=M$3,SUMIF('TL14'!$C$10:$C$224,$C278,'TL14'!$J$10:$J$224),0),
IF('TL14'!$B$229=M$3,SUMIF('TL14'!$C$238:$C$451,$C278,'TL14'!$J$238:$J$451),0),
IF('TL15'!$B$3=M$3,SUMIF('TL15'!$C$10:$C$224,$C278,'TL15'!$J$10:$J$224),0),
IF('TL15'!$B$229=M$3,SUMIF('TL15'!$C$238:$C$451,$C278,'TL15'!$J$238:$J$451),0),
IF('TL16'!$B$3=M$3,SUMIF('TL16'!$C$10:$C$224,$C278,'TL16'!$J$10:$J$224),0),
IF('TL16'!$B$229=M$3,SUMIF('TL16'!$C$238:$C$451,$C278,'TL16'!$J$238:$J$451),0),
IF('TL17'!$B$3=M$3,SUMIF('TL17'!$C$10:$C$224,$C278,'TL17'!$J$10:$J$224),0),
IF('TL17'!$B$229=M$3,SUMIF('TL17'!$C$238:$C$451,$C278,'TL17'!$J$238:$J$451),0),
IF('TL18'!$B$3=M$3,SUMIF('TL18'!$C$10:$C$224,$C278,'TL18'!$J$10:$J$224),0),
IF('TL18'!$B$229=M$3,SUMIF('TL18'!$C$238:$C$451,$C278,'TL18'!$J$238:$J$451),0),
IF('TL19'!$B$3=M$3,SUMIF('TL19'!$C$10:$C$224,$C278,'TL19'!$J$10:$J$224),0),
IF('TL19'!$B$229=M$3,SUMIF('TL19'!$C$238:$C$451,$C278,'TL19'!$J$238:$J$451),0)
),0)</f>
        <v/>
      </c>
      <c r="N278" s="9">
        <f>IFERROR(SUM(
IF('TL01'!$B$3=N$3,SUMIF('TL01'!$C$10:$C$224,$C278,'TL01'!$J$10:$J$224),0),
IF('TL01'!$B$229=N$3,SUMIF('TL01'!$C$238:$C$451,$C278,'TL01'!$J$238:$J$451),0),
IF('TL02'!$B$3=N$3,SUMIF('TL02'!$C$10:$C$224,$C278,'TL02'!$J$10:$J$224),0),
IF('TL02'!$B$229=N$3,SUMIF('TL02'!$C$238:$C$451,$C278,'TL02'!$J$238:$J$451),0),
IF('TL03'!$B$3=N$3,SUMIF('TL03'!$C$10:$C$224,$C278,'TL03'!$J$10:$J$224),0),
IF('TL03'!$B$229=N$3,SUMIF('TL03'!$C$238:$C$451,$C278,'TL03'!$J$238:$J$451),0),
IF('TL04'!$B$3=N$3,SUMIF('TL04'!$C$10:$C$224,$C278,'TL04'!$J$10:$J$224),0),
IF('TL04'!$B$229=N$3,SUMIF('TL04'!$C$238:$C$451,$C278,'TL04'!$J$238:$J$451),0),
IF('TL05'!$B$3=N$3,SUMIF('TL05'!$C$10:$C$224,$C278,'TL05'!$J$10:$J$224),0),
IF('TL05'!$B$229=N$3,SUMIF('TL05'!$C$238:$C$451,$C278,'TL05'!$J$238:$J$451),0),
IF('TL06'!$B$3=N$3,SUMIF('TL06'!$C$10:$C$224,$C278,'TL06'!$J$10:$J$224),0),
IF('TL06'!$B$229=N$3,SUMIF('TL06'!$C$238:$C$451,$C278,'TL06'!$J$238:$J$451),0),
IF('TL07'!$B$3=N$3,SUMIF('TL07'!$C$10:$C$224,$C278,'TL07'!$J$10:$J$224),0),
IF('TL07'!$B$229=N$3,SUMIF('TL07'!$C$238:$C$451,$C278,'TL07'!$J$238:$J$451),0),
IF('TL08'!$B$3=N$3,SUMIF('TL08'!$C$10:$C$224,$C278,'TL08'!$J$10:$J$224),0),
IF('TL08'!$B$229=N$3,SUMIF('TL08'!$C$238:$C$451,$C278,'TL08'!$J$238:$J$451),0),
IF('TL09'!$B$3=N$3,SUMIF('TL09'!$C$10:$C$224,$C278,'TL09'!$J$10:$J$224),0),
IF('TL09'!$B$229=N$3,SUMIF('TL09'!$C$238:$C$451,$C278,'TL09'!$J$238:$J$451),0),
IF('TL10'!$B$3=N$3,SUMIF('TL10'!$C$10:$C$224,$C278,'TL10'!$J$10:$J$224),0),
IF('TL10'!$B$229=N$3,SUMIF('TL10'!$C$238:$C$451,$C278,'TL10'!$J$238:$J$451),0),
IF('TL11'!$B$3=N$3,SUMIF('TL11'!$C$10:$C$224,$C278,'TL11'!$J$10:$J$224),0),
IF('TL11'!$B$229=N$3,SUMIF('TL11'!$C$238:$C$451,$C278,'TL11'!$J$238:$J$451),0),
IF('TL12'!$B$3=N$3,SUMIF('TL12'!$C$10:$C$224,$C278,'TL12'!$J$10:$J$224),0),
IF('TL12'!$B$229=N$3,SUMIF('TL12'!$C$238:$C$451,$C278,'TL12'!$J$238:$J$451),0),
IF('TL13'!$B$3=N$3,SUMIF('TL13'!$C$10:$C$224,$C278,'TL13'!$J$10:$J$224),0),
IF('TL13'!$B$229=N$3,SUMIF('TL13'!$C$238:$C$451,$C278,'TL13'!$J$238:$J$451),0),
IF('TL14'!$B$3=N$3,SUMIF('TL14'!$C$10:$C$224,$C278,'TL14'!$J$10:$J$224),0),
IF('TL14'!$B$229=N$3,SUMIF('TL14'!$C$238:$C$451,$C278,'TL14'!$J$238:$J$451),0),
IF('TL15'!$B$3=N$3,SUMIF('TL15'!$C$10:$C$224,$C278,'TL15'!$J$10:$J$224),0),
IF('TL15'!$B$229=N$3,SUMIF('TL15'!$C$238:$C$451,$C278,'TL15'!$J$238:$J$451),0),
IF('TL16'!$B$3=N$3,SUMIF('TL16'!$C$10:$C$224,$C278,'TL16'!$J$10:$J$224),0),
IF('TL16'!$B$229=N$3,SUMIF('TL16'!$C$238:$C$451,$C278,'TL16'!$J$238:$J$451),0),
IF('TL17'!$B$3=N$3,SUMIF('TL17'!$C$10:$C$224,$C278,'TL17'!$J$10:$J$224),0),
IF('TL17'!$B$229=N$3,SUMIF('TL17'!$C$238:$C$451,$C278,'TL17'!$J$238:$J$451),0),
IF('TL18'!$B$3=N$3,SUMIF('TL18'!$C$10:$C$224,$C278,'TL18'!$J$10:$J$224),0),
IF('TL18'!$B$229=N$3,SUMIF('TL18'!$C$238:$C$451,$C278,'TL18'!$J$238:$J$451),0),
IF('TL19'!$B$3=N$3,SUMIF('TL19'!$C$10:$C$224,$C278,'TL19'!$J$10:$J$224),0),
IF('TL19'!$B$229=N$3,SUMIF('TL19'!$C$238:$C$451,$C278,'TL19'!$J$238:$J$451),0)
),0)</f>
        <v/>
      </c>
      <c r="O278" s="9">
        <f>IFERROR(SUM(
IF('TL01'!$B$3=O$3,SUMIF('TL01'!$C$10:$C$224,$C278,'TL01'!$J$10:$J$224),0),
IF('TL01'!$B$229=O$3,SUMIF('TL01'!$C$238:$C$451,$C278,'TL01'!$J$238:$J$451),0),
IF('TL02'!$B$3=O$3,SUMIF('TL02'!$C$10:$C$224,$C278,'TL02'!$J$10:$J$224),0),
IF('TL02'!$B$229=O$3,SUMIF('TL02'!$C$238:$C$451,$C278,'TL02'!$J$238:$J$451),0),
IF('TL03'!$B$3=O$3,SUMIF('TL03'!$C$10:$C$224,$C278,'TL03'!$J$10:$J$224),0),
IF('TL03'!$B$229=O$3,SUMIF('TL03'!$C$238:$C$451,$C278,'TL03'!$J$238:$J$451),0),
IF('TL04'!$B$3=O$3,SUMIF('TL04'!$C$10:$C$224,$C278,'TL04'!$J$10:$J$224),0),
IF('TL04'!$B$229=O$3,SUMIF('TL04'!$C$238:$C$451,$C278,'TL04'!$J$238:$J$451),0),
IF('TL05'!$B$3=O$3,SUMIF('TL05'!$C$10:$C$224,$C278,'TL05'!$J$10:$J$224),0),
IF('TL05'!$B$229=O$3,SUMIF('TL05'!$C$238:$C$451,$C278,'TL05'!$J$238:$J$451),0),
IF('TL06'!$B$3=O$3,SUMIF('TL06'!$C$10:$C$224,$C278,'TL06'!$J$10:$J$224),0),
IF('TL06'!$B$229=O$3,SUMIF('TL06'!$C$238:$C$451,$C278,'TL06'!$J$238:$J$451),0),
IF('TL07'!$B$3=O$3,SUMIF('TL07'!$C$10:$C$224,$C278,'TL07'!$J$10:$J$224),0),
IF('TL07'!$B$229=O$3,SUMIF('TL07'!$C$238:$C$451,$C278,'TL07'!$J$238:$J$451),0),
IF('TL08'!$B$3=O$3,SUMIF('TL08'!$C$10:$C$224,$C278,'TL08'!$J$10:$J$224),0),
IF('TL08'!$B$229=O$3,SUMIF('TL08'!$C$238:$C$451,$C278,'TL08'!$J$238:$J$451),0),
IF('TL09'!$B$3=O$3,SUMIF('TL09'!$C$10:$C$224,$C278,'TL09'!$J$10:$J$224),0),
IF('TL09'!$B$229=O$3,SUMIF('TL09'!$C$238:$C$451,$C278,'TL09'!$J$238:$J$451),0),
IF('TL10'!$B$3=O$3,SUMIF('TL10'!$C$10:$C$224,$C278,'TL10'!$J$10:$J$224),0),
IF('TL10'!$B$229=O$3,SUMIF('TL10'!$C$238:$C$451,$C278,'TL10'!$J$238:$J$451),0),
IF('TL11'!$B$3=O$3,SUMIF('TL11'!$C$10:$C$224,$C278,'TL11'!$J$10:$J$224),0),
IF('TL11'!$B$229=O$3,SUMIF('TL11'!$C$238:$C$451,$C278,'TL11'!$J$238:$J$451),0),
IF('TL12'!$B$3=O$3,SUMIF('TL12'!$C$10:$C$224,$C278,'TL12'!$J$10:$J$224),0),
IF('TL12'!$B$229=O$3,SUMIF('TL12'!$C$238:$C$451,$C278,'TL12'!$J$238:$J$451),0),
IF('TL13'!$B$3=O$3,SUMIF('TL13'!$C$10:$C$224,$C278,'TL13'!$J$10:$J$224),0),
IF('TL13'!$B$229=O$3,SUMIF('TL13'!$C$238:$C$451,$C278,'TL13'!$J$238:$J$451),0),
IF('TL14'!$B$3=O$3,SUMIF('TL14'!$C$10:$C$224,$C278,'TL14'!$J$10:$J$224),0),
IF('TL14'!$B$229=O$3,SUMIF('TL14'!$C$238:$C$451,$C278,'TL14'!$J$238:$J$451),0),
IF('TL15'!$B$3=O$3,SUMIF('TL15'!$C$10:$C$224,$C278,'TL15'!$J$10:$J$224),0),
IF('TL15'!$B$229=O$3,SUMIF('TL15'!$C$238:$C$451,$C278,'TL15'!$J$238:$J$451),0),
IF('TL16'!$B$3=O$3,SUMIF('TL16'!$C$10:$C$224,$C278,'TL16'!$J$10:$J$224),0),
IF('TL16'!$B$229=O$3,SUMIF('TL16'!$C$238:$C$451,$C278,'TL16'!$J$238:$J$451),0),
IF('TL17'!$B$3=O$3,SUMIF('TL17'!$C$10:$C$224,$C278,'TL17'!$J$10:$J$224),0),
IF('TL17'!$B$229=O$3,SUMIF('TL17'!$C$238:$C$451,$C278,'TL17'!$J$238:$J$451),0),
IF('TL18'!$B$3=O$3,SUMIF('TL18'!$C$10:$C$224,$C278,'TL18'!$J$10:$J$224),0),
IF('TL18'!$B$229=O$3,SUMIF('TL18'!$C$238:$C$451,$C278,'TL18'!$J$238:$J$451),0),
IF('TL19'!$B$3=O$3,SUMIF('TL19'!$C$10:$C$224,$C278,'TL19'!$J$10:$J$224),0),
IF('TL19'!$B$229=O$3,SUMIF('TL19'!$C$238:$C$451,$C278,'TL19'!$J$238:$J$451),0)
),0)</f>
        <v/>
      </c>
      <c r="P278" s="9">
        <f>IFERROR(SUM(
IF('TL01'!$B$3=P$3,SUMIF('TL01'!$C$10:$C$224,$C278,'TL01'!$J$10:$J$224),0),
IF('TL01'!$B$229=P$3,SUMIF('TL01'!$C$238:$C$451,$C278,'TL01'!$J$238:$J$451),0),
IF('TL02'!$B$3=P$3,SUMIF('TL02'!$C$10:$C$224,$C278,'TL02'!$J$10:$J$224),0),
IF('TL02'!$B$229=P$3,SUMIF('TL02'!$C$238:$C$451,$C278,'TL02'!$J$238:$J$451),0),
IF('TL03'!$B$3=P$3,SUMIF('TL03'!$C$10:$C$224,$C278,'TL03'!$J$10:$J$224),0),
IF('TL03'!$B$229=P$3,SUMIF('TL03'!$C$238:$C$451,$C278,'TL03'!$J$238:$J$451),0),
IF('TL04'!$B$3=P$3,SUMIF('TL04'!$C$10:$C$224,$C278,'TL04'!$J$10:$J$224),0),
IF('TL04'!$B$229=P$3,SUMIF('TL04'!$C$238:$C$451,$C278,'TL04'!$J$238:$J$451),0),
IF('TL05'!$B$3=P$3,SUMIF('TL05'!$C$10:$C$224,$C278,'TL05'!$J$10:$J$224),0),
IF('TL05'!$B$229=P$3,SUMIF('TL05'!$C$238:$C$451,$C278,'TL05'!$J$238:$J$451),0),
IF('TL06'!$B$3=P$3,SUMIF('TL06'!$C$10:$C$224,$C278,'TL06'!$J$10:$J$224),0),
IF('TL06'!$B$229=P$3,SUMIF('TL06'!$C$238:$C$451,$C278,'TL06'!$J$238:$J$451),0),
IF('TL07'!$B$3=P$3,SUMIF('TL07'!$C$10:$C$224,$C278,'TL07'!$J$10:$J$224),0),
IF('TL07'!$B$229=P$3,SUMIF('TL07'!$C$238:$C$451,$C278,'TL07'!$J$238:$J$451),0),
IF('TL08'!$B$3=P$3,SUMIF('TL08'!$C$10:$C$224,$C278,'TL08'!$J$10:$J$224),0),
IF('TL08'!$B$229=P$3,SUMIF('TL08'!$C$238:$C$451,$C278,'TL08'!$J$238:$J$451),0),
IF('TL09'!$B$3=P$3,SUMIF('TL09'!$C$10:$C$224,$C278,'TL09'!$J$10:$J$224),0),
IF('TL09'!$B$229=P$3,SUMIF('TL09'!$C$238:$C$451,$C278,'TL09'!$J$238:$J$451),0),
IF('TL10'!$B$3=P$3,SUMIF('TL10'!$C$10:$C$224,$C278,'TL10'!$J$10:$J$224),0),
IF('TL10'!$B$229=P$3,SUMIF('TL10'!$C$238:$C$451,$C278,'TL10'!$J$238:$J$451),0),
IF('TL11'!$B$3=P$3,SUMIF('TL11'!$C$10:$C$224,$C278,'TL11'!$J$10:$J$224),0),
IF('TL11'!$B$229=P$3,SUMIF('TL11'!$C$238:$C$451,$C278,'TL11'!$J$238:$J$451),0),
IF('TL12'!$B$3=P$3,SUMIF('TL12'!$C$10:$C$224,$C278,'TL12'!$J$10:$J$224),0),
IF('TL12'!$B$229=P$3,SUMIF('TL12'!$C$238:$C$451,$C278,'TL12'!$J$238:$J$451),0),
IF('TL13'!$B$3=P$3,SUMIF('TL13'!$C$10:$C$224,$C278,'TL13'!$J$10:$J$224),0),
IF('TL13'!$B$229=P$3,SUMIF('TL13'!$C$238:$C$451,$C278,'TL13'!$J$238:$J$451),0),
IF('TL14'!$B$3=P$3,SUMIF('TL14'!$C$10:$C$224,$C278,'TL14'!$J$10:$J$224),0),
IF('TL14'!$B$229=P$3,SUMIF('TL14'!$C$238:$C$451,$C278,'TL14'!$J$238:$J$451),0),
IF('TL15'!$B$3=P$3,SUMIF('TL15'!$C$10:$C$224,$C278,'TL15'!$J$10:$J$224),0),
IF('TL15'!$B$229=P$3,SUMIF('TL15'!$C$238:$C$451,$C278,'TL15'!$J$238:$J$451),0),
IF('TL16'!$B$3=P$3,SUMIF('TL16'!$C$10:$C$224,$C278,'TL16'!$J$10:$J$224),0),
IF('TL16'!$B$229=P$3,SUMIF('TL16'!$C$238:$C$451,$C278,'TL16'!$J$238:$J$451),0),
IF('TL17'!$B$3=P$3,SUMIF('TL17'!$C$10:$C$224,$C278,'TL17'!$J$10:$J$224),0),
IF('TL17'!$B$229=P$3,SUMIF('TL17'!$C$238:$C$451,$C278,'TL17'!$J$238:$J$451),0),
IF('TL18'!$B$3=P$3,SUMIF('TL18'!$C$10:$C$224,$C278,'TL18'!$J$10:$J$224),0),
IF('TL18'!$B$229=P$3,SUMIF('TL18'!$C$238:$C$451,$C278,'TL18'!$J$238:$J$451),0),
IF('TL19'!$B$3=P$3,SUMIF('TL19'!$C$10:$C$224,$C278,'TL19'!$J$10:$J$224),0),
IF('TL19'!$B$229=P$3,SUMIF('TL19'!$C$238:$C$451,$C278,'TL19'!$J$238:$J$451),0)
),0)</f>
        <v/>
      </c>
      <c r="Q278" s="9">
        <f>IFERROR(SUM(
IF('TL01'!$B$3=Q$3,SUMIF('TL01'!$C$10:$C$224,$C278,'TL01'!$J$10:$J$224),0),
IF('TL01'!$B$229=Q$3,SUMIF('TL01'!$C$238:$C$451,$C278,'TL01'!$J$238:$J$451),0),
IF('TL02'!$B$3=Q$3,SUMIF('TL02'!$C$10:$C$224,$C278,'TL02'!$J$10:$J$224),0),
IF('TL02'!$B$229=Q$3,SUMIF('TL02'!$C$238:$C$451,$C278,'TL02'!$J$238:$J$451),0),
IF('TL03'!$B$3=Q$3,SUMIF('TL03'!$C$10:$C$224,$C278,'TL03'!$J$10:$J$224),0),
IF('TL03'!$B$229=Q$3,SUMIF('TL03'!$C$238:$C$451,$C278,'TL03'!$J$238:$J$451),0),
IF('TL04'!$B$3=Q$3,SUMIF('TL04'!$C$10:$C$224,$C278,'TL04'!$J$10:$J$224),0),
IF('TL04'!$B$229=Q$3,SUMIF('TL04'!$C$238:$C$451,$C278,'TL04'!$J$238:$J$451),0),
IF('TL05'!$B$3=Q$3,SUMIF('TL05'!$C$10:$C$224,$C278,'TL05'!$J$10:$J$224),0),
IF('TL05'!$B$229=Q$3,SUMIF('TL05'!$C$238:$C$451,$C278,'TL05'!$J$238:$J$451),0),
IF('TL06'!$B$3=Q$3,SUMIF('TL06'!$C$10:$C$224,$C278,'TL06'!$J$10:$J$224),0),
IF('TL06'!$B$229=Q$3,SUMIF('TL06'!$C$238:$C$451,$C278,'TL06'!$J$238:$J$451),0),
IF('TL07'!$B$3=Q$3,SUMIF('TL07'!$C$10:$C$224,$C278,'TL07'!$J$10:$J$224),0),
IF('TL07'!$B$229=Q$3,SUMIF('TL07'!$C$238:$C$451,$C278,'TL07'!$J$238:$J$451),0),
IF('TL08'!$B$3=Q$3,SUMIF('TL08'!$C$10:$C$224,$C278,'TL08'!$J$10:$J$224),0),
IF('TL08'!$B$229=Q$3,SUMIF('TL08'!$C$238:$C$451,$C278,'TL08'!$J$238:$J$451),0),
IF('TL09'!$B$3=Q$3,SUMIF('TL09'!$C$10:$C$224,$C278,'TL09'!$J$10:$J$224),0),
IF('TL09'!$B$229=Q$3,SUMIF('TL09'!$C$238:$C$451,$C278,'TL09'!$J$238:$J$451),0),
IF('TL10'!$B$3=Q$3,SUMIF('TL10'!$C$10:$C$224,$C278,'TL10'!$J$10:$J$224),0),
IF('TL10'!$B$229=Q$3,SUMIF('TL10'!$C$238:$C$451,$C278,'TL10'!$J$238:$J$451),0),
IF('TL11'!$B$3=Q$3,SUMIF('TL11'!$C$10:$C$224,$C278,'TL11'!$J$10:$J$224),0),
IF('TL11'!$B$229=Q$3,SUMIF('TL11'!$C$238:$C$451,$C278,'TL11'!$J$238:$J$451),0),
IF('TL12'!$B$3=Q$3,SUMIF('TL12'!$C$10:$C$224,$C278,'TL12'!$J$10:$J$224),0),
IF('TL12'!$B$229=Q$3,SUMIF('TL12'!$C$238:$C$451,$C278,'TL12'!$J$238:$J$451),0),
IF('TL13'!$B$3=Q$3,SUMIF('TL13'!$C$10:$C$224,$C278,'TL13'!$J$10:$J$224),0),
IF('TL13'!$B$229=Q$3,SUMIF('TL13'!$C$238:$C$451,$C278,'TL13'!$J$238:$J$451),0),
IF('TL14'!$B$3=Q$3,SUMIF('TL14'!$C$10:$C$224,$C278,'TL14'!$J$10:$J$224),0),
IF('TL14'!$B$229=Q$3,SUMIF('TL14'!$C$238:$C$451,$C278,'TL14'!$J$238:$J$451),0),
IF('TL15'!$B$3=Q$3,SUMIF('TL15'!$C$10:$C$224,$C278,'TL15'!$J$10:$J$224),0),
IF('TL15'!$B$229=Q$3,SUMIF('TL15'!$C$238:$C$451,$C278,'TL15'!$J$238:$J$451),0),
IF('TL16'!$B$3=Q$3,SUMIF('TL16'!$C$10:$C$224,$C278,'TL16'!$J$10:$J$224),0),
IF('TL16'!$B$229=Q$3,SUMIF('TL16'!$C$238:$C$451,$C278,'TL16'!$J$238:$J$451),0),
IF('TL17'!$B$3=Q$3,SUMIF('TL17'!$C$10:$C$224,$C278,'TL17'!$J$10:$J$224),0),
IF('TL17'!$B$229=Q$3,SUMIF('TL17'!$C$238:$C$451,$C278,'TL17'!$J$238:$J$451),0),
IF('TL18'!$B$3=Q$3,SUMIF('TL18'!$C$10:$C$224,$C278,'TL18'!$J$10:$J$224),0),
IF('TL18'!$B$229=Q$3,SUMIF('TL18'!$C$238:$C$451,$C278,'TL18'!$J$238:$J$451),0),
IF('TL19'!$B$3=Q$3,SUMIF('TL19'!$C$10:$C$224,$C278,'TL19'!$J$10:$J$224),0),
IF('TL19'!$B$229=Q$3,SUMIF('TL19'!$C$238:$C$451,$C278,'TL19'!$J$238:$J$451),0)
),0)</f>
        <v/>
      </c>
      <c r="R278" s="9">
        <f>IFERROR(
SUM(
SUMIF('TL01'!C:C,C278,'TL01'!J:J),
SUMIF('TL02'!C:C,C278,'TL02'!J:J),
SUMIF('TL03'!C:C,C278,'TL03'!J:J),
SUMIF('TL04'!C:C,C278,'TL04'!J:J),
SUMIF('TL05'!C:C,C278,'TL05'!J:J),
SUMIF('TL06'!C:C,C278,'TL06'!J:J),
SUMIF('TL07'!C:C,C278,'TL07'!J:J),
SUMIF('TL08'!C:C,C278,'TL08'!J:J),
SUMIF('TL09'!C:C,C278,'TL09'!J:J),
SUMIF('TL10'!C:C,C278,'TL10'!J:J),
SUMIF('TL11'!C:C,C278,'TL11'!J:J),
SUMIF('TL12'!C:C,C278,'TL12'!J:J),
SUMIF('TL13'!C:C,C278,'TL13'!J:J),
SUMIF('TL14'!C:C,C278,'TL14'!J:J),
SUMIF('TL15'!C:C,C278,'TL15'!J:J),
SUMIF('TL16'!C:C,C278,'TL16'!J:J),
SUMIF('TL17'!C:C,C278,'TL17'!J:J),
SUMIF('TL18'!C:C,C278,'TL18'!J:J),SUMIF('TL19'!C:C,C278,'TL19'!J:J))
,0)</f>
        <v/>
      </c>
      <c r="S278" s="17">
        <f>IFERROR(__xludf.DUMMYFUNCTION("IFERROR(VLOOKUP(C278,
IMPORTRANGE(""1wULbzX32WdYsx-lj2U3uUNBBe2INVIRDtcK0d-Dvl90"",
""26-27!C:G""),
5,
FALSE),
"""")"),21.0)</f>
        <v/>
      </c>
      <c r="T278" s="9" t="n"/>
      <c r="U278" s="92">
        <f>MAX(0,R278-T278)</f>
        <v/>
      </c>
      <c r="V278" s="93">
        <f>U278*S278</f>
        <v/>
      </c>
    </row>
    <row r="279" hidden="1" ht="15.75" customHeight="1" s="297">
      <c r="A279" s="4" t="inlineStr">
        <is>
          <t>GRAN7</t>
        </is>
      </c>
      <c r="B279" s="125" t="inlineStr">
        <is>
          <t>NUTRIÇÃO</t>
        </is>
      </c>
      <c r="C279" s="4" t="inlineStr">
        <is>
          <t>Brave K</t>
        </is>
      </c>
      <c r="D279" s="4" t="inlineStr">
        <is>
          <t>N 5%, K2O 28%, 2% Aminoácidos + 2% EDTA</t>
        </is>
      </c>
      <c r="E279" s="9" t="n"/>
      <c r="F279" s="4" t="inlineStr">
        <is>
          <t>L</t>
        </is>
      </c>
      <c r="G279" s="9" t="n"/>
      <c r="H279" s="9" t="n">
        <v>3</v>
      </c>
      <c r="I279" s="1" t="n"/>
      <c r="J279" s="9">
        <f>IFERROR(SUM(
IF('TL01'!$B$3=J$3,SUMIF('TL01'!$C$10:$C$224,$C279,'TL01'!$J$10:$J$224),0),
IF('TL01'!$B$229=J$3,SUMIF('TL01'!$C$238:$C$451,$C279,'TL01'!$J$238:$J$451),0),
IF('TL02'!$B$3=J$3,SUMIF('TL02'!$C$10:$C$224,$C279,'TL02'!$J$10:$J$224),0),
IF('TL02'!$B$229=J$3,SUMIF('TL02'!$C$238:$C$451,$C279,'TL02'!$J$238:$J$451),0),
IF('TL03'!$B$3=J$3,SUMIF('TL03'!$C$10:$C$224,$C279,'TL03'!$J$10:$J$224),0),
IF('TL03'!$B$229=J$3,SUMIF('TL03'!$C$238:$C$451,$C279,'TL03'!$J$238:$J$451),0),
IF('TL04'!$B$3=J$3,SUMIF('TL04'!$C$10:$C$224,$C279,'TL04'!$J$10:$J$224),0),
IF('TL04'!$B$229=J$3,SUMIF('TL04'!$C$238:$C$451,$C279,'TL04'!$J$238:$J$451),0),
IF('TL05'!$B$3=J$3,SUMIF('TL05'!$C$10:$C$224,$C279,'TL05'!$J$10:$J$224),0),
IF('TL05'!$B$229=J$3,SUMIF('TL05'!$C$238:$C$451,$C279,'TL05'!$J$238:$J$451),0),
IF('TL06'!$B$3=J$3,SUMIF('TL06'!$C$10:$C$224,$C279,'TL06'!$J$10:$J$224),0),
IF('TL06'!$B$229=J$3,SUMIF('TL06'!$C$238:$C$451,$C279,'TL06'!$J$238:$J$451),0),
IF('TL07'!$B$3=J$3,SUMIF('TL07'!$C$10:$C$224,$C279,'TL07'!$J$10:$J$224),0),
IF('TL07'!$B$229=J$3,SUMIF('TL07'!$C$238:$C$451,$C279,'TL07'!$J$238:$J$451),0),
IF('TL08'!$B$3=J$3,SUMIF('TL08'!$C$10:$C$224,$C279,'TL08'!$J$10:$J$224),0),
IF('TL08'!$B$229=J$3,SUMIF('TL08'!$C$238:$C$451,$C279,'TL08'!$J$238:$J$451),0),
IF('TL09'!$B$3=J$3,SUMIF('TL09'!$C$10:$C$224,$C279,'TL09'!$J$10:$J$224),0),
IF('TL09'!$B$229=J$3,SUMIF('TL09'!$C$238:$C$451,$C279,'TL09'!$J$238:$J$451),0),
IF('TL10'!$B$3=J$3,SUMIF('TL10'!$C$10:$C$224,$C279,'TL10'!$J$10:$J$224),0),
IF('TL10'!$B$229=J$3,SUMIF('TL10'!$C$238:$C$451,$C279,'TL10'!$J$238:$J$451),0),
IF('TL11'!$B$3=J$3,SUMIF('TL11'!$C$10:$C$224,$C279,'TL11'!$J$10:$J$224),0),
IF('TL11'!$B$229=J$3,SUMIF('TL11'!$C$238:$C$451,$C279,'TL11'!$J$238:$J$451),0),
IF('TL12'!$B$3=J$3,SUMIF('TL12'!$C$10:$C$224,$C279,'TL12'!$J$10:$J$224),0),
IF('TL12'!$B$229=J$3,SUMIF('TL12'!$C$238:$C$451,$C279,'TL12'!$J$238:$J$451),0),
IF('TL13'!$B$3=J$3,SUMIF('TL13'!$C$10:$C$224,$C279,'TL13'!$J$10:$J$224),0),
IF('TL13'!$B$229=J$3,SUMIF('TL13'!$C$238:$C$451,$C279,'TL13'!$J$238:$J$451),0),
IF('TL14'!$B$3=J$3,SUMIF('TL14'!$C$10:$C$224,$C279,'TL14'!$J$10:$J$224),0),
IF('TL14'!$B$229=J$3,SUMIF('TL14'!$C$238:$C$451,$C279,'TL14'!$J$238:$J$451),0),
IF('TL15'!$B$3=J$3,SUMIF('TL15'!$C$10:$C$224,$C279,'TL15'!$J$10:$J$224),0),
IF('TL15'!$B$229=J$3,SUMIF('TL15'!$C$238:$C$451,$C279,'TL15'!$J$238:$J$451),0),
IF('TL16'!$B$3=J$3,SUMIF('TL16'!$C$10:$C$224,$C279,'TL16'!$J$10:$J$224),0),
IF('TL16'!$B$229=J$3,SUMIF('TL16'!$C$238:$C$451,$C279,'TL16'!$J$238:$J$451),0),
IF('TL17'!$B$3=J$3,SUMIF('TL17'!$C$10:$C$224,$C279,'TL17'!$J$10:$J$224),0),
IF('TL17'!$B$229=J$3,SUMIF('TL17'!$C$238:$C$451,$C279,'TL17'!$J$238:$J$451),0),
IF('TL18'!$B$3=J$3,SUMIF('TL18'!$C$10:$C$224,$C279,'TL18'!$J$10:$J$224),0),
IF('TL18'!$B$229=J$3,SUMIF('TL18'!$C$238:$C$451,$C279,'TL18'!$J$238:$J$451),0),
IF('TL19'!$B$3=J$3,SUMIF('TL19'!$C$10:$C$224,$C279,'TL19'!$J$10:$J$224),0),
IF('TL19'!$B$229=J$3,SUMIF('TL19'!$C$238:$C$451,$C279,'TL19'!$J$238:$J$451),0)
),0)</f>
        <v/>
      </c>
      <c r="K279" s="9">
        <f>IFERROR(SUM(
IF('TL01'!$B$3=K$3,SUMIF('TL01'!$C$10:$C$224,$C279,'TL01'!$J$10:$J$224),0),
IF('TL01'!$B$229=K$3,SUMIF('TL01'!$C$238:$C$451,$C279,'TL01'!$J$238:$J$451),0),
IF('TL02'!$B$3=K$3,SUMIF('TL02'!$C$10:$C$224,$C279,'TL02'!$J$10:$J$224),0),
IF('TL02'!$B$229=K$3,SUMIF('TL02'!$C$238:$C$451,$C279,'TL02'!$J$238:$J$451),0),
IF('TL03'!$B$3=K$3,SUMIF('TL03'!$C$10:$C$224,$C279,'TL03'!$J$10:$J$224),0),
IF('TL03'!$B$229=K$3,SUMIF('TL03'!$C$238:$C$451,$C279,'TL03'!$J$238:$J$451),0),
IF('TL04'!$B$3=K$3,SUMIF('TL04'!$C$10:$C$224,$C279,'TL04'!$J$10:$J$224),0),
IF('TL04'!$B$229=K$3,SUMIF('TL04'!$C$238:$C$451,$C279,'TL04'!$J$238:$J$451),0),
IF('TL05'!$B$3=K$3,SUMIF('TL05'!$C$10:$C$224,$C279,'TL05'!$J$10:$J$224),0),
IF('TL05'!$B$229=K$3,SUMIF('TL05'!$C$238:$C$451,$C279,'TL05'!$J$238:$J$451),0),
IF('TL06'!$B$3=K$3,SUMIF('TL06'!$C$10:$C$224,$C279,'TL06'!$J$10:$J$224),0),
IF('TL06'!$B$229=K$3,SUMIF('TL06'!$C$238:$C$451,$C279,'TL06'!$J$238:$J$451),0),
IF('TL07'!$B$3=K$3,SUMIF('TL07'!$C$10:$C$224,$C279,'TL07'!$J$10:$J$224),0),
IF('TL07'!$B$229=K$3,SUMIF('TL07'!$C$238:$C$451,$C279,'TL07'!$J$238:$J$451),0),
IF('TL08'!$B$3=K$3,SUMIF('TL08'!$C$10:$C$224,$C279,'TL08'!$J$10:$J$224),0),
IF('TL08'!$B$229=K$3,SUMIF('TL08'!$C$238:$C$451,$C279,'TL08'!$J$238:$J$451),0),
IF('TL09'!$B$3=K$3,SUMIF('TL09'!$C$10:$C$224,$C279,'TL09'!$J$10:$J$224),0),
IF('TL09'!$B$229=K$3,SUMIF('TL09'!$C$238:$C$451,$C279,'TL09'!$J$238:$J$451),0),
IF('TL10'!$B$3=K$3,SUMIF('TL10'!$C$10:$C$224,$C279,'TL10'!$J$10:$J$224),0),
IF('TL10'!$B$229=K$3,SUMIF('TL10'!$C$238:$C$451,$C279,'TL10'!$J$238:$J$451),0),
IF('TL11'!$B$3=K$3,SUMIF('TL11'!$C$10:$C$224,$C279,'TL11'!$J$10:$J$224),0),
IF('TL11'!$B$229=K$3,SUMIF('TL11'!$C$238:$C$451,$C279,'TL11'!$J$238:$J$451),0),
IF('TL12'!$B$3=K$3,SUMIF('TL12'!$C$10:$C$224,$C279,'TL12'!$J$10:$J$224),0),
IF('TL12'!$B$229=K$3,SUMIF('TL12'!$C$238:$C$451,$C279,'TL12'!$J$238:$J$451),0),
IF('TL13'!$B$3=K$3,SUMIF('TL13'!$C$10:$C$224,$C279,'TL13'!$J$10:$J$224),0),
IF('TL13'!$B$229=K$3,SUMIF('TL13'!$C$238:$C$451,$C279,'TL13'!$J$238:$J$451),0),
IF('TL14'!$B$3=K$3,SUMIF('TL14'!$C$10:$C$224,$C279,'TL14'!$J$10:$J$224),0),
IF('TL14'!$B$229=K$3,SUMIF('TL14'!$C$238:$C$451,$C279,'TL14'!$J$238:$J$451),0),
IF('TL15'!$B$3=K$3,SUMIF('TL15'!$C$10:$C$224,$C279,'TL15'!$J$10:$J$224),0),
IF('TL15'!$B$229=K$3,SUMIF('TL15'!$C$238:$C$451,$C279,'TL15'!$J$238:$J$451),0),
IF('TL16'!$B$3=K$3,SUMIF('TL16'!$C$10:$C$224,$C279,'TL16'!$J$10:$J$224),0),
IF('TL16'!$B$229=K$3,SUMIF('TL16'!$C$238:$C$451,$C279,'TL16'!$J$238:$J$451),0),
IF('TL17'!$B$3=K$3,SUMIF('TL17'!$C$10:$C$224,$C279,'TL17'!$J$10:$J$224),0),
IF('TL17'!$B$229=K$3,SUMIF('TL17'!$C$238:$C$451,$C279,'TL17'!$J$238:$J$451),0),
IF('TL18'!$B$3=K$3,SUMIF('TL18'!$C$10:$C$224,$C279,'TL18'!$J$10:$J$224),0),
IF('TL18'!$B$229=K$3,SUMIF('TL18'!$C$238:$C$451,$C279,'TL18'!$J$238:$J$451),0),
IF('TL19'!$B$3=K$3,SUMIF('TL19'!$C$10:$C$224,$C279,'TL19'!$J$10:$J$224),0),
IF('TL19'!$B$229=K$3,SUMIF('TL19'!$C$238:$C$451,$C279,'TL19'!$J$238:$J$451),0)
),0)</f>
        <v/>
      </c>
      <c r="L279" s="9">
        <f>IFERROR(SUM(
IF('TL01'!$B$3=L$3,SUMIF('TL01'!$C$10:$C$224,$C279,'TL01'!$J$10:$J$224),0),
IF('TL01'!$B$229=L$3,SUMIF('TL01'!$C$238:$C$451,$C279,'TL01'!$J$238:$J$451),0),
IF('TL02'!$B$3=L$3,SUMIF('TL02'!$C$10:$C$224,$C279,'TL02'!$J$10:$J$224),0),
IF('TL02'!$B$229=L$3,SUMIF('TL02'!$C$238:$C$451,$C279,'TL02'!$J$238:$J$451),0),
IF('TL03'!$B$3=L$3,SUMIF('TL03'!$C$10:$C$224,$C279,'TL03'!$J$10:$J$224),0),
IF('TL03'!$B$229=L$3,SUMIF('TL03'!$C$238:$C$451,$C279,'TL03'!$J$238:$J$451),0),
IF('TL04'!$B$3=L$3,SUMIF('TL04'!$C$10:$C$224,$C279,'TL04'!$J$10:$J$224),0),
IF('TL04'!$B$229=L$3,SUMIF('TL04'!$C$238:$C$451,$C279,'TL04'!$J$238:$J$451),0),
IF('TL05'!$B$3=L$3,SUMIF('TL05'!$C$10:$C$224,$C279,'TL05'!$J$10:$J$224),0),
IF('TL05'!$B$229=L$3,SUMIF('TL05'!$C$238:$C$451,$C279,'TL05'!$J$238:$J$451),0),
IF('TL06'!$B$3=L$3,SUMIF('TL06'!$C$10:$C$224,$C279,'TL06'!$J$10:$J$224),0),
IF('TL06'!$B$229=L$3,SUMIF('TL06'!$C$238:$C$451,$C279,'TL06'!$J$238:$J$451),0),
IF('TL07'!$B$3=L$3,SUMIF('TL07'!$C$10:$C$224,$C279,'TL07'!$J$10:$J$224),0),
IF('TL07'!$B$229=L$3,SUMIF('TL07'!$C$238:$C$451,$C279,'TL07'!$J$238:$J$451),0),
IF('TL08'!$B$3=L$3,SUMIF('TL08'!$C$10:$C$224,$C279,'TL08'!$J$10:$J$224),0),
IF('TL08'!$B$229=L$3,SUMIF('TL08'!$C$238:$C$451,$C279,'TL08'!$J$238:$J$451),0),
IF('TL09'!$B$3=L$3,SUMIF('TL09'!$C$10:$C$224,$C279,'TL09'!$J$10:$J$224),0),
IF('TL09'!$B$229=L$3,SUMIF('TL09'!$C$238:$C$451,$C279,'TL09'!$J$238:$J$451),0),
IF('TL10'!$B$3=L$3,SUMIF('TL10'!$C$10:$C$224,$C279,'TL10'!$J$10:$J$224),0),
IF('TL10'!$B$229=L$3,SUMIF('TL10'!$C$238:$C$451,$C279,'TL10'!$J$238:$J$451),0),
IF('TL11'!$B$3=L$3,SUMIF('TL11'!$C$10:$C$224,$C279,'TL11'!$J$10:$J$224),0),
IF('TL11'!$B$229=L$3,SUMIF('TL11'!$C$238:$C$451,$C279,'TL11'!$J$238:$J$451),0),
IF('TL12'!$B$3=L$3,SUMIF('TL12'!$C$10:$C$224,$C279,'TL12'!$J$10:$J$224),0),
IF('TL12'!$B$229=L$3,SUMIF('TL12'!$C$238:$C$451,$C279,'TL12'!$J$238:$J$451),0),
IF('TL13'!$B$3=L$3,SUMIF('TL13'!$C$10:$C$224,$C279,'TL13'!$J$10:$J$224),0),
IF('TL13'!$B$229=L$3,SUMIF('TL13'!$C$238:$C$451,$C279,'TL13'!$J$238:$J$451),0),
IF('TL14'!$B$3=L$3,SUMIF('TL14'!$C$10:$C$224,$C279,'TL14'!$J$10:$J$224),0),
IF('TL14'!$B$229=L$3,SUMIF('TL14'!$C$238:$C$451,$C279,'TL14'!$J$238:$J$451),0),
IF('TL15'!$B$3=L$3,SUMIF('TL15'!$C$10:$C$224,$C279,'TL15'!$J$10:$J$224),0),
IF('TL15'!$B$229=L$3,SUMIF('TL15'!$C$238:$C$451,$C279,'TL15'!$J$238:$J$451),0),
IF('TL16'!$B$3=L$3,SUMIF('TL16'!$C$10:$C$224,$C279,'TL16'!$J$10:$J$224),0),
IF('TL16'!$B$229=L$3,SUMIF('TL16'!$C$238:$C$451,$C279,'TL16'!$J$238:$J$451),0),
IF('TL17'!$B$3=L$3,SUMIF('TL17'!$C$10:$C$224,$C279,'TL17'!$J$10:$J$224),0),
IF('TL17'!$B$229=L$3,SUMIF('TL17'!$C$238:$C$451,$C279,'TL17'!$J$238:$J$451),0),
IF('TL18'!$B$3=L$3,SUMIF('TL18'!$C$10:$C$224,$C279,'TL18'!$J$10:$J$224),0),
IF('TL18'!$B$229=L$3,SUMIF('TL18'!$C$238:$C$451,$C279,'TL18'!$J$238:$J$451),0),
IF('TL19'!$B$3=L$3,SUMIF('TL19'!$C$10:$C$224,$C279,'TL19'!$J$10:$J$224),0),
IF('TL19'!$B$229=L$3,SUMIF('TL19'!$C$238:$C$451,$C279,'TL19'!$J$238:$J$451),0)
),0)</f>
        <v/>
      </c>
      <c r="M279" s="9">
        <f>IFERROR(SUM(
IF('TL01'!$B$3=M$3,SUMIF('TL01'!$C$10:$C$224,$C279,'TL01'!$J$10:$J$224),0),
IF('TL01'!$B$229=M$3,SUMIF('TL01'!$C$238:$C$451,$C279,'TL01'!$J$238:$J$451),0),
IF('TL02'!$B$3=M$3,SUMIF('TL02'!$C$10:$C$224,$C279,'TL02'!$J$10:$J$224),0),
IF('TL02'!$B$229=M$3,SUMIF('TL02'!$C$238:$C$451,$C279,'TL02'!$J$238:$J$451),0),
IF('TL03'!$B$3=M$3,SUMIF('TL03'!$C$10:$C$224,$C279,'TL03'!$J$10:$J$224),0),
IF('TL03'!$B$229=M$3,SUMIF('TL03'!$C$238:$C$451,$C279,'TL03'!$J$238:$J$451),0),
IF('TL04'!$B$3=M$3,SUMIF('TL04'!$C$10:$C$224,$C279,'TL04'!$J$10:$J$224),0),
IF('TL04'!$B$229=M$3,SUMIF('TL04'!$C$238:$C$451,$C279,'TL04'!$J$238:$J$451),0),
IF('TL05'!$B$3=M$3,SUMIF('TL05'!$C$10:$C$224,$C279,'TL05'!$J$10:$J$224),0),
IF('TL05'!$B$229=M$3,SUMIF('TL05'!$C$238:$C$451,$C279,'TL05'!$J$238:$J$451),0),
IF('TL06'!$B$3=M$3,SUMIF('TL06'!$C$10:$C$224,$C279,'TL06'!$J$10:$J$224),0),
IF('TL06'!$B$229=M$3,SUMIF('TL06'!$C$238:$C$451,$C279,'TL06'!$J$238:$J$451),0),
IF('TL07'!$B$3=M$3,SUMIF('TL07'!$C$10:$C$224,$C279,'TL07'!$J$10:$J$224),0),
IF('TL07'!$B$229=M$3,SUMIF('TL07'!$C$238:$C$451,$C279,'TL07'!$J$238:$J$451),0),
IF('TL08'!$B$3=M$3,SUMIF('TL08'!$C$10:$C$224,$C279,'TL08'!$J$10:$J$224),0),
IF('TL08'!$B$229=M$3,SUMIF('TL08'!$C$238:$C$451,$C279,'TL08'!$J$238:$J$451),0),
IF('TL09'!$B$3=M$3,SUMIF('TL09'!$C$10:$C$224,$C279,'TL09'!$J$10:$J$224),0),
IF('TL09'!$B$229=M$3,SUMIF('TL09'!$C$238:$C$451,$C279,'TL09'!$J$238:$J$451),0),
IF('TL10'!$B$3=M$3,SUMIF('TL10'!$C$10:$C$224,$C279,'TL10'!$J$10:$J$224),0),
IF('TL10'!$B$229=M$3,SUMIF('TL10'!$C$238:$C$451,$C279,'TL10'!$J$238:$J$451),0),
IF('TL11'!$B$3=M$3,SUMIF('TL11'!$C$10:$C$224,$C279,'TL11'!$J$10:$J$224),0),
IF('TL11'!$B$229=M$3,SUMIF('TL11'!$C$238:$C$451,$C279,'TL11'!$J$238:$J$451),0),
IF('TL12'!$B$3=M$3,SUMIF('TL12'!$C$10:$C$224,$C279,'TL12'!$J$10:$J$224),0),
IF('TL12'!$B$229=M$3,SUMIF('TL12'!$C$238:$C$451,$C279,'TL12'!$J$238:$J$451),0),
IF('TL13'!$B$3=M$3,SUMIF('TL13'!$C$10:$C$224,$C279,'TL13'!$J$10:$J$224),0),
IF('TL13'!$B$229=M$3,SUMIF('TL13'!$C$238:$C$451,$C279,'TL13'!$J$238:$J$451),0),
IF('TL14'!$B$3=M$3,SUMIF('TL14'!$C$10:$C$224,$C279,'TL14'!$J$10:$J$224),0),
IF('TL14'!$B$229=M$3,SUMIF('TL14'!$C$238:$C$451,$C279,'TL14'!$J$238:$J$451),0),
IF('TL15'!$B$3=M$3,SUMIF('TL15'!$C$10:$C$224,$C279,'TL15'!$J$10:$J$224),0),
IF('TL15'!$B$229=M$3,SUMIF('TL15'!$C$238:$C$451,$C279,'TL15'!$J$238:$J$451),0),
IF('TL16'!$B$3=M$3,SUMIF('TL16'!$C$10:$C$224,$C279,'TL16'!$J$10:$J$224),0),
IF('TL16'!$B$229=M$3,SUMIF('TL16'!$C$238:$C$451,$C279,'TL16'!$J$238:$J$451),0),
IF('TL17'!$B$3=M$3,SUMIF('TL17'!$C$10:$C$224,$C279,'TL17'!$J$10:$J$224),0),
IF('TL17'!$B$229=M$3,SUMIF('TL17'!$C$238:$C$451,$C279,'TL17'!$J$238:$J$451),0),
IF('TL18'!$B$3=M$3,SUMIF('TL18'!$C$10:$C$224,$C279,'TL18'!$J$10:$J$224),0),
IF('TL18'!$B$229=M$3,SUMIF('TL18'!$C$238:$C$451,$C279,'TL18'!$J$238:$J$451),0),
IF('TL19'!$B$3=M$3,SUMIF('TL19'!$C$10:$C$224,$C279,'TL19'!$J$10:$J$224),0),
IF('TL19'!$B$229=M$3,SUMIF('TL19'!$C$238:$C$451,$C279,'TL19'!$J$238:$J$451),0)
),0)</f>
        <v/>
      </c>
      <c r="N279" s="9">
        <f>IFERROR(SUM(
IF('TL01'!$B$3=N$3,SUMIF('TL01'!$C$10:$C$224,$C279,'TL01'!$J$10:$J$224),0),
IF('TL01'!$B$229=N$3,SUMIF('TL01'!$C$238:$C$451,$C279,'TL01'!$J$238:$J$451),0),
IF('TL02'!$B$3=N$3,SUMIF('TL02'!$C$10:$C$224,$C279,'TL02'!$J$10:$J$224),0),
IF('TL02'!$B$229=N$3,SUMIF('TL02'!$C$238:$C$451,$C279,'TL02'!$J$238:$J$451),0),
IF('TL03'!$B$3=N$3,SUMIF('TL03'!$C$10:$C$224,$C279,'TL03'!$J$10:$J$224),0),
IF('TL03'!$B$229=N$3,SUMIF('TL03'!$C$238:$C$451,$C279,'TL03'!$J$238:$J$451),0),
IF('TL04'!$B$3=N$3,SUMIF('TL04'!$C$10:$C$224,$C279,'TL04'!$J$10:$J$224),0),
IF('TL04'!$B$229=N$3,SUMIF('TL04'!$C$238:$C$451,$C279,'TL04'!$J$238:$J$451),0),
IF('TL05'!$B$3=N$3,SUMIF('TL05'!$C$10:$C$224,$C279,'TL05'!$J$10:$J$224),0),
IF('TL05'!$B$229=N$3,SUMIF('TL05'!$C$238:$C$451,$C279,'TL05'!$J$238:$J$451),0),
IF('TL06'!$B$3=N$3,SUMIF('TL06'!$C$10:$C$224,$C279,'TL06'!$J$10:$J$224),0),
IF('TL06'!$B$229=N$3,SUMIF('TL06'!$C$238:$C$451,$C279,'TL06'!$J$238:$J$451),0),
IF('TL07'!$B$3=N$3,SUMIF('TL07'!$C$10:$C$224,$C279,'TL07'!$J$10:$J$224),0),
IF('TL07'!$B$229=N$3,SUMIF('TL07'!$C$238:$C$451,$C279,'TL07'!$J$238:$J$451),0),
IF('TL08'!$B$3=N$3,SUMIF('TL08'!$C$10:$C$224,$C279,'TL08'!$J$10:$J$224),0),
IF('TL08'!$B$229=N$3,SUMIF('TL08'!$C$238:$C$451,$C279,'TL08'!$J$238:$J$451),0),
IF('TL09'!$B$3=N$3,SUMIF('TL09'!$C$10:$C$224,$C279,'TL09'!$J$10:$J$224),0),
IF('TL09'!$B$229=N$3,SUMIF('TL09'!$C$238:$C$451,$C279,'TL09'!$J$238:$J$451),0),
IF('TL10'!$B$3=N$3,SUMIF('TL10'!$C$10:$C$224,$C279,'TL10'!$J$10:$J$224),0),
IF('TL10'!$B$229=N$3,SUMIF('TL10'!$C$238:$C$451,$C279,'TL10'!$J$238:$J$451),0),
IF('TL11'!$B$3=N$3,SUMIF('TL11'!$C$10:$C$224,$C279,'TL11'!$J$10:$J$224),0),
IF('TL11'!$B$229=N$3,SUMIF('TL11'!$C$238:$C$451,$C279,'TL11'!$J$238:$J$451),0),
IF('TL12'!$B$3=N$3,SUMIF('TL12'!$C$10:$C$224,$C279,'TL12'!$J$10:$J$224),0),
IF('TL12'!$B$229=N$3,SUMIF('TL12'!$C$238:$C$451,$C279,'TL12'!$J$238:$J$451),0),
IF('TL13'!$B$3=N$3,SUMIF('TL13'!$C$10:$C$224,$C279,'TL13'!$J$10:$J$224),0),
IF('TL13'!$B$229=N$3,SUMIF('TL13'!$C$238:$C$451,$C279,'TL13'!$J$238:$J$451),0),
IF('TL14'!$B$3=N$3,SUMIF('TL14'!$C$10:$C$224,$C279,'TL14'!$J$10:$J$224),0),
IF('TL14'!$B$229=N$3,SUMIF('TL14'!$C$238:$C$451,$C279,'TL14'!$J$238:$J$451),0),
IF('TL15'!$B$3=N$3,SUMIF('TL15'!$C$10:$C$224,$C279,'TL15'!$J$10:$J$224),0),
IF('TL15'!$B$229=N$3,SUMIF('TL15'!$C$238:$C$451,$C279,'TL15'!$J$238:$J$451),0),
IF('TL16'!$B$3=N$3,SUMIF('TL16'!$C$10:$C$224,$C279,'TL16'!$J$10:$J$224),0),
IF('TL16'!$B$229=N$3,SUMIF('TL16'!$C$238:$C$451,$C279,'TL16'!$J$238:$J$451),0),
IF('TL17'!$B$3=N$3,SUMIF('TL17'!$C$10:$C$224,$C279,'TL17'!$J$10:$J$224),0),
IF('TL17'!$B$229=N$3,SUMIF('TL17'!$C$238:$C$451,$C279,'TL17'!$J$238:$J$451),0),
IF('TL18'!$B$3=N$3,SUMIF('TL18'!$C$10:$C$224,$C279,'TL18'!$J$10:$J$224),0),
IF('TL18'!$B$229=N$3,SUMIF('TL18'!$C$238:$C$451,$C279,'TL18'!$J$238:$J$451),0),
IF('TL19'!$B$3=N$3,SUMIF('TL19'!$C$10:$C$224,$C279,'TL19'!$J$10:$J$224),0),
IF('TL19'!$B$229=N$3,SUMIF('TL19'!$C$238:$C$451,$C279,'TL19'!$J$238:$J$451),0)
),0)</f>
        <v/>
      </c>
      <c r="O279" s="9">
        <f>IFERROR(SUM(
IF('TL01'!$B$3=O$3,SUMIF('TL01'!$C$10:$C$224,$C279,'TL01'!$J$10:$J$224),0),
IF('TL01'!$B$229=O$3,SUMIF('TL01'!$C$238:$C$451,$C279,'TL01'!$J$238:$J$451),0),
IF('TL02'!$B$3=O$3,SUMIF('TL02'!$C$10:$C$224,$C279,'TL02'!$J$10:$J$224),0),
IF('TL02'!$B$229=O$3,SUMIF('TL02'!$C$238:$C$451,$C279,'TL02'!$J$238:$J$451),0),
IF('TL03'!$B$3=O$3,SUMIF('TL03'!$C$10:$C$224,$C279,'TL03'!$J$10:$J$224),0),
IF('TL03'!$B$229=O$3,SUMIF('TL03'!$C$238:$C$451,$C279,'TL03'!$J$238:$J$451),0),
IF('TL04'!$B$3=O$3,SUMIF('TL04'!$C$10:$C$224,$C279,'TL04'!$J$10:$J$224),0),
IF('TL04'!$B$229=O$3,SUMIF('TL04'!$C$238:$C$451,$C279,'TL04'!$J$238:$J$451),0),
IF('TL05'!$B$3=O$3,SUMIF('TL05'!$C$10:$C$224,$C279,'TL05'!$J$10:$J$224),0),
IF('TL05'!$B$229=O$3,SUMIF('TL05'!$C$238:$C$451,$C279,'TL05'!$J$238:$J$451),0),
IF('TL06'!$B$3=O$3,SUMIF('TL06'!$C$10:$C$224,$C279,'TL06'!$J$10:$J$224),0),
IF('TL06'!$B$229=O$3,SUMIF('TL06'!$C$238:$C$451,$C279,'TL06'!$J$238:$J$451),0),
IF('TL07'!$B$3=O$3,SUMIF('TL07'!$C$10:$C$224,$C279,'TL07'!$J$10:$J$224),0),
IF('TL07'!$B$229=O$3,SUMIF('TL07'!$C$238:$C$451,$C279,'TL07'!$J$238:$J$451),0),
IF('TL08'!$B$3=O$3,SUMIF('TL08'!$C$10:$C$224,$C279,'TL08'!$J$10:$J$224),0),
IF('TL08'!$B$229=O$3,SUMIF('TL08'!$C$238:$C$451,$C279,'TL08'!$J$238:$J$451),0),
IF('TL09'!$B$3=O$3,SUMIF('TL09'!$C$10:$C$224,$C279,'TL09'!$J$10:$J$224),0),
IF('TL09'!$B$229=O$3,SUMIF('TL09'!$C$238:$C$451,$C279,'TL09'!$J$238:$J$451),0),
IF('TL10'!$B$3=O$3,SUMIF('TL10'!$C$10:$C$224,$C279,'TL10'!$J$10:$J$224),0),
IF('TL10'!$B$229=O$3,SUMIF('TL10'!$C$238:$C$451,$C279,'TL10'!$J$238:$J$451),0),
IF('TL11'!$B$3=O$3,SUMIF('TL11'!$C$10:$C$224,$C279,'TL11'!$J$10:$J$224),0),
IF('TL11'!$B$229=O$3,SUMIF('TL11'!$C$238:$C$451,$C279,'TL11'!$J$238:$J$451),0),
IF('TL12'!$B$3=O$3,SUMIF('TL12'!$C$10:$C$224,$C279,'TL12'!$J$10:$J$224),0),
IF('TL12'!$B$229=O$3,SUMIF('TL12'!$C$238:$C$451,$C279,'TL12'!$J$238:$J$451),0),
IF('TL13'!$B$3=O$3,SUMIF('TL13'!$C$10:$C$224,$C279,'TL13'!$J$10:$J$224),0),
IF('TL13'!$B$229=O$3,SUMIF('TL13'!$C$238:$C$451,$C279,'TL13'!$J$238:$J$451),0),
IF('TL14'!$B$3=O$3,SUMIF('TL14'!$C$10:$C$224,$C279,'TL14'!$J$10:$J$224),0),
IF('TL14'!$B$229=O$3,SUMIF('TL14'!$C$238:$C$451,$C279,'TL14'!$J$238:$J$451),0),
IF('TL15'!$B$3=O$3,SUMIF('TL15'!$C$10:$C$224,$C279,'TL15'!$J$10:$J$224),0),
IF('TL15'!$B$229=O$3,SUMIF('TL15'!$C$238:$C$451,$C279,'TL15'!$J$238:$J$451),0),
IF('TL16'!$B$3=O$3,SUMIF('TL16'!$C$10:$C$224,$C279,'TL16'!$J$10:$J$224),0),
IF('TL16'!$B$229=O$3,SUMIF('TL16'!$C$238:$C$451,$C279,'TL16'!$J$238:$J$451),0),
IF('TL17'!$B$3=O$3,SUMIF('TL17'!$C$10:$C$224,$C279,'TL17'!$J$10:$J$224),0),
IF('TL17'!$B$229=O$3,SUMIF('TL17'!$C$238:$C$451,$C279,'TL17'!$J$238:$J$451),0),
IF('TL18'!$B$3=O$3,SUMIF('TL18'!$C$10:$C$224,$C279,'TL18'!$J$10:$J$224),0),
IF('TL18'!$B$229=O$3,SUMIF('TL18'!$C$238:$C$451,$C279,'TL18'!$J$238:$J$451),0),
IF('TL19'!$B$3=O$3,SUMIF('TL19'!$C$10:$C$224,$C279,'TL19'!$J$10:$J$224),0),
IF('TL19'!$B$229=O$3,SUMIF('TL19'!$C$238:$C$451,$C279,'TL19'!$J$238:$J$451),0)
),0)</f>
        <v/>
      </c>
      <c r="P279" s="9">
        <f>IFERROR(SUM(
IF('TL01'!$B$3=P$3,SUMIF('TL01'!$C$10:$C$224,$C279,'TL01'!$J$10:$J$224),0),
IF('TL01'!$B$229=P$3,SUMIF('TL01'!$C$238:$C$451,$C279,'TL01'!$J$238:$J$451),0),
IF('TL02'!$B$3=P$3,SUMIF('TL02'!$C$10:$C$224,$C279,'TL02'!$J$10:$J$224),0),
IF('TL02'!$B$229=P$3,SUMIF('TL02'!$C$238:$C$451,$C279,'TL02'!$J$238:$J$451),0),
IF('TL03'!$B$3=P$3,SUMIF('TL03'!$C$10:$C$224,$C279,'TL03'!$J$10:$J$224),0),
IF('TL03'!$B$229=P$3,SUMIF('TL03'!$C$238:$C$451,$C279,'TL03'!$J$238:$J$451),0),
IF('TL04'!$B$3=P$3,SUMIF('TL04'!$C$10:$C$224,$C279,'TL04'!$J$10:$J$224),0),
IF('TL04'!$B$229=P$3,SUMIF('TL04'!$C$238:$C$451,$C279,'TL04'!$J$238:$J$451),0),
IF('TL05'!$B$3=P$3,SUMIF('TL05'!$C$10:$C$224,$C279,'TL05'!$J$10:$J$224),0),
IF('TL05'!$B$229=P$3,SUMIF('TL05'!$C$238:$C$451,$C279,'TL05'!$J$238:$J$451),0),
IF('TL06'!$B$3=P$3,SUMIF('TL06'!$C$10:$C$224,$C279,'TL06'!$J$10:$J$224),0),
IF('TL06'!$B$229=P$3,SUMIF('TL06'!$C$238:$C$451,$C279,'TL06'!$J$238:$J$451),0),
IF('TL07'!$B$3=P$3,SUMIF('TL07'!$C$10:$C$224,$C279,'TL07'!$J$10:$J$224),0),
IF('TL07'!$B$229=P$3,SUMIF('TL07'!$C$238:$C$451,$C279,'TL07'!$J$238:$J$451),0),
IF('TL08'!$B$3=P$3,SUMIF('TL08'!$C$10:$C$224,$C279,'TL08'!$J$10:$J$224),0),
IF('TL08'!$B$229=P$3,SUMIF('TL08'!$C$238:$C$451,$C279,'TL08'!$J$238:$J$451),0),
IF('TL09'!$B$3=P$3,SUMIF('TL09'!$C$10:$C$224,$C279,'TL09'!$J$10:$J$224),0),
IF('TL09'!$B$229=P$3,SUMIF('TL09'!$C$238:$C$451,$C279,'TL09'!$J$238:$J$451),0),
IF('TL10'!$B$3=P$3,SUMIF('TL10'!$C$10:$C$224,$C279,'TL10'!$J$10:$J$224),0),
IF('TL10'!$B$229=P$3,SUMIF('TL10'!$C$238:$C$451,$C279,'TL10'!$J$238:$J$451),0),
IF('TL11'!$B$3=P$3,SUMIF('TL11'!$C$10:$C$224,$C279,'TL11'!$J$10:$J$224),0),
IF('TL11'!$B$229=P$3,SUMIF('TL11'!$C$238:$C$451,$C279,'TL11'!$J$238:$J$451),0),
IF('TL12'!$B$3=P$3,SUMIF('TL12'!$C$10:$C$224,$C279,'TL12'!$J$10:$J$224),0),
IF('TL12'!$B$229=P$3,SUMIF('TL12'!$C$238:$C$451,$C279,'TL12'!$J$238:$J$451),0),
IF('TL13'!$B$3=P$3,SUMIF('TL13'!$C$10:$C$224,$C279,'TL13'!$J$10:$J$224),0),
IF('TL13'!$B$229=P$3,SUMIF('TL13'!$C$238:$C$451,$C279,'TL13'!$J$238:$J$451),0),
IF('TL14'!$B$3=P$3,SUMIF('TL14'!$C$10:$C$224,$C279,'TL14'!$J$10:$J$224),0),
IF('TL14'!$B$229=P$3,SUMIF('TL14'!$C$238:$C$451,$C279,'TL14'!$J$238:$J$451),0),
IF('TL15'!$B$3=P$3,SUMIF('TL15'!$C$10:$C$224,$C279,'TL15'!$J$10:$J$224),0),
IF('TL15'!$B$229=P$3,SUMIF('TL15'!$C$238:$C$451,$C279,'TL15'!$J$238:$J$451),0),
IF('TL16'!$B$3=P$3,SUMIF('TL16'!$C$10:$C$224,$C279,'TL16'!$J$10:$J$224),0),
IF('TL16'!$B$229=P$3,SUMIF('TL16'!$C$238:$C$451,$C279,'TL16'!$J$238:$J$451),0),
IF('TL17'!$B$3=P$3,SUMIF('TL17'!$C$10:$C$224,$C279,'TL17'!$J$10:$J$224),0),
IF('TL17'!$B$229=P$3,SUMIF('TL17'!$C$238:$C$451,$C279,'TL17'!$J$238:$J$451),0),
IF('TL18'!$B$3=P$3,SUMIF('TL18'!$C$10:$C$224,$C279,'TL18'!$J$10:$J$224),0),
IF('TL18'!$B$229=P$3,SUMIF('TL18'!$C$238:$C$451,$C279,'TL18'!$J$238:$J$451),0),
IF('TL19'!$B$3=P$3,SUMIF('TL19'!$C$10:$C$224,$C279,'TL19'!$J$10:$J$224),0),
IF('TL19'!$B$229=P$3,SUMIF('TL19'!$C$238:$C$451,$C279,'TL19'!$J$238:$J$451),0)
),0)</f>
        <v/>
      </c>
      <c r="Q279" s="9">
        <f>IFERROR(SUM(
IF('TL01'!$B$3=Q$3,SUMIF('TL01'!$C$10:$C$224,$C279,'TL01'!$J$10:$J$224),0),
IF('TL01'!$B$229=Q$3,SUMIF('TL01'!$C$238:$C$451,$C279,'TL01'!$J$238:$J$451),0),
IF('TL02'!$B$3=Q$3,SUMIF('TL02'!$C$10:$C$224,$C279,'TL02'!$J$10:$J$224),0),
IF('TL02'!$B$229=Q$3,SUMIF('TL02'!$C$238:$C$451,$C279,'TL02'!$J$238:$J$451),0),
IF('TL03'!$B$3=Q$3,SUMIF('TL03'!$C$10:$C$224,$C279,'TL03'!$J$10:$J$224),0),
IF('TL03'!$B$229=Q$3,SUMIF('TL03'!$C$238:$C$451,$C279,'TL03'!$J$238:$J$451),0),
IF('TL04'!$B$3=Q$3,SUMIF('TL04'!$C$10:$C$224,$C279,'TL04'!$J$10:$J$224),0),
IF('TL04'!$B$229=Q$3,SUMIF('TL04'!$C$238:$C$451,$C279,'TL04'!$J$238:$J$451),0),
IF('TL05'!$B$3=Q$3,SUMIF('TL05'!$C$10:$C$224,$C279,'TL05'!$J$10:$J$224),0),
IF('TL05'!$B$229=Q$3,SUMIF('TL05'!$C$238:$C$451,$C279,'TL05'!$J$238:$J$451),0),
IF('TL06'!$B$3=Q$3,SUMIF('TL06'!$C$10:$C$224,$C279,'TL06'!$J$10:$J$224),0),
IF('TL06'!$B$229=Q$3,SUMIF('TL06'!$C$238:$C$451,$C279,'TL06'!$J$238:$J$451),0),
IF('TL07'!$B$3=Q$3,SUMIF('TL07'!$C$10:$C$224,$C279,'TL07'!$J$10:$J$224),0),
IF('TL07'!$B$229=Q$3,SUMIF('TL07'!$C$238:$C$451,$C279,'TL07'!$J$238:$J$451),0),
IF('TL08'!$B$3=Q$3,SUMIF('TL08'!$C$10:$C$224,$C279,'TL08'!$J$10:$J$224),0),
IF('TL08'!$B$229=Q$3,SUMIF('TL08'!$C$238:$C$451,$C279,'TL08'!$J$238:$J$451),0),
IF('TL09'!$B$3=Q$3,SUMIF('TL09'!$C$10:$C$224,$C279,'TL09'!$J$10:$J$224),0),
IF('TL09'!$B$229=Q$3,SUMIF('TL09'!$C$238:$C$451,$C279,'TL09'!$J$238:$J$451),0),
IF('TL10'!$B$3=Q$3,SUMIF('TL10'!$C$10:$C$224,$C279,'TL10'!$J$10:$J$224),0),
IF('TL10'!$B$229=Q$3,SUMIF('TL10'!$C$238:$C$451,$C279,'TL10'!$J$238:$J$451),0),
IF('TL11'!$B$3=Q$3,SUMIF('TL11'!$C$10:$C$224,$C279,'TL11'!$J$10:$J$224),0),
IF('TL11'!$B$229=Q$3,SUMIF('TL11'!$C$238:$C$451,$C279,'TL11'!$J$238:$J$451),0),
IF('TL12'!$B$3=Q$3,SUMIF('TL12'!$C$10:$C$224,$C279,'TL12'!$J$10:$J$224),0),
IF('TL12'!$B$229=Q$3,SUMIF('TL12'!$C$238:$C$451,$C279,'TL12'!$J$238:$J$451),0),
IF('TL13'!$B$3=Q$3,SUMIF('TL13'!$C$10:$C$224,$C279,'TL13'!$J$10:$J$224),0),
IF('TL13'!$B$229=Q$3,SUMIF('TL13'!$C$238:$C$451,$C279,'TL13'!$J$238:$J$451),0),
IF('TL14'!$B$3=Q$3,SUMIF('TL14'!$C$10:$C$224,$C279,'TL14'!$J$10:$J$224),0),
IF('TL14'!$B$229=Q$3,SUMIF('TL14'!$C$238:$C$451,$C279,'TL14'!$J$238:$J$451),0),
IF('TL15'!$B$3=Q$3,SUMIF('TL15'!$C$10:$C$224,$C279,'TL15'!$J$10:$J$224),0),
IF('TL15'!$B$229=Q$3,SUMIF('TL15'!$C$238:$C$451,$C279,'TL15'!$J$238:$J$451),0),
IF('TL16'!$B$3=Q$3,SUMIF('TL16'!$C$10:$C$224,$C279,'TL16'!$J$10:$J$224),0),
IF('TL16'!$B$229=Q$3,SUMIF('TL16'!$C$238:$C$451,$C279,'TL16'!$J$238:$J$451),0),
IF('TL17'!$B$3=Q$3,SUMIF('TL17'!$C$10:$C$224,$C279,'TL17'!$J$10:$J$224),0),
IF('TL17'!$B$229=Q$3,SUMIF('TL17'!$C$238:$C$451,$C279,'TL17'!$J$238:$J$451),0),
IF('TL18'!$B$3=Q$3,SUMIF('TL18'!$C$10:$C$224,$C279,'TL18'!$J$10:$J$224),0),
IF('TL18'!$B$229=Q$3,SUMIF('TL18'!$C$238:$C$451,$C279,'TL18'!$J$238:$J$451),0),
IF('TL19'!$B$3=Q$3,SUMIF('TL19'!$C$10:$C$224,$C279,'TL19'!$J$10:$J$224),0),
IF('TL19'!$B$229=Q$3,SUMIF('TL19'!$C$238:$C$451,$C279,'TL19'!$J$238:$J$451),0)
),0)</f>
        <v/>
      </c>
      <c r="R279" s="9">
        <f>IFERROR(
SUM(
SUMIF('TL01'!C:C,C279,'TL01'!J:J),
SUMIF('TL02'!C:C,C279,'TL02'!J:J),
SUMIF('TL03'!C:C,C279,'TL03'!J:J),
SUMIF('TL04'!C:C,C279,'TL04'!J:J),
SUMIF('TL05'!C:C,C279,'TL05'!J:J),
SUMIF('TL06'!C:C,C279,'TL06'!J:J),
SUMIF('TL07'!C:C,C279,'TL07'!J:J),
SUMIF('TL08'!C:C,C279,'TL08'!J:J),
SUMIF('TL09'!C:C,C279,'TL09'!J:J),
SUMIF('TL10'!C:C,C279,'TL10'!J:J),
SUMIF('TL11'!C:C,C279,'TL11'!J:J),
SUMIF('TL12'!C:C,C279,'TL12'!J:J),
SUMIF('TL13'!C:C,C279,'TL13'!J:J),
SUMIF('TL14'!C:C,C279,'TL14'!J:J),
SUMIF('TL15'!C:C,C279,'TL15'!J:J),
SUMIF('TL16'!C:C,C279,'TL16'!J:J),
SUMIF('TL17'!C:C,C279,'TL17'!J:J),
SUMIF('TL18'!C:C,C279,'TL18'!J:J),SUMIF('TL19'!C:C,C279,'TL19'!J:J))
,0)</f>
        <v/>
      </c>
      <c r="S279" s="17">
        <f>IFERROR(__xludf.DUMMYFUNCTION("IFERROR(VLOOKUP(C279,
IMPORTRANGE(""1wULbzX32WdYsx-lj2U3uUNBBe2INVIRDtcK0d-Dvl90"",
""26-27!C:G""),
5,
FALSE),
"""")"),16.0)</f>
        <v/>
      </c>
      <c r="T279" s="9" t="n"/>
      <c r="U279" s="92">
        <f>MAX(0,R279-T279)</f>
        <v/>
      </c>
      <c r="V279" s="93">
        <f>U279*S279</f>
        <v/>
      </c>
    </row>
    <row r="280" hidden="1" ht="15.75" customHeight="1" s="297">
      <c r="A280" s="4" t="inlineStr">
        <is>
          <t>GRAN7</t>
        </is>
      </c>
      <c r="B280" s="125" t="inlineStr">
        <is>
          <t>NUTRIÇÃO</t>
        </is>
      </c>
      <c r="C280" s="4" t="inlineStr">
        <is>
          <t>Brave Max Up</t>
        </is>
      </c>
      <c r="D280" s="4" t="inlineStr">
        <is>
          <t>Quelatizados com EDTA</t>
        </is>
      </c>
      <c r="E280" s="9" t="n"/>
      <c r="F280" s="4" t="inlineStr">
        <is>
          <t>L</t>
        </is>
      </c>
      <c r="G280" s="9" t="n"/>
      <c r="H280" s="9" t="n">
        <v>3</v>
      </c>
      <c r="I280" s="1" t="n"/>
      <c r="J280" s="9">
        <f>IFERROR(SUM(
IF('TL01'!$B$3=J$3,SUMIF('TL01'!$C$10:$C$224,$C280,'TL01'!$J$10:$J$224),0),
IF('TL01'!$B$229=J$3,SUMIF('TL01'!$C$238:$C$451,$C280,'TL01'!$J$238:$J$451),0),
IF('TL02'!$B$3=J$3,SUMIF('TL02'!$C$10:$C$224,$C280,'TL02'!$J$10:$J$224),0),
IF('TL02'!$B$229=J$3,SUMIF('TL02'!$C$238:$C$451,$C280,'TL02'!$J$238:$J$451),0),
IF('TL03'!$B$3=J$3,SUMIF('TL03'!$C$10:$C$224,$C280,'TL03'!$J$10:$J$224),0),
IF('TL03'!$B$229=J$3,SUMIF('TL03'!$C$238:$C$451,$C280,'TL03'!$J$238:$J$451),0),
IF('TL04'!$B$3=J$3,SUMIF('TL04'!$C$10:$C$224,$C280,'TL04'!$J$10:$J$224),0),
IF('TL04'!$B$229=J$3,SUMIF('TL04'!$C$238:$C$451,$C280,'TL04'!$J$238:$J$451),0),
IF('TL05'!$B$3=J$3,SUMIF('TL05'!$C$10:$C$224,$C280,'TL05'!$J$10:$J$224),0),
IF('TL05'!$B$229=J$3,SUMIF('TL05'!$C$238:$C$451,$C280,'TL05'!$J$238:$J$451),0),
IF('TL06'!$B$3=J$3,SUMIF('TL06'!$C$10:$C$224,$C280,'TL06'!$J$10:$J$224),0),
IF('TL06'!$B$229=J$3,SUMIF('TL06'!$C$238:$C$451,$C280,'TL06'!$J$238:$J$451),0),
IF('TL07'!$B$3=J$3,SUMIF('TL07'!$C$10:$C$224,$C280,'TL07'!$J$10:$J$224),0),
IF('TL07'!$B$229=J$3,SUMIF('TL07'!$C$238:$C$451,$C280,'TL07'!$J$238:$J$451),0),
IF('TL08'!$B$3=J$3,SUMIF('TL08'!$C$10:$C$224,$C280,'TL08'!$J$10:$J$224),0),
IF('TL08'!$B$229=J$3,SUMIF('TL08'!$C$238:$C$451,$C280,'TL08'!$J$238:$J$451),0),
IF('TL09'!$B$3=J$3,SUMIF('TL09'!$C$10:$C$224,$C280,'TL09'!$J$10:$J$224),0),
IF('TL09'!$B$229=J$3,SUMIF('TL09'!$C$238:$C$451,$C280,'TL09'!$J$238:$J$451),0),
IF('TL10'!$B$3=J$3,SUMIF('TL10'!$C$10:$C$224,$C280,'TL10'!$J$10:$J$224),0),
IF('TL10'!$B$229=J$3,SUMIF('TL10'!$C$238:$C$451,$C280,'TL10'!$J$238:$J$451),0),
IF('TL11'!$B$3=J$3,SUMIF('TL11'!$C$10:$C$224,$C280,'TL11'!$J$10:$J$224),0),
IF('TL11'!$B$229=J$3,SUMIF('TL11'!$C$238:$C$451,$C280,'TL11'!$J$238:$J$451),0),
IF('TL12'!$B$3=J$3,SUMIF('TL12'!$C$10:$C$224,$C280,'TL12'!$J$10:$J$224),0),
IF('TL12'!$B$229=J$3,SUMIF('TL12'!$C$238:$C$451,$C280,'TL12'!$J$238:$J$451),0),
IF('TL13'!$B$3=J$3,SUMIF('TL13'!$C$10:$C$224,$C280,'TL13'!$J$10:$J$224),0),
IF('TL13'!$B$229=J$3,SUMIF('TL13'!$C$238:$C$451,$C280,'TL13'!$J$238:$J$451),0),
IF('TL14'!$B$3=J$3,SUMIF('TL14'!$C$10:$C$224,$C280,'TL14'!$J$10:$J$224),0),
IF('TL14'!$B$229=J$3,SUMIF('TL14'!$C$238:$C$451,$C280,'TL14'!$J$238:$J$451),0),
IF('TL15'!$B$3=J$3,SUMIF('TL15'!$C$10:$C$224,$C280,'TL15'!$J$10:$J$224),0),
IF('TL15'!$B$229=J$3,SUMIF('TL15'!$C$238:$C$451,$C280,'TL15'!$J$238:$J$451),0),
IF('TL16'!$B$3=J$3,SUMIF('TL16'!$C$10:$C$224,$C280,'TL16'!$J$10:$J$224),0),
IF('TL16'!$B$229=J$3,SUMIF('TL16'!$C$238:$C$451,$C280,'TL16'!$J$238:$J$451),0),
IF('TL17'!$B$3=J$3,SUMIF('TL17'!$C$10:$C$224,$C280,'TL17'!$J$10:$J$224),0),
IF('TL17'!$B$229=J$3,SUMIF('TL17'!$C$238:$C$451,$C280,'TL17'!$J$238:$J$451),0),
IF('TL18'!$B$3=J$3,SUMIF('TL18'!$C$10:$C$224,$C280,'TL18'!$J$10:$J$224),0),
IF('TL18'!$B$229=J$3,SUMIF('TL18'!$C$238:$C$451,$C280,'TL18'!$J$238:$J$451),0),
IF('TL19'!$B$3=J$3,SUMIF('TL19'!$C$10:$C$224,$C280,'TL19'!$J$10:$J$224),0),
IF('TL19'!$B$229=J$3,SUMIF('TL19'!$C$238:$C$451,$C280,'TL19'!$J$238:$J$451),0)
),0)</f>
        <v/>
      </c>
      <c r="K280" s="9">
        <f>IFERROR(SUM(
IF('TL01'!$B$3=K$3,SUMIF('TL01'!$C$10:$C$224,$C280,'TL01'!$J$10:$J$224),0),
IF('TL01'!$B$229=K$3,SUMIF('TL01'!$C$238:$C$451,$C280,'TL01'!$J$238:$J$451),0),
IF('TL02'!$B$3=K$3,SUMIF('TL02'!$C$10:$C$224,$C280,'TL02'!$J$10:$J$224),0),
IF('TL02'!$B$229=K$3,SUMIF('TL02'!$C$238:$C$451,$C280,'TL02'!$J$238:$J$451),0),
IF('TL03'!$B$3=K$3,SUMIF('TL03'!$C$10:$C$224,$C280,'TL03'!$J$10:$J$224),0),
IF('TL03'!$B$229=K$3,SUMIF('TL03'!$C$238:$C$451,$C280,'TL03'!$J$238:$J$451),0),
IF('TL04'!$B$3=K$3,SUMIF('TL04'!$C$10:$C$224,$C280,'TL04'!$J$10:$J$224),0),
IF('TL04'!$B$229=K$3,SUMIF('TL04'!$C$238:$C$451,$C280,'TL04'!$J$238:$J$451),0),
IF('TL05'!$B$3=K$3,SUMIF('TL05'!$C$10:$C$224,$C280,'TL05'!$J$10:$J$224),0),
IF('TL05'!$B$229=K$3,SUMIF('TL05'!$C$238:$C$451,$C280,'TL05'!$J$238:$J$451),0),
IF('TL06'!$B$3=K$3,SUMIF('TL06'!$C$10:$C$224,$C280,'TL06'!$J$10:$J$224),0),
IF('TL06'!$B$229=K$3,SUMIF('TL06'!$C$238:$C$451,$C280,'TL06'!$J$238:$J$451),0),
IF('TL07'!$B$3=K$3,SUMIF('TL07'!$C$10:$C$224,$C280,'TL07'!$J$10:$J$224),0),
IF('TL07'!$B$229=K$3,SUMIF('TL07'!$C$238:$C$451,$C280,'TL07'!$J$238:$J$451),0),
IF('TL08'!$B$3=K$3,SUMIF('TL08'!$C$10:$C$224,$C280,'TL08'!$J$10:$J$224),0),
IF('TL08'!$B$229=K$3,SUMIF('TL08'!$C$238:$C$451,$C280,'TL08'!$J$238:$J$451),0),
IF('TL09'!$B$3=K$3,SUMIF('TL09'!$C$10:$C$224,$C280,'TL09'!$J$10:$J$224),0),
IF('TL09'!$B$229=K$3,SUMIF('TL09'!$C$238:$C$451,$C280,'TL09'!$J$238:$J$451),0),
IF('TL10'!$B$3=K$3,SUMIF('TL10'!$C$10:$C$224,$C280,'TL10'!$J$10:$J$224),0),
IF('TL10'!$B$229=K$3,SUMIF('TL10'!$C$238:$C$451,$C280,'TL10'!$J$238:$J$451),0),
IF('TL11'!$B$3=K$3,SUMIF('TL11'!$C$10:$C$224,$C280,'TL11'!$J$10:$J$224),0),
IF('TL11'!$B$229=K$3,SUMIF('TL11'!$C$238:$C$451,$C280,'TL11'!$J$238:$J$451),0),
IF('TL12'!$B$3=K$3,SUMIF('TL12'!$C$10:$C$224,$C280,'TL12'!$J$10:$J$224),0),
IF('TL12'!$B$229=K$3,SUMIF('TL12'!$C$238:$C$451,$C280,'TL12'!$J$238:$J$451),0),
IF('TL13'!$B$3=K$3,SUMIF('TL13'!$C$10:$C$224,$C280,'TL13'!$J$10:$J$224),0),
IF('TL13'!$B$229=K$3,SUMIF('TL13'!$C$238:$C$451,$C280,'TL13'!$J$238:$J$451),0),
IF('TL14'!$B$3=K$3,SUMIF('TL14'!$C$10:$C$224,$C280,'TL14'!$J$10:$J$224),0),
IF('TL14'!$B$229=K$3,SUMIF('TL14'!$C$238:$C$451,$C280,'TL14'!$J$238:$J$451),0),
IF('TL15'!$B$3=K$3,SUMIF('TL15'!$C$10:$C$224,$C280,'TL15'!$J$10:$J$224),0),
IF('TL15'!$B$229=K$3,SUMIF('TL15'!$C$238:$C$451,$C280,'TL15'!$J$238:$J$451),0),
IF('TL16'!$B$3=K$3,SUMIF('TL16'!$C$10:$C$224,$C280,'TL16'!$J$10:$J$224),0),
IF('TL16'!$B$229=K$3,SUMIF('TL16'!$C$238:$C$451,$C280,'TL16'!$J$238:$J$451),0),
IF('TL17'!$B$3=K$3,SUMIF('TL17'!$C$10:$C$224,$C280,'TL17'!$J$10:$J$224),0),
IF('TL17'!$B$229=K$3,SUMIF('TL17'!$C$238:$C$451,$C280,'TL17'!$J$238:$J$451),0),
IF('TL18'!$B$3=K$3,SUMIF('TL18'!$C$10:$C$224,$C280,'TL18'!$J$10:$J$224),0),
IF('TL18'!$B$229=K$3,SUMIF('TL18'!$C$238:$C$451,$C280,'TL18'!$J$238:$J$451),0),
IF('TL19'!$B$3=K$3,SUMIF('TL19'!$C$10:$C$224,$C280,'TL19'!$J$10:$J$224),0),
IF('TL19'!$B$229=K$3,SUMIF('TL19'!$C$238:$C$451,$C280,'TL19'!$J$238:$J$451),0)
),0)</f>
        <v/>
      </c>
      <c r="L280" s="9">
        <f>IFERROR(SUM(
IF('TL01'!$B$3=L$3,SUMIF('TL01'!$C$10:$C$224,$C280,'TL01'!$J$10:$J$224),0),
IF('TL01'!$B$229=L$3,SUMIF('TL01'!$C$238:$C$451,$C280,'TL01'!$J$238:$J$451),0),
IF('TL02'!$B$3=L$3,SUMIF('TL02'!$C$10:$C$224,$C280,'TL02'!$J$10:$J$224),0),
IF('TL02'!$B$229=L$3,SUMIF('TL02'!$C$238:$C$451,$C280,'TL02'!$J$238:$J$451),0),
IF('TL03'!$B$3=L$3,SUMIF('TL03'!$C$10:$C$224,$C280,'TL03'!$J$10:$J$224),0),
IF('TL03'!$B$229=L$3,SUMIF('TL03'!$C$238:$C$451,$C280,'TL03'!$J$238:$J$451),0),
IF('TL04'!$B$3=L$3,SUMIF('TL04'!$C$10:$C$224,$C280,'TL04'!$J$10:$J$224),0),
IF('TL04'!$B$229=L$3,SUMIF('TL04'!$C$238:$C$451,$C280,'TL04'!$J$238:$J$451),0),
IF('TL05'!$B$3=L$3,SUMIF('TL05'!$C$10:$C$224,$C280,'TL05'!$J$10:$J$224),0),
IF('TL05'!$B$229=L$3,SUMIF('TL05'!$C$238:$C$451,$C280,'TL05'!$J$238:$J$451),0),
IF('TL06'!$B$3=L$3,SUMIF('TL06'!$C$10:$C$224,$C280,'TL06'!$J$10:$J$224),0),
IF('TL06'!$B$229=L$3,SUMIF('TL06'!$C$238:$C$451,$C280,'TL06'!$J$238:$J$451),0),
IF('TL07'!$B$3=L$3,SUMIF('TL07'!$C$10:$C$224,$C280,'TL07'!$J$10:$J$224),0),
IF('TL07'!$B$229=L$3,SUMIF('TL07'!$C$238:$C$451,$C280,'TL07'!$J$238:$J$451),0),
IF('TL08'!$B$3=L$3,SUMIF('TL08'!$C$10:$C$224,$C280,'TL08'!$J$10:$J$224),0),
IF('TL08'!$B$229=L$3,SUMIF('TL08'!$C$238:$C$451,$C280,'TL08'!$J$238:$J$451),0),
IF('TL09'!$B$3=L$3,SUMIF('TL09'!$C$10:$C$224,$C280,'TL09'!$J$10:$J$224),0),
IF('TL09'!$B$229=L$3,SUMIF('TL09'!$C$238:$C$451,$C280,'TL09'!$J$238:$J$451),0),
IF('TL10'!$B$3=L$3,SUMIF('TL10'!$C$10:$C$224,$C280,'TL10'!$J$10:$J$224),0),
IF('TL10'!$B$229=L$3,SUMIF('TL10'!$C$238:$C$451,$C280,'TL10'!$J$238:$J$451),0),
IF('TL11'!$B$3=L$3,SUMIF('TL11'!$C$10:$C$224,$C280,'TL11'!$J$10:$J$224),0),
IF('TL11'!$B$229=L$3,SUMIF('TL11'!$C$238:$C$451,$C280,'TL11'!$J$238:$J$451),0),
IF('TL12'!$B$3=L$3,SUMIF('TL12'!$C$10:$C$224,$C280,'TL12'!$J$10:$J$224),0),
IF('TL12'!$B$229=L$3,SUMIF('TL12'!$C$238:$C$451,$C280,'TL12'!$J$238:$J$451),0),
IF('TL13'!$B$3=L$3,SUMIF('TL13'!$C$10:$C$224,$C280,'TL13'!$J$10:$J$224),0),
IF('TL13'!$B$229=L$3,SUMIF('TL13'!$C$238:$C$451,$C280,'TL13'!$J$238:$J$451),0),
IF('TL14'!$B$3=L$3,SUMIF('TL14'!$C$10:$C$224,$C280,'TL14'!$J$10:$J$224),0),
IF('TL14'!$B$229=L$3,SUMIF('TL14'!$C$238:$C$451,$C280,'TL14'!$J$238:$J$451),0),
IF('TL15'!$B$3=L$3,SUMIF('TL15'!$C$10:$C$224,$C280,'TL15'!$J$10:$J$224),0),
IF('TL15'!$B$229=L$3,SUMIF('TL15'!$C$238:$C$451,$C280,'TL15'!$J$238:$J$451),0),
IF('TL16'!$B$3=L$3,SUMIF('TL16'!$C$10:$C$224,$C280,'TL16'!$J$10:$J$224),0),
IF('TL16'!$B$229=L$3,SUMIF('TL16'!$C$238:$C$451,$C280,'TL16'!$J$238:$J$451),0),
IF('TL17'!$B$3=L$3,SUMIF('TL17'!$C$10:$C$224,$C280,'TL17'!$J$10:$J$224),0),
IF('TL17'!$B$229=L$3,SUMIF('TL17'!$C$238:$C$451,$C280,'TL17'!$J$238:$J$451),0),
IF('TL18'!$B$3=L$3,SUMIF('TL18'!$C$10:$C$224,$C280,'TL18'!$J$10:$J$224),0),
IF('TL18'!$B$229=L$3,SUMIF('TL18'!$C$238:$C$451,$C280,'TL18'!$J$238:$J$451),0),
IF('TL19'!$B$3=L$3,SUMIF('TL19'!$C$10:$C$224,$C280,'TL19'!$J$10:$J$224),0),
IF('TL19'!$B$229=L$3,SUMIF('TL19'!$C$238:$C$451,$C280,'TL19'!$J$238:$J$451),0)
),0)</f>
        <v/>
      </c>
      <c r="M280" s="9">
        <f>IFERROR(SUM(
IF('TL01'!$B$3=M$3,SUMIF('TL01'!$C$10:$C$224,$C280,'TL01'!$J$10:$J$224),0),
IF('TL01'!$B$229=M$3,SUMIF('TL01'!$C$238:$C$451,$C280,'TL01'!$J$238:$J$451),0),
IF('TL02'!$B$3=M$3,SUMIF('TL02'!$C$10:$C$224,$C280,'TL02'!$J$10:$J$224),0),
IF('TL02'!$B$229=M$3,SUMIF('TL02'!$C$238:$C$451,$C280,'TL02'!$J$238:$J$451),0),
IF('TL03'!$B$3=M$3,SUMIF('TL03'!$C$10:$C$224,$C280,'TL03'!$J$10:$J$224),0),
IF('TL03'!$B$229=M$3,SUMIF('TL03'!$C$238:$C$451,$C280,'TL03'!$J$238:$J$451),0),
IF('TL04'!$B$3=M$3,SUMIF('TL04'!$C$10:$C$224,$C280,'TL04'!$J$10:$J$224),0),
IF('TL04'!$B$229=M$3,SUMIF('TL04'!$C$238:$C$451,$C280,'TL04'!$J$238:$J$451),0),
IF('TL05'!$B$3=M$3,SUMIF('TL05'!$C$10:$C$224,$C280,'TL05'!$J$10:$J$224),0),
IF('TL05'!$B$229=M$3,SUMIF('TL05'!$C$238:$C$451,$C280,'TL05'!$J$238:$J$451),0),
IF('TL06'!$B$3=M$3,SUMIF('TL06'!$C$10:$C$224,$C280,'TL06'!$J$10:$J$224),0),
IF('TL06'!$B$229=M$3,SUMIF('TL06'!$C$238:$C$451,$C280,'TL06'!$J$238:$J$451),0),
IF('TL07'!$B$3=M$3,SUMIF('TL07'!$C$10:$C$224,$C280,'TL07'!$J$10:$J$224),0),
IF('TL07'!$B$229=M$3,SUMIF('TL07'!$C$238:$C$451,$C280,'TL07'!$J$238:$J$451),0),
IF('TL08'!$B$3=M$3,SUMIF('TL08'!$C$10:$C$224,$C280,'TL08'!$J$10:$J$224),0),
IF('TL08'!$B$229=M$3,SUMIF('TL08'!$C$238:$C$451,$C280,'TL08'!$J$238:$J$451),0),
IF('TL09'!$B$3=M$3,SUMIF('TL09'!$C$10:$C$224,$C280,'TL09'!$J$10:$J$224),0),
IF('TL09'!$B$229=M$3,SUMIF('TL09'!$C$238:$C$451,$C280,'TL09'!$J$238:$J$451),0),
IF('TL10'!$B$3=M$3,SUMIF('TL10'!$C$10:$C$224,$C280,'TL10'!$J$10:$J$224),0),
IF('TL10'!$B$229=M$3,SUMIF('TL10'!$C$238:$C$451,$C280,'TL10'!$J$238:$J$451),0),
IF('TL11'!$B$3=M$3,SUMIF('TL11'!$C$10:$C$224,$C280,'TL11'!$J$10:$J$224),0),
IF('TL11'!$B$229=M$3,SUMIF('TL11'!$C$238:$C$451,$C280,'TL11'!$J$238:$J$451),0),
IF('TL12'!$B$3=M$3,SUMIF('TL12'!$C$10:$C$224,$C280,'TL12'!$J$10:$J$224),0),
IF('TL12'!$B$229=M$3,SUMIF('TL12'!$C$238:$C$451,$C280,'TL12'!$J$238:$J$451),0),
IF('TL13'!$B$3=M$3,SUMIF('TL13'!$C$10:$C$224,$C280,'TL13'!$J$10:$J$224),0),
IF('TL13'!$B$229=M$3,SUMIF('TL13'!$C$238:$C$451,$C280,'TL13'!$J$238:$J$451),0),
IF('TL14'!$B$3=M$3,SUMIF('TL14'!$C$10:$C$224,$C280,'TL14'!$J$10:$J$224),0),
IF('TL14'!$B$229=M$3,SUMIF('TL14'!$C$238:$C$451,$C280,'TL14'!$J$238:$J$451),0),
IF('TL15'!$B$3=M$3,SUMIF('TL15'!$C$10:$C$224,$C280,'TL15'!$J$10:$J$224),0),
IF('TL15'!$B$229=M$3,SUMIF('TL15'!$C$238:$C$451,$C280,'TL15'!$J$238:$J$451),0),
IF('TL16'!$B$3=M$3,SUMIF('TL16'!$C$10:$C$224,$C280,'TL16'!$J$10:$J$224),0),
IF('TL16'!$B$229=M$3,SUMIF('TL16'!$C$238:$C$451,$C280,'TL16'!$J$238:$J$451),0),
IF('TL17'!$B$3=M$3,SUMIF('TL17'!$C$10:$C$224,$C280,'TL17'!$J$10:$J$224),0),
IF('TL17'!$B$229=M$3,SUMIF('TL17'!$C$238:$C$451,$C280,'TL17'!$J$238:$J$451),0),
IF('TL18'!$B$3=M$3,SUMIF('TL18'!$C$10:$C$224,$C280,'TL18'!$J$10:$J$224),0),
IF('TL18'!$B$229=M$3,SUMIF('TL18'!$C$238:$C$451,$C280,'TL18'!$J$238:$J$451),0),
IF('TL19'!$B$3=M$3,SUMIF('TL19'!$C$10:$C$224,$C280,'TL19'!$J$10:$J$224),0),
IF('TL19'!$B$229=M$3,SUMIF('TL19'!$C$238:$C$451,$C280,'TL19'!$J$238:$J$451),0)
),0)</f>
        <v/>
      </c>
      <c r="N280" s="9">
        <f>IFERROR(SUM(
IF('TL01'!$B$3=N$3,SUMIF('TL01'!$C$10:$C$224,$C280,'TL01'!$J$10:$J$224),0),
IF('TL01'!$B$229=N$3,SUMIF('TL01'!$C$238:$C$451,$C280,'TL01'!$J$238:$J$451),0),
IF('TL02'!$B$3=N$3,SUMIF('TL02'!$C$10:$C$224,$C280,'TL02'!$J$10:$J$224),0),
IF('TL02'!$B$229=N$3,SUMIF('TL02'!$C$238:$C$451,$C280,'TL02'!$J$238:$J$451),0),
IF('TL03'!$B$3=N$3,SUMIF('TL03'!$C$10:$C$224,$C280,'TL03'!$J$10:$J$224),0),
IF('TL03'!$B$229=N$3,SUMIF('TL03'!$C$238:$C$451,$C280,'TL03'!$J$238:$J$451),0),
IF('TL04'!$B$3=N$3,SUMIF('TL04'!$C$10:$C$224,$C280,'TL04'!$J$10:$J$224),0),
IF('TL04'!$B$229=N$3,SUMIF('TL04'!$C$238:$C$451,$C280,'TL04'!$J$238:$J$451),0),
IF('TL05'!$B$3=N$3,SUMIF('TL05'!$C$10:$C$224,$C280,'TL05'!$J$10:$J$224),0),
IF('TL05'!$B$229=N$3,SUMIF('TL05'!$C$238:$C$451,$C280,'TL05'!$J$238:$J$451),0),
IF('TL06'!$B$3=N$3,SUMIF('TL06'!$C$10:$C$224,$C280,'TL06'!$J$10:$J$224),0),
IF('TL06'!$B$229=N$3,SUMIF('TL06'!$C$238:$C$451,$C280,'TL06'!$J$238:$J$451),0),
IF('TL07'!$B$3=N$3,SUMIF('TL07'!$C$10:$C$224,$C280,'TL07'!$J$10:$J$224),0),
IF('TL07'!$B$229=N$3,SUMIF('TL07'!$C$238:$C$451,$C280,'TL07'!$J$238:$J$451),0),
IF('TL08'!$B$3=N$3,SUMIF('TL08'!$C$10:$C$224,$C280,'TL08'!$J$10:$J$224),0),
IF('TL08'!$B$229=N$3,SUMIF('TL08'!$C$238:$C$451,$C280,'TL08'!$J$238:$J$451),0),
IF('TL09'!$B$3=N$3,SUMIF('TL09'!$C$10:$C$224,$C280,'TL09'!$J$10:$J$224),0),
IF('TL09'!$B$229=N$3,SUMIF('TL09'!$C$238:$C$451,$C280,'TL09'!$J$238:$J$451),0),
IF('TL10'!$B$3=N$3,SUMIF('TL10'!$C$10:$C$224,$C280,'TL10'!$J$10:$J$224),0),
IF('TL10'!$B$229=N$3,SUMIF('TL10'!$C$238:$C$451,$C280,'TL10'!$J$238:$J$451),0),
IF('TL11'!$B$3=N$3,SUMIF('TL11'!$C$10:$C$224,$C280,'TL11'!$J$10:$J$224),0),
IF('TL11'!$B$229=N$3,SUMIF('TL11'!$C$238:$C$451,$C280,'TL11'!$J$238:$J$451),0),
IF('TL12'!$B$3=N$3,SUMIF('TL12'!$C$10:$C$224,$C280,'TL12'!$J$10:$J$224),0),
IF('TL12'!$B$229=N$3,SUMIF('TL12'!$C$238:$C$451,$C280,'TL12'!$J$238:$J$451),0),
IF('TL13'!$B$3=N$3,SUMIF('TL13'!$C$10:$C$224,$C280,'TL13'!$J$10:$J$224),0),
IF('TL13'!$B$229=N$3,SUMIF('TL13'!$C$238:$C$451,$C280,'TL13'!$J$238:$J$451),0),
IF('TL14'!$B$3=N$3,SUMIF('TL14'!$C$10:$C$224,$C280,'TL14'!$J$10:$J$224),0),
IF('TL14'!$B$229=N$3,SUMIF('TL14'!$C$238:$C$451,$C280,'TL14'!$J$238:$J$451),0),
IF('TL15'!$B$3=N$3,SUMIF('TL15'!$C$10:$C$224,$C280,'TL15'!$J$10:$J$224),0),
IF('TL15'!$B$229=N$3,SUMIF('TL15'!$C$238:$C$451,$C280,'TL15'!$J$238:$J$451),0),
IF('TL16'!$B$3=N$3,SUMIF('TL16'!$C$10:$C$224,$C280,'TL16'!$J$10:$J$224),0),
IF('TL16'!$B$229=N$3,SUMIF('TL16'!$C$238:$C$451,$C280,'TL16'!$J$238:$J$451),0),
IF('TL17'!$B$3=N$3,SUMIF('TL17'!$C$10:$C$224,$C280,'TL17'!$J$10:$J$224),0),
IF('TL17'!$B$229=N$3,SUMIF('TL17'!$C$238:$C$451,$C280,'TL17'!$J$238:$J$451),0),
IF('TL18'!$B$3=N$3,SUMIF('TL18'!$C$10:$C$224,$C280,'TL18'!$J$10:$J$224),0),
IF('TL18'!$B$229=N$3,SUMIF('TL18'!$C$238:$C$451,$C280,'TL18'!$J$238:$J$451),0),
IF('TL19'!$B$3=N$3,SUMIF('TL19'!$C$10:$C$224,$C280,'TL19'!$J$10:$J$224),0),
IF('TL19'!$B$229=N$3,SUMIF('TL19'!$C$238:$C$451,$C280,'TL19'!$J$238:$J$451),0)
),0)</f>
        <v/>
      </c>
      <c r="O280" s="9">
        <f>IFERROR(SUM(
IF('TL01'!$B$3=O$3,SUMIF('TL01'!$C$10:$C$224,$C280,'TL01'!$J$10:$J$224),0),
IF('TL01'!$B$229=O$3,SUMIF('TL01'!$C$238:$C$451,$C280,'TL01'!$J$238:$J$451),0),
IF('TL02'!$B$3=O$3,SUMIF('TL02'!$C$10:$C$224,$C280,'TL02'!$J$10:$J$224),0),
IF('TL02'!$B$229=O$3,SUMIF('TL02'!$C$238:$C$451,$C280,'TL02'!$J$238:$J$451),0),
IF('TL03'!$B$3=O$3,SUMIF('TL03'!$C$10:$C$224,$C280,'TL03'!$J$10:$J$224),0),
IF('TL03'!$B$229=O$3,SUMIF('TL03'!$C$238:$C$451,$C280,'TL03'!$J$238:$J$451),0),
IF('TL04'!$B$3=O$3,SUMIF('TL04'!$C$10:$C$224,$C280,'TL04'!$J$10:$J$224),0),
IF('TL04'!$B$229=O$3,SUMIF('TL04'!$C$238:$C$451,$C280,'TL04'!$J$238:$J$451),0),
IF('TL05'!$B$3=O$3,SUMIF('TL05'!$C$10:$C$224,$C280,'TL05'!$J$10:$J$224),0),
IF('TL05'!$B$229=O$3,SUMIF('TL05'!$C$238:$C$451,$C280,'TL05'!$J$238:$J$451),0),
IF('TL06'!$B$3=O$3,SUMIF('TL06'!$C$10:$C$224,$C280,'TL06'!$J$10:$J$224),0),
IF('TL06'!$B$229=O$3,SUMIF('TL06'!$C$238:$C$451,$C280,'TL06'!$J$238:$J$451),0),
IF('TL07'!$B$3=O$3,SUMIF('TL07'!$C$10:$C$224,$C280,'TL07'!$J$10:$J$224),0),
IF('TL07'!$B$229=O$3,SUMIF('TL07'!$C$238:$C$451,$C280,'TL07'!$J$238:$J$451),0),
IF('TL08'!$B$3=O$3,SUMIF('TL08'!$C$10:$C$224,$C280,'TL08'!$J$10:$J$224),0),
IF('TL08'!$B$229=O$3,SUMIF('TL08'!$C$238:$C$451,$C280,'TL08'!$J$238:$J$451),0),
IF('TL09'!$B$3=O$3,SUMIF('TL09'!$C$10:$C$224,$C280,'TL09'!$J$10:$J$224),0),
IF('TL09'!$B$229=O$3,SUMIF('TL09'!$C$238:$C$451,$C280,'TL09'!$J$238:$J$451),0),
IF('TL10'!$B$3=O$3,SUMIF('TL10'!$C$10:$C$224,$C280,'TL10'!$J$10:$J$224),0),
IF('TL10'!$B$229=O$3,SUMIF('TL10'!$C$238:$C$451,$C280,'TL10'!$J$238:$J$451),0),
IF('TL11'!$B$3=O$3,SUMIF('TL11'!$C$10:$C$224,$C280,'TL11'!$J$10:$J$224),0),
IF('TL11'!$B$229=O$3,SUMIF('TL11'!$C$238:$C$451,$C280,'TL11'!$J$238:$J$451),0),
IF('TL12'!$B$3=O$3,SUMIF('TL12'!$C$10:$C$224,$C280,'TL12'!$J$10:$J$224),0),
IF('TL12'!$B$229=O$3,SUMIF('TL12'!$C$238:$C$451,$C280,'TL12'!$J$238:$J$451),0),
IF('TL13'!$B$3=O$3,SUMIF('TL13'!$C$10:$C$224,$C280,'TL13'!$J$10:$J$224),0),
IF('TL13'!$B$229=O$3,SUMIF('TL13'!$C$238:$C$451,$C280,'TL13'!$J$238:$J$451),0),
IF('TL14'!$B$3=O$3,SUMIF('TL14'!$C$10:$C$224,$C280,'TL14'!$J$10:$J$224),0),
IF('TL14'!$B$229=O$3,SUMIF('TL14'!$C$238:$C$451,$C280,'TL14'!$J$238:$J$451),0),
IF('TL15'!$B$3=O$3,SUMIF('TL15'!$C$10:$C$224,$C280,'TL15'!$J$10:$J$224),0),
IF('TL15'!$B$229=O$3,SUMIF('TL15'!$C$238:$C$451,$C280,'TL15'!$J$238:$J$451),0),
IF('TL16'!$B$3=O$3,SUMIF('TL16'!$C$10:$C$224,$C280,'TL16'!$J$10:$J$224),0),
IF('TL16'!$B$229=O$3,SUMIF('TL16'!$C$238:$C$451,$C280,'TL16'!$J$238:$J$451),0),
IF('TL17'!$B$3=O$3,SUMIF('TL17'!$C$10:$C$224,$C280,'TL17'!$J$10:$J$224),0),
IF('TL17'!$B$229=O$3,SUMIF('TL17'!$C$238:$C$451,$C280,'TL17'!$J$238:$J$451),0),
IF('TL18'!$B$3=O$3,SUMIF('TL18'!$C$10:$C$224,$C280,'TL18'!$J$10:$J$224),0),
IF('TL18'!$B$229=O$3,SUMIF('TL18'!$C$238:$C$451,$C280,'TL18'!$J$238:$J$451),0),
IF('TL19'!$B$3=O$3,SUMIF('TL19'!$C$10:$C$224,$C280,'TL19'!$J$10:$J$224),0),
IF('TL19'!$B$229=O$3,SUMIF('TL19'!$C$238:$C$451,$C280,'TL19'!$J$238:$J$451),0)
),0)</f>
        <v/>
      </c>
      <c r="P280" s="9">
        <f>IFERROR(SUM(
IF('TL01'!$B$3=P$3,SUMIF('TL01'!$C$10:$C$224,$C280,'TL01'!$J$10:$J$224),0),
IF('TL01'!$B$229=P$3,SUMIF('TL01'!$C$238:$C$451,$C280,'TL01'!$J$238:$J$451),0),
IF('TL02'!$B$3=P$3,SUMIF('TL02'!$C$10:$C$224,$C280,'TL02'!$J$10:$J$224),0),
IF('TL02'!$B$229=P$3,SUMIF('TL02'!$C$238:$C$451,$C280,'TL02'!$J$238:$J$451),0),
IF('TL03'!$B$3=P$3,SUMIF('TL03'!$C$10:$C$224,$C280,'TL03'!$J$10:$J$224),0),
IF('TL03'!$B$229=P$3,SUMIF('TL03'!$C$238:$C$451,$C280,'TL03'!$J$238:$J$451),0),
IF('TL04'!$B$3=P$3,SUMIF('TL04'!$C$10:$C$224,$C280,'TL04'!$J$10:$J$224),0),
IF('TL04'!$B$229=P$3,SUMIF('TL04'!$C$238:$C$451,$C280,'TL04'!$J$238:$J$451),0),
IF('TL05'!$B$3=P$3,SUMIF('TL05'!$C$10:$C$224,$C280,'TL05'!$J$10:$J$224),0),
IF('TL05'!$B$229=P$3,SUMIF('TL05'!$C$238:$C$451,$C280,'TL05'!$J$238:$J$451),0),
IF('TL06'!$B$3=P$3,SUMIF('TL06'!$C$10:$C$224,$C280,'TL06'!$J$10:$J$224),0),
IF('TL06'!$B$229=P$3,SUMIF('TL06'!$C$238:$C$451,$C280,'TL06'!$J$238:$J$451),0),
IF('TL07'!$B$3=P$3,SUMIF('TL07'!$C$10:$C$224,$C280,'TL07'!$J$10:$J$224),0),
IF('TL07'!$B$229=P$3,SUMIF('TL07'!$C$238:$C$451,$C280,'TL07'!$J$238:$J$451),0),
IF('TL08'!$B$3=P$3,SUMIF('TL08'!$C$10:$C$224,$C280,'TL08'!$J$10:$J$224),0),
IF('TL08'!$B$229=P$3,SUMIF('TL08'!$C$238:$C$451,$C280,'TL08'!$J$238:$J$451),0),
IF('TL09'!$B$3=P$3,SUMIF('TL09'!$C$10:$C$224,$C280,'TL09'!$J$10:$J$224),0),
IF('TL09'!$B$229=P$3,SUMIF('TL09'!$C$238:$C$451,$C280,'TL09'!$J$238:$J$451),0),
IF('TL10'!$B$3=P$3,SUMIF('TL10'!$C$10:$C$224,$C280,'TL10'!$J$10:$J$224),0),
IF('TL10'!$B$229=P$3,SUMIF('TL10'!$C$238:$C$451,$C280,'TL10'!$J$238:$J$451),0),
IF('TL11'!$B$3=P$3,SUMIF('TL11'!$C$10:$C$224,$C280,'TL11'!$J$10:$J$224),0),
IF('TL11'!$B$229=P$3,SUMIF('TL11'!$C$238:$C$451,$C280,'TL11'!$J$238:$J$451),0),
IF('TL12'!$B$3=P$3,SUMIF('TL12'!$C$10:$C$224,$C280,'TL12'!$J$10:$J$224),0),
IF('TL12'!$B$229=P$3,SUMIF('TL12'!$C$238:$C$451,$C280,'TL12'!$J$238:$J$451),0),
IF('TL13'!$B$3=P$3,SUMIF('TL13'!$C$10:$C$224,$C280,'TL13'!$J$10:$J$224),0),
IF('TL13'!$B$229=P$3,SUMIF('TL13'!$C$238:$C$451,$C280,'TL13'!$J$238:$J$451),0),
IF('TL14'!$B$3=P$3,SUMIF('TL14'!$C$10:$C$224,$C280,'TL14'!$J$10:$J$224),0),
IF('TL14'!$B$229=P$3,SUMIF('TL14'!$C$238:$C$451,$C280,'TL14'!$J$238:$J$451),0),
IF('TL15'!$B$3=P$3,SUMIF('TL15'!$C$10:$C$224,$C280,'TL15'!$J$10:$J$224),0),
IF('TL15'!$B$229=P$3,SUMIF('TL15'!$C$238:$C$451,$C280,'TL15'!$J$238:$J$451),0),
IF('TL16'!$B$3=P$3,SUMIF('TL16'!$C$10:$C$224,$C280,'TL16'!$J$10:$J$224),0),
IF('TL16'!$B$229=P$3,SUMIF('TL16'!$C$238:$C$451,$C280,'TL16'!$J$238:$J$451),0),
IF('TL17'!$B$3=P$3,SUMIF('TL17'!$C$10:$C$224,$C280,'TL17'!$J$10:$J$224),0),
IF('TL17'!$B$229=P$3,SUMIF('TL17'!$C$238:$C$451,$C280,'TL17'!$J$238:$J$451),0),
IF('TL18'!$B$3=P$3,SUMIF('TL18'!$C$10:$C$224,$C280,'TL18'!$J$10:$J$224),0),
IF('TL18'!$B$229=P$3,SUMIF('TL18'!$C$238:$C$451,$C280,'TL18'!$J$238:$J$451),0),
IF('TL19'!$B$3=P$3,SUMIF('TL19'!$C$10:$C$224,$C280,'TL19'!$J$10:$J$224),0),
IF('TL19'!$B$229=P$3,SUMIF('TL19'!$C$238:$C$451,$C280,'TL19'!$J$238:$J$451),0)
),0)</f>
        <v/>
      </c>
      <c r="Q280" s="9">
        <f>IFERROR(SUM(
IF('TL01'!$B$3=Q$3,SUMIF('TL01'!$C$10:$C$224,$C280,'TL01'!$J$10:$J$224),0),
IF('TL01'!$B$229=Q$3,SUMIF('TL01'!$C$238:$C$451,$C280,'TL01'!$J$238:$J$451),0),
IF('TL02'!$B$3=Q$3,SUMIF('TL02'!$C$10:$C$224,$C280,'TL02'!$J$10:$J$224),0),
IF('TL02'!$B$229=Q$3,SUMIF('TL02'!$C$238:$C$451,$C280,'TL02'!$J$238:$J$451),0),
IF('TL03'!$B$3=Q$3,SUMIF('TL03'!$C$10:$C$224,$C280,'TL03'!$J$10:$J$224),0),
IF('TL03'!$B$229=Q$3,SUMIF('TL03'!$C$238:$C$451,$C280,'TL03'!$J$238:$J$451),0),
IF('TL04'!$B$3=Q$3,SUMIF('TL04'!$C$10:$C$224,$C280,'TL04'!$J$10:$J$224),0),
IF('TL04'!$B$229=Q$3,SUMIF('TL04'!$C$238:$C$451,$C280,'TL04'!$J$238:$J$451),0),
IF('TL05'!$B$3=Q$3,SUMIF('TL05'!$C$10:$C$224,$C280,'TL05'!$J$10:$J$224),0),
IF('TL05'!$B$229=Q$3,SUMIF('TL05'!$C$238:$C$451,$C280,'TL05'!$J$238:$J$451),0),
IF('TL06'!$B$3=Q$3,SUMIF('TL06'!$C$10:$C$224,$C280,'TL06'!$J$10:$J$224),0),
IF('TL06'!$B$229=Q$3,SUMIF('TL06'!$C$238:$C$451,$C280,'TL06'!$J$238:$J$451),0),
IF('TL07'!$B$3=Q$3,SUMIF('TL07'!$C$10:$C$224,$C280,'TL07'!$J$10:$J$224),0),
IF('TL07'!$B$229=Q$3,SUMIF('TL07'!$C$238:$C$451,$C280,'TL07'!$J$238:$J$451),0),
IF('TL08'!$B$3=Q$3,SUMIF('TL08'!$C$10:$C$224,$C280,'TL08'!$J$10:$J$224),0),
IF('TL08'!$B$229=Q$3,SUMIF('TL08'!$C$238:$C$451,$C280,'TL08'!$J$238:$J$451),0),
IF('TL09'!$B$3=Q$3,SUMIF('TL09'!$C$10:$C$224,$C280,'TL09'!$J$10:$J$224),0),
IF('TL09'!$B$229=Q$3,SUMIF('TL09'!$C$238:$C$451,$C280,'TL09'!$J$238:$J$451),0),
IF('TL10'!$B$3=Q$3,SUMIF('TL10'!$C$10:$C$224,$C280,'TL10'!$J$10:$J$224),0),
IF('TL10'!$B$229=Q$3,SUMIF('TL10'!$C$238:$C$451,$C280,'TL10'!$J$238:$J$451),0),
IF('TL11'!$B$3=Q$3,SUMIF('TL11'!$C$10:$C$224,$C280,'TL11'!$J$10:$J$224),0),
IF('TL11'!$B$229=Q$3,SUMIF('TL11'!$C$238:$C$451,$C280,'TL11'!$J$238:$J$451),0),
IF('TL12'!$B$3=Q$3,SUMIF('TL12'!$C$10:$C$224,$C280,'TL12'!$J$10:$J$224),0),
IF('TL12'!$B$229=Q$3,SUMIF('TL12'!$C$238:$C$451,$C280,'TL12'!$J$238:$J$451),0),
IF('TL13'!$B$3=Q$3,SUMIF('TL13'!$C$10:$C$224,$C280,'TL13'!$J$10:$J$224),0),
IF('TL13'!$B$229=Q$3,SUMIF('TL13'!$C$238:$C$451,$C280,'TL13'!$J$238:$J$451),0),
IF('TL14'!$B$3=Q$3,SUMIF('TL14'!$C$10:$C$224,$C280,'TL14'!$J$10:$J$224),0),
IF('TL14'!$B$229=Q$3,SUMIF('TL14'!$C$238:$C$451,$C280,'TL14'!$J$238:$J$451),0),
IF('TL15'!$B$3=Q$3,SUMIF('TL15'!$C$10:$C$224,$C280,'TL15'!$J$10:$J$224),0),
IF('TL15'!$B$229=Q$3,SUMIF('TL15'!$C$238:$C$451,$C280,'TL15'!$J$238:$J$451),0),
IF('TL16'!$B$3=Q$3,SUMIF('TL16'!$C$10:$C$224,$C280,'TL16'!$J$10:$J$224),0),
IF('TL16'!$B$229=Q$3,SUMIF('TL16'!$C$238:$C$451,$C280,'TL16'!$J$238:$J$451),0),
IF('TL17'!$B$3=Q$3,SUMIF('TL17'!$C$10:$C$224,$C280,'TL17'!$J$10:$J$224),0),
IF('TL17'!$B$229=Q$3,SUMIF('TL17'!$C$238:$C$451,$C280,'TL17'!$J$238:$J$451),0),
IF('TL18'!$B$3=Q$3,SUMIF('TL18'!$C$10:$C$224,$C280,'TL18'!$J$10:$J$224),0),
IF('TL18'!$B$229=Q$3,SUMIF('TL18'!$C$238:$C$451,$C280,'TL18'!$J$238:$J$451),0),
IF('TL19'!$B$3=Q$3,SUMIF('TL19'!$C$10:$C$224,$C280,'TL19'!$J$10:$J$224),0),
IF('TL19'!$B$229=Q$3,SUMIF('TL19'!$C$238:$C$451,$C280,'TL19'!$J$238:$J$451),0)
),0)</f>
        <v/>
      </c>
      <c r="R280" s="9">
        <f>IFERROR(
SUM(
SUMIF('TL01'!C:C,C280,'TL01'!J:J),
SUMIF('TL02'!C:C,C280,'TL02'!J:J),
SUMIF('TL03'!C:C,C280,'TL03'!J:J),
SUMIF('TL04'!C:C,C280,'TL04'!J:J),
SUMIF('TL05'!C:C,C280,'TL05'!J:J),
SUMIF('TL06'!C:C,C280,'TL06'!J:J),
SUMIF('TL07'!C:C,C280,'TL07'!J:J),
SUMIF('TL08'!C:C,C280,'TL08'!J:J),
SUMIF('TL09'!C:C,C280,'TL09'!J:J),
SUMIF('TL10'!C:C,C280,'TL10'!J:J),
SUMIF('TL11'!C:C,C280,'TL11'!J:J),
SUMIF('TL12'!C:C,C280,'TL12'!J:J),
SUMIF('TL13'!C:C,C280,'TL13'!J:J),
SUMIF('TL14'!C:C,C280,'TL14'!J:J),
SUMIF('TL15'!C:C,C280,'TL15'!J:J),
SUMIF('TL16'!C:C,C280,'TL16'!J:J),
SUMIF('TL17'!C:C,C280,'TL17'!J:J),
SUMIF('TL18'!C:C,C280,'TL18'!J:J),SUMIF('TL19'!C:C,C280,'TL19'!J:J))
,0)</f>
        <v/>
      </c>
      <c r="S280" s="17">
        <f>IFERROR(__xludf.DUMMYFUNCTION("IFERROR(VLOOKUP(C280,
IMPORTRANGE(""1wULbzX32WdYsx-lj2U3uUNBBe2INVIRDtcK0d-Dvl90"",
""26-27!C:G""),
5,
FALSE),
"""")"),15.0)</f>
        <v/>
      </c>
      <c r="T280" s="9" t="n"/>
      <c r="U280" s="92">
        <f>MAX(0,R280-T280)</f>
        <v/>
      </c>
      <c r="V280" s="93">
        <f>U280*S280</f>
        <v/>
      </c>
    </row>
    <row r="281" hidden="1" ht="15.75" customHeight="1" s="297">
      <c r="A281" s="4" t="inlineStr">
        <is>
          <t>GRAN7</t>
        </is>
      </c>
      <c r="B281" s="125" t="inlineStr">
        <is>
          <t>NUTRIÇÃO</t>
        </is>
      </c>
      <c r="C281" s="4" t="inlineStr">
        <is>
          <t>MAX RAIZ</t>
        </is>
      </c>
      <c r="D281" s="4" t="inlineStr">
        <is>
          <t>Co 0,3%, Mo 3%, Ni 0,3% + 15% Ascophyllum nodosum</t>
        </is>
      </c>
      <c r="E281" s="9" t="n"/>
      <c r="F281" s="4" t="inlineStr">
        <is>
          <t>L</t>
        </is>
      </c>
      <c r="G281" s="9" t="n"/>
      <c r="H281" s="9" t="n">
        <v>0.05</v>
      </c>
      <c r="I281" s="1" t="n"/>
      <c r="J281" s="9">
        <f>IFERROR(SUM(
IF('TL01'!$B$3=J$3,SUMIF('TL01'!$C$10:$C$224,$C281,'TL01'!$J$10:$J$224),0),
IF('TL01'!$B$229=J$3,SUMIF('TL01'!$C$238:$C$451,$C281,'TL01'!$J$238:$J$451),0),
IF('TL02'!$B$3=J$3,SUMIF('TL02'!$C$10:$C$224,$C281,'TL02'!$J$10:$J$224),0),
IF('TL02'!$B$229=J$3,SUMIF('TL02'!$C$238:$C$451,$C281,'TL02'!$J$238:$J$451),0),
IF('TL03'!$B$3=J$3,SUMIF('TL03'!$C$10:$C$224,$C281,'TL03'!$J$10:$J$224),0),
IF('TL03'!$B$229=J$3,SUMIF('TL03'!$C$238:$C$451,$C281,'TL03'!$J$238:$J$451),0),
IF('TL04'!$B$3=J$3,SUMIF('TL04'!$C$10:$C$224,$C281,'TL04'!$J$10:$J$224),0),
IF('TL04'!$B$229=J$3,SUMIF('TL04'!$C$238:$C$451,$C281,'TL04'!$J$238:$J$451),0),
IF('TL05'!$B$3=J$3,SUMIF('TL05'!$C$10:$C$224,$C281,'TL05'!$J$10:$J$224),0),
IF('TL05'!$B$229=J$3,SUMIF('TL05'!$C$238:$C$451,$C281,'TL05'!$J$238:$J$451),0),
IF('TL06'!$B$3=J$3,SUMIF('TL06'!$C$10:$C$224,$C281,'TL06'!$J$10:$J$224),0),
IF('TL06'!$B$229=J$3,SUMIF('TL06'!$C$238:$C$451,$C281,'TL06'!$J$238:$J$451),0),
IF('TL07'!$B$3=J$3,SUMIF('TL07'!$C$10:$C$224,$C281,'TL07'!$J$10:$J$224),0),
IF('TL07'!$B$229=J$3,SUMIF('TL07'!$C$238:$C$451,$C281,'TL07'!$J$238:$J$451),0),
IF('TL08'!$B$3=J$3,SUMIF('TL08'!$C$10:$C$224,$C281,'TL08'!$J$10:$J$224),0),
IF('TL08'!$B$229=J$3,SUMIF('TL08'!$C$238:$C$451,$C281,'TL08'!$J$238:$J$451),0),
IF('TL09'!$B$3=J$3,SUMIF('TL09'!$C$10:$C$224,$C281,'TL09'!$J$10:$J$224),0),
IF('TL09'!$B$229=J$3,SUMIF('TL09'!$C$238:$C$451,$C281,'TL09'!$J$238:$J$451),0),
IF('TL10'!$B$3=J$3,SUMIF('TL10'!$C$10:$C$224,$C281,'TL10'!$J$10:$J$224),0),
IF('TL10'!$B$229=J$3,SUMIF('TL10'!$C$238:$C$451,$C281,'TL10'!$J$238:$J$451),0),
IF('TL11'!$B$3=J$3,SUMIF('TL11'!$C$10:$C$224,$C281,'TL11'!$J$10:$J$224),0),
IF('TL11'!$B$229=J$3,SUMIF('TL11'!$C$238:$C$451,$C281,'TL11'!$J$238:$J$451),0),
IF('TL12'!$B$3=J$3,SUMIF('TL12'!$C$10:$C$224,$C281,'TL12'!$J$10:$J$224),0),
IF('TL12'!$B$229=J$3,SUMIF('TL12'!$C$238:$C$451,$C281,'TL12'!$J$238:$J$451),0),
IF('TL13'!$B$3=J$3,SUMIF('TL13'!$C$10:$C$224,$C281,'TL13'!$J$10:$J$224),0),
IF('TL13'!$B$229=J$3,SUMIF('TL13'!$C$238:$C$451,$C281,'TL13'!$J$238:$J$451),0),
IF('TL14'!$B$3=J$3,SUMIF('TL14'!$C$10:$C$224,$C281,'TL14'!$J$10:$J$224),0),
IF('TL14'!$B$229=J$3,SUMIF('TL14'!$C$238:$C$451,$C281,'TL14'!$J$238:$J$451),0),
IF('TL15'!$B$3=J$3,SUMIF('TL15'!$C$10:$C$224,$C281,'TL15'!$J$10:$J$224),0),
IF('TL15'!$B$229=J$3,SUMIF('TL15'!$C$238:$C$451,$C281,'TL15'!$J$238:$J$451),0),
IF('TL16'!$B$3=J$3,SUMIF('TL16'!$C$10:$C$224,$C281,'TL16'!$J$10:$J$224),0),
IF('TL16'!$B$229=J$3,SUMIF('TL16'!$C$238:$C$451,$C281,'TL16'!$J$238:$J$451),0),
IF('TL17'!$B$3=J$3,SUMIF('TL17'!$C$10:$C$224,$C281,'TL17'!$J$10:$J$224),0),
IF('TL17'!$B$229=J$3,SUMIF('TL17'!$C$238:$C$451,$C281,'TL17'!$J$238:$J$451),0),
IF('TL18'!$B$3=J$3,SUMIF('TL18'!$C$10:$C$224,$C281,'TL18'!$J$10:$J$224),0),
IF('TL18'!$B$229=J$3,SUMIF('TL18'!$C$238:$C$451,$C281,'TL18'!$J$238:$J$451),0),
IF('TL19'!$B$3=J$3,SUMIF('TL19'!$C$10:$C$224,$C281,'TL19'!$J$10:$J$224),0),
IF('TL19'!$B$229=J$3,SUMIF('TL19'!$C$238:$C$451,$C281,'TL19'!$J$238:$J$451),0)
),0)</f>
        <v/>
      </c>
      <c r="K281" s="9">
        <f>IFERROR(SUM(
IF('TL01'!$B$3=K$3,SUMIF('TL01'!$C$10:$C$224,$C281,'TL01'!$J$10:$J$224),0),
IF('TL01'!$B$229=K$3,SUMIF('TL01'!$C$238:$C$451,$C281,'TL01'!$J$238:$J$451),0),
IF('TL02'!$B$3=K$3,SUMIF('TL02'!$C$10:$C$224,$C281,'TL02'!$J$10:$J$224),0),
IF('TL02'!$B$229=K$3,SUMIF('TL02'!$C$238:$C$451,$C281,'TL02'!$J$238:$J$451),0),
IF('TL03'!$B$3=K$3,SUMIF('TL03'!$C$10:$C$224,$C281,'TL03'!$J$10:$J$224),0),
IF('TL03'!$B$229=K$3,SUMIF('TL03'!$C$238:$C$451,$C281,'TL03'!$J$238:$J$451),0),
IF('TL04'!$B$3=K$3,SUMIF('TL04'!$C$10:$C$224,$C281,'TL04'!$J$10:$J$224),0),
IF('TL04'!$B$229=K$3,SUMIF('TL04'!$C$238:$C$451,$C281,'TL04'!$J$238:$J$451),0),
IF('TL05'!$B$3=K$3,SUMIF('TL05'!$C$10:$C$224,$C281,'TL05'!$J$10:$J$224),0),
IF('TL05'!$B$229=K$3,SUMIF('TL05'!$C$238:$C$451,$C281,'TL05'!$J$238:$J$451),0),
IF('TL06'!$B$3=K$3,SUMIF('TL06'!$C$10:$C$224,$C281,'TL06'!$J$10:$J$224),0),
IF('TL06'!$B$229=K$3,SUMIF('TL06'!$C$238:$C$451,$C281,'TL06'!$J$238:$J$451),0),
IF('TL07'!$B$3=K$3,SUMIF('TL07'!$C$10:$C$224,$C281,'TL07'!$J$10:$J$224),0),
IF('TL07'!$B$229=K$3,SUMIF('TL07'!$C$238:$C$451,$C281,'TL07'!$J$238:$J$451),0),
IF('TL08'!$B$3=K$3,SUMIF('TL08'!$C$10:$C$224,$C281,'TL08'!$J$10:$J$224),0),
IF('TL08'!$B$229=K$3,SUMIF('TL08'!$C$238:$C$451,$C281,'TL08'!$J$238:$J$451),0),
IF('TL09'!$B$3=K$3,SUMIF('TL09'!$C$10:$C$224,$C281,'TL09'!$J$10:$J$224),0),
IF('TL09'!$B$229=K$3,SUMIF('TL09'!$C$238:$C$451,$C281,'TL09'!$J$238:$J$451),0),
IF('TL10'!$B$3=K$3,SUMIF('TL10'!$C$10:$C$224,$C281,'TL10'!$J$10:$J$224),0),
IF('TL10'!$B$229=K$3,SUMIF('TL10'!$C$238:$C$451,$C281,'TL10'!$J$238:$J$451),0),
IF('TL11'!$B$3=K$3,SUMIF('TL11'!$C$10:$C$224,$C281,'TL11'!$J$10:$J$224),0),
IF('TL11'!$B$229=K$3,SUMIF('TL11'!$C$238:$C$451,$C281,'TL11'!$J$238:$J$451),0),
IF('TL12'!$B$3=K$3,SUMIF('TL12'!$C$10:$C$224,$C281,'TL12'!$J$10:$J$224),0),
IF('TL12'!$B$229=K$3,SUMIF('TL12'!$C$238:$C$451,$C281,'TL12'!$J$238:$J$451),0),
IF('TL13'!$B$3=K$3,SUMIF('TL13'!$C$10:$C$224,$C281,'TL13'!$J$10:$J$224),0),
IF('TL13'!$B$229=K$3,SUMIF('TL13'!$C$238:$C$451,$C281,'TL13'!$J$238:$J$451),0),
IF('TL14'!$B$3=K$3,SUMIF('TL14'!$C$10:$C$224,$C281,'TL14'!$J$10:$J$224),0),
IF('TL14'!$B$229=K$3,SUMIF('TL14'!$C$238:$C$451,$C281,'TL14'!$J$238:$J$451),0),
IF('TL15'!$B$3=K$3,SUMIF('TL15'!$C$10:$C$224,$C281,'TL15'!$J$10:$J$224),0),
IF('TL15'!$B$229=K$3,SUMIF('TL15'!$C$238:$C$451,$C281,'TL15'!$J$238:$J$451),0),
IF('TL16'!$B$3=K$3,SUMIF('TL16'!$C$10:$C$224,$C281,'TL16'!$J$10:$J$224),0),
IF('TL16'!$B$229=K$3,SUMIF('TL16'!$C$238:$C$451,$C281,'TL16'!$J$238:$J$451),0),
IF('TL17'!$B$3=K$3,SUMIF('TL17'!$C$10:$C$224,$C281,'TL17'!$J$10:$J$224),0),
IF('TL17'!$B$229=K$3,SUMIF('TL17'!$C$238:$C$451,$C281,'TL17'!$J$238:$J$451),0),
IF('TL18'!$B$3=K$3,SUMIF('TL18'!$C$10:$C$224,$C281,'TL18'!$J$10:$J$224),0),
IF('TL18'!$B$229=K$3,SUMIF('TL18'!$C$238:$C$451,$C281,'TL18'!$J$238:$J$451),0),
IF('TL19'!$B$3=K$3,SUMIF('TL19'!$C$10:$C$224,$C281,'TL19'!$J$10:$J$224),0),
IF('TL19'!$B$229=K$3,SUMIF('TL19'!$C$238:$C$451,$C281,'TL19'!$J$238:$J$451),0)
),0)</f>
        <v/>
      </c>
      <c r="L281" s="9">
        <f>IFERROR(SUM(
IF('TL01'!$B$3=L$3,SUMIF('TL01'!$C$10:$C$224,$C281,'TL01'!$J$10:$J$224),0),
IF('TL01'!$B$229=L$3,SUMIF('TL01'!$C$238:$C$451,$C281,'TL01'!$J$238:$J$451),0),
IF('TL02'!$B$3=L$3,SUMIF('TL02'!$C$10:$C$224,$C281,'TL02'!$J$10:$J$224),0),
IF('TL02'!$B$229=L$3,SUMIF('TL02'!$C$238:$C$451,$C281,'TL02'!$J$238:$J$451),0),
IF('TL03'!$B$3=L$3,SUMIF('TL03'!$C$10:$C$224,$C281,'TL03'!$J$10:$J$224),0),
IF('TL03'!$B$229=L$3,SUMIF('TL03'!$C$238:$C$451,$C281,'TL03'!$J$238:$J$451),0),
IF('TL04'!$B$3=L$3,SUMIF('TL04'!$C$10:$C$224,$C281,'TL04'!$J$10:$J$224),0),
IF('TL04'!$B$229=L$3,SUMIF('TL04'!$C$238:$C$451,$C281,'TL04'!$J$238:$J$451),0),
IF('TL05'!$B$3=L$3,SUMIF('TL05'!$C$10:$C$224,$C281,'TL05'!$J$10:$J$224),0),
IF('TL05'!$B$229=L$3,SUMIF('TL05'!$C$238:$C$451,$C281,'TL05'!$J$238:$J$451),0),
IF('TL06'!$B$3=L$3,SUMIF('TL06'!$C$10:$C$224,$C281,'TL06'!$J$10:$J$224),0),
IF('TL06'!$B$229=L$3,SUMIF('TL06'!$C$238:$C$451,$C281,'TL06'!$J$238:$J$451),0),
IF('TL07'!$B$3=L$3,SUMIF('TL07'!$C$10:$C$224,$C281,'TL07'!$J$10:$J$224),0),
IF('TL07'!$B$229=L$3,SUMIF('TL07'!$C$238:$C$451,$C281,'TL07'!$J$238:$J$451),0),
IF('TL08'!$B$3=L$3,SUMIF('TL08'!$C$10:$C$224,$C281,'TL08'!$J$10:$J$224),0),
IF('TL08'!$B$229=L$3,SUMIF('TL08'!$C$238:$C$451,$C281,'TL08'!$J$238:$J$451),0),
IF('TL09'!$B$3=L$3,SUMIF('TL09'!$C$10:$C$224,$C281,'TL09'!$J$10:$J$224),0),
IF('TL09'!$B$229=L$3,SUMIF('TL09'!$C$238:$C$451,$C281,'TL09'!$J$238:$J$451),0),
IF('TL10'!$B$3=L$3,SUMIF('TL10'!$C$10:$C$224,$C281,'TL10'!$J$10:$J$224),0),
IF('TL10'!$B$229=L$3,SUMIF('TL10'!$C$238:$C$451,$C281,'TL10'!$J$238:$J$451),0),
IF('TL11'!$B$3=L$3,SUMIF('TL11'!$C$10:$C$224,$C281,'TL11'!$J$10:$J$224),0),
IF('TL11'!$B$229=L$3,SUMIF('TL11'!$C$238:$C$451,$C281,'TL11'!$J$238:$J$451),0),
IF('TL12'!$B$3=L$3,SUMIF('TL12'!$C$10:$C$224,$C281,'TL12'!$J$10:$J$224),0),
IF('TL12'!$B$229=L$3,SUMIF('TL12'!$C$238:$C$451,$C281,'TL12'!$J$238:$J$451),0),
IF('TL13'!$B$3=L$3,SUMIF('TL13'!$C$10:$C$224,$C281,'TL13'!$J$10:$J$224),0),
IF('TL13'!$B$229=L$3,SUMIF('TL13'!$C$238:$C$451,$C281,'TL13'!$J$238:$J$451),0),
IF('TL14'!$B$3=L$3,SUMIF('TL14'!$C$10:$C$224,$C281,'TL14'!$J$10:$J$224),0),
IF('TL14'!$B$229=L$3,SUMIF('TL14'!$C$238:$C$451,$C281,'TL14'!$J$238:$J$451),0),
IF('TL15'!$B$3=L$3,SUMIF('TL15'!$C$10:$C$224,$C281,'TL15'!$J$10:$J$224),0),
IF('TL15'!$B$229=L$3,SUMIF('TL15'!$C$238:$C$451,$C281,'TL15'!$J$238:$J$451),0),
IF('TL16'!$B$3=L$3,SUMIF('TL16'!$C$10:$C$224,$C281,'TL16'!$J$10:$J$224),0),
IF('TL16'!$B$229=L$3,SUMIF('TL16'!$C$238:$C$451,$C281,'TL16'!$J$238:$J$451),0),
IF('TL17'!$B$3=L$3,SUMIF('TL17'!$C$10:$C$224,$C281,'TL17'!$J$10:$J$224),0),
IF('TL17'!$B$229=L$3,SUMIF('TL17'!$C$238:$C$451,$C281,'TL17'!$J$238:$J$451),0),
IF('TL18'!$B$3=L$3,SUMIF('TL18'!$C$10:$C$224,$C281,'TL18'!$J$10:$J$224),0),
IF('TL18'!$B$229=L$3,SUMIF('TL18'!$C$238:$C$451,$C281,'TL18'!$J$238:$J$451),0),
IF('TL19'!$B$3=L$3,SUMIF('TL19'!$C$10:$C$224,$C281,'TL19'!$J$10:$J$224),0),
IF('TL19'!$B$229=L$3,SUMIF('TL19'!$C$238:$C$451,$C281,'TL19'!$J$238:$J$451),0)
),0)</f>
        <v/>
      </c>
      <c r="M281" s="9">
        <f>IFERROR(SUM(
IF('TL01'!$B$3=M$3,SUMIF('TL01'!$C$10:$C$224,$C281,'TL01'!$J$10:$J$224),0),
IF('TL01'!$B$229=M$3,SUMIF('TL01'!$C$238:$C$451,$C281,'TL01'!$J$238:$J$451),0),
IF('TL02'!$B$3=M$3,SUMIF('TL02'!$C$10:$C$224,$C281,'TL02'!$J$10:$J$224),0),
IF('TL02'!$B$229=M$3,SUMIF('TL02'!$C$238:$C$451,$C281,'TL02'!$J$238:$J$451),0),
IF('TL03'!$B$3=M$3,SUMIF('TL03'!$C$10:$C$224,$C281,'TL03'!$J$10:$J$224),0),
IF('TL03'!$B$229=M$3,SUMIF('TL03'!$C$238:$C$451,$C281,'TL03'!$J$238:$J$451),0),
IF('TL04'!$B$3=M$3,SUMIF('TL04'!$C$10:$C$224,$C281,'TL04'!$J$10:$J$224),0),
IF('TL04'!$B$229=M$3,SUMIF('TL04'!$C$238:$C$451,$C281,'TL04'!$J$238:$J$451),0),
IF('TL05'!$B$3=M$3,SUMIF('TL05'!$C$10:$C$224,$C281,'TL05'!$J$10:$J$224),0),
IF('TL05'!$B$229=M$3,SUMIF('TL05'!$C$238:$C$451,$C281,'TL05'!$J$238:$J$451),0),
IF('TL06'!$B$3=M$3,SUMIF('TL06'!$C$10:$C$224,$C281,'TL06'!$J$10:$J$224),0),
IF('TL06'!$B$229=M$3,SUMIF('TL06'!$C$238:$C$451,$C281,'TL06'!$J$238:$J$451),0),
IF('TL07'!$B$3=M$3,SUMIF('TL07'!$C$10:$C$224,$C281,'TL07'!$J$10:$J$224),0),
IF('TL07'!$B$229=M$3,SUMIF('TL07'!$C$238:$C$451,$C281,'TL07'!$J$238:$J$451),0),
IF('TL08'!$B$3=M$3,SUMIF('TL08'!$C$10:$C$224,$C281,'TL08'!$J$10:$J$224),0),
IF('TL08'!$B$229=M$3,SUMIF('TL08'!$C$238:$C$451,$C281,'TL08'!$J$238:$J$451),0),
IF('TL09'!$B$3=M$3,SUMIF('TL09'!$C$10:$C$224,$C281,'TL09'!$J$10:$J$224),0),
IF('TL09'!$B$229=M$3,SUMIF('TL09'!$C$238:$C$451,$C281,'TL09'!$J$238:$J$451),0),
IF('TL10'!$B$3=M$3,SUMIF('TL10'!$C$10:$C$224,$C281,'TL10'!$J$10:$J$224),0),
IF('TL10'!$B$229=M$3,SUMIF('TL10'!$C$238:$C$451,$C281,'TL10'!$J$238:$J$451),0),
IF('TL11'!$B$3=M$3,SUMIF('TL11'!$C$10:$C$224,$C281,'TL11'!$J$10:$J$224),0),
IF('TL11'!$B$229=M$3,SUMIF('TL11'!$C$238:$C$451,$C281,'TL11'!$J$238:$J$451),0),
IF('TL12'!$B$3=M$3,SUMIF('TL12'!$C$10:$C$224,$C281,'TL12'!$J$10:$J$224),0),
IF('TL12'!$B$229=M$3,SUMIF('TL12'!$C$238:$C$451,$C281,'TL12'!$J$238:$J$451),0),
IF('TL13'!$B$3=M$3,SUMIF('TL13'!$C$10:$C$224,$C281,'TL13'!$J$10:$J$224),0),
IF('TL13'!$B$229=M$3,SUMIF('TL13'!$C$238:$C$451,$C281,'TL13'!$J$238:$J$451),0),
IF('TL14'!$B$3=M$3,SUMIF('TL14'!$C$10:$C$224,$C281,'TL14'!$J$10:$J$224),0),
IF('TL14'!$B$229=M$3,SUMIF('TL14'!$C$238:$C$451,$C281,'TL14'!$J$238:$J$451),0),
IF('TL15'!$B$3=M$3,SUMIF('TL15'!$C$10:$C$224,$C281,'TL15'!$J$10:$J$224),0),
IF('TL15'!$B$229=M$3,SUMIF('TL15'!$C$238:$C$451,$C281,'TL15'!$J$238:$J$451),0),
IF('TL16'!$B$3=M$3,SUMIF('TL16'!$C$10:$C$224,$C281,'TL16'!$J$10:$J$224),0),
IF('TL16'!$B$229=M$3,SUMIF('TL16'!$C$238:$C$451,$C281,'TL16'!$J$238:$J$451),0),
IF('TL17'!$B$3=M$3,SUMIF('TL17'!$C$10:$C$224,$C281,'TL17'!$J$10:$J$224),0),
IF('TL17'!$B$229=M$3,SUMIF('TL17'!$C$238:$C$451,$C281,'TL17'!$J$238:$J$451),0),
IF('TL18'!$B$3=M$3,SUMIF('TL18'!$C$10:$C$224,$C281,'TL18'!$J$10:$J$224),0),
IF('TL18'!$B$229=M$3,SUMIF('TL18'!$C$238:$C$451,$C281,'TL18'!$J$238:$J$451),0),
IF('TL19'!$B$3=M$3,SUMIF('TL19'!$C$10:$C$224,$C281,'TL19'!$J$10:$J$224),0),
IF('TL19'!$B$229=M$3,SUMIF('TL19'!$C$238:$C$451,$C281,'TL19'!$J$238:$J$451),0)
),0)</f>
        <v/>
      </c>
      <c r="N281" s="9">
        <f>IFERROR(SUM(
IF('TL01'!$B$3=N$3,SUMIF('TL01'!$C$10:$C$224,$C281,'TL01'!$J$10:$J$224),0),
IF('TL01'!$B$229=N$3,SUMIF('TL01'!$C$238:$C$451,$C281,'TL01'!$J$238:$J$451),0),
IF('TL02'!$B$3=N$3,SUMIF('TL02'!$C$10:$C$224,$C281,'TL02'!$J$10:$J$224),0),
IF('TL02'!$B$229=N$3,SUMIF('TL02'!$C$238:$C$451,$C281,'TL02'!$J$238:$J$451),0),
IF('TL03'!$B$3=N$3,SUMIF('TL03'!$C$10:$C$224,$C281,'TL03'!$J$10:$J$224),0),
IF('TL03'!$B$229=N$3,SUMIF('TL03'!$C$238:$C$451,$C281,'TL03'!$J$238:$J$451),0),
IF('TL04'!$B$3=N$3,SUMIF('TL04'!$C$10:$C$224,$C281,'TL04'!$J$10:$J$224),0),
IF('TL04'!$B$229=N$3,SUMIF('TL04'!$C$238:$C$451,$C281,'TL04'!$J$238:$J$451),0),
IF('TL05'!$B$3=N$3,SUMIF('TL05'!$C$10:$C$224,$C281,'TL05'!$J$10:$J$224),0),
IF('TL05'!$B$229=N$3,SUMIF('TL05'!$C$238:$C$451,$C281,'TL05'!$J$238:$J$451),0),
IF('TL06'!$B$3=N$3,SUMIF('TL06'!$C$10:$C$224,$C281,'TL06'!$J$10:$J$224),0),
IF('TL06'!$B$229=N$3,SUMIF('TL06'!$C$238:$C$451,$C281,'TL06'!$J$238:$J$451),0),
IF('TL07'!$B$3=N$3,SUMIF('TL07'!$C$10:$C$224,$C281,'TL07'!$J$10:$J$224),0),
IF('TL07'!$B$229=N$3,SUMIF('TL07'!$C$238:$C$451,$C281,'TL07'!$J$238:$J$451),0),
IF('TL08'!$B$3=N$3,SUMIF('TL08'!$C$10:$C$224,$C281,'TL08'!$J$10:$J$224),0),
IF('TL08'!$B$229=N$3,SUMIF('TL08'!$C$238:$C$451,$C281,'TL08'!$J$238:$J$451),0),
IF('TL09'!$B$3=N$3,SUMIF('TL09'!$C$10:$C$224,$C281,'TL09'!$J$10:$J$224),0),
IF('TL09'!$B$229=N$3,SUMIF('TL09'!$C$238:$C$451,$C281,'TL09'!$J$238:$J$451),0),
IF('TL10'!$B$3=N$3,SUMIF('TL10'!$C$10:$C$224,$C281,'TL10'!$J$10:$J$224),0),
IF('TL10'!$B$229=N$3,SUMIF('TL10'!$C$238:$C$451,$C281,'TL10'!$J$238:$J$451),0),
IF('TL11'!$B$3=N$3,SUMIF('TL11'!$C$10:$C$224,$C281,'TL11'!$J$10:$J$224),0),
IF('TL11'!$B$229=N$3,SUMIF('TL11'!$C$238:$C$451,$C281,'TL11'!$J$238:$J$451),0),
IF('TL12'!$B$3=N$3,SUMIF('TL12'!$C$10:$C$224,$C281,'TL12'!$J$10:$J$224),0),
IF('TL12'!$B$229=N$3,SUMIF('TL12'!$C$238:$C$451,$C281,'TL12'!$J$238:$J$451),0),
IF('TL13'!$B$3=N$3,SUMIF('TL13'!$C$10:$C$224,$C281,'TL13'!$J$10:$J$224),0),
IF('TL13'!$B$229=N$3,SUMIF('TL13'!$C$238:$C$451,$C281,'TL13'!$J$238:$J$451),0),
IF('TL14'!$B$3=N$3,SUMIF('TL14'!$C$10:$C$224,$C281,'TL14'!$J$10:$J$224),0),
IF('TL14'!$B$229=N$3,SUMIF('TL14'!$C$238:$C$451,$C281,'TL14'!$J$238:$J$451),0),
IF('TL15'!$B$3=N$3,SUMIF('TL15'!$C$10:$C$224,$C281,'TL15'!$J$10:$J$224),0),
IF('TL15'!$B$229=N$3,SUMIF('TL15'!$C$238:$C$451,$C281,'TL15'!$J$238:$J$451),0),
IF('TL16'!$B$3=N$3,SUMIF('TL16'!$C$10:$C$224,$C281,'TL16'!$J$10:$J$224),0),
IF('TL16'!$B$229=N$3,SUMIF('TL16'!$C$238:$C$451,$C281,'TL16'!$J$238:$J$451),0),
IF('TL17'!$B$3=N$3,SUMIF('TL17'!$C$10:$C$224,$C281,'TL17'!$J$10:$J$224),0),
IF('TL17'!$B$229=N$3,SUMIF('TL17'!$C$238:$C$451,$C281,'TL17'!$J$238:$J$451),0),
IF('TL18'!$B$3=N$3,SUMIF('TL18'!$C$10:$C$224,$C281,'TL18'!$J$10:$J$224),0),
IF('TL18'!$B$229=N$3,SUMIF('TL18'!$C$238:$C$451,$C281,'TL18'!$J$238:$J$451),0),
IF('TL19'!$B$3=N$3,SUMIF('TL19'!$C$10:$C$224,$C281,'TL19'!$J$10:$J$224),0),
IF('TL19'!$B$229=N$3,SUMIF('TL19'!$C$238:$C$451,$C281,'TL19'!$J$238:$J$451),0)
),0)</f>
        <v/>
      </c>
      <c r="O281" s="9">
        <f>IFERROR(SUM(
IF('TL01'!$B$3=O$3,SUMIF('TL01'!$C$10:$C$224,$C281,'TL01'!$J$10:$J$224),0),
IF('TL01'!$B$229=O$3,SUMIF('TL01'!$C$238:$C$451,$C281,'TL01'!$J$238:$J$451),0),
IF('TL02'!$B$3=O$3,SUMIF('TL02'!$C$10:$C$224,$C281,'TL02'!$J$10:$J$224),0),
IF('TL02'!$B$229=O$3,SUMIF('TL02'!$C$238:$C$451,$C281,'TL02'!$J$238:$J$451),0),
IF('TL03'!$B$3=O$3,SUMIF('TL03'!$C$10:$C$224,$C281,'TL03'!$J$10:$J$224),0),
IF('TL03'!$B$229=O$3,SUMIF('TL03'!$C$238:$C$451,$C281,'TL03'!$J$238:$J$451),0),
IF('TL04'!$B$3=O$3,SUMIF('TL04'!$C$10:$C$224,$C281,'TL04'!$J$10:$J$224),0),
IF('TL04'!$B$229=O$3,SUMIF('TL04'!$C$238:$C$451,$C281,'TL04'!$J$238:$J$451),0),
IF('TL05'!$B$3=O$3,SUMIF('TL05'!$C$10:$C$224,$C281,'TL05'!$J$10:$J$224),0),
IF('TL05'!$B$229=O$3,SUMIF('TL05'!$C$238:$C$451,$C281,'TL05'!$J$238:$J$451),0),
IF('TL06'!$B$3=O$3,SUMIF('TL06'!$C$10:$C$224,$C281,'TL06'!$J$10:$J$224),0),
IF('TL06'!$B$229=O$3,SUMIF('TL06'!$C$238:$C$451,$C281,'TL06'!$J$238:$J$451),0),
IF('TL07'!$B$3=O$3,SUMIF('TL07'!$C$10:$C$224,$C281,'TL07'!$J$10:$J$224),0),
IF('TL07'!$B$229=O$3,SUMIF('TL07'!$C$238:$C$451,$C281,'TL07'!$J$238:$J$451),0),
IF('TL08'!$B$3=O$3,SUMIF('TL08'!$C$10:$C$224,$C281,'TL08'!$J$10:$J$224),0),
IF('TL08'!$B$229=O$3,SUMIF('TL08'!$C$238:$C$451,$C281,'TL08'!$J$238:$J$451),0),
IF('TL09'!$B$3=O$3,SUMIF('TL09'!$C$10:$C$224,$C281,'TL09'!$J$10:$J$224),0),
IF('TL09'!$B$229=O$3,SUMIF('TL09'!$C$238:$C$451,$C281,'TL09'!$J$238:$J$451),0),
IF('TL10'!$B$3=O$3,SUMIF('TL10'!$C$10:$C$224,$C281,'TL10'!$J$10:$J$224),0),
IF('TL10'!$B$229=O$3,SUMIF('TL10'!$C$238:$C$451,$C281,'TL10'!$J$238:$J$451),0),
IF('TL11'!$B$3=O$3,SUMIF('TL11'!$C$10:$C$224,$C281,'TL11'!$J$10:$J$224),0),
IF('TL11'!$B$229=O$3,SUMIF('TL11'!$C$238:$C$451,$C281,'TL11'!$J$238:$J$451),0),
IF('TL12'!$B$3=O$3,SUMIF('TL12'!$C$10:$C$224,$C281,'TL12'!$J$10:$J$224),0),
IF('TL12'!$B$229=O$3,SUMIF('TL12'!$C$238:$C$451,$C281,'TL12'!$J$238:$J$451),0),
IF('TL13'!$B$3=O$3,SUMIF('TL13'!$C$10:$C$224,$C281,'TL13'!$J$10:$J$224),0),
IF('TL13'!$B$229=O$3,SUMIF('TL13'!$C$238:$C$451,$C281,'TL13'!$J$238:$J$451),0),
IF('TL14'!$B$3=O$3,SUMIF('TL14'!$C$10:$C$224,$C281,'TL14'!$J$10:$J$224),0),
IF('TL14'!$B$229=O$3,SUMIF('TL14'!$C$238:$C$451,$C281,'TL14'!$J$238:$J$451),0),
IF('TL15'!$B$3=O$3,SUMIF('TL15'!$C$10:$C$224,$C281,'TL15'!$J$10:$J$224),0),
IF('TL15'!$B$229=O$3,SUMIF('TL15'!$C$238:$C$451,$C281,'TL15'!$J$238:$J$451),0),
IF('TL16'!$B$3=O$3,SUMIF('TL16'!$C$10:$C$224,$C281,'TL16'!$J$10:$J$224),0),
IF('TL16'!$B$229=O$3,SUMIF('TL16'!$C$238:$C$451,$C281,'TL16'!$J$238:$J$451),0),
IF('TL17'!$B$3=O$3,SUMIF('TL17'!$C$10:$C$224,$C281,'TL17'!$J$10:$J$224),0),
IF('TL17'!$B$229=O$3,SUMIF('TL17'!$C$238:$C$451,$C281,'TL17'!$J$238:$J$451),0),
IF('TL18'!$B$3=O$3,SUMIF('TL18'!$C$10:$C$224,$C281,'TL18'!$J$10:$J$224),0),
IF('TL18'!$B$229=O$3,SUMIF('TL18'!$C$238:$C$451,$C281,'TL18'!$J$238:$J$451),0),
IF('TL19'!$B$3=O$3,SUMIF('TL19'!$C$10:$C$224,$C281,'TL19'!$J$10:$J$224),0),
IF('TL19'!$B$229=O$3,SUMIF('TL19'!$C$238:$C$451,$C281,'TL19'!$J$238:$J$451),0)
),0)</f>
        <v/>
      </c>
      <c r="P281" s="9">
        <f>IFERROR(SUM(
IF('TL01'!$B$3=P$3,SUMIF('TL01'!$C$10:$C$224,$C281,'TL01'!$J$10:$J$224),0),
IF('TL01'!$B$229=P$3,SUMIF('TL01'!$C$238:$C$451,$C281,'TL01'!$J$238:$J$451),0),
IF('TL02'!$B$3=P$3,SUMIF('TL02'!$C$10:$C$224,$C281,'TL02'!$J$10:$J$224),0),
IF('TL02'!$B$229=P$3,SUMIF('TL02'!$C$238:$C$451,$C281,'TL02'!$J$238:$J$451),0),
IF('TL03'!$B$3=P$3,SUMIF('TL03'!$C$10:$C$224,$C281,'TL03'!$J$10:$J$224),0),
IF('TL03'!$B$229=P$3,SUMIF('TL03'!$C$238:$C$451,$C281,'TL03'!$J$238:$J$451),0),
IF('TL04'!$B$3=P$3,SUMIF('TL04'!$C$10:$C$224,$C281,'TL04'!$J$10:$J$224),0),
IF('TL04'!$B$229=P$3,SUMIF('TL04'!$C$238:$C$451,$C281,'TL04'!$J$238:$J$451),0),
IF('TL05'!$B$3=P$3,SUMIF('TL05'!$C$10:$C$224,$C281,'TL05'!$J$10:$J$224),0),
IF('TL05'!$B$229=P$3,SUMIF('TL05'!$C$238:$C$451,$C281,'TL05'!$J$238:$J$451),0),
IF('TL06'!$B$3=P$3,SUMIF('TL06'!$C$10:$C$224,$C281,'TL06'!$J$10:$J$224),0),
IF('TL06'!$B$229=P$3,SUMIF('TL06'!$C$238:$C$451,$C281,'TL06'!$J$238:$J$451),0),
IF('TL07'!$B$3=P$3,SUMIF('TL07'!$C$10:$C$224,$C281,'TL07'!$J$10:$J$224),0),
IF('TL07'!$B$229=P$3,SUMIF('TL07'!$C$238:$C$451,$C281,'TL07'!$J$238:$J$451),0),
IF('TL08'!$B$3=P$3,SUMIF('TL08'!$C$10:$C$224,$C281,'TL08'!$J$10:$J$224),0),
IF('TL08'!$B$229=P$3,SUMIF('TL08'!$C$238:$C$451,$C281,'TL08'!$J$238:$J$451),0),
IF('TL09'!$B$3=P$3,SUMIF('TL09'!$C$10:$C$224,$C281,'TL09'!$J$10:$J$224),0),
IF('TL09'!$B$229=P$3,SUMIF('TL09'!$C$238:$C$451,$C281,'TL09'!$J$238:$J$451),0),
IF('TL10'!$B$3=P$3,SUMIF('TL10'!$C$10:$C$224,$C281,'TL10'!$J$10:$J$224),0),
IF('TL10'!$B$229=P$3,SUMIF('TL10'!$C$238:$C$451,$C281,'TL10'!$J$238:$J$451),0),
IF('TL11'!$B$3=P$3,SUMIF('TL11'!$C$10:$C$224,$C281,'TL11'!$J$10:$J$224),0),
IF('TL11'!$B$229=P$3,SUMIF('TL11'!$C$238:$C$451,$C281,'TL11'!$J$238:$J$451),0),
IF('TL12'!$B$3=P$3,SUMIF('TL12'!$C$10:$C$224,$C281,'TL12'!$J$10:$J$224),0),
IF('TL12'!$B$229=P$3,SUMIF('TL12'!$C$238:$C$451,$C281,'TL12'!$J$238:$J$451),0),
IF('TL13'!$B$3=P$3,SUMIF('TL13'!$C$10:$C$224,$C281,'TL13'!$J$10:$J$224),0),
IF('TL13'!$B$229=P$3,SUMIF('TL13'!$C$238:$C$451,$C281,'TL13'!$J$238:$J$451),0),
IF('TL14'!$B$3=P$3,SUMIF('TL14'!$C$10:$C$224,$C281,'TL14'!$J$10:$J$224),0),
IF('TL14'!$B$229=P$3,SUMIF('TL14'!$C$238:$C$451,$C281,'TL14'!$J$238:$J$451),0),
IF('TL15'!$B$3=P$3,SUMIF('TL15'!$C$10:$C$224,$C281,'TL15'!$J$10:$J$224),0),
IF('TL15'!$B$229=P$3,SUMIF('TL15'!$C$238:$C$451,$C281,'TL15'!$J$238:$J$451),0),
IF('TL16'!$B$3=P$3,SUMIF('TL16'!$C$10:$C$224,$C281,'TL16'!$J$10:$J$224),0),
IF('TL16'!$B$229=P$3,SUMIF('TL16'!$C$238:$C$451,$C281,'TL16'!$J$238:$J$451),0),
IF('TL17'!$B$3=P$3,SUMIF('TL17'!$C$10:$C$224,$C281,'TL17'!$J$10:$J$224),0),
IF('TL17'!$B$229=P$3,SUMIF('TL17'!$C$238:$C$451,$C281,'TL17'!$J$238:$J$451),0),
IF('TL18'!$B$3=P$3,SUMIF('TL18'!$C$10:$C$224,$C281,'TL18'!$J$10:$J$224),0),
IF('TL18'!$B$229=P$3,SUMIF('TL18'!$C$238:$C$451,$C281,'TL18'!$J$238:$J$451),0),
IF('TL19'!$B$3=P$3,SUMIF('TL19'!$C$10:$C$224,$C281,'TL19'!$J$10:$J$224),0),
IF('TL19'!$B$229=P$3,SUMIF('TL19'!$C$238:$C$451,$C281,'TL19'!$J$238:$J$451),0)
),0)</f>
        <v/>
      </c>
      <c r="Q281" s="9">
        <f>IFERROR(SUM(
IF('TL01'!$B$3=Q$3,SUMIF('TL01'!$C$10:$C$224,$C281,'TL01'!$J$10:$J$224),0),
IF('TL01'!$B$229=Q$3,SUMIF('TL01'!$C$238:$C$451,$C281,'TL01'!$J$238:$J$451),0),
IF('TL02'!$B$3=Q$3,SUMIF('TL02'!$C$10:$C$224,$C281,'TL02'!$J$10:$J$224),0),
IF('TL02'!$B$229=Q$3,SUMIF('TL02'!$C$238:$C$451,$C281,'TL02'!$J$238:$J$451),0),
IF('TL03'!$B$3=Q$3,SUMIF('TL03'!$C$10:$C$224,$C281,'TL03'!$J$10:$J$224),0),
IF('TL03'!$B$229=Q$3,SUMIF('TL03'!$C$238:$C$451,$C281,'TL03'!$J$238:$J$451),0),
IF('TL04'!$B$3=Q$3,SUMIF('TL04'!$C$10:$C$224,$C281,'TL04'!$J$10:$J$224),0),
IF('TL04'!$B$229=Q$3,SUMIF('TL04'!$C$238:$C$451,$C281,'TL04'!$J$238:$J$451),0),
IF('TL05'!$B$3=Q$3,SUMIF('TL05'!$C$10:$C$224,$C281,'TL05'!$J$10:$J$224),0),
IF('TL05'!$B$229=Q$3,SUMIF('TL05'!$C$238:$C$451,$C281,'TL05'!$J$238:$J$451),0),
IF('TL06'!$B$3=Q$3,SUMIF('TL06'!$C$10:$C$224,$C281,'TL06'!$J$10:$J$224),0),
IF('TL06'!$B$229=Q$3,SUMIF('TL06'!$C$238:$C$451,$C281,'TL06'!$J$238:$J$451),0),
IF('TL07'!$B$3=Q$3,SUMIF('TL07'!$C$10:$C$224,$C281,'TL07'!$J$10:$J$224),0),
IF('TL07'!$B$229=Q$3,SUMIF('TL07'!$C$238:$C$451,$C281,'TL07'!$J$238:$J$451),0),
IF('TL08'!$B$3=Q$3,SUMIF('TL08'!$C$10:$C$224,$C281,'TL08'!$J$10:$J$224),0),
IF('TL08'!$B$229=Q$3,SUMIF('TL08'!$C$238:$C$451,$C281,'TL08'!$J$238:$J$451),0),
IF('TL09'!$B$3=Q$3,SUMIF('TL09'!$C$10:$C$224,$C281,'TL09'!$J$10:$J$224),0),
IF('TL09'!$B$229=Q$3,SUMIF('TL09'!$C$238:$C$451,$C281,'TL09'!$J$238:$J$451),0),
IF('TL10'!$B$3=Q$3,SUMIF('TL10'!$C$10:$C$224,$C281,'TL10'!$J$10:$J$224),0),
IF('TL10'!$B$229=Q$3,SUMIF('TL10'!$C$238:$C$451,$C281,'TL10'!$J$238:$J$451),0),
IF('TL11'!$B$3=Q$3,SUMIF('TL11'!$C$10:$C$224,$C281,'TL11'!$J$10:$J$224),0),
IF('TL11'!$B$229=Q$3,SUMIF('TL11'!$C$238:$C$451,$C281,'TL11'!$J$238:$J$451),0),
IF('TL12'!$B$3=Q$3,SUMIF('TL12'!$C$10:$C$224,$C281,'TL12'!$J$10:$J$224),0),
IF('TL12'!$B$229=Q$3,SUMIF('TL12'!$C$238:$C$451,$C281,'TL12'!$J$238:$J$451),0),
IF('TL13'!$B$3=Q$3,SUMIF('TL13'!$C$10:$C$224,$C281,'TL13'!$J$10:$J$224),0),
IF('TL13'!$B$229=Q$3,SUMIF('TL13'!$C$238:$C$451,$C281,'TL13'!$J$238:$J$451),0),
IF('TL14'!$B$3=Q$3,SUMIF('TL14'!$C$10:$C$224,$C281,'TL14'!$J$10:$J$224),0),
IF('TL14'!$B$229=Q$3,SUMIF('TL14'!$C$238:$C$451,$C281,'TL14'!$J$238:$J$451),0),
IF('TL15'!$B$3=Q$3,SUMIF('TL15'!$C$10:$C$224,$C281,'TL15'!$J$10:$J$224),0),
IF('TL15'!$B$229=Q$3,SUMIF('TL15'!$C$238:$C$451,$C281,'TL15'!$J$238:$J$451),0),
IF('TL16'!$B$3=Q$3,SUMIF('TL16'!$C$10:$C$224,$C281,'TL16'!$J$10:$J$224),0),
IF('TL16'!$B$229=Q$3,SUMIF('TL16'!$C$238:$C$451,$C281,'TL16'!$J$238:$J$451),0),
IF('TL17'!$B$3=Q$3,SUMIF('TL17'!$C$10:$C$224,$C281,'TL17'!$J$10:$J$224),0),
IF('TL17'!$B$229=Q$3,SUMIF('TL17'!$C$238:$C$451,$C281,'TL17'!$J$238:$J$451),0),
IF('TL18'!$B$3=Q$3,SUMIF('TL18'!$C$10:$C$224,$C281,'TL18'!$J$10:$J$224),0),
IF('TL18'!$B$229=Q$3,SUMIF('TL18'!$C$238:$C$451,$C281,'TL18'!$J$238:$J$451),0),
IF('TL19'!$B$3=Q$3,SUMIF('TL19'!$C$10:$C$224,$C281,'TL19'!$J$10:$J$224),0),
IF('TL19'!$B$229=Q$3,SUMIF('TL19'!$C$238:$C$451,$C281,'TL19'!$J$238:$J$451),0)
),0)</f>
        <v/>
      </c>
      <c r="R281" s="9">
        <f>IFERROR(
SUM(
SUMIF('TL01'!C:C,C281,'TL01'!J:J),
SUMIF('TL02'!C:C,C281,'TL02'!J:J),
SUMIF('TL03'!C:C,C281,'TL03'!J:J),
SUMIF('TL04'!C:C,C281,'TL04'!J:J),
SUMIF('TL05'!C:C,C281,'TL05'!J:J),
SUMIF('TL06'!C:C,C281,'TL06'!J:J),
SUMIF('TL07'!C:C,C281,'TL07'!J:J),
SUMIF('TL08'!C:C,C281,'TL08'!J:J),
SUMIF('TL09'!C:C,C281,'TL09'!J:J),
SUMIF('TL10'!C:C,C281,'TL10'!J:J),
SUMIF('TL11'!C:C,C281,'TL11'!J:J),
SUMIF('TL12'!C:C,C281,'TL12'!J:J),
SUMIF('TL13'!C:C,C281,'TL13'!J:J),
SUMIF('TL14'!C:C,C281,'TL14'!J:J),
SUMIF('TL15'!C:C,C281,'TL15'!J:J),
SUMIF('TL16'!C:C,C281,'TL16'!J:J),
SUMIF('TL17'!C:C,C281,'TL17'!J:J),
SUMIF('TL18'!C:C,C281,'TL18'!J:J),SUMIF('TL19'!C:C,C281,'TL19'!J:J))
,0)</f>
        <v/>
      </c>
      <c r="S281" s="17">
        <f>IFERROR(__xludf.DUMMYFUNCTION("IFERROR(VLOOKUP(C281,
IMPORTRANGE(""1wULbzX32WdYsx-lj2U3uUNBBe2INVIRDtcK0d-Dvl90"",
""26-27!C:G""),
5,
FALSE),
"""")"),169.0)</f>
        <v/>
      </c>
      <c r="T281" s="9" t="n"/>
      <c r="U281" s="92">
        <f>MAX(0,R281-T281)</f>
        <v/>
      </c>
      <c r="V281" s="93">
        <f>U281*S281</f>
        <v/>
      </c>
    </row>
    <row r="282" hidden="1" ht="15.75" customHeight="1" s="297">
      <c r="A282" s="4" t="inlineStr">
        <is>
          <t>GRAN7</t>
        </is>
      </c>
      <c r="B282" s="125" t="inlineStr">
        <is>
          <t>NUTRIÇÃO</t>
        </is>
      </c>
      <c r="C282" s="4" t="inlineStr">
        <is>
          <t>Polyamine</t>
        </is>
      </c>
      <c r="D282" s="4" t="inlineStr">
        <is>
          <t>Mn 5,6%; S 3%</t>
        </is>
      </c>
      <c r="E282" s="9" t="n"/>
      <c r="F282" s="4" t="inlineStr">
        <is>
          <t>L</t>
        </is>
      </c>
      <c r="G282" s="9" t="n"/>
      <c r="H282" s="9" t="n"/>
      <c r="I282" s="1" t="n"/>
      <c r="J282" s="9">
        <f>IFERROR(SUM(
IF('TL01'!$B$3=J$3,SUMIF('TL01'!$C$10:$C$224,$C282,'TL01'!$J$10:$J$224),0),
IF('TL01'!$B$229=J$3,SUMIF('TL01'!$C$238:$C$451,$C282,'TL01'!$J$238:$J$451),0),
IF('TL02'!$B$3=J$3,SUMIF('TL02'!$C$10:$C$224,$C282,'TL02'!$J$10:$J$224),0),
IF('TL02'!$B$229=J$3,SUMIF('TL02'!$C$238:$C$451,$C282,'TL02'!$J$238:$J$451),0),
IF('TL03'!$B$3=J$3,SUMIF('TL03'!$C$10:$C$224,$C282,'TL03'!$J$10:$J$224),0),
IF('TL03'!$B$229=J$3,SUMIF('TL03'!$C$238:$C$451,$C282,'TL03'!$J$238:$J$451),0),
IF('TL04'!$B$3=J$3,SUMIF('TL04'!$C$10:$C$224,$C282,'TL04'!$J$10:$J$224),0),
IF('TL04'!$B$229=J$3,SUMIF('TL04'!$C$238:$C$451,$C282,'TL04'!$J$238:$J$451),0),
IF('TL05'!$B$3=J$3,SUMIF('TL05'!$C$10:$C$224,$C282,'TL05'!$J$10:$J$224),0),
IF('TL05'!$B$229=J$3,SUMIF('TL05'!$C$238:$C$451,$C282,'TL05'!$J$238:$J$451),0),
IF('TL06'!$B$3=J$3,SUMIF('TL06'!$C$10:$C$224,$C282,'TL06'!$J$10:$J$224),0),
IF('TL06'!$B$229=J$3,SUMIF('TL06'!$C$238:$C$451,$C282,'TL06'!$J$238:$J$451),0),
IF('TL07'!$B$3=J$3,SUMIF('TL07'!$C$10:$C$224,$C282,'TL07'!$J$10:$J$224),0),
IF('TL07'!$B$229=J$3,SUMIF('TL07'!$C$238:$C$451,$C282,'TL07'!$J$238:$J$451),0),
IF('TL08'!$B$3=J$3,SUMIF('TL08'!$C$10:$C$224,$C282,'TL08'!$J$10:$J$224),0),
IF('TL08'!$B$229=J$3,SUMIF('TL08'!$C$238:$C$451,$C282,'TL08'!$J$238:$J$451),0),
IF('TL09'!$B$3=J$3,SUMIF('TL09'!$C$10:$C$224,$C282,'TL09'!$J$10:$J$224),0),
IF('TL09'!$B$229=J$3,SUMIF('TL09'!$C$238:$C$451,$C282,'TL09'!$J$238:$J$451),0),
IF('TL10'!$B$3=J$3,SUMIF('TL10'!$C$10:$C$224,$C282,'TL10'!$J$10:$J$224),0),
IF('TL10'!$B$229=J$3,SUMIF('TL10'!$C$238:$C$451,$C282,'TL10'!$J$238:$J$451),0),
IF('TL11'!$B$3=J$3,SUMIF('TL11'!$C$10:$C$224,$C282,'TL11'!$J$10:$J$224),0),
IF('TL11'!$B$229=J$3,SUMIF('TL11'!$C$238:$C$451,$C282,'TL11'!$J$238:$J$451),0),
IF('TL12'!$B$3=J$3,SUMIF('TL12'!$C$10:$C$224,$C282,'TL12'!$J$10:$J$224),0),
IF('TL12'!$B$229=J$3,SUMIF('TL12'!$C$238:$C$451,$C282,'TL12'!$J$238:$J$451),0),
IF('TL13'!$B$3=J$3,SUMIF('TL13'!$C$10:$C$224,$C282,'TL13'!$J$10:$J$224),0),
IF('TL13'!$B$229=J$3,SUMIF('TL13'!$C$238:$C$451,$C282,'TL13'!$J$238:$J$451),0),
IF('TL14'!$B$3=J$3,SUMIF('TL14'!$C$10:$C$224,$C282,'TL14'!$J$10:$J$224),0),
IF('TL14'!$B$229=J$3,SUMIF('TL14'!$C$238:$C$451,$C282,'TL14'!$J$238:$J$451),0),
IF('TL15'!$B$3=J$3,SUMIF('TL15'!$C$10:$C$224,$C282,'TL15'!$J$10:$J$224),0),
IF('TL15'!$B$229=J$3,SUMIF('TL15'!$C$238:$C$451,$C282,'TL15'!$J$238:$J$451),0),
IF('TL16'!$B$3=J$3,SUMIF('TL16'!$C$10:$C$224,$C282,'TL16'!$J$10:$J$224),0),
IF('TL16'!$B$229=J$3,SUMIF('TL16'!$C$238:$C$451,$C282,'TL16'!$J$238:$J$451),0),
IF('TL17'!$B$3=J$3,SUMIF('TL17'!$C$10:$C$224,$C282,'TL17'!$J$10:$J$224),0),
IF('TL17'!$B$229=J$3,SUMIF('TL17'!$C$238:$C$451,$C282,'TL17'!$J$238:$J$451),0),
IF('TL18'!$B$3=J$3,SUMIF('TL18'!$C$10:$C$224,$C282,'TL18'!$J$10:$J$224),0),
IF('TL18'!$B$229=J$3,SUMIF('TL18'!$C$238:$C$451,$C282,'TL18'!$J$238:$J$451),0),
IF('TL19'!$B$3=J$3,SUMIF('TL19'!$C$10:$C$224,$C282,'TL19'!$J$10:$J$224),0),
IF('TL19'!$B$229=J$3,SUMIF('TL19'!$C$238:$C$451,$C282,'TL19'!$J$238:$J$451),0)
),0)</f>
        <v/>
      </c>
      <c r="K282" s="9">
        <f>IFERROR(SUM(
IF('TL01'!$B$3=K$3,SUMIF('TL01'!$C$10:$C$224,$C282,'TL01'!$J$10:$J$224),0),
IF('TL01'!$B$229=K$3,SUMIF('TL01'!$C$238:$C$451,$C282,'TL01'!$J$238:$J$451),0),
IF('TL02'!$B$3=K$3,SUMIF('TL02'!$C$10:$C$224,$C282,'TL02'!$J$10:$J$224),0),
IF('TL02'!$B$229=K$3,SUMIF('TL02'!$C$238:$C$451,$C282,'TL02'!$J$238:$J$451),0),
IF('TL03'!$B$3=K$3,SUMIF('TL03'!$C$10:$C$224,$C282,'TL03'!$J$10:$J$224),0),
IF('TL03'!$B$229=K$3,SUMIF('TL03'!$C$238:$C$451,$C282,'TL03'!$J$238:$J$451),0),
IF('TL04'!$B$3=K$3,SUMIF('TL04'!$C$10:$C$224,$C282,'TL04'!$J$10:$J$224),0),
IF('TL04'!$B$229=K$3,SUMIF('TL04'!$C$238:$C$451,$C282,'TL04'!$J$238:$J$451),0),
IF('TL05'!$B$3=K$3,SUMIF('TL05'!$C$10:$C$224,$C282,'TL05'!$J$10:$J$224),0),
IF('TL05'!$B$229=K$3,SUMIF('TL05'!$C$238:$C$451,$C282,'TL05'!$J$238:$J$451),0),
IF('TL06'!$B$3=K$3,SUMIF('TL06'!$C$10:$C$224,$C282,'TL06'!$J$10:$J$224),0),
IF('TL06'!$B$229=K$3,SUMIF('TL06'!$C$238:$C$451,$C282,'TL06'!$J$238:$J$451),0),
IF('TL07'!$B$3=K$3,SUMIF('TL07'!$C$10:$C$224,$C282,'TL07'!$J$10:$J$224),0),
IF('TL07'!$B$229=K$3,SUMIF('TL07'!$C$238:$C$451,$C282,'TL07'!$J$238:$J$451),0),
IF('TL08'!$B$3=K$3,SUMIF('TL08'!$C$10:$C$224,$C282,'TL08'!$J$10:$J$224),0),
IF('TL08'!$B$229=K$3,SUMIF('TL08'!$C$238:$C$451,$C282,'TL08'!$J$238:$J$451),0),
IF('TL09'!$B$3=K$3,SUMIF('TL09'!$C$10:$C$224,$C282,'TL09'!$J$10:$J$224),0),
IF('TL09'!$B$229=K$3,SUMIF('TL09'!$C$238:$C$451,$C282,'TL09'!$J$238:$J$451),0),
IF('TL10'!$B$3=K$3,SUMIF('TL10'!$C$10:$C$224,$C282,'TL10'!$J$10:$J$224),0),
IF('TL10'!$B$229=K$3,SUMIF('TL10'!$C$238:$C$451,$C282,'TL10'!$J$238:$J$451),0),
IF('TL11'!$B$3=K$3,SUMIF('TL11'!$C$10:$C$224,$C282,'TL11'!$J$10:$J$224),0),
IF('TL11'!$B$229=K$3,SUMIF('TL11'!$C$238:$C$451,$C282,'TL11'!$J$238:$J$451),0),
IF('TL12'!$B$3=K$3,SUMIF('TL12'!$C$10:$C$224,$C282,'TL12'!$J$10:$J$224),0),
IF('TL12'!$B$229=K$3,SUMIF('TL12'!$C$238:$C$451,$C282,'TL12'!$J$238:$J$451),0),
IF('TL13'!$B$3=K$3,SUMIF('TL13'!$C$10:$C$224,$C282,'TL13'!$J$10:$J$224),0),
IF('TL13'!$B$229=K$3,SUMIF('TL13'!$C$238:$C$451,$C282,'TL13'!$J$238:$J$451),0),
IF('TL14'!$B$3=K$3,SUMIF('TL14'!$C$10:$C$224,$C282,'TL14'!$J$10:$J$224),0),
IF('TL14'!$B$229=K$3,SUMIF('TL14'!$C$238:$C$451,$C282,'TL14'!$J$238:$J$451),0),
IF('TL15'!$B$3=K$3,SUMIF('TL15'!$C$10:$C$224,$C282,'TL15'!$J$10:$J$224),0),
IF('TL15'!$B$229=K$3,SUMIF('TL15'!$C$238:$C$451,$C282,'TL15'!$J$238:$J$451),0),
IF('TL16'!$B$3=K$3,SUMIF('TL16'!$C$10:$C$224,$C282,'TL16'!$J$10:$J$224),0),
IF('TL16'!$B$229=K$3,SUMIF('TL16'!$C$238:$C$451,$C282,'TL16'!$J$238:$J$451),0),
IF('TL17'!$B$3=K$3,SUMIF('TL17'!$C$10:$C$224,$C282,'TL17'!$J$10:$J$224),0),
IF('TL17'!$B$229=K$3,SUMIF('TL17'!$C$238:$C$451,$C282,'TL17'!$J$238:$J$451),0),
IF('TL18'!$B$3=K$3,SUMIF('TL18'!$C$10:$C$224,$C282,'TL18'!$J$10:$J$224),0),
IF('TL18'!$B$229=K$3,SUMIF('TL18'!$C$238:$C$451,$C282,'TL18'!$J$238:$J$451),0),
IF('TL19'!$B$3=K$3,SUMIF('TL19'!$C$10:$C$224,$C282,'TL19'!$J$10:$J$224),0),
IF('TL19'!$B$229=K$3,SUMIF('TL19'!$C$238:$C$451,$C282,'TL19'!$J$238:$J$451),0)
),0)</f>
        <v/>
      </c>
      <c r="L282" s="9">
        <f>IFERROR(SUM(
IF('TL01'!$B$3=L$3,SUMIF('TL01'!$C$10:$C$224,$C282,'TL01'!$J$10:$J$224),0),
IF('TL01'!$B$229=L$3,SUMIF('TL01'!$C$238:$C$451,$C282,'TL01'!$J$238:$J$451),0),
IF('TL02'!$B$3=L$3,SUMIF('TL02'!$C$10:$C$224,$C282,'TL02'!$J$10:$J$224),0),
IF('TL02'!$B$229=L$3,SUMIF('TL02'!$C$238:$C$451,$C282,'TL02'!$J$238:$J$451),0),
IF('TL03'!$B$3=L$3,SUMIF('TL03'!$C$10:$C$224,$C282,'TL03'!$J$10:$J$224),0),
IF('TL03'!$B$229=L$3,SUMIF('TL03'!$C$238:$C$451,$C282,'TL03'!$J$238:$J$451),0),
IF('TL04'!$B$3=L$3,SUMIF('TL04'!$C$10:$C$224,$C282,'TL04'!$J$10:$J$224),0),
IF('TL04'!$B$229=L$3,SUMIF('TL04'!$C$238:$C$451,$C282,'TL04'!$J$238:$J$451),0),
IF('TL05'!$B$3=L$3,SUMIF('TL05'!$C$10:$C$224,$C282,'TL05'!$J$10:$J$224),0),
IF('TL05'!$B$229=L$3,SUMIF('TL05'!$C$238:$C$451,$C282,'TL05'!$J$238:$J$451),0),
IF('TL06'!$B$3=L$3,SUMIF('TL06'!$C$10:$C$224,$C282,'TL06'!$J$10:$J$224),0),
IF('TL06'!$B$229=L$3,SUMIF('TL06'!$C$238:$C$451,$C282,'TL06'!$J$238:$J$451),0),
IF('TL07'!$B$3=L$3,SUMIF('TL07'!$C$10:$C$224,$C282,'TL07'!$J$10:$J$224),0),
IF('TL07'!$B$229=L$3,SUMIF('TL07'!$C$238:$C$451,$C282,'TL07'!$J$238:$J$451),0),
IF('TL08'!$B$3=L$3,SUMIF('TL08'!$C$10:$C$224,$C282,'TL08'!$J$10:$J$224),0),
IF('TL08'!$B$229=L$3,SUMIF('TL08'!$C$238:$C$451,$C282,'TL08'!$J$238:$J$451),0),
IF('TL09'!$B$3=L$3,SUMIF('TL09'!$C$10:$C$224,$C282,'TL09'!$J$10:$J$224),0),
IF('TL09'!$B$229=L$3,SUMIF('TL09'!$C$238:$C$451,$C282,'TL09'!$J$238:$J$451),0),
IF('TL10'!$B$3=L$3,SUMIF('TL10'!$C$10:$C$224,$C282,'TL10'!$J$10:$J$224),0),
IF('TL10'!$B$229=L$3,SUMIF('TL10'!$C$238:$C$451,$C282,'TL10'!$J$238:$J$451),0),
IF('TL11'!$B$3=L$3,SUMIF('TL11'!$C$10:$C$224,$C282,'TL11'!$J$10:$J$224),0),
IF('TL11'!$B$229=L$3,SUMIF('TL11'!$C$238:$C$451,$C282,'TL11'!$J$238:$J$451),0),
IF('TL12'!$B$3=L$3,SUMIF('TL12'!$C$10:$C$224,$C282,'TL12'!$J$10:$J$224),0),
IF('TL12'!$B$229=L$3,SUMIF('TL12'!$C$238:$C$451,$C282,'TL12'!$J$238:$J$451),0),
IF('TL13'!$B$3=L$3,SUMIF('TL13'!$C$10:$C$224,$C282,'TL13'!$J$10:$J$224),0),
IF('TL13'!$B$229=L$3,SUMIF('TL13'!$C$238:$C$451,$C282,'TL13'!$J$238:$J$451),0),
IF('TL14'!$B$3=L$3,SUMIF('TL14'!$C$10:$C$224,$C282,'TL14'!$J$10:$J$224),0),
IF('TL14'!$B$229=L$3,SUMIF('TL14'!$C$238:$C$451,$C282,'TL14'!$J$238:$J$451),0),
IF('TL15'!$B$3=L$3,SUMIF('TL15'!$C$10:$C$224,$C282,'TL15'!$J$10:$J$224),0),
IF('TL15'!$B$229=L$3,SUMIF('TL15'!$C$238:$C$451,$C282,'TL15'!$J$238:$J$451),0),
IF('TL16'!$B$3=L$3,SUMIF('TL16'!$C$10:$C$224,$C282,'TL16'!$J$10:$J$224),0),
IF('TL16'!$B$229=L$3,SUMIF('TL16'!$C$238:$C$451,$C282,'TL16'!$J$238:$J$451),0),
IF('TL17'!$B$3=L$3,SUMIF('TL17'!$C$10:$C$224,$C282,'TL17'!$J$10:$J$224),0),
IF('TL17'!$B$229=L$3,SUMIF('TL17'!$C$238:$C$451,$C282,'TL17'!$J$238:$J$451),0),
IF('TL18'!$B$3=L$3,SUMIF('TL18'!$C$10:$C$224,$C282,'TL18'!$J$10:$J$224),0),
IF('TL18'!$B$229=L$3,SUMIF('TL18'!$C$238:$C$451,$C282,'TL18'!$J$238:$J$451),0),
IF('TL19'!$B$3=L$3,SUMIF('TL19'!$C$10:$C$224,$C282,'TL19'!$J$10:$J$224),0),
IF('TL19'!$B$229=L$3,SUMIF('TL19'!$C$238:$C$451,$C282,'TL19'!$J$238:$J$451),0)
),0)</f>
        <v/>
      </c>
      <c r="M282" s="9">
        <f>IFERROR(SUM(
IF('TL01'!$B$3=M$3,SUMIF('TL01'!$C$10:$C$224,$C282,'TL01'!$J$10:$J$224),0),
IF('TL01'!$B$229=M$3,SUMIF('TL01'!$C$238:$C$451,$C282,'TL01'!$J$238:$J$451),0),
IF('TL02'!$B$3=M$3,SUMIF('TL02'!$C$10:$C$224,$C282,'TL02'!$J$10:$J$224),0),
IF('TL02'!$B$229=M$3,SUMIF('TL02'!$C$238:$C$451,$C282,'TL02'!$J$238:$J$451),0),
IF('TL03'!$B$3=M$3,SUMIF('TL03'!$C$10:$C$224,$C282,'TL03'!$J$10:$J$224),0),
IF('TL03'!$B$229=M$3,SUMIF('TL03'!$C$238:$C$451,$C282,'TL03'!$J$238:$J$451),0),
IF('TL04'!$B$3=M$3,SUMIF('TL04'!$C$10:$C$224,$C282,'TL04'!$J$10:$J$224),0),
IF('TL04'!$B$229=M$3,SUMIF('TL04'!$C$238:$C$451,$C282,'TL04'!$J$238:$J$451),0),
IF('TL05'!$B$3=M$3,SUMIF('TL05'!$C$10:$C$224,$C282,'TL05'!$J$10:$J$224),0),
IF('TL05'!$B$229=M$3,SUMIF('TL05'!$C$238:$C$451,$C282,'TL05'!$J$238:$J$451),0),
IF('TL06'!$B$3=M$3,SUMIF('TL06'!$C$10:$C$224,$C282,'TL06'!$J$10:$J$224),0),
IF('TL06'!$B$229=M$3,SUMIF('TL06'!$C$238:$C$451,$C282,'TL06'!$J$238:$J$451),0),
IF('TL07'!$B$3=M$3,SUMIF('TL07'!$C$10:$C$224,$C282,'TL07'!$J$10:$J$224),0),
IF('TL07'!$B$229=M$3,SUMIF('TL07'!$C$238:$C$451,$C282,'TL07'!$J$238:$J$451),0),
IF('TL08'!$B$3=M$3,SUMIF('TL08'!$C$10:$C$224,$C282,'TL08'!$J$10:$J$224),0),
IF('TL08'!$B$229=M$3,SUMIF('TL08'!$C$238:$C$451,$C282,'TL08'!$J$238:$J$451),0),
IF('TL09'!$B$3=M$3,SUMIF('TL09'!$C$10:$C$224,$C282,'TL09'!$J$10:$J$224),0),
IF('TL09'!$B$229=M$3,SUMIF('TL09'!$C$238:$C$451,$C282,'TL09'!$J$238:$J$451),0),
IF('TL10'!$B$3=M$3,SUMIF('TL10'!$C$10:$C$224,$C282,'TL10'!$J$10:$J$224),0),
IF('TL10'!$B$229=M$3,SUMIF('TL10'!$C$238:$C$451,$C282,'TL10'!$J$238:$J$451),0),
IF('TL11'!$B$3=M$3,SUMIF('TL11'!$C$10:$C$224,$C282,'TL11'!$J$10:$J$224),0),
IF('TL11'!$B$229=M$3,SUMIF('TL11'!$C$238:$C$451,$C282,'TL11'!$J$238:$J$451),0),
IF('TL12'!$B$3=M$3,SUMIF('TL12'!$C$10:$C$224,$C282,'TL12'!$J$10:$J$224),0),
IF('TL12'!$B$229=M$3,SUMIF('TL12'!$C$238:$C$451,$C282,'TL12'!$J$238:$J$451),0),
IF('TL13'!$B$3=M$3,SUMIF('TL13'!$C$10:$C$224,$C282,'TL13'!$J$10:$J$224),0),
IF('TL13'!$B$229=M$3,SUMIF('TL13'!$C$238:$C$451,$C282,'TL13'!$J$238:$J$451),0),
IF('TL14'!$B$3=M$3,SUMIF('TL14'!$C$10:$C$224,$C282,'TL14'!$J$10:$J$224),0),
IF('TL14'!$B$229=M$3,SUMIF('TL14'!$C$238:$C$451,$C282,'TL14'!$J$238:$J$451),0),
IF('TL15'!$B$3=M$3,SUMIF('TL15'!$C$10:$C$224,$C282,'TL15'!$J$10:$J$224),0),
IF('TL15'!$B$229=M$3,SUMIF('TL15'!$C$238:$C$451,$C282,'TL15'!$J$238:$J$451),0),
IF('TL16'!$B$3=M$3,SUMIF('TL16'!$C$10:$C$224,$C282,'TL16'!$J$10:$J$224),0),
IF('TL16'!$B$229=M$3,SUMIF('TL16'!$C$238:$C$451,$C282,'TL16'!$J$238:$J$451),0),
IF('TL17'!$B$3=M$3,SUMIF('TL17'!$C$10:$C$224,$C282,'TL17'!$J$10:$J$224),0),
IF('TL17'!$B$229=M$3,SUMIF('TL17'!$C$238:$C$451,$C282,'TL17'!$J$238:$J$451),0),
IF('TL18'!$B$3=M$3,SUMIF('TL18'!$C$10:$C$224,$C282,'TL18'!$J$10:$J$224),0),
IF('TL18'!$B$229=M$3,SUMIF('TL18'!$C$238:$C$451,$C282,'TL18'!$J$238:$J$451),0),
IF('TL19'!$B$3=M$3,SUMIF('TL19'!$C$10:$C$224,$C282,'TL19'!$J$10:$J$224),0),
IF('TL19'!$B$229=M$3,SUMIF('TL19'!$C$238:$C$451,$C282,'TL19'!$J$238:$J$451),0)
),0)</f>
        <v/>
      </c>
      <c r="N282" s="9">
        <f>IFERROR(SUM(
IF('TL01'!$B$3=N$3,SUMIF('TL01'!$C$10:$C$224,$C282,'TL01'!$J$10:$J$224),0),
IF('TL01'!$B$229=N$3,SUMIF('TL01'!$C$238:$C$451,$C282,'TL01'!$J$238:$J$451),0),
IF('TL02'!$B$3=N$3,SUMIF('TL02'!$C$10:$C$224,$C282,'TL02'!$J$10:$J$224),0),
IF('TL02'!$B$229=N$3,SUMIF('TL02'!$C$238:$C$451,$C282,'TL02'!$J$238:$J$451),0),
IF('TL03'!$B$3=N$3,SUMIF('TL03'!$C$10:$C$224,$C282,'TL03'!$J$10:$J$224),0),
IF('TL03'!$B$229=N$3,SUMIF('TL03'!$C$238:$C$451,$C282,'TL03'!$J$238:$J$451),0),
IF('TL04'!$B$3=N$3,SUMIF('TL04'!$C$10:$C$224,$C282,'TL04'!$J$10:$J$224),0),
IF('TL04'!$B$229=N$3,SUMIF('TL04'!$C$238:$C$451,$C282,'TL04'!$J$238:$J$451),0),
IF('TL05'!$B$3=N$3,SUMIF('TL05'!$C$10:$C$224,$C282,'TL05'!$J$10:$J$224),0),
IF('TL05'!$B$229=N$3,SUMIF('TL05'!$C$238:$C$451,$C282,'TL05'!$J$238:$J$451),0),
IF('TL06'!$B$3=N$3,SUMIF('TL06'!$C$10:$C$224,$C282,'TL06'!$J$10:$J$224),0),
IF('TL06'!$B$229=N$3,SUMIF('TL06'!$C$238:$C$451,$C282,'TL06'!$J$238:$J$451),0),
IF('TL07'!$B$3=N$3,SUMIF('TL07'!$C$10:$C$224,$C282,'TL07'!$J$10:$J$224),0),
IF('TL07'!$B$229=N$3,SUMIF('TL07'!$C$238:$C$451,$C282,'TL07'!$J$238:$J$451),0),
IF('TL08'!$B$3=N$3,SUMIF('TL08'!$C$10:$C$224,$C282,'TL08'!$J$10:$J$224),0),
IF('TL08'!$B$229=N$3,SUMIF('TL08'!$C$238:$C$451,$C282,'TL08'!$J$238:$J$451),0),
IF('TL09'!$B$3=N$3,SUMIF('TL09'!$C$10:$C$224,$C282,'TL09'!$J$10:$J$224),0),
IF('TL09'!$B$229=N$3,SUMIF('TL09'!$C$238:$C$451,$C282,'TL09'!$J$238:$J$451),0),
IF('TL10'!$B$3=N$3,SUMIF('TL10'!$C$10:$C$224,$C282,'TL10'!$J$10:$J$224),0),
IF('TL10'!$B$229=N$3,SUMIF('TL10'!$C$238:$C$451,$C282,'TL10'!$J$238:$J$451),0),
IF('TL11'!$B$3=N$3,SUMIF('TL11'!$C$10:$C$224,$C282,'TL11'!$J$10:$J$224),0),
IF('TL11'!$B$229=N$3,SUMIF('TL11'!$C$238:$C$451,$C282,'TL11'!$J$238:$J$451),0),
IF('TL12'!$B$3=N$3,SUMIF('TL12'!$C$10:$C$224,$C282,'TL12'!$J$10:$J$224),0),
IF('TL12'!$B$229=N$3,SUMIF('TL12'!$C$238:$C$451,$C282,'TL12'!$J$238:$J$451),0),
IF('TL13'!$B$3=N$3,SUMIF('TL13'!$C$10:$C$224,$C282,'TL13'!$J$10:$J$224),0),
IF('TL13'!$B$229=N$3,SUMIF('TL13'!$C$238:$C$451,$C282,'TL13'!$J$238:$J$451),0),
IF('TL14'!$B$3=N$3,SUMIF('TL14'!$C$10:$C$224,$C282,'TL14'!$J$10:$J$224),0),
IF('TL14'!$B$229=N$3,SUMIF('TL14'!$C$238:$C$451,$C282,'TL14'!$J$238:$J$451),0),
IF('TL15'!$B$3=N$3,SUMIF('TL15'!$C$10:$C$224,$C282,'TL15'!$J$10:$J$224),0),
IF('TL15'!$B$229=N$3,SUMIF('TL15'!$C$238:$C$451,$C282,'TL15'!$J$238:$J$451),0),
IF('TL16'!$B$3=N$3,SUMIF('TL16'!$C$10:$C$224,$C282,'TL16'!$J$10:$J$224),0),
IF('TL16'!$B$229=N$3,SUMIF('TL16'!$C$238:$C$451,$C282,'TL16'!$J$238:$J$451),0),
IF('TL17'!$B$3=N$3,SUMIF('TL17'!$C$10:$C$224,$C282,'TL17'!$J$10:$J$224),0),
IF('TL17'!$B$229=N$3,SUMIF('TL17'!$C$238:$C$451,$C282,'TL17'!$J$238:$J$451),0),
IF('TL18'!$B$3=N$3,SUMIF('TL18'!$C$10:$C$224,$C282,'TL18'!$J$10:$J$224),0),
IF('TL18'!$B$229=N$3,SUMIF('TL18'!$C$238:$C$451,$C282,'TL18'!$J$238:$J$451),0),
IF('TL19'!$B$3=N$3,SUMIF('TL19'!$C$10:$C$224,$C282,'TL19'!$J$10:$J$224),0),
IF('TL19'!$B$229=N$3,SUMIF('TL19'!$C$238:$C$451,$C282,'TL19'!$J$238:$J$451),0)
),0)</f>
        <v/>
      </c>
      <c r="O282" s="9">
        <f>IFERROR(SUM(
IF('TL01'!$B$3=O$3,SUMIF('TL01'!$C$10:$C$224,$C282,'TL01'!$J$10:$J$224),0),
IF('TL01'!$B$229=O$3,SUMIF('TL01'!$C$238:$C$451,$C282,'TL01'!$J$238:$J$451),0),
IF('TL02'!$B$3=O$3,SUMIF('TL02'!$C$10:$C$224,$C282,'TL02'!$J$10:$J$224),0),
IF('TL02'!$B$229=O$3,SUMIF('TL02'!$C$238:$C$451,$C282,'TL02'!$J$238:$J$451),0),
IF('TL03'!$B$3=O$3,SUMIF('TL03'!$C$10:$C$224,$C282,'TL03'!$J$10:$J$224),0),
IF('TL03'!$B$229=O$3,SUMIF('TL03'!$C$238:$C$451,$C282,'TL03'!$J$238:$J$451),0),
IF('TL04'!$B$3=O$3,SUMIF('TL04'!$C$10:$C$224,$C282,'TL04'!$J$10:$J$224),0),
IF('TL04'!$B$229=O$3,SUMIF('TL04'!$C$238:$C$451,$C282,'TL04'!$J$238:$J$451),0),
IF('TL05'!$B$3=O$3,SUMIF('TL05'!$C$10:$C$224,$C282,'TL05'!$J$10:$J$224),0),
IF('TL05'!$B$229=O$3,SUMIF('TL05'!$C$238:$C$451,$C282,'TL05'!$J$238:$J$451),0),
IF('TL06'!$B$3=O$3,SUMIF('TL06'!$C$10:$C$224,$C282,'TL06'!$J$10:$J$224),0),
IF('TL06'!$B$229=O$3,SUMIF('TL06'!$C$238:$C$451,$C282,'TL06'!$J$238:$J$451),0),
IF('TL07'!$B$3=O$3,SUMIF('TL07'!$C$10:$C$224,$C282,'TL07'!$J$10:$J$224),0),
IF('TL07'!$B$229=O$3,SUMIF('TL07'!$C$238:$C$451,$C282,'TL07'!$J$238:$J$451),0),
IF('TL08'!$B$3=O$3,SUMIF('TL08'!$C$10:$C$224,$C282,'TL08'!$J$10:$J$224),0),
IF('TL08'!$B$229=O$3,SUMIF('TL08'!$C$238:$C$451,$C282,'TL08'!$J$238:$J$451),0),
IF('TL09'!$B$3=O$3,SUMIF('TL09'!$C$10:$C$224,$C282,'TL09'!$J$10:$J$224),0),
IF('TL09'!$B$229=O$3,SUMIF('TL09'!$C$238:$C$451,$C282,'TL09'!$J$238:$J$451),0),
IF('TL10'!$B$3=O$3,SUMIF('TL10'!$C$10:$C$224,$C282,'TL10'!$J$10:$J$224),0),
IF('TL10'!$B$229=O$3,SUMIF('TL10'!$C$238:$C$451,$C282,'TL10'!$J$238:$J$451),0),
IF('TL11'!$B$3=O$3,SUMIF('TL11'!$C$10:$C$224,$C282,'TL11'!$J$10:$J$224),0),
IF('TL11'!$B$229=O$3,SUMIF('TL11'!$C$238:$C$451,$C282,'TL11'!$J$238:$J$451),0),
IF('TL12'!$B$3=O$3,SUMIF('TL12'!$C$10:$C$224,$C282,'TL12'!$J$10:$J$224),0),
IF('TL12'!$B$229=O$3,SUMIF('TL12'!$C$238:$C$451,$C282,'TL12'!$J$238:$J$451),0),
IF('TL13'!$B$3=O$3,SUMIF('TL13'!$C$10:$C$224,$C282,'TL13'!$J$10:$J$224),0),
IF('TL13'!$B$229=O$3,SUMIF('TL13'!$C$238:$C$451,$C282,'TL13'!$J$238:$J$451),0),
IF('TL14'!$B$3=O$3,SUMIF('TL14'!$C$10:$C$224,$C282,'TL14'!$J$10:$J$224),0),
IF('TL14'!$B$229=O$3,SUMIF('TL14'!$C$238:$C$451,$C282,'TL14'!$J$238:$J$451),0),
IF('TL15'!$B$3=O$3,SUMIF('TL15'!$C$10:$C$224,$C282,'TL15'!$J$10:$J$224),0),
IF('TL15'!$B$229=O$3,SUMIF('TL15'!$C$238:$C$451,$C282,'TL15'!$J$238:$J$451),0),
IF('TL16'!$B$3=O$3,SUMIF('TL16'!$C$10:$C$224,$C282,'TL16'!$J$10:$J$224),0),
IF('TL16'!$B$229=O$3,SUMIF('TL16'!$C$238:$C$451,$C282,'TL16'!$J$238:$J$451),0),
IF('TL17'!$B$3=O$3,SUMIF('TL17'!$C$10:$C$224,$C282,'TL17'!$J$10:$J$224),0),
IF('TL17'!$B$229=O$3,SUMIF('TL17'!$C$238:$C$451,$C282,'TL17'!$J$238:$J$451),0),
IF('TL18'!$B$3=O$3,SUMIF('TL18'!$C$10:$C$224,$C282,'TL18'!$J$10:$J$224),0),
IF('TL18'!$B$229=O$3,SUMIF('TL18'!$C$238:$C$451,$C282,'TL18'!$J$238:$J$451),0),
IF('TL19'!$B$3=O$3,SUMIF('TL19'!$C$10:$C$224,$C282,'TL19'!$J$10:$J$224),0),
IF('TL19'!$B$229=O$3,SUMIF('TL19'!$C$238:$C$451,$C282,'TL19'!$J$238:$J$451),0)
),0)</f>
        <v/>
      </c>
      <c r="P282" s="9">
        <f>IFERROR(SUM(
IF('TL01'!$B$3=P$3,SUMIF('TL01'!$C$10:$C$224,$C282,'TL01'!$J$10:$J$224),0),
IF('TL01'!$B$229=P$3,SUMIF('TL01'!$C$238:$C$451,$C282,'TL01'!$J$238:$J$451),0),
IF('TL02'!$B$3=P$3,SUMIF('TL02'!$C$10:$C$224,$C282,'TL02'!$J$10:$J$224),0),
IF('TL02'!$B$229=P$3,SUMIF('TL02'!$C$238:$C$451,$C282,'TL02'!$J$238:$J$451),0),
IF('TL03'!$B$3=P$3,SUMIF('TL03'!$C$10:$C$224,$C282,'TL03'!$J$10:$J$224),0),
IF('TL03'!$B$229=P$3,SUMIF('TL03'!$C$238:$C$451,$C282,'TL03'!$J$238:$J$451),0),
IF('TL04'!$B$3=P$3,SUMIF('TL04'!$C$10:$C$224,$C282,'TL04'!$J$10:$J$224),0),
IF('TL04'!$B$229=P$3,SUMIF('TL04'!$C$238:$C$451,$C282,'TL04'!$J$238:$J$451),0),
IF('TL05'!$B$3=P$3,SUMIF('TL05'!$C$10:$C$224,$C282,'TL05'!$J$10:$J$224),0),
IF('TL05'!$B$229=P$3,SUMIF('TL05'!$C$238:$C$451,$C282,'TL05'!$J$238:$J$451),0),
IF('TL06'!$B$3=P$3,SUMIF('TL06'!$C$10:$C$224,$C282,'TL06'!$J$10:$J$224),0),
IF('TL06'!$B$229=P$3,SUMIF('TL06'!$C$238:$C$451,$C282,'TL06'!$J$238:$J$451),0),
IF('TL07'!$B$3=P$3,SUMIF('TL07'!$C$10:$C$224,$C282,'TL07'!$J$10:$J$224),0),
IF('TL07'!$B$229=P$3,SUMIF('TL07'!$C$238:$C$451,$C282,'TL07'!$J$238:$J$451),0),
IF('TL08'!$B$3=P$3,SUMIF('TL08'!$C$10:$C$224,$C282,'TL08'!$J$10:$J$224),0),
IF('TL08'!$B$229=P$3,SUMIF('TL08'!$C$238:$C$451,$C282,'TL08'!$J$238:$J$451),0),
IF('TL09'!$B$3=P$3,SUMIF('TL09'!$C$10:$C$224,$C282,'TL09'!$J$10:$J$224),0),
IF('TL09'!$B$229=P$3,SUMIF('TL09'!$C$238:$C$451,$C282,'TL09'!$J$238:$J$451),0),
IF('TL10'!$B$3=P$3,SUMIF('TL10'!$C$10:$C$224,$C282,'TL10'!$J$10:$J$224),0),
IF('TL10'!$B$229=P$3,SUMIF('TL10'!$C$238:$C$451,$C282,'TL10'!$J$238:$J$451),0),
IF('TL11'!$B$3=P$3,SUMIF('TL11'!$C$10:$C$224,$C282,'TL11'!$J$10:$J$224),0),
IF('TL11'!$B$229=P$3,SUMIF('TL11'!$C$238:$C$451,$C282,'TL11'!$J$238:$J$451),0),
IF('TL12'!$B$3=P$3,SUMIF('TL12'!$C$10:$C$224,$C282,'TL12'!$J$10:$J$224),0),
IF('TL12'!$B$229=P$3,SUMIF('TL12'!$C$238:$C$451,$C282,'TL12'!$J$238:$J$451),0),
IF('TL13'!$B$3=P$3,SUMIF('TL13'!$C$10:$C$224,$C282,'TL13'!$J$10:$J$224),0),
IF('TL13'!$B$229=P$3,SUMIF('TL13'!$C$238:$C$451,$C282,'TL13'!$J$238:$J$451),0),
IF('TL14'!$B$3=P$3,SUMIF('TL14'!$C$10:$C$224,$C282,'TL14'!$J$10:$J$224),0),
IF('TL14'!$B$229=P$3,SUMIF('TL14'!$C$238:$C$451,$C282,'TL14'!$J$238:$J$451),0),
IF('TL15'!$B$3=P$3,SUMIF('TL15'!$C$10:$C$224,$C282,'TL15'!$J$10:$J$224),0),
IF('TL15'!$B$229=P$3,SUMIF('TL15'!$C$238:$C$451,$C282,'TL15'!$J$238:$J$451),0),
IF('TL16'!$B$3=P$3,SUMIF('TL16'!$C$10:$C$224,$C282,'TL16'!$J$10:$J$224),0),
IF('TL16'!$B$229=P$3,SUMIF('TL16'!$C$238:$C$451,$C282,'TL16'!$J$238:$J$451),0),
IF('TL17'!$B$3=P$3,SUMIF('TL17'!$C$10:$C$224,$C282,'TL17'!$J$10:$J$224),0),
IF('TL17'!$B$229=P$3,SUMIF('TL17'!$C$238:$C$451,$C282,'TL17'!$J$238:$J$451),0),
IF('TL18'!$B$3=P$3,SUMIF('TL18'!$C$10:$C$224,$C282,'TL18'!$J$10:$J$224),0),
IF('TL18'!$B$229=P$3,SUMIF('TL18'!$C$238:$C$451,$C282,'TL18'!$J$238:$J$451),0),
IF('TL19'!$B$3=P$3,SUMIF('TL19'!$C$10:$C$224,$C282,'TL19'!$J$10:$J$224),0),
IF('TL19'!$B$229=P$3,SUMIF('TL19'!$C$238:$C$451,$C282,'TL19'!$J$238:$J$451),0)
),0)</f>
        <v/>
      </c>
      <c r="Q282" s="9">
        <f>IFERROR(SUM(
IF('TL01'!$B$3=Q$3,SUMIF('TL01'!$C$10:$C$224,$C282,'TL01'!$J$10:$J$224),0),
IF('TL01'!$B$229=Q$3,SUMIF('TL01'!$C$238:$C$451,$C282,'TL01'!$J$238:$J$451),0),
IF('TL02'!$B$3=Q$3,SUMIF('TL02'!$C$10:$C$224,$C282,'TL02'!$J$10:$J$224),0),
IF('TL02'!$B$229=Q$3,SUMIF('TL02'!$C$238:$C$451,$C282,'TL02'!$J$238:$J$451),0),
IF('TL03'!$B$3=Q$3,SUMIF('TL03'!$C$10:$C$224,$C282,'TL03'!$J$10:$J$224),0),
IF('TL03'!$B$229=Q$3,SUMIF('TL03'!$C$238:$C$451,$C282,'TL03'!$J$238:$J$451),0),
IF('TL04'!$B$3=Q$3,SUMIF('TL04'!$C$10:$C$224,$C282,'TL04'!$J$10:$J$224),0),
IF('TL04'!$B$229=Q$3,SUMIF('TL04'!$C$238:$C$451,$C282,'TL04'!$J$238:$J$451),0),
IF('TL05'!$B$3=Q$3,SUMIF('TL05'!$C$10:$C$224,$C282,'TL05'!$J$10:$J$224),0),
IF('TL05'!$B$229=Q$3,SUMIF('TL05'!$C$238:$C$451,$C282,'TL05'!$J$238:$J$451),0),
IF('TL06'!$B$3=Q$3,SUMIF('TL06'!$C$10:$C$224,$C282,'TL06'!$J$10:$J$224),0),
IF('TL06'!$B$229=Q$3,SUMIF('TL06'!$C$238:$C$451,$C282,'TL06'!$J$238:$J$451),0),
IF('TL07'!$B$3=Q$3,SUMIF('TL07'!$C$10:$C$224,$C282,'TL07'!$J$10:$J$224),0),
IF('TL07'!$B$229=Q$3,SUMIF('TL07'!$C$238:$C$451,$C282,'TL07'!$J$238:$J$451),0),
IF('TL08'!$B$3=Q$3,SUMIF('TL08'!$C$10:$C$224,$C282,'TL08'!$J$10:$J$224),0),
IF('TL08'!$B$229=Q$3,SUMIF('TL08'!$C$238:$C$451,$C282,'TL08'!$J$238:$J$451),0),
IF('TL09'!$B$3=Q$3,SUMIF('TL09'!$C$10:$C$224,$C282,'TL09'!$J$10:$J$224),0),
IF('TL09'!$B$229=Q$3,SUMIF('TL09'!$C$238:$C$451,$C282,'TL09'!$J$238:$J$451),0),
IF('TL10'!$B$3=Q$3,SUMIF('TL10'!$C$10:$C$224,$C282,'TL10'!$J$10:$J$224),0),
IF('TL10'!$B$229=Q$3,SUMIF('TL10'!$C$238:$C$451,$C282,'TL10'!$J$238:$J$451),0),
IF('TL11'!$B$3=Q$3,SUMIF('TL11'!$C$10:$C$224,$C282,'TL11'!$J$10:$J$224),0),
IF('TL11'!$B$229=Q$3,SUMIF('TL11'!$C$238:$C$451,$C282,'TL11'!$J$238:$J$451),0),
IF('TL12'!$B$3=Q$3,SUMIF('TL12'!$C$10:$C$224,$C282,'TL12'!$J$10:$J$224),0),
IF('TL12'!$B$229=Q$3,SUMIF('TL12'!$C$238:$C$451,$C282,'TL12'!$J$238:$J$451),0),
IF('TL13'!$B$3=Q$3,SUMIF('TL13'!$C$10:$C$224,$C282,'TL13'!$J$10:$J$224),0),
IF('TL13'!$B$229=Q$3,SUMIF('TL13'!$C$238:$C$451,$C282,'TL13'!$J$238:$J$451),0),
IF('TL14'!$B$3=Q$3,SUMIF('TL14'!$C$10:$C$224,$C282,'TL14'!$J$10:$J$224),0),
IF('TL14'!$B$229=Q$3,SUMIF('TL14'!$C$238:$C$451,$C282,'TL14'!$J$238:$J$451),0),
IF('TL15'!$B$3=Q$3,SUMIF('TL15'!$C$10:$C$224,$C282,'TL15'!$J$10:$J$224),0),
IF('TL15'!$B$229=Q$3,SUMIF('TL15'!$C$238:$C$451,$C282,'TL15'!$J$238:$J$451),0),
IF('TL16'!$B$3=Q$3,SUMIF('TL16'!$C$10:$C$224,$C282,'TL16'!$J$10:$J$224),0),
IF('TL16'!$B$229=Q$3,SUMIF('TL16'!$C$238:$C$451,$C282,'TL16'!$J$238:$J$451),0),
IF('TL17'!$B$3=Q$3,SUMIF('TL17'!$C$10:$C$224,$C282,'TL17'!$J$10:$J$224),0),
IF('TL17'!$B$229=Q$3,SUMIF('TL17'!$C$238:$C$451,$C282,'TL17'!$J$238:$J$451),0),
IF('TL18'!$B$3=Q$3,SUMIF('TL18'!$C$10:$C$224,$C282,'TL18'!$J$10:$J$224),0),
IF('TL18'!$B$229=Q$3,SUMIF('TL18'!$C$238:$C$451,$C282,'TL18'!$J$238:$J$451),0),
IF('TL19'!$B$3=Q$3,SUMIF('TL19'!$C$10:$C$224,$C282,'TL19'!$J$10:$J$224),0),
IF('TL19'!$B$229=Q$3,SUMIF('TL19'!$C$238:$C$451,$C282,'TL19'!$J$238:$J$451),0)
),0)</f>
        <v/>
      </c>
      <c r="R282" s="9">
        <f>IFERROR(
SUM(
SUMIF('TL01'!C:C,C282,'TL01'!J:J),
SUMIF('TL02'!C:C,C282,'TL02'!J:J),
SUMIF('TL03'!C:C,C282,'TL03'!J:J),
SUMIF('TL04'!C:C,C282,'TL04'!J:J),
SUMIF('TL05'!C:C,C282,'TL05'!J:J),
SUMIF('TL06'!C:C,C282,'TL06'!J:J),
SUMIF('TL07'!C:C,C282,'TL07'!J:J),
SUMIF('TL08'!C:C,C282,'TL08'!J:J),
SUMIF('TL09'!C:C,C282,'TL09'!J:J),
SUMIF('TL10'!C:C,C282,'TL10'!J:J),
SUMIF('TL11'!C:C,C282,'TL11'!J:J),
SUMIF('TL12'!C:C,C282,'TL12'!J:J),
SUMIF('TL13'!C:C,C282,'TL13'!J:J),
SUMIF('TL14'!C:C,C282,'TL14'!J:J),
SUMIF('TL15'!C:C,C282,'TL15'!J:J),
SUMIF('TL16'!C:C,C282,'TL16'!J:J),
SUMIF('TL17'!C:C,C282,'TL17'!J:J),
SUMIF('TL18'!C:C,C282,'TL18'!J:J),SUMIF('TL19'!C:C,C282,'TL19'!J:J))
,0)</f>
        <v/>
      </c>
      <c r="S282" s="17">
        <f>IFERROR(__xludf.DUMMYFUNCTION("IFERROR(VLOOKUP(C282,
IMPORTRANGE(""1wULbzX32WdYsx-lj2U3uUNBBe2INVIRDtcK0d-Dvl90"",
""26-27!C:G""),
5,
FALSE),
"""")"),"")</f>
        <v/>
      </c>
      <c r="T282" s="9" t="n"/>
      <c r="U282" s="92">
        <f>MAX(0,R282-T282)</f>
        <v/>
      </c>
      <c r="V282" s="93">
        <f>U282*S282</f>
        <v/>
      </c>
    </row>
    <row r="283" hidden="1" ht="15.75" customHeight="1" s="297">
      <c r="A283" s="4" t="n"/>
      <c r="B283" s="125" t="inlineStr">
        <is>
          <t>NUTRIÇÃO</t>
        </is>
      </c>
      <c r="C283" s="4" t="inlineStr">
        <is>
          <t>Sulfato de Magnésio</t>
        </is>
      </c>
      <c r="D283" s="20" t="n"/>
      <c r="E283" s="9" t="n"/>
      <c r="F283" s="4" t="inlineStr">
        <is>
          <t>KG</t>
        </is>
      </c>
      <c r="G283" s="9" t="n"/>
      <c r="H283" s="9" t="n">
        <v>1</v>
      </c>
      <c r="I283" s="1" t="n"/>
      <c r="J283" s="9">
        <f>IFERROR(SUM(
IF('TL01'!$B$3=J$3,SUMIF('TL01'!$C$10:$C$224,$C283,'TL01'!$J$10:$J$224),0),
IF('TL01'!$B$229=J$3,SUMIF('TL01'!$C$238:$C$451,$C283,'TL01'!$J$238:$J$451),0),
IF('TL02'!$B$3=J$3,SUMIF('TL02'!$C$10:$C$224,$C283,'TL02'!$J$10:$J$224),0),
IF('TL02'!$B$229=J$3,SUMIF('TL02'!$C$238:$C$451,$C283,'TL02'!$J$238:$J$451),0),
IF('TL03'!$B$3=J$3,SUMIF('TL03'!$C$10:$C$224,$C283,'TL03'!$J$10:$J$224),0),
IF('TL03'!$B$229=J$3,SUMIF('TL03'!$C$238:$C$451,$C283,'TL03'!$J$238:$J$451),0),
IF('TL04'!$B$3=J$3,SUMIF('TL04'!$C$10:$C$224,$C283,'TL04'!$J$10:$J$224),0),
IF('TL04'!$B$229=J$3,SUMIF('TL04'!$C$238:$C$451,$C283,'TL04'!$J$238:$J$451),0),
IF('TL05'!$B$3=J$3,SUMIF('TL05'!$C$10:$C$224,$C283,'TL05'!$J$10:$J$224),0),
IF('TL05'!$B$229=J$3,SUMIF('TL05'!$C$238:$C$451,$C283,'TL05'!$J$238:$J$451),0),
IF('TL06'!$B$3=J$3,SUMIF('TL06'!$C$10:$C$224,$C283,'TL06'!$J$10:$J$224),0),
IF('TL06'!$B$229=J$3,SUMIF('TL06'!$C$238:$C$451,$C283,'TL06'!$J$238:$J$451),0),
IF('TL07'!$B$3=J$3,SUMIF('TL07'!$C$10:$C$224,$C283,'TL07'!$J$10:$J$224),0),
IF('TL07'!$B$229=J$3,SUMIF('TL07'!$C$238:$C$451,$C283,'TL07'!$J$238:$J$451),0),
IF('TL08'!$B$3=J$3,SUMIF('TL08'!$C$10:$C$224,$C283,'TL08'!$J$10:$J$224),0),
IF('TL08'!$B$229=J$3,SUMIF('TL08'!$C$238:$C$451,$C283,'TL08'!$J$238:$J$451),0),
IF('TL09'!$B$3=J$3,SUMIF('TL09'!$C$10:$C$224,$C283,'TL09'!$J$10:$J$224),0),
IF('TL09'!$B$229=J$3,SUMIF('TL09'!$C$238:$C$451,$C283,'TL09'!$J$238:$J$451),0),
IF('TL10'!$B$3=J$3,SUMIF('TL10'!$C$10:$C$224,$C283,'TL10'!$J$10:$J$224),0),
IF('TL10'!$B$229=J$3,SUMIF('TL10'!$C$238:$C$451,$C283,'TL10'!$J$238:$J$451),0),
IF('TL11'!$B$3=J$3,SUMIF('TL11'!$C$10:$C$224,$C283,'TL11'!$J$10:$J$224),0),
IF('TL11'!$B$229=J$3,SUMIF('TL11'!$C$238:$C$451,$C283,'TL11'!$J$238:$J$451),0),
IF('TL12'!$B$3=J$3,SUMIF('TL12'!$C$10:$C$224,$C283,'TL12'!$J$10:$J$224),0),
IF('TL12'!$B$229=J$3,SUMIF('TL12'!$C$238:$C$451,$C283,'TL12'!$J$238:$J$451),0),
IF('TL13'!$B$3=J$3,SUMIF('TL13'!$C$10:$C$224,$C283,'TL13'!$J$10:$J$224),0),
IF('TL13'!$B$229=J$3,SUMIF('TL13'!$C$238:$C$451,$C283,'TL13'!$J$238:$J$451),0),
IF('TL14'!$B$3=J$3,SUMIF('TL14'!$C$10:$C$224,$C283,'TL14'!$J$10:$J$224),0),
IF('TL14'!$B$229=J$3,SUMIF('TL14'!$C$238:$C$451,$C283,'TL14'!$J$238:$J$451),0),
IF('TL15'!$B$3=J$3,SUMIF('TL15'!$C$10:$C$224,$C283,'TL15'!$J$10:$J$224),0),
IF('TL15'!$B$229=J$3,SUMIF('TL15'!$C$238:$C$451,$C283,'TL15'!$J$238:$J$451),0),
IF('TL16'!$B$3=J$3,SUMIF('TL16'!$C$10:$C$224,$C283,'TL16'!$J$10:$J$224),0),
IF('TL16'!$B$229=J$3,SUMIF('TL16'!$C$238:$C$451,$C283,'TL16'!$J$238:$J$451),0),
IF('TL17'!$B$3=J$3,SUMIF('TL17'!$C$10:$C$224,$C283,'TL17'!$J$10:$J$224),0),
IF('TL17'!$B$229=J$3,SUMIF('TL17'!$C$238:$C$451,$C283,'TL17'!$J$238:$J$451),0),
IF('TL18'!$B$3=J$3,SUMIF('TL18'!$C$10:$C$224,$C283,'TL18'!$J$10:$J$224),0),
IF('TL18'!$B$229=J$3,SUMIF('TL18'!$C$238:$C$451,$C283,'TL18'!$J$238:$J$451),0),
IF('TL19'!$B$3=J$3,SUMIF('TL19'!$C$10:$C$224,$C283,'TL19'!$J$10:$J$224),0),
IF('TL19'!$B$229=J$3,SUMIF('TL19'!$C$238:$C$451,$C283,'TL19'!$J$238:$J$451),0)
),0)</f>
        <v/>
      </c>
      <c r="K283" s="9">
        <f>IFERROR(SUM(
IF('TL01'!$B$3=K$3,SUMIF('TL01'!$C$10:$C$224,$C283,'TL01'!$J$10:$J$224),0),
IF('TL01'!$B$229=K$3,SUMIF('TL01'!$C$238:$C$451,$C283,'TL01'!$J$238:$J$451),0),
IF('TL02'!$B$3=K$3,SUMIF('TL02'!$C$10:$C$224,$C283,'TL02'!$J$10:$J$224),0),
IF('TL02'!$B$229=K$3,SUMIF('TL02'!$C$238:$C$451,$C283,'TL02'!$J$238:$J$451),0),
IF('TL03'!$B$3=K$3,SUMIF('TL03'!$C$10:$C$224,$C283,'TL03'!$J$10:$J$224),0),
IF('TL03'!$B$229=K$3,SUMIF('TL03'!$C$238:$C$451,$C283,'TL03'!$J$238:$J$451),0),
IF('TL04'!$B$3=K$3,SUMIF('TL04'!$C$10:$C$224,$C283,'TL04'!$J$10:$J$224),0),
IF('TL04'!$B$229=K$3,SUMIF('TL04'!$C$238:$C$451,$C283,'TL04'!$J$238:$J$451),0),
IF('TL05'!$B$3=K$3,SUMIF('TL05'!$C$10:$C$224,$C283,'TL05'!$J$10:$J$224),0),
IF('TL05'!$B$229=K$3,SUMIF('TL05'!$C$238:$C$451,$C283,'TL05'!$J$238:$J$451),0),
IF('TL06'!$B$3=K$3,SUMIF('TL06'!$C$10:$C$224,$C283,'TL06'!$J$10:$J$224),0),
IF('TL06'!$B$229=K$3,SUMIF('TL06'!$C$238:$C$451,$C283,'TL06'!$J$238:$J$451),0),
IF('TL07'!$B$3=K$3,SUMIF('TL07'!$C$10:$C$224,$C283,'TL07'!$J$10:$J$224),0),
IF('TL07'!$B$229=K$3,SUMIF('TL07'!$C$238:$C$451,$C283,'TL07'!$J$238:$J$451),0),
IF('TL08'!$B$3=K$3,SUMIF('TL08'!$C$10:$C$224,$C283,'TL08'!$J$10:$J$224),0),
IF('TL08'!$B$229=K$3,SUMIF('TL08'!$C$238:$C$451,$C283,'TL08'!$J$238:$J$451),0),
IF('TL09'!$B$3=K$3,SUMIF('TL09'!$C$10:$C$224,$C283,'TL09'!$J$10:$J$224),0),
IF('TL09'!$B$229=K$3,SUMIF('TL09'!$C$238:$C$451,$C283,'TL09'!$J$238:$J$451),0),
IF('TL10'!$B$3=K$3,SUMIF('TL10'!$C$10:$C$224,$C283,'TL10'!$J$10:$J$224),0),
IF('TL10'!$B$229=K$3,SUMIF('TL10'!$C$238:$C$451,$C283,'TL10'!$J$238:$J$451),0),
IF('TL11'!$B$3=K$3,SUMIF('TL11'!$C$10:$C$224,$C283,'TL11'!$J$10:$J$224),0),
IF('TL11'!$B$229=K$3,SUMIF('TL11'!$C$238:$C$451,$C283,'TL11'!$J$238:$J$451),0),
IF('TL12'!$B$3=K$3,SUMIF('TL12'!$C$10:$C$224,$C283,'TL12'!$J$10:$J$224),0),
IF('TL12'!$B$229=K$3,SUMIF('TL12'!$C$238:$C$451,$C283,'TL12'!$J$238:$J$451),0),
IF('TL13'!$B$3=K$3,SUMIF('TL13'!$C$10:$C$224,$C283,'TL13'!$J$10:$J$224),0),
IF('TL13'!$B$229=K$3,SUMIF('TL13'!$C$238:$C$451,$C283,'TL13'!$J$238:$J$451),0),
IF('TL14'!$B$3=K$3,SUMIF('TL14'!$C$10:$C$224,$C283,'TL14'!$J$10:$J$224),0),
IF('TL14'!$B$229=K$3,SUMIF('TL14'!$C$238:$C$451,$C283,'TL14'!$J$238:$J$451),0),
IF('TL15'!$B$3=K$3,SUMIF('TL15'!$C$10:$C$224,$C283,'TL15'!$J$10:$J$224),0),
IF('TL15'!$B$229=K$3,SUMIF('TL15'!$C$238:$C$451,$C283,'TL15'!$J$238:$J$451),0),
IF('TL16'!$B$3=K$3,SUMIF('TL16'!$C$10:$C$224,$C283,'TL16'!$J$10:$J$224),0),
IF('TL16'!$B$229=K$3,SUMIF('TL16'!$C$238:$C$451,$C283,'TL16'!$J$238:$J$451),0),
IF('TL17'!$B$3=K$3,SUMIF('TL17'!$C$10:$C$224,$C283,'TL17'!$J$10:$J$224),0),
IF('TL17'!$B$229=K$3,SUMIF('TL17'!$C$238:$C$451,$C283,'TL17'!$J$238:$J$451),0),
IF('TL18'!$B$3=K$3,SUMIF('TL18'!$C$10:$C$224,$C283,'TL18'!$J$10:$J$224),0),
IF('TL18'!$B$229=K$3,SUMIF('TL18'!$C$238:$C$451,$C283,'TL18'!$J$238:$J$451),0),
IF('TL19'!$B$3=K$3,SUMIF('TL19'!$C$10:$C$224,$C283,'TL19'!$J$10:$J$224),0),
IF('TL19'!$B$229=K$3,SUMIF('TL19'!$C$238:$C$451,$C283,'TL19'!$J$238:$J$451),0)
),0)</f>
        <v/>
      </c>
      <c r="L283" s="9">
        <f>IFERROR(SUM(
IF('TL01'!$B$3=L$3,SUMIF('TL01'!$C$10:$C$224,$C283,'TL01'!$J$10:$J$224),0),
IF('TL01'!$B$229=L$3,SUMIF('TL01'!$C$238:$C$451,$C283,'TL01'!$J$238:$J$451),0),
IF('TL02'!$B$3=L$3,SUMIF('TL02'!$C$10:$C$224,$C283,'TL02'!$J$10:$J$224),0),
IF('TL02'!$B$229=L$3,SUMIF('TL02'!$C$238:$C$451,$C283,'TL02'!$J$238:$J$451),0),
IF('TL03'!$B$3=L$3,SUMIF('TL03'!$C$10:$C$224,$C283,'TL03'!$J$10:$J$224),0),
IF('TL03'!$B$229=L$3,SUMIF('TL03'!$C$238:$C$451,$C283,'TL03'!$J$238:$J$451),0),
IF('TL04'!$B$3=L$3,SUMIF('TL04'!$C$10:$C$224,$C283,'TL04'!$J$10:$J$224),0),
IF('TL04'!$B$229=L$3,SUMIF('TL04'!$C$238:$C$451,$C283,'TL04'!$J$238:$J$451),0),
IF('TL05'!$B$3=L$3,SUMIF('TL05'!$C$10:$C$224,$C283,'TL05'!$J$10:$J$224),0),
IF('TL05'!$B$229=L$3,SUMIF('TL05'!$C$238:$C$451,$C283,'TL05'!$J$238:$J$451),0),
IF('TL06'!$B$3=L$3,SUMIF('TL06'!$C$10:$C$224,$C283,'TL06'!$J$10:$J$224),0),
IF('TL06'!$B$229=L$3,SUMIF('TL06'!$C$238:$C$451,$C283,'TL06'!$J$238:$J$451),0),
IF('TL07'!$B$3=L$3,SUMIF('TL07'!$C$10:$C$224,$C283,'TL07'!$J$10:$J$224),0),
IF('TL07'!$B$229=L$3,SUMIF('TL07'!$C$238:$C$451,$C283,'TL07'!$J$238:$J$451),0),
IF('TL08'!$B$3=L$3,SUMIF('TL08'!$C$10:$C$224,$C283,'TL08'!$J$10:$J$224),0),
IF('TL08'!$B$229=L$3,SUMIF('TL08'!$C$238:$C$451,$C283,'TL08'!$J$238:$J$451),0),
IF('TL09'!$B$3=L$3,SUMIF('TL09'!$C$10:$C$224,$C283,'TL09'!$J$10:$J$224),0),
IF('TL09'!$B$229=L$3,SUMIF('TL09'!$C$238:$C$451,$C283,'TL09'!$J$238:$J$451),0),
IF('TL10'!$B$3=L$3,SUMIF('TL10'!$C$10:$C$224,$C283,'TL10'!$J$10:$J$224),0),
IF('TL10'!$B$229=L$3,SUMIF('TL10'!$C$238:$C$451,$C283,'TL10'!$J$238:$J$451),0),
IF('TL11'!$B$3=L$3,SUMIF('TL11'!$C$10:$C$224,$C283,'TL11'!$J$10:$J$224),0),
IF('TL11'!$B$229=L$3,SUMIF('TL11'!$C$238:$C$451,$C283,'TL11'!$J$238:$J$451),0),
IF('TL12'!$B$3=L$3,SUMIF('TL12'!$C$10:$C$224,$C283,'TL12'!$J$10:$J$224),0),
IF('TL12'!$B$229=L$3,SUMIF('TL12'!$C$238:$C$451,$C283,'TL12'!$J$238:$J$451),0),
IF('TL13'!$B$3=L$3,SUMIF('TL13'!$C$10:$C$224,$C283,'TL13'!$J$10:$J$224),0),
IF('TL13'!$B$229=L$3,SUMIF('TL13'!$C$238:$C$451,$C283,'TL13'!$J$238:$J$451),0),
IF('TL14'!$B$3=L$3,SUMIF('TL14'!$C$10:$C$224,$C283,'TL14'!$J$10:$J$224),0),
IF('TL14'!$B$229=L$3,SUMIF('TL14'!$C$238:$C$451,$C283,'TL14'!$J$238:$J$451),0),
IF('TL15'!$B$3=L$3,SUMIF('TL15'!$C$10:$C$224,$C283,'TL15'!$J$10:$J$224),0),
IF('TL15'!$B$229=L$3,SUMIF('TL15'!$C$238:$C$451,$C283,'TL15'!$J$238:$J$451),0),
IF('TL16'!$B$3=L$3,SUMIF('TL16'!$C$10:$C$224,$C283,'TL16'!$J$10:$J$224),0),
IF('TL16'!$B$229=L$3,SUMIF('TL16'!$C$238:$C$451,$C283,'TL16'!$J$238:$J$451),0),
IF('TL17'!$B$3=L$3,SUMIF('TL17'!$C$10:$C$224,$C283,'TL17'!$J$10:$J$224),0),
IF('TL17'!$B$229=L$3,SUMIF('TL17'!$C$238:$C$451,$C283,'TL17'!$J$238:$J$451),0),
IF('TL18'!$B$3=L$3,SUMIF('TL18'!$C$10:$C$224,$C283,'TL18'!$J$10:$J$224),0),
IF('TL18'!$B$229=L$3,SUMIF('TL18'!$C$238:$C$451,$C283,'TL18'!$J$238:$J$451),0),
IF('TL19'!$B$3=L$3,SUMIF('TL19'!$C$10:$C$224,$C283,'TL19'!$J$10:$J$224),0),
IF('TL19'!$B$229=L$3,SUMIF('TL19'!$C$238:$C$451,$C283,'TL19'!$J$238:$J$451),0)
),0)</f>
        <v/>
      </c>
      <c r="M283" s="9">
        <f>IFERROR(SUM(
IF('TL01'!$B$3=M$3,SUMIF('TL01'!$C$10:$C$224,$C283,'TL01'!$J$10:$J$224),0),
IF('TL01'!$B$229=M$3,SUMIF('TL01'!$C$238:$C$451,$C283,'TL01'!$J$238:$J$451),0),
IF('TL02'!$B$3=M$3,SUMIF('TL02'!$C$10:$C$224,$C283,'TL02'!$J$10:$J$224),0),
IF('TL02'!$B$229=M$3,SUMIF('TL02'!$C$238:$C$451,$C283,'TL02'!$J$238:$J$451),0),
IF('TL03'!$B$3=M$3,SUMIF('TL03'!$C$10:$C$224,$C283,'TL03'!$J$10:$J$224),0),
IF('TL03'!$B$229=M$3,SUMIF('TL03'!$C$238:$C$451,$C283,'TL03'!$J$238:$J$451),0),
IF('TL04'!$B$3=M$3,SUMIF('TL04'!$C$10:$C$224,$C283,'TL04'!$J$10:$J$224),0),
IF('TL04'!$B$229=M$3,SUMIF('TL04'!$C$238:$C$451,$C283,'TL04'!$J$238:$J$451),0),
IF('TL05'!$B$3=M$3,SUMIF('TL05'!$C$10:$C$224,$C283,'TL05'!$J$10:$J$224),0),
IF('TL05'!$B$229=M$3,SUMIF('TL05'!$C$238:$C$451,$C283,'TL05'!$J$238:$J$451),0),
IF('TL06'!$B$3=M$3,SUMIF('TL06'!$C$10:$C$224,$C283,'TL06'!$J$10:$J$224),0),
IF('TL06'!$B$229=M$3,SUMIF('TL06'!$C$238:$C$451,$C283,'TL06'!$J$238:$J$451),0),
IF('TL07'!$B$3=M$3,SUMIF('TL07'!$C$10:$C$224,$C283,'TL07'!$J$10:$J$224),0),
IF('TL07'!$B$229=M$3,SUMIF('TL07'!$C$238:$C$451,$C283,'TL07'!$J$238:$J$451),0),
IF('TL08'!$B$3=M$3,SUMIF('TL08'!$C$10:$C$224,$C283,'TL08'!$J$10:$J$224),0),
IF('TL08'!$B$229=M$3,SUMIF('TL08'!$C$238:$C$451,$C283,'TL08'!$J$238:$J$451),0),
IF('TL09'!$B$3=M$3,SUMIF('TL09'!$C$10:$C$224,$C283,'TL09'!$J$10:$J$224),0),
IF('TL09'!$B$229=M$3,SUMIF('TL09'!$C$238:$C$451,$C283,'TL09'!$J$238:$J$451),0),
IF('TL10'!$B$3=M$3,SUMIF('TL10'!$C$10:$C$224,$C283,'TL10'!$J$10:$J$224),0),
IF('TL10'!$B$229=M$3,SUMIF('TL10'!$C$238:$C$451,$C283,'TL10'!$J$238:$J$451),0),
IF('TL11'!$B$3=M$3,SUMIF('TL11'!$C$10:$C$224,$C283,'TL11'!$J$10:$J$224),0),
IF('TL11'!$B$229=M$3,SUMIF('TL11'!$C$238:$C$451,$C283,'TL11'!$J$238:$J$451),0),
IF('TL12'!$B$3=M$3,SUMIF('TL12'!$C$10:$C$224,$C283,'TL12'!$J$10:$J$224),0),
IF('TL12'!$B$229=M$3,SUMIF('TL12'!$C$238:$C$451,$C283,'TL12'!$J$238:$J$451),0),
IF('TL13'!$B$3=M$3,SUMIF('TL13'!$C$10:$C$224,$C283,'TL13'!$J$10:$J$224),0),
IF('TL13'!$B$229=M$3,SUMIF('TL13'!$C$238:$C$451,$C283,'TL13'!$J$238:$J$451),0),
IF('TL14'!$B$3=M$3,SUMIF('TL14'!$C$10:$C$224,$C283,'TL14'!$J$10:$J$224),0),
IF('TL14'!$B$229=M$3,SUMIF('TL14'!$C$238:$C$451,$C283,'TL14'!$J$238:$J$451),0),
IF('TL15'!$B$3=M$3,SUMIF('TL15'!$C$10:$C$224,$C283,'TL15'!$J$10:$J$224),0),
IF('TL15'!$B$229=M$3,SUMIF('TL15'!$C$238:$C$451,$C283,'TL15'!$J$238:$J$451),0),
IF('TL16'!$B$3=M$3,SUMIF('TL16'!$C$10:$C$224,$C283,'TL16'!$J$10:$J$224),0),
IF('TL16'!$B$229=M$3,SUMIF('TL16'!$C$238:$C$451,$C283,'TL16'!$J$238:$J$451),0),
IF('TL17'!$B$3=M$3,SUMIF('TL17'!$C$10:$C$224,$C283,'TL17'!$J$10:$J$224),0),
IF('TL17'!$B$229=M$3,SUMIF('TL17'!$C$238:$C$451,$C283,'TL17'!$J$238:$J$451),0),
IF('TL18'!$B$3=M$3,SUMIF('TL18'!$C$10:$C$224,$C283,'TL18'!$J$10:$J$224),0),
IF('TL18'!$B$229=M$3,SUMIF('TL18'!$C$238:$C$451,$C283,'TL18'!$J$238:$J$451),0),
IF('TL19'!$B$3=M$3,SUMIF('TL19'!$C$10:$C$224,$C283,'TL19'!$J$10:$J$224),0),
IF('TL19'!$B$229=M$3,SUMIF('TL19'!$C$238:$C$451,$C283,'TL19'!$J$238:$J$451),0)
),0)</f>
        <v/>
      </c>
      <c r="N283" s="9">
        <f>IFERROR(SUM(
IF('TL01'!$B$3=N$3,SUMIF('TL01'!$C$10:$C$224,$C283,'TL01'!$J$10:$J$224),0),
IF('TL01'!$B$229=N$3,SUMIF('TL01'!$C$238:$C$451,$C283,'TL01'!$J$238:$J$451),0),
IF('TL02'!$B$3=N$3,SUMIF('TL02'!$C$10:$C$224,$C283,'TL02'!$J$10:$J$224),0),
IF('TL02'!$B$229=N$3,SUMIF('TL02'!$C$238:$C$451,$C283,'TL02'!$J$238:$J$451),0),
IF('TL03'!$B$3=N$3,SUMIF('TL03'!$C$10:$C$224,$C283,'TL03'!$J$10:$J$224),0),
IF('TL03'!$B$229=N$3,SUMIF('TL03'!$C$238:$C$451,$C283,'TL03'!$J$238:$J$451),0),
IF('TL04'!$B$3=N$3,SUMIF('TL04'!$C$10:$C$224,$C283,'TL04'!$J$10:$J$224),0),
IF('TL04'!$B$229=N$3,SUMIF('TL04'!$C$238:$C$451,$C283,'TL04'!$J$238:$J$451),0),
IF('TL05'!$B$3=N$3,SUMIF('TL05'!$C$10:$C$224,$C283,'TL05'!$J$10:$J$224),0),
IF('TL05'!$B$229=N$3,SUMIF('TL05'!$C$238:$C$451,$C283,'TL05'!$J$238:$J$451),0),
IF('TL06'!$B$3=N$3,SUMIF('TL06'!$C$10:$C$224,$C283,'TL06'!$J$10:$J$224),0),
IF('TL06'!$B$229=N$3,SUMIF('TL06'!$C$238:$C$451,$C283,'TL06'!$J$238:$J$451),0),
IF('TL07'!$B$3=N$3,SUMIF('TL07'!$C$10:$C$224,$C283,'TL07'!$J$10:$J$224),0),
IF('TL07'!$B$229=N$3,SUMIF('TL07'!$C$238:$C$451,$C283,'TL07'!$J$238:$J$451),0),
IF('TL08'!$B$3=N$3,SUMIF('TL08'!$C$10:$C$224,$C283,'TL08'!$J$10:$J$224),0),
IF('TL08'!$B$229=N$3,SUMIF('TL08'!$C$238:$C$451,$C283,'TL08'!$J$238:$J$451),0),
IF('TL09'!$B$3=N$3,SUMIF('TL09'!$C$10:$C$224,$C283,'TL09'!$J$10:$J$224),0),
IF('TL09'!$B$229=N$3,SUMIF('TL09'!$C$238:$C$451,$C283,'TL09'!$J$238:$J$451),0),
IF('TL10'!$B$3=N$3,SUMIF('TL10'!$C$10:$C$224,$C283,'TL10'!$J$10:$J$224),0),
IF('TL10'!$B$229=N$3,SUMIF('TL10'!$C$238:$C$451,$C283,'TL10'!$J$238:$J$451),0),
IF('TL11'!$B$3=N$3,SUMIF('TL11'!$C$10:$C$224,$C283,'TL11'!$J$10:$J$224),0),
IF('TL11'!$B$229=N$3,SUMIF('TL11'!$C$238:$C$451,$C283,'TL11'!$J$238:$J$451),0),
IF('TL12'!$B$3=N$3,SUMIF('TL12'!$C$10:$C$224,$C283,'TL12'!$J$10:$J$224),0),
IF('TL12'!$B$229=N$3,SUMIF('TL12'!$C$238:$C$451,$C283,'TL12'!$J$238:$J$451),0),
IF('TL13'!$B$3=N$3,SUMIF('TL13'!$C$10:$C$224,$C283,'TL13'!$J$10:$J$224),0),
IF('TL13'!$B$229=N$3,SUMIF('TL13'!$C$238:$C$451,$C283,'TL13'!$J$238:$J$451),0),
IF('TL14'!$B$3=N$3,SUMIF('TL14'!$C$10:$C$224,$C283,'TL14'!$J$10:$J$224),0),
IF('TL14'!$B$229=N$3,SUMIF('TL14'!$C$238:$C$451,$C283,'TL14'!$J$238:$J$451),0),
IF('TL15'!$B$3=N$3,SUMIF('TL15'!$C$10:$C$224,$C283,'TL15'!$J$10:$J$224),0),
IF('TL15'!$B$229=N$3,SUMIF('TL15'!$C$238:$C$451,$C283,'TL15'!$J$238:$J$451),0),
IF('TL16'!$B$3=N$3,SUMIF('TL16'!$C$10:$C$224,$C283,'TL16'!$J$10:$J$224),0),
IF('TL16'!$B$229=N$3,SUMIF('TL16'!$C$238:$C$451,$C283,'TL16'!$J$238:$J$451),0),
IF('TL17'!$B$3=N$3,SUMIF('TL17'!$C$10:$C$224,$C283,'TL17'!$J$10:$J$224),0),
IF('TL17'!$B$229=N$3,SUMIF('TL17'!$C$238:$C$451,$C283,'TL17'!$J$238:$J$451),0),
IF('TL18'!$B$3=N$3,SUMIF('TL18'!$C$10:$C$224,$C283,'TL18'!$J$10:$J$224),0),
IF('TL18'!$B$229=N$3,SUMIF('TL18'!$C$238:$C$451,$C283,'TL18'!$J$238:$J$451),0),
IF('TL19'!$B$3=N$3,SUMIF('TL19'!$C$10:$C$224,$C283,'TL19'!$J$10:$J$224),0),
IF('TL19'!$B$229=N$3,SUMIF('TL19'!$C$238:$C$451,$C283,'TL19'!$J$238:$J$451),0)
),0)</f>
        <v/>
      </c>
      <c r="O283" s="9">
        <f>IFERROR(SUM(
IF('TL01'!$B$3=O$3,SUMIF('TL01'!$C$10:$C$224,$C283,'TL01'!$J$10:$J$224),0),
IF('TL01'!$B$229=O$3,SUMIF('TL01'!$C$238:$C$451,$C283,'TL01'!$J$238:$J$451),0),
IF('TL02'!$B$3=O$3,SUMIF('TL02'!$C$10:$C$224,$C283,'TL02'!$J$10:$J$224),0),
IF('TL02'!$B$229=O$3,SUMIF('TL02'!$C$238:$C$451,$C283,'TL02'!$J$238:$J$451),0),
IF('TL03'!$B$3=O$3,SUMIF('TL03'!$C$10:$C$224,$C283,'TL03'!$J$10:$J$224),0),
IF('TL03'!$B$229=O$3,SUMIF('TL03'!$C$238:$C$451,$C283,'TL03'!$J$238:$J$451),0),
IF('TL04'!$B$3=O$3,SUMIF('TL04'!$C$10:$C$224,$C283,'TL04'!$J$10:$J$224),0),
IF('TL04'!$B$229=O$3,SUMIF('TL04'!$C$238:$C$451,$C283,'TL04'!$J$238:$J$451),0),
IF('TL05'!$B$3=O$3,SUMIF('TL05'!$C$10:$C$224,$C283,'TL05'!$J$10:$J$224),0),
IF('TL05'!$B$229=O$3,SUMIF('TL05'!$C$238:$C$451,$C283,'TL05'!$J$238:$J$451),0),
IF('TL06'!$B$3=O$3,SUMIF('TL06'!$C$10:$C$224,$C283,'TL06'!$J$10:$J$224),0),
IF('TL06'!$B$229=O$3,SUMIF('TL06'!$C$238:$C$451,$C283,'TL06'!$J$238:$J$451),0),
IF('TL07'!$B$3=O$3,SUMIF('TL07'!$C$10:$C$224,$C283,'TL07'!$J$10:$J$224),0),
IF('TL07'!$B$229=O$3,SUMIF('TL07'!$C$238:$C$451,$C283,'TL07'!$J$238:$J$451),0),
IF('TL08'!$B$3=O$3,SUMIF('TL08'!$C$10:$C$224,$C283,'TL08'!$J$10:$J$224),0),
IF('TL08'!$B$229=O$3,SUMIF('TL08'!$C$238:$C$451,$C283,'TL08'!$J$238:$J$451),0),
IF('TL09'!$B$3=O$3,SUMIF('TL09'!$C$10:$C$224,$C283,'TL09'!$J$10:$J$224),0),
IF('TL09'!$B$229=O$3,SUMIF('TL09'!$C$238:$C$451,$C283,'TL09'!$J$238:$J$451),0),
IF('TL10'!$B$3=O$3,SUMIF('TL10'!$C$10:$C$224,$C283,'TL10'!$J$10:$J$224),0),
IF('TL10'!$B$229=O$3,SUMIF('TL10'!$C$238:$C$451,$C283,'TL10'!$J$238:$J$451),0),
IF('TL11'!$B$3=O$3,SUMIF('TL11'!$C$10:$C$224,$C283,'TL11'!$J$10:$J$224),0),
IF('TL11'!$B$229=O$3,SUMIF('TL11'!$C$238:$C$451,$C283,'TL11'!$J$238:$J$451),0),
IF('TL12'!$B$3=O$3,SUMIF('TL12'!$C$10:$C$224,$C283,'TL12'!$J$10:$J$224),0),
IF('TL12'!$B$229=O$3,SUMIF('TL12'!$C$238:$C$451,$C283,'TL12'!$J$238:$J$451),0),
IF('TL13'!$B$3=O$3,SUMIF('TL13'!$C$10:$C$224,$C283,'TL13'!$J$10:$J$224),0),
IF('TL13'!$B$229=O$3,SUMIF('TL13'!$C$238:$C$451,$C283,'TL13'!$J$238:$J$451),0),
IF('TL14'!$B$3=O$3,SUMIF('TL14'!$C$10:$C$224,$C283,'TL14'!$J$10:$J$224),0),
IF('TL14'!$B$229=O$3,SUMIF('TL14'!$C$238:$C$451,$C283,'TL14'!$J$238:$J$451),0),
IF('TL15'!$B$3=O$3,SUMIF('TL15'!$C$10:$C$224,$C283,'TL15'!$J$10:$J$224),0),
IF('TL15'!$B$229=O$3,SUMIF('TL15'!$C$238:$C$451,$C283,'TL15'!$J$238:$J$451),0),
IF('TL16'!$B$3=O$3,SUMIF('TL16'!$C$10:$C$224,$C283,'TL16'!$J$10:$J$224),0),
IF('TL16'!$B$229=O$3,SUMIF('TL16'!$C$238:$C$451,$C283,'TL16'!$J$238:$J$451),0),
IF('TL17'!$B$3=O$3,SUMIF('TL17'!$C$10:$C$224,$C283,'TL17'!$J$10:$J$224),0),
IF('TL17'!$B$229=O$3,SUMIF('TL17'!$C$238:$C$451,$C283,'TL17'!$J$238:$J$451),0),
IF('TL18'!$B$3=O$3,SUMIF('TL18'!$C$10:$C$224,$C283,'TL18'!$J$10:$J$224),0),
IF('TL18'!$B$229=O$3,SUMIF('TL18'!$C$238:$C$451,$C283,'TL18'!$J$238:$J$451),0),
IF('TL19'!$B$3=O$3,SUMIF('TL19'!$C$10:$C$224,$C283,'TL19'!$J$10:$J$224),0),
IF('TL19'!$B$229=O$3,SUMIF('TL19'!$C$238:$C$451,$C283,'TL19'!$J$238:$J$451),0)
),0)</f>
        <v/>
      </c>
      <c r="P283" s="9">
        <f>IFERROR(SUM(
IF('TL01'!$B$3=P$3,SUMIF('TL01'!$C$10:$C$224,$C283,'TL01'!$J$10:$J$224),0),
IF('TL01'!$B$229=P$3,SUMIF('TL01'!$C$238:$C$451,$C283,'TL01'!$J$238:$J$451),0),
IF('TL02'!$B$3=P$3,SUMIF('TL02'!$C$10:$C$224,$C283,'TL02'!$J$10:$J$224),0),
IF('TL02'!$B$229=P$3,SUMIF('TL02'!$C$238:$C$451,$C283,'TL02'!$J$238:$J$451),0),
IF('TL03'!$B$3=P$3,SUMIF('TL03'!$C$10:$C$224,$C283,'TL03'!$J$10:$J$224),0),
IF('TL03'!$B$229=P$3,SUMIF('TL03'!$C$238:$C$451,$C283,'TL03'!$J$238:$J$451),0),
IF('TL04'!$B$3=P$3,SUMIF('TL04'!$C$10:$C$224,$C283,'TL04'!$J$10:$J$224),0),
IF('TL04'!$B$229=P$3,SUMIF('TL04'!$C$238:$C$451,$C283,'TL04'!$J$238:$J$451),0),
IF('TL05'!$B$3=P$3,SUMIF('TL05'!$C$10:$C$224,$C283,'TL05'!$J$10:$J$224),0),
IF('TL05'!$B$229=P$3,SUMIF('TL05'!$C$238:$C$451,$C283,'TL05'!$J$238:$J$451),0),
IF('TL06'!$B$3=P$3,SUMIF('TL06'!$C$10:$C$224,$C283,'TL06'!$J$10:$J$224),0),
IF('TL06'!$B$229=P$3,SUMIF('TL06'!$C$238:$C$451,$C283,'TL06'!$J$238:$J$451),0),
IF('TL07'!$B$3=P$3,SUMIF('TL07'!$C$10:$C$224,$C283,'TL07'!$J$10:$J$224),0),
IF('TL07'!$B$229=P$3,SUMIF('TL07'!$C$238:$C$451,$C283,'TL07'!$J$238:$J$451),0),
IF('TL08'!$B$3=P$3,SUMIF('TL08'!$C$10:$C$224,$C283,'TL08'!$J$10:$J$224),0),
IF('TL08'!$B$229=P$3,SUMIF('TL08'!$C$238:$C$451,$C283,'TL08'!$J$238:$J$451),0),
IF('TL09'!$B$3=P$3,SUMIF('TL09'!$C$10:$C$224,$C283,'TL09'!$J$10:$J$224),0),
IF('TL09'!$B$229=P$3,SUMIF('TL09'!$C$238:$C$451,$C283,'TL09'!$J$238:$J$451),0),
IF('TL10'!$B$3=P$3,SUMIF('TL10'!$C$10:$C$224,$C283,'TL10'!$J$10:$J$224),0),
IF('TL10'!$B$229=P$3,SUMIF('TL10'!$C$238:$C$451,$C283,'TL10'!$J$238:$J$451),0),
IF('TL11'!$B$3=P$3,SUMIF('TL11'!$C$10:$C$224,$C283,'TL11'!$J$10:$J$224),0),
IF('TL11'!$B$229=P$3,SUMIF('TL11'!$C$238:$C$451,$C283,'TL11'!$J$238:$J$451),0),
IF('TL12'!$B$3=P$3,SUMIF('TL12'!$C$10:$C$224,$C283,'TL12'!$J$10:$J$224),0),
IF('TL12'!$B$229=P$3,SUMIF('TL12'!$C$238:$C$451,$C283,'TL12'!$J$238:$J$451),0),
IF('TL13'!$B$3=P$3,SUMIF('TL13'!$C$10:$C$224,$C283,'TL13'!$J$10:$J$224),0),
IF('TL13'!$B$229=P$3,SUMIF('TL13'!$C$238:$C$451,$C283,'TL13'!$J$238:$J$451),0),
IF('TL14'!$B$3=P$3,SUMIF('TL14'!$C$10:$C$224,$C283,'TL14'!$J$10:$J$224),0),
IF('TL14'!$B$229=P$3,SUMIF('TL14'!$C$238:$C$451,$C283,'TL14'!$J$238:$J$451),0),
IF('TL15'!$B$3=P$3,SUMIF('TL15'!$C$10:$C$224,$C283,'TL15'!$J$10:$J$224),0),
IF('TL15'!$B$229=P$3,SUMIF('TL15'!$C$238:$C$451,$C283,'TL15'!$J$238:$J$451),0),
IF('TL16'!$B$3=P$3,SUMIF('TL16'!$C$10:$C$224,$C283,'TL16'!$J$10:$J$224),0),
IF('TL16'!$B$229=P$3,SUMIF('TL16'!$C$238:$C$451,$C283,'TL16'!$J$238:$J$451),0),
IF('TL17'!$B$3=P$3,SUMIF('TL17'!$C$10:$C$224,$C283,'TL17'!$J$10:$J$224),0),
IF('TL17'!$B$229=P$3,SUMIF('TL17'!$C$238:$C$451,$C283,'TL17'!$J$238:$J$451),0),
IF('TL18'!$B$3=P$3,SUMIF('TL18'!$C$10:$C$224,$C283,'TL18'!$J$10:$J$224),0),
IF('TL18'!$B$229=P$3,SUMIF('TL18'!$C$238:$C$451,$C283,'TL18'!$J$238:$J$451),0),
IF('TL19'!$B$3=P$3,SUMIF('TL19'!$C$10:$C$224,$C283,'TL19'!$J$10:$J$224),0),
IF('TL19'!$B$229=P$3,SUMIF('TL19'!$C$238:$C$451,$C283,'TL19'!$J$238:$J$451),0)
),0)</f>
        <v/>
      </c>
      <c r="Q283" s="9">
        <f>IFERROR(SUM(
IF('TL01'!$B$3=Q$3,SUMIF('TL01'!$C$10:$C$224,$C283,'TL01'!$J$10:$J$224),0),
IF('TL01'!$B$229=Q$3,SUMIF('TL01'!$C$238:$C$451,$C283,'TL01'!$J$238:$J$451),0),
IF('TL02'!$B$3=Q$3,SUMIF('TL02'!$C$10:$C$224,$C283,'TL02'!$J$10:$J$224),0),
IF('TL02'!$B$229=Q$3,SUMIF('TL02'!$C$238:$C$451,$C283,'TL02'!$J$238:$J$451),0),
IF('TL03'!$B$3=Q$3,SUMIF('TL03'!$C$10:$C$224,$C283,'TL03'!$J$10:$J$224),0),
IF('TL03'!$B$229=Q$3,SUMIF('TL03'!$C$238:$C$451,$C283,'TL03'!$J$238:$J$451),0),
IF('TL04'!$B$3=Q$3,SUMIF('TL04'!$C$10:$C$224,$C283,'TL04'!$J$10:$J$224),0),
IF('TL04'!$B$229=Q$3,SUMIF('TL04'!$C$238:$C$451,$C283,'TL04'!$J$238:$J$451),0),
IF('TL05'!$B$3=Q$3,SUMIF('TL05'!$C$10:$C$224,$C283,'TL05'!$J$10:$J$224),0),
IF('TL05'!$B$229=Q$3,SUMIF('TL05'!$C$238:$C$451,$C283,'TL05'!$J$238:$J$451),0),
IF('TL06'!$B$3=Q$3,SUMIF('TL06'!$C$10:$C$224,$C283,'TL06'!$J$10:$J$224),0),
IF('TL06'!$B$229=Q$3,SUMIF('TL06'!$C$238:$C$451,$C283,'TL06'!$J$238:$J$451),0),
IF('TL07'!$B$3=Q$3,SUMIF('TL07'!$C$10:$C$224,$C283,'TL07'!$J$10:$J$224),0),
IF('TL07'!$B$229=Q$3,SUMIF('TL07'!$C$238:$C$451,$C283,'TL07'!$J$238:$J$451),0),
IF('TL08'!$B$3=Q$3,SUMIF('TL08'!$C$10:$C$224,$C283,'TL08'!$J$10:$J$224),0),
IF('TL08'!$B$229=Q$3,SUMIF('TL08'!$C$238:$C$451,$C283,'TL08'!$J$238:$J$451),0),
IF('TL09'!$B$3=Q$3,SUMIF('TL09'!$C$10:$C$224,$C283,'TL09'!$J$10:$J$224),0),
IF('TL09'!$B$229=Q$3,SUMIF('TL09'!$C$238:$C$451,$C283,'TL09'!$J$238:$J$451),0),
IF('TL10'!$B$3=Q$3,SUMIF('TL10'!$C$10:$C$224,$C283,'TL10'!$J$10:$J$224),0),
IF('TL10'!$B$229=Q$3,SUMIF('TL10'!$C$238:$C$451,$C283,'TL10'!$J$238:$J$451),0),
IF('TL11'!$B$3=Q$3,SUMIF('TL11'!$C$10:$C$224,$C283,'TL11'!$J$10:$J$224),0),
IF('TL11'!$B$229=Q$3,SUMIF('TL11'!$C$238:$C$451,$C283,'TL11'!$J$238:$J$451),0),
IF('TL12'!$B$3=Q$3,SUMIF('TL12'!$C$10:$C$224,$C283,'TL12'!$J$10:$J$224),0),
IF('TL12'!$B$229=Q$3,SUMIF('TL12'!$C$238:$C$451,$C283,'TL12'!$J$238:$J$451),0),
IF('TL13'!$B$3=Q$3,SUMIF('TL13'!$C$10:$C$224,$C283,'TL13'!$J$10:$J$224),0),
IF('TL13'!$B$229=Q$3,SUMIF('TL13'!$C$238:$C$451,$C283,'TL13'!$J$238:$J$451),0),
IF('TL14'!$B$3=Q$3,SUMIF('TL14'!$C$10:$C$224,$C283,'TL14'!$J$10:$J$224),0),
IF('TL14'!$B$229=Q$3,SUMIF('TL14'!$C$238:$C$451,$C283,'TL14'!$J$238:$J$451),0),
IF('TL15'!$B$3=Q$3,SUMIF('TL15'!$C$10:$C$224,$C283,'TL15'!$J$10:$J$224),0),
IF('TL15'!$B$229=Q$3,SUMIF('TL15'!$C$238:$C$451,$C283,'TL15'!$J$238:$J$451),0),
IF('TL16'!$B$3=Q$3,SUMIF('TL16'!$C$10:$C$224,$C283,'TL16'!$J$10:$J$224),0),
IF('TL16'!$B$229=Q$3,SUMIF('TL16'!$C$238:$C$451,$C283,'TL16'!$J$238:$J$451),0),
IF('TL17'!$B$3=Q$3,SUMIF('TL17'!$C$10:$C$224,$C283,'TL17'!$J$10:$J$224),0),
IF('TL17'!$B$229=Q$3,SUMIF('TL17'!$C$238:$C$451,$C283,'TL17'!$J$238:$J$451),0),
IF('TL18'!$B$3=Q$3,SUMIF('TL18'!$C$10:$C$224,$C283,'TL18'!$J$10:$J$224),0),
IF('TL18'!$B$229=Q$3,SUMIF('TL18'!$C$238:$C$451,$C283,'TL18'!$J$238:$J$451),0),
IF('TL19'!$B$3=Q$3,SUMIF('TL19'!$C$10:$C$224,$C283,'TL19'!$J$10:$J$224),0),
IF('TL19'!$B$229=Q$3,SUMIF('TL19'!$C$238:$C$451,$C283,'TL19'!$J$238:$J$451),0)
),0)</f>
        <v/>
      </c>
      <c r="R283" s="9">
        <f>IFERROR(
SUM(
SUMIF('TL01'!C:C,C283,'TL01'!J:J),
SUMIF('TL02'!C:C,C283,'TL02'!J:J),
SUMIF('TL03'!C:C,C283,'TL03'!J:J),
SUMIF('TL04'!C:C,C283,'TL04'!J:J),
SUMIF('TL05'!C:C,C283,'TL05'!J:J),
SUMIF('TL06'!C:C,C283,'TL06'!J:J),
SUMIF('TL07'!C:C,C283,'TL07'!J:J),
SUMIF('TL08'!C:C,C283,'TL08'!J:J),
SUMIF('TL09'!C:C,C283,'TL09'!J:J),
SUMIF('TL10'!C:C,C283,'TL10'!J:J),
SUMIF('TL11'!C:C,C283,'TL11'!J:J),
SUMIF('TL12'!C:C,C283,'TL12'!J:J),
SUMIF('TL13'!C:C,C283,'TL13'!J:J),
SUMIF('TL14'!C:C,C283,'TL14'!J:J),
SUMIF('TL15'!C:C,C283,'TL15'!J:J),
SUMIF('TL16'!C:C,C283,'TL16'!J:J),
SUMIF('TL17'!C:C,C283,'TL17'!J:J),
SUMIF('TL18'!C:C,C283,'TL18'!J:J),SUMIF('TL19'!C:C,C283,'TL19'!J:J))
,0)</f>
        <v/>
      </c>
      <c r="S283" s="17">
        <f>IFERROR(__xludf.DUMMYFUNCTION("IFERROR(VLOOKUP(C283,
IMPORTRANGE(""1wULbzX32WdYsx-lj2U3uUNBBe2INVIRDtcK0d-Dvl90"",
""26-27!C:G""),
5,
FALSE),
"""")"),2.14)</f>
        <v/>
      </c>
      <c r="T283" s="9" t="n"/>
      <c r="U283" s="92">
        <f>MAX(0,R283-T283)</f>
        <v/>
      </c>
      <c r="V283" s="93">
        <f>U283*S283</f>
        <v/>
      </c>
    </row>
    <row r="284" hidden="1" ht="15.75" customHeight="1" s="297">
      <c r="A284" s="4" t="n"/>
      <c r="B284" s="125" t="inlineStr">
        <is>
          <t>NUTRIÇÃO</t>
        </is>
      </c>
      <c r="C284" s="4" t="inlineStr">
        <is>
          <t>Map Purificado</t>
        </is>
      </c>
      <c r="D284" s="20" t="n"/>
      <c r="E284" s="9" t="n"/>
      <c r="F284" s="4" t="inlineStr">
        <is>
          <t>KG</t>
        </is>
      </c>
      <c r="G284" s="9" t="n"/>
      <c r="H284" s="9" t="n">
        <v>1</v>
      </c>
      <c r="I284" s="1" t="n"/>
      <c r="J284" s="9">
        <f>IFERROR(SUM(
IF('TL01'!$B$3=J$3,SUMIF('TL01'!$C$10:$C$224,$C284,'TL01'!$J$10:$J$224),0),
IF('TL01'!$B$229=J$3,SUMIF('TL01'!$C$238:$C$451,$C284,'TL01'!$J$238:$J$451),0),
IF('TL02'!$B$3=J$3,SUMIF('TL02'!$C$10:$C$224,$C284,'TL02'!$J$10:$J$224),0),
IF('TL02'!$B$229=J$3,SUMIF('TL02'!$C$238:$C$451,$C284,'TL02'!$J$238:$J$451),0),
IF('TL03'!$B$3=J$3,SUMIF('TL03'!$C$10:$C$224,$C284,'TL03'!$J$10:$J$224),0),
IF('TL03'!$B$229=J$3,SUMIF('TL03'!$C$238:$C$451,$C284,'TL03'!$J$238:$J$451),0),
IF('TL04'!$B$3=J$3,SUMIF('TL04'!$C$10:$C$224,$C284,'TL04'!$J$10:$J$224),0),
IF('TL04'!$B$229=J$3,SUMIF('TL04'!$C$238:$C$451,$C284,'TL04'!$J$238:$J$451),0),
IF('TL05'!$B$3=J$3,SUMIF('TL05'!$C$10:$C$224,$C284,'TL05'!$J$10:$J$224),0),
IF('TL05'!$B$229=J$3,SUMIF('TL05'!$C$238:$C$451,$C284,'TL05'!$J$238:$J$451),0),
IF('TL06'!$B$3=J$3,SUMIF('TL06'!$C$10:$C$224,$C284,'TL06'!$J$10:$J$224),0),
IF('TL06'!$B$229=J$3,SUMIF('TL06'!$C$238:$C$451,$C284,'TL06'!$J$238:$J$451),0),
IF('TL07'!$B$3=J$3,SUMIF('TL07'!$C$10:$C$224,$C284,'TL07'!$J$10:$J$224),0),
IF('TL07'!$B$229=J$3,SUMIF('TL07'!$C$238:$C$451,$C284,'TL07'!$J$238:$J$451),0),
IF('TL08'!$B$3=J$3,SUMIF('TL08'!$C$10:$C$224,$C284,'TL08'!$J$10:$J$224),0),
IF('TL08'!$B$229=J$3,SUMIF('TL08'!$C$238:$C$451,$C284,'TL08'!$J$238:$J$451),0),
IF('TL09'!$B$3=J$3,SUMIF('TL09'!$C$10:$C$224,$C284,'TL09'!$J$10:$J$224),0),
IF('TL09'!$B$229=J$3,SUMIF('TL09'!$C$238:$C$451,$C284,'TL09'!$J$238:$J$451),0),
IF('TL10'!$B$3=J$3,SUMIF('TL10'!$C$10:$C$224,$C284,'TL10'!$J$10:$J$224),0),
IF('TL10'!$B$229=J$3,SUMIF('TL10'!$C$238:$C$451,$C284,'TL10'!$J$238:$J$451),0),
IF('TL11'!$B$3=J$3,SUMIF('TL11'!$C$10:$C$224,$C284,'TL11'!$J$10:$J$224),0),
IF('TL11'!$B$229=J$3,SUMIF('TL11'!$C$238:$C$451,$C284,'TL11'!$J$238:$J$451),0),
IF('TL12'!$B$3=J$3,SUMIF('TL12'!$C$10:$C$224,$C284,'TL12'!$J$10:$J$224),0),
IF('TL12'!$B$229=J$3,SUMIF('TL12'!$C$238:$C$451,$C284,'TL12'!$J$238:$J$451),0),
IF('TL13'!$B$3=J$3,SUMIF('TL13'!$C$10:$C$224,$C284,'TL13'!$J$10:$J$224),0),
IF('TL13'!$B$229=J$3,SUMIF('TL13'!$C$238:$C$451,$C284,'TL13'!$J$238:$J$451),0),
IF('TL14'!$B$3=J$3,SUMIF('TL14'!$C$10:$C$224,$C284,'TL14'!$J$10:$J$224),0),
IF('TL14'!$B$229=J$3,SUMIF('TL14'!$C$238:$C$451,$C284,'TL14'!$J$238:$J$451),0),
IF('TL15'!$B$3=J$3,SUMIF('TL15'!$C$10:$C$224,$C284,'TL15'!$J$10:$J$224),0),
IF('TL15'!$B$229=J$3,SUMIF('TL15'!$C$238:$C$451,$C284,'TL15'!$J$238:$J$451),0),
IF('TL16'!$B$3=J$3,SUMIF('TL16'!$C$10:$C$224,$C284,'TL16'!$J$10:$J$224),0),
IF('TL16'!$B$229=J$3,SUMIF('TL16'!$C$238:$C$451,$C284,'TL16'!$J$238:$J$451),0),
IF('TL17'!$B$3=J$3,SUMIF('TL17'!$C$10:$C$224,$C284,'TL17'!$J$10:$J$224),0),
IF('TL17'!$B$229=J$3,SUMIF('TL17'!$C$238:$C$451,$C284,'TL17'!$J$238:$J$451),0),
IF('TL18'!$B$3=J$3,SUMIF('TL18'!$C$10:$C$224,$C284,'TL18'!$J$10:$J$224),0),
IF('TL18'!$B$229=J$3,SUMIF('TL18'!$C$238:$C$451,$C284,'TL18'!$J$238:$J$451),0),
IF('TL19'!$B$3=J$3,SUMIF('TL19'!$C$10:$C$224,$C284,'TL19'!$J$10:$J$224),0),
IF('TL19'!$B$229=J$3,SUMIF('TL19'!$C$238:$C$451,$C284,'TL19'!$J$238:$J$451),0)
),0)</f>
        <v/>
      </c>
      <c r="K284" s="9">
        <f>IFERROR(SUM(
IF('TL01'!$B$3=K$3,SUMIF('TL01'!$C$10:$C$224,$C284,'TL01'!$J$10:$J$224),0),
IF('TL01'!$B$229=K$3,SUMIF('TL01'!$C$238:$C$451,$C284,'TL01'!$J$238:$J$451),0),
IF('TL02'!$B$3=K$3,SUMIF('TL02'!$C$10:$C$224,$C284,'TL02'!$J$10:$J$224),0),
IF('TL02'!$B$229=K$3,SUMIF('TL02'!$C$238:$C$451,$C284,'TL02'!$J$238:$J$451),0),
IF('TL03'!$B$3=K$3,SUMIF('TL03'!$C$10:$C$224,$C284,'TL03'!$J$10:$J$224),0),
IF('TL03'!$B$229=K$3,SUMIF('TL03'!$C$238:$C$451,$C284,'TL03'!$J$238:$J$451),0),
IF('TL04'!$B$3=K$3,SUMIF('TL04'!$C$10:$C$224,$C284,'TL04'!$J$10:$J$224),0),
IF('TL04'!$B$229=K$3,SUMIF('TL04'!$C$238:$C$451,$C284,'TL04'!$J$238:$J$451),0),
IF('TL05'!$B$3=K$3,SUMIF('TL05'!$C$10:$C$224,$C284,'TL05'!$J$10:$J$224),0),
IF('TL05'!$B$229=K$3,SUMIF('TL05'!$C$238:$C$451,$C284,'TL05'!$J$238:$J$451),0),
IF('TL06'!$B$3=K$3,SUMIF('TL06'!$C$10:$C$224,$C284,'TL06'!$J$10:$J$224),0),
IF('TL06'!$B$229=K$3,SUMIF('TL06'!$C$238:$C$451,$C284,'TL06'!$J$238:$J$451),0),
IF('TL07'!$B$3=K$3,SUMIF('TL07'!$C$10:$C$224,$C284,'TL07'!$J$10:$J$224),0),
IF('TL07'!$B$229=K$3,SUMIF('TL07'!$C$238:$C$451,$C284,'TL07'!$J$238:$J$451),0),
IF('TL08'!$B$3=K$3,SUMIF('TL08'!$C$10:$C$224,$C284,'TL08'!$J$10:$J$224),0),
IF('TL08'!$B$229=K$3,SUMIF('TL08'!$C$238:$C$451,$C284,'TL08'!$J$238:$J$451),0),
IF('TL09'!$B$3=K$3,SUMIF('TL09'!$C$10:$C$224,$C284,'TL09'!$J$10:$J$224),0),
IF('TL09'!$B$229=K$3,SUMIF('TL09'!$C$238:$C$451,$C284,'TL09'!$J$238:$J$451),0),
IF('TL10'!$B$3=K$3,SUMIF('TL10'!$C$10:$C$224,$C284,'TL10'!$J$10:$J$224),0),
IF('TL10'!$B$229=K$3,SUMIF('TL10'!$C$238:$C$451,$C284,'TL10'!$J$238:$J$451),0),
IF('TL11'!$B$3=K$3,SUMIF('TL11'!$C$10:$C$224,$C284,'TL11'!$J$10:$J$224),0),
IF('TL11'!$B$229=K$3,SUMIF('TL11'!$C$238:$C$451,$C284,'TL11'!$J$238:$J$451),0),
IF('TL12'!$B$3=K$3,SUMIF('TL12'!$C$10:$C$224,$C284,'TL12'!$J$10:$J$224),0),
IF('TL12'!$B$229=K$3,SUMIF('TL12'!$C$238:$C$451,$C284,'TL12'!$J$238:$J$451),0),
IF('TL13'!$B$3=K$3,SUMIF('TL13'!$C$10:$C$224,$C284,'TL13'!$J$10:$J$224),0),
IF('TL13'!$B$229=K$3,SUMIF('TL13'!$C$238:$C$451,$C284,'TL13'!$J$238:$J$451),0),
IF('TL14'!$B$3=K$3,SUMIF('TL14'!$C$10:$C$224,$C284,'TL14'!$J$10:$J$224),0),
IF('TL14'!$B$229=K$3,SUMIF('TL14'!$C$238:$C$451,$C284,'TL14'!$J$238:$J$451),0),
IF('TL15'!$B$3=K$3,SUMIF('TL15'!$C$10:$C$224,$C284,'TL15'!$J$10:$J$224),0),
IF('TL15'!$B$229=K$3,SUMIF('TL15'!$C$238:$C$451,$C284,'TL15'!$J$238:$J$451),0),
IF('TL16'!$B$3=K$3,SUMIF('TL16'!$C$10:$C$224,$C284,'TL16'!$J$10:$J$224),0),
IF('TL16'!$B$229=K$3,SUMIF('TL16'!$C$238:$C$451,$C284,'TL16'!$J$238:$J$451),0),
IF('TL17'!$B$3=K$3,SUMIF('TL17'!$C$10:$C$224,$C284,'TL17'!$J$10:$J$224),0),
IF('TL17'!$B$229=K$3,SUMIF('TL17'!$C$238:$C$451,$C284,'TL17'!$J$238:$J$451),0),
IF('TL18'!$B$3=K$3,SUMIF('TL18'!$C$10:$C$224,$C284,'TL18'!$J$10:$J$224),0),
IF('TL18'!$B$229=K$3,SUMIF('TL18'!$C$238:$C$451,$C284,'TL18'!$J$238:$J$451),0),
IF('TL19'!$B$3=K$3,SUMIF('TL19'!$C$10:$C$224,$C284,'TL19'!$J$10:$J$224),0),
IF('TL19'!$B$229=K$3,SUMIF('TL19'!$C$238:$C$451,$C284,'TL19'!$J$238:$J$451),0)
),0)</f>
        <v/>
      </c>
      <c r="L284" s="9">
        <f>IFERROR(SUM(
IF('TL01'!$B$3=L$3,SUMIF('TL01'!$C$10:$C$224,$C284,'TL01'!$J$10:$J$224),0),
IF('TL01'!$B$229=L$3,SUMIF('TL01'!$C$238:$C$451,$C284,'TL01'!$J$238:$J$451),0),
IF('TL02'!$B$3=L$3,SUMIF('TL02'!$C$10:$C$224,$C284,'TL02'!$J$10:$J$224),0),
IF('TL02'!$B$229=L$3,SUMIF('TL02'!$C$238:$C$451,$C284,'TL02'!$J$238:$J$451),0),
IF('TL03'!$B$3=L$3,SUMIF('TL03'!$C$10:$C$224,$C284,'TL03'!$J$10:$J$224),0),
IF('TL03'!$B$229=L$3,SUMIF('TL03'!$C$238:$C$451,$C284,'TL03'!$J$238:$J$451),0),
IF('TL04'!$B$3=L$3,SUMIF('TL04'!$C$10:$C$224,$C284,'TL04'!$J$10:$J$224),0),
IF('TL04'!$B$229=L$3,SUMIF('TL04'!$C$238:$C$451,$C284,'TL04'!$J$238:$J$451),0),
IF('TL05'!$B$3=L$3,SUMIF('TL05'!$C$10:$C$224,$C284,'TL05'!$J$10:$J$224),0),
IF('TL05'!$B$229=L$3,SUMIF('TL05'!$C$238:$C$451,$C284,'TL05'!$J$238:$J$451),0),
IF('TL06'!$B$3=L$3,SUMIF('TL06'!$C$10:$C$224,$C284,'TL06'!$J$10:$J$224),0),
IF('TL06'!$B$229=L$3,SUMIF('TL06'!$C$238:$C$451,$C284,'TL06'!$J$238:$J$451),0),
IF('TL07'!$B$3=L$3,SUMIF('TL07'!$C$10:$C$224,$C284,'TL07'!$J$10:$J$224),0),
IF('TL07'!$B$229=L$3,SUMIF('TL07'!$C$238:$C$451,$C284,'TL07'!$J$238:$J$451),0),
IF('TL08'!$B$3=L$3,SUMIF('TL08'!$C$10:$C$224,$C284,'TL08'!$J$10:$J$224),0),
IF('TL08'!$B$229=L$3,SUMIF('TL08'!$C$238:$C$451,$C284,'TL08'!$J$238:$J$451),0),
IF('TL09'!$B$3=L$3,SUMIF('TL09'!$C$10:$C$224,$C284,'TL09'!$J$10:$J$224),0),
IF('TL09'!$B$229=L$3,SUMIF('TL09'!$C$238:$C$451,$C284,'TL09'!$J$238:$J$451),0),
IF('TL10'!$B$3=L$3,SUMIF('TL10'!$C$10:$C$224,$C284,'TL10'!$J$10:$J$224),0),
IF('TL10'!$B$229=L$3,SUMIF('TL10'!$C$238:$C$451,$C284,'TL10'!$J$238:$J$451),0),
IF('TL11'!$B$3=L$3,SUMIF('TL11'!$C$10:$C$224,$C284,'TL11'!$J$10:$J$224),0),
IF('TL11'!$B$229=L$3,SUMIF('TL11'!$C$238:$C$451,$C284,'TL11'!$J$238:$J$451),0),
IF('TL12'!$B$3=L$3,SUMIF('TL12'!$C$10:$C$224,$C284,'TL12'!$J$10:$J$224),0),
IF('TL12'!$B$229=L$3,SUMIF('TL12'!$C$238:$C$451,$C284,'TL12'!$J$238:$J$451),0),
IF('TL13'!$B$3=L$3,SUMIF('TL13'!$C$10:$C$224,$C284,'TL13'!$J$10:$J$224),0),
IF('TL13'!$B$229=L$3,SUMIF('TL13'!$C$238:$C$451,$C284,'TL13'!$J$238:$J$451),0),
IF('TL14'!$B$3=L$3,SUMIF('TL14'!$C$10:$C$224,$C284,'TL14'!$J$10:$J$224),0),
IF('TL14'!$B$229=L$3,SUMIF('TL14'!$C$238:$C$451,$C284,'TL14'!$J$238:$J$451),0),
IF('TL15'!$B$3=L$3,SUMIF('TL15'!$C$10:$C$224,$C284,'TL15'!$J$10:$J$224),0),
IF('TL15'!$B$229=L$3,SUMIF('TL15'!$C$238:$C$451,$C284,'TL15'!$J$238:$J$451),0),
IF('TL16'!$B$3=L$3,SUMIF('TL16'!$C$10:$C$224,$C284,'TL16'!$J$10:$J$224),0),
IF('TL16'!$B$229=L$3,SUMIF('TL16'!$C$238:$C$451,$C284,'TL16'!$J$238:$J$451),0),
IF('TL17'!$B$3=L$3,SUMIF('TL17'!$C$10:$C$224,$C284,'TL17'!$J$10:$J$224),0),
IF('TL17'!$B$229=L$3,SUMIF('TL17'!$C$238:$C$451,$C284,'TL17'!$J$238:$J$451),0),
IF('TL18'!$B$3=L$3,SUMIF('TL18'!$C$10:$C$224,$C284,'TL18'!$J$10:$J$224),0),
IF('TL18'!$B$229=L$3,SUMIF('TL18'!$C$238:$C$451,$C284,'TL18'!$J$238:$J$451),0),
IF('TL19'!$B$3=L$3,SUMIF('TL19'!$C$10:$C$224,$C284,'TL19'!$J$10:$J$224),0),
IF('TL19'!$B$229=L$3,SUMIF('TL19'!$C$238:$C$451,$C284,'TL19'!$J$238:$J$451),0)
),0)</f>
        <v/>
      </c>
      <c r="M284" s="9">
        <f>IFERROR(SUM(
IF('TL01'!$B$3=M$3,SUMIF('TL01'!$C$10:$C$224,$C284,'TL01'!$J$10:$J$224),0),
IF('TL01'!$B$229=M$3,SUMIF('TL01'!$C$238:$C$451,$C284,'TL01'!$J$238:$J$451),0),
IF('TL02'!$B$3=M$3,SUMIF('TL02'!$C$10:$C$224,$C284,'TL02'!$J$10:$J$224),0),
IF('TL02'!$B$229=M$3,SUMIF('TL02'!$C$238:$C$451,$C284,'TL02'!$J$238:$J$451),0),
IF('TL03'!$B$3=M$3,SUMIF('TL03'!$C$10:$C$224,$C284,'TL03'!$J$10:$J$224),0),
IF('TL03'!$B$229=M$3,SUMIF('TL03'!$C$238:$C$451,$C284,'TL03'!$J$238:$J$451),0),
IF('TL04'!$B$3=M$3,SUMIF('TL04'!$C$10:$C$224,$C284,'TL04'!$J$10:$J$224),0),
IF('TL04'!$B$229=M$3,SUMIF('TL04'!$C$238:$C$451,$C284,'TL04'!$J$238:$J$451),0),
IF('TL05'!$B$3=M$3,SUMIF('TL05'!$C$10:$C$224,$C284,'TL05'!$J$10:$J$224),0),
IF('TL05'!$B$229=M$3,SUMIF('TL05'!$C$238:$C$451,$C284,'TL05'!$J$238:$J$451),0),
IF('TL06'!$B$3=M$3,SUMIF('TL06'!$C$10:$C$224,$C284,'TL06'!$J$10:$J$224),0),
IF('TL06'!$B$229=M$3,SUMIF('TL06'!$C$238:$C$451,$C284,'TL06'!$J$238:$J$451),0),
IF('TL07'!$B$3=M$3,SUMIF('TL07'!$C$10:$C$224,$C284,'TL07'!$J$10:$J$224),0),
IF('TL07'!$B$229=M$3,SUMIF('TL07'!$C$238:$C$451,$C284,'TL07'!$J$238:$J$451),0),
IF('TL08'!$B$3=M$3,SUMIF('TL08'!$C$10:$C$224,$C284,'TL08'!$J$10:$J$224),0),
IF('TL08'!$B$229=M$3,SUMIF('TL08'!$C$238:$C$451,$C284,'TL08'!$J$238:$J$451),0),
IF('TL09'!$B$3=M$3,SUMIF('TL09'!$C$10:$C$224,$C284,'TL09'!$J$10:$J$224),0),
IF('TL09'!$B$229=M$3,SUMIF('TL09'!$C$238:$C$451,$C284,'TL09'!$J$238:$J$451),0),
IF('TL10'!$B$3=M$3,SUMIF('TL10'!$C$10:$C$224,$C284,'TL10'!$J$10:$J$224),0),
IF('TL10'!$B$229=M$3,SUMIF('TL10'!$C$238:$C$451,$C284,'TL10'!$J$238:$J$451),0),
IF('TL11'!$B$3=M$3,SUMIF('TL11'!$C$10:$C$224,$C284,'TL11'!$J$10:$J$224),0),
IF('TL11'!$B$229=M$3,SUMIF('TL11'!$C$238:$C$451,$C284,'TL11'!$J$238:$J$451),0),
IF('TL12'!$B$3=M$3,SUMIF('TL12'!$C$10:$C$224,$C284,'TL12'!$J$10:$J$224),0),
IF('TL12'!$B$229=M$3,SUMIF('TL12'!$C$238:$C$451,$C284,'TL12'!$J$238:$J$451),0),
IF('TL13'!$B$3=M$3,SUMIF('TL13'!$C$10:$C$224,$C284,'TL13'!$J$10:$J$224),0),
IF('TL13'!$B$229=M$3,SUMIF('TL13'!$C$238:$C$451,$C284,'TL13'!$J$238:$J$451),0),
IF('TL14'!$B$3=M$3,SUMIF('TL14'!$C$10:$C$224,$C284,'TL14'!$J$10:$J$224),0),
IF('TL14'!$B$229=M$3,SUMIF('TL14'!$C$238:$C$451,$C284,'TL14'!$J$238:$J$451),0),
IF('TL15'!$B$3=M$3,SUMIF('TL15'!$C$10:$C$224,$C284,'TL15'!$J$10:$J$224),0),
IF('TL15'!$B$229=M$3,SUMIF('TL15'!$C$238:$C$451,$C284,'TL15'!$J$238:$J$451),0),
IF('TL16'!$B$3=M$3,SUMIF('TL16'!$C$10:$C$224,$C284,'TL16'!$J$10:$J$224),0),
IF('TL16'!$B$229=M$3,SUMIF('TL16'!$C$238:$C$451,$C284,'TL16'!$J$238:$J$451),0),
IF('TL17'!$B$3=M$3,SUMIF('TL17'!$C$10:$C$224,$C284,'TL17'!$J$10:$J$224),0),
IF('TL17'!$B$229=M$3,SUMIF('TL17'!$C$238:$C$451,$C284,'TL17'!$J$238:$J$451),0),
IF('TL18'!$B$3=M$3,SUMIF('TL18'!$C$10:$C$224,$C284,'TL18'!$J$10:$J$224),0),
IF('TL18'!$B$229=M$3,SUMIF('TL18'!$C$238:$C$451,$C284,'TL18'!$J$238:$J$451),0),
IF('TL19'!$B$3=M$3,SUMIF('TL19'!$C$10:$C$224,$C284,'TL19'!$J$10:$J$224),0),
IF('TL19'!$B$229=M$3,SUMIF('TL19'!$C$238:$C$451,$C284,'TL19'!$J$238:$J$451),0)
),0)</f>
        <v/>
      </c>
      <c r="N284" s="9">
        <f>IFERROR(SUM(
IF('TL01'!$B$3=N$3,SUMIF('TL01'!$C$10:$C$224,$C284,'TL01'!$J$10:$J$224),0),
IF('TL01'!$B$229=N$3,SUMIF('TL01'!$C$238:$C$451,$C284,'TL01'!$J$238:$J$451),0),
IF('TL02'!$B$3=N$3,SUMIF('TL02'!$C$10:$C$224,$C284,'TL02'!$J$10:$J$224),0),
IF('TL02'!$B$229=N$3,SUMIF('TL02'!$C$238:$C$451,$C284,'TL02'!$J$238:$J$451),0),
IF('TL03'!$B$3=N$3,SUMIF('TL03'!$C$10:$C$224,$C284,'TL03'!$J$10:$J$224),0),
IF('TL03'!$B$229=N$3,SUMIF('TL03'!$C$238:$C$451,$C284,'TL03'!$J$238:$J$451),0),
IF('TL04'!$B$3=N$3,SUMIF('TL04'!$C$10:$C$224,$C284,'TL04'!$J$10:$J$224),0),
IF('TL04'!$B$229=N$3,SUMIF('TL04'!$C$238:$C$451,$C284,'TL04'!$J$238:$J$451),0),
IF('TL05'!$B$3=N$3,SUMIF('TL05'!$C$10:$C$224,$C284,'TL05'!$J$10:$J$224),0),
IF('TL05'!$B$229=N$3,SUMIF('TL05'!$C$238:$C$451,$C284,'TL05'!$J$238:$J$451),0),
IF('TL06'!$B$3=N$3,SUMIF('TL06'!$C$10:$C$224,$C284,'TL06'!$J$10:$J$224),0),
IF('TL06'!$B$229=N$3,SUMIF('TL06'!$C$238:$C$451,$C284,'TL06'!$J$238:$J$451),0),
IF('TL07'!$B$3=N$3,SUMIF('TL07'!$C$10:$C$224,$C284,'TL07'!$J$10:$J$224),0),
IF('TL07'!$B$229=N$3,SUMIF('TL07'!$C$238:$C$451,$C284,'TL07'!$J$238:$J$451),0),
IF('TL08'!$B$3=N$3,SUMIF('TL08'!$C$10:$C$224,$C284,'TL08'!$J$10:$J$224),0),
IF('TL08'!$B$229=N$3,SUMIF('TL08'!$C$238:$C$451,$C284,'TL08'!$J$238:$J$451),0),
IF('TL09'!$B$3=N$3,SUMIF('TL09'!$C$10:$C$224,$C284,'TL09'!$J$10:$J$224),0),
IF('TL09'!$B$229=N$3,SUMIF('TL09'!$C$238:$C$451,$C284,'TL09'!$J$238:$J$451),0),
IF('TL10'!$B$3=N$3,SUMIF('TL10'!$C$10:$C$224,$C284,'TL10'!$J$10:$J$224),0),
IF('TL10'!$B$229=N$3,SUMIF('TL10'!$C$238:$C$451,$C284,'TL10'!$J$238:$J$451),0),
IF('TL11'!$B$3=N$3,SUMIF('TL11'!$C$10:$C$224,$C284,'TL11'!$J$10:$J$224),0),
IF('TL11'!$B$229=N$3,SUMIF('TL11'!$C$238:$C$451,$C284,'TL11'!$J$238:$J$451),0),
IF('TL12'!$B$3=N$3,SUMIF('TL12'!$C$10:$C$224,$C284,'TL12'!$J$10:$J$224),0),
IF('TL12'!$B$229=N$3,SUMIF('TL12'!$C$238:$C$451,$C284,'TL12'!$J$238:$J$451),0),
IF('TL13'!$B$3=N$3,SUMIF('TL13'!$C$10:$C$224,$C284,'TL13'!$J$10:$J$224),0),
IF('TL13'!$B$229=N$3,SUMIF('TL13'!$C$238:$C$451,$C284,'TL13'!$J$238:$J$451),0),
IF('TL14'!$B$3=N$3,SUMIF('TL14'!$C$10:$C$224,$C284,'TL14'!$J$10:$J$224),0),
IF('TL14'!$B$229=N$3,SUMIF('TL14'!$C$238:$C$451,$C284,'TL14'!$J$238:$J$451),0),
IF('TL15'!$B$3=N$3,SUMIF('TL15'!$C$10:$C$224,$C284,'TL15'!$J$10:$J$224),0),
IF('TL15'!$B$229=N$3,SUMIF('TL15'!$C$238:$C$451,$C284,'TL15'!$J$238:$J$451),0),
IF('TL16'!$B$3=N$3,SUMIF('TL16'!$C$10:$C$224,$C284,'TL16'!$J$10:$J$224),0),
IF('TL16'!$B$229=N$3,SUMIF('TL16'!$C$238:$C$451,$C284,'TL16'!$J$238:$J$451),0),
IF('TL17'!$B$3=N$3,SUMIF('TL17'!$C$10:$C$224,$C284,'TL17'!$J$10:$J$224),0),
IF('TL17'!$B$229=N$3,SUMIF('TL17'!$C$238:$C$451,$C284,'TL17'!$J$238:$J$451),0),
IF('TL18'!$B$3=N$3,SUMIF('TL18'!$C$10:$C$224,$C284,'TL18'!$J$10:$J$224),0),
IF('TL18'!$B$229=N$3,SUMIF('TL18'!$C$238:$C$451,$C284,'TL18'!$J$238:$J$451),0),
IF('TL19'!$B$3=N$3,SUMIF('TL19'!$C$10:$C$224,$C284,'TL19'!$J$10:$J$224),0),
IF('TL19'!$B$229=N$3,SUMIF('TL19'!$C$238:$C$451,$C284,'TL19'!$J$238:$J$451),0)
),0)</f>
        <v/>
      </c>
      <c r="O284" s="9">
        <f>IFERROR(SUM(
IF('TL01'!$B$3=O$3,SUMIF('TL01'!$C$10:$C$224,$C284,'TL01'!$J$10:$J$224),0),
IF('TL01'!$B$229=O$3,SUMIF('TL01'!$C$238:$C$451,$C284,'TL01'!$J$238:$J$451),0),
IF('TL02'!$B$3=O$3,SUMIF('TL02'!$C$10:$C$224,$C284,'TL02'!$J$10:$J$224),0),
IF('TL02'!$B$229=O$3,SUMIF('TL02'!$C$238:$C$451,$C284,'TL02'!$J$238:$J$451),0),
IF('TL03'!$B$3=O$3,SUMIF('TL03'!$C$10:$C$224,$C284,'TL03'!$J$10:$J$224),0),
IF('TL03'!$B$229=O$3,SUMIF('TL03'!$C$238:$C$451,$C284,'TL03'!$J$238:$J$451),0),
IF('TL04'!$B$3=O$3,SUMIF('TL04'!$C$10:$C$224,$C284,'TL04'!$J$10:$J$224),0),
IF('TL04'!$B$229=O$3,SUMIF('TL04'!$C$238:$C$451,$C284,'TL04'!$J$238:$J$451),0),
IF('TL05'!$B$3=O$3,SUMIF('TL05'!$C$10:$C$224,$C284,'TL05'!$J$10:$J$224),0),
IF('TL05'!$B$229=O$3,SUMIF('TL05'!$C$238:$C$451,$C284,'TL05'!$J$238:$J$451),0),
IF('TL06'!$B$3=O$3,SUMIF('TL06'!$C$10:$C$224,$C284,'TL06'!$J$10:$J$224),0),
IF('TL06'!$B$229=O$3,SUMIF('TL06'!$C$238:$C$451,$C284,'TL06'!$J$238:$J$451),0),
IF('TL07'!$B$3=O$3,SUMIF('TL07'!$C$10:$C$224,$C284,'TL07'!$J$10:$J$224),0),
IF('TL07'!$B$229=O$3,SUMIF('TL07'!$C$238:$C$451,$C284,'TL07'!$J$238:$J$451),0),
IF('TL08'!$B$3=O$3,SUMIF('TL08'!$C$10:$C$224,$C284,'TL08'!$J$10:$J$224),0),
IF('TL08'!$B$229=O$3,SUMIF('TL08'!$C$238:$C$451,$C284,'TL08'!$J$238:$J$451),0),
IF('TL09'!$B$3=O$3,SUMIF('TL09'!$C$10:$C$224,$C284,'TL09'!$J$10:$J$224),0),
IF('TL09'!$B$229=O$3,SUMIF('TL09'!$C$238:$C$451,$C284,'TL09'!$J$238:$J$451),0),
IF('TL10'!$B$3=O$3,SUMIF('TL10'!$C$10:$C$224,$C284,'TL10'!$J$10:$J$224),0),
IF('TL10'!$B$229=O$3,SUMIF('TL10'!$C$238:$C$451,$C284,'TL10'!$J$238:$J$451),0),
IF('TL11'!$B$3=O$3,SUMIF('TL11'!$C$10:$C$224,$C284,'TL11'!$J$10:$J$224),0),
IF('TL11'!$B$229=O$3,SUMIF('TL11'!$C$238:$C$451,$C284,'TL11'!$J$238:$J$451),0),
IF('TL12'!$B$3=O$3,SUMIF('TL12'!$C$10:$C$224,$C284,'TL12'!$J$10:$J$224),0),
IF('TL12'!$B$229=O$3,SUMIF('TL12'!$C$238:$C$451,$C284,'TL12'!$J$238:$J$451),0),
IF('TL13'!$B$3=O$3,SUMIF('TL13'!$C$10:$C$224,$C284,'TL13'!$J$10:$J$224),0),
IF('TL13'!$B$229=O$3,SUMIF('TL13'!$C$238:$C$451,$C284,'TL13'!$J$238:$J$451),0),
IF('TL14'!$B$3=O$3,SUMIF('TL14'!$C$10:$C$224,$C284,'TL14'!$J$10:$J$224),0),
IF('TL14'!$B$229=O$3,SUMIF('TL14'!$C$238:$C$451,$C284,'TL14'!$J$238:$J$451),0),
IF('TL15'!$B$3=O$3,SUMIF('TL15'!$C$10:$C$224,$C284,'TL15'!$J$10:$J$224),0),
IF('TL15'!$B$229=O$3,SUMIF('TL15'!$C$238:$C$451,$C284,'TL15'!$J$238:$J$451),0),
IF('TL16'!$B$3=O$3,SUMIF('TL16'!$C$10:$C$224,$C284,'TL16'!$J$10:$J$224),0),
IF('TL16'!$B$229=O$3,SUMIF('TL16'!$C$238:$C$451,$C284,'TL16'!$J$238:$J$451),0),
IF('TL17'!$B$3=O$3,SUMIF('TL17'!$C$10:$C$224,$C284,'TL17'!$J$10:$J$224),0),
IF('TL17'!$B$229=O$3,SUMIF('TL17'!$C$238:$C$451,$C284,'TL17'!$J$238:$J$451),0),
IF('TL18'!$B$3=O$3,SUMIF('TL18'!$C$10:$C$224,$C284,'TL18'!$J$10:$J$224),0),
IF('TL18'!$B$229=O$3,SUMIF('TL18'!$C$238:$C$451,$C284,'TL18'!$J$238:$J$451),0),
IF('TL19'!$B$3=O$3,SUMIF('TL19'!$C$10:$C$224,$C284,'TL19'!$J$10:$J$224),0),
IF('TL19'!$B$229=O$3,SUMIF('TL19'!$C$238:$C$451,$C284,'TL19'!$J$238:$J$451),0)
),0)</f>
        <v/>
      </c>
      <c r="P284" s="9">
        <f>IFERROR(SUM(
IF('TL01'!$B$3=P$3,SUMIF('TL01'!$C$10:$C$224,$C284,'TL01'!$J$10:$J$224),0),
IF('TL01'!$B$229=P$3,SUMIF('TL01'!$C$238:$C$451,$C284,'TL01'!$J$238:$J$451),0),
IF('TL02'!$B$3=P$3,SUMIF('TL02'!$C$10:$C$224,$C284,'TL02'!$J$10:$J$224),0),
IF('TL02'!$B$229=P$3,SUMIF('TL02'!$C$238:$C$451,$C284,'TL02'!$J$238:$J$451),0),
IF('TL03'!$B$3=P$3,SUMIF('TL03'!$C$10:$C$224,$C284,'TL03'!$J$10:$J$224),0),
IF('TL03'!$B$229=P$3,SUMIF('TL03'!$C$238:$C$451,$C284,'TL03'!$J$238:$J$451),0),
IF('TL04'!$B$3=P$3,SUMIF('TL04'!$C$10:$C$224,$C284,'TL04'!$J$10:$J$224),0),
IF('TL04'!$B$229=P$3,SUMIF('TL04'!$C$238:$C$451,$C284,'TL04'!$J$238:$J$451),0),
IF('TL05'!$B$3=P$3,SUMIF('TL05'!$C$10:$C$224,$C284,'TL05'!$J$10:$J$224),0),
IF('TL05'!$B$229=P$3,SUMIF('TL05'!$C$238:$C$451,$C284,'TL05'!$J$238:$J$451),0),
IF('TL06'!$B$3=P$3,SUMIF('TL06'!$C$10:$C$224,$C284,'TL06'!$J$10:$J$224),0),
IF('TL06'!$B$229=P$3,SUMIF('TL06'!$C$238:$C$451,$C284,'TL06'!$J$238:$J$451),0),
IF('TL07'!$B$3=P$3,SUMIF('TL07'!$C$10:$C$224,$C284,'TL07'!$J$10:$J$224),0),
IF('TL07'!$B$229=P$3,SUMIF('TL07'!$C$238:$C$451,$C284,'TL07'!$J$238:$J$451),0),
IF('TL08'!$B$3=P$3,SUMIF('TL08'!$C$10:$C$224,$C284,'TL08'!$J$10:$J$224),0),
IF('TL08'!$B$229=P$3,SUMIF('TL08'!$C$238:$C$451,$C284,'TL08'!$J$238:$J$451),0),
IF('TL09'!$B$3=P$3,SUMIF('TL09'!$C$10:$C$224,$C284,'TL09'!$J$10:$J$224),0),
IF('TL09'!$B$229=P$3,SUMIF('TL09'!$C$238:$C$451,$C284,'TL09'!$J$238:$J$451),0),
IF('TL10'!$B$3=P$3,SUMIF('TL10'!$C$10:$C$224,$C284,'TL10'!$J$10:$J$224),0),
IF('TL10'!$B$229=P$3,SUMIF('TL10'!$C$238:$C$451,$C284,'TL10'!$J$238:$J$451),0),
IF('TL11'!$B$3=P$3,SUMIF('TL11'!$C$10:$C$224,$C284,'TL11'!$J$10:$J$224),0),
IF('TL11'!$B$229=P$3,SUMIF('TL11'!$C$238:$C$451,$C284,'TL11'!$J$238:$J$451),0),
IF('TL12'!$B$3=P$3,SUMIF('TL12'!$C$10:$C$224,$C284,'TL12'!$J$10:$J$224),0),
IF('TL12'!$B$229=P$3,SUMIF('TL12'!$C$238:$C$451,$C284,'TL12'!$J$238:$J$451),0),
IF('TL13'!$B$3=P$3,SUMIF('TL13'!$C$10:$C$224,$C284,'TL13'!$J$10:$J$224),0),
IF('TL13'!$B$229=P$3,SUMIF('TL13'!$C$238:$C$451,$C284,'TL13'!$J$238:$J$451),0),
IF('TL14'!$B$3=P$3,SUMIF('TL14'!$C$10:$C$224,$C284,'TL14'!$J$10:$J$224),0),
IF('TL14'!$B$229=P$3,SUMIF('TL14'!$C$238:$C$451,$C284,'TL14'!$J$238:$J$451),0),
IF('TL15'!$B$3=P$3,SUMIF('TL15'!$C$10:$C$224,$C284,'TL15'!$J$10:$J$224),0),
IF('TL15'!$B$229=P$3,SUMIF('TL15'!$C$238:$C$451,$C284,'TL15'!$J$238:$J$451),0),
IF('TL16'!$B$3=P$3,SUMIF('TL16'!$C$10:$C$224,$C284,'TL16'!$J$10:$J$224),0),
IF('TL16'!$B$229=P$3,SUMIF('TL16'!$C$238:$C$451,$C284,'TL16'!$J$238:$J$451),0),
IF('TL17'!$B$3=P$3,SUMIF('TL17'!$C$10:$C$224,$C284,'TL17'!$J$10:$J$224),0),
IF('TL17'!$B$229=P$3,SUMIF('TL17'!$C$238:$C$451,$C284,'TL17'!$J$238:$J$451),0),
IF('TL18'!$B$3=P$3,SUMIF('TL18'!$C$10:$C$224,$C284,'TL18'!$J$10:$J$224),0),
IF('TL18'!$B$229=P$3,SUMIF('TL18'!$C$238:$C$451,$C284,'TL18'!$J$238:$J$451),0),
IF('TL19'!$B$3=P$3,SUMIF('TL19'!$C$10:$C$224,$C284,'TL19'!$J$10:$J$224),0),
IF('TL19'!$B$229=P$3,SUMIF('TL19'!$C$238:$C$451,$C284,'TL19'!$J$238:$J$451),0)
),0)</f>
        <v/>
      </c>
      <c r="Q284" s="9">
        <f>IFERROR(SUM(
IF('TL01'!$B$3=Q$3,SUMIF('TL01'!$C$10:$C$224,$C284,'TL01'!$J$10:$J$224),0),
IF('TL01'!$B$229=Q$3,SUMIF('TL01'!$C$238:$C$451,$C284,'TL01'!$J$238:$J$451),0),
IF('TL02'!$B$3=Q$3,SUMIF('TL02'!$C$10:$C$224,$C284,'TL02'!$J$10:$J$224),0),
IF('TL02'!$B$229=Q$3,SUMIF('TL02'!$C$238:$C$451,$C284,'TL02'!$J$238:$J$451),0),
IF('TL03'!$B$3=Q$3,SUMIF('TL03'!$C$10:$C$224,$C284,'TL03'!$J$10:$J$224),0),
IF('TL03'!$B$229=Q$3,SUMIF('TL03'!$C$238:$C$451,$C284,'TL03'!$J$238:$J$451),0),
IF('TL04'!$B$3=Q$3,SUMIF('TL04'!$C$10:$C$224,$C284,'TL04'!$J$10:$J$224),0),
IF('TL04'!$B$229=Q$3,SUMIF('TL04'!$C$238:$C$451,$C284,'TL04'!$J$238:$J$451),0),
IF('TL05'!$B$3=Q$3,SUMIF('TL05'!$C$10:$C$224,$C284,'TL05'!$J$10:$J$224),0),
IF('TL05'!$B$229=Q$3,SUMIF('TL05'!$C$238:$C$451,$C284,'TL05'!$J$238:$J$451),0),
IF('TL06'!$B$3=Q$3,SUMIF('TL06'!$C$10:$C$224,$C284,'TL06'!$J$10:$J$224),0),
IF('TL06'!$B$229=Q$3,SUMIF('TL06'!$C$238:$C$451,$C284,'TL06'!$J$238:$J$451),0),
IF('TL07'!$B$3=Q$3,SUMIF('TL07'!$C$10:$C$224,$C284,'TL07'!$J$10:$J$224),0),
IF('TL07'!$B$229=Q$3,SUMIF('TL07'!$C$238:$C$451,$C284,'TL07'!$J$238:$J$451),0),
IF('TL08'!$B$3=Q$3,SUMIF('TL08'!$C$10:$C$224,$C284,'TL08'!$J$10:$J$224),0),
IF('TL08'!$B$229=Q$3,SUMIF('TL08'!$C$238:$C$451,$C284,'TL08'!$J$238:$J$451),0),
IF('TL09'!$B$3=Q$3,SUMIF('TL09'!$C$10:$C$224,$C284,'TL09'!$J$10:$J$224),0),
IF('TL09'!$B$229=Q$3,SUMIF('TL09'!$C$238:$C$451,$C284,'TL09'!$J$238:$J$451),0),
IF('TL10'!$B$3=Q$3,SUMIF('TL10'!$C$10:$C$224,$C284,'TL10'!$J$10:$J$224),0),
IF('TL10'!$B$229=Q$3,SUMIF('TL10'!$C$238:$C$451,$C284,'TL10'!$J$238:$J$451),0),
IF('TL11'!$B$3=Q$3,SUMIF('TL11'!$C$10:$C$224,$C284,'TL11'!$J$10:$J$224),0),
IF('TL11'!$B$229=Q$3,SUMIF('TL11'!$C$238:$C$451,$C284,'TL11'!$J$238:$J$451),0),
IF('TL12'!$B$3=Q$3,SUMIF('TL12'!$C$10:$C$224,$C284,'TL12'!$J$10:$J$224),0),
IF('TL12'!$B$229=Q$3,SUMIF('TL12'!$C$238:$C$451,$C284,'TL12'!$J$238:$J$451),0),
IF('TL13'!$B$3=Q$3,SUMIF('TL13'!$C$10:$C$224,$C284,'TL13'!$J$10:$J$224),0),
IF('TL13'!$B$229=Q$3,SUMIF('TL13'!$C$238:$C$451,$C284,'TL13'!$J$238:$J$451),0),
IF('TL14'!$B$3=Q$3,SUMIF('TL14'!$C$10:$C$224,$C284,'TL14'!$J$10:$J$224),0),
IF('TL14'!$B$229=Q$3,SUMIF('TL14'!$C$238:$C$451,$C284,'TL14'!$J$238:$J$451),0),
IF('TL15'!$B$3=Q$3,SUMIF('TL15'!$C$10:$C$224,$C284,'TL15'!$J$10:$J$224),0),
IF('TL15'!$B$229=Q$3,SUMIF('TL15'!$C$238:$C$451,$C284,'TL15'!$J$238:$J$451),0),
IF('TL16'!$B$3=Q$3,SUMIF('TL16'!$C$10:$C$224,$C284,'TL16'!$J$10:$J$224),0),
IF('TL16'!$B$229=Q$3,SUMIF('TL16'!$C$238:$C$451,$C284,'TL16'!$J$238:$J$451),0),
IF('TL17'!$B$3=Q$3,SUMIF('TL17'!$C$10:$C$224,$C284,'TL17'!$J$10:$J$224),0),
IF('TL17'!$B$229=Q$3,SUMIF('TL17'!$C$238:$C$451,$C284,'TL17'!$J$238:$J$451),0),
IF('TL18'!$B$3=Q$3,SUMIF('TL18'!$C$10:$C$224,$C284,'TL18'!$J$10:$J$224),0),
IF('TL18'!$B$229=Q$3,SUMIF('TL18'!$C$238:$C$451,$C284,'TL18'!$J$238:$J$451),0),
IF('TL19'!$B$3=Q$3,SUMIF('TL19'!$C$10:$C$224,$C284,'TL19'!$J$10:$J$224),0),
IF('TL19'!$B$229=Q$3,SUMIF('TL19'!$C$238:$C$451,$C284,'TL19'!$J$238:$J$451),0)
),0)</f>
        <v/>
      </c>
      <c r="R284" s="9">
        <f>IFERROR(
SUM(
SUMIF('TL01'!C:C,C284,'TL01'!J:J),
SUMIF('TL02'!C:C,C284,'TL02'!J:J),
SUMIF('TL03'!C:C,C284,'TL03'!J:J),
SUMIF('TL04'!C:C,C284,'TL04'!J:J),
SUMIF('TL05'!C:C,C284,'TL05'!J:J),
SUMIF('TL06'!C:C,C284,'TL06'!J:J),
SUMIF('TL07'!C:C,C284,'TL07'!J:J),
SUMIF('TL08'!C:C,C284,'TL08'!J:J),
SUMIF('TL09'!C:C,C284,'TL09'!J:J),
SUMIF('TL10'!C:C,C284,'TL10'!J:J),
SUMIF('TL11'!C:C,C284,'TL11'!J:J),
SUMIF('TL12'!C:C,C284,'TL12'!J:J),
SUMIF('TL13'!C:C,C284,'TL13'!J:J),
SUMIF('TL14'!C:C,C284,'TL14'!J:J),
SUMIF('TL15'!C:C,C284,'TL15'!J:J),
SUMIF('TL16'!C:C,C284,'TL16'!J:J),
SUMIF('TL17'!C:C,C284,'TL17'!J:J),
SUMIF('TL18'!C:C,C284,'TL18'!J:J),SUMIF('TL19'!C:C,C284,'TL19'!J:J))
,0)</f>
        <v/>
      </c>
      <c r="S284" s="17">
        <f>IFERROR(__xludf.DUMMYFUNCTION("IFERROR(VLOOKUP(C284,
IMPORTRANGE(""1wULbzX32WdYsx-lj2U3uUNBBe2INVIRDtcK0d-Dvl90"",
""26-27!C:G""),
5,
FALSE),
"""")"),8.0)</f>
        <v/>
      </c>
      <c r="T284" s="9" t="n"/>
      <c r="U284" s="92">
        <f>MAX(0,R284-T284)</f>
        <v/>
      </c>
      <c r="V284" s="93">
        <f>U284*S284</f>
        <v/>
      </c>
    </row>
    <row r="285" hidden="1" ht="15.75" customHeight="1" s="297">
      <c r="A285" s="4" t="inlineStr">
        <is>
          <t>Vittia</t>
        </is>
      </c>
      <c r="B285" s="125" t="inlineStr">
        <is>
          <t>NUTRIÇÃO</t>
        </is>
      </c>
      <c r="C285" s="4" t="inlineStr">
        <is>
          <t>MANGAN 10</t>
        </is>
      </c>
      <c r="D285" s="20" t="n"/>
      <c r="E285" s="9" t="n"/>
      <c r="F285" s="4" t="inlineStr">
        <is>
          <t>L</t>
        </is>
      </c>
      <c r="G285" s="9" t="n"/>
      <c r="H285" s="9" t="n">
        <v>1</v>
      </c>
      <c r="I285" s="1" t="n"/>
      <c r="J285" s="9">
        <f>IFERROR(SUM(
IF('TL01'!$B$3=J$3,SUMIF('TL01'!$C$10:$C$224,$C285,'TL01'!$J$10:$J$224),0),
IF('TL01'!$B$229=J$3,SUMIF('TL01'!$C$238:$C$451,$C285,'TL01'!$J$238:$J$451),0),
IF('TL02'!$B$3=J$3,SUMIF('TL02'!$C$10:$C$224,$C285,'TL02'!$J$10:$J$224),0),
IF('TL02'!$B$229=J$3,SUMIF('TL02'!$C$238:$C$451,$C285,'TL02'!$J$238:$J$451),0),
IF('TL03'!$B$3=J$3,SUMIF('TL03'!$C$10:$C$224,$C285,'TL03'!$J$10:$J$224),0),
IF('TL03'!$B$229=J$3,SUMIF('TL03'!$C$238:$C$451,$C285,'TL03'!$J$238:$J$451),0),
IF('TL04'!$B$3=J$3,SUMIF('TL04'!$C$10:$C$224,$C285,'TL04'!$J$10:$J$224),0),
IF('TL04'!$B$229=J$3,SUMIF('TL04'!$C$238:$C$451,$C285,'TL04'!$J$238:$J$451),0),
IF('TL05'!$B$3=J$3,SUMIF('TL05'!$C$10:$C$224,$C285,'TL05'!$J$10:$J$224),0),
IF('TL05'!$B$229=J$3,SUMIF('TL05'!$C$238:$C$451,$C285,'TL05'!$J$238:$J$451),0),
IF('TL06'!$B$3=J$3,SUMIF('TL06'!$C$10:$C$224,$C285,'TL06'!$J$10:$J$224),0),
IF('TL06'!$B$229=J$3,SUMIF('TL06'!$C$238:$C$451,$C285,'TL06'!$J$238:$J$451),0),
IF('TL07'!$B$3=J$3,SUMIF('TL07'!$C$10:$C$224,$C285,'TL07'!$J$10:$J$224),0),
IF('TL07'!$B$229=J$3,SUMIF('TL07'!$C$238:$C$451,$C285,'TL07'!$J$238:$J$451),0),
IF('TL08'!$B$3=J$3,SUMIF('TL08'!$C$10:$C$224,$C285,'TL08'!$J$10:$J$224),0),
IF('TL08'!$B$229=J$3,SUMIF('TL08'!$C$238:$C$451,$C285,'TL08'!$J$238:$J$451),0),
IF('TL09'!$B$3=J$3,SUMIF('TL09'!$C$10:$C$224,$C285,'TL09'!$J$10:$J$224),0),
IF('TL09'!$B$229=J$3,SUMIF('TL09'!$C$238:$C$451,$C285,'TL09'!$J$238:$J$451),0),
IF('TL10'!$B$3=J$3,SUMIF('TL10'!$C$10:$C$224,$C285,'TL10'!$J$10:$J$224),0),
IF('TL10'!$B$229=J$3,SUMIF('TL10'!$C$238:$C$451,$C285,'TL10'!$J$238:$J$451),0),
IF('TL11'!$B$3=J$3,SUMIF('TL11'!$C$10:$C$224,$C285,'TL11'!$J$10:$J$224),0),
IF('TL11'!$B$229=J$3,SUMIF('TL11'!$C$238:$C$451,$C285,'TL11'!$J$238:$J$451),0),
IF('TL12'!$B$3=J$3,SUMIF('TL12'!$C$10:$C$224,$C285,'TL12'!$J$10:$J$224),0),
IF('TL12'!$B$229=J$3,SUMIF('TL12'!$C$238:$C$451,$C285,'TL12'!$J$238:$J$451),0),
IF('TL13'!$B$3=J$3,SUMIF('TL13'!$C$10:$C$224,$C285,'TL13'!$J$10:$J$224),0),
IF('TL13'!$B$229=J$3,SUMIF('TL13'!$C$238:$C$451,$C285,'TL13'!$J$238:$J$451),0),
IF('TL14'!$B$3=J$3,SUMIF('TL14'!$C$10:$C$224,$C285,'TL14'!$J$10:$J$224),0),
IF('TL14'!$B$229=J$3,SUMIF('TL14'!$C$238:$C$451,$C285,'TL14'!$J$238:$J$451),0),
IF('TL15'!$B$3=J$3,SUMIF('TL15'!$C$10:$C$224,$C285,'TL15'!$J$10:$J$224),0),
IF('TL15'!$B$229=J$3,SUMIF('TL15'!$C$238:$C$451,$C285,'TL15'!$J$238:$J$451),0),
IF('TL16'!$B$3=J$3,SUMIF('TL16'!$C$10:$C$224,$C285,'TL16'!$J$10:$J$224),0),
IF('TL16'!$B$229=J$3,SUMIF('TL16'!$C$238:$C$451,$C285,'TL16'!$J$238:$J$451),0),
IF('TL17'!$B$3=J$3,SUMIF('TL17'!$C$10:$C$224,$C285,'TL17'!$J$10:$J$224),0),
IF('TL17'!$B$229=J$3,SUMIF('TL17'!$C$238:$C$451,$C285,'TL17'!$J$238:$J$451),0),
IF('TL18'!$B$3=J$3,SUMIF('TL18'!$C$10:$C$224,$C285,'TL18'!$J$10:$J$224),0),
IF('TL18'!$B$229=J$3,SUMIF('TL18'!$C$238:$C$451,$C285,'TL18'!$J$238:$J$451),0),
IF('TL19'!$B$3=J$3,SUMIF('TL19'!$C$10:$C$224,$C285,'TL19'!$J$10:$J$224),0),
IF('TL19'!$B$229=J$3,SUMIF('TL19'!$C$238:$C$451,$C285,'TL19'!$J$238:$J$451),0)
),0)</f>
        <v/>
      </c>
      <c r="K285" s="9">
        <f>IFERROR(SUM(
IF('TL01'!$B$3=K$3,SUMIF('TL01'!$C$10:$C$224,$C285,'TL01'!$J$10:$J$224),0),
IF('TL01'!$B$229=K$3,SUMIF('TL01'!$C$238:$C$451,$C285,'TL01'!$J$238:$J$451),0),
IF('TL02'!$B$3=K$3,SUMIF('TL02'!$C$10:$C$224,$C285,'TL02'!$J$10:$J$224),0),
IF('TL02'!$B$229=K$3,SUMIF('TL02'!$C$238:$C$451,$C285,'TL02'!$J$238:$J$451),0),
IF('TL03'!$B$3=K$3,SUMIF('TL03'!$C$10:$C$224,$C285,'TL03'!$J$10:$J$224),0),
IF('TL03'!$B$229=K$3,SUMIF('TL03'!$C$238:$C$451,$C285,'TL03'!$J$238:$J$451),0),
IF('TL04'!$B$3=K$3,SUMIF('TL04'!$C$10:$C$224,$C285,'TL04'!$J$10:$J$224),0),
IF('TL04'!$B$229=K$3,SUMIF('TL04'!$C$238:$C$451,$C285,'TL04'!$J$238:$J$451),0),
IF('TL05'!$B$3=K$3,SUMIF('TL05'!$C$10:$C$224,$C285,'TL05'!$J$10:$J$224),0),
IF('TL05'!$B$229=K$3,SUMIF('TL05'!$C$238:$C$451,$C285,'TL05'!$J$238:$J$451),0),
IF('TL06'!$B$3=K$3,SUMIF('TL06'!$C$10:$C$224,$C285,'TL06'!$J$10:$J$224),0),
IF('TL06'!$B$229=K$3,SUMIF('TL06'!$C$238:$C$451,$C285,'TL06'!$J$238:$J$451),0),
IF('TL07'!$B$3=K$3,SUMIF('TL07'!$C$10:$C$224,$C285,'TL07'!$J$10:$J$224),0),
IF('TL07'!$B$229=K$3,SUMIF('TL07'!$C$238:$C$451,$C285,'TL07'!$J$238:$J$451),0),
IF('TL08'!$B$3=K$3,SUMIF('TL08'!$C$10:$C$224,$C285,'TL08'!$J$10:$J$224),0),
IF('TL08'!$B$229=K$3,SUMIF('TL08'!$C$238:$C$451,$C285,'TL08'!$J$238:$J$451),0),
IF('TL09'!$B$3=K$3,SUMIF('TL09'!$C$10:$C$224,$C285,'TL09'!$J$10:$J$224),0),
IF('TL09'!$B$229=K$3,SUMIF('TL09'!$C$238:$C$451,$C285,'TL09'!$J$238:$J$451),0),
IF('TL10'!$B$3=K$3,SUMIF('TL10'!$C$10:$C$224,$C285,'TL10'!$J$10:$J$224),0),
IF('TL10'!$B$229=K$3,SUMIF('TL10'!$C$238:$C$451,$C285,'TL10'!$J$238:$J$451),0),
IF('TL11'!$B$3=K$3,SUMIF('TL11'!$C$10:$C$224,$C285,'TL11'!$J$10:$J$224),0),
IF('TL11'!$B$229=K$3,SUMIF('TL11'!$C$238:$C$451,$C285,'TL11'!$J$238:$J$451),0),
IF('TL12'!$B$3=K$3,SUMIF('TL12'!$C$10:$C$224,$C285,'TL12'!$J$10:$J$224),0),
IF('TL12'!$B$229=K$3,SUMIF('TL12'!$C$238:$C$451,$C285,'TL12'!$J$238:$J$451),0),
IF('TL13'!$B$3=K$3,SUMIF('TL13'!$C$10:$C$224,$C285,'TL13'!$J$10:$J$224),0),
IF('TL13'!$B$229=K$3,SUMIF('TL13'!$C$238:$C$451,$C285,'TL13'!$J$238:$J$451),0),
IF('TL14'!$B$3=K$3,SUMIF('TL14'!$C$10:$C$224,$C285,'TL14'!$J$10:$J$224),0),
IF('TL14'!$B$229=K$3,SUMIF('TL14'!$C$238:$C$451,$C285,'TL14'!$J$238:$J$451),0),
IF('TL15'!$B$3=K$3,SUMIF('TL15'!$C$10:$C$224,$C285,'TL15'!$J$10:$J$224),0),
IF('TL15'!$B$229=K$3,SUMIF('TL15'!$C$238:$C$451,$C285,'TL15'!$J$238:$J$451),0),
IF('TL16'!$B$3=K$3,SUMIF('TL16'!$C$10:$C$224,$C285,'TL16'!$J$10:$J$224),0),
IF('TL16'!$B$229=K$3,SUMIF('TL16'!$C$238:$C$451,$C285,'TL16'!$J$238:$J$451),0),
IF('TL17'!$B$3=K$3,SUMIF('TL17'!$C$10:$C$224,$C285,'TL17'!$J$10:$J$224),0),
IF('TL17'!$B$229=K$3,SUMIF('TL17'!$C$238:$C$451,$C285,'TL17'!$J$238:$J$451),0),
IF('TL18'!$B$3=K$3,SUMIF('TL18'!$C$10:$C$224,$C285,'TL18'!$J$10:$J$224),0),
IF('TL18'!$B$229=K$3,SUMIF('TL18'!$C$238:$C$451,$C285,'TL18'!$J$238:$J$451),0),
IF('TL19'!$B$3=K$3,SUMIF('TL19'!$C$10:$C$224,$C285,'TL19'!$J$10:$J$224),0),
IF('TL19'!$B$229=K$3,SUMIF('TL19'!$C$238:$C$451,$C285,'TL19'!$J$238:$J$451),0)
),0)</f>
        <v/>
      </c>
      <c r="L285" s="9">
        <f>IFERROR(SUM(
IF('TL01'!$B$3=L$3,SUMIF('TL01'!$C$10:$C$224,$C285,'TL01'!$J$10:$J$224),0),
IF('TL01'!$B$229=L$3,SUMIF('TL01'!$C$238:$C$451,$C285,'TL01'!$J$238:$J$451),0),
IF('TL02'!$B$3=L$3,SUMIF('TL02'!$C$10:$C$224,$C285,'TL02'!$J$10:$J$224),0),
IF('TL02'!$B$229=L$3,SUMIF('TL02'!$C$238:$C$451,$C285,'TL02'!$J$238:$J$451),0),
IF('TL03'!$B$3=L$3,SUMIF('TL03'!$C$10:$C$224,$C285,'TL03'!$J$10:$J$224),0),
IF('TL03'!$B$229=L$3,SUMIF('TL03'!$C$238:$C$451,$C285,'TL03'!$J$238:$J$451),0),
IF('TL04'!$B$3=L$3,SUMIF('TL04'!$C$10:$C$224,$C285,'TL04'!$J$10:$J$224),0),
IF('TL04'!$B$229=L$3,SUMIF('TL04'!$C$238:$C$451,$C285,'TL04'!$J$238:$J$451),0),
IF('TL05'!$B$3=L$3,SUMIF('TL05'!$C$10:$C$224,$C285,'TL05'!$J$10:$J$224),0),
IF('TL05'!$B$229=L$3,SUMIF('TL05'!$C$238:$C$451,$C285,'TL05'!$J$238:$J$451),0),
IF('TL06'!$B$3=L$3,SUMIF('TL06'!$C$10:$C$224,$C285,'TL06'!$J$10:$J$224),0),
IF('TL06'!$B$229=L$3,SUMIF('TL06'!$C$238:$C$451,$C285,'TL06'!$J$238:$J$451),0),
IF('TL07'!$B$3=L$3,SUMIF('TL07'!$C$10:$C$224,$C285,'TL07'!$J$10:$J$224),0),
IF('TL07'!$B$229=L$3,SUMIF('TL07'!$C$238:$C$451,$C285,'TL07'!$J$238:$J$451),0),
IF('TL08'!$B$3=L$3,SUMIF('TL08'!$C$10:$C$224,$C285,'TL08'!$J$10:$J$224),0),
IF('TL08'!$B$229=L$3,SUMIF('TL08'!$C$238:$C$451,$C285,'TL08'!$J$238:$J$451),0),
IF('TL09'!$B$3=L$3,SUMIF('TL09'!$C$10:$C$224,$C285,'TL09'!$J$10:$J$224),0),
IF('TL09'!$B$229=L$3,SUMIF('TL09'!$C$238:$C$451,$C285,'TL09'!$J$238:$J$451),0),
IF('TL10'!$B$3=L$3,SUMIF('TL10'!$C$10:$C$224,$C285,'TL10'!$J$10:$J$224),0),
IF('TL10'!$B$229=L$3,SUMIF('TL10'!$C$238:$C$451,$C285,'TL10'!$J$238:$J$451),0),
IF('TL11'!$B$3=L$3,SUMIF('TL11'!$C$10:$C$224,$C285,'TL11'!$J$10:$J$224),0),
IF('TL11'!$B$229=L$3,SUMIF('TL11'!$C$238:$C$451,$C285,'TL11'!$J$238:$J$451),0),
IF('TL12'!$B$3=L$3,SUMIF('TL12'!$C$10:$C$224,$C285,'TL12'!$J$10:$J$224),0),
IF('TL12'!$B$229=L$3,SUMIF('TL12'!$C$238:$C$451,$C285,'TL12'!$J$238:$J$451),0),
IF('TL13'!$B$3=L$3,SUMIF('TL13'!$C$10:$C$224,$C285,'TL13'!$J$10:$J$224),0),
IF('TL13'!$B$229=L$3,SUMIF('TL13'!$C$238:$C$451,$C285,'TL13'!$J$238:$J$451),0),
IF('TL14'!$B$3=L$3,SUMIF('TL14'!$C$10:$C$224,$C285,'TL14'!$J$10:$J$224),0),
IF('TL14'!$B$229=L$3,SUMIF('TL14'!$C$238:$C$451,$C285,'TL14'!$J$238:$J$451),0),
IF('TL15'!$B$3=L$3,SUMIF('TL15'!$C$10:$C$224,$C285,'TL15'!$J$10:$J$224),0),
IF('TL15'!$B$229=L$3,SUMIF('TL15'!$C$238:$C$451,$C285,'TL15'!$J$238:$J$451),0),
IF('TL16'!$B$3=L$3,SUMIF('TL16'!$C$10:$C$224,$C285,'TL16'!$J$10:$J$224),0),
IF('TL16'!$B$229=L$3,SUMIF('TL16'!$C$238:$C$451,$C285,'TL16'!$J$238:$J$451),0),
IF('TL17'!$B$3=L$3,SUMIF('TL17'!$C$10:$C$224,$C285,'TL17'!$J$10:$J$224),0),
IF('TL17'!$B$229=L$3,SUMIF('TL17'!$C$238:$C$451,$C285,'TL17'!$J$238:$J$451),0),
IF('TL18'!$B$3=L$3,SUMIF('TL18'!$C$10:$C$224,$C285,'TL18'!$J$10:$J$224),0),
IF('TL18'!$B$229=L$3,SUMIF('TL18'!$C$238:$C$451,$C285,'TL18'!$J$238:$J$451),0),
IF('TL19'!$B$3=L$3,SUMIF('TL19'!$C$10:$C$224,$C285,'TL19'!$J$10:$J$224),0),
IF('TL19'!$B$229=L$3,SUMIF('TL19'!$C$238:$C$451,$C285,'TL19'!$J$238:$J$451),0)
),0)</f>
        <v/>
      </c>
      <c r="M285" s="9">
        <f>IFERROR(SUM(
IF('TL01'!$B$3=M$3,SUMIF('TL01'!$C$10:$C$224,$C285,'TL01'!$J$10:$J$224),0),
IF('TL01'!$B$229=M$3,SUMIF('TL01'!$C$238:$C$451,$C285,'TL01'!$J$238:$J$451),0),
IF('TL02'!$B$3=M$3,SUMIF('TL02'!$C$10:$C$224,$C285,'TL02'!$J$10:$J$224),0),
IF('TL02'!$B$229=M$3,SUMIF('TL02'!$C$238:$C$451,$C285,'TL02'!$J$238:$J$451),0),
IF('TL03'!$B$3=M$3,SUMIF('TL03'!$C$10:$C$224,$C285,'TL03'!$J$10:$J$224),0),
IF('TL03'!$B$229=M$3,SUMIF('TL03'!$C$238:$C$451,$C285,'TL03'!$J$238:$J$451),0),
IF('TL04'!$B$3=M$3,SUMIF('TL04'!$C$10:$C$224,$C285,'TL04'!$J$10:$J$224),0),
IF('TL04'!$B$229=M$3,SUMIF('TL04'!$C$238:$C$451,$C285,'TL04'!$J$238:$J$451),0),
IF('TL05'!$B$3=M$3,SUMIF('TL05'!$C$10:$C$224,$C285,'TL05'!$J$10:$J$224),0),
IF('TL05'!$B$229=M$3,SUMIF('TL05'!$C$238:$C$451,$C285,'TL05'!$J$238:$J$451),0),
IF('TL06'!$B$3=M$3,SUMIF('TL06'!$C$10:$C$224,$C285,'TL06'!$J$10:$J$224),0),
IF('TL06'!$B$229=M$3,SUMIF('TL06'!$C$238:$C$451,$C285,'TL06'!$J$238:$J$451),0),
IF('TL07'!$B$3=M$3,SUMIF('TL07'!$C$10:$C$224,$C285,'TL07'!$J$10:$J$224),0),
IF('TL07'!$B$229=M$3,SUMIF('TL07'!$C$238:$C$451,$C285,'TL07'!$J$238:$J$451),0),
IF('TL08'!$B$3=M$3,SUMIF('TL08'!$C$10:$C$224,$C285,'TL08'!$J$10:$J$224),0),
IF('TL08'!$B$229=M$3,SUMIF('TL08'!$C$238:$C$451,$C285,'TL08'!$J$238:$J$451),0),
IF('TL09'!$B$3=M$3,SUMIF('TL09'!$C$10:$C$224,$C285,'TL09'!$J$10:$J$224),0),
IF('TL09'!$B$229=M$3,SUMIF('TL09'!$C$238:$C$451,$C285,'TL09'!$J$238:$J$451),0),
IF('TL10'!$B$3=M$3,SUMIF('TL10'!$C$10:$C$224,$C285,'TL10'!$J$10:$J$224),0),
IF('TL10'!$B$229=M$3,SUMIF('TL10'!$C$238:$C$451,$C285,'TL10'!$J$238:$J$451),0),
IF('TL11'!$B$3=M$3,SUMIF('TL11'!$C$10:$C$224,$C285,'TL11'!$J$10:$J$224),0),
IF('TL11'!$B$229=M$3,SUMIF('TL11'!$C$238:$C$451,$C285,'TL11'!$J$238:$J$451),0),
IF('TL12'!$B$3=M$3,SUMIF('TL12'!$C$10:$C$224,$C285,'TL12'!$J$10:$J$224),0),
IF('TL12'!$B$229=M$3,SUMIF('TL12'!$C$238:$C$451,$C285,'TL12'!$J$238:$J$451),0),
IF('TL13'!$B$3=M$3,SUMIF('TL13'!$C$10:$C$224,$C285,'TL13'!$J$10:$J$224),0),
IF('TL13'!$B$229=M$3,SUMIF('TL13'!$C$238:$C$451,$C285,'TL13'!$J$238:$J$451),0),
IF('TL14'!$B$3=M$3,SUMIF('TL14'!$C$10:$C$224,$C285,'TL14'!$J$10:$J$224),0),
IF('TL14'!$B$229=M$3,SUMIF('TL14'!$C$238:$C$451,$C285,'TL14'!$J$238:$J$451),0),
IF('TL15'!$B$3=M$3,SUMIF('TL15'!$C$10:$C$224,$C285,'TL15'!$J$10:$J$224),0),
IF('TL15'!$B$229=M$3,SUMIF('TL15'!$C$238:$C$451,$C285,'TL15'!$J$238:$J$451),0),
IF('TL16'!$B$3=M$3,SUMIF('TL16'!$C$10:$C$224,$C285,'TL16'!$J$10:$J$224),0),
IF('TL16'!$B$229=M$3,SUMIF('TL16'!$C$238:$C$451,$C285,'TL16'!$J$238:$J$451),0),
IF('TL17'!$B$3=M$3,SUMIF('TL17'!$C$10:$C$224,$C285,'TL17'!$J$10:$J$224),0),
IF('TL17'!$B$229=M$3,SUMIF('TL17'!$C$238:$C$451,$C285,'TL17'!$J$238:$J$451),0),
IF('TL18'!$B$3=M$3,SUMIF('TL18'!$C$10:$C$224,$C285,'TL18'!$J$10:$J$224),0),
IF('TL18'!$B$229=M$3,SUMIF('TL18'!$C$238:$C$451,$C285,'TL18'!$J$238:$J$451),0),
IF('TL19'!$B$3=M$3,SUMIF('TL19'!$C$10:$C$224,$C285,'TL19'!$J$10:$J$224),0),
IF('TL19'!$B$229=M$3,SUMIF('TL19'!$C$238:$C$451,$C285,'TL19'!$J$238:$J$451),0)
),0)</f>
        <v/>
      </c>
      <c r="N285" s="9">
        <f>IFERROR(SUM(
IF('TL01'!$B$3=N$3,SUMIF('TL01'!$C$10:$C$224,$C285,'TL01'!$J$10:$J$224),0),
IF('TL01'!$B$229=N$3,SUMIF('TL01'!$C$238:$C$451,$C285,'TL01'!$J$238:$J$451),0),
IF('TL02'!$B$3=N$3,SUMIF('TL02'!$C$10:$C$224,$C285,'TL02'!$J$10:$J$224),0),
IF('TL02'!$B$229=N$3,SUMIF('TL02'!$C$238:$C$451,$C285,'TL02'!$J$238:$J$451),0),
IF('TL03'!$B$3=N$3,SUMIF('TL03'!$C$10:$C$224,$C285,'TL03'!$J$10:$J$224),0),
IF('TL03'!$B$229=N$3,SUMIF('TL03'!$C$238:$C$451,$C285,'TL03'!$J$238:$J$451),0),
IF('TL04'!$B$3=N$3,SUMIF('TL04'!$C$10:$C$224,$C285,'TL04'!$J$10:$J$224),0),
IF('TL04'!$B$229=N$3,SUMIF('TL04'!$C$238:$C$451,$C285,'TL04'!$J$238:$J$451),0),
IF('TL05'!$B$3=N$3,SUMIF('TL05'!$C$10:$C$224,$C285,'TL05'!$J$10:$J$224),0),
IF('TL05'!$B$229=N$3,SUMIF('TL05'!$C$238:$C$451,$C285,'TL05'!$J$238:$J$451),0),
IF('TL06'!$B$3=N$3,SUMIF('TL06'!$C$10:$C$224,$C285,'TL06'!$J$10:$J$224),0),
IF('TL06'!$B$229=N$3,SUMIF('TL06'!$C$238:$C$451,$C285,'TL06'!$J$238:$J$451),0),
IF('TL07'!$B$3=N$3,SUMIF('TL07'!$C$10:$C$224,$C285,'TL07'!$J$10:$J$224),0),
IF('TL07'!$B$229=N$3,SUMIF('TL07'!$C$238:$C$451,$C285,'TL07'!$J$238:$J$451),0),
IF('TL08'!$B$3=N$3,SUMIF('TL08'!$C$10:$C$224,$C285,'TL08'!$J$10:$J$224),0),
IF('TL08'!$B$229=N$3,SUMIF('TL08'!$C$238:$C$451,$C285,'TL08'!$J$238:$J$451),0),
IF('TL09'!$B$3=N$3,SUMIF('TL09'!$C$10:$C$224,$C285,'TL09'!$J$10:$J$224),0),
IF('TL09'!$B$229=N$3,SUMIF('TL09'!$C$238:$C$451,$C285,'TL09'!$J$238:$J$451),0),
IF('TL10'!$B$3=N$3,SUMIF('TL10'!$C$10:$C$224,$C285,'TL10'!$J$10:$J$224),0),
IF('TL10'!$B$229=N$3,SUMIF('TL10'!$C$238:$C$451,$C285,'TL10'!$J$238:$J$451),0),
IF('TL11'!$B$3=N$3,SUMIF('TL11'!$C$10:$C$224,$C285,'TL11'!$J$10:$J$224),0),
IF('TL11'!$B$229=N$3,SUMIF('TL11'!$C$238:$C$451,$C285,'TL11'!$J$238:$J$451),0),
IF('TL12'!$B$3=N$3,SUMIF('TL12'!$C$10:$C$224,$C285,'TL12'!$J$10:$J$224),0),
IF('TL12'!$B$229=N$3,SUMIF('TL12'!$C$238:$C$451,$C285,'TL12'!$J$238:$J$451),0),
IF('TL13'!$B$3=N$3,SUMIF('TL13'!$C$10:$C$224,$C285,'TL13'!$J$10:$J$224),0),
IF('TL13'!$B$229=N$3,SUMIF('TL13'!$C$238:$C$451,$C285,'TL13'!$J$238:$J$451),0),
IF('TL14'!$B$3=N$3,SUMIF('TL14'!$C$10:$C$224,$C285,'TL14'!$J$10:$J$224),0),
IF('TL14'!$B$229=N$3,SUMIF('TL14'!$C$238:$C$451,$C285,'TL14'!$J$238:$J$451),0),
IF('TL15'!$B$3=N$3,SUMIF('TL15'!$C$10:$C$224,$C285,'TL15'!$J$10:$J$224),0),
IF('TL15'!$B$229=N$3,SUMIF('TL15'!$C$238:$C$451,$C285,'TL15'!$J$238:$J$451),0),
IF('TL16'!$B$3=N$3,SUMIF('TL16'!$C$10:$C$224,$C285,'TL16'!$J$10:$J$224),0),
IF('TL16'!$B$229=N$3,SUMIF('TL16'!$C$238:$C$451,$C285,'TL16'!$J$238:$J$451),0),
IF('TL17'!$B$3=N$3,SUMIF('TL17'!$C$10:$C$224,$C285,'TL17'!$J$10:$J$224),0),
IF('TL17'!$B$229=N$3,SUMIF('TL17'!$C$238:$C$451,$C285,'TL17'!$J$238:$J$451),0),
IF('TL18'!$B$3=N$3,SUMIF('TL18'!$C$10:$C$224,$C285,'TL18'!$J$10:$J$224),0),
IF('TL18'!$B$229=N$3,SUMIF('TL18'!$C$238:$C$451,$C285,'TL18'!$J$238:$J$451),0),
IF('TL19'!$B$3=N$3,SUMIF('TL19'!$C$10:$C$224,$C285,'TL19'!$J$10:$J$224),0),
IF('TL19'!$B$229=N$3,SUMIF('TL19'!$C$238:$C$451,$C285,'TL19'!$J$238:$J$451),0)
),0)</f>
        <v/>
      </c>
      <c r="O285" s="9">
        <f>IFERROR(SUM(
IF('TL01'!$B$3=O$3,SUMIF('TL01'!$C$10:$C$224,$C285,'TL01'!$J$10:$J$224),0),
IF('TL01'!$B$229=O$3,SUMIF('TL01'!$C$238:$C$451,$C285,'TL01'!$J$238:$J$451),0),
IF('TL02'!$B$3=O$3,SUMIF('TL02'!$C$10:$C$224,$C285,'TL02'!$J$10:$J$224),0),
IF('TL02'!$B$229=O$3,SUMIF('TL02'!$C$238:$C$451,$C285,'TL02'!$J$238:$J$451),0),
IF('TL03'!$B$3=O$3,SUMIF('TL03'!$C$10:$C$224,$C285,'TL03'!$J$10:$J$224),0),
IF('TL03'!$B$229=O$3,SUMIF('TL03'!$C$238:$C$451,$C285,'TL03'!$J$238:$J$451),0),
IF('TL04'!$B$3=O$3,SUMIF('TL04'!$C$10:$C$224,$C285,'TL04'!$J$10:$J$224),0),
IF('TL04'!$B$229=O$3,SUMIF('TL04'!$C$238:$C$451,$C285,'TL04'!$J$238:$J$451),0),
IF('TL05'!$B$3=O$3,SUMIF('TL05'!$C$10:$C$224,$C285,'TL05'!$J$10:$J$224),0),
IF('TL05'!$B$229=O$3,SUMIF('TL05'!$C$238:$C$451,$C285,'TL05'!$J$238:$J$451),0),
IF('TL06'!$B$3=O$3,SUMIF('TL06'!$C$10:$C$224,$C285,'TL06'!$J$10:$J$224),0),
IF('TL06'!$B$229=O$3,SUMIF('TL06'!$C$238:$C$451,$C285,'TL06'!$J$238:$J$451),0),
IF('TL07'!$B$3=O$3,SUMIF('TL07'!$C$10:$C$224,$C285,'TL07'!$J$10:$J$224),0),
IF('TL07'!$B$229=O$3,SUMIF('TL07'!$C$238:$C$451,$C285,'TL07'!$J$238:$J$451),0),
IF('TL08'!$B$3=O$3,SUMIF('TL08'!$C$10:$C$224,$C285,'TL08'!$J$10:$J$224),0),
IF('TL08'!$B$229=O$3,SUMIF('TL08'!$C$238:$C$451,$C285,'TL08'!$J$238:$J$451),0),
IF('TL09'!$B$3=O$3,SUMIF('TL09'!$C$10:$C$224,$C285,'TL09'!$J$10:$J$224),0),
IF('TL09'!$B$229=O$3,SUMIF('TL09'!$C$238:$C$451,$C285,'TL09'!$J$238:$J$451),0),
IF('TL10'!$B$3=O$3,SUMIF('TL10'!$C$10:$C$224,$C285,'TL10'!$J$10:$J$224),0),
IF('TL10'!$B$229=O$3,SUMIF('TL10'!$C$238:$C$451,$C285,'TL10'!$J$238:$J$451),0),
IF('TL11'!$B$3=O$3,SUMIF('TL11'!$C$10:$C$224,$C285,'TL11'!$J$10:$J$224),0),
IF('TL11'!$B$229=O$3,SUMIF('TL11'!$C$238:$C$451,$C285,'TL11'!$J$238:$J$451),0),
IF('TL12'!$B$3=O$3,SUMIF('TL12'!$C$10:$C$224,$C285,'TL12'!$J$10:$J$224),0),
IF('TL12'!$B$229=O$3,SUMIF('TL12'!$C$238:$C$451,$C285,'TL12'!$J$238:$J$451),0),
IF('TL13'!$B$3=O$3,SUMIF('TL13'!$C$10:$C$224,$C285,'TL13'!$J$10:$J$224),0),
IF('TL13'!$B$229=O$3,SUMIF('TL13'!$C$238:$C$451,$C285,'TL13'!$J$238:$J$451),0),
IF('TL14'!$B$3=O$3,SUMIF('TL14'!$C$10:$C$224,$C285,'TL14'!$J$10:$J$224),0),
IF('TL14'!$B$229=O$3,SUMIF('TL14'!$C$238:$C$451,$C285,'TL14'!$J$238:$J$451),0),
IF('TL15'!$B$3=O$3,SUMIF('TL15'!$C$10:$C$224,$C285,'TL15'!$J$10:$J$224),0),
IF('TL15'!$B$229=O$3,SUMIF('TL15'!$C$238:$C$451,$C285,'TL15'!$J$238:$J$451),0),
IF('TL16'!$B$3=O$3,SUMIF('TL16'!$C$10:$C$224,$C285,'TL16'!$J$10:$J$224),0),
IF('TL16'!$B$229=O$3,SUMIF('TL16'!$C$238:$C$451,$C285,'TL16'!$J$238:$J$451),0),
IF('TL17'!$B$3=O$3,SUMIF('TL17'!$C$10:$C$224,$C285,'TL17'!$J$10:$J$224),0),
IF('TL17'!$B$229=O$3,SUMIF('TL17'!$C$238:$C$451,$C285,'TL17'!$J$238:$J$451),0),
IF('TL18'!$B$3=O$3,SUMIF('TL18'!$C$10:$C$224,$C285,'TL18'!$J$10:$J$224),0),
IF('TL18'!$B$229=O$3,SUMIF('TL18'!$C$238:$C$451,$C285,'TL18'!$J$238:$J$451),0),
IF('TL19'!$B$3=O$3,SUMIF('TL19'!$C$10:$C$224,$C285,'TL19'!$J$10:$J$224),0),
IF('TL19'!$B$229=O$3,SUMIF('TL19'!$C$238:$C$451,$C285,'TL19'!$J$238:$J$451),0)
),0)</f>
        <v/>
      </c>
      <c r="P285" s="9">
        <f>IFERROR(SUM(
IF('TL01'!$B$3=P$3,SUMIF('TL01'!$C$10:$C$224,$C285,'TL01'!$J$10:$J$224),0),
IF('TL01'!$B$229=P$3,SUMIF('TL01'!$C$238:$C$451,$C285,'TL01'!$J$238:$J$451),0),
IF('TL02'!$B$3=P$3,SUMIF('TL02'!$C$10:$C$224,$C285,'TL02'!$J$10:$J$224),0),
IF('TL02'!$B$229=P$3,SUMIF('TL02'!$C$238:$C$451,$C285,'TL02'!$J$238:$J$451),0),
IF('TL03'!$B$3=P$3,SUMIF('TL03'!$C$10:$C$224,$C285,'TL03'!$J$10:$J$224),0),
IF('TL03'!$B$229=P$3,SUMIF('TL03'!$C$238:$C$451,$C285,'TL03'!$J$238:$J$451),0),
IF('TL04'!$B$3=P$3,SUMIF('TL04'!$C$10:$C$224,$C285,'TL04'!$J$10:$J$224),0),
IF('TL04'!$B$229=P$3,SUMIF('TL04'!$C$238:$C$451,$C285,'TL04'!$J$238:$J$451),0),
IF('TL05'!$B$3=P$3,SUMIF('TL05'!$C$10:$C$224,$C285,'TL05'!$J$10:$J$224),0),
IF('TL05'!$B$229=P$3,SUMIF('TL05'!$C$238:$C$451,$C285,'TL05'!$J$238:$J$451),0),
IF('TL06'!$B$3=P$3,SUMIF('TL06'!$C$10:$C$224,$C285,'TL06'!$J$10:$J$224),0),
IF('TL06'!$B$229=P$3,SUMIF('TL06'!$C$238:$C$451,$C285,'TL06'!$J$238:$J$451),0),
IF('TL07'!$B$3=P$3,SUMIF('TL07'!$C$10:$C$224,$C285,'TL07'!$J$10:$J$224),0),
IF('TL07'!$B$229=P$3,SUMIF('TL07'!$C$238:$C$451,$C285,'TL07'!$J$238:$J$451),0),
IF('TL08'!$B$3=P$3,SUMIF('TL08'!$C$10:$C$224,$C285,'TL08'!$J$10:$J$224),0),
IF('TL08'!$B$229=P$3,SUMIF('TL08'!$C$238:$C$451,$C285,'TL08'!$J$238:$J$451),0),
IF('TL09'!$B$3=P$3,SUMIF('TL09'!$C$10:$C$224,$C285,'TL09'!$J$10:$J$224),0),
IF('TL09'!$B$229=P$3,SUMIF('TL09'!$C$238:$C$451,$C285,'TL09'!$J$238:$J$451),0),
IF('TL10'!$B$3=P$3,SUMIF('TL10'!$C$10:$C$224,$C285,'TL10'!$J$10:$J$224),0),
IF('TL10'!$B$229=P$3,SUMIF('TL10'!$C$238:$C$451,$C285,'TL10'!$J$238:$J$451),0),
IF('TL11'!$B$3=P$3,SUMIF('TL11'!$C$10:$C$224,$C285,'TL11'!$J$10:$J$224),0),
IF('TL11'!$B$229=P$3,SUMIF('TL11'!$C$238:$C$451,$C285,'TL11'!$J$238:$J$451),0),
IF('TL12'!$B$3=P$3,SUMIF('TL12'!$C$10:$C$224,$C285,'TL12'!$J$10:$J$224),0),
IF('TL12'!$B$229=P$3,SUMIF('TL12'!$C$238:$C$451,$C285,'TL12'!$J$238:$J$451),0),
IF('TL13'!$B$3=P$3,SUMIF('TL13'!$C$10:$C$224,$C285,'TL13'!$J$10:$J$224),0),
IF('TL13'!$B$229=P$3,SUMIF('TL13'!$C$238:$C$451,$C285,'TL13'!$J$238:$J$451),0),
IF('TL14'!$B$3=P$3,SUMIF('TL14'!$C$10:$C$224,$C285,'TL14'!$J$10:$J$224),0),
IF('TL14'!$B$229=P$3,SUMIF('TL14'!$C$238:$C$451,$C285,'TL14'!$J$238:$J$451),0),
IF('TL15'!$B$3=P$3,SUMIF('TL15'!$C$10:$C$224,$C285,'TL15'!$J$10:$J$224),0),
IF('TL15'!$B$229=P$3,SUMIF('TL15'!$C$238:$C$451,$C285,'TL15'!$J$238:$J$451),0),
IF('TL16'!$B$3=P$3,SUMIF('TL16'!$C$10:$C$224,$C285,'TL16'!$J$10:$J$224),0),
IF('TL16'!$B$229=P$3,SUMIF('TL16'!$C$238:$C$451,$C285,'TL16'!$J$238:$J$451),0),
IF('TL17'!$B$3=P$3,SUMIF('TL17'!$C$10:$C$224,$C285,'TL17'!$J$10:$J$224),0),
IF('TL17'!$B$229=P$3,SUMIF('TL17'!$C$238:$C$451,$C285,'TL17'!$J$238:$J$451),0),
IF('TL18'!$B$3=P$3,SUMIF('TL18'!$C$10:$C$224,$C285,'TL18'!$J$10:$J$224),0),
IF('TL18'!$B$229=P$3,SUMIF('TL18'!$C$238:$C$451,$C285,'TL18'!$J$238:$J$451),0),
IF('TL19'!$B$3=P$3,SUMIF('TL19'!$C$10:$C$224,$C285,'TL19'!$J$10:$J$224),0),
IF('TL19'!$B$229=P$3,SUMIF('TL19'!$C$238:$C$451,$C285,'TL19'!$J$238:$J$451),0)
),0)</f>
        <v/>
      </c>
      <c r="Q285" s="9">
        <f>IFERROR(SUM(
IF('TL01'!$B$3=Q$3,SUMIF('TL01'!$C$10:$C$224,$C285,'TL01'!$J$10:$J$224),0),
IF('TL01'!$B$229=Q$3,SUMIF('TL01'!$C$238:$C$451,$C285,'TL01'!$J$238:$J$451),0),
IF('TL02'!$B$3=Q$3,SUMIF('TL02'!$C$10:$C$224,$C285,'TL02'!$J$10:$J$224),0),
IF('TL02'!$B$229=Q$3,SUMIF('TL02'!$C$238:$C$451,$C285,'TL02'!$J$238:$J$451),0),
IF('TL03'!$B$3=Q$3,SUMIF('TL03'!$C$10:$C$224,$C285,'TL03'!$J$10:$J$224),0),
IF('TL03'!$B$229=Q$3,SUMIF('TL03'!$C$238:$C$451,$C285,'TL03'!$J$238:$J$451),0),
IF('TL04'!$B$3=Q$3,SUMIF('TL04'!$C$10:$C$224,$C285,'TL04'!$J$10:$J$224),0),
IF('TL04'!$B$229=Q$3,SUMIF('TL04'!$C$238:$C$451,$C285,'TL04'!$J$238:$J$451),0),
IF('TL05'!$B$3=Q$3,SUMIF('TL05'!$C$10:$C$224,$C285,'TL05'!$J$10:$J$224),0),
IF('TL05'!$B$229=Q$3,SUMIF('TL05'!$C$238:$C$451,$C285,'TL05'!$J$238:$J$451),0),
IF('TL06'!$B$3=Q$3,SUMIF('TL06'!$C$10:$C$224,$C285,'TL06'!$J$10:$J$224),0),
IF('TL06'!$B$229=Q$3,SUMIF('TL06'!$C$238:$C$451,$C285,'TL06'!$J$238:$J$451),0),
IF('TL07'!$B$3=Q$3,SUMIF('TL07'!$C$10:$C$224,$C285,'TL07'!$J$10:$J$224),0),
IF('TL07'!$B$229=Q$3,SUMIF('TL07'!$C$238:$C$451,$C285,'TL07'!$J$238:$J$451),0),
IF('TL08'!$B$3=Q$3,SUMIF('TL08'!$C$10:$C$224,$C285,'TL08'!$J$10:$J$224),0),
IF('TL08'!$B$229=Q$3,SUMIF('TL08'!$C$238:$C$451,$C285,'TL08'!$J$238:$J$451),0),
IF('TL09'!$B$3=Q$3,SUMIF('TL09'!$C$10:$C$224,$C285,'TL09'!$J$10:$J$224),0),
IF('TL09'!$B$229=Q$3,SUMIF('TL09'!$C$238:$C$451,$C285,'TL09'!$J$238:$J$451),0),
IF('TL10'!$B$3=Q$3,SUMIF('TL10'!$C$10:$C$224,$C285,'TL10'!$J$10:$J$224),0),
IF('TL10'!$B$229=Q$3,SUMIF('TL10'!$C$238:$C$451,$C285,'TL10'!$J$238:$J$451),0),
IF('TL11'!$B$3=Q$3,SUMIF('TL11'!$C$10:$C$224,$C285,'TL11'!$J$10:$J$224),0),
IF('TL11'!$B$229=Q$3,SUMIF('TL11'!$C$238:$C$451,$C285,'TL11'!$J$238:$J$451),0),
IF('TL12'!$B$3=Q$3,SUMIF('TL12'!$C$10:$C$224,$C285,'TL12'!$J$10:$J$224),0),
IF('TL12'!$B$229=Q$3,SUMIF('TL12'!$C$238:$C$451,$C285,'TL12'!$J$238:$J$451),0),
IF('TL13'!$B$3=Q$3,SUMIF('TL13'!$C$10:$C$224,$C285,'TL13'!$J$10:$J$224),0),
IF('TL13'!$B$229=Q$3,SUMIF('TL13'!$C$238:$C$451,$C285,'TL13'!$J$238:$J$451),0),
IF('TL14'!$B$3=Q$3,SUMIF('TL14'!$C$10:$C$224,$C285,'TL14'!$J$10:$J$224),0),
IF('TL14'!$B$229=Q$3,SUMIF('TL14'!$C$238:$C$451,$C285,'TL14'!$J$238:$J$451),0),
IF('TL15'!$B$3=Q$3,SUMIF('TL15'!$C$10:$C$224,$C285,'TL15'!$J$10:$J$224),0),
IF('TL15'!$B$229=Q$3,SUMIF('TL15'!$C$238:$C$451,$C285,'TL15'!$J$238:$J$451),0),
IF('TL16'!$B$3=Q$3,SUMIF('TL16'!$C$10:$C$224,$C285,'TL16'!$J$10:$J$224),0),
IF('TL16'!$B$229=Q$3,SUMIF('TL16'!$C$238:$C$451,$C285,'TL16'!$J$238:$J$451),0),
IF('TL17'!$B$3=Q$3,SUMIF('TL17'!$C$10:$C$224,$C285,'TL17'!$J$10:$J$224),0),
IF('TL17'!$B$229=Q$3,SUMIF('TL17'!$C$238:$C$451,$C285,'TL17'!$J$238:$J$451),0),
IF('TL18'!$B$3=Q$3,SUMIF('TL18'!$C$10:$C$224,$C285,'TL18'!$J$10:$J$224),0),
IF('TL18'!$B$229=Q$3,SUMIF('TL18'!$C$238:$C$451,$C285,'TL18'!$J$238:$J$451),0),
IF('TL19'!$B$3=Q$3,SUMIF('TL19'!$C$10:$C$224,$C285,'TL19'!$J$10:$J$224),0),
IF('TL19'!$B$229=Q$3,SUMIF('TL19'!$C$238:$C$451,$C285,'TL19'!$J$238:$J$451),0)
),0)</f>
        <v/>
      </c>
      <c r="R285" s="9">
        <f>IFERROR(
SUM(
SUMIF('TL01'!C:C,C285,'TL01'!J:J),
SUMIF('TL02'!C:C,C285,'TL02'!J:J),
SUMIF('TL03'!C:C,C285,'TL03'!J:J),
SUMIF('TL04'!C:C,C285,'TL04'!J:J),
SUMIF('TL05'!C:C,C285,'TL05'!J:J),
SUMIF('TL06'!C:C,C285,'TL06'!J:J),
SUMIF('TL07'!C:C,C285,'TL07'!J:J),
SUMIF('TL08'!C:C,C285,'TL08'!J:J),
SUMIF('TL09'!C:C,C285,'TL09'!J:J),
SUMIF('TL10'!C:C,C285,'TL10'!J:J),
SUMIF('TL11'!C:C,C285,'TL11'!J:J),
SUMIF('TL12'!C:C,C285,'TL12'!J:J),
SUMIF('TL13'!C:C,C285,'TL13'!J:J),
SUMIF('TL14'!C:C,C285,'TL14'!J:J),
SUMIF('TL15'!C:C,C285,'TL15'!J:J),
SUMIF('TL16'!C:C,C285,'TL16'!J:J),
SUMIF('TL17'!C:C,C285,'TL17'!J:J),
SUMIF('TL18'!C:C,C285,'TL18'!J:J),SUMIF('TL19'!C:C,C285,'TL19'!J:J))
,0)</f>
        <v/>
      </c>
      <c r="S285" s="17">
        <f>IFERROR(__xludf.DUMMYFUNCTION("IFERROR(VLOOKUP(C285,
IMPORTRANGE(""1wULbzX32WdYsx-lj2U3uUNBBe2INVIRDtcK0d-Dvl90"",
""26-27!C:G""),
5,
FALSE),
"""")"),8.51)</f>
        <v/>
      </c>
      <c r="T285" s="9" t="n"/>
      <c r="U285" s="92">
        <f>MAX(0,R285-T285)</f>
        <v/>
      </c>
      <c r="V285" s="93">
        <f>U285*S285</f>
        <v/>
      </c>
    </row>
    <row r="286" hidden="1" ht="15.75" customHeight="1" s="297">
      <c r="A286" s="4" t="inlineStr">
        <is>
          <t>Vittia</t>
        </is>
      </c>
      <c r="B286" s="125" t="inlineStr">
        <is>
          <t>NUTRIÇÃO</t>
        </is>
      </c>
      <c r="C286" s="4" t="inlineStr">
        <is>
          <t>NHT ZINCO</t>
        </is>
      </c>
      <c r="D286" s="20" t="n"/>
      <c r="E286" s="9" t="n"/>
      <c r="F286" s="4" t="inlineStr">
        <is>
          <t>L</t>
        </is>
      </c>
      <c r="G286" s="9" t="n"/>
      <c r="H286" s="9" t="n">
        <v>3</v>
      </c>
      <c r="I286" s="1" t="n"/>
      <c r="J286" s="9">
        <f>IFERROR(SUM(
IF('TL01'!$B$3=J$3,SUMIF('TL01'!$C$10:$C$224,$C286,'TL01'!$J$10:$J$224),0),
IF('TL01'!$B$229=J$3,SUMIF('TL01'!$C$238:$C$451,$C286,'TL01'!$J$238:$J$451),0),
IF('TL02'!$B$3=J$3,SUMIF('TL02'!$C$10:$C$224,$C286,'TL02'!$J$10:$J$224),0),
IF('TL02'!$B$229=J$3,SUMIF('TL02'!$C$238:$C$451,$C286,'TL02'!$J$238:$J$451),0),
IF('TL03'!$B$3=J$3,SUMIF('TL03'!$C$10:$C$224,$C286,'TL03'!$J$10:$J$224),0),
IF('TL03'!$B$229=J$3,SUMIF('TL03'!$C$238:$C$451,$C286,'TL03'!$J$238:$J$451),0),
IF('TL04'!$B$3=J$3,SUMIF('TL04'!$C$10:$C$224,$C286,'TL04'!$J$10:$J$224),0),
IF('TL04'!$B$229=J$3,SUMIF('TL04'!$C$238:$C$451,$C286,'TL04'!$J$238:$J$451),0),
IF('TL05'!$B$3=J$3,SUMIF('TL05'!$C$10:$C$224,$C286,'TL05'!$J$10:$J$224),0),
IF('TL05'!$B$229=J$3,SUMIF('TL05'!$C$238:$C$451,$C286,'TL05'!$J$238:$J$451),0),
IF('TL06'!$B$3=J$3,SUMIF('TL06'!$C$10:$C$224,$C286,'TL06'!$J$10:$J$224),0),
IF('TL06'!$B$229=J$3,SUMIF('TL06'!$C$238:$C$451,$C286,'TL06'!$J$238:$J$451),0),
IF('TL07'!$B$3=J$3,SUMIF('TL07'!$C$10:$C$224,$C286,'TL07'!$J$10:$J$224),0),
IF('TL07'!$B$229=J$3,SUMIF('TL07'!$C$238:$C$451,$C286,'TL07'!$J$238:$J$451),0),
IF('TL08'!$B$3=J$3,SUMIF('TL08'!$C$10:$C$224,$C286,'TL08'!$J$10:$J$224),0),
IF('TL08'!$B$229=J$3,SUMIF('TL08'!$C$238:$C$451,$C286,'TL08'!$J$238:$J$451),0),
IF('TL09'!$B$3=J$3,SUMIF('TL09'!$C$10:$C$224,$C286,'TL09'!$J$10:$J$224),0),
IF('TL09'!$B$229=J$3,SUMIF('TL09'!$C$238:$C$451,$C286,'TL09'!$J$238:$J$451),0),
IF('TL10'!$B$3=J$3,SUMIF('TL10'!$C$10:$C$224,$C286,'TL10'!$J$10:$J$224),0),
IF('TL10'!$B$229=J$3,SUMIF('TL10'!$C$238:$C$451,$C286,'TL10'!$J$238:$J$451),0),
IF('TL11'!$B$3=J$3,SUMIF('TL11'!$C$10:$C$224,$C286,'TL11'!$J$10:$J$224),0),
IF('TL11'!$B$229=J$3,SUMIF('TL11'!$C$238:$C$451,$C286,'TL11'!$J$238:$J$451),0),
IF('TL12'!$B$3=J$3,SUMIF('TL12'!$C$10:$C$224,$C286,'TL12'!$J$10:$J$224),0),
IF('TL12'!$B$229=J$3,SUMIF('TL12'!$C$238:$C$451,$C286,'TL12'!$J$238:$J$451),0),
IF('TL13'!$B$3=J$3,SUMIF('TL13'!$C$10:$C$224,$C286,'TL13'!$J$10:$J$224),0),
IF('TL13'!$B$229=J$3,SUMIF('TL13'!$C$238:$C$451,$C286,'TL13'!$J$238:$J$451),0),
IF('TL14'!$B$3=J$3,SUMIF('TL14'!$C$10:$C$224,$C286,'TL14'!$J$10:$J$224),0),
IF('TL14'!$B$229=J$3,SUMIF('TL14'!$C$238:$C$451,$C286,'TL14'!$J$238:$J$451),0),
IF('TL15'!$B$3=J$3,SUMIF('TL15'!$C$10:$C$224,$C286,'TL15'!$J$10:$J$224),0),
IF('TL15'!$B$229=J$3,SUMIF('TL15'!$C$238:$C$451,$C286,'TL15'!$J$238:$J$451),0),
IF('TL16'!$B$3=J$3,SUMIF('TL16'!$C$10:$C$224,$C286,'TL16'!$J$10:$J$224),0),
IF('TL16'!$B$229=J$3,SUMIF('TL16'!$C$238:$C$451,$C286,'TL16'!$J$238:$J$451),0),
IF('TL17'!$B$3=J$3,SUMIF('TL17'!$C$10:$C$224,$C286,'TL17'!$J$10:$J$224),0),
IF('TL17'!$B$229=J$3,SUMIF('TL17'!$C$238:$C$451,$C286,'TL17'!$J$238:$J$451),0),
IF('TL18'!$B$3=J$3,SUMIF('TL18'!$C$10:$C$224,$C286,'TL18'!$J$10:$J$224),0),
IF('TL18'!$B$229=J$3,SUMIF('TL18'!$C$238:$C$451,$C286,'TL18'!$J$238:$J$451),0),
IF('TL19'!$B$3=J$3,SUMIF('TL19'!$C$10:$C$224,$C286,'TL19'!$J$10:$J$224),0),
IF('TL19'!$B$229=J$3,SUMIF('TL19'!$C$238:$C$451,$C286,'TL19'!$J$238:$J$451),0)
),0)</f>
        <v/>
      </c>
      <c r="K286" s="9">
        <f>IFERROR(SUM(
IF('TL01'!$B$3=K$3,SUMIF('TL01'!$C$10:$C$224,$C286,'TL01'!$J$10:$J$224),0),
IF('TL01'!$B$229=K$3,SUMIF('TL01'!$C$238:$C$451,$C286,'TL01'!$J$238:$J$451),0),
IF('TL02'!$B$3=K$3,SUMIF('TL02'!$C$10:$C$224,$C286,'TL02'!$J$10:$J$224),0),
IF('TL02'!$B$229=K$3,SUMIF('TL02'!$C$238:$C$451,$C286,'TL02'!$J$238:$J$451),0),
IF('TL03'!$B$3=K$3,SUMIF('TL03'!$C$10:$C$224,$C286,'TL03'!$J$10:$J$224),0),
IF('TL03'!$B$229=K$3,SUMIF('TL03'!$C$238:$C$451,$C286,'TL03'!$J$238:$J$451),0),
IF('TL04'!$B$3=K$3,SUMIF('TL04'!$C$10:$C$224,$C286,'TL04'!$J$10:$J$224),0),
IF('TL04'!$B$229=K$3,SUMIF('TL04'!$C$238:$C$451,$C286,'TL04'!$J$238:$J$451),0),
IF('TL05'!$B$3=K$3,SUMIF('TL05'!$C$10:$C$224,$C286,'TL05'!$J$10:$J$224),0),
IF('TL05'!$B$229=K$3,SUMIF('TL05'!$C$238:$C$451,$C286,'TL05'!$J$238:$J$451),0),
IF('TL06'!$B$3=K$3,SUMIF('TL06'!$C$10:$C$224,$C286,'TL06'!$J$10:$J$224),0),
IF('TL06'!$B$229=K$3,SUMIF('TL06'!$C$238:$C$451,$C286,'TL06'!$J$238:$J$451),0),
IF('TL07'!$B$3=K$3,SUMIF('TL07'!$C$10:$C$224,$C286,'TL07'!$J$10:$J$224),0),
IF('TL07'!$B$229=K$3,SUMIF('TL07'!$C$238:$C$451,$C286,'TL07'!$J$238:$J$451),0),
IF('TL08'!$B$3=K$3,SUMIF('TL08'!$C$10:$C$224,$C286,'TL08'!$J$10:$J$224),0),
IF('TL08'!$B$229=K$3,SUMIF('TL08'!$C$238:$C$451,$C286,'TL08'!$J$238:$J$451),0),
IF('TL09'!$B$3=K$3,SUMIF('TL09'!$C$10:$C$224,$C286,'TL09'!$J$10:$J$224),0),
IF('TL09'!$B$229=K$3,SUMIF('TL09'!$C$238:$C$451,$C286,'TL09'!$J$238:$J$451),0),
IF('TL10'!$B$3=K$3,SUMIF('TL10'!$C$10:$C$224,$C286,'TL10'!$J$10:$J$224),0),
IF('TL10'!$B$229=K$3,SUMIF('TL10'!$C$238:$C$451,$C286,'TL10'!$J$238:$J$451),0),
IF('TL11'!$B$3=K$3,SUMIF('TL11'!$C$10:$C$224,$C286,'TL11'!$J$10:$J$224),0),
IF('TL11'!$B$229=K$3,SUMIF('TL11'!$C$238:$C$451,$C286,'TL11'!$J$238:$J$451),0),
IF('TL12'!$B$3=K$3,SUMIF('TL12'!$C$10:$C$224,$C286,'TL12'!$J$10:$J$224),0),
IF('TL12'!$B$229=K$3,SUMIF('TL12'!$C$238:$C$451,$C286,'TL12'!$J$238:$J$451),0),
IF('TL13'!$B$3=K$3,SUMIF('TL13'!$C$10:$C$224,$C286,'TL13'!$J$10:$J$224),0),
IF('TL13'!$B$229=K$3,SUMIF('TL13'!$C$238:$C$451,$C286,'TL13'!$J$238:$J$451),0),
IF('TL14'!$B$3=K$3,SUMIF('TL14'!$C$10:$C$224,$C286,'TL14'!$J$10:$J$224),0),
IF('TL14'!$B$229=K$3,SUMIF('TL14'!$C$238:$C$451,$C286,'TL14'!$J$238:$J$451),0),
IF('TL15'!$B$3=K$3,SUMIF('TL15'!$C$10:$C$224,$C286,'TL15'!$J$10:$J$224),0),
IF('TL15'!$B$229=K$3,SUMIF('TL15'!$C$238:$C$451,$C286,'TL15'!$J$238:$J$451),0),
IF('TL16'!$B$3=K$3,SUMIF('TL16'!$C$10:$C$224,$C286,'TL16'!$J$10:$J$224),0),
IF('TL16'!$B$229=K$3,SUMIF('TL16'!$C$238:$C$451,$C286,'TL16'!$J$238:$J$451),0),
IF('TL17'!$B$3=K$3,SUMIF('TL17'!$C$10:$C$224,$C286,'TL17'!$J$10:$J$224),0),
IF('TL17'!$B$229=K$3,SUMIF('TL17'!$C$238:$C$451,$C286,'TL17'!$J$238:$J$451),0),
IF('TL18'!$B$3=K$3,SUMIF('TL18'!$C$10:$C$224,$C286,'TL18'!$J$10:$J$224),0),
IF('TL18'!$B$229=K$3,SUMIF('TL18'!$C$238:$C$451,$C286,'TL18'!$J$238:$J$451),0),
IF('TL19'!$B$3=K$3,SUMIF('TL19'!$C$10:$C$224,$C286,'TL19'!$J$10:$J$224),0),
IF('TL19'!$B$229=K$3,SUMIF('TL19'!$C$238:$C$451,$C286,'TL19'!$J$238:$J$451),0)
),0)</f>
        <v/>
      </c>
      <c r="L286" s="9">
        <f>IFERROR(SUM(
IF('TL01'!$B$3=L$3,SUMIF('TL01'!$C$10:$C$224,$C286,'TL01'!$J$10:$J$224),0),
IF('TL01'!$B$229=L$3,SUMIF('TL01'!$C$238:$C$451,$C286,'TL01'!$J$238:$J$451),0),
IF('TL02'!$B$3=L$3,SUMIF('TL02'!$C$10:$C$224,$C286,'TL02'!$J$10:$J$224),0),
IF('TL02'!$B$229=L$3,SUMIF('TL02'!$C$238:$C$451,$C286,'TL02'!$J$238:$J$451),0),
IF('TL03'!$B$3=L$3,SUMIF('TL03'!$C$10:$C$224,$C286,'TL03'!$J$10:$J$224),0),
IF('TL03'!$B$229=L$3,SUMIF('TL03'!$C$238:$C$451,$C286,'TL03'!$J$238:$J$451),0),
IF('TL04'!$B$3=L$3,SUMIF('TL04'!$C$10:$C$224,$C286,'TL04'!$J$10:$J$224),0),
IF('TL04'!$B$229=L$3,SUMIF('TL04'!$C$238:$C$451,$C286,'TL04'!$J$238:$J$451),0),
IF('TL05'!$B$3=L$3,SUMIF('TL05'!$C$10:$C$224,$C286,'TL05'!$J$10:$J$224),0),
IF('TL05'!$B$229=L$3,SUMIF('TL05'!$C$238:$C$451,$C286,'TL05'!$J$238:$J$451),0),
IF('TL06'!$B$3=L$3,SUMIF('TL06'!$C$10:$C$224,$C286,'TL06'!$J$10:$J$224),0),
IF('TL06'!$B$229=L$3,SUMIF('TL06'!$C$238:$C$451,$C286,'TL06'!$J$238:$J$451),0),
IF('TL07'!$B$3=L$3,SUMIF('TL07'!$C$10:$C$224,$C286,'TL07'!$J$10:$J$224),0),
IF('TL07'!$B$229=L$3,SUMIF('TL07'!$C$238:$C$451,$C286,'TL07'!$J$238:$J$451),0),
IF('TL08'!$B$3=L$3,SUMIF('TL08'!$C$10:$C$224,$C286,'TL08'!$J$10:$J$224),0),
IF('TL08'!$B$229=L$3,SUMIF('TL08'!$C$238:$C$451,$C286,'TL08'!$J$238:$J$451),0),
IF('TL09'!$B$3=L$3,SUMIF('TL09'!$C$10:$C$224,$C286,'TL09'!$J$10:$J$224),0),
IF('TL09'!$B$229=L$3,SUMIF('TL09'!$C$238:$C$451,$C286,'TL09'!$J$238:$J$451),0),
IF('TL10'!$B$3=L$3,SUMIF('TL10'!$C$10:$C$224,$C286,'TL10'!$J$10:$J$224),0),
IF('TL10'!$B$229=L$3,SUMIF('TL10'!$C$238:$C$451,$C286,'TL10'!$J$238:$J$451),0),
IF('TL11'!$B$3=L$3,SUMIF('TL11'!$C$10:$C$224,$C286,'TL11'!$J$10:$J$224),0),
IF('TL11'!$B$229=L$3,SUMIF('TL11'!$C$238:$C$451,$C286,'TL11'!$J$238:$J$451),0),
IF('TL12'!$B$3=L$3,SUMIF('TL12'!$C$10:$C$224,$C286,'TL12'!$J$10:$J$224),0),
IF('TL12'!$B$229=L$3,SUMIF('TL12'!$C$238:$C$451,$C286,'TL12'!$J$238:$J$451),0),
IF('TL13'!$B$3=L$3,SUMIF('TL13'!$C$10:$C$224,$C286,'TL13'!$J$10:$J$224),0),
IF('TL13'!$B$229=L$3,SUMIF('TL13'!$C$238:$C$451,$C286,'TL13'!$J$238:$J$451),0),
IF('TL14'!$B$3=L$3,SUMIF('TL14'!$C$10:$C$224,$C286,'TL14'!$J$10:$J$224),0),
IF('TL14'!$B$229=L$3,SUMIF('TL14'!$C$238:$C$451,$C286,'TL14'!$J$238:$J$451),0),
IF('TL15'!$B$3=L$3,SUMIF('TL15'!$C$10:$C$224,$C286,'TL15'!$J$10:$J$224),0),
IF('TL15'!$B$229=L$3,SUMIF('TL15'!$C$238:$C$451,$C286,'TL15'!$J$238:$J$451),0),
IF('TL16'!$B$3=L$3,SUMIF('TL16'!$C$10:$C$224,$C286,'TL16'!$J$10:$J$224),0),
IF('TL16'!$B$229=L$3,SUMIF('TL16'!$C$238:$C$451,$C286,'TL16'!$J$238:$J$451),0),
IF('TL17'!$B$3=L$3,SUMIF('TL17'!$C$10:$C$224,$C286,'TL17'!$J$10:$J$224),0),
IF('TL17'!$B$229=L$3,SUMIF('TL17'!$C$238:$C$451,$C286,'TL17'!$J$238:$J$451),0),
IF('TL18'!$B$3=L$3,SUMIF('TL18'!$C$10:$C$224,$C286,'TL18'!$J$10:$J$224),0),
IF('TL18'!$B$229=L$3,SUMIF('TL18'!$C$238:$C$451,$C286,'TL18'!$J$238:$J$451),0),
IF('TL19'!$B$3=L$3,SUMIF('TL19'!$C$10:$C$224,$C286,'TL19'!$J$10:$J$224),0),
IF('TL19'!$B$229=L$3,SUMIF('TL19'!$C$238:$C$451,$C286,'TL19'!$J$238:$J$451),0)
),0)</f>
        <v/>
      </c>
      <c r="M286" s="9">
        <f>IFERROR(SUM(
IF('TL01'!$B$3=M$3,SUMIF('TL01'!$C$10:$C$224,$C286,'TL01'!$J$10:$J$224),0),
IF('TL01'!$B$229=M$3,SUMIF('TL01'!$C$238:$C$451,$C286,'TL01'!$J$238:$J$451),0),
IF('TL02'!$B$3=M$3,SUMIF('TL02'!$C$10:$C$224,$C286,'TL02'!$J$10:$J$224),0),
IF('TL02'!$B$229=M$3,SUMIF('TL02'!$C$238:$C$451,$C286,'TL02'!$J$238:$J$451),0),
IF('TL03'!$B$3=M$3,SUMIF('TL03'!$C$10:$C$224,$C286,'TL03'!$J$10:$J$224),0),
IF('TL03'!$B$229=M$3,SUMIF('TL03'!$C$238:$C$451,$C286,'TL03'!$J$238:$J$451),0),
IF('TL04'!$B$3=M$3,SUMIF('TL04'!$C$10:$C$224,$C286,'TL04'!$J$10:$J$224),0),
IF('TL04'!$B$229=M$3,SUMIF('TL04'!$C$238:$C$451,$C286,'TL04'!$J$238:$J$451),0),
IF('TL05'!$B$3=M$3,SUMIF('TL05'!$C$10:$C$224,$C286,'TL05'!$J$10:$J$224),0),
IF('TL05'!$B$229=M$3,SUMIF('TL05'!$C$238:$C$451,$C286,'TL05'!$J$238:$J$451),0),
IF('TL06'!$B$3=M$3,SUMIF('TL06'!$C$10:$C$224,$C286,'TL06'!$J$10:$J$224),0),
IF('TL06'!$B$229=M$3,SUMIF('TL06'!$C$238:$C$451,$C286,'TL06'!$J$238:$J$451),0),
IF('TL07'!$B$3=M$3,SUMIF('TL07'!$C$10:$C$224,$C286,'TL07'!$J$10:$J$224),0),
IF('TL07'!$B$229=M$3,SUMIF('TL07'!$C$238:$C$451,$C286,'TL07'!$J$238:$J$451),0),
IF('TL08'!$B$3=M$3,SUMIF('TL08'!$C$10:$C$224,$C286,'TL08'!$J$10:$J$224),0),
IF('TL08'!$B$229=M$3,SUMIF('TL08'!$C$238:$C$451,$C286,'TL08'!$J$238:$J$451),0),
IF('TL09'!$B$3=M$3,SUMIF('TL09'!$C$10:$C$224,$C286,'TL09'!$J$10:$J$224),0),
IF('TL09'!$B$229=M$3,SUMIF('TL09'!$C$238:$C$451,$C286,'TL09'!$J$238:$J$451),0),
IF('TL10'!$B$3=M$3,SUMIF('TL10'!$C$10:$C$224,$C286,'TL10'!$J$10:$J$224),0),
IF('TL10'!$B$229=M$3,SUMIF('TL10'!$C$238:$C$451,$C286,'TL10'!$J$238:$J$451),0),
IF('TL11'!$B$3=M$3,SUMIF('TL11'!$C$10:$C$224,$C286,'TL11'!$J$10:$J$224),0),
IF('TL11'!$B$229=M$3,SUMIF('TL11'!$C$238:$C$451,$C286,'TL11'!$J$238:$J$451),0),
IF('TL12'!$B$3=M$3,SUMIF('TL12'!$C$10:$C$224,$C286,'TL12'!$J$10:$J$224),0),
IF('TL12'!$B$229=M$3,SUMIF('TL12'!$C$238:$C$451,$C286,'TL12'!$J$238:$J$451),0),
IF('TL13'!$B$3=M$3,SUMIF('TL13'!$C$10:$C$224,$C286,'TL13'!$J$10:$J$224),0),
IF('TL13'!$B$229=M$3,SUMIF('TL13'!$C$238:$C$451,$C286,'TL13'!$J$238:$J$451),0),
IF('TL14'!$B$3=M$3,SUMIF('TL14'!$C$10:$C$224,$C286,'TL14'!$J$10:$J$224),0),
IF('TL14'!$B$229=M$3,SUMIF('TL14'!$C$238:$C$451,$C286,'TL14'!$J$238:$J$451),0),
IF('TL15'!$B$3=M$3,SUMIF('TL15'!$C$10:$C$224,$C286,'TL15'!$J$10:$J$224),0),
IF('TL15'!$B$229=M$3,SUMIF('TL15'!$C$238:$C$451,$C286,'TL15'!$J$238:$J$451),0),
IF('TL16'!$B$3=M$3,SUMIF('TL16'!$C$10:$C$224,$C286,'TL16'!$J$10:$J$224),0),
IF('TL16'!$B$229=M$3,SUMIF('TL16'!$C$238:$C$451,$C286,'TL16'!$J$238:$J$451),0),
IF('TL17'!$B$3=M$3,SUMIF('TL17'!$C$10:$C$224,$C286,'TL17'!$J$10:$J$224),0),
IF('TL17'!$B$229=M$3,SUMIF('TL17'!$C$238:$C$451,$C286,'TL17'!$J$238:$J$451),0),
IF('TL18'!$B$3=M$3,SUMIF('TL18'!$C$10:$C$224,$C286,'TL18'!$J$10:$J$224),0),
IF('TL18'!$B$229=M$3,SUMIF('TL18'!$C$238:$C$451,$C286,'TL18'!$J$238:$J$451),0),
IF('TL19'!$B$3=M$3,SUMIF('TL19'!$C$10:$C$224,$C286,'TL19'!$J$10:$J$224),0),
IF('TL19'!$B$229=M$3,SUMIF('TL19'!$C$238:$C$451,$C286,'TL19'!$J$238:$J$451),0)
),0)</f>
        <v/>
      </c>
      <c r="N286" s="9">
        <f>IFERROR(SUM(
IF('TL01'!$B$3=N$3,SUMIF('TL01'!$C$10:$C$224,$C286,'TL01'!$J$10:$J$224),0),
IF('TL01'!$B$229=N$3,SUMIF('TL01'!$C$238:$C$451,$C286,'TL01'!$J$238:$J$451),0),
IF('TL02'!$B$3=N$3,SUMIF('TL02'!$C$10:$C$224,$C286,'TL02'!$J$10:$J$224),0),
IF('TL02'!$B$229=N$3,SUMIF('TL02'!$C$238:$C$451,$C286,'TL02'!$J$238:$J$451),0),
IF('TL03'!$B$3=N$3,SUMIF('TL03'!$C$10:$C$224,$C286,'TL03'!$J$10:$J$224),0),
IF('TL03'!$B$229=N$3,SUMIF('TL03'!$C$238:$C$451,$C286,'TL03'!$J$238:$J$451),0),
IF('TL04'!$B$3=N$3,SUMIF('TL04'!$C$10:$C$224,$C286,'TL04'!$J$10:$J$224),0),
IF('TL04'!$B$229=N$3,SUMIF('TL04'!$C$238:$C$451,$C286,'TL04'!$J$238:$J$451),0),
IF('TL05'!$B$3=N$3,SUMIF('TL05'!$C$10:$C$224,$C286,'TL05'!$J$10:$J$224),0),
IF('TL05'!$B$229=N$3,SUMIF('TL05'!$C$238:$C$451,$C286,'TL05'!$J$238:$J$451),0),
IF('TL06'!$B$3=N$3,SUMIF('TL06'!$C$10:$C$224,$C286,'TL06'!$J$10:$J$224),0),
IF('TL06'!$B$229=N$3,SUMIF('TL06'!$C$238:$C$451,$C286,'TL06'!$J$238:$J$451),0),
IF('TL07'!$B$3=N$3,SUMIF('TL07'!$C$10:$C$224,$C286,'TL07'!$J$10:$J$224),0),
IF('TL07'!$B$229=N$3,SUMIF('TL07'!$C$238:$C$451,$C286,'TL07'!$J$238:$J$451),0),
IF('TL08'!$B$3=N$3,SUMIF('TL08'!$C$10:$C$224,$C286,'TL08'!$J$10:$J$224),0),
IF('TL08'!$B$229=N$3,SUMIF('TL08'!$C$238:$C$451,$C286,'TL08'!$J$238:$J$451),0),
IF('TL09'!$B$3=N$3,SUMIF('TL09'!$C$10:$C$224,$C286,'TL09'!$J$10:$J$224),0),
IF('TL09'!$B$229=N$3,SUMIF('TL09'!$C$238:$C$451,$C286,'TL09'!$J$238:$J$451),0),
IF('TL10'!$B$3=N$3,SUMIF('TL10'!$C$10:$C$224,$C286,'TL10'!$J$10:$J$224),0),
IF('TL10'!$B$229=N$3,SUMIF('TL10'!$C$238:$C$451,$C286,'TL10'!$J$238:$J$451),0),
IF('TL11'!$B$3=N$3,SUMIF('TL11'!$C$10:$C$224,$C286,'TL11'!$J$10:$J$224),0),
IF('TL11'!$B$229=N$3,SUMIF('TL11'!$C$238:$C$451,$C286,'TL11'!$J$238:$J$451),0),
IF('TL12'!$B$3=N$3,SUMIF('TL12'!$C$10:$C$224,$C286,'TL12'!$J$10:$J$224),0),
IF('TL12'!$B$229=N$3,SUMIF('TL12'!$C$238:$C$451,$C286,'TL12'!$J$238:$J$451),0),
IF('TL13'!$B$3=N$3,SUMIF('TL13'!$C$10:$C$224,$C286,'TL13'!$J$10:$J$224),0),
IF('TL13'!$B$229=N$3,SUMIF('TL13'!$C$238:$C$451,$C286,'TL13'!$J$238:$J$451),0),
IF('TL14'!$B$3=N$3,SUMIF('TL14'!$C$10:$C$224,$C286,'TL14'!$J$10:$J$224),0),
IF('TL14'!$B$229=N$3,SUMIF('TL14'!$C$238:$C$451,$C286,'TL14'!$J$238:$J$451),0),
IF('TL15'!$B$3=N$3,SUMIF('TL15'!$C$10:$C$224,$C286,'TL15'!$J$10:$J$224),0),
IF('TL15'!$B$229=N$3,SUMIF('TL15'!$C$238:$C$451,$C286,'TL15'!$J$238:$J$451),0),
IF('TL16'!$B$3=N$3,SUMIF('TL16'!$C$10:$C$224,$C286,'TL16'!$J$10:$J$224),0),
IF('TL16'!$B$229=N$3,SUMIF('TL16'!$C$238:$C$451,$C286,'TL16'!$J$238:$J$451),0),
IF('TL17'!$B$3=N$3,SUMIF('TL17'!$C$10:$C$224,$C286,'TL17'!$J$10:$J$224),0),
IF('TL17'!$B$229=N$3,SUMIF('TL17'!$C$238:$C$451,$C286,'TL17'!$J$238:$J$451),0),
IF('TL18'!$B$3=N$3,SUMIF('TL18'!$C$10:$C$224,$C286,'TL18'!$J$10:$J$224),0),
IF('TL18'!$B$229=N$3,SUMIF('TL18'!$C$238:$C$451,$C286,'TL18'!$J$238:$J$451),0),
IF('TL19'!$B$3=N$3,SUMIF('TL19'!$C$10:$C$224,$C286,'TL19'!$J$10:$J$224),0),
IF('TL19'!$B$229=N$3,SUMIF('TL19'!$C$238:$C$451,$C286,'TL19'!$J$238:$J$451),0)
),0)</f>
        <v/>
      </c>
      <c r="O286" s="9">
        <f>IFERROR(SUM(
IF('TL01'!$B$3=O$3,SUMIF('TL01'!$C$10:$C$224,$C286,'TL01'!$J$10:$J$224),0),
IF('TL01'!$B$229=O$3,SUMIF('TL01'!$C$238:$C$451,$C286,'TL01'!$J$238:$J$451),0),
IF('TL02'!$B$3=O$3,SUMIF('TL02'!$C$10:$C$224,$C286,'TL02'!$J$10:$J$224),0),
IF('TL02'!$B$229=O$3,SUMIF('TL02'!$C$238:$C$451,$C286,'TL02'!$J$238:$J$451),0),
IF('TL03'!$B$3=O$3,SUMIF('TL03'!$C$10:$C$224,$C286,'TL03'!$J$10:$J$224),0),
IF('TL03'!$B$229=O$3,SUMIF('TL03'!$C$238:$C$451,$C286,'TL03'!$J$238:$J$451),0),
IF('TL04'!$B$3=O$3,SUMIF('TL04'!$C$10:$C$224,$C286,'TL04'!$J$10:$J$224),0),
IF('TL04'!$B$229=O$3,SUMIF('TL04'!$C$238:$C$451,$C286,'TL04'!$J$238:$J$451),0),
IF('TL05'!$B$3=O$3,SUMIF('TL05'!$C$10:$C$224,$C286,'TL05'!$J$10:$J$224),0),
IF('TL05'!$B$229=O$3,SUMIF('TL05'!$C$238:$C$451,$C286,'TL05'!$J$238:$J$451),0),
IF('TL06'!$B$3=O$3,SUMIF('TL06'!$C$10:$C$224,$C286,'TL06'!$J$10:$J$224),0),
IF('TL06'!$B$229=O$3,SUMIF('TL06'!$C$238:$C$451,$C286,'TL06'!$J$238:$J$451),0),
IF('TL07'!$B$3=O$3,SUMIF('TL07'!$C$10:$C$224,$C286,'TL07'!$J$10:$J$224),0),
IF('TL07'!$B$229=O$3,SUMIF('TL07'!$C$238:$C$451,$C286,'TL07'!$J$238:$J$451),0),
IF('TL08'!$B$3=O$3,SUMIF('TL08'!$C$10:$C$224,$C286,'TL08'!$J$10:$J$224),0),
IF('TL08'!$B$229=O$3,SUMIF('TL08'!$C$238:$C$451,$C286,'TL08'!$J$238:$J$451),0),
IF('TL09'!$B$3=O$3,SUMIF('TL09'!$C$10:$C$224,$C286,'TL09'!$J$10:$J$224),0),
IF('TL09'!$B$229=O$3,SUMIF('TL09'!$C$238:$C$451,$C286,'TL09'!$J$238:$J$451),0),
IF('TL10'!$B$3=O$3,SUMIF('TL10'!$C$10:$C$224,$C286,'TL10'!$J$10:$J$224),0),
IF('TL10'!$B$229=O$3,SUMIF('TL10'!$C$238:$C$451,$C286,'TL10'!$J$238:$J$451),0),
IF('TL11'!$B$3=O$3,SUMIF('TL11'!$C$10:$C$224,$C286,'TL11'!$J$10:$J$224),0),
IF('TL11'!$B$229=O$3,SUMIF('TL11'!$C$238:$C$451,$C286,'TL11'!$J$238:$J$451),0),
IF('TL12'!$B$3=O$3,SUMIF('TL12'!$C$10:$C$224,$C286,'TL12'!$J$10:$J$224),0),
IF('TL12'!$B$229=O$3,SUMIF('TL12'!$C$238:$C$451,$C286,'TL12'!$J$238:$J$451),0),
IF('TL13'!$B$3=O$3,SUMIF('TL13'!$C$10:$C$224,$C286,'TL13'!$J$10:$J$224),0),
IF('TL13'!$B$229=O$3,SUMIF('TL13'!$C$238:$C$451,$C286,'TL13'!$J$238:$J$451),0),
IF('TL14'!$B$3=O$3,SUMIF('TL14'!$C$10:$C$224,$C286,'TL14'!$J$10:$J$224),0),
IF('TL14'!$B$229=O$3,SUMIF('TL14'!$C$238:$C$451,$C286,'TL14'!$J$238:$J$451),0),
IF('TL15'!$B$3=O$3,SUMIF('TL15'!$C$10:$C$224,$C286,'TL15'!$J$10:$J$224),0),
IF('TL15'!$B$229=O$3,SUMIF('TL15'!$C$238:$C$451,$C286,'TL15'!$J$238:$J$451),0),
IF('TL16'!$B$3=O$3,SUMIF('TL16'!$C$10:$C$224,$C286,'TL16'!$J$10:$J$224),0),
IF('TL16'!$B$229=O$3,SUMIF('TL16'!$C$238:$C$451,$C286,'TL16'!$J$238:$J$451),0),
IF('TL17'!$B$3=O$3,SUMIF('TL17'!$C$10:$C$224,$C286,'TL17'!$J$10:$J$224),0),
IF('TL17'!$B$229=O$3,SUMIF('TL17'!$C$238:$C$451,$C286,'TL17'!$J$238:$J$451),0),
IF('TL18'!$B$3=O$3,SUMIF('TL18'!$C$10:$C$224,$C286,'TL18'!$J$10:$J$224),0),
IF('TL18'!$B$229=O$3,SUMIF('TL18'!$C$238:$C$451,$C286,'TL18'!$J$238:$J$451),0),
IF('TL19'!$B$3=O$3,SUMIF('TL19'!$C$10:$C$224,$C286,'TL19'!$J$10:$J$224),0),
IF('TL19'!$B$229=O$3,SUMIF('TL19'!$C$238:$C$451,$C286,'TL19'!$J$238:$J$451),0)
),0)</f>
        <v/>
      </c>
      <c r="P286" s="9">
        <f>IFERROR(SUM(
IF('TL01'!$B$3=P$3,SUMIF('TL01'!$C$10:$C$224,$C286,'TL01'!$J$10:$J$224),0),
IF('TL01'!$B$229=P$3,SUMIF('TL01'!$C$238:$C$451,$C286,'TL01'!$J$238:$J$451),0),
IF('TL02'!$B$3=P$3,SUMIF('TL02'!$C$10:$C$224,$C286,'TL02'!$J$10:$J$224),0),
IF('TL02'!$B$229=P$3,SUMIF('TL02'!$C$238:$C$451,$C286,'TL02'!$J$238:$J$451),0),
IF('TL03'!$B$3=P$3,SUMIF('TL03'!$C$10:$C$224,$C286,'TL03'!$J$10:$J$224),0),
IF('TL03'!$B$229=P$3,SUMIF('TL03'!$C$238:$C$451,$C286,'TL03'!$J$238:$J$451),0),
IF('TL04'!$B$3=P$3,SUMIF('TL04'!$C$10:$C$224,$C286,'TL04'!$J$10:$J$224),0),
IF('TL04'!$B$229=P$3,SUMIF('TL04'!$C$238:$C$451,$C286,'TL04'!$J$238:$J$451),0),
IF('TL05'!$B$3=P$3,SUMIF('TL05'!$C$10:$C$224,$C286,'TL05'!$J$10:$J$224),0),
IF('TL05'!$B$229=P$3,SUMIF('TL05'!$C$238:$C$451,$C286,'TL05'!$J$238:$J$451),0),
IF('TL06'!$B$3=P$3,SUMIF('TL06'!$C$10:$C$224,$C286,'TL06'!$J$10:$J$224),0),
IF('TL06'!$B$229=P$3,SUMIF('TL06'!$C$238:$C$451,$C286,'TL06'!$J$238:$J$451),0),
IF('TL07'!$B$3=P$3,SUMIF('TL07'!$C$10:$C$224,$C286,'TL07'!$J$10:$J$224),0),
IF('TL07'!$B$229=P$3,SUMIF('TL07'!$C$238:$C$451,$C286,'TL07'!$J$238:$J$451),0),
IF('TL08'!$B$3=P$3,SUMIF('TL08'!$C$10:$C$224,$C286,'TL08'!$J$10:$J$224),0),
IF('TL08'!$B$229=P$3,SUMIF('TL08'!$C$238:$C$451,$C286,'TL08'!$J$238:$J$451),0),
IF('TL09'!$B$3=P$3,SUMIF('TL09'!$C$10:$C$224,$C286,'TL09'!$J$10:$J$224),0),
IF('TL09'!$B$229=P$3,SUMIF('TL09'!$C$238:$C$451,$C286,'TL09'!$J$238:$J$451),0),
IF('TL10'!$B$3=P$3,SUMIF('TL10'!$C$10:$C$224,$C286,'TL10'!$J$10:$J$224),0),
IF('TL10'!$B$229=P$3,SUMIF('TL10'!$C$238:$C$451,$C286,'TL10'!$J$238:$J$451),0),
IF('TL11'!$B$3=P$3,SUMIF('TL11'!$C$10:$C$224,$C286,'TL11'!$J$10:$J$224),0),
IF('TL11'!$B$229=P$3,SUMIF('TL11'!$C$238:$C$451,$C286,'TL11'!$J$238:$J$451),0),
IF('TL12'!$B$3=P$3,SUMIF('TL12'!$C$10:$C$224,$C286,'TL12'!$J$10:$J$224),0),
IF('TL12'!$B$229=P$3,SUMIF('TL12'!$C$238:$C$451,$C286,'TL12'!$J$238:$J$451),0),
IF('TL13'!$B$3=P$3,SUMIF('TL13'!$C$10:$C$224,$C286,'TL13'!$J$10:$J$224),0),
IF('TL13'!$B$229=P$3,SUMIF('TL13'!$C$238:$C$451,$C286,'TL13'!$J$238:$J$451),0),
IF('TL14'!$B$3=P$3,SUMIF('TL14'!$C$10:$C$224,$C286,'TL14'!$J$10:$J$224),0),
IF('TL14'!$B$229=P$3,SUMIF('TL14'!$C$238:$C$451,$C286,'TL14'!$J$238:$J$451),0),
IF('TL15'!$B$3=P$3,SUMIF('TL15'!$C$10:$C$224,$C286,'TL15'!$J$10:$J$224),0),
IF('TL15'!$B$229=P$3,SUMIF('TL15'!$C$238:$C$451,$C286,'TL15'!$J$238:$J$451),0),
IF('TL16'!$B$3=P$3,SUMIF('TL16'!$C$10:$C$224,$C286,'TL16'!$J$10:$J$224),0),
IF('TL16'!$B$229=P$3,SUMIF('TL16'!$C$238:$C$451,$C286,'TL16'!$J$238:$J$451),0),
IF('TL17'!$B$3=P$3,SUMIF('TL17'!$C$10:$C$224,$C286,'TL17'!$J$10:$J$224),0),
IF('TL17'!$B$229=P$3,SUMIF('TL17'!$C$238:$C$451,$C286,'TL17'!$J$238:$J$451),0),
IF('TL18'!$B$3=P$3,SUMIF('TL18'!$C$10:$C$224,$C286,'TL18'!$J$10:$J$224),0),
IF('TL18'!$B$229=P$3,SUMIF('TL18'!$C$238:$C$451,$C286,'TL18'!$J$238:$J$451),0),
IF('TL19'!$B$3=P$3,SUMIF('TL19'!$C$10:$C$224,$C286,'TL19'!$J$10:$J$224),0),
IF('TL19'!$B$229=P$3,SUMIF('TL19'!$C$238:$C$451,$C286,'TL19'!$J$238:$J$451),0)
),0)</f>
        <v/>
      </c>
      <c r="Q286" s="9">
        <f>IFERROR(SUM(
IF('TL01'!$B$3=Q$3,SUMIF('TL01'!$C$10:$C$224,$C286,'TL01'!$J$10:$J$224),0),
IF('TL01'!$B$229=Q$3,SUMIF('TL01'!$C$238:$C$451,$C286,'TL01'!$J$238:$J$451),0),
IF('TL02'!$B$3=Q$3,SUMIF('TL02'!$C$10:$C$224,$C286,'TL02'!$J$10:$J$224),0),
IF('TL02'!$B$229=Q$3,SUMIF('TL02'!$C$238:$C$451,$C286,'TL02'!$J$238:$J$451),0),
IF('TL03'!$B$3=Q$3,SUMIF('TL03'!$C$10:$C$224,$C286,'TL03'!$J$10:$J$224),0),
IF('TL03'!$B$229=Q$3,SUMIF('TL03'!$C$238:$C$451,$C286,'TL03'!$J$238:$J$451),0),
IF('TL04'!$B$3=Q$3,SUMIF('TL04'!$C$10:$C$224,$C286,'TL04'!$J$10:$J$224),0),
IF('TL04'!$B$229=Q$3,SUMIF('TL04'!$C$238:$C$451,$C286,'TL04'!$J$238:$J$451),0),
IF('TL05'!$B$3=Q$3,SUMIF('TL05'!$C$10:$C$224,$C286,'TL05'!$J$10:$J$224),0),
IF('TL05'!$B$229=Q$3,SUMIF('TL05'!$C$238:$C$451,$C286,'TL05'!$J$238:$J$451),0),
IF('TL06'!$B$3=Q$3,SUMIF('TL06'!$C$10:$C$224,$C286,'TL06'!$J$10:$J$224),0),
IF('TL06'!$B$229=Q$3,SUMIF('TL06'!$C$238:$C$451,$C286,'TL06'!$J$238:$J$451),0),
IF('TL07'!$B$3=Q$3,SUMIF('TL07'!$C$10:$C$224,$C286,'TL07'!$J$10:$J$224),0),
IF('TL07'!$B$229=Q$3,SUMIF('TL07'!$C$238:$C$451,$C286,'TL07'!$J$238:$J$451),0),
IF('TL08'!$B$3=Q$3,SUMIF('TL08'!$C$10:$C$224,$C286,'TL08'!$J$10:$J$224),0),
IF('TL08'!$B$229=Q$3,SUMIF('TL08'!$C$238:$C$451,$C286,'TL08'!$J$238:$J$451),0),
IF('TL09'!$B$3=Q$3,SUMIF('TL09'!$C$10:$C$224,$C286,'TL09'!$J$10:$J$224),0),
IF('TL09'!$B$229=Q$3,SUMIF('TL09'!$C$238:$C$451,$C286,'TL09'!$J$238:$J$451),0),
IF('TL10'!$B$3=Q$3,SUMIF('TL10'!$C$10:$C$224,$C286,'TL10'!$J$10:$J$224),0),
IF('TL10'!$B$229=Q$3,SUMIF('TL10'!$C$238:$C$451,$C286,'TL10'!$J$238:$J$451),0),
IF('TL11'!$B$3=Q$3,SUMIF('TL11'!$C$10:$C$224,$C286,'TL11'!$J$10:$J$224),0),
IF('TL11'!$B$229=Q$3,SUMIF('TL11'!$C$238:$C$451,$C286,'TL11'!$J$238:$J$451),0),
IF('TL12'!$B$3=Q$3,SUMIF('TL12'!$C$10:$C$224,$C286,'TL12'!$J$10:$J$224),0),
IF('TL12'!$B$229=Q$3,SUMIF('TL12'!$C$238:$C$451,$C286,'TL12'!$J$238:$J$451),0),
IF('TL13'!$B$3=Q$3,SUMIF('TL13'!$C$10:$C$224,$C286,'TL13'!$J$10:$J$224),0),
IF('TL13'!$B$229=Q$3,SUMIF('TL13'!$C$238:$C$451,$C286,'TL13'!$J$238:$J$451),0),
IF('TL14'!$B$3=Q$3,SUMIF('TL14'!$C$10:$C$224,$C286,'TL14'!$J$10:$J$224),0),
IF('TL14'!$B$229=Q$3,SUMIF('TL14'!$C$238:$C$451,$C286,'TL14'!$J$238:$J$451),0),
IF('TL15'!$B$3=Q$3,SUMIF('TL15'!$C$10:$C$224,$C286,'TL15'!$J$10:$J$224),0),
IF('TL15'!$B$229=Q$3,SUMIF('TL15'!$C$238:$C$451,$C286,'TL15'!$J$238:$J$451),0),
IF('TL16'!$B$3=Q$3,SUMIF('TL16'!$C$10:$C$224,$C286,'TL16'!$J$10:$J$224),0),
IF('TL16'!$B$229=Q$3,SUMIF('TL16'!$C$238:$C$451,$C286,'TL16'!$J$238:$J$451),0),
IF('TL17'!$B$3=Q$3,SUMIF('TL17'!$C$10:$C$224,$C286,'TL17'!$J$10:$J$224),0),
IF('TL17'!$B$229=Q$3,SUMIF('TL17'!$C$238:$C$451,$C286,'TL17'!$J$238:$J$451),0),
IF('TL18'!$B$3=Q$3,SUMIF('TL18'!$C$10:$C$224,$C286,'TL18'!$J$10:$J$224),0),
IF('TL18'!$B$229=Q$3,SUMIF('TL18'!$C$238:$C$451,$C286,'TL18'!$J$238:$J$451),0),
IF('TL19'!$B$3=Q$3,SUMIF('TL19'!$C$10:$C$224,$C286,'TL19'!$J$10:$J$224),0),
IF('TL19'!$B$229=Q$3,SUMIF('TL19'!$C$238:$C$451,$C286,'TL19'!$J$238:$J$451),0)
),0)</f>
        <v/>
      </c>
      <c r="R286" s="9">
        <f>IFERROR(
SUM(
SUMIF('TL01'!C:C,C286,'TL01'!J:J),
SUMIF('TL02'!C:C,C286,'TL02'!J:J),
SUMIF('TL03'!C:C,C286,'TL03'!J:J),
SUMIF('TL04'!C:C,C286,'TL04'!J:J),
SUMIF('TL05'!C:C,C286,'TL05'!J:J),
SUMIF('TL06'!C:C,C286,'TL06'!J:J),
SUMIF('TL07'!C:C,C286,'TL07'!J:J),
SUMIF('TL08'!C:C,C286,'TL08'!J:J),
SUMIF('TL09'!C:C,C286,'TL09'!J:J),
SUMIF('TL10'!C:C,C286,'TL10'!J:J),
SUMIF('TL11'!C:C,C286,'TL11'!J:J),
SUMIF('TL12'!C:C,C286,'TL12'!J:J),
SUMIF('TL13'!C:C,C286,'TL13'!J:J),
SUMIF('TL14'!C:C,C286,'TL14'!J:J),
SUMIF('TL15'!C:C,C286,'TL15'!J:J),
SUMIF('TL16'!C:C,C286,'TL16'!J:J),
SUMIF('TL17'!C:C,C286,'TL17'!J:J),
SUMIF('TL18'!C:C,C286,'TL18'!J:J),SUMIF('TL19'!C:C,C286,'TL19'!J:J))
,0)</f>
        <v/>
      </c>
      <c r="S286" s="17">
        <f>IFERROR(__xludf.DUMMYFUNCTION("IFERROR(VLOOKUP(C286,
IMPORTRANGE(""1wULbzX32WdYsx-lj2U3uUNBBe2INVIRDtcK0d-Dvl90"",
""26-27!C:G""),
5,
FALSE),
"""")"),101.0)</f>
        <v/>
      </c>
      <c r="T286" s="9" t="n"/>
      <c r="U286" s="92">
        <f>MAX(0,R286-T286)</f>
        <v/>
      </c>
      <c r="V286" s="93">
        <f>U286*S286</f>
        <v/>
      </c>
    </row>
    <row r="287" hidden="1" ht="15.75" customHeight="1" s="297">
      <c r="A287" s="4" t="n"/>
      <c r="B287" s="125" t="inlineStr">
        <is>
          <t>NUTRIÇÃO</t>
        </is>
      </c>
      <c r="C287" s="4" t="inlineStr">
        <is>
          <t>KELLUS CUPPER</t>
        </is>
      </c>
      <c r="D287" s="20" t="n"/>
      <c r="E287" s="9" t="n"/>
      <c r="F287" s="4" t="inlineStr">
        <is>
          <t>KG</t>
        </is>
      </c>
      <c r="G287" s="9" t="n"/>
      <c r="H287" s="9" t="n">
        <v>0.3</v>
      </c>
      <c r="I287" s="1" t="n"/>
      <c r="J287" s="9">
        <f>IFERROR(SUM(
IF('TL01'!$B$3=J$3,SUMIF('TL01'!$C$10:$C$224,$C287,'TL01'!$J$10:$J$224),0),
IF('TL01'!$B$229=J$3,SUMIF('TL01'!$C$238:$C$451,$C287,'TL01'!$J$238:$J$451),0),
IF('TL02'!$B$3=J$3,SUMIF('TL02'!$C$10:$C$224,$C287,'TL02'!$J$10:$J$224),0),
IF('TL02'!$B$229=J$3,SUMIF('TL02'!$C$238:$C$451,$C287,'TL02'!$J$238:$J$451),0),
IF('TL03'!$B$3=J$3,SUMIF('TL03'!$C$10:$C$224,$C287,'TL03'!$J$10:$J$224),0),
IF('TL03'!$B$229=J$3,SUMIF('TL03'!$C$238:$C$451,$C287,'TL03'!$J$238:$J$451),0),
IF('TL04'!$B$3=J$3,SUMIF('TL04'!$C$10:$C$224,$C287,'TL04'!$J$10:$J$224),0),
IF('TL04'!$B$229=J$3,SUMIF('TL04'!$C$238:$C$451,$C287,'TL04'!$J$238:$J$451),0),
IF('TL05'!$B$3=J$3,SUMIF('TL05'!$C$10:$C$224,$C287,'TL05'!$J$10:$J$224),0),
IF('TL05'!$B$229=J$3,SUMIF('TL05'!$C$238:$C$451,$C287,'TL05'!$J$238:$J$451),0),
IF('TL06'!$B$3=J$3,SUMIF('TL06'!$C$10:$C$224,$C287,'TL06'!$J$10:$J$224),0),
IF('TL06'!$B$229=J$3,SUMIF('TL06'!$C$238:$C$451,$C287,'TL06'!$J$238:$J$451),0),
IF('TL07'!$B$3=J$3,SUMIF('TL07'!$C$10:$C$224,$C287,'TL07'!$J$10:$J$224),0),
IF('TL07'!$B$229=J$3,SUMIF('TL07'!$C$238:$C$451,$C287,'TL07'!$J$238:$J$451),0),
IF('TL08'!$B$3=J$3,SUMIF('TL08'!$C$10:$C$224,$C287,'TL08'!$J$10:$J$224),0),
IF('TL08'!$B$229=J$3,SUMIF('TL08'!$C$238:$C$451,$C287,'TL08'!$J$238:$J$451),0),
IF('TL09'!$B$3=J$3,SUMIF('TL09'!$C$10:$C$224,$C287,'TL09'!$J$10:$J$224),0),
IF('TL09'!$B$229=J$3,SUMIF('TL09'!$C$238:$C$451,$C287,'TL09'!$J$238:$J$451),0),
IF('TL10'!$B$3=J$3,SUMIF('TL10'!$C$10:$C$224,$C287,'TL10'!$J$10:$J$224),0),
IF('TL10'!$B$229=J$3,SUMIF('TL10'!$C$238:$C$451,$C287,'TL10'!$J$238:$J$451),0),
IF('TL11'!$B$3=J$3,SUMIF('TL11'!$C$10:$C$224,$C287,'TL11'!$J$10:$J$224),0),
IF('TL11'!$B$229=J$3,SUMIF('TL11'!$C$238:$C$451,$C287,'TL11'!$J$238:$J$451),0),
IF('TL12'!$B$3=J$3,SUMIF('TL12'!$C$10:$C$224,$C287,'TL12'!$J$10:$J$224),0),
IF('TL12'!$B$229=J$3,SUMIF('TL12'!$C$238:$C$451,$C287,'TL12'!$J$238:$J$451),0),
IF('TL13'!$B$3=J$3,SUMIF('TL13'!$C$10:$C$224,$C287,'TL13'!$J$10:$J$224),0),
IF('TL13'!$B$229=J$3,SUMIF('TL13'!$C$238:$C$451,$C287,'TL13'!$J$238:$J$451),0),
IF('TL14'!$B$3=J$3,SUMIF('TL14'!$C$10:$C$224,$C287,'TL14'!$J$10:$J$224),0),
IF('TL14'!$B$229=J$3,SUMIF('TL14'!$C$238:$C$451,$C287,'TL14'!$J$238:$J$451),0),
IF('TL15'!$B$3=J$3,SUMIF('TL15'!$C$10:$C$224,$C287,'TL15'!$J$10:$J$224),0),
IF('TL15'!$B$229=J$3,SUMIF('TL15'!$C$238:$C$451,$C287,'TL15'!$J$238:$J$451),0),
IF('TL16'!$B$3=J$3,SUMIF('TL16'!$C$10:$C$224,$C287,'TL16'!$J$10:$J$224),0),
IF('TL16'!$B$229=J$3,SUMIF('TL16'!$C$238:$C$451,$C287,'TL16'!$J$238:$J$451),0),
IF('TL17'!$B$3=J$3,SUMIF('TL17'!$C$10:$C$224,$C287,'TL17'!$J$10:$J$224),0),
IF('TL17'!$B$229=J$3,SUMIF('TL17'!$C$238:$C$451,$C287,'TL17'!$J$238:$J$451),0),
IF('TL18'!$B$3=J$3,SUMIF('TL18'!$C$10:$C$224,$C287,'TL18'!$J$10:$J$224),0),
IF('TL18'!$B$229=J$3,SUMIF('TL18'!$C$238:$C$451,$C287,'TL18'!$J$238:$J$451),0),
IF('TL19'!$B$3=J$3,SUMIF('TL19'!$C$10:$C$224,$C287,'TL19'!$J$10:$J$224),0),
IF('TL19'!$B$229=J$3,SUMIF('TL19'!$C$238:$C$451,$C287,'TL19'!$J$238:$J$451),0)
),0)</f>
        <v/>
      </c>
      <c r="K287" s="9">
        <f>IFERROR(SUM(
IF('TL01'!$B$3=K$3,SUMIF('TL01'!$C$10:$C$224,$C287,'TL01'!$J$10:$J$224),0),
IF('TL01'!$B$229=K$3,SUMIF('TL01'!$C$238:$C$451,$C287,'TL01'!$J$238:$J$451),0),
IF('TL02'!$B$3=K$3,SUMIF('TL02'!$C$10:$C$224,$C287,'TL02'!$J$10:$J$224),0),
IF('TL02'!$B$229=K$3,SUMIF('TL02'!$C$238:$C$451,$C287,'TL02'!$J$238:$J$451),0),
IF('TL03'!$B$3=K$3,SUMIF('TL03'!$C$10:$C$224,$C287,'TL03'!$J$10:$J$224),0),
IF('TL03'!$B$229=K$3,SUMIF('TL03'!$C$238:$C$451,$C287,'TL03'!$J$238:$J$451),0),
IF('TL04'!$B$3=K$3,SUMIF('TL04'!$C$10:$C$224,$C287,'TL04'!$J$10:$J$224),0),
IF('TL04'!$B$229=K$3,SUMIF('TL04'!$C$238:$C$451,$C287,'TL04'!$J$238:$J$451),0),
IF('TL05'!$B$3=K$3,SUMIF('TL05'!$C$10:$C$224,$C287,'TL05'!$J$10:$J$224),0),
IF('TL05'!$B$229=K$3,SUMIF('TL05'!$C$238:$C$451,$C287,'TL05'!$J$238:$J$451),0),
IF('TL06'!$B$3=K$3,SUMIF('TL06'!$C$10:$C$224,$C287,'TL06'!$J$10:$J$224),0),
IF('TL06'!$B$229=K$3,SUMIF('TL06'!$C$238:$C$451,$C287,'TL06'!$J$238:$J$451),0),
IF('TL07'!$B$3=K$3,SUMIF('TL07'!$C$10:$C$224,$C287,'TL07'!$J$10:$J$224),0),
IF('TL07'!$B$229=K$3,SUMIF('TL07'!$C$238:$C$451,$C287,'TL07'!$J$238:$J$451),0),
IF('TL08'!$B$3=K$3,SUMIF('TL08'!$C$10:$C$224,$C287,'TL08'!$J$10:$J$224),0),
IF('TL08'!$B$229=K$3,SUMIF('TL08'!$C$238:$C$451,$C287,'TL08'!$J$238:$J$451),0),
IF('TL09'!$B$3=K$3,SUMIF('TL09'!$C$10:$C$224,$C287,'TL09'!$J$10:$J$224),0),
IF('TL09'!$B$229=K$3,SUMIF('TL09'!$C$238:$C$451,$C287,'TL09'!$J$238:$J$451),0),
IF('TL10'!$B$3=K$3,SUMIF('TL10'!$C$10:$C$224,$C287,'TL10'!$J$10:$J$224),0),
IF('TL10'!$B$229=K$3,SUMIF('TL10'!$C$238:$C$451,$C287,'TL10'!$J$238:$J$451),0),
IF('TL11'!$B$3=K$3,SUMIF('TL11'!$C$10:$C$224,$C287,'TL11'!$J$10:$J$224),0),
IF('TL11'!$B$229=K$3,SUMIF('TL11'!$C$238:$C$451,$C287,'TL11'!$J$238:$J$451),0),
IF('TL12'!$B$3=K$3,SUMIF('TL12'!$C$10:$C$224,$C287,'TL12'!$J$10:$J$224),0),
IF('TL12'!$B$229=K$3,SUMIF('TL12'!$C$238:$C$451,$C287,'TL12'!$J$238:$J$451),0),
IF('TL13'!$B$3=K$3,SUMIF('TL13'!$C$10:$C$224,$C287,'TL13'!$J$10:$J$224),0),
IF('TL13'!$B$229=K$3,SUMIF('TL13'!$C$238:$C$451,$C287,'TL13'!$J$238:$J$451),0),
IF('TL14'!$B$3=K$3,SUMIF('TL14'!$C$10:$C$224,$C287,'TL14'!$J$10:$J$224),0),
IF('TL14'!$B$229=K$3,SUMIF('TL14'!$C$238:$C$451,$C287,'TL14'!$J$238:$J$451),0),
IF('TL15'!$B$3=K$3,SUMIF('TL15'!$C$10:$C$224,$C287,'TL15'!$J$10:$J$224),0),
IF('TL15'!$B$229=K$3,SUMIF('TL15'!$C$238:$C$451,$C287,'TL15'!$J$238:$J$451),0),
IF('TL16'!$B$3=K$3,SUMIF('TL16'!$C$10:$C$224,$C287,'TL16'!$J$10:$J$224),0),
IF('TL16'!$B$229=K$3,SUMIF('TL16'!$C$238:$C$451,$C287,'TL16'!$J$238:$J$451),0),
IF('TL17'!$B$3=K$3,SUMIF('TL17'!$C$10:$C$224,$C287,'TL17'!$J$10:$J$224),0),
IF('TL17'!$B$229=K$3,SUMIF('TL17'!$C$238:$C$451,$C287,'TL17'!$J$238:$J$451),0),
IF('TL18'!$B$3=K$3,SUMIF('TL18'!$C$10:$C$224,$C287,'TL18'!$J$10:$J$224),0),
IF('TL18'!$B$229=K$3,SUMIF('TL18'!$C$238:$C$451,$C287,'TL18'!$J$238:$J$451),0),
IF('TL19'!$B$3=K$3,SUMIF('TL19'!$C$10:$C$224,$C287,'TL19'!$J$10:$J$224),0),
IF('TL19'!$B$229=K$3,SUMIF('TL19'!$C$238:$C$451,$C287,'TL19'!$J$238:$J$451),0)
),0)</f>
        <v/>
      </c>
      <c r="L287" s="9">
        <f>IFERROR(SUM(
IF('TL01'!$B$3=L$3,SUMIF('TL01'!$C$10:$C$224,$C287,'TL01'!$J$10:$J$224),0),
IF('TL01'!$B$229=L$3,SUMIF('TL01'!$C$238:$C$451,$C287,'TL01'!$J$238:$J$451),0),
IF('TL02'!$B$3=L$3,SUMIF('TL02'!$C$10:$C$224,$C287,'TL02'!$J$10:$J$224),0),
IF('TL02'!$B$229=L$3,SUMIF('TL02'!$C$238:$C$451,$C287,'TL02'!$J$238:$J$451),0),
IF('TL03'!$B$3=L$3,SUMIF('TL03'!$C$10:$C$224,$C287,'TL03'!$J$10:$J$224),0),
IF('TL03'!$B$229=L$3,SUMIF('TL03'!$C$238:$C$451,$C287,'TL03'!$J$238:$J$451),0),
IF('TL04'!$B$3=L$3,SUMIF('TL04'!$C$10:$C$224,$C287,'TL04'!$J$10:$J$224),0),
IF('TL04'!$B$229=L$3,SUMIF('TL04'!$C$238:$C$451,$C287,'TL04'!$J$238:$J$451),0),
IF('TL05'!$B$3=L$3,SUMIF('TL05'!$C$10:$C$224,$C287,'TL05'!$J$10:$J$224),0),
IF('TL05'!$B$229=L$3,SUMIF('TL05'!$C$238:$C$451,$C287,'TL05'!$J$238:$J$451),0),
IF('TL06'!$B$3=L$3,SUMIF('TL06'!$C$10:$C$224,$C287,'TL06'!$J$10:$J$224),0),
IF('TL06'!$B$229=L$3,SUMIF('TL06'!$C$238:$C$451,$C287,'TL06'!$J$238:$J$451),0),
IF('TL07'!$B$3=L$3,SUMIF('TL07'!$C$10:$C$224,$C287,'TL07'!$J$10:$J$224),0),
IF('TL07'!$B$229=L$3,SUMIF('TL07'!$C$238:$C$451,$C287,'TL07'!$J$238:$J$451),0),
IF('TL08'!$B$3=L$3,SUMIF('TL08'!$C$10:$C$224,$C287,'TL08'!$J$10:$J$224),0),
IF('TL08'!$B$229=L$3,SUMIF('TL08'!$C$238:$C$451,$C287,'TL08'!$J$238:$J$451),0),
IF('TL09'!$B$3=L$3,SUMIF('TL09'!$C$10:$C$224,$C287,'TL09'!$J$10:$J$224),0),
IF('TL09'!$B$229=L$3,SUMIF('TL09'!$C$238:$C$451,$C287,'TL09'!$J$238:$J$451),0),
IF('TL10'!$B$3=L$3,SUMIF('TL10'!$C$10:$C$224,$C287,'TL10'!$J$10:$J$224),0),
IF('TL10'!$B$229=L$3,SUMIF('TL10'!$C$238:$C$451,$C287,'TL10'!$J$238:$J$451),0),
IF('TL11'!$B$3=L$3,SUMIF('TL11'!$C$10:$C$224,$C287,'TL11'!$J$10:$J$224),0),
IF('TL11'!$B$229=L$3,SUMIF('TL11'!$C$238:$C$451,$C287,'TL11'!$J$238:$J$451),0),
IF('TL12'!$B$3=L$3,SUMIF('TL12'!$C$10:$C$224,$C287,'TL12'!$J$10:$J$224),0),
IF('TL12'!$B$229=L$3,SUMIF('TL12'!$C$238:$C$451,$C287,'TL12'!$J$238:$J$451),0),
IF('TL13'!$B$3=L$3,SUMIF('TL13'!$C$10:$C$224,$C287,'TL13'!$J$10:$J$224),0),
IF('TL13'!$B$229=L$3,SUMIF('TL13'!$C$238:$C$451,$C287,'TL13'!$J$238:$J$451),0),
IF('TL14'!$B$3=L$3,SUMIF('TL14'!$C$10:$C$224,$C287,'TL14'!$J$10:$J$224),0),
IF('TL14'!$B$229=L$3,SUMIF('TL14'!$C$238:$C$451,$C287,'TL14'!$J$238:$J$451),0),
IF('TL15'!$B$3=L$3,SUMIF('TL15'!$C$10:$C$224,$C287,'TL15'!$J$10:$J$224),0),
IF('TL15'!$B$229=L$3,SUMIF('TL15'!$C$238:$C$451,$C287,'TL15'!$J$238:$J$451),0),
IF('TL16'!$B$3=L$3,SUMIF('TL16'!$C$10:$C$224,$C287,'TL16'!$J$10:$J$224),0),
IF('TL16'!$B$229=L$3,SUMIF('TL16'!$C$238:$C$451,$C287,'TL16'!$J$238:$J$451),0),
IF('TL17'!$B$3=L$3,SUMIF('TL17'!$C$10:$C$224,$C287,'TL17'!$J$10:$J$224),0),
IF('TL17'!$B$229=L$3,SUMIF('TL17'!$C$238:$C$451,$C287,'TL17'!$J$238:$J$451),0),
IF('TL18'!$B$3=L$3,SUMIF('TL18'!$C$10:$C$224,$C287,'TL18'!$J$10:$J$224),0),
IF('TL18'!$B$229=L$3,SUMIF('TL18'!$C$238:$C$451,$C287,'TL18'!$J$238:$J$451),0),
IF('TL19'!$B$3=L$3,SUMIF('TL19'!$C$10:$C$224,$C287,'TL19'!$J$10:$J$224),0),
IF('TL19'!$B$229=L$3,SUMIF('TL19'!$C$238:$C$451,$C287,'TL19'!$J$238:$J$451),0)
),0)</f>
        <v/>
      </c>
      <c r="M287" s="9">
        <f>IFERROR(SUM(
IF('TL01'!$B$3=M$3,SUMIF('TL01'!$C$10:$C$224,$C287,'TL01'!$J$10:$J$224),0),
IF('TL01'!$B$229=M$3,SUMIF('TL01'!$C$238:$C$451,$C287,'TL01'!$J$238:$J$451),0),
IF('TL02'!$B$3=M$3,SUMIF('TL02'!$C$10:$C$224,$C287,'TL02'!$J$10:$J$224),0),
IF('TL02'!$B$229=M$3,SUMIF('TL02'!$C$238:$C$451,$C287,'TL02'!$J$238:$J$451),0),
IF('TL03'!$B$3=M$3,SUMIF('TL03'!$C$10:$C$224,$C287,'TL03'!$J$10:$J$224),0),
IF('TL03'!$B$229=M$3,SUMIF('TL03'!$C$238:$C$451,$C287,'TL03'!$J$238:$J$451),0),
IF('TL04'!$B$3=M$3,SUMIF('TL04'!$C$10:$C$224,$C287,'TL04'!$J$10:$J$224),0),
IF('TL04'!$B$229=M$3,SUMIF('TL04'!$C$238:$C$451,$C287,'TL04'!$J$238:$J$451),0),
IF('TL05'!$B$3=M$3,SUMIF('TL05'!$C$10:$C$224,$C287,'TL05'!$J$10:$J$224),0),
IF('TL05'!$B$229=M$3,SUMIF('TL05'!$C$238:$C$451,$C287,'TL05'!$J$238:$J$451),0),
IF('TL06'!$B$3=M$3,SUMIF('TL06'!$C$10:$C$224,$C287,'TL06'!$J$10:$J$224),0),
IF('TL06'!$B$229=M$3,SUMIF('TL06'!$C$238:$C$451,$C287,'TL06'!$J$238:$J$451),0),
IF('TL07'!$B$3=M$3,SUMIF('TL07'!$C$10:$C$224,$C287,'TL07'!$J$10:$J$224),0),
IF('TL07'!$B$229=M$3,SUMIF('TL07'!$C$238:$C$451,$C287,'TL07'!$J$238:$J$451),0),
IF('TL08'!$B$3=M$3,SUMIF('TL08'!$C$10:$C$224,$C287,'TL08'!$J$10:$J$224),0),
IF('TL08'!$B$229=M$3,SUMIF('TL08'!$C$238:$C$451,$C287,'TL08'!$J$238:$J$451),0),
IF('TL09'!$B$3=M$3,SUMIF('TL09'!$C$10:$C$224,$C287,'TL09'!$J$10:$J$224),0),
IF('TL09'!$B$229=M$3,SUMIF('TL09'!$C$238:$C$451,$C287,'TL09'!$J$238:$J$451),0),
IF('TL10'!$B$3=M$3,SUMIF('TL10'!$C$10:$C$224,$C287,'TL10'!$J$10:$J$224),0),
IF('TL10'!$B$229=M$3,SUMIF('TL10'!$C$238:$C$451,$C287,'TL10'!$J$238:$J$451),0),
IF('TL11'!$B$3=M$3,SUMIF('TL11'!$C$10:$C$224,$C287,'TL11'!$J$10:$J$224),0),
IF('TL11'!$B$229=M$3,SUMIF('TL11'!$C$238:$C$451,$C287,'TL11'!$J$238:$J$451),0),
IF('TL12'!$B$3=M$3,SUMIF('TL12'!$C$10:$C$224,$C287,'TL12'!$J$10:$J$224),0),
IF('TL12'!$B$229=M$3,SUMIF('TL12'!$C$238:$C$451,$C287,'TL12'!$J$238:$J$451),0),
IF('TL13'!$B$3=M$3,SUMIF('TL13'!$C$10:$C$224,$C287,'TL13'!$J$10:$J$224),0),
IF('TL13'!$B$229=M$3,SUMIF('TL13'!$C$238:$C$451,$C287,'TL13'!$J$238:$J$451),0),
IF('TL14'!$B$3=M$3,SUMIF('TL14'!$C$10:$C$224,$C287,'TL14'!$J$10:$J$224),0),
IF('TL14'!$B$229=M$3,SUMIF('TL14'!$C$238:$C$451,$C287,'TL14'!$J$238:$J$451),0),
IF('TL15'!$B$3=M$3,SUMIF('TL15'!$C$10:$C$224,$C287,'TL15'!$J$10:$J$224),0),
IF('TL15'!$B$229=M$3,SUMIF('TL15'!$C$238:$C$451,$C287,'TL15'!$J$238:$J$451),0),
IF('TL16'!$B$3=M$3,SUMIF('TL16'!$C$10:$C$224,$C287,'TL16'!$J$10:$J$224),0),
IF('TL16'!$B$229=M$3,SUMIF('TL16'!$C$238:$C$451,$C287,'TL16'!$J$238:$J$451),0),
IF('TL17'!$B$3=M$3,SUMIF('TL17'!$C$10:$C$224,$C287,'TL17'!$J$10:$J$224),0),
IF('TL17'!$B$229=M$3,SUMIF('TL17'!$C$238:$C$451,$C287,'TL17'!$J$238:$J$451),0),
IF('TL18'!$B$3=M$3,SUMIF('TL18'!$C$10:$C$224,$C287,'TL18'!$J$10:$J$224),0),
IF('TL18'!$B$229=M$3,SUMIF('TL18'!$C$238:$C$451,$C287,'TL18'!$J$238:$J$451),0),
IF('TL19'!$B$3=M$3,SUMIF('TL19'!$C$10:$C$224,$C287,'TL19'!$J$10:$J$224),0),
IF('TL19'!$B$229=M$3,SUMIF('TL19'!$C$238:$C$451,$C287,'TL19'!$J$238:$J$451),0)
),0)</f>
        <v/>
      </c>
      <c r="N287" s="9">
        <f>IFERROR(SUM(
IF('TL01'!$B$3=N$3,SUMIF('TL01'!$C$10:$C$224,$C287,'TL01'!$J$10:$J$224),0),
IF('TL01'!$B$229=N$3,SUMIF('TL01'!$C$238:$C$451,$C287,'TL01'!$J$238:$J$451),0),
IF('TL02'!$B$3=N$3,SUMIF('TL02'!$C$10:$C$224,$C287,'TL02'!$J$10:$J$224),0),
IF('TL02'!$B$229=N$3,SUMIF('TL02'!$C$238:$C$451,$C287,'TL02'!$J$238:$J$451),0),
IF('TL03'!$B$3=N$3,SUMIF('TL03'!$C$10:$C$224,$C287,'TL03'!$J$10:$J$224),0),
IF('TL03'!$B$229=N$3,SUMIF('TL03'!$C$238:$C$451,$C287,'TL03'!$J$238:$J$451),0),
IF('TL04'!$B$3=N$3,SUMIF('TL04'!$C$10:$C$224,$C287,'TL04'!$J$10:$J$224),0),
IF('TL04'!$B$229=N$3,SUMIF('TL04'!$C$238:$C$451,$C287,'TL04'!$J$238:$J$451),0),
IF('TL05'!$B$3=N$3,SUMIF('TL05'!$C$10:$C$224,$C287,'TL05'!$J$10:$J$224),0),
IF('TL05'!$B$229=N$3,SUMIF('TL05'!$C$238:$C$451,$C287,'TL05'!$J$238:$J$451),0),
IF('TL06'!$B$3=N$3,SUMIF('TL06'!$C$10:$C$224,$C287,'TL06'!$J$10:$J$224),0),
IF('TL06'!$B$229=N$3,SUMIF('TL06'!$C$238:$C$451,$C287,'TL06'!$J$238:$J$451),0),
IF('TL07'!$B$3=N$3,SUMIF('TL07'!$C$10:$C$224,$C287,'TL07'!$J$10:$J$224),0),
IF('TL07'!$B$229=N$3,SUMIF('TL07'!$C$238:$C$451,$C287,'TL07'!$J$238:$J$451),0),
IF('TL08'!$B$3=N$3,SUMIF('TL08'!$C$10:$C$224,$C287,'TL08'!$J$10:$J$224),0),
IF('TL08'!$B$229=N$3,SUMIF('TL08'!$C$238:$C$451,$C287,'TL08'!$J$238:$J$451),0),
IF('TL09'!$B$3=N$3,SUMIF('TL09'!$C$10:$C$224,$C287,'TL09'!$J$10:$J$224),0),
IF('TL09'!$B$229=N$3,SUMIF('TL09'!$C$238:$C$451,$C287,'TL09'!$J$238:$J$451),0),
IF('TL10'!$B$3=N$3,SUMIF('TL10'!$C$10:$C$224,$C287,'TL10'!$J$10:$J$224),0),
IF('TL10'!$B$229=N$3,SUMIF('TL10'!$C$238:$C$451,$C287,'TL10'!$J$238:$J$451),0),
IF('TL11'!$B$3=N$3,SUMIF('TL11'!$C$10:$C$224,$C287,'TL11'!$J$10:$J$224),0),
IF('TL11'!$B$229=N$3,SUMIF('TL11'!$C$238:$C$451,$C287,'TL11'!$J$238:$J$451),0),
IF('TL12'!$B$3=N$3,SUMIF('TL12'!$C$10:$C$224,$C287,'TL12'!$J$10:$J$224),0),
IF('TL12'!$B$229=N$3,SUMIF('TL12'!$C$238:$C$451,$C287,'TL12'!$J$238:$J$451),0),
IF('TL13'!$B$3=N$3,SUMIF('TL13'!$C$10:$C$224,$C287,'TL13'!$J$10:$J$224),0),
IF('TL13'!$B$229=N$3,SUMIF('TL13'!$C$238:$C$451,$C287,'TL13'!$J$238:$J$451),0),
IF('TL14'!$B$3=N$3,SUMIF('TL14'!$C$10:$C$224,$C287,'TL14'!$J$10:$J$224),0),
IF('TL14'!$B$229=N$3,SUMIF('TL14'!$C$238:$C$451,$C287,'TL14'!$J$238:$J$451),0),
IF('TL15'!$B$3=N$3,SUMIF('TL15'!$C$10:$C$224,$C287,'TL15'!$J$10:$J$224),0),
IF('TL15'!$B$229=N$3,SUMIF('TL15'!$C$238:$C$451,$C287,'TL15'!$J$238:$J$451),0),
IF('TL16'!$B$3=N$3,SUMIF('TL16'!$C$10:$C$224,$C287,'TL16'!$J$10:$J$224),0),
IF('TL16'!$B$229=N$3,SUMIF('TL16'!$C$238:$C$451,$C287,'TL16'!$J$238:$J$451),0),
IF('TL17'!$B$3=N$3,SUMIF('TL17'!$C$10:$C$224,$C287,'TL17'!$J$10:$J$224),0),
IF('TL17'!$B$229=N$3,SUMIF('TL17'!$C$238:$C$451,$C287,'TL17'!$J$238:$J$451),0),
IF('TL18'!$B$3=N$3,SUMIF('TL18'!$C$10:$C$224,$C287,'TL18'!$J$10:$J$224),0),
IF('TL18'!$B$229=N$3,SUMIF('TL18'!$C$238:$C$451,$C287,'TL18'!$J$238:$J$451),0),
IF('TL19'!$B$3=N$3,SUMIF('TL19'!$C$10:$C$224,$C287,'TL19'!$J$10:$J$224),0),
IF('TL19'!$B$229=N$3,SUMIF('TL19'!$C$238:$C$451,$C287,'TL19'!$J$238:$J$451),0)
),0)</f>
        <v/>
      </c>
      <c r="O287" s="9">
        <f>IFERROR(SUM(
IF('TL01'!$B$3=O$3,SUMIF('TL01'!$C$10:$C$224,$C287,'TL01'!$J$10:$J$224),0),
IF('TL01'!$B$229=O$3,SUMIF('TL01'!$C$238:$C$451,$C287,'TL01'!$J$238:$J$451),0),
IF('TL02'!$B$3=O$3,SUMIF('TL02'!$C$10:$C$224,$C287,'TL02'!$J$10:$J$224),0),
IF('TL02'!$B$229=O$3,SUMIF('TL02'!$C$238:$C$451,$C287,'TL02'!$J$238:$J$451),0),
IF('TL03'!$B$3=O$3,SUMIF('TL03'!$C$10:$C$224,$C287,'TL03'!$J$10:$J$224),0),
IF('TL03'!$B$229=O$3,SUMIF('TL03'!$C$238:$C$451,$C287,'TL03'!$J$238:$J$451),0),
IF('TL04'!$B$3=O$3,SUMIF('TL04'!$C$10:$C$224,$C287,'TL04'!$J$10:$J$224),0),
IF('TL04'!$B$229=O$3,SUMIF('TL04'!$C$238:$C$451,$C287,'TL04'!$J$238:$J$451),0),
IF('TL05'!$B$3=O$3,SUMIF('TL05'!$C$10:$C$224,$C287,'TL05'!$J$10:$J$224),0),
IF('TL05'!$B$229=O$3,SUMIF('TL05'!$C$238:$C$451,$C287,'TL05'!$J$238:$J$451),0),
IF('TL06'!$B$3=O$3,SUMIF('TL06'!$C$10:$C$224,$C287,'TL06'!$J$10:$J$224),0),
IF('TL06'!$B$229=O$3,SUMIF('TL06'!$C$238:$C$451,$C287,'TL06'!$J$238:$J$451),0),
IF('TL07'!$B$3=O$3,SUMIF('TL07'!$C$10:$C$224,$C287,'TL07'!$J$10:$J$224),0),
IF('TL07'!$B$229=O$3,SUMIF('TL07'!$C$238:$C$451,$C287,'TL07'!$J$238:$J$451),0),
IF('TL08'!$B$3=O$3,SUMIF('TL08'!$C$10:$C$224,$C287,'TL08'!$J$10:$J$224),0),
IF('TL08'!$B$229=O$3,SUMIF('TL08'!$C$238:$C$451,$C287,'TL08'!$J$238:$J$451),0),
IF('TL09'!$B$3=O$3,SUMIF('TL09'!$C$10:$C$224,$C287,'TL09'!$J$10:$J$224),0),
IF('TL09'!$B$229=O$3,SUMIF('TL09'!$C$238:$C$451,$C287,'TL09'!$J$238:$J$451),0),
IF('TL10'!$B$3=O$3,SUMIF('TL10'!$C$10:$C$224,$C287,'TL10'!$J$10:$J$224),0),
IF('TL10'!$B$229=O$3,SUMIF('TL10'!$C$238:$C$451,$C287,'TL10'!$J$238:$J$451),0),
IF('TL11'!$B$3=O$3,SUMIF('TL11'!$C$10:$C$224,$C287,'TL11'!$J$10:$J$224),0),
IF('TL11'!$B$229=O$3,SUMIF('TL11'!$C$238:$C$451,$C287,'TL11'!$J$238:$J$451),0),
IF('TL12'!$B$3=O$3,SUMIF('TL12'!$C$10:$C$224,$C287,'TL12'!$J$10:$J$224),0),
IF('TL12'!$B$229=O$3,SUMIF('TL12'!$C$238:$C$451,$C287,'TL12'!$J$238:$J$451),0),
IF('TL13'!$B$3=O$3,SUMIF('TL13'!$C$10:$C$224,$C287,'TL13'!$J$10:$J$224),0),
IF('TL13'!$B$229=O$3,SUMIF('TL13'!$C$238:$C$451,$C287,'TL13'!$J$238:$J$451),0),
IF('TL14'!$B$3=O$3,SUMIF('TL14'!$C$10:$C$224,$C287,'TL14'!$J$10:$J$224),0),
IF('TL14'!$B$229=O$3,SUMIF('TL14'!$C$238:$C$451,$C287,'TL14'!$J$238:$J$451),0),
IF('TL15'!$B$3=O$3,SUMIF('TL15'!$C$10:$C$224,$C287,'TL15'!$J$10:$J$224),0),
IF('TL15'!$B$229=O$3,SUMIF('TL15'!$C$238:$C$451,$C287,'TL15'!$J$238:$J$451),0),
IF('TL16'!$B$3=O$3,SUMIF('TL16'!$C$10:$C$224,$C287,'TL16'!$J$10:$J$224),0),
IF('TL16'!$B$229=O$3,SUMIF('TL16'!$C$238:$C$451,$C287,'TL16'!$J$238:$J$451),0),
IF('TL17'!$B$3=O$3,SUMIF('TL17'!$C$10:$C$224,$C287,'TL17'!$J$10:$J$224),0),
IF('TL17'!$B$229=O$3,SUMIF('TL17'!$C$238:$C$451,$C287,'TL17'!$J$238:$J$451),0),
IF('TL18'!$B$3=O$3,SUMIF('TL18'!$C$10:$C$224,$C287,'TL18'!$J$10:$J$224),0),
IF('TL18'!$B$229=O$3,SUMIF('TL18'!$C$238:$C$451,$C287,'TL18'!$J$238:$J$451),0),
IF('TL19'!$B$3=O$3,SUMIF('TL19'!$C$10:$C$224,$C287,'TL19'!$J$10:$J$224),0),
IF('TL19'!$B$229=O$3,SUMIF('TL19'!$C$238:$C$451,$C287,'TL19'!$J$238:$J$451),0)
),0)</f>
        <v/>
      </c>
      <c r="P287" s="9">
        <f>IFERROR(SUM(
IF('TL01'!$B$3=P$3,SUMIF('TL01'!$C$10:$C$224,$C287,'TL01'!$J$10:$J$224),0),
IF('TL01'!$B$229=P$3,SUMIF('TL01'!$C$238:$C$451,$C287,'TL01'!$J$238:$J$451),0),
IF('TL02'!$B$3=P$3,SUMIF('TL02'!$C$10:$C$224,$C287,'TL02'!$J$10:$J$224),0),
IF('TL02'!$B$229=P$3,SUMIF('TL02'!$C$238:$C$451,$C287,'TL02'!$J$238:$J$451),0),
IF('TL03'!$B$3=P$3,SUMIF('TL03'!$C$10:$C$224,$C287,'TL03'!$J$10:$J$224),0),
IF('TL03'!$B$229=P$3,SUMIF('TL03'!$C$238:$C$451,$C287,'TL03'!$J$238:$J$451),0),
IF('TL04'!$B$3=P$3,SUMIF('TL04'!$C$10:$C$224,$C287,'TL04'!$J$10:$J$224),0),
IF('TL04'!$B$229=P$3,SUMIF('TL04'!$C$238:$C$451,$C287,'TL04'!$J$238:$J$451),0),
IF('TL05'!$B$3=P$3,SUMIF('TL05'!$C$10:$C$224,$C287,'TL05'!$J$10:$J$224),0),
IF('TL05'!$B$229=P$3,SUMIF('TL05'!$C$238:$C$451,$C287,'TL05'!$J$238:$J$451),0),
IF('TL06'!$B$3=P$3,SUMIF('TL06'!$C$10:$C$224,$C287,'TL06'!$J$10:$J$224),0),
IF('TL06'!$B$229=P$3,SUMIF('TL06'!$C$238:$C$451,$C287,'TL06'!$J$238:$J$451),0),
IF('TL07'!$B$3=P$3,SUMIF('TL07'!$C$10:$C$224,$C287,'TL07'!$J$10:$J$224),0),
IF('TL07'!$B$229=P$3,SUMIF('TL07'!$C$238:$C$451,$C287,'TL07'!$J$238:$J$451),0),
IF('TL08'!$B$3=P$3,SUMIF('TL08'!$C$10:$C$224,$C287,'TL08'!$J$10:$J$224),0),
IF('TL08'!$B$229=P$3,SUMIF('TL08'!$C$238:$C$451,$C287,'TL08'!$J$238:$J$451),0),
IF('TL09'!$B$3=P$3,SUMIF('TL09'!$C$10:$C$224,$C287,'TL09'!$J$10:$J$224),0),
IF('TL09'!$B$229=P$3,SUMIF('TL09'!$C$238:$C$451,$C287,'TL09'!$J$238:$J$451),0),
IF('TL10'!$B$3=P$3,SUMIF('TL10'!$C$10:$C$224,$C287,'TL10'!$J$10:$J$224),0),
IF('TL10'!$B$229=P$3,SUMIF('TL10'!$C$238:$C$451,$C287,'TL10'!$J$238:$J$451),0),
IF('TL11'!$B$3=P$3,SUMIF('TL11'!$C$10:$C$224,$C287,'TL11'!$J$10:$J$224),0),
IF('TL11'!$B$229=P$3,SUMIF('TL11'!$C$238:$C$451,$C287,'TL11'!$J$238:$J$451),0),
IF('TL12'!$B$3=P$3,SUMIF('TL12'!$C$10:$C$224,$C287,'TL12'!$J$10:$J$224),0),
IF('TL12'!$B$229=P$3,SUMIF('TL12'!$C$238:$C$451,$C287,'TL12'!$J$238:$J$451),0),
IF('TL13'!$B$3=P$3,SUMIF('TL13'!$C$10:$C$224,$C287,'TL13'!$J$10:$J$224),0),
IF('TL13'!$B$229=P$3,SUMIF('TL13'!$C$238:$C$451,$C287,'TL13'!$J$238:$J$451),0),
IF('TL14'!$B$3=P$3,SUMIF('TL14'!$C$10:$C$224,$C287,'TL14'!$J$10:$J$224),0),
IF('TL14'!$B$229=P$3,SUMIF('TL14'!$C$238:$C$451,$C287,'TL14'!$J$238:$J$451),0),
IF('TL15'!$B$3=P$3,SUMIF('TL15'!$C$10:$C$224,$C287,'TL15'!$J$10:$J$224),0),
IF('TL15'!$B$229=P$3,SUMIF('TL15'!$C$238:$C$451,$C287,'TL15'!$J$238:$J$451),0),
IF('TL16'!$B$3=P$3,SUMIF('TL16'!$C$10:$C$224,$C287,'TL16'!$J$10:$J$224),0),
IF('TL16'!$B$229=P$3,SUMIF('TL16'!$C$238:$C$451,$C287,'TL16'!$J$238:$J$451),0),
IF('TL17'!$B$3=P$3,SUMIF('TL17'!$C$10:$C$224,$C287,'TL17'!$J$10:$J$224),0),
IF('TL17'!$B$229=P$3,SUMIF('TL17'!$C$238:$C$451,$C287,'TL17'!$J$238:$J$451),0),
IF('TL18'!$B$3=P$3,SUMIF('TL18'!$C$10:$C$224,$C287,'TL18'!$J$10:$J$224),0),
IF('TL18'!$B$229=P$3,SUMIF('TL18'!$C$238:$C$451,$C287,'TL18'!$J$238:$J$451),0),
IF('TL19'!$B$3=P$3,SUMIF('TL19'!$C$10:$C$224,$C287,'TL19'!$J$10:$J$224),0),
IF('TL19'!$B$229=P$3,SUMIF('TL19'!$C$238:$C$451,$C287,'TL19'!$J$238:$J$451),0)
),0)</f>
        <v/>
      </c>
      <c r="Q287" s="9">
        <f>IFERROR(SUM(
IF('TL01'!$B$3=Q$3,SUMIF('TL01'!$C$10:$C$224,$C287,'TL01'!$J$10:$J$224),0),
IF('TL01'!$B$229=Q$3,SUMIF('TL01'!$C$238:$C$451,$C287,'TL01'!$J$238:$J$451),0),
IF('TL02'!$B$3=Q$3,SUMIF('TL02'!$C$10:$C$224,$C287,'TL02'!$J$10:$J$224),0),
IF('TL02'!$B$229=Q$3,SUMIF('TL02'!$C$238:$C$451,$C287,'TL02'!$J$238:$J$451),0),
IF('TL03'!$B$3=Q$3,SUMIF('TL03'!$C$10:$C$224,$C287,'TL03'!$J$10:$J$224),0),
IF('TL03'!$B$229=Q$3,SUMIF('TL03'!$C$238:$C$451,$C287,'TL03'!$J$238:$J$451),0),
IF('TL04'!$B$3=Q$3,SUMIF('TL04'!$C$10:$C$224,$C287,'TL04'!$J$10:$J$224),0),
IF('TL04'!$B$229=Q$3,SUMIF('TL04'!$C$238:$C$451,$C287,'TL04'!$J$238:$J$451),0),
IF('TL05'!$B$3=Q$3,SUMIF('TL05'!$C$10:$C$224,$C287,'TL05'!$J$10:$J$224),0),
IF('TL05'!$B$229=Q$3,SUMIF('TL05'!$C$238:$C$451,$C287,'TL05'!$J$238:$J$451),0),
IF('TL06'!$B$3=Q$3,SUMIF('TL06'!$C$10:$C$224,$C287,'TL06'!$J$10:$J$224),0),
IF('TL06'!$B$229=Q$3,SUMIF('TL06'!$C$238:$C$451,$C287,'TL06'!$J$238:$J$451),0),
IF('TL07'!$B$3=Q$3,SUMIF('TL07'!$C$10:$C$224,$C287,'TL07'!$J$10:$J$224),0),
IF('TL07'!$B$229=Q$3,SUMIF('TL07'!$C$238:$C$451,$C287,'TL07'!$J$238:$J$451),0),
IF('TL08'!$B$3=Q$3,SUMIF('TL08'!$C$10:$C$224,$C287,'TL08'!$J$10:$J$224),0),
IF('TL08'!$B$229=Q$3,SUMIF('TL08'!$C$238:$C$451,$C287,'TL08'!$J$238:$J$451),0),
IF('TL09'!$B$3=Q$3,SUMIF('TL09'!$C$10:$C$224,$C287,'TL09'!$J$10:$J$224),0),
IF('TL09'!$B$229=Q$3,SUMIF('TL09'!$C$238:$C$451,$C287,'TL09'!$J$238:$J$451),0),
IF('TL10'!$B$3=Q$3,SUMIF('TL10'!$C$10:$C$224,$C287,'TL10'!$J$10:$J$224),0),
IF('TL10'!$B$229=Q$3,SUMIF('TL10'!$C$238:$C$451,$C287,'TL10'!$J$238:$J$451),0),
IF('TL11'!$B$3=Q$3,SUMIF('TL11'!$C$10:$C$224,$C287,'TL11'!$J$10:$J$224),0),
IF('TL11'!$B$229=Q$3,SUMIF('TL11'!$C$238:$C$451,$C287,'TL11'!$J$238:$J$451),0),
IF('TL12'!$B$3=Q$3,SUMIF('TL12'!$C$10:$C$224,$C287,'TL12'!$J$10:$J$224),0),
IF('TL12'!$B$229=Q$3,SUMIF('TL12'!$C$238:$C$451,$C287,'TL12'!$J$238:$J$451),0),
IF('TL13'!$B$3=Q$3,SUMIF('TL13'!$C$10:$C$224,$C287,'TL13'!$J$10:$J$224),0),
IF('TL13'!$B$229=Q$3,SUMIF('TL13'!$C$238:$C$451,$C287,'TL13'!$J$238:$J$451),0),
IF('TL14'!$B$3=Q$3,SUMIF('TL14'!$C$10:$C$224,$C287,'TL14'!$J$10:$J$224),0),
IF('TL14'!$B$229=Q$3,SUMIF('TL14'!$C$238:$C$451,$C287,'TL14'!$J$238:$J$451),0),
IF('TL15'!$B$3=Q$3,SUMIF('TL15'!$C$10:$C$224,$C287,'TL15'!$J$10:$J$224),0),
IF('TL15'!$B$229=Q$3,SUMIF('TL15'!$C$238:$C$451,$C287,'TL15'!$J$238:$J$451),0),
IF('TL16'!$B$3=Q$3,SUMIF('TL16'!$C$10:$C$224,$C287,'TL16'!$J$10:$J$224),0),
IF('TL16'!$B$229=Q$3,SUMIF('TL16'!$C$238:$C$451,$C287,'TL16'!$J$238:$J$451),0),
IF('TL17'!$B$3=Q$3,SUMIF('TL17'!$C$10:$C$224,$C287,'TL17'!$J$10:$J$224),0),
IF('TL17'!$B$229=Q$3,SUMIF('TL17'!$C$238:$C$451,$C287,'TL17'!$J$238:$J$451),0),
IF('TL18'!$B$3=Q$3,SUMIF('TL18'!$C$10:$C$224,$C287,'TL18'!$J$10:$J$224),0),
IF('TL18'!$B$229=Q$3,SUMIF('TL18'!$C$238:$C$451,$C287,'TL18'!$J$238:$J$451),0),
IF('TL19'!$B$3=Q$3,SUMIF('TL19'!$C$10:$C$224,$C287,'TL19'!$J$10:$J$224),0),
IF('TL19'!$B$229=Q$3,SUMIF('TL19'!$C$238:$C$451,$C287,'TL19'!$J$238:$J$451),0)
),0)</f>
        <v/>
      </c>
      <c r="R287" s="9">
        <f>IFERROR(
SUM(
SUMIF('TL01'!C:C,C287,'TL01'!J:J),
SUMIF('TL02'!C:C,C287,'TL02'!J:J),
SUMIF('TL03'!C:C,C287,'TL03'!J:J),
SUMIF('TL04'!C:C,C287,'TL04'!J:J),
SUMIF('TL05'!C:C,C287,'TL05'!J:J),
SUMIF('TL06'!C:C,C287,'TL06'!J:J),
SUMIF('TL07'!C:C,C287,'TL07'!J:J),
SUMIF('TL08'!C:C,C287,'TL08'!J:J),
SUMIF('TL09'!C:C,C287,'TL09'!J:J),
SUMIF('TL10'!C:C,C287,'TL10'!J:J),
SUMIF('TL11'!C:C,C287,'TL11'!J:J),
SUMIF('TL12'!C:C,C287,'TL12'!J:J),
SUMIF('TL13'!C:C,C287,'TL13'!J:J),
SUMIF('TL14'!C:C,C287,'TL14'!J:J),
SUMIF('TL15'!C:C,C287,'TL15'!J:J),
SUMIF('TL16'!C:C,C287,'TL16'!J:J),
SUMIF('TL17'!C:C,C287,'TL17'!J:J),
SUMIF('TL18'!C:C,C287,'TL18'!J:J),SUMIF('TL19'!C:C,C287,'TL19'!J:J))
,0)</f>
        <v/>
      </c>
      <c r="S287" s="17">
        <f>IFERROR(__xludf.DUMMYFUNCTION("IFERROR(VLOOKUP(C287,
IMPORTRANGE(""1wULbzX32WdYsx-lj2U3uUNBBe2INVIRDtcK0d-Dvl90"",
""26-27!C:G""),
5,
FALSE),
"""")"),90.0)</f>
        <v/>
      </c>
      <c r="T287" s="9" t="n"/>
      <c r="U287" s="92">
        <f>MAX(0,R287-T287)</f>
        <v/>
      </c>
      <c r="V287" s="93">
        <f>U287*S287</f>
        <v/>
      </c>
    </row>
    <row r="288" hidden="1" ht="15.75" customHeight="1" s="297">
      <c r="A288" s="4" t="n"/>
      <c r="B288" s="125" t="inlineStr">
        <is>
          <t>NUTRIÇÃO</t>
        </is>
      </c>
      <c r="C288" s="4" t="inlineStr">
        <is>
          <t>MOLIBIDENIO 16</t>
        </is>
      </c>
      <c r="D288" s="20" t="n"/>
      <c r="E288" s="9" t="n"/>
      <c r="F288" s="4" t="inlineStr">
        <is>
          <t>KG</t>
        </is>
      </c>
      <c r="G288" s="9" t="n"/>
      <c r="H288" s="9" t="n">
        <v>0.3</v>
      </c>
      <c r="I288" s="1" t="n"/>
      <c r="J288" s="9">
        <f>IFERROR(SUM(
IF('TL01'!$B$3=J$3,SUMIF('TL01'!$C$10:$C$224,$C288,'TL01'!$J$10:$J$224),0),
IF('TL01'!$B$229=J$3,SUMIF('TL01'!$C$238:$C$451,$C288,'TL01'!$J$238:$J$451),0),
IF('TL02'!$B$3=J$3,SUMIF('TL02'!$C$10:$C$224,$C288,'TL02'!$J$10:$J$224),0),
IF('TL02'!$B$229=J$3,SUMIF('TL02'!$C$238:$C$451,$C288,'TL02'!$J$238:$J$451),0),
IF('TL03'!$B$3=J$3,SUMIF('TL03'!$C$10:$C$224,$C288,'TL03'!$J$10:$J$224),0),
IF('TL03'!$B$229=J$3,SUMIF('TL03'!$C$238:$C$451,$C288,'TL03'!$J$238:$J$451),0),
IF('TL04'!$B$3=J$3,SUMIF('TL04'!$C$10:$C$224,$C288,'TL04'!$J$10:$J$224),0),
IF('TL04'!$B$229=J$3,SUMIF('TL04'!$C$238:$C$451,$C288,'TL04'!$J$238:$J$451),0),
IF('TL05'!$B$3=J$3,SUMIF('TL05'!$C$10:$C$224,$C288,'TL05'!$J$10:$J$224),0),
IF('TL05'!$B$229=J$3,SUMIF('TL05'!$C$238:$C$451,$C288,'TL05'!$J$238:$J$451),0),
IF('TL06'!$B$3=J$3,SUMIF('TL06'!$C$10:$C$224,$C288,'TL06'!$J$10:$J$224),0),
IF('TL06'!$B$229=J$3,SUMIF('TL06'!$C$238:$C$451,$C288,'TL06'!$J$238:$J$451),0),
IF('TL07'!$B$3=J$3,SUMIF('TL07'!$C$10:$C$224,$C288,'TL07'!$J$10:$J$224),0),
IF('TL07'!$B$229=J$3,SUMIF('TL07'!$C$238:$C$451,$C288,'TL07'!$J$238:$J$451),0),
IF('TL08'!$B$3=J$3,SUMIF('TL08'!$C$10:$C$224,$C288,'TL08'!$J$10:$J$224),0),
IF('TL08'!$B$229=J$3,SUMIF('TL08'!$C$238:$C$451,$C288,'TL08'!$J$238:$J$451),0),
IF('TL09'!$B$3=J$3,SUMIF('TL09'!$C$10:$C$224,$C288,'TL09'!$J$10:$J$224),0),
IF('TL09'!$B$229=J$3,SUMIF('TL09'!$C$238:$C$451,$C288,'TL09'!$J$238:$J$451),0),
IF('TL10'!$B$3=J$3,SUMIF('TL10'!$C$10:$C$224,$C288,'TL10'!$J$10:$J$224),0),
IF('TL10'!$B$229=J$3,SUMIF('TL10'!$C$238:$C$451,$C288,'TL10'!$J$238:$J$451),0),
IF('TL11'!$B$3=J$3,SUMIF('TL11'!$C$10:$C$224,$C288,'TL11'!$J$10:$J$224),0),
IF('TL11'!$B$229=J$3,SUMIF('TL11'!$C$238:$C$451,$C288,'TL11'!$J$238:$J$451),0),
IF('TL12'!$B$3=J$3,SUMIF('TL12'!$C$10:$C$224,$C288,'TL12'!$J$10:$J$224),0),
IF('TL12'!$B$229=J$3,SUMIF('TL12'!$C$238:$C$451,$C288,'TL12'!$J$238:$J$451),0),
IF('TL13'!$B$3=J$3,SUMIF('TL13'!$C$10:$C$224,$C288,'TL13'!$J$10:$J$224),0),
IF('TL13'!$B$229=J$3,SUMIF('TL13'!$C$238:$C$451,$C288,'TL13'!$J$238:$J$451),0),
IF('TL14'!$B$3=J$3,SUMIF('TL14'!$C$10:$C$224,$C288,'TL14'!$J$10:$J$224),0),
IF('TL14'!$B$229=J$3,SUMIF('TL14'!$C$238:$C$451,$C288,'TL14'!$J$238:$J$451),0),
IF('TL15'!$B$3=J$3,SUMIF('TL15'!$C$10:$C$224,$C288,'TL15'!$J$10:$J$224),0),
IF('TL15'!$B$229=J$3,SUMIF('TL15'!$C$238:$C$451,$C288,'TL15'!$J$238:$J$451),0),
IF('TL16'!$B$3=J$3,SUMIF('TL16'!$C$10:$C$224,$C288,'TL16'!$J$10:$J$224),0),
IF('TL16'!$B$229=J$3,SUMIF('TL16'!$C$238:$C$451,$C288,'TL16'!$J$238:$J$451),0),
IF('TL17'!$B$3=J$3,SUMIF('TL17'!$C$10:$C$224,$C288,'TL17'!$J$10:$J$224),0),
IF('TL17'!$B$229=J$3,SUMIF('TL17'!$C$238:$C$451,$C288,'TL17'!$J$238:$J$451),0),
IF('TL18'!$B$3=J$3,SUMIF('TL18'!$C$10:$C$224,$C288,'TL18'!$J$10:$J$224),0),
IF('TL18'!$B$229=J$3,SUMIF('TL18'!$C$238:$C$451,$C288,'TL18'!$J$238:$J$451),0),
IF('TL19'!$B$3=J$3,SUMIF('TL19'!$C$10:$C$224,$C288,'TL19'!$J$10:$J$224),0),
IF('TL19'!$B$229=J$3,SUMIF('TL19'!$C$238:$C$451,$C288,'TL19'!$J$238:$J$451),0)
),0)</f>
        <v/>
      </c>
      <c r="K288" s="9">
        <f>IFERROR(SUM(
IF('TL01'!$B$3=K$3,SUMIF('TL01'!$C$10:$C$224,$C288,'TL01'!$J$10:$J$224),0),
IF('TL01'!$B$229=K$3,SUMIF('TL01'!$C$238:$C$451,$C288,'TL01'!$J$238:$J$451),0),
IF('TL02'!$B$3=K$3,SUMIF('TL02'!$C$10:$C$224,$C288,'TL02'!$J$10:$J$224),0),
IF('TL02'!$B$229=K$3,SUMIF('TL02'!$C$238:$C$451,$C288,'TL02'!$J$238:$J$451),0),
IF('TL03'!$B$3=K$3,SUMIF('TL03'!$C$10:$C$224,$C288,'TL03'!$J$10:$J$224),0),
IF('TL03'!$B$229=K$3,SUMIF('TL03'!$C$238:$C$451,$C288,'TL03'!$J$238:$J$451),0),
IF('TL04'!$B$3=K$3,SUMIF('TL04'!$C$10:$C$224,$C288,'TL04'!$J$10:$J$224),0),
IF('TL04'!$B$229=K$3,SUMIF('TL04'!$C$238:$C$451,$C288,'TL04'!$J$238:$J$451),0),
IF('TL05'!$B$3=K$3,SUMIF('TL05'!$C$10:$C$224,$C288,'TL05'!$J$10:$J$224),0),
IF('TL05'!$B$229=K$3,SUMIF('TL05'!$C$238:$C$451,$C288,'TL05'!$J$238:$J$451),0),
IF('TL06'!$B$3=K$3,SUMIF('TL06'!$C$10:$C$224,$C288,'TL06'!$J$10:$J$224),0),
IF('TL06'!$B$229=K$3,SUMIF('TL06'!$C$238:$C$451,$C288,'TL06'!$J$238:$J$451),0),
IF('TL07'!$B$3=K$3,SUMIF('TL07'!$C$10:$C$224,$C288,'TL07'!$J$10:$J$224),0),
IF('TL07'!$B$229=K$3,SUMIF('TL07'!$C$238:$C$451,$C288,'TL07'!$J$238:$J$451),0),
IF('TL08'!$B$3=K$3,SUMIF('TL08'!$C$10:$C$224,$C288,'TL08'!$J$10:$J$224),0),
IF('TL08'!$B$229=K$3,SUMIF('TL08'!$C$238:$C$451,$C288,'TL08'!$J$238:$J$451),0),
IF('TL09'!$B$3=K$3,SUMIF('TL09'!$C$10:$C$224,$C288,'TL09'!$J$10:$J$224),0),
IF('TL09'!$B$229=K$3,SUMIF('TL09'!$C$238:$C$451,$C288,'TL09'!$J$238:$J$451),0),
IF('TL10'!$B$3=K$3,SUMIF('TL10'!$C$10:$C$224,$C288,'TL10'!$J$10:$J$224),0),
IF('TL10'!$B$229=K$3,SUMIF('TL10'!$C$238:$C$451,$C288,'TL10'!$J$238:$J$451),0),
IF('TL11'!$B$3=K$3,SUMIF('TL11'!$C$10:$C$224,$C288,'TL11'!$J$10:$J$224),0),
IF('TL11'!$B$229=K$3,SUMIF('TL11'!$C$238:$C$451,$C288,'TL11'!$J$238:$J$451),0),
IF('TL12'!$B$3=K$3,SUMIF('TL12'!$C$10:$C$224,$C288,'TL12'!$J$10:$J$224),0),
IF('TL12'!$B$229=K$3,SUMIF('TL12'!$C$238:$C$451,$C288,'TL12'!$J$238:$J$451),0),
IF('TL13'!$B$3=K$3,SUMIF('TL13'!$C$10:$C$224,$C288,'TL13'!$J$10:$J$224),0),
IF('TL13'!$B$229=K$3,SUMIF('TL13'!$C$238:$C$451,$C288,'TL13'!$J$238:$J$451),0),
IF('TL14'!$B$3=K$3,SUMIF('TL14'!$C$10:$C$224,$C288,'TL14'!$J$10:$J$224),0),
IF('TL14'!$B$229=K$3,SUMIF('TL14'!$C$238:$C$451,$C288,'TL14'!$J$238:$J$451),0),
IF('TL15'!$B$3=K$3,SUMIF('TL15'!$C$10:$C$224,$C288,'TL15'!$J$10:$J$224),0),
IF('TL15'!$B$229=K$3,SUMIF('TL15'!$C$238:$C$451,$C288,'TL15'!$J$238:$J$451),0),
IF('TL16'!$B$3=K$3,SUMIF('TL16'!$C$10:$C$224,$C288,'TL16'!$J$10:$J$224),0),
IF('TL16'!$B$229=K$3,SUMIF('TL16'!$C$238:$C$451,$C288,'TL16'!$J$238:$J$451),0),
IF('TL17'!$B$3=K$3,SUMIF('TL17'!$C$10:$C$224,$C288,'TL17'!$J$10:$J$224),0),
IF('TL17'!$B$229=K$3,SUMIF('TL17'!$C$238:$C$451,$C288,'TL17'!$J$238:$J$451),0),
IF('TL18'!$B$3=K$3,SUMIF('TL18'!$C$10:$C$224,$C288,'TL18'!$J$10:$J$224),0),
IF('TL18'!$B$229=K$3,SUMIF('TL18'!$C$238:$C$451,$C288,'TL18'!$J$238:$J$451),0),
IF('TL19'!$B$3=K$3,SUMIF('TL19'!$C$10:$C$224,$C288,'TL19'!$J$10:$J$224),0),
IF('TL19'!$B$229=K$3,SUMIF('TL19'!$C$238:$C$451,$C288,'TL19'!$J$238:$J$451),0)
),0)</f>
        <v/>
      </c>
      <c r="L288" s="9">
        <f>IFERROR(SUM(
IF('TL01'!$B$3=L$3,SUMIF('TL01'!$C$10:$C$224,$C288,'TL01'!$J$10:$J$224),0),
IF('TL01'!$B$229=L$3,SUMIF('TL01'!$C$238:$C$451,$C288,'TL01'!$J$238:$J$451),0),
IF('TL02'!$B$3=L$3,SUMIF('TL02'!$C$10:$C$224,$C288,'TL02'!$J$10:$J$224),0),
IF('TL02'!$B$229=L$3,SUMIF('TL02'!$C$238:$C$451,$C288,'TL02'!$J$238:$J$451),0),
IF('TL03'!$B$3=L$3,SUMIF('TL03'!$C$10:$C$224,$C288,'TL03'!$J$10:$J$224),0),
IF('TL03'!$B$229=L$3,SUMIF('TL03'!$C$238:$C$451,$C288,'TL03'!$J$238:$J$451),0),
IF('TL04'!$B$3=L$3,SUMIF('TL04'!$C$10:$C$224,$C288,'TL04'!$J$10:$J$224),0),
IF('TL04'!$B$229=L$3,SUMIF('TL04'!$C$238:$C$451,$C288,'TL04'!$J$238:$J$451),0),
IF('TL05'!$B$3=L$3,SUMIF('TL05'!$C$10:$C$224,$C288,'TL05'!$J$10:$J$224),0),
IF('TL05'!$B$229=L$3,SUMIF('TL05'!$C$238:$C$451,$C288,'TL05'!$J$238:$J$451),0),
IF('TL06'!$B$3=L$3,SUMIF('TL06'!$C$10:$C$224,$C288,'TL06'!$J$10:$J$224),0),
IF('TL06'!$B$229=L$3,SUMIF('TL06'!$C$238:$C$451,$C288,'TL06'!$J$238:$J$451),0),
IF('TL07'!$B$3=L$3,SUMIF('TL07'!$C$10:$C$224,$C288,'TL07'!$J$10:$J$224),0),
IF('TL07'!$B$229=L$3,SUMIF('TL07'!$C$238:$C$451,$C288,'TL07'!$J$238:$J$451),0),
IF('TL08'!$B$3=L$3,SUMIF('TL08'!$C$10:$C$224,$C288,'TL08'!$J$10:$J$224),0),
IF('TL08'!$B$229=L$3,SUMIF('TL08'!$C$238:$C$451,$C288,'TL08'!$J$238:$J$451),0),
IF('TL09'!$B$3=L$3,SUMIF('TL09'!$C$10:$C$224,$C288,'TL09'!$J$10:$J$224),0),
IF('TL09'!$B$229=L$3,SUMIF('TL09'!$C$238:$C$451,$C288,'TL09'!$J$238:$J$451),0),
IF('TL10'!$B$3=L$3,SUMIF('TL10'!$C$10:$C$224,$C288,'TL10'!$J$10:$J$224),0),
IF('TL10'!$B$229=L$3,SUMIF('TL10'!$C$238:$C$451,$C288,'TL10'!$J$238:$J$451),0),
IF('TL11'!$B$3=L$3,SUMIF('TL11'!$C$10:$C$224,$C288,'TL11'!$J$10:$J$224),0),
IF('TL11'!$B$229=L$3,SUMIF('TL11'!$C$238:$C$451,$C288,'TL11'!$J$238:$J$451),0),
IF('TL12'!$B$3=L$3,SUMIF('TL12'!$C$10:$C$224,$C288,'TL12'!$J$10:$J$224),0),
IF('TL12'!$B$229=L$3,SUMIF('TL12'!$C$238:$C$451,$C288,'TL12'!$J$238:$J$451),0),
IF('TL13'!$B$3=L$3,SUMIF('TL13'!$C$10:$C$224,$C288,'TL13'!$J$10:$J$224),0),
IF('TL13'!$B$229=L$3,SUMIF('TL13'!$C$238:$C$451,$C288,'TL13'!$J$238:$J$451),0),
IF('TL14'!$B$3=L$3,SUMIF('TL14'!$C$10:$C$224,$C288,'TL14'!$J$10:$J$224),0),
IF('TL14'!$B$229=L$3,SUMIF('TL14'!$C$238:$C$451,$C288,'TL14'!$J$238:$J$451),0),
IF('TL15'!$B$3=L$3,SUMIF('TL15'!$C$10:$C$224,$C288,'TL15'!$J$10:$J$224),0),
IF('TL15'!$B$229=L$3,SUMIF('TL15'!$C$238:$C$451,$C288,'TL15'!$J$238:$J$451),0),
IF('TL16'!$B$3=L$3,SUMIF('TL16'!$C$10:$C$224,$C288,'TL16'!$J$10:$J$224),0),
IF('TL16'!$B$229=L$3,SUMIF('TL16'!$C$238:$C$451,$C288,'TL16'!$J$238:$J$451),0),
IF('TL17'!$B$3=L$3,SUMIF('TL17'!$C$10:$C$224,$C288,'TL17'!$J$10:$J$224),0),
IF('TL17'!$B$229=L$3,SUMIF('TL17'!$C$238:$C$451,$C288,'TL17'!$J$238:$J$451),0),
IF('TL18'!$B$3=L$3,SUMIF('TL18'!$C$10:$C$224,$C288,'TL18'!$J$10:$J$224),0),
IF('TL18'!$B$229=L$3,SUMIF('TL18'!$C$238:$C$451,$C288,'TL18'!$J$238:$J$451),0),
IF('TL19'!$B$3=L$3,SUMIF('TL19'!$C$10:$C$224,$C288,'TL19'!$J$10:$J$224),0),
IF('TL19'!$B$229=L$3,SUMIF('TL19'!$C$238:$C$451,$C288,'TL19'!$J$238:$J$451),0)
),0)</f>
        <v/>
      </c>
      <c r="M288" s="9">
        <f>IFERROR(SUM(
IF('TL01'!$B$3=M$3,SUMIF('TL01'!$C$10:$C$224,$C288,'TL01'!$J$10:$J$224),0),
IF('TL01'!$B$229=M$3,SUMIF('TL01'!$C$238:$C$451,$C288,'TL01'!$J$238:$J$451),0),
IF('TL02'!$B$3=M$3,SUMIF('TL02'!$C$10:$C$224,$C288,'TL02'!$J$10:$J$224),0),
IF('TL02'!$B$229=M$3,SUMIF('TL02'!$C$238:$C$451,$C288,'TL02'!$J$238:$J$451),0),
IF('TL03'!$B$3=M$3,SUMIF('TL03'!$C$10:$C$224,$C288,'TL03'!$J$10:$J$224),0),
IF('TL03'!$B$229=M$3,SUMIF('TL03'!$C$238:$C$451,$C288,'TL03'!$J$238:$J$451),0),
IF('TL04'!$B$3=M$3,SUMIF('TL04'!$C$10:$C$224,$C288,'TL04'!$J$10:$J$224),0),
IF('TL04'!$B$229=M$3,SUMIF('TL04'!$C$238:$C$451,$C288,'TL04'!$J$238:$J$451),0),
IF('TL05'!$B$3=M$3,SUMIF('TL05'!$C$10:$C$224,$C288,'TL05'!$J$10:$J$224),0),
IF('TL05'!$B$229=M$3,SUMIF('TL05'!$C$238:$C$451,$C288,'TL05'!$J$238:$J$451),0),
IF('TL06'!$B$3=M$3,SUMIF('TL06'!$C$10:$C$224,$C288,'TL06'!$J$10:$J$224),0),
IF('TL06'!$B$229=M$3,SUMIF('TL06'!$C$238:$C$451,$C288,'TL06'!$J$238:$J$451),0),
IF('TL07'!$B$3=M$3,SUMIF('TL07'!$C$10:$C$224,$C288,'TL07'!$J$10:$J$224),0),
IF('TL07'!$B$229=M$3,SUMIF('TL07'!$C$238:$C$451,$C288,'TL07'!$J$238:$J$451),0),
IF('TL08'!$B$3=M$3,SUMIF('TL08'!$C$10:$C$224,$C288,'TL08'!$J$10:$J$224),0),
IF('TL08'!$B$229=M$3,SUMIF('TL08'!$C$238:$C$451,$C288,'TL08'!$J$238:$J$451),0),
IF('TL09'!$B$3=M$3,SUMIF('TL09'!$C$10:$C$224,$C288,'TL09'!$J$10:$J$224),0),
IF('TL09'!$B$229=M$3,SUMIF('TL09'!$C$238:$C$451,$C288,'TL09'!$J$238:$J$451),0),
IF('TL10'!$B$3=M$3,SUMIF('TL10'!$C$10:$C$224,$C288,'TL10'!$J$10:$J$224),0),
IF('TL10'!$B$229=M$3,SUMIF('TL10'!$C$238:$C$451,$C288,'TL10'!$J$238:$J$451),0),
IF('TL11'!$B$3=M$3,SUMIF('TL11'!$C$10:$C$224,$C288,'TL11'!$J$10:$J$224),0),
IF('TL11'!$B$229=M$3,SUMIF('TL11'!$C$238:$C$451,$C288,'TL11'!$J$238:$J$451),0),
IF('TL12'!$B$3=M$3,SUMIF('TL12'!$C$10:$C$224,$C288,'TL12'!$J$10:$J$224),0),
IF('TL12'!$B$229=M$3,SUMIF('TL12'!$C$238:$C$451,$C288,'TL12'!$J$238:$J$451),0),
IF('TL13'!$B$3=M$3,SUMIF('TL13'!$C$10:$C$224,$C288,'TL13'!$J$10:$J$224),0),
IF('TL13'!$B$229=M$3,SUMIF('TL13'!$C$238:$C$451,$C288,'TL13'!$J$238:$J$451),0),
IF('TL14'!$B$3=M$3,SUMIF('TL14'!$C$10:$C$224,$C288,'TL14'!$J$10:$J$224),0),
IF('TL14'!$B$229=M$3,SUMIF('TL14'!$C$238:$C$451,$C288,'TL14'!$J$238:$J$451),0),
IF('TL15'!$B$3=M$3,SUMIF('TL15'!$C$10:$C$224,$C288,'TL15'!$J$10:$J$224),0),
IF('TL15'!$B$229=M$3,SUMIF('TL15'!$C$238:$C$451,$C288,'TL15'!$J$238:$J$451),0),
IF('TL16'!$B$3=M$3,SUMIF('TL16'!$C$10:$C$224,$C288,'TL16'!$J$10:$J$224),0),
IF('TL16'!$B$229=M$3,SUMIF('TL16'!$C$238:$C$451,$C288,'TL16'!$J$238:$J$451),0),
IF('TL17'!$B$3=M$3,SUMIF('TL17'!$C$10:$C$224,$C288,'TL17'!$J$10:$J$224),0),
IF('TL17'!$B$229=M$3,SUMIF('TL17'!$C$238:$C$451,$C288,'TL17'!$J$238:$J$451),0),
IF('TL18'!$B$3=M$3,SUMIF('TL18'!$C$10:$C$224,$C288,'TL18'!$J$10:$J$224),0),
IF('TL18'!$B$229=M$3,SUMIF('TL18'!$C$238:$C$451,$C288,'TL18'!$J$238:$J$451),0),
IF('TL19'!$B$3=M$3,SUMIF('TL19'!$C$10:$C$224,$C288,'TL19'!$J$10:$J$224),0),
IF('TL19'!$B$229=M$3,SUMIF('TL19'!$C$238:$C$451,$C288,'TL19'!$J$238:$J$451),0)
),0)</f>
        <v/>
      </c>
      <c r="N288" s="9">
        <f>IFERROR(SUM(
IF('TL01'!$B$3=N$3,SUMIF('TL01'!$C$10:$C$224,$C288,'TL01'!$J$10:$J$224),0),
IF('TL01'!$B$229=N$3,SUMIF('TL01'!$C$238:$C$451,$C288,'TL01'!$J$238:$J$451),0),
IF('TL02'!$B$3=N$3,SUMIF('TL02'!$C$10:$C$224,$C288,'TL02'!$J$10:$J$224),0),
IF('TL02'!$B$229=N$3,SUMIF('TL02'!$C$238:$C$451,$C288,'TL02'!$J$238:$J$451),0),
IF('TL03'!$B$3=N$3,SUMIF('TL03'!$C$10:$C$224,$C288,'TL03'!$J$10:$J$224),0),
IF('TL03'!$B$229=N$3,SUMIF('TL03'!$C$238:$C$451,$C288,'TL03'!$J$238:$J$451),0),
IF('TL04'!$B$3=N$3,SUMIF('TL04'!$C$10:$C$224,$C288,'TL04'!$J$10:$J$224),0),
IF('TL04'!$B$229=N$3,SUMIF('TL04'!$C$238:$C$451,$C288,'TL04'!$J$238:$J$451),0),
IF('TL05'!$B$3=N$3,SUMIF('TL05'!$C$10:$C$224,$C288,'TL05'!$J$10:$J$224),0),
IF('TL05'!$B$229=N$3,SUMIF('TL05'!$C$238:$C$451,$C288,'TL05'!$J$238:$J$451),0),
IF('TL06'!$B$3=N$3,SUMIF('TL06'!$C$10:$C$224,$C288,'TL06'!$J$10:$J$224),0),
IF('TL06'!$B$229=N$3,SUMIF('TL06'!$C$238:$C$451,$C288,'TL06'!$J$238:$J$451),0),
IF('TL07'!$B$3=N$3,SUMIF('TL07'!$C$10:$C$224,$C288,'TL07'!$J$10:$J$224),0),
IF('TL07'!$B$229=N$3,SUMIF('TL07'!$C$238:$C$451,$C288,'TL07'!$J$238:$J$451),0),
IF('TL08'!$B$3=N$3,SUMIF('TL08'!$C$10:$C$224,$C288,'TL08'!$J$10:$J$224),0),
IF('TL08'!$B$229=N$3,SUMIF('TL08'!$C$238:$C$451,$C288,'TL08'!$J$238:$J$451),0),
IF('TL09'!$B$3=N$3,SUMIF('TL09'!$C$10:$C$224,$C288,'TL09'!$J$10:$J$224),0),
IF('TL09'!$B$229=N$3,SUMIF('TL09'!$C$238:$C$451,$C288,'TL09'!$J$238:$J$451),0),
IF('TL10'!$B$3=N$3,SUMIF('TL10'!$C$10:$C$224,$C288,'TL10'!$J$10:$J$224),0),
IF('TL10'!$B$229=N$3,SUMIF('TL10'!$C$238:$C$451,$C288,'TL10'!$J$238:$J$451),0),
IF('TL11'!$B$3=N$3,SUMIF('TL11'!$C$10:$C$224,$C288,'TL11'!$J$10:$J$224),0),
IF('TL11'!$B$229=N$3,SUMIF('TL11'!$C$238:$C$451,$C288,'TL11'!$J$238:$J$451),0),
IF('TL12'!$B$3=N$3,SUMIF('TL12'!$C$10:$C$224,$C288,'TL12'!$J$10:$J$224),0),
IF('TL12'!$B$229=N$3,SUMIF('TL12'!$C$238:$C$451,$C288,'TL12'!$J$238:$J$451),0),
IF('TL13'!$B$3=N$3,SUMIF('TL13'!$C$10:$C$224,$C288,'TL13'!$J$10:$J$224),0),
IF('TL13'!$B$229=N$3,SUMIF('TL13'!$C$238:$C$451,$C288,'TL13'!$J$238:$J$451),0),
IF('TL14'!$B$3=N$3,SUMIF('TL14'!$C$10:$C$224,$C288,'TL14'!$J$10:$J$224),0),
IF('TL14'!$B$229=N$3,SUMIF('TL14'!$C$238:$C$451,$C288,'TL14'!$J$238:$J$451),0),
IF('TL15'!$B$3=N$3,SUMIF('TL15'!$C$10:$C$224,$C288,'TL15'!$J$10:$J$224),0),
IF('TL15'!$B$229=N$3,SUMIF('TL15'!$C$238:$C$451,$C288,'TL15'!$J$238:$J$451),0),
IF('TL16'!$B$3=N$3,SUMIF('TL16'!$C$10:$C$224,$C288,'TL16'!$J$10:$J$224),0),
IF('TL16'!$B$229=N$3,SUMIF('TL16'!$C$238:$C$451,$C288,'TL16'!$J$238:$J$451),0),
IF('TL17'!$B$3=N$3,SUMIF('TL17'!$C$10:$C$224,$C288,'TL17'!$J$10:$J$224),0),
IF('TL17'!$B$229=N$3,SUMIF('TL17'!$C$238:$C$451,$C288,'TL17'!$J$238:$J$451),0),
IF('TL18'!$B$3=N$3,SUMIF('TL18'!$C$10:$C$224,$C288,'TL18'!$J$10:$J$224),0),
IF('TL18'!$B$229=N$3,SUMIF('TL18'!$C$238:$C$451,$C288,'TL18'!$J$238:$J$451),0),
IF('TL19'!$B$3=N$3,SUMIF('TL19'!$C$10:$C$224,$C288,'TL19'!$J$10:$J$224),0),
IF('TL19'!$B$229=N$3,SUMIF('TL19'!$C$238:$C$451,$C288,'TL19'!$J$238:$J$451),0)
),0)</f>
        <v/>
      </c>
      <c r="O288" s="9">
        <f>IFERROR(SUM(
IF('TL01'!$B$3=O$3,SUMIF('TL01'!$C$10:$C$224,$C288,'TL01'!$J$10:$J$224),0),
IF('TL01'!$B$229=O$3,SUMIF('TL01'!$C$238:$C$451,$C288,'TL01'!$J$238:$J$451),0),
IF('TL02'!$B$3=O$3,SUMIF('TL02'!$C$10:$C$224,$C288,'TL02'!$J$10:$J$224),0),
IF('TL02'!$B$229=O$3,SUMIF('TL02'!$C$238:$C$451,$C288,'TL02'!$J$238:$J$451),0),
IF('TL03'!$B$3=O$3,SUMIF('TL03'!$C$10:$C$224,$C288,'TL03'!$J$10:$J$224),0),
IF('TL03'!$B$229=O$3,SUMIF('TL03'!$C$238:$C$451,$C288,'TL03'!$J$238:$J$451),0),
IF('TL04'!$B$3=O$3,SUMIF('TL04'!$C$10:$C$224,$C288,'TL04'!$J$10:$J$224),0),
IF('TL04'!$B$229=O$3,SUMIF('TL04'!$C$238:$C$451,$C288,'TL04'!$J$238:$J$451),0),
IF('TL05'!$B$3=O$3,SUMIF('TL05'!$C$10:$C$224,$C288,'TL05'!$J$10:$J$224),0),
IF('TL05'!$B$229=O$3,SUMIF('TL05'!$C$238:$C$451,$C288,'TL05'!$J$238:$J$451),0),
IF('TL06'!$B$3=O$3,SUMIF('TL06'!$C$10:$C$224,$C288,'TL06'!$J$10:$J$224),0),
IF('TL06'!$B$229=O$3,SUMIF('TL06'!$C$238:$C$451,$C288,'TL06'!$J$238:$J$451),0),
IF('TL07'!$B$3=O$3,SUMIF('TL07'!$C$10:$C$224,$C288,'TL07'!$J$10:$J$224),0),
IF('TL07'!$B$229=O$3,SUMIF('TL07'!$C$238:$C$451,$C288,'TL07'!$J$238:$J$451),0),
IF('TL08'!$B$3=O$3,SUMIF('TL08'!$C$10:$C$224,$C288,'TL08'!$J$10:$J$224),0),
IF('TL08'!$B$229=O$3,SUMIF('TL08'!$C$238:$C$451,$C288,'TL08'!$J$238:$J$451),0),
IF('TL09'!$B$3=O$3,SUMIF('TL09'!$C$10:$C$224,$C288,'TL09'!$J$10:$J$224),0),
IF('TL09'!$B$229=O$3,SUMIF('TL09'!$C$238:$C$451,$C288,'TL09'!$J$238:$J$451),0),
IF('TL10'!$B$3=O$3,SUMIF('TL10'!$C$10:$C$224,$C288,'TL10'!$J$10:$J$224),0),
IF('TL10'!$B$229=O$3,SUMIF('TL10'!$C$238:$C$451,$C288,'TL10'!$J$238:$J$451),0),
IF('TL11'!$B$3=O$3,SUMIF('TL11'!$C$10:$C$224,$C288,'TL11'!$J$10:$J$224),0),
IF('TL11'!$B$229=O$3,SUMIF('TL11'!$C$238:$C$451,$C288,'TL11'!$J$238:$J$451),0),
IF('TL12'!$B$3=O$3,SUMIF('TL12'!$C$10:$C$224,$C288,'TL12'!$J$10:$J$224),0),
IF('TL12'!$B$229=O$3,SUMIF('TL12'!$C$238:$C$451,$C288,'TL12'!$J$238:$J$451),0),
IF('TL13'!$B$3=O$3,SUMIF('TL13'!$C$10:$C$224,$C288,'TL13'!$J$10:$J$224),0),
IF('TL13'!$B$229=O$3,SUMIF('TL13'!$C$238:$C$451,$C288,'TL13'!$J$238:$J$451),0),
IF('TL14'!$B$3=O$3,SUMIF('TL14'!$C$10:$C$224,$C288,'TL14'!$J$10:$J$224),0),
IF('TL14'!$B$229=O$3,SUMIF('TL14'!$C$238:$C$451,$C288,'TL14'!$J$238:$J$451),0),
IF('TL15'!$B$3=O$3,SUMIF('TL15'!$C$10:$C$224,$C288,'TL15'!$J$10:$J$224),0),
IF('TL15'!$B$229=O$3,SUMIF('TL15'!$C$238:$C$451,$C288,'TL15'!$J$238:$J$451),0),
IF('TL16'!$B$3=O$3,SUMIF('TL16'!$C$10:$C$224,$C288,'TL16'!$J$10:$J$224),0),
IF('TL16'!$B$229=O$3,SUMIF('TL16'!$C$238:$C$451,$C288,'TL16'!$J$238:$J$451),0),
IF('TL17'!$B$3=O$3,SUMIF('TL17'!$C$10:$C$224,$C288,'TL17'!$J$10:$J$224),0),
IF('TL17'!$B$229=O$3,SUMIF('TL17'!$C$238:$C$451,$C288,'TL17'!$J$238:$J$451),0),
IF('TL18'!$B$3=O$3,SUMIF('TL18'!$C$10:$C$224,$C288,'TL18'!$J$10:$J$224),0),
IF('TL18'!$B$229=O$3,SUMIF('TL18'!$C$238:$C$451,$C288,'TL18'!$J$238:$J$451),0),
IF('TL19'!$B$3=O$3,SUMIF('TL19'!$C$10:$C$224,$C288,'TL19'!$J$10:$J$224),0),
IF('TL19'!$B$229=O$3,SUMIF('TL19'!$C$238:$C$451,$C288,'TL19'!$J$238:$J$451),0)
),0)</f>
        <v/>
      </c>
      <c r="P288" s="9">
        <f>IFERROR(SUM(
IF('TL01'!$B$3=P$3,SUMIF('TL01'!$C$10:$C$224,$C288,'TL01'!$J$10:$J$224),0),
IF('TL01'!$B$229=P$3,SUMIF('TL01'!$C$238:$C$451,$C288,'TL01'!$J$238:$J$451),0),
IF('TL02'!$B$3=P$3,SUMIF('TL02'!$C$10:$C$224,$C288,'TL02'!$J$10:$J$224),0),
IF('TL02'!$B$229=P$3,SUMIF('TL02'!$C$238:$C$451,$C288,'TL02'!$J$238:$J$451),0),
IF('TL03'!$B$3=P$3,SUMIF('TL03'!$C$10:$C$224,$C288,'TL03'!$J$10:$J$224),0),
IF('TL03'!$B$229=P$3,SUMIF('TL03'!$C$238:$C$451,$C288,'TL03'!$J$238:$J$451),0),
IF('TL04'!$B$3=P$3,SUMIF('TL04'!$C$10:$C$224,$C288,'TL04'!$J$10:$J$224),0),
IF('TL04'!$B$229=P$3,SUMIF('TL04'!$C$238:$C$451,$C288,'TL04'!$J$238:$J$451),0),
IF('TL05'!$B$3=P$3,SUMIF('TL05'!$C$10:$C$224,$C288,'TL05'!$J$10:$J$224),0),
IF('TL05'!$B$229=P$3,SUMIF('TL05'!$C$238:$C$451,$C288,'TL05'!$J$238:$J$451),0),
IF('TL06'!$B$3=P$3,SUMIF('TL06'!$C$10:$C$224,$C288,'TL06'!$J$10:$J$224),0),
IF('TL06'!$B$229=P$3,SUMIF('TL06'!$C$238:$C$451,$C288,'TL06'!$J$238:$J$451),0),
IF('TL07'!$B$3=P$3,SUMIF('TL07'!$C$10:$C$224,$C288,'TL07'!$J$10:$J$224),0),
IF('TL07'!$B$229=P$3,SUMIF('TL07'!$C$238:$C$451,$C288,'TL07'!$J$238:$J$451),0),
IF('TL08'!$B$3=P$3,SUMIF('TL08'!$C$10:$C$224,$C288,'TL08'!$J$10:$J$224),0),
IF('TL08'!$B$229=P$3,SUMIF('TL08'!$C$238:$C$451,$C288,'TL08'!$J$238:$J$451),0),
IF('TL09'!$B$3=P$3,SUMIF('TL09'!$C$10:$C$224,$C288,'TL09'!$J$10:$J$224),0),
IF('TL09'!$B$229=P$3,SUMIF('TL09'!$C$238:$C$451,$C288,'TL09'!$J$238:$J$451),0),
IF('TL10'!$B$3=P$3,SUMIF('TL10'!$C$10:$C$224,$C288,'TL10'!$J$10:$J$224),0),
IF('TL10'!$B$229=P$3,SUMIF('TL10'!$C$238:$C$451,$C288,'TL10'!$J$238:$J$451),0),
IF('TL11'!$B$3=P$3,SUMIF('TL11'!$C$10:$C$224,$C288,'TL11'!$J$10:$J$224),0),
IF('TL11'!$B$229=P$3,SUMIF('TL11'!$C$238:$C$451,$C288,'TL11'!$J$238:$J$451),0),
IF('TL12'!$B$3=P$3,SUMIF('TL12'!$C$10:$C$224,$C288,'TL12'!$J$10:$J$224),0),
IF('TL12'!$B$229=P$3,SUMIF('TL12'!$C$238:$C$451,$C288,'TL12'!$J$238:$J$451),0),
IF('TL13'!$B$3=P$3,SUMIF('TL13'!$C$10:$C$224,$C288,'TL13'!$J$10:$J$224),0),
IF('TL13'!$B$229=P$3,SUMIF('TL13'!$C$238:$C$451,$C288,'TL13'!$J$238:$J$451),0),
IF('TL14'!$B$3=P$3,SUMIF('TL14'!$C$10:$C$224,$C288,'TL14'!$J$10:$J$224),0),
IF('TL14'!$B$229=P$3,SUMIF('TL14'!$C$238:$C$451,$C288,'TL14'!$J$238:$J$451),0),
IF('TL15'!$B$3=P$3,SUMIF('TL15'!$C$10:$C$224,$C288,'TL15'!$J$10:$J$224),0),
IF('TL15'!$B$229=P$3,SUMIF('TL15'!$C$238:$C$451,$C288,'TL15'!$J$238:$J$451),0),
IF('TL16'!$B$3=P$3,SUMIF('TL16'!$C$10:$C$224,$C288,'TL16'!$J$10:$J$224),0),
IF('TL16'!$B$229=P$3,SUMIF('TL16'!$C$238:$C$451,$C288,'TL16'!$J$238:$J$451),0),
IF('TL17'!$B$3=P$3,SUMIF('TL17'!$C$10:$C$224,$C288,'TL17'!$J$10:$J$224),0),
IF('TL17'!$B$229=P$3,SUMIF('TL17'!$C$238:$C$451,$C288,'TL17'!$J$238:$J$451),0),
IF('TL18'!$B$3=P$3,SUMIF('TL18'!$C$10:$C$224,$C288,'TL18'!$J$10:$J$224),0),
IF('TL18'!$B$229=P$3,SUMIF('TL18'!$C$238:$C$451,$C288,'TL18'!$J$238:$J$451),0),
IF('TL19'!$B$3=P$3,SUMIF('TL19'!$C$10:$C$224,$C288,'TL19'!$J$10:$J$224),0),
IF('TL19'!$B$229=P$3,SUMIF('TL19'!$C$238:$C$451,$C288,'TL19'!$J$238:$J$451),0)
),0)</f>
        <v/>
      </c>
      <c r="Q288" s="9">
        <f>IFERROR(SUM(
IF('TL01'!$B$3=Q$3,SUMIF('TL01'!$C$10:$C$224,$C288,'TL01'!$J$10:$J$224),0),
IF('TL01'!$B$229=Q$3,SUMIF('TL01'!$C$238:$C$451,$C288,'TL01'!$J$238:$J$451),0),
IF('TL02'!$B$3=Q$3,SUMIF('TL02'!$C$10:$C$224,$C288,'TL02'!$J$10:$J$224),0),
IF('TL02'!$B$229=Q$3,SUMIF('TL02'!$C$238:$C$451,$C288,'TL02'!$J$238:$J$451),0),
IF('TL03'!$B$3=Q$3,SUMIF('TL03'!$C$10:$C$224,$C288,'TL03'!$J$10:$J$224),0),
IF('TL03'!$B$229=Q$3,SUMIF('TL03'!$C$238:$C$451,$C288,'TL03'!$J$238:$J$451),0),
IF('TL04'!$B$3=Q$3,SUMIF('TL04'!$C$10:$C$224,$C288,'TL04'!$J$10:$J$224),0),
IF('TL04'!$B$229=Q$3,SUMIF('TL04'!$C$238:$C$451,$C288,'TL04'!$J$238:$J$451),0),
IF('TL05'!$B$3=Q$3,SUMIF('TL05'!$C$10:$C$224,$C288,'TL05'!$J$10:$J$224),0),
IF('TL05'!$B$229=Q$3,SUMIF('TL05'!$C$238:$C$451,$C288,'TL05'!$J$238:$J$451),0),
IF('TL06'!$B$3=Q$3,SUMIF('TL06'!$C$10:$C$224,$C288,'TL06'!$J$10:$J$224),0),
IF('TL06'!$B$229=Q$3,SUMIF('TL06'!$C$238:$C$451,$C288,'TL06'!$J$238:$J$451),0),
IF('TL07'!$B$3=Q$3,SUMIF('TL07'!$C$10:$C$224,$C288,'TL07'!$J$10:$J$224),0),
IF('TL07'!$B$229=Q$3,SUMIF('TL07'!$C$238:$C$451,$C288,'TL07'!$J$238:$J$451),0),
IF('TL08'!$B$3=Q$3,SUMIF('TL08'!$C$10:$C$224,$C288,'TL08'!$J$10:$J$224),0),
IF('TL08'!$B$229=Q$3,SUMIF('TL08'!$C$238:$C$451,$C288,'TL08'!$J$238:$J$451),0),
IF('TL09'!$B$3=Q$3,SUMIF('TL09'!$C$10:$C$224,$C288,'TL09'!$J$10:$J$224),0),
IF('TL09'!$B$229=Q$3,SUMIF('TL09'!$C$238:$C$451,$C288,'TL09'!$J$238:$J$451),0),
IF('TL10'!$B$3=Q$3,SUMIF('TL10'!$C$10:$C$224,$C288,'TL10'!$J$10:$J$224),0),
IF('TL10'!$B$229=Q$3,SUMIF('TL10'!$C$238:$C$451,$C288,'TL10'!$J$238:$J$451),0),
IF('TL11'!$B$3=Q$3,SUMIF('TL11'!$C$10:$C$224,$C288,'TL11'!$J$10:$J$224),0),
IF('TL11'!$B$229=Q$3,SUMIF('TL11'!$C$238:$C$451,$C288,'TL11'!$J$238:$J$451),0),
IF('TL12'!$B$3=Q$3,SUMIF('TL12'!$C$10:$C$224,$C288,'TL12'!$J$10:$J$224),0),
IF('TL12'!$B$229=Q$3,SUMIF('TL12'!$C$238:$C$451,$C288,'TL12'!$J$238:$J$451),0),
IF('TL13'!$B$3=Q$3,SUMIF('TL13'!$C$10:$C$224,$C288,'TL13'!$J$10:$J$224),0),
IF('TL13'!$B$229=Q$3,SUMIF('TL13'!$C$238:$C$451,$C288,'TL13'!$J$238:$J$451),0),
IF('TL14'!$B$3=Q$3,SUMIF('TL14'!$C$10:$C$224,$C288,'TL14'!$J$10:$J$224),0),
IF('TL14'!$B$229=Q$3,SUMIF('TL14'!$C$238:$C$451,$C288,'TL14'!$J$238:$J$451),0),
IF('TL15'!$B$3=Q$3,SUMIF('TL15'!$C$10:$C$224,$C288,'TL15'!$J$10:$J$224),0),
IF('TL15'!$B$229=Q$3,SUMIF('TL15'!$C$238:$C$451,$C288,'TL15'!$J$238:$J$451),0),
IF('TL16'!$B$3=Q$3,SUMIF('TL16'!$C$10:$C$224,$C288,'TL16'!$J$10:$J$224),0),
IF('TL16'!$B$229=Q$3,SUMIF('TL16'!$C$238:$C$451,$C288,'TL16'!$J$238:$J$451),0),
IF('TL17'!$B$3=Q$3,SUMIF('TL17'!$C$10:$C$224,$C288,'TL17'!$J$10:$J$224),0),
IF('TL17'!$B$229=Q$3,SUMIF('TL17'!$C$238:$C$451,$C288,'TL17'!$J$238:$J$451),0),
IF('TL18'!$B$3=Q$3,SUMIF('TL18'!$C$10:$C$224,$C288,'TL18'!$J$10:$J$224),0),
IF('TL18'!$B$229=Q$3,SUMIF('TL18'!$C$238:$C$451,$C288,'TL18'!$J$238:$J$451),0),
IF('TL19'!$B$3=Q$3,SUMIF('TL19'!$C$10:$C$224,$C288,'TL19'!$J$10:$J$224),0),
IF('TL19'!$B$229=Q$3,SUMIF('TL19'!$C$238:$C$451,$C288,'TL19'!$J$238:$J$451),0)
),0)</f>
        <v/>
      </c>
      <c r="R288" s="9">
        <f>IFERROR(
SUM(
SUMIF('TL01'!C:C,C288,'TL01'!J:J),
SUMIF('TL02'!C:C,C288,'TL02'!J:J),
SUMIF('TL03'!C:C,C288,'TL03'!J:J),
SUMIF('TL04'!C:C,C288,'TL04'!J:J),
SUMIF('TL05'!C:C,C288,'TL05'!J:J),
SUMIF('TL06'!C:C,C288,'TL06'!J:J),
SUMIF('TL07'!C:C,C288,'TL07'!J:J),
SUMIF('TL08'!C:C,C288,'TL08'!J:J),
SUMIF('TL09'!C:C,C288,'TL09'!J:J),
SUMIF('TL10'!C:C,C288,'TL10'!J:J),
SUMIF('TL11'!C:C,C288,'TL11'!J:J),
SUMIF('TL12'!C:C,C288,'TL12'!J:J),
SUMIF('TL13'!C:C,C288,'TL13'!J:J),
SUMIF('TL14'!C:C,C288,'TL14'!J:J),
SUMIF('TL15'!C:C,C288,'TL15'!J:J),
SUMIF('TL16'!C:C,C288,'TL16'!J:J),
SUMIF('TL17'!C:C,C288,'TL17'!J:J),
SUMIF('TL18'!C:C,C288,'TL18'!J:J),SUMIF('TL19'!C:C,C288,'TL19'!J:J))
,0)</f>
        <v/>
      </c>
      <c r="S288" s="17">
        <f>IFERROR(__xludf.DUMMYFUNCTION("IFERROR(VLOOKUP(C288,
IMPORTRANGE(""1wULbzX32WdYsx-lj2U3uUNBBe2INVIRDtcK0d-Dvl90"",
""26-27!C:G""),
5,
FALSE),
"""")"),198.0)</f>
        <v/>
      </c>
      <c r="T288" s="9" t="n"/>
      <c r="U288" s="92">
        <f>MAX(0,R288-T288)</f>
        <v/>
      </c>
      <c r="V288" s="93">
        <f>U288*S288</f>
        <v/>
      </c>
    </row>
    <row r="289" hidden="1" ht="15.75" customHeight="1" s="297">
      <c r="A289" s="4" t="n"/>
      <c r="B289" s="125" t="inlineStr">
        <is>
          <t>NUTRIÇÃO</t>
        </is>
      </c>
      <c r="C289" s="4" t="inlineStr">
        <is>
          <t>ZINCO 10</t>
        </is>
      </c>
      <c r="D289" s="20" t="n"/>
      <c r="E289" s="9" t="n"/>
      <c r="F289" s="4" t="inlineStr">
        <is>
          <t>L</t>
        </is>
      </c>
      <c r="G289" s="9" t="n"/>
      <c r="H289" s="9" t="n"/>
      <c r="I289" s="1" t="n"/>
      <c r="J289" s="9">
        <f>IFERROR(SUM(
IF('TL01'!$B$3=J$3,SUMIF('TL01'!$C$10:$C$224,$C289,'TL01'!$J$10:$J$224),0),
IF('TL01'!$B$229=J$3,SUMIF('TL01'!$C$238:$C$451,$C289,'TL01'!$J$238:$J$451),0),
IF('TL02'!$B$3=J$3,SUMIF('TL02'!$C$10:$C$224,$C289,'TL02'!$J$10:$J$224),0),
IF('TL02'!$B$229=J$3,SUMIF('TL02'!$C$238:$C$451,$C289,'TL02'!$J$238:$J$451),0),
IF('TL03'!$B$3=J$3,SUMIF('TL03'!$C$10:$C$224,$C289,'TL03'!$J$10:$J$224),0),
IF('TL03'!$B$229=J$3,SUMIF('TL03'!$C$238:$C$451,$C289,'TL03'!$J$238:$J$451),0),
IF('TL04'!$B$3=J$3,SUMIF('TL04'!$C$10:$C$224,$C289,'TL04'!$J$10:$J$224),0),
IF('TL04'!$B$229=J$3,SUMIF('TL04'!$C$238:$C$451,$C289,'TL04'!$J$238:$J$451),0),
IF('TL05'!$B$3=J$3,SUMIF('TL05'!$C$10:$C$224,$C289,'TL05'!$J$10:$J$224),0),
IF('TL05'!$B$229=J$3,SUMIF('TL05'!$C$238:$C$451,$C289,'TL05'!$J$238:$J$451),0),
IF('TL06'!$B$3=J$3,SUMIF('TL06'!$C$10:$C$224,$C289,'TL06'!$J$10:$J$224),0),
IF('TL06'!$B$229=J$3,SUMIF('TL06'!$C$238:$C$451,$C289,'TL06'!$J$238:$J$451),0),
IF('TL07'!$B$3=J$3,SUMIF('TL07'!$C$10:$C$224,$C289,'TL07'!$J$10:$J$224),0),
IF('TL07'!$B$229=J$3,SUMIF('TL07'!$C$238:$C$451,$C289,'TL07'!$J$238:$J$451),0),
IF('TL08'!$B$3=J$3,SUMIF('TL08'!$C$10:$C$224,$C289,'TL08'!$J$10:$J$224),0),
IF('TL08'!$B$229=J$3,SUMIF('TL08'!$C$238:$C$451,$C289,'TL08'!$J$238:$J$451),0),
IF('TL09'!$B$3=J$3,SUMIF('TL09'!$C$10:$C$224,$C289,'TL09'!$J$10:$J$224),0),
IF('TL09'!$B$229=J$3,SUMIF('TL09'!$C$238:$C$451,$C289,'TL09'!$J$238:$J$451),0),
IF('TL10'!$B$3=J$3,SUMIF('TL10'!$C$10:$C$224,$C289,'TL10'!$J$10:$J$224),0),
IF('TL10'!$B$229=J$3,SUMIF('TL10'!$C$238:$C$451,$C289,'TL10'!$J$238:$J$451),0),
IF('TL11'!$B$3=J$3,SUMIF('TL11'!$C$10:$C$224,$C289,'TL11'!$J$10:$J$224),0),
IF('TL11'!$B$229=J$3,SUMIF('TL11'!$C$238:$C$451,$C289,'TL11'!$J$238:$J$451),0),
IF('TL12'!$B$3=J$3,SUMIF('TL12'!$C$10:$C$224,$C289,'TL12'!$J$10:$J$224),0),
IF('TL12'!$B$229=J$3,SUMIF('TL12'!$C$238:$C$451,$C289,'TL12'!$J$238:$J$451),0),
IF('TL13'!$B$3=J$3,SUMIF('TL13'!$C$10:$C$224,$C289,'TL13'!$J$10:$J$224),0),
IF('TL13'!$B$229=J$3,SUMIF('TL13'!$C$238:$C$451,$C289,'TL13'!$J$238:$J$451),0),
IF('TL14'!$B$3=J$3,SUMIF('TL14'!$C$10:$C$224,$C289,'TL14'!$J$10:$J$224),0),
IF('TL14'!$B$229=J$3,SUMIF('TL14'!$C$238:$C$451,$C289,'TL14'!$J$238:$J$451),0),
IF('TL15'!$B$3=J$3,SUMIF('TL15'!$C$10:$C$224,$C289,'TL15'!$J$10:$J$224),0),
IF('TL15'!$B$229=J$3,SUMIF('TL15'!$C$238:$C$451,$C289,'TL15'!$J$238:$J$451),0),
IF('TL16'!$B$3=J$3,SUMIF('TL16'!$C$10:$C$224,$C289,'TL16'!$J$10:$J$224),0),
IF('TL16'!$B$229=J$3,SUMIF('TL16'!$C$238:$C$451,$C289,'TL16'!$J$238:$J$451),0),
IF('TL17'!$B$3=J$3,SUMIF('TL17'!$C$10:$C$224,$C289,'TL17'!$J$10:$J$224),0),
IF('TL17'!$B$229=J$3,SUMIF('TL17'!$C$238:$C$451,$C289,'TL17'!$J$238:$J$451),0),
IF('TL18'!$B$3=J$3,SUMIF('TL18'!$C$10:$C$224,$C289,'TL18'!$J$10:$J$224),0),
IF('TL18'!$B$229=J$3,SUMIF('TL18'!$C$238:$C$451,$C289,'TL18'!$J$238:$J$451),0),
IF('TL19'!$B$3=J$3,SUMIF('TL19'!$C$10:$C$224,$C289,'TL19'!$J$10:$J$224),0),
IF('TL19'!$B$229=J$3,SUMIF('TL19'!$C$238:$C$451,$C289,'TL19'!$J$238:$J$451),0)
),0)</f>
        <v/>
      </c>
      <c r="K289" s="9">
        <f>IFERROR(SUM(
IF('TL01'!$B$3=K$3,SUMIF('TL01'!$C$10:$C$224,$C289,'TL01'!$J$10:$J$224),0),
IF('TL01'!$B$229=K$3,SUMIF('TL01'!$C$238:$C$451,$C289,'TL01'!$J$238:$J$451),0),
IF('TL02'!$B$3=K$3,SUMIF('TL02'!$C$10:$C$224,$C289,'TL02'!$J$10:$J$224),0),
IF('TL02'!$B$229=K$3,SUMIF('TL02'!$C$238:$C$451,$C289,'TL02'!$J$238:$J$451),0),
IF('TL03'!$B$3=K$3,SUMIF('TL03'!$C$10:$C$224,$C289,'TL03'!$J$10:$J$224),0),
IF('TL03'!$B$229=K$3,SUMIF('TL03'!$C$238:$C$451,$C289,'TL03'!$J$238:$J$451),0),
IF('TL04'!$B$3=K$3,SUMIF('TL04'!$C$10:$C$224,$C289,'TL04'!$J$10:$J$224),0),
IF('TL04'!$B$229=K$3,SUMIF('TL04'!$C$238:$C$451,$C289,'TL04'!$J$238:$J$451),0),
IF('TL05'!$B$3=K$3,SUMIF('TL05'!$C$10:$C$224,$C289,'TL05'!$J$10:$J$224),0),
IF('TL05'!$B$229=K$3,SUMIF('TL05'!$C$238:$C$451,$C289,'TL05'!$J$238:$J$451),0),
IF('TL06'!$B$3=K$3,SUMIF('TL06'!$C$10:$C$224,$C289,'TL06'!$J$10:$J$224),0),
IF('TL06'!$B$229=K$3,SUMIF('TL06'!$C$238:$C$451,$C289,'TL06'!$J$238:$J$451),0),
IF('TL07'!$B$3=K$3,SUMIF('TL07'!$C$10:$C$224,$C289,'TL07'!$J$10:$J$224),0),
IF('TL07'!$B$229=K$3,SUMIF('TL07'!$C$238:$C$451,$C289,'TL07'!$J$238:$J$451),0),
IF('TL08'!$B$3=K$3,SUMIF('TL08'!$C$10:$C$224,$C289,'TL08'!$J$10:$J$224),0),
IF('TL08'!$B$229=K$3,SUMIF('TL08'!$C$238:$C$451,$C289,'TL08'!$J$238:$J$451),0),
IF('TL09'!$B$3=K$3,SUMIF('TL09'!$C$10:$C$224,$C289,'TL09'!$J$10:$J$224),0),
IF('TL09'!$B$229=K$3,SUMIF('TL09'!$C$238:$C$451,$C289,'TL09'!$J$238:$J$451),0),
IF('TL10'!$B$3=K$3,SUMIF('TL10'!$C$10:$C$224,$C289,'TL10'!$J$10:$J$224),0),
IF('TL10'!$B$229=K$3,SUMIF('TL10'!$C$238:$C$451,$C289,'TL10'!$J$238:$J$451),0),
IF('TL11'!$B$3=K$3,SUMIF('TL11'!$C$10:$C$224,$C289,'TL11'!$J$10:$J$224),0),
IF('TL11'!$B$229=K$3,SUMIF('TL11'!$C$238:$C$451,$C289,'TL11'!$J$238:$J$451),0),
IF('TL12'!$B$3=K$3,SUMIF('TL12'!$C$10:$C$224,$C289,'TL12'!$J$10:$J$224),0),
IF('TL12'!$B$229=K$3,SUMIF('TL12'!$C$238:$C$451,$C289,'TL12'!$J$238:$J$451),0),
IF('TL13'!$B$3=K$3,SUMIF('TL13'!$C$10:$C$224,$C289,'TL13'!$J$10:$J$224),0),
IF('TL13'!$B$229=K$3,SUMIF('TL13'!$C$238:$C$451,$C289,'TL13'!$J$238:$J$451),0),
IF('TL14'!$B$3=K$3,SUMIF('TL14'!$C$10:$C$224,$C289,'TL14'!$J$10:$J$224),0),
IF('TL14'!$B$229=K$3,SUMIF('TL14'!$C$238:$C$451,$C289,'TL14'!$J$238:$J$451),0),
IF('TL15'!$B$3=K$3,SUMIF('TL15'!$C$10:$C$224,$C289,'TL15'!$J$10:$J$224),0),
IF('TL15'!$B$229=K$3,SUMIF('TL15'!$C$238:$C$451,$C289,'TL15'!$J$238:$J$451),0),
IF('TL16'!$B$3=K$3,SUMIF('TL16'!$C$10:$C$224,$C289,'TL16'!$J$10:$J$224),0),
IF('TL16'!$B$229=K$3,SUMIF('TL16'!$C$238:$C$451,$C289,'TL16'!$J$238:$J$451),0),
IF('TL17'!$B$3=K$3,SUMIF('TL17'!$C$10:$C$224,$C289,'TL17'!$J$10:$J$224),0),
IF('TL17'!$B$229=K$3,SUMIF('TL17'!$C$238:$C$451,$C289,'TL17'!$J$238:$J$451),0),
IF('TL18'!$B$3=K$3,SUMIF('TL18'!$C$10:$C$224,$C289,'TL18'!$J$10:$J$224),0),
IF('TL18'!$B$229=K$3,SUMIF('TL18'!$C$238:$C$451,$C289,'TL18'!$J$238:$J$451),0),
IF('TL19'!$B$3=K$3,SUMIF('TL19'!$C$10:$C$224,$C289,'TL19'!$J$10:$J$224),0),
IF('TL19'!$B$229=K$3,SUMIF('TL19'!$C$238:$C$451,$C289,'TL19'!$J$238:$J$451),0)
),0)</f>
        <v/>
      </c>
      <c r="L289" s="9">
        <f>IFERROR(SUM(
IF('TL01'!$B$3=L$3,SUMIF('TL01'!$C$10:$C$224,$C289,'TL01'!$J$10:$J$224),0),
IF('TL01'!$B$229=L$3,SUMIF('TL01'!$C$238:$C$451,$C289,'TL01'!$J$238:$J$451),0),
IF('TL02'!$B$3=L$3,SUMIF('TL02'!$C$10:$C$224,$C289,'TL02'!$J$10:$J$224),0),
IF('TL02'!$B$229=L$3,SUMIF('TL02'!$C$238:$C$451,$C289,'TL02'!$J$238:$J$451),0),
IF('TL03'!$B$3=L$3,SUMIF('TL03'!$C$10:$C$224,$C289,'TL03'!$J$10:$J$224),0),
IF('TL03'!$B$229=L$3,SUMIF('TL03'!$C$238:$C$451,$C289,'TL03'!$J$238:$J$451),0),
IF('TL04'!$B$3=L$3,SUMIF('TL04'!$C$10:$C$224,$C289,'TL04'!$J$10:$J$224),0),
IF('TL04'!$B$229=L$3,SUMIF('TL04'!$C$238:$C$451,$C289,'TL04'!$J$238:$J$451),0),
IF('TL05'!$B$3=L$3,SUMIF('TL05'!$C$10:$C$224,$C289,'TL05'!$J$10:$J$224),0),
IF('TL05'!$B$229=L$3,SUMIF('TL05'!$C$238:$C$451,$C289,'TL05'!$J$238:$J$451),0),
IF('TL06'!$B$3=L$3,SUMIF('TL06'!$C$10:$C$224,$C289,'TL06'!$J$10:$J$224),0),
IF('TL06'!$B$229=L$3,SUMIF('TL06'!$C$238:$C$451,$C289,'TL06'!$J$238:$J$451),0),
IF('TL07'!$B$3=L$3,SUMIF('TL07'!$C$10:$C$224,$C289,'TL07'!$J$10:$J$224),0),
IF('TL07'!$B$229=L$3,SUMIF('TL07'!$C$238:$C$451,$C289,'TL07'!$J$238:$J$451),0),
IF('TL08'!$B$3=L$3,SUMIF('TL08'!$C$10:$C$224,$C289,'TL08'!$J$10:$J$224),0),
IF('TL08'!$B$229=L$3,SUMIF('TL08'!$C$238:$C$451,$C289,'TL08'!$J$238:$J$451),0),
IF('TL09'!$B$3=L$3,SUMIF('TL09'!$C$10:$C$224,$C289,'TL09'!$J$10:$J$224),0),
IF('TL09'!$B$229=L$3,SUMIF('TL09'!$C$238:$C$451,$C289,'TL09'!$J$238:$J$451),0),
IF('TL10'!$B$3=L$3,SUMIF('TL10'!$C$10:$C$224,$C289,'TL10'!$J$10:$J$224),0),
IF('TL10'!$B$229=L$3,SUMIF('TL10'!$C$238:$C$451,$C289,'TL10'!$J$238:$J$451),0),
IF('TL11'!$B$3=L$3,SUMIF('TL11'!$C$10:$C$224,$C289,'TL11'!$J$10:$J$224),0),
IF('TL11'!$B$229=L$3,SUMIF('TL11'!$C$238:$C$451,$C289,'TL11'!$J$238:$J$451),0),
IF('TL12'!$B$3=L$3,SUMIF('TL12'!$C$10:$C$224,$C289,'TL12'!$J$10:$J$224),0),
IF('TL12'!$B$229=L$3,SUMIF('TL12'!$C$238:$C$451,$C289,'TL12'!$J$238:$J$451),0),
IF('TL13'!$B$3=L$3,SUMIF('TL13'!$C$10:$C$224,$C289,'TL13'!$J$10:$J$224),0),
IF('TL13'!$B$229=L$3,SUMIF('TL13'!$C$238:$C$451,$C289,'TL13'!$J$238:$J$451),0),
IF('TL14'!$B$3=L$3,SUMIF('TL14'!$C$10:$C$224,$C289,'TL14'!$J$10:$J$224),0),
IF('TL14'!$B$229=L$3,SUMIF('TL14'!$C$238:$C$451,$C289,'TL14'!$J$238:$J$451),0),
IF('TL15'!$B$3=L$3,SUMIF('TL15'!$C$10:$C$224,$C289,'TL15'!$J$10:$J$224),0),
IF('TL15'!$B$229=L$3,SUMIF('TL15'!$C$238:$C$451,$C289,'TL15'!$J$238:$J$451),0),
IF('TL16'!$B$3=L$3,SUMIF('TL16'!$C$10:$C$224,$C289,'TL16'!$J$10:$J$224),0),
IF('TL16'!$B$229=L$3,SUMIF('TL16'!$C$238:$C$451,$C289,'TL16'!$J$238:$J$451),0),
IF('TL17'!$B$3=L$3,SUMIF('TL17'!$C$10:$C$224,$C289,'TL17'!$J$10:$J$224),0),
IF('TL17'!$B$229=L$3,SUMIF('TL17'!$C$238:$C$451,$C289,'TL17'!$J$238:$J$451),0),
IF('TL18'!$B$3=L$3,SUMIF('TL18'!$C$10:$C$224,$C289,'TL18'!$J$10:$J$224),0),
IF('TL18'!$B$229=L$3,SUMIF('TL18'!$C$238:$C$451,$C289,'TL18'!$J$238:$J$451),0),
IF('TL19'!$B$3=L$3,SUMIF('TL19'!$C$10:$C$224,$C289,'TL19'!$J$10:$J$224),0),
IF('TL19'!$B$229=L$3,SUMIF('TL19'!$C$238:$C$451,$C289,'TL19'!$J$238:$J$451),0)
),0)</f>
        <v/>
      </c>
      <c r="M289" s="9">
        <f>IFERROR(SUM(
IF('TL01'!$B$3=M$3,SUMIF('TL01'!$C$10:$C$224,$C289,'TL01'!$J$10:$J$224),0),
IF('TL01'!$B$229=M$3,SUMIF('TL01'!$C$238:$C$451,$C289,'TL01'!$J$238:$J$451),0),
IF('TL02'!$B$3=M$3,SUMIF('TL02'!$C$10:$C$224,$C289,'TL02'!$J$10:$J$224),0),
IF('TL02'!$B$229=M$3,SUMIF('TL02'!$C$238:$C$451,$C289,'TL02'!$J$238:$J$451),0),
IF('TL03'!$B$3=M$3,SUMIF('TL03'!$C$10:$C$224,$C289,'TL03'!$J$10:$J$224),0),
IF('TL03'!$B$229=M$3,SUMIF('TL03'!$C$238:$C$451,$C289,'TL03'!$J$238:$J$451),0),
IF('TL04'!$B$3=M$3,SUMIF('TL04'!$C$10:$C$224,$C289,'TL04'!$J$10:$J$224),0),
IF('TL04'!$B$229=M$3,SUMIF('TL04'!$C$238:$C$451,$C289,'TL04'!$J$238:$J$451),0),
IF('TL05'!$B$3=M$3,SUMIF('TL05'!$C$10:$C$224,$C289,'TL05'!$J$10:$J$224),0),
IF('TL05'!$B$229=M$3,SUMIF('TL05'!$C$238:$C$451,$C289,'TL05'!$J$238:$J$451),0),
IF('TL06'!$B$3=M$3,SUMIF('TL06'!$C$10:$C$224,$C289,'TL06'!$J$10:$J$224),0),
IF('TL06'!$B$229=M$3,SUMIF('TL06'!$C$238:$C$451,$C289,'TL06'!$J$238:$J$451),0),
IF('TL07'!$B$3=M$3,SUMIF('TL07'!$C$10:$C$224,$C289,'TL07'!$J$10:$J$224),0),
IF('TL07'!$B$229=M$3,SUMIF('TL07'!$C$238:$C$451,$C289,'TL07'!$J$238:$J$451),0),
IF('TL08'!$B$3=M$3,SUMIF('TL08'!$C$10:$C$224,$C289,'TL08'!$J$10:$J$224),0),
IF('TL08'!$B$229=M$3,SUMIF('TL08'!$C$238:$C$451,$C289,'TL08'!$J$238:$J$451),0),
IF('TL09'!$B$3=M$3,SUMIF('TL09'!$C$10:$C$224,$C289,'TL09'!$J$10:$J$224),0),
IF('TL09'!$B$229=M$3,SUMIF('TL09'!$C$238:$C$451,$C289,'TL09'!$J$238:$J$451),0),
IF('TL10'!$B$3=M$3,SUMIF('TL10'!$C$10:$C$224,$C289,'TL10'!$J$10:$J$224),0),
IF('TL10'!$B$229=M$3,SUMIF('TL10'!$C$238:$C$451,$C289,'TL10'!$J$238:$J$451),0),
IF('TL11'!$B$3=M$3,SUMIF('TL11'!$C$10:$C$224,$C289,'TL11'!$J$10:$J$224),0),
IF('TL11'!$B$229=M$3,SUMIF('TL11'!$C$238:$C$451,$C289,'TL11'!$J$238:$J$451),0),
IF('TL12'!$B$3=M$3,SUMIF('TL12'!$C$10:$C$224,$C289,'TL12'!$J$10:$J$224),0),
IF('TL12'!$B$229=M$3,SUMIF('TL12'!$C$238:$C$451,$C289,'TL12'!$J$238:$J$451),0),
IF('TL13'!$B$3=M$3,SUMIF('TL13'!$C$10:$C$224,$C289,'TL13'!$J$10:$J$224),0),
IF('TL13'!$B$229=M$3,SUMIF('TL13'!$C$238:$C$451,$C289,'TL13'!$J$238:$J$451),0),
IF('TL14'!$B$3=M$3,SUMIF('TL14'!$C$10:$C$224,$C289,'TL14'!$J$10:$J$224),0),
IF('TL14'!$B$229=M$3,SUMIF('TL14'!$C$238:$C$451,$C289,'TL14'!$J$238:$J$451),0),
IF('TL15'!$B$3=M$3,SUMIF('TL15'!$C$10:$C$224,$C289,'TL15'!$J$10:$J$224),0),
IF('TL15'!$B$229=M$3,SUMIF('TL15'!$C$238:$C$451,$C289,'TL15'!$J$238:$J$451),0),
IF('TL16'!$B$3=M$3,SUMIF('TL16'!$C$10:$C$224,$C289,'TL16'!$J$10:$J$224),0),
IF('TL16'!$B$229=M$3,SUMIF('TL16'!$C$238:$C$451,$C289,'TL16'!$J$238:$J$451),0),
IF('TL17'!$B$3=M$3,SUMIF('TL17'!$C$10:$C$224,$C289,'TL17'!$J$10:$J$224),0),
IF('TL17'!$B$229=M$3,SUMIF('TL17'!$C$238:$C$451,$C289,'TL17'!$J$238:$J$451),0),
IF('TL18'!$B$3=M$3,SUMIF('TL18'!$C$10:$C$224,$C289,'TL18'!$J$10:$J$224),0),
IF('TL18'!$B$229=M$3,SUMIF('TL18'!$C$238:$C$451,$C289,'TL18'!$J$238:$J$451),0),
IF('TL19'!$B$3=M$3,SUMIF('TL19'!$C$10:$C$224,$C289,'TL19'!$J$10:$J$224),0),
IF('TL19'!$B$229=M$3,SUMIF('TL19'!$C$238:$C$451,$C289,'TL19'!$J$238:$J$451),0)
),0)</f>
        <v/>
      </c>
      <c r="N289" s="9">
        <f>IFERROR(SUM(
IF('TL01'!$B$3=N$3,SUMIF('TL01'!$C$10:$C$224,$C289,'TL01'!$J$10:$J$224),0),
IF('TL01'!$B$229=N$3,SUMIF('TL01'!$C$238:$C$451,$C289,'TL01'!$J$238:$J$451),0),
IF('TL02'!$B$3=N$3,SUMIF('TL02'!$C$10:$C$224,$C289,'TL02'!$J$10:$J$224),0),
IF('TL02'!$B$229=N$3,SUMIF('TL02'!$C$238:$C$451,$C289,'TL02'!$J$238:$J$451),0),
IF('TL03'!$B$3=N$3,SUMIF('TL03'!$C$10:$C$224,$C289,'TL03'!$J$10:$J$224),0),
IF('TL03'!$B$229=N$3,SUMIF('TL03'!$C$238:$C$451,$C289,'TL03'!$J$238:$J$451),0),
IF('TL04'!$B$3=N$3,SUMIF('TL04'!$C$10:$C$224,$C289,'TL04'!$J$10:$J$224),0),
IF('TL04'!$B$229=N$3,SUMIF('TL04'!$C$238:$C$451,$C289,'TL04'!$J$238:$J$451),0),
IF('TL05'!$B$3=N$3,SUMIF('TL05'!$C$10:$C$224,$C289,'TL05'!$J$10:$J$224),0),
IF('TL05'!$B$229=N$3,SUMIF('TL05'!$C$238:$C$451,$C289,'TL05'!$J$238:$J$451),0),
IF('TL06'!$B$3=N$3,SUMIF('TL06'!$C$10:$C$224,$C289,'TL06'!$J$10:$J$224),0),
IF('TL06'!$B$229=N$3,SUMIF('TL06'!$C$238:$C$451,$C289,'TL06'!$J$238:$J$451),0),
IF('TL07'!$B$3=N$3,SUMIF('TL07'!$C$10:$C$224,$C289,'TL07'!$J$10:$J$224),0),
IF('TL07'!$B$229=N$3,SUMIF('TL07'!$C$238:$C$451,$C289,'TL07'!$J$238:$J$451),0),
IF('TL08'!$B$3=N$3,SUMIF('TL08'!$C$10:$C$224,$C289,'TL08'!$J$10:$J$224),0),
IF('TL08'!$B$229=N$3,SUMIF('TL08'!$C$238:$C$451,$C289,'TL08'!$J$238:$J$451),0),
IF('TL09'!$B$3=N$3,SUMIF('TL09'!$C$10:$C$224,$C289,'TL09'!$J$10:$J$224),0),
IF('TL09'!$B$229=N$3,SUMIF('TL09'!$C$238:$C$451,$C289,'TL09'!$J$238:$J$451),0),
IF('TL10'!$B$3=N$3,SUMIF('TL10'!$C$10:$C$224,$C289,'TL10'!$J$10:$J$224),0),
IF('TL10'!$B$229=N$3,SUMIF('TL10'!$C$238:$C$451,$C289,'TL10'!$J$238:$J$451),0),
IF('TL11'!$B$3=N$3,SUMIF('TL11'!$C$10:$C$224,$C289,'TL11'!$J$10:$J$224),0),
IF('TL11'!$B$229=N$3,SUMIF('TL11'!$C$238:$C$451,$C289,'TL11'!$J$238:$J$451),0),
IF('TL12'!$B$3=N$3,SUMIF('TL12'!$C$10:$C$224,$C289,'TL12'!$J$10:$J$224),0),
IF('TL12'!$B$229=N$3,SUMIF('TL12'!$C$238:$C$451,$C289,'TL12'!$J$238:$J$451),0),
IF('TL13'!$B$3=N$3,SUMIF('TL13'!$C$10:$C$224,$C289,'TL13'!$J$10:$J$224),0),
IF('TL13'!$B$229=N$3,SUMIF('TL13'!$C$238:$C$451,$C289,'TL13'!$J$238:$J$451),0),
IF('TL14'!$B$3=N$3,SUMIF('TL14'!$C$10:$C$224,$C289,'TL14'!$J$10:$J$224),0),
IF('TL14'!$B$229=N$3,SUMIF('TL14'!$C$238:$C$451,$C289,'TL14'!$J$238:$J$451),0),
IF('TL15'!$B$3=N$3,SUMIF('TL15'!$C$10:$C$224,$C289,'TL15'!$J$10:$J$224),0),
IF('TL15'!$B$229=N$3,SUMIF('TL15'!$C$238:$C$451,$C289,'TL15'!$J$238:$J$451),0),
IF('TL16'!$B$3=N$3,SUMIF('TL16'!$C$10:$C$224,$C289,'TL16'!$J$10:$J$224),0),
IF('TL16'!$B$229=N$3,SUMIF('TL16'!$C$238:$C$451,$C289,'TL16'!$J$238:$J$451),0),
IF('TL17'!$B$3=N$3,SUMIF('TL17'!$C$10:$C$224,$C289,'TL17'!$J$10:$J$224),0),
IF('TL17'!$B$229=N$3,SUMIF('TL17'!$C$238:$C$451,$C289,'TL17'!$J$238:$J$451),0),
IF('TL18'!$B$3=N$3,SUMIF('TL18'!$C$10:$C$224,$C289,'TL18'!$J$10:$J$224),0),
IF('TL18'!$B$229=N$3,SUMIF('TL18'!$C$238:$C$451,$C289,'TL18'!$J$238:$J$451),0),
IF('TL19'!$B$3=N$3,SUMIF('TL19'!$C$10:$C$224,$C289,'TL19'!$J$10:$J$224),0),
IF('TL19'!$B$229=N$3,SUMIF('TL19'!$C$238:$C$451,$C289,'TL19'!$J$238:$J$451),0)
),0)</f>
        <v/>
      </c>
      <c r="O289" s="9">
        <f>IFERROR(SUM(
IF('TL01'!$B$3=O$3,SUMIF('TL01'!$C$10:$C$224,$C289,'TL01'!$J$10:$J$224),0),
IF('TL01'!$B$229=O$3,SUMIF('TL01'!$C$238:$C$451,$C289,'TL01'!$J$238:$J$451),0),
IF('TL02'!$B$3=O$3,SUMIF('TL02'!$C$10:$C$224,$C289,'TL02'!$J$10:$J$224),0),
IF('TL02'!$B$229=O$3,SUMIF('TL02'!$C$238:$C$451,$C289,'TL02'!$J$238:$J$451),0),
IF('TL03'!$B$3=O$3,SUMIF('TL03'!$C$10:$C$224,$C289,'TL03'!$J$10:$J$224),0),
IF('TL03'!$B$229=O$3,SUMIF('TL03'!$C$238:$C$451,$C289,'TL03'!$J$238:$J$451),0),
IF('TL04'!$B$3=O$3,SUMIF('TL04'!$C$10:$C$224,$C289,'TL04'!$J$10:$J$224),0),
IF('TL04'!$B$229=O$3,SUMIF('TL04'!$C$238:$C$451,$C289,'TL04'!$J$238:$J$451),0),
IF('TL05'!$B$3=O$3,SUMIF('TL05'!$C$10:$C$224,$C289,'TL05'!$J$10:$J$224),0),
IF('TL05'!$B$229=O$3,SUMIF('TL05'!$C$238:$C$451,$C289,'TL05'!$J$238:$J$451),0),
IF('TL06'!$B$3=O$3,SUMIF('TL06'!$C$10:$C$224,$C289,'TL06'!$J$10:$J$224),0),
IF('TL06'!$B$229=O$3,SUMIF('TL06'!$C$238:$C$451,$C289,'TL06'!$J$238:$J$451),0),
IF('TL07'!$B$3=O$3,SUMIF('TL07'!$C$10:$C$224,$C289,'TL07'!$J$10:$J$224),0),
IF('TL07'!$B$229=O$3,SUMIF('TL07'!$C$238:$C$451,$C289,'TL07'!$J$238:$J$451),0),
IF('TL08'!$B$3=O$3,SUMIF('TL08'!$C$10:$C$224,$C289,'TL08'!$J$10:$J$224),0),
IF('TL08'!$B$229=O$3,SUMIF('TL08'!$C$238:$C$451,$C289,'TL08'!$J$238:$J$451),0),
IF('TL09'!$B$3=O$3,SUMIF('TL09'!$C$10:$C$224,$C289,'TL09'!$J$10:$J$224),0),
IF('TL09'!$B$229=O$3,SUMIF('TL09'!$C$238:$C$451,$C289,'TL09'!$J$238:$J$451),0),
IF('TL10'!$B$3=O$3,SUMIF('TL10'!$C$10:$C$224,$C289,'TL10'!$J$10:$J$224),0),
IF('TL10'!$B$229=O$3,SUMIF('TL10'!$C$238:$C$451,$C289,'TL10'!$J$238:$J$451),0),
IF('TL11'!$B$3=O$3,SUMIF('TL11'!$C$10:$C$224,$C289,'TL11'!$J$10:$J$224),0),
IF('TL11'!$B$229=O$3,SUMIF('TL11'!$C$238:$C$451,$C289,'TL11'!$J$238:$J$451),0),
IF('TL12'!$B$3=O$3,SUMIF('TL12'!$C$10:$C$224,$C289,'TL12'!$J$10:$J$224),0),
IF('TL12'!$B$229=O$3,SUMIF('TL12'!$C$238:$C$451,$C289,'TL12'!$J$238:$J$451),0),
IF('TL13'!$B$3=O$3,SUMIF('TL13'!$C$10:$C$224,$C289,'TL13'!$J$10:$J$224),0),
IF('TL13'!$B$229=O$3,SUMIF('TL13'!$C$238:$C$451,$C289,'TL13'!$J$238:$J$451),0),
IF('TL14'!$B$3=O$3,SUMIF('TL14'!$C$10:$C$224,$C289,'TL14'!$J$10:$J$224),0),
IF('TL14'!$B$229=O$3,SUMIF('TL14'!$C$238:$C$451,$C289,'TL14'!$J$238:$J$451),0),
IF('TL15'!$B$3=O$3,SUMIF('TL15'!$C$10:$C$224,$C289,'TL15'!$J$10:$J$224),0),
IF('TL15'!$B$229=O$3,SUMIF('TL15'!$C$238:$C$451,$C289,'TL15'!$J$238:$J$451),0),
IF('TL16'!$B$3=O$3,SUMIF('TL16'!$C$10:$C$224,$C289,'TL16'!$J$10:$J$224),0),
IF('TL16'!$B$229=O$3,SUMIF('TL16'!$C$238:$C$451,$C289,'TL16'!$J$238:$J$451),0),
IF('TL17'!$B$3=O$3,SUMIF('TL17'!$C$10:$C$224,$C289,'TL17'!$J$10:$J$224),0),
IF('TL17'!$B$229=O$3,SUMIF('TL17'!$C$238:$C$451,$C289,'TL17'!$J$238:$J$451),0),
IF('TL18'!$B$3=O$3,SUMIF('TL18'!$C$10:$C$224,$C289,'TL18'!$J$10:$J$224),0),
IF('TL18'!$B$229=O$3,SUMIF('TL18'!$C$238:$C$451,$C289,'TL18'!$J$238:$J$451),0),
IF('TL19'!$B$3=O$3,SUMIF('TL19'!$C$10:$C$224,$C289,'TL19'!$J$10:$J$224),0),
IF('TL19'!$B$229=O$3,SUMIF('TL19'!$C$238:$C$451,$C289,'TL19'!$J$238:$J$451),0)
),0)</f>
        <v/>
      </c>
      <c r="P289" s="9">
        <f>IFERROR(SUM(
IF('TL01'!$B$3=P$3,SUMIF('TL01'!$C$10:$C$224,$C289,'TL01'!$J$10:$J$224),0),
IF('TL01'!$B$229=P$3,SUMIF('TL01'!$C$238:$C$451,$C289,'TL01'!$J$238:$J$451),0),
IF('TL02'!$B$3=P$3,SUMIF('TL02'!$C$10:$C$224,$C289,'TL02'!$J$10:$J$224),0),
IF('TL02'!$B$229=P$3,SUMIF('TL02'!$C$238:$C$451,$C289,'TL02'!$J$238:$J$451),0),
IF('TL03'!$B$3=P$3,SUMIF('TL03'!$C$10:$C$224,$C289,'TL03'!$J$10:$J$224),0),
IF('TL03'!$B$229=P$3,SUMIF('TL03'!$C$238:$C$451,$C289,'TL03'!$J$238:$J$451),0),
IF('TL04'!$B$3=P$3,SUMIF('TL04'!$C$10:$C$224,$C289,'TL04'!$J$10:$J$224),0),
IF('TL04'!$B$229=P$3,SUMIF('TL04'!$C$238:$C$451,$C289,'TL04'!$J$238:$J$451),0),
IF('TL05'!$B$3=P$3,SUMIF('TL05'!$C$10:$C$224,$C289,'TL05'!$J$10:$J$224),0),
IF('TL05'!$B$229=P$3,SUMIF('TL05'!$C$238:$C$451,$C289,'TL05'!$J$238:$J$451),0),
IF('TL06'!$B$3=P$3,SUMIF('TL06'!$C$10:$C$224,$C289,'TL06'!$J$10:$J$224),0),
IF('TL06'!$B$229=P$3,SUMIF('TL06'!$C$238:$C$451,$C289,'TL06'!$J$238:$J$451),0),
IF('TL07'!$B$3=P$3,SUMIF('TL07'!$C$10:$C$224,$C289,'TL07'!$J$10:$J$224),0),
IF('TL07'!$B$229=P$3,SUMIF('TL07'!$C$238:$C$451,$C289,'TL07'!$J$238:$J$451),0),
IF('TL08'!$B$3=P$3,SUMIF('TL08'!$C$10:$C$224,$C289,'TL08'!$J$10:$J$224),0),
IF('TL08'!$B$229=P$3,SUMIF('TL08'!$C$238:$C$451,$C289,'TL08'!$J$238:$J$451),0),
IF('TL09'!$B$3=P$3,SUMIF('TL09'!$C$10:$C$224,$C289,'TL09'!$J$10:$J$224),0),
IF('TL09'!$B$229=P$3,SUMIF('TL09'!$C$238:$C$451,$C289,'TL09'!$J$238:$J$451),0),
IF('TL10'!$B$3=P$3,SUMIF('TL10'!$C$10:$C$224,$C289,'TL10'!$J$10:$J$224),0),
IF('TL10'!$B$229=P$3,SUMIF('TL10'!$C$238:$C$451,$C289,'TL10'!$J$238:$J$451),0),
IF('TL11'!$B$3=P$3,SUMIF('TL11'!$C$10:$C$224,$C289,'TL11'!$J$10:$J$224),0),
IF('TL11'!$B$229=P$3,SUMIF('TL11'!$C$238:$C$451,$C289,'TL11'!$J$238:$J$451),0),
IF('TL12'!$B$3=P$3,SUMIF('TL12'!$C$10:$C$224,$C289,'TL12'!$J$10:$J$224),0),
IF('TL12'!$B$229=P$3,SUMIF('TL12'!$C$238:$C$451,$C289,'TL12'!$J$238:$J$451),0),
IF('TL13'!$B$3=P$3,SUMIF('TL13'!$C$10:$C$224,$C289,'TL13'!$J$10:$J$224),0),
IF('TL13'!$B$229=P$3,SUMIF('TL13'!$C$238:$C$451,$C289,'TL13'!$J$238:$J$451),0),
IF('TL14'!$B$3=P$3,SUMIF('TL14'!$C$10:$C$224,$C289,'TL14'!$J$10:$J$224),0),
IF('TL14'!$B$229=P$3,SUMIF('TL14'!$C$238:$C$451,$C289,'TL14'!$J$238:$J$451),0),
IF('TL15'!$B$3=P$3,SUMIF('TL15'!$C$10:$C$224,$C289,'TL15'!$J$10:$J$224),0),
IF('TL15'!$B$229=P$3,SUMIF('TL15'!$C$238:$C$451,$C289,'TL15'!$J$238:$J$451),0),
IF('TL16'!$B$3=P$3,SUMIF('TL16'!$C$10:$C$224,$C289,'TL16'!$J$10:$J$224),0),
IF('TL16'!$B$229=P$3,SUMIF('TL16'!$C$238:$C$451,$C289,'TL16'!$J$238:$J$451),0),
IF('TL17'!$B$3=P$3,SUMIF('TL17'!$C$10:$C$224,$C289,'TL17'!$J$10:$J$224),0),
IF('TL17'!$B$229=P$3,SUMIF('TL17'!$C$238:$C$451,$C289,'TL17'!$J$238:$J$451),0),
IF('TL18'!$B$3=P$3,SUMIF('TL18'!$C$10:$C$224,$C289,'TL18'!$J$10:$J$224),0),
IF('TL18'!$B$229=P$3,SUMIF('TL18'!$C$238:$C$451,$C289,'TL18'!$J$238:$J$451),0),
IF('TL19'!$B$3=P$3,SUMIF('TL19'!$C$10:$C$224,$C289,'TL19'!$J$10:$J$224),0),
IF('TL19'!$B$229=P$3,SUMIF('TL19'!$C$238:$C$451,$C289,'TL19'!$J$238:$J$451),0)
),0)</f>
        <v/>
      </c>
      <c r="Q289" s="9">
        <f>IFERROR(SUM(
IF('TL01'!$B$3=Q$3,SUMIF('TL01'!$C$10:$C$224,$C289,'TL01'!$J$10:$J$224),0),
IF('TL01'!$B$229=Q$3,SUMIF('TL01'!$C$238:$C$451,$C289,'TL01'!$J$238:$J$451),0),
IF('TL02'!$B$3=Q$3,SUMIF('TL02'!$C$10:$C$224,$C289,'TL02'!$J$10:$J$224),0),
IF('TL02'!$B$229=Q$3,SUMIF('TL02'!$C$238:$C$451,$C289,'TL02'!$J$238:$J$451),0),
IF('TL03'!$B$3=Q$3,SUMIF('TL03'!$C$10:$C$224,$C289,'TL03'!$J$10:$J$224),0),
IF('TL03'!$B$229=Q$3,SUMIF('TL03'!$C$238:$C$451,$C289,'TL03'!$J$238:$J$451),0),
IF('TL04'!$B$3=Q$3,SUMIF('TL04'!$C$10:$C$224,$C289,'TL04'!$J$10:$J$224),0),
IF('TL04'!$B$229=Q$3,SUMIF('TL04'!$C$238:$C$451,$C289,'TL04'!$J$238:$J$451),0),
IF('TL05'!$B$3=Q$3,SUMIF('TL05'!$C$10:$C$224,$C289,'TL05'!$J$10:$J$224),0),
IF('TL05'!$B$229=Q$3,SUMIF('TL05'!$C$238:$C$451,$C289,'TL05'!$J$238:$J$451),0),
IF('TL06'!$B$3=Q$3,SUMIF('TL06'!$C$10:$C$224,$C289,'TL06'!$J$10:$J$224),0),
IF('TL06'!$B$229=Q$3,SUMIF('TL06'!$C$238:$C$451,$C289,'TL06'!$J$238:$J$451),0),
IF('TL07'!$B$3=Q$3,SUMIF('TL07'!$C$10:$C$224,$C289,'TL07'!$J$10:$J$224),0),
IF('TL07'!$B$229=Q$3,SUMIF('TL07'!$C$238:$C$451,$C289,'TL07'!$J$238:$J$451),0),
IF('TL08'!$B$3=Q$3,SUMIF('TL08'!$C$10:$C$224,$C289,'TL08'!$J$10:$J$224),0),
IF('TL08'!$B$229=Q$3,SUMIF('TL08'!$C$238:$C$451,$C289,'TL08'!$J$238:$J$451),0),
IF('TL09'!$B$3=Q$3,SUMIF('TL09'!$C$10:$C$224,$C289,'TL09'!$J$10:$J$224),0),
IF('TL09'!$B$229=Q$3,SUMIF('TL09'!$C$238:$C$451,$C289,'TL09'!$J$238:$J$451),0),
IF('TL10'!$B$3=Q$3,SUMIF('TL10'!$C$10:$C$224,$C289,'TL10'!$J$10:$J$224),0),
IF('TL10'!$B$229=Q$3,SUMIF('TL10'!$C$238:$C$451,$C289,'TL10'!$J$238:$J$451),0),
IF('TL11'!$B$3=Q$3,SUMIF('TL11'!$C$10:$C$224,$C289,'TL11'!$J$10:$J$224),0),
IF('TL11'!$B$229=Q$3,SUMIF('TL11'!$C$238:$C$451,$C289,'TL11'!$J$238:$J$451),0),
IF('TL12'!$B$3=Q$3,SUMIF('TL12'!$C$10:$C$224,$C289,'TL12'!$J$10:$J$224),0),
IF('TL12'!$B$229=Q$3,SUMIF('TL12'!$C$238:$C$451,$C289,'TL12'!$J$238:$J$451),0),
IF('TL13'!$B$3=Q$3,SUMIF('TL13'!$C$10:$C$224,$C289,'TL13'!$J$10:$J$224),0),
IF('TL13'!$B$229=Q$3,SUMIF('TL13'!$C$238:$C$451,$C289,'TL13'!$J$238:$J$451),0),
IF('TL14'!$B$3=Q$3,SUMIF('TL14'!$C$10:$C$224,$C289,'TL14'!$J$10:$J$224),0),
IF('TL14'!$B$229=Q$3,SUMIF('TL14'!$C$238:$C$451,$C289,'TL14'!$J$238:$J$451),0),
IF('TL15'!$B$3=Q$3,SUMIF('TL15'!$C$10:$C$224,$C289,'TL15'!$J$10:$J$224),0),
IF('TL15'!$B$229=Q$3,SUMIF('TL15'!$C$238:$C$451,$C289,'TL15'!$J$238:$J$451),0),
IF('TL16'!$B$3=Q$3,SUMIF('TL16'!$C$10:$C$224,$C289,'TL16'!$J$10:$J$224),0),
IF('TL16'!$B$229=Q$3,SUMIF('TL16'!$C$238:$C$451,$C289,'TL16'!$J$238:$J$451),0),
IF('TL17'!$B$3=Q$3,SUMIF('TL17'!$C$10:$C$224,$C289,'TL17'!$J$10:$J$224),0),
IF('TL17'!$B$229=Q$3,SUMIF('TL17'!$C$238:$C$451,$C289,'TL17'!$J$238:$J$451),0),
IF('TL18'!$B$3=Q$3,SUMIF('TL18'!$C$10:$C$224,$C289,'TL18'!$J$10:$J$224),0),
IF('TL18'!$B$229=Q$3,SUMIF('TL18'!$C$238:$C$451,$C289,'TL18'!$J$238:$J$451),0),
IF('TL19'!$B$3=Q$3,SUMIF('TL19'!$C$10:$C$224,$C289,'TL19'!$J$10:$J$224),0),
IF('TL19'!$B$229=Q$3,SUMIF('TL19'!$C$238:$C$451,$C289,'TL19'!$J$238:$J$451),0)
),0)</f>
        <v/>
      </c>
      <c r="R289" s="9">
        <f>IFERROR(
SUM(
SUMIF('TL01'!C:C,C289,'TL01'!J:J),
SUMIF('TL02'!C:C,C289,'TL02'!J:J),
SUMIF('TL03'!C:C,C289,'TL03'!J:J),
SUMIF('TL04'!C:C,C289,'TL04'!J:J),
SUMIF('TL05'!C:C,C289,'TL05'!J:J),
SUMIF('TL06'!C:C,C289,'TL06'!J:J),
SUMIF('TL07'!C:C,C289,'TL07'!J:J),
SUMIF('TL08'!C:C,C289,'TL08'!J:J),
SUMIF('TL09'!C:C,C289,'TL09'!J:J),
SUMIF('TL10'!C:C,C289,'TL10'!J:J),
SUMIF('TL11'!C:C,C289,'TL11'!J:J),
SUMIF('TL12'!C:C,C289,'TL12'!J:J),
SUMIF('TL13'!C:C,C289,'TL13'!J:J),
SUMIF('TL14'!C:C,C289,'TL14'!J:J),
SUMIF('TL15'!C:C,C289,'TL15'!J:J),
SUMIF('TL16'!C:C,C289,'TL16'!J:J),
SUMIF('TL17'!C:C,C289,'TL17'!J:J),
SUMIF('TL18'!C:C,C289,'TL18'!J:J),SUMIF('TL19'!C:C,C289,'TL19'!J:J))
,0)</f>
        <v/>
      </c>
      <c r="S289" s="17">
        <f>IFERROR(__xludf.DUMMYFUNCTION("IFERROR(VLOOKUP(C289,
IMPORTRANGE(""1wULbzX32WdYsx-lj2U3uUNBBe2INVIRDtcK0d-Dvl90"",
""26-27!C:G""),
5,
FALSE),
"""")"),0.0)</f>
        <v/>
      </c>
      <c r="T289" s="9" t="n"/>
      <c r="U289" s="92">
        <f>MAX(0,R289-T289)</f>
        <v/>
      </c>
      <c r="V289" s="93">
        <f>U289*S289</f>
        <v/>
      </c>
    </row>
    <row r="290" hidden="1" ht="15.75" customHeight="1" s="297">
      <c r="A290" s="119" t="inlineStr">
        <is>
          <t>NORTOX</t>
        </is>
      </c>
      <c r="B290" s="120" t="inlineStr">
        <is>
          <t>TS</t>
        </is>
      </c>
      <c r="C290" s="119" t="inlineStr">
        <is>
          <t>FIPRONIL NORTOX MAX</t>
        </is>
      </c>
      <c r="D290" s="119" t="inlineStr">
        <is>
          <t>FIPRONIL</t>
        </is>
      </c>
      <c r="E290" s="119" t="n">
        <v>500</v>
      </c>
      <c r="F290" s="4" t="inlineStr">
        <is>
          <t>L</t>
        </is>
      </c>
      <c r="G290" s="90">
        <f>HYPERLINK("https://www.google.com/search?q=" &amp; C290 &amp; "+bula+agrofit+pdf", "📄 Ver bula")</f>
        <v/>
      </c>
      <c r="H290" s="9">
        <f>IFERROR(__xludf.DUMMYFUNCTION("IFERROR(VLOOKUP(C290,
IMPORTRANGE(""1wULbzX32WdYsx-lj2U3uUNBBe2INVIRDtcK0d-Dvl90"",
""26-27!C:K""),
8,
FALSE),
"""")"),0.04)</f>
        <v/>
      </c>
      <c r="I290" s="121" t="n"/>
      <c r="J290" s="9">
        <f>IFERROR(SUM(
IF('TL01'!$B$3=J$3,SUMIF('TL01'!$C$10:$C$224,$C290,'TL01'!$J$10:$J$224),0),
IF('TL01'!$B$229=J$3,SUMIF('TL01'!$C$238:$C$451,$C290,'TL01'!$J$238:$J$451),0),
IF('TL02'!$B$3=J$3,SUMIF('TL02'!$C$10:$C$224,$C290,'TL02'!$J$10:$J$224),0),
IF('TL02'!$B$229=J$3,SUMIF('TL02'!$C$238:$C$451,$C290,'TL02'!$J$238:$J$451),0),
IF('TL03'!$B$3=J$3,SUMIF('TL03'!$C$10:$C$224,$C290,'TL03'!$J$10:$J$224),0),
IF('TL03'!$B$229=J$3,SUMIF('TL03'!$C$238:$C$451,$C290,'TL03'!$J$238:$J$451),0),
IF('TL04'!$B$3=J$3,SUMIF('TL04'!$C$10:$C$224,$C290,'TL04'!$J$10:$J$224),0),
IF('TL04'!$B$229=J$3,SUMIF('TL04'!$C$238:$C$451,$C290,'TL04'!$J$238:$J$451),0),
IF('TL05'!$B$3=J$3,SUMIF('TL05'!$C$10:$C$224,$C290,'TL05'!$J$10:$J$224),0),
IF('TL05'!$B$229=J$3,SUMIF('TL05'!$C$238:$C$451,$C290,'TL05'!$J$238:$J$451),0),
IF('TL06'!$B$3=J$3,SUMIF('TL06'!$C$10:$C$224,$C290,'TL06'!$J$10:$J$224),0),
IF('TL06'!$B$229=J$3,SUMIF('TL06'!$C$238:$C$451,$C290,'TL06'!$J$238:$J$451),0),
IF('TL07'!$B$3=J$3,SUMIF('TL07'!$C$10:$C$224,$C290,'TL07'!$J$10:$J$224),0),
IF('TL07'!$B$229=J$3,SUMIF('TL07'!$C$238:$C$451,$C290,'TL07'!$J$238:$J$451),0),
IF('TL08'!$B$3=J$3,SUMIF('TL08'!$C$10:$C$224,$C290,'TL08'!$J$10:$J$224),0),
IF('TL08'!$B$229=J$3,SUMIF('TL08'!$C$238:$C$451,$C290,'TL08'!$J$238:$J$451),0),
IF('TL09'!$B$3=J$3,SUMIF('TL09'!$C$10:$C$224,$C290,'TL09'!$J$10:$J$224),0),
IF('TL09'!$B$229=J$3,SUMIF('TL09'!$C$238:$C$451,$C290,'TL09'!$J$238:$J$451),0),
IF('TL10'!$B$3=J$3,SUMIF('TL10'!$C$10:$C$224,$C290,'TL10'!$J$10:$J$224),0),
IF('TL10'!$B$229=J$3,SUMIF('TL10'!$C$238:$C$451,$C290,'TL10'!$J$238:$J$451),0),
IF('TL11'!$B$3=J$3,SUMIF('TL11'!$C$10:$C$224,$C290,'TL11'!$J$10:$J$224),0),
IF('TL11'!$B$229=J$3,SUMIF('TL11'!$C$238:$C$451,$C290,'TL11'!$J$238:$J$451),0),
IF('TL12'!$B$3=J$3,SUMIF('TL12'!$C$10:$C$224,$C290,'TL12'!$J$10:$J$224),0),
IF('TL12'!$B$229=J$3,SUMIF('TL12'!$C$238:$C$451,$C290,'TL12'!$J$238:$J$451),0),
IF('TL13'!$B$3=J$3,SUMIF('TL13'!$C$10:$C$224,$C290,'TL13'!$J$10:$J$224),0),
IF('TL13'!$B$229=J$3,SUMIF('TL13'!$C$238:$C$451,$C290,'TL13'!$J$238:$J$451),0),
IF('TL14'!$B$3=J$3,SUMIF('TL14'!$C$10:$C$224,$C290,'TL14'!$J$10:$J$224),0),
IF('TL14'!$B$229=J$3,SUMIF('TL14'!$C$238:$C$451,$C290,'TL14'!$J$238:$J$451),0),
IF('TL15'!$B$3=J$3,SUMIF('TL15'!$C$10:$C$224,$C290,'TL15'!$J$10:$J$224),0),
IF('TL15'!$B$229=J$3,SUMIF('TL15'!$C$238:$C$451,$C290,'TL15'!$J$238:$J$451),0),
IF('TL16'!$B$3=J$3,SUMIF('TL16'!$C$10:$C$224,$C290,'TL16'!$J$10:$J$224),0),
IF('TL16'!$B$229=J$3,SUMIF('TL16'!$C$238:$C$451,$C290,'TL16'!$J$238:$J$451),0),
IF('TL17'!$B$3=J$3,SUMIF('TL17'!$C$10:$C$224,$C290,'TL17'!$J$10:$J$224),0),
IF('TL17'!$B$229=J$3,SUMIF('TL17'!$C$238:$C$451,$C290,'TL17'!$J$238:$J$451),0),
IF('TL18'!$B$3=J$3,SUMIF('TL18'!$C$10:$C$224,$C290,'TL18'!$J$10:$J$224),0),
IF('TL18'!$B$229=J$3,SUMIF('TL18'!$C$238:$C$451,$C290,'TL18'!$J$238:$J$451),0),
IF('TL19'!$B$3=J$3,SUMIF('TL19'!$C$10:$C$224,$C290,'TL19'!$J$10:$J$224),0),
IF('TL19'!$B$229=J$3,SUMIF('TL19'!$C$238:$C$451,$C290,'TL19'!$J$238:$J$451),0)
),0)</f>
        <v/>
      </c>
      <c r="K290" s="9">
        <f>IFERROR(SUM(
IF('TL01'!$B$3=K$3,SUMIF('TL01'!$C$10:$C$224,$C290,'TL01'!$J$10:$J$224),0),
IF('TL01'!$B$229=K$3,SUMIF('TL01'!$C$238:$C$451,$C290,'TL01'!$J$238:$J$451),0),
IF('TL02'!$B$3=K$3,SUMIF('TL02'!$C$10:$C$224,$C290,'TL02'!$J$10:$J$224),0),
IF('TL02'!$B$229=K$3,SUMIF('TL02'!$C$238:$C$451,$C290,'TL02'!$J$238:$J$451),0),
IF('TL03'!$B$3=K$3,SUMIF('TL03'!$C$10:$C$224,$C290,'TL03'!$J$10:$J$224),0),
IF('TL03'!$B$229=K$3,SUMIF('TL03'!$C$238:$C$451,$C290,'TL03'!$J$238:$J$451),0),
IF('TL04'!$B$3=K$3,SUMIF('TL04'!$C$10:$C$224,$C290,'TL04'!$J$10:$J$224),0),
IF('TL04'!$B$229=K$3,SUMIF('TL04'!$C$238:$C$451,$C290,'TL04'!$J$238:$J$451),0),
IF('TL05'!$B$3=K$3,SUMIF('TL05'!$C$10:$C$224,$C290,'TL05'!$J$10:$J$224),0),
IF('TL05'!$B$229=K$3,SUMIF('TL05'!$C$238:$C$451,$C290,'TL05'!$J$238:$J$451),0),
IF('TL06'!$B$3=K$3,SUMIF('TL06'!$C$10:$C$224,$C290,'TL06'!$J$10:$J$224),0),
IF('TL06'!$B$229=K$3,SUMIF('TL06'!$C$238:$C$451,$C290,'TL06'!$J$238:$J$451),0),
IF('TL07'!$B$3=K$3,SUMIF('TL07'!$C$10:$C$224,$C290,'TL07'!$J$10:$J$224),0),
IF('TL07'!$B$229=K$3,SUMIF('TL07'!$C$238:$C$451,$C290,'TL07'!$J$238:$J$451),0),
IF('TL08'!$B$3=K$3,SUMIF('TL08'!$C$10:$C$224,$C290,'TL08'!$J$10:$J$224),0),
IF('TL08'!$B$229=K$3,SUMIF('TL08'!$C$238:$C$451,$C290,'TL08'!$J$238:$J$451),0),
IF('TL09'!$B$3=K$3,SUMIF('TL09'!$C$10:$C$224,$C290,'TL09'!$J$10:$J$224),0),
IF('TL09'!$B$229=K$3,SUMIF('TL09'!$C$238:$C$451,$C290,'TL09'!$J$238:$J$451),0),
IF('TL10'!$B$3=K$3,SUMIF('TL10'!$C$10:$C$224,$C290,'TL10'!$J$10:$J$224),0),
IF('TL10'!$B$229=K$3,SUMIF('TL10'!$C$238:$C$451,$C290,'TL10'!$J$238:$J$451),0),
IF('TL11'!$B$3=K$3,SUMIF('TL11'!$C$10:$C$224,$C290,'TL11'!$J$10:$J$224),0),
IF('TL11'!$B$229=K$3,SUMIF('TL11'!$C$238:$C$451,$C290,'TL11'!$J$238:$J$451),0),
IF('TL12'!$B$3=K$3,SUMIF('TL12'!$C$10:$C$224,$C290,'TL12'!$J$10:$J$224),0),
IF('TL12'!$B$229=K$3,SUMIF('TL12'!$C$238:$C$451,$C290,'TL12'!$J$238:$J$451),0),
IF('TL13'!$B$3=K$3,SUMIF('TL13'!$C$10:$C$224,$C290,'TL13'!$J$10:$J$224),0),
IF('TL13'!$B$229=K$3,SUMIF('TL13'!$C$238:$C$451,$C290,'TL13'!$J$238:$J$451),0),
IF('TL14'!$B$3=K$3,SUMIF('TL14'!$C$10:$C$224,$C290,'TL14'!$J$10:$J$224),0),
IF('TL14'!$B$229=K$3,SUMIF('TL14'!$C$238:$C$451,$C290,'TL14'!$J$238:$J$451),0),
IF('TL15'!$B$3=K$3,SUMIF('TL15'!$C$10:$C$224,$C290,'TL15'!$J$10:$J$224),0),
IF('TL15'!$B$229=K$3,SUMIF('TL15'!$C$238:$C$451,$C290,'TL15'!$J$238:$J$451),0),
IF('TL16'!$B$3=K$3,SUMIF('TL16'!$C$10:$C$224,$C290,'TL16'!$J$10:$J$224),0),
IF('TL16'!$B$229=K$3,SUMIF('TL16'!$C$238:$C$451,$C290,'TL16'!$J$238:$J$451),0),
IF('TL17'!$B$3=K$3,SUMIF('TL17'!$C$10:$C$224,$C290,'TL17'!$J$10:$J$224),0),
IF('TL17'!$B$229=K$3,SUMIF('TL17'!$C$238:$C$451,$C290,'TL17'!$J$238:$J$451),0),
IF('TL18'!$B$3=K$3,SUMIF('TL18'!$C$10:$C$224,$C290,'TL18'!$J$10:$J$224),0),
IF('TL18'!$B$229=K$3,SUMIF('TL18'!$C$238:$C$451,$C290,'TL18'!$J$238:$J$451),0),
IF('TL19'!$B$3=K$3,SUMIF('TL19'!$C$10:$C$224,$C290,'TL19'!$J$10:$J$224),0),
IF('TL19'!$B$229=K$3,SUMIF('TL19'!$C$238:$C$451,$C290,'TL19'!$J$238:$J$451),0)
),0)</f>
        <v/>
      </c>
      <c r="L290" s="9">
        <f>IFERROR(SUM(
IF('TL01'!$B$3=L$3,SUMIF('TL01'!$C$10:$C$224,$C290,'TL01'!$J$10:$J$224),0),
IF('TL01'!$B$229=L$3,SUMIF('TL01'!$C$238:$C$451,$C290,'TL01'!$J$238:$J$451),0),
IF('TL02'!$B$3=L$3,SUMIF('TL02'!$C$10:$C$224,$C290,'TL02'!$J$10:$J$224),0),
IF('TL02'!$B$229=L$3,SUMIF('TL02'!$C$238:$C$451,$C290,'TL02'!$J$238:$J$451),0),
IF('TL03'!$B$3=L$3,SUMIF('TL03'!$C$10:$C$224,$C290,'TL03'!$J$10:$J$224),0),
IF('TL03'!$B$229=L$3,SUMIF('TL03'!$C$238:$C$451,$C290,'TL03'!$J$238:$J$451),0),
IF('TL04'!$B$3=L$3,SUMIF('TL04'!$C$10:$C$224,$C290,'TL04'!$J$10:$J$224),0),
IF('TL04'!$B$229=L$3,SUMIF('TL04'!$C$238:$C$451,$C290,'TL04'!$J$238:$J$451),0),
IF('TL05'!$B$3=L$3,SUMIF('TL05'!$C$10:$C$224,$C290,'TL05'!$J$10:$J$224),0),
IF('TL05'!$B$229=L$3,SUMIF('TL05'!$C$238:$C$451,$C290,'TL05'!$J$238:$J$451),0),
IF('TL06'!$B$3=L$3,SUMIF('TL06'!$C$10:$C$224,$C290,'TL06'!$J$10:$J$224),0),
IF('TL06'!$B$229=L$3,SUMIF('TL06'!$C$238:$C$451,$C290,'TL06'!$J$238:$J$451),0),
IF('TL07'!$B$3=L$3,SUMIF('TL07'!$C$10:$C$224,$C290,'TL07'!$J$10:$J$224),0),
IF('TL07'!$B$229=L$3,SUMIF('TL07'!$C$238:$C$451,$C290,'TL07'!$J$238:$J$451),0),
IF('TL08'!$B$3=L$3,SUMIF('TL08'!$C$10:$C$224,$C290,'TL08'!$J$10:$J$224),0),
IF('TL08'!$B$229=L$3,SUMIF('TL08'!$C$238:$C$451,$C290,'TL08'!$J$238:$J$451),0),
IF('TL09'!$B$3=L$3,SUMIF('TL09'!$C$10:$C$224,$C290,'TL09'!$J$10:$J$224),0),
IF('TL09'!$B$229=L$3,SUMIF('TL09'!$C$238:$C$451,$C290,'TL09'!$J$238:$J$451),0),
IF('TL10'!$B$3=L$3,SUMIF('TL10'!$C$10:$C$224,$C290,'TL10'!$J$10:$J$224),0),
IF('TL10'!$B$229=L$3,SUMIF('TL10'!$C$238:$C$451,$C290,'TL10'!$J$238:$J$451),0),
IF('TL11'!$B$3=L$3,SUMIF('TL11'!$C$10:$C$224,$C290,'TL11'!$J$10:$J$224),0),
IF('TL11'!$B$229=L$3,SUMIF('TL11'!$C$238:$C$451,$C290,'TL11'!$J$238:$J$451),0),
IF('TL12'!$B$3=L$3,SUMIF('TL12'!$C$10:$C$224,$C290,'TL12'!$J$10:$J$224),0),
IF('TL12'!$B$229=L$3,SUMIF('TL12'!$C$238:$C$451,$C290,'TL12'!$J$238:$J$451),0),
IF('TL13'!$B$3=L$3,SUMIF('TL13'!$C$10:$C$224,$C290,'TL13'!$J$10:$J$224),0),
IF('TL13'!$B$229=L$3,SUMIF('TL13'!$C$238:$C$451,$C290,'TL13'!$J$238:$J$451),0),
IF('TL14'!$B$3=L$3,SUMIF('TL14'!$C$10:$C$224,$C290,'TL14'!$J$10:$J$224),0),
IF('TL14'!$B$229=L$3,SUMIF('TL14'!$C$238:$C$451,$C290,'TL14'!$J$238:$J$451),0),
IF('TL15'!$B$3=L$3,SUMIF('TL15'!$C$10:$C$224,$C290,'TL15'!$J$10:$J$224),0),
IF('TL15'!$B$229=L$3,SUMIF('TL15'!$C$238:$C$451,$C290,'TL15'!$J$238:$J$451),0),
IF('TL16'!$B$3=L$3,SUMIF('TL16'!$C$10:$C$224,$C290,'TL16'!$J$10:$J$224),0),
IF('TL16'!$B$229=L$3,SUMIF('TL16'!$C$238:$C$451,$C290,'TL16'!$J$238:$J$451),0),
IF('TL17'!$B$3=L$3,SUMIF('TL17'!$C$10:$C$224,$C290,'TL17'!$J$10:$J$224),0),
IF('TL17'!$B$229=L$3,SUMIF('TL17'!$C$238:$C$451,$C290,'TL17'!$J$238:$J$451),0),
IF('TL18'!$B$3=L$3,SUMIF('TL18'!$C$10:$C$224,$C290,'TL18'!$J$10:$J$224),0),
IF('TL18'!$B$229=L$3,SUMIF('TL18'!$C$238:$C$451,$C290,'TL18'!$J$238:$J$451),0),
IF('TL19'!$B$3=L$3,SUMIF('TL19'!$C$10:$C$224,$C290,'TL19'!$J$10:$J$224),0),
IF('TL19'!$B$229=L$3,SUMIF('TL19'!$C$238:$C$451,$C290,'TL19'!$J$238:$J$451),0)
),0)</f>
        <v/>
      </c>
      <c r="M290" s="9">
        <f>IFERROR(SUM(
IF('TL01'!$B$3=M$3,SUMIF('TL01'!$C$10:$C$224,$C290,'TL01'!$J$10:$J$224),0),
IF('TL01'!$B$229=M$3,SUMIF('TL01'!$C$238:$C$451,$C290,'TL01'!$J$238:$J$451),0),
IF('TL02'!$B$3=M$3,SUMIF('TL02'!$C$10:$C$224,$C290,'TL02'!$J$10:$J$224),0),
IF('TL02'!$B$229=M$3,SUMIF('TL02'!$C$238:$C$451,$C290,'TL02'!$J$238:$J$451),0),
IF('TL03'!$B$3=M$3,SUMIF('TL03'!$C$10:$C$224,$C290,'TL03'!$J$10:$J$224),0),
IF('TL03'!$B$229=M$3,SUMIF('TL03'!$C$238:$C$451,$C290,'TL03'!$J$238:$J$451),0),
IF('TL04'!$B$3=M$3,SUMIF('TL04'!$C$10:$C$224,$C290,'TL04'!$J$10:$J$224),0),
IF('TL04'!$B$229=M$3,SUMIF('TL04'!$C$238:$C$451,$C290,'TL04'!$J$238:$J$451),0),
IF('TL05'!$B$3=M$3,SUMIF('TL05'!$C$10:$C$224,$C290,'TL05'!$J$10:$J$224),0),
IF('TL05'!$B$229=M$3,SUMIF('TL05'!$C$238:$C$451,$C290,'TL05'!$J$238:$J$451),0),
IF('TL06'!$B$3=M$3,SUMIF('TL06'!$C$10:$C$224,$C290,'TL06'!$J$10:$J$224),0),
IF('TL06'!$B$229=M$3,SUMIF('TL06'!$C$238:$C$451,$C290,'TL06'!$J$238:$J$451),0),
IF('TL07'!$B$3=M$3,SUMIF('TL07'!$C$10:$C$224,$C290,'TL07'!$J$10:$J$224),0),
IF('TL07'!$B$229=M$3,SUMIF('TL07'!$C$238:$C$451,$C290,'TL07'!$J$238:$J$451),0),
IF('TL08'!$B$3=M$3,SUMIF('TL08'!$C$10:$C$224,$C290,'TL08'!$J$10:$J$224),0),
IF('TL08'!$B$229=M$3,SUMIF('TL08'!$C$238:$C$451,$C290,'TL08'!$J$238:$J$451),0),
IF('TL09'!$B$3=M$3,SUMIF('TL09'!$C$10:$C$224,$C290,'TL09'!$J$10:$J$224),0),
IF('TL09'!$B$229=M$3,SUMIF('TL09'!$C$238:$C$451,$C290,'TL09'!$J$238:$J$451),0),
IF('TL10'!$B$3=M$3,SUMIF('TL10'!$C$10:$C$224,$C290,'TL10'!$J$10:$J$224),0),
IF('TL10'!$B$229=M$3,SUMIF('TL10'!$C$238:$C$451,$C290,'TL10'!$J$238:$J$451),0),
IF('TL11'!$B$3=M$3,SUMIF('TL11'!$C$10:$C$224,$C290,'TL11'!$J$10:$J$224),0),
IF('TL11'!$B$229=M$3,SUMIF('TL11'!$C$238:$C$451,$C290,'TL11'!$J$238:$J$451),0),
IF('TL12'!$B$3=M$3,SUMIF('TL12'!$C$10:$C$224,$C290,'TL12'!$J$10:$J$224),0),
IF('TL12'!$B$229=M$3,SUMIF('TL12'!$C$238:$C$451,$C290,'TL12'!$J$238:$J$451),0),
IF('TL13'!$B$3=M$3,SUMIF('TL13'!$C$10:$C$224,$C290,'TL13'!$J$10:$J$224),0),
IF('TL13'!$B$229=M$3,SUMIF('TL13'!$C$238:$C$451,$C290,'TL13'!$J$238:$J$451),0),
IF('TL14'!$B$3=M$3,SUMIF('TL14'!$C$10:$C$224,$C290,'TL14'!$J$10:$J$224),0),
IF('TL14'!$B$229=M$3,SUMIF('TL14'!$C$238:$C$451,$C290,'TL14'!$J$238:$J$451),0),
IF('TL15'!$B$3=M$3,SUMIF('TL15'!$C$10:$C$224,$C290,'TL15'!$J$10:$J$224),0),
IF('TL15'!$B$229=M$3,SUMIF('TL15'!$C$238:$C$451,$C290,'TL15'!$J$238:$J$451),0),
IF('TL16'!$B$3=M$3,SUMIF('TL16'!$C$10:$C$224,$C290,'TL16'!$J$10:$J$224),0),
IF('TL16'!$B$229=M$3,SUMIF('TL16'!$C$238:$C$451,$C290,'TL16'!$J$238:$J$451),0),
IF('TL17'!$B$3=M$3,SUMIF('TL17'!$C$10:$C$224,$C290,'TL17'!$J$10:$J$224),0),
IF('TL17'!$B$229=M$3,SUMIF('TL17'!$C$238:$C$451,$C290,'TL17'!$J$238:$J$451),0),
IF('TL18'!$B$3=M$3,SUMIF('TL18'!$C$10:$C$224,$C290,'TL18'!$J$10:$J$224),0),
IF('TL18'!$B$229=M$3,SUMIF('TL18'!$C$238:$C$451,$C290,'TL18'!$J$238:$J$451),0),
IF('TL19'!$B$3=M$3,SUMIF('TL19'!$C$10:$C$224,$C290,'TL19'!$J$10:$J$224),0),
IF('TL19'!$B$229=M$3,SUMIF('TL19'!$C$238:$C$451,$C290,'TL19'!$J$238:$J$451),0)
),0)</f>
        <v/>
      </c>
      <c r="N290" s="9">
        <f>IFERROR(SUM(
IF('TL01'!$B$3=N$3,SUMIF('TL01'!$C$10:$C$224,$C290,'TL01'!$J$10:$J$224),0),
IF('TL01'!$B$229=N$3,SUMIF('TL01'!$C$238:$C$451,$C290,'TL01'!$J$238:$J$451),0),
IF('TL02'!$B$3=N$3,SUMIF('TL02'!$C$10:$C$224,$C290,'TL02'!$J$10:$J$224),0),
IF('TL02'!$B$229=N$3,SUMIF('TL02'!$C$238:$C$451,$C290,'TL02'!$J$238:$J$451),0),
IF('TL03'!$B$3=N$3,SUMIF('TL03'!$C$10:$C$224,$C290,'TL03'!$J$10:$J$224),0),
IF('TL03'!$B$229=N$3,SUMIF('TL03'!$C$238:$C$451,$C290,'TL03'!$J$238:$J$451),0),
IF('TL04'!$B$3=N$3,SUMIF('TL04'!$C$10:$C$224,$C290,'TL04'!$J$10:$J$224),0),
IF('TL04'!$B$229=N$3,SUMIF('TL04'!$C$238:$C$451,$C290,'TL04'!$J$238:$J$451),0),
IF('TL05'!$B$3=N$3,SUMIF('TL05'!$C$10:$C$224,$C290,'TL05'!$J$10:$J$224),0),
IF('TL05'!$B$229=N$3,SUMIF('TL05'!$C$238:$C$451,$C290,'TL05'!$J$238:$J$451),0),
IF('TL06'!$B$3=N$3,SUMIF('TL06'!$C$10:$C$224,$C290,'TL06'!$J$10:$J$224),0),
IF('TL06'!$B$229=N$3,SUMIF('TL06'!$C$238:$C$451,$C290,'TL06'!$J$238:$J$451),0),
IF('TL07'!$B$3=N$3,SUMIF('TL07'!$C$10:$C$224,$C290,'TL07'!$J$10:$J$224),0),
IF('TL07'!$B$229=N$3,SUMIF('TL07'!$C$238:$C$451,$C290,'TL07'!$J$238:$J$451),0),
IF('TL08'!$B$3=N$3,SUMIF('TL08'!$C$10:$C$224,$C290,'TL08'!$J$10:$J$224),0),
IF('TL08'!$B$229=N$3,SUMIF('TL08'!$C$238:$C$451,$C290,'TL08'!$J$238:$J$451),0),
IF('TL09'!$B$3=N$3,SUMIF('TL09'!$C$10:$C$224,$C290,'TL09'!$J$10:$J$224),0),
IF('TL09'!$B$229=N$3,SUMIF('TL09'!$C$238:$C$451,$C290,'TL09'!$J$238:$J$451),0),
IF('TL10'!$B$3=N$3,SUMIF('TL10'!$C$10:$C$224,$C290,'TL10'!$J$10:$J$224),0),
IF('TL10'!$B$229=N$3,SUMIF('TL10'!$C$238:$C$451,$C290,'TL10'!$J$238:$J$451),0),
IF('TL11'!$B$3=N$3,SUMIF('TL11'!$C$10:$C$224,$C290,'TL11'!$J$10:$J$224),0),
IF('TL11'!$B$229=N$3,SUMIF('TL11'!$C$238:$C$451,$C290,'TL11'!$J$238:$J$451),0),
IF('TL12'!$B$3=N$3,SUMIF('TL12'!$C$10:$C$224,$C290,'TL12'!$J$10:$J$224),0),
IF('TL12'!$B$229=N$3,SUMIF('TL12'!$C$238:$C$451,$C290,'TL12'!$J$238:$J$451),0),
IF('TL13'!$B$3=N$3,SUMIF('TL13'!$C$10:$C$224,$C290,'TL13'!$J$10:$J$224),0),
IF('TL13'!$B$229=N$3,SUMIF('TL13'!$C$238:$C$451,$C290,'TL13'!$J$238:$J$451),0),
IF('TL14'!$B$3=N$3,SUMIF('TL14'!$C$10:$C$224,$C290,'TL14'!$J$10:$J$224),0),
IF('TL14'!$B$229=N$3,SUMIF('TL14'!$C$238:$C$451,$C290,'TL14'!$J$238:$J$451),0),
IF('TL15'!$B$3=N$3,SUMIF('TL15'!$C$10:$C$224,$C290,'TL15'!$J$10:$J$224),0),
IF('TL15'!$B$229=N$3,SUMIF('TL15'!$C$238:$C$451,$C290,'TL15'!$J$238:$J$451),0),
IF('TL16'!$B$3=N$3,SUMIF('TL16'!$C$10:$C$224,$C290,'TL16'!$J$10:$J$224),0),
IF('TL16'!$B$229=N$3,SUMIF('TL16'!$C$238:$C$451,$C290,'TL16'!$J$238:$J$451),0),
IF('TL17'!$B$3=N$3,SUMIF('TL17'!$C$10:$C$224,$C290,'TL17'!$J$10:$J$224),0),
IF('TL17'!$B$229=N$3,SUMIF('TL17'!$C$238:$C$451,$C290,'TL17'!$J$238:$J$451),0),
IF('TL18'!$B$3=N$3,SUMIF('TL18'!$C$10:$C$224,$C290,'TL18'!$J$10:$J$224),0),
IF('TL18'!$B$229=N$3,SUMIF('TL18'!$C$238:$C$451,$C290,'TL18'!$J$238:$J$451),0),
IF('TL19'!$B$3=N$3,SUMIF('TL19'!$C$10:$C$224,$C290,'TL19'!$J$10:$J$224),0),
IF('TL19'!$B$229=N$3,SUMIF('TL19'!$C$238:$C$451,$C290,'TL19'!$J$238:$J$451),0)
),0)</f>
        <v/>
      </c>
      <c r="O290" s="9">
        <f>IFERROR(SUM(
IF('TL01'!$B$3=O$3,SUMIF('TL01'!$C$10:$C$224,$C290,'TL01'!$J$10:$J$224),0),
IF('TL01'!$B$229=O$3,SUMIF('TL01'!$C$238:$C$451,$C290,'TL01'!$J$238:$J$451),0),
IF('TL02'!$B$3=O$3,SUMIF('TL02'!$C$10:$C$224,$C290,'TL02'!$J$10:$J$224),0),
IF('TL02'!$B$229=O$3,SUMIF('TL02'!$C$238:$C$451,$C290,'TL02'!$J$238:$J$451),0),
IF('TL03'!$B$3=O$3,SUMIF('TL03'!$C$10:$C$224,$C290,'TL03'!$J$10:$J$224),0),
IF('TL03'!$B$229=O$3,SUMIF('TL03'!$C$238:$C$451,$C290,'TL03'!$J$238:$J$451),0),
IF('TL04'!$B$3=O$3,SUMIF('TL04'!$C$10:$C$224,$C290,'TL04'!$J$10:$J$224),0),
IF('TL04'!$B$229=O$3,SUMIF('TL04'!$C$238:$C$451,$C290,'TL04'!$J$238:$J$451),0),
IF('TL05'!$B$3=O$3,SUMIF('TL05'!$C$10:$C$224,$C290,'TL05'!$J$10:$J$224),0),
IF('TL05'!$B$229=O$3,SUMIF('TL05'!$C$238:$C$451,$C290,'TL05'!$J$238:$J$451),0),
IF('TL06'!$B$3=O$3,SUMIF('TL06'!$C$10:$C$224,$C290,'TL06'!$J$10:$J$224),0),
IF('TL06'!$B$229=O$3,SUMIF('TL06'!$C$238:$C$451,$C290,'TL06'!$J$238:$J$451),0),
IF('TL07'!$B$3=O$3,SUMIF('TL07'!$C$10:$C$224,$C290,'TL07'!$J$10:$J$224),0),
IF('TL07'!$B$229=O$3,SUMIF('TL07'!$C$238:$C$451,$C290,'TL07'!$J$238:$J$451),0),
IF('TL08'!$B$3=O$3,SUMIF('TL08'!$C$10:$C$224,$C290,'TL08'!$J$10:$J$224),0),
IF('TL08'!$B$229=O$3,SUMIF('TL08'!$C$238:$C$451,$C290,'TL08'!$J$238:$J$451),0),
IF('TL09'!$B$3=O$3,SUMIF('TL09'!$C$10:$C$224,$C290,'TL09'!$J$10:$J$224),0),
IF('TL09'!$B$229=O$3,SUMIF('TL09'!$C$238:$C$451,$C290,'TL09'!$J$238:$J$451),0),
IF('TL10'!$B$3=O$3,SUMIF('TL10'!$C$10:$C$224,$C290,'TL10'!$J$10:$J$224),0),
IF('TL10'!$B$229=O$3,SUMIF('TL10'!$C$238:$C$451,$C290,'TL10'!$J$238:$J$451),0),
IF('TL11'!$B$3=O$3,SUMIF('TL11'!$C$10:$C$224,$C290,'TL11'!$J$10:$J$224),0),
IF('TL11'!$B$229=O$3,SUMIF('TL11'!$C$238:$C$451,$C290,'TL11'!$J$238:$J$451),0),
IF('TL12'!$B$3=O$3,SUMIF('TL12'!$C$10:$C$224,$C290,'TL12'!$J$10:$J$224),0),
IF('TL12'!$B$229=O$3,SUMIF('TL12'!$C$238:$C$451,$C290,'TL12'!$J$238:$J$451),0),
IF('TL13'!$B$3=O$3,SUMIF('TL13'!$C$10:$C$224,$C290,'TL13'!$J$10:$J$224),0),
IF('TL13'!$B$229=O$3,SUMIF('TL13'!$C$238:$C$451,$C290,'TL13'!$J$238:$J$451),0),
IF('TL14'!$B$3=O$3,SUMIF('TL14'!$C$10:$C$224,$C290,'TL14'!$J$10:$J$224),0),
IF('TL14'!$B$229=O$3,SUMIF('TL14'!$C$238:$C$451,$C290,'TL14'!$J$238:$J$451),0),
IF('TL15'!$B$3=O$3,SUMIF('TL15'!$C$10:$C$224,$C290,'TL15'!$J$10:$J$224),0),
IF('TL15'!$B$229=O$3,SUMIF('TL15'!$C$238:$C$451,$C290,'TL15'!$J$238:$J$451),0),
IF('TL16'!$B$3=O$3,SUMIF('TL16'!$C$10:$C$224,$C290,'TL16'!$J$10:$J$224),0),
IF('TL16'!$B$229=O$3,SUMIF('TL16'!$C$238:$C$451,$C290,'TL16'!$J$238:$J$451),0),
IF('TL17'!$B$3=O$3,SUMIF('TL17'!$C$10:$C$224,$C290,'TL17'!$J$10:$J$224),0),
IF('TL17'!$B$229=O$3,SUMIF('TL17'!$C$238:$C$451,$C290,'TL17'!$J$238:$J$451),0),
IF('TL18'!$B$3=O$3,SUMIF('TL18'!$C$10:$C$224,$C290,'TL18'!$J$10:$J$224),0),
IF('TL18'!$B$229=O$3,SUMIF('TL18'!$C$238:$C$451,$C290,'TL18'!$J$238:$J$451),0),
IF('TL19'!$B$3=O$3,SUMIF('TL19'!$C$10:$C$224,$C290,'TL19'!$J$10:$J$224),0),
IF('TL19'!$B$229=O$3,SUMIF('TL19'!$C$238:$C$451,$C290,'TL19'!$J$238:$J$451),0)
),0)</f>
        <v/>
      </c>
      <c r="P290" s="9">
        <f>IFERROR(SUM(
IF('TL01'!$B$3=P$3,SUMIF('TL01'!$C$10:$C$224,$C290,'TL01'!$J$10:$J$224),0),
IF('TL01'!$B$229=P$3,SUMIF('TL01'!$C$238:$C$451,$C290,'TL01'!$J$238:$J$451),0),
IF('TL02'!$B$3=P$3,SUMIF('TL02'!$C$10:$C$224,$C290,'TL02'!$J$10:$J$224),0),
IF('TL02'!$B$229=P$3,SUMIF('TL02'!$C$238:$C$451,$C290,'TL02'!$J$238:$J$451),0),
IF('TL03'!$B$3=P$3,SUMIF('TL03'!$C$10:$C$224,$C290,'TL03'!$J$10:$J$224),0),
IF('TL03'!$B$229=P$3,SUMIF('TL03'!$C$238:$C$451,$C290,'TL03'!$J$238:$J$451),0),
IF('TL04'!$B$3=P$3,SUMIF('TL04'!$C$10:$C$224,$C290,'TL04'!$J$10:$J$224),0),
IF('TL04'!$B$229=P$3,SUMIF('TL04'!$C$238:$C$451,$C290,'TL04'!$J$238:$J$451),0),
IF('TL05'!$B$3=P$3,SUMIF('TL05'!$C$10:$C$224,$C290,'TL05'!$J$10:$J$224),0),
IF('TL05'!$B$229=P$3,SUMIF('TL05'!$C$238:$C$451,$C290,'TL05'!$J$238:$J$451),0),
IF('TL06'!$B$3=P$3,SUMIF('TL06'!$C$10:$C$224,$C290,'TL06'!$J$10:$J$224),0),
IF('TL06'!$B$229=P$3,SUMIF('TL06'!$C$238:$C$451,$C290,'TL06'!$J$238:$J$451),0),
IF('TL07'!$B$3=P$3,SUMIF('TL07'!$C$10:$C$224,$C290,'TL07'!$J$10:$J$224),0),
IF('TL07'!$B$229=P$3,SUMIF('TL07'!$C$238:$C$451,$C290,'TL07'!$J$238:$J$451),0),
IF('TL08'!$B$3=P$3,SUMIF('TL08'!$C$10:$C$224,$C290,'TL08'!$J$10:$J$224),0),
IF('TL08'!$B$229=P$3,SUMIF('TL08'!$C$238:$C$451,$C290,'TL08'!$J$238:$J$451),0),
IF('TL09'!$B$3=P$3,SUMIF('TL09'!$C$10:$C$224,$C290,'TL09'!$J$10:$J$224),0),
IF('TL09'!$B$229=P$3,SUMIF('TL09'!$C$238:$C$451,$C290,'TL09'!$J$238:$J$451),0),
IF('TL10'!$B$3=P$3,SUMIF('TL10'!$C$10:$C$224,$C290,'TL10'!$J$10:$J$224),0),
IF('TL10'!$B$229=P$3,SUMIF('TL10'!$C$238:$C$451,$C290,'TL10'!$J$238:$J$451),0),
IF('TL11'!$B$3=P$3,SUMIF('TL11'!$C$10:$C$224,$C290,'TL11'!$J$10:$J$224),0),
IF('TL11'!$B$229=P$3,SUMIF('TL11'!$C$238:$C$451,$C290,'TL11'!$J$238:$J$451),0),
IF('TL12'!$B$3=P$3,SUMIF('TL12'!$C$10:$C$224,$C290,'TL12'!$J$10:$J$224),0),
IF('TL12'!$B$229=P$3,SUMIF('TL12'!$C$238:$C$451,$C290,'TL12'!$J$238:$J$451),0),
IF('TL13'!$B$3=P$3,SUMIF('TL13'!$C$10:$C$224,$C290,'TL13'!$J$10:$J$224),0),
IF('TL13'!$B$229=P$3,SUMIF('TL13'!$C$238:$C$451,$C290,'TL13'!$J$238:$J$451),0),
IF('TL14'!$B$3=P$3,SUMIF('TL14'!$C$10:$C$224,$C290,'TL14'!$J$10:$J$224),0),
IF('TL14'!$B$229=P$3,SUMIF('TL14'!$C$238:$C$451,$C290,'TL14'!$J$238:$J$451),0),
IF('TL15'!$B$3=P$3,SUMIF('TL15'!$C$10:$C$224,$C290,'TL15'!$J$10:$J$224),0),
IF('TL15'!$B$229=P$3,SUMIF('TL15'!$C$238:$C$451,$C290,'TL15'!$J$238:$J$451),0),
IF('TL16'!$B$3=P$3,SUMIF('TL16'!$C$10:$C$224,$C290,'TL16'!$J$10:$J$224),0),
IF('TL16'!$B$229=P$3,SUMIF('TL16'!$C$238:$C$451,$C290,'TL16'!$J$238:$J$451),0),
IF('TL17'!$B$3=P$3,SUMIF('TL17'!$C$10:$C$224,$C290,'TL17'!$J$10:$J$224),0),
IF('TL17'!$B$229=P$3,SUMIF('TL17'!$C$238:$C$451,$C290,'TL17'!$J$238:$J$451),0),
IF('TL18'!$B$3=P$3,SUMIF('TL18'!$C$10:$C$224,$C290,'TL18'!$J$10:$J$224),0),
IF('TL18'!$B$229=P$3,SUMIF('TL18'!$C$238:$C$451,$C290,'TL18'!$J$238:$J$451),0),
IF('TL19'!$B$3=P$3,SUMIF('TL19'!$C$10:$C$224,$C290,'TL19'!$J$10:$J$224),0),
IF('TL19'!$B$229=P$3,SUMIF('TL19'!$C$238:$C$451,$C290,'TL19'!$J$238:$J$451),0)
),0)</f>
        <v/>
      </c>
      <c r="Q290" s="9">
        <f>IFERROR(SUM(
IF('TL01'!$B$3=Q$3,SUMIF('TL01'!$C$10:$C$224,$C290,'TL01'!$J$10:$J$224),0),
IF('TL01'!$B$229=Q$3,SUMIF('TL01'!$C$238:$C$451,$C290,'TL01'!$J$238:$J$451),0),
IF('TL02'!$B$3=Q$3,SUMIF('TL02'!$C$10:$C$224,$C290,'TL02'!$J$10:$J$224),0),
IF('TL02'!$B$229=Q$3,SUMIF('TL02'!$C$238:$C$451,$C290,'TL02'!$J$238:$J$451),0),
IF('TL03'!$B$3=Q$3,SUMIF('TL03'!$C$10:$C$224,$C290,'TL03'!$J$10:$J$224),0),
IF('TL03'!$B$229=Q$3,SUMIF('TL03'!$C$238:$C$451,$C290,'TL03'!$J$238:$J$451),0),
IF('TL04'!$B$3=Q$3,SUMIF('TL04'!$C$10:$C$224,$C290,'TL04'!$J$10:$J$224),0),
IF('TL04'!$B$229=Q$3,SUMIF('TL04'!$C$238:$C$451,$C290,'TL04'!$J$238:$J$451),0),
IF('TL05'!$B$3=Q$3,SUMIF('TL05'!$C$10:$C$224,$C290,'TL05'!$J$10:$J$224),0),
IF('TL05'!$B$229=Q$3,SUMIF('TL05'!$C$238:$C$451,$C290,'TL05'!$J$238:$J$451),0),
IF('TL06'!$B$3=Q$3,SUMIF('TL06'!$C$10:$C$224,$C290,'TL06'!$J$10:$J$224),0),
IF('TL06'!$B$229=Q$3,SUMIF('TL06'!$C$238:$C$451,$C290,'TL06'!$J$238:$J$451),0),
IF('TL07'!$B$3=Q$3,SUMIF('TL07'!$C$10:$C$224,$C290,'TL07'!$J$10:$J$224),0),
IF('TL07'!$B$229=Q$3,SUMIF('TL07'!$C$238:$C$451,$C290,'TL07'!$J$238:$J$451),0),
IF('TL08'!$B$3=Q$3,SUMIF('TL08'!$C$10:$C$224,$C290,'TL08'!$J$10:$J$224),0),
IF('TL08'!$B$229=Q$3,SUMIF('TL08'!$C$238:$C$451,$C290,'TL08'!$J$238:$J$451),0),
IF('TL09'!$B$3=Q$3,SUMIF('TL09'!$C$10:$C$224,$C290,'TL09'!$J$10:$J$224),0),
IF('TL09'!$B$229=Q$3,SUMIF('TL09'!$C$238:$C$451,$C290,'TL09'!$J$238:$J$451),0),
IF('TL10'!$B$3=Q$3,SUMIF('TL10'!$C$10:$C$224,$C290,'TL10'!$J$10:$J$224),0),
IF('TL10'!$B$229=Q$3,SUMIF('TL10'!$C$238:$C$451,$C290,'TL10'!$J$238:$J$451),0),
IF('TL11'!$B$3=Q$3,SUMIF('TL11'!$C$10:$C$224,$C290,'TL11'!$J$10:$J$224),0),
IF('TL11'!$B$229=Q$3,SUMIF('TL11'!$C$238:$C$451,$C290,'TL11'!$J$238:$J$451),0),
IF('TL12'!$B$3=Q$3,SUMIF('TL12'!$C$10:$C$224,$C290,'TL12'!$J$10:$J$224),0),
IF('TL12'!$B$229=Q$3,SUMIF('TL12'!$C$238:$C$451,$C290,'TL12'!$J$238:$J$451),0),
IF('TL13'!$B$3=Q$3,SUMIF('TL13'!$C$10:$C$224,$C290,'TL13'!$J$10:$J$224),0),
IF('TL13'!$B$229=Q$3,SUMIF('TL13'!$C$238:$C$451,$C290,'TL13'!$J$238:$J$451),0),
IF('TL14'!$B$3=Q$3,SUMIF('TL14'!$C$10:$C$224,$C290,'TL14'!$J$10:$J$224),0),
IF('TL14'!$B$229=Q$3,SUMIF('TL14'!$C$238:$C$451,$C290,'TL14'!$J$238:$J$451),0),
IF('TL15'!$B$3=Q$3,SUMIF('TL15'!$C$10:$C$224,$C290,'TL15'!$J$10:$J$224),0),
IF('TL15'!$B$229=Q$3,SUMIF('TL15'!$C$238:$C$451,$C290,'TL15'!$J$238:$J$451),0),
IF('TL16'!$B$3=Q$3,SUMIF('TL16'!$C$10:$C$224,$C290,'TL16'!$J$10:$J$224),0),
IF('TL16'!$B$229=Q$3,SUMIF('TL16'!$C$238:$C$451,$C290,'TL16'!$J$238:$J$451),0),
IF('TL17'!$B$3=Q$3,SUMIF('TL17'!$C$10:$C$224,$C290,'TL17'!$J$10:$J$224),0),
IF('TL17'!$B$229=Q$3,SUMIF('TL17'!$C$238:$C$451,$C290,'TL17'!$J$238:$J$451),0),
IF('TL18'!$B$3=Q$3,SUMIF('TL18'!$C$10:$C$224,$C290,'TL18'!$J$10:$J$224),0),
IF('TL18'!$B$229=Q$3,SUMIF('TL18'!$C$238:$C$451,$C290,'TL18'!$J$238:$J$451),0),
IF('TL19'!$B$3=Q$3,SUMIF('TL19'!$C$10:$C$224,$C290,'TL19'!$J$10:$J$224),0),
IF('TL19'!$B$229=Q$3,SUMIF('TL19'!$C$238:$C$451,$C290,'TL19'!$J$238:$J$451),0)
),0)</f>
        <v/>
      </c>
      <c r="R290" s="9">
        <f>IFERROR(
SUM(
SUMIF('TL01'!C:C,C290,'TL01'!J:J),
SUMIF('TL02'!C:C,C290,'TL02'!J:J),
SUMIF('TL03'!C:C,C290,'TL03'!J:J),
SUMIF('TL04'!C:C,C290,'TL04'!J:J),
SUMIF('TL05'!C:C,C290,'TL05'!J:J),
SUMIF('TL06'!C:C,C290,'TL06'!J:J),
SUMIF('TL07'!C:C,C290,'TL07'!J:J),
SUMIF('TL08'!C:C,C290,'TL08'!J:J),
SUMIF('TL09'!C:C,C290,'TL09'!J:J),
SUMIF('TL10'!C:C,C290,'TL10'!J:J),
SUMIF('TL11'!C:C,C290,'TL11'!J:J),
SUMIF('TL12'!C:C,C290,'TL12'!J:J),
SUMIF('TL13'!C:C,C290,'TL13'!J:J),
SUMIF('TL14'!C:C,C290,'TL14'!J:J),
SUMIF('TL15'!C:C,C290,'TL15'!J:J),
SUMIF('TL16'!C:C,C290,'TL16'!J:J),
SUMIF('TL17'!C:C,C290,'TL17'!J:J),
SUMIF('TL18'!C:C,C290,'TL18'!J:J),SUMIF('TL19'!C:C,C290,'TL19'!J:J))
,0)</f>
        <v/>
      </c>
      <c r="S290" s="17">
        <f>IFERROR(__xludf.DUMMYFUNCTION("IFERROR(VLOOKUP(C290,
IMPORTRANGE(""1wULbzX32WdYsx-lj2U3uUNBBe2INVIRDtcK0d-Dvl90"",
""26-27!C:G""),
5,
FALSE),
"""")"),157.47199999999998)</f>
        <v/>
      </c>
      <c r="T290" s="9" t="n"/>
      <c r="U290" s="92">
        <f>MAX(0,R290-T290)</f>
        <v/>
      </c>
      <c r="V290" s="93">
        <f>U290*S290</f>
        <v/>
      </c>
    </row>
    <row r="291" hidden="1" ht="15.75" customHeight="1" s="297">
      <c r="A291" s="122" t="inlineStr">
        <is>
          <t>SYNGENTA</t>
        </is>
      </c>
      <c r="B291" s="124" t="inlineStr">
        <is>
          <t>TS</t>
        </is>
      </c>
      <c r="C291" s="122" t="inlineStr">
        <is>
          <t>MAXIM ADVANCED</t>
        </is>
      </c>
      <c r="D291" s="122" t="inlineStr">
        <is>
          <t>METALAXIL-M + TIABENDAZOL + FLUDIOXONIL</t>
        </is>
      </c>
      <c r="E291" s="122" t="inlineStr">
        <is>
          <t>20 + 150 + 25</t>
        </is>
      </c>
      <c r="F291" s="4" t="n"/>
      <c r="G291" s="90">
        <f>HYPERLINK("https://www.google.com/search?q=" &amp; C291 &amp; "+bula+agrofit+pdf", "📄 Ver bula")</f>
        <v/>
      </c>
      <c r="H291" s="9">
        <f>IFERROR(__xludf.DUMMYFUNCTION("IFERROR(VLOOKUP(C291,
IMPORTRANGE(""1wULbzX32WdYsx-lj2U3uUNBBe2INVIRDtcK0d-Dvl90"",
""26-27!C:K""),
8,
FALSE),
"""")"),0.05)</f>
        <v/>
      </c>
      <c r="I291" s="123" t="n"/>
      <c r="J291" s="9">
        <f>IFERROR(SUM(
IF('TL01'!$B$3=J$3,SUMIF('TL01'!$C$10:$C$224,$C291,'TL01'!$J$10:$J$224),0),
IF('TL01'!$B$229=J$3,SUMIF('TL01'!$C$238:$C$451,$C291,'TL01'!$J$238:$J$451),0),
IF('TL02'!$B$3=J$3,SUMIF('TL02'!$C$10:$C$224,$C291,'TL02'!$J$10:$J$224),0),
IF('TL02'!$B$229=J$3,SUMIF('TL02'!$C$238:$C$451,$C291,'TL02'!$J$238:$J$451),0),
IF('TL03'!$B$3=J$3,SUMIF('TL03'!$C$10:$C$224,$C291,'TL03'!$J$10:$J$224),0),
IF('TL03'!$B$229=J$3,SUMIF('TL03'!$C$238:$C$451,$C291,'TL03'!$J$238:$J$451),0),
IF('TL04'!$B$3=J$3,SUMIF('TL04'!$C$10:$C$224,$C291,'TL04'!$J$10:$J$224),0),
IF('TL04'!$B$229=J$3,SUMIF('TL04'!$C$238:$C$451,$C291,'TL04'!$J$238:$J$451),0),
IF('TL05'!$B$3=J$3,SUMIF('TL05'!$C$10:$C$224,$C291,'TL05'!$J$10:$J$224),0),
IF('TL05'!$B$229=J$3,SUMIF('TL05'!$C$238:$C$451,$C291,'TL05'!$J$238:$J$451),0),
IF('TL06'!$B$3=J$3,SUMIF('TL06'!$C$10:$C$224,$C291,'TL06'!$J$10:$J$224),0),
IF('TL06'!$B$229=J$3,SUMIF('TL06'!$C$238:$C$451,$C291,'TL06'!$J$238:$J$451),0),
IF('TL07'!$B$3=J$3,SUMIF('TL07'!$C$10:$C$224,$C291,'TL07'!$J$10:$J$224),0),
IF('TL07'!$B$229=J$3,SUMIF('TL07'!$C$238:$C$451,$C291,'TL07'!$J$238:$J$451),0),
IF('TL08'!$B$3=J$3,SUMIF('TL08'!$C$10:$C$224,$C291,'TL08'!$J$10:$J$224),0),
IF('TL08'!$B$229=J$3,SUMIF('TL08'!$C$238:$C$451,$C291,'TL08'!$J$238:$J$451),0),
IF('TL09'!$B$3=J$3,SUMIF('TL09'!$C$10:$C$224,$C291,'TL09'!$J$10:$J$224),0),
IF('TL09'!$B$229=J$3,SUMIF('TL09'!$C$238:$C$451,$C291,'TL09'!$J$238:$J$451),0),
IF('TL10'!$B$3=J$3,SUMIF('TL10'!$C$10:$C$224,$C291,'TL10'!$J$10:$J$224),0),
IF('TL10'!$B$229=J$3,SUMIF('TL10'!$C$238:$C$451,$C291,'TL10'!$J$238:$J$451),0),
IF('TL11'!$B$3=J$3,SUMIF('TL11'!$C$10:$C$224,$C291,'TL11'!$J$10:$J$224),0),
IF('TL11'!$B$229=J$3,SUMIF('TL11'!$C$238:$C$451,$C291,'TL11'!$J$238:$J$451),0),
IF('TL12'!$B$3=J$3,SUMIF('TL12'!$C$10:$C$224,$C291,'TL12'!$J$10:$J$224),0),
IF('TL12'!$B$229=J$3,SUMIF('TL12'!$C$238:$C$451,$C291,'TL12'!$J$238:$J$451),0),
IF('TL13'!$B$3=J$3,SUMIF('TL13'!$C$10:$C$224,$C291,'TL13'!$J$10:$J$224),0),
IF('TL13'!$B$229=J$3,SUMIF('TL13'!$C$238:$C$451,$C291,'TL13'!$J$238:$J$451),0),
IF('TL14'!$B$3=J$3,SUMIF('TL14'!$C$10:$C$224,$C291,'TL14'!$J$10:$J$224),0),
IF('TL14'!$B$229=J$3,SUMIF('TL14'!$C$238:$C$451,$C291,'TL14'!$J$238:$J$451),0),
IF('TL15'!$B$3=J$3,SUMIF('TL15'!$C$10:$C$224,$C291,'TL15'!$J$10:$J$224),0),
IF('TL15'!$B$229=J$3,SUMIF('TL15'!$C$238:$C$451,$C291,'TL15'!$J$238:$J$451),0),
IF('TL16'!$B$3=J$3,SUMIF('TL16'!$C$10:$C$224,$C291,'TL16'!$J$10:$J$224),0),
IF('TL16'!$B$229=J$3,SUMIF('TL16'!$C$238:$C$451,$C291,'TL16'!$J$238:$J$451),0),
IF('TL17'!$B$3=J$3,SUMIF('TL17'!$C$10:$C$224,$C291,'TL17'!$J$10:$J$224),0),
IF('TL17'!$B$229=J$3,SUMIF('TL17'!$C$238:$C$451,$C291,'TL17'!$J$238:$J$451),0),
IF('TL18'!$B$3=J$3,SUMIF('TL18'!$C$10:$C$224,$C291,'TL18'!$J$10:$J$224),0),
IF('TL18'!$B$229=J$3,SUMIF('TL18'!$C$238:$C$451,$C291,'TL18'!$J$238:$J$451),0),
IF('TL19'!$B$3=J$3,SUMIF('TL19'!$C$10:$C$224,$C291,'TL19'!$J$10:$J$224),0),
IF('TL19'!$B$229=J$3,SUMIF('TL19'!$C$238:$C$451,$C291,'TL19'!$J$238:$J$451),0)
),0)</f>
        <v/>
      </c>
      <c r="K291" s="9">
        <f>IFERROR(SUM(
IF('TL01'!$B$3=K$3,SUMIF('TL01'!$C$10:$C$224,$C291,'TL01'!$J$10:$J$224),0),
IF('TL01'!$B$229=K$3,SUMIF('TL01'!$C$238:$C$451,$C291,'TL01'!$J$238:$J$451),0),
IF('TL02'!$B$3=K$3,SUMIF('TL02'!$C$10:$C$224,$C291,'TL02'!$J$10:$J$224),0),
IF('TL02'!$B$229=K$3,SUMIF('TL02'!$C$238:$C$451,$C291,'TL02'!$J$238:$J$451),0),
IF('TL03'!$B$3=K$3,SUMIF('TL03'!$C$10:$C$224,$C291,'TL03'!$J$10:$J$224),0),
IF('TL03'!$B$229=K$3,SUMIF('TL03'!$C$238:$C$451,$C291,'TL03'!$J$238:$J$451),0),
IF('TL04'!$B$3=K$3,SUMIF('TL04'!$C$10:$C$224,$C291,'TL04'!$J$10:$J$224),0),
IF('TL04'!$B$229=K$3,SUMIF('TL04'!$C$238:$C$451,$C291,'TL04'!$J$238:$J$451),0),
IF('TL05'!$B$3=K$3,SUMIF('TL05'!$C$10:$C$224,$C291,'TL05'!$J$10:$J$224),0),
IF('TL05'!$B$229=K$3,SUMIF('TL05'!$C$238:$C$451,$C291,'TL05'!$J$238:$J$451),0),
IF('TL06'!$B$3=K$3,SUMIF('TL06'!$C$10:$C$224,$C291,'TL06'!$J$10:$J$224),0),
IF('TL06'!$B$229=K$3,SUMIF('TL06'!$C$238:$C$451,$C291,'TL06'!$J$238:$J$451),0),
IF('TL07'!$B$3=K$3,SUMIF('TL07'!$C$10:$C$224,$C291,'TL07'!$J$10:$J$224),0),
IF('TL07'!$B$229=K$3,SUMIF('TL07'!$C$238:$C$451,$C291,'TL07'!$J$238:$J$451),0),
IF('TL08'!$B$3=K$3,SUMIF('TL08'!$C$10:$C$224,$C291,'TL08'!$J$10:$J$224),0),
IF('TL08'!$B$229=K$3,SUMIF('TL08'!$C$238:$C$451,$C291,'TL08'!$J$238:$J$451),0),
IF('TL09'!$B$3=K$3,SUMIF('TL09'!$C$10:$C$224,$C291,'TL09'!$J$10:$J$224),0),
IF('TL09'!$B$229=K$3,SUMIF('TL09'!$C$238:$C$451,$C291,'TL09'!$J$238:$J$451),0),
IF('TL10'!$B$3=K$3,SUMIF('TL10'!$C$10:$C$224,$C291,'TL10'!$J$10:$J$224),0),
IF('TL10'!$B$229=K$3,SUMIF('TL10'!$C$238:$C$451,$C291,'TL10'!$J$238:$J$451),0),
IF('TL11'!$B$3=K$3,SUMIF('TL11'!$C$10:$C$224,$C291,'TL11'!$J$10:$J$224),0),
IF('TL11'!$B$229=K$3,SUMIF('TL11'!$C$238:$C$451,$C291,'TL11'!$J$238:$J$451),0),
IF('TL12'!$B$3=K$3,SUMIF('TL12'!$C$10:$C$224,$C291,'TL12'!$J$10:$J$224),0),
IF('TL12'!$B$229=K$3,SUMIF('TL12'!$C$238:$C$451,$C291,'TL12'!$J$238:$J$451),0),
IF('TL13'!$B$3=K$3,SUMIF('TL13'!$C$10:$C$224,$C291,'TL13'!$J$10:$J$224),0),
IF('TL13'!$B$229=K$3,SUMIF('TL13'!$C$238:$C$451,$C291,'TL13'!$J$238:$J$451),0),
IF('TL14'!$B$3=K$3,SUMIF('TL14'!$C$10:$C$224,$C291,'TL14'!$J$10:$J$224),0),
IF('TL14'!$B$229=K$3,SUMIF('TL14'!$C$238:$C$451,$C291,'TL14'!$J$238:$J$451),0),
IF('TL15'!$B$3=K$3,SUMIF('TL15'!$C$10:$C$224,$C291,'TL15'!$J$10:$J$224),0),
IF('TL15'!$B$229=K$3,SUMIF('TL15'!$C$238:$C$451,$C291,'TL15'!$J$238:$J$451),0),
IF('TL16'!$B$3=K$3,SUMIF('TL16'!$C$10:$C$224,$C291,'TL16'!$J$10:$J$224),0),
IF('TL16'!$B$229=K$3,SUMIF('TL16'!$C$238:$C$451,$C291,'TL16'!$J$238:$J$451),0),
IF('TL17'!$B$3=K$3,SUMIF('TL17'!$C$10:$C$224,$C291,'TL17'!$J$10:$J$224),0),
IF('TL17'!$B$229=K$3,SUMIF('TL17'!$C$238:$C$451,$C291,'TL17'!$J$238:$J$451),0),
IF('TL18'!$B$3=K$3,SUMIF('TL18'!$C$10:$C$224,$C291,'TL18'!$J$10:$J$224),0),
IF('TL18'!$B$229=K$3,SUMIF('TL18'!$C$238:$C$451,$C291,'TL18'!$J$238:$J$451),0),
IF('TL19'!$B$3=K$3,SUMIF('TL19'!$C$10:$C$224,$C291,'TL19'!$J$10:$J$224),0),
IF('TL19'!$B$229=K$3,SUMIF('TL19'!$C$238:$C$451,$C291,'TL19'!$J$238:$J$451),0)
),0)</f>
        <v/>
      </c>
      <c r="L291" s="9">
        <f>IFERROR(SUM(
IF('TL01'!$B$3=L$3,SUMIF('TL01'!$C$10:$C$224,$C291,'TL01'!$J$10:$J$224),0),
IF('TL01'!$B$229=L$3,SUMIF('TL01'!$C$238:$C$451,$C291,'TL01'!$J$238:$J$451),0),
IF('TL02'!$B$3=L$3,SUMIF('TL02'!$C$10:$C$224,$C291,'TL02'!$J$10:$J$224),0),
IF('TL02'!$B$229=L$3,SUMIF('TL02'!$C$238:$C$451,$C291,'TL02'!$J$238:$J$451),0),
IF('TL03'!$B$3=L$3,SUMIF('TL03'!$C$10:$C$224,$C291,'TL03'!$J$10:$J$224),0),
IF('TL03'!$B$229=L$3,SUMIF('TL03'!$C$238:$C$451,$C291,'TL03'!$J$238:$J$451),0),
IF('TL04'!$B$3=L$3,SUMIF('TL04'!$C$10:$C$224,$C291,'TL04'!$J$10:$J$224),0),
IF('TL04'!$B$229=L$3,SUMIF('TL04'!$C$238:$C$451,$C291,'TL04'!$J$238:$J$451),0),
IF('TL05'!$B$3=L$3,SUMIF('TL05'!$C$10:$C$224,$C291,'TL05'!$J$10:$J$224),0),
IF('TL05'!$B$229=L$3,SUMIF('TL05'!$C$238:$C$451,$C291,'TL05'!$J$238:$J$451),0),
IF('TL06'!$B$3=L$3,SUMIF('TL06'!$C$10:$C$224,$C291,'TL06'!$J$10:$J$224),0),
IF('TL06'!$B$229=L$3,SUMIF('TL06'!$C$238:$C$451,$C291,'TL06'!$J$238:$J$451),0),
IF('TL07'!$B$3=L$3,SUMIF('TL07'!$C$10:$C$224,$C291,'TL07'!$J$10:$J$224),0),
IF('TL07'!$B$229=L$3,SUMIF('TL07'!$C$238:$C$451,$C291,'TL07'!$J$238:$J$451),0),
IF('TL08'!$B$3=L$3,SUMIF('TL08'!$C$10:$C$224,$C291,'TL08'!$J$10:$J$224),0),
IF('TL08'!$B$229=L$3,SUMIF('TL08'!$C$238:$C$451,$C291,'TL08'!$J$238:$J$451),0),
IF('TL09'!$B$3=L$3,SUMIF('TL09'!$C$10:$C$224,$C291,'TL09'!$J$10:$J$224),0),
IF('TL09'!$B$229=L$3,SUMIF('TL09'!$C$238:$C$451,$C291,'TL09'!$J$238:$J$451),0),
IF('TL10'!$B$3=L$3,SUMIF('TL10'!$C$10:$C$224,$C291,'TL10'!$J$10:$J$224),0),
IF('TL10'!$B$229=L$3,SUMIF('TL10'!$C$238:$C$451,$C291,'TL10'!$J$238:$J$451),0),
IF('TL11'!$B$3=L$3,SUMIF('TL11'!$C$10:$C$224,$C291,'TL11'!$J$10:$J$224),0),
IF('TL11'!$B$229=L$3,SUMIF('TL11'!$C$238:$C$451,$C291,'TL11'!$J$238:$J$451),0),
IF('TL12'!$B$3=L$3,SUMIF('TL12'!$C$10:$C$224,$C291,'TL12'!$J$10:$J$224),0),
IF('TL12'!$B$229=L$3,SUMIF('TL12'!$C$238:$C$451,$C291,'TL12'!$J$238:$J$451),0),
IF('TL13'!$B$3=L$3,SUMIF('TL13'!$C$10:$C$224,$C291,'TL13'!$J$10:$J$224),0),
IF('TL13'!$B$229=L$3,SUMIF('TL13'!$C$238:$C$451,$C291,'TL13'!$J$238:$J$451),0),
IF('TL14'!$B$3=L$3,SUMIF('TL14'!$C$10:$C$224,$C291,'TL14'!$J$10:$J$224),0),
IF('TL14'!$B$229=L$3,SUMIF('TL14'!$C$238:$C$451,$C291,'TL14'!$J$238:$J$451),0),
IF('TL15'!$B$3=L$3,SUMIF('TL15'!$C$10:$C$224,$C291,'TL15'!$J$10:$J$224),0),
IF('TL15'!$B$229=L$3,SUMIF('TL15'!$C$238:$C$451,$C291,'TL15'!$J$238:$J$451),0),
IF('TL16'!$B$3=L$3,SUMIF('TL16'!$C$10:$C$224,$C291,'TL16'!$J$10:$J$224),0),
IF('TL16'!$B$229=L$3,SUMIF('TL16'!$C$238:$C$451,$C291,'TL16'!$J$238:$J$451),0),
IF('TL17'!$B$3=L$3,SUMIF('TL17'!$C$10:$C$224,$C291,'TL17'!$J$10:$J$224),0),
IF('TL17'!$B$229=L$3,SUMIF('TL17'!$C$238:$C$451,$C291,'TL17'!$J$238:$J$451),0),
IF('TL18'!$B$3=L$3,SUMIF('TL18'!$C$10:$C$224,$C291,'TL18'!$J$10:$J$224),0),
IF('TL18'!$B$229=L$3,SUMIF('TL18'!$C$238:$C$451,$C291,'TL18'!$J$238:$J$451),0),
IF('TL19'!$B$3=L$3,SUMIF('TL19'!$C$10:$C$224,$C291,'TL19'!$J$10:$J$224),0),
IF('TL19'!$B$229=L$3,SUMIF('TL19'!$C$238:$C$451,$C291,'TL19'!$J$238:$J$451),0)
),0)</f>
        <v/>
      </c>
      <c r="M291" s="9">
        <f>IFERROR(SUM(
IF('TL01'!$B$3=M$3,SUMIF('TL01'!$C$10:$C$224,$C291,'TL01'!$J$10:$J$224),0),
IF('TL01'!$B$229=M$3,SUMIF('TL01'!$C$238:$C$451,$C291,'TL01'!$J$238:$J$451),0),
IF('TL02'!$B$3=M$3,SUMIF('TL02'!$C$10:$C$224,$C291,'TL02'!$J$10:$J$224),0),
IF('TL02'!$B$229=M$3,SUMIF('TL02'!$C$238:$C$451,$C291,'TL02'!$J$238:$J$451),0),
IF('TL03'!$B$3=M$3,SUMIF('TL03'!$C$10:$C$224,$C291,'TL03'!$J$10:$J$224),0),
IF('TL03'!$B$229=M$3,SUMIF('TL03'!$C$238:$C$451,$C291,'TL03'!$J$238:$J$451),0),
IF('TL04'!$B$3=M$3,SUMIF('TL04'!$C$10:$C$224,$C291,'TL04'!$J$10:$J$224),0),
IF('TL04'!$B$229=M$3,SUMIF('TL04'!$C$238:$C$451,$C291,'TL04'!$J$238:$J$451),0),
IF('TL05'!$B$3=M$3,SUMIF('TL05'!$C$10:$C$224,$C291,'TL05'!$J$10:$J$224),0),
IF('TL05'!$B$229=M$3,SUMIF('TL05'!$C$238:$C$451,$C291,'TL05'!$J$238:$J$451),0),
IF('TL06'!$B$3=M$3,SUMIF('TL06'!$C$10:$C$224,$C291,'TL06'!$J$10:$J$224),0),
IF('TL06'!$B$229=M$3,SUMIF('TL06'!$C$238:$C$451,$C291,'TL06'!$J$238:$J$451),0),
IF('TL07'!$B$3=M$3,SUMIF('TL07'!$C$10:$C$224,$C291,'TL07'!$J$10:$J$224),0),
IF('TL07'!$B$229=M$3,SUMIF('TL07'!$C$238:$C$451,$C291,'TL07'!$J$238:$J$451),0),
IF('TL08'!$B$3=M$3,SUMIF('TL08'!$C$10:$C$224,$C291,'TL08'!$J$10:$J$224),0),
IF('TL08'!$B$229=M$3,SUMIF('TL08'!$C$238:$C$451,$C291,'TL08'!$J$238:$J$451),0),
IF('TL09'!$B$3=M$3,SUMIF('TL09'!$C$10:$C$224,$C291,'TL09'!$J$10:$J$224),0),
IF('TL09'!$B$229=M$3,SUMIF('TL09'!$C$238:$C$451,$C291,'TL09'!$J$238:$J$451),0),
IF('TL10'!$B$3=M$3,SUMIF('TL10'!$C$10:$C$224,$C291,'TL10'!$J$10:$J$224),0),
IF('TL10'!$B$229=M$3,SUMIF('TL10'!$C$238:$C$451,$C291,'TL10'!$J$238:$J$451),0),
IF('TL11'!$B$3=M$3,SUMIF('TL11'!$C$10:$C$224,$C291,'TL11'!$J$10:$J$224),0),
IF('TL11'!$B$229=M$3,SUMIF('TL11'!$C$238:$C$451,$C291,'TL11'!$J$238:$J$451),0),
IF('TL12'!$B$3=M$3,SUMIF('TL12'!$C$10:$C$224,$C291,'TL12'!$J$10:$J$224),0),
IF('TL12'!$B$229=M$3,SUMIF('TL12'!$C$238:$C$451,$C291,'TL12'!$J$238:$J$451),0),
IF('TL13'!$B$3=M$3,SUMIF('TL13'!$C$10:$C$224,$C291,'TL13'!$J$10:$J$224),0),
IF('TL13'!$B$229=M$3,SUMIF('TL13'!$C$238:$C$451,$C291,'TL13'!$J$238:$J$451),0),
IF('TL14'!$B$3=M$3,SUMIF('TL14'!$C$10:$C$224,$C291,'TL14'!$J$10:$J$224),0),
IF('TL14'!$B$229=M$3,SUMIF('TL14'!$C$238:$C$451,$C291,'TL14'!$J$238:$J$451),0),
IF('TL15'!$B$3=M$3,SUMIF('TL15'!$C$10:$C$224,$C291,'TL15'!$J$10:$J$224),0),
IF('TL15'!$B$229=M$3,SUMIF('TL15'!$C$238:$C$451,$C291,'TL15'!$J$238:$J$451),0),
IF('TL16'!$B$3=M$3,SUMIF('TL16'!$C$10:$C$224,$C291,'TL16'!$J$10:$J$224),0),
IF('TL16'!$B$229=M$3,SUMIF('TL16'!$C$238:$C$451,$C291,'TL16'!$J$238:$J$451),0),
IF('TL17'!$B$3=M$3,SUMIF('TL17'!$C$10:$C$224,$C291,'TL17'!$J$10:$J$224),0),
IF('TL17'!$B$229=M$3,SUMIF('TL17'!$C$238:$C$451,$C291,'TL17'!$J$238:$J$451),0),
IF('TL18'!$B$3=M$3,SUMIF('TL18'!$C$10:$C$224,$C291,'TL18'!$J$10:$J$224),0),
IF('TL18'!$B$229=M$3,SUMIF('TL18'!$C$238:$C$451,$C291,'TL18'!$J$238:$J$451),0),
IF('TL19'!$B$3=M$3,SUMIF('TL19'!$C$10:$C$224,$C291,'TL19'!$J$10:$J$224),0),
IF('TL19'!$B$229=M$3,SUMIF('TL19'!$C$238:$C$451,$C291,'TL19'!$J$238:$J$451),0)
),0)</f>
        <v/>
      </c>
      <c r="N291" s="9">
        <f>IFERROR(SUM(
IF('TL01'!$B$3=N$3,SUMIF('TL01'!$C$10:$C$224,$C291,'TL01'!$J$10:$J$224),0),
IF('TL01'!$B$229=N$3,SUMIF('TL01'!$C$238:$C$451,$C291,'TL01'!$J$238:$J$451),0),
IF('TL02'!$B$3=N$3,SUMIF('TL02'!$C$10:$C$224,$C291,'TL02'!$J$10:$J$224),0),
IF('TL02'!$B$229=N$3,SUMIF('TL02'!$C$238:$C$451,$C291,'TL02'!$J$238:$J$451),0),
IF('TL03'!$B$3=N$3,SUMIF('TL03'!$C$10:$C$224,$C291,'TL03'!$J$10:$J$224),0),
IF('TL03'!$B$229=N$3,SUMIF('TL03'!$C$238:$C$451,$C291,'TL03'!$J$238:$J$451),0),
IF('TL04'!$B$3=N$3,SUMIF('TL04'!$C$10:$C$224,$C291,'TL04'!$J$10:$J$224),0),
IF('TL04'!$B$229=N$3,SUMIF('TL04'!$C$238:$C$451,$C291,'TL04'!$J$238:$J$451),0),
IF('TL05'!$B$3=N$3,SUMIF('TL05'!$C$10:$C$224,$C291,'TL05'!$J$10:$J$224),0),
IF('TL05'!$B$229=N$3,SUMIF('TL05'!$C$238:$C$451,$C291,'TL05'!$J$238:$J$451),0),
IF('TL06'!$B$3=N$3,SUMIF('TL06'!$C$10:$C$224,$C291,'TL06'!$J$10:$J$224),0),
IF('TL06'!$B$229=N$3,SUMIF('TL06'!$C$238:$C$451,$C291,'TL06'!$J$238:$J$451),0),
IF('TL07'!$B$3=N$3,SUMIF('TL07'!$C$10:$C$224,$C291,'TL07'!$J$10:$J$224),0),
IF('TL07'!$B$229=N$3,SUMIF('TL07'!$C$238:$C$451,$C291,'TL07'!$J$238:$J$451),0),
IF('TL08'!$B$3=N$3,SUMIF('TL08'!$C$10:$C$224,$C291,'TL08'!$J$10:$J$224),0),
IF('TL08'!$B$229=N$3,SUMIF('TL08'!$C$238:$C$451,$C291,'TL08'!$J$238:$J$451),0),
IF('TL09'!$B$3=N$3,SUMIF('TL09'!$C$10:$C$224,$C291,'TL09'!$J$10:$J$224),0),
IF('TL09'!$B$229=N$3,SUMIF('TL09'!$C$238:$C$451,$C291,'TL09'!$J$238:$J$451),0),
IF('TL10'!$B$3=N$3,SUMIF('TL10'!$C$10:$C$224,$C291,'TL10'!$J$10:$J$224),0),
IF('TL10'!$B$229=N$3,SUMIF('TL10'!$C$238:$C$451,$C291,'TL10'!$J$238:$J$451),0),
IF('TL11'!$B$3=N$3,SUMIF('TL11'!$C$10:$C$224,$C291,'TL11'!$J$10:$J$224),0),
IF('TL11'!$B$229=N$3,SUMIF('TL11'!$C$238:$C$451,$C291,'TL11'!$J$238:$J$451),0),
IF('TL12'!$B$3=N$3,SUMIF('TL12'!$C$10:$C$224,$C291,'TL12'!$J$10:$J$224),0),
IF('TL12'!$B$229=N$3,SUMIF('TL12'!$C$238:$C$451,$C291,'TL12'!$J$238:$J$451),0),
IF('TL13'!$B$3=N$3,SUMIF('TL13'!$C$10:$C$224,$C291,'TL13'!$J$10:$J$224),0),
IF('TL13'!$B$229=N$3,SUMIF('TL13'!$C$238:$C$451,$C291,'TL13'!$J$238:$J$451),0),
IF('TL14'!$B$3=N$3,SUMIF('TL14'!$C$10:$C$224,$C291,'TL14'!$J$10:$J$224),0),
IF('TL14'!$B$229=N$3,SUMIF('TL14'!$C$238:$C$451,$C291,'TL14'!$J$238:$J$451),0),
IF('TL15'!$B$3=N$3,SUMIF('TL15'!$C$10:$C$224,$C291,'TL15'!$J$10:$J$224),0),
IF('TL15'!$B$229=N$3,SUMIF('TL15'!$C$238:$C$451,$C291,'TL15'!$J$238:$J$451),0),
IF('TL16'!$B$3=N$3,SUMIF('TL16'!$C$10:$C$224,$C291,'TL16'!$J$10:$J$224),0),
IF('TL16'!$B$229=N$3,SUMIF('TL16'!$C$238:$C$451,$C291,'TL16'!$J$238:$J$451),0),
IF('TL17'!$B$3=N$3,SUMIF('TL17'!$C$10:$C$224,$C291,'TL17'!$J$10:$J$224),0),
IF('TL17'!$B$229=N$3,SUMIF('TL17'!$C$238:$C$451,$C291,'TL17'!$J$238:$J$451),0),
IF('TL18'!$B$3=N$3,SUMIF('TL18'!$C$10:$C$224,$C291,'TL18'!$J$10:$J$224),0),
IF('TL18'!$B$229=N$3,SUMIF('TL18'!$C$238:$C$451,$C291,'TL18'!$J$238:$J$451),0),
IF('TL19'!$B$3=N$3,SUMIF('TL19'!$C$10:$C$224,$C291,'TL19'!$J$10:$J$224),0),
IF('TL19'!$B$229=N$3,SUMIF('TL19'!$C$238:$C$451,$C291,'TL19'!$J$238:$J$451),0)
),0)</f>
        <v/>
      </c>
      <c r="O291" s="9">
        <f>IFERROR(SUM(
IF('TL01'!$B$3=O$3,SUMIF('TL01'!$C$10:$C$224,$C291,'TL01'!$J$10:$J$224),0),
IF('TL01'!$B$229=O$3,SUMIF('TL01'!$C$238:$C$451,$C291,'TL01'!$J$238:$J$451),0),
IF('TL02'!$B$3=O$3,SUMIF('TL02'!$C$10:$C$224,$C291,'TL02'!$J$10:$J$224),0),
IF('TL02'!$B$229=O$3,SUMIF('TL02'!$C$238:$C$451,$C291,'TL02'!$J$238:$J$451),0),
IF('TL03'!$B$3=O$3,SUMIF('TL03'!$C$10:$C$224,$C291,'TL03'!$J$10:$J$224),0),
IF('TL03'!$B$229=O$3,SUMIF('TL03'!$C$238:$C$451,$C291,'TL03'!$J$238:$J$451),0),
IF('TL04'!$B$3=O$3,SUMIF('TL04'!$C$10:$C$224,$C291,'TL04'!$J$10:$J$224),0),
IF('TL04'!$B$229=O$3,SUMIF('TL04'!$C$238:$C$451,$C291,'TL04'!$J$238:$J$451),0),
IF('TL05'!$B$3=O$3,SUMIF('TL05'!$C$10:$C$224,$C291,'TL05'!$J$10:$J$224),0),
IF('TL05'!$B$229=O$3,SUMIF('TL05'!$C$238:$C$451,$C291,'TL05'!$J$238:$J$451),0),
IF('TL06'!$B$3=O$3,SUMIF('TL06'!$C$10:$C$224,$C291,'TL06'!$J$10:$J$224),0),
IF('TL06'!$B$229=O$3,SUMIF('TL06'!$C$238:$C$451,$C291,'TL06'!$J$238:$J$451),0),
IF('TL07'!$B$3=O$3,SUMIF('TL07'!$C$10:$C$224,$C291,'TL07'!$J$10:$J$224),0),
IF('TL07'!$B$229=O$3,SUMIF('TL07'!$C$238:$C$451,$C291,'TL07'!$J$238:$J$451),0),
IF('TL08'!$B$3=O$3,SUMIF('TL08'!$C$10:$C$224,$C291,'TL08'!$J$10:$J$224),0),
IF('TL08'!$B$229=O$3,SUMIF('TL08'!$C$238:$C$451,$C291,'TL08'!$J$238:$J$451),0),
IF('TL09'!$B$3=O$3,SUMIF('TL09'!$C$10:$C$224,$C291,'TL09'!$J$10:$J$224),0),
IF('TL09'!$B$229=O$3,SUMIF('TL09'!$C$238:$C$451,$C291,'TL09'!$J$238:$J$451),0),
IF('TL10'!$B$3=O$3,SUMIF('TL10'!$C$10:$C$224,$C291,'TL10'!$J$10:$J$224),0),
IF('TL10'!$B$229=O$3,SUMIF('TL10'!$C$238:$C$451,$C291,'TL10'!$J$238:$J$451),0),
IF('TL11'!$B$3=O$3,SUMIF('TL11'!$C$10:$C$224,$C291,'TL11'!$J$10:$J$224),0),
IF('TL11'!$B$229=O$3,SUMIF('TL11'!$C$238:$C$451,$C291,'TL11'!$J$238:$J$451),0),
IF('TL12'!$B$3=O$3,SUMIF('TL12'!$C$10:$C$224,$C291,'TL12'!$J$10:$J$224),0),
IF('TL12'!$B$229=O$3,SUMIF('TL12'!$C$238:$C$451,$C291,'TL12'!$J$238:$J$451),0),
IF('TL13'!$B$3=O$3,SUMIF('TL13'!$C$10:$C$224,$C291,'TL13'!$J$10:$J$224),0),
IF('TL13'!$B$229=O$3,SUMIF('TL13'!$C$238:$C$451,$C291,'TL13'!$J$238:$J$451),0),
IF('TL14'!$B$3=O$3,SUMIF('TL14'!$C$10:$C$224,$C291,'TL14'!$J$10:$J$224),0),
IF('TL14'!$B$229=O$3,SUMIF('TL14'!$C$238:$C$451,$C291,'TL14'!$J$238:$J$451),0),
IF('TL15'!$B$3=O$3,SUMIF('TL15'!$C$10:$C$224,$C291,'TL15'!$J$10:$J$224),0),
IF('TL15'!$B$229=O$3,SUMIF('TL15'!$C$238:$C$451,$C291,'TL15'!$J$238:$J$451),0),
IF('TL16'!$B$3=O$3,SUMIF('TL16'!$C$10:$C$224,$C291,'TL16'!$J$10:$J$224),0),
IF('TL16'!$B$229=O$3,SUMIF('TL16'!$C$238:$C$451,$C291,'TL16'!$J$238:$J$451),0),
IF('TL17'!$B$3=O$3,SUMIF('TL17'!$C$10:$C$224,$C291,'TL17'!$J$10:$J$224),0),
IF('TL17'!$B$229=O$3,SUMIF('TL17'!$C$238:$C$451,$C291,'TL17'!$J$238:$J$451),0),
IF('TL18'!$B$3=O$3,SUMIF('TL18'!$C$10:$C$224,$C291,'TL18'!$J$10:$J$224),0),
IF('TL18'!$B$229=O$3,SUMIF('TL18'!$C$238:$C$451,$C291,'TL18'!$J$238:$J$451),0),
IF('TL19'!$B$3=O$3,SUMIF('TL19'!$C$10:$C$224,$C291,'TL19'!$J$10:$J$224),0),
IF('TL19'!$B$229=O$3,SUMIF('TL19'!$C$238:$C$451,$C291,'TL19'!$J$238:$J$451),0)
),0)</f>
        <v/>
      </c>
      <c r="P291" s="9">
        <f>IFERROR(SUM(
IF('TL01'!$B$3=P$3,SUMIF('TL01'!$C$10:$C$224,$C291,'TL01'!$J$10:$J$224),0),
IF('TL01'!$B$229=P$3,SUMIF('TL01'!$C$238:$C$451,$C291,'TL01'!$J$238:$J$451),0),
IF('TL02'!$B$3=P$3,SUMIF('TL02'!$C$10:$C$224,$C291,'TL02'!$J$10:$J$224),0),
IF('TL02'!$B$229=P$3,SUMIF('TL02'!$C$238:$C$451,$C291,'TL02'!$J$238:$J$451),0),
IF('TL03'!$B$3=P$3,SUMIF('TL03'!$C$10:$C$224,$C291,'TL03'!$J$10:$J$224),0),
IF('TL03'!$B$229=P$3,SUMIF('TL03'!$C$238:$C$451,$C291,'TL03'!$J$238:$J$451),0),
IF('TL04'!$B$3=P$3,SUMIF('TL04'!$C$10:$C$224,$C291,'TL04'!$J$10:$J$224),0),
IF('TL04'!$B$229=P$3,SUMIF('TL04'!$C$238:$C$451,$C291,'TL04'!$J$238:$J$451),0),
IF('TL05'!$B$3=P$3,SUMIF('TL05'!$C$10:$C$224,$C291,'TL05'!$J$10:$J$224),0),
IF('TL05'!$B$229=P$3,SUMIF('TL05'!$C$238:$C$451,$C291,'TL05'!$J$238:$J$451),0),
IF('TL06'!$B$3=P$3,SUMIF('TL06'!$C$10:$C$224,$C291,'TL06'!$J$10:$J$224),0),
IF('TL06'!$B$229=P$3,SUMIF('TL06'!$C$238:$C$451,$C291,'TL06'!$J$238:$J$451),0),
IF('TL07'!$B$3=P$3,SUMIF('TL07'!$C$10:$C$224,$C291,'TL07'!$J$10:$J$224),0),
IF('TL07'!$B$229=P$3,SUMIF('TL07'!$C$238:$C$451,$C291,'TL07'!$J$238:$J$451),0),
IF('TL08'!$B$3=P$3,SUMIF('TL08'!$C$10:$C$224,$C291,'TL08'!$J$10:$J$224),0),
IF('TL08'!$B$229=P$3,SUMIF('TL08'!$C$238:$C$451,$C291,'TL08'!$J$238:$J$451),0),
IF('TL09'!$B$3=P$3,SUMIF('TL09'!$C$10:$C$224,$C291,'TL09'!$J$10:$J$224),0),
IF('TL09'!$B$229=P$3,SUMIF('TL09'!$C$238:$C$451,$C291,'TL09'!$J$238:$J$451),0),
IF('TL10'!$B$3=P$3,SUMIF('TL10'!$C$10:$C$224,$C291,'TL10'!$J$10:$J$224),0),
IF('TL10'!$B$229=P$3,SUMIF('TL10'!$C$238:$C$451,$C291,'TL10'!$J$238:$J$451),0),
IF('TL11'!$B$3=P$3,SUMIF('TL11'!$C$10:$C$224,$C291,'TL11'!$J$10:$J$224),0),
IF('TL11'!$B$229=P$3,SUMIF('TL11'!$C$238:$C$451,$C291,'TL11'!$J$238:$J$451),0),
IF('TL12'!$B$3=P$3,SUMIF('TL12'!$C$10:$C$224,$C291,'TL12'!$J$10:$J$224),0),
IF('TL12'!$B$229=P$3,SUMIF('TL12'!$C$238:$C$451,$C291,'TL12'!$J$238:$J$451),0),
IF('TL13'!$B$3=P$3,SUMIF('TL13'!$C$10:$C$224,$C291,'TL13'!$J$10:$J$224),0),
IF('TL13'!$B$229=P$3,SUMIF('TL13'!$C$238:$C$451,$C291,'TL13'!$J$238:$J$451),0),
IF('TL14'!$B$3=P$3,SUMIF('TL14'!$C$10:$C$224,$C291,'TL14'!$J$10:$J$224),0),
IF('TL14'!$B$229=P$3,SUMIF('TL14'!$C$238:$C$451,$C291,'TL14'!$J$238:$J$451),0),
IF('TL15'!$B$3=P$3,SUMIF('TL15'!$C$10:$C$224,$C291,'TL15'!$J$10:$J$224),0),
IF('TL15'!$B$229=P$3,SUMIF('TL15'!$C$238:$C$451,$C291,'TL15'!$J$238:$J$451),0),
IF('TL16'!$B$3=P$3,SUMIF('TL16'!$C$10:$C$224,$C291,'TL16'!$J$10:$J$224),0),
IF('TL16'!$B$229=P$3,SUMIF('TL16'!$C$238:$C$451,$C291,'TL16'!$J$238:$J$451),0),
IF('TL17'!$B$3=P$3,SUMIF('TL17'!$C$10:$C$224,$C291,'TL17'!$J$10:$J$224),0),
IF('TL17'!$B$229=P$3,SUMIF('TL17'!$C$238:$C$451,$C291,'TL17'!$J$238:$J$451),0),
IF('TL18'!$B$3=P$3,SUMIF('TL18'!$C$10:$C$224,$C291,'TL18'!$J$10:$J$224),0),
IF('TL18'!$B$229=P$3,SUMIF('TL18'!$C$238:$C$451,$C291,'TL18'!$J$238:$J$451),0),
IF('TL19'!$B$3=P$3,SUMIF('TL19'!$C$10:$C$224,$C291,'TL19'!$J$10:$J$224),0),
IF('TL19'!$B$229=P$3,SUMIF('TL19'!$C$238:$C$451,$C291,'TL19'!$J$238:$J$451),0)
),0)</f>
        <v/>
      </c>
      <c r="Q291" s="9">
        <f>IFERROR(SUM(
IF('TL01'!$B$3=Q$3,SUMIF('TL01'!$C$10:$C$224,$C291,'TL01'!$J$10:$J$224),0),
IF('TL01'!$B$229=Q$3,SUMIF('TL01'!$C$238:$C$451,$C291,'TL01'!$J$238:$J$451),0),
IF('TL02'!$B$3=Q$3,SUMIF('TL02'!$C$10:$C$224,$C291,'TL02'!$J$10:$J$224),0),
IF('TL02'!$B$229=Q$3,SUMIF('TL02'!$C$238:$C$451,$C291,'TL02'!$J$238:$J$451),0),
IF('TL03'!$B$3=Q$3,SUMIF('TL03'!$C$10:$C$224,$C291,'TL03'!$J$10:$J$224),0),
IF('TL03'!$B$229=Q$3,SUMIF('TL03'!$C$238:$C$451,$C291,'TL03'!$J$238:$J$451),0),
IF('TL04'!$B$3=Q$3,SUMIF('TL04'!$C$10:$C$224,$C291,'TL04'!$J$10:$J$224),0),
IF('TL04'!$B$229=Q$3,SUMIF('TL04'!$C$238:$C$451,$C291,'TL04'!$J$238:$J$451),0),
IF('TL05'!$B$3=Q$3,SUMIF('TL05'!$C$10:$C$224,$C291,'TL05'!$J$10:$J$224),0),
IF('TL05'!$B$229=Q$3,SUMIF('TL05'!$C$238:$C$451,$C291,'TL05'!$J$238:$J$451),0),
IF('TL06'!$B$3=Q$3,SUMIF('TL06'!$C$10:$C$224,$C291,'TL06'!$J$10:$J$224),0),
IF('TL06'!$B$229=Q$3,SUMIF('TL06'!$C$238:$C$451,$C291,'TL06'!$J$238:$J$451),0),
IF('TL07'!$B$3=Q$3,SUMIF('TL07'!$C$10:$C$224,$C291,'TL07'!$J$10:$J$224),0),
IF('TL07'!$B$229=Q$3,SUMIF('TL07'!$C$238:$C$451,$C291,'TL07'!$J$238:$J$451),0),
IF('TL08'!$B$3=Q$3,SUMIF('TL08'!$C$10:$C$224,$C291,'TL08'!$J$10:$J$224),0),
IF('TL08'!$B$229=Q$3,SUMIF('TL08'!$C$238:$C$451,$C291,'TL08'!$J$238:$J$451),0),
IF('TL09'!$B$3=Q$3,SUMIF('TL09'!$C$10:$C$224,$C291,'TL09'!$J$10:$J$224),0),
IF('TL09'!$B$229=Q$3,SUMIF('TL09'!$C$238:$C$451,$C291,'TL09'!$J$238:$J$451),0),
IF('TL10'!$B$3=Q$3,SUMIF('TL10'!$C$10:$C$224,$C291,'TL10'!$J$10:$J$224),0),
IF('TL10'!$B$229=Q$3,SUMIF('TL10'!$C$238:$C$451,$C291,'TL10'!$J$238:$J$451),0),
IF('TL11'!$B$3=Q$3,SUMIF('TL11'!$C$10:$C$224,$C291,'TL11'!$J$10:$J$224),0),
IF('TL11'!$B$229=Q$3,SUMIF('TL11'!$C$238:$C$451,$C291,'TL11'!$J$238:$J$451),0),
IF('TL12'!$B$3=Q$3,SUMIF('TL12'!$C$10:$C$224,$C291,'TL12'!$J$10:$J$224),0),
IF('TL12'!$B$229=Q$3,SUMIF('TL12'!$C$238:$C$451,$C291,'TL12'!$J$238:$J$451),0),
IF('TL13'!$B$3=Q$3,SUMIF('TL13'!$C$10:$C$224,$C291,'TL13'!$J$10:$J$224),0),
IF('TL13'!$B$229=Q$3,SUMIF('TL13'!$C$238:$C$451,$C291,'TL13'!$J$238:$J$451),0),
IF('TL14'!$B$3=Q$3,SUMIF('TL14'!$C$10:$C$224,$C291,'TL14'!$J$10:$J$224),0),
IF('TL14'!$B$229=Q$3,SUMIF('TL14'!$C$238:$C$451,$C291,'TL14'!$J$238:$J$451),0),
IF('TL15'!$B$3=Q$3,SUMIF('TL15'!$C$10:$C$224,$C291,'TL15'!$J$10:$J$224),0),
IF('TL15'!$B$229=Q$3,SUMIF('TL15'!$C$238:$C$451,$C291,'TL15'!$J$238:$J$451),0),
IF('TL16'!$B$3=Q$3,SUMIF('TL16'!$C$10:$C$224,$C291,'TL16'!$J$10:$J$224),0),
IF('TL16'!$B$229=Q$3,SUMIF('TL16'!$C$238:$C$451,$C291,'TL16'!$J$238:$J$451),0),
IF('TL17'!$B$3=Q$3,SUMIF('TL17'!$C$10:$C$224,$C291,'TL17'!$J$10:$J$224),0),
IF('TL17'!$B$229=Q$3,SUMIF('TL17'!$C$238:$C$451,$C291,'TL17'!$J$238:$J$451),0),
IF('TL18'!$B$3=Q$3,SUMIF('TL18'!$C$10:$C$224,$C291,'TL18'!$J$10:$J$224),0),
IF('TL18'!$B$229=Q$3,SUMIF('TL18'!$C$238:$C$451,$C291,'TL18'!$J$238:$J$451),0),
IF('TL19'!$B$3=Q$3,SUMIF('TL19'!$C$10:$C$224,$C291,'TL19'!$J$10:$J$224),0),
IF('TL19'!$B$229=Q$3,SUMIF('TL19'!$C$238:$C$451,$C291,'TL19'!$J$238:$J$451),0)
),0)</f>
        <v/>
      </c>
      <c r="R291" s="9">
        <f>IFERROR(
SUM(
SUMIF('TL01'!C:C,C291,'TL01'!J:J),
SUMIF('TL02'!C:C,C291,'TL02'!J:J),
SUMIF('TL03'!C:C,C291,'TL03'!J:J),
SUMIF('TL04'!C:C,C291,'TL04'!J:J),
SUMIF('TL05'!C:C,C291,'TL05'!J:J),
SUMIF('TL06'!C:C,C291,'TL06'!J:J),
SUMIF('TL07'!C:C,C291,'TL07'!J:J),
SUMIF('TL08'!C:C,C291,'TL08'!J:J),
SUMIF('TL09'!C:C,C291,'TL09'!J:J),
SUMIF('TL10'!C:C,C291,'TL10'!J:J),
SUMIF('TL11'!C:C,C291,'TL11'!J:J),
SUMIF('TL12'!C:C,C291,'TL12'!J:J),
SUMIF('TL13'!C:C,C291,'TL13'!J:J),
SUMIF('TL14'!C:C,C291,'TL14'!J:J),
SUMIF('TL15'!C:C,C291,'TL15'!J:J),
SUMIF('TL16'!C:C,C291,'TL16'!J:J),
SUMIF('TL17'!C:C,C291,'TL17'!J:J),
SUMIF('TL18'!C:C,C291,'TL18'!J:J),SUMIF('TL19'!C:C,C291,'TL19'!J:J))
,0)</f>
        <v/>
      </c>
      <c r="S291" s="17">
        <f>IFERROR(__xludf.DUMMYFUNCTION("IFERROR(VLOOKUP(C291,
IMPORTRANGE(""1wULbzX32WdYsx-lj2U3uUNBBe2INVIRDtcK0d-Dvl90"",
""26-27!C:G""),
5,
FALSE),
"""")"),217.987)</f>
        <v/>
      </c>
      <c r="T291" s="9" t="n"/>
      <c r="U291" s="92">
        <f>MAX(0,R291-T291)</f>
        <v/>
      </c>
      <c r="V291" s="93">
        <f>U291*S291</f>
        <v/>
      </c>
    </row>
    <row r="292" hidden="1" ht="15.75" customHeight="1" s="297">
      <c r="A292" s="119" t="inlineStr">
        <is>
          <t>SYNGENTA</t>
        </is>
      </c>
      <c r="B292" s="120" t="inlineStr">
        <is>
          <t>TS</t>
        </is>
      </c>
      <c r="C292" s="119" t="inlineStr">
        <is>
          <t>MAXIM XL</t>
        </is>
      </c>
      <c r="D292" s="119" t="inlineStr">
        <is>
          <t>FLUDIOXONIL + METALAXIL-M</t>
        </is>
      </c>
      <c r="E292" s="119" t="inlineStr">
        <is>
          <t>25 + 10</t>
        </is>
      </c>
      <c r="F292" s="4" t="n"/>
      <c r="G292" s="90">
        <f>HYPERLINK("https://www.google.com/search?q=" &amp; C292 &amp; "+bula+agrofit+pdf", "📄 Ver bula")</f>
        <v/>
      </c>
      <c r="H292" s="9">
        <f>IFERROR(__xludf.DUMMYFUNCTION("IFERROR(VLOOKUP(C292,
IMPORTRANGE(""1wULbzX32WdYsx-lj2U3uUNBBe2INVIRDtcK0d-Dvl90"",
""26-27!C:K""),
8,
FALSE),
"""")"),0.05)</f>
        <v/>
      </c>
      <c r="I292" s="123" t="n"/>
      <c r="J292" s="9">
        <f>IFERROR(SUM(
IF('TL01'!$B$3=J$3,SUMIF('TL01'!$C$10:$C$224,$C292,'TL01'!$J$10:$J$224),0),
IF('TL01'!$B$229=J$3,SUMIF('TL01'!$C$238:$C$451,$C292,'TL01'!$J$238:$J$451),0),
IF('TL02'!$B$3=J$3,SUMIF('TL02'!$C$10:$C$224,$C292,'TL02'!$J$10:$J$224),0),
IF('TL02'!$B$229=J$3,SUMIF('TL02'!$C$238:$C$451,$C292,'TL02'!$J$238:$J$451),0),
IF('TL03'!$B$3=J$3,SUMIF('TL03'!$C$10:$C$224,$C292,'TL03'!$J$10:$J$224),0),
IF('TL03'!$B$229=J$3,SUMIF('TL03'!$C$238:$C$451,$C292,'TL03'!$J$238:$J$451),0),
IF('TL04'!$B$3=J$3,SUMIF('TL04'!$C$10:$C$224,$C292,'TL04'!$J$10:$J$224),0),
IF('TL04'!$B$229=J$3,SUMIF('TL04'!$C$238:$C$451,$C292,'TL04'!$J$238:$J$451),0),
IF('TL05'!$B$3=J$3,SUMIF('TL05'!$C$10:$C$224,$C292,'TL05'!$J$10:$J$224),0),
IF('TL05'!$B$229=J$3,SUMIF('TL05'!$C$238:$C$451,$C292,'TL05'!$J$238:$J$451),0),
IF('TL06'!$B$3=J$3,SUMIF('TL06'!$C$10:$C$224,$C292,'TL06'!$J$10:$J$224),0),
IF('TL06'!$B$229=J$3,SUMIF('TL06'!$C$238:$C$451,$C292,'TL06'!$J$238:$J$451),0),
IF('TL07'!$B$3=J$3,SUMIF('TL07'!$C$10:$C$224,$C292,'TL07'!$J$10:$J$224),0),
IF('TL07'!$B$229=J$3,SUMIF('TL07'!$C$238:$C$451,$C292,'TL07'!$J$238:$J$451),0),
IF('TL08'!$B$3=J$3,SUMIF('TL08'!$C$10:$C$224,$C292,'TL08'!$J$10:$J$224),0),
IF('TL08'!$B$229=J$3,SUMIF('TL08'!$C$238:$C$451,$C292,'TL08'!$J$238:$J$451),0),
IF('TL09'!$B$3=J$3,SUMIF('TL09'!$C$10:$C$224,$C292,'TL09'!$J$10:$J$224),0),
IF('TL09'!$B$229=J$3,SUMIF('TL09'!$C$238:$C$451,$C292,'TL09'!$J$238:$J$451),0),
IF('TL10'!$B$3=J$3,SUMIF('TL10'!$C$10:$C$224,$C292,'TL10'!$J$10:$J$224),0),
IF('TL10'!$B$229=J$3,SUMIF('TL10'!$C$238:$C$451,$C292,'TL10'!$J$238:$J$451),0),
IF('TL11'!$B$3=J$3,SUMIF('TL11'!$C$10:$C$224,$C292,'TL11'!$J$10:$J$224),0),
IF('TL11'!$B$229=J$3,SUMIF('TL11'!$C$238:$C$451,$C292,'TL11'!$J$238:$J$451),0),
IF('TL12'!$B$3=J$3,SUMIF('TL12'!$C$10:$C$224,$C292,'TL12'!$J$10:$J$224),0),
IF('TL12'!$B$229=J$3,SUMIF('TL12'!$C$238:$C$451,$C292,'TL12'!$J$238:$J$451),0),
IF('TL13'!$B$3=J$3,SUMIF('TL13'!$C$10:$C$224,$C292,'TL13'!$J$10:$J$224),0),
IF('TL13'!$B$229=J$3,SUMIF('TL13'!$C$238:$C$451,$C292,'TL13'!$J$238:$J$451),0),
IF('TL14'!$B$3=J$3,SUMIF('TL14'!$C$10:$C$224,$C292,'TL14'!$J$10:$J$224),0),
IF('TL14'!$B$229=J$3,SUMIF('TL14'!$C$238:$C$451,$C292,'TL14'!$J$238:$J$451),0),
IF('TL15'!$B$3=J$3,SUMIF('TL15'!$C$10:$C$224,$C292,'TL15'!$J$10:$J$224),0),
IF('TL15'!$B$229=J$3,SUMIF('TL15'!$C$238:$C$451,$C292,'TL15'!$J$238:$J$451),0),
IF('TL16'!$B$3=J$3,SUMIF('TL16'!$C$10:$C$224,$C292,'TL16'!$J$10:$J$224),0),
IF('TL16'!$B$229=J$3,SUMIF('TL16'!$C$238:$C$451,$C292,'TL16'!$J$238:$J$451),0),
IF('TL17'!$B$3=J$3,SUMIF('TL17'!$C$10:$C$224,$C292,'TL17'!$J$10:$J$224),0),
IF('TL17'!$B$229=J$3,SUMIF('TL17'!$C$238:$C$451,$C292,'TL17'!$J$238:$J$451),0),
IF('TL18'!$B$3=J$3,SUMIF('TL18'!$C$10:$C$224,$C292,'TL18'!$J$10:$J$224),0),
IF('TL18'!$B$229=J$3,SUMIF('TL18'!$C$238:$C$451,$C292,'TL18'!$J$238:$J$451),0),
IF('TL19'!$B$3=J$3,SUMIF('TL19'!$C$10:$C$224,$C292,'TL19'!$J$10:$J$224),0),
IF('TL19'!$B$229=J$3,SUMIF('TL19'!$C$238:$C$451,$C292,'TL19'!$J$238:$J$451),0)
),0)</f>
        <v/>
      </c>
      <c r="K292" s="9">
        <f>IFERROR(SUM(
IF('TL01'!$B$3=K$3,SUMIF('TL01'!$C$10:$C$224,$C292,'TL01'!$J$10:$J$224),0),
IF('TL01'!$B$229=K$3,SUMIF('TL01'!$C$238:$C$451,$C292,'TL01'!$J$238:$J$451),0),
IF('TL02'!$B$3=K$3,SUMIF('TL02'!$C$10:$C$224,$C292,'TL02'!$J$10:$J$224),0),
IF('TL02'!$B$229=K$3,SUMIF('TL02'!$C$238:$C$451,$C292,'TL02'!$J$238:$J$451),0),
IF('TL03'!$B$3=K$3,SUMIF('TL03'!$C$10:$C$224,$C292,'TL03'!$J$10:$J$224),0),
IF('TL03'!$B$229=K$3,SUMIF('TL03'!$C$238:$C$451,$C292,'TL03'!$J$238:$J$451),0),
IF('TL04'!$B$3=K$3,SUMIF('TL04'!$C$10:$C$224,$C292,'TL04'!$J$10:$J$224),0),
IF('TL04'!$B$229=K$3,SUMIF('TL04'!$C$238:$C$451,$C292,'TL04'!$J$238:$J$451),0),
IF('TL05'!$B$3=K$3,SUMIF('TL05'!$C$10:$C$224,$C292,'TL05'!$J$10:$J$224),0),
IF('TL05'!$B$229=K$3,SUMIF('TL05'!$C$238:$C$451,$C292,'TL05'!$J$238:$J$451),0),
IF('TL06'!$B$3=K$3,SUMIF('TL06'!$C$10:$C$224,$C292,'TL06'!$J$10:$J$224),0),
IF('TL06'!$B$229=K$3,SUMIF('TL06'!$C$238:$C$451,$C292,'TL06'!$J$238:$J$451),0),
IF('TL07'!$B$3=K$3,SUMIF('TL07'!$C$10:$C$224,$C292,'TL07'!$J$10:$J$224),0),
IF('TL07'!$B$229=K$3,SUMIF('TL07'!$C$238:$C$451,$C292,'TL07'!$J$238:$J$451),0),
IF('TL08'!$B$3=K$3,SUMIF('TL08'!$C$10:$C$224,$C292,'TL08'!$J$10:$J$224),0),
IF('TL08'!$B$229=K$3,SUMIF('TL08'!$C$238:$C$451,$C292,'TL08'!$J$238:$J$451),0),
IF('TL09'!$B$3=K$3,SUMIF('TL09'!$C$10:$C$224,$C292,'TL09'!$J$10:$J$224),0),
IF('TL09'!$B$229=K$3,SUMIF('TL09'!$C$238:$C$451,$C292,'TL09'!$J$238:$J$451),0),
IF('TL10'!$B$3=K$3,SUMIF('TL10'!$C$10:$C$224,$C292,'TL10'!$J$10:$J$224),0),
IF('TL10'!$B$229=K$3,SUMIF('TL10'!$C$238:$C$451,$C292,'TL10'!$J$238:$J$451),0),
IF('TL11'!$B$3=K$3,SUMIF('TL11'!$C$10:$C$224,$C292,'TL11'!$J$10:$J$224),0),
IF('TL11'!$B$229=K$3,SUMIF('TL11'!$C$238:$C$451,$C292,'TL11'!$J$238:$J$451),0),
IF('TL12'!$B$3=K$3,SUMIF('TL12'!$C$10:$C$224,$C292,'TL12'!$J$10:$J$224),0),
IF('TL12'!$B$229=K$3,SUMIF('TL12'!$C$238:$C$451,$C292,'TL12'!$J$238:$J$451),0),
IF('TL13'!$B$3=K$3,SUMIF('TL13'!$C$10:$C$224,$C292,'TL13'!$J$10:$J$224),0),
IF('TL13'!$B$229=K$3,SUMIF('TL13'!$C$238:$C$451,$C292,'TL13'!$J$238:$J$451),0),
IF('TL14'!$B$3=K$3,SUMIF('TL14'!$C$10:$C$224,$C292,'TL14'!$J$10:$J$224),0),
IF('TL14'!$B$229=K$3,SUMIF('TL14'!$C$238:$C$451,$C292,'TL14'!$J$238:$J$451),0),
IF('TL15'!$B$3=K$3,SUMIF('TL15'!$C$10:$C$224,$C292,'TL15'!$J$10:$J$224),0),
IF('TL15'!$B$229=K$3,SUMIF('TL15'!$C$238:$C$451,$C292,'TL15'!$J$238:$J$451),0),
IF('TL16'!$B$3=K$3,SUMIF('TL16'!$C$10:$C$224,$C292,'TL16'!$J$10:$J$224),0),
IF('TL16'!$B$229=K$3,SUMIF('TL16'!$C$238:$C$451,$C292,'TL16'!$J$238:$J$451),0),
IF('TL17'!$B$3=K$3,SUMIF('TL17'!$C$10:$C$224,$C292,'TL17'!$J$10:$J$224),0),
IF('TL17'!$B$229=K$3,SUMIF('TL17'!$C$238:$C$451,$C292,'TL17'!$J$238:$J$451),0),
IF('TL18'!$B$3=K$3,SUMIF('TL18'!$C$10:$C$224,$C292,'TL18'!$J$10:$J$224),0),
IF('TL18'!$B$229=K$3,SUMIF('TL18'!$C$238:$C$451,$C292,'TL18'!$J$238:$J$451),0),
IF('TL19'!$B$3=K$3,SUMIF('TL19'!$C$10:$C$224,$C292,'TL19'!$J$10:$J$224),0),
IF('TL19'!$B$229=K$3,SUMIF('TL19'!$C$238:$C$451,$C292,'TL19'!$J$238:$J$451),0)
),0)</f>
        <v/>
      </c>
      <c r="L292" s="9">
        <f>IFERROR(SUM(
IF('TL01'!$B$3=L$3,SUMIF('TL01'!$C$10:$C$224,$C292,'TL01'!$J$10:$J$224),0),
IF('TL01'!$B$229=L$3,SUMIF('TL01'!$C$238:$C$451,$C292,'TL01'!$J$238:$J$451),0),
IF('TL02'!$B$3=L$3,SUMIF('TL02'!$C$10:$C$224,$C292,'TL02'!$J$10:$J$224),0),
IF('TL02'!$B$229=L$3,SUMIF('TL02'!$C$238:$C$451,$C292,'TL02'!$J$238:$J$451),0),
IF('TL03'!$B$3=L$3,SUMIF('TL03'!$C$10:$C$224,$C292,'TL03'!$J$10:$J$224),0),
IF('TL03'!$B$229=L$3,SUMIF('TL03'!$C$238:$C$451,$C292,'TL03'!$J$238:$J$451),0),
IF('TL04'!$B$3=L$3,SUMIF('TL04'!$C$10:$C$224,$C292,'TL04'!$J$10:$J$224),0),
IF('TL04'!$B$229=L$3,SUMIF('TL04'!$C$238:$C$451,$C292,'TL04'!$J$238:$J$451),0),
IF('TL05'!$B$3=L$3,SUMIF('TL05'!$C$10:$C$224,$C292,'TL05'!$J$10:$J$224),0),
IF('TL05'!$B$229=L$3,SUMIF('TL05'!$C$238:$C$451,$C292,'TL05'!$J$238:$J$451),0),
IF('TL06'!$B$3=L$3,SUMIF('TL06'!$C$10:$C$224,$C292,'TL06'!$J$10:$J$224),0),
IF('TL06'!$B$229=L$3,SUMIF('TL06'!$C$238:$C$451,$C292,'TL06'!$J$238:$J$451),0),
IF('TL07'!$B$3=L$3,SUMIF('TL07'!$C$10:$C$224,$C292,'TL07'!$J$10:$J$224),0),
IF('TL07'!$B$229=L$3,SUMIF('TL07'!$C$238:$C$451,$C292,'TL07'!$J$238:$J$451),0),
IF('TL08'!$B$3=L$3,SUMIF('TL08'!$C$10:$C$224,$C292,'TL08'!$J$10:$J$224),0),
IF('TL08'!$B$229=L$3,SUMIF('TL08'!$C$238:$C$451,$C292,'TL08'!$J$238:$J$451),0),
IF('TL09'!$B$3=L$3,SUMIF('TL09'!$C$10:$C$224,$C292,'TL09'!$J$10:$J$224),0),
IF('TL09'!$B$229=L$3,SUMIF('TL09'!$C$238:$C$451,$C292,'TL09'!$J$238:$J$451),0),
IF('TL10'!$B$3=L$3,SUMIF('TL10'!$C$10:$C$224,$C292,'TL10'!$J$10:$J$224),0),
IF('TL10'!$B$229=L$3,SUMIF('TL10'!$C$238:$C$451,$C292,'TL10'!$J$238:$J$451),0),
IF('TL11'!$B$3=L$3,SUMIF('TL11'!$C$10:$C$224,$C292,'TL11'!$J$10:$J$224),0),
IF('TL11'!$B$229=L$3,SUMIF('TL11'!$C$238:$C$451,$C292,'TL11'!$J$238:$J$451),0),
IF('TL12'!$B$3=L$3,SUMIF('TL12'!$C$10:$C$224,$C292,'TL12'!$J$10:$J$224),0),
IF('TL12'!$B$229=L$3,SUMIF('TL12'!$C$238:$C$451,$C292,'TL12'!$J$238:$J$451),0),
IF('TL13'!$B$3=L$3,SUMIF('TL13'!$C$10:$C$224,$C292,'TL13'!$J$10:$J$224),0),
IF('TL13'!$B$229=L$3,SUMIF('TL13'!$C$238:$C$451,$C292,'TL13'!$J$238:$J$451),0),
IF('TL14'!$B$3=L$3,SUMIF('TL14'!$C$10:$C$224,$C292,'TL14'!$J$10:$J$224),0),
IF('TL14'!$B$229=L$3,SUMIF('TL14'!$C$238:$C$451,$C292,'TL14'!$J$238:$J$451),0),
IF('TL15'!$B$3=L$3,SUMIF('TL15'!$C$10:$C$224,$C292,'TL15'!$J$10:$J$224),0),
IF('TL15'!$B$229=L$3,SUMIF('TL15'!$C$238:$C$451,$C292,'TL15'!$J$238:$J$451),0),
IF('TL16'!$B$3=L$3,SUMIF('TL16'!$C$10:$C$224,$C292,'TL16'!$J$10:$J$224),0),
IF('TL16'!$B$229=L$3,SUMIF('TL16'!$C$238:$C$451,$C292,'TL16'!$J$238:$J$451),0),
IF('TL17'!$B$3=L$3,SUMIF('TL17'!$C$10:$C$224,$C292,'TL17'!$J$10:$J$224),0),
IF('TL17'!$B$229=L$3,SUMIF('TL17'!$C$238:$C$451,$C292,'TL17'!$J$238:$J$451),0),
IF('TL18'!$B$3=L$3,SUMIF('TL18'!$C$10:$C$224,$C292,'TL18'!$J$10:$J$224),0),
IF('TL18'!$B$229=L$3,SUMIF('TL18'!$C$238:$C$451,$C292,'TL18'!$J$238:$J$451),0),
IF('TL19'!$B$3=L$3,SUMIF('TL19'!$C$10:$C$224,$C292,'TL19'!$J$10:$J$224),0),
IF('TL19'!$B$229=L$3,SUMIF('TL19'!$C$238:$C$451,$C292,'TL19'!$J$238:$J$451),0)
),0)</f>
        <v/>
      </c>
      <c r="M292" s="9">
        <f>IFERROR(SUM(
IF('TL01'!$B$3=M$3,SUMIF('TL01'!$C$10:$C$224,$C292,'TL01'!$J$10:$J$224),0),
IF('TL01'!$B$229=M$3,SUMIF('TL01'!$C$238:$C$451,$C292,'TL01'!$J$238:$J$451),0),
IF('TL02'!$B$3=M$3,SUMIF('TL02'!$C$10:$C$224,$C292,'TL02'!$J$10:$J$224),0),
IF('TL02'!$B$229=M$3,SUMIF('TL02'!$C$238:$C$451,$C292,'TL02'!$J$238:$J$451),0),
IF('TL03'!$B$3=M$3,SUMIF('TL03'!$C$10:$C$224,$C292,'TL03'!$J$10:$J$224),0),
IF('TL03'!$B$229=M$3,SUMIF('TL03'!$C$238:$C$451,$C292,'TL03'!$J$238:$J$451),0),
IF('TL04'!$B$3=M$3,SUMIF('TL04'!$C$10:$C$224,$C292,'TL04'!$J$10:$J$224),0),
IF('TL04'!$B$229=M$3,SUMIF('TL04'!$C$238:$C$451,$C292,'TL04'!$J$238:$J$451),0),
IF('TL05'!$B$3=M$3,SUMIF('TL05'!$C$10:$C$224,$C292,'TL05'!$J$10:$J$224),0),
IF('TL05'!$B$229=M$3,SUMIF('TL05'!$C$238:$C$451,$C292,'TL05'!$J$238:$J$451),0),
IF('TL06'!$B$3=M$3,SUMIF('TL06'!$C$10:$C$224,$C292,'TL06'!$J$10:$J$224),0),
IF('TL06'!$B$229=M$3,SUMIF('TL06'!$C$238:$C$451,$C292,'TL06'!$J$238:$J$451),0),
IF('TL07'!$B$3=M$3,SUMIF('TL07'!$C$10:$C$224,$C292,'TL07'!$J$10:$J$224),0),
IF('TL07'!$B$229=M$3,SUMIF('TL07'!$C$238:$C$451,$C292,'TL07'!$J$238:$J$451),0),
IF('TL08'!$B$3=M$3,SUMIF('TL08'!$C$10:$C$224,$C292,'TL08'!$J$10:$J$224),0),
IF('TL08'!$B$229=M$3,SUMIF('TL08'!$C$238:$C$451,$C292,'TL08'!$J$238:$J$451),0),
IF('TL09'!$B$3=M$3,SUMIF('TL09'!$C$10:$C$224,$C292,'TL09'!$J$10:$J$224),0),
IF('TL09'!$B$229=M$3,SUMIF('TL09'!$C$238:$C$451,$C292,'TL09'!$J$238:$J$451),0),
IF('TL10'!$B$3=M$3,SUMIF('TL10'!$C$10:$C$224,$C292,'TL10'!$J$10:$J$224),0),
IF('TL10'!$B$229=M$3,SUMIF('TL10'!$C$238:$C$451,$C292,'TL10'!$J$238:$J$451),0),
IF('TL11'!$B$3=M$3,SUMIF('TL11'!$C$10:$C$224,$C292,'TL11'!$J$10:$J$224),0),
IF('TL11'!$B$229=M$3,SUMIF('TL11'!$C$238:$C$451,$C292,'TL11'!$J$238:$J$451),0),
IF('TL12'!$B$3=M$3,SUMIF('TL12'!$C$10:$C$224,$C292,'TL12'!$J$10:$J$224),0),
IF('TL12'!$B$229=M$3,SUMIF('TL12'!$C$238:$C$451,$C292,'TL12'!$J$238:$J$451),0),
IF('TL13'!$B$3=M$3,SUMIF('TL13'!$C$10:$C$224,$C292,'TL13'!$J$10:$J$224),0),
IF('TL13'!$B$229=M$3,SUMIF('TL13'!$C$238:$C$451,$C292,'TL13'!$J$238:$J$451),0),
IF('TL14'!$B$3=M$3,SUMIF('TL14'!$C$10:$C$224,$C292,'TL14'!$J$10:$J$224),0),
IF('TL14'!$B$229=M$3,SUMIF('TL14'!$C$238:$C$451,$C292,'TL14'!$J$238:$J$451),0),
IF('TL15'!$B$3=M$3,SUMIF('TL15'!$C$10:$C$224,$C292,'TL15'!$J$10:$J$224),0),
IF('TL15'!$B$229=M$3,SUMIF('TL15'!$C$238:$C$451,$C292,'TL15'!$J$238:$J$451),0),
IF('TL16'!$B$3=M$3,SUMIF('TL16'!$C$10:$C$224,$C292,'TL16'!$J$10:$J$224),0),
IF('TL16'!$B$229=M$3,SUMIF('TL16'!$C$238:$C$451,$C292,'TL16'!$J$238:$J$451),0),
IF('TL17'!$B$3=M$3,SUMIF('TL17'!$C$10:$C$224,$C292,'TL17'!$J$10:$J$224),0),
IF('TL17'!$B$229=M$3,SUMIF('TL17'!$C$238:$C$451,$C292,'TL17'!$J$238:$J$451),0),
IF('TL18'!$B$3=M$3,SUMIF('TL18'!$C$10:$C$224,$C292,'TL18'!$J$10:$J$224),0),
IF('TL18'!$B$229=M$3,SUMIF('TL18'!$C$238:$C$451,$C292,'TL18'!$J$238:$J$451),0),
IF('TL19'!$B$3=M$3,SUMIF('TL19'!$C$10:$C$224,$C292,'TL19'!$J$10:$J$224),0),
IF('TL19'!$B$229=M$3,SUMIF('TL19'!$C$238:$C$451,$C292,'TL19'!$J$238:$J$451),0)
),0)</f>
        <v/>
      </c>
      <c r="N292" s="9">
        <f>IFERROR(SUM(
IF('TL01'!$B$3=N$3,SUMIF('TL01'!$C$10:$C$224,$C292,'TL01'!$J$10:$J$224),0),
IF('TL01'!$B$229=N$3,SUMIF('TL01'!$C$238:$C$451,$C292,'TL01'!$J$238:$J$451),0),
IF('TL02'!$B$3=N$3,SUMIF('TL02'!$C$10:$C$224,$C292,'TL02'!$J$10:$J$224),0),
IF('TL02'!$B$229=N$3,SUMIF('TL02'!$C$238:$C$451,$C292,'TL02'!$J$238:$J$451),0),
IF('TL03'!$B$3=N$3,SUMIF('TL03'!$C$10:$C$224,$C292,'TL03'!$J$10:$J$224),0),
IF('TL03'!$B$229=N$3,SUMIF('TL03'!$C$238:$C$451,$C292,'TL03'!$J$238:$J$451),0),
IF('TL04'!$B$3=N$3,SUMIF('TL04'!$C$10:$C$224,$C292,'TL04'!$J$10:$J$224),0),
IF('TL04'!$B$229=N$3,SUMIF('TL04'!$C$238:$C$451,$C292,'TL04'!$J$238:$J$451),0),
IF('TL05'!$B$3=N$3,SUMIF('TL05'!$C$10:$C$224,$C292,'TL05'!$J$10:$J$224),0),
IF('TL05'!$B$229=N$3,SUMIF('TL05'!$C$238:$C$451,$C292,'TL05'!$J$238:$J$451),0),
IF('TL06'!$B$3=N$3,SUMIF('TL06'!$C$10:$C$224,$C292,'TL06'!$J$10:$J$224),0),
IF('TL06'!$B$229=N$3,SUMIF('TL06'!$C$238:$C$451,$C292,'TL06'!$J$238:$J$451),0),
IF('TL07'!$B$3=N$3,SUMIF('TL07'!$C$10:$C$224,$C292,'TL07'!$J$10:$J$224),0),
IF('TL07'!$B$229=N$3,SUMIF('TL07'!$C$238:$C$451,$C292,'TL07'!$J$238:$J$451),0),
IF('TL08'!$B$3=N$3,SUMIF('TL08'!$C$10:$C$224,$C292,'TL08'!$J$10:$J$224),0),
IF('TL08'!$B$229=N$3,SUMIF('TL08'!$C$238:$C$451,$C292,'TL08'!$J$238:$J$451),0),
IF('TL09'!$B$3=N$3,SUMIF('TL09'!$C$10:$C$224,$C292,'TL09'!$J$10:$J$224),0),
IF('TL09'!$B$229=N$3,SUMIF('TL09'!$C$238:$C$451,$C292,'TL09'!$J$238:$J$451),0),
IF('TL10'!$B$3=N$3,SUMIF('TL10'!$C$10:$C$224,$C292,'TL10'!$J$10:$J$224),0),
IF('TL10'!$B$229=N$3,SUMIF('TL10'!$C$238:$C$451,$C292,'TL10'!$J$238:$J$451),0),
IF('TL11'!$B$3=N$3,SUMIF('TL11'!$C$10:$C$224,$C292,'TL11'!$J$10:$J$224),0),
IF('TL11'!$B$229=N$3,SUMIF('TL11'!$C$238:$C$451,$C292,'TL11'!$J$238:$J$451),0),
IF('TL12'!$B$3=N$3,SUMIF('TL12'!$C$10:$C$224,$C292,'TL12'!$J$10:$J$224),0),
IF('TL12'!$B$229=N$3,SUMIF('TL12'!$C$238:$C$451,$C292,'TL12'!$J$238:$J$451),0),
IF('TL13'!$B$3=N$3,SUMIF('TL13'!$C$10:$C$224,$C292,'TL13'!$J$10:$J$224),0),
IF('TL13'!$B$229=N$3,SUMIF('TL13'!$C$238:$C$451,$C292,'TL13'!$J$238:$J$451),0),
IF('TL14'!$B$3=N$3,SUMIF('TL14'!$C$10:$C$224,$C292,'TL14'!$J$10:$J$224),0),
IF('TL14'!$B$229=N$3,SUMIF('TL14'!$C$238:$C$451,$C292,'TL14'!$J$238:$J$451),0),
IF('TL15'!$B$3=N$3,SUMIF('TL15'!$C$10:$C$224,$C292,'TL15'!$J$10:$J$224),0),
IF('TL15'!$B$229=N$3,SUMIF('TL15'!$C$238:$C$451,$C292,'TL15'!$J$238:$J$451),0),
IF('TL16'!$B$3=N$3,SUMIF('TL16'!$C$10:$C$224,$C292,'TL16'!$J$10:$J$224),0),
IF('TL16'!$B$229=N$3,SUMIF('TL16'!$C$238:$C$451,$C292,'TL16'!$J$238:$J$451),0),
IF('TL17'!$B$3=N$3,SUMIF('TL17'!$C$10:$C$224,$C292,'TL17'!$J$10:$J$224),0),
IF('TL17'!$B$229=N$3,SUMIF('TL17'!$C$238:$C$451,$C292,'TL17'!$J$238:$J$451),0),
IF('TL18'!$B$3=N$3,SUMIF('TL18'!$C$10:$C$224,$C292,'TL18'!$J$10:$J$224),0),
IF('TL18'!$B$229=N$3,SUMIF('TL18'!$C$238:$C$451,$C292,'TL18'!$J$238:$J$451),0),
IF('TL19'!$B$3=N$3,SUMIF('TL19'!$C$10:$C$224,$C292,'TL19'!$J$10:$J$224),0),
IF('TL19'!$B$229=N$3,SUMIF('TL19'!$C$238:$C$451,$C292,'TL19'!$J$238:$J$451),0)
),0)</f>
        <v/>
      </c>
      <c r="O292" s="9">
        <f>IFERROR(SUM(
IF('TL01'!$B$3=O$3,SUMIF('TL01'!$C$10:$C$224,$C292,'TL01'!$J$10:$J$224),0),
IF('TL01'!$B$229=O$3,SUMIF('TL01'!$C$238:$C$451,$C292,'TL01'!$J$238:$J$451),0),
IF('TL02'!$B$3=O$3,SUMIF('TL02'!$C$10:$C$224,$C292,'TL02'!$J$10:$J$224),0),
IF('TL02'!$B$229=O$3,SUMIF('TL02'!$C$238:$C$451,$C292,'TL02'!$J$238:$J$451),0),
IF('TL03'!$B$3=O$3,SUMIF('TL03'!$C$10:$C$224,$C292,'TL03'!$J$10:$J$224),0),
IF('TL03'!$B$229=O$3,SUMIF('TL03'!$C$238:$C$451,$C292,'TL03'!$J$238:$J$451),0),
IF('TL04'!$B$3=O$3,SUMIF('TL04'!$C$10:$C$224,$C292,'TL04'!$J$10:$J$224),0),
IF('TL04'!$B$229=O$3,SUMIF('TL04'!$C$238:$C$451,$C292,'TL04'!$J$238:$J$451),0),
IF('TL05'!$B$3=O$3,SUMIF('TL05'!$C$10:$C$224,$C292,'TL05'!$J$10:$J$224),0),
IF('TL05'!$B$229=O$3,SUMIF('TL05'!$C$238:$C$451,$C292,'TL05'!$J$238:$J$451),0),
IF('TL06'!$B$3=O$3,SUMIF('TL06'!$C$10:$C$224,$C292,'TL06'!$J$10:$J$224),0),
IF('TL06'!$B$229=O$3,SUMIF('TL06'!$C$238:$C$451,$C292,'TL06'!$J$238:$J$451),0),
IF('TL07'!$B$3=O$3,SUMIF('TL07'!$C$10:$C$224,$C292,'TL07'!$J$10:$J$224),0),
IF('TL07'!$B$229=O$3,SUMIF('TL07'!$C$238:$C$451,$C292,'TL07'!$J$238:$J$451),0),
IF('TL08'!$B$3=O$3,SUMIF('TL08'!$C$10:$C$224,$C292,'TL08'!$J$10:$J$224),0),
IF('TL08'!$B$229=O$3,SUMIF('TL08'!$C$238:$C$451,$C292,'TL08'!$J$238:$J$451),0),
IF('TL09'!$B$3=O$3,SUMIF('TL09'!$C$10:$C$224,$C292,'TL09'!$J$10:$J$224),0),
IF('TL09'!$B$229=O$3,SUMIF('TL09'!$C$238:$C$451,$C292,'TL09'!$J$238:$J$451),0),
IF('TL10'!$B$3=O$3,SUMIF('TL10'!$C$10:$C$224,$C292,'TL10'!$J$10:$J$224),0),
IF('TL10'!$B$229=O$3,SUMIF('TL10'!$C$238:$C$451,$C292,'TL10'!$J$238:$J$451),0),
IF('TL11'!$B$3=O$3,SUMIF('TL11'!$C$10:$C$224,$C292,'TL11'!$J$10:$J$224),0),
IF('TL11'!$B$229=O$3,SUMIF('TL11'!$C$238:$C$451,$C292,'TL11'!$J$238:$J$451),0),
IF('TL12'!$B$3=O$3,SUMIF('TL12'!$C$10:$C$224,$C292,'TL12'!$J$10:$J$224),0),
IF('TL12'!$B$229=O$3,SUMIF('TL12'!$C$238:$C$451,$C292,'TL12'!$J$238:$J$451),0),
IF('TL13'!$B$3=O$3,SUMIF('TL13'!$C$10:$C$224,$C292,'TL13'!$J$10:$J$224),0),
IF('TL13'!$B$229=O$3,SUMIF('TL13'!$C$238:$C$451,$C292,'TL13'!$J$238:$J$451),0),
IF('TL14'!$B$3=O$3,SUMIF('TL14'!$C$10:$C$224,$C292,'TL14'!$J$10:$J$224),0),
IF('TL14'!$B$229=O$3,SUMIF('TL14'!$C$238:$C$451,$C292,'TL14'!$J$238:$J$451),0),
IF('TL15'!$B$3=O$3,SUMIF('TL15'!$C$10:$C$224,$C292,'TL15'!$J$10:$J$224),0),
IF('TL15'!$B$229=O$3,SUMIF('TL15'!$C$238:$C$451,$C292,'TL15'!$J$238:$J$451),0),
IF('TL16'!$B$3=O$3,SUMIF('TL16'!$C$10:$C$224,$C292,'TL16'!$J$10:$J$224),0),
IF('TL16'!$B$229=O$3,SUMIF('TL16'!$C$238:$C$451,$C292,'TL16'!$J$238:$J$451),0),
IF('TL17'!$B$3=O$3,SUMIF('TL17'!$C$10:$C$224,$C292,'TL17'!$J$10:$J$224),0),
IF('TL17'!$B$229=O$3,SUMIF('TL17'!$C$238:$C$451,$C292,'TL17'!$J$238:$J$451),0),
IF('TL18'!$B$3=O$3,SUMIF('TL18'!$C$10:$C$224,$C292,'TL18'!$J$10:$J$224),0),
IF('TL18'!$B$229=O$3,SUMIF('TL18'!$C$238:$C$451,$C292,'TL18'!$J$238:$J$451),0),
IF('TL19'!$B$3=O$3,SUMIF('TL19'!$C$10:$C$224,$C292,'TL19'!$J$10:$J$224),0),
IF('TL19'!$B$229=O$3,SUMIF('TL19'!$C$238:$C$451,$C292,'TL19'!$J$238:$J$451),0)
),0)</f>
        <v/>
      </c>
      <c r="P292" s="9">
        <f>IFERROR(SUM(
IF('TL01'!$B$3=P$3,SUMIF('TL01'!$C$10:$C$224,$C292,'TL01'!$J$10:$J$224),0),
IF('TL01'!$B$229=P$3,SUMIF('TL01'!$C$238:$C$451,$C292,'TL01'!$J$238:$J$451),0),
IF('TL02'!$B$3=P$3,SUMIF('TL02'!$C$10:$C$224,$C292,'TL02'!$J$10:$J$224),0),
IF('TL02'!$B$229=P$3,SUMIF('TL02'!$C$238:$C$451,$C292,'TL02'!$J$238:$J$451),0),
IF('TL03'!$B$3=P$3,SUMIF('TL03'!$C$10:$C$224,$C292,'TL03'!$J$10:$J$224),0),
IF('TL03'!$B$229=P$3,SUMIF('TL03'!$C$238:$C$451,$C292,'TL03'!$J$238:$J$451),0),
IF('TL04'!$B$3=P$3,SUMIF('TL04'!$C$10:$C$224,$C292,'TL04'!$J$10:$J$224),0),
IF('TL04'!$B$229=P$3,SUMIF('TL04'!$C$238:$C$451,$C292,'TL04'!$J$238:$J$451),0),
IF('TL05'!$B$3=P$3,SUMIF('TL05'!$C$10:$C$224,$C292,'TL05'!$J$10:$J$224),0),
IF('TL05'!$B$229=P$3,SUMIF('TL05'!$C$238:$C$451,$C292,'TL05'!$J$238:$J$451),0),
IF('TL06'!$B$3=P$3,SUMIF('TL06'!$C$10:$C$224,$C292,'TL06'!$J$10:$J$224),0),
IF('TL06'!$B$229=P$3,SUMIF('TL06'!$C$238:$C$451,$C292,'TL06'!$J$238:$J$451),0),
IF('TL07'!$B$3=P$3,SUMIF('TL07'!$C$10:$C$224,$C292,'TL07'!$J$10:$J$224),0),
IF('TL07'!$B$229=P$3,SUMIF('TL07'!$C$238:$C$451,$C292,'TL07'!$J$238:$J$451),0),
IF('TL08'!$B$3=P$3,SUMIF('TL08'!$C$10:$C$224,$C292,'TL08'!$J$10:$J$224),0),
IF('TL08'!$B$229=P$3,SUMIF('TL08'!$C$238:$C$451,$C292,'TL08'!$J$238:$J$451),0),
IF('TL09'!$B$3=P$3,SUMIF('TL09'!$C$10:$C$224,$C292,'TL09'!$J$10:$J$224),0),
IF('TL09'!$B$229=P$3,SUMIF('TL09'!$C$238:$C$451,$C292,'TL09'!$J$238:$J$451),0),
IF('TL10'!$B$3=P$3,SUMIF('TL10'!$C$10:$C$224,$C292,'TL10'!$J$10:$J$224),0),
IF('TL10'!$B$229=P$3,SUMIF('TL10'!$C$238:$C$451,$C292,'TL10'!$J$238:$J$451),0),
IF('TL11'!$B$3=P$3,SUMIF('TL11'!$C$10:$C$224,$C292,'TL11'!$J$10:$J$224),0),
IF('TL11'!$B$229=P$3,SUMIF('TL11'!$C$238:$C$451,$C292,'TL11'!$J$238:$J$451),0),
IF('TL12'!$B$3=P$3,SUMIF('TL12'!$C$10:$C$224,$C292,'TL12'!$J$10:$J$224),0),
IF('TL12'!$B$229=P$3,SUMIF('TL12'!$C$238:$C$451,$C292,'TL12'!$J$238:$J$451),0),
IF('TL13'!$B$3=P$3,SUMIF('TL13'!$C$10:$C$224,$C292,'TL13'!$J$10:$J$224),0),
IF('TL13'!$B$229=P$3,SUMIF('TL13'!$C$238:$C$451,$C292,'TL13'!$J$238:$J$451),0),
IF('TL14'!$B$3=P$3,SUMIF('TL14'!$C$10:$C$224,$C292,'TL14'!$J$10:$J$224),0),
IF('TL14'!$B$229=P$3,SUMIF('TL14'!$C$238:$C$451,$C292,'TL14'!$J$238:$J$451),0),
IF('TL15'!$B$3=P$3,SUMIF('TL15'!$C$10:$C$224,$C292,'TL15'!$J$10:$J$224),0),
IF('TL15'!$B$229=P$3,SUMIF('TL15'!$C$238:$C$451,$C292,'TL15'!$J$238:$J$451),0),
IF('TL16'!$B$3=P$3,SUMIF('TL16'!$C$10:$C$224,$C292,'TL16'!$J$10:$J$224),0),
IF('TL16'!$B$229=P$3,SUMIF('TL16'!$C$238:$C$451,$C292,'TL16'!$J$238:$J$451),0),
IF('TL17'!$B$3=P$3,SUMIF('TL17'!$C$10:$C$224,$C292,'TL17'!$J$10:$J$224),0),
IF('TL17'!$B$229=P$3,SUMIF('TL17'!$C$238:$C$451,$C292,'TL17'!$J$238:$J$451),0),
IF('TL18'!$B$3=P$3,SUMIF('TL18'!$C$10:$C$224,$C292,'TL18'!$J$10:$J$224),0),
IF('TL18'!$B$229=P$3,SUMIF('TL18'!$C$238:$C$451,$C292,'TL18'!$J$238:$J$451),0),
IF('TL19'!$B$3=P$3,SUMIF('TL19'!$C$10:$C$224,$C292,'TL19'!$J$10:$J$224),0),
IF('TL19'!$B$229=P$3,SUMIF('TL19'!$C$238:$C$451,$C292,'TL19'!$J$238:$J$451),0)
),0)</f>
        <v/>
      </c>
      <c r="Q292" s="9">
        <f>IFERROR(SUM(
IF('TL01'!$B$3=Q$3,SUMIF('TL01'!$C$10:$C$224,$C292,'TL01'!$J$10:$J$224),0),
IF('TL01'!$B$229=Q$3,SUMIF('TL01'!$C$238:$C$451,$C292,'TL01'!$J$238:$J$451),0),
IF('TL02'!$B$3=Q$3,SUMIF('TL02'!$C$10:$C$224,$C292,'TL02'!$J$10:$J$224),0),
IF('TL02'!$B$229=Q$3,SUMIF('TL02'!$C$238:$C$451,$C292,'TL02'!$J$238:$J$451),0),
IF('TL03'!$B$3=Q$3,SUMIF('TL03'!$C$10:$C$224,$C292,'TL03'!$J$10:$J$224),0),
IF('TL03'!$B$229=Q$3,SUMIF('TL03'!$C$238:$C$451,$C292,'TL03'!$J$238:$J$451),0),
IF('TL04'!$B$3=Q$3,SUMIF('TL04'!$C$10:$C$224,$C292,'TL04'!$J$10:$J$224),0),
IF('TL04'!$B$229=Q$3,SUMIF('TL04'!$C$238:$C$451,$C292,'TL04'!$J$238:$J$451),0),
IF('TL05'!$B$3=Q$3,SUMIF('TL05'!$C$10:$C$224,$C292,'TL05'!$J$10:$J$224),0),
IF('TL05'!$B$229=Q$3,SUMIF('TL05'!$C$238:$C$451,$C292,'TL05'!$J$238:$J$451),0),
IF('TL06'!$B$3=Q$3,SUMIF('TL06'!$C$10:$C$224,$C292,'TL06'!$J$10:$J$224),0),
IF('TL06'!$B$229=Q$3,SUMIF('TL06'!$C$238:$C$451,$C292,'TL06'!$J$238:$J$451),0),
IF('TL07'!$B$3=Q$3,SUMIF('TL07'!$C$10:$C$224,$C292,'TL07'!$J$10:$J$224),0),
IF('TL07'!$B$229=Q$3,SUMIF('TL07'!$C$238:$C$451,$C292,'TL07'!$J$238:$J$451),0),
IF('TL08'!$B$3=Q$3,SUMIF('TL08'!$C$10:$C$224,$C292,'TL08'!$J$10:$J$224),0),
IF('TL08'!$B$229=Q$3,SUMIF('TL08'!$C$238:$C$451,$C292,'TL08'!$J$238:$J$451),0),
IF('TL09'!$B$3=Q$3,SUMIF('TL09'!$C$10:$C$224,$C292,'TL09'!$J$10:$J$224),0),
IF('TL09'!$B$229=Q$3,SUMIF('TL09'!$C$238:$C$451,$C292,'TL09'!$J$238:$J$451),0),
IF('TL10'!$B$3=Q$3,SUMIF('TL10'!$C$10:$C$224,$C292,'TL10'!$J$10:$J$224),0),
IF('TL10'!$B$229=Q$3,SUMIF('TL10'!$C$238:$C$451,$C292,'TL10'!$J$238:$J$451),0),
IF('TL11'!$B$3=Q$3,SUMIF('TL11'!$C$10:$C$224,$C292,'TL11'!$J$10:$J$224),0),
IF('TL11'!$B$229=Q$3,SUMIF('TL11'!$C$238:$C$451,$C292,'TL11'!$J$238:$J$451),0),
IF('TL12'!$B$3=Q$3,SUMIF('TL12'!$C$10:$C$224,$C292,'TL12'!$J$10:$J$224),0),
IF('TL12'!$B$229=Q$3,SUMIF('TL12'!$C$238:$C$451,$C292,'TL12'!$J$238:$J$451),0),
IF('TL13'!$B$3=Q$3,SUMIF('TL13'!$C$10:$C$224,$C292,'TL13'!$J$10:$J$224),0),
IF('TL13'!$B$229=Q$3,SUMIF('TL13'!$C$238:$C$451,$C292,'TL13'!$J$238:$J$451),0),
IF('TL14'!$B$3=Q$3,SUMIF('TL14'!$C$10:$C$224,$C292,'TL14'!$J$10:$J$224),0),
IF('TL14'!$B$229=Q$3,SUMIF('TL14'!$C$238:$C$451,$C292,'TL14'!$J$238:$J$451),0),
IF('TL15'!$B$3=Q$3,SUMIF('TL15'!$C$10:$C$224,$C292,'TL15'!$J$10:$J$224),0),
IF('TL15'!$B$229=Q$3,SUMIF('TL15'!$C$238:$C$451,$C292,'TL15'!$J$238:$J$451),0),
IF('TL16'!$B$3=Q$3,SUMIF('TL16'!$C$10:$C$224,$C292,'TL16'!$J$10:$J$224),0),
IF('TL16'!$B$229=Q$3,SUMIF('TL16'!$C$238:$C$451,$C292,'TL16'!$J$238:$J$451),0),
IF('TL17'!$B$3=Q$3,SUMIF('TL17'!$C$10:$C$224,$C292,'TL17'!$J$10:$J$224),0),
IF('TL17'!$B$229=Q$3,SUMIF('TL17'!$C$238:$C$451,$C292,'TL17'!$J$238:$J$451),0),
IF('TL18'!$B$3=Q$3,SUMIF('TL18'!$C$10:$C$224,$C292,'TL18'!$J$10:$J$224),0),
IF('TL18'!$B$229=Q$3,SUMIF('TL18'!$C$238:$C$451,$C292,'TL18'!$J$238:$J$451),0),
IF('TL19'!$B$3=Q$3,SUMIF('TL19'!$C$10:$C$224,$C292,'TL19'!$J$10:$J$224),0),
IF('TL19'!$B$229=Q$3,SUMIF('TL19'!$C$238:$C$451,$C292,'TL19'!$J$238:$J$451),0)
),0)</f>
        <v/>
      </c>
      <c r="R292" s="9">
        <f>IFERROR(
SUM(
SUMIF('TL01'!C:C,C292,'TL01'!J:J),
SUMIF('TL02'!C:C,C292,'TL02'!J:J),
SUMIF('TL03'!C:C,C292,'TL03'!J:J),
SUMIF('TL04'!C:C,C292,'TL04'!J:J),
SUMIF('TL05'!C:C,C292,'TL05'!J:J),
SUMIF('TL06'!C:C,C292,'TL06'!J:J),
SUMIF('TL07'!C:C,C292,'TL07'!J:J),
SUMIF('TL08'!C:C,C292,'TL08'!J:J),
SUMIF('TL09'!C:C,C292,'TL09'!J:J),
SUMIF('TL10'!C:C,C292,'TL10'!J:J),
SUMIF('TL11'!C:C,C292,'TL11'!J:J),
SUMIF('TL12'!C:C,C292,'TL12'!J:J),
SUMIF('TL13'!C:C,C292,'TL13'!J:J),
SUMIF('TL14'!C:C,C292,'TL14'!J:J),
SUMIF('TL15'!C:C,C292,'TL15'!J:J),
SUMIF('TL16'!C:C,C292,'TL16'!J:J),
SUMIF('TL17'!C:C,C292,'TL17'!J:J),
SUMIF('TL18'!C:C,C292,'TL18'!J:J),SUMIF('TL19'!C:C,C292,'TL19'!J:J))
,0)</f>
        <v/>
      </c>
      <c r="S292" s="17">
        <f>IFERROR(__xludf.DUMMYFUNCTION("IFERROR(VLOOKUP(C292,
IMPORTRANGE(""1wULbzX32WdYsx-lj2U3uUNBBe2INVIRDtcK0d-Dvl90"",
""26-27!C:G""),
5,
FALSE),
"""")"),133.0)</f>
        <v/>
      </c>
      <c r="T292" s="9" t="n"/>
      <c r="U292" s="92">
        <f>MAX(0,R292-T292)</f>
        <v/>
      </c>
      <c r="V292" s="93">
        <f>U292*S292</f>
        <v/>
      </c>
    </row>
    <row r="293" hidden="1" ht="15.75" customHeight="1" s="297">
      <c r="A293" s="122" t="inlineStr">
        <is>
          <t>SYNGENTA</t>
        </is>
      </c>
      <c r="B293" s="124" t="inlineStr">
        <is>
          <t>TS</t>
        </is>
      </c>
      <c r="C293" s="122" t="inlineStr">
        <is>
          <t>VICTRATO</t>
        </is>
      </c>
      <c r="D293" s="122" t="inlineStr">
        <is>
          <t>CICLOBUTRIFLURAM</t>
        </is>
      </c>
      <c r="E293" s="122" t="n">
        <v>500</v>
      </c>
      <c r="F293" s="4" t="n"/>
      <c r="G293" s="90">
        <f>HYPERLINK("https://www.google.com/search?q=" &amp; C293 &amp; "+bula+agrofit+pdf", "📄 Ver bula")</f>
        <v/>
      </c>
      <c r="H293" s="9">
        <f>IFERROR(__xludf.DUMMYFUNCTION("IFERROR(VLOOKUP(C293,
IMPORTRANGE(""1wULbzX32WdYsx-lj2U3uUNBBe2INVIRDtcK0d-Dvl90"",
""26-27!C:K""),
8,
FALSE),
"""")"),0.02)</f>
        <v/>
      </c>
      <c r="I293" s="123" t="n"/>
      <c r="J293" s="9">
        <f>IFERROR(SUM(
IF('TL01'!$B$3=J$3,SUMIF('TL01'!$C$10:$C$224,$C293,'TL01'!$J$10:$J$224),0),
IF('TL01'!$B$229=J$3,SUMIF('TL01'!$C$238:$C$451,$C293,'TL01'!$J$238:$J$451),0),
IF('TL02'!$B$3=J$3,SUMIF('TL02'!$C$10:$C$224,$C293,'TL02'!$J$10:$J$224),0),
IF('TL02'!$B$229=J$3,SUMIF('TL02'!$C$238:$C$451,$C293,'TL02'!$J$238:$J$451),0),
IF('TL03'!$B$3=J$3,SUMIF('TL03'!$C$10:$C$224,$C293,'TL03'!$J$10:$J$224),0),
IF('TL03'!$B$229=J$3,SUMIF('TL03'!$C$238:$C$451,$C293,'TL03'!$J$238:$J$451),0),
IF('TL04'!$B$3=J$3,SUMIF('TL04'!$C$10:$C$224,$C293,'TL04'!$J$10:$J$224),0),
IF('TL04'!$B$229=J$3,SUMIF('TL04'!$C$238:$C$451,$C293,'TL04'!$J$238:$J$451),0),
IF('TL05'!$B$3=J$3,SUMIF('TL05'!$C$10:$C$224,$C293,'TL05'!$J$10:$J$224),0),
IF('TL05'!$B$229=J$3,SUMIF('TL05'!$C$238:$C$451,$C293,'TL05'!$J$238:$J$451),0),
IF('TL06'!$B$3=J$3,SUMIF('TL06'!$C$10:$C$224,$C293,'TL06'!$J$10:$J$224),0),
IF('TL06'!$B$229=J$3,SUMIF('TL06'!$C$238:$C$451,$C293,'TL06'!$J$238:$J$451),0),
IF('TL07'!$B$3=J$3,SUMIF('TL07'!$C$10:$C$224,$C293,'TL07'!$J$10:$J$224),0),
IF('TL07'!$B$229=J$3,SUMIF('TL07'!$C$238:$C$451,$C293,'TL07'!$J$238:$J$451),0),
IF('TL08'!$B$3=J$3,SUMIF('TL08'!$C$10:$C$224,$C293,'TL08'!$J$10:$J$224),0),
IF('TL08'!$B$229=J$3,SUMIF('TL08'!$C$238:$C$451,$C293,'TL08'!$J$238:$J$451),0),
IF('TL09'!$B$3=J$3,SUMIF('TL09'!$C$10:$C$224,$C293,'TL09'!$J$10:$J$224),0),
IF('TL09'!$B$229=J$3,SUMIF('TL09'!$C$238:$C$451,$C293,'TL09'!$J$238:$J$451),0),
IF('TL10'!$B$3=J$3,SUMIF('TL10'!$C$10:$C$224,$C293,'TL10'!$J$10:$J$224),0),
IF('TL10'!$B$229=J$3,SUMIF('TL10'!$C$238:$C$451,$C293,'TL10'!$J$238:$J$451),0),
IF('TL11'!$B$3=J$3,SUMIF('TL11'!$C$10:$C$224,$C293,'TL11'!$J$10:$J$224),0),
IF('TL11'!$B$229=J$3,SUMIF('TL11'!$C$238:$C$451,$C293,'TL11'!$J$238:$J$451),0),
IF('TL12'!$B$3=J$3,SUMIF('TL12'!$C$10:$C$224,$C293,'TL12'!$J$10:$J$224),0),
IF('TL12'!$B$229=J$3,SUMIF('TL12'!$C$238:$C$451,$C293,'TL12'!$J$238:$J$451),0),
IF('TL13'!$B$3=J$3,SUMIF('TL13'!$C$10:$C$224,$C293,'TL13'!$J$10:$J$224),0),
IF('TL13'!$B$229=J$3,SUMIF('TL13'!$C$238:$C$451,$C293,'TL13'!$J$238:$J$451),0),
IF('TL14'!$B$3=J$3,SUMIF('TL14'!$C$10:$C$224,$C293,'TL14'!$J$10:$J$224),0),
IF('TL14'!$B$229=J$3,SUMIF('TL14'!$C$238:$C$451,$C293,'TL14'!$J$238:$J$451),0),
IF('TL15'!$B$3=J$3,SUMIF('TL15'!$C$10:$C$224,$C293,'TL15'!$J$10:$J$224),0),
IF('TL15'!$B$229=J$3,SUMIF('TL15'!$C$238:$C$451,$C293,'TL15'!$J$238:$J$451),0),
IF('TL16'!$B$3=J$3,SUMIF('TL16'!$C$10:$C$224,$C293,'TL16'!$J$10:$J$224),0),
IF('TL16'!$B$229=J$3,SUMIF('TL16'!$C$238:$C$451,$C293,'TL16'!$J$238:$J$451),0),
IF('TL17'!$B$3=J$3,SUMIF('TL17'!$C$10:$C$224,$C293,'TL17'!$J$10:$J$224),0),
IF('TL17'!$B$229=J$3,SUMIF('TL17'!$C$238:$C$451,$C293,'TL17'!$J$238:$J$451),0),
IF('TL18'!$B$3=J$3,SUMIF('TL18'!$C$10:$C$224,$C293,'TL18'!$J$10:$J$224),0),
IF('TL18'!$B$229=J$3,SUMIF('TL18'!$C$238:$C$451,$C293,'TL18'!$J$238:$J$451),0),
IF('TL19'!$B$3=J$3,SUMIF('TL19'!$C$10:$C$224,$C293,'TL19'!$J$10:$J$224),0),
IF('TL19'!$B$229=J$3,SUMIF('TL19'!$C$238:$C$451,$C293,'TL19'!$J$238:$J$451),0)
),0)</f>
        <v/>
      </c>
      <c r="K293" s="9">
        <f>IFERROR(SUM(
IF('TL01'!$B$3=K$3,SUMIF('TL01'!$C$10:$C$224,$C293,'TL01'!$J$10:$J$224),0),
IF('TL01'!$B$229=K$3,SUMIF('TL01'!$C$238:$C$451,$C293,'TL01'!$J$238:$J$451),0),
IF('TL02'!$B$3=K$3,SUMIF('TL02'!$C$10:$C$224,$C293,'TL02'!$J$10:$J$224),0),
IF('TL02'!$B$229=K$3,SUMIF('TL02'!$C$238:$C$451,$C293,'TL02'!$J$238:$J$451),0),
IF('TL03'!$B$3=K$3,SUMIF('TL03'!$C$10:$C$224,$C293,'TL03'!$J$10:$J$224),0),
IF('TL03'!$B$229=K$3,SUMIF('TL03'!$C$238:$C$451,$C293,'TL03'!$J$238:$J$451),0),
IF('TL04'!$B$3=K$3,SUMIF('TL04'!$C$10:$C$224,$C293,'TL04'!$J$10:$J$224),0),
IF('TL04'!$B$229=K$3,SUMIF('TL04'!$C$238:$C$451,$C293,'TL04'!$J$238:$J$451),0),
IF('TL05'!$B$3=K$3,SUMIF('TL05'!$C$10:$C$224,$C293,'TL05'!$J$10:$J$224),0),
IF('TL05'!$B$229=K$3,SUMIF('TL05'!$C$238:$C$451,$C293,'TL05'!$J$238:$J$451),0),
IF('TL06'!$B$3=K$3,SUMIF('TL06'!$C$10:$C$224,$C293,'TL06'!$J$10:$J$224),0),
IF('TL06'!$B$229=K$3,SUMIF('TL06'!$C$238:$C$451,$C293,'TL06'!$J$238:$J$451),0),
IF('TL07'!$B$3=K$3,SUMIF('TL07'!$C$10:$C$224,$C293,'TL07'!$J$10:$J$224),0),
IF('TL07'!$B$229=K$3,SUMIF('TL07'!$C$238:$C$451,$C293,'TL07'!$J$238:$J$451),0),
IF('TL08'!$B$3=K$3,SUMIF('TL08'!$C$10:$C$224,$C293,'TL08'!$J$10:$J$224),0),
IF('TL08'!$B$229=K$3,SUMIF('TL08'!$C$238:$C$451,$C293,'TL08'!$J$238:$J$451),0),
IF('TL09'!$B$3=K$3,SUMIF('TL09'!$C$10:$C$224,$C293,'TL09'!$J$10:$J$224),0),
IF('TL09'!$B$229=K$3,SUMIF('TL09'!$C$238:$C$451,$C293,'TL09'!$J$238:$J$451),0),
IF('TL10'!$B$3=K$3,SUMIF('TL10'!$C$10:$C$224,$C293,'TL10'!$J$10:$J$224),0),
IF('TL10'!$B$229=K$3,SUMIF('TL10'!$C$238:$C$451,$C293,'TL10'!$J$238:$J$451),0),
IF('TL11'!$B$3=K$3,SUMIF('TL11'!$C$10:$C$224,$C293,'TL11'!$J$10:$J$224),0),
IF('TL11'!$B$229=K$3,SUMIF('TL11'!$C$238:$C$451,$C293,'TL11'!$J$238:$J$451),0),
IF('TL12'!$B$3=K$3,SUMIF('TL12'!$C$10:$C$224,$C293,'TL12'!$J$10:$J$224),0),
IF('TL12'!$B$229=K$3,SUMIF('TL12'!$C$238:$C$451,$C293,'TL12'!$J$238:$J$451),0),
IF('TL13'!$B$3=K$3,SUMIF('TL13'!$C$10:$C$224,$C293,'TL13'!$J$10:$J$224),0),
IF('TL13'!$B$229=K$3,SUMIF('TL13'!$C$238:$C$451,$C293,'TL13'!$J$238:$J$451),0),
IF('TL14'!$B$3=K$3,SUMIF('TL14'!$C$10:$C$224,$C293,'TL14'!$J$10:$J$224),0),
IF('TL14'!$B$229=K$3,SUMIF('TL14'!$C$238:$C$451,$C293,'TL14'!$J$238:$J$451),0),
IF('TL15'!$B$3=K$3,SUMIF('TL15'!$C$10:$C$224,$C293,'TL15'!$J$10:$J$224),0),
IF('TL15'!$B$229=K$3,SUMIF('TL15'!$C$238:$C$451,$C293,'TL15'!$J$238:$J$451),0),
IF('TL16'!$B$3=K$3,SUMIF('TL16'!$C$10:$C$224,$C293,'TL16'!$J$10:$J$224),0),
IF('TL16'!$B$229=K$3,SUMIF('TL16'!$C$238:$C$451,$C293,'TL16'!$J$238:$J$451),0),
IF('TL17'!$B$3=K$3,SUMIF('TL17'!$C$10:$C$224,$C293,'TL17'!$J$10:$J$224),0),
IF('TL17'!$B$229=K$3,SUMIF('TL17'!$C$238:$C$451,$C293,'TL17'!$J$238:$J$451),0),
IF('TL18'!$B$3=K$3,SUMIF('TL18'!$C$10:$C$224,$C293,'TL18'!$J$10:$J$224),0),
IF('TL18'!$B$229=K$3,SUMIF('TL18'!$C$238:$C$451,$C293,'TL18'!$J$238:$J$451),0),
IF('TL19'!$B$3=K$3,SUMIF('TL19'!$C$10:$C$224,$C293,'TL19'!$J$10:$J$224),0),
IF('TL19'!$B$229=K$3,SUMIF('TL19'!$C$238:$C$451,$C293,'TL19'!$J$238:$J$451),0)
),0)</f>
        <v/>
      </c>
      <c r="L293" s="9">
        <f>IFERROR(SUM(
IF('TL01'!$B$3=L$3,SUMIF('TL01'!$C$10:$C$224,$C293,'TL01'!$J$10:$J$224),0),
IF('TL01'!$B$229=L$3,SUMIF('TL01'!$C$238:$C$451,$C293,'TL01'!$J$238:$J$451),0),
IF('TL02'!$B$3=L$3,SUMIF('TL02'!$C$10:$C$224,$C293,'TL02'!$J$10:$J$224),0),
IF('TL02'!$B$229=L$3,SUMIF('TL02'!$C$238:$C$451,$C293,'TL02'!$J$238:$J$451),0),
IF('TL03'!$B$3=L$3,SUMIF('TL03'!$C$10:$C$224,$C293,'TL03'!$J$10:$J$224),0),
IF('TL03'!$B$229=L$3,SUMIF('TL03'!$C$238:$C$451,$C293,'TL03'!$J$238:$J$451),0),
IF('TL04'!$B$3=L$3,SUMIF('TL04'!$C$10:$C$224,$C293,'TL04'!$J$10:$J$224),0),
IF('TL04'!$B$229=L$3,SUMIF('TL04'!$C$238:$C$451,$C293,'TL04'!$J$238:$J$451),0),
IF('TL05'!$B$3=L$3,SUMIF('TL05'!$C$10:$C$224,$C293,'TL05'!$J$10:$J$224),0),
IF('TL05'!$B$229=L$3,SUMIF('TL05'!$C$238:$C$451,$C293,'TL05'!$J$238:$J$451),0),
IF('TL06'!$B$3=L$3,SUMIF('TL06'!$C$10:$C$224,$C293,'TL06'!$J$10:$J$224),0),
IF('TL06'!$B$229=L$3,SUMIF('TL06'!$C$238:$C$451,$C293,'TL06'!$J$238:$J$451),0),
IF('TL07'!$B$3=L$3,SUMIF('TL07'!$C$10:$C$224,$C293,'TL07'!$J$10:$J$224),0),
IF('TL07'!$B$229=L$3,SUMIF('TL07'!$C$238:$C$451,$C293,'TL07'!$J$238:$J$451),0),
IF('TL08'!$B$3=L$3,SUMIF('TL08'!$C$10:$C$224,$C293,'TL08'!$J$10:$J$224),0),
IF('TL08'!$B$229=L$3,SUMIF('TL08'!$C$238:$C$451,$C293,'TL08'!$J$238:$J$451),0),
IF('TL09'!$B$3=L$3,SUMIF('TL09'!$C$10:$C$224,$C293,'TL09'!$J$10:$J$224),0),
IF('TL09'!$B$229=L$3,SUMIF('TL09'!$C$238:$C$451,$C293,'TL09'!$J$238:$J$451),0),
IF('TL10'!$B$3=L$3,SUMIF('TL10'!$C$10:$C$224,$C293,'TL10'!$J$10:$J$224),0),
IF('TL10'!$B$229=L$3,SUMIF('TL10'!$C$238:$C$451,$C293,'TL10'!$J$238:$J$451),0),
IF('TL11'!$B$3=L$3,SUMIF('TL11'!$C$10:$C$224,$C293,'TL11'!$J$10:$J$224),0),
IF('TL11'!$B$229=L$3,SUMIF('TL11'!$C$238:$C$451,$C293,'TL11'!$J$238:$J$451),0),
IF('TL12'!$B$3=L$3,SUMIF('TL12'!$C$10:$C$224,$C293,'TL12'!$J$10:$J$224),0),
IF('TL12'!$B$229=L$3,SUMIF('TL12'!$C$238:$C$451,$C293,'TL12'!$J$238:$J$451),0),
IF('TL13'!$B$3=L$3,SUMIF('TL13'!$C$10:$C$224,$C293,'TL13'!$J$10:$J$224),0),
IF('TL13'!$B$229=L$3,SUMIF('TL13'!$C$238:$C$451,$C293,'TL13'!$J$238:$J$451),0),
IF('TL14'!$B$3=L$3,SUMIF('TL14'!$C$10:$C$224,$C293,'TL14'!$J$10:$J$224),0),
IF('TL14'!$B$229=L$3,SUMIF('TL14'!$C$238:$C$451,$C293,'TL14'!$J$238:$J$451),0),
IF('TL15'!$B$3=L$3,SUMIF('TL15'!$C$10:$C$224,$C293,'TL15'!$J$10:$J$224),0),
IF('TL15'!$B$229=L$3,SUMIF('TL15'!$C$238:$C$451,$C293,'TL15'!$J$238:$J$451),0),
IF('TL16'!$B$3=L$3,SUMIF('TL16'!$C$10:$C$224,$C293,'TL16'!$J$10:$J$224),0),
IF('TL16'!$B$229=L$3,SUMIF('TL16'!$C$238:$C$451,$C293,'TL16'!$J$238:$J$451),0),
IF('TL17'!$B$3=L$3,SUMIF('TL17'!$C$10:$C$224,$C293,'TL17'!$J$10:$J$224),0),
IF('TL17'!$B$229=L$3,SUMIF('TL17'!$C$238:$C$451,$C293,'TL17'!$J$238:$J$451),0),
IF('TL18'!$B$3=L$3,SUMIF('TL18'!$C$10:$C$224,$C293,'TL18'!$J$10:$J$224),0),
IF('TL18'!$B$229=L$3,SUMIF('TL18'!$C$238:$C$451,$C293,'TL18'!$J$238:$J$451),0),
IF('TL19'!$B$3=L$3,SUMIF('TL19'!$C$10:$C$224,$C293,'TL19'!$J$10:$J$224),0),
IF('TL19'!$B$229=L$3,SUMIF('TL19'!$C$238:$C$451,$C293,'TL19'!$J$238:$J$451),0)
),0)</f>
        <v/>
      </c>
      <c r="M293" s="9">
        <f>IFERROR(SUM(
IF('TL01'!$B$3=M$3,SUMIF('TL01'!$C$10:$C$224,$C293,'TL01'!$J$10:$J$224),0),
IF('TL01'!$B$229=M$3,SUMIF('TL01'!$C$238:$C$451,$C293,'TL01'!$J$238:$J$451),0),
IF('TL02'!$B$3=M$3,SUMIF('TL02'!$C$10:$C$224,$C293,'TL02'!$J$10:$J$224),0),
IF('TL02'!$B$229=M$3,SUMIF('TL02'!$C$238:$C$451,$C293,'TL02'!$J$238:$J$451),0),
IF('TL03'!$B$3=M$3,SUMIF('TL03'!$C$10:$C$224,$C293,'TL03'!$J$10:$J$224),0),
IF('TL03'!$B$229=M$3,SUMIF('TL03'!$C$238:$C$451,$C293,'TL03'!$J$238:$J$451),0),
IF('TL04'!$B$3=M$3,SUMIF('TL04'!$C$10:$C$224,$C293,'TL04'!$J$10:$J$224),0),
IF('TL04'!$B$229=M$3,SUMIF('TL04'!$C$238:$C$451,$C293,'TL04'!$J$238:$J$451),0),
IF('TL05'!$B$3=M$3,SUMIF('TL05'!$C$10:$C$224,$C293,'TL05'!$J$10:$J$224),0),
IF('TL05'!$B$229=M$3,SUMIF('TL05'!$C$238:$C$451,$C293,'TL05'!$J$238:$J$451),0),
IF('TL06'!$B$3=M$3,SUMIF('TL06'!$C$10:$C$224,$C293,'TL06'!$J$10:$J$224),0),
IF('TL06'!$B$229=M$3,SUMIF('TL06'!$C$238:$C$451,$C293,'TL06'!$J$238:$J$451),0),
IF('TL07'!$B$3=M$3,SUMIF('TL07'!$C$10:$C$224,$C293,'TL07'!$J$10:$J$224),0),
IF('TL07'!$B$229=M$3,SUMIF('TL07'!$C$238:$C$451,$C293,'TL07'!$J$238:$J$451),0),
IF('TL08'!$B$3=M$3,SUMIF('TL08'!$C$10:$C$224,$C293,'TL08'!$J$10:$J$224),0),
IF('TL08'!$B$229=M$3,SUMIF('TL08'!$C$238:$C$451,$C293,'TL08'!$J$238:$J$451),0),
IF('TL09'!$B$3=M$3,SUMIF('TL09'!$C$10:$C$224,$C293,'TL09'!$J$10:$J$224),0),
IF('TL09'!$B$229=M$3,SUMIF('TL09'!$C$238:$C$451,$C293,'TL09'!$J$238:$J$451),0),
IF('TL10'!$B$3=M$3,SUMIF('TL10'!$C$10:$C$224,$C293,'TL10'!$J$10:$J$224),0),
IF('TL10'!$B$229=M$3,SUMIF('TL10'!$C$238:$C$451,$C293,'TL10'!$J$238:$J$451),0),
IF('TL11'!$B$3=M$3,SUMIF('TL11'!$C$10:$C$224,$C293,'TL11'!$J$10:$J$224),0),
IF('TL11'!$B$229=M$3,SUMIF('TL11'!$C$238:$C$451,$C293,'TL11'!$J$238:$J$451),0),
IF('TL12'!$B$3=M$3,SUMIF('TL12'!$C$10:$C$224,$C293,'TL12'!$J$10:$J$224),0),
IF('TL12'!$B$229=M$3,SUMIF('TL12'!$C$238:$C$451,$C293,'TL12'!$J$238:$J$451),0),
IF('TL13'!$B$3=M$3,SUMIF('TL13'!$C$10:$C$224,$C293,'TL13'!$J$10:$J$224),0),
IF('TL13'!$B$229=M$3,SUMIF('TL13'!$C$238:$C$451,$C293,'TL13'!$J$238:$J$451),0),
IF('TL14'!$B$3=M$3,SUMIF('TL14'!$C$10:$C$224,$C293,'TL14'!$J$10:$J$224),0),
IF('TL14'!$B$229=M$3,SUMIF('TL14'!$C$238:$C$451,$C293,'TL14'!$J$238:$J$451),0),
IF('TL15'!$B$3=M$3,SUMIF('TL15'!$C$10:$C$224,$C293,'TL15'!$J$10:$J$224),0),
IF('TL15'!$B$229=M$3,SUMIF('TL15'!$C$238:$C$451,$C293,'TL15'!$J$238:$J$451),0),
IF('TL16'!$B$3=M$3,SUMIF('TL16'!$C$10:$C$224,$C293,'TL16'!$J$10:$J$224),0),
IF('TL16'!$B$229=M$3,SUMIF('TL16'!$C$238:$C$451,$C293,'TL16'!$J$238:$J$451),0),
IF('TL17'!$B$3=M$3,SUMIF('TL17'!$C$10:$C$224,$C293,'TL17'!$J$10:$J$224),0),
IF('TL17'!$B$229=M$3,SUMIF('TL17'!$C$238:$C$451,$C293,'TL17'!$J$238:$J$451),0),
IF('TL18'!$B$3=M$3,SUMIF('TL18'!$C$10:$C$224,$C293,'TL18'!$J$10:$J$224),0),
IF('TL18'!$B$229=M$3,SUMIF('TL18'!$C$238:$C$451,$C293,'TL18'!$J$238:$J$451),0),
IF('TL19'!$B$3=M$3,SUMIF('TL19'!$C$10:$C$224,$C293,'TL19'!$J$10:$J$224),0),
IF('TL19'!$B$229=M$3,SUMIF('TL19'!$C$238:$C$451,$C293,'TL19'!$J$238:$J$451),0)
),0)</f>
        <v/>
      </c>
      <c r="N293" s="9">
        <f>IFERROR(SUM(
IF('TL01'!$B$3=N$3,SUMIF('TL01'!$C$10:$C$224,$C293,'TL01'!$J$10:$J$224),0),
IF('TL01'!$B$229=N$3,SUMIF('TL01'!$C$238:$C$451,$C293,'TL01'!$J$238:$J$451),0),
IF('TL02'!$B$3=N$3,SUMIF('TL02'!$C$10:$C$224,$C293,'TL02'!$J$10:$J$224),0),
IF('TL02'!$B$229=N$3,SUMIF('TL02'!$C$238:$C$451,$C293,'TL02'!$J$238:$J$451),0),
IF('TL03'!$B$3=N$3,SUMIF('TL03'!$C$10:$C$224,$C293,'TL03'!$J$10:$J$224),0),
IF('TL03'!$B$229=N$3,SUMIF('TL03'!$C$238:$C$451,$C293,'TL03'!$J$238:$J$451),0),
IF('TL04'!$B$3=N$3,SUMIF('TL04'!$C$10:$C$224,$C293,'TL04'!$J$10:$J$224),0),
IF('TL04'!$B$229=N$3,SUMIF('TL04'!$C$238:$C$451,$C293,'TL04'!$J$238:$J$451),0),
IF('TL05'!$B$3=N$3,SUMIF('TL05'!$C$10:$C$224,$C293,'TL05'!$J$10:$J$224),0),
IF('TL05'!$B$229=N$3,SUMIF('TL05'!$C$238:$C$451,$C293,'TL05'!$J$238:$J$451),0),
IF('TL06'!$B$3=N$3,SUMIF('TL06'!$C$10:$C$224,$C293,'TL06'!$J$10:$J$224),0),
IF('TL06'!$B$229=N$3,SUMIF('TL06'!$C$238:$C$451,$C293,'TL06'!$J$238:$J$451),0),
IF('TL07'!$B$3=N$3,SUMIF('TL07'!$C$10:$C$224,$C293,'TL07'!$J$10:$J$224),0),
IF('TL07'!$B$229=N$3,SUMIF('TL07'!$C$238:$C$451,$C293,'TL07'!$J$238:$J$451),0),
IF('TL08'!$B$3=N$3,SUMIF('TL08'!$C$10:$C$224,$C293,'TL08'!$J$10:$J$224),0),
IF('TL08'!$B$229=N$3,SUMIF('TL08'!$C$238:$C$451,$C293,'TL08'!$J$238:$J$451),0),
IF('TL09'!$B$3=N$3,SUMIF('TL09'!$C$10:$C$224,$C293,'TL09'!$J$10:$J$224),0),
IF('TL09'!$B$229=N$3,SUMIF('TL09'!$C$238:$C$451,$C293,'TL09'!$J$238:$J$451),0),
IF('TL10'!$B$3=N$3,SUMIF('TL10'!$C$10:$C$224,$C293,'TL10'!$J$10:$J$224),0),
IF('TL10'!$B$229=N$3,SUMIF('TL10'!$C$238:$C$451,$C293,'TL10'!$J$238:$J$451),0),
IF('TL11'!$B$3=N$3,SUMIF('TL11'!$C$10:$C$224,$C293,'TL11'!$J$10:$J$224),0),
IF('TL11'!$B$229=N$3,SUMIF('TL11'!$C$238:$C$451,$C293,'TL11'!$J$238:$J$451),0),
IF('TL12'!$B$3=N$3,SUMIF('TL12'!$C$10:$C$224,$C293,'TL12'!$J$10:$J$224),0),
IF('TL12'!$B$229=N$3,SUMIF('TL12'!$C$238:$C$451,$C293,'TL12'!$J$238:$J$451),0),
IF('TL13'!$B$3=N$3,SUMIF('TL13'!$C$10:$C$224,$C293,'TL13'!$J$10:$J$224),0),
IF('TL13'!$B$229=N$3,SUMIF('TL13'!$C$238:$C$451,$C293,'TL13'!$J$238:$J$451),0),
IF('TL14'!$B$3=N$3,SUMIF('TL14'!$C$10:$C$224,$C293,'TL14'!$J$10:$J$224),0),
IF('TL14'!$B$229=N$3,SUMIF('TL14'!$C$238:$C$451,$C293,'TL14'!$J$238:$J$451),0),
IF('TL15'!$B$3=N$3,SUMIF('TL15'!$C$10:$C$224,$C293,'TL15'!$J$10:$J$224),0),
IF('TL15'!$B$229=N$3,SUMIF('TL15'!$C$238:$C$451,$C293,'TL15'!$J$238:$J$451),0),
IF('TL16'!$B$3=N$3,SUMIF('TL16'!$C$10:$C$224,$C293,'TL16'!$J$10:$J$224),0),
IF('TL16'!$B$229=N$3,SUMIF('TL16'!$C$238:$C$451,$C293,'TL16'!$J$238:$J$451),0),
IF('TL17'!$B$3=N$3,SUMIF('TL17'!$C$10:$C$224,$C293,'TL17'!$J$10:$J$224),0),
IF('TL17'!$B$229=N$3,SUMIF('TL17'!$C$238:$C$451,$C293,'TL17'!$J$238:$J$451),0),
IF('TL18'!$B$3=N$3,SUMIF('TL18'!$C$10:$C$224,$C293,'TL18'!$J$10:$J$224),0),
IF('TL18'!$B$229=N$3,SUMIF('TL18'!$C$238:$C$451,$C293,'TL18'!$J$238:$J$451),0),
IF('TL19'!$B$3=N$3,SUMIF('TL19'!$C$10:$C$224,$C293,'TL19'!$J$10:$J$224),0),
IF('TL19'!$B$229=N$3,SUMIF('TL19'!$C$238:$C$451,$C293,'TL19'!$J$238:$J$451),0)
),0)</f>
        <v/>
      </c>
      <c r="O293" s="9">
        <f>IFERROR(SUM(
IF('TL01'!$B$3=O$3,SUMIF('TL01'!$C$10:$C$224,$C293,'TL01'!$J$10:$J$224),0),
IF('TL01'!$B$229=O$3,SUMIF('TL01'!$C$238:$C$451,$C293,'TL01'!$J$238:$J$451),0),
IF('TL02'!$B$3=O$3,SUMIF('TL02'!$C$10:$C$224,$C293,'TL02'!$J$10:$J$224),0),
IF('TL02'!$B$229=O$3,SUMIF('TL02'!$C$238:$C$451,$C293,'TL02'!$J$238:$J$451),0),
IF('TL03'!$B$3=O$3,SUMIF('TL03'!$C$10:$C$224,$C293,'TL03'!$J$10:$J$224),0),
IF('TL03'!$B$229=O$3,SUMIF('TL03'!$C$238:$C$451,$C293,'TL03'!$J$238:$J$451),0),
IF('TL04'!$B$3=O$3,SUMIF('TL04'!$C$10:$C$224,$C293,'TL04'!$J$10:$J$224),0),
IF('TL04'!$B$229=O$3,SUMIF('TL04'!$C$238:$C$451,$C293,'TL04'!$J$238:$J$451),0),
IF('TL05'!$B$3=O$3,SUMIF('TL05'!$C$10:$C$224,$C293,'TL05'!$J$10:$J$224),0),
IF('TL05'!$B$229=O$3,SUMIF('TL05'!$C$238:$C$451,$C293,'TL05'!$J$238:$J$451),0),
IF('TL06'!$B$3=O$3,SUMIF('TL06'!$C$10:$C$224,$C293,'TL06'!$J$10:$J$224),0),
IF('TL06'!$B$229=O$3,SUMIF('TL06'!$C$238:$C$451,$C293,'TL06'!$J$238:$J$451),0),
IF('TL07'!$B$3=O$3,SUMIF('TL07'!$C$10:$C$224,$C293,'TL07'!$J$10:$J$224),0),
IF('TL07'!$B$229=O$3,SUMIF('TL07'!$C$238:$C$451,$C293,'TL07'!$J$238:$J$451),0),
IF('TL08'!$B$3=O$3,SUMIF('TL08'!$C$10:$C$224,$C293,'TL08'!$J$10:$J$224),0),
IF('TL08'!$B$229=O$3,SUMIF('TL08'!$C$238:$C$451,$C293,'TL08'!$J$238:$J$451),0),
IF('TL09'!$B$3=O$3,SUMIF('TL09'!$C$10:$C$224,$C293,'TL09'!$J$10:$J$224),0),
IF('TL09'!$B$229=O$3,SUMIF('TL09'!$C$238:$C$451,$C293,'TL09'!$J$238:$J$451),0),
IF('TL10'!$B$3=O$3,SUMIF('TL10'!$C$10:$C$224,$C293,'TL10'!$J$10:$J$224),0),
IF('TL10'!$B$229=O$3,SUMIF('TL10'!$C$238:$C$451,$C293,'TL10'!$J$238:$J$451),0),
IF('TL11'!$B$3=O$3,SUMIF('TL11'!$C$10:$C$224,$C293,'TL11'!$J$10:$J$224),0),
IF('TL11'!$B$229=O$3,SUMIF('TL11'!$C$238:$C$451,$C293,'TL11'!$J$238:$J$451),0),
IF('TL12'!$B$3=O$3,SUMIF('TL12'!$C$10:$C$224,$C293,'TL12'!$J$10:$J$224),0),
IF('TL12'!$B$229=O$3,SUMIF('TL12'!$C$238:$C$451,$C293,'TL12'!$J$238:$J$451),0),
IF('TL13'!$B$3=O$3,SUMIF('TL13'!$C$10:$C$224,$C293,'TL13'!$J$10:$J$224),0),
IF('TL13'!$B$229=O$3,SUMIF('TL13'!$C$238:$C$451,$C293,'TL13'!$J$238:$J$451),0),
IF('TL14'!$B$3=O$3,SUMIF('TL14'!$C$10:$C$224,$C293,'TL14'!$J$10:$J$224),0),
IF('TL14'!$B$229=O$3,SUMIF('TL14'!$C$238:$C$451,$C293,'TL14'!$J$238:$J$451),0),
IF('TL15'!$B$3=O$3,SUMIF('TL15'!$C$10:$C$224,$C293,'TL15'!$J$10:$J$224),0),
IF('TL15'!$B$229=O$3,SUMIF('TL15'!$C$238:$C$451,$C293,'TL15'!$J$238:$J$451),0),
IF('TL16'!$B$3=O$3,SUMIF('TL16'!$C$10:$C$224,$C293,'TL16'!$J$10:$J$224),0),
IF('TL16'!$B$229=O$3,SUMIF('TL16'!$C$238:$C$451,$C293,'TL16'!$J$238:$J$451),0),
IF('TL17'!$B$3=O$3,SUMIF('TL17'!$C$10:$C$224,$C293,'TL17'!$J$10:$J$224),0),
IF('TL17'!$B$229=O$3,SUMIF('TL17'!$C$238:$C$451,$C293,'TL17'!$J$238:$J$451),0),
IF('TL18'!$B$3=O$3,SUMIF('TL18'!$C$10:$C$224,$C293,'TL18'!$J$10:$J$224),0),
IF('TL18'!$B$229=O$3,SUMIF('TL18'!$C$238:$C$451,$C293,'TL18'!$J$238:$J$451),0),
IF('TL19'!$B$3=O$3,SUMIF('TL19'!$C$10:$C$224,$C293,'TL19'!$J$10:$J$224),0),
IF('TL19'!$B$229=O$3,SUMIF('TL19'!$C$238:$C$451,$C293,'TL19'!$J$238:$J$451),0)
),0)</f>
        <v/>
      </c>
      <c r="P293" s="9">
        <f>IFERROR(SUM(
IF('TL01'!$B$3=P$3,SUMIF('TL01'!$C$10:$C$224,$C293,'TL01'!$J$10:$J$224),0),
IF('TL01'!$B$229=P$3,SUMIF('TL01'!$C$238:$C$451,$C293,'TL01'!$J$238:$J$451),0),
IF('TL02'!$B$3=P$3,SUMIF('TL02'!$C$10:$C$224,$C293,'TL02'!$J$10:$J$224),0),
IF('TL02'!$B$229=P$3,SUMIF('TL02'!$C$238:$C$451,$C293,'TL02'!$J$238:$J$451),0),
IF('TL03'!$B$3=P$3,SUMIF('TL03'!$C$10:$C$224,$C293,'TL03'!$J$10:$J$224),0),
IF('TL03'!$B$229=P$3,SUMIF('TL03'!$C$238:$C$451,$C293,'TL03'!$J$238:$J$451),0),
IF('TL04'!$B$3=P$3,SUMIF('TL04'!$C$10:$C$224,$C293,'TL04'!$J$10:$J$224),0),
IF('TL04'!$B$229=P$3,SUMIF('TL04'!$C$238:$C$451,$C293,'TL04'!$J$238:$J$451),0),
IF('TL05'!$B$3=P$3,SUMIF('TL05'!$C$10:$C$224,$C293,'TL05'!$J$10:$J$224),0),
IF('TL05'!$B$229=P$3,SUMIF('TL05'!$C$238:$C$451,$C293,'TL05'!$J$238:$J$451),0),
IF('TL06'!$B$3=P$3,SUMIF('TL06'!$C$10:$C$224,$C293,'TL06'!$J$10:$J$224),0),
IF('TL06'!$B$229=P$3,SUMIF('TL06'!$C$238:$C$451,$C293,'TL06'!$J$238:$J$451),0),
IF('TL07'!$B$3=P$3,SUMIF('TL07'!$C$10:$C$224,$C293,'TL07'!$J$10:$J$224),0),
IF('TL07'!$B$229=P$3,SUMIF('TL07'!$C$238:$C$451,$C293,'TL07'!$J$238:$J$451),0),
IF('TL08'!$B$3=P$3,SUMIF('TL08'!$C$10:$C$224,$C293,'TL08'!$J$10:$J$224),0),
IF('TL08'!$B$229=P$3,SUMIF('TL08'!$C$238:$C$451,$C293,'TL08'!$J$238:$J$451),0),
IF('TL09'!$B$3=P$3,SUMIF('TL09'!$C$10:$C$224,$C293,'TL09'!$J$10:$J$224),0),
IF('TL09'!$B$229=P$3,SUMIF('TL09'!$C$238:$C$451,$C293,'TL09'!$J$238:$J$451),0),
IF('TL10'!$B$3=P$3,SUMIF('TL10'!$C$10:$C$224,$C293,'TL10'!$J$10:$J$224),0),
IF('TL10'!$B$229=P$3,SUMIF('TL10'!$C$238:$C$451,$C293,'TL10'!$J$238:$J$451),0),
IF('TL11'!$B$3=P$3,SUMIF('TL11'!$C$10:$C$224,$C293,'TL11'!$J$10:$J$224),0),
IF('TL11'!$B$229=P$3,SUMIF('TL11'!$C$238:$C$451,$C293,'TL11'!$J$238:$J$451),0),
IF('TL12'!$B$3=P$3,SUMIF('TL12'!$C$10:$C$224,$C293,'TL12'!$J$10:$J$224),0),
IF('TL12'!$B$229=P$3,SUMIF('TL12'!$C$238:$C$451,$C293,'TL12'!$J$238:$J$451),0),
IF('TL13'!$B$3=P$3,SUMIF('TL13'!$C$10:$C$224,$C293,'TL13'!$J$10:$J$224),0),
IF('TL13'!$B$229=P$3,SUMIF('TL13'!$C$238:$C$451,$C293,'TL13'!$J$238:$J$451),0),
IF('TL14'!$B$3=P$3,SUMIF('TL14'!$C$10:$C$224,$C293,'TL14'!$J$10:$J$224),0),
IF('TL14'!$B$229=P$3,SUMIF('TL14'!$C$238:$C$451,$C293,'TL14'!$J$238:$J$451),0),
IF('TL15'!$B$3=P$3,SUMIF('TL15'!$C$10:$C$224,$C293,'TL15'!$J$10:$J$224),0),
IF('TL15'!$B$229=P$3,SUMIF('TL15'!$C$238:$C$451,$C293,'TL15'!$J$238:$J$451),0),
IF('TL16'!$B$3=P$3,SUMIF('TL16'!$C$10:$C$224,$C293,'TL16'!$J$10:$J$224),0),
IF('TL16'!$B$229=P$3,SUMIF('TL16'!$C$238:$C$451,$C293,'TL16'!$J$238:$J$451),0),
IF('TL17'!$B$3=P$3,SUMIF('TL17'!$C$10:$C$224,$C293,'TL17'!$J$10:$J$224),0),
IF('TL17'!$B$229=P$3,SUMIF('TL17'!$C$238:$C$451,$C293,'TL17'!$J$238:$J$451),0),
IF('TL18'!$B$3=P$3,SUMIF('TL18'!$C$10:$C$224,$C293,'TL18'!$J$10:$J$224),0),
IF('TL18'!$B$229=P$3,SUMIF('TL18'!$C$238:$C$451,$C293,'TL18'!$J$238:$J$451),0),
IF('TL19'!$B$3=P$3,SUMIF('TL19'!$C$10:$C$224,$C293,'TL19'!$J$10:$J$224),0),
IF('TL19'!$B$229=P$3,SUMIF('TL19'!$C$238:$C$451,$C293,'TL19'!$J$238:$J$451),0)
),0)</f>
        <v/>
      </c>
      <c r="Q293" s="9">
        <f>IFERROR(SUM(
IF('TL01'!$B$3=Q$3,SUMIF('TL01'!$C$10:$C$224,$C293,'TL01'!$J$10:$J$224),0),
IF('TL01'!$B$229=Q$3,SUMIF('TL01'!$C$238:$C$451,$C293,'TL01'!$J$238:$J$451),0),
IF('TL02'!$B$3=Q$3,SUMIF('TL02'!$C$10:$C$224,$C293,'TL02'!$J$10:$J$224),0),
IF('TL02'!$B$229=Q$3,SUMIF('TL02'!$C$238:$C$451,$C293,'TL02'!$J$238:$J$451),0),
IF('TL03'!$B$3=Q$3,SUMIF('TL03'!$C$10:$C$224,$C293,'TL03'!$J$10:$J$224),0),
IF('TL03'!$B$229=Q$3,SUMIF('TL03'!$C$238:$C$451,$C293,'TL03'!$J$238:$J$451),0),
IF('TL04'!$B$3=Q$3,SUMIF('TL04'!$C$10:$C$224,$C293,'TL04'!$J$10:$J$224),0),
IF('TL04'!$B$229=Q$3,SUMIF('TL04'!$C$238:$C$451,$C293,'TL04'!$J$238:$J$451),0),
IF('TL05'!$B$3=Q$3,SUMIF('TL05'!$C$10:$C$224,$C293,'TL05'!$J$10:$J$224),0),
IF('TL05'!$B$229=Q$3,SUMIF('TL05'!$C$238:$C$451,$C293,'TL05'!$J$238:$J$451),0),
IF('TL06'!$B$3=Q$3,SUMIF('TL06'!$C$10:$C$224,$C293,'TL06'!$J$10:$J$224),0),
IF('TL06'!$B$229=Q$3,SUMIF('TL06'!$C$238:$C$451,$C293,'TL06'!$J$238:$J$451),0),
IF('TL07'!$B$3=Q$3,SUMIF('TL07'!$C$10:$C$224,$C293,'TL07'!$J$10:$J$224),0),
IF('TL07'!$B$229=Q$3,SUMIF('TL07'!$C$238:$C$451,$C293,'TL07'!$J$238:$J$451),0),
IF('TL08'!$B$3=Q$3,SUMIF('TL08'!$C$10:$C$224,$C293,'TL08'!$J$10:$J$224),0),
IF('TL08'!$B$229=Q$3,SUMIF('TL08'!$C$238:$C$451,$C293,'TL08'!$J$238:$J$451),0),
IF('TL09'!$B$3=Q$3,SUMIF('TL09'!$C$10:$C$224,$C293,'TL09'!$J$10:$J$224),0),
IF('TL09'!$B$229=Q$3,SUMIF('TL09'!$C$238:$C$451,$C293,'TL09'!$J$238:$J$451),0),
IF('TL10'!$B$3=Q$3,SUMIF('TL10'!$C$10:$C$224,$C293,'TL10'!$J$10:$J$224),0),
IF('TL10'!$B$229=Q$3,SUMIF('TL10'!$C$238:$C$451,$C293,'TL10'!$J$238:$J$451),0),
IF('TL11'!$B$3=Q$3,SUMIF('TL11'!$C$10:$C$224,$C293,'TL11'!$J$10:$J$224),0),
IF('TL11'!$B$229=Q$3,SUMIF('TL11'!$C$238:$C$451,$C293,'TL11'!$J$238:$J$451),0),
IF('TL12'!$B$3=Q$3,SUMIF('TL12'!$C$10:$C$224,$C293,'TL12'!$J$10:$J$224),0),
IF('TL12'!$B$229=Q$3,SUMIF('TL12'!$C$238:$C$451,$C293,'TL12'!$J$238:$J$451),0),
IF('TL13'!$B$3=Q$3,SUMIF('TL13'!$C$10:$C$224,$C293,'TL13'!$J$10:$J$224),0),
IF('TL13'!$B$229=Q$3,SUMIF('TL13'!$C$238:$C$451,$C293,'TL13'!$J$238:$J$451),0),
IF('TL14'!$B$3=Q$3,SUMIF('TL14'!$C$10:$C$224,$C293,'TL14'!$J$10:$J$224),0),
IF('TL14'!$B$229=Q$3,SUMIF('TL14'!$C$238:$C$451,$C293,'TL14'!$J$238:$J$451),0),
IF('TL15'!$B$3=Q$3,SUMIF('TL15'!$C$10:$C$224,$C293,'TL15'!$J$10:$J$224),0),
IF('TL15'!$B$229=Q$3,SUMIF('TL15'!$C$238:$C$451,$C293,'TL15'!$J$238:$J$451),0),
IF('TL16'!$B$3=Q$3,SUMIF('TL16'!$C$10:$C$224,$C293,'TL16'!$J$10:$J$224),0),
IF('TL16'!$B$229=Q$3,SUMIF('TL16'!$C$238:$C$451,$C293,'TL16'!$J$238:$J$451),0),
IF('TL17'!$B$3=Q$3,SUMIF('TL17'!$C$10:$C$224,$C293,'TL17'!$J$10:$J$224),0),
IF('TL17'!$B$229=Q$3,SUMIF('TL17'!$C$238:$C$451,$C293,'TL17'!$J$238:$J$451),0),
IF('TL18'!$B$3=Q$3,SUMIF('TL18'!$C$10:$C$224,$C293,'TL18'!$J$10:$J$224),0),
IF('TL18'!$B$229=Q$3,SUMIF('TL18'!$C$238:$C$451,$C293,'TL18'!$J$238:$J$451),0),
IF('TL19'!$B$3=Q$3,SUMIF('TL19'!$C$10:$C$224,$C293,'TL19'!$J$10:$J$224),0),
IF('TL19'!$B$229=Q$3,SUMIF('TL19'!$C$238:$C$451,$C293,'TL19'!$J$238:$J$451),0)
),0)</f>
        <v/>
      </c>
      <c r="R293" s="9">
        <f>IFERROR(
SUM(
SUMIF('TL01'!C:C,C293,'TL01'!J:J),
SUMIF('TL02'!C:C,C293,'TL02'!J:J),
SUMIF('TL03'!C:C,C293,'TL03'!J:J),
SUMIF('TL04'!C:C,C293,'TL04'!J:J),
SUMIF('TL05'!C:C,C293,'TL05'!J:J),
SUMIF('TL06'!C:C,C293,'TL06'!J:J),
SUMIF('TL07'!C:C,C293,'TL07'!J:J),
SUMIF('TL08'!C:C,C293,'TL08'!J:J),
SUMIF('TL09'!C:C,C293,'TL09'!J:J),
SUMIF('TL10'!C:C,C293,'TL10'!J:J),
SUMIF('TL11'!C:C,C293,'TL11'!J:J),
SUMIF('TL12'!C:C,C293,'TL12'!J:J),
SUMIF('TL13'!C:C,C293,'TL13'!J:J),
SUMIF('TL14'!C:C,C293,'TL14'!J:J),
SUMIF('TL15'!C:C,C293,'TL15'!J:J),
SUMIF('TL16'!C:C,C293,'TL16'!J:J),
SUMIF('TL17'!C:C,C293,'TL17'!J:J),
SUMIF('TL18'!C:C,C293,'TL18'!J:J),SUMIF('TL19'!C:C,C293,'TL19'!J:J))
,0)</f>
        <v/>
      </c>
      <c r="S293" s="17">
        <f>IFERROR(__xludf.DUMMYFUNCTION("IFERROR(VLOOKUP(C293,
IMPORTRANGE(""1wULbzX32WdYsx-lj2U3uUNBBe2INVIRDtcK0d-Dvl90"",
""26-27!C:G""),
5,
FALSE),
"""")"),4385.409)</f>
        <v/>
      </c>
      <c r="T293" s="9" t="n"/>
      <c r="U293" s="92">
        <f>MAX(0,R293-T293)</f>
        <v/>
      </c>
      <c r="V293" s="93">
        <f>U293*S293</f>
        <v/>
      </c>
    </row>
    <row r="294" hidden="1" ht="15.75" customHeight="1" s="297">
      <c r="A294" s="119" t="inlineStr">
        <is>
          <t>SYNGENTA</t>
        </is>
      </c>
      <c r="B294" s="120" t="inlineStr">
        <is>
          <t>TS</t>
        </is>
      </c>
      <c r="C294" s="119" t="inlineStr">
        <is>
          <t>SPECTRO</t>
        </is>
      </c>
      <c r="D294" s="119" t="inlineStr">
        <is>
          <t>DIFENOCONAZOL</t>
        </is>
      </c>
      <c r="E294" s="119" t="n">
        <v>150</v>
      </c>
      <c r="F294" s="4" t="n"/>
      <c r="G294" s="90">
        <f>HYPERLINK("https://www.google.com/search?q=" &amp; C294 &amp; "+bula+agrofit+pdf", "📄 Ver bula")</f>
        <v/>
      </c>
      <c r="H294" s="9">
        <f>IFERROR(__xludf.DUMMYFUNCTION("IFERROR(VLOOKUP(C294,
IMPORTRANGE(""1wULbzX32WdYsx-lj2U3uUNBBe2INVIRDtcK0d-Dvl90"",
""26-27!C:K""),
8,
FALSE),
"""")"),0.015)</f>
        <v/>
      </c>
      <c r="I294" s="123" t="n"/>
      <c r="J294" s="9">
        <f>IFERROR(SUM(
IF('TL01'!$B$3=J$3,SUMIF('TL01'!$C$10:$C$224,$C294,'TL01'!$J$10:$J$224),0),
IF('TL01'!$B$229=J$3,SUMIF('TL01'!$C$238:$C$451,$C294,'TL01'!$J$238:$J$451),0),
IF('TL02'!$B$3=J$3,SUMIF('TL02'!$C$10:$C$224,$C294,'TL02'!$J$10:$J$224),0),
IF('TL02'!$B$229=J$3,SUMIF('TL02'!$C$238:$C$451,$C294,'TL02'!$J$238:$J$451),0),
IF('TL03'!$B$3=J$3,SUMIF('TL03'!$C$10:$C$224,$C294,'TL03'!$J$10:$J$224),0),
IF('TL03'!$B$229=J$3,SUMIF('TL03'!$C$238:$C$451,$C294,'TL03'!$J$238:$J$451),0),
IF('TL04'!$B$3=J$3,SUMIF('TL04'!$C$10:$C$224,$C294,'TL04'!$J$10:$J$224),0),
IF('TL04'!$B$229=J$3,SUMIF('TL04'!$C$238:$C$451,$C294,'TL04'!$J$238:$J$451),0),
IF('TL05'!$B$3=J$3,SUMIF('TL05'!$C$10:$C$224,$C294,'TL05'!$J$10:$J$224),0),
IF('TL05'!$B$229=J$3,SUMIF('TL05'!$C$238:$C$451,$C294,'TL05'!$J$238:$J$451),0),
IF('TL06'!$B$3=J$3,SUMIF('TL06'!$C$10:$C$224,$C294,'TL06'!$J$10:$J$224),0),
IF('TL06'!$B$229=J$3,SUMIF('TL06'!$C$238:$C$451,$C294,'TL06'!$J$238:$J$451),0),
IF('TL07'!$B$3=J$3,SUMIF('TL07'!$C$10:$C$224,$C294,'TL07'!$J$10:$J$224),0),
IF('TL07'!$B$229=J$3,SUMIF('TL07'!$C$238:$C$451,$C294,'TL07'!$J$238:$J$451),0),
IF('TL08'!$B$3=J$3,SUMIF('TL08'!$C$10:$C$224,$C294,'TL08'!$J$10:$J$224),0),
IF('TL08'!$B$229=J$3,SUMIF('TL08'!$C$238:$C$451,$C294,'TL08'!$J$238:$J$451),0),
IF('TL09'!$B$3=J$3,SUMIF('TL09'!$C$10:$C$224,$C294,'TL09'!$J$10:$J$224),0),
IF('TL09'!$B$229=J$3,SUMIF('TL09'!$C$238:$C$451,$C294,'TL09'!$J$238:$J$451),0),
IF('TL10'!$B$3=J$3,SUMIF('TL10'!$C$10:$C$224,$C294,'TL10'!$J$10:$J$224),0),
IF('TL10'!$B$229=J$3,SUMIF('TL10'!$C$238:$C$451,$C294,'TL10'!$J$238:$J$451),0),
IF('TL11'!$B$3=J$3,SUMIF('TL11'!$C$10:$C$224,$C294,'TL11'!$J$10:$J$224),0),
IF('TL11'!$B$229=J$3,SUMIF('TL11'!$C$238:$C$451,$C294,'TL11'!$J$238:$J$451),0),
IF('TL12'!$B$3=J$3,SUMIF('TL12'!$C$10:$C$224,$C294,'TL12'!$J$10:$J$224),0),
IF('TL12'!$B$229=J$3,SUMIF('TL12'!$C$238:$C$451,$C294,'TL12'!$J$238:$J$451),0),
IF('TL13'!$B$3=J$3,SUMIF('TL13'!$C$10:$C$224,$C294,'TL13'!$J$10:$J$224),0),
IF('TL13'!$B$229=J$3,SUMIF('TL13'!$C$238:$C$451,$C294,'TL13'!$J$238:$J$451),0),
IF('TL14'!$B$3=J$3,SUMIF('TL14'!$C$10:$C$224,$C294,'TL14'!$J$10:$J$224),0),
IF('TL14'!$B$229=J$3,SUMIF('TL14'!$C$238:$C$451,$C294,'TL14'!$J$238:$J$451),0),
IF('TL15'!$B$3=J$3,SUMIF('TL15'!$C$10:$C$224,$C294,'TL15'!$J$10:$J$224),0),
IF('TL15'!$B$229=J$3,SUMIF('TL15'!$C$238:$C$451,$C294,'TL15'!$J$238:$J$451),0),
IF('TL16'!$B$3=J$3,SUMIF('TL16'!$C$10:$C$224,$C294,'TL16'!$J$10:$J$224),0),
IF('TL16'!$B$229=J$3,SUMIF('TL16'!$C$238:$C$451,$C294,'TL16'!$J$238:$J$451),0),
IF('TL17'!$B$3=J$3,SUMIF('TL17'!$C$10:$C$224,$C294,'TL17'!$J$10:$J$224),0),
IF('TL17'!$B$229=J$3,SUMIF('TL17'!$C$238:$C$451,$C294,'TL17'!$J$238:$J$451),0),
IF('TL18'!$B$3=J$3,SUMIF('TL18'!$C$10:$C$224,$C294,'TL18'!$J$10:$J$224),0),
IF('TL18'!$B$229=J$3,SUMIF('TL18'!$C$238:$C$451,$C294,'TL18'!$J$238:$J$451),0),
IF('TL19'!$B$3=J$3,SUMIF('TL19'!$C$10:$C$224,$C294,'TL19'!$J$10:$J$224),0),
IF('TL19'!$B$229=J$3,SUMIF('TL19'!$C$238:$C$451,$C294,'TL19'!$J$238:$J$451),0)
),0)</f>
        <v/>
      </c>
      <c r="K294" s="9">
        <f>IFERROR(SUM(
IF('TL01'!$B$3=K$3,SUMIF('TL01'!$C$10:$C$224,$C294,'TL01'!$J$10:$J$224),0),
IF('TL01'!$B$229=K$3,SUMIF('TL01'!$C$238:$C$451,$C294,'TL01'!$J$238:$J$451),0),
IF('TL02'!$B$3=K$3,SUMIF('TL02'!$C$10:$C$224,$C294,'TL02'!$J$10:$J$224),0),
IF('TL02'!$B$229=K$3,SUMIF('TL02'!$C$238:$C$451,$C294,'TL02'!$J$238:$J$451),0),
IF('TL03'!$B$3=K$3,SUMIF('TL03'!$C$10:$C$224,$C294,'TL03'!$J$10:$J$224),0),
IF('TL03'!$B$229=K$3,SUMIF('TL03'!$C$238:$C$451,$C294,'TL03'!$J$238:$J$451),0),
IF('TL04'!$B$3=K$3,SUMIF('TL04'!$C$10:$C$224,$C294,'TL04'!$J$10:$J$224),0),
IF('TL04'!$B$229=K$3,SUMIF('TL04'!$C$238:$C$451,$C294,'TL04'!$J$238:$J$451),0),
IF('TL05'!$B$3=K$3,SUMIF('TL05'!$C$10:$C$224,$C294,'TL05'!$J$10:$J$224),0),
IF('TL05'!$B$229=K$3,SUMIF('TL05'!$C$238:$C$451,$C294,'TL05'!$J$238:$J$451),0),
IF('TL06'!$B$3=K$3,SUMIF('TL06'!$C$10:$C$224,$C294,'TL06'!$J$10:$J$224),0),
IF('TL06'!$B$229=K$3,SUMIF('TL06'!$C$238:$C$451,$C294,'TL06'!$J$238:$J$451),0),
IF('TL07'!$B$3=K$3,SUMIF('TL07'!$C$10:$C$224,$C294,'TL07'!$J$10:$J$224),0),
IF('TL07'!$B$229=K$3,SUMIF('TL07'!$C$238:$C$451,$C294,'TL07'!$J$238:$J$451),0),
IF('TL08'!$B$3=K$3,SUMIF('TL08'!$C$10:$C$224,$C294,'TL08'!$J$10:$J$224),0),
IF('TL08'!$B$229=K$3,SUMIF('TL08'!$C$238:$C$451,$C294,'TL08'!$J$238:$J$451),0),
IF('TL09'!$B$3=K$3,SUMIF('TL09'!$C$10:$C$224,$C294,'TL09'!$J$10:$J$224),0),
IF('TL09'!$B$229=K$3,SUMIF('TL09'!$C$238:$C$451,$C294,'TL09'!$J$238:$J$451),0),
IF('TL10'!$B$3=K$3,SUMIF('TL10'!$C$10:$C$224,$C294,'TL10'!$J$10:$J$224),0),
IF('TL10'!$B$229=K$3,SUMIF('TL10'!$C$238:$C$451,$C294,'TL10'!$J$238:$J$451),0),
IF('TL11'!$B$3=K$3,SUMIF('TL11'!$C$10:$C$224,$C294,'TL11'!$J$10:$J$224),0),
IF('TL11'!$B$229=K$3,SUMIF('TL11'!$C$238:$C$451,$C294,'TL11'!$J$238:$J$451),0),
IF('TL12'!$B$3=K$3,SUMIF('TL12'!$C$10:$C$224,$C294,'TL12'!$J$10:$J$224),0),
IF('TL12'!$B$229=K$3,SUMIF('TL12'!$C$238:$C$451,$C294,'TL12'!$J$238:$J$451),0),
IF('TL13'!$B$3=K$3,SUMIF('TL13'!$C$10:$C$224,$C294,'TL13'!$J$10:$J$224),0),
IF('TL13'!$B$229=K$3,SUMIF('TL13'!$C$238:$C$451,$C294,'TL13'!$J$238:$J$451),0),
IF('TL14'!$B$3=K$3,SUMIF('TL14'!$C$10:$C$224,$C294,'TL14'!$J$10:$J$224),0),
IF('TL14'!$B$229=K$3,SUMIF('TL14'!$C$238:$C$451,$C294,'TL14'!$J$238:$J$451),0),
IF('TL15'!$B$3=K$3,SUMIF('TL15'!$C$10:$C$224,$C294,'TL15'!$J$10:$J$224),0),
IF('TL15'!$B$229=K$3,SUMIF('TL15'!$C$238:$C$451,$C294,'TL15'!$J$238:$J$451),0),
IF('TL16'!$B$3=K$3,SUMIF('TL16'!$C$10:$C$224,$C294,'TL16'!$J$10:$J$224),0),
IF('TL16'!$B$229=K$3,SUMIF('TL16'!$C$238:$C$451,$C294,'TL16'!$J$238:$J$451),0),
IF('TL17'!$B$3=K$3,SUMIF('TL17'!$C$10:$C$224,$C294,'TL17'!$J$10:$J$224),0),
IF('TL17'!$B$229=K$3,SUMIF('TL17'!$C$238:$C$451,$C294,'TL17'!$J$238:$J$451),0),
IF('TL18'!$B$3=K$3,SUMIF('TL18'!$C$10:$C$224,$C294,'TL18'!$J$10:$J$224),0),
IF('TL18'!$B$229=K$3,SUMIF('TL18'!$C$238:$C$451,$C294,'TL18'!$J$238:$J$451),0),
IF('TL19'!$B$3=K$3,SUMIF('TL19'!$C$10:$C$224,$C294,'TL19'!$J$10:$J$224),0),
IF('TL19'!$B$229=K$3,SUMIF('TL19'!$C$238:$C$451,$C294,'TL19'!$J$238:$J$451),0)
),0)</f>
        <v/>
      </c>
      <c r="L294" s="9">
        <f>IFERROR(SUM(
IF('TL01'!$B$3=L$3,SUMIF('TL01'!$C$10:$C$224,$C294,'TL01'!$J$10:$J$224),0),
IF('TL01'!$B$229=L$3,SUMIF('TL01'!$C$238:$C$451,$C294,'TL01'!$J$238:$J$451),0),
IF('TL02'!$B$3=L$3,SUMIF('TL02'!$C$10:$C$224,$C294,'TL02'!$J$10:$J$224),0),
IF('TL02'!$B$229=L$3,SUMIF('TL02'!$C$238:$C$451,$C294,'TL02'!$J$238:$J$451),0),
IF('TL03'!$B$3=L$3,SUMIF('TL03'!$C$10:$C$224,$C294,'TL03'!$J$10:$J$224),0),
IF('TL03'!$B$229=L$3,SUMIF('TL03'!$C$238:$C$451,$C294,'TL03'!$J$238:$J$451),0),
IF('TL04'!$B$3=L$3,SUMIF('TL04'!$C$10:$C$224,$C294,'TL04'!$J$10:$J$224),0),
IF('TL04'!$B$229=L$3,SUMIF('TL04'!$C$238:$C$451,$C294,'TL04'!$J$238:$J$451),0),
IF('TL05'!$B$3=L$3,SUMIF('TL05'!$C$10:$C$224,$C294,'TL05'!$J$10:$J$224),0),
IF('TL05'!$B$229=L$3,SUMIF('TL05'!$C$238:$C$451,$C294,'TL05'!$J$238:$J$451),0),
IF('TL06'!$B$3=L$3,SUMIF('TL06'!$C$10:$C$224,$C294,'TL06'!$J$10:$J$224),0),
IF('TL06'!$B$229=L$3,SUMIF('TL06'!$C$238:$C$451,$C294,'TL06'!$J$238:$J$451),0),
IF('TL07'!$B$3=L$3,SUMIF('TL07'!$C$10:$C$224,$C294,'TL07'!$J$10:$J$224),0),
IF('TL07'!$B$229=L$3,SUMIF('TL07'!$C$238:$C$451,$C294,'TL07'!$J$238:$J$451),0),
IF('TL08'!$B$3=L$3,SUMIF('TL08'!$C$10:$C$224,$C294,'TL08'!$J$10:$J$224),0),
IF('TL08'!$B$229=L$3,SUMIF('TL08'!$C$238:$C$451,$C294,'TL08'!$J$238:$J$451),0),
IF('TL09'!$B$3=L$3,SUMIF('TL09'!$C$10:$C$224,$C294,'TL09'!$J$10:$J$224),0),
IF('TL09'!$B$229=L$3,SUMIF('TL09'!$C$238:$C$451,$C294,'TL09'!$J$238:$J$451),0),
IF('TL10'!$B$3=L$3,SUMIF('TL10'!$C$10:$C$224,$C294,'TL10'!$J$10:$J$224),0),
IF('TL10'!$B$229=L$3,SUMIF('TL10'!$C$238:$C$451,$C294,'TL10'!$J$238:$J$451),0),
IF('TL11'!$B$3=L$3,SUMIF('TL11'!$C$10:$C$224,$C294,'TL11'!$J$10:$J$224),0),
IF('TL11'!$B$229=L$3,SUMIF('TL11'!$C$238:$C$451,$C294,'TL11'!$J$238:$J$451),0),
IF('TL12'!$B$3=L$3,SUMIF('TL12'!$C$10:$C$224,$C294,'TL12'!$J$10:$J$224),0),
IF('TL12'!$B$229=L$3,SUMIF('TL12'!$C$238:$C$451,$C294,'TL12'!$J$238:$J$451),0),
IF('TL13'!$B$3=L$3,SUMIF('TL13'!$C$10:$C$224,$C294,'TL13'!$J$10:$J$224),0),
IF('TL13'!$B$229=L$3,SUMIF('TL13'!$C$238:$C$451,$C294,'TL13'!$J$238:$J$451),0),
IF('TL14'!$B$3=L$3,SUMIF('TL14'!$C$10:$C$224,$C294,'TL14'!$J$10:$J$224),0),
IF('TL14'!$B$229=L$3,SUMIF('TL14'!$C$238:$C$451,$C294,'TL14'!$J$238:$J$451),0),
IF('TL15'!$B$3=L$3,SUMIF('TL15'!$C$10:$C$224,$C294,'TL15'!$J$10:$J$224),0),
IF('TL15'!$B$229=L$3,SUMIF('TL15'!$C$238:$C$451,$C294,'TL15'!$J$238:$J$451),0),
IF('TL16'!$B$3=L$3,SUMIF('TL16'!$C$10:$C$224,$C294,'TL16'!$J$10:$J$224),0),
IF('TL16'!$B$229=L$3,SUMIF('TL16'!$C$238:$C$451,$C294,'TL16'!$J$238:$J$451),0),
IF('TL17'!$B$3=L$3,SUMIF('TL17'!$C$10:$C$224,$C294,'TL17'!$J$10:$J$224),0),
IF('TL17'!$B$229=L$3,SUMIF('TL17'!$C$238:$C$451,$C294,'TL17'!$J$238:$J$451),0),
IF('TL18'!$B$3=L$3,SUMIF('TL18'!$C$10:$C$224,$C294,'TL18'!$J$10:$J$224),0),
IF('TL18'!$B$229=L$3,SUMIF('TL18'!$C$238:$C$451,$C294,'TL18'!$J$238:$J$451),0),
IF('TL19'!$B$3=L$3,SUMIF('TL19'!$C$10:$C$224,$C294,'TL19'!$J$10:$J$224),0),
IF('TL19'!$B$229=L$3,SUMIF('TL19'!$C$238:$C$451,$C294,'TL19'!$J$238:$J$451),0)
),0)</f>
        <v/>
      </c>
      <c r="M294" s="9">
        <f>IFERROR(SUM(
IF('TL01'!$B$3=M$3,SUMIF('TL01'!$C$10:$C$224,$C294,'TL01'!$J$10:$J$224),0),
IF('TL01'!$B$229=M$3,SUMIF('TL01'!$C$238:$C$451,$C294,'TL01'!$J$238:$J$451),0),
IF('TL02'!$B$3=M$3,SUMIF('TL02'!$C$10:$C$224,$C294,'TL02'!$J$10:$J$224),0),
IF('TL02'!$B$229=M$3,SUMIF('TL02'!$C$238:$C$451,$C294,'TL02'!$J$238:$J$451),0),
IF('TL03'!$B$3=M$3,SUMIF('TL03'!$C$10:$C$224,$C294,'TL03'!$J$10:$J$224),0),
IF('TL03'!$B$229=M$3,SUMIF('TL03'!$C$238:$C$451,$C294,'TL03'!$J$238:$J$451),0),
IF('TL04'!$B$3=M$3,SUMIF('TL04'!$C$10:$C$224,$C294,'TL04'!$J$10:$J$224),0),
IF('TL04'!$B$229=M$3,SUMIF('TL04'!$C$238:$C$451,$C294,'TL04'!$J$238:$J$451),0),
IF('TL05'!$B$3=M$3,SUMIF('TL05'!$C$10:$C$224,$C294,'TL05'!$J$10:$J$224),0),
IF('TL05'!$B$229=M$3,SUMIF('TL05'!$C$238:$C$451,$C294,'TL05'!$J$238:$J$451),0),
IF('TL06'!$B$3=M$3,SUMIF('TL06'!$C$10:$C$224,$C294,'TL06'!$J$10:$J$224),0),
IF('TL06'!$B$229=M$3,SUMIF('TL06'!$C$238:$C$451,$C294,'TL06'!$J$238:$J$451),0),
IF('TL07'!$B$3=M$3,SUMIF('TL07'!$C$10:$C$224,$C294,'TL07'!$J$10:$J$224),0),
IF('TL07'!$B$229=M$3,SUMIF('TL07'!$C$238:$C$451,$C294,'TL07'!$J$238:$J$451),0),
IF('TL08'!$B$3=M$3,SUMIF('TL08'!$C$10:$C$224,$C294,'TL08'!$J$10:$J$224),0),
IF('TL08'!$B$229=M$3,SUMIF('TL08'!$C$238:$C$451,$C294,'TL08'!$J$238:$J$451),0),
IF('TL09'!$B$3=M$3,SUMIF('TL09'!$C$10:$C$224,$C294,'TL09'!$J$10:$J$224),0),
IF('TL09'!$B$229=M$3,SUMIF('TL09'!$C$238:$C$451,$C294,'TL09'!$J$238:$J$451),0),
IF('TL10'!$B$3=M$3,SUMIF('TL10'!$C$10:$C$224,$C294,'TL10'!$J$10:$J$224),0),
IF('TL10'!$B$229=M$3,SUMIF('TL10'!$C$238:$C$451,$C294,'TL10'!$J$238:$J$451),0),
IF('TL11'!$B$3=M$3,SUMIF('TL11'!$C$10:$C$224,$C294,'TL11'!$J$10:$J$224),0),
IF('TL11'!$B$229=M$3,SUMIF('TL11'!$C$238:$C$451,$C294,'TL11'!$J$238:$J$451),0),
IF('TL12'!$B$3=M$3,SUMIF('TL12'!$C$10:$C$224,$C294,'TL12'!$J$10:$J$224),0),
IF('TL12'!$B$229=M$3,SUMIF('TL12'!$C$238:$C$451,$C294,'TL12'!$J$238:$J$451),0),
IF('TL13'!$B$3=M$3,SUMIF('TL13'!$C$10:$C$224,$C294,'TL13'!$J$10:$J$224),0),
IF('TL13'!$B$229=M$3,SUMIF('TL13'!$C$238:$C$451,$C294,'TL13'!$J$238:$J$451),0),
IF('TL14'!$B$3=M$3,SUMIF('TL14'!$C$10:$C$224,$C294,'TL14'!$J$10:$J$224),0),
IF('TL14'!$B$229=M$3,SUMIF('TL14'!$C$238:$C$451,$C294,'TL14'!$J$238:$J$451),0),
IF('TL15'!$B$3=M$3,SUMIF('TL15'!$C$10:$C$224,$C294,'TL15'!$J$10:$J$224),0),
IF('TL15'!$B$229=M$3,SUMIF('TL15'!$C$238:$C$451,$C294,'TL15'!$J$238:$J$451),0),
IF('TL16'!$B$3=M$3,SUMIF('TL16'!$C$10:$C$224,$C294,'TL16'!$J$10:$J$224),0),
IF('TL16'!$B$229=M$3,SUMIF('TL16'!$C$238:$C$451,$C294,'TL16'!$J$238:$J$451),0),
IF('TL17'!$B$3=M$3,SUMIF('TL17'!$C$10:$C$224,$C294,'TL17'!$J$10:$J$224),0),
IF('TL17'!$B$229=M$3,SUMIF('TL17'!$C$238:$C$451,$C294,'TL17'!$J$238:$J$451),0),
IF('TL18'!$B$3=M$3,SUMIF('TL18'!$C$10:$C$224,$C294,'TL18'!$J$10:$J$224),0),
IF('TL18'!$B$229=M$3,SUMIF('TL18'!$C$238:$C$451,$C294,'TL18'!$J$238:$J$451),0),
IF('TL19'!$B$3=M$3,SUMIF('TL19'!$C$10:$C$224,$C294,'TL19'!$J$10:$J$224),0),
IF('TL19'!$B$229=M$3,SUMIF('TL19'!$C$238:$C$451,$C294,'TL19'!$J$238:$J$451),0)
),0)</f>
        <v/>
      </c>
      <c r="N294" s="9">
        <f>IFERROR(SUM(
IF('TL01'!$B$3=N$3,SUMIF('TL01'!$C$10:$C$224,$C294,'TL01'!$J$10:$J$224),0),
IF('TL01'!$B$229=N$3,SUMIF('TL01'!$C$238:$C$451,$C294,'TL01'!$J$238:$J$451),0),
IF('TL02'!$B$3=N$3,SUMIF('TL02'!$C$10:$C$224,$C294,'TL02'!$J$10:$J$224),0),
IF('TL02'!$B$229=N$3,SUMIF('TL02'!$C$238:$C$451,$C294,'TL02'!$J$238:$J$451),0),
IF('TL03'!$B$3=N$3,SUMIF('TL03'!$C$10:$C$224,$C294,'TL03'!$J$10:$J$224),0),
IF('TL03'!$B$229=N$3,SUMIF('TL03'!$C$238:$C$451,$C294,'TL03'!$J$238:$J$451),0),
IF('TL04'!$B$3=N$3,SUMIF('TL04'!$C$10:$C$224,$C294,'TL04'!$J$10:$J$224),0),
IF('TL04'!$B$229=N$3,SUMIF('TL04'!$C$238:$C$451,$C294,'TL04'!$J$238:$J$451),0),
IF('TL05'!$B$3=N$3,SUMIF('TL05'!$C$10:$C$224,$C294,'TL05'!$J$10:$J$224),0),
IF('TL05'!$B$229=N$3,SUMIF('TL05'!$C$238:$C$451,$C294,'TL05'!$J$238:$J$451),0),
IF('TL06'!$B$3=N$3,SUMIF('TL06'!$C$10:$C$224,$C294,'TL06'!$J$10:$J$224),0),
IF('TL06'!$B$229=N$3,SUMIF('TL06'!$C$238:$C$451,$C294,'TL06'!$J$238:$J$451),0),
IF('TL07'!$B$3=N$3,SUMIF('TL07'!$C$10:$C$224,$C294,'TL07'!$J$10:$J$224),0),
IF('TL07'!$B$229=N$3,SUMIF('TL07'!$C$238:$C$451,$C294,'TL07'!$J$238:$J$451),0),
IF('TL08'!$B$3=N$3,SUMIF('TL08'!$C$10:$C$224,$C294,'TL08'!$J$10:$J$224),0),
IF('TL08'!$B$229=N$3,SUMIF('TL08'!$C$238:$C$451,$C294,'TL08'!$J$238:$J$451),0),
IF('TL09'!$B$3=N$3,SUMIF('TL09'!$C$10:$C$224,$C294,'TL09'!$J$10:$J$224),0),
IF('TL09'!$B$229=N$3,SUMIF('TL09'!$C$238:$C$451,$C294,'TL09'!$J$238:$J$451),0),
IF('TL10'!$B$3=N$3,SUMIF('TL10'!$C$10:$C$224,$C294,'TL10'!$J$10:$J$224),0),
IF('TL10'!$B$229=N$3,SUMIF('TL10'!$C$238:$C$451,$C294,'TL10'!$J$238:$J$451),0),
IF('TL11'!$B$3=N$3,SUMIF('TL11'!$C$10:$C$224,$C294,'TL11'!$J$10:$J$224),0),
IF('TL11'!$B$229=N$3,SUMIF('TL11'!$C$238:$C$451,$C294,'TL11'!$J$238:$J$451),0),
IF('TL12'!$B$3=N$3,SUMIF('TL12'!$C$10:$C$224,$C294,'TL12'!$J$10:$J$224),0),
IF('TL12'!$B$229=N$3,SUMIF('TL12'!$C$238:$C$451,$C294,'TL12'!$J$238:$J$451),0),
IF('TL13'!$B$3=N$3,SUMIF('TL13'!$C$10:$C$224,$C294,'TL13'!$J$10:$J$224),0),
IF('TL13'!$B$229=N$3,SUMIF('TL13'!$C$238:$C$451,$C294,'TL13'!$J$238:$J$451),0),
IF('TL14'!$B$3=N$3,SUMIF('TL14'!$C$10:$C$224,$C294,'TL14'!$J$10:$J$224),0),
IF('TL14'!$B$229=N$3,SUMIF('TL14'!$C$238:$C$451,$C294,'TL14'!$J$238:$J$451),0),
IF('TL15'!$B$3=N$3,SUMIF('TL15'!$C$10:$C$224,$C294,'TL15'!$J$10:$J$224),0),
IF('TL15'!$B$229=N$3,SUMIF('TL15'!$C$238:$C$451,$C294,'TL15'!$J$238:$J$451),0),
IF('TL16'!$B$3=N$3,SUMIF('TL16'!$C$10:$C$224,$C294,'TL16'!$J$10:$J$224),0),
IF('TL16'!$B$229=N$3,SUMIF('TL16'!$C$238:$C$451,$C294,'TL16'!$J$238:$J$451),0),
IF('TL17'!$B$3=N$3,SUMIF('TL17'!$C$10:$C$224,$C294,'TL17'!$J$10:$J$224),0),
IF('TL17'!$B$229=N$3,SUMIF('TL17'!$C$238:$C$451,$C294,'TL17'!$J$238:$J$451),0),
IF('TL18'!$B$3=N$3,SUMIF('TL18'!$C$10:$C$224,$C294,'TL18'!$J$10:$J$224),0),
IF('TL18'!$B$229=N$3,SUMIF('TL18'!$C$238:$C$451,$C294,'TL18'!$J$238:$J$451),0),
IF('TL19'!$B$3=N$3,SUMIF('TL19'!$C$10:$C$224,$C294,'TL19'!$J$10:$J$224),0),
IF('TL19'!$B$229=N$3,SUMIF('TL19'!$C$238:$C$451,$C294,'TL19'!$J$238:$J$451),0)
),0)</f>
        <v/>
      </c>
      <c r="O294" s="9">
        <f>IFERROR(SUM(
IF('TL01'!$B$3=O$3,SUMIF('TL01'!$C$10:$C$224,$C294,'TL01'!$J$10:$J$224),0),
IF('TL01'!$B$229=O$3,SUMIF('TL01'!$C$238:$C$451,$C294,'TL01'!$J$238:$J$451),0),
IF('TL02'!$B$3=O$3,SUMIF('TL02'!$C$10:$C$224,$C294,'TL02'!$J$10:$J$224),0),
IF('TL02'!$B$229=O$3,SUMIF('TL02'!$C$238:$C$451,$C294,'TL02'!$J$238:$J$451),0),
IF('TL03'!$B$3=O$3,SUMIF('TL03'!$C$10:$C$224,$C294,'TL03'!$J$10:$J$224),0),
IF('TL03'!$B$229=O$3,SUMIF('TL03'!$C$238:$C$451,$C294,'TL03'!$J$238:$J$451),0),
IF('TL04'!$B$3=O$3,SUMIF('TL04'!$C$10:$C$224,$C294,'TL04'!$J$10:$J$224),0),
IF('TL04'!$B$229=O$3,SUMIF('TL04'!$C$238:$C$451,$C294,'TL04'!$J$238:$J$451),0),
IF('TL05'!$B$3=O$3,SUMIF('TL05'!$C$10:$C$224,$C294,'TL05'!$J$10:$J$224),0),
IF('TL05'!$B$229=O$3,SUMIF('TL05'!$C$238:$C$451,$C294,'TL05'!$J$238:$J$451),0),
IF('TL06'!$B$3=O$3,SUMIF('TL06'!$C$10:$C$224,$C294,'TL06'!$J$10:$J$224),0),
IF('TL06'!$B$229=O$3,SUMIF('TL06'!$C$238:$C$451,$C294,'TL06'!$J$238:$J$451),0),
IF('TL07'!$B$3=O$3,SUMIF('TL07'!$C$10:$C$224,$C294,'TL07'!$J$10:$J$224),0),
IF('TL07'!$B$229=O$3,SUMIF('TL07'!$C$238:$C$451,$C294,'TL07'!$J$238:$J$451),0),
IF('TL08'!$B$3=O$3,SUMIF('TL08'!$C$10:$C$224,$C294,'TL08'!$J$10:$J$224),0),
IF('TL08'!$B$229=O$3,SUMIF('TL08'!$C$238:$C$451,$C294,'TL08'!$J$238:$J$451),0),
IF('TL09'!$B$3=O$3,SUMIF('TL09'!$C$10:$C$224,$C294,'TL09'!$J$10:$J$224),0),
IF('TL09'!$B$229=O$3,SUMIF('TL09'!$C$238:$C$451,$C294,'TL09'!$J$238:$J$451),0),
IF('TL10'!$B$3=O$3,SUMIF('TL10'!$C$10:$C$224,$C294,'TL10'!$J$10:$J$224),0),
IF('TL10'!$B$229=O$3,SUMIF('TL10'!$C$238:$C$451,$C294,'TL10'!$J$238:$J$451),0),
IF('TL11'!$B$3=O$3,SUMIF('TL11'!$C$10:$C$224,$C294,'TL11'!$J$10:$J$224),0),
IF('TL11'!$B$229=O$3,SUMIF('TL11'!$C$238:$C$451,$C294,'TL11'!$J$238:$J$451),0),
IF('TL12'!$B$3=O$3,SUMIF('TL12'!$C$10:$C$224,$C294,'TL12'!$J$10:$J$224),0),
IF('TL12'!$B$229=O$3,SUMIF('TL12'!$C$238:$C$451,$C294,'TL12'!$J$238:$J$451),0),
IF('TL13'!$B$3=O$3,SUMIF('TL13'!$C$10:$C$224,$C294,'TL13'!$J$10:$J$224),0),
IF('TL13'!$B$229=O$3,SUMIF('TL13'!$C$238:$C$451,$C294,'TL13'!$J$238:$J$451),0),
IF('TL14'!$B$3=O$3,SUMIF('TL14'!$C$10:$C$224,$C294,'TL14'!$J$10:$J$224),0),
IF('TL14'!$B$229=O$3,SUMIF('TL14'!$C$238:$C$451,$C294,'TL14'!$J$238:$J$451),0),
IF('TL15'!$B$3=O$3,SUMIF('TL15'!$C$10:$C$224,$C294,'TL15'!$J$10:$J$224),0),
IF('TL15'!$B$229=O$3,SUMIF('TL15'!$C$238:$C$451,$C294,'TL15'!$J$238:$J$451),0),
IF('TL16'!$B$3=O$3,SUMIF('TL16'!$C$10:$C$224,$C294,'TL16'!$J$10:$J$224),0),
IF('TL16'!$B$229=O$3,SUMIF('TL16'!$C$238:$C$451,$C294,'TL16'!$J$238:$J$451),0),
IF('TL17'!$B$3=O$3,SUMIF('TL17'!$C$10:$C$224,$C294,'TL17'!$J$10:$J$224),0),
IF('TL17'!$B$229=O$3,SUMIF('TL17'!$C$238:$C$451,$C294,'TL17'!$J$238:$J$451),0),
IF('TL18'!$B$3=O$3,SUMIF('TL18'!$C$10:$C$224,$C294,'TL18'!$J$10:$J$224),0),
IF('TL18'!$B$229=O$3,SUMIF('TL18'!$C$238:$C$451,$C294,'TL18'!$J$238:$J$451),0),
IF('TL19'!$B$3=O$3,SUMIF('TL19'!$C$10:$C$224,$C294,'TL19'!$J$10:$J$224),0),
IF('TL19'!$B$229=O$3,SUMIF('TL19'!$C$238:$C$451,$C294,'TL19'!$J$238:$J$451),0)
),0)</f>
        <v/>
      </c>
      <c r="P294" s="9">
        <f>IFERROR(SUM(
IF('TL01'!$B$3=P$3,SUMIF('TL01'!$C$10:$C$224,$C294,'TL01'!$J$10:$J$224),0),
IF('TL01'!$B$229=P$3,SUMIF('TL01'!$C$238:$C$451,$C294,'TL01'!$J$238:$J$451),0),
IF('TL02'!$B$3=P$3,SUMIF('TL02'!$C$10:$C$224,$C294,'TL02'!$J$10:$J$224),0),
IF('TL02'!$B$229=P$3,SUMIF('TL02'!$C$238:$C$451,$C294,'TL02'!$J$238:$J$451),0),
IF('TL03'!$B$3=P$3,SUMIF('TL03'!$C$10:$C$224,$C294,'TL03'!$J$10:$J$224),0),
IF('TL03'!$B$229=P$3,SUMIF('TL03'!$C$238:$C$451,$C294,'TL03'!$J$238:$J$451),0),
IF('TL04'!$B$3=P$3,SUMIF('TL04'!$C$10:$C$224,$C294,'TL04'!$J$10:$J$224),0),
IF('TL04'!$B$229=P$3,SUMIF('TL04'!$C$238:$C$451,$C294,'TL04'!$J$238:$J$451),0),
IF('TL05'!$B$3=P$3,SUMIF('TL05'!$C$10:$C$224,$C294,'TL05'!$J$10:$J$224),0),
IF('TL05'!$B$229=P$3,SUMIF('TL05'!$C$238:$C$451,$C294,'TL05'!$J$238:$J$451),0),
IF('TL06'!$B$3=P$3,SUMIF('TL06'!$C$10:$C$224,$C294,'TL06'!$J$10:$J$224),0),
IF('TL06'!$B$229=P$3,SUMIF('TL06'!$C$238:$C$451,$C294,'TL06'!$J$238:$J$451),0),
IF('TL07'!$B$3=P$3,SUMIF('TL07'!$C$10:$C$224,$C294,'TL07'!$J$10:$J$224),0),
IF('TL07'!$B$229=P$3,SUMIF('TL07'!$C$238:$C$451,$C294,'TL07'!$J$238:$J$451),0),
IF('TL08'!$B$3=P$3,SUMIF('TL08'!$C$10:$C$224,$C294,'TL08'!$J$10:$J$224),0),
IF('TL08'!$B$229=P$3,SUMIF('TL08'!$C$238:$C$451,$C294,'TL08'!$J$238:$J$451),0),
IF('TL09'!$B$3=P$3,SUMIF('TL09'!$C$10:$C$224,$C294,'TL09'!$J$10:$J$224),0),
IF('TL09'!$B$229=P$3,SUMIF('TL09'!$C$238:$C$451,$C294,'TL09'!$J$238:$J$451),0),
IF('TL10'!$B$3=P$3,SUMIF('TL10'!$C$10:$C$224,$C294,'TL10'!$J$10:$J$224),0),
IF('TL10'!$B$229=P$3,SUMIF('TL10'!$C$238:$C$451,$C294,'TL10'!$J$238:$J$451),0),
IF('TL11'!$B$3=P$3,SUMIF('TL11'!$C$10:$C$224,$C294,'TL11'!$J$10:$J$224),0),
IF('TL11'!$B$229=P$3,SUMIF('TL11'!$C$238:$C$451,$C294,'TL11'!$J$238:$J$451),0),
IF('TL12'!$B$3=P$3,SUMIF('TL12'!$C$10:$C$224,$C294,'TL12'!$J$10:$J$224),0),
IF('TL12'!$B$229=P$3,SUMIF('TL12'!$C$238:$C$451,$C294,'TL12'!$J$238:$J$451),0),
IF('TL13'!$B$3=P$3,SUMIF('TL13'!$C$10:$C$224,$C294,'TL13'!$J$10:$J$224),0),
IF('TL13'!$B$229=P$3,SUMIF('TL13'!$C$238:$C$451,$C294,'TL13'!$J$238:$J$451),0),
IF('TL14'!$B$3=P$3,SUMIF('TL14'!$C$10:$C$224,$C294,'TL14'!$J$10:$J$224),0),
IF('TL14'!$B$229=P$3,SUMIF('TL14'!$C$238:$C$451,$C294,'TL14'!$J$238:$J$451),0),
IF('TL15'!$B$3=P$3,SUMIF('TL15'!$C$10:$C$224,$C294,'TL15'!$J$10:$J$224),0),
IF('TL15'!$B$229=P$3,SUMIF('TL15'!$C$238:$C$451,$C294,'TL15'!$J$238:$J$451),0),
IF('TL16'!$B$3=P$3,SUMIF('TL16'!$C$10:$C$224,$C294,'TL16'!$J$10:$J$224),0),
IF('TL16'!$B$229=P$3,SUMIF('TL16'!$C$238:$C$451,$C294,'TL16'!$J$238:$J$451),0),
IF('TL17'!$B$3=P$3,SUMIF('TL17'!$C$10:$C$224,$C294,'TL17'!$J$10:$J$224),0),
IF('TL17'!$B$229=P$3,SUMIF('TL17'!$C$238:$C$451,$C294,'TL17'!$J$238:$J$451),0),
IF('TL18'!$B$3=P$3,SUMIF('TL18'!$C$10:$C$224,$C294,'TL18'!$J$10:$J$224),0),
IF('TL18'!$B$229=P$3,SUMIF('TL18'!$C$238:$C$451,$C294,'TL18'!$J$238:$J$451),0),
IF('TL19'!$B$3=P$3,SUMIF('TL19'!$C$10:$C$224,$C294,'TL19'!$J$10:$J$224),0),
IF('TL19'!$B$229=P$3,SUMIF('TL19'!$C$238:$C$451,$C294,'TL19'!$J$238:$J$451),0)
),0)</f>
        <v/>
      </c>
      <c r="Q294" s="9">
        <f>IFERROR(SUM(
IF('TL01'!$B$3=Q$3,SUMIF('TL01'!$C$10:$C$224,$C294,'TL01'!$J$10:$J$224),0),
IF('TL01'!$B$229=Q$3,SUMIF('TL01'!$C$238:$C$451,$C294,'TL01'!$J$238:$J$451),0),
IF('TL02'!$B$3=Q$3,SUMIF('TL02'!$C$10:$C$224,$C294,'TL02'!$J$10:$J$224),0),
IF('TL02'!$B$229=Q$3,SUMIF('TL02'!$C$238:$C$451,$C294,'TL02'!$J$238:$J$451),0),
IF('TL03'!$B$3=Q$3,SUMIF('TL03'!$C$10:$C$224,$C294,'TL03'!$J$10:$J$224),0),
IF('TL03'!$B$229=Q$3,SUMIF('TL03'!$C$238:$C$451,$C294,'TL03'!$J$238:$J$451),0),
IF('TL04'!$B$3=Q$3,SUMIF('TL04'!$C$10:$C$224,$C294,'TL04'!$J$10:$J$224),0),
IF('TL04'!$B$229=Q$3,SUMIF('TL04'!$C$238:$C$451,$C294,'TL04'!$J$238:$J$451),0),
IF('TL05'!$B$3=Q$3,SUMIF('TL05'!$C$10:$C$224,$C294,'TL05'!$J$10:$J$224),0),
IF('TL05'!$B$229=Q$3,SUMIF('TL05'!$C$238:$C$451,$C294,'TL05'!$J$238:$J$451),0),
IF('TL06'!$B$3=Q$3,SUMIF('TL06'!$C$10:$C$224,$C294,'TL06'!$J$10:$J$224),0),
IF('TL06'!$B$229=Q$3,SUMIF('TL06'!$C$238:$C$451,$C294,'TL06'!$J$238:$J$451),0),
IF('TL07'!$B$3=Q$3,SUMIF('TL07'!$C$10:$C$224,$C294,'TL07'!$J$10:$J$224),0),
IF('TL07'!$B$229=Q$3,SUMIF('TL07'!$C$238:$C$451,$C294,'TL07'!$J$238:$J$451),0),
IF('TL08'!$B$3=Q$3,SUMIF('TL08'!$C$10:$C$224,$C294,'TL08'!$J$10:$J$224),0),
IF('TL08'!$B$229=Q$3,SUMIF('TL08'!$C$238:$C$451,$C294,'TL08'!$J$238:$J$451),0),
IF('TL09'!$B$3=Q$3,SUMIF('TL09'!$C$10:$C$224,$C294,'TL09'!$J$10:$J$224),0),
IF('TL09'!$B$229=Q$3,SUMIF('TL09'!$C$238:$C$451,$C294,'TL09'!$J$238:$J$451),0),
IF('TL10'!$B$3=Q$3,SUMIF('TL10'!$C$10:$C$224,$C294,'TL10'!$J$10:$J$224),0),
IF('TL10'!$B$229=Q$3,SUMIF('TL10'!$C$238:$C$451,$C294,'TL10'!$J$238:$J$451),0),
IF('TL11'!$B$3=Q$3,SUMIF('TL11'!$C$10:$C$224,$C294,'TL11'!$J$10:$J$224),0),
IF('TL11'!$B$229=Q$3,SUMIF('TL11'!$C$238:$C$451,$C294,'TL11'!$J$238:$J$451),0),
IF('TL12'!$B$3=Q$3,SUMIF('TL12'!$C$10:$C$224,$C294,'TL12'!$J$10:$J$224),0),
IF('TL12'!$B$229=Q$3,SUMIF('TL12'!$C$238:$C$451,$C294,'TL12'!$J$238:$J$451),0),
IF('TL13'!$B$3=Q$3,SUMIF('TL13'!$C$10:$C$224,$C294,'TL13'!$J$10:$J$224),0),
IF('TL13'!$B$229=Q$3,SUMIF('TL13'!$C$238:$C$451,$C294,'TL13'!$J$238:$J$451),0),
IF('TL14'!$B$3=Q$3,SUMIF('TL14'!$C$10:$C$224,$C294,'TL14'!$J$10:$J$224),0),
IF('TL14'!$B$229=Q$3,SUMIF('TL14'!$C$238:$C$451,$C294,'TL14'!$J$238:$J$451),0),
IF('TL15'!$B$3=Q$3,SUMIF('TL15'!$C$10:$C$224,$C294,'TL15'!$J$10:$J$224),0),
IF('TL15'!$B$229=Q$3,SUMIF('TL15'!$C$238:$C$451,$C294,'TL15'!$J$238:$J$451),0),
IF('TL16'!$B$3=Q$3,SUMIF('TL16'!$C$10:$C$224,$C294,'TL16'!$J$10:$J$224),0),
IF('TL16'!$B$229=Q$3,SUMIF('TL16'!$C$238:$C$451,$C294,'TL16'!$J$238:$J$451),0),
IF('TL17'!$B$3=Q$3,SUMIF('TL17'!$C$10:$C$224,$C294,'TL17'!$J$10:$J$224),0),
IF('TL17'!$B$229=Q$3,SUMIF('TL17'!$C$238:$C$451,$C294,'TL17'!$J$238:$J$451),0),
IF('TL18'!$B$3=Q$3,SUMIF('TL18'!$C$10:$C$224,$C294,'TL18'!$J$10:$J$224),0),
IF('TL18'!$B$229=Q$3,SUMIF('TL18'!$C$238:$C$451,$C294,'TL18'!$J$238:$J$451),0),
IF('TL19'!$B$3=Q$3,SUMIF('TL19'!$C$10:$C$224,$C294,'TL19'!$J$10:$J$224),0),
IF('TL19'!$B$229=Q$3,SUMIF('TL19'!$C$238:$C$451,$C294,'TL19'!$J$238:$J$451),0)
),0)</f>
        <v/>
      </c>
      <c r="R294" s="9">
        <f>IFERROR(
SUM(
SUMIF('TL01'!C:C,C294,'TL01'!J:J),
SUMIF('TL02'!C:C,C294,'TL02'!J:J),
SUMIF('TL03'!C:C,C294,'TL03'!J:J),
SUMIF('TL04'!C:C,C294,'TL04'!J:J),
SUMIF('TL05'!C:C,C294,'TL05'!J:J),
SUMIF('TL06'!C:C,C294,'TL06'!J:J),
SUMIF('TL07'!C:C,C294,'TL07'!J:J),
SUMIF('TL08'!C:C,C294,'TL08'!J:J),
SUMIF('TL09'!C:C,C294,'TL09'!J:J),
SUMIF('TL10'!C:C,C294,'TL10'!J:J),
SUMIF('TL11'!C:C,C294,'TL11'!J:J),
SUMIF('TL12'!C:C,C294,'TL12'!J:J),
SUMIF('TL13'!C:C,C294,'TL13'!J:J),
SUMIF('TL14'!C:C,C294,'TL14'!J:J),
SUMIF('TL15'!C:C,C294,'TL15'!J:J),
SUMIF('TL16'!C:C,C294,'TL16'!J:J),
SUMIF('TL17'!C:C,C294,'TL17'!J:J),
SUMIF('TL18'!C:C,C294,'TL18'!J:J),SUMIF('TL19'!C:C,C294,'TL19'!J:J))
,0)</f>
        <v/>
      </c>
      <c r="S294" s="17">
        <f>IFERROR(__xludf.DUMMYFUNCTION("IFERROR(VLOOKUP(C294,
IMPORTRANGE(""1wULbzX32WdYsx-lj2U3uUNBBe2INVIRDtcK0d-Dvl90"",
""26-27!C:G""),
5,
FALSE),
"""")"),89.24300000000001)</f>
        <v/>
      </c>
      <c r="T294" s="9" t="n"/>
      <c r="U294" s="92">
        <f>MAX(0,R294-T294)</f>
        <v/>
      </c>
      <c r="V294" s="93">
        <f>U294*S294</f>
        <v/>
      </c>
    </row>
    <row r="295" hidden="1" ht="15.75" customHeight="1" s="297">
      <c r="A295" s="122" t="inlineStr">
        <is>
          <t>BASF</t>
        </is>
      </c>
      <c r="B295" s="124" t="inlineStr">
        <is>
          <t>TS</t>
        </is>
      </c>
      <c r="C295" s="122" t="inlineStr">
        <is>
          <t>STANDAK TOP</t>
        </is>
      </c>
      <c r="D295" s="122" t="inlineStr">
        <is>
          <t>PIRACLOSTROBINA + TIOFANATO-METÍLICO + FIPRONIL</t>
        </is>
      </c>
      <c r="E295" s="122" t="inlineStr">
        <is>
          <t>25 + 225 + 250</t>
        </is>
      </c>
      <c r="F295" s="4" t="n"/>
      <c r="G295" s="90">
        <f>HYPERLINK("https://www.google.com/search?q=" &amp; C295 &amp; "+bula+agrofit+pdf", "📄 Ver bula")</f>
        <v/>
      </c>
      <c r="H295" s="9">
        <f>IFERROR(__xludf.DUMMYFUNCTION("IFERROR(VLOOKUP(C295,
IMPORTRANGE(""1wULbzX32WdYsx-lj2U3uUNBBe2INVIRDtcK0d-Dvl90"",
""26-27!C:K""),
8,
FALSE),
"""")"),0.1)</f>
        <v/>
      </c>
      <c r="I295" s="123" t="n"/>
      <c r="J295" s="9">
        <f>IFERROR(SUM(
IF('TL01'!$B$3=J$3,SUMIF('TL01'!$C$10:$C$224,$C295,'TL01'!$J$10:$J$224),0),
IF('TL01'!$B$229=J$3,SUMIF('TL01'!$C$238:$C$451,$C295,'TL01'!$J$238:$J$451),0),
IF('TL02'!$B$3=J$3,SUMIF('TL02'!$C$10:$C$224,$C295,'TL02'!$J$10:$J$224),0),
IF('TL02'!$B$229=J$3,SUMIF('TL02'!$C$238:$C$451,$C295,'TL02'!$J$238:$J$451),0),
IF('TL03'!$B$3=J$3,SUMIF('TL03'!$C$10:$C$224,$C295,'TL03'!$J$10:$J$224),0),
IF('TL03'!$B$229=J$3,SUMIF('TL03'!$C$238:$C$451,$C295,'TL03'!$J$238:$J$451),0),
IF('TL04'!$B$3=J$3,SUMIF('TL04'!$C$10:$C$224,$C295,'TL04'!$J$10:$J$224),0),
IF('TL04'!$B$229=J$3,SUMIF('TL04'!$C$238:$C$451,$C295,'TL04'!$J$238:$J$451),0),
IF('TL05'!$B$3=J$3,SUMIF('TL05'!$C$10:$C$224,$C295,'TL05'!$J$10:$J$224),0),
IF('TL05'!$B$229=J$3,SUMIF('TL05'!$C$238:$C$451,$C295,'TL05'!$J$238:$J$451),0),
IF('TL06'!$B$3=J$3,SUMIF('TL06'!$C$10:$C$224,$C295,'TL06'!$J$10:$J$224),0),
IF('TL06'!$B$229=J$3,SUMIF('TL06'!$C$238:$C$451,$C295,'TL06'!$J$238:$J$451),0),
IF('TL07'!$B$3=J$3,SUMIF('TL07'!$C$10:$C$224,$C295,'TL07'!$J$10:$J$224),0),
IF('TL07'!$B$229=J$3,SUMIF('TL07'!$C$238:$C$451,$C295,'TL07'!$J$238:$J$451),0),
IF('TL08'!$B$3=J$3,SUMIF('TL08'!$C$10:$C$224,$C295,'TL08'!$J$10:$J$224),0),
IF('TL08'!$B$229=J$3,SUMIF('TL08'!$C$238:$C$451,$C295,'TL08'!$J$238:$J$451),0),
IF('TL09'!$B$3=J$3,SUMIF('TL09'!$C$10:$C$224,$C295,'TL09'!$J$10:$J$224),0),
IF('TL09'!$B$229=J$3,SUMIF('TL09'!$C$238:$C$451,$C295,'TL09'!$J$238:$J$451),0),
IF('TL10'!$B$3=J$3,SUMIF('TL10'!$C$10:$C$224,$C295,'TL10'!$J$10:$J$224),0),
IF('TL10'!$B$229=J$3,SUMIF('TL10'!$C$238:$C$451,$C295,'TL10'!$J$238:$J$451),0),
IF('TL11'!$B$3=J$3,SUMIF('TL11'!$C$10:$C$224,$C295,'TL11'!$J$10:$J$224),0),
IF('TL11'!$B$229=J$3,SUMIF('TL11'!$C$238:$C$451,$C295,'TL11'!$J$238:$J$451),0),
IF('TL12'!$B$3=J$3,SUMIF('TL12'!$C$10:$C$224,$C295,'TL12'!$J$10:$J$224),0),
IF('TL12'!$B$229=J$3,SUMIF('TL12'!$C$238:$C$451,$C295,'TL12'!$J$238:$J$451),0),
IF('TL13'!$B$3=J$3,SUMIF('TL13'!$C$10:$C$224,$C295,'TL13'!$J$10:$J$224),0),
IF('TL13'!$B$229=J$3,SUMIF('TL13'!$C$238:$C$451,$C295,'TL13'!$J$238:$J$451),0),
IF('TL14'!$B$3=J$3,SUMIF('TL14'!$C$10:$C$224,$C295,'TL14'!$J$10:$J$224),0),
IF('TL14'!$B$229=J$3,SUMIF('TL14'!$C$238:$C$451,$C295,'TL14'!$J$238:$J$451),0),
IF('TL15'!$B$3=J$3,SUMIF('TL15'!$C$10:$C$224,$C295,'TL15'!$J$10:$J$224),0),
IF('TL15'!$B$229=J$3,SUMIF('TL15'!$C$238:$C$451,$C295,'TL15'!$J$238:$J$451),0),
IF('TL16'!$B$3=J$3,SUMIF('TL16'!$C$10:$C$224,$C295,'TL16'!$J$10:$J$224),0),
IF('TL16'!$B$229=J$3,SUMIF('TL16'!$C$238:$C$451,$C295,'TL16'!$J$238:$J$451),0),
IF('TL17'!$B$3=J$3,SUMIF('TL17'!$C$10:$C$224,$C295,'TL17'!$J$10:$J$224),0),
IF('TL17'!$B$229=J$3,SUMIF('TL17'!$C$238:$C$451,$C295,'TL17'!$J$238:$J$451),0),
IF('TL18'!$B$3=J$3,SUMIF('TL18'!$C$10:$C$224,$C295,'TL18'!$J$10:$J$224),0),
IF('TL18'!$B$229=J$3,SUMIF('TL18'!$C$238:$C$451,$C295,'TL18'!$J$238:$J$451),0),
IF('TL19'!$B$3=J$3,SUMIF('TL19'!$C$10:$C$224,$C295,'TL19'!$J$10:$J$224),0),
IF('TL19'!$B$229=J$3,SUMIF('TL19'!$C$238:$C$451,$C295,'TL19'!$J$238:$J$451),0)
),0)</f>
        <v/>
      </c>
      <c r="K295" s="9">
        <f>IFERROR(SUM(
IF('TL01'!$B$3=K$3,SUMIF('TL01'!$C$10:$C$224,$C295,'TL01'!$J$10:$J$224),0),
IF('TL01'!$B$229=K$3,SUMIF('TL01'!$C$238:$C$451,$C295,'TL01'!$J$238:$J$451),0),
IF('TL02'!$B$3=K$3,SUMIF('TL02'!$C$10:$C$224,$C295,'TL02'!$J$10:$J$224),0),
IF('TL02'!$B$229=K$3,SUMIF('TL02'!$C$238:$C$451,$C295,'TL02'!$J$238:$J$451),0),
IF('TL03'!$B$3=K$3,SUMIF('TL03'!$C$10:$C$224,$C295,'TL03'!$J$10:$J$224),0),
IF('TL03'!$B$229=K$3,SUMIF('TL03'!$C$238:$C$451,$C295,'TL03'!$J$238:$J$451),0),
IF('TL04'!$B$3=K$3,SUMIF('TL04'!$C$10:$C$224,$C295,'TL04'!$J$10:$J$224),0),
IF('TL04'!$B$229=K$3,SUMIF('TL04'!$C$238:$C$451,$C295,'TL04'!$J$238:$J$451),0),
IF('TL05'!$B$3=K$3,SUMIF('TL05'!$C$10:$C$224,$C295,'TL05'!$J$10:$J$224),0),
IF('TL05'!$B$229=K$3,SUMIF('TL05'!$C$238:$C$451,$C295,'TL05'!$J$238:$J$451),0),
IF('TL06'!$B$3=K$3,SUMIF('TL06'!$C$10:$C$224,$C295,'TL06'!$J$10:$J$224),0),
IF('TL06'!$B$229=K$3,SUMIF('TL06'!$C$238:$C$451,$C295,'TL06'!$J$238:$J$451),0),
IF('TL07'!$B$3=K$3,SUMIF('TL07'!$C$10:$C$224,$C295,'TL07'!$J$10:$J$224),0),
IF('TL07'!$B$229=K$3,SUMIF('TL07'!$C$238:$C$451,$C295,'TL07'!$J$238:$J$451),0),
IF('TL08'!$B$3=K$3,SUMIF('TL08'!$C$10:$C$224,$C295,'TL08'!$J$10:$J$224),0),
IF('TL08'!$B$229=K$3,SUMIF('TL08'!$C$238:$C$451,$C295,'TL08'!$J$238:$J$451),0),
IF('TL09'!$B$3=K$3,SUMIF('TL09'!$C$10:$C$224,$C295,'TL09'!$J$10:$J$224),0),
IF('TL09'!$B$229=K$3,SUMIF('TL09'!$C$238:$C$451,$C295,'TL09'!$J$238:$J$451),0),
IF('TL10'!$B$3=K$3,SUMIF('TL10'!$C$10:$C$224,$C295,'TL10'!$J$10:$J$224),0),
IF('TL10'!$B$229=K$3,SUMIF('TL10'!$C$238:$C$451,$C295,'TL10'!$J$238:$J$451),0),
IF('TL11'!$B$3=K$3,SUMIF('TL11'!$C$10:$C$224,$C295,'TL11'!$J$10:$J$224),0),
IF('TL11'!$B$229=K$3,SUMIF('TL11'!$C$238:$C$451,$C295,'TL11'!$J$238:$J$451),0),
IF('TL12'!$B$3=K$3,SUMIF('TL12'!$C$10:$C$224,$C295,'TL12'!$J$10:$J$224),0),
IF('TL12'!$B$229=K$3,SUMIF('TL12'!$C$238:$C$451,$C295,'TL12'!$J$238:$J$451),0),
IF('TL13'!$B$3=K$3,SUMIF('TL13'!$C$10:$C$224,$C295,'TL13'!$J$10:$J$224),0),
IF('TL13'!$B$229=K$3,SUMIF('TL13'!$C$238:$C$451,$C295,'TL13'!$J$238:$J$451),0),
IF('TL14'!$B$3=K$3,SUMIF('TL14'!$C$10:$C$224,$C295,'TL14'!$J$10:$J$224),0),
IF('TL14'!$B$229=K$3,SUMIF('TL14'!$C$238:$C$451,$C295,'TL14'!$J$238:$J$451),0),
IF('TL15'!$B$3=K$3,SUMIF('TL15'!$C$10:$C$224,$C295,'TL15'!$J$10:$J$224),0),
IF('TL15'!$B$229=K$3,SUMIF('TL15'!$C$238:$C$451,$C295,'TL15'!$J$238:$J$451),0),
IF('TL16'!$B$3=K$3,SUMIF('TL16'!$C$10:$C$224,$C295,'TL16'!$J$10:$J$224),0),
IF('TL16'!$B$229=K$3,SUMIF('TL16'!$C$238:$C$451,$C295,'TL16'!$J$238:$J$451),0),
IF('TL17'!$B$3=K$3,SUMIF('TL17'!$C$10:$C$224,$C295,'TL17'!$J$10:$J$224),0),
IF('TL17'!$B$229=K$3,SUMIF('TL17'!$C$238:$C$451,$C295,'TL17'!$J$238:$J$451),0),
IF('TL18'!$B$3=K$3,SUMIF('TL18'!$C$10:$C$224,$C295,'TL18'!$J$10:$J$224),0),
IF('TL18'!$B$229=K$3,SUMIF('TL18'!$C$238:$C$451,$C295,'TL18'!$J$238:$J$451),0),
IF('TL19'!$B$3=K$3,SUMIF('TL19'!$C$10:$C$224,$C295,'TL19'!$J$10:$J$224),0),
IF('TL19'!$B$229=K$3,SUMIF('TL19'!$C$238:$C$451,$C295,'TL19'!$J$238:$J$451),0)
),0)</f>
        <v/>
      </c>
      <c r="L295" s="9">
        <f>IFERROR(SUM(
IF('TL01'!$B$3=L$3,SUMIF('TL01'!$C$10:$C$224,$C295,'TL01'!$J$10:$J$224),0),
IF('TL01'!$B$229=L$3,SUMIF('TL01'!$C$238:$C$451,$C295,'TL01'!$J$238:$J$451),0),
IF('TL02'!$B$3=L$3,SUMIF('TL02'!$C$10:$C$224,$C295,'TL02'!$J$10:$J$224),0),
IF('TL02'!$B$229=L$3,SUMIF('TL02'!$C$238:$C$451,$C295,'TL02'!$J$238:$J$451),0),
IF('TL03'!$B$3=L$3,SUMIF('TL03'!$C$10:$C$224,$C295,'TL03'!$J$10:$J$224),0),
IF('TL03'!$B$229=L$3,SUMIF('TL03'!$C$238:$C$451,$C295,'TL03'!$J$238:$J$451),0),
IF('TL04'!$B$3=L$3,SUMIF('TL04'!$C$10:$C$224,$C295,'TL04'!$J$10:$J$224),0),
IF('TL04'!$B$229=L$3,SUMIF('TL04'!$C$238:$C$451,$C295,'TL04'!$J$238:$J$451),0),
IF('TL05'!$B$3=L$3,SUMIF('TL05'!$C$10:$C$224,$C295,'TL05'!$J$10:$J$224),0),
IF('TL05'!$B$229=L$3,SUMIF('TL05'!$C$238:$C$451,$C295,'TL05'!$J$238:$J$451),0),
IF('TL06'!$B$3=L$3,SUMIF('TL06'!$C$10:$C$224,$C295,'TL06'!$J$10:$J$224),0),
IF('TL06'!$B$229=L$3,SUMIF('TL06'!$C$238:$C$451,$C295,'TL06'!$J$238:$J$451),0),
IF('TL07'!$B$3=L$3,SUMIF('TL07'!$C$10:$C$224,$C295,'TL07'!$J$10:$J$224),0),
IF('TL07'!$B$229=L$3,SUMIF('TL07'!$C$238:$C$451,$C295,'TL07'!$J$238:$J$451),0),
IF('TL08'!$B$3=L$3,SUMIF('TL08'!$C$10:$C$224,$C295,'TL08'!$J$10:$J$224),0),
IF('TL08'!$B$229=L$3,SUMIF('TL08'!$C$238:$C$451,$C295,'TL08'!$J$238:$J$451),0),
IF('TL09'!$B$3=L$3,SUMIF('TL09'!$C$10:$C$224,$C295,'TL09'!$J$10:$J$224),0),
IF('TL09'!$B$229=L$3,SUMIF('TL09'!$C$238:$C$451,$C295,'TL09'!$J$238:$J$451),0),
IF('TL10'!$B$3=L$3,SUMIF('TL10'!$C$10:$C$224,$C295,'TL10'!$J$10:$J$224),0),
IF('TL10'!$B$229=L$3,SUMIF('TL10'!$C$238:$C$451,$C295,'TL10'!$J$238:$J$451),0),
IF('TL11'!$B$3=L$3,SUMIF('TL11'!$C$10:$C$224,$C295,'TL11'!$J$10:$J$224),0),
IF('TL11'!$B$229=L$3,SUMIF('TL11'!$C$238:$C$451,$C295,'TL11'!$J$238:$J$451),0),
IF('TL12'!$B$3=L$3,SUMIF('TL12'!$C$10:$C$224,$C295,'TL12'!$J$10:$J$224),0),
IF('TL12'!$B$229=L$3,SUMIF('TL12'!$C$238:$C$451,$C295,'TL12'!$J$238:$J$451),0),
IF('TL13'!$B$3=L$3,SUMIF('TL13'!$C$10:$C$224,$C295,'TL13'!$J$10:$J$224),0),
IF('TL13'!$B$229=L$3,SUMIF('TL13'!$C$238:$C$451,$C295,'TL13'!$J$238:$J$451),0),
IF('TL14'!$B$3=L$3,SUMIF('TL14'!$C$10:$C$224,$C295,'TL14'!$J$10:$J$224),0),
IF('TL14'!$B$229=L$3,SUMIF('TL14'!$C$238:$C$451,$C295,'TL14'!$J$238:$J$451),0),
IF('TL15'!$B$3=L$3,SUMIF('TL15'!$C$10:$C$224,$C295,'TL15'!$J$10:$J$224),0),
IF('TL15'!$B$229=L$3,SUMIF('TL15'!$C$238:$C$451,$C295,'TL15'!$J$238:$J$451),0),
IF('TL16'!$B$3=L$3,SUMIF('TL16'!$C$10:$C$224,$C295,'TL16'!$J$10:$J$224),0),
IF('TL16'!$B$229=L$3,SUMIF('TL16'!$C$238:$C$451,$C295,'TL16'!$J$238:$J$451),0),
IF('TL17'!$B$3=L$3,SUMIF('TL17'!$C$10:$C$224,$C295,'TL17'!$J$10:$J$224),0),
IF('TL17'!$B$229=L$3,SUMIF('TL17'!$C$238:$C$451,$C295,'TL17'!$J$238:$J$451),0),
IF('TL18'!$B$3=L$3,SUMIF('TL18'!$C$10:$C$224,$C295,'TL18'!$J$10:$J$224),0),
IF('TL18'!$B$229=L$3,SUMIF('TL18'!$C$238:$C$451,$C295,'TL18'!$J$238:$J$451),0),
IF('TL19'!$B$3=L$3,SUMIF('TL19'!$C$10:$C$224,$C295,'TL19'!$J$10:$J$224),0),
IF('TL19'!$B$229=L$3,SUMIF('TL19'!$C$238:$C$451,$C295,'TL19'!$J$238:$J$451),0)
),0)</f>
        <v/>
      </c>
      <c r="M295" s="9">
        <f>IFERROR(SUM(
IF('TL01'!$B$3=M$3,SUMIF('TL01'!$C$10:$C$224,$C295,'TL01'!$J$10:$J$224),0),
IF('TL01'!$B$229=M$3,SUMIF('TL01'!$C$238:$C$451,$C295,'TL01'!$J$238:$J$451),0),
IF('TL02'!$B$3=M$3,SUMIF('TL02'!$C$10:$C$224,$C295,'TL02'!$J$10:$J$224),0),
IF('TL02'!$B$229=M$3,SUMIF('TL02'!$C$238:$C$451,$C295,'TL02'!$J$238:$J$451),0),
IF('TL03'!$B$3=M$3,SUMIF('TL03'!$C$10:$C$224,$C295,'TL03'!$J$10:$J$224),0),
IF('TL03'!$B$229=M$3,SUMIF('TL03'!$C$238:$C$451,$C295,'TL03'!$J$238:$J$451),0),
IF('TL04'!$B$3=M$3,SUMIF('TL04'!$C$10:$C$224,$C295,'TL04'!$J$10:$J$224),0),
IF('TL04'!$B$229=M$3,SUMIF('TL04'!$C$238:$C$451,$C295,'TL04'!$J$238:$J$451),0),
IF('TL05'!$B$3=M$3,SUMIF('TL05'!$C$10:$C$224,$C295,'TL05'!$J$10:$J$224),0),
IF('TL05'!$B$229=M$3,SUMIF('TL05'!$C$238:$C$451,$C295,'TL05'!$J$238:$J$451),0),
IF('TL06'!$B$3=M$3,SUMIF('TL06'!$C$10:$C$224,$C295,'TL06'!$J$10:$J$224),0),
IF('TL06'!$B$229=M$3,SUMIF('TL06'!$C$238:$C$451,$C295,'TL06'!$J$238:$J$451),0),
IF('TL07'!$B$3=M$3,SUMIF('TL07'!$C$10:$C$224,$C295,'TL07'!$J$10:$J$224),0),
IF('TL07'!$B$229=M$3,SUMIF('TL07'!$C$238:$C$451,$C295,'TL07'!$J$238:$J$451),0),
IF('TL08'!$B$3=M$3,SUMIF('TL08'!$C$10:$C$224,$C295,'TL08'!$J$10:$J$224),0),
IF('TL08'!$B$229=M$3,SUMIF('TL08'!$C$238:$C$451,$C295,'TL08'!$J$238:$J$451),0),
IF('TL09'!$B$3=M$3,SUMIF('TL09'!$C$10:$C$224,$C295,'TL09'!$J$10:$J$224),0),
IF('TL09'!$B$229=M$3,SUMIF('TL09'!$C$238:$C$451,$C295,'TL09'!$J$238:$J$451),0),
IF('TL10'!$B$3=M$3,SUMIF('TL10'!$C$10:$C$224,$C295,'TL10'!$J$10:$J$224),0),
IF('TL10'!$B$229=M$3,SUMIF('TL10'!$C$238:$C$451,$C295,'TL10'!$J$238:$J$451),0),
IF('TL11'!$B$3=M$3,SUMIF('TL11'!$C$10:$C$224,$C295,'TL11'!$J$10:$J$224),0),
IF('TL11'!$B$229=M$3,SUMIF('TL11'!$C$238:$C$451,$C295,'TL11'!$J$238:$J$451),0),
IF('TL12'!$B$3=M$3,SUMIF('TL12'!$C$10:$C$224,$C295,'TL12'!$J$10:$J$224),0),
IF('TL12'!$B$229=M$3,SUMIF('TL12'!$C$238:$C$451,$C295,'TL12'!$J$238:$J$451),0),
IF('TL13'!$B$3=M$3,SUMIF('TL13'!$C$10:$C$224,$C295,'TL13'!$J$10:$J$224),0),
IF('TL13'!$B$229=M$3,SUMIF('TL13'!$C$238:$C$451,$C295,'TL13'!$J$238:$J$451),0),
IF('TL14'!$B$3=M$3,SUMIF('TL14'!$C$10:$C$224,$C295,'TL14'!$J$10:$J$224),0),
IF('TL14'!$B$229=M$3,SUMIF('TL14'!$C$238:$C$451,$C295,'TL14'!$J$238:$J$451),0),
IF('TL15'!$B$3=M$3,SUMIF('TL15'!$C$10:$C$224,$C295,'TL15'!$J$10:$J$224),0),
IF('TL15'!$B$229=M$3,SUMIF('TL15'!$C$238:$C$451,$C295,'TL15'!$J$238:$J$451),0),
IF('TL16'!$B$3=M$3,SUMIF('TL16'!$C$10:$C$224,$C295,'TL16'!$J$10:$J$224),0),
IF('TL16'!$B$229=M$3,SUMIF('TL16'!$C$238:$C$451,$C295,'TL16'!$J$238:$J$451),0),
IF('TL17'!$B$3=M$3,SUMIF('TL17'!$C$10:$C$224,$C295,'TL17'!$J$10:$J$224),0),
IF('TL17'!$B$229=M$3,SUMIF('TL17'!$C$238:$C$451,$C295,'TL17'!$J$238:$J$451),0),
IF('TL18'!$B$3=M$3,SUMIF('TL18'!$C$10:$C$224,$C295,'TL18'!$J$10:$J$224),0),
IF('TL18'!$B$229=M$3,SUMIF('TL18'!$C$238:$C$451,$C295,'TL18'!$J$238:$J$451),0),
IF('TL19'!$B$3=M$3,SUMIF('TL19'!$C$10:$C$224,$C295,'TL19'!$J$10:$J$224),0),
IF('TL19'!$B$229=M$3,SUMIF('TL19'!$C$238:$C$451,$C295,'TL19'!$J$238:$J$451),0)
),0)</f>
        <v/>
      </c>
      <c r="N295" s="9">
        <f>IFERROR(SUM(
IF('TL01'!$B$3=N$3,SUMIF('TL01'!$C$10:$C$224,$C295,'TL01'!$J$10:$J$224),0),
IF('TL01'!$B$229=N$3,SUMIF('TL01'!$C$238:$C$451,$C295,'TL01'!$J$238:$J$451),0),
IF('TL02'!$B$3=N$3,SUMIF('TL02'!$C$10:$C$224,$C295,'TL02'!$J$10:$J$224),0),
IF('TL02'!$B$229=N$3,SUMIF('TL02'!$C$238:$C$451,$C295,'TL02'!$J$238:$J$451),0),
IF('TL03'!$B$3=N$3,SUMIF('TL03'!$C$10:$C$224,$C295,'TL03'!$J$10:$J$224),0),
IF('TL03'!$B$229=N$3,SUMIF('TL03'!$C$238:$C$451,$C295,'TL03'!$J$238:$J$451),0),
IF('TL04'!$B$3=N$3,SUMIF('TL04'!$C$10:$C$224,$C295,'TL04'!$J$10:$J$224),0),
IF('TL04'!$B$229=N$3,SUMIF('TL04'!$C$238:$C$451,$C295,'TL04'!$J$238:$J$451),0),
IF('TL05'!$B$3=N$3,SUMIF('TL05'!$C$10:$C$224,$C295,'TL05'!$J$10:$J$224),0),
IF('TL05'!$B$229=N$3,SUMIF('TL05'!$C$238:$C$451,$C295,'TL05'!$J$238:$J$451),0),
IF('TL06'!$B$3=N$3,SUMIF('TL06'!$C$10:$C$224,$C295,'TL06'!$J$10:$J$224),0),
IF('TL06'!$B$229=N$3,SUMIF('TL06'!$C$238:$C$451,$C295,'TL06'!$J$238:$J$451),0),
IF('TL07'!$B$3=N$3,SUMIF('TL07'!$C$10:$C$224,$C295,'TL07'!$J$10:$J$224),0),
IF('TL07'!$B$229=N$3,SUMIF('TL07'!$C$238:$C$451,$C295,'TL07'!$J$238:$J$451),0),
IF('TL08'!$B$3=N$3,SUMIF('TL08'!$C$10:$C$224,$C295,'TL08'!$J$10:$J$224),0),
IF('TL08'!$B$229=N$3,SUMIF('TL08'!$C$238:$C$451,$C295,'TL08'!$J$238:$J$451),0),
IF('TL09'!$B$3=N$3,SUMIF('TL09'!$C$10:$C$224,$C295,'TL09'!$J$10:$J$224),0),
IF('TL09'!$B$229=N$3,SUMIF('TL09'!$C$238:$C$451,$C295,'TL09'!$J$238:$J$451),0),
IF('TL10'!$B$3=N$3,SUMIF('TL10'!$C$10:$C$224,$C295,'TL10'!$J$10:$J$224),0),
IF('TL10'!$B$229=N$3,SUMIF('TL10'!$C$238:$C$451,$C295,'TL10'!$J$238:$J$451),0),
IF('TL11'!$B$3=N$3,SUMIF('TL11'!$C$10:$C$224,$C295,'TL11'!$J$10:$J$224),0),
IF('TL11'!$B$229=N$3,SUMIF('TL11'!$C$238:$C$451,$C295,'TL11'!$J$238:$J$451),0),
IF('TL12'!$B$3=N$3,SUMIF('TL12'!$C$10:$C$224,$C295,'TL12'!$J$10:$J$224),0),
IF('TL12'!$B$229=N$3,SUMIF('TL12'!$C$238:$C$451,$C295,'TL12'!$J$238:$J$451),0),
IF('TL13'!$B$3=N$3,SUMIF('TL13'!$C$10:$C$224,$C295,'TL13'!$J$10:$J$224),0),
IF('TL13'!$B$229=N$3,SUMIF('TL13'!$C$238:$C$451,$C295,'TL13'!$J$238:$J$451),0),
IF('TL14'!$B$3=N$3,SUMIF('TL14'!$C$10:$C$224,$C295,'TL14'!$J$10:$J$224),0),
IF('TL14'!$B$229=N$3,SUMIF('TL14'!$C$238:$C$451,$C295,'TL14'!$J$238:$J$451),0),
IF('TL15'!$B$3=N$3,SUMIF('TL15'!$C$10:$C$224,$C295,'TL15'!$J$10:$J$224),0),
IF('TL15'!$B$229=N$3,SUMIF('TL15'!$C$238:$C$451,$C295,'TL15'!$J$238:$J$451),0),
IF('TL16'!$B$3=N$3,SUMIF('TL16'!$C$10:$C$224,$C295,'TL16'!$J$10:$J$224),0),
IF('TL16'!$B$229=N$3,SUMIF('TL16'!$C$238:$C$451,$C295,'TL16'!$J$238:$J$451),0),
IF('TL17'!$B$3=N$3,SUMIF('TL17'!$C$10:$C$224,$C295,'TL17'!$J$10:$J$224),0),
IF('TL17'!$B$229=N$3,SUMIF('TL17'!$C$238:$C$451,$C295,'TL17'!$J$238:$J$451),0),
IF('TL18'!$B$3=N$3,SUMIF('TL18'!$C$10:$C$224,$C295,'TL18'!$J$10:$J$224),0),
IF('TL18'!$B$229=N$3,SUMIF('TL18'!$C$238:$C$451,$C295,'TL18'!$J$238:$J$451),0),
IF('TL19'!$B$3=N$3,SUMIF('TL19'!$C$10:$C$224,$C295,'TL19'!$J$10:$J$224),0),
IF('TL19'!$B$229=N$3,SUMIF('TL19'!$C$238:$C$451,$C295,'TL19'!$J$238:$J$451),0)
),0)</f>
        <v/>
      </c>
      <c r="O295" s="9">
        <f>IFERROR(SUM(
IF('TL01'!$B$3=O$3,SUMIF('TL01'!$C$10:$C$224,$C295,'TL01'!$J$10:$J$224),0),
IF('TL01'!$B$229=O$3,SUMIF('TL01'!$C$238:$C$451,$C295,'TL01'!$J$238:$J$451),0),
IF('TL02'!$B$3=O$3,SUMIF('TL02'!$C$10:$C$224,$C295,'TL02'!$J$10:$J$224),0),
IF('TL02'!$B$229=O$3,SUMIF('TL02'!$C$238:$C$451,$C295,'TL02'!$J$238:$J$451),0),
IF('TL03'!$B$3=O$3,SUMIF('TL03'!$C$10:$C$224,$C295,'TL03'!$J$10:$J$224),0),
IF('TL03'!$B$229=O$3,SUMIF('TL03'!$C$238:$C$451,$C295,'TL03'!$J$238:$J$451),0),
IF('TL04'!$B$3=O$3,SUMIF('TL04'!$C$10:$C$224,$C295,'TL04'!$J$10:$J$224),0),
IF('TL04'!$B$229=O$3,SUMIF('TL04'!$C$238:$C$451,$C295,'TL04'!$J$238:$J$451),0),
IF('TL05'!$B$3=O$3,SUMIF('TL05'!$C$10:$C$224,$C295,'TL05'!$J$10:$J$224),0),
IF('TL05'!$B$229=O$3,SUMIF('TL05'!$C$238:$C$451,$C295,'TL05'!$J$238:$J$451),0),
IF('TL06'!$B$3=O$3,SUMIF('TL06'!$C$10:$C$224,$C295,'TL06'!$J$10:$J$224),0),
IF('TL06'!$B$229=O$3,SUMIF('TL06'!$C$238:$C$451,$C295,'TL06'!$J$238:$J$451),0),
IF('TL07'!$B$3=O$3,SUMIF('TL07'!$C$10:$C$224,$C295,'TL07'!$J$10:$J$224),0),
IF('TL07'!$B$229=O$3,SUMIF('TL07'!$C$238:$C$451,$C295,'TL07'!$J$238:$J$451),0),
IF('TL08'!$B$3=O$3,SUMIF('TL08'!$C$10:$C$224,$C295,'TL08'!$J$10:$J$224),0),
IF('TL08'!$B$229=O$3,SUMIF('TL08'!$C$238:$C$451,$C295,'TL08'!$J$238:$J$451),0),
IF('TL09'!$B$3=O$3,SUMIF('TL09'!$C$10:$C$224,$C295,'TL09'!$J$10:$J$224),0),
IF('TL09'!$B$229=O$3,SUMIF('TL09'!$C$238:$C$451,$C295,'TL09'!$J$238:$J$451),0),
IF('TL10'!$B$3=O$3,SUMIF('TL10'!$C$10:$C$224,$C295,'TL10'!$J$10:$J$224),0),
IF('TL10'!$B$229=O$3,SUMIF('TL10'!$C$238:$C$451,$C295,'TL10'!$J$238:$J$451),0),
IF('TL11'!$B$3=O$3,SUMIF('TL11'!$C$10:$C$224,$C295,'TL11'!$J$10:$J$224),0),
IF('TL11'!$B$229=O$3,SUMIF('TL11'!$C$238:$C$451,$C295,'TL11'!$J$238:$J$451),0),
IF('TL12'!$B$3=O$3,SUMIF('TL12'!$C$10:$C$224,$C295,'TL12'!$J$10:$J$224),0),
IF('TL12'!$B$229=O$3,SUMIF('TL12'!$C$238:$C$451,$C295,'TL12'!$J$238:$J$451),0),
IF('TL13'!$B$3=O$3,SUMIF('TL13'!$C$10:$C$224,$C295,'TL13'!$J$10:$J$224),0),
IF('TL13'!$B$229=O$3,SUMIF('TL13'!$C$238:$C$451,$C295,'TL13'!$J$238:$J$451),0),
IF('TL14'!$B$3=O$3,SUMIF('TL14'!$C$10:$C$224,$C295,'TL14'!$J$10:$J$224),0),
IF('TL14'!$B$229=O$3,SUMIF('TL14'!$C$238:$C$451,$C295,'TL14'!$J$238:$J$451),0),
IF('TL15'!$B$3=O$3,SUMIF('TL15'!$C$10:$C$224,$C295,'TL15'!$J$10:$J$224),0),
IF('TL15'!$B$229=O$3,SUMIF('TL15'!$C$238:$C$451,$C295,'TL15'!$J$238:$J$451),0),
IF('TL16'!$B$3=O$3,SUMIF('TL16'!$C$10:$C$224,$C295,'TL16'!$J$10:$J$224),0),
IF('TL16'!$B$229=O$3,SUMIF('TL16'!$C$238:$C$451,$C295,'TL16'!$J$238:$J$451),0),
IF('TL17'!$B$3=O$3,SUMIF('TL17'!$C$10:$C$224,$C295,'TL17'!$J$10:$J$224),0),
IF('TL17'!$B$229=O$3,SUMIF('TL17'!$C$238:$C$451,$C295,'TL17'!$J$238:$J$451),0),
IF('TL18'!$B$3=O$3,SUMIF('TL18'!$C$10:$C$224,$C295,'TL18'!$J$10:$J$224),0),
IF('TL18'!$B$229=O$3,SUMIF('TL18'!$C$238:$C$451,$C295,'TL18'!$J$238:$J$451),0),
IF('TL19'!$B$3=O$3,SUMIF('TL19'!$C$10:$C$224,$C295,'TL19'!$J$10:$J$224),0),
IF('TL19'!$B$229=O$3,SUMIF('TL19'!$C$238:$C$451,$C295,'TL19'!$J$238:$J$451),0)
),0)</f>
        <v/>
      </c>
      <c r="P295" s="9">
        <f>IFERROR(SUM(
IF('TL01'!$B$3=P$3,SUMIF('TL01'!$C$10:$C$224,$C295,'TL01'!$J$10:$J$224),0),
IF('TL01'!$B$229=P$3,SUMIF('TL01'!$C$238:$C$451,$C295,'TL01'!$J$238:$J$451),0),
IF('TL02'!$B$3=P$3,SUMIF('TL02'!$C$10:$C$224,$C295,'TL02'!$J$10:$J$224),0),
IF('TL02'!$B$229=P$3,SUMIF('TL02'!$C$238:$C$451,$C295,'TL02'!$J$238:$J$451),0),
IF('TL03'!$B$3=P$3,SUMIF('TL03'!$C$10:$C$224,$C295,'TL03'!$J$10:$J$224),0),
IF('TL03'!$B$229=P$3,SUMIF('TL03'!$C$238:$C$451,$C295,'TL03'!$J$238:$J$451),0),
IF('TL04'!$B$3=P$3,SUMIF('TL04'!$C$10:$C$224,$C295,'TL04'!$J$10:$J$224),0),
IF('TL04'!$B$229=P$3,SUMIF('TL04'!$C$238:$C$451,$C295,'TL04'!$J$238:$J$451),0),
IF('TL05'!$B$3=P$3,SUMIF('TL05'!$C$10:$C$224,$C295,'TL05'!$J$10:$J$224),0),
IF('TL05'!$B$229=P$3,SUMIF('TL05'!$C$238:$C$451,$C295,'TL05'!$J$238:$J$451),0),
IF('TL06'!$B$3=P$3,SUMIF('TL06'!$C$10:$C$224,$C295,'TL06'!$J$10:$J$224),0),
IF('TL06'!$B$229=P$3,SUMIF('TL06'!$C$238:$C$451,$C295,'TL06'!$J$238:$J$451),0),
IF('TL07'!$B$3=P$3,SUMIF('TL07'!$C$10:$C$224,$C295,'TL07'!$J$10:$J$224),0),
IF('TL07'!$B$229=P$3,SUMIF('TL07'!$C$238:$C$451,$C295,'TL07'!$J$238:$J$451),0),
IF('TL08'!$B$3=P$3,SUMIF('TL08'!$C$10:$C$224,$C295,'TL08'!$J$10:$J$224),0),
IF('TL08'!$B$229=P$3,SUMIF('TL08'!$C$238:$C$451,$C295,'TL08'!$J$238:$J$451),0),
IF('TL09'!$B$3=P$3,SUMIF('TL09'!$C$10:$C$224,$C295,'TL09'!$J$10:$J$224),0),
IF('TL09'!$B$229=P$3,SUMIF('TL09'!$C$238:$C$451,$C295,'TL09'!$J$238:$J$451),0),
IF('TL10'!$B$3=P$3,SUMIF('TL10'!$C$10:$C$224,$C295,'TL10'!$J$10:$J$224),0),
IF('TL10'!$B$229=P$3,SUMIF('TL10'!$C$238:$C$451,$C295,'TL10'!$J$238:$J$451),0),
IF('TL11'!$B$3=P$3,SUMIF('TL11'!$C$10:$C$224,$C295,'TL11'!$J$10:$J$224),0),
IF('TL11'!$B$229=P$3,SUMIF('TL11'!$C$238:$C$451,$C295,'TL11'!$J$238:$J$451),0),
IF('TL12'!$B$3=P$3,SUMIF('TL12'!$C$10:$C$224,$C295,'TL12'!$J$10:$J$224),0),
IF('TL12'!$B$229=P$3,SUMIF('TL12'!$C$238:$C$451,$C295,'TL12'!$J$238:$J$451),0),
IF('TL13'!$B$3=P$3,SUMIF('TL13'!$C$10:$C$224,$C295,'TL13'!$J$10:$J$224),0),
IF('TL13'!$B$229=P$3,SUMIF('TL13'!$C$238:$C$451,$C295,'TL13'!$J$238:$J$451),0),
IF('TL14'!$B$3=P$3,SUMIF('TL14'!$C$10:$C$224,$C295,'TL14'!$J$10:$J$224),0),
IF('TL14'!$B$229=P$3,SUMIF('TL14'!$C$238:$C$451,$C295,'TL14'!$J$238:$J$451),0),
IF('TL15'!$B$3=P$3,SUMIF('TL15'!$C$10:$C$224,$C295,'TL15'!$J$10:$J$224),0),
IF('TL15'!$B$229=P$3,SUMIF('TL15'!$C$238:$C$451,$C295,'TL15'!$J$238:$J$451),0),
IF('TL16'!$B$3=P$3,SUMIF('TL16'!$C$10:$C$224,$C295,'TL16'!$J$10:$J$224),0),
IF('TL16'!$B$229=P$3,SUMIF('TL16'!$C$238:$C$451,$C295,'TL16'!$J$238:$J$451),0),
IF('TL17'!$B$3=P$3,SUMIF('TL17'!$C$10:$C$224,$C295,'TL17'!$J$10:$J$224),0),
IF('TL17'!$B$229=P$3,SUMIF('TL17'!$C$238:$C$451,$C295,'TL17'!$J$238:$J$451),0),
IF('TL18'!$B$3=P$3,SUMIF('TL18'!$C$10:$C$224,$C295,'TL18'!$J$10:$J$224),0),
IF('TL18'!$B$229=P$3,SUMIF('TL18'!$C$238:$C$451,$C295,'TL18'!$J$238:$J$451),0),
IF('TL19'!$B$3=P$3,SUMIF('TL19'!$C$10:$C$224,$C295,'TL19'!$J$10:$J$224),0),
IF('TL19'!$B$229=P$3,SUMIF('TL19'!$C$238:$C$451,$C295,'TL19'!$J$238:$J$451),0)
),0)</f>
        <v/>
      </c>
      <c r="Q295" s="9">
        <f>IFERROR(SUM(
IF('TL01'!$B$3=Q$3,SUMIF('TL01'!$C$10:$C$224,$C295,'TL01'!$J$10:$J$224),0),
IF('TL01'!$B$229=Q$3,SUMIF('TL01'!$C$238:$C$451,$C295,'TL01'!$J$238:$J$451),0),
IF('TL02'!$B$3=Q$3,SUMIF('TL02'!$C$10:$C$224,$C295,'TL02'!$J$10:$J$224),0),
IF('TL02'!$B$229=Q$3,SUMIF('TL02'!$C$238:$C$451,$C295,'TL02'!$J$238:$J$451),0),
IF('TL03'!$B$3=Q$3,SUMIF('TL03'!$C$10:$C$224,$C295,'TL03'!$J$10:$J$224),0),
IF('TL03'!$B$229=Q$3,SUMIF('TL03'!$C$238:$C$451,$C295,'TL03'!$J$238:$J$451),0),
IF('TL04'!$B$3=Q$3,SUMIF('TL04'!$C$10:$C$224,$C295,'TL04'!$J$10:$J$224),0),
IF('TL04'!$B$229=Q$3,SUMIF('TL04'!$C$238:$C$451,$C295,'TL04'!$J$238:$J$451),0),
IF('TL05'!$B$3=Q$3,SUMIF('TL05'!$C$10:$C$224,$C295,'TL05'!$J$10:$J$224),0),
IF('TL05'!$B$229=Q$3,SUMIF('TL05'!$C$238:$C$451,$C295,'TL05'!$J$238:$J$451),0),
IF('TL06'!$B$3=Q$3,SUMIF('TL06'!$C$10:$C$224,$C295,'TL06'!$J$10:$J$224),0),
IF('TL06'!$B$229=Q$3,SUMIF('TL06'!$C$238:$C$451,$C295,'TL06'!$J$238:$J$451),0),
IF('TL07'!$B$3=Q$3,SUMIF('TL07'!$C$10:$C$224,$C295,'TL07'!$J$10:$J$224),0),
IF('TL07'!$B$229=Q$3,SUMIF('TL07'!$C$238:$C$451,$C295,'TL07'!$J$238:$J$451),0),
IF('TL08'!$B$3=Q$3,SUMIF('TL08'!$C$10:$C$224,$C295,'TL08'!$J$10:$J$224),0),
IF('TL08'!$B$229=Q$3,SUMIF('TL08'!$C$238:$C$451,$C295,'TL08'!$J$238:$J$451),0),
IF('TL09'!$B$3=Q$3,SUMIF('TL09'!$C$10:$C$224,$C295,'TL09'!$J$10:$J$224),0),
IF('TL09'!$B$229=Q$3,SUMIF('TL09'!$C$238:$C$451,$C295,'TL09'!$J$238:$J$451),0),
IF('TL10'!$B$3=Q$3,SUMIF('TL10'!$C$10:$C$224,$C295,'TL10'!$J$10:$J$224),0),
IF('TL10'!$B$229=Q$3,SUMIF('TL10'!$C$238:$C$451,$C295,'TL10'!$J$238:$J$451),0),
IF('TL11'!$B$3=Q$3,SUMIF('TL11'!$C$10:$C$224,$C295,'TL11'!$J$10:$J$224),0),
IF('TL11'!$B$229=Q$3,SUMIF('TL11'!$C$238:$C$451,$C295,'TL11'!$J$238:$J$451),0),
IF('TL12'!$B$3=Q$3,SUMIF('TL12'!$C$10:$C$224,$C295,'TL12'!$J$10:$J$224),0),
IF('TL12'!$B$229=Q$3,SUMIF('TL12'!$C$238:$C$451,$C295,'TL12'!$J$238:$J$451),0),
IF('TL13'!$B$3=Q$3,SUMIF('TL13'!$C$10:$C$224,$C295,'TL13'!$J$10:$J$224),0),
IF('TL13'!$B$229=Q$3,SUMIF('TL13'!$C$238:$C$451,$C295,'TL13'!$J$238:$J$451),0),
IF('TL14'!$B$3=Q$3,SUMIF('TL14'!$C$10:$C$224,$C295,'TL14'!$J$10:$J$224),0),
IF('TL14'!$B$229=Q$3,SUMIF('TL14'!$C$238:$C$451,$C295,'TL14'!$J$238:$J$451),0),
IF('TL15'!$B$3=Q$3,SUMIF('TL15'!$C$10:$C$224,$C295,'TL15'!$J$10:$J$224),0),
IF('TL15'!$B$229=Q$3,SUMIF('TL15'!$C$238:$C$451,$C295,'TL15'!$J$238:$J$451),0),
IF('TL16'!$B$3=Q$3,SUMIF('TL16'!$C$10:$C$224,$C295,'TL16'!$J$10:$J$224),0),
IF('TL16'!$B$229=Q$3,SUMIF('TL16'!$C$238:$C$451,$C295,'TL16'!$J$238:$J$451),0),
IF('TL17'!$B$3=Q$3,SUMIF('TL17'!$C$10:$C$224,$C295,'TL17'!$J$10:$J$224),0),
IF('TL17'!$B$229=Q$3,SUMIF('TL17'!$C$238:$C$451,$C295,'TL17'!$J$238:$J$451),0),
IF('TL18'!$B$3=Q$3,SUMIF('TL18'!$C$10:$C$224,$C295,'TL18'!$J$10:$J$224),0),
IF('TL18'!$B$229=Q$3,SUMIF('TL18'!$C$238:$C$451,$C295,'TL18'!$J$238:$J$451),0),
IF('TL19'!$B$3=Q$3,SUMIF('TL19'!$C$10:$C$224,$C295,'TL19'!$J$10:$J$224),0),
IF('TL19'!$B$229=Q$3,SUMIF('TL19'!$C$238:$C$451,$C295,'TL19'!$J$238:$J$451),0)
),0)</f>
        <v/>
      </c>
      <c r="R295" s="9">
        <f>IFERROR(
SUM(
SUMIF('TL01'!C:C,C295,'TL01'!J:J),
SUMIF('TL02'!C:C,C295,'TL02'!J:J),
SUMIF('TL03'!C:C,C295,'TL03'!J:J),
SUMIF('TL04'!C:C,C295,'TL04'!J:J),
SUMIF('TL05'!C:C,C295,'TL05'!J:J),
SUMIF('TL06'!C:C,C295,'TL06'!J:J),
SUMIF('TL07'!C:C,C295,'TL07'!J:J),
SUMIF('TL08'!C:C,C295,'TL08'!J:J),
SUMIF('TL09'!C:C,C295,'TL09'!J:J),
SUMIF('TL10'!C:C,C295,'TL10'!J:J),
SUMIF('TL11'!C:C,C295,'TL11'!J:J),
SUMIF('TL12'!C:C,C295,'TL12'!J:J),
SUMIF('TL13'!C:C,C295,'TL13'!J:J),
SUMIF('TL14'!C:C,C295,'TL14'!J:J),
SUMIF('TL15'!C:C,C295,'TL15'!J:J),
SUMIF('TL16'!C:C,C295,'TL16'!J:J),
SUMIF('TL17'!C:C,C295,'TL17'!J:J),
SUMIF('TL18'!C:C,C295,'TL18'!J:J),SUMIF('TL19'!C:C,C295,'TL19'!J:J))
,0)</f>
        <v/>
      </c>
      <c r="S295" s="17">
        <f>IFERROR(__xludf.DUMMYFUNCTION("IFERROR(VLOOKUP(C295,
IMPORTRANGE(""1wULbzX32WdYsx-lj2U3uUNBBe2INVIRDtcK0d-Dvl90"",
""26-27!C:G""),
5,
FALSE),
"""")"),325.717)</f>
        <v/>
      </c>
      <c r="T295" s="9" t="n"/>
      <c r="U295" s="92">
        <f>MAX(0,R295-T295)</f>
        <v/>
      </c>
      <c r="V295" s="93">
        <f>U295*S295</f>
        <v/>
      </c>
    </row>
    <row r="296" hidden="1" ht="15.75" customHeight="1" s="297">
      <c r="A296" s="119" t="inlineStr">
        <is>
          <t>SYNGENTA</t>
        </is>
      </c>
      <c r="B296" s="120" t="inlineStr">
        <is>
          <t>TS</t>
        </is>
      </c>
      <c r="C296" s="119" t="inlineStr">
        <is>
          <t>CRUISER ADVANCED</t>
        </is>
      </c>
      <c r="D296" s="119" t="inlineStr">
        <is>
          <t>METALAXIL-M + TIABENDAZOL + FLUDIOXONIL +
 TIAMETOXAM</t>
        </is>
      </c>
      <c r="E296" s="119" t="inlineStr">
        <is>
          <t>20 + 150 + 25 + 350</t>
        </is>
      </c>
      <c r="F296" s="4" t="n"/>
      <c r="G296" s="90">
        <f>HYPERLINK("https://www.google.com/search?q=" &amp; C296 &amp; "+bula+agrofit+pdf", "📄 Ver bula")</f>
        <v/>
      </c>
      <c r="H296" s="9">
        <f>IFERROR(__xludf.DUMMYFUNCTION("IFERROR(VLOOKUP(C296,
IMPORTRANGE(""1wULbzX32WdYsx-lj2U3uUNBBe2INVIRDtcK0d-Dvl90"",
""26-27!C:K""),
8,
FALSE),
"""")"),0.05)</f>
        <v/>
      </c>
      <c r="I296" s="123" t="n"/>
      <c r="J296" s="9">
        <f>IFERROR(SUM(
IF('TL01'!$B$3=J$3,SUMIF('TL01'!$C$10:$C$224,$C296,'TL01'!$J$10:$J$224),0),
IF('TL01'!$B$229=J$3,SUMIF('TL01'!$C$238:$C$451,$C296,'TL01'!$J$238:$J$451),0),
IF('TL02'!$B$3=J$3,SUMIF('TL02'!$C$10:$C$224,$C296,'TL02'!$J$10:$J$224),0),
IF('TL02'!$B$229=J$3,SUMIF('TL02'!$C$238:$C$451,$C296,'TL02'!$J$238:$J$451),0),
IF('TL03'!$B$3=J$3,SUMIF('TL03'!$C$10:$C$224,$C296,'TL03'!$J$10:$J$224),0),
IF('TL03'!$B$229=J$3,SUMIF('TL03'!$C$238:$C$451,$C296,'TL03'!$J$238:$J$451),0),
IF('TL04'!$B$3=J$3,SUMIF('TL04'!$C$10:$C$224,$C296,'TL04'!$J$10:$J$224),0),
IF('TL04'!$B$229=J$3,SUMIF('TL04'!$C$238:$C$451,$C296,'TL04'!$J$238:$J$451),0),
IF('TL05'!$B$3=J$3,SUMIF('TL05'!$C$10:$C$224,$C296,'TL05'!$J$10:$J$224),0),
IF('TL05'!$B$229=J$3,SUMIF('TL05'!$C$238:$C$451,$C296,'TL05'!$J$238:$J$451),0),
IF('TL06'!$B$3=J$3,SUMIF('TL06'!$C$10:$C$224,$C296,'TL06'!$J$10:$J$224),0),
IF('TL06'!$B$229=J$3,SUMIF('TL06'!$C$238:$C$451,$C296,'TL06'!$J$238:$J$451),0),
IF('TL07'!$B$3=J$3,SUMIF('TL07'!$C$10:$C$224,$C296,'TL07'!$J$10:$J$224),0),
IF('TL07'!$B$229=J$3,SUMIF('TL07'!$C$238:$C$451,$C296,'TL07'!$J$238:$J$451),0),
IF('TL08'!$B$3=J$3,SUMIF('TL08'!$C$10:$C$224,$C296,'TL08'!$J$10:$J$224),0),
IF('TL08'!$B$229=J$3,SUMIF('TL08'!$C$238:$C$451,$C296,'TL08'!$J$238:$J$451),0),
IF('TL09'!$B$3=J$3,SUMIF('TL09'!$C$10:$C$224,$C296,'TL09'!$J$10:$J$224),0),
IF('TL09'!$B$229=J$3,SUMIF('TL09'!$C$238:$C$451,$C296,'TL09'!$J$238:$J$451),0),
IF('TL10'!$B$3=J$3,SUMIF('TL10'!$C$10:$C$224,$C296,'TL10'!$J$10:$J$224),0),
IF('TL10'!$B$229=J$3,SUMIF('TL10'!$C$238:$C$451,$C296,'TL10'!$J$238:$J$451),0),
IF('TL11'!$B$3=J$3,SUMIF('TL11'!$C$10:$C$224,$C296,'TL11'!$J$10:$J$224),0),
IF('TL11'!$B$229=J$3,SUMIF('TL11'!$C$238:$C$451,$C296,'TL11'!$J$238:$J$451),0),
IF('TL12'!$B$3=J$3,SUMIF('TL12'!$C$10:$C$224,$C296,'TL12'!$J$10:$J$224),0),
IF('TL12'!$B$229=J$3,SUMIF('TL12'!$C$238:$C$451,$C296,'TL12'!$J$238:$J$451),0),
IF('TL13'!$B$3=J$3,SUMIF('TL13'!$C$10:$C$224,$C296,'TL13'!$J$10:$J$224),0),
IF('TL13'!$B$229=J$3,SUMIF('TL13'!$C$238:$C$451,$C296,'TL13'!$J$238:$J$451),0),
IF('TL14'!$B$3=J$3,SUMIF('TL14'!$C$10:$C$224,$C296,'TL14'!$J$10:$J$224),0),
IF('TL14'!$B$229=J$3,SUMIF('TL14'!$C$238:$C$451,$C296,'TL14'!$J$238:$J$451),0),
IF('TL15'!$B$3=J$3,SUMIF('TL15'!$C$10:$C$224,$C296,'TL15'!$J$10:$J$224),0),
IF('TL15'!$B$229=J$3,SUMIF('TL15'!$C$238:$C$451,$C296,'TL15'!$J$238:$J$451),0),
IF('TL16'!$B$3=J$3,SUMIF('TL16'!$C$10:$C$224,$C296,'TL16'!$J$10:$J$224),0),
IF('TL16'!$B$229=J$3,SUMIF('TL16'!$C$238:$C$451,$C296,'TL16'!$J$238:$J$451),0),
IF('TL17'!$B$3=J$3,SUMIF('TL17'!$C$10:$C$224,$C296,'TL17'!$J$10:$J$224),0),
IF('TL17'!$B$229=J$3,SUMIF('TL17'!$C$238:$C$451,$C296,'TL17'!$J$238:$J$451),0),
IF('TL18'!$B$3=J$3,SUMIF('TL18'!$C$10:$C$224,$C296,'TL18'!$J$10:$J$224),0),
IF('TL18'!$B$229=J$3,SUMIF('TL18'!$C$238:$C$451,$C296,'TL18'!$J$238:$J$451),0),
IF('TL19'!$B$3=J$3,SUMIF('TL19'!$C$10:$C$224,$C296,'TL19'!$J$10:$J$224),0),
IF('TL19'!$B$229=J$3,SUMIF('TL19'!$C$238:$C$451,$C296,'TL19'!$J$238:$J$451),0)
),0)</f>
        <v/>
      </c>
      <c r="K296" s="9">
        <f>IFERROR(SUM(
IF('TL01'!$B$3=K$3,SUMIF('TL01'!$C$10:$C$224,$C296,'TL01'!$J$10:$J$224),0),
IF('TL01'!$B$229=K$3,SUMIF('TL01'!$C$238:$C$451,$C296,'TL01'!$J$238:$J$451),0),
IF('TL02'!$B$3=K$3,SUMIF('TL02'!$C$10:$C$224,$C296,'TL02'!$J$10:$J$224),0),
IF('TL02'!$B$229=K$3,SUMIF('TL02'!$C$238:$C$451,$C296,'TL02'!$J$238:$J$451),0),
IF('TL03'!$B$3=K$3,SUMIF('TL03'!$C$10:$C$224,$C296,'TL03'!$J$10:$J$224),0),
IF('TL03'!$B$229=K$3,SUMIF('TL03'!$C$238:$C$451,$C296,'TL03'!$J$238:$J$451),0),
IF('TL04'!$B$3=K$3,SUMIF('TL04'!$C$10:$C$224,$C296,'TL04'!$J$10:$J$224),0),
IF('TL04'!$B$229=K$3,SUMIF('TL04'!$C$238:$C$451,$C296,'TL04'!$J$238:$J$451),0),
IF('TL05'!$B$3=K$3,SUMIF('TL05'!$C$10:$C$224,$C296,'TL05'!$J$10:$J$224),0),
IF('TL05'!$B$229=K$3,SUMIF('TL05'!$C$238:$C$451,$C296,'TL05'!$J$238:$J$451),0),
IF('TL06'!$B$3=K$3,SUMIF('TL06'!$C$10:$C$224,$C296,'TL06'!$J$10:$J$224),0),
IF('TL06'!$B$229=K$3,SUMIF('TL06'!$C$238:$C$451,$C296,'TL06'!$J$238:$J$451),0),
IF('TL07'!$B$3=K$3,SUMIF('TL07'!$C$10:$C$224,$C296,'TL07'!$J$10:$J$224),0),
IF('TL07'!$B$229=K$3,SUMIF('TL07'!$C$238:$C$451,$C296,'TL07'!$J$238:$J$451),0),
IF('TL08'!$B$3=K$3,SUMIF('TL08'!$C$10:$C$224,$C296,'TL08'!$J$10:$J$224),0),
IF('TL08'!$B$229=K$3,SUMIF('TL08'!$C$238:$C$451,$C296,'TL08'!$J$238:$J$451),0),
IF('TL09'!$B$3=K$3,SUMIF('TL09'!$C$10:$C$224,$C296,'TL09'!$J$10:$J$224),0),
IF('TL09'!$B$229=K$3,SUMIF('TL09'!$C$238:$C$451,$C296,'TL09'!$J$238:$J$451),0),
IF('TL10'!$B$3=K$3,SUMIF('TL10'!$C$10:$C$224,$C296,'TL10'!$J$10:$J$224),0),
IF('TL10'!$B$229=K$3,SUMIF('TL10'!$C$238:$C$451,$C296,'TL10'!$J$238:$J$451),0),
IF('TL11'!$B$3=K$3,SUMIF('TL11'!$C$10:$C$224,$C296,'TL11'!$J$10:$J$224),0),
IF('TL11'!$B$229=K$3,SUMIF('TL11'!$C$238:$C$451,$C296,'TL11'!$J$238:$J$451),0),
IF('TL12'!$B$3=K$3,SUMIF('TL12'!$C$10:$C$224,$C296,'TL12'!$J$10:$J$224),0),
IF('TL12'!$B$229=K$3,SUMIF('TL12'!$C$238:$C$451,$C296,'TL12'!$J$238:$J$451),0),
IF('TL13'!$B$3=K$3,SUMIF('TL13'!$C$10:$C$224,$C296,'TL13'!$J$10:$J$224),0),
IF('TL13'!$B$229=K$3,SUMIF('TL13'!$C$238:$C$451,$C296,'TL13'!$J$238:$J$451),0),
IF('TL14'!$B$3=K$3,SUMIF('TL14'!$C$10:$C$224,$C296,'TL14'!$J$10:$J$224),0),
IF('TL14'!$B$229=K$3,SUMIF('TL14'!$C$238:$C$451,$C296,'TL14'!$J$238:$J$451),0),
IF('TL15'!$B$3=K$3,SUMIF('TL15'!$C$10:$C$224,$C296,'TL15'!$J$10:$J$224),0),
IF('TL15'!$B$229=K$3,SUMIF('TL15'!$C$238:$C$451,$C296,'TL15'!$J$238:$J$451),0),
IF('TL16'!$B$3=K$3,SUMIF('TL16'!$C$10:$C$224,$C296,'TL16'!$J$10:$J$224),0),
IF('TL16'!$B$229=K$3,SUMIF('TL16'!$C$238:$C$451,$C296,'TL16'!$J$238:$J$451),0),
IF('TL17'!$B$3=K$3,SUMIF('TL17'!$C$10:$C$224,$C296,'TL17'!$J$10:$J$224),0),
IF('TL17'!$B$229=K$3,SUMIF('TL17'!$C$238:$C$451,$C296,'TL17'!$J$238:$J$451),0),
IF('TL18'!$B$3=K$3,SUMIF('TL18'!$C$10:$C$224,$C296,'TL18'!$J$10:$J$224),0),
IF('TL18'!$B$229=K$3,SUMIF('TL18'!$C$238:$C$451,$C296,'TL18'!$J$238:$J$451),0),
IF('TL19'!$B$3=K$3,SUMIF('TL19'!$C$10:$C$224,$C296,'TL19'!$J$10:$J$224),0),
IF('TL19'!$B$229=K$3,SUMIF('TL19'!$C$238:$C$451,$C296,'TL19'!$J$238:$J$451),0)
),0)</f>
        <v/>
      </c>
      <c r="L296" s="9">
        <f>IFERROR(SUM(
IF('TL01'!$B$3=L$3,SUMIF('TL01'!$C$10:$C$224,$C296,'TL01'!$J$10:$J$224),0),
IF('TL01'!$B$229=L$3,SUMIF('TL01'!$C$238:$C$451,$C296,'TL01'!$J$238:$J$451),0),
IF('TL02'!$B$3=L$3,SUMIF('TL02'!$C$10:$C$224,$C296,'TL02'!$J$10:$J$224),0),
IF('TL02'!$B$229=L$3,SUMIF('TL02'!$C$238:$C$451,$C296,'TL02'!$J$238:$J$451),0),
IF('TL03'!$B$3=L$3,SUMIF('TL03'!$C$10:$C$224,$C296,'TL03'!$J$10:$J$224),0),
IF('TL03'!$B$229=L$3,SUMIF('TL03'!$C$238:$C$451,$C296,'TL03'!$J$238:$J$451),0),
IF('TL04'!$B$3=L$3,SUMIF('TL04'!$C$10:$C$224,$C296,'TL04'!$J$10:$J$224),0),
IF('TL04'!$B$229=L$3,SUMIF('TL04'!$C$238:$C$451,$C296,'TL04'!$J$238:$J$451),0),
IF('TL05'!$B$3=L$3,SUMIF('TL05'!$C$10:$C$224,$C296,'TL05'!$J$10:$J$224),0),
IF('TL05'!$B$229=L$3,SUMIF('TL05'!$C$238:$C$451,$C296,'TL05'!$J$238:$J$451),0),
IF('TL06'!$B$3=L$3,SUMIF('TL06'!$C$10:$C$224,$C296,'TL06'!$J$10:$J$224),0),
IF('TL06'!$B$229=L$3,SUMIF('TL06'!$C$238:$C$451,$C296,'TL06'!$J$238:$J$451),0),
IF('TL07'!$B$3=L$3,SUMIF('TL07'!$C$10:$C$224,$C296,'TL07'!$J$10:$J$224),0),
IF('TL07'!$B$229=L$3,SUMIF('TL07'!$C$238:$C$451,$C296,'TL07'!$J$238:$J$451),0),
IF('TL08'!$B$3=L$3,SUMIF('TL08'!$C$10:$C$224,$C296,'TL08'!$J$10:$J$224),0),
IF('TL08'!$B$229=L$3,SUMIF('TL08'!$C$238:$C$451,$C296,'TL08'!$J$238:$J$451),0),
IF('TL09'!$B$3=L$3,SUMIF('TL09'!$C$10:$C$224,$C296,'TL09'!$J$10:$J$224),0),
IF('TL09'!$B$229=L$3,SUMIF('TL09'!$C$238:$C$451,$C296,'TL09'!$J$238:$J$451),0),
IF('TL10'!$B$3=L$3,SUMIF('TL10'!$C$10:$C$224,$C296,'TL10'!$J$10:$J$224),0),
IF('TL10'!$B$229=L$3,SUMIF('TL10'!$C$238:$C$451,$C296,'TL10'!$J$238:$J$451),0),
IF('TL11'!$B$3=L$3,SUMIF('TL11'!$C$10:$C$224,$C296,'TL11'!$J$10:$J$224),0),
IF('TL11'!$B$229=L$3,SUMIF('TL11'!$C$238:$C$451,$C296,'TL11'!$J$238:$J$451),0),
IF('TL12'!$B$3=L$3,SUMIF('TL12'!$C$10:$C$224,$C296,'TL12'!$J$10:$J$224),0),
IF('TL12'!$B$229=L$3,SUMIF('TL12'!$C$238:$C$451,$C296,'TL12'!$J$238:$J$451),0),
IF('TL13'!$B$3=L$3,SUMIF('TL13'!$C$10:$C$224,$C296,'TL13'!$J$10:$J$224),0),
IF('TL13'!$B$229=L$3,SUMIF('TL13'!$C$238:$C$451,$C296,'TL13'!$J$238:$J$451),0),
IF('TL14'!$B$3=L$3,SUMIF('TL14'!$C$10:$C$224,$C296,'TL14'!$J$10:$J$224),0),
IF('TL14'!$B$229=L$3,SUMIF('TL14'!$C$238:$C$451,$C296,'TL14'!$J$238:$J$451),0),
IF('TL15'!$B$3=L$3,SUMIF('TL15'!$C$10:$C$224,$C296,'TL15'!$J$10:$J$224),0),
IF('TL15'!$B$229=L$3,SUMIF('TL15'!$C$238:$C$451,$C296,'TL15'!$J$238:$J$451),0),
IF('TL16'!$B$3=L$3,SUMIF('TL16'!$C$10:$C$224,$C296,'TL16'!$J$10:$J$224),0),
IF('TL16'!$B$229=L$3,SUMIF('TL16'!$C$238:$C$451,$C296,'TL16'!$J$238:$J$451),0),
IF('TL17'!$B$3=L$3,SUMIF('TL17'!$C$10:$C$224,$C296,'TL17'!$J$10:$J$224),0),
IF('TL17'!$B$229=L$3,SUMIF('TL17'!$C$238:$C$451,$C296,'TL17'!$J$238:$J$451),0),
IF('TL18'!$B$3=L$3,SUMIF('TL18'!$C$10:$C$224,$C296,'TL18'!$J$10:$J$224),0),
IF('TL18'!$B$229=L$3,SUMIF('TL18'!$C$238:$C$451,$C296,'TL18'!$J$238:$J$451),0),
IF('TL19'!$B$3=L$3,SUMIF('TL19'!$C$10:$C$224,$C296,'TL19'!$J$10:$J$224),0),
IF('TL19'!$B$229=L$3,SUMIF('TL19'!$C$238:$C$451,$C296,'TL19'!$J$238:$J$451),0)
),0)</f>
        <v/>
      </c>
      <c r="M296" s="9">
        <f>IFERROR(SUM(
IF('TL01'!$B$3=M$3,SUMIF('TL01'!$C$10:$C$224,$C296,'TL01'!$J$10:$J$224),0),
IF('TL01'!$B$229=M$3,SUMIF('TL01'!$C$238:$C$451,$C296,'TL01'!$J$238:$J$451),0),
IF('TL02'!$B$3=M$3,SUMIF('TL02'!$C$10:$C$224,$C296,'TL02'!$J$10:$J$224),0),
IF('TL02'!$B$229=M$3,SUMIF('TL02'!$C$238:$C$451,$C296,'TL02'!$J$238:$J$451),0),
IF('TL03'!$B$3=M$3,SUMIF('TL03'!$C$10:$C$224,$C296,'TL03'!$J$10:$J$224),0),
IF('TL03'!$B$229=M$3,SUMIF('TL03'!$C$238:$C$451,$C296,'TL03'!$J$238:$J$451),0),
IF('TL04'!$B$3=M$3,SUMIF('TL04'!$C$10:$C$224,$C296,'TL04'!$J$10:$J$224),0),
IF('TL04'!$B$229=M$3,SUMIF('TL04'!$C$238:$C$451,$C296,'TL04'!$J$238:$J$451),0),
IF('TL05'!$B$3=M$3,SUMIF('TL05'!$C$10:$C$224,$C296,'TL05'!$J$10:$J$224),0),
IF('TL05'!$B$229=M$3,SUMIF('TL05'!$C$238:$C$451,$C296,'TL05'!$J$238:$J$451),0),
IF('TL06'!$B$3=M$3,SUMIF('TL06'!$C$10:$C$224,$C296,'TL06'!$J$10:$J$224),0),
IF('TL06'!$B$229=M$3,SUMIF('TL06'!$C$238:$C$451,$C296,'TL06'!$J$238:$J$451),0),
IF('TL07'!$B$3=M$3,SUMIF('TL07'!$C$10:$C$224,$C296,'TL07'!$J$10:$J$224),0),
IF('TL07'!$B$229=M$3,SUMIF('TL07'!$C$238:$C$451,$C296,'TL07'!$J$238:$J$451),0),
IF('TL08'!$B$3=M$3,SUMIF('TL08'!$C$10:$C$224,$C296,'TL08'!$J$10:$J$224),0),
IF('TL08'!$B$229=M$3,SUMIF('TL08'!$C$238:$C$451,$C296,'TL08'!$J$238:$J$451),0),
IF('TL09'!$B$3=M$3,SUMIF('TL09'!$C$10:$C$224,$C296,'TL09'!$J$10:$J$224),0),
IF('TL09'!$B$229=M$3,SUMIF('TL09'!$C$238:$C$451,$C296,'TL09'!$J$238:$J$451),0),
IF('TL10'!$B$3=M$3,SUMIF('TL10'!$C$10:$C$224,$C296,'TL10'!$J$10:$J$224),0),
IF('TL10'!$B$229=M$3,SUMIF('TL10'!$C$238:$C$451,$C296,'TL10'!$J$238:$J$451),0),
IF('TL11'!$B$3=M$3,SUMIF('TL11'!$C$10:$C$224,$C296,'TL11'!$J$10:$J$224),0),
IF('TL11'!$B$229=M$3,SUMIF('TL11'!$C$238:$C$451,$C296,'TL11'!$J$238:$J$451),0),
IF('TL12'!$B$3=M$3,SUMIF('TL12'!$C$10:$C$224,$C296,'TL12'!$J$10:$J$224),0),
IF('TL12'!$B$229=M$3,SUMIF('TL12'!$C$238:$C$451,$C296,'TL12'!$J$238:$J$451),0),
IF('TL13'!$B$3=M$3,SUMIF('TL13'!$C$10:$C$224,$C296,'TL13'!$J$10:$J$224),0),
IF('TL13'!$B$229=M$3,SUMIF('TL13'!$C$238:$C$451,$C296,'TL13'!$J$238:$J$451),0),
IF('TL14'!$B$3=M$3,SUMIF('TL14'!$C$10:$C$224,$C296,'TL14'!$J$10:$J$224),0),
IF('TL14'!$B$229=M$3,SUMIF('TL14'!$C$238:$C$451,$C296,'TL14'!$J$238:$J$451),0),
IF('TL15'!$B$3=M$3,SUMIF('TL15'!$C$10:$C$224,$C296,'TL15'!$J$10:$J$224),0),
IF('TL15'!$B$229=M$3,SUMIF('TL15'!$C$238:$C$451,$C296,'TL15'!$J$238:$J$451),0),
IF('TL16'!$B$3=M$3,SUMIF('TL16'!$C$10:$C$224,$C296,'TL16'!$J$10:$J$224),0),
IF('TL16'!$B$229=M$3,SUMIF('TL16'!$C$238:$C$451,$C296,'TL16'!$J$238:$J$451),0),
IF('TL17'!$B$3=M$3,SUMIF('TL17'!$C$10:$C$224,$C296,'TL17'!$J$10:$J$224),0),
IF('TL17'!$B$229=M$3,SUMIF('TL17'!$C$238:$C$451,$C296,'TL17'!$J$238:$J$451),0),
IF('TL18'!$B$3=M$3,SUMIF('TL18'!$C$10:$C$224,$C296,'TL18'!$J$10:$J$224),0),
IF('TL18'!$B$229=M$3,SUMIF('TL18'!$C$238:$C$451,$C296,'TL18'!$J$238:$J$451),0),
IF('TL19'!$B$3=M$3,SUMIF('TL19'!$C$10:$C$224,$C296,'TL19'!$J$10:$J$224),0),
IF('TL19'!$B$229=M$3,SUMIF('TL19'!$C$238:$C$451,$C296,'TL19'!$J$238:$J$451),0)
),0)</f>
        <v/>
      </c>
      <c r="N296" s="9">
        <f>IFERROR(SUM(
IF('TL01'!$B$3=N$3,SUMIF('TL01'!$C$10:$C$224,$C296,'TL01'!$J$10:$J$224),0),
IF('TL01'!$B$229=N$3,SUMIF('TL01'!$C$238:$C$451,$C296,'TL01'!$J$238:$J$451),0),
IF('TL02'!$B$3=N$3,SUMIF('TL02'!$C$10:$C$224,$C296,'TL02'!$J$10:$J$224),0),
IF('TL02'!$B$229=N$3,SUMIF('TL02'!$C$238:$C$451,$C296,'TL02'!$J$238:$J$451),0),
IF('TL03'!$B$3=N$3,SUMIF('TL03'!$C$10:$C$224,$C296,'TL03'!$J$10:$J$224),0),
IF('TL03'!$B$229=N$3,SUMIF('TL03'!$C$238:$C$451,$C296,'TL03'!$J$238:$J$451),0),
IF('TL04'!$B$3=N$3,SUMIF('TL04'!$C$10:$C$224,$C296,'TL04'!$J$10:$J$224),0),
IF('TL04'!$B$229=N$3,SUMIF('TL04'!$C$238:$C$451,$C296,'TL04'!$J$238:$J$451),0),
IF('TL05'!$B$3=N$3,SUMIF('TL05'!$C$10:$C$224,$C296,'TL05'!$J$10:$J$224),0),
IF('TL05'!$B$229=N$3,SUMIF('TL05'!$C$238:$C$451,$C296,'TL05'!$J$238:$J$451),0),
IF('TL06'!$B$3=N$3,SUMIF('TL06'!$C$10:$C$224,$C296,'TL06'!$J$10:$J$224),0),
IF('TL06'!$B$229=N$3,SUMIF('TL06'!$C$238:$C$451,$C296,'TL06'!$J$238:$J$451),0),
IF('TL07'!$B$3=N$3,SUMIF('TL07'!$C$10:$C$224,$C296,'TL07'!$J$10:$J$224),0),
IF('TL07'!$B$229=N$3,SUMIF('TL07'!$C$238:$C$451,$C296,'TL07'!$J$238:$J$451),0),
IF('TL08'!$B$3=N$3,SUMIF('TL08'!$C$10:$C$224,$C296,'TL08'!$J$10:$J$224),0),
IF('TL08'!$B$229=N$3,SUMIF('TL08'!$C$238:$C$451,$C296,'TL08'!$J$238:$J$451),0),
IF('TL09'!$B$3=N$3,SUMIF('TL09'!$C$10:$C$224,$C296,'TL09'!$J$10:$J$224),0),
IF('TL09'!$B$229=N$3,SUMIF('TL09'!$C$238:$C$451,$C296,'TL09'!$J$238:$J$451),0),
IF('TL10'!$B$3=N$3,SUMIF('TL10'!$C$10:$C$224,$C296,'TL10'!$J$10:$J$224),0),
IF('TL10'!$B$229=N$3,SUMIF('TL10'!$C$238:$C$451,$C296,'TL10'!$J$238:$J$451),0),
IF('TL11'!$B$3=N$3,SUMIF('TL11'!$C$10:$C$224,$C296,'TL11'!$J$10:$J$224),0),
IF('TL11'!$B$229=N$3,SUMIF('TL11'!$C$238:$C$451,$C296,'TL11'!$J$238:$J$451),0),
IF('TL12'!$B$3=N$3,SUMIF('TL12'!$C$10:$C$224,$C296,'TL12'!$J$10:$J$224),0),
IF('TL12'!$B$229=N$3,SUMIF('TL12'!$C$238:$C$451,$C296,'TL12'!$J$238:$J$451),0),
IF('TL13'!$B$3=N$3,SUMIF('TL13'!$C$10:$C$224,$C296,'TL13'!$J$10:$J$224),0),
IF('TL13'!$B$229=N$3,SUMIF('TL13'!$C$238:$C$451,$C296,'TL13'!$J$238:$J$451),0),
IF('TL14'!$B$3=N$3,SUMIF('TL14'!$C$10:$C$224,$C296,'TL14'!$J$10:$J$224),0),
IF('TL14'!$B$229=N$3,SUMIF('TL14'!$C$238:$C$451,$C296,'TL14'!$J$238:$J$451),0),
IF('TL15'!$B$3=N$3,SUMIF('TL15'!$C$10:$C$224,$C296,'TL15'!$J$10:$J$224),0),
IF('TL15'!$B$229=N$3,SUMIF('TL15'!$C$238:$C$451,$C296,'TL15'!$J$238:$J$451),0),
IF('TL16'!$B$3=N$3,SUMIF('TL16'!$C$10:$C$224,$C296,'TL16'!$J$10:$J$224),0),
IF('TL16'!$B$229=N$3,SUMIF('TL16'!$C$238:$C$451,$C296,'TL16'!$J$238:$J$451),0),
IF('TL17'!$B$3=N$3,SUMIF('TL17'!$C$10:$C$224,$C296,'TL17'!$J$10:$J$224),0),
IF('TL17'!$B$229=N$3,SUMIF('TL17'!$C$238:$C$451,$C296,'TL17'!$J$238:$J$451),0),
IF('TL18'!$B$3=N$3,SUMIF('TL18'!$C$10:$C$224,$C296,'TL18'!$J$10:$J$224),0),
IF('TL18'!$B$229=N$3,SUMIF('TL18'!$C$238:$C$451,$C296,'TL18'!$J$238:$J$451),0),
IF('TL19'!$B$3=N$3,SUMIF('TL19'!$C$10:$C$224,$C296,'TL19'!$J$10:$J$224),0),
IF('TL19'!$B$229=N$3,SUMIF('TL19'!$C$238:$C$451,$C296,'TL19'!$J$238:$J$451),0)
),0)</f>
        <v/>
      </c>
      <c r="O296" s="9">
        <f>IFERROR(SUM(
IF('TL01'!$B$3=O$3,SUMIF('TL01'!$C$10:$C$224,$C296,'TL01'!$J$10:$J$224),0),
IF('TL01'!$B$229=O$3,SUMIF('TL01'!$C$238:$C$451,$C296,'TL01'!$J$238:$J$451),0),
IF('TL02'!$B$3=O$3,SUMIF('TL02'!$C$10:$C$224,$C296,'TL02'!$J$10:$J$224),0),
IF('TL02'!$B$229=O$3,SUMIF('TL02'!$C$238:$C$451,$C296,'TL02'!$J$238:$J$451),0),
IF('TL03'!$B$3=O$3,SUMIF('TL03'!$C$10:$C$224,$C296,'TL03'!$J$10:$J$224),0),
IF('TL03'!$B$229=O$3,SUMIF('TL03'!$C$238:$C$451,$C296,'TL03'!$J$238:$J$451),0),
IF('TL04'!$B$3=O$3,SUMIF('TL04'!$C$10:$C$224,$C296,'TL04'!$J$10:$J$224),0),
IF('TL04'!$B$229=O$3,SUMIF('TL04'!$C$238:$C$451,$C296,'TL04'!$J$238:$J$451),0),
IF('TL05'!$B$3=O$3,SUMIF('TL05'!$C$10:$C$224,$C296,'TL05'!$J$10:$J$224),0),
IF('TL05'!$B$229=O$3,SUMIF('TL05'!$C$238:$C$451,$C296,'TL05'!$J$238:$J$451),0),
IF('TL06'!$B$3=O$3,SUMIF('TL06'!$C$10:$C$224,$C296,'TL06'!$J$10:$J$224),0),
IF('TL06'!$B$229=O$3,SUMIF('TL06'!$C$238:$C$451,$C296,'TL06'!$J$238:$J$451),0),
IF('TL07'!$B$3=O$3,SUMIF('TL07'!$C$10:$C$224,$C296,'TL07'!$J$10:$J$224),0),
IF('TL07'!$B$229=O$3,SUMIF('TL07'!$C$238:$C$451,$C296,'TL07'!$J$238:$J$451),0),
IF('TL08'!$B$3=O$3,SUMIF('TL08'!$C$10:$C$224,$C296,'TL08'!$J$10:$J$224),0),
IF('TL08'!$B$229=O$3,SUMIF('TL08'!$C$238:$C$451,$C296,'TL08'!$J$238:$J$451),0),
IF('TL09'!$B$3=O$3,SUMIF('TL09'!$C$10:$C$224,$C296,'TL09'!$J$10:$J$224),0),
IF('TL09'!$B$229=O$3,SUMIF('TL09'!$C$238:$C$451,$C296,'TL09'!$J$238:$J$451),0),
IF('TL10'!$B$3=O$3,SUMIF('TL10'!$C$10:$C$224,$C296,'TL10'!$J$10:$J$224),0),
IF('TL10'!$B$229=O$3,SUMIF('TL10'!$C$238:$C$451,$C296,'TL10'!$J$238:$J$451),0),
IF('TL11'!$B$3=O$3,SUMIF('TL11'!$C$10:$C$224,$C296,'TL11'!$J$10:$J$224),0),
IF('TL11'!$B$229=O$3,SUMIF('TL11'!$C$238:$C$451,$C296,'TL11'!$J$238:$J$451),0),
IF('TL12'!$B$3=O$3,SUMIF('TL12'!$C$10:$C$224,$C296,'TL12'!$J$10:$J$224),0),
IF('TL12'!$B$229=O$3,SUMIF('TL12'!$C$238:$C$451,$C296,'TL12'!$J$238:$J$451),0),
IF('TL13'!$B$3=O$3,SUMIF('TL13'!$C$10:$C$224,$C296,'TL13'!$J$10:$J$224),0),
IF('TL13'!$B$229=O$3,SUMIF('TL13'!$C$238:$C$451,$C296,'TL13'!$J$238:$J$451),0),
IF('TL14'!$B$3=O$3,SUMIF('TL14'!$C$10:$C$224,$C296,'TL14'!$J$10:$J$224),0),
IF('TL14'!$B$229=O$3,SUMIF('TL14'!$C$238:$C$451,$C296,'TL14'!$J$238:$J$451),0),
IF('TL15'!$B$3=O$3,SUMIF('TL15'!$C$10:$C$224,$C296,'TL15'!$J$10:$J$224),0),
IF('TL15'!$B$229=O$3,SUMIF('TL15'!$C$238:$C$451,$C296,'TL15'!$J$238:$J$451),0),
IF('TL16'!$B$3=O$3,SUMIF('TL16'!$C$10:$C$224,$C296,'TL16'!$J$10:$J$224),0),
IF('TL16'!$B$229=O$3,SUMIF('TL16'!$C$238:$C$451,$C296,'TL16'!$J$238:$J$451),0),
IF('TL17'!$B$3=O$3,SUMIF('TL17'!$C$10:$C$224,$C296,'TL17'!$J$10:$J$224),0),
IF('TL17'!$B$229=O$3,SUMIF('TL17'!$C$238:$C$451,$C296,'TL17'!$J$238:$J$451),0),
IF('TL18'!$B$3=O$3,SUMIF('TL18'!$C$10:$C$224,$C296,'TL18'!$J$10:$J$224),0),
IF('TL18'!$B$229=O$3,SUMIF('TL18'!$C$238:$C$451,$C296,'TL18'!$J$238:$J$451),0),
IF('TL19'!$B$3=O$3,SUMIF('TL19'!$C$10:$C$224,$C296,'TL19'!$J$10:$J$224),0),
IF('TL19'!$B$229=O$3,SUMIF('TL19'!$C$238:$C$451,$C296,'TL19'!$J$238:$J$451),0)
),0)</f>
        <v/>
      </c>
      <c r="P296" s="9">
        <f>IFERROR(SUM(
IF('TL01'!$B$3=P$3,SUMIF('TL01'!$C$10:$C$224,$C296,'TL01'!$J$10:$J$224),0),
IF('TL01'!$B$229=P$3,SUMIF('TL01'!$C$238:$C$451,$C296,'TL01'!$J$238:$J$451),0),
IF('TL02'!$B$3=P$3,SUMIF('TL02'!$C$10:$C$224,$C296,'TL02'!$J$10:$J$224),0),
IF('TL02'!$B$229=P$3,SUMIF('TL02'!$C$238:$C$451,$C296,'TL02'!$J$238:$J$451),0),
IF('TL03'!$B$3=P$3,SUMIF('TL03'!$C$10:$C$224,$C296,'TL03'!$J$10:$J$224),0),
IF('TL03'!$B$229=P$3,SUMIF('TL03'!$C$238:$C$451,$C296,'TL03'!$J$238:$J$451),0),
IF('TL04'!$B$3=P$3,SUMIF('TL04'!$C$10:$C$224,$C296,'TL04'!$J$10:$J$224),0),
IF('TL04'!$B$229=P$3,SUMIF('TL04'!$C$238:$C$451,$C296,'TL04'!$J$238:$J$451),0),
IF('TL05'!$B$3=P$3,SUMIF('TL05'!$C$10:$C$224,$C296,'TL05'!$J$10:$J$224),0),
IF('TL05'!$B$229=P$3,SUMIF('TL05'!$C$238:$C$451,$C296,'TL05'!$J$238:$J$451),0),
IF('TL06'!$B$3=P$3,SUMIF('TL06'!$C$10:$C$224,$C296,'TL06'!$J$10:$J$224),0),
IF('TL06'!$B$229=P$3,SUMIF('TL06'!$C$238:$C$451,$C296,'TL06'!$J$238:$J$451),0),
IF('TL07'!$B$3=P$3,SUMIF('TL07'!$C$10:$C$224,$C296,'TL07'!$J$10:$J$224),0),
IF('TL07'!$B$229=P$3,SUMIF('TL07'!$C$238:$C$451,$C296,'TL07'!$J$238:$J$451),0),
IF('TL08'!$B$3=P$3,SUMIF('TL08'!$C$10:$C$224,$C296,'TL08'!$J$10:$J$224),0),
IF('TL08'!$B$229=P$3,SUMIF('TL08'!$C$238:$C$451,$C296,'TL08'!$J$238:$J$451),0),
IF('TL09'!$B$3=P$3,SUMIF('TL09'!$C$10:$C$224,$C296,'TL09'!$J$10:$J$224),0),
IF('TL09'!$B$229=P$3,SUMIF('TL09'!$C$238:$C$451,$C296,'TL09'!$J$238:$J$451),0),
IF('TL10'!$B$3=P$3,SUMIF('TL10'!$C$10:$C$224,$C296,'TL10'!$J$10:$J$224),0),
IF('TL10'!$B$229=P$3,SUMIF('TL10'!$C$238:$C$451,$C296,'TL10'!$J$238:$J$451),0),
IF('TL11'!$B$3=P$3,SUMIF('TL11'!$C$10:$C$224,$C296,'TL11'!$J$10:$J$224),0),
IF('TL11'!$B$229=P$3,SUMIF('TL11'!$C$238:$C$451,$C296,'TL11'!$J$238:$J$451),0),
IF('TL12'!$B$3=P$3,SUMIF('TL12'!$C$10:$C$224,$C296,'TL12'!$J$10:$J$224),0),
IF('TL12'!$B$229=P$3,SUMIF('TL12'!$C$238:$C$451,$C296,'TL12'!$J$238:$J$451),0),
IF('TL13'!$B$3=P$3,SUMIF('TL13'!$C$10:$C$224,$C296,'TL13'!$J$10:$J$224),0),
IF('TL13'!$B$229=P$3,SUMIF('TL13'!$C$238:$C$451,$C296,'TL13'!$J$238:$J$451),0),
IF('TL14'!$B$3=P$3,SUMIF('TL14'!$C$10:$C$224,$C296,'TL14'!$J$10:$J$224),0),
IF('TL14'!$B$229=P$3,SUMIF('TL14'!$C$238:$C$451,$C296,'TL14'!$J$238:$J$451),0),
IF('TL15'!$B$3=P$3,SUMIF('TL15'!$C$10:$C$224,$C296,'TL15'!$J$10:$J$224),0),
IF('TL15'!$B$229=P$3,SUMIF('TL15'!$C$238:$C$451,$C296,'TL15'!$J$238:$J$451),0),
IF('TL16'!$B$3=P$3,SUMIF('TL16'!$C$10:$C$224,$C296,'TL16'!$J$10:$J$224),0),
IF('TL16'!$B$229=P$3,SUMIF('TL16'!$C$238:$C$451,$C296,'TL16'!$J$238:$J$451),0),
IF('TL17'!$B$3=P$3,SUMIF('TL17'!$C$10:$C$224,$C296,'TL17'!$J$10:$J$224),0),
IF('TL17'!$B$229=P$3,SUMIF('TL17'!$C$238:$C$451,$C296,'TL17'!$J$238:$J$451),0),
IF('TL18'!$B$3=P$3,SUMIF('TL18'!$C$10:$C$224,$C296,'TL18'!$J$10:$J$224),0),
IF('TL18'!$B$229=P$3,SUMIF('TL18'!$C$238:$C$451,$C296,'TL18'!$J$238:$J$451),0),
IF('TL19'!$B$3=P$3,SUMIF('TL19'!$C$10:$C$224,$C296,'TL19'!$J$10:$J$224),0),
IF('TL19'!$B$229=P$3,SUMIF('TL19'!$C$238:$C$451,$C296,'TL19'!$J$238:$J$451),0)
),0)</f>
        <v/>
      </c>
      <c r="Q296" s="9">
        <f>IFERROR(SUM(
IF('TL01'!$B$3=Q$3,SUMIF('TL01'!$C$10:$C$224,$C296,'TL01'!$J$10:$J$224),0),
IF('TL01'!$B$229=Q$3,SUMIF('TL01'!$C$238:$C$451,$C296,'TL01'!$J$238:$J$451),0),
IF('TL02'!$B$3=Q$3,SUMIF('TL02'!$C$10:$C$224,$C296,'TL02'!$J$10:$J$224),0),
IF('TL02'!$B$229=Q$3,SUMIF('TL02'!$C$238:$C$451,$C296,'TL02'!$J$238:$J$451),0),
IF('TL03'!$B$3=Q$3,SUMIF('TL03'!$C$10:$C$224,$C296,'TL03'!$J$10:$J$224),0),
IF('TL03'!$B$229=Q$3,SUMIF('TL03'!$C$238:$C$451,$C296,'TL03'!$J$238:$J$451),0),
IF('TL04'!$B$3=Q$3,SUMIF('TL04'!$C$10:$C$224,$C296,'TL04'!$J$10:$J$224),0),
IF('TL04'!$B$229=Q$3,SUMIF('TL04'!$C$238:$C$451,$C296,'TL04'!$J$238:$J$451),0),
IF('TL05'!$B$3=Q$3,SUMIF('TL05'!$C$10:$C$224,$C296,'TL05'!$J$10:$J$224),0),
IF('TL05'!$B$229=Q$3,SUMIF('TL05'!$C$238:$C$451,$C296,'TL05'!$J$238:$J$451),0),
IF('TL06'!$B$3=Q$3,SUMIF('TL06'!$C$10:$C$224,$C296,'TL06'!$J$10:$J$224),0),
IF('TL06'!$B$229=Q$3,SUMIF('TL06'!$C$238:$C$451,$C296,'TL06'!$J$238:$J$451),0),
IF('TL07'!$B$3=Q$3,SUMIF('TL07'!$C$10:$C$224,$C296,'TL07'!$J$10:$J$224),0),
IF('TL07'!$B$229=Q$3,SUMIF('TL07'!$C$238:$C$451,$C296,'TL07'!$J$238:$J$451),0),
IF('TL08'!$B$3=Q$3,SUMIF('TL08'!$C$10:$C$224,$C296,'TL08'!$J$10:$J$224),0),
IF('TL08'!$B$229=Q$3,SUMIF('TL08'!$C$238:$C$451,$C296,'TL08'!$J$238:$J$451),0),
IF('TL09'!$B$3=Q$3,SUMIF('TL09'!$C$10:$C$224,$C296,'TL09'!$J$10:$J$224),0),
IF('TL09'!$B$229=Q$3,SUMIF('TL09'!$C$238:$C$451,$C296,'TL09'!$J$238:$J$451),0),
IF('TL10'!$B$3=Q$3,SUMIF('TL10'!$C$10:$C$224,$C296,'TL10'!$J$10:$J$224),0),
IF('TL10'!$B$229=Q$3,SUMIF('TL10'!$C$238:$C$451,$C296,'TL10'!$J$238:$J$451),0),
IF('TL11'!$B$3=Q$3,SUMIF('TL11'!$C$10:$C$224,$C296,'TL11'!$J$10:$J$224),0),
IF('TL11'!$B$229=Q$3,SUMIF('TL11'!$C$238:$C$451,$C296,'TL11'!$J$238:$J$451),0),
IF('TL12'!$B$3=Q$3,SUMIF('TL12'!$C$10:$C$224,$C296,'TL12'!$J$10:$J$224),0),
IF('TL12'!$B$229=Q$3,SUMIF('TL12'!$C$238:$C$451,$C296,'TL12'!$J$238:$J$451),0),
IF('TL13'!$B$3=Q$3,SUMIF('TL13'!$C$10:$C$224,$C296,'TL13'!$J$10:$J$224),0),
IF('TL13'!$B$229=Q$3,SUMIF('TL13'!$C$238:$C$451,$C296,'TL13'!$J$238:$J$451),0),
IF('TL14'!$B$3=Q$3,SUMIF('TL14'!$C$10:$C$224,$C296,'TL14'!$J$10:$J$224),0),
IF('TL14'!$B$229=Q$3,SUMIF('TL14'!$C$238:$C$451,$C296,'TL14'!$J$238:$J$451),0),
IF('TL15'!$B$3=Q$3,SUMIF('TL15'!$C$10:$C$224,$C296,'TL15'!$J$10:$J$224),0),
IF('TL15'!$B$229=Q$3,SUMIF('TL15'!$C$238:$C$451,$C296,'TL15'!$J$238:$J$451),0),
IF('TL16'!$B$3=Q$3,SUMIF('TL16'!$C$10:$C$224,$C296,'TL16'!$J$10:$J$224),0),
IF('TL16'!$B$229=Q$3,SUMIF('TL16'!$C$238:$C$451,$C296,'TL16'!$J$238:$J$451),0),
IF('TL17'!$B$3=Q$3,SUMIF('TL17'!$C$10:$C$224,$C296,'TL17'!$J$10:$J$224),0),
IF('TL17'!$B$229=Q$3,SUMIF('TL17'!$C$238:$C$451,$C296,'TL17'!$J$238:$J$451),0),
IF('TL18'!$B$3=Q$3,SUMIF('TL18'!$C$10:$C$224,$C296,'TL18'!$J$10:$J$224),0),
IF('TL18'!$B$229=Q$3,SUMIF('TL18'!$C$238:$C$451,$C296,'TL18'!$J$238:$J$451),0),
IF('TL19'!$B$3=Q$3,SUMIF('TL19'!$C$10:$C$224,$C296,'TL19'!$J$10:$J$224),0),
IF('TL19'!$B$229=Q$3,SUMIF('TL19'!$C$238:$C$451,$C296,'TL19'!$J$238:$J$451),0)
),0)</f>
        <v/>
      </c>
      <c r="R296" s="9">
        <f>IFERROR(
SUM(
SUMIF('TL01'!C:C,C296,'TL01'!J:J),
SUMIF('TL02'!C:C,C296,'TL02'!J:J),
SUMIF('TL03'!C:C,C296,'TL03'!J:J),
SUMIF('TL04'!C:C,C296,'TL04'!J:J),
SUMIF('TL05'!C:C,C296,'TL05'!J:J),
SUMIF('TL06'!C:C,C296,'TL06'!J:J),
SUMIF('TL07'!C:C,C296,'TL07'!J:J),
SUMIF('TL08'!C:C,C296,'TL08'!J:J),
SUMIF('TL09'!C:C,C296,'TL09'!J:J),
SUMIF('TL10'!C:C,C296,'TL10'!J:J),
SUMIF('TL11'!C:C,C296,'TL11'!J:J),
SUMIF('TL12'!C:C,C296,'TL12'!J:J),
SUMIF('TL13'!C:C,C296,'TL13'!J:J),
SUMIF('TL14'!C:C,C296,'TL14'!J:J),
SUMIF('TL15'!C:C,C296,'TL15'!J:J),
SUMIF('TL16'!C:C,C296,'TL16'!J:J),
SUMIF('TL17'!C:C,C296,'TL17'!J:J),
SUMIF('TL18'!C:C,C296,'TL18'!J:J),SUMIF('TL19'!C:C,C296,'TL19'!J:J))
,0)</f>
        <v/>
      </c>
      <c r="S296" s="17">
        <f>IFERROR(__xludf.DUMMYFUNCTION("IFERROR(VLOOKUP(C296,
IMPORTRANGE(""1wULbzX32WdYsx-lj2U3uUNBBe2INVIRDtcK0d-Dvl90"",
""26-27!C:G""),
5,
FALSE),
"""")"),505.4)</f>
        <v/>
      </c>
      <c r="T296" s="9" t="n"/>
      <c r="U296" s="92">
        <f>MAX(0,R296-T296)</f>
        <v/>
      </c>
      <c r="V296" s="93">
        <f>U296*S296</f>
        <v/>
      </c>
    </row>
    <row r="297" hidden="1" ht="15.75" customHeight="1" s="297">
      <c r="A297" s="122" t="inlineStr">
        <is>
          <t>SUMITOMO</t>
        </is>
      </c>
      <c r="B297" s="124" t="inlineStr">
        <is>
          <t>TS</t>
        </is>
      </c>
      <c r="C297" s="122" t="inlineStr">
        <is>
          <t>PLUST</t>
        </is>
      </c>
      <c r="D297" s="122" t="inlineStr">
        <is>
          <t>TIOFANATO-METÍLICO + FLUAZINAM</t>
        </is>
      </c>
      <c r="E297" s="122" t="inlineStr">
        <is>
          <t>350 + 52,5</t>
        </is>
      </c>
      <c r="F297" s="4" t="n"/>
      <c r="G297" s="90">
        <f>HYPERLINK("https://www.google.com/search?q=" &amp; C297 &amp; "+bula+agrofit+pdf", "📄 Ver bula")</f>
        <v/>
      </c>
      <c r="H297" s="9">
        <f>IFERROR(__xludf.DUMMYFUNCTION("IFERROR(VLOOKUP(C297,
IMPORTRANGE(""1wULbzX32WdYsx-lj2U3uUNBBe2INVIRDtcK0d-Dvl90"",
""26-27!C:K""),
8,
FALSE),
"""")"),0.1)</f>
        <v/>
      </c>
      <c r="I297" s="123" t="n"/>
      <c r="J297" s="9">
        <f>IFERROR(SUM(
IF('TL01'!$B$3=J$3,SUMIF('TL01'!$C$10:$C$224,$C297,'TL01'!$J$10:$J$224),0),
IF('TL01'!$B$229=J$3,SUMIF('TL01'!$C$238:$C$451,$C297,'TL01'!$J$238:$J$451),0),
IF('TL02'!$B$3=J$3,SUMIF('TL02'!$C$10:$C$224,$C297,'TL02'!$J$10:$J$224),0),
IF('TL02'!$B$229=J$3,SUMIF('TL02'!$C$238:$C$451,$C297,'TL02'!$J$238:$J$451),0),
IF('TL03'!$B$3=J$3,SUMIF('TL03'!$C$10:$C$224,$C297,'TL03'!$J$10:$J$224),0),
IF('TL03'!$B$229=J$3,SUMIF('TL03'!$C$238:$C$451,$C297,'TL03'!$J$238:$J$451),0),
IF('TL04'!$B$3=J$3,SUMIF('TL04'!$C$10:$C$224,$C297,'TL04'!$J$10:$J$224),0),
IF('TL04'!$B$229=J$3,SUMIF('TL04'!$C$238:$C$451,$C297,'TL04'!$J$238:$J$451),0),
IF('TL05'!$B$3=J$3,SUMIF('TL05'!$C$10:$C$224,$C297,'TL05'!$J$10:$J$224),0),
IF('TL05'!$B$229=J$3,SUMIF('TL05'!$C$238:$C$451,$C297,'TL05'!$J$238:$J$451),0),
IF('TL06'!$B$3=J$3,SUMIF('TL06'!$C$10:$C$224,$C297,'TL06'!$J$10:$J$224),0),
IF('TL06'!$B$229=J$3,SUMIF('TL06'!$C$238:$C$451,$C297,'TL06'!$J$238:$J$451),0),
IF('TL07'!$B$3=J$3,SUMIF('TL07'!$C$10:$C$224,$C297,'TL07'!$J$10:$J$224),0),
IF('TL07'!$B$229=J$3,SUMIF('TL07'!$C$238:$C$451,$C297,'TL07'!$J$238:$J$451),0),
IF('TL08'!$B$3=J$3,SUMIF('TL08'!$C$10:$C$224,$C297,'TL08'!$J$10:$J$224),0),
IF('TL08'!$B$229=J$3,SUMIF('TL08'!$C$238:$C$451,$C297,'TL08'!$J$238:$J$451),0),
IF('TL09'!$B$3=J$3,SUMIF('TL09'!$C$10:$C$224,$C297,'TL09'!$J$10:$J$224),0),
IF('TL09'!$B$229=J$3,SUMIF('TL09'!$C$238:$C$451,$C297,'TL09'!$J$238:$J$451),0),
IF('TL10'!$B$3=J$3,SUMIF('TL10'!$C$10:$C$224,$C297,'TL10'!$J$10:$J$224),0),
IF('TL10'!$B$229=J$3,SUMIF('TL10'!$C$238:$C$451,$C297,'TL10'!$J$238:$J$451),0),
IF('TL11'!$B$3=J$3,SUMIF('TL11'!$C$10:$C$224,$C297,'TL11'!$J$10:$J$224),0),
IF('TL11'!$B$229=J$3,SUMIF('TL11'!$C$238:$C$451,$C297,'TL11'!$J$238:$J$451),0),
IF('TL12'!$B$3=J$3,SUMIF('TL12'!$C$10:$C$224,$C297,'TL12'!$J$10:$J$224),0),
IF('TL12'!$B$229=J$3,SUMIF('TL12'!$C$238:$C$451,$C297,'TL12'!$J$238:$J$451),0),
IF('TL13'!$B$3=J$3,SUMIF('TL13'!$C$10:$C$224,$C297,'TL13'!$J$10:$J$224),0),
IF('TL13'!$B$229=J$3,SUMIF('TL13'!$C$238:$C$451,$C297,'TL13'!$J$238:$J$451),0),
IF('TL14'!$B$3=J$3,SUMIF('TL14'!$C$10:$C$224,$C297,'TL14'!$J$10:$J$224),0),
IF('TL14'!$B$229=J$3,SUMIF('TL14'!$C$238:$C$451,$C297,'TL14'!$J$238:$J$451),0),
IF('TL15'!$B$3=J$3,SUMIF('TL15'!$C$10:$C$224,$C297,'TL15'!$J$10:$J$224),0),
IF('TL15'!$B$229=J$3,SUMIF('TL15'!$C$238:$C$451,$C297,'TL15'!$J$238:$J$451),0),
IF('TL16'!$B$3=J$3,SUMIF('TL16'!$C$10:$C$224,$C297,'TL16'!$J$10:$J$224),0),
IF('TL16'!$B$229=J$3,SUMIF('TL16'!$C$238:$C$451,$C297,'TL16'!$J$238:$J$451),0),
IF('TL17'!$B$3=J$3,SUMIF('TL17'!$C$10:$C$224,$C297,'TL17'!$J$10:$J$224),0),
IF('TL17'!$B$229=J$3,SUMIF('TL17'!$C$238:$C$451,$C297,'TL17'!$J$238:$J$451),0),
IF('TL18'!$B$3=J$3,SUMIF('TL18'!$C$10:$C$224,$C297,'TL18'!$J$10:$J$224),0),
IF('TL18'!$B$229=J$3,SUMIF('TL18'!$C$238:$C$451,$C297,'TL18'!$J$238:$J$451),0),
IF('TL19'!$B$3=J$3,SUMIF('TL19'!$C$10:$C$224,$C297,'TL19'!$J$10:$J$224),0),
IF('TL19'!$B$229=J$3,SUMIF('TL19'!$C$238:$C$451,$C297,'TL19'!$J$238:$J$451),0)
),0)</f>
        <v/>
      </c>
      <c r="K297" s="9">
        <f>IFERROR(SUM(
IF('TL01'!$B$3=K$3,SUMIF('TL01'!$C$10:$C$224,$C297,'TL01'!$J$10:$J$224),0),
IF('TL01'!$B$229=K$3,SUMIF('TL01'!$C$238:$C$451,$C297,'TL01'!$J$238:$J$451),0),
IF('TL02'!$B$3=K$3,SUMIF('TL02'!$C$10:$C$224,$C297,'TL02'!$J$10:$J$224),0),
IF('TL02'!$B$229=K$3,SUMIF('TL02'!$C$238:$C$451,$C297,'TL02'!$J$238:$J$451),0),
IF('TL03'!$B$3=K$3,SUMIF('TL03'!$C$10:$C$224,$C297,'TL03'!$J$10:$J$224),0),
IF('TL03'!$B$229=K$3,SUMIF('TL03'!$C$238:$C$451,$C297,'TL03'!$J$238:$J$451),0),
IF('TL04'!$B$3=K$3,SUMIF('TL04'!$C$10:$C$224,$C297,'TL04'!$J$10:$J$224),0),
IF('TL04'!$B$229=K$3,SUMIF('TL04'!$C$238:$C$451,$C297,'TL04'!$J$238:$J$451),0),
IF('TL05'!$B$3=K$3,SUMIF('TL05'!$C$10:$C$224,$C297,'TL05'!$J$10:$J$224),0),
IF('TL05'!$B$229=K$3,SUMIF('TL05'!$C$238:$C$451,$C297,'TL05'!$J$238:$J$451),0),
IF('TL06'!$B$3=K$3,SUMIF('TL06'!$C$10:$C$224,$C297,'TL06'!$J$10:$J$224),0),
IF('TL06'!$B$229=K$3,SUMIF('TL06'!$C$238:$C$451,$C297,'TL06'!$J$238:$J$451),0),
IF('TL07'!$B$3=K$3,SUMIF('TL07'!$C$10:$C$224,$C297,'TL07'!$J$10:$J$224),0),
IF('TL07'!$B$229=K$3,SUMIF('TL07'!$C$238:$C$451,$C297,'TL07'!$J$238:$J$451),0),
IF('TL08'!$B$3=K$3,SUMIF('TL08'!$C$10:$C$224,$C297,'TL08'!$J$10:$J$224),0),
IF('TL08'!$B$229=K$3,SUMIF('TL08'!$C$238:$C$451,$C297,'TL08'!$J$238:$J$451),0),
IF('TL09'!$B$3=K$3,SUMIF('TL09'!$C$10:$C$224,$C297,'TL09'!$J$10:$J$224),0),
IF('TL09'!$B$229=K$3,SUMIF('TL09'!$C$238:$C$451,$C297,'TL09'!$J$238:$J$451),0),
IF('TL10'!$B$3=K$3,SUMIF('TL10'!$C$10:$C$224,$C297,'TL10'!$J$10:$J$224),0),
IF('TL10'!$B$229=K$3,SUMIF('TL10'!$C$238:$C$451,$C297,'TL10'!$J$238:$J$451),0),
IF('TL11'!$B$3=K$3,SUMIF('TL11'!$C$10:$C$224,$C297,'TL11'!$J$10:$J$224),0),
IF('TL11'!$B$229=K$3,SUMIF('TL11'!$C$238:$C$451,$C297,'TL11'!$J$238:$J$451),0),
IF('TL12'!$B$3=K$3,SUMIF('TL12'!$C$10:$C$224,$C297,'TL12'!$J$10:$J$224),0),
IF('TL12'!$B$229=K$3,SUMIF('TL12'!$C$238:$C$451,$C297,'TL12'!$J$238:$J$451),0),
IF('TL13'!$B$3=K$3,SUMIF('TL13'!$C$10:$C$224,$C297,'TL13'!$J$10:$J$224),0),
IF('TL13'!$B$229=K$3,SUMIF('TL13'!$C$238:$C$451,$C297,'TL13'!$J$238:$J$451),0),
IF('TL14'!$B$3=K$3,SUMIF('TL14'!$C$10:$C$224,$C297,'TL14'!$J$10:$J$224),0),
IF('TL14'!$B$229=K$3,SUMIF('TL14'!$C$238:$C$451,$C297,'TL14'!$J$238:$J$451),0),
IF('TL15'!$B$3=K$3,SUMIF('TL15'!$C$10:$C$224,$C297,'TL15'!$J$10:$J$224),0),
IF('TL15'!$B$229=K$3,SUMIF('TL15'!$C$238:$C$451,$C297,'TL15'!$J$238:$J$451),0),
IF('TL16'!$B$3=K$3,SUMIF('TL16'!$C$10:$C$224,$C297,'TL16'!$J$10:$J$224),0),
IF('TL16'!$B$229=K$3,SUMIF('TL16'!$C$238:$C$451,$C297,'TL16'!$J$238:$J$451),0),
IF('TL17'!$B$3=K$3,SUMIF('TL17'!$C$10:$C$224,$C297,'TL17'!$J$10:$J$224),0),
IF('TL17'!$B$229=K$3,SUMIF('TL17'!$C$238:$C$451,$C297,'TL17'!$J$238:$J$451),0),
IF('TL18'!$B$3=K$3,SUMIF('TL18'!$C$10:$C$224,$C297,'TL18'!$J$10:$J$224),0),
IF('TL18'!$B$229=K$3,SUMIF('TL18'!$C$238:$C$451,$C297,'TL18'!$J$238:$J$451),0),
IF('TL19'!$B$3=K$3,SUMIF('TL19'!$C$10:$C$224,$C297,'TL19'!$J$10:$J$224),0),
IF('TL19'!$B$229=K$3,SUMIF('TL19'!$C$238:$C$451,$C297,'TL19'!$J$238:$J$451),0)
),0)</f>
        <v/>
      </c>
      <c r="L297" s="9">
        <f>IFERROR(SUM(
IF('TL01'!$B$3=L$3,SUMIF('TL01'!$C$10:$C$224,$C297,'TL01'!$J$10:$J$224),0),
IF('TL01'!$B$229=L$3,SUMIF('TL01'!$C$238:$C$451,$C297,'TL01'!$J$238:$J$451),0),
IF('TL02'!$B$3=L$3,SUMIF('TL02'!$C$10:$C$224,$C297,'TL02'!$J$10:$J$224),0),
IF('TL02'!$B$229=L$3,SUMIF('TL02'!$C$238:$C$451,$C297,'TL02'!$J$238:$J$451),0),
IF('TL03'!$B$3=L$3,SUMIF('TL03'!$C$10:$C$224,$C297,'TL03'!$J$10:$J$224),0),
IF('TL03'!$B$229=L$3,SUMIF('TL03'!$C$238:$C$451,$C297,'TL03'!$J$238:$J$451),0),
IF('TL04'!$B$3=L$3,SUMIF('TL04'!$C$10:$C$224,$C297,'TL04'!$J$10:$J$224),0),
IF('TL04'!$B$229=L$3,SUMIF('TL04'!$C$238:$C$451,$C297,'TL04'!$J$238:$J$451),0),
IF('TL05'!$B$3=L$3,SUMIF('TL05'!$C$10:$C$224,$C297,'TL05'!$J$10:$J$224),0),
IF('TL05'!$B$229=L$3,SUMIF('TL05'!$C$238:$C$451,$C297,'TL05'!$J$238:$J$451),0),
IF('TL06'!$B$3=L$3,SUMIF('TL06'!$C$10:$C$224,$C297,'TL06'!$J$10:$J$224),0),
IF('TL06'!$B$229=L$3,SUMIF('TL06'!$C$238:$C$451,$C297,'TL06'!$J$238:$J$451),0),
IF('TL07'!$B$3=L$3,SUMIF('TL07'!$C$10:$C$224,$C297,'TL07'!$J$10:$J$224),0),
IF('TL07'!$B$229=L$3,SUMIF('TL07'!$C$238:$C$451,$C297,'TL07'!$J$238:$J$451),0),
IF('TL08'!$B$3=L$3,SUMIF('TL08'!$C$10:$C$224,$C297,'TL08'!$J$10:$J$224),0),
IF('TL08'!$B$229=L$3,SUMIF('TL08'!$C$238:$C$451,$C297,'TL08'!$J$238:$J$451),0),
IF('TL09'!$B$3=L$3,SUMIF('TL09'!$C$10:$C$224,$C297,'TL09'!$J$10:$J$224),0),
IF('TL09'!$B$229=L$3,SUMIF('TL09'!$C$238:$C$451,$C297,'TL09'!$J$238:$J$451),0),
IF('TL10'!$B$3=L$3,SUMIF('TL10'!$C$10:$C$224,$C297,'TL10'!$J$10:$J$224),0),
IF('TL10'!$B$229=L$3,SUMIF('TL10'!$C$238:$C$451,$C297,'TL10'!$J$238:$J$451),0),
IF('TL11'!$B$3=L$3,SUMIF('TL11'!$C$10:$C$224,$C297,'TL11'!$J$10:$J$224),0),
IF('TL11'!$B$229=L$3,SUMIF('TL11'!$C$238:$C$451,$C297,'TL11'!$J$238:$J$451),0),
IF('TL12'!$B$3=L$3,SUMIF('TL12'!$C$10:$C$224,$C297,'TL12'!$J$10:$J$224),0),
IF('TL12'!$B$229=L$3,SUMIF('TL12'!$C$238:$C$451,$C297,'TL12'!$J$238:$J$451),0),
IF('TL13'!$B$3=L$3,SUMIF('TL13'!$C$10:$C$224,$C297,'TL13'!$J$10:$J$224),0),
IF('TL13'!$B$229=L$3,SUMIF('TL13'!$C$238:$C$451,$C297,'TL13'!$J$238:$J$451),0),
IF('TL14'!$B$3=L$3,SUMIF('TL14'!$C$10:$C$224,$C297,'TL14'!$J$10:$J$224),0),
IF('TL14'!$B$229=L$3,SUMIF('TL14'!$C$238:$C$451,$C297,'TL14'!$J$238:$J$451),0),
IF('TL15'!$B$3=L$3,SUMIF('TL15'!$C$10:$C$224,$C297,'TL15'!$J$10:$J$224),0),
IF('TL15'!$B$229=L$3,SUMIF('TL15'!$C$238:$C$451,$C297,'TL15'!$J$238:$J$451),0),
IF('TL16'!$B$3=L$3,SUMIF('TL16'!$C$10:$C$224,$C297,'TL16'!$J$10:$J$224),0),
IF('TL16'!$B$229=L$3,SUMIF('TL16'!$C$238:$C$451,$C297,'TL16'!$J$238:$J$451),0),
IF('TL17'!$B$3=L$3,SUMIF('TL17'!$C$10:$C$224,$C297,'TL17'!$J$10:$J$224),0),
IF('TL17'!$B$229=L$3,SUMIF('TL17'!$C$238:$C$451,$C297,'TL17'!$J$238:$J$451),0),
IF('TL18'!$B$3=L$3,SUMIF('TL18'!$C$10:$C$224,$C297,'TL18'!$J$10:$J$224),0),
IF('TL18'!$B$229=L$3,SUMIF('TL18'!$C$238:$C$451,$C297,'TL18'!$J$238:$J$451),0),
IF('TL19'!$B$3=L$3,SUMIF('TL19'!$C$10:$C$224,$C297,'TL19'!$J$10:$J$224),0),
IF('TL19'!$B$229=L$3,SUMIF('TL19'!$C$238:$C$451,$C297,'TL19'!$J$238:$J$451),0)
),0)</f>
        <v/>
      </c>
      <c r="M297" s="9">
        <f>IFERROR(SUM(
IF('TL01'!$B$3=M$3,SUMIF('TL01'!$C$10:$C$224,$C297,'TL01'!$J$10:$J$224),0),
IF('TL01'!$B$229=M$3,SUMIF('TL01'!$C$238:$C$451,$C297,'TL01'!$J$238:$J$451),0),
IF('TL02'!$B$3=M$3,SUMIF('TL02'!$C$10:$C$224,$C297,'TL02'!$J$10:$J$224),0),
IF('TL02'!$B$229=M$3,SUMIF('TL02'!$C$238:$C$451,$C297,'TL02'!$J$238:$J$451),0),
IF('TL03'!$B$3=M$3,SUMIF('TL03'!$C$10:$C$224,$C297,'TL03'!$J$10:$J$224),0),
IF('TL03'!$B$229=M$3,SUMIF('TL03'!$C$238:$C$451,$C297,'TL03'!$J$238:$J$451),0),
IF('TL04'!$B$3=M$3,SUMIF('TL04'!$C$10:$C$224,$C297,'TL04'!$J$10:$J$224),0),
IF('TL04'!$B$229=M$3,SUMIF('TL04'!$C$238:$C$451,$C297,'TL04'!$J$238:$J$451),0),
IF('TL05'!$B$3=M$3,SUMIF('TL05'!$C$10:$C$224,$C297,'TL05'!$J$10:$J$224),0),
IF('TL05'!$B$229=M$3,SUMIF('TL05'!$C$238:$C$451,$C297,'TL05'!$J$238:$J$451),0),
IF('TL06'!$B$3=M$3,SUMIF('TL06'!$C$10:$C$224,$C297,'TL06'!$J$10:$J$224),0),
IF('TL06'!$B$229=M$3,SUMIF('TL06'!$C$238:$C$451,$C297,'TL06'!$J$238:$J$451),0),
IF('TL07'!$B$3=M$3,SUMIF('TL07'!$C$10:$C$224,$C297,'TL07'!$J$10:$J$224),0),
IF('TL07'!$B$229=M$3,SUMIF('TL07'!$C$238:$C$451,$C297,'TL07'!$J$238:$J$451),0),
IF('TL08'!$B$3=M$3,SUMIF('TL08'!$C$10:$C$224,$C297,'TL08'!$J$10:$J$224),0),
IF('TL08'!$B$229=M$3,SUMIF('TL08'!$C$238:$C$451,$C297,'TL08'!$J$238:$J$451),0),
IF('TL09'!$B$3=M$3,SUMIF('TL09'!$C$10:$C$224,$C297,'TL09'!$J$10:$J$224),0),
IF('TL09'!$B$229=M$3,SUMIF('TL09'!$C$238:$C$451,$C297,'TL09'!$J$238:$J$451),0),
IF('TL10'!$B$3=M$3,SUMIF('TL10'!$C$10:$C$224,$C297,'TL10'!$J$10:$J$224),0),
IF('TL10'!$B$229=M$3,SUMIF('TL10'!$C$238:$C$451,$C297,'TL10'!$J$238:$J$451),0),
IF('TL11'!$B$3=M$3,SUMIF('TL11'!$C$10:$C$224,$C297,'TL11'!$J$10:$J$224),0),
IF('TL11'!$B$229=M$3,SUMIF('TL11'!$C$238:$C$451,$C297,'TL11'!$J$238:$J$451),0),
IF('TL12'!$B$3=M$3,SUMIF('TL12'!$C$10:$C$224,$C297,'TL12'!$J$10:$J$224),0),
IF('TL12'!$B$229=M$3,SUMIF('TL12'!$C$238:$C$451,$C297,'TL12'!$J$238:$J$451),0),
IF('TL13'!$B$3=M$3,SUMIF('TL13'!$C$10:$C$224,$C297,'TL13'!$J$10:$J$224),0),
IF('TL13'!$B$229=M$3,SUMIF('TL13'!$C$238:$C$451,$C297,'TL13'!$J$238:$J$451),0),
IF('TL14'!$B$3=M$3,SUMIF('TL14'!$C$10:$C$224,$C297,'TL14'!$J$10:$J$224),0),
IF('TL14'!$B$229=M$3,SUMIF('TL14'!$C$238:$C$451,$C297,'TL14'!$J$238:$J$451),0),
IF('TL15'!$B$3=M$3,SUMIF('TL15'!$C$10:$C$224,$C297,'TL15'!$J$10:$J$224),0),
IF('TL15'!$B$229=M$3,SUMIF('TL15'!$C$238:$C$451,$C297,'TL15'!$J$238:$J$451),0),
IF('TL16'!$B$3=M$3,SUMIF('TL16'!$C$10:$C$224,$C297,'TL16'!$J$10:$J$224),0),
IF('TL16'!$B$229=M$3,SUMIF('TL16'!$C$238:$C$451,$C297,'TL16'!$J$238:$J$451),0),
IF('TL17'!$B$3=M$3,SUMIF('TL17'!$C$10:$C$224,$C297,'TL17'!$J$10:$J$224),0),
IF('TL17'!$B$229=M$3,SUMIF('TL17'!$C$238:$C$451,$C297,'TL17'!$J$238:$J$451),0),
IF('TL18'!$B$3=M$3,SUMIF('TL18'!$C$10:$C$224,$C297,'TL18'!$J$10:$J$224),0),
IF('TL18'!$B$229=M$3,SUMIF('TL18'!$C$238:$C$451,$C297,'TL18'!$J$238:$J$451),0),
IF('TL19'!$B$3=M$3,SUMIF('TL19'!$C$10:$C$224,$C297,'TL19'!$J$10:$J$224),0),
IF('TL19'!$B$229=M$3,SUMIF('TL19'!$C$238:$C$451,$C297,'TL19'!$J$238:$J$451),0)
),0)</f>
        <v/>
      </c>
      <c r="N297" s="9">
        <f>IFERROR(SUM(
IF('TL01'!$B$3=N$3,SUMIF('TL01'!$C$10:$C$224,$C297,'TL01'!$J$10:$J$224),0),
IF('TL01'!$B$229=N$3,SUMIF('TL01'!$C$238:$C$451,$C297,'TL01'!$J$238:$J$451),0),
IF('TL02'!$B$3=N$3,SUMIF('TL02'!$C$10:$C$224,$C297,'TL02'!$J$10:$J$224),0),
IF('TL02'!$B$229=N$3,SUMIF('TL02'!$C$238:$C$451,$C297,'TL02'!$J$238:$J$451),0),
IF('TL03'!$B$3=N$3,SUMIF('TL03'!$C$10:$C$224,$C297,'TL03'!$J$10:$J$224),0),
IF('TL03'!$B$229=N$3,SUMIF('TL03'!$C$238:$C$451,$C297,'TL03'!$J$238:$J$451),0),
IF('TL04'!$B$3=N$3,SUMIF('TL04'!$C$10:$C$224,$C297,'TL04'!$J$10:$J$224),0),
IF('TL04'!$B$229=N$3,SUMIF('TL04'!$C$238:$C$451,$C297,'TL04'!$J$238:$J$451),0),
IF('TL05'!$B$3=N$3,SUMIF('TL05'!$C$10:$C$224,$C297,'TL05'!$J$10:$J$224),0),
IF('TL05'!$B$229=N$3,SUMIF('TL05'!$C$238:$C$451,$C297,'TL05'!$J$238:$J$451),0),
IF('TL06'!$B$3=N$3,SUMIF('TL06'!$C$10:$C$224,$C297,'TL06'!$J$10:$J$224),0),
IF('TL06'!$B$229=N$3,SUMIF('TL06'!$C$238:$C$451,$C297,'TL06'!$J$238:$J$451),0),
IF('TL07'!$B$3=N$3,SUMIF('TL07'!$C$10:$C$224,$C297,'TL07'!$J$10:$J$224),0),
IF('TL07'!$B$229=N$3,SUMIF('TL07'!$C$238:$C$451,$C297,'TL07'!$J$238:$J$451),0),
IF('TL08'!$B$3=N$3,SUMIF('TL08'!$C$10:$C$224,$C297,'TL08'!$J$10:$J$224),0),
IF('TL08'!$B$229=N$3,SUMIF('TL08'!$C$238:$C$451,$C297,'TL08'!$J$238:$J$451),0),
IF('TL09'!$B$3=N$3,SUMIF('TL09'!$C$10:$C$224,$C297,'TL09'!$J$10:$J$224),0),
IF('TL09'!$B$229=N$3,SUMIF('TL09'!$C$238:$C$451,$C297,'TL09'!$J$238:$J$451),0),
IF('TL10'!$B$3=N$3,SUMIF('TL10'!$C$10:$C$224,$C297,'TL10'!$J$10:$J$224),0),
IF('TL10'!$B$229=N$3,SUMIF('TL10'!$C$238:$C$451,$C297,'TL10'!$J$238:$J$451),0),
IF('TL11'!$B$3=N$3,SUMIF('TL11'!$C$10:$C$224,$C297,'TL11'!$J$10:$J$224),0),
IF('TL11'!$B$229=N$3,SUMIF('TL11'!$C$238:$C$451,$C297,'TL11'!$J$238:$J$451),0),
IF('TL12'!$B$3=N$3,SUMIF('TL12'!$C$10:$C$224,$C297,'TL12'!$J$10:$J$224),0),
IF('TL12'!$B$229=N$3,SUMIF('TL12'!$C$238:$C$451,$C297,'TL12'!$J$238:$J$451),0),
IF('TL13'!$B$3=N$3,SUMIF('TL13'!$C$10:$C$224,$C297,'TL13'!$J$10:$J$224),0),
IF('TL13'!$B$229=N$3,SUMIF('TL13'!$C$238:$C$451,$C297,'TL13'!$J$238:$J$451),0),
IF('TL14'!$B$3=N$3,SUMIF('TL14'!$C$10:$C$224,$C297,'TL14'!$J$10:$J$224),0),
IF('TL14'!$B$229=N$3,SUMIF('TL14'!$C$238:$C$451,$C297,'TL14'!$J$238:$J$451),0),
IF('TL15'!$B$3=N$3,SUMIF('TL15'!$C$10:$C$224,$C297,'TL15'!$J$10:$J$224),0),
IF('TL15'!$B$229=N$3,SUMIF('TL15'!$C$238:$C$451,$C297,'TL15'!$J$238:$J$451),0),
IF('TL16'!$B$3=N$3,SUMIF('TL16'!$C$10:$C$224,$C297,'TL16'!$J$10:$J$224),0),
IF('TL16'!$B$229=N$3,SUMIF('TL16'!$C$238:$C$451,$C297,'TL16'!$J$238:$J$451),0),
IF('TL17'!$B$3=N$3,SUMIF('TL17'!$C$10:$C$224,$C297,'TL17'!$J$10:$J$224),0),
IF('TL17'!$B$229=N$3,SUMIF('TL17'!$C$238:$C$451,$C297,'TL17'!$J$238:$J$451),0),
IF('TL18'!$B$3=N$3,SUMIF('TL18'!$C$10:$C$224,$C297,'TL18'!$J$10:$J$224),0),
IF('TL18'!$B$229=N$3,SUMIF('TL18'!$C$238:$C$451,$C297,'TL18'!$J$238:$J$451),0),
IF('TL19'!$B$3=N$3,SUMIF('TL19'!$C$10:$C$224,$C297,'TL19'!$J$10:$J$224),0),
IF('TL19'!$B$229=N$3,SUMIF('TL19'!$C$238:$C$451,$C297,'TL19'!$J$238:$J$451),0)
),0)</f>
        <v/>
      </c>
      <c r="O297" s="9">
        <f>IFERROR(SUM(
IF('TL01'!$B$3=O$3,SUMIF('TL01'!$C$10:$C$224,$C297,'TL01'!$J$10:$J$224),0),
IF('TL01'!$B$229=O$3,SUMIF('TL01'!$C$238:$C$451,$C297,'TL01'!$J$238:$J$451),0),
IF('TL02'!$B$3=O$3,SUMIF('TL02'!$C$10:$C$224,$C297,'TL02'!$J$10:$J$224),0),
IF('TL02'!$B$229=O$3,SUMIF('TL02'!$C$238:$C$451,$C297,'TL02'!$J$238:$J$451),0),
IF('TL03'!$B$3=O$3,SUMIF('TL03'!$C$10:$C$224,$C297,'TL03'!$J$10:$J$224),0),
IF('TL03'!$B$229=O$3,SUMIF('TL03'!$C$238:$C$451,$C297,'TL03'!$J$238:$J$451),0),
IF('TL04'!$B$3=O$3,SUMIF('TL04'!$C$10:$C$224,$C297,'TL04'!$J$10:$J$224),0),
IF('TL04'!$B$229=O$3,SUMIF('TL04'!$C$238:$C$451,$C297,'TL04'!$J$238:$J$451),0),
IF('TL05'!$B$3=O$3,SUMIF('TL05'!$C$10:$C$224,$C297,'TL05'!$J$10:$J$224),0),
IF('TL05'!$B$229=O$3,SUMIF('TL05'!$C$238:$C$451,$C297,'TL05'!$J$238:$J$451),0),
IF('TL06'!$B$3=O$3,SUMIF('TL06'!$C$10:$C$224,$C297,'TL06'!$J$10:$J$224),0),
IF('TL06'!$B$229=O$3,SUMIF('TL06'!$C$238:$C$451,$C297,'TL06'!$J$238:$J$451),0),
IF('TL07'!$B$3=O$3,SUMIF('TL07'!$C$10:$C$224,$C297,'TL07'!$J$10:$J$224),0),
IF('TL07'!$B$229=O$3,SUMIF('TL07'!$C$238:$C$451,$C297,'TL07'!$J$238:$J$451),0),
IF('TL08'!$B$3=O$3,SUMIF('TL08'!$C$10:$C$224,$C297,'TL08'!$J$10:$J$224),0),
IF('TL08'!$B$229=O$3,SUMIF('TL08'!$C$238:$C$451,$C297,'TL08'!$J$238:$J$451),0),
IF('TL09'!$B$3=O$3,SUMIF('TL09'!$C$10:$C$224,$C297,'TL09'!$J$10:$J$224),0),
IF('TL09'!$B$229=O$3,SUMIF('TL09'!$C$238:$C$451,$C297,'TL09'!$J$238:$J$451),0),
IF('TL10'!$B$3=O$3,SUMIF('TL10'!$C$10:$C$224,$C297,'TL10'!$J$10:$J$224),0),
IF('TL10'!$B$229=O$3,SUMIF('TL10'!$C$238:$C$451,$C297,'TL10'!$J$238:$J$451),0),
IF('TL11'!$B$3=O$3,SUMIF('TL11'!$C$10:$C$224,$C297,'TL11'!$J$10:$J$224),0),
IF('TL11'!$B$229=O$3,SUMIF('TL11'!$C$238:$C$451,$C297,'TL11'!$J$238:$J$451),0),
IF('TL12'!$B$3=O$3,SUMIF('TL12'!$C$10:$C$224,$C297,'TL12'!$J$10:$J$224),0),
IF('TL12'!$B$229=O$3,SUMIF('TL12'!$C$238:$C$451,$C297,'TL12'!$J$238:$J$451),0),
IF('TL13'!$B$3=O$3,SUMIF('TL13'!$C$10:$C$224,$C297,'TL13'!$J$10:$J$224),0),
IF('TL13'!$B$229=O$3,SUMIF('TL13'!$C$238:$C$451,$C297,'TL13'!$J$238:$J$451),0),
IF('TL14'!$B$3=O$3,SUMIF('TL14'!$C$10:$C$224,$C297,'TL14'!$J$10:$J$224),0),
IF('TL14'!$B$229=O$3,SUMIF('TL14'!$C$238:$C$451,$C297,'TL14'!$J$238:$J$451),0),
IF('TL15'!$B$3=O$3,SUMIF('TL15'!$C$10:$C$224,$C297,'TL15'!$J$10:$J$224),0),
IF('TL15'!$B$229=O$3,SUMIF('TL15'!$C$238:$C$451,$C297,'TL15'!$J$238:$J$451),0),
IF('TL16'!$B$3=O$3,SUMIF('TL16'!$C$10:$C$224,$C297,'TL16'!$J$10:$J$224),0),
IF('TL16'!$B$229=O$3,SUMIF('TL16'!$C$238:$C$451,$C297,'TL16'!$J$238:$J$451),0),
IF('TL17'!$B$3=O$3,SUMIF('TL17'!$C$10:$C$224,$C297,'TL17'!$J$10:$J$224),0),
IF('TL17'!$B$229=O$3,SUMIF('TL17'!$C$238:$C$451,$C297,'TL17'!$J$238:$J$451),0),
IF('TL18'!$B$3=O$3,SUMIF('TL18'!$C$10:$C$224,$C297,'TL18'!$J$10:$J$224),0),
IF('TL18'!$B$229=O$3,SUMIF('TL18'!$C$238:$C$451,$C297,'TL18'!$J$238:$J$451),0),
IF('TL19'!$B$3=O$3,SUMIF('TL19'!$C$10:$C$224,$C297,'TL19'!$J$10:$J$224),0),
IF('TL19'!$B$229=O$3,SUMIF('TL19'!$C$238:$C$451,$C297,'TL19'!$J$238:$J$451),0)
),0)</f>
        <v/>
      </c>
      <c r="P297" s="9">
        <f>IFERROR(SUM(
IF('TL01'!$B$3=P$3,SUMIF('TL01'!$C$10:$C$224,$C297,'TL01'!$J$10:$J$224),0),
IF('TL01'!$B$229=P$3,SUMIF('TL01'!$C$238:$C$451,$C297,'TL01'!$J$238:$J$451),0),
IF('TL02'!$B$3=P$3,SUMIF('TL02'!$C$10:$C$224,$C297,'TL02'!$J$10:$J$224),0),
IF('TL02'!$B$229=P$3,SUMIF('TL02'!$C$238:$C$451,$C297,'TL02'!$J$238:$J$451),0),
IF('TL03'!$B$3=P$3,SUMIF('TL03'!$C$10:$C$224,$C297,'TL03'!$J$10:$J$224),0),
IF('TL03'!$B$229=P$3,SUMIF('TL03'!$C$238:$C$451,$C297,'TL03'!$J$238:$J$451),0),
IF('TL04'!$B$3=P$3,SUMIF('TL04'!$C$10:$C$224,$C297,'TL04'!$J$10:$J$224),0),
IF('TL04'!$B$229=P$3,SUMIF('TL04'!$C$238:$C$451,$C297,'TL04'!$J$238:$J$451),0),
IF('TL05'!$B$3=P$3,SUMIF('TL05'!$C$10:$C$224,$C297,'TL05'!$J$10:$J$224),0),
IF('TL05'!$B$229=P$3,SUMIF('TL05'!$C$238:$C$451,$C297,'TL05'!$J$238:$J$451),0),
IF('TL06'!$B$3=P$3,SUMIF('TL06'!$C$10:$C$224,$C297,'TL06'!$J$10:$J$224),0),
IF('TL06'!$B$229=P$3,SUMIF('TL06'!$C$238:$C$451,$C297,'TL06'!$J$238:$J$451),0),
IF('TL07'!$B$3=P$3,SUMIF('TL07'!$C$10:$C$224,$C297,'TL07'!$J$10:$J$224),0),
IF('TL07'!$B$229=P$3,SUMIF('TL07'!$C$238:$C$451,$C297,'TL07'!$J$238:$J$451),0),
IF('TL08'!$B$3=P$3,SUMIF('TL08'!$C$10:$C$224,$C297,'TL08'!$J$10:$J$224),0),
IF('TL08'!$B$229=P$3,SUMIF('TL08'!$C$238:$C$451,$C297,'TL08'!$J$238:$J$451),0),
IF('TL09'!$B$3=P$3,SUMIF('TL09'!$C$10:$C$224,$C297,'TL09'!$J$10:$J$224),0),
IF('TL09'!$B$229=P$3,SUMIF('TL09'!$C$238:$C$451,$C297,'TL09'!$J$238:$J$451),0),
IF('TL10'!$B$3=P$3,SUMIF('TL10'!$C$10:$C$224,$C297,'TL10'!$J$10:$J$224),0),
IF('TL10'!$B$229=P$3,SUMIF('TL10'!$C$238:$C$451,$C297,'TL10'!$J$238:$J$451),0),
IF('TL11'!$B$3=P$3,SUMIF('TL11'!$C$10:$C$224,$C297,'TL11'!$J$10:$J$224),0),
IF('TL11'!$B$229=P$3,SUMIF('TL11'!$C$238:$C$451,$C297,'TL11'!$J$238:$J$451),0),
IF('TL12'!$B$3=P$3,SUMIF('TL12'!$C$10:$C$224,$C297,'TL12'!$J$10:$J$224),0),
IF('TL12'!$B$229=P$3,SUMIF('TL12'!$C$238:$C$451,$C297,'TL12'!$J$238:$J$451),0),
IF('TL13'!$B$3=P$3,SUMIF('TL13'!$C$10:$C$224,$C297,'TL13'!$J$10:$J$224),0),
IF('TL13'!$B$229=P$3,SUMIF('TL13'!$C$238:$C$451,$C297,'TL13'!$J$238:$J$451),0),
IF('TL14'!$B$3=P$3,SUMIF('TL14'!$C$10:$C$224,$C297,'TL14'!$J$10:$J$224),0),
IF('TL14'!$B$229=P$3,SUMIF('TL14'!$C$238:$C$451,$C297,'TL14'!$J$238:$J$451),0),
IF('TL15'!$B$3=P$3,SUMIF('TL15'!$C$10:$C$224,$C297,'TL15'!$J$10:$J$224),0),
IF('TL15'!$B$229=P$3,SUMIF('TL15'!$C$238:$C$451,$C297,'TL15'!$J$238:$J$451),0),
IF('TL16'!$B$3=P$3,SUMIF('TL16'!$C$10:$C$224,$C297,'TL16'!$J$10:$J$224),0),
IF('TL16'!$B$229=P$3,SUMIF('TL16'!$C$238:$C$451,$C297,'TL16'!$J$238:$J$451),0),
IF('TL17'!$B$3=P$3,SUMIF('TL17'!$C$10:$C$224,$C297,'TL17'!$J$10:$J$224),0),
IF('TL17'!$B$229=P$3,SUMIF('TL17'!$C$238:$C$451,$C297,'TL17'!$J$238:$J$451),0),
IF('TL18'!$B$3=P$3,SUMIF('TL18'!$C$10:$C$224,$C297,'TL18'!$J$10:$J$224),0),
IF('TL18'!$B$229=P$3,SUMIF('TL18'!$C$238:$C$451,$C297,'TL18'!$J$238:$J$451),0),
IF('TL19'!$B$3=P$3,SUMIF('TL19'!$C$10:$C$224,$C297,'TL19'!$J$10:$J$224),0),
IF('TL19'!$B$229=P$3,SUMIF('TL19'!$C$238:$C$451,$C297,'TL19'!$J$238:$J$451),0)
),0)</f>
        <v/>
      </c>
      <c r="Q297" s="9">
        <f>IFERROR(SUM(
IF('TL01'!$B$3=Q$3,SUMIF('TL01'!$C$10:$C$224,$C297,'TL01'!$J$10:$J$224),0),
IF('TL01'!$B$229=Q$3,SUMIF('TL01'!$C$238:$C$451,$C297,'TL01'!$J$238:$J$451),0),
IF('TL02'!$B$3=Q$3,SUMIF('TL02'!$C$10:$C$224,$C297,'TL02'!$J$10:$J$224),0),
IF('TL02'!$B$229=Q$3,SUMIF('TL02'!$C$238:$C$451,$C297,'TL02'!$J$238:$J$451),0),
IF('TL03'!$B$3=Q$3,SUMIF('TL03'!$C$10:$C$224,$C297,'TL03'!$J$10:$J$224),0),
IF('TL03'!$B$229=Q$3,SUMIF('TL03'!$C$238:$C$451,$C297,'TL03'!$J$238:$J$451),0),
IF('TL04'!$B$3=Q$3,SUMIF('TL04'!$C$10:$C$224,$C297,'TL04'!$J$10:$J$224),0),
IF('TL04'!$B$229=Q$3,SUMIF('TL04'!$C$238:$C$451,$C297,'TL04'!$J$238:$J$451),0),
IF('TL05'!$B$3=Q$3,SUMIF('TL05'!$C$10:$C$224,$C297,'TL05'!$J$10:$J$224),0),
IF('TL05'!$B$229=Q$3,SUMIF('TL05'!$C$238:$C$451,$C297,'TL05'!$J$238:$J$451),0),
IF('TL06'!$B$3=Q$3,SUMIF('TL06'!$C$10:$C$224,$C297,'TL06'!$J$10:$J$224),0),
IF('TL06'!$B$229=Q$3,SUMIF('TL06'!$C$238:$C$451,$C297,'TL06'!$J$238:$J$451),0),
IF('TL07'!$B$3=Q$3,SUMIF('TL07'!$C$10:$C$224,$C297,'TL07'!$J$10:$J$224),0),
IF('TL07'!$B$229=Q$3,SUMIF('TL07'!$C$238:$C$451,$C297,'TL07'!$J$238:$J$451),0),
IF('TL08'!$B$3=Q$3,SUMIF('TL08'!$C$10:$C$224,$C297,'TL08'!$J$10:$J$224),0),
IF('TL08'!$B$229=Q$3,SUMIF('TL08'!$C$238:$C$451,$C297,'TL08'!$J$238:$J$451),0),
IF('TL09'!$B$3=Q$3,SUMIF('TL09'!$C$10:$C$224,$C297,'TL09'!$J$10:$J$224),0),
IF('TL09'!$B$229=Q$3,SUMIF('TL09'!$C$238:$C$451,$C297,'TL09'!$J$238:$J$451),0),
IF('TL10'!$B$3=Q$3,SUMIF('TL10'!$C$10:$C$224,$C297,'TL10'!$J$10:$J$224),0),
IF('TL10'!$B$229=Q$3,SUMIF('TL10'!$C$238:$C$451,$C297,'TL10'!$J$238:$J$451),0),
IF('TL11'!$B$3=Q$3,SUMIF('TL11'!$C$10:$C$224,$C297,'TL11'!$J$10:$J$224),0),
IF('TL11'!$B$229=Q$3,SUMIF('TL11'!$C$238:$C$451,$C297,'TL11'!$J$238:$J$451),0),
IF('TL12'!$B$3=Q$3,SUMIF('TL12'!$C$10:$C$224,$C297,'TL12'!$J$10:$J$224),0),
IF('TL12'!$B$229=Q$3,SUMIF('TL12'!$C$238:$C$451,$C297,'TL12'!$J$238:$J$451),0),
IF('TL13'!$B$3=Q$3,SUMIF('TL13'!$C$10:$C$224,$C297,'TL13'!$J$10:$J$224),0),
IF('TL13'!$B$229=Q$3,SUMIF('TL13'!$C$238:$C$451,$C297,'TL13'!$J$238:$J$451),0),
IF('TL14'!$B$3=Q$3,SUMIF('TL14'!$C$10:$C$224,$C297,'TL14'!$J$10:$J$224),0),
IF('TL14'!$B$229=Q$3,SUMIF('TL14'!$C$238:$C$451,$C297,'TL14'!$J$238:$J$451),0),
IF('TL15'!$B$3=Q$3,SUMIF('TL15'!$C$10:$C$224,$C297,'TL15'!$J$10:$J$224),0),
IF('TL15'!$B$229=Q$3,SUMIF('TL15'!$C$238:$C$451,$C297,'TL15'!$J$238:$J$451),0),
IF('TL16'!$B$3=Q$3,SUMIF('TL16'!$C$10:$C$224,$C297,'TL16'!$J$10:$J$224),0),
IF('TL16'!$B$229=Q$3,SUMIF('TL16'!$C$238:$C$451,$C297,'TL16'!$J$238:$J$451),0),
IF('TL17'!$B$3=Q$3,SUMIF('TL17'!$C$10:$C$224,$C297,'TL17'!$J$10:$J$224),0),
IF('TL17'!$B$229=Q$3,SUMIF('TL17'!$C$238:$C$451,$C297,'TL17'!$J$238:$J$451),0),
IF('TL18'!$B$3=Q$3,SUMIF('TL18'!$C$10:$C$224,$C297,'TL18'!$J$10:$J$224),0),
IF('TL18'!$B$229=Q$3,SUMIF('TL18'!$C$238:$C$451,$C297,'TL18'!$J$238:$J$451),0),
IF('TL19'!$B$3=Q$3,SUMIF('TL19'!$C$10:$C$224,$C297,'TL19'!$J$10:$J$224),0),
IF('TL19'!$B$229=Q$3,SUMIF('TL19'!$C$238:$C$451,$C297,'TL19'!$J$238:$J$451),0)
),0)</f>
        <v/>
      </c>
      <c r="R297" s="9">
        <f>IFERROR(
SUM(
SUMIF('TL01'!C:C,C297,'TL01'!J:J),
SUMIF('TL02'!C:C,C297,'TL02'!J:J),
SUMIF('TL03'!C:C,C297,'TL03'!J:J),
SUMIF('TL04'!C:C,C297,'TL04'!J:J),
SUMIF('TL05'!C:C,C297,'TL05'!J:J),
SUMIF('TL06'!C:C,C297,'TL06'!J:J),
SUMIF('TL07'!C:C,C297,'TL07'!J:J),
SUMIF('TL08'!C:C,C297,'TL08'!J:J),
SUMIF('TL09'!C:C,C297,'TL09'!J:J),
SUMIF('TL10'!C:C,C297,'TL10'!J:J),
SUMIF('TL11'!C:C,C297,'TL11'!J:J),
SUMIF('TL12'!C:C,C297,'TL12'!J:J),
SUMIF('TL13'!C:C,C297,'TL13'!J:J),
SUMIF('TL14'!C:C,C297,'TL14'!J:J),
SUMIF('TL15'!C:C,C297,'TL15'!J:J),
SUMIF('TL16'!C:C,C297,'TL16'!J:J),
SUMIF('TL17'!C:C,C297,'TL17'!J:J),
SUMIF('TL18'!C:C,C297,'TL18'!J:J),SUMIF('TL19'!C:C,C297,'TL19'!J:J))
,0)</f>
        <v/>
      </c>
      <c r="S297" s="17">
        <f>IFERROR(__xludf.DUMMYFUNCTION("IFERROR(VLOOKUP(C297,
IMPORTRANGE(""1wULbzX32WdYsx-lj2U3uUNBBe2INVIRDtcK0d-Dvl90"",
""26-27!C:G""),
5,
FALSE),
"""")"),66.5)</f>
        <v/>
      </c>
      <c r="T297" s="9" t="n"/>
      <c r="U297" s="92">
        <f>MAX(0,R297-T297)</f>
        <v/>
      </c>
      <c r="V297" s="93">
        <f>U297*S297</f>
        <v/>
      </c>
    </row>
    <row r="298" hidden="1" ht="15.75" customHeight="1" s="297">
      <c r="A298" s="119" t="inlineStr">
        <is>
          <t>ADAMA</t>
        </is>
      </c>
      <c r="B298" s="120" t="inlineStr">
        <is>
          <t>TS</t>
        </is>
      </c>
      <c r="C298" s="119" t="inlineStr">
        <is>
          <t>SOMBRERO</t>
        </is>
      </c>
      <c r="D298" s="119" t="inlineStr">
        <is>
          <t>IMIDACLOPRIDO</t>
        </is>
      </c>
      <c r="E298" s="119" t="n">
        <v>600</v>
      </c>
      <c r="F298" s="4" t="n"/>
      <c r="G298" s="90">
        <f>HYPERLINK("https://www.google.com/search?q=" &amp; C298 &amp; "+bula+agrofit+pdf", "📄 Ver bula")</f>
        <v/>
      </c>
      <c r="H298" s="9">
        <f>IFERROR(__xludf.DUMMYFUNCTION("IFERROR(VLOOKUP(C298,
IMPORTRANGE(""1wULbzX32WdYsx-lj2U3uUNBBe2INVIRDtcK0d-Dvl90"",
""26-27!C:K""),
8,
FALSE),
"""")"),0.125)</f>
        <v/>
      </c>
      <c r="I298" s="123" t="n"/>
      <c r="J298" s="9">
        <f>IFERROR(SUM(
IF('TL01'!$B$3=J$3,SUMIF('TL01'!$C$10:$C$224,$C298,'TL01'!$J$10:$J$224),0),
IF('TL01'!$B$229=J$3,SUMIF('TL01'!$C$238:$C$451,$C298,'TL01'!$J$238:$J$451),0),
IF('TL02'!$B$3=J$3,SUMIF('TL02'!$C$10:$C$224,$C298,'TL02'!$J$10:$J$224),0),
IF('TL02'!$B$229=J$3,SUMIF('TL02'!$C$238:$C$451,$C298,'TL02'!$J$238:$J$451),0),
IF('TL03'!$B$3=J$3,SUMIF('TL03'!$C$10:$C$224,$C298,'TL03'!$J$10:$J$224),0),
IF('TL03'!$B$229=J$3,SUMIF('TL03'!$C$238:$C$451,$C298,'TL03'!$J$238:$J$451),0),
IF('TL04'!$B$3=J$3,SUMIF('TL04'!$C$10:$C$224,$C298,'TL04'!$J$10:$J$224),0),
IF('TL04'!$B$229=J$3,SUMIF('TL04'!$C$238:$C$451,$C298,'TL04'!$J$238:$J$451),0),
IF('TL05'!$B$3=J$3,SUMIF('TL05'!$C$10:$C$224,$C298,'TL05'!$J$10:$J$224),0),
IF('TL05'!$B$229=J$3,SUMIF('TL05'!$C$238:$C$451,$C298,'TL05'!$J$238:$J$451),0),
IF('TL06'!$B$3=J$3,SUMIF('TL06'!$C$10:$C$224,$C298,'TL06'!$J$10:$J$224),0),
IF('TL06'!$B$229=J$3,SUMIF('TL06'!$C$238:$C$451,$C298,'TL06'!$J$238:$J$451),0),
IF('TL07'!$B$3=J$3,SUMIF('TL07'!$C$10:$C$224,$C298,'TL07'!$J$10:$J$224),0),
IF('TL07'!$B$229=J$3,SUMIF('TL07'!$C$238:$C$451,$C298,'TL07'!$J$238:$J$451),0),
IF('TL08'!$B$3=J$3,SUMIF('TL08'!$C$10:$C$224,$C298,'TL08'!$J$10:$J$224),0),
IF('TL08'!$B$229=J$3,SUMIF('TL08'!$C$238:$C$451,$C298,'TL08'!$J$238:$J$451),0),
IF('TL09'!$B$3=J$3,SUMIF('TL09'!$C$10:$C$224,$C298,'TL09'!$J$10:$J$224),0),
IF('TL09'!$B$229=J$3,SUMIF('TL09'!$C$238:$C$451,$C298,'TL09'!$J$238:$J$451),0),
IF('TL10'!$B$3=J$3,SUMIF('TL10'!$C$10:$C$224,$C298,'TL10'!$J$10:$J$224),0),
IF('TL10'!$B$229=J$3,SUMIF('TL10'!$C$238:$C$451,$C298,'TL10'!$J$238:$J$451),0),
IF('TL11'!$B$3=J$3,SUMIF('TL11'!$C$10:$C$224,$C298,'TL11'!$J$10:$J$224),0),
IF('TL11'!$B$229=J$3,SUMIF('TL11'!$C$238:$C$451,$C298,'TL11'!$J$238:$J$451),0),
IF('TL12'!$B$3=J$3,SUMIF('TL12'!$C$10:$C$224,$C298,'TL12'!$J$10:$J$224),0),
IF('TL12'!$B$229=J$3,SUMIF('TL12'!$C$238:$C$451,$C298,'TL12'!$J$238:$J$451),0),
IF('TL13'!$B$3=J$3,SUMIF('TL13'!$C$10:$C$224,$C298,'TL13'!$J$10:$J$224),0),
IF('TL13'!$B$229=J$3,SUMIF('TL13'!$C$238:$C$451,$C298,'TL13'!$J$238:$J$451),0),
IF('TL14'!$B$3=J$3,SUMIF('TL14'!$C$10:$C$224,$C298,'TL14'!$J$10:$J$224),0),
IF('TL14'!$B$229=J$3,SUMIF('TL14'!$C$238:$C$451,$C298,'TL14'!$J$238:$J$451),0),
IF('TL15'!$B$3=J$3,SUMIF('TL15'!$C$10:$C$224,$C298,'TL15'!$J$10:$J$224),0),
IF('TL15'!$B$229=J$3,SUMIF('TL15'!$C$238:$C$451,$C298,'TL15'!$J$238:$J$451),0),
IF('TL16'!$B$3=J$3,SUMIF('TL16'!$C$10:$C$224,$C298,'TL16'!$J$10:$J$224),0),
IF('TL16'!$B$229=J$3,SUMIF('TL16'!$C$238:$C$451,$C298,'TL16'!$J$238:$J$451),0),
IF('TL17'!$B$3=J$3,SUMIF('TL17'!$C$10:$C$224,$C298,'TL17'!$J$10:$J$224),0),
IF('TL17'!$B$229=J$3,SUMIF('TL17'!$C$238:$C$451,$C298,'TL17'!$J$238:$J$451),0),
IF('TL18'!$B$3=J$3,SUMIF('TL18'!$C$10:$C$224,$C298,'TL18'!$J$10:$J$224),0),
IF('TL18'!$B$229=J$3,SUMIF('TL18'!$C$238:$C$451,$C298,'TL18'!$J$238:$J$451),0),
IF('TL19'!$B$3=J$3,SUMIF('TL19'!$C$10:$C$224,$C298,'TL19'!$J$10:$J$224),0),
IF('TL19'!$B$229=J$3,SUMIF('TL19'!$C$238:$C$451,$C298,'TL19'!$J$238:$J$451),0)
),0)</f>
        <v/>
      </c>
      <c r="K298" s="9">
        <f>IFERROR(SUM(
IF('TL01'!$B$3=K$3,SUMIF('TL01'!$C$10:$C$224,$C298,'TL01'!$J$10:$J$224),0),
IF('TL01'!$B$229=K$3,SUMIF('TL01'!$C$238:$C$451,$C298,'TL01'!$J$238:$J$451),0),
IF('TL02'!$B$3=K$3,SUMIF('TL02'!$C$10:$C$224,$C298,'TL02'!$J$10:$J$224),0),
IF('TL02'!$B$229=K$3,SUMIF('TL02'!$C$238:$C$451,$C298,'TL02'!$J$238:$J$451),0),
IF('TL03'!$B$3=K$3,SUMIF('TL03'!$C$10:$C$224,$C298,'TL03'!$J$10:$J$224),0),
IF('TL03'!$B$229=K$3,SUMIF('TL03'!$C$238:$C$451,$C298,'TL03'!$J$238:$J$451),0),
IF('TL04'!$B$3=K$3,SUMIF('TL04'!$C$10:$C$224,$C298,'TL04'!$J$10:$J$224),0),
IF('TL04'!$B$229=K$3,SUMIF('TL04'!$C$238:$C$451,$C298,'TL04'!$J$238:$J$451),0),
IF('TL05'!$B$3=K$3,SUMIF('TL05'!$C$10:$C$224,$C298,'TL05'!$J$10:$J$224),0),
IF('TL05'!$B$229=K$3,SUMIF('TL05'!$C$238:$C$451,$C298,'TL05'!$J$238:$J$451),0),
IF('TL06'!$B$3=K$3,SUMIF('TL06'!$C$10:$C$224,$C298,'TL06'!$J$10:$J$224),0),
IF('TL06'!$B$229=K$3,SUMIF('TL06'!$C$238:$C$451,$C298,'TL06'!$J$238:$J$451),0),
IF('TL07'!$B$3=K$3,SUMIF('TL07'!$C$10:$C$224,$C298,'TL07'!$J$10:$J$224),0),
IF('TL07'!$B$229=K$3,SUMIF('TL07'!$C$238:$C$451,$C298,'TL07'!$J$238:$J$451),0),
IF('TL08'!$B$3=K$3,SUMIF('TL08'!$C$10:$C$224,$C298,'TL08'!$J$10:$J$224),0),
IF('TL08'!$B$229=K$3,SUMIF('TL08'!$C$238:$C$451,$C298,'TL08'!$J$238:$J$451),0),
IF('TL09'!$B$3=K$3,SUMIF('TL09'!$C$10:$C$224,$C298,'TL09'!$J$10:$J$224),0),
IF('TL09'!$B$229=K$3,SUMIF('TL09'!$C$238:$C$451,$C298,'TL09'!$J$238:$J$451),0),
IF('TL10'!$B$3=K$3,SUMIF('TL10'!$C$10:$C$224,$C298,'TL10'!$J$10:$J$224),0),
IF('TL10'!$B$229=K$3,SUMIF('TL10'!$C$238:$C$451,$C298,'TL10'!$J$238:$J$451),0),
IF('TL11'!$B$3=K$3,SUMIF('TL11'!$C$10:$C$224,$C298,'TL11'!$J$10:$J$224),0),
IF('TL11'!$B$229=K$3,SUMIF('TL11'!$C$238:$C$451,$C298,'TL11'!$J$238:$J$451),0),
IF('TL12'!$B$3=K$3,SUMIF('TL12'!$C$10:$C$224,$C298,'TL12'!$J$10:$J$224),0),
IF('TL12'!$B$229=K$3,SUMIF('TL12'!$C$238:$C$451,$C298,'TL12'!$J$238:$J$451),0),
IF('TL13'!$B$3=K$3,SUMIF('TL13'!$C$10:$C$224,$C298,'TL13'!$J$10:$J$224),0),
IF('TL13'!$B$229=K$3,SUMIF('TL13'!$C$238:$C$451,$C298,'TL13'!$J$238:$J$451),0),
IF('TL14'!$B$3=K$3,SUMIF('TL14'!$C$10:$C$224,$C298,'TL14'!$J$10:$J$224),0),
IF('TL14'!$B$229=K$3,SUMIF('TL14'!$C$238:$C$451,$C298,'TL14'!$J$238:$J$451),0),
IF('TL15'!$B$3=K$3,SUMIF('TL15'!$C$10:$C$224,$C298,'TL15'!$J$10:$J$224),0),
IF('TL15'!$B$229=K$3,SUMIF('TL15'!$C$238:$C$451,$C298,'TL15'!$J$238:$J$451),0),
IF('TL16'!$B$3=K$3,SUMIF('TL16'!$C$10:$C$224,$C298,'TL16'!$J$10:$J$224),0),
IF('TL16'!$B$229=K$3,SUMIF('TL16'!$C$238:$C$451,$C298,'TL16'!$J$238:$J$451),0),
IF('TL17'!$B$3=K$3,SUMIF('TL17'!$C$10:$C$224,$C298,'TL17'!$J$10:$J$224),0),
IF('TL17'!$B$229=K$3,SUMIF('TL17'!$C$238:$C$451,$C298,'TL17'!$J$238:$J$451),0),
IF('TL18'!$B$3=K$3,SUMIF('TL18'!$C$10:$C$224,$C298,'TL18'!$J$10:$J$224),0),
IF('TL18'!$B$229=K$3,SUMIF('TL18'!$C$238:$C$451,$C298,'TL18'!$J$238:$J$451),0),
IF('TL19'!$B$3=K$3,SUMIF('TL19'!$C$10:$C$224,$C298,'TL19'!$J$10:$J$224),0),
IF('TL19'!$B$229=K$3,SUMIF('TL19'!$C$238:$C$451,$C298,'TL19'!$J$238:$J$451),0)
),0)</f>
        <v/>
      </c>
      <c r="L298" s="9">
        <f>IFERROR(SUM(
IF('TL01'!$B$3=L$3,SUMIF('TL01'!$C$10:$C$224,$C298,'TL01'!$J$10:$J$224),0),
IF('TL01'!$B$229=L$3,SUMIF('TL01'!$C$238:$C$451,$C298,'TL01'!$J$238:$J$451),0),
IF('TL02'!$B$3=L$3,SUMIF('TL02'!$C$10:$C$224,$C298,'TL02'!$J$10:$J$224),0),
IF('TL02'!$B$229=L$3,SUMIF('TL02'!$C$238:$C$451,$C298,'TL02'!$J$238:$J$451),0),
IF('TL03'!$B$3=L$3,SUMIF('TL03'!$C$10:$C$224,$C298,'TL03'!$J$10:$J$224),0),
IF('TL03'!$B$229=L$3,SUMIF('TL03'!$C$238:$C$451,$C298,'TL03'!$J$238:$J$451),0),
IF('TL04'!$B$3=L$3,SUMIF('TL04'!$C$10:$C$224,$C298,'TL04'!$J$10:$J$224),0),
IF('TL04'!$B$229=L$3,SUMIF('TL04'!$C$238:$C$451,$C298,'TL04'!$J$238:$J$451),0),
IF('TL05'!$B$3=L$3,SUMIF('TL05'!$C$10:$C$224,$C298,'TL05'!$J$10:$J$224),0),
IF('TL05'!$B$229=L$3,SUMIF('TL05'!$C$238:$C$451,$C298,'TL05'!$J$238:$J$451),0),
IF('TL06'!$B$3=L$3,SUMIF('TL06'!$C$10:$C$224,$C298,'TL06'!$J$10:$J$224),0),
IF('TL06'!$B$229=L$3,SUMIF('TL06'!$C$238:$C$451,$C298,'TL06'!$J$238:$J$451),0),
IF('TL07'!$B$3=L$3,SUMIF('TL07'!$C$10:$C$224,$C298,'TL07'!$J$10:$J$224),0),
IF('TL07'!$B$229=L$3,SUMIF('TL07'!$C$238:$C$451,$C298,'TL07'!$J$238:$J$451),0),
IF('TL08'!$B$3=L$3,SUMIF('TL08'!$C$10:$C$224,$C298,'TL08'!$J$10:$J$224),0),
IF('TL08'!$B$229=L$3,SUMIF('TL08'!$C$238:$C$451,$C298,'TL08'!$J$238:$J$451),0),
IF('TL09'!$B$3=L$3,SUMIF('TL09'!$C$10:$C$224,$C298,'TL09'!$J$10:$J$224),0),
IF('TL09'!$B$229=L$3,SUMIF('TL09'!$C$238:$C$451,$C298,'TL09'!$J$238:$J$451),0),
IF('TL10'!$B$3=L$3,SUMIF('TL10'!$C$10:$C$224,$C298,'TL10'!$J$10:$J$224),0),
IF('TL10'!$B$229=L$3,SUMIF('TL10'!$C$238:$C$451,$C298,'TL10'!$J$238:$J$451),0),
IF('TL11'!$B$3=L$3,SUMIF('TL11'!$C$10:$C$224,$C298,'TL11'!$J$10:$J$224),0),
IF('TL11'!$B$229=L$3,SUMIF('TL11'!$C$238:$C$451,$C298,'TL11'!$J$238:$J$451),0),
IF('TL12'!$B$3=L$3,SUMIF('TL12'!$C$10:$C$224,$C298,'TL12'!$J$10:$J$224),0),
IF('TL12'!$B$229=L$3,SUMIF('TL12'!$C$238:$C$451,$C298,'TL12'!$J$238:$J$451),0),
IF('TL13'!$B$3=L$3,SUMIF('TL13'!$C$10:$C$224,$C298,'TL13'!$J$10:$J$224),0),
IF('TL13'!$B$229=L$3,SUMIF('TL13'!$C$238:$C$451,$C298,'TL13'!$J$238:$J$451),0),
IF('TL14'!$B$3=L$3,SUMIF('TL14'!$C$10:$C$224,$C298,'TL14'!$J$10:$J$224),0),
IF('TL14'!$B$229=L$3,SUMIF('TL14'!$C$238:$C$451,$C298,'TL14'!$J$238:$J$451),0),
IF('TL15'!$B$3=L$3,SUMIF('TL15'!$C$10:$C$224,$C298,'TL15'!$J$10:$J$224),0),
IF('TL15'!$B$229=L$3,SUMIF('TL15'!$C$238:$C$451,$C298,'TL15'!$J$238:$J$451),0),
IF('TL16'!$B$3=L$3,SUMIF('TL16'!$C$10:$C$224,$C298,'TL16'!$J$10:$J$224),0),
IF('TL16'!$B$229=L$3,SUMIF('TL16'!$C$238:$C$451,$C298,'TL16'!$J$238:$J$451),0),
IF('TL17'!$B$3=L$3,SUMIF('TL17'!$C$10:$C$224,$C298,'TL17'!$J$10:$J$224),0),
IF('TL17'!$B$229=L$3,SUMIF('TL17'!$C$238:$C$451,$C298,'TL17'!$J$238:$J$451),0),
IF('TL18'!$B$3=L$3,SUMIF('TL18'!$C$10:$C$224,$C298,'TL18'!$J$10:$J$224),0),
IF('TL18'!$B$229=L$3,SUMIF('TL18'!$C$238:$C$451,$C298,'TL18'!$J$238:$J$451),0),
IF('TL19'!$B$3=L$3,SUMIF('TL19'!$C$10:$C$224,$C298,'TL19'!$J$10:$J$224),0),
IF('TL19'!$B$229=L$3,SUMIF('TL19'!$C$238:$C$451,$C298,'TL19'!$J$238:$J$451),0)
),0)</f>
        <v/>
      </c>
      <c r="M298" s="9">
        <f>IFERROR(SUM(
IF('TL01'!$B$3=M$3,SUMIF('TL01'!$C$10:$C$224,$C298,'TL01'!$J$10:$J$224),0),
IF('TL01'!$B$229=M$3,SUMIF('TL01'!$C$238:$C$451,$C298,'TL01'!$J$238:$J$451),0),
IF('TL02'!$B$3=M$3,SUMIF('TL02'!$C$10:$C$224,$C298,'TL02'!$J$10:$J$224),0),
IF('TL02'!$B$229=M$3,SUMIF('TL02'!$C$238:$C$451,$C298,'TL02'!$J$238:$J$451),0),
IF('TL03'!$B$3=M$3,SUMIF('TL03'!$C$10:$C$224,$C298,'TL03'!$J$10:$J$224),0),
IF('TL03'!$B$229=M$3,SUMIF('TL03'!$C$238:$C$451,$C298,'TL03'!$J$238:$J$451),0),
IF('TL04'!$B$3=M$3,SUMIF('TL04'!$C$10:$C$224,$C298,'TL04'!$J$10:$J$224),0),
IF('TL04'!$B$229=M$3,SUMIF('TL04'!$C$238:$C$451,$C298,'TL04'!$J$238:$J$451),0),
IF('TL05'!$B$3=M$3,SUMIF('TL05'!$C$10:$C$224,$C298,'TL05'!$J$10:$J$224),0),
IF('TL05'!$B$229=M$3,SUMIF('TL05'!$C$238:$C$451,$C298,'TL05'!$J$238:$J$451),0),
IF('TL06'!$B$3=M$3,SUMIF('TL06'!$C$10:$C$224,$C298,'TL06'!$J$10:$J$224),0),
IF('TL06'!$B$229=M$3,SUMIF('TL06'!$C$238:$C$451,$C298,'TL06'!$J$238:$J$451),0),
IF('TL07'!$B$3=M$3,SUMIF('TL07'!$C$10:$C$224,$C298,'TL07'!$J$10:$J$224),0),
IF('TL07'!$B$229=M$3,SUMIF('TL07'!$C$238:$C$451,$C298,'TL07'!$J$238:$J$451),0),
IF('TL08'!$B$3=M$3,SUMIF('TL08'!$C$10:$C$224,$C298,'TL08'!$J$10:$J$224),0),
IF('TL08'!$B$229=M$3,SUMIF('TL08'!$C$238:$C$451,$C298,'TL08'!$J$238:$J$451),0),
IF('TL09'!$B$3=M$3,SUMIF('TL09'!$C$10:$C$224,$C298,'TL09'!$J$10:$J$224),0),
IF('TL09'!$B$229=M$3,SUMIF('TL09'!$C$238:$C$451,$C298,'TL09'!$J$238:$J$451),0),
IF('TL10'!$B$3=M$3,SUMIF('TL10'!$C$10:$C$224,$C298,'TL10'!$J$10:$J$224),0),
IF('TL10'!$B$229=M$3,SUMIF('TL10'!$C$238:$C$451,$C298,'TL10'!$J$238:$J$451),0),
IF('TL11'!$B$3=M$3,SUMIF('TL11'!$C$10:$C$224,$C298,'TL11'!$J$10:$J$224),0),
IF('TL11'!$B$229=M$3,SUMIF('TL11'!$C$238:$C$451,$C298,'TL11'!$J$238:$J$451),0),
IF('TL12'!$B$3=M$3,SUMIF('TL12'!$C$10:$C$224,$C298,'TL12'!$J$10:$J$224),0),
IF('TL12'!$B$229=M$3,SUMIF('TL12'!$C$238:$C$451,$C298,'TL12'!$J$238:$J$451),0),
IF('TL13'!$B$3=M$3,SUMIF('TL13'!$C$10:$C$224,$C298,'TL13'!$J$10:$J$224),0),
IF('TL13'!$B$229=M$3,SUMIF('TL13'!$C$238:$C$451,$C298,'TL13'!$J$238:$J$451),0),
IF('TL14'!$B$3=M$3,SUMIF('TL14'!$C$10:$C$224,$C298,'TL14'!$J$10:$J$224),0),
IF('TL14'!$B$229=M$3,SUMIF('TL14'!$C$238:$C$451,$C298,'TL14'!$J$238:$J$451),0),
IF('TL15'!$B$3=M$3,SUMIF('TL15'!$C$10:$C$224,$C298,'TL15'!$J$10:$J$224),0),
IF('TL15'!$B$229=M$3,SUMIF('TL15'!$C$238:$C$451,$C298,'TL15'!$J$238:$J$451),0),
IF('TL16'!$B$3=M$3,SUMIF('TL16'!$C$10:$C$224,$C298,'TL16'!$J$10:$J$224),0),
IF('TL16'!$B$229=M$3,SUMIF('TL16'!$C$238:$C$451,$C298,'TL16'!$J$238:$J$451),0),
IF('TL17'!$B$3=M$3,SUMIF('TL17'!$C$10:$C$224,$C298,'TL17'!$J$10:$J$224),0),
IF('TL17'!$B$229=M$3,SUMIF('TL17'!$C$238:$C$451,$C298,'TL17'!$J$238:$J$451),0),
IF('TL18'!$B$3=M$3,SUMIF('TL18'!$C$10:$C$224,$C298,'TL18'!$J$10:$J$224),0),
IF('TL18'!$B$229=M$3,SUMIF('TL18'!$C$238:$C$451,$C298,'TL18'!$J$238:$J$451),0),
IF('TL19'!$B$3=M$3,SUMIF('TL19'!$C$10:$C$224,$C298,'TL19'!$J$10:$J$224),0),
IF('TL19'!$B$229=M$3,SUMIF('TL19'!$C$238:$C$451,$C298,'TL19'!$J$238:$J$451),0)
),0)</f>
        <v/>
      </c>
      <c r="N298" s="9">
        <f>IFERROR(SUM(
IF('TL01'!$B$3=N$3,SUMIF('TL01'!$C$10:$C$224,$C298,'TL01'!$J$10:$J$224),0),
IF('TL01'!$B$229=N$3,SUMIF('TL01'!$C$238:$C$451,$C298,'TL01'!$J$238:$J$451),0),
IF('TL02'!$B$3=N$3,SUMIF('TL02'!$C$10:$C$224,$C298,'TL02'!$J$10:$J$224),0),
IF('TL02'!$B$229=N$3,SUMIF('TL02'!$C$238:$C$451,$C298,'TL02'!$J$238:$J$451),0),
IF('TL03'!$B$3=N$3,SUMIF('TL03'!$C$10:$C$224,$C298,'TL03'!$J$10:$J$224),0),
IF('TL03'!$B$229=N$3,SUMIF('TL03'!$C$238:$C$451,$C298,'TL03'!$J$238:$J$451),0),
IF('TL04'!$B$3=N$3,SUMIF('TL04'!$C$10:$C$224,$C298,'TL04'!$J$10:$J$224),0),
IF('TL04'!$B$229=N$3,SUMIF('TL04'!$C$238:$C$451,$C298,'TL04'!$J$238:$J$451),0),
IF('TL05'!$B$3=N$3,SUMIF('TL05'!$C$10:$C$224,$C298,'TL05'!$J$10:$J$224),0),
IF('TL05'!$B$229=N$3,SUMIF('TL05'!$C$238:$C$451,$C298,'TL05'!$J$238:$J$451),0),
IF('TL06'!$B$3=N$3,SUMIF('TL06'!$C$10:$C$224,$C298,'TL06'!$J$10:$J$224),0),
IF('TL06'!$B$229=N$3,SUMIF('TL06'!$C$238:$C$451,$C298,'TL06'!$J$238:$J$451),0),
IF('TL07'!$B$3=N$3,SUMIF('TL07'!$C$10:$C$224,$C298,'TL07'!$J$10:$J$224),0),
IF('TL07'!$B$229=N$3,SUMIF('TL07'!$C$238:$C$451,$C298,'TL07'!$J$238:$J$451),0),
IF('TL08'!$B$3=N$3,SUMIF('TL08'!$C$10:$C$224,$C298,'TL08'!$J$10:$J$224),0),
IF('TL08'!$B$229=N$3,SUMIF('TL08'!$C$238:$C$451,$C298,'TL08'!$J$238:$J$451),0),
IF('TL09'!$B$3=N$3,SUMIF('TL09'!$C$10:$C$224,$C298,'TL09'!$J$10:$J$224),0),
IF('TL09'!$B$229=N$3,SUMIF('TL09'!$C$238:$C$451,$C298,'TL09'!$J$238:$J$451),0),
IF('TL10'!$B$3=N$3,SUMIF('TL10'!$C$10:$C$224,$C298,'TL10'!$J$10:$J$224),0),
IF('TL10'!$B$229=N$3,SUMIF('TL10'!$C$238:$C$451,$C298,'TL10'!$J$238:$J$451),0),
IF('TL11'!$B$3=N$3,SUMIF('TL11'!$C$10:$C$224,$C298,'TL11'!$J$10:$J$224),0),
IF('TL11'!$B$229=N$3,SUMIF('TL11'!$C$238:$C$451,$C298,'TL11'!$J$238:$J$451),0),
IF('TL12'!$B$3=N$3,SUMIF('TL12'!$C$10:$C$224,$C298,'TL12'!$J$10:$J$224),0),
IF('TL12'!$B$229=N$3,SUMIF('TL12'!$C$238:$C$451,$C298,'TL12'!$J$238:$J$451),0),
IF('TL13'!$B$3=N$3,SUMIF('TL13'!$C$10:$C$224,$C298,'TL13'!$J$10:$J$224),0),
IF('TL13'!$B$229=N$3,SUMIF('TL13'!$C$238:$C$451,$C298,'TL13'!$J$238:$J$451),0),
IF('TL14'!$B$3=N$3,SUMIF('TL14'!$C$10:$C$224,$C298,'TL14'!$J$10:$J$224),0),
IF('TL14'!$B$229=N$3,SUMIF('TL14'!$C$238:$C$451,$C298,'TL14'!$J$238:$J$451),0),
IF('TL15'!$B$3=N$3,SUMIF('TL15'!$C$10:$C$224,$C298,'TL15'!$J$10:$J$224),0),
IF('TL15'!$B$229=N$3,SUMIF('TL15'!$C$238:$C$451,$C298,'TL15'!$J$238:$J$451),0),
IF('TL16'!$B$3=N$3,SUMIF('TL16'!$C$10:$C$224,$C298,'TL16'!$J$10:$J$224),0),
IF('TL16'!$B$229=N$3,SUMIF('TL16'!$C$238:$C$451,$C298,'TL16'!$J$238:$J$451),0),
IF('TL17'!$B$3=N$3,SUMIF('TL17'!$C$10:$C$224,$C298,'TL17'!$J$10:$J$224),0),
IF('TL17'!$B$229=N$3,SUMIF('TL17'!$C$238:$C$451,$C298,'TL17'!$J$238:$J$451),0),
IF('TL18'!$B$3=N$3,SUMIF('TL18'!$C$10:$C$224,$C298,'TL18'!$J$10:$J$224),0),
IF('TL18'!$B$229=N$3,SUMIF('TL18'!$C$238:$C$451,$C298,'TL18'!$J$238:$J$451),0),
IF('TL19'!$B$3=N$3,SUMIF('TL19'!$C$10:$C$224,$C298,'TL19'!$J$10:$J$224),0),
IF('TL19'!$B$229=N$3,SUMIF('TL19'!$C$238:$C$451,$C298,'TL19'!$J$238:$J$451),0)
),0)</f>
        <v/>
      </c>
      <c r="O298" s="9">
        <f>IFERROR(SUM(
IF('TL01'!$B$3=O$3,SUMIF('TL01'!$C$10:$C$224,$C298,'TL01'!$J$10:$J$224),0),
IF('TL01'!$B$229=O$3,SUMIF('TL01'!$C$238:$C$451,$C298,'TL01'!$J$238:$J$451),0),
IF('TL02'!$B$3=O$3,SUMIF('TL02'!$C$10:$C$224,$C298,'TL02'!$J$10:$J$224),0),
IF('TL02'!$B$229=O$3,SUMIF('TL02'!$C$238:$C$451,$C298,'TL02'!$J$238:$J$451),0),
IF('TL03'!$B$3=O$3,SUMIF('TL03'!$C$10:$C$224,$C298,'TL03'!$J$10:$J$224),0),
IF('TL03'!$B$229=O$3,SUMIF('TL03'!$C$238:$C$451,$C298,'TL03'!$J$238:$J$451),0),
IF('TL04'!$B$3=O$3,SUMIF('TL04'!$C$10:$C$224,$C298,'TL04'!$J$10:$J$224),0),
IF('TL04'!$B$229=O$3,SUMIF('TL04'!$C$238:$C$451,$C298,'TL04'!$J$238:$J$451),0),
IF('TL05'!$B$3=O$3,SUMIF('TL05'!$C$10:$C$224,$C298,'TL05'!$J$10:$J$224),0),
IF('TL05'!$B$229=O$3,SUMIF('TL05'!$C$238:$C$451,$C298,'TL05'!$J$238:$J$451),0),
IF('TL06'!$B$3=O$3,SUMIF('TL06'!$C$10:$C$224,$C298,'TL06'!$J$10:$J$224),0),
IF('TL06'!$B$229=O$3,SUMIF('TL06'!$C$238:$C$451,$C298,'TL06'!$J$238:$J$451),0),
IF('TL07'!$B$3=O$3,SUMIF('TL07'!$C$10:$C$224,$C298,'TL07'!$J$10:$J$224),0),
IF('TL07'!$B$229=O$3,SUMIF('TL07'!$C$238:$C$451,$C298,'TL07'!$J$238:$J$451),0),
IF('TL08'!$B$3=O$3,SUMIF('TL08'!$C$10:$C$224,$C298,'TL08'!$J$10:$J$224),0),
IF('TL08'!$B$229=O$3,SUMIF('TL08'!$C$238:$C$451,$C298,'TL08'!$J$238:$J$451),0),
IF('TL09'!$B$3=O$3,SUMIF('TL09'!$C$10:$C$224,$C298,'TL09'!$J$10:$J$224),0),
IF('TL09'!$B$229=O$3,SUMIF('TL09'!$C$238:$C$451,$C298,'TL09'!$J$238:$J$451),0),
IF('TL10'!$B$3=O$3,SUMIF('TL10'!$C$10:$C$224,$C298,'TL10'!$J$10:$J$224),0),
IF('TL10'!$B$229=O$3,SUMIF('TL10'!$C$238:$C$451,$C298,'TL10'!$J$238:$J$451),0),
IF('TL11'!$B$3=O$3,SUMIF('TL11'!$C$10:$C$224,$C298,'TL11'!$J$10:$J$224),0),
IF('TL11'!$B$229=O$3,SUMIF('TL11'!$C$238:$C$451,$C298,'TL11'!$J$238:$J$451),0),
IF('TL12'!$B$3=O$3,SUMIF('TL12'!$C$10:$C$224,$C298,'TL12'!$J$10:$J$224),0),
IF('TL12'!$B$229=O$3,SUMIF('TL12'!$C$238:$C$451,$C298,'TL12'!$J$238:$J$451),0),
IF('TL13'!$B$3=O$3,SUMIF('TL13'!$C$10:$C$224,$C298,'TL13'!$J$10:$J$224),0),
IF('TL13'!$B$229=O$3,SUMIF('TL13'!$C$238:$C$451,$C298,'TL13'!$J$238:$J$451),0),
IF('TL14'!$B$3=O$3,SUMIF('TL14'!$C$10:$C$224,$C298,'TL14'!$J$10:$J$224),0),
IF('TL14'!$B$229=O$3,SUMIF('TL14'!$C$238:$C$451,$C298,'TL14'!$J$238:$J$451),0),
IF('TL15'!$B$3=O$3,SUMIF('TL15'!$C$10:$C$224,$C298,'TL15'!$J$10:$J$224),0),
IF('TL15'!$B$229=O$3,SUMIF('TL15'!$C$238:$C$451,$C298,'TL15'!$J$238:$J$451),0),
IF('TL16'!$B$3=O$3,SUMIF('TL16'!$C$10:$C$224,$C298,'TL16'!$J$10:$J$224),0),
IF('TL16'!$B$229=O$3,SUMIF('TL16'!$C$238:$C$451,$C298,'TL16'!$J$238:$J$451),0),
IF('TL17'!$B$3=O$3,SUMIF('TL17'!$C$10:$C$224,$C298,'TL17'!$J$10:$J$224),0),
IF('TL17'!$B$229=O$3,SUMIF('TL17'!$C$238:$C$451,$C298,'TL17'!$J$238:$J$451),0),
IF('TL18'!$B$3=O$3,SUMIF('TL18'!$C$10:$C$224,$C298,'TL18'!$J$10:$J$224),0),
IF('TL18'!$B$229=O$3,SUMIF('TL18'!$C$238:$C$451,$C298,'TL18'!$J$238:$J$451),0),
IF('TL19'!$B$3=O$3,SUMIF('TL19'!$C$10:$C$224,$C298,'TL19'!$J$10:$J$224),0),
IF('TL19'!$B$229=O$3,SUMIF('TL19'!$C$238:$C$451,$C298,'TL19'!$J$238:$J$451),0)
),0)</f>
        <v/>
      </c>
      <c r="P298" s="9">
        <f>IFERROR(SUM(
IF('TL01'!$B$3=P$3,SUMIF('TL01'!$C$10:$C$224,$C298,'TL01'!$J$10:$J$224),0),
IF('TL01'!$B$229=P$3,SUMIF('TL01'!$C$238:$C$451,$C298,'TL01'!$J$238:$J$451),0),
IF('TL02'!$B$3=P$3,SUMIF('TL02'!$C$10:$C$224,$C298,'TL02'!$J$10:$J$224),0),
IF('TL02'!$B$229=P$3,SUMIF('TL02'!$C$238:$C$451,$C298,'TL02'!$J$238:$J$451),0),
IF('TL03'!$B$3=P$3,SUMIF('TL03'!$C$10:$C$224,$C298,'TL03'!$J$10:$J$224),0),
IF('TL03'!$B$229=P$3,SUMIF('TL03'!$C$238:$C$451,$C298,'TL03'!$J$238:$J$451),0),
IF('TL04'!$B$3=P$3,SUMIF('TL04'!$C$10:$C$224,$C298,'TL04'!$J$10:$J$224),0),
IF('TL04'!$B$229=P$3,SUMIF('TL04'!$C$238:$C$451,$C298,'TL04'!$J$238:$J$451),0),
IF('TL05'!$B$3=P$3,SUMIF('TL05'!$C$10:$C$224,$C298,'TL05'!$J$10:$J$224),0),
IF('TL05'!$B$229=P$3,SUMIF('TL05'!$C$238:$C$451,$C298,'TL05'!$J$238:$J$451),0),
IF('TL06'!$B$3=P$3,SUMIF('TL06'!$C$10:$C$224,$C298,'TL06'!$J$10:$J$224),0),
IF('TL06'!$B$229=P$3,SUMIF('TL06'!$C$238:$C$451,$C298,'TL06'!$J$238:$J$451),0),
IF('TL07'!$B$3=P$3,SUMIF('TL07'!$C$10:$C$224,$C298,'TL07'!$J$10:$J$224),0),
IF('TL07'!$B$229=P$3,SUMIF('TL07'!$C$238:$C$451,$C298,'TL07'!$J$238:$J$451),0),
IF('TL08'!$B$3=P$3,SUMIF('TL08'!$C$10:$C$224,$C298,'TL08'!$J$10:$J$224),0),
IF('TL08'!$B$229=P$3,SUMIF('TL08'!$C$238:$C$451,$C298,'TL08'!$J$238:$J$451),0),
IF('TL09'!$B$3=P$3,SUMIF('TL09'!$C$10:$C$224,$C298,'TL09'!$J$10:$J$224),0),
IF('TL09'!$B$229=P$3,SUMIF('TL09'!$C$238:$C$451,$C298,'TL09'!$J$238:$J$451),0),
IF('TL10'!$B$3=P$3,SUMIF('TL10'!$C$10:$C$224,$C298,'TL10'!$J$10:$J$224),0),
IF('TL10'!$B$229=P$3,SUMIF('TL10'!$C$238:$C$451,$C298,'TL10'!$J$238:$J$451),0),
IF('TL11'!$B$3=P$3,SUMIF('TL11'!$C$10:$C$224,$C298,'TL11'!$J$10:$J$224),0),
IF('TL11'!$B$229=P$3,SUMIF('TL11'!$C$238:$C$451,$C298,'TL11'!$J$238:$J$451),0),
IF('TL12'!$B$3=P$3,SUMIF('TL12'!$C$10:$C$224,$C298,'TL12'!$J$10:$J$224),0),
IF('TL12'!$B$229=P$3,SUMIF('TL12'!$C$238:$C$451,$C298,'TL12'!$J$238:$J$451),0),
IF('TL13'!$B$3=P$3,SUMIF('TL13'!$C$10:$C$224,$C298,'TL13'!$J$10:$J$224),0),
IF('TL13'!$B$229=P$3,SUMIF('TL13'!$C$238:$C$451,$C298,'TL13'!$J$238:$J$451),0),
IF('TL14'!$B$3=P$3,SUMIF('TL14'!$C$10:$C$224,$C298,'TL14'!$J$10:$J$224),0),
IF('TL14'!$B$229=P$3,SUMIF('TL14'!$C$238:$C$451,$C298,'TL14'!$J$238:$J$451),0),
IF('TL15'!$B$3=P$3,SUMIF('TL15'!$C$10:$C$224,$C298,'TL15'!$J$10:$J$224),0),
IF('TL15'!$B$229=P$3,SUMIF('TL15'!$C$238:$C$451,$C298,'TL15'!$J$238:$J$451),0),
IF('TL16'!$B$3=P$3,SUMIF('TL16'!$C$10:$C$224,$C298,'TL16'!$J$10:$J$224),0),
IF('TL16'!$B$229=P$3,SUMIF('TL16'!$C$238:$C$451,$C298,'TL16'!$J$238:$J$451),0),
IF('TL17'!$B$3=P$3,SUMIF('TL17'!$C$10:$C$224,$C298,'TL17'!$J$10:$J$224),0),
IF('TL17'!$B$229=P$3,SUMIF('TL17'!$C$238:$C$451,$C298,'TL17'!$J$238:$J$451),0),
IF('TL18'!$B$3=P$3,SUMIF('TL18'!$C$10:$C$224,$C298,'TL18'!$J$10:$J$224),0),
IF('TL18'!$B$229=P$3,SUMIF('TL18'!$C$238:$C$451,$C298,'TL18'!$J$238:$J$451),0),
IF('TL19'!$B$3=P$3,SUMIF('TL19'!$C$10:$C$224,$C298,'TL19'!$J$10:$J$224),0),
IF('TL19'!$B$229=P$3,SUMIF('TL19'!$C$238:$C$451,$C298,'TL19'!$J$238:$J$451),0)
),0)</f>
        <v/>
      </c>
      <c r="Q298" s="9">
        <f>IFERROR(SUM(
IF('TL01'!$B$3=Q$3,SUMIF('TL01'!$C$10:$C$224,$C298,'TL01'!$J$10:$J$224),0),
IF('TL01'!$B$229=Q$3,SUMIF('TL01'!$C$238:$C$451,$C298,'TL01'!$J$238:$J$451),0),
IF('TL02'!$B$3=Q$3,SUMIF('TL02'!$C$10:$C$224,$C298,'TL02'!$J$10:$J$224),0),
IF('TL02'!$B$229=Q$3,SUMIF('TL02'!$C$238:$C$451,$C298,'TL02'!$J$238:$J$451),0),
IF('TL03'!$B$3=Q$3,SUMIF('TL03'!$C$10:$C$224,$C298,'TL03'!$J$10:$J$224),0),
IF('TL03'!$B$229=Q$3,SUMIF('TL03'!$C$238:$C$451,$C298,'TL03'!$J$238:$J$451),0),
IF('TL04'!$B$3=Q$3,SUMIF('TL04'!$C$10:$C$224,$C298,'TL04'!$J$10:$J$224),0),
IF('TL04'!$B$229=Q$3,SUMIF('TL04'!$C$238:$C$451,$C298,'TL04'!$J$238:$J$451),0),
IF('TL05'!$B$3=Q$3,SUMIF('TL05'!$C$10:$C$224,$C298,'TL05'!$J$10:$J$224),0),
IF('TL05'!$B$229=Q$3,SUMIF('TL05'!$C$238:$C$451,$C298,'TL05'!$J$238:$J$451),0),
IF('TL06'!$B$3=Q$3,SUMIF('TL06'!$C$10:$C$224,$C298,'TL06'!$J$10:$J$224),0),
IF('TL06'!$B$229=Q$3,SUMIF('TL06'!$C$238:$C$451,$C298,'TL06'!$J$238:$J$451),0),
IF('TL07'!$B$3=Q$3,SUMIF('TL07'!$C$10:$C$224,$C298,'TL07'!$J$10:$J$224),0),
IF('TL07'!$B$229=Q$3,SUMIF('TL07'!$C$238:$C$451,$C298,'TL07'!$J$238:$J$451),0),
IF('TL08'!$B$3=Q$3,SUMIF('TL08'!$C$10:$C$224,$C298,'TL08'!$J$10:$J$224),0),
IF('TL08'!$B$229=Q$3,SUMIF('TL08'!$C$238:$C$451,$C298,'TL08'!$J$238:$J$451),0),
IF('TL09'!$B$3=Q$3,SUMIF('TL09'!$C$10:$C$224,$C298,'TL09'!$J$10:$J$224),0),
IF('TL09'!$B$229=Q$3,SUMIF('TL09'!$C$238:$C$451,$C298,'TL09'!$J$238:$J$451),0),
IF('TL10'!$B$3=Q$3,SUMIF('TL10'!$C$10:$C$224,$C298,'TL10'!$J$10:$J$224),0),
IF('TL10'!$B$229=Q$3,SUMIF('TL10'!$C$238:$C$451,$C298,'TL10'!$J$238:$J$451),0),
IF('TL11'!$B$3=Q$3,SUMIF('TL11'!$C$10:$C$224,$C298,'TL11'!$J$10:$J$224),0),
IF('TL11'!$B$229=Q$3,SUMIF('TL11'!$C$238:$C$451,$C298,'TL11'!$J$238:$J$451),0),
IF('TL12'!$B$3=Q$3,SUMIF('TL12'!$C$10:$C$224,$C298,'TL12'!$J$10:$J$224),0),
IF('TL12'!$B$229=Q$3,SUMIF('TL12'!$C$238:$C$451,$C298,'TL12'!$J$238:$J$451),0),
IF('TL13'!$B$3=Q$3,SUMIF('TL13'!$C$10:$C$224,$C298,'TL13'!$J$10:$J$224),0),
IF('TL13'!$B$229=Q$3,SUMIF('TL13'!$C$238:$C$451,$C298,'TL13'!$J$238:$J$451),0),
IF('TL14'!$B$3=Q$3,SUMIF('TL14'!$C$10:$C$224,$C298,'TL14'!$J$10:$J$224),0),
IF('TL14'!$B$229=Q$3,SUMIF('TL14'!$C$238:$C$451,$C298,'TL14'!$J$238:$J$451),0),
IF('TL15'!$B$3=Q$3,SUMIF('TL15'!$C$10:$C$224,$C298,'TL15'!$J$10:$J$224),0),
IF('TL15'!$B$229=Q$3,SUMIF('TL15'!$C$238:$C$451,$C298,'TL15'!$J$238:$J$451),0),
IF('TL16'!$B$3=Q$3,SUMIF('TL16'!$C$10:$C$224,$C298,'TL16'!$J$10:$J$224),0),
IF('TL16'!$B$229=Q$3,SUMIF('TL16'!$C$238:$C$451,$C298,'TL16'!$J$238:$J$451),0),
IF('TL17'!$B$3=Q$3,SUMIF('TL17'!$C$10:$C$224,$C298,'TL17'!$J$10:$J$224),0),
IF('TL17'!$B$229=Q$3,SUMIF('TL17'!$C$238:$C$451,$C298,'TL17'!$J$238:$J$451),0),
IF('TL18'!$B$3=Q$3,SUMIF('TL18'!$C$10:$C$224,$C298,'TL18'!$J$10:$J$224),0),
IF('TL18'!$B$229=Q$3,SUMIF('TL18'!$C$238:$C$451,$C298,'TL18'!$J$238:$J$451),0),
IF('TL19'!$B$3=Q$3,SUMIF('TL19'!$C$10:$C$224,$C298,'TL19'!$J$10:$J$224),0),
IF('TL19'!$B$229=Q$3,SUMIF('TL19'!$C$238:$C$451,$C298,'TL19'!$J$238:$J$451),0)
),0)</f>
        <v/>
      </c>
      <c r="R298" s="9">
        <f>IFERROR(
SUM(
SUMIF('TL01'!C:C,C298,'TL01'!J:J),
SUMIF('TL02'!C:C,C298,'TL02'!J:J),
SUMIF('TL03'!C:C,C298,'TL03'!J:J),
SUMIF('TL04'!C:C,C298,'TL04'!J:J),
SUMIF('TL05'!C:C,C298,'TL05'!J:J),
SUMIF('TL06'!C:C,C298,'TL06'!J:J),
SUMIF('TL07'!C:C,C298,'TL07'!J:J),
SUMIF('TL08'!C:C,C298,'TL08'!J:J),
SUMIF('TL09'!C:C,C298,'TL09'!J:J),
SUMIF('TL10'!C:C,C298,'TL10'!J:J),
SUMIF('TL11'!C:C,C298,'TL11'!J:J),
SUMIF('TL12'!C:C,C298,'TL12'!J:J),
SUMIF('TL13'!C:C,C298,'TL13'!J:J),
SUMIF('TL14'!C:C,C298,'TL14'!J:J),
SUMIF('TL15'!C:C,C298,'TL15'!J:J),
SUMIF('TL16'!C:C,C298,'TL16'!J:J),
SUMIF('TL17'!C:C,C298,'TL17'!J:J),
SUMIF('TL18'!C:C,C298,'TL18'!J:J),SUMIF('TL19'!C:C,C298,'TL19'!J:J))
,0)</f>
        <v/>
      </c>
      <c r="S298" s="17">
        <f>IFERROR(__xludf.DUMMYFUNCTION("IFERROR(VLOOKUP(C298,
IMPORTRANGE(""1wULbzX32WdYsx-lj2U3uUNBBe2INVIRDtcK0d-Dvl90"",
""26-27!C:G""),
5,
FALSE),
"""")"),71.68699999999998)</f>
        <v/>
      </c>
      <c r="T298" s="9" t="n"/>
      <c r="U298" s="92">
        <f>MAX(0,R298-T298)</f>
        <v/>
      </c>
      <c r="V298" s="93">
        <f>U298*S298</f>
        <v/>
      </c>
    </row>
    <row r="299" hidden="1" ht="15.75" customHeight="1" s="297">
      <c r="A299" s="122" t="inlineStr">
        <is>
          <t>BAYER</t>
        </is>
      </c>
      <c r="B299" s="124" t="inlineStr">
        <is>
          <t>TS</t>
        </is>
      </c>
      <c r="C299" s="122" t="inlineStr">
        <is>
          <t>CROPSTAR</t>
        </is>
      </c>
      <c r="D299" s="122" t="inlineStr">
        <is>
          <t>IMIDACLOPRIDO + TIODICARBE</t>
        </is>
      </c>
      <c r="E299" s="122" t="inlineStr">
        <is>
          <t>150 + 450</t>
        </is>
      </c>
      <c r="F299" s="4" t="inlineStr">
        <is>
          <t>L</t>
        </is>
      </c>
      <c r="G299" s="90">
        <f>HYPERLINK("https://www.google.com/search?q=" &amp; C299 &amp; "+bula+agrofit+pdf", "📄 Ver bula")</f>
        <v/>
      </c>
      <c r="H299" s="9">
        <f>IFERROR(__xludf.DUMMYFUNCTION("IFERROR(VLOOKUP(C299,
IMPORTRANGE(""1wULbzX32WdYsx-lj2U3uUNBBe2INVIRDtcK0d-Dvl90"",
""26-27!C:K""),
8,
FALSE),
"""")"),0.25)</f>
        <v/>
      </c>
      <c r="I299" s="123" t="n"/>
      <c r="J299" s="9">
        <f>IFERROR(SUM(
IF('TL01'!$B$3=J$3,SUMIF('TL01'!$C$10:$C$224,$C299,'TL01'!$J$10:$J$224),0),
IF('TL01'!$B$229=J$3,SUMIF('TL01'!$C$238:$C$451,$C299,'TL01'!$J$238:$J$451),0),
IF('TL02'!$B$3=J$3,SUMIF('TL02'!$C$10:$C$224,$C299,'TL02'!$J$10:$J$224),0),
IF('TL02'!$B$229=J$3,SUMIF('TL02'!$C$238:$C$451,$C299,'TL02'!$J$238:$J$451),0),
IF('TL03'!$B$3=J$3,SUMIF('TL03'!$C$10:$C$224,$C299,'TL03'!$J$10:$J$224),0),
IF('TL03'!$B$229=J$3,SUMIF('TL03'!$C$238:$C$451,$C299,'TL03'!$J$238:$J$451),0),
IF('TL04'!$B$3=J$3,SUMIF('TL04'!$C$10:$C$224,$C299,'TL04'!$J$10:$J$224),0),
IF('TL04'!$B$229=J$3,SUMIF('TL04'!$C$238:$C$451,$C299,'TL04'!$J$238:$J$451),0),
IF('TL05'!$B$3=J$3,SUMIF('TL05'!$C$10:$C$224,$C299,'TL05'!$J$10:$J$224),0),
IF('TL05'!$B$229=J$3,SUMIF('TL05'!$C$238:$C$451,$C299,'TL05'!$J$238:$J$451),0),
IF('TL06'!$B$3=J$3,SUMIF('TL06'!$C$10:$C$224,$C299,'TL06'!$J$10:$J$224),0),
IF('TL06'!$B$229=J$3,SUMIF('TL06'!$C$238:$C$451,$C299,'TL06'!$J$238:$J$451),0),
IF('TL07'!$B$3=J$3,SUMIF('TL07'!$C$10:$C$224,$C299,'TL07'!$J$10:$J$224),0),
IF('TL07'!$B$229=J$3,SUMIF('TL07'!$C$238:$C$451,$C299,'TL07'!$J$238:$J$451),0),
IF('TL08'!$B$3=J$3,SUMIF('TL08'!$C$10:$C$224,$C299,'TL08'!$J$10:$J$224),0),
IF('TL08'!$B$229=J$3,SUMIF('TL08'!$C$238:$C$451,$C299,'TL08'!$J$238:$J$451),0),
IF('TL09'!$B$3=J$3,SUMIF('TL09'!$C$10:$C$224,$C299,'TL09'!$J$10:$J$224),0),
IF('TL09'!$B$229=J$3,SUMIF('TL09'!$C$238:$C$451,$C299,'TL09'!$J$238:$J$451),0),
IF('TL10'!$B$3=J$3,SUMIF('TL10'!$C$10:$C$224,$C299,'TL10'!$J$10:$J$224),0),
IF('TL10'!$B$229=J$3,SUMIF('TL10'!$C$238:$C$451,$C299,'TL10'!$J$238:$J$451),0),
IF('TL11'!$B$3=J$3,SUMIF('TL11'!$C$10:$C$224,$C299,'TL11'!$J$10:$J$224),0),
IF('TL11'!$B$229=J$3,SUMIF('TL11'!$C$238:$C$451,$C299,'TL11'!$J$238:$J$451),0),
IF('TL12'!$B$3=J$3,SUMIF('TL12'!$C$10:$C$224,$C299,'TL12'!$J$10:$J$224),0),
IF('TL12'!$B$229=J$3,SUMIF('TL12'!$C$238:$C$451,$C299,'TL12'!$J$238:$J$451),0),
IF('TL13'!$B$3=J$3,SUMIF('TL13'!$C$10:$C$224,$C299,'TL13'!$J$10:$J$224),0),
IF('TL13'!$B$229=J$3,SUMIF('TL13'!$C$238:$C$451,$C299,'TL13'!$J$238:$J$451),0),
IF('TL14'!$B$3=J$3,SUMIF('TL14'!$C$10:$C$224,$C299,'TL14'!$J$10:$J$224),0),
IF('TL14'!$B$229=J$3,SUMIF('TL14'!$C$238:$C$451,$C299,'TL14'!$J$238:$J$451),0),
IF('TL15'!$B$3=J$3,SUMIF('TL15'!$C$10:$C$224,$C299,'TL15'!$J$10:$J$224),0),
IF('TL15'!$B$229=J$3,SUMIF('TL15'!$C$238:$C$451,$C299,'TL15'!$J$238:$J$451),0),
IF('TL16'!$B$3=J$3,SUMIF('TL16'!$C$10:$C$224,$C299,'TL16'!$J$10:$J$224),0),
IF('TL16'!$B$229=J$3,SUMIF('TL16'!$C$238:$C$451,$C299,'TL16'!$J$238:$J$451),0),
IF('TL17'!$B$3=J$3,SUMIF('TL17'!$C$10:$C$224,$C299,'TL17'!$J$10:$J$224),0),
IF('TL17'!$B$229=J$3,SUMIF('TL17'!$C$238:$C$451,$C299,'TL17'!$J$238:$J$451),0),
IF('TL18'!$B$3=J$3,SUMIF('TL18'!$C$10:$C$224,$C299,'TL18'!$J$10:$J$224),0),
IF('TL18'!$B$229=J$3,SUMIF('TL18'!$C$238:$C$451,$C299,'TL18'!$J$238:$J$451),0),
IF('TL19'!$B$3=J$3,SUMIF('TL19'!$C$10:$C$224,$C299,'TL19'!$J$10:$J$224),0),
IF('TL19'!$B$229=J$3,SUMIF('TL19'!$C$238:$C$451,$C299,'TL19'!$J$238:$J$451),0)
),0)</f>
        <v/>
      </c>
      <c r="K299" s="9">
        <f>IFERROR(SUM(
IF('TL01'!$B$3=K$3,SUMIF('TL01'!$C$10:$C$224,$C299,'TL01'!$J$10:$J$224),0),
IF('TL01'!$B$229=K$3,SUMIF('TL01'!$C$238:$C$451,$C299,'TL01'!$J$238:$J$451),0),
IF('TL02'!$B$3=K$3,SUMIF('TL02'!$C$10:$C$224,$C299,'TL02'!$J$10:$J$224),0),
IF('TL02'!$B$229=K$3,SUMIF('TL02'!$C$238:$C$451,$C299,'TL02'!$J$238:$J$451),0),
IF('TL03'!$B$3=K$3,SUMIF('TL03'!$C$10:$C$224,$C299,'TL03'!$J$10:$J$224),0),
IF('TL03'!$B$229=K$3,SUMIF('TL03'!$C$238:$C$451,$C299,'TL03'!$J$238:$J$451),0),
IF('TL04'!$B$3=K$3,SUMIF('TL04'!$C$10:$C$224,$C299,'TL04'!$J$10:$J$224),0),
IF('TL04'!$B$229=K$3,SUMIF('TL04'!$C$238:$C$451,$C299,'TL04'!$J$238:$J$451),0),
IF('TL05'!$B$3=K$3,SUMIF('TL05'!$C$10:$C$224,$C299,'TL05'!$J$10:$J$224),0),
IF('TL05'!$B$229=K$3,SUMIF('TL05'!$C$238:$C$451,$C299,'TL05'!$J$238:$J$451),0),
IF('TL06'!$B$3=K$3,SUMIF('TL06'!$C$10:$C$224,$C299,'TL06'!$J$10:$J$224),0),
IF('TL06'!$B$229=K$3,SUMIF('TL06'!$C$238:$C$451,$C299,'TL06'!$J$238:$J$451),0),
IF('TL07'!$B$3=K$3,SUMIF('TL07'!$C$10:$C$224,$C299,'TL07'!$J$10:$J$224),0),
IF('TL07'!$B$229=K$3,SUMIF('TL07'!$C$238:$C$451,$C299,'TL07'!$J$238:$J$451),0),
IF('TL08'!$B$3=K$3,SUMIF('TL08'!$C$10:$C$224,$C299,'TL08'!$J$10:$J$224),0),
IF('TL08'!$B$229=K$3,SUMIF('TL08'!$C$238:$C$451,$C299,'TL08'!$J$238:$J$451),0),
IF('TL09'!$B$3=K$3,SUMIF('TL09'!$C$10:$C$224,$C299,'TL09'!$J$10:$J$224),0),
IF('TL09'!$B$229=K$3,SUMIF('TL09'!$C$238:$C$451,$C299,'TL09'!$J$238:$J$451),0),
IF('TL10'!$B$3=K$3,SUMIF('TL10'!$C$10:$C$224,$C299,'TL10'!$J$10:$J$224),0),
IF('TL10'!$B$229=K$3,SUMIF('TL10'!$C$238:$C$451,$C299,'TL10'!$J$238:$J$451),0),
IF('TL11'!$B$3=K$3,SUMIF('TL11'!$C$10:$C$224,$C299,'TL11'!$J$10:$J$224),0),
IF('TL11'!$B$229=K$3,SUMIF('TL11'!$C$238:$C$451,$C299,'TL11'!$J$238:$J$451),0),
IF('TL12'!$B$3=K$3,SUMIF('TL12'!$C$10:$C$224,$C299,'TL12'!$J$10:$J$224),0),
IF('TL12'!$B$229=K$3,SUMIF('TL12'!$C$238:$C$451,$C299,'TL12'!$J$238:$J$451),0),
IF('TL13'!$B$3=K$3,SUMIF('TL13'!$C$10:$C$224,$C299,'TL13'!$J$10:$J$224),0),
IF('TL13'!$B$229=K$3,SUMIF('TL13'!$C$238:$C$451,$C299,'TL13'!$J$238:$J$451),0),
IF('TL14'!$B$3=K$3,SUMIF('TL14'!$C$10:$C$224,$C299,'TL14'!$J$10:$J$224),0),
IF('TL14'!$B$229=K$3,SUMIF('TL14'!$C$238:$C$451,$C299,'TL14'!$J$238:$J$451),0),
IF('TL15'!$B$3=K$3,SUMIF('TL15'!$C$10:$C$224,$C299,'TL15'!$J$10:$J$224),0),
IF('TL15'!$B$229=K$3,SUMIF('TL15'!$C$238:$C$451,$C299,'TL15'!$J$238:$J$451),0),
IF('TL16'!$B$3=K$3,SUMIF('TL16'!$C$10:$C$224,$C299,'TL16'!$J$10:$J$224),0),
IF('TL16'!$B$229=K$3,SUMIF('TL16'!$C$238:$C$451,$C299,'TL16'!$J$238:$J$451),0),
IF('TL17'!$B$3=K$3,SUMIF('TL17'!$C$10:$C$224,$C299,'TL17'!$J$10:$J$224),0),
IF('TL17'!$B$229=K$3,SUMIF('TL17'!$C$238:$C$451,$C299,'TL17'!$J$238:$J$451),0),
IF('TL18'!$B$3=K$3,SUMIF('TL18'!$C$10:$C$224,$C299,'TL18'!$J$10:$J$224),0),
IF('TL18'!$B$229=K$3,SUMIF('TL18'!$C$238:$C$451,$C299,'TL18'!$J$238:$J$451),0),
IF('TL19'!$B$3=K$3,SUMIF('TL19'!$C$10:$C$224,$C299,'TL19'!$J$10:$J$224),0),
IF('TL19'!$B$229=K$3,SUMIF('TL19'!$C$238:$C$451,$C299,'TL19'!$J$238:$J$451),0)
),0)</f>
        <v/>
      </c>
      <c r="L299" s="9">
        <f>IFERROR(SUM(
IF('TL01'!$B$3=L$3,SUMIF('TL01'!$C$10:$C$224,$C299,'TL01'!$J$10:$J$224),0),
IF('TL01'!$B$229=L$3,SUMIF('TL01'!$C$238:$C$451,$C299,'TL01'!$J$238:$J$451),0),
IF('TL02'!$B$3=L$3,SUMIF('TL02'!$C$10:$C$224,$C299,'TL02'!$J$10:$J$224),0),
IF('TL02'!$B$229=L$3,SUMIF('TL02'!$C$238:$C$451,$C299,'TL02'!$J$238:$J$451),0),
IF('TL03'!$B$3=L$3,SUMIF('TL03'!$C$10:$C$224,$C299,'TL03'!$J$10:$J$224),0),
IF('TL03'!$B$229=L$3,SUMIF('TL03'!$C$238:$C$451,$C299,'TL03'!$J$238:$J$451),0),
IF('TL04'!$B$3=L$3,SUMIF('TL04'!$C$10:$C$224,$C299,'TL04'!$J$10:$J$224),0),
IF('TL04'!$B$229=L$3,SUMIF('TL04'!$C$238:$C$451,$C299,'TL04'!$J$238:$J$451),0),
IF('TL05'!$B$3=L$3,SUMIF('TL05'!$C$10:$C$224,$C299,'TL05'!$J$10:$J$224),0),
IF('TL05'!$B$229=L$3,SUMIF('TL05'!$C$238:$C$451,$C299,'TL05'!$J$238:$J$451),0),
IF('TL06'!$B$3=L$3,SUMIF('TL06'!$C$10:$C$224,$C299,'TL06'!$J$10:$J$224),0),
IF('TL06'!$B$229=L$3,SUMIF('TL06'!$C$238:$C$451,$C299,'TL06'!$J$238:$J$451),0),
IF('TL07'!$B$3=L$3,SUMIF('TL07'!$C$10:$C$224,$C299,'TL07'!$J$10:$J$224),0),
IF('TL07'!$B$229=L$3,SUMIF('TL07'!$C$238:$C$451,$C299,'TL07'!$J$238:$J$451),0),
IF('TL08'!$B$3=L$3,SUMIF('TL08'!$C$10:$C$224,$C299,'TL08'!$J$10:$J$224),0),
IF('TL08'!$B$229=L$3,SUMIF('TL08'!$C$238:$C$451,$C299,'TL08'!$J$238:$J$451),0),
IF('TL09'!$B$3=L$3,SUMIF('TL09'!$C$10:$C$224,$C299,'TL09'!$J$10:$J$224),0),
IF('TL09'!$B$229=L$3,SUMIF('TL09'!$C$238:$C$451,$C299,'TL09'!$J$238:$J$451),0),
IF('TL10'!$B$3=L$3,SUMIF('TL10'!$C$10:$C$224,$C299,'TL10'!$J$10:$J$224),0),
IF('TL10'!$B$229=L$3,SUMIF('TL10'!$C$238:$C$451,$C299,'TL10'!$J$238:$J$451),0),
IF('TL11'!$B$3=L$3,SUMIF('TL11'!$C$10:$C$224,$C299,'TL11'!$J$10:$J$224),0),
IF('TL11'!$B$229=L$3,SUMIF('TL11'!$C$238:$C$451,$C299,'TL11'!$J$238:$J$451),0),
IF('TL12'!$B$3=L$3,SUMIF('TL12'!$C$10:$C$224,$C299,'TL12'!$J$10:$J$224),0),
IF('TL12'!$B$229=L$3,SUMIF('TL12'!$C$238:$C$451,$C299,'TL12'!$J$238:$J$451),0),
IF('TL13'!$B$3=L$3,SUMIF('TL13'!$C$10:$C$224,$C299,'TL13'!$J$10:$J$224),0),
IF('TL13'!$B$229=L$3,SUMIF('TL13'!$C$238:$C$451,$C299,'TL13'!$J$238:$J$451),0),
IF('TL14'!$B$3=L$3,SUMIF('TL14'!$C$10:$C$224,$C299,'TL14'!$J$10:$J$224),0),
IF('TL14'!$B$229=L$3,SUMIF('TL14'!$C$238:$C$451,$C299,'TL14'!$J$238:$J$451),0),
IF('TL15'!$B$3=L$3,SUMIF('TL15'!$C$10:$C$224,$C299,'TL15'!$J$10:$J$224),0),
IF('TL15'!$B$229=L$3,SUMIF('TL15'!$C$238:$C$451,$C299,'TL15'!$J$238:$J$451),0),
IF('TL16'!$B$3=L$3,SUMIF('TL16'!$C$10:$C$224,$C299,'TL16'!$J$10:$J$224),0),
IF('TL16'!$B$229=L$3,SUMIF('TL16'!$C$238:$C$451,$C299,'TL16'!$J$238:$J$451),0),
IF('TL17'!$B$3=L$3,SUMIF('TL17'!$C$10:$C$224,$C299,'TL17'!$J$10:$J$224),0),
IF('TL17'!$B$229=L$3,SUMIF('TL17'!$C$238:$C$451,$C299,'TL17'!$J$238:$J$451),0),
IF('TL18'!$B$3=L$3,SUMIF('TL18'!$C$10:$C$224,$C299,'TL18'!$J$10:$J$224),0),
IF('TL18'!$B$229=L$3,SUMIF('TL18'!$C$238:$C$451,$C299,'TL18'!$J$238:$J$451),0),
IF('TL19'!$B$3=L$3,SUMIF('TL19'!$C$10:$C$224,$C299,'TL19'!$J$10:$J$224),0),
IF('TL19'!$B$229=L$3,SUMIF('TL19'!$C$238:$C$451,$C299,'TL19'!$J$238:$J$451),0)
),0)</f>
        <v/>
      </c>
      <c r="M299" s="9">
        <f>IFERROR(SUM(
IF('TL01'!$B$3=M$3,SUMIF('TL01'!$C$10:$C$224,$C299,'TL01'!$J$10:$J$224),0),
IF('TL01'!$B$229=M$3,SUMIF('TL01'!$C$238:$C$451,$C299,'TL01'!$J$238:$J$451),0),
IF('TL02'!$B$3=M$3,SUMIF('TL02'!$C$10:$C$224,$C299,'TL02'!$J$10:$J$224),0),
IF('TL02'!$B$229=M$3,SUMIF('TL02'!$C$238:$C$451,$C299,'TL02'!$J$238:$J$451),0),
IF('TL03'!$B$3=M$3,SUMIF('TL03'!$C$10:$C$224,$C299,'TL03'!$J$10:$J$224),0),
IF('TL03'!$B$229=M$3,SUMIF('TL03'!$C$238:$C$451,$C299,'TL03'!$J$238:$J$451),0),
IF('TL04'!$B$3=M$3,SUMIF('TL04'!$C$10:$C$224,$C299,'TL04'!$J$10:$J$224),0),
IF('TL04'!$B$229=M$3,SUMIF('TL04'!$C$238:$C$451,$C299,'TL04'!$J$238:$J$451),0),
IF('TL05'!$B$3=M$3,SUMIF('TL05'!$C$10:$C$224,$C299,'TL05'!$J$10:$J$224),0),
IF('TL05'!$B$229=M$3,SUMIF('TL05'!$C$238:$C$451,$C299,'TL05'!$J$238:$J$451),0),
IF('TL06'!$B$3=M$3,SUMIF('TL06'!$C$10:$C$224,$C299,'TL06'!$J$10:$J$224),0),
IF('TL06'!$B$229=M$3,SUMIF('TL06'!$C$238:$C$451,$C299,'TL06'!$J$238:$J$451),0),
IF('TL07'!$B$3=M$3,SUMIF('TL07'!$C$10:$C$224,$C299,'TL07'!$J$10:$J$224),0),
IF('TL07'!$B$229=M$3,SUMIF('TL07'!$C$238:$C$451,$C299,'TL07'!$J$238:$J$451),0),
IF('TL08'!$B$3=M$3,SUMIF('TL08'!$C$10:$C$224,$C299,'TL08'!$J$10:$J$224),0),
IF('TL08'!$B$229=M$3,SUMIF('TL08'!$C$238:$C$451,$C299,'TL08'!$J$238:$J$451),0),
IF('TL09'!$B$3=M$3,SUMIF('TL09'!$C$10:$C$224,$C299,'TL09'!$J$10:$J$224),0),
IF('TL09'!$B$229=M$3,SUMIF('TL09'!$C$238:$C$451,$C299,'TL09'!$J$238:$J$451),0),
IF('TL10'!$B$3=M$3,SUMIF('TL10'!$C$10:$C$224,$C299,'TL10'!$J$10:$J$224),0),
IF('TL10'!$B$229=M$3,SUMIF('TL10'!$C$238:$C$451,$C299,'TL10'!$J$238:$J$451),0),
IF('TL11'!$B$3=M$3,SUMIF('TL11'!$C$10:$C$224,$C299,'TL11'!$J$10:$J$224),0),
IF('TL11'!$B$229=M$3,SUMIF('TL11'!$C$238:$C$451,$C299,'TL11'!$J$238:$J$451),0),
IF('TL12'!$B$3=M$3,SUMIF('TL12'!$C$10:$C$224,$C299,'TL12'!$J$10:$J$224),0),
IF('TL12'!$B$229=M$3,SUMIF('TL12'!$C$238:$C$451,$C299,'TL12'!$J$238:$J$451),0),
IF('TL13'!$B$3=M$3,SUMIF('TL13'!$C$10:$C$224,$C299,'TL13'!$J$10:$J$224),0),
IF('TL13'!$B$229=M$3,SUMIF('TL13'!$C$238:$C$451,$C299,'TL13'!$J$238:$J$451),0),
IF('TL14'!$B$3=M$3,SUMIF('TL14'!$C$10:$C$224,$C299,'TL14'!$J$10:$J$224),0),
IF('TL14'!$B$229=M$3,SUMIF('TL14'!$C$238:$C$451,$C299,'TL14'!$J$238:$J$451),0),
IF('TL15'!$B$3=M$3,SUMIF('TL15'!$C$10:$C$224,$C299,'TL15'!$J$10:$J$224),0),
IF('TL15'!$B$229=M$3,SUMIF('TL15'!$C$238:$C$451,$C299,'TL15'!$J$238:$J$451),0),
IF('TL16'!$B$3=M$3,SUMIF('TL16'!$C$10:$C$224,$C299,'TL16'!$J$10:$J$224),0),
IF('TL16'!$B$229=M$3,SUMIF('TL16'!$C$238:$C$451,$C299,'TL16'!$J$238:$J$451),0),
IF('TL17'!$B$3=M$3,SUMIF('TL17'!$C$10:$C$224,$C299,'TL17'!$J$10:$J$224),0),
IF('TL17'!$B$229=M$3,SUMIF('TL17'!$C$238:$C$451,$C299,'TL17'!$J$238:$J$451),0),
IF('TL18'!$B$3=M$3,SUMIF('TL18'!$C$10:$C$224,$C299,'TL18'!$J$10:$J$224),0),
IF('TL18'!$B$229=M$3,SUMIF('TL18'!$C$238:$C$451,$C299,'TL18'!$J$238:$J$451),0),
IF('TL19'!$B$3=M$3,SUMIF('TL19'!$C$10:$C$224,$C299,'TL19'!$J$10:$J$224),0),
IF('TL19'!$B$229=M$3,SUMIF('TL19'!$C$238:$C$451,$C299,'TL19'!$J$238:$J$451),0)
),0)</f>
        <v/>
      </c>
      <c r="N299" s="9">
        <f>IFERROR(SUM(
IF('TL01'!$B$3=N$3,SUMIF('TL01'!$C$10:$C$224,$C299,'TL01'!$J$10:$J$224),0),
IF('TL01'!$B$229=N$3,SUMIF('TL01'!$C$238:$C$451,$C299,'TL01'!$J$238:$J$451),0),
IF('TL02'!$B$3=N$3,SUMIF('TL02'!$C$10:$C$224,$C299,'TL02'!$J$10:$J$224),0),
IF('TL02'!$B$229=N$3,SUMIF('TL02'!$C$238:$C$451,$C299,'TL02'!$J$238:$J$451),0),
IF('TL03'!$B$3=N$3,SUMIF('TL03'!$C$10:$C$224,$C299,'TL03'!$J$10:$J$224),0),
IF('TL03'!$B$229=N$3,SUMIF('TL03'!$C$238:$C$451,$C299,'TL03'!$J$238:$J$451),0),
IF('TL04'!$B$3=N$3,SUMIF('TL04'!$C$10:$C$224,$C299,'TL04'!$J$10:$J$224),0),
IF('TL04'!$B$229=N$3,SUMIF('TL04'!$C$238:$C$451,$C299,'TL04'!$J$238:$J$451),0),
IF('TL05'!$B$3=N$3,SUMIF('TL05'!$C$10:$C$224,$C299,'TL05'!$J$10:$J$224),0),
IF('TL05'!$B$229=N$3,SUMIF('TL05'!$C$238:$C$451,$C299,'TL05'!$J$238:$J$451),0),
IF('TL06'!$B$3=N$3,SUMIF('TL06'!$C$10:$C$224,$C299,'TL06'!$J$10:$J$224),0),
IF('TL06'!$B$229=N$3,SUMIF('TL06'!$C$238:$C$451,$C299,'TL06'!$J$238:$J$451),0),
IF('TL07'!$B$3=N$3,SUMIF('TL07'!$C$10:$C$224,$C299,'TL07'!$J$10:$J$224),0),
IF('TL07'!$B$229=N$3,SUMIF('TL07'!$C$238:$C$451,$C299,'TL07'!$J$238:$J$451),0),
IF('TL08'!$B$3=N$3,SUMIF('TL08'!$C$10:$C$224,$C299,'TL08'!$J$10:$J$224),0),
IF('TL08'!$B$229=N$3,SUMIF('TL08'!$C$238:$C$451,$C299,'TL08'!$J$238:$J$451),0),
IF('TL09'!$B$3=N$3,SUMIF('TL09'!$C$10:$C$224,$C299,'TL09'!$J$10:$J$224),0),
IF('TL09'!$B$229=N$3,SUMIF('TL09'!$C$238:$C$451,$C299,'TL09'!$J$238:$J$451),0),
IF('TL10'!$B$3=N$3,SUMIF('TL10'!$C$10:$C$224,$C299,'TL10'!$J$10:$J$224),0),
IF('TL10'!$B$229=N$3,SUMIF('TL10'!$C$238:$C$451,$C299,'TL10'!$J$238:$J$451),0),
IF('TL11'!$B$3=N$3,SUMIF('TL11'!$C$10:$C$224,$C299,'TL11'!$J$10:$J$224),0),
IF('TL11'!$B$229=N$3,SUMIF('TL11'!$C$238:$C$451,$C299,'TL11'!$J$238:$J$451),0),
IF('TL12'!$B$3=N$3,SUMIF('TL12'!$C$10:$C$224,$C299,'TL12'!$J$10:$J$224),0),
IF('TL12'!$B$229=N$3,SUMIF('TL12'!$C$238:$C$451,$C299,'TL12'!$J$238:$J$451),0),
IF('TL13'!$B$3=N$3,SUMIF('TL13'!$C$10:$C$224,$C299,'TL13'!$J$10:$J$224),0),
IF('TL13'!$B$229=N$3,SUMIF('TL13'!$C$238:$C$451,$C299,'TL13'!$J$238:$J$451),0),
IF('TL14'!$B$3=N$3,SUMIF('TL14'!$C$10:$C$224,$C299,'TL14'!$J$10:$J$224),0),
IF('TL14'!$B$229=N$3,SUMIF('TL14'!$C$238:$C$451,$C299,'TL14'!$J$238:$J$451),0),
IF('TL15'!$B$3=N$3,SUMIF('TL15'!$C$10:$C$224,$C299,'TL15'!$J$10:$J$224),0),
IF('TL15'!$B$229=N$3,SUMIF('TL15'!$C$238:$C$451,$C299,'TL15'!$J$238:$J$451),0),
IF('TL16'!$B$3=N$3,SUMIF('TL16'!$C$10:$C$224,$C299,'TL16'!$J$10:$J$224),0),
IF('TL16'!$B$229=N$3,SUMIF('TL16'!$C$238:$C$451,$C299,'TL16'!$J$238:$J$451),0),
IF('TL17'!$B$3=N$3,SUMIF('TL17'!$C$10:$C$224,$C299,'TL17'!$J$10:$J$224),0),
IF('TL17'!$B$229=N$3,SUMIF('TL17'!$C$238:$C$451,$C299,'TL17'!$J$238:$J$451),0),
IF('TL18'!$B$3=N$3,SUMIF('TL18'!$C$10:$C$224,$C299,'TL18'!$J$10:$J$224),0),
IF('TL18'!$B$229=N$3,SUMIF('TL18'!$C$238:$C$451,$C299,'TL18'!$J$238:$J$451),0),
IF('TL19'!$B$3=N$3,SUMIF('TL19'!$C$10:$C$224,$C299,'TL19'!$J$10:$J$224),0),
IF('TL19'!$B$229=N$3,SUMIF('TL19'!$C$238:$C$451,$C299,'TL19'!$J$238:$J$451),0)
),0)</f>
        <v/>
      </c>
      <c r="O299" s="9">
        <f>IFERROR(SUM(
IF('TL01'!$B$3=O$3,SUMIF('TL01'!$C$10:$C$224,$C299,'TL01'!$J$10:$J$224),0),
IF('TL01'!$B$229=O$3,SUMIF('TL01'!$C$238:$C$451,$C299,'TL01'!$J$238:$J$451),0),
IF('TL02'!$B$3=O$3,SUMIF('TL02'!$C$10:$C$224,$C299,'TL02'!$J$10:$J$224),0),
IF('TL02'!$B$229=O$3,SUMIF('TL02'!$C$238:$C$451,$C299,'TL02'!$J$238:$J$451),0),
IF('TL03'!$B$3=O$3,SUMIF('TL03'!$C$10:$C$224,$C299,'TL03'!$J$10:$J$224),0),
IF('TL03'!$B$229=O$3,SUMIF('TL03'!$C$238:$C$451,$C299,'TL03'!$J$238:$J$451),0),
IF('TL04'!$B$3=O$3,SUMIF('TL04'!$C$10:$C$224,$C299,'TL04'!$J$10:$J$224),0),
IF('TL04'!$B$229=O$3,SUMIF('TL04'!$C$238:$C$451,$C299,'TL04'!$J$238:$J$451),0),
IF('TL05'!$B$3=O$3,SUMIF('TL05'!$C$10:$C$224,$C299,'TL05'!$J$10:$J$224),0),
IF('TL05'!$B$229=O$3,SUMIF('TL05'!$C$238:$C$451,$C299,'TL05'!$J$238:$J$451),0),
IF('TL06'!$B$3=O$3,SUMIF('TL06'!$C$10:$C$224,$C299,'TL06'!$J$10:$J$224),0),
IF('TL06'!$B$229=O$3,SUMIF('TL06'!$C$238:$C$451,$C299,'TL06'!$J$238:$J$451),0),
IF('TL07'!$B$3=O$3,SUMIF('TL07'!$C$10:$C$224,$C299,'TL07'!$J$10:$J$224),0),
IF('TL07'!$B$229=O$3,SUMIF('TL07'!$C$238:$C$451,$C299,'TL07'!$J$238:$J$451),0),
IF('TL08'!$B$3=O$3,SUMIF('TL08'!$C$10:$C$224,$C299,'TL08'!$J$10:$J$224),0),
IF('TL08'!$B$229=O$3,SUMIF('TL08'!$C$238:$C$451,$C299,'TL08'!$J$238:$J$451),0),
IF('TL09'!$B$3=O$3,SUMIF('TL09'!$C$10:$C$224,$C299,'TL09'!$J$10:$J$224),0),
IF('TL09'!$B$229=O$3,SUMIF('TL09'!$C$238:$C$451,$C299,'TL09'!$J$238:$J$451),0),
IF('TL10'!$B$3=O$3,SUMIF('TL10'!$C$10:$C$224,$C299,'TL10'!$J$10:$J$224),0),
IF('TL10'!$B$229=O$3,SUMIF('TL10'!$C$238:$C$451,$C299,'TL10'!$J$238:$J$451),0),
IF('TL11'!$B$3=O$3,SUMIF('TL11'!$C$10:$C$224,$C299,'TL11'!$J$10:$J$224),0),
IF('TL11'!$B$229=O$3,SUMIF('TL11'!$C$238:$C$451,$C299,'TL11'!$J$238:$J$451),0),
IF('TL12'!$B$3=O$3,SUMIF('TL12'!$C$10:$C$224,$C299,'TL12'!$J$10:$J$224),0),
IF('TL12'!$B$229=O$3,SUMIF('TL12'!$C$238:$C$451,$C299,'TL12'!$J$238:$J$451),0),
IF('TL13'!$B$3=O$3,SUMIF('TL13'!$C$10:$C$224,$C299,'TL13'!$J$10:$J$224),0),
IF('TL13'!$B$229=O$3,SUMIF('TL13'!$C$238:$C$451,$C299,'TL13'!$J$238:$J$451),0),
IF('TL14'!$B$3=O$3,SUMIF('TL14'!$C$10:$C$224,$C299,'TL14'!$J$10:$J$224),0),
IF('TL14'!$B$229=O$3,SUMIF('TL14'!$C$238:$C$451,$C299,'TL14'!$J$238:$J$451),0),
IF('TL15'!$B$3=O$3,SUMIF('TL15'!$C$10:$C$224,$C299,'TL15'!$J$10:$J$224),0),
IF('TL15'!$B$229=O$3,SUMIF('TL15'!$C$238:$C$451,$C299,'TL15'!$J$238:$J$451),0),
IF('TL16'!$B$3=O$3,SUMIF('TL16'!$C$10:$C$224,$C299,'TL16'!$J$10:$J$224),0),
IF('TL16'!$B$229=O$3,SUMIF('TL16'!$C$238:$C$451,$C299,'TL16'!$J$238:$J$451),0),
IF('TL17'!$B$3=O$3,SUMIF('TL17'!$C$10:$C$224,$C299,'TL17'!$J$10:$J$224),0),
IF('TL17'!$B$229=O$3,SUMIF('TL17'!$C$238:$C$451,$C299,'TL17'!$J$238:$J$451),0),
IF('TL18'!$B$3=O$3,SUMIF('TL18'!$C$10:$C$224,$C299,'TL18'!$J$10:$J$224),0),
IF('TL18'!$B$229=O$3,SUMIF('TL18'!$C$238:$C$451,$C299,'TL18'!$J$238:$J$451),0),
IF('TL19'!$B$3=O$3,SUMIF('TL19'!$C$10:$C$224,$C299,'TL19'!$J$10:$J$224),0),
IF('TL19'!$B$229=O$3,SUMIF('TL19'!$C$238:$C$451,$C299,'TL19'!$J$238:$J$451),0)
),0)</f>
        <v/>
      </c>
      <c r="P299" s="9">
        <f>IFERROR(SUM(
IF('TL01'!$B$3=P$3,SUMIF('TL01'!$C$10:$C$224,$C299,'TL01'!$J$10:$J$224),0),
IF('TL01'!$B$229=P$3,SUMIF('TL01'!$C$238:$C$451,$C299,'TL01'!$J$238:$J$451),0),
IF('TL02'!$B$3=P$3,SUMIF('TL02'!$C$10:$C$224,$C299,'TL02'!$J$10:$J$224),0),
IF('TL02'!$B$229=P$3,SUMIF('TL02'!$C$238:$C$451,$C299,'TL02'!$J$238:$J$451),0),
IF('TL03'!$B$3=P$3,SUMIF('TL03'!$C$10:$C$224,$C299,'TL03'!$J$10:$J$224),0),
IF('TL03'!$B$229=P$3,SUMIF('TL03'!$C$238:$C$451,$C299,'TL03'!$J$238:$J$451),0),
IF('TL04'!$B$3=P$3,SUMIF('TL04'!$C$10:$C$224,$C299,'TL04'!$J$10:$J$224),0),
IF('TL04'!$B$229=P$3,SUMIF('TL04'!$C$238:$C$451,$C299,'TL04'!$J$238:$J$451),0),
IF('TL05'!$B$3=P$3,SUMIF('TL05'!$C$10:$C$224,$C299,'TL05'!$J$10:$J$224),0),
IF('TL05'!$B$229=P$3,SUMIF('TL05'!$C$238:$C$451,$C299,'TL05'!$J$238:$J$451),0),
IF('TL06'!$B$3=P$3,SUMIF('TL06'!$C$10:$C$224,$C299,'TL06'!$J$10:$J$224),0),
IF('TL06'!$B$229=P$3,SUMIF('TL06'!$C$238:$C$451,$C299,'TL06'!$J$238:$J$451),0),
IF('TL07'!$B$3=P$3,SUMIF('TL07'!$C$10:$C$224,$C299,'TL07'!$J$10:$J$224),0),
IF('TL07'!$B$229=P$3,SUMIF('TL07'!$C$238:$C$451,$C299,'TL07'!$J$238:$J$451),0),
IF('TL08'!$B$3=P$3,SUMIF('TL08'!$C$10:$C$224,$C299,'TL08'!$J$10:$J$224),0),
IF('TL08'!$B$229=P$3,SUMIF('TL08'!$C$238:$C$451,$C299,'TL08'!$J$238:$J$451),0),
IF('TL09'!$B$3=P$3,SUMIF('TL09'!$C$10:$C$224,$C299,'TL09'!$J$10:$J$224),0),
IF('TL09'!$B$229=P$3,SUMIF('TL09'!$C$238:$C$451,$C299,'TL09'!$J$238:$J$451),0),
IF('TL10'!$B$3=P$3,SUMIF('TL10'!$C$10:$C$224,$C299,'TL10'!$J$10:$J$224),0),
IF('TL10'!$B$229=P$3,SUMIF('TL10'!$C$238:$C$451,$C299,'TL10'!$J$238:$J$451),0),
IF('TL11'!$B$3=P$3,SUMIF('TL11'!$C$10:$C$224,$C299,'TL11'!$J$10:$J$224),0),
IF('TL11'!$B$229=P$3,SUMIF('TL11'!$C$238:$C$451,$C299,'TL11'!$J$238:$J$451),0),
IF('TL12'!$B$3=P$3,SUMIF('TL12'!$C$10:$C$224,$C299,'TL12'!$J$10:$J$224),0),
IF('TL12'!$B$229=P$3,SUMIF('TL12'!$C$238:$C$451,$C299,'TL12'!$J$238:$J$451),0),
IF('TL13'!$B$3=P$3,SUMIF('TL13'!$C$10:$C$224,$C299,'TL13'!$J$10:$J$224),0),
IF('TL13'!$B$229=P$3,SUMIF('TL13'!$C$238:$C$451,$C299,'TL13'!$J$238:$J$451),0),
IF('TL14'!$B$3=P$3,SUMIF('TL14'!$C$10:$C$224,$C299,'TL14'!$J$10:$J$224),0),
IF('TL14'!$B$229=P$3,SUMIF('TL14'!$C$238:$C$451,$C299,'TL14'!$J$238:$J$451),0),
IF('TL15'!$B$3=P$3,SUMIF('TL15'!$C$10:$C$224,$C299,'TL15'!$J$10:$J$224),0),
IF('TL15'!$B$229=P$3,SUMIF('TL15'!$C$238:$C$451,$C299,'TL15'!$J$238:$J$451),0),
IF('TL16'!$B$3=P$3,SUMIF('TL16'!$C$10:$C$224,$C299,'TL16'!$J$10:$J$224),0),
IF('TL16'!$B$229=P$3,SUMIF('TL16'!$C$238:$C$451,$C299,'TL16'!$J$238:$J$451),0),
IF('TL17'!$B$3=P$3,SUMIF('TL17'!$C$10:$C$224,$C299,'TL17'!$J$10:$J$224),0),
IF('TL17'!$B$229=P$3,SUMIF('TL17'!$C$238:$C$451,$C299,'TL17'!$J$238:$J$451),0),
IF('TL18'!$B$3=P$3,SUMIF('TL18'!$C$10:$C$224,$C299,'TL18'!$J$10:$J$224),0),
IF('TL18'!$B$229=P$3,SUMIF('TL18'!$C$238:$C$451,$C299,'TL18'!$J$238:$J$451),0),
IF('TL19'!$B$3=P$3,SUMIF('TL19'!$C$10:$C$224,$C299,'TL19'!$J$10:$J$224),0),
IF('TL19'!$B$229=P$3,SUMIF('TL19'!$C$238:$C$451,$C299,'TL19'!$J$238:$J$451),0)
),0)</f>
        <v/>
      </c>
      <c r="Q299" s="9">
        <f>IFERROR(SUM(
IF('TL01'!$B$3=Q$3,SUMIF('TL01'!$C$10:$C$224,$C299,'TL01'!$J$10:$J$224),0),
IF('TL01'!$B$229=Q$3,SUMIF('TL01'!$C$238:$C$451,$C299,'TL01'!$J$238:$J$451),0),
IF('TL02'!$B$3=Q$3,SUMIF('TL02'!$C$10:$C$224,$C299,'TL02'!$J$10:$J$224),0),
IF('TL02'!$B$229=Q$3,SUMIF('TL02'!$C$238:$C$451,$C299,'TL02'!$J$238:$J$451),0),
IF('TL03'!$B$3=Q$3,SUMIF('TL03'!$C$10:$C$224,$C299,'TL03'!$J$10:$J$224),0),
IF('TL03'!$B$229=Q$3,SUMIF('TL03'!$C$238:$C$451,$C299,'TL03'!$J$238:$J$451),0),
IF('TL04'!$B$3=Q$3,SUMIF('TL04'!$C$10:$C$224,$C299,'TL04'!$J$10:$J$224),0),
IF('TL04'!$B$229=Q$3,SUMIF('TL04'!$C$238:$C$451,$C299,'TL04'!$J$238:$J$451),0),
IF('TL05'!$B$3=Q$3,SUMIF('TL05'!$C$10:$C$224,$C299,'TL05'!$J$10:$J$224),0),
IF('TL05'!$B$229=Q$3,SUMIF('TL05'!$C$238:$C$451,$C299,'TL05'!$J$238:$J$451),0),
IF('TL06'!$B$3=Q$3,SUMIF('TL06'!$C$10:$C$224,$C299,'TL06'!$J$10:$J$224),0),
IF('TL06'!$B$229=Q$3,SUMIF('TL06'!$C$238:$C$451,$C299,'TL06'!$J$238:$J$451),0),
IF('TL07'!$B$3=Q$3,SUMIF('TL07'!$C$10:$C$224,$C299,'TL07'!$J$10:$J$224),0),
IF('TL07'!$B$229=Q$3,SUMIF('TL07'!$C$238:$C$451,$C299,'TL07'!$J$238:$J$451),0),
IF('TL08'!$B$3=Q$3,SUMIF('TL08'!$C$10:$C$224,$C299,'TL08'!$J$10:$J$224),0),
IF('TL08'!$B$229=Q$3,SUMIF('TL08'!$C$238:$C$451,$C299,'TL08'!$J$238:$J$451),0),
IF('TL09'!$B$3=Q$3,SUMIF('TL09'!$C$10:$C$224,$C299,'TL09'!$J$10:$J$224),0),
IF('TL09'!$B$229=Q$3,SUMIF('TL09'!$C$238:$C$451,$C299,'TL09'!$J$238:$J$451),0),
IF('TL10'!$B$3=Q$3,SUMIF('TL10'!$C$10:$C$224,$C299,'TL10'!$J$10:$J$224),0),
IF('TL10'!$B$229=Q$3,SUMIF('TL10'!$C$238:$C$451,$C299,'TL10'!$J$238:$J$451),0),
IF('TL11'!$B$3=Q$3,SUMIF('TL11'!$C$10:$C$224,$C299,'TL11'!$J$10:$J$224),0),
IF('TL11'!$B$229=Q$3,SUMIF('TL11'!$C$238:$C$451,$C299,'TL11'!$J$238:$J$451),0),
IF('TL12'!$B$3=Q$3,SUMIF('TL12'!$C$10:$C$224,$C299,'TL12'!$J$10:$J$224),0),
IF('TL12'!$B$229=Q$3,SUMIF('TL12'!$C$238:$C$451,$C299,'TL12'!$J$238:$J$451),0),
IF('TL13'!$B$3=Q$3,SUMIF('TL13'!$C$10:$C$224,$C299,'TL13'!$J$10:$J$224),0),
IF('TL13'!$B$229=Q$3,SUMIF('TL13'!$C$238:$C$451,$C299,'TL13'!$J$238:$J$451),0),
IF('TL14'!$B$3=Q$3,SUMIF('TL14'!$C$10:$C$224,$C299,'TL14'!$J$10:$J$224),0),
IF('TL14'!$B$229=Q$3,SUMIF('TL14'!$C$238:$C$451,$C299,'TL14'!$J$238:$J$451),0),
IF('TL15'!$B$3=Q$3,SUMIF('TL15'!$C$10:$C$224,$C299,'TL15'!$J$10:$J$224),0),
IF('TL15'!$B$229=Q$3,SUMIF('TL15'!$C$238:$C$451,$C299,'TL15'!$J$238:$J$451),0),
IF('TL16'!$B$3=Q$3,SUMIF('TL16'!$C$10:$C$224,$C299,'TL16'!$J$10:$J$224),0),
IF('TL16'!$B$229=Q$3,SUMIF('TL16'!$C$238:$C$451,$C299,'TL16'!$J$238:$J$451),0),
IF('TL17'!$B$3=Q$3,SUMIF('TL17'!$C$10:$C$224,$C299,'TL17'!$J$10:$J$224),0),
IF('TL17'!$B$229=Q$3,SUMIF('TL17'!$C$238:$C$451,$C299,'TL17'!$J$238:$J$451),0),
IF('TL18'!$B$3=Q$3,SUMIF('TL18'!$C$10:$C$224,$C299,'TL18'!$J$10:$J$224),0),
IF('TL18'!$B$229=Q$3,SUMIF('TL18'!$C$238:$C$451,$C299,'TL18'!$J$238:$J$451),0),
IF('TL19'!$B$3=Q$3,SUMIF('TL19'!$C$10:$C$224,$C299,'TL19'!$J$10:$J$224),0),
IF('TL19'!$B$229=Q$3,SUMIF('TL19'!$C$238:$C$451,$C299,'TL19'!$J$238:$J$451),0)
),0)</f>
        <v/>
      </c>
      <c r="R299" s="9">
        <f>IFERROR(
SUM(
SUMIF('TL01'!C:C,C299,'TL01'!J:J),
SUMIF('TL02'!C:C,C299,'TL02'!J:J),
SUMIF('TL03'!C:C,C299,'TL03'!J:J),
SUMIF('TL04'!C:C,C299,'TL04'!J:J),
SUMIF('TL05'!C:C,C299,'TL05'!J:J),
SUMIF('TL06'!C:C,C299,'TL06'!J:J),
SUMIF('TL07'!C:C,C299,'TL07'!J:J),
SUMIF('TL08'!C:C,C299,'TL08'!J:J),
SUMIF('TL09'!C:C,C299,'TL09'!J:J),
SUMIF('TL10'!C:C,C299,'TL10'!J:J),
SUMIF('TL11'!C:C,C299,'TL11'!J:J),
SUMIF('TL12'!C:C,C299,'TL12'!J:J),
SUMIF('TL13'!C:C,C299,'TL13'!J:J),
SUMIF('TL14'!C:C,C299,'TL14'!J:J),
SUMIF('TL15'!C:C,C299,'TL15'!J:J),
SUMIF('TL16'!C:C,C299,'TL16'!J:J),
SUMIF('TL17'!C:C,C299,'TL17'!J:J),
SUMIF('TL18'!C:C,C299,'TL18'!J:J),SUMIF('TL19'!C:C,C299,'TL19'!J:J))
,0)</f>
        <v/>
      </c>
      <c r="S299" s="17">
        <f>IFERROR(__xludf.DUMMYFUNCTION("IFERROR(VLOOKUP(C299,
IMPORTRANGE(""1wULbzX32WdYsx-lj2U3uUNBBe2INVIRDtcK0d-Dvl90"",
""26-27!C:G""),
5,
FALSE),
"""")"),179.81599999999997)</f>
        <v/>
      </c>
      <c r="T299" s="9" t="n"/>
      <c r="U299" s="92">
        <f>MAX(0,R299-T299)</f>
        <v/>
      </c>
      <c r="V299" s="93">
        <f>U299*S299</f>
        <v/>
      </c>
    </row>
    <row r="300" hidden="1" ht="15.75" customHeight="1" s="297">
      <c r="A300" s="119" t="inlineStr">
        <is>
          <t>CORTEVA</t>
        </is>
      </c>
      <c r="B300" s="120" t="inlineStr">
        <is>
          <t>TS</t>
        </is>
      </c>
      <c r="C300" s="119" t="inlineStr">
        <is>
          <t>DERMACOR</t>
        </is>
      </c>
      <c r="D300" s="119" t="inlineStr">
        <is>
          <t>CLORANTRANILIPROLE</t>
        </is>
      </c>
      <c r="E300" s="119" t="n">
        <v>625</v>
      </c>
      <c r="F300" s="4" t="inlineStr">
        <is>
          <t>KG</t>
        </is>
      </c>
      <c r="G300" s="90">
        <f>HYPERLINK("https://www.google.com/search?q=" &amp; C300 &amp; "+bula+agrofit+pdf", "📄 Ver bula")</f>
        <v/>
      </c>
      <c r="H300" s="9">
        <f>IFERROR(__xludf.DUMMYFUNCTION("IFERROR(VLOOKUP(C300,
IMPORTRANGE(""1wULbzX32WdYsx-lj2U3uUNBBe2INVIRDtcK0d-Dvl90"",
""26-27!C:K""),
8,
FALSE),
"""")"),0.15)</f>
        <v/>
      </c>
      <c r="I300" s="121" t="n"/>
      <c r="J300" s="9">
        <f>IFERROR(SUM(
IF('TL01'!$B$3=J$3,SUMIF('TL01'!$C$10:$C$224,$C300,'TL01'!$J$10:$J$224),0),
IF('TL01'!$B$229=J$3,SUMIF('TL01'!$C$238:$C$451,$C300,'TL01'!$J$238:$J$451),0),
IF('TL02'!$B$3=J$3,SUMIF('TL02'!$C$10:$C$224,$C300,'TL02'!$J$10:$J$224),0),
IF('TL02'!$B$229=J$3,SUMIF('TL02'!$C$238:$C$451,$C300,'TL02'!$J$238:$J$451),0),
IF('TL03'!$B$3=J$3,SUMIF('TL03'!$C$10:$C$224,$C300,'TL03'!$J$10:$J$224),0),
IF('TL03'!$B$229=J$3,SUMIF('TL03'!$C$238:$C$451,$C300,'TL03'!$J$238:$J$451),0),
IF('TL04'!$B$3=J$3,SUMIF('TL04'!$C$10:$C$224,$C300,'TL04'!$J$10:$J$224),0),
IF('TL04'!$B$229=J$3,SUMIF('TL04'!$C$238:$C$451,$C300,'TL04'!$J$238:$J$451),0),
IF('TL05'!$B$3=J$3,SUMIF('TL05'!$C$10:$C$224,$C300,'TL05'!$J$10:$J$224),0),
IF('TL05'!$B$229=J$3,SUMIF('TL05'!$C$238:$C$451,$C300,'TL05'!$J$238:$J$451),0),
IF('TL06'!$B$3=J$3,SUMIF('TL06'!$C$10:$C$224,$C300,'TL06'!$J$10:$J$224),0),
IF('TL06'!$B$229=J$3,SUMIF('TL06'!$C$238:$C$451,$C300,'TL06'!$J$238:$J$451),0),
IF('TL07'!$B$3=J$3,SUMIF('TL07'!$C$10:$C$224,$C300,'TL07'!$J$10:$J$224),0),
IF('TL07'!$B$229=J$3,SUMIF('TL07'!$C$238:$C$451,$C300,'TL07'!$J$238:$J$451),0),
IF('TL08'!$B$3=J$3,SUMIF('TL08'!$C$10:$C$224,$C300,'TL08'!$J$10:$J$224),0),
IF('TL08'!$B$229=J$3,SUMIF('TL08'!$C$238:$C$451,$C300,'TL08'!$J$238:$J$451),0),
IF('TL09'!$B$3=J$3,SUMIF('TL09'!$C$10:$C$224,$C300,'TL09'!$J$10:$J$224),0),
IF('TL09'!$B$229=J$3,SUMIF('TL09'!$C$238:$C$451,$C300,'TL09'!$J$238:$J$451),0),
IF('TL10'!$B$3=J$3,SUMIF('TL10'!$C$10:$C$224,$C300,'TL10'!$J$10:$J$224),0),
IF('TL10'!$B$229=J$3,SUMIF('TL10'!$C$238:$C$451,$C300,'TL10'!$J$238:$J$451),0),
IF('TL11'!$B$3=J$3,SUMIF('TL11'!$C$10:$C$224,$C300,'TL11'!$J$10:$J$224),0),
IF('TL11'!$B$229=J$3,SUMIF('TL11'!$C$238:$C$451,$C300,'TL11'!$J$238:$J$451),0),
IF('TL12'!$B$3=J$3,SUMIF('TL12'!$C$10:$C$224,$C300,'TL12'!$J$10:$J$224),0),
IF('TL12'!$B$229=J$3,SUMIF('TL12'!$C$238:$C$451,$C300,'TL12'!$J$238:$J$451),0),
IF('TL13'!$B$3=J$3,SUMIF('TL13'!$C$10:$C$224,$C300,'TL13'!$J$10:$J$224),0),
IF('TL13'!$B$229=J$3,SUMIF('TL13'!$C$238:$C$451,$C300,'TL13'!$J$238:$J$451),0),
IF('TL14'!$B$3=J$3,SUMIF('TL14'!$C$10:$C$224,$C300,'TL14'!$J$10:$J$224),0),
IF('TL14'!$B$229=J$3,SUMIF('TL14'!$C$238:$C$451,$C300,'TL14'!$J$238:$J$451),0),
IF('TL15'!$B$3=J$3,SUMIF('TL15'!$C$10:$C$224,$C300,'TL15'!$J$10:$J$224),0),
IF('TL15'!$B$229=J$3,SUMIF('TL15'!$C$238:$C$451,$C300,'TL15'!$J$238:$J$451),0),
IF('TL16'!$B$3=J$3,SUMIF('TL16'!$C$10:$C$224,$C300,'TL16'!$J$10:$J$224),0),
IF('TL16'!$B$229=J$3,SUMIF('TL16'!$C$238:$C$451,$C300,'TL16'!$J$238:$J$451),0),
IF('TL17'!$B$3=J$3,SUMIF('TL17'!$C$10:$C$224,$C300,'TL17'!$J$10:$J$224),0),
IF('TL17'!$B$229=J$3,SUMIF('TL17'!$C$238:$C$451,$C300,'TL17'!$J$238:$J$451),0),
IF('TL18'!$B$3=J$3,SUMIF('TL18'!$C$10:$C$224,$C300,'TL18'!$J$10:$J$224),0),
IF('TL18'!$B$229=J$3,SUMIF('TL18'!$C$238:$C$451,$C300,'TL18'!$J$238:$J$451),0),
IF('TL19'!$B$3=J$3,SUMIF('TL19'!$C$10:$C$224,$C300,'TL19'!$J$10:$J$224),0),
IF('TL19'!$B$229=J$3,SUMIF('TL19'!$C$238:$C$451,$C300,'TL19'!$J$238:$J$451),0)
),0)</f>
        <v/>
      </c>
      <c r="K300" s="9">
        <f>IFERROR(SUM(
IF('TL01'!$B$3=K$3,SUMIF('TL01'!$C$10:$C$224,$C300,'TL01'!$J$10:$J$224),0),
IF('TL01'!$B$229=K$3,SUMIF('TL01'!$C$238:$C$451,$C300,'TL01'!$J$238:$J$451),0),
IF('TL02'!$B$3=K$3,SUMIF('TL02'!$C$10:$C$224,$C300,'TL02'!$J$10:$J$224),0),
IF('TL02'!$B$229=K$3,SUMIF('TL02'!$C$238:$C$451,$C300,'TL02'!$J$238:$J$451),0),
IF('TL03'!$B$3=K$3,SUMIF('TL03'!$C$10:$C$224,$C300,'TL03'!$J$10:$J$224),0),
IF('TL03'!$B$229=K$3,SUMIF('TL03'!$C$238:$C$451,$C300,'TL03'!$J$238:$J$451),0),
IF('TL04'!$B$3=K$3,SUMIF('TL04'!$C$10:$C$224,$C300,'TL04'!$J$10:$J$224),0),
IF('TL04'!$B$229=K$3,SUMIF('TL04'!$C$238:$C$451,$C300,'TL04'!$J$238:$J$451),0),
IF('TL05'!$B$3=K$3,SUMIF('TL05'!$C$10:$C$224,$C300,'TL05'!$J$10:$J$224),0),
IF('TL05'!$B$229=K$3,SUMIF('TL05'!$C$238:$C$451,$C300,'TL05'!$J$238:$J$451),0),
IF('TL06'!$B$3=K$3,SUMIF('TL06'!$C$10:$C$224,$C300,'TL06'!$J$10:$J$224),0),
IF('TL06'!$B$229=K$3,SUMIF('TL06'!$C$238:$C$451,$C300,'TL06'!$J$238:$J$451),0),
IF('TL07'!$B$3=K$3,SUMIF('TL07'!$C$10:$C$224,$C300,'TL07'!$J$10:$J$224),0),
IF('TL07'!$B$229=K$3,SUMIF('TL07'!$C$238:$C$451,$C300,'TL07'!$J$238:$J$451),0),
IF('TL08'!$B$3=K$3,SUMIF('TL08'!$C$10:$C$224,$C300,'TL08'!$J$10:$J$224),0),
IF('TL08'!$B$229=K$3,SUMIF('TL08'!$C$238:$C$451,$C300,'TL08'!$J$238:$J$451),0),
IF('TL09'!$B$3=K$3,SUMIF('TL09'!$C$10:$C$224,$C300,'TL09'!$J$10:$J$224),0),
IF('TL09'!$B$229=K$3,SUMIF('TL09'!$C$238:$C$451,$C300,'TL09'!$J$238:$J$451),0),
IF('TL10'!$B$3=K$3,SUMIF('TL10'!$C$10:$C$224,$C300,'TL10'!$J$10:$J$224),0),
IF('TL10'!$B$229=K$3,SUMIF('TL10'!$C$238:$C$451,$C300,'TL10'!$J$238:$J$451),0),
IF('TL11'!$B$3=K$3,SUMIF('TL11'!$C$10:$C$224,$C300,'TL11'!$J$10:$J$224),0),
IF('TL11'!$B$229=K$3,SUMIF('TL11'!$C$238:$C$451,$C300,'TL11'!$J$238:$J$451),0),
IF('TL12'!$B$3=K$3,SUMIF('TL12'!$C$10:$C$224,$C300,'TL12'!$J$10:$J$224),0),
IF('TL12'!$B$229=K$3,SUMIF('TL12'!$C$238:$C$451,$C300,'TL12'!$J$238:$J$451),0),
IF('TL13'!$B$3=K$3,SUMIF('TL13'!$C$10:$C$224,$C300,'TL13'!$J$10:$J$224),0),
IF('TL13'!$B$229=K$3,SUMIF('TL13'!$C$238:$C$451,$C300,'TL13'!$J$238:$J$451),0),
IF('TL14'!$B$3=K$3,SUMIF('TL14'!$C$10:$C$224,$C300,'TL14'!$J$10:$J$224),0),
IF('TL14'!$B$229=K$3,SUMIF('TL14'!$C$238:$C$451,$C300,'TL14'!$J$238:$J$451),0),
IF('TL15'!$B$3=K$3,SUMIF('TL15'!$C$10:$C$224,$C300,'TL15'!$J$10:$J$224),0),
IF('TL15'!$B$229=K$3,SUMIF('TL15'!$C$238:$C$451,$C300,'TL15'!$J$238:$J$451),0),
IF('TL16'!$B$3=K$3,SUMIF('TL16'!$C$10:$C$224,$C300,'TL16'!$J$10:$J$224),0),
IF('TL16'!$B$229=K$3,SUMIF('TL16'!$C$238:$C$451,$C300,'TL16'!$J$238:$J$451),0),
IF('TL17'!$B$3=K$3,SUMIF('TL17'!$C$10:$C$224,$C300,'TL17'!$J$10:$J$224),0),
IF('TL17'!$B$229=K$3,SUMIF('TL17'!$C$238:$C$451,$C300,'TL17'!$J$238:$J$451),0),
IF('TL18'!$B$3=K$3,SUMIF('TL18'!$C$10:$C$224,$C300,'TL18'!$J$10:$J$224),0),
IF('TL18'!$B$229=K$3,SUMIF('TL18'!$C$238:$C$451,$C300,'TL18'!$J$238:$J$451),0),
IF('TL19'!$B$3=K$3,SUMIF('TL19'!$C$10:$C$224,$C300,'TL19'!$J$10:$J$224),0),
IF('TL19'!$B$229=K$3,SUMIF('TL19'!$C$238:$C$451,$C300,'TL19'!$J$238:$J$451),0)
),0)</f>
        <v/>
      </c>
      <c r="L300" s="9">
        <f>IFERROR(SUM(
IF('TL01'!$B$3=L$3,SUMIF('TL01'!$C$10:$C$224,$C300,'TL01'!$J$10:$J$224),0),
IF('TL01'!$B$229=L$3,SUMIF('TL01'!$C$238:$C$451,$C300,'TL01'!$J$238:$J$451),0),
IF('TL02'!$B$3=L$3,SUMIF('TL02'!$C$10:$C$224,$C300,'TL02'!$J$10:$J$224),0),
IF('TL02'!$B$229=L$3,SUMIF('TL02'!$C$238:$C$451,$C300,'TL02'!$J$238:$J$451),0),
IF('TL03'!$B$3=L$3,SUMIF('TL03'!$C$10:$C$224,$C300,'TL03'!$J$10:$J$224),0),
IF('TL03'!$B$229=L$3,SUMIF('TL03'!$C$238:$C$451,$C300,'TL03'!$J$238:$J$451),0),
IF('TL04'!$B$3=L$3,SUMIF('TL04'!$C$10:$C$224,$C300,'TL04'!$J$10:$J$224),0),
IF('TL04'!$B$229=L$3,SUMIF('TL04'!$C$238:$C$451,$C300,'TL04'!$J$238:$J$451),0),
IF('TL05'!$B$3=L$3,SUMIF('TL05'!$C$10:$C$224,$C300,'TL05'!$J$10:$J$224),0),
IF('TL05'!$B$229=L$3,SUMIF('TL05'!$C$238:$C$451,$C300,'TL05'!$J$238:$J$451),0),
IF('TL06'!$B$3=L$3,SUMIF('TL06'!$C$10:$C$224,$C300,'TL06'!$J$10:$J$224),0),
IF('TL06'!$B$229=L$3,SUMIF('TL06'!$C$238:$C$451,$C300,'TL06'!$J$238:$J$451),0),
IF('TL07'!$B$3=L$3,SUMIF('TL07'!$C$10:$C$224,$C300,'TL07'!$J$10:$J$224),0),
IF('TL07'!$B$229=L$3,SUMIF('TL07'!$C$238:$C$451,$C300,'TL07'!$J$238:$J$451),0),
IF('TL08'!$B$3=L$3,SUMIF('TL08'!$C$10:$C$224,$C300,'TL08'!$J$10:$J$224),0),
IF('TL08'!$B$229=L$3,SUMIF('TL08'!$C$238:$C$451,$C300,'TL08'!$J$238:$J$451),0),
IF('TL09'!$B$3=L$3,SUMIF('TL09'!$C$10:$C$224,$C300,'TL09'!$J$10:$J$224),0),
IF('TL09'!$B$229=L$3,SUMIF('TL09'!$C$238:$C$451,$C300,'TL09'!$J$238:$J$451),0),
IF('TL10'!$B$3=L$3,SUMIF('TL10'!$C$10:$C$224,$C300,'TL10'!$J$10:$J$224),0),
IF('TL10'!$B$229=L$3,SUMIF('TL10'!$C$238:$C$451,$C300,'TL10'!$J$238:$J$451),0),
IF('TL11'!$B$3=L$3,SUMIF('TL11'!$C$10:$C$224,$C300,'TL11'!$J$10:$J$224),0),
IF('TL11'!$B$229=L$3,SUMIF('TL11'!$C$238:$C$451,$C300,'TL11'!$J$238:$J$451),0),
IF('TL12'!$B$3=L$3,SUMIF('TL12'!$C$10:$C$224,$C300,'TL12'!$J$10:$J$224),0),
IF('TL12'!$B$229=L$3,SUMIF('TL12'!$C$238:$C$451,$C300,'TL12'!$J$238:$J$451),0),
IF('TL13'!$B$3=L$3,SUMIF('TL13'!$C$10:$C$224,$C300,'TL13'!$J$10:$J$224),0),
IF('TL13'!$B$229=L$3,SUMIF('TL13'!$C$238:$C$451,$C300,'TL13'!$J$238:$J$451),0),
IF('TL14'!$B$3=L$3,SUMIF('TL14'!$C$10:$C$224,$C300,'TL14'!$J$10:$J$224),0),
IF('TL14'!$B$229=L$3,SUMIF('TL14'!$C$238:$C$451,$C300,'TL14'!$J$238:$J$451),0),
IF('TL15'!$B$3=L$3,SUMIF('TL15'!$C$10:$C$224,$C300,'TL15'!$J$10:$J$224),0),
IF('TL15'!$B$229=L$3,SUMIF('TL15'!$C$238:$C$451,$C300,'TL15'!$J$238:$J$451),0),
IF('TL16'!$B$3=L$3,SUMIF('TL16'!$C$10:$C$224,$C300,'TL16'!$J$10:$J$224),0),
IF('TL16'!$B$229=L$3,SUMIF('TL16'!$C$238:$C$451,$C300,'TL16'!$J$238:$J$451),0),
IF('TL17'!$B$3=L$3,SUMIF('TL17'!$C$10:$C$224,$C300,'TL17'!$J$10:$J$224),0),
IF('TL17'!$B$229=L$3,SUMIF('TL17'!$C$238:$C$451,$C300,'TL17'!$J$238:$J$451),0),
IF('TL18'!$B$3=L$3,SUMIF('TL18'!$C$10:$C$224,$C300,'TL18'!$J$10:$J$224),0),
IF('TL18'!$B$229=L$3,SUMIF('TL18'!$C$238:$C$451,$C300,'TL18'!$J$238:$J$451),0),
IF('TL19'!$B$3=L$3,SUMIF('TL19'!$C$10:$C$224,$C300,'TL19'!$J$10:$J$224),0),
IF('TL19'!$B$229=L$3,SUMIF('TL19'!$C$238:$C$451,$C300,'TL19'!$J$238:$J$451),0)
),0)</f>
        <v/>
      </c>
      <c r="M300" s="9">
        <f>IFERROR(SUM(
IF('TL01'!$B$3=M$3,SUMIF('TL01'!$C$10:$C$224,$C300,'TL01'!$J$10:$J$224),0),
IF('TL01'!$B$229=M$3,SUMIF('TL01'!$C$238:$C$451,$C300,'TL01'!$J$238:$J$451),0),
IF('TL02'!$B$3=M$3,SUMIF('TL02'!$C$10:$C$224,$C300,'TL02'!$J$10:$J$224),0),
IF('TL02'!$B$229=M$3,SUMIF('TL02'!$C$238:$C$451,$C300,'TL02'!$J$238:$J$451),0),
IF('TL03'!$B$3=M$3,SUMIF('TL03'!$C$10:$C$224,$C300,'TL03'!$J$10:$J$224),0),
IF('TL03'!$B$229=M$3,SUMIF('TL03'!$C$238:$C$451,$C300,'TL03'!$J$238:$J$451),0),
IF('TL04'!$B$3=M$3,SUMIF('TL04'!$C$10:$C$224,$C300,'TL04'!$J$10:$J$224),0),
IF('TL04'!$B$229=M$3,SUMIF('TL04'!$C$238:$C$451,$C300,'TL04'!$J$238:$J$451),0),
IF('TL05'!$B$3=M$3,SUMIF('TL05'!$C$10:$C$224,$C300,'TL05'!$J$10:$J$224),0),
IF('TL05'!$B$229=M$3,SUMIF('TL05'!$C$238:$C$451,$C300,'TL05'!$J$238:$J$451),0),
IF('TL06'!$B$3=M$3,SUMIF('TL06'!$C$10:$C$224,$C300,'TL06'!$J$10:$J$224),0),
IF('TL06'!$B$229=M$3,SUMIF('TL06'!$C$238:$C$451,$C300,'TL06'!$J$238:$J$451),0),
IF('TL07'!$B$3=M$3,SUMIF('TL07'!$C$10:$C$224,$C300,'TL07'!$J$10:$J$224),0),
IF('TL07'!$B$229=M$3,SUMIF('TL07'!$C$238:$C$451,$C300,'TL07'!$J$238:$J$451),0),
IF('TL08'!$B$3=M$3,SUMIF('TL08'!$C$10:$C$224,$C300,'TL08'!$J$10:$J$224),0),
IF('TL08'!$B$229=M$3,SUMIF('TL08'!$C$238:$C$451,$C300,'TL08'!$J$238:$J$451),0),
IF('TL09'!$B$3=M$3,SUMIF('TL09'!$C$10:$C$224,$C300,'TL09'!$J$10:$J$224),0),
IF('TL09'!$B$229=M$3,SUMIF('TL09'!$C$238:$C$451,$C300,'TL09'!$J$238:$J$451),0),
IF('TL10'!$B$3=M$3,SUMIF('TL10'!$C$10:$C$224,$C300,'TL10'!$J$10:$J$224),0),
IF('TL10'!$B$229=M$3,SUMIF('TL10'!$C$238:$C$451,$C300,'TL10'!$J$238:$J$451),0),
IF('TL11'!$B$3=M$3,SUMIF('TL11'!$C$10:$C$224,$C300,'TL11'!$J$10:$J$224),0),
IF('TL11'!$B$229=M$3,SUMIF('TL11'!$C$238:$C$451,$C300,'TL11'!$J$238:$J$451),0),
IF('TL12'!$B$3=M$3,SUMIF('TL12'!$C$10:$C$224,$C300,'TL12'!$J$10:$J$224),0),
IF('TL12'!$B$229=M$3,SUMIF('TL12'!$C$238:$C$451,$C300,'TL12'!$J$238:$J$451),0),
IF('TL13'!$B$3=M$3,SUMIF('TL13'!$C$10:$C$224,$C300,'TL13'!$J$10:$J$224),0),
IF('TL13'!$B$229=M$3,SUMIF('TL13'!$C$238:$C$451,$C300,'TL13'!$J$238:$J$451),0),
IF('TL14'!$B$3=M$3,SUMIF('TL14'!$C$10:$C$224,$C300,'TL14'!$J$10:$J$224),0),
IF('TL14'!$B$229=M$3,SUMIF('TL14'!$C$238:$C$451,$C300,'TL14'!$J$238:$J$451),0),
IF('TL15'!$B$3=M$3,SUMIF('TL15'!$C$10:$C$224,$C300,'TL15'!$J$10:$J$224),0),
IF('TL15'!$B$229=M$3,SUMIF('TL15'!$C$238:$C$451,$C300,'TL15'!$J$238:$J$451),0),
IF('TL16'!$B$3=M$3,SUMIF('TL16'!$C$10:$C$224,$C300,'TL16'!$J$10:$J$224),0),
IF('TL16'!$B$229=M$3,SUMIF('TL16'!$C$238:$C$451,$C300,'TL16'!$J$238:$J$451),0),
IF('TL17'!$B$3=M$3,SUMIF('TL17'!$C$10:$C$224,$C300,'TL17'!$J$10:$J$224),0),
IF('TL17'!$B$229=M$3,SUMIF('TL17'!$C$238:$C$451,$C300,'TL17'!$J$238:$J$451),0),
IF('TL18'!$B$3=M$3,SUMIF('TL18'!$C$10:$C$224,$C300,'TL18'!$J$10:$J$224),0),
IF('TL18'!$B$229=M$3,SUMIF('TL18'!$C$238:$C$451,$C300,'TL18'!$J$238:$J$451),0),
IF('TL19'!$B$3=M$3,SUMIF('TL19'!$C$10:$C$224,$C300,'TL19'!$J$10:$J$224),0),
IF('TL19'!$B$229=M$3,SUMIF('TL19'!$C$238:$C$451,$C300,'TL19'!$J$238:$J$451),0)
),0)</f>
        <v/>
      </c>
      <c r="N300" s="9">
        <f>IFERROR(SUM(
IF('TL01'!$B$3=N$3,SUMIF('TL01'!$C$10:$C$224,$C300,'TL01'!$J$10:$J$224),0),
IF('TL01'!$B$229=N$3,SUMIF('TL01'!$C$238:$C$451,$C300,'TL01'!$J$238:$J$451),0),
IF('TL02'!$B$3=N$3,SUMIF('TL02'!$C$10:$C$224,$C300,'TL02'!$J$10:$J$224),0),
IF('TL02'!$B$229=N$3,SUMIF('TL02'!$C$238:$C$451,$C300,'TL02'!$J$238:$J$451),0),
IF('TL03'!$B$3=N$3,SUMIF('TL03'!$C$10:$C$224,$C300,'TL03'!$J$10:$J$224),0),
IF('TL03'!$B$229=N$3,SUMIF('TL03'!$C$238:$C$451,$C300,'TL03'!$J$238:$J$451),0),
IF('TL04'!$B$3=N$3,SUMIF('TL04'!$C$10:$C$224,$C300,'TL04'!$J$10:$J$224),0),
IF('TL04'!$B$229=N$3,SUMIF('TL04'!$C$238:$C$451,$C300,'TL04'!$J$238:$J$451),0),
IF('TL05'!$B$3=N$3,SUMIF('TL05'!$C$10:$C$224,$C300,'TL05'!$J$10:$J$224),0),
IF('TL05'!$B$229=N$3,SUMIF('TL05'!$C$238:$C$451,$C300,'TL05'!$J$238:$J$451),0),
IF('TL06'!$B$3=N$3,SUMIF('TL06'!$C$10:$C$224,$C300,'TL06'!$J$10:$J$224),0),
IF('TL06'!$B$229=N$3,SUMIF('TL06'!$C$238:$C$451,$C300,'TL06'!$J$238:$J$451),0),
IF('TL07'!$B$3=N$3,SUMIF('TL07'!$C$10:$C$224,$C300,'TL07'!$J$10:$J$224),0),
IF('TL07'!$B$229=N$3,SUMIF('TL07'!$C$238:$C$451,$C300,'TL07'!$J$238:$J$451),0),
IF('TL08'!$B$3=N$3,SUMIF('TL08'!$C$10:$C$224,$C300,'TL08'!$J$10:$J$224),0),
IF('TL08'!$B$229=N$3,SUMIF('TL08'!$C$238:$C$451,$C300,'TL08'!$J$238:$J$451),0),
IF('TL09'!$B$3=N$3,SUMIF('TL09'!$C$10:$C$224,$C300,'TL09'!$J$10:$J$224),0),
IF('TL09'!$B$229=N$3,SUMIF('TL09'!$C$238:$C$451,$C300,'TL09'!$J$238:$J$451),0),
IF('TL10'!$B$3=N$3,SUMIF('TL10'!$C$10:$C$224,$C300,'TL10'!$J$10:$J$224),0),
IF('TL10'!$B$229=N$3,SUMIF('TL10'!$C$238:$C$451,$C300,'TL10'!$J$238:$J$451),0),
IF('TL11'!$B$3=N$3,SUMIF('TL11'!$C$10:$C$224,$C300,'TL11'!$J$10:$J$224),0),
IF('TL11'!$B$229=N$3,SUMIF('TL11'!$C$238:$C$451,$C300,'TL11'!$J$238:$J$451),0),
IF('TL12'!$B$3=N$3,SUMIF('TL12'!$C$10:$C$224,$C300,'TL12'!$J$10:$J$224),0),
IF('TL12'!$B$229=N$3,SUMIF('TL12'!$C$238:$C$451,$C300,'TL12'!$J$238:$J$451),0),
IF('TL13'!$B$3=N$3,SUMIF('TL13'!$C$10:$C$224,$C300,'TL13'!$J$10:$J$224),0),
IF('TL13'!$B$229=N$3,SUMIF('TL13'!$C$238:$C$451,$C300,'TL13'!$J$238:$J$451),0),
IF('TL14'!$B$3=N$3,SUMIF('TL14'!$C$10:$C$224,$C300,'TL14'!$J$10:$J$224),0),
IF('TL14'!$B$229=N$3,SUMIF('TL14'!$C$238:$C$451,$C300,'TL14'!$J$238:$J$451),0),
IF('TL15'!$B$3=N$3,SUMIF('TL15'!$C$10:$C$224,$C300,'TL15'!$J$10:$J$224),0),
IF('TL15'!$B$229=N$3,SUMIF('TL15'!$C$238:$C$451,$C300,'TL15'!$J$238:$J$451),0),
IF('TL16'!$B$3=N$3,SUMIF('TL16'!$C$10:$C$224,$C300,'TL16'!$J$10:$J$224),0),
IF('TL16'!$B$229=N$3,SUMIF('TL16'!$C$238:$C$451,$C300,'TL16'!$J$238:$J$451),0),
IF('TL17'!$B$3=N$3,SUMIF('TL17'!$C$10:$C$224,$C300,'TL17'!$J$10:$J$224),0),
IF('TL17'!$B$229=N$3,SUMIF('TL17'!$C$238:$C$451,$C300,'TL17'!$J$238:$J$451),0),
IF('TL18'!$B$3=N$3,SUMIF('TL18'!$C$10:$C$224,$C300,'TL18'!$J$10:$J$224),0),
IF('TL18'!$B$229=N$3,SUMIF('TL18'!$C$238:$C$451,$C300,'TL18'!$J$238:$J$451),0),
IF('TL19'!$B$3=N$3,SUMIF('TL19'!$C$10:$C$224,$C300,'TL19'!$J$10:$J$224),0),
IF('TL19'!$B$229=N$3,SUMIF('TL19'!$C$238:$C$451,$C300,'TL19'!$J$238:$J$451),0)
),0)</f>
        <v/>
      </c>
      <c r="O300" s="9">
        <f>IFERROR(SUM(
IF('TL01'!$B$3=O$3,SUMIF('TL01'!$C$10:$C$224,$C300,'TL01'!$J$10:$J$224),0),
IF('TL01'!$B$229=O$3,SUMIF('TL01'!$C$238:$C$451,$C300,'TL01'!$J$238:$J$451),0),
IF('TL02'!$B$3=O$3,SUMIF('TL02'!$C$10:$C$224,$C300,'TL02'!$J$10:$J$224),0),
IF('TL02'!$B$229=O$3,SUMIF('TL02'!$C$238:$C$451,$C300,'TL02'!$J$238:$J$451),0),
IF('TL03'!$B$3=O$3,SUMIF('TL03'!$C$10:$C$224,$C300,'TL03'!$J$10:$J$224),0),
IF('TL03'!$B$229=O$3,SUMIF('TL03'!$C$238:$C$451,$C300,'TL03'!$J$238:$J$451),0),
IF('TL04'!$B$3=O$3,SUMIF('TL04'!$C$10:$C$224,$C300,'TL04'!$J$10:$J$224),0),
IF('TL04'!$B$229=O$3,SUMIF('TL04'!$C$238:$C$451,$C300,'TL04'!$J$238:$J$451),0),
IF('TL05'!$B$3=O$3,SUMIF('TL05'!$C$10:$C$224,$C300,'TL05'!$J$10:$J$224),0),
IF('TL05'!$B$229=O$3,SUMIF('TL05'!$C$238:$C$451,$C300,'TL05'!$J$238:$J$451),0),
IF('TL06'!$B$3=O$3,SUMIF('TL06'!$C$10:$C$224,$C300,'TL06'!$J$10:$J$224),0),
IF('TL06'!$B$229=O$3,SUMIF('TL06'!$C$238:$C$451,$C300,'TL06'!$J$238:$J$451),0),
IF('TL07'!$B$3=O$3,SUMIF('TL07'!$C$10:$C$224,$C300,'TL07'!$J$10:$J$224),0),
IF('TL07'!$B$229=O$3,SUMIF('TL07'!$C$238:$C$451,$C300,'TL07'!$J$238:$J$451),0),
IF('TL08'!$B$3=O$3,SUMIF('TL08'!$C$10:$C$224,$C300,'TL08'!$J$10:$J$224),0),
IF('TL08'!$B$229=O$3,SUMIF('TL08'!$C$238:$C$451,$C300,'TL08'!$J$238:$J$451),0),
IF('TL09'!$B$3=O$3,SUMIF('TL09'!$C$10:$C$224,$C300,'TL09'!$J$10:$J$224),0),
IF('TL09'!$B$229=O$3,SUMIF('TL09'!$C$238:$C$451,$C300,'TL09'!$J$238:$J$451),0),
IF('TL10'!$B$3=O$3,SUMIF('TL10'!$C$10:$C$224,$C300,'TL10'!$J$10:$J$224),0),
IF('TL10'!$B$229=O$3,SUMIF('TL10'!$C$238:$C$451,$C300,'TL10'!$J$238:$J$451),0),
IF('TL11'!$B$3=O$3,SUMIF('TL11'!$C$10:$C$224,$C300,'TL11'!$J$10:$J$224),0),
IF('TL11'!$B$229=O$3,SUMIF('TL11'!$C$238:$C$451,$C300,'TL11'!$J$238:$J$451),0),
IF('TL12'!$B$3=O$3,SUMIF('TL12'!$C$10:$C$224,$C300,'TL12'!$J$10:$J$224),0),
IF('TL12'!$B$229=O$3,SUMIF('TL12'!$C$238:$C$451,$C300,'TL12'!$J$238:$J$451),0),
IF('TL13'!$B$3=O$3,SUMIF('TL13'!$C$10:$C$224,$C300,'TL13'!$J$10:$J$224),0),
IF('TL13'!$B$229=O$3,SUMIF('TL13'!$C$238:$C$451,$C300,'TL13'!$J$238:$J$451),0),
IF('TL14'!$B$3=O$3,SUMIF('TL14'!$C$10:$C$224,$C300,'TL14'!$J$10:$J$224),0),
IF('TL14'!$B$229=O$3,SUMIF('TL14'!$C$238:$C$451,$C300,'TL14'!$J$238:$J$451),0),
IF('TL15'!$B$3=O$3,SUMIF('TL15'!$C$10:$C$224,$C300,'TL15'!$J$10:$J$224),0),
IF('TL15'!$B$229=O$3,SUMIF('TL15'!$C$238:$C$451,$C300,'TL15'!$J$238:$J$451),0),
IF('TL16'!$B$3=O$3,SUMIF('TL16'!$C$10:$C$224,$C300,'TL16'!$J$10:$J$224),0),
IF('TL16'!$B$229=O$3,SUMIF('TL16'!$C$238:$C$451,$C300,'TL16'!$J$238:$J$451),0),
IF('TL17'!$B$3=O$3,SUMIF('TL17'!$C$10:$C$224,$C300,'TL17'!$J$10:$J$224),0),
IF('TL17'!$B$229=O$3,SUMIF('TL17'!$C$238:$C$451,$C300,'TL17'!$J$238:$J$451),0),
IF('TL18'!$B$3=O$3,SUMIF('TL18'!$C$10:$C$224,$C300,'TL18'!$J$10:$J$224),0),
IF('TL18'!$B$229=O$3,SUMIF('TL18'!$C$238:$C$451,$C300,'TL18'!$J$238:$J$451),0),
IF('TL19'!$B$3=O$3,SUMIF('TL19'!$C$10:$C$224,$C300,'TL19'!$J$10:$J$224),0),
IF('TL19'!$B$229=O$3,SUMIF('TL19'!$C$238:$C$451,$C300,'TL19'!$J$238:$J$451),0)
),0)</f>
        <v/>
      </c>
      <c r="P300" s="9">
        <f>IFERROR(SUM(
IF('TL01'!$B$3=P$3,SUMIF('TL01'!$C$10:$C$224,$C300,'TL01'!$J$10:$J$224),0),
IF('TL01'!$B$229=P$3,SUMIF('TL01'!$C$238:$C$451,$C300,'TL01'!$J$238:$J$451),0),
IF('TL02'!$B$3=P$3,SUMIF('TL02'!$C$10:$C$224,$C300,'TL02'!$J$10:$J$224),0),
IF('TL02'!$B$229=P$3,SUMIF('TL02'!$C$238:$C$451,$C300,'TL02'!$J$238:$J$451),0),
IF('TL03'!$B$3=P$3,SUMIF('TL03'!$C$10:$C$224,$C300,'TL03'!$J$10:$J$224),0),
IF('TL03'!$B$229=P$3,SUMIF('TL03'!$C$238:$C$451,$C300,'TL03'!$J$238:$J$451),0),
IF('TL04'!$B$3=P$3,SUMIF('TL04'!$C$10:$C$224,$C300,'TL04'!$J$10:$J$224),0),
IF('TL04'!$B$229=P$3,SUMIF('TL04'!$C$238:$C$451,$C300,'TL04'!$J$238:$J$451),0),
IF('TL05'!$B$3=P$3,SUMIF('TL05'!$C$10:$C$224,$C300,'TL05'!$J$10:$J$224),0),
IF('TL05'!$B$229=P$3,SUMIF('TL05'!$C$238:$C$451,$C300,'TL05'!$J$238:$J$451),0),
IF('TL06'!$B$3=P$3,SUMIF('TL06'!$C$10:$C$224,$C300,'TL06'!$J$10:$J$224),0),
IF('TL06'!$B$229=P$3,SUMIF('TL06'!$C$238:$C$451,$C300,'TL06'!$J$238:$J$451),0),
IF('TL07'!$B$3=P$3,SUMIF('TL07'!$C$10:$C$224,$C300,'TL07'!$J$10:$J$224),0),
IF('TL07'!$B$229=P$3,SUMIF('TL07'!$C$238:$C$451,$C300,'TL07'!$J$238:$J$451),0),
IF('TL08'!$B$3=P$3,SUMIF('TL08'!$C$10:$C$224,$C300,'TL08'!$J$10:$J$224),0),
IF('TL08'!$B$229=P$3,SUMIF('TL08'!$C$238:$C$451,$C300,'TL08'!$J$238:$J$451),0),
IF('TL09'!$B$3=P$3,SUMIF('TL09'!$C$10:$C$224,$C300,'TL09'!$J$10:$J$224),0),
IF('TL09'!$B$229=P$3,SUMIF('TL09'!$C$238:$C$451,$C300,'TL09'!$J$238:$J$451),0),
IF('TL10'!$B$3=P$3,SUMIF('TL10'!$C$10:$C$224,$C300,'TL10'!$J$10:$J$224),0),
IF('TL10'!$B$229=P$3,SUMIF('TL10'!$C$238:$C$451,$C300,'TL10'!$J$238:$J$451),0),
IF('TL11'!$B$3=P$3,SUMIF('TL11'!$C$10:$C$224,$C300,'TL11'!$J$10:$J$224),0),
IF('TL11'!$B$229=P$3,SUMIF('TL11'!$C$238:$C$451,$C300,'TL11'!$J$238:$J$451),0),
IF('TL12'!$B$3=P$3,SUMIF('TL12'!$C$10:$C$224,$C300,'TL12'!$J$10:$J$224),0),
IF('TL12'!$B$229=P$3,SUMIF('TL12'!$C$238:$C$451,$C300,'TL12'!$J$238:$J$451),0),
IF('TL13'!$B$3=P$3,SUMIF('TL13'!$C$10:$C$224,$C300,'TL13'!$J$10:$J$224),0),
IF('TL13'!$B$229=P$3,SUMIF('TL13'!$C$238:$C$451,$C300,'TL13'!$J$238:$J$451),0),
IF('TL14'!$B$3=P$3,SUMIF('TL14'!$C$10:$C$224,$C300,'TL14'!$J$10:$J$224),0),
IF('TL14'!$B$229=P$3,SUMIF('TL14'!$C$238:$C$451,$C300,'TL14'!$J$238:$J$451),0),
IF('TL15'!$B$3=P$3,SUMIF('TL15'!$C$10:$C$224,$C300,'TL15'!$J$10:$J$224),0),
IF('TL15'!$B$229=P$3,SUMIF('TL15'!$C$238:$C$451,$C300,'TL15'!$J$238:$J$451),0),
IF('TL16'!$B$3=P$3,SUMIF('TL16'!$C$10:$C$224,$C300,'TL16'!$J$10:$J$224),0),
IF('TL16'!$B$229=P$3,SUMIF('TL16'!$C$238:$C$451,$C300,'TL16'!$J$238:$J$451),0),
IF('TL17'!$B$3=P$3,SUMIF('TL17'!$C$10:$C$224,$C300,'TL17'!$J$10:$J$224),0),
IF('TL17'!$B$229=P$3,SUMIF('TL17'!$C$238:$C$451,$C300,'TL17'!$J$238:$J$451),0),
IF('TL18'!$B$3=P$3,SUMIF('TL18'!$C$10:$C$224,$C300,'TL18'!$J$10:$J$224),0),
IF('TL18'!$B$229=P$3,SUMIF('TL18'!$C$238:$C$451,$C300,'TL18'!$J$238:$J$451),0),
IF('TL19'!$B$3=P$3,SUMIF('TL19'!$C$10:$C$224,$C300,'TL19'!$J$10:$J$224),0),
IF('TL19'!$B$229=P$3,SUMIF('TL19'!$C$238:$C$451,$C300,'TL19'!$J$238:$J$451),0)
),0)</f>
        <v/>
      </c>
      <c r="Q300" s="9">
        <f>IFERROR(SUM(
IF('TL01'!$B$3=Q$3,SUMIF('TL01'!$C$10:$C$224,$C300,'TL01'!$J$10:$J$224),0),
IF('TL01'!$B$229=Q$3,SUMIF('TL01'!$C$238:$C$451,$C300,'TL01'!$J$238:$J$451),0),
IF('TL02'!$B$3=Q$3,SUMIF('TL02'!$C$10:$C$224,$C300,'TL02'!$J$10:$J$224),0),
IF('TL02'!$B$229=Q$3,SUMIF('TL02'!$C$238:$C$451,$C300,'TL02'!$J$238:$J$451),0),
IF('TL03'!$B$3=Q$3,SUMIF('TL03'!$C$10:$C$224,$C300,'TL03'!$J$10:$J$224),0),
IF('TL03'!$B$229=Q$3,SUMIF('TL03'!$C$238:$C$451,$C300,'TL03'!$J$238:$J$451),0),
IF('TL04'!$B$3=Q$3,SUMIF('TL04'!$C$10:$C$224,$C300,'TL04'!$J$10:$J$224),0),
IF('TL04'!$B$229=Q$3,SUMIF('TL04'!$C$238:$C$451,$C300,'TL04'!$J$238:$J$451),0),
IF('TL05'!$B$3=Q$3,SUMIF('TL05'!$C$10:$C$224,$C300,'TL05'!$J$10:$J$224),0),
IF('TL05'!$B$229=Q$3,SUMIF('TL05'!$C$238:$C$451,$C300,'TL05'!$J$238:$J$451),0),
IF('TL06'!$B$3=Q$3,SUMIF('TL06'!$C$10:$C$224,$C300,'TL06'!$J$10:$J$224),0),
IF('TL06'!$B$229=Q$3,SUMIF('TL06'!$C$238:$C$451,$C300,'TL06'!$J$238:$J$451),0),
IF('TL07'!$B$3=Q$3,SUMIF('TL07'!$C$10:$C$224,$C300,'TL07'!$J$10:$J$224),0),
IF('TL07'!$B$229=Q$3,SUMIF('TL07'!$C$238:$C$451,$C300,'TL07'!$J$238:$J$451),0),
IF('TL08'!$B$3=Q$3,SUMIF('TL08'!$C$10:$C$224,$C300,'TL08'!$J$10:$J$224),0),
IF('TL08'!$B$229=Q$3,SUMIF('TL08'!$C$238:$C$451,$C300,'TL08'!$J$238:$J$451),0),
IF('TL09'!$B$3=Q$3,SUMIF('TL09'!$C$10:$C$224,$C300,'TL09'!$J$10:$J$224),0),
IF('TL09'!$B$229=Q$3,SUMIF('TL09'!$C$238:$C$451,$C300,'TL09'!$J$238:$J$451),0),
IF('TL10'!$B$3=Q$3,SUMIF('TL10'!$C$10:$C$224,$C300,'TL10'!$J$10:$J$224),0),
IF('TL10'!$B$229=Q$3,SUMIF('TL10'!$C$238:$C$451,$C300,'TL10'!$J$238:$J$451),0),
IF('TL11'!$B$3=Q$3,SUMIF('TL11'!$C$10:$C$224,$C300,'TL11'!$J$10:$J$224),0),
IF('TL11'!$B$229=Q$3,SUMIF('TL11'!$C$238:$C$451,$C300,'TL11'!$J$238:$J$451),0),
IF('TL12'!$B$3=Q$3,SUMIF('TL12'!$C$10:$C$224,$C300,'TL12'!$J$10:$J$224),0),
IF('TL12'!$B$229=Q$3,SUMIF('TL12'!$C$238:$C$451,$C300,'TL12'!$J$238:$J$451),0),
IF('TL13'!$B$3=Q$3,SUMIF('TL13'!$C$10:$C$224,$C300,'TL13'!$J$10:$J$224),0),
IF('TL13'!$B$229=Q$3,SUMIF('TL13'!$C$238:$C$451,$C300,'TL13'!$J$238:$J$451),0),
IF('TL14'!$B$3=Q$3,SUMIF('TL14'!$C$10:$C$224,$C300,'TL14'!$J$10:$J$224),0),
IF('TL14'!$B$229=Q$3,SUMIF('TL14'!$C$238:$C$451,$C300,'TL14'!$J$238:$J$451),0),
IF('TL15'!$B$3=Q$3,SUMIF('TL15'!$C$10:$C$224,$C300,'TL15'!$J$10:$J$224),0),
IF('TL15'!$B$229=Q$3,SUMIF('TL15'!$C$238:$C$451,$C300,'TL15'!$J$238:$J$451),0),
IF('TL16'!$B$3=Q$3,SUMIF('TL16'!$C$10:$C$224,$C300,'TL16'!$J$10:$J$224),0),
IF('TL16'!$B$229=Q$3,SUMIF('TL16'!$C$238:$C$451,$C300,'TL16'!$J$238:$J$451),0),
IF('TL17'!$B$3=Q$3,SUMIF('TL17'!$C$10:$C$224,$C300,'TL17'!$J$10:$J$224),0),
IF('TL17'!$B$229=Q$3,SUMIF('TL17'!$C$238:$C$451,$C300,'TL17'!$J$238:$J$451),0),
IF('TL18'!$B$3=Q$3,SUMIF('TL18'!$C$10:$C$224,$C300,'TL18'!$J$10:$J$224),0),
IF('TL18'!$B$229=Q$3,SUMIF('TL18'!$C$238:$C$451,$C300,'TL18'!$J$238:$J$451),0),
IF('TL19'!$B$3=Q$3,SUMIF('TL19'!$C$10:$C$224,$C300,'TL19'!$J$10:$J$224),0),
IF('TL19'!$B$229=Q$3,SUMIF('TL19'!$C$238:$C$451,$C300,'TL19'!$J$238:$J$451),0)
),0)</f>
        <v/>
      </c>
      <c r="R300" s="9">
        <f>IFERROR(
SUM(
SUMIF('TL01'!C:C,C300,'TL01'!J:J),
SUMIF('TL02'!C:C,C300,'TL02'!J:J),
SUMIF('TL03'!C:C,C300,'TL03'!J:J),
SUMIF('TL04'!C:C,C300,'TL04'!J:J),
SUMIF('TL05'!C:C,C300,'TL05'!J:J),
SUMIF('TL06'!C:C,C300,'TL06'!J:J),
SUMIF('TL07'!C:C,C300,'TL07'!J:J),
SUMIF('TL08'!C:C,C300,'TL08'!J:J),
SUMIF('TL09'!C:C,C300,'TL09'!J:J),
SUMIF('TL10'!C:C,C300,'TL10'!J:J),
SUMIF('TL11'!C:C,C300,'TL11'!J:J),
SUMIF('TL12'!C:C,C300,'TL12'!J:J),
SUMIF('TL13'!C:C,C300,'TL13'!J:J),
SUMIF('TL14'!C:C,C300,'TL14'!J:J),
SUMIF('TL15'!C:C,C300,'TL15'!J:J),
SUMIF('TL16'!C:C,C300,'TL16'!J:J),
SUMIF('TL17'!C:C,C300,'TL17'!J:J),
SUMIF('TL18'!C:C,C300,'TL18'!J:J),SUMIF('TL19'!C:C,C300,'TL19'!J:J))
,0)</f>
        <v/>
      </c>
      <c r="S300" s="17">
        <f>IFERROR(__xludf.DUMMYFUNCTION("IFERROR(VLOOKUP(C300,
IMPORTRANGE(""1wULbzX32WdYsx-lj2U3uUNBBe2INVIRDtcK0d-Dvl90"",
""26-27!C:G""),
5,
FALSE),
"""")"),1142.47)</f>
        <v/>
      </c>
      <c r="T300" s="9" t="n"/>
      <c r="U300" s="92">
        <f>MAX(0,R300-T300)</f>
        <v/>
      </c>
      <c r="V300" s="93">
        <f>U300*S300</f>
        <v/>
      </c>
    </row>
    <row r="301" hidden="1" ht="15.75" customHeight="1" s="297">
      <c r="A301" s="122" t="inlineStr">
        <is>
          <t>SUMITOMO</t>
        </is>
      </c>
      <c r="B301" s="124" t="inlineStr">
        <is>
          <t>TS</t>
        </is>
      </c>
      <c r="C301" s="122" t="inlineStr">
        <is>
          <t>OPTERASEED</t>
        </is>
      </c>
      <c r="D301" s="122" t="inlineStr">
        <is>
          <t>CLORANTRANILIPROLE</t>
        </is>
      </c>
      <c r="E301" s="122" t="n">
        <v>625</v>
      </c>
      <c r="F301" s="4" t="inlineStr">
        <is>
          <t>L</t>
        </is>
      </c>
      <c r="G301" s="90">
        <f>HYPERLINK("https://www.google.com/search?q=" &amp; C301 &amp; "+bula+agrofit+pdf", "📄 Ver bula")</f>
        <v/>
      </c>
      <c r="H301" s="9">
        <f>IFERROR(__xludf.DUMMYFUNCTION("IFERROR(VLOOKUP(C301,
IMPORTRANGE(""1wULbzX32WdYsx-lj2U3uUNBBe2INVIRDtcK0d-Dvl90"",
""26-27!C:K""),
8,
FALSE),
"""")"),0.05)</f>
        <v/>
      </c>
      <c r="I301" s="123" t="n"/>
      <c r="J301" s="9">
        <f>IFERROR(SUM(
IF('TL01'!$B$3=J$3,SUMIF('TL01'!$C$10:$C$224,$C301,'TL01'!$J$10:$J$224),0),
IF('TL01'!$B$229=J$3,SUMIF('TL01'!$C$238:$C$451,$C301,'TL01'!$J$238:$J$451),0),
IF('TL02'!$B$3=J$3,SUMIF('TL02'!$C$10:$C$224,$C301,'TL02'!$J$10:$J$224),0),
IF('TL02'!$B$229=J$3,SUMIF('TL02'!$C$238:$C$451,$C301,'TL02'!$J$238:$J$451),0),
IF('TL03'!$B$3=J$3,SUMIF('TL03'!$C$10:$C$224,$C301,'TL03'!$J$10:$J$224),0),
IF('TL03'!$B$229=J$3,SUMIF('TL03'!$C$238:$C$451,$C301,'TL03'!$J$238:$J$451),0),
IF('TL04'!$B$3=J$3,SUMIF('TL04'!$C$10:$C$224,$C301,'TL04'!$J$10:$J$224),0),
IF('TL04'!$B$229=J$3,SUMIF('TL04'!$C$238:$C$451,$C301,'TL04'!$J$238:$J$451),0),
IF('TL05'!$B$3=J$3,SUMIF('TL05'!$C$10:$C$224,$C301,'TL05'!$J$10:$J$224),0),
IF('TL05'!$B$229=J$3,SUMIF('TL05'!$C$238:$C$451,$C301,'TL05'!$J$238:$J$451),0),
IF('TL06'!$B$3=J$3,SUMIF('TL06'!$C$10:$C$224,$C301,'TL06'!$J$10:$J$224),0),
IF('TL06'!$B$229=J$3,SUMIF('TL06'!$C$238:$C$451,$C301,'TL06'!$J$238:$J$451),0),
IF('TL07'!$B$3=J$3,SUMIF('TL07'!$C$10:$C$224,$C301,'TL07'!$J$10:$J$224),0),
IF('TL07'!$B$229=J$3,SUMIF('TL07'!$C$238:$C$451,$C301,'TL07'!$J$238:$J$451),0),
IF('TL08'!$B$3=J$3,SUMIF('TL08'!$C$10:$C$224,$C301,'TL08'!$J$10:$J$224),0),
IF('TL08'!$B$229=J$3,SUMIF('TL08'!$C$238:$C$451,$C301,'TL08'!$J$238:$J$451),0),
IF('TL09'!$B$3=J$3,SUMIF('TL09'!$C$10:$C$224,$C301,'TL09'!$J$10:$J$224),0),
IF('TL09'!$B$229=J$3,SUMIF('TL09'!$C$238:$C$451,$C301,'TL09'!$J$238:$J$451),0),
IF('TL10'!$B$3=J$3,SUMIF('TL10'!$C$10:$C$224,$C301,'TL10'!$J$10:$J$224),0),
IF('TL10'!$B$229=J$3,SUMIF('TL10'!$C$238:$C$451,$C301,'TL10'!$J$238:$J$451),0),
IF('TL11'!$B$3=J$3,SUMIF('TL11'!$C$10:$C$224,$C301,'TL11'!$J$10:$J$224),0),
IF('TL11'!$B$229=J$3,SUMIF('TL11'!$C$238:$C$451,$C301,'TL11'!$J$238:$J$451),0),
IF('TL12'!$B$3=J$3,SUMIF('TL12'!$C$10:$C$224,$C301,'TL12'!$J$10:$J$224),0),
IF('TL12'!$B$229=J$3,SUMIF('TL12'!$C$238:$C$451,$C301,'TL12'!$J$238:$J$451),0),
IF('TL13'!$B$3=J$3,SUMIF('TL13'!$C$10:$C$224,$C301,'TL13'!$J$10:$J$224),0),
IF('TL13'!$B$229=J$3,SUMIF('TL13'!$C$238:$C$451,$C301,'TL13'!$J$238:$J$451),0),
IF('TL14'!$B$3=J$3,SUMIF('TL14'!$C$10:$C$224,$C301,'TL14'!$J$10:$J$224),0),
IF('TL14'!$B$229=J$3,SUMIF('TL14'!$C$238:$C$451,$C301,'TL14'!$J$238:$J$451),0),
IF('TL15'!$B$3=J$3,SUMIF('TL15'!$C$10:$C$224,$C301,'TL15'!$J$10:$J$224),0),
IF('TL15'!$B$229=J$3,SUMIF('TL15'!$C$238:$C$451,$C301,'TL15'!$J$238:$J$451),0),
IF('TL16'!$B$3=J$3,SUMIF('TL16'!$C$10:$C$224,$C301,'TL16'!$J$10:$J$224),0),
IF('TL16'!$B$229=J$3,SUMIF('TL16'!$C$238:$C$451,$C301,'TL16'!$J$238:$J$451),0),
IF('TL17'!$B$3=J$3,SUMIF('TL17'!$C$10:$C$224,$C301,'TL17'!$J$10:$J$224),0),
IF('TL17'!$B$229=J$3,SUMIF('TL17'!$C$238:$C$451,$C301,'TL17'!$J$238:$J$451),0),
IF('TL18'!$B$3=J$3,SUMIF('TL18'!$C$10:$C$224,$C301,'TL18'!$J$10:$J$224),0),
IF('TL18'!$B$229=J$3,SUMIF('TL18'!$C$238:$C$451,$C301,'TL18'!$J$238:$J$451),0),
IF('TL19'!$B$3=J$3,SUMIF('TL19'!$C$10:$C$224,$C301,'TL19'!$J$10:$J$224),0),
IF('TL19'!$B$229=J$3,SUMIF('TL19'!$C$238:$C$451,$C301,'TL19'!$J$238:$J$451),0)
),0)</f>
        <v/>
      </c>
      <c r="K301" s="9">
        <f>IFERROR(SUM(
IF('TL01'!$B$3=K$3,SUMIF('TL01'!$C$10:$C$224,$C301,'TL01'!$J$10:$J$224),0),
IF('TL01'!$B$229=K$3,SUMIF('TL01'!$C$238:$C$451,$C301,'TL01'!$J$238:$J$451),0),
IF('TL02'!$B$3=K$3,SUMIF('TL02'!$C$10:$C$224,$C301,'TL02'!$J$10:$J$224),0),
IF('TL02'!$B$229=K$3,SUMIF('TL02'!$C$238:$C$451,$C301,'TL02'!$J$238:$J$451),0),
IF('TL03'!$B$3=K$3,SUMIF('TL03'!$C$10:$C$224,$C301,'TL03'!$J$10:$J$224),0),
IF('TL03'!$B$229=K$3,SUMIF('TL03'!$C$238:$C$451,$C301,'TL03'!$J$238:$J$451),0),
IF('TL04'!$B$3=K$3,SUMIF('TL04'!$C$10:$C$224,$C301,'TL04'!$J$10:$J$224),0),
IF('TL04'!$B$229=K$3,SUMIF('TL04'!$C$238:$C$451,$C301,'TL04'!$J$238:$J$451),0),
IF('TL05'!$B$3=K$3,SUMIF('TL05'!$C$10:$C$224,$C301,'TL05'!$J$10:$J$224),0),
IF('TL05'!$B$229=K$3,SUMIF('TL05'!$C$238:$C$451,$C301,'TL05'!$J$238:$J$451),0),
IF('TL06'!$B$3=K$3,SUMIF('TL06'!$C$10:$C$224,$C301,'TL06'!$J$10:$J$224),0),
IF('TL06'!$B$229=K$3,SUMIF('TL06'!$C$238:$C$451,$C301,'TL06'!$J$238:$J$451),0),
IF('TL07'!$B$3=K$3,SUMIF('TL07'!$C$10:$C$224,$C301,'TL07'!$J$10:$J$224),0),
IF('TL07'!$B$229=K$3,SUMIF('TL07'!$C$238:$C$451,$C301,'TL07'!$J$238:$J$451),0),
IF('TL08'!$B$3=K$3,SUMIF('TL08'!$C$10:$C$224,$C301,'TL08'!$J$10:$J$224),0),
IF('TL08'!$B$229=K$3,SUMIF('TL08'!$C$238:$C$451,$C301,'TL08'!$J$238:$J$451),0),
IF('TL09'!$B$3=K$3,SUMIF('TL09'!$C$10:$C$224,$C301,'TL09'!$J$10:$J$224),0),
IF('TL09'!$B$229=K$3,SUMIF('TL09'!$C$238:$C$451,$C301,'TL09'!$J$238:$J$451),0),
IF('TL10'!$B$3=K$3,SUMIF('TL10'!$C$10:$C$224,$C301,'TL10'!$J$10:$J$224),0),
IF('TL10'!$B$229=K$3,SUMIF('TL10'!$C$238:$C$451,$C301,'TL10'!$J$238:$J$451),0),
IF('TL11'!$B$3=K$3,SUMIF('TL11'!$C$10:$C$224,$C301,'TL11'!$J$10:$J$224),0),
IF('TL11'!$B$229=K$3,SUMIF('TL11'!$C$238:$C$451,$C301,'TL11'!$J$238:$J$451),0),
IF('TL12'!$B$3=K$3,SUMIF('TL12'!$C$10:$C$224,$C301,'TL12'!$J$10:$J$224),0),
IF('TL12'!$B$229=K$3,SUMIF('TL12'!$C$238:$C$451,$C301,'TL12'!$J$238:$J$451),0),
IF('TL13'!$B$3=K$3,SUMIF('TL13'!$C$10:$C$224,$C301,'TL13'!$J$10:$J$224),0),
IF('TL13'!$B$229=K$3,SUMIF('TL13'!$C$238:$C$451,$C301,'TL13'!$J$238:$J$451),0),
IF('TL14'!$B$3=K$3,SUMIF('TL14'!$C$10:$C$224,$C301,'TL14'!$J$10:$J$224),0),
IF('TL14'!$B$229=K$3,SUMIF('TL14'!$C$238:$C$451,$C301,'TL14'!$J$238:$J$451),0),
IF('TL15'!$B$3=K$3,SUMIF('TL15'!$C$10:$C$224,$C301,'TL15'!$J$10:$J$224),0),
IF('TL15'!$B$229=K$3,SUMIF('TL15'!$C$238:$C$451,$C301,'TL15'!$J$238:$J$451),0),
IF('TL16'!$B$3=K$3,SUMIF('TL16'!$C$10:$C$224,$C301,'TL16'!$J$10:$J$224),0),
IF('TL16'!$B$229=K$3,SUMIF('TL16'!$C$238:$C$451,$C301,'TL16'!$J$238:$J$451),0),
IF('TL17'!$B$3=K$3,SUMIF('TL17'!$C$10:$C$224,$C301,'TL17'!$J$10:$J$224),0),
IF('TL17'!$B$229=K$3,SUMIF('TL17'!$C$238:$C$451,$C301,'TL17'!$J$238:$J$451),0),
IF('TL18'!$B$3=K$3,SUMIF('TL18'!$C$10:$C$224,$C301,'TL18'!$J$10:$J$224),0),
IF('TL18'!$B$229=K$3,SUMIF('TL18'!$C$238:$C$451,$C301,'TL18'!$J$238:$J$451),0),
IF('TL19'!$B$3=K$3,SUMIF('TL19'!$C$10:$C$224,$C301,'TL19'!$J$10:$J$224),0),
IF('TL19'!$B$229=K$3,SUMIF('TL19'!$C$238:$C$451,$C301,'TL19'!$J$238:$J$451),0)
),0)</f>
        <v/>
      </c>
      <c r="L301" s="9">
        <f>IFERROR(SUM(
IF('TL01'!$B$3=L$3,SUMIF('TL01'!$C$10:$C$224,$C301,'TL01'!$J$10:$J$224),0),
IF('TL01'!$B$229=L$3,SUMIF('TL01'!$C$238:$C$451,$C301,'TL01'!$J$238:$J$451),0),
IF('TL02'!$B$3=L$3,SUMIF('TL02'!$C$10:$C$224,$C301,'TL02'!$J$10:$J$224),0),
IF('TL02'!$B$229=L$3,SUMIF('TL02'!$C$238:$C$451,$C301,'TL02'!$J$238:$J$451),0),
IF('TL03'!$B$3=L$3,SUMIF('TL03'!$C$10:$C$224,$C301,'TL03'!$J$10:$J$224),0),
IF('TL03'!$B$229=L$3,SUMIF('TL03'!$C$238:$C$451,$C301,'TL03'!$J$238:$J$451),0),
IF('TL04'!$B$3=L$3,SUMIF('TL04'!$C$10:$C$224,$C301,'TL04'!$J$10:$J$224),0),
IF('TL04'!$B$229=L$3,SUMIF('TL04'!$C$238:$C$451,$C301,'TL04'!$J$238:$J$451),0),
IF('TL05'!$B$3=L$3,SUMIF('TL05'!$C$10:$C$224,$C301,'TL05'!$J$10:$J$224),0),
IF('TL05'!$B$229=L$3,SUMIF('TL05'!$C$238:$C$451,$C301,'TL05'!$J$238:$J$451),0),
IF('TL06'!$B$3=L$3,SUMIF('TL06'!$C$10:$C$224,$C301,'TL06'!$J$10:$J$224),0),
IF('TL06'!$B$229=L$3,SUMIF('TL06'!$C$238:$C$451,$C301,'TL06'!$J$238:$J$451),0),
IF('TL07'!$B$3=L$3,SUMIF('TL07'!$C$10:$C$224,$C301,'TL07'!$J$10:$J$224),0),
IF('TL07'!$B$229=L$3,SUMIF('TL07'!$C$238:$C$451,$C301,'TL07'!$J$238:$J$451),0),
IF('TL08'!$B$3=L$3,SUMIF('TL08'!$C$10:$C$224,$C301,'TL08'!$J$10:$J$224),0),
IF('TL08'!$B$229=L$3,SUMIF('TL08'!$C$238:$C$451,$C301,'TL08'!$J$238:$J$451),0),
IF('TL09'!$B$3=L$3,SUMIF('TL09'!$C$10:$C$224,$C301,'TL09'!$J$10:$J$224),0),
IF('TL09'!$B$229=L$3,SUMIF('TL09'!$C$238:$C$451,$C301,'TL09'!$J$238:$J$451),0),
IF('TL10'!$B$3=L$3,SUMIF('TL10'!$C$10:$C$224,$C301,'TL10'!$J$10:$J$224),0),
IF('TL10'!$B$229=L$3,SUMIF('TL10'!$C$238:$C$451,$C301,'TL10'!$J$238:$J$451),0),
IF('TL11'!$B$3=L$3,SUMIF('TL11'!$C$10:$C$224,$C301,'TL11'!$J$10:$J$224),0),
IF('TL11'!$B$229=L$3,SUMIF('TL11'!$C$238:$C$451,$C301,'TL11'!$J$238:$J$451),0),
IF('TL12'!$B$3=L$3,SUMIF('TL12'!$C$10:$C$224,$C301,'TL12'!$J$10:$J$224),0),
IF('TL12'!$B$229=L$3,SUMIF('TL12'!$C$238:$C$451,$C301,'TL12'!$J$238:$J$451),0),
IF('TL13'!$B$3=L$3,SUMIF('TL13'!$C$10:$C$224,$C301,'TL13'!$J$10:$J$224),0),
IF('TL13'!$B$229=L$3,SUMIF('TL13'!$C$238:$C$451,$C301,'TL13'!$J$238:$J$451),0),
IF('TL14'!$B$3=L$3,SUMIF('TL14'!$C$10:$C$224,$C301,'TL14'!$J$10:$J$224),0),
IF('TL14'!$B$229=L$3,SUMIF('TL14'!$C$238:$C$451,$C301,'TL14'!$J$238:$J$451),0),
IF('TL15'!$B$3=L$3,SUMIF('TL15'!$C$10:$C$224,$C301,'TL15'!$J$10:$J$224),0),
IF('TL15'!$B$229=L$3,SUMIF('TL15'!$C$238:$C$451,$C301,'TL15'!$J$238:$J$451),0),
IF('TL16'!$B$3=L$3,SUMIF('TL16'!$C$10:$C$224,$C301,'TL16'!$J$10:$J$224),0),
IF('TL16'!$B$229=L$3,SUMIF('TL16'!$C$238:$C$451,$C301,'TL16'!$J$238:$J$451),0),
IF('TL17'!$B$3=L$3,SUMIF('TL17'!$C$10:$C$224,$C301,'TL17'!$J$10:$J$224),0),
IF('TL17'!$B$229=L$3,SUMIF('TL17'!$C$238:$C$451,$C301,'TL17'!$J$238:$J$451),0),
IF('TL18'!$B$3=L$3,SUMIF('TL18'!$C$10:$C$224,$C301,'TL18'!$J$10:$J$224),0),
IF('TL18'!$B$229=L$3,SUMIF('TL18'!$C$238:$C$451,$C301,'TL18'!$J$238:$J$451),0),
IF('TL19'!$B$3=L$3,SUMIF('TL19'!$C$10:$C$224,$C301,'TL19'!$J$10:$J$224),0),
IF('TL19'!$B$229=L$3,SUMIF('TL19'!$C$238:$C$451,$C301,'TL19'!$J$238:$J$451),0)
),0)</f>
        <v/>
      </c>
      <c r="M301" s="9">
        <f>IFERROR(SUM(
IF('TL01'!$B$3=M$3,SUMIF('TL01'!$C$10:$C$224,$C301,'TL01'!$J$10:$J$224),0),
IF('TL01'!$B$229=M$3,SUMIF('TL01'!$C$238:$C$451,$C301,'TL01'!$J$238:$J$451),0),
IF('TL02'!$B$3=M$3,SUMIF('TL02'!$C$10:$C$224,$C301,'TL02'!$J$10:$J$224),0),
IF('TL02'!$B$229=M$3,SUMIF('TL02'!$C$238:$C$451,$C301,'TL02'!$J$238:$J$451),0),
IF('TL03'!$B$3=M$3,SUMIF('TL03'!$C$10:$C$224,$C301,'TL03'!$J$10:$J$224),0),
IF('TL03'!$B$229=M$3,SUMIF('TL03'!$C$238:$C$451,$C301,'TL03'!$J$238:$J$451),0),
IF('TL04'!$B$3=M$3,SUMIF('TL04'!$C$10:$C$224,$C301,'TL04'!$J$10:$J$224),0),
IF('TL04'!$B$229=M$3,SUMIF('TL04'!$C$238:$C$451,$C301,'TL04'!$J$238:$J$451),0),
IF('TL05'!$B$3=M$3,SUMIF('TL05'!$C$10:$C$224,$C301,'TL05'!$J$10:$J$224),0),
IF('TL05'!$B$229=M$3,SUMIF('TL05'!$C$238:$C$451,$C301,'TL05'!$J$238:$J$451),0),
IF('TL06'!$B$3=M$3,SUMIF('TL06'!$C$10:$C$224,$C301,'TL06'!$J$10:$J$224),0),
IF('TL06'!$B$229=M$3,SUMIF('TL06'!$C$238:$C$451,$C301,'TL06'!$J$238:$J$451),0),
IF('TL07'!$B$3=M$3,SUMIF('TL07'!$C$10:$C$224,$C301,'TL07'!$J$10:$J$224),0),
IF('TL07'!$B$229=M$3,SUMIF('TL07'!$C$238:$C$451,$C301,'TL07'!$J$238:$J$451),0),
IF('TL08'!$B$3=M$3,SUMIF('TL08'!$C$10:$C$224,$C301,'TL08'!$J$10:$J$224),0),
IF('TL08'!$B$229=M$3,SUMIF('TL08'!$C$238:$C$451,$C301,'TL08'!$J$238:$J$451),0),
IF('TL09'!$B$3=M$3,SUMIF('TL09'!$C$10:$C$224,$C301,'TL09'!$J$10:$J$224),0),
IF('TL09'!$B$229=M$3,SUMIF('TL09'!$C$238:$C$451,$C301,'TL09'!$J$238:$J$451),0),
IF('TL10'!$B$3=M$3,SUMIF('TL10'!$C$10:$C$224,$C301,'TL10'!$J$10:$J$224),0),
IF('TL10'!$B$229=M$3,SUMIF('TL10'!$C$238:$C$451,$C301,'TL10'!$J$238:$J$451),0),
IF('TL11'!$B$3=M$3,SUMIF('TL11'!$C$10:$C$224,$C301,'TL11'!$J$10:$J$224),0),
IF('TL11'!$B$229=M$3,SUMIF('TL11'!$C$238:$C$451,$C301,'TL11'!$J$238:$J$451),0),
IF('TL12'!$B$3=M$3,SUMIF('TL12'!$C$10:$C$224,$C301,'TL12'!$J$10:$J$224),0),
IF('TL12'!$B$229=M$3,SUMIF('TL12'!$C$238:$C$451,$C301,'TL12'!$J$238:$J$451),0),
IF('TL13'!$B$3=M$3,SUMIF('TL13'!$C$10:$C$224,$C301,'TL13'!$J$10:$J$224),0),
IF('TL13'!$B$229=M$3,SUMIF('TL13'!$C$238:$C$451,$C301,'TL13'!$J$238:$J$451),0),
IF('TL14'!$B$3=M$3,SUMIF('TL14'!$C$10:$C$224,$C301,'TL14'!$J$10:$J$224),0),
IF('TL14'!$B$229=M$3,SUMIF('TL14'!$C$238:$C$451,$C301,'TL14'!$J$238:$J$451),0),
IF('TL15'!$B$3=M$3,SUMIF('TL15'!$C$10:$C$224,$C301,'TL15'!$J$10:$J$224),0),
IF('TL15'!$B$229=M$3,SUMIF('TL15'!$C$238:$C$451,$C301,'TL15'!$J$238:$J$451),0),
IF('TL16'!$B$3=M$3,SUMIF('TL16'!$C$10:$C$224,$C301,'TL16'!$J$10:$J$224),0),
IF('TL16'!$B$229=M$3,SUMIF('TL16'!$C$238:$C$451,$C301,'TL16'!$J$238:$J$451),0),
IF('TL17'!$B$3=M$3,SUMIF('TL17'!$C$10:$C$224,$C301,'TL17'!$J$10:$J$224),0),
IF('TL17'!$B$229=M$3,SUMIF('TL17'!$C$238:$C$451,$C301,'TL17'!$J$238:$J$451),0),
IF('TL18'!$B$3=M$3,SUMIF('TL18'!$C$10:$C$224,$C301,'TL18'!$J$10:$J$224),0),
IF('TL18'!$B$229=M$3,SUMIF('TL18'!$C$238:$C$451,$C301,'TL18'!$J$238:$J$451),0),
IF('TL19'!$B$3=M$3,SUMIF('TL19'!$C$10:$C$224,$C301,'TL19'!$J$10:$J$224),0),
IF('TL19'!$B$229=M$3,SUMIF('TL19'!$C$238:$C$451,$C301,'TL19'!$J$238:$J$451),0)
),0)</f>
        <v/>
      </c>
      <c r="N301" s="9">
        <f>IFERROR(SUM(
IF('TL01'!$B$3=N$3,SUMIF('TL01'!$C$10:$C$224,$C301,'TL01'!$J$10:$J$224),0),
IF('TL01'!$B$229=N$3,SUMIF('TL01'!$C$238:$C$451,$C301,'TL01'!$J$238:$J$451),0),
IF('TL02'!$B$3=N$3,SUMIF('TL02'!$C$10:$C$224,$C301,'TL02'!$J$10:$J$224),0),
IF('TL02'!$B$229=N$3,SUMIF('TL02'!$C$238:$C$451,$C301,'TL02'!$J$238:$J$451),0),
IF('TL03'!$B$3=N$3,SUMIF('TL03'!$C$10:$C$224,$C301,'TL03'!$J$10:$J$224),0),
IF('TL03'!$B$229=N$3,SUMIF('TL03'!$C$238:$C$451,$C301,'TL03'!$J$238:$J$451),0),
IF('TL04'!$B$3=N$3,SUMIF('TL04'!$C$10:$C$224,$C301,'TL04'!$J$10:$J$224),0),
IF('TL04'!$B$229=N$3,SUMIF('TL04'!$C$238:$C$451,$C301,'TL04'!$J$238:$J$451),0),
IF('TL05'!$B$3=N$3,SUMIF('TL05'!$C$10:$C$224,$C301,'TL05'!$J$10:$J$224),0),
IF('TL05'!$B$229=N$3,SUMIF('TL05'!$C$238:$C$451,$C301,'TL05'!$J$238:$J$451),0),
IF('TL06'!$B$3=N$3,SUMIF('TL06'!$C$10:$C$224,$C301,'TL06'!$J$10:$J$224),0),
IF('TL06'!$B$229=N$3,SUMIF('TL06'!$C$238:$C$451,$C301,'TL06'!$J$238:$J$451),0),
IF('TL07'!$B$3=N$3,SUMIF('TL07'!$C$10:$C$224,$C301,'TL07'!$J$10:$J$224),0),
IF('TL07'!$B$229=N$3,SUMIF('TL07'!$C$238:$C$451,$C301,'TL07'!$J$238:$J$451),0),
IF('TL08'!$B$3=N$3,SUMIF('TL08'!$C$10:$C$224,$C301,'TL08'!$J$10:$J$224),0),
IF('TL08'!$B$229=N$3,SUMIF('TL08'!$C$238:$C$451,$C301,'TL08'!$J$238:$J$451),0),
IF('TL09'!$B$3=N$3,SUMIF('TL09'!$C$10:$C$224,$C301,'TL09'!$J$10:$J$224),0),
IF('TL09'!$B$229=N$3,SUMIF('TL09'!$C$238:$C$451,$C301,'TL09'!$J$238:$J$451),0),
IF('TL10'!$B$3=N$3,SUMIF('TL10'!$C$10:$C$224,$C301,'TL10'!$J$10:$J$224),0),
IF('TL10'!$B$229=N$3,SUMIF('TL10'!$C$238:$C$451,$C301,'TL10'!$J$238:$J$451),0),
IF('TL11'!$B$3=N$3,SUMIF('TL11'!$C$10:$C$224,$C301,'TL11'!$J$10:$J$224),0),
IF('TL11'!$B$229=N$3,SUMIF('TL11'!$C$238:$C$451,$C301,'TL11'!$J$238:$J$451),0),
IF('TL12'!$B$3=N$3,SUMIF('TL12'!$C$10:$C$224,$C301,'TL12'!$J$10:$J$224),0),
IF('TL12'!$B$229=N$3,SUMIF('TL12'!$C$238:$C$451,$C301,'TL12'!$J$238:$J$451),0),
IF('TL13'!$B$3=N$3,SUMIF('TL13'!$C$10:$C$224,$C301,'TL13'!$J$10:$J$224),0),
IF('TL13'!$B$229=N$3,SUMIF('TL13'!$C$238:$C$451,$C301,'TL13'!$J$238:$J$451),0),
IF('TL14'!$B$3=N$3,SUMIF('TL14'!$C$10:$C$224,$C301,'TL14'!$J$10:$J$224),0),
IF('TL14'!$B$229=N$3,SUMIF('TL14'!$C$238:$C$451,$C301,'TL14'!$J$238:$J$451),0),
IF('TL15'!$B$3=N$3,SUMIF('TL15'!$C$10:$C$224,$C301,'TL15'!$J$10:$J$224),0),
IF('TL15'!$B$229=N$3,SUMIF('TL15'!$C$238:$C$451,$C301,'TL15'!$J$238:$J$451),0),
IF('TL16'!$B$3=N$3,SUMIF('TL16'!$C$10:$C$224,$C301,'TL16'!$J$10:$J$224),0),
IF('TL16'!$B$229=N$3,SUMIF('TL16'!$C$238:$C$451,$C301,'TL16'!$J$238:$J$451),0),
IF('TL17'!$B$3=N$3,SUMIF('TL17'!$C$10:$C$224,$C301,'TL17'!$J$10:$J$224),0),
IF('TL17'!$B$229=N$3,SUMIF('TL17'!$C$238:$C$451,$C301,'TL17'!$J$238:$J$451),0),
IF('TL18'!$B$3=N$3,SUMIF('TL18'!$C$10:$C$224,$C301,'TL18'!$J$10:$J$224),0),
IF('TL18'!$B$229=N$3,SUMIF('TL18'!$C$238:$C$451,$C301,'TL18'!$J$238:$J$451),0),
IF('TL19'!$B$3=N$3,SUMIF('TL19'!$C$10:$C$224,$C301,'TL19'!$J$10:$J$224),0),
IF('TL19'!$B$229=N$3,SUMIF('TL19'!$C$238:$C$451,$C301,'TL19'!$J$238:$J$451),0)
),0)</f>
        <v/>
      </c>
      <c r="O301" s="9">
        <f>IFERROR(SUM(
IF('TL01'!$B$3=O$3,SUMIF('TL01'!$C$10:$C$224,$C301,'TL01'!$J$10:$J$224),0),
IF('TL01'!$B$229=O$3,SUMIF('TL01'!$C$238:$C$451,$C301,'TL01'!$J$238:$J$451),0),
IF('TL02'!$B$3=O$3,SUMIF('TL02'!$C$10:$C$224,$C301,'TL02'!$J$10:$J$224),0),
IF('TL02'!$B$229=O$3,SUMIF('TL02'!$C$238:$C$451,$C301,'TL02'!$J$238:$J$451),0),
IF('TL03'!$B$3=O$3,SUMIF('TL03'!$C$10:$C$224,$C301,'TL03'!$J$10:$J$224),0),
IF('TL03'!$B$229=O$3,SUMIF('TL03'!$C$238:$C$451,$C301,'TL03'!$J$238:$J$451),0),
IF('TL04'!$B$3=O$3,SUMIF('TL04'!$C$10:$C$224,$C301,'TL04'!$J$10:$J$224),0),
IF('TL04'!$B$229=O$3,SUMIF('TL04'!$C$238:$C$451,$C301,'TL04'!$J$238:$J$451),0),
IF('TL05'!$B$3=O$3,SUMIF('TL05'!$C$10:$C$224,$C301,'TL05'!$J$10:$J$224),0),
IF('TL05'!$B$229=O$3,SUMIF('TL05'!$C$238:$C$451,$C301,'TL05'!$J$238:$J$451),0),
IF('TL06'!$B$3=O$3,SUMIF('TL06'!$C$10:$C$224,$C301,'TL06'!$J$10:$J$224),0),
IF('TL06'!$B$229=O$3,SUMIF('TL06'!$C$238:$C$451,$C301,'TL06'!$J$238:$J$451),0),
IF('TL07'!$B$3=O$3,SUMIF('TL07'!$C$10:$C$224,$C301,'TL07'!$J$10:$J$224),0),
IF('TL07'!$B$229=O$3,SUMIF('TL07'!$C$238:$C$451,$C301,'TL07'!$J$238:$J$451),0),
IF('TL08'!$B$3=O$3,SUMIF('TL08'!$C$10:$C$224,$C301,'TL08'!$J$10:$J$224),0),
IF('TL08'!$B$229=O$3,SUMIF('TL08'!$C$238:$C$451,$C301,'TL08'!$J$238:$J$451),0),
IF('TL09'!$B$3=O$3,SUMIF('TL09'!$C$10:$C$224,$C301,'TL09'!$J$10:$J$224),0),
IF('TL09'!$B$229=O$3,SUMIF('TL09'!$C$238:$C$451,$C301,'TL09'!$J$238:$J$451),0),
IF('TL10'!$B$3=O$3,SUMIF('TL10'!$C$10:$C$224,$C301,'TL10'!$J$10:$J$224),0),
IF('TL10'!$B$229=O$3,SUMIF('TL10'!$C$238:$C$451,$C301,'TL10'!$J$238:$J$451),0),
IF('TL11'!$B$3=O$3,SUMIF('TL11'!$C$10:$C$224,$C301,'TL11'!$J$10:$J$224),0),
IF('TL11'!$B$229=O$3,SUMIF('TL11'!$C$238:$C$451,$C301,'TL11'!$J$238:$J$451),0),
IF('TL12'!$B$3=O$3,SUMIF('TL12'!$C$10:$C$224,$C301,'TL12'!$J$10:$J$224),0),
IF('TL12'!$B$229=O$3,SUMIF('TL12'!$C$238:$C$451,$C301,'TL12'!$J$238:$J$451),0),
IF('TL13'!$B$3=O$3,SUMIF('TL13'!$C$10:$C$224,$C301,'TL13'!$J$10:$J$224),0),
IF('TL13'!$B$229=O$3,SUMIF('TL13'!$C$238:$C$451,$C301,'TL13'!$J$238:$J$451),0),
IF('TL14'!$B$3=O$3,SUMIF('TL14'!$C$10:$C$224,$C301,'TL14'!$J$10:$J$224),0),
IF('TL14'!$B$229=O$3,SUMIF('TL14'!$C$238:$C$451,$C301,'TL14'!$J$238:$J$451),0),
IF('TL15'!$B$3=O$3,SUMIF('TL15'!$C$10:$C$224,$C301,'TL15'!$J$10:$J$224),0),
IF('TL15'!$B$229=O$3,SUMIF('TL15'!$C$238:$C$451,$C301,'TL15'!$J$238:$J$451),0),
IF('TL16'!$B$3=O$3,SUMIF('TL16'!$C$10:$C$224,$C301,'TL16'!$J$10:$J$224),0),
IF('TL16'!$B$229=O$3,SUMIF('TL16'!$C$238:$C$451,$C301,'TL16'!$J$238:$J$451),0),
IF('TL17'!$B$3=O$3,SUMIF('TL17'!$C$10:$C$224,$C301,'TL17'!$J$10:$J$224),0),
IF('TL17'!$B$229=O$3,SUMIF('TL17'!$C$238:$C$451,$C301,'TL17'!$J$238:$J$451),0),
IF('TL18'!$B$3=O$3,SUMIF('TL18'!$C$10:$C$224,$C301,'TL18'!$J$10:$J$224),0),
IF('TL18'!$B$229=O$3,SUMIF('TL18'!$C$238:$C$451,$C301,'TL18'!$J$238:$J$451),0),
IF('TL19'!$B$3=O$3,SUMIF('TL19'!$C$10:$C$224,$C301,'TL19'!$J$10:$J$224),0),
IF('TL19'!$B$229=O$3,SUMIF('TL19'!$C$238:$C$451,$C301,'TL19'!$J$238:$J$451),0)
),0)</f>
        <v/>
      </c>
      <c r="P301" s="9">
        <f>IFERROR(SUM(
IF('TL01'!$B$3=P$3,SUMIF('TL01'!$C$10:$C$224,$C301,'TL01'!$J$10:$J$224),0),
IF('TL01'!$B$229=P$3,SUMIF('TL01'!$C$238:$C$451,$C301,'TL01'!$J$238:$J$451),0),
IF('TL02'!$B$3=P$3,SUMIF('TL02'!$C$10:$C$224,$C301,'TL02'!$J$10:$J$224),0),
IF('TL02'!$B$229=P$3,SUMIF('TL02'!$C$238:$C$451,$C301,'TL02'!$J$238:$J$451),0),
IF('TL03'!$B$3=P$3,SUMIF('TL03'!$C$10:$C$224,$C301,'TL03'!$J$10:$J$224),0),
IF('TL03'!$B$229=P$3,SUMIF('TL03'!$C$238:$C$451,$C301,'TL03'!$J$238:$J$451),0),
IF('TL04'!$B$3=P$3,SUMIF('TL04'!$C$10:$C$224,$C301,'TL04'!$J$10:$J$224),0),
IF('TL04'!$B$229=P$3,SUMIF('TL04'!$C$238:$C$451,$C301,'TL04'!$J$238:$J$451),0),
IF('TL05'!$B$3=P$3,SUMIF('TL05'!$C$10:$C$224,$C301,'TL05'!$J$10:$J$224),0),
IF('TL05'!$B$229=P$3,SUMIF('TL05'!$C$238:$C$451,$C301,'TL05'!$J$238:$J$451),0),
IF('TL06'!$B$3=P$3,SUMIF('TL06'!$C$10:$C$224,$C301,'TL06'!$J$10:$J$224),0),
IF('TL06'!$B$229=P$3,SUMIF('TL06'!$C$238:$C$451,$C301,'TL06'!$J$238:$J$451),0),
IF('TL07'!$B$3=P$3,SUMIF('TL07'!$C$10:$C$224,$C301,'TL07'!$J$10:$J$224),0),
IF('TL07'!$B$229=P$3,SUMIF('TL07'!$C$238:$C$451,$C301,'TL07'!$J$238:$J$451),0),
IF('TL08'!$B$3=P$3,SUMIF('TL08'!$C$10:$C$224,$C301,'TL08'!$J$10:$J$224),0),
IF('TL08'!$B$229=P$3,SUMIF('TL08'!$C$238:$C$451,$C301,'TL08'!$J$238:$J$451),0),
IF('TL09'!$B$3=P$3,SUMIF('TL09'!$C$10:$C$224,$C301,'TL09'!$J$10:$J$224),0),
IF('TL09'!$B$229=P$3,SUMIF('TL09'!$C$238:$C$451,$C301,'TL09'!$J$238:$J$451),0),
IF('TL10'!$B$3=P$3,SUMIF('TL10'!$C$10:$C$224,$C301,'TL10'!$J$10:$J$224),0),
IF('TL10'!$B$229=P$3,SUMIF('TL10'!$C$238:$C$451,$C301,'TL10'!$J$238:$J$451),0),
IF('TL11'!$B$3=P$3,SUMIF('TL11'!$C$10:$C$224,$C301,'TL11'!$J$10:$J$224),0),
IF('TL11'!$B$229=P$3,SUMIF('TL11'!$C$238:$C$451,$C301,'TL11'!$J$238:$J$451),0),
IF('TL12'!$B$3=P$3,SUMIF('TL12'!$C$10:$C$224,$C301,'TL12'!$J$10:$J$224),0),
IF('TL12'!$B$229=P$3,SUMIF('TL12'!$C$238:$C$451,$C301,'TL12'!$J$238:$J$451),0),
IF('TL13'!$B$3=P$3,SUMIF('TL13'!$C$10:$C$224,$C301,'TL13'!$J$10:$J$224),0),
IF('TL13'!$B$229=P$3,SUMIF('TL13'!$C$238:$C$451,$C301,'TL13'!$J$238:$J$451),0),
IF('TL14'!$B$3=P$3,SUMIF('TL14'!$C$10:$C$224,$C301,'TL14'!$J$10:$J$224),0),
IF('TL14'!$B$229=P$3,SUMIF('TL14'!$C$238:$C$451,$C301,'TL14'!$J$238:$J$451),0),
IF('TL15'!$B$3=P$3,SUMIF('TL15'!$C$10:$C$224,$C301,'TL15'!$J$10:$J$224),0),
IF('TL15'!$B$229=P$3,SUMIF('TL15'!$C$238:$C$451,$C301,'TL15'!$J$238:$J$451),0),
IF('TL16'!$B$3=P$3,SUMIF('TL16'!$C$10:$C$224,$C301,'TL16'!$J$10:$J$224),0),
IF('TL16'!$B$229=P$3,SUMIF('TL16'!$C$238:$C$451,$C301,'TL16'!$J$238:$J$451),0),
IF('TL17'!$B$3=P$3,SUMIF('TL17'!$C$10:$C$224,$C301,'TL17'!$J$10:$J$224),0),
IF('TL17'!$B$229=P$3,SUMIF('TL17'!$C$238:$C$451,$C301,'TL17'!$J$238:$J$451),0),
IF('TL18'!$B$3=P$3,SUMIF('TL18'!$C$10:$C$224,$C301,'TL18'!$J$10:$J$224),0),
IF('TL18'!$B$229=P$3,SUMIF('TL18'!$C$238:$C$451,$C301,'TL18'!$J$238:$J$451),0),
IF('TL19'!$B$3=P$3,SUMIF('TL19'!$C$10:$C$224,$C301,'TL19'!$J$10:$J$224),0),
IF('TL19'!$B$229=P$3,SUMIF('TL19'!$C$238:$C$451,$C301,'TL19'!$J$238:$J$451),0)
),0)</f>
        <v/>
      </c>
      <c r="Q301" s="9">
        <f>IFERROR(SUM(
IF('TL01'!$B$3=Q$3,SUMIF('TL01'!$C$10:$C$224,$C301,'TL01'!$J$10:$J$224),0),
IF('TL01'!$B$229=Q$3,SUMIF('TL01'!$C$238:$C$451,$C301,'TL01'!$J$238:$J$451),0),
IF('TL02'!$B$3=Q$3,SUMIF('TL02'!$C$10:$C$224,$C301,'TL02'!$J$10:$J$224),0),
IF('TL02'!$B$229=Q$3,SUMIF('TL02'!$C$238:$C$451,$C301,'TL02'!$J$238:$J$451),0),
IF('TL03'!$B$3=Q$3,SUMIF('TL03'!$C$10:$C$224,$C301,'TL03'!$J$10:$J$224),0),
IF('TL03'!$B$229=Q$3,SUMIF('TL03'!$C$238:$C$451,$C301,'TL03'!$J$238:$J$451),0),
IF('TL04'!$B$3=Q$3,SUMIF('TL04'!$C$10:$C$224,$C301,'TL04'!$J$10:$J$224),0),
IF('TL04'!$B$229=Q$3,SUMIF('TL04'!$C$238:$C$451,$C301,'TL04'!$J$238:$J$451),0),
IF('TL05'!$B$3=Q$3,SUMIF('TL05'!$C$10:$C$224,$C301,'TL05'!$J$10:$J$224),0),
IF('TL05'!$B$229=Q$3,SUMIF('TL05'!$C$238:$C$451,$C301,'TL05'!$J$238:$J$451),0),
IF('TL06'!$B$3=Q$3,SUMIF('TL06'!$C$10:$C$224,$C301,'TL06'!$J$10:$J$224),0),
IF('TL06'!$B$229=Q$3,SUMIF('TL06'!$C$238:$C$451,$C301,'TL06'!$J$238:$J$451),0),
IF('TL07'!$B$3=Q$3,SUMIF('TL07'!$C$10:$C$224,$C301,'TL07'!$J$10:$J$224),0),
IF('TL07'!$B$229=Q$3,SUMIF('TL07'!$C$238:$C$451,$C301,'TL07'!$J$238:$J$451),0),
IF('TL08'!$B$3=Q$3,SUMIF('TL08'!$C$10:$C$224,$C301,'TL08'!$J$10:$J$224),0),
IF('TL08'!$B$229=Q$3,SUMIF('TL08'!$C$238:$C$451,$C301,'TL08'!$J$238:$J$451),0),
IF('TL09'!$B$3=Q$3,SUMIF('TL09'!$C$10:$C$224,$C301,'TL09'!$J$10:$J$224),0),
IF('TL09'!$B$229=Q$3,SUMIF('TL09'!$C$238:$C$451,$C301,'TL09'!$J$238:$J$451),0),
IF('TL10'!$B$3=Q$3,SUMIF('TL10'!$C$10:$C$224,$C301,'TL10'!$J$10:$J$224),0),
IF('TL10'!$B$229=Q$3,SUMIF('TL10'!$C$238:$C$451,$C301,'TL10'!$J$238:$J$451),0),
IF('TL11'!$B$3=Q$3,SUMIF('TL11'!$C$10:$C$224,$C301,'TL11'!$J$10:$J$224),0),
IF('TL11'!$B$229=Q$3,SUMIF('TL11'!$C$238:$C$451,$C301,'TL11'!$J$238:$J$451),0),
IF('TL12'!$B$3=Q$3,SUMIF('TL12'!$C$10:$C$224,$C301,'TL12'!$J$10:$J$224),0),
IF('TL12'!$B$229=Q$3,SUMIF('TL12'!$C$238:$C$451,$C301,'TL12'!$J$238:$J$451),0),
IF('TL13'!$B$3=Q$3,SUMIF('TL13'!$C$10:$C$224,$C301,'TL13'!$J$10:$J$224),0),
IF('TL13'!$B$229=Q$3,SUMIF('TL13'!$C$238:$C$451,$C301,'TL13'!$J$238:$J$451),0),
IF('TL14'!$B$3=Q$3,SUMIF('TL14'!$C$10:$C$224,$C301,'TL14'!$J$10:$J$224),0),
IF('TL14'!$B$229=Q$3,SUMIF('TL14'!$C$238:$C$451,$C301,'TL14'!$J$238:$J$451),0),
IF('TL15'!$B$3=Q$3,SUMIF('TL15'!$C$10:$C$224,$C301,'TL15'!$J$10:$J$224),0),
IF('TL15'!$B$229=Q$3,SUMIF('TL15'!$C$238:$C$451,$C301,'TL15'!$J$238:$J$451),0),
IF('TL16'!$B$3=Q$3,SUMIF('TL16'!$C$10:$C$224,$C301,'TL16'!$J$10:$J$224),0),
IF('TL16'!$B$229=Q$3,SUMIF('TL16'!$C$238:$C$451,$C301,'TL16'!$J$238:$J$451),0),
IF('TL17'!$B$3=Q$3,SUMIF('TL17'!$C$10:$C$224,$C301,'TL17'!$J$10:$J$224),0),
IF('TL17'!$B$229=Q$3,SUMIF('TL17'!$C$238:$C$451,$C301,'TL17'!$J$238:$J$451),0),
IF('TL18'!$B$3=Q$3,SUMIF('TL18'!$C$10:$C$224,$C301,'TL18'!$J$10:$J$224),0),
IF('TL18'!$B$229=Q$3,SUMIF('TL18'!$C$238:$C$451,$C301,'TL18'!$J$238:$J$451),0),
IF('TL19'!$B$3=Q$3,SUMIF('TL19'!$C$10:$C$224,$C301,'TL19'!$J$10:$J$224),0),
IF('TL19'!$B$229=Q$3,SUMIF('TL19'!$C$238:$C$451,$C301,'TL19'!$J$238:$J$451),0)
),0)</f>
        <v/>
      </c>
      <c r="R301" s="9">
        <f>IFERROR(
SUM(
SUMIF('TL01'!C:C,C301,'TL01'!J:J),
SUMIF('TL02'!C:C,C301,'TL02'!J:J),
SUMIF('TL03'!C:C,C301,'TL03'!J:J),
SUMIF('TL04'!C:C,C301,'TL04'!J:J),
SUMIF('TL05'!C:C,C301,'TL05'!J:J),
SUMIF('TL06'!C:C,C301,'TL06'!J:J),
SUMIF('TL07'!C:C,C301,'TL07'!J:J),
SUMIF('TL08'!C:C,C301,'TL08'!J:J),
SUMIF('TL09'!C:C,C301,'TL09'!J:J),
SUMIF('TL10'!C:C,C301,'TL10'!J:J),
SUMIF('TL11'!C:C,C301,'TL11'!J:J),
SUMIF('TL12'!C:C,C301,'TL12'!J:J),
SUMIF('TL13'!C:C,C301,'TL13'!J:J),
SUMIF('TL14'!C:C,C301,'TL14'!J:J),
SUMIF('TL15'!C:C,C301,'TL15'!J:J),
SUMIF('TL16'!C:C,C301,'TL16'!J:J),
SUMIF('TL17'!C:C,C301,'TL17'!J:J),
SUMIF('TL18'!C:C,C301,'TL18'!J:J),SUMIF('TL19'!C:C,C301,'TL19'!J:J))
,0)</f>
        <v/>
      </c>
      <c r="S301" s="17">
        <f>IFERROR(__xludf.DUMMYFUNCTION("IFERROR(VLOOKUP(C301,
IMPORTRANGE(""1wULbzX32WdYsx-lj2U3uUNBBe2INVIRDtcK0d-Dvl90"",
""26-27!C:G""),
5,
FALSE),
"""")"),1104.8310000000001)</f>
        <v/>
      </c>
      <c r="T301" s="9" t="n"/>
      <c r="U301" s="92">
        <f>MAX(0,R301-T301)</f>
        <v/>
      </c>
      <c r="V301" s="93">
        <f>U301*S301</f>
        <v/>
      </c>
    </row>
    <row r="302" hidden="1" ht="15.75" customHeight="1" s="297">
      <c r="A302" s="119" t="inlineStr">
        <is>
          <t>SYNGENTA</t>
        </is>
      </c>
      <c r="B302" s="120" t="inlineStr">
        <is>
          <t>TS</t>
        </is>
      </c>
      <c r="C302" s="119" t="inlineStr">
        <is>
          <t>AVICTA 500 FS</t>
        </is>
      </c>
      <c r="D302" s="119" t="inlineStr">
        <is>
          <t>ABAMECTINA</t>
        </is>
      </c>
      <c r="E302" s="119" t="n">
        <v>500</v>
      </c>
      <c r="F302" s="4" t="inlineStr">
        <is>
          <t>L</t>
        </is>
      </c>
      <c r="G302" s="90">
        <f>HYPERLINK("https://www.google.com/search?q=" &amp; C302 &amp; "+bula+agrofit+pdf", "📄 Ver bula")</f>
        <v/>
      </c>
      <c r="H302" s="9">
        <f>IFERROR(__xludf.DUMMYFUNCTION("IFERROR(VLOOKUP(C302,
IMPORTRANGE(""1wULbzX32WdYsx-lj2U3uUNBBe2INVIRDtcK0d-Dvl90"",
""26-27!C:K""),
8,
FALSE),
"""")"),0.25)</f>
        <v/>
      </c>
      <c r="I302" s="121" t="n"/>
      <c r="J302" s="9">
        <f>IFERROR(SUM(
IF('TL01'!$B$3=J$3,SUMIF('TL01'!$C$10:$C$224,$C302,'TL01'!$J$10:$J$224),0),
IF('TL01'!$B$229=J$3,SUMIF('TL01'!$C$238:$C$451,$C302,'TL01'!$J$238:$J$451),0),
IF('TL02'!$B$3=J$3,SUMIF('TL02'!$C$10:$C$224,$C302,'TL02'!$J$10:$J$224),0),
IF('TL02'!$B$229=J$3,SUMIF('TL02'!$C$238:$C$451,$C302,'TL02'!$J$238:$J$451),0),
IF('TL03'!$B$3=J$3,SUMIF('TL03'!$C$10:$C$224,$C302,'TL03'!$J$10:$J$224),0),
IF('TL03'!$B$229=J$3,SUMIF('TL03'!$C$238:$C$451,$C302,'TL03'!$J$238:$J$451),0),
IF('TL04'!$B$3=J$3,SUMIF('TL04'!$C$10:$C$224,$C302,'TL04'!$J$10:$J$224),0),
IF('TL04'!$B$229=J$3,SUMIF('TL04'!$C$238:$C$451,$C302,'TL04'!$J$238:$J$451),0),
IF('TL05'!$B$3=J$3,SUMIF('TL05'!$C$10:$C$224,$C302,'TL05'!$J$10:$J$224),0),
IF('TL05'!$B$229=J$3,SUMIF('TL05'!$C$238:$C$451,$C302,'TL05'!$J$238:$J$451),0),
IF('TL06'!$B$3=J$3,SUMIF('TL06'!$C$10:$C$224,$C302,'TL06'!$J$10:$J$224),0),
IF('TL06'!$B$229=J$3,SUMIF('TL06'!$C$238:$C$451,$C302,'TL06'!$J$238:$J$451),0),
IF('TL07'!$B$3=J$3,SUMIF('TL07'!$C$10:$C$224,$C302,'TL07'!$J$10:$J$224),0),
IF('TL07'!$B$229=J$3,SUMIF('TL07'!$C$238:$C$451,$C302,'TL07'!$J$238:$J$451),0),
IF('TL08'!$B$3=J$3,SUMIF('TL08'!$C$10:$C$224,$C302,'TL08'!$J$10:$J$224),0),
IF('TL08'!$B$229=J$3,SUMIF('TL08'!$C$238:$C$451,$C302,'TL08'!$J$238:$J$451),0),
IF('TL09'!$B$3=J$3,SUMIF('TL09'!$C$10:$C$224,$C302,'TL09'!$J$10:$J$224),0),
IF('TL09'!$B$229=J$3,SUMIF('TL09'!$C$238:$C$451,$C302,'TL09'!$J$238:$J$451),0),
IF('TL10'!$B$3=J$3,SUMIF('TL10'!$C$10:$C$224,$C302,'TL10'!$J$10:$J$224),0),
IF('TL10'!$B$229=J$3,SUMIF('TL10'!$C$238:$C$451,$C302,'TL10'!$J$238:$J$451),0),
IF('TL11'!$B$3=J$3,SUMIF('TL11'!$C$10:$C$224,$C302,'TL11'!$J$10:$J$224),0),
IF('TL11'!$B$229=J$3,SUMIF('TL11'!$C$238:$C$451,$C302,'TL11'!$J$238:$J$451),0),
IF('TL12'!$B$3=J$3,SUMIF('TL12'!$C$10:$C$224,$C302,'TL12'!$J$10:$J$224),0),
IF('TL12'!$B$229=J$3,SUMIF('TL12'!$C$238:$C$451,$C302,'TL12'!$J$238:$J$451),0),
IF('TL13'!$B$3=J$3,SUMIF('TL13'!$C$10:$C$224,$C302,'TL13'!$J$10:$J$224),0),
IF('TL13'!$B$229=J$3,SUMIF('TL13'!$C$238:$C$451,$C302,'TL13'!$J$238:$J$451),0),
IF('TL14'!$B$3=J$3,SUMIF('TL14'!$C$10:$C$224,$C302,'TL14'!$J$10:$J$224),0),
IF('TL14'!$B$229=J$3,SUMIF('TL14'!$C$238:$C$451,$C302,'TL14'!$J$238:$J$451),0),
IF('TL15'!$B$3=J$3,SUMIF('TL15'!$C$10:$C$224,$C302,'TL15'!$J$10:$J$224),0),
IF('TL15'!$B$229=J$3,SUMIF('TL15'!$C$238:$C$451,$C302,'TL15'!$J$238:$J$451),0),
IF('TL16'!$B$3=J$3,SUMIF('TL16'!$C$10:$C$224,$C302,'TL16'!$J$10:$J$224),0),
IF('TL16'!$B$229=J$3,SUMIF('TL16'!$C$238:$C$451,$C302,'TL16'!$J$238:$J$451),0),
IF('TL17'!$B$3=J$3,SUMIF('TL17'!$C$10:$C$224,$C302,'TL17'!$J$10:$J$224),0),
IF('TL17'!$B$229=J$3,SUMIF('TL17'!$C$238:$C$451,$C302,'TL17'!$J$238:$J$451),0),
IF('TL18'!$B$3=J$3,SUMIF('TL18'!$C$10:$C$224,$C302,'TL18'!$J$10:$J$224),0),
IF('TL18'!$B$229=J$3,SUMIF('TL18'!$C$238:$C$451,$C302,'TL18'!$J$238:$J$451),0),
IF('TL19'!$B$3=J$3,SUMIF('TL19'!$C$10:$C$224,$C302,'TL19'!$J$10:$J$224),0),
IF('TL19'!$B$229=J$3,SUMIF('TL19'!$C$238:$C$451,$C302,'TL19'!$J$238:$J$451),0)
),0)</f>
        <v/>
      </c>
      <c r="K302" s="9">
        <f>IFERROR(SUM(
IF('TL01'!$B$3=K$3,SUMIF('TL01'!$C$10:$C$224,$C302,'TL01'!$J$10:$J$224),0),
IF('TL01'!$B$229=K$3,SUMIF('TL01'!$C$238:$C$451,$C302,'TL01'!$J$238:$J$451),0),
IF('TL02'!$B$3=K$3,SUMIF('TL02'!$C$10:$C$224,$C302,'TL02'!$J$10:$J$224),0),
IF('TL02'!$B$229=K$3,SUMIF('TL02'!$C$238:$C$451,$C302,'TL02'!$J$238:$J$451),0),
IF('TL03'!$B$3=K$3,SUMIF('TL03'!$C$10:$C$224,$C302,'TL03'!$J$10:$J$224),0),
IF('TL03'!$B$229=K$3,SUMIF('TL03'!$C$238:$C$451,$C302,'TL03'!$J$238:$J$451),0),
IF('TL04'!$B$3=K$3,SUMIF('TL04'!$C$10:$C$224,$C302,'TL04'!$J$10:$J$224),0),
IF('TL04'!$B$229=K$3,SUMIF('TL04'!$C$238:$C$451,$C302,'TL04'!$J$238:$J$451),0),
IF('TL05'!$B$3=K$3,SUMIF('TL05'!$C$10:$C$224,$C302,'TL05'!$J$10:$J$224),0),
IF('TL05'!$B$229=K$3,SUMIF('TL05'!$C$238:$C$451,$C302,'TL05'!$J$238:$J$451),0),
IF('TL06'!$B$3=K$3,SUMIF('TL06'!$C$10:$C$224,$C302,'TL06'!$J$10:$J$224),0),
IF('TL06'!$B$229=K$3,SUMIF('TL06'!$C$238:$C$451,$C302,'TL06'!$J$238:$J$451),0),
IF('TL07'!$B$3=K$3,SUMIF('TL07'!$C$10:$C$224,$C302,'TL07'!$J$10:$J$224),0),
IF('TL07'!$B$229=K$3,SUMIF('TL07'!$C$238:$C$451,$C302,'TL07'!$J$238:$J$451),0),
IF('TL08'!$B$3=K$3,SUMIF('TL08'!$C$10:$C$224,$C302,'TL08'!$J$10:$J$224),0),
IF('TL08'!$B$229=K$3,SUMIF('TL08'!$C$238:$C$451,$C302,'TL08'!$J$238:$J$451),0),
IF('TL09'!$B$3=K$3,SUMIF('TL09'!$C$10:$C$224,$C302,'TL09'!$J$10:$J$224),0),
IF('TL09'!$B$229=K$3,SUMIF('TL09'!$C$238:$C$451,$C302,'TL09'!$J$238:$J$451),0),
IF('TL10'!$B$3=K$3,SUMIF('TL10'!$C$10:$C$224,$C302,'TL10'!$J$10:$J$224),0),
IF('TL10'!$B$229=K$3,SUMIF('TL10'!$C$238:$C$451,$C302,'TL10'!$J$238:$J$451),0),
IF('TL11'!$B$3=K$3,SUMIF('TL11'!$C$10:$C$224,$C302,'TL11'!$J$10:$J$224),0),
IF('TL11'!$B$229=K$3,SUMIF('TL11'!$C$238:$C$451,$C302,'TL11'!$J$238:$J$451),0),
IF('TL12'!$B$3=K$3,SUMIF('TL12'!$C$10:$C$224,$C302,'TL12'!$J$10:$J$224),0),
IF('TL12'!$B$229=K$3,SUMIF('TL12'!$C$238:$C$451,$C302,'TL12'!$J$238:$J$451),0),
IF('TL13'!$B$3=K$3,SUMIF('TL13'!$C$10:$C$224,$C302,'TL13'!$J$10:$J$224),0),
IF('TL13'!$B$229=K$3,SUMIF('TL13'!$C$238:$C$451,$C302,'TL13'!$J$238:$J$451),0),
IF('TL14'!$B$3=K$3,SUMIF('TL14'!$C$10:$C$224,$C302,'TL14'!$J$10:$J$224),0),
IF('TL14'!$B$229=K$3,SUMIF('TL14'!$C$238:$C$451,$C302,'TL14'!$J$238:$J$451),0),
IF('TL15'!$B$3=K$3,SUMIF('TL15'!$C$10:$C$224,$C302,'TL15'!$J$10:$J$224),0),
IF('TL15'!$B$229=K$3,SUMIF('TL15'!$C$238:$C$451,$C302,'TL15'!$J$238:$J$451),0),
IF('TL16'!$B$3=K$3,SUMIF('TL16'!$C$10:$C$224,$C302,'TL16'!$J$10:$J$224),0),
IF('TL16'!$B$229=K$3,SUMIF('TL16'!$C$238:$C$451,$C302,'TL16'!$J$238:$J$451),0),
IF('TL17'!$B$3=K$3,SUMIF('TL17'!$C$10:$C$224,$C302,'TL17'!$J$10:$J$224),0),
IF('TL17'!$B$229=K$3,SUMIF('TL17'!$C$238:$C$451,$C302,'TL17'!$J$238:$J$451),0),
IF('TL18'!$B$3=K$3,SUMIF('TL18'!$C$10:$C$224,$C302,'TL18'!$J$10:$J$224),0),
IF('TL18'!$B$229=K$3,SUMIF('TL18'!$C$238:$C$451,$C302,'TL18'!$J$238:$J$451),0),
IF('TL19'!$B$3=K$3,SUMIF('TL19'!$C$10:$C$224,$C302,'TL19'!$J$10:$J$224),0),
IF('TL19'!$B$229=K$3,SUMIF('TL19'!$C$238:$C$451,$C302,'TL19'!$J$238:$J$451),0)
),0)</f>
        <v/>
      </c>
      <c r="L302" s="9">
        <f>IFERROR(SUM(
IF('TL01'!$B$3=L$3,SUMIF('TL01'!$C$10:$C$224,$C302,'TL01'!$J$10:$J$224),0),
IF('TL01'!$B$229=L$3,SUMIF('TL01'!$C$238:$C$451,$C302,'TL01'!$J$238:$J$451),0),
IF('TL02'!$B$3=L$3,SUMIF('TL02'!$C$10:$C$224,$C302,'TL02'!$J$10:$J$224),0),
IF('TL02'!$B$229=L$3,SUMIF('TL02'!$C$238:$C$451,$C302,'TL02'!$J$238:$J$451),0),
IF('TL03'!$B$3=L$3,SUMIF('TL03'!$C$10:$C$224,$C302,'TL03'!$J$10:$J$224),0),
IF('TL03'!$B$229=L$3,SUMIF('TL03'!$C$238:$C$451,$C302,'TL03'!$J$238:$J$451),0),
IF('TL04'!$B$3=L$3,SUMIF('TL04'!$C$10:$C$224,$C302,'TL04'!$J$10:$J$224),0),
IF('TL04'!$B$229=L$3,SUMIF('TL04'!$C$238:$C$451,$C302,'TL04'!$J$238:$J$451),0),
IF('TL05'!$B$3=L$3,SUMIF('TL05'!$C$10:$C$224,$C302,'TL05'!$J$10:$J$224),0),
IF('TL05'!$B$229=L$3,SUMIF('TL05'!$C$238:$C$451,$C302,'TL05'!$J$238:$J$451),0),
IF('TL06'!$B$3=L$3,SUMIF('TL06'!$C$10:$C$224,$C302,'TL06'!$J$10:$J$224),0),
IF('TL06'!$B$229=L$3,SUMIF('TL06'!$C$238:$C$451,$C302,'TL06'!$J$238:$J$451),0),
IF('TL07'!$B$3=L$3,SUMIF('TL07'!$C$10:$C$224,$C302,'TL07'!$J$10:$J$224),0),
IF('TL07'!$B$229=L$3,SUMIF('TL07'!$C$238:$C$451,$C302,'TL07'!$J$238:$J$451),0),
IF('TL08'!$B$3=L$3,SUMIF('TL08'!$C$10:$C$224,$C302,'TL08'!$J$10:$J$224),0),
IF('TL08'!$B$229=L$3,SUMIF('TL08'!$C$238:$C$451,$C302,'TL08'!$J$238:$J$451),0),
IF('TL09'!$B$3=L$3,SUMIF('TL09'!$C$10:$C$224,$C302,'TL09'!$J$10:$J$224),0),
IF('TL09'!$B$229=L$3,SUMIF('TL09'!$C$238:$C$451,$C302,'TL09'!$J$238:$J$451),0),
IF('TL10'!$B$3=L$3,SUMIF('TL10'!$C$10:$C$224,$C302,'TL10'!$J$10:$J$224),0),
IF('TL10'!$B$229=L$3,SUMIF('TL10'!$C$238:$C$451,$C302,'TL10'!$J$238:$J$451),0),
IF('TL11'!$B$3=L$3,SUMIF('TL11'!$C$10:$C$224,$C302,'TL11'!$J$10:$J$224),0),
IF('TL11'!$B$229=L$3,SUMIF('TL11'!$C$238:$C$451,$C302,'TL11'!$J$238:$J$451),0),
IF('TL12'!$B$3=L$3,SUMIF('TL12'!$C$10:$C$224,$C302,'TL12'!$J$10:$J$224),0),
IF('TL12'!$B$229=L$3,SUMIF('TL12'!$C$238:$C$451,$C302,'TL12'!$J$238:$J$451),0),
IF('TL13'!$B$3=L$3,SUMIF('TL13'!$C$10:$C$224,$C302,'TL13'!$J$10:$J$224),0),
IF('TL13'!$B$229=L$3,SUMIF('TL13'!$C$238:$C$451,$C302,'TL13'!$J$238:$J$451),0),
IF('TL14'!$B$3=L$3,SUMIF('TL14'!$C$10:$C$224,$C302,'TL14'!$J$10:$J$224),0),
IF('TL14'!$B$229=L$3,SUMIF('TL14'!$C$238:$C$451,$C302,'TL14'!$J$238:$J$451),0),
IF('TL15'!$B$3=L$3,SUMIF('TL15'!$C$10:$C$224,$C302,'TL15'!$J$10:$J$224),0),
IF('TL15'!$B$229=L$3,SUMIF('TL15'!$C$238:$C$451,$C302,'TL15'!$J$238:$J$451),0),
IF('TL16'!$B$3=L$3,SUMIF('TL16'!$C$10:$C$224,$C302,'TL16'!$J$10:$J$224),0),
IF('TL16'!$B$229=L$3,SUMIF('TL16'!$C$238:$C$451,$C302,'TL16'!$J$238:$J$451),0),
IF('TL17'!$B$3=L$3,SUMIF('TL17'!$C$10:$C$224,$C302,'TL17'!$J$10:$J$224),0),
IF('TL17'!$B$229=L$3,SUMIF('TL17'!$C$238:$C$451,$C302,'TL17'!$J$238:$J$451),0),
IF('TL18'!$B$3=L$3,SUMIF('TL18'!$C$10:$C$224,$C302,'TL18'!$J$10:$J$224),0),
IF('TL18'!$B$229=L$3,SUMIF('TL18'!$C$238:$C$451,$C302,'TL18'!$J$238:$J$451),0),
IF('TL19'!$B$3=L$3,SUMIF('TL19'!$C$10:$C$224,$C302,'TL19'!$J$10:$J$224),0),
IF('TL19'!$B$229=L$3,SUMIF('TL19'!$C$238:$C$451,$C302,'TL19'!$J$238:$J$451),0)
),0)</f>
        <v/>
      </c>
      <c r="M302" s="9">
        <f>IFERROR(SUM(
IF('TL01'!$B$3=M$3,SUMIF('TL01'!$C$10:$C$224,$C302,'TL01'!$J$10:$J$224),0),
IF('TL01'!$B$229=M$3,SUMIF('TL01'!$C$238:$C$451,$C302,'TL01'!$J$238:$J$451),0),
IF('TL02'!$B$3=M$3,SUMIF('TL02'!$C$10:$C$224,$C302,'TL02'!$J$10:$J$224),0),
IF('TL02'!$B$229=M$3,SUMIF('TL02'!$C$238:$C$451,$C302,'TL02'!$J$238:$J$451),0),
IF('TL03'!$B$3=M$3,SUMIF('TL03'!$C$10:$C$224,$C302,'TL03'!$J$10:$J$224),0),
IF('TL03'!$B$229=M$3,SUMIF('TL03'!$C$238:$C$451,$C302,'TL03'!$J$238:$J$451),0),
IF('TL04'!$B$3=M$3,SUMIF('TL04'!$C$10:$C$224,$C302,'TL04'!$J$10:$J$224),0),
IF('TL04'!$B$229=M$3,SUMIF('TL04'!$C$238:$C$451,$C302,'TL04'!$J$238:$J$451),0),
IF('TL05'!$B$3=M$3,SUMIF('TL05'!$C$10:$C$224,$C302,'TL05'!$J$10:$J$224),0),
IF('TL05'!$B$229=M$3,SUMIF('TL05'!$C$238:$C$451,$C302,'TL05'!$J$238:$J$451),0),
IF('TL06'!$B$3=M$3,SUMIF('TL06'!$C$10:$C$224,$C302,'TL06'!$J$10:$J$224),0),
IF('TL06'!$B$229=M$3,SUMIF('TL06'!$C$238:$C$451,$C302,'TL06'!$J$238:$J$451),0),
IF('TL07'!$B$3=M$3,SUMIF('TL07'!$C$10:$C$224,$C302,'TL07'!$J$10:$J$224),0),
IF('TL07'!$B$229=M$3,SUMIF('TL07'!$C$238:$C$451,$C302,'TL07'!$J$238:$J$451),0),
IF('TL08'!$B$3=M$3,SUMIF('TL08'!$C$10:$C$224,$C302,'TL08'!$J$10:$J$224),0),
IF('TL08'!$B$229=M$3,SUMIF('TL08'!$C$238:$C$451,$C302,'TL08'!$J$238:$J$451),0),
IF('TL09'!$B$3=M$3,SUMIF('TL09'!$C$10:$C$224,$C302,'TL09'!$J$10:$J$224),0),
IF('TL09'!$B$229=M$3,SUMIF('TL09'!$C$238:$C$451,$C302,'TL09'!$J$238:$J$451),0),
IF('TL10'!$B$3=M$3,SUMIF('TL10'!$C$10:$C$224,$C302,'TL10'!$J$10:$J$224),0),
IF('TL10'!$B$229=M$3,SUMIF('TL10'!$C$238:$C$451,$C302,'TL10'!$J$238:$J$451),0),
IF('TL11'!$B$3=M$3,SUMIF('TL11'!$C$10:$C$224,$C302,'TL11'!$J$10:$J$224),0),
IF('TL11'!$B$229=M$3,SUMIF('TL11'!$C$238:$C$451,$C302,'TL11'!$J$238:$J$451),0),
IF('TL12'!$B$3=M$3,SUMIF('TL12'!$C$10:$C$224,$C302,'TL12'!$J$10:$J$224),0),
IF('TL12'!$B$229=M$3,SUMIF('TL12'!$C$238:$C$451,$C302,'TL12'!$J$238:$J$451),0),
IF('TL13'!$B$3=M$3,SUMIF('TL13'!$C$10:$C$224,$C302,'TL13'!$J$10:$J$224),0),
IF('TL13'!$B$229=M$3,SUMIF('TL13'!$C$238:$C$451,$C302,'TL13'!$J$238:$J$451),0),
IF('TL14'!$B$3=M$3,SUMIF('TL14'!$C$10:$C$224,$C302,'TL14'!$J$10:$J$224),0),
IF('TL14'!$B$229=M$3,SUMIF('TL14'!$C$238:$C$451,$C302,'TL14'!$J$238:$J$451),0),
IF('TL15'!$B$3=M$3,SUMIF('TL15'!$C$10:$C$224,$C302,'TL15'!$J$10:$J$224),0),
IF('TL15'!$B$229=M$3,SUMIF('TL15'!$C$238:$C$451,$C302,'TL15'!$J$238:$J$451),0),
IF('TL16'!$B$3=M$3,SUMIF('TL16'!$C$10:$C$224,$C302,'TL16'!$J$10:$J$224),0),
IF('TL16'!$B$229=M$3,SUMIF('TL16'!$C$238:$C$451,$C302,'TL16'!$J$238:$J$451),0),
IF('TL17'!$B$3=M$3,SUMIF('TL17'!$C$10:$C$224,$C302,'TL17'!$J$10:$J$224),0),
IF('TL17'!$B$229=M$3,SUMIF('TL17'!$C$238:$C$451,$C302,'TL17'!$J$238:$J$451),0),
IF('TL18'!$B$3=M$3,SUMIF('TL18'!$C$10:$C$224,$C302,'TL18'!$J$10:$J$224),0),
IF('TL18'!$B$229=M$3,SUMIF('TL18'!$C$238:$C$451,$C302,'TL18'!$J$238:$J$451),0),
IF('TL19'!$B$3=M$3,SUMIF('TL19'!$C$10:$C$224,$C302,'TL19'!$J$10:$J$224),0),
IF('TL19'!$B$229=M$3,SUMIF('TL19'!$C$238:$C$451,$C302,'TL19'!$J$238:$J$451),0)
),0)</f>
        <v/>
      </c>
      <c r="N302" s="9">
        <f>IFERROR(SUM(
IF('TL01'!$B$3=N$3,SUMIF('TL01'!$C$10:$C$224,$C302,'TL01'!$J$10:$J$224),0),
IF('TL01'!$B$229=N$3,SUMIF('TL01'!$C$238:$C$451,$C302,'TL01'!$J$238:$J$451),0),
IF('TL02'!$B$3=N$3,SUMIF('TL02'!$C$10:$C$224,$C302,'TL02'!$J$10:$J$224),0),
IF('TL02'!$B$229=N$3,SUMIF('TL02'!$C$238:$C$451,$C302,'TL02'!$J$238:$J$451),0),
IF('TL03'!$B$3=N$3,SUMIF('TL03'!$C$10:$C$224,$C302,'TL03'!$J$10:$J$224),0),
IF('TL03'!$B$229=N$3,SUMIF('TL03'!$C$238:$C$451,$C302,'TL03'!$J$238:$J$451),0),
IF('TL04'!$B$3=N$3,SUMIF('TL04'!$C$10:$C$224,$C302,'TL04'!$J$10:$J$224),0),
IF('TL04'!$B$229=N$3,SUMIF('TL04'!$C$238:$C$451,$C302,'TL04'!$J$238:$J$451),0),
IF('TL05'!$B$3=N$3,SUMIF('TL05'!$C$10:$C$224,$C302,'TL05'!$J$10:$J$224),0),
IF('TL05'!$B$229=N$3,SUMIF('TL05'!$C$238:$C$451,$C302,'TL05'!$J$238:$J$451),0),
IF('TL06'!$B$3=N$3,SUMIF('TL06'!$C$10:$C$224,$C302,'TL06'!$J$10:$J$224),0),
IF('TL06'!$B$229=N$3,SUMIF('TL06'!$C$238:$C$451,$C302,'TL06'!$J$238:$J$451),0),
IF('TL07'!$B$3=N$3,SUMIF('TL07'!$C$10:$C$224,$C302,'TL07'!$J$10:$J$224),0),
IF('TL07'!$B$229=N$3,SUMIF('TL07'!$C$238:$C$451,$C302,'TL07'!$J$238:$J$451),0),
IF('TL08'!$B$3=N$3,SUMIF('TL08'!$C$10:$C$224,$C302,'TL08'!$J$10:$J$224),0),
IF('TL08'!$B$229=N$3,SUMIF('TL08'!$C$238:$C$451,$C302,'TL08'!$J$238:$J$451),0),
IF('TL09'!$B$3=N$3,SUMIF('TL09'!$C$10:$C$224,$C302,'TL09'!$J$10:$J$224),0),
IF('TL09'!$B$229=N$3,SUMIF('TL09'!$C$238:$C$451,$C302,'TL09'!$J$238:$J$451),0),
IF('TL10'!$B$3=N$3,SUMIF('TL10'!$C$10:$C$224,$C302,'TL10'!$J$10:$J$224),0),
IF('TL10'!$B$229=N$3,SUMIF('TL10'!$C$238:$C$451,$C302,'TL10'!$J$238:$J$451),0),
IF('TL11'!$B$3=N$3,SUMIF('TL11'!$C$10:$C$224,$C302,'TL11'!$J$10:$J$224),0),
IF('TL11'!$B$229=N$3,SUMIF('TL11'!$C$238:$C$451,$C302,'TL11'!$J$238:$J$451),0),
IF('TL12'!$B$3=N$3,SUMIF('TL12'!$C$10:$C$224,$C302,'TL12'!$J$10:$J$224),0),
IF('TL12'!$B$229=N$3,SUMIF('TL12'!$C$238:$C$451,$C302,'TL12'!$J$238:$J$451),0),
IF('TL13'!$B$3=N$3,SUMIF('TL13'!$C$10:$C$224,$C302,'TL13'!$J$10:$J$224),0),
IF('TL13'!$B$229=N$3,SUMIF('TL13'!$C$238:$C$451,$C302,'TL13'!$J$238:$J$451),0),
IF('TL14'!$B$3=N$3,SUMIF('TL14'!$C$10:$C$224,$C302,'TL14'!$J$10:$J$224),0),
IF('TL14'!$B$229=N$3,SUMIF('TL14'!$C$238:$C$451,$C302,'TL14'!$J$238:$J$451),0),
IF('TL15'!$B$3=N$3,SUMIF('TL15'!$C$10:$C$224,$C302,'TL15'!$J$10:$J$224),0),
IF('TL15'!$B$229=N$3,SUMIF('TL15'!$C$238:$C$451,$C302,'TL15'!$J$238:$J$451),0),
IF('TL16'!$B$3=N$3,SUMIF('TL16'!$C$10:$C$224,$C302,'TL16'!$J$10:$J$224),0),
IF('TL16'!$B$229=N$3,SUMIF('TL16'!$C$238:$C$451,$C302,'TL16'!$J$238:$J$451),0),
IF('TL17'!$B$3=N$3,SUMIF('TL17'!$C$10:$C$224,$C302,'TL17'!$J$10:$J$224),0),
IF('TL17'!$B$229=N$3,SUMIF('TL17'!$C$238:$C$451,$C302,'TL17'!$J$238:$J$451),0),
IF('TL18'!$B$3=N$3,SUMIF('TL18'!$C$10:$C$224,$C302,'TL18'!$J$10:$J$224),0),
IF('TL18'!$B$229=N$3,SUMIF('TL18'!$C$238:$C$451,$C302,'TL18'!$J$238:$J$451),0),
IF('TL19'!$B$3=N$3,SUMIF('TL19'!$C$10:$C$224,$C302,'TL19'!$J$10:$J$224),0),
IF('TL19'!$B$229=N$3,SUMIF('TL19'!$C$238:$C$451,$C302,'TL19'!$J$238:$J$451),0)
),0)</f>
        <v/>
      </c>
      <c r="O302" s="9">
        <f>IFERROR(SUM(
IF('TL01'!$B$3=O$3,SUMIF('TL01'!$C$10:$C$224,$C302,'TL01'!$J$10:$J$224),0),
IF('TL01'!$B$229=O$3,SUMIF('TL01'!$C$238:$C$451,$C302,'TL01'!$J$238:$J$451),0),
IF('TL02'!$B$3=O$3,SUMIF('TL02'!$C$10:$C$224,$C302,'TL02'!$J$10:$J$224),0),
IF('TL02'!$B$229=O$3,SUMIF('TL02'!$C$238:$C$451,$C302,'TL02'!$J$238:$J$451),0),
IF('TL03'!$B$3=O$3,SUMIF('TL03'!$C$10:$C$224,$C302,'TL03'!$J$10:$J$224),0),
IF('TL03'!$B$229=O$3,SUMIF('TL03'!$C$238:$C$451,$C302,'TL03'!$J$238:$J$451),0),
IF('TL04'!$B$3=O$3,SUMIF('TL04'!$C$10:$C$224,$C302,'TL04'!$J$10:$J$224),0),
IF('TL04'!$B$229=O$3,SUMIF('TL04'!$C$238:$C$451,$C302,'TL04'!$J$238:$J$451),0),
IF('TL05'!$B$3=O$3,SUMIF('TL05'!$C$10:$C$224,$C302,'TL05'!$J$10:$J$224),0),
IF('TL05'!$B$229=O$3,SUMIF('TL05'!$C$238:$C$451,$C302,'TL05'!$J$238:$J$451),0),
IF('TL06'!$B$3=O$3,SUMIF('TL06'!$C$10:$C$224,$C302,'TL06'!$J$10:$J$224),0),
IF('TL06'!$B$229=O$3,SUMIF('TL06'!$C$238:$C$451,$C302,'TL06'!$J$238:$J$451),0),
IF('TL07'!$B$3=O$3,SUMIF('TL07'!$C$10:$C$224,$C302,'TL07'!$J$10:$J$224),0),
IF('TL07'!$B$229=O$3,SUMIF('TL07'!$C$238:$C$451,$C302,'TL07'!$J$238:$J$451),0),
IF('TL08'!$B$3=O$3,SUMIF('TL08'!$C$10:$C$224,$C302,'TL08'!$J$10:$J$224),0),
IF('TL08'!$B$229=O$3,SUMIF('TL08'!$C$238:$C$451,$C302,'TL08'!$J$238:$J$451),0),
IF('TL09'!$B$3=O$3,SUMIF('TL09'!$C$10:$C$224,$C302,'TL09'!$J$10:$J$224),0),
IF('TL09'!$B$229=O$3,SUMIF('TL09'!$C$238:$C$451,$C302,'TL09'!$J$238:$J$451),0),
IF('TL10'!$B$3=O$3,SUMIF('TL10'!$C$10:$C$224,$C302,'TL10'!$J$10:$J$224),0),
IF('TL10'!$B$229=O$3,SUMIF('TL10'!$C$238:$C$451,$C302,'TL10'!$J$238:$J$451),0),
IF('TL11'!$B$3=O$3,SUMIF('TL11'!$C$10:$C$224,$C302,'TL11'!$J$10:$J$224),0),
IF('TL11'!$B$229=O$3,SUMIF('TL11'!$C$238:$C$451,$C302,'TL11'!$J$238:$J$451),0),
IF('TL12'!$B$3=O$3,SUMIF('TL12'!$C$10:$C$224,$C302,'TL12'!$J$10:$J$224),0),
IF('TL12'!$B$229=O$3,SUMIF('TL12'!$C$238:$C$451,$C302,'TL12'!$J$238:$J$451),0),
IF('TL13'!$B$3=O$3,SUMIF('TL13'!$C$10:$C$224,$C302,'TL13'!$J$10:$J$224),0),
IF('TL13'!$B$229=O$3,SUMIF('TL13'!$C$238:$C$451,$C302,'TL13'!$J$238:$J$451),0),
IF('TL14'!$B$3=O$3,SUMIF('TL14'!$C$10:$C$224,$C302,'TL14'!$J$10:$J$224),0),
IF('TL14'!$B$229=O$3,SUMIF('TL14'!$C$238:$C$451,$C302,'TL14'!$J$238:$J$451),0),
IF('TL15'!$B$3=O$3,SUMIF('TL15'!$C$10:$C$224,$C302,'TL15'!$J$10:$J$224),0),
IF('TL15'!$B$229=O$3,SUMIF('TL15'!$C$238:$C$451,$C302,'TL15'!$J$238:$J$451),0),
IF('TL16'!$B$3=O$3,SUMIF('TL16'!$C$10:$C$224,$C302,'TL16'!$J$10:$J$224),0),
IF('TL16'!$B$229=O$3,SUMIF('TL16'!$C$238:$C$451,$C302,'TL16'!$J$238:$J$451),0),
IF('TL17'!$B$3=O$3,SUMIF('TL17'!$C$10:$C$224,$C302,'TL17'!$J$10:$J$224),0),
IF('TL17'!$B$229=O$3,SUMIF('TL17'!$C$238:$C$451,$C302,'TL17'!$J$238:$J$451),0),
IF('TL18'!$B$3=O$3,SUMIF('TL18'!$C$10:$C$224,$C302,'TL18'!$J$10:$J$224),0),
IF('TL18'!$B$229=O$3,SUMIF('TL18'!$C$238:$C$451,$C302,'TL18'!$J$238:$J$451),0),
IF('TL19'!$B$3=O$3,SUMIF('TL19'!$C$10:$C$224,$C302,'TL19'!$J$10:$J$224),0),
IF('TL19'!$B$229=O$3,SUMIF('TL19'!$C$238:$C$451,$C302,'TL19'!$J$238:$J$451),0)
),0)</f>
        <v/>
      </c>
      <c r="P302" s="9">
        <f>IFERROR(SUM(
IF('TL01'!$B$3=P$3,SUMIF('TL01'!$C$10:$C$224,$C302,'TL01'!$J$10:$J$224),0),
IF('TL01'!$B$229=P$3,SUMIF('TL01'!$C$238:$C$451,$C302,'TL01'!$J$238:$J$451),0),
IF('TL02'!$B$3=P$3,SUMIF('TL02'!$C$10:$C$224,$C302,'TL02'!$J$10:$J$224),0),
IF('TL02'!$B$229=P$3,SUMIF('TL02'!$C$238:$C$451,$C302,'TL02'!$J$238:$J$451),0),
IF('TL03'!$B$3=P$3,SUMIF('TL03'!$C$10:$C$224,$C302,'TL03'!$J$10:$J$224),0),
IF('TL03'!$B$229=P$3,SUMIF('TL03'!$C$238:$C$451,$C302,'TL03'!$J$238:$J$451),0),
IF('TL04'!$B$3=P$3,SUMIF('TL04'!$C$10:$C$224,$C302,'TL04'!$J$10:$J$224),0),
IF('TL04'!$B$229=P$3,SUMIF('TL04'!$C$238:$C$451,$C302,'TL04'!$J$238:$J$451),0),
IF('TL05'!$B$3=P$3,SUMIF('TL05'!$C$10:$C$224,$C302,'TL05'!$J$10:$J$224),0),
IF('TL05'!$B$229=P$3,SUMIF('TL05'!$C$238:$C$451,$C302,'TL05'!$J$238:$J$451),0),
IF('TL06'!$B$3=P$3,SUMIF('TL06'!$C$10:$C$224,$C302,'TL06'!$J$10:$J$224),0),
IF('TL06'!$B$229=P$3,SUMIF('TL06'!$C$238:$C$451,$C302,'TL06'!$J$238:$J$451),0),
IF('TL07'!$B$3=P$3,SUMIF('TL07'!$C$10:$C$224,$C302,'TL07'!$J$10:$J$224),0),
IF('TL07'!$B$229=P$3,SUMIF('TL07'!$C$238:$C$451,$C302,'TL07'!$J$238:$J$451),0),
IF('TL08'!$B$3=P$3,SUMIF('TL08'!$C$10:$C$224,$C302,'TL08'!$J$10:$J$224),0),
IF('TL08'!$B$229=P$3,SUMIF('TL08'!$C$238:$C$451,$C302,'TL08'!$J$238:$J$451),0),
IF('TL09'!$B$3=P$3,SUMIF('TL09'!$C$10:$C$224,$C302,'TL09'!$J$10:$J$224),0),
IF('TL09'!$B$229=P$3,SUMIF('TL09'!$C$238:$C$451,$C302,'TL09'!$J$238:$J$451),0),
IF('TL10'!$B$3=P$3,SUMIF('TL10'!$C$10:$C$224,$C302,'TL10'!$J$10:$J$224),0),
IF('TL10'!$B$229=P$3,SUMIF('TL10'!$C$238:$C$451,$C302,'TL10'!$J$238:$J$451),0),
IF('TL11'!$B$3=P$3,SUMIF('TL11'!$C$10:$C$224,$C302,'TL11'!$J$10:$J$224),0),
IF('TL11'!$B$229=P$3,SUMIF('TL11'!$C$238:$C$451,$C302,'TL11'!$J$238:$J$451),0),
IF('TL12'!$B$3=P$3,SUMIF('TL12'!$C$10:$C$224,$C302,'TL12'!$J$10:$J$224),0),
IF('TL12'!$B$229=P$3,SUMIF('TL12'!$C$238:$C$451,$C302,'TL12'!$J$238:$J$451),0),
IF('TL13'!$B$3=P$3,SUMIF('TL13'!$C$10:$C$224,$C302,'TL13'!$J$10:$J$224),0),
IF('TL13'!$B$229=P$3,SUMIF('TL13'!$C$238:$C$451,$C302,'TL13'!$J$238:$J$451),0),
IF('TL14'!$B$3=P$3,SUMIF('TL14'!$C$10:$C$224,$C302,'TL14'!$J$10:$J$224),0),
IF('TL14'!$B$229=P$3,SUMIF('TL14'!$C$238:$C$451,$C302,'TL14'!$J$238:$J$451),0),
IF('TL15'!$B$3=P$3,SUMIF('TL15'!$C$10:$C$224,$C302,'TL15'!$J$10:$J$224),0),
IF('TL15'!$B$229=P$3,SUMIF('TL15'!$C$238:$C$451,$C302,'TL15'!$J$238:$J$451),0),
IF('TL16'!$B$3=P$3,SUMIF('TL16'!$C$10:$C$224,$C302,'TL16'!$J$10:$J$224),0),
IF('TL16'!$B$229=P$3,SUMIF('TL16'!$C$238:$C$451,$C302,'TL16'!$J$238:$J$451),0),
IF('TL17'!$B$3=P$3,SUMIF('TL17'!$C$10:$C$224,$C302,'TL17'!$J$10:$J$224),0),
IF('TL17'!$B$229=P$3,SUMIF('TL17'!$C$238:$C$451,$C302,'TL17'!$J$238:$J$451),0),
IF('TL18'!$B$3=P$3,SUMIF('TL18'!$C$10:$C$224,$C302,'TL18'!$J$10:$J$224),0),
IF('TL18'!$B$229=P$3,SUMIF('TL18'!$C$238:$C$451,$C302,'TL18'!$J$238:$J$451),0),
IF('TL19'!$B$3=P$3,SUMIF('TL19'!$C$10:$C$224,$C302,'TL19'!$J$10:$J$224),0),
IF('TL19'!$B$229=P$3,SUMIF('TL19'!$C$238:$C$451,$C302,'TL19'!$J$238:$J$451),0)
),0)</f>
        <v/>
      </c>
      <c r="Q302" s="9">
        <f>IFERROR(SUM(
IF('TL01'!$B$3=Q$3,SUMIF('TL01'!$C$10:$C$224,$C302,'TL01'!$J$10:$J$224),0),
IF('TL01'!$B$229=Q$3,SUMIF('TL01'!$C$238:$C$451,$C302,'TL01'!$J$238:$J$451),0),
IF('TL02'!$B$3=Q$3,SUMIF('TL02'!$C$10:$C$224,$C302,'TL02'!$J$10:$J$224),0),
IF('TL02'!$B$229=Q$3,SUMIF('TL02'!$C$238:$C$451,$C302,'TL02'!$J$238:$J$451),0),
IF('TL03'!$B$3=Q$3,SUMIF('TL03'!$C$10:$C$224,$C302,'TL03'!$J$10:$J$224),0),
IF('TL03'!$B$229=Q$3,SUMIF('TL03'!$C$238:$C$451,$C302,'TL03'!$J$238:$J$451),0),
IF('TL04'!$B$3=Q$3,SUMIF('TL04'!$C$10:$C$224,$C302,'TL04'!$J$10:$J$224),0),
IF('TL04'!$B$229=Q$3,SUMIF('TL04'!$C$238:$C$451,$C302,'TL04'!$J$238:$J$451),0),
IF('TL05'!$B$3=Q$3,SUMIF('TL05'!$C$10:$C$224,$C302,'TL05'!$J$10:$J$224),0),
IF('TL05'!$B$229=Q$3,SUMIF('TL05'!$C$238:$C$451,$C302,'TL05'!$J$238:$J$451),0),
IF('TL06'!$B$3=Q$3,SUMIF('TL06'!$C$10:$C$224,$C302,'TL06'!$J$10:$J$224),0),
IF('TL06'!$B$229=Q$3,SUMIF('TL06'!$C$238:$C$451,$C302,'TL06'!$J$238:$J$451),0),
IF('TL07'!$B$3=Q$3,SUMIF('TL07'!$C$10:$C$224,$C302,'TL07'!$J$10:$J$224),0),
IF('TL07'!$B$229=Q$3,SUMIF('TL07'!$C$238:$C$451,$C302,'TL07'!$J$238:$J$451),0),
IF('TL08'!$B$3=Q$3,SUMIF('TL08'!$C$10:$C$224,$C302,'TL08'!$J$10:$J$224),0),
IF('TL08'!$B$229=Q$3,SUMIF('TL08'!$C$238:$C$451,$C302,'TL08'!$J$238:$J$451),0),
IF('TL09'!$B$3=Q$3,SUMIF('TL09'!$C$10:$C$224,$C302,'TL09'!$J$10:$J$224),0),
IF('TL09'!$B$229=Q$3,SUMIF('TL09'!$C$238:$C$451,$C302,'TL09'!$J$238:$J$451),0),
IF('TL10'!$B$3=Q$3,SUMIF('TL10'!$C$10:$C$224,$C302,'TL10'!$J$10:$J$224),0),
IF('TL10'!$B$229=Q$3,SUMIF('TL10'!$C$238:$C$451,$C302,'TL10'!$J$238:$J$451),0),
IF('TL11'!$B$3=Q$3,SUMIF('TL11'!$C$10:$C$224,$C302,'TL11'!$J$10:$J$224),0),
IF('TL11'!$B$229=Q$3,SUMIF('TL11'!$C$238:$C$451,$C302,'TL11'!$J$238:$J$451),0),
IF('TL12'!$B$3=Q$3,SUMIF('TL12'!$C$10:$C$224,$C302,'TL12'!$J$10:$J$224),0),
IF('TL12'!$B$229=Q$3,SUMIF('TL12'!$C$238:$C$451,$C302,'TL12'!$J$238:$J$451),0),
IF('TL13'!$B$3=Q$3,SUMIF('TL13'!$C$10:$C$224,$C302,'TL13'!$J$10:$J$224),0),
IF('TL13'!$B$229=Q$3,SUMIF('TL13'!$C$238:$C$451,$C302,'TL13'!$J$238:$J$451),0),
IF('TL14'!$B$3=Q$3,SUMIF('TL14'!$C$10:$C$224,$C302,'TL14'!$J$10:$J$224),0),
IF('TL14'!$B$229=Q$3,SUMIF('TL14'!$C$238:$C$451,$C302,'TL14'!$J$238:$J$451),0),
IF('TL15'!$B$3=Q$3,SUMIF('TL15'!$C$10:$C$224,$C302,'TL15'!$J$10:$J$224),0),
IF('TL15'!$B$229=Q$3,SUMIF('TL15'!$C$238:$C$451,$C302,'TL15'!$J$238:$J$451),0),
IF('TL16'!$B$3=Q$3,SUMIF('TL16'!$C$10:$C$224,$C302,'TL16'!$J$10:$J$224),0),
IF('TL16'!$B$229=Q$3,SUMIF('TL16'!$C$238:$C$451,$C302,'TL16'!$J$238:$J$451),0),
IF('TL17'!$B$3=Q$3,SUMIF('TL17'!$C$10:$C$224,$C302,'TL17'!$J$10:$J$224),0),
IF('TL17'!$B$229=Q$3,SUMIF('TL17'!$C$238:$C$451,$C302,'TL17'!$J$238:$J$451),0),
IF('TL18'!$B$3=Q$3,SUMIF('TL18'!$C$10:$C$224,$C302,'TL18'!$J$10:$J$224),0),
IF('TL18'!$B$229=Q$3,SUMIF('TL18'!$C$238:$C$451,$C302,'TL18'!$J$238:$J$451),0),
IF('TL19'!$B$3=Q$3,SUMIF('TL19'!$C$10:$C$224,$C302,'TL19'!$J$10:$J$224),0),
IF('TL19'!$B$229=Q$3,SUMIF('TL19'!$C$238:$C$451,$C302,'TL19'!$J$238:$J$451),0)
),0)</f>
        <v/>
      </c>
      <c r="R302" s="9">
        <f>IFERROR(
SUM(
SUMIF('TL01'!C:C,C302,'TL01'!J:J),
SUMIF('TL02'!C:C,C302,'TL02'!J:J),
SUMIF('TL03'!C:C,C302,'TL03'!J:J),
SUMIF('TL04'!C:C,C302,'TL04'!J:J),
SUMIF('TL05'!C:C,C302,'TL05'!J:J),
SUMIF('TL06'!C:C,C302,'TL06'!J:J),
SUMIF('TL07'!C:C,C302,'TL07'!J:J),
SUMIF('TL08'!C:C,C302,'TL08'!J:J),
SUMIF('TL09'!C:C,C302,'TL09'!J:J),
SUMIF('TL10'!C:C,C302,'TL10'!J:J),
SUMIF('TL11'!C:C,C302,'TL11'!J:J),
SUMIF('TL12'!C:C,C302,'TL12'!J:J),
SUMIF('TL13'!C:C,C302,'TL13'!J:J),
SUMIF('TL14'!C:C,C302,'TL14'!J:J),
SUMIF('TL15'!C:C,C302,'TL15'!J:J),
SUMIF('TL16'!C:C,C302,'TL16'!J:J),
SUMIF('TL17'!C:C,C302,'TL17'!J:J),
SUMIF('TL18'!C:C,C302,'TL18'!J:J),SUMIF('TL19'!C:C,C302,'TL19'!J:J))
,0)</f>
        <v/>
      </c>
      <c r="S302" s="17">
        <f>IFERROR(__xludf.DUMMYFUNCTION("IFERROR(VLOOKUP(C302,
IMPORTRANGE(""1wULbzX32WdYsx-lj2U3uUNBBe2INVIRDtcK0d-Dvl90"",
""26-27!C:G""),
5,
FALSE),
"""")"),1095.787)</f>
        <v/>
      </c>
      <c r="T302" s="9" t="n"/>
      <c r="U302" s="92">
        <f>MAX(0,R302-T302)</f>
        <v/>
      </c>
      <c r="V302" s="93">
        <f>U302*S302</f>
        <v/>
      </c>
    </row>
    <row r="303" hidden="1" ht="15.75" customHeight="1" s="297">
      <c r="A303" s="122" t="inlineStr">
        <is>
          <t>SYNGENTA</t>
        </is>
      </c>
      <c r="B303" s="124" t="inlineStr">
        <is>
          <t>TS</t>
        </is>
      </c>
      <c r="C303" s="122" t="inlineStr">
        <is>
          <t>CRUISER 350 FS</t>
        </is>
      </c>
      <c r="D303" s="122" t="inlineStr">
        <is>
          <t>TIAMETOXAM</t>
        </is>
      </c>
      <c r="E303" s="122" t="n">
        <v>350</v>
      </c>
      <c r="F303" s="4" t="inlineStr">
        <is>
          <t>L</t>
        </is>
      </c>
      <c r="G303" s="90">
        <f>HYPERLINK("https://www.google.com/search?q=" &amp; C303 &amp; "+bula+agrofit+pdf", "📄 Ver bula")</f>
        <v/>
      </c>
      <c r="H303" s="9">
        <f>IFERROR(__xludf.DUMMYFUNCTION("IFERROR(VLOOKUP(C303,
IMPORTRANGE(""1wULbzX32WdYsx-lj2U3uUNBBe2INVIRDtcK0d-Dvl90"",
""26-27!C:K""),
8,
FALSE),
"""")"),0.05)</f>
        <v/>
      </c>
      <c r="I303" s="123" t="n"/>
      <c r="J303" s="9">
        <f>IFERROR(SUM(
IF('TL01'!$B$3=J$3,SUMIF('TL01'!$C$10:$C$224,$C303,'TL01'!$J$10:$J$224),0),
IF('TL01'!$B$229=J$3,SUMIF('TL01'!$C$238:$C$451,$C303,'TL01'!$J$238:$J$451),0),
IF('TL02'!$B$3=J$3,SUMIF('TL02'!$C$10:$C$224,$C303,'TL02'!$J$10:$J$224),0),
IF('TL02'!$B$229=J$3,SUMIF('TL02'!$C$238:$C$451,$C303,'TL02'!$J$238:$J$451),0),
IF('TL03'!$B$3=J$3,SUMIF('TL03'!$C$10:$C$224,$C303,'TL03'!$J$10:$J$224),0),
IF('TL03'!$B$229=J$3,SUMIF('TL03'!$C$238:$C$451,$C303,'TL03'!$J$238:$J$451),0),
IF('TL04'!$B$3=J$3,SUMIF('TL04'!$C$10:$C$224,$C303,'TL04'!$J$10:$J$224),0),
IF('TL04'!$B$229=J$3,SUMIF('TL04'!$C$238:$C$451,$C303,'TL04'!$J$238:$J$451),0),
IF('TL05'!$B$3=J$3,SUMIF('TL05'!$C$10:$C$224,$C303,'TL05'!$J$10:$J$224),0),
IF('TL05'!$B$229=J$3,SUMIF('TL05'!$C$238:$C$451,$C303,'TL05'!$J$238:$J$451),0),
IF('TL06'!$B$3=J$3,SUMIF('TL06'!$C$10:$C$224,$C303,'TL06'!$J$10:$J$224),0),
IF('TL06'!$B$229=J$3,SUMIF('TL06'!$C$238:$C$451,$C303,'TL06'!$J$238:$J$451),0),
IF('TL07'!$B$3=J$3,SUMIF('TL07'!$C$10:$C$224,$C303,'TL07'!$J$10:$J$224),0),
IF('TL07'!$B$229=J$3,SUMIF('TL07'!$C$238:$C$451,$C303,'TL07'!$J$238:$J$451),0),
IF('TL08'!$B$3=J$3,SUMIF('TL08'!$C$10:$C$224,$C303,'TL08'!$J$10:$J$224),0),
IF('TL08'!$B$229=J$3,SUMIF('TL08'!$C$238:$C$451,$C303,'TL08'!$J$238:$J$451),0),
IF('TL09'!$B$3=J$3,SUMIF('TL09'!$C$10:$C$224,$C303,'TL09'!$J$10:$J$224),0),
IF('TL09'!$B$229=J$3,SUMIF('TL09'!$C$238:$C$451,$C303,'TL09'!$J$238:$J$451),0),
IF('TL10'!$B$3=J$3,SUMIF('TL10'!$C$10:$C$224,$C303,'TL10'!$J$10:$J$224),0),
IF('TL10'!$B$229=J$3,SUMIF('TL10'!$C$238:$C$451,$C303,'TL10'!$J$238:$J$451),0),
IF('TL11'!$B$3=J$3,SUMIF('TL11'!$C$10:$C$224,$C303,'TL11'!$J$10:$J$224),0),
IF('TL11'!$B$229=J$3,SUMIF('TL11'!$C$238:$C$451,$C303,'TL11'!$J$238:$J$451),0),
IF('TL12'!$B$3=J$3,SUMIF('TL12'!$C$10:$C$224,$C303,'TL12'!$J$10:$J$224),0),
IF('TL12'!$B$229=J$3,SUMIF('TL12'!$C$238:$C$451,$C303,'TL12'!$J$238:$J$451),0),
IF('TL13'!$B$3=J$3,SUMIF('TL13'!$C$10:$C$224,$C303,'TL13'!$J$10:$J$224),0),
IF('TL13'!$B$229=J$3,SUMIF('TL13'!$C$238:$C$451,$C303,'TL13'!$J$238:$J$451),0),
IF('TL14'!$B$3=J$3,SUMIF('TL14'!$C$10:$C$224,$C303,'TL14'!$J$10:$J$224),0),
IF('TL14'!$B$229=J$3,SUMIF('TL14'!$C$238:$C$451,$C303,'TL14'!$J$238:$J$451),0),
IF('TL15'!$B$3=J$3,SUMIF('TL15'!$C$10:$C$224,$C303,'TL15'!$J$10:$J$224),0),
IF('TL15'!$B$229=J$3,SUMIF('TL15'!$C$238:$C$451,$C303,'TL15'!$J$238:$J$451),0),
IF('TL16'!$B$3=J$3,SUMIF('TL16'!$C$10:$C$224,$C303,'TL16'!$J$10:$J$224),0),
IF('TL16'!$B$229=J$3,SUMIF('TL16'!$C$238:$C$451,$C303,'TL16'!$J$238:$J$451),0),
IF('TL17'!$B$3=J$3,SUMIF('TL17'!$C$10:$C$224,$C303,'TL17'!$J$10:$J$224),0),
IF('TL17'!$B$229=J$3,SUMIF('TL17'!$C$238:$C$451,$C303,'TL17'!$J$238:$J$451),0),
IF('TL18'!$B$3=J$3,SUMIF('TL18'!$C$10:$C$224,$C303,'TL18'!$J$10:$J$224),0),
IF('TL18'!$B$229=J$3,SUMIF('TL18'!$C$238:$C$451,$C303,'TL18'!$J$238:$J$451),0),
IF('TL19'!$B$3=J$3,SUMIF('TL19'!$C$10:$C$224,$C303,'TL19'!$J$10:$J$224),0),
IF('TL19'!$B$229=J$3,SUMIF('TL19'!$C$238:$C$451,$C303,'TL19'!$J$238:$J$451),0)
),0)</f>
        <v/>
      </c>
      <c r="K303" s="9">
        <f>IFERROR(SUM(
IF('TL01'!$B$3=K$3,SUMIF('TL01'!$C$10:$C$224,$C303,'TL01'!$J$10:$J$224),0),
IF('TL01'!$B$229=K$3,SUMIF('TL01'!$C$238:$C$451,$C303,'TL01'!$J$238:$J$451),0),
IF('TL02'!$B$3=K$3,SUMIF('TL02'!$C$10:$C$224,$C303,'TL02'!$J$10:$J$224),0),
IF('TL02'!$B$229=K$3,SUMIF('TL02'!$C$238:$C$451,$C303,'TL02'!$J$238:$J$451),0),
IF('TL03'!$B$3=K$3,SUMIF('TL03'!$C$10:$C$224,$C303,'TL03'!$J$10:$J$224),0),
IF('TL03'!$B$229=K$3,SUMIF('TL03'!$C$238:$C$451,$C303,'TL03'!$J$238:$J$451),0),
IF('TL04'!$B$3=K$3,SUMIF('TL04'!$C$10:$C$224,$C303,'TL04'!$J$10:$J$224),0),
IF('TL04'!$B$229=K$3,SUMIF('TL04'!$C$238:$C$451,$C303,'TL04'!$J$238:$J$451),0),
IF('TL05'!$B$3=K$3,SUMIF('TL05'!$C$10:$C$224,$C303,'TL05'!$J$10:$J$224),0),
IF('TL05'!$B$229=K$3,SUMIF('TL05'!$C$238:$C$451,$C303,'TL05'!$J$238:$J$451),0),
IF('TL06'!$B$3=K$3,SUMIF('TL06'!$C$10:$C$224,$C303,'TL06'!$J$10:$J$224),0),
IF('TL06'!$B$229=K$3,SUMIF('TL06'!$C$238:$C$451,$C303,'TL06'!$J$238:$J$451),0),
IF('TL07'!$B$3=K$3,SUMIF('TL07'!$C$10:$C$224,$C303,'TL07'!$J$10:$J$224),0),
IF('TL07'!$B$229=K$3,SUMIF('TL07'!$C$238:$C$451,$C303,'TL07'!$J$238:$J$451),0),
IF('TL08'!$B$3=K$3,SUMIF('TL08'!$C$10:$C$224,$C303,'TL08'!$J$10:$J$224),0),
IF('TL08'!$B$229=K$3,SUMIF('TL08'!$C$238:$C$451,$C303,'TL08'!$J$238:$J$451),0),
IF('TL09'!$B$3=K$3,SUMIF('TL09'!$C$10:$C$224,$C303,'TL09'!$J$10:$J$224),0),
IF('TL09'!$B$229=K$3,SUMIF('TL09'!$C$238:$C$451,$C303,'TL09'!$J$238:$J$451),0),
IF('TL10'!$B$3=K$3,SUMIF('TL10'!$C$10:$C$224,$C303,'TL10'!$J$10:$J$224),0),
IF('TL10'!$B$229=K$3,SUMIF('TL10'!$C$238:$C$451,$C303,'TL10'!$J$238:$J$451),0),
IF('TL11'!$B$3=K$3,SUMIF('TL11'!$C$10:$C$224,$C303,'TL11'!$J$10:$J$224),0),
IF('TL11'!$B$229=K$3,SUMIF('TL11'!$C$238:$C$451,$C303,'TL11'!$J$238:$J$451),0),
IF('TL12'!$B$3=K$3,SUMIF('TL12'!$C$10:$C$224,$C303,'TL12'!$J$10:$J$224),0),
IF('TL12'!$B$229=K$3,SUMIF('TL12'!$C$238:$C$451,$C303,'TL12'!$J$238:$J$451),0),
IF('TL13'!$B$3=K$3,SUMIF('TL13'!$C$10:$C$224,$C303,'TL13'!$J$10:$J$224),0),
IF('TL13'!$B$229=K$3,SUMIF('TL13'!$C$238:$C$451,$C303,'TL13'!$J$238:$J$451),0),
IF('TL14'!$B$3=K$3,SUMIF('TL14'!$C$10:$C$224,$C303,'TL14'!$J$10:$J$224),0),
IF('TL14'!$B$229=K$3,SUMIF('TL14'!$C$238:$C$451,$C303,'TL14'!$J$238:$J$451),0),
IF('TL15'!$B$3=K$3,SUMIF('TL15'!$C$10:$C$224,$C303,'TL15'!$J$10:$J$224),0),
IF('TL15'!$B$229=K$3,SUMIF('TL15'!$C$238:$C$451,$C303,'TL15'!$J$238:$J$451),0),
IF('TL16'!$B$3=K$3,SUMIF('TL16'!$C$10:$C$224,$C303,'TL16'!$J$10:$J$224),0),
IF('TL16'!$B$229=K$3,SUMIF('TL16'!$C$238:$C$451,$C303,'TL16'!$J$238:$J$451),0),
IF('TL17'!$B$3=K$3,SUMIF('TL17'!$C$10:$C$224,$C303,'TL17'!$J$10:$J$224),0),
IF('TL17'!$B$229=K$3,SUMIF('TL17'!$C$238:$C$451,$C303,'TL17'!$J$238:$J$451),0),
IF('TL18'!$B$3=K$3,SUMIF('TL18'!$C$10:$C$224,$C303,'TL18'!$J$10:$J$224),0),
IF('TL18'!$B$229=K$3,SUMIF('TL18'!$C$238:$C$451,$C303,'TL18'!$J$238:$J$451),0),
IF('TL19'!$B$3=K$3,SUMIF('TL19'!$C$10:$C$224,$C303,'TL19'!$J$10:$J$224),0),
IF('TL19'!$B$229=K$3,SUMIF('TL19'!$C$238:$C$451,$C303,'TL19'!$J$238:$J$451),0)
),0)</f>
        <v/>
      </c>
      <c r="L303" s="9">
        <f>IFERROR(SUM(
IF('TL01'!$B$3=L$3,SUMIF('TL01'!$C$10:$C$224,$C303,'TL01'!$J$10:$J$224),0),
IF('TL01'!$B$229=L$3,SUMIF('TL01'!$C$238:$C$451,$C303,'TL01'!$J$238:$J$451),0),
IF('TL02'!$B$3=L$3,SUMIF('TL02'!$C$10:$C$224,$C303,'TL02'!$J$10:$J$224),0),
IF('TL02'!$B$229=L$3,SUMIF('TL02'!$C$238:$C$451,$C303,'TL02'!$J$238:$J$451),0),
IF('TL03'!$B$3=L$3,SUMIF('TL03'!$C$10:$C$224,$C303,'TL03'!$J$10:$J$224),0),
IF('TL03'!$B$229=L$3,SUMIF('TL03'!$C$238:$C$451,$C303,'TL03'!$J$238:$J$451),0),
IF('TL04'!$B$3=L$3,SUMIF('TL04'!$C$10:$C$224,$C303,'TL04'!$J$10:$J$224),0),
IF('TL04'!$B$229=L$3,SUMIF('TL04'!$C$238:$C$451,$C303,'TL04'!$J$238:$J$451),0),
IF('TL05'!$B$3=L$3,SUMIF('TL05'!$C$10:$C$224,$C303,'TL05'!$J$10:$J$224),0),
IF('TL05'!$B$229=L$3,SUMIF('TL05'!$C$238:$C$451,$C303,'TL05'!$J$238:$J$451),0),
IF('TL06'!$B$3=L$3,SUMIF('TL06'!$C$10:$C$224,$C303,'TL06'!$J$10:$J$224),0),
IF('TL06'!$B$229=L$3,SUMIF('TL06'!$C$238:$C$451,$C303,'TL06'!$J$238:$J$451),0),
IF('TL07'!$B$3=L$3,SUMIF('TL07'!$C$10:$C$224,$C303,'TL07'!$J$10:$J$224),0),
IF('TL07'!$B$229=L$3,SUMIF('TL07'!$C$238:$C$451,$C303,'TL07'!$J$238:$J$451),0),
IF('TL08'!$B$3=L$3,SUMIF('TL08'!$C$10:$C$224,$C303,'TL08'!$J$10:$J$224),0),
IF('TL08'!$B$229=L$3,SUMIF('TL08'!$C$238:$C$451,$C303,'TL08'!$J$238:$J$451),0),
IF('TL09'!$B$3=L$3,SUMIF('TL09'!$C$10:$C$224,$C303,'TL09'!$J$10:$J$224),0),
IF('TL09'!$B$229=L$3,SUMIF('TL09'!$C$238:$C$451,$C303,'TL09'!$J$238:$J$451),0),
IF('TL10'!$B$3=L$3,SUMIF('TL10'!$C$10:$C$224,$C303,'TL10'!$J$10:$J$224),0),
IF('TL10'!$B$229=L$3,SUMIF('TL10'!$C$238:$C$451,$C303,'TL10'!$J$238:$J$451),0),
IF('TL11'!$B$3=L$3,SUMIF('TL11'!$C$10:$C$224,$C303,'TL11'!$J$10:$J$224),0),
IF('TL11'!$B$229=L$3,SUMIF('TL11'!$C$238:$C$451,$C303,'TL11'!$J$238:$J$451),0),
IF('TL12'!$B$3=L$3,SUMIF('TL12'!$C$10:$C$224,$C303,'TL12'!$J$10:$J$224),0),
IF('TL12'!$B$229=L$3,SUMIF('TL12'!$C$238:$C$451,$C303,'TL12'!$J$238:$J$451),0),
IF('TL13'!$B$3=L$3,SUMIF('TL13'!$C$10:$C$224,$C303,'TL13'!$J$10:$J$224),0),
IF('TL13'!$B$229=L$3,SUMIF('TL13'!$C$238:$C$451,$C303,'TL13'!$J$238:$J$451),0),
IF('TL14'!$B$3=L$3,SUMIF('TL14'!$C$10:$C$224,$C303,'TL14'!$J$10:$J$224),0),
IF('TL14'!$B$229=L$3,SUMIF('TL14'!$C$238:$C$451,$C303,'TL14'!$J$238:$J$451),0),
IF('TL15'!$B$3=L$3,SUMIF('TL15'!$C$10:$C$224,$C303,'TL15'!$J$10:$J$224),0),
IF('TL15'!$B$229=L$3,SUMIF('TL15'!$C$238:$C$451,$C303,'TL15'!$J$238:$J$451),0),
IF('TL16'!$B$3=L$3,SUMIF('TL16'!$C$10:$C$224,$C303,'TL16'!$J$10:$J$224),0),
IF('TL16'!$B$229=L$3,SUMIF('TL16'!$C$238:$C$451,$C303,'TL16'!$J$238:$J$451),0),
IF('TL17'!$B$3=L$3,SUMIF('TL17'!$C$10:$C$224,$C303,'TL17'!$J$10:$J$224),0),
IF('TL17'!$B$229=L$3,SUMIF('TL17'!$C$238:$C$451,$C303,'TL17'!$J$238:$J$451),0),
IF('TL18'!$B$3=L$3,SUMIF('TL18'!$C$10:$C$224,$C303,'TL18'!$J$10:$J$224),0),
IF('TL18'!$B$229=L$3,SUMIF('TL18'!$C$238:$C$451,$C303,'TL18'!$J$238:$J$451),0),
IF('TL19'!$B$3=L$3,SUMIF('TL19'!$C$10:$C$224,$C303,'TL19'!$J$10:$J$224),0),
IF('TL19'!$B$229=L$3,SUMIF('TL19'!$C$238:$C$451,$C303,'TL19'!$J$238:$J$451),0)
),0)</f>
        <v/>
      </c>
      <c r="M303" s="9">
        <f>IFERROR(SUM(
IF('TL01'!$B$3=M$3,SUMIF('TL01'!$C$10:$C$224,$C303,'TL01'!$J$10:$J$224),0),
IF('TL01'!$B$229=M$3,SUMIF('TL01'!$C$238:$C$451,$C303,'TL01'!$J$238:$J$451),0),
IF('TL02'!$B$3=M$3,SUMIF('TL02'!$C$10:$C$224,$C303,'TL02'!$J$10:$J$224),0),
IF('TL02'!$B$229=M$3,SUMIF('TL02'!$C$238:$C$451,$C303,'TL02'!$J$238:$J$451),0),
IF('TL03'!$B$3=M$3,SUMIF('TL03'!$C$10:$C$224,$C303,'TL03'!$J$10:$J$224),0),
IF('TL03'!$B$229=M$3,SUMIF('TL03'!$C$238:$C$451,$C303,'TL03'!$J$238:$J$451),0),
IF('TL04'!$B$3=M$3,SUMIF('TL04'!$C$10:$C$224,$C303,'TL04'!$J$10:$J$224),0),
IF('TL04'!$B$229=M$3,SUMIF('TL04'!$C$238:$C$451,$C303,'TL04'!$J$238:$J$451),0),
IF('TL05'!$B$3=M$3,SUMIF('TL05'!$C$10:$C$224,$C303,'TL05'!$J$10:$J$224),0),
IF('TL05'!$B$229=M$3,SUMIF('TL05'!$C$238:$C$451,$C303,'TL05'!$J$238:$J$451),0),
IF('TL06'!$B$3=M$3,SUMIF('TL06'!$C$10:$C$224,$C303,'TL06'!$J$10:$J$224),0),
IF('TL06'!$B$229=M$3,SUMIF('TL06'!$C$238:$C$451,$C303,'TL06'!$J$238:$J$451),0),
IF('TL07'!$B$3=M$3,SUMIF('TL07'!$C$10:$C$224,$C303,'TL07'!$J$10:$J$224),0),
IF('TL07'!$B$229=M$3,SUMIF('TL07'!$C$238:$C$451,$C303,'TL07'!$J$238:$J$451),0),
IF('TL08'!$B$3=M$3,SUMIF('TL08'!$C$10:$C$224,$C303,'TL08'!$J$10:$J$224),0),
IF('TL08'!$B$229=M$3,SUMIF('TL08'!$C$238:$C$451,$C303,'TL08'!$J$238:$J$451),0),
IF('TL09'!$B$3=M$3,SUMIF('TL09'!$C$10:$C$224,$C303,'TL09'!$J$10:$J$224),0),
IF('TL09'!$B$229=M$3,SUMIF('TL09'!$C$238:$C$451,$C303,'TL09'!$J$238:$J$451),0),
IF('TL10'!$B$3=M$3,SUMIF('TL10'!$C$10:$C$224,$C303,'TL10'!$J$10:$J$224),0),
IF('TL10'!$B$229=M$3,SUMIF('TL10'!$C$238:$C$451,$C303,'TL10'!$J$238:$J$451),0),
IF('TL11'!$B$3=M$3,SUMIF('TL11'!$C$10:$C$224,$C303,'TL11'!$J$10:$J$224),0),
IF('TL11'!$B$229=M$3,SUMIF('TL11'!$C$238:$C$451,$C303,'TL11'!$J$238:$J$451),0),
IF('TL12'!$B$3=M$3,SUMIF('TL12'!$C$10:$C$224,$C303,'TL12'!$J$10:$J$224),0),
IF('TL12'!$B$229=M$3,SUMIF('TL12'!$C$238:$C$451,$C303,'TL12'!$J$238:$J$451),0),
IF('TL13'!$B$3=M$3,SUMIF('TL13'!$C$10:$C$224,$C303,'TL13'!$J$10:$J$224),0),
IF('TL13'!$B$229=M$3,SUMIF('TL13'!$C$238:$C$451,$C303,'TL13'!$J$238:$J$451),0),
IF('TL14'!$B$3=M$3,SUMIF('TL14'!$C$10:$C$224,$C303,'TL14'!$J$10:$J$224),0),
IF('TL14'!$B$229=M$3,SUMIF('TL14'!$C$238:$C$451,$C303,'TL14'!$J$238:$J$451),0),
IF('TL15'!$B$3=M$3,SUMIF('TL15'!$C$10:$C$224,$C303,'TL15'!$J$10:$J$224),0),
IF('TL15'!$B$229=M$3,SUMIF('TL15'!$C$238:$C$451,$C303,'TL15'!$J$238:$J$451),0),
IF('TL16'!$B$3=M$3,SUMIF('TL16'!$C$10:$C$224,$C303,'TL16'!$J$10:$J$224),0),
IF('TL16'!$B$229=M$3,SUMIF('TL16'!$C$238:$C$451,$C303,'TL16'!$J$238:$J$451),0),
IF('TL17'!$B$3=M$3,SUMIF('TL17'!$C$10:$C$224,$C303,'TL17'!$J$10:$J$224),0),
IF('TL17'!$B$229=M$3,SUMIF('TL17'!$C$238:$C$451,$C303,'TL17'!$J$238:$J$451),0),
IF('TL18'!$B$3=M$3,SUMIF('TL18'!$C$10:$C$224,$C303,'TL18'!$J$10:$J$224),0),
IF('TL18'!$B$229=M$3,SUMIF('TL18'!$C$238:$C$451,$C303,'TL18'!$J$238:$J$451),0),
IF('TL19'!$B$3=M$3,SUMIF('TL19'!$C$10:$C$224,$C303,'TL19'!$J$10:$J$224),0),
IF('TL19'!$B$229=M$3,SUMIF('TL19'!$C$238:$C$451,$C303,'TL19'!$J$238:$J$451),0)
),0)</f>
        <v/>
      </c>
      <c r="N303" s="9">
        <f>IFERROR(SUM(
IF('TL01'!$B$3=N$3,SUMIF('TL01'!$C$10:$C$224,$C303,'TL01'!$J$10:$J$224),0),
IF('TL01'!$B$229=N$3,SUMIF('TL01'!$C$238:$C$451,$C303,'TL01'!$J$238:$J$451),0),
IF('TL02'!$B$3=N$3,SUMIF('TL02'!$C$10:$C$224,$C303,'TL02'!$J$10:$J$224),0),
IF('TL02'!$B$229=N$3,SUMIF('TL02'!$C$238:$C$451,$C303,'TL02'!$J$238:$J$451),0),
IF('TL03'!$B$3=N$3,SUMIF('TL03'!$C$10:$C$224,$C303,'TL03'!$J$10:$J$224),0),
IF('TL03'!$B$229=N$3,SUMIF('TL03'!$C$238:$C$451,$C303,'TL03'!$J$238:$J$451),0),
IF('TL04'!$B$3=N$3,SUMIF('TL04'!$C$10:$C$224,$C303,'TL04'!$J$10:$J$224),0),
IF('TL04'!$B$229=N$3,SUMIF('TL04'!$C$238:$C$451,$C303,'TL04'!$J$238:$J$451),0),
IF('TL05'!$B$3=N$3,SUMIF('TL05'!$C$10:$C$224,$C303,'TL05'!$J$10:$J$224),0),
IF('TL05'!$B$229=N$3,SUMIF('TL05'!$C$238:$C$451,$C303,'TL05'!$J$238:$J$451),0),
IF('TL06'!$B$3=N$3,SUMIF('TL06'!$C$10:$C$224,$C303,'TL06'!$J$10:$J$224),0),
IF('TL06'!$B$229=N$3,SUMIF('TL06'!$C$238:$C$451,$C303,'TL06'!$J$238:$J$451),0),
IF('TL07'!$B$3=N$3,SUMIF('TL07'!$C$10:$C$224,$C303,'TL07'!$J$10:$J$224),0),
IF('TL07'!$B$229=N$3,SUMIF('TL07'!$C$238:$C$451,$C303,'TL07'!$J$238:$J$451),0),
IF('TL08'!$B$3=N$3,SUMIF('TL08'!$C$10:$C$224,$C303,'TL08'!$J$10:$J$224),0),
IF('TL08'!$B$229=N$3,SUMIF('TL08'!$C$238:$C$451,$C303,'TL08'!$J$238:$J$451),0),
IF('TL09'!$B$3=N$3,SUMIF('TL09'!$C$10:$C$224,$C303,'TL09'!$J$10:$J$224),0),
IF('TL09'!$B$229=N$3,SUMIF('TL09'!$C$238:$C$451,$C303,'TL09'!$J$238:$J$451),0),
IF('TL10'!$B$3=N$3,SUMIF('TL10'!$C$10:$C$224,$C303,'TL10'!$J$10:$J$224),0),
IF('TL10'!$B$229=N$3,SUMIF('TL10'!$C$238:$C$451,$C303,'TL10'!$J$238:$J$451),0),
IF('TL11'!$B$3=N$3,SUMIF('TL11'!$C$10:$C$224,$C303,'TL11'!$J$10:$J$224),0),
IF('TL11'!$B$229=N$3,SUMIF('TL11'!$C$238:$C$451,$C303,'TL11'!$J$238:$J$451),0),
IF('TL12'!$B$3=N$3,SUMIF('TL12'!$C$10:$C$224,$C303,'TL12'!$J$10:$J$224),0),
IF('TL12'!$B$229=N$3,SUMIF('TL12'!$C$238:$C$451,$C303,'TL12'!$J$238:$J$451),0),
IF('TL13'!$B$3=N$3,SUMIF('TL13'!$C$10:$C$224,$C303,'TL13'!$J$10:$J$224),0),
IF('TL13'!$B$229=N$3,SUMIF('TL13'!$C$238:$C$451,$C303,'TL13'!$J$238:$J$451),0),
IF('TL14'!$B$3=N$3,SUMIF('TL14'!$C$10:$C$224,$C303,'TL14'!$J$10:$J$224),0),
IF('TL14'!$B$229=N$3,SUMIF('TL14'!$C$238:$C$451,$C303,'TL14'!$J$238:$J$451),0),
IF('TL15'!$B$3=N$3,SUMIF('TL15'!$C$10:$C$224,$C303,'TL15'!$J$10:$J$224),0),
IF('TL15'!$B$229=N$3,SUMIF('TL15'!$C$238:$C$451,$C303,'TL15'!$J$238:$J$451),0),
IF('TL16'!$B$3=N$3,SUMIF('TL16'!$C$10:$C$224,$C303,'TL16'!$J$10:$J$224),0),
IF('TL16'!$B$229=N$3,SUMIF('TL16'!$C$238:$C$451,$C303,'TL16'!$J$238:$J$451),0),
IF('TL17'!$B$3=N$3,SUMIF('TL17'!$C$10:$C$224,$C303,'TL17'!$J$10:$J$224),0),
IF('TL17'!$B$229=N$3,SUMIF('TL17'!$C$238:$C$451,$C303,'TL17'!$J$238:$J$451),0),
IF('TL18'!$B$3=N$3,SUMIF('TL18'!$C$10:$C$224,$C303,'TL18'!$J$10:$J$224),0),
IF('TL18'!$B$229=N$3,SUMIF('TL18'!$C$238:$C$451,$C303,'TL18'!$J$238:$J$451),0),
IF('TL19'!$B$3=N$3,SUMIF('TL19'!$C$10:$C$224,$C303,'TL19'!$J$10:$J$224),0),
IF('TL19'!$B$229=N$3,SUMIF('TL19'!$C$238:$C$451,$C303,'TL19'!$J$238:$J$451),0)
),0)</f>
        <v/>
      </c>
      <c r="O303" s="9">
        <f>IFERROR(SUM(
IF('TL01'!$B$3=O$3,SUMIF('TL01'!$C$10:$C$224,$C303,'TL01'!$J$10:$J$224),0),
IF('TL01'!$B$229=O$3,SUMIF('TL01'!$C$238:$C$451,$C303,'TL01'!$J$238:$J$451),0),
IF('TL02'!$B$3=O$3,SUMIF('TL02'!$C$10:$C$224,$C303,'TL02'!$J$10:$J$224),0),
IF('TL02'!$B$229=O$3,SUMIF('TL02'!$C$238:$C$451,$C303,'TL02'!$J$238:$J$451),0),
IF('TL03'!$B$3=O$3,SUMIF('TL03'!$C$10:$C$224,$C303,'TL03'!$J$10:$J$224),0),
IF('TL03'!$B$229=O$3,SUMIF('TL03'!$C$238:$C$451,$C303,'TL03'!$J$238:$J$451),0),
IF('TL04'!$B$3=O$3,SUMIF('TL04'!$C$10:$C$224,$C303,'TL04'!$J$10:$J$224),0),
IF('TL04'!$B$229=O$3,SUMIF('TL04'!$C$238:$C$451,$C303,'TL04'!$J$238:$J$451),0),
IF('TL05'!$B$3=O$3,SUMIF('TL05'!$C$10:$C$224,$C303,'TL05'!$J$10:$J$224),0),
IF('TL05'!$B$229=O$3,SUMIF('TL05'!$C$238:$C$451,$C303,'TL05'!$J$238:$J$451),0),
IF('TL06'!$B$3=O$3,SUMIF('TL06'!$C$10:$C$224,$C303,'TL06'!$J$10:$J$224),0),
IF('TL06'!$B$229=O$3,SUMIF('TL06'!$C$238:$C$451,$C303,'TL06'!$J$238:$J$451),0),
IF('TL07'!$B$3=O$3,SUMIF('TL07'!$C$10:$C$224,$C303,'TL07'!$J$10:$J$224),0),
IF('TL07'!$B$229=O$3,SUMIF('TL07'!$C$238:$C$451,$C303,'TL07'!$J$238:$J$451),0),
IF('TL08'!$B$3=O$3,SUMIF('TL08'!$C$10:$C$224,$C303,'TL08'!$J$10:$J$224),0),
IF('TL08'!$B$229=O$3,SUMIF('TL08'!$C$238:$C$451,$C303,'TL08'!$J$238:$J$451),0),
IF('TL09'!$B$3=O$3,SUMIF('TL09'!$C$10:$C$224,$C303,'TL09'!$J$10:$J$224),0),
IF('TL09'!$B$229=O$3,SUMIF('TL09'!$C$238:$C$451,$C303,'TL09'!$J$238:$J$451),0),
IF('TL10'!$B$3=O$3,SUMIF('TL10'!$C$10:$C$224,$C303,'TL10'!$J$10:$J$224),0),
IF('TL10'!$B$229=O$3,SUMIF('TL10'!$C$238:$C$451,$C303,'TL10'!$J$238:$J$451),0),
IF('TL11'!$B$3=O$3,SUMIF('TL11'!$C$10:$C$224,$C303,'TL11'!$J$10:$J$224),0),
IF('TL11'!$B$229=O$3,SUMIF('TL11'!$C$238:$C$451,$C303,'TL11'!$J$238:$J$451),0),
IF('TL12'!$B$3=O$3,SUMIF('TL12'!$C$10:$C$224,$C303,'TL12'!$J$10:$J$224),0),
IF('TL12'!$B$229=O$3,SUMIF('TL12'!$C$238:$C$451,$C303,'TL12'!$J$238:$J$451),0),
IF('TL13'!$B$3=O$3,SUMIF('TL13'!$C$10:$C$224,$C303,'TL13'!$J$10:$J$224),0),
IF('TL13'!$B$229=O$3,SUMIF('TL13'!$C$238:$C$451,$C303,'TL13'!$J$238:$J$451),0),
IF('TL14'!$B$3=O$3,SUMIF('TL14'!$C$10:$C$224,$C303,'TL14'!$J$10:$J$224),0),
IF('TL14'!$B$229=O$3,SUMIF('TL14'!$C$238:$C$451,$C303,'TL14'!$J$238:$J$451),0),
IF('TL15'!$B$3=O$3,SUMIF('TL15'!$C$10:$C$224,$C303,'TL15'!$J$10:$J$224),0),
IF('TL15'!$B$229=O$3,SUMIF('TL15'!$C$238:$C$451,$C303,'TL15'!$J$238:$J$451),0),
IF('TL16'!$B$3=O$3,SUMIF('TL16'!$C$10:$C$224,$C303,'TL16'!$J$10:$J$224),0),
IF('TL16'!$B$229=O$3,SUMIF('TL16'!$C$238:$C$451,$C303,'TL16'!$J$238:$J$451),0),
IF('TL17'!$B$3=O$3,SUMIF('TL17'!$C$10:$C$224,$C303,'TL17'!$J$10:$J$224),0),
IF('TL17'!$B$229=O$3,SUMIF('TL17'!$C$238:$C$451,$C303,'TL17'!$J$238:$J$451),0),
IF('TL18'!$B$3=O$3,SUMIF('TL18'!$C$10:$C$224,$C303,'TL18'!$J$10:$J$224),0),
IF('TL18'!$B$229=O$3,SUMIF('TL18'!$C$238:$C$451,$C303,'TL18'!$J$238:$J$451),0),
IF('TL19'!$B$3=O$3,SUMIF('TL19'!$C$10:$C$224,$C303,'TL19'!$J$10:$J$224),0),
IF('TL19'!$B$229=O$3,SUMIF('TL19'!$C$238:$C$451,$C303,'TL19'!$J$238:$J$451),0)
),0)</f>
        <v/>
      </c>
      <c r="P303" s="9">
        <f>IFERROR(SUM(
IF('TL01'!$B$3=P$3,SUMIF('TL01'!$C$10:$C$224,$C303,'TL01'!$J$10:$J$224),0),
IF('TL01'!$B$229=P$3,SUMIF('TL01'!$C$238:$C$451,$C303,'TL01'!$J$238:$J$451),0),
IF('TL02'!$B$3=P$3,SUMIF('TL02'!$C$10:$C$224,$C303,'TL02'!$J$10:$J$224),0),
IF('TL02'!$B$229=P$3,SUMIF('TL02'!$C$238:$C$451,$C303,'TL02'!$J$238:$J$451),0),
IF('TL03'!$B$3=P$3,SUMIF('TL03'!$C$10:$C$224,$C303,'TL03'!$J$10:$J$224),0),
IF('TL03'!$B$229=P$3,SUMIF('TL03'!$C$238:$C$451,$C303,'TL03'!$J$238:$J$451),0),
IF('TL04'!$B$3=P$3,SUMIF('TL04'!$C$10:$C$224,$C303,'TL04'!$J$10:$J$224),0),
IF('TL04'!$B$229=P$3,SUMIF('TL04'!$C$238:$C$451,$C303,'TL04'!$J$238:$J$451),0),
IF('TL05'!$B$3=P$3,SUMIF('TL05'!$C$10:$C$224,$C303,'TL05'!$J$10:$J$224),0),
IF('TL05'!$B$229=P$3,SUMIF('TL05'!$C$238:$C$451,$C303,'TL05'!$J$238:$J$451),0),
IF('TL06'!$B$3=P$3,SUMIF('TL06'!$C$10:$C$224,$C303,'TL06'!$J$10:$J$224),0),
IF('TL06'!$B$229=P$3,SUMIF('TL06'!$C$238:$C$451,$C303,'TL06'!$J$238:$J$451),0),
IF('TL07'!$B$3=P$3,SUMIF('TL07'!$C$10:$C$224,$C303,'TL07'!$J$10:$J$224),0),
IF('TL07'!$B$229=P$3,SUMIF('TL07'!$C$238:$C$451,$C303,'TL07'!$J$238:$J$451),0),
IF('TL08'!$B$3=P$3,SUMIF('TL08'!$C$10:$C$224,$C303,'TL08'!$J$10:$J$224),0),
IF('TL08'!$B$229=P$3,SUMIF('TL08'!$C$238:$C$451,$C303,'TL08'!$J$238:$J$451),0),
IF('TL09'!$B$3=P$3,SUMIF('TL09'!$C$10:$C$224,$C303,'TL09'!$J$10:$J$224),0),
IF('TL09'!$B$229=P$3,SUMIF('TL09'!$C$238:$C$451,$C303,'TL09'!$J$238:$J$451),0),
IF('TL10'!$B$3=P$3,SUMIF('TL10'!$C$10:$C$224,$C303,'TL10'!$J$10:$J$224),0),
IF('TL10'!$B$229=P$3,SUMIF('TL10'!$C$238:$C$451,$C303,'TL10'!$J$238:$J$451),0),
IF('TL11'!$B$3=P$3,SUMIF('TL11'!$C$10:$C$224,$C303,'TL11'!$J$10:$J$224),0),
IF('TL11'!$B$229=P$3,SUMIF('TL11'!$C$238:$C$451,$C303,'TL11'!$J$238:$J$451),0),
IF('TL12'!$B$3=P$3,SUMIF('TL12'!$C$10:$C$224,$C303,'TL12'!$J$10:$J$224),0),
IF('TL12'!$B$229=P$3,SUMIF('TL12'!$C$238:$C$451,$C303,'TL12'!$J$238:$J$451),0),
IF('TL13'!$B$3=P$3,SUMIF('TL13'!$C$10:$C$224,$C303,'TL13'!$J$10:$J$224),0),
IF('TL13'!$B$229=P$3,SUMIF('TL13'!$C$238:$C$451,$C303,'TL13'!$J$238:$J$451),0),
IF('TL14'!$B$3=P$3,SUMIF('TL14'!$C$10:$C$224,$C303,'TL14'!$J$10:$J$224),0),
IF('TL14'!$B$229=P$3,SUMIF('TL14'!$C$238:$C$451,$C303,'TL14'!$J$238:$J$451),0),
IF('TL15'!$B$3=P$3,SUMIF('TL15'!$C$10:$C$224,$C303,'TL15'!$J$10:$J$224),0),
IF('TL15'!$B$229=P$3,SUMIF('TL15'!$C$238:$C$451,$C303,'TL15'!$J$238:$J$451),0),
IF('TL16'!$B$3=P$3,SUMIF('TL16'!$C$10:$C$224,$C303,'TL16'!$J$10:$J$224),0),
IF('TL16'!$B$229=P$3,SUMIF('TL16'!$C$238:$C$451,$C303,'TL16'!$J$238:$J$451),0),
IF('TL17'!$B$3=P$3,SUMIF('TL17'!$C$10:$C$224,$C303,'TL17'!$J$10:$J$224),0),
IF('TL17'!$B$229=P$3,SUMIF('TL17'!$C$238:$C$451,$C303,'TL17'!$J$238:$J$451),0),
IF('TL18'!$B$3=P$3,SUMIF('TL18'!$C$10:$C$224,$C303,'TL18'!$J$10:$J$224),0),
IF('TL18'!$B$229=P$3,SUMIF('TL18'!$C$238:$C$451,$C303,'TL18'!$J$238:$J$451),0),
IF('TL19'!$B$3=P$3,SUMIF('TL19'!$C$10:$C$224,$C303,'TL19'!$J$10:$J$224),0),
IF('TL19'!$B$229=P$3,SUMIF('TL19'!$C$238:$C$451,$C303,'TL19'!$J$238:$J$451),0)
),0)</f>
        <v/>
      </c>
      <c r="Q303" s="9">
        <f>IFERROR(SUM(
IF('TL01'!$B$3=Q$3,SUMIF('TL01'!$C$10:$C$224,$C303,'TL01'!$J$10:$J$224),0),
IF('TL01'!$B$229=Q$3,SUMIF('TL01'!$C$238:$C$451,$C303,'TL01'!$J$238:$J$451),0),
IF('TL02'!$B$3=Q$3,SUMIF('TL02'!$C$10:$C$224,$C303,'TL02'!$J$10:$J$224),0),
IF('TL02'!$B$229=Q$3,SUMIF('TL02'!$C$238:$C$451,$C303,'TL02'!$J$238:$J$451),0),
IF('TL03'!$B$3=Q$3,SUMIF('TL03'!$C$10:$C$224,$C303,'TL03'!$J$10:$J$224),0),
IF('TL03'!$B$229=Q$3,SUMIF('TL03'!$C$238:$C$451,$C303,'TL03'!$J$238:$J$451),0),
IF('TL04'!$B$3=Q$3,SUMIF('TL04'!$C$10:$C$224,$C303,'TL04'!$J$10:$J$224),0),
IF('TL04'!$B$229=Q$3,SUMIF('TL04'!$C$238:$C$451,$C303,'TL04'!$J$238:$J$451),0),
IF('TL05'!$B$3=Q$3,SUMIF('TL05'!$C$10:$C$224,$C303,'TL05'!$J$10:$J$224),0),
IF('TL05'!$B$229=Q$3,SUMIF('TL05'!$C$238:$C$451,$C303,'TL05'!$J$238:$J$451),0),
IF('TL06'!$B$3=Q$3,SUMIF('TL06'!$C$10:$C$224,$C303,'TL06'!$J$10:$J$224),0),
IF('TL06'!$B$229=Q$3,SUMIF('TL06'!$C$238:$C$451,$C303,'TL06'!$J$238:$J$451),0),
IF('TL07'!$B$3=Q$3,SUMIF('TL07'!$C$10:$C$224,$C303,'TL07'!$J$10:$J$224),0),
IF('TL07'!$B$229=Q$3,SUMIF('TL07'!$C$238:$C$451,$C303,'TL07'!$J$238:$J$451),0),
IF('TL08'!$B$3=Q$3,SUMIF('TL08'!$C$10:$C$224,$C303,'TL08'!$J$10:$J$224),0),
IF('TL08'!$B$229=Q$3,SUMIF('TL08'!$C$238:$C$451,$C303,'TL08'!$J$238:$J$451),0),
IF('TL09'!$B$3=Q$3,SUMIF('TL09'!$C$10:$C$224,$C303,'TL09'!$J$10:$J$224),0),
IF('TL09'!$B$229=Q$3,SUMIF('TL09'!$C$238:$C$451,$C303,'TL09'!$J$238:$J$451),0),
IF('TL10'!$B$3=Q$3,SUMIF('TL10'!$C$10:$C$224,$C303,'TL10'!$J$10:$J$224),0),
IF('TL10'!$B$229=Q$3,SUMIF('TL10'!$C$238:$C$451,$C303,'TL10'!$J$238:$J$451),0),
IF('TL11'!$B$3=Q$3,SUMIF('TL11'!$C$10:$C$224,$C303,'TL11'!$J$10:$J$224),0),
IF('TL11'!$B$229=Q$3,SUMIF('TL11'!$C$238:$C$451,$C303,'TL11'!$J$238:$J$451),0),
IF('TL12'!$B$3=Q$3,SUMIF('TL12'!$C$10:$C$224,$C303,'TL12'!$J$10:$J$224),0),
IF('TL12'!$B$229=Q$3,SUMIF('TL12'!$C$238:$C$451,$C303,'TL12'!$J$238:$J$451),0),
IF('TL13'!$B$3=Q$3,SUMIF('TL13'!$C$10:$C$224,$C303,'TL13'!$J$10:$J$224),0),
IF('TL13'!$B$229=Q$3,SUMIF('TL13'!$C$238:$C$451,$C303,'TL13'!$J$238:$J$451),0),
IF('TL14'!$B$3=Q$3,SUMIF('TL14'!$C$10:$C$224,$C303,'TL14'!$J$10:$J$224),0),
IF('TL14'!$B$229=Q$3,SUMIF('TL14'!$C$238:$C$451,$C303,'TL14'!$J$238:$J$451),0),
IF('TL15'!$B$3=Q$3,SUMIF('TL15'!$C$10:$C$224,$C303,'TL15'!$J$10:$J$224),0),
IF('TL15'!$B$229=Q$3,SUMIF('TL15'!$C$238:$C$451,$C303,'TL15'!$J$238:$J$451),0),
IF('TL16'!$B$3=Q$3,SUMIF('TL16'!$C$10:$C$224,$C303,'TL16'!$J$10:$J$224),0),
IF('TL16'!$B$229=Q$3,SUMIF('TL16'!$C$238:$C$451,$C303,'TL16'!$J$238:$J$451),0),
IF('TL17'!$B$3=Q$3,SUMIF('TL17'!$C$10:$C$224,$C303,'TL17'!$J$10:$J$224),0),
IF('TL17'!$B$229=Q$3,SUMIF('TL17'!$C$238:$C$451,$C303,'TL17'!$J$238:$J$451),0),
IF('TL18'!$B$3=Q$3,SUMIF('TL18'!$C$10:$C$224,$C303,'TL18'!$J$10:$J$224),0),
IF('TL18'!$B$229=Q$3,SUMIF('TL18'!$C$238:$C$451,$C303,'TL18'!$J$238:$J$451),0),
IF('TL19'!$B$3=Q$3,SUMIF('TL19'!$C$10:$C$224,$C303,'TL19'!$J$10:$J$224),0),
IF('TL19'!$B$229=Q$3,SUMIF('TL19'!$C$238:$C$451,$C303,'TL19'!$J$238:$J$451),0)
),0)</f>
        <v/>
      </c>
      <c r="R303" s="9">
        <f>IFERROR(
SUM(
SUMIF('TL01'!C:C,C303,'TL01'!J:J),
SUMIF('TL02'!C:C,C303,'TL02'!J:J),
SUMIF('TL03'!C:C,C303,'TL03'!J:J),
SUMIF('TL04'!C:C,C303,'TL04'!J:J),
SUMIF('TL05'!C:C,C303,'TL05'!J:J),
SUMIF('TL06'!C:C,C303,'TL06'!J:J),
SUMIF('TL07'!C:C,C303,'TL07'!J:J),
SUMIF('TL08'!C:C,C303,'TL08'!J:J),
SUMIF('TL09'!C:C,C303,'TL09'!J:J),
SUMIF('TL10'!C:C,C303,'TL10'!J:J),
SUMIF('TL11'!C:C,C303,'TL11'!J:J),
SUMIF('TL12'!C:C,C303,'TL12'!J:J),
SUMIF('TL13'!C:C,C303,'TL13'!J:J),
SUMIF('TL14'!C:C,C303,'TL14'!J:J),
SUMIF('TL15'!C:C,C303,'TL15'!J:J),
SUMIF('TL16'!C:C,C303,'TL16'!J:J),
SUMIF('TL17'!C:C,C303,'TL17'!J:J),
SUMIF('TL18'!C:C,C303,'TL18'!J:J),SUMIF('TL19'!C:C,C303,'TL19'!J:J))
,0)</f>
        <v/>
      </c>
      <c r="S303" s="17">
        <f>IFERROR(__xludf.DUMMYFUNCTION("IFERROR(VLOOKUP(C303,
IMPORTRANGE(""1wULbzX32WdYsx-lj2U3uUNBBe2INVIRDtcK0d-Dvl90"",
""26-27!C:G""),
5,
FALSE),
"""")"),505.4)</f>
        <v/>
      </c>
      <c r="T303" s="9" t="n"/>
      <c r="U303" s="92">
        <f>MAX(0,R303-T303)</f>
        <v/>
      </c>
      <c r="V303" s="93">
        <f>U303*S303</f>
        <v/>
      </c>
    </row>
    <row r="304" hidden="1" ht="15.75" customHeight="1" s="297">
      <c r="A304" s="119" t="inlineStr">
        <is>
          <t>SYNGENTA</t>
        </is>
      </c>
      <c r="B304" s="120" t="inlineStr">
        <is>
          <t>TS</t>
        </is>
      </c>
      <c r="C304" s="119" t="inlineStr">
        <is>
          <t>FORTENZA 600 FS</t>
        </is>
      </c>
      <c r="D304" s="119" t="inlineStr">
        <is>
          <t>CIANTRANILIPROLE</t>
        </is>
      </c>
      <c r="E304" s="119" t="n">
        <v>600</v>
      </c>
      <c r="F304" s="4" t="inlineStr">
        <is>
          <t>L</t>
        </is>
      </c>
      <c r="G304" s="90">
        <f>HYPERLINK("https://www.google.com/search?q=" &amp; C304 &amp; "+bula+agrofit+pdf", "📄 Ver bula")</f>
        <v/>
      </c>
      <c r="H304" s="9">
        <f>IFERROR(__xludf.DUMMYFUNCTION("IFERROR(VLOOKUP(C304,
IMPORTRANGE(""1wULbzX32WdYsx-lj2U3uUNBBe2INVIRDtcK0d-Dvl90"",
""26-27!C:K""),
8,
FALSE),
"""")"),0.05)</f>
        <v/>
      </c>
      <c r="I304" s="121" t="n"/>
      <c r="J304" s="9">
        <f>IFERROR(SUM(
IF('TL01'!$B$3=J$3,SUMIF('TL01'!$C$10:$C$224,$C304,'TL01'!$J$10:$J$224),0),
IF('TL01'!$B$229=J$3,SUMIF('TL01'!$C$238:$C$451,$C304,'TL01'!$J$238:$J$451),0),
IF('TL02'!$B$3=J$3,SUMIF('TL02'!$C$10:$C$224,$C304,'TL02'!$J$10:$J$224),0),
IF('TL02'!$B$229=J$3,SUMIF('TL02'!$C$238:$C$451,$C304,'TL02'!$J$238:$J$451),0),
IF('TL03'!$B$3=J$3,SUMIF('TL03'!$C$10:$C$224,$C304,'TL03'!$J$10:$J$224),0),
IF('TL03'!$B$229=J$3,SUMIF('TL03'!$C$238:$C$451,$C304,'TL03'!$J$238:$J$451),0),
IF('TL04'!$B$3=J$3,SUMIF('TL04'!$C$10:$C$224,$C304,'TL04'!$J$10:$J$224),0),
IF('TL04'!$B$229=J$3,SUMIF('TL04'!$C$238:$C$451,$C304,'TL04'!$J$238:$J$451),0),
IF('TL05'!$B$3=J$3,SUMIF('TL05'!$C$10:$C$224,$C304,'TL05'!$J$10:$J$224),0),
IF('TL05'!$B$229=J$3,SUMIF('TL05'!$C$238:$C$451,$C304,'TL05'!$J$238:$J$451),0),
IF('TL06'!$B$3=J$3,SUMIF('TL06'!$C$10:$C$224,$C304,'TL06'!$J$10:$J$224),0),
IF('TL06'!$B$229=J$3,SUMIF('TL06'!$C$238:$C$451,$C304,'TL06'!$J$238:$J$451),0),
IF('TL07'!$B$3=J$3,SUMIF('TL07'!$C$10:$C$224,$C304,'TL07'!$J$10:$J$224),0),
IF('TL07'!$B$229=J$3,SUMIF('TL07'!$C$238:$C$451,$C304,'TL07'!$J$238:$J$451),0),
IF('TL08'!$B$3=J$3,SUMIF('TL08'!$C$10:$C$224,$C304,'TL08'!$J$10:$J$224),0),
IF('TL08'!$B$229=J$3,SUMIF('TL08'!$C$238:$C$451,$C304,'TL08'!$J$238:$J$451),0),
IF('TL09'!$B$3=J$3,SUMIF('TL09'!$C$10:$C$224,$C304,'TL09'!$J$10:$J$224),0),
IF('TL09'!$B$229=J$3,SUMIF('TL09'!$C$238:$C$451,$C304,'TL09'!$J$238:$J$451),0),
IF('TL10'!$B$3=J$3,SUMIF('TL10'!$C$10:$C$224,$C304,'TL10'!$J$10:$J$224),0),
IF('TL10'!$B$229=J$3,SUMIF('TL10'!$C$238:$C$451,$C304,'TL10'!$J$238:$J$451),0),
IF('TL11'!$B$3=J$3,SUMIF('TL11'!$C$10:$C$224,$C304,'TL11'!$J$10:$J$224),0),
IF('TL11'!$B$229=J$3,SUMIF('TL11'!$C$238:$C$451,$C304,'TL11'!$J$238:$J$451),0),
IF('TL12'!$B$3=J$3,SUMIF('TL12'!$C$10:$C$224,$C304,'TL12'!$J$10:$J$224),0),
IF('TL12'!$B$229=J$3,SUMIF('TL12'!$C$238:$C$451,$C304,'TL12'!$J$238:$J$451),0),
IF('TL13'!$B$3=J$3,SUMIF('TL13'!$C$10:$C$224,$C304,'TL13'!$J$10:$J$224),0),
IF('TL13'!$B$229=J$3,SUMIF('TL13'!$C$238:$C$451,$C304,'TL13'!$J$238:$J$451),0),
IF('TL14'!$B$3=J$3,SUMIF('TL14'!$C$10:$C$224,$C304,'TL14'!$J$10:$J$224),0),
IF('TL14'!$B$229=J$3,SUMIF('TL14'!$C$238:$C$451,$C304,'TL14'!$J$238:$J$451),0),
IF('TL15'!$B$3=J$3,SUMIF('TL15'!$C$10:$C$224,$C304,'TL15'!$J$10:$J$224),0),
IF('TL15'!$B$229=J$3,SUMIF('TL15'!$C$238:$C$451,$C304,'TL15'!$J$238:$J$451),0),
IF('TL16'!$B$3=J$3,SUMIF('TL16'!$C$10:$C$224,$C304,'TL16'!$J$10:$J$224),0),
IF('TL16'!$B$229=J$3,SUMIF('TL16'!$C$238:$C$451,$C304,'TL16'!$J$238:$J$451),0),
IF('TL17'!$B$3=J$3,SUMIF('TL17'!$C$10:$C$224,$C304,'TL17'!$J$10:$J$224),0),
IF('TL17'!$B$229=J$3,SUMIF('TL17'!$C$238:$C$451,$C304,'TL17'!$J$238:$J$451),0),
IF('TL18'!$B$3=J$3,SUMIF('TL18'!$C$10:$C$224,$C304,'TL18'!$J$10:$J$224),0),
IF('TL18'!$B$229=J$3,SUMIF('TL18'!$C$238:$C$451,$C304,'TL18'!$J$238:$J$451),0),
IF('TL19'!$B$3=J$3,SUMIF('TL19'!$C$10:$C$224,$C304,'TL19'!$J$10:$J$224),0),
IF('TL19'!$B$229=J$3,SUMIF('TL19'!$C$238:$C$451,$C304,'TL19'!$J$238:$J$451),0)
),0)</f>
        <v/>
      </c>
      <c r="K304" s="9">
        <f>IFERROR(SUM(
IF('TL01'!$B$3=K$3,SUMIF('TL01'!$C$10:$C$224,$C304,'TL01'!$J$10:$J$224),0),
IF('TL01'!$B$229=K$3,SUMIF('TL01'!$C$238:$C$451,$C304,'TL01'!$J$238:$J$451),0),
IF('TL02'!$B$3=K$3,SUMIF('TL02'!$C$10:$C$224,$C304,'TL02'!$J$10:$J$224),0),
IF('TL02'!$B$229=K$3,SUMIF('TL02'!$C$238:$C$451,$C304,'TL02'!$J$238:$J$451),0),
IF('TL03'!$B$3=K$3,SUMIF('TL03'!$C$10:$C$224,$C304,'TL03'!$J$10:$J$224),0),
IF('TL03'!$B$229=K$3,SUMIF('TL03'!$C$238:$C$451,$C304,'TL03'!$J$238:$J$451),0),
IF('TL04'!$B$3=K$3,SUMIF('TL04'!$C$10:$C$224,$C304,'TL04'!$J$10:$J$224),0),
IF('TL04'!$B$229=K$3,SUMIF('TL04'!$C$238:$C$451,$C304,'TL04'!$J$238:$J$451),0),
IF('TL05'!$B$3=K$3,SUMIF('TL05'!$C$10:$C$224,$C304,'TL05'!$J$10:$J$224),0),
IF('TL05'!$B$229=K$3,SUMIF('TL05'!$C$238:$C$451,$C304,'TL05'!$J$238:$J$451),0),
IF('TL06'!$B$3=K$3,SUMIF('TL06'!$C$10:$C$224,$C304,'TL06'!$J$10:$J$224),0),
IF('TL06'!$B$229=K$3,SUMIF('TL06'!$C$238:$C$451,$C304,'TL06'!$J$238:$J$451),0),
IF('TL07'!$B$3=K$3,SUMIF('TL07'!$C$10:$C$224,$C304,'TL07'!$J$10:$J$224),0),
IF('TL07'!$B$229=K$3,SUMIF('TL07'!$C$238:$C$451,$C304,'TL07'!$J$238:$J$451),0),
IF('TL08'!$B$3=K$3,SUMIF('TL08'!$C$10:$C$224,$C304,'TL08'!$J$10:$J$224),0),
IF('TL08'!$B$229=K$3,SUMIF('TL08'!$C$238:$C$451,$C304,'TL08'!$J$238:$J$451),0),
IF('TL09'!$B$3=K$3,SUMIF('TL09'!$C$10:$C$224,$C304,'TL09'!$J$10:$J$224),0),
IF('TL09'!$B$229=K$3,SUMIF('TL09'!$C$238:$C$451,$C304,'TL09'!$J$238:$J$451),0),
IF('TL10'!$B$3=K$3,SUMIF('TL10'!$C$10:$C$224,$C304,'TL10'!$J$10:$J$224),0),
IF('TL10'!$B$229=K$3,SUMIF('TL10'!$C$238:$C$451,$C304,'TL10'!$J$238:$J$451),0),
IF('TL11'!$B$3=K$3,SUMIF('TL11'!$C$10:$C$224,$C304,'TL11'!$J$10:$J$224),0),
IF('TL11'!$B$229=K$3,SUMIF('TL11'!$C$238:$C$451,$C304,'TL11'!$J$238:$J$451),0),
IF('TL12'!$B$3=K$3,SUMIF('TL12'!$C$10:$C$224,$C304,'TL12'!$J$10:$J$224),0),
IF('TL12'!$B$229=K$3,SUMIF('TL12'!$C$238:$C$451,$C304,'TL12'!$J$238:$J$451),0),
IF('TL13'!$B$3=K$3,SUMIF('TL13'!$C$10:$C$224,$C304,'TL13'!$J$10:$J$224),0),
IF('TL13'!$B$229=K$3,SUMIF('TL13'!$C$238:$C$451,$C304,'TL13'!$J$238:$J$451),0),
IF('TL14'!$B$3=K$3,SUMIF('TL14'!$C$10:$C$224,$C304,'TL14'!$J$10:$J$224),0),
IF('TL14'!$B$229=K$3,SUMIF('TL14'!$C$238:$C$451,$C304,'TL14'!$J$238:$J$451),0),
IF('TL15'!$B$3=K$3,SUMIF('TL15'!$C$10:$C$224,$C304,'TL15'!$J$10:$J$224),0),
IF('TL15'!$B$229=K$3,SUMIF('TL15'!$C$238:$C$451,$C304,'TL15'!$J$238:$J$451),0),
IF('TL16'!$B$3=K$3,SUMIF('TL16'!$C$10:$C$224,$C304,'TL16'!$J$10:$J$224),0),
IF('TL16'!$B$229=K$3,SUMIF('TL16'!$C$238:$C$451,$C304,'TL16'!$J$238:$J$451),0),
IF('TL17'!$B$3=K$3,SUMIF('TL17'!$C$10:$C$224,$C304,'TL17'!$J$10:$J$224),0),
IF('TL17'!$B$229=K$3,SUMIF('TL17'!$C$238:$C$451,$C304,'TL17'!$J$238:$J$451),0),
IF('TL18'!$B$3=K$3,SUMIF('TL18'!$C$10:$C$224,$C304,'TL18'!$J$10:$J$224),0),
IF('TL18'!$B$229=K$3,SUMIF('TL18'!$C$238:$C$451,$C304,'TL18'!$J$238:$J$451),0),
IF('TL19'!$B$3=K$3,SUMIF('TL19'!$C$10:$C$224,$C304,'TL19'!$J$10:$J$224),0),
IF('TL19'!$B$229=K$3,SUMIF('TL19'!$C$238:$C$451,$C304,'TL19'!$J$238:$J$451),0)
),0)</f>
        <v/>
      </c>
      <c r="L304" s="9">
        <f>IFERROR(SUM(
IF('TL01'!$B$3=L$3,SUMIF('TL01'!$C$10:$C$224,$C304,'TL01'!$J$10:$J$224),0),
IF('TL01'!$B$229=L$3,SUMIF('TL01'!$C$238:$C$451,$C304,'TL01'!$J$238:$J$451),0),
IF('TL02'!$B$3=L$3,SUMIF('TL02'!$C$10:$C$224,$C304,'TL02'!$J$10:$J$224),0),
IF('TL02'!$B$229=L$3,SUMIF('TL02'!$C$238:$C$451,$C304,'TL02'!$J$238:$J$451),0),
IF('TL03'!$B$3=L$3,SUMIF('TL03'!$C$10:$C$224,$C304,'TL03'!$J$10:$J$224),0),
IF('TL03'!$B$229=L$3,SUMIF('TL03'!$C$238:$C$451,$C304,'TL03'!$J$238:$J$451),0),
IF('TL04'!$B$3=L$3,SUMIF('TL04'!$C$10:$C$224,$C304,'TL04'!$J$10:$J$224),0),
IF('TL04'!$B$229=L$3,SUMIF('TL04'!$C$238:$C$451,$C304,'TL04'!$J$238:$J$451),0),
IF('TL05'!$B$3=L$3,SUMIF('TL05'!$C$10:$C$224,$C304,'TL05'!$J$10:$J$224),0),
IF('TL05'!$B$229=L$3,SUMIF('TL05'!$C$238:$C$451,$C304,'TL05'!$J$238:$J$451),0),
IF('TL06'!$B$3=L$3,SUMIF('TL06'!$C$10:$C$224,$C304,'TL06'!$J$10:$J$224),0),
IF('TL06'!$B$229=L$3,SUMIF('TL06'!$C$238:$C$451,$C304,'TL06'!$J$238:$J$451),0),
IF('TL07'!$B$3=L$3,SUMIF('TL07'!$C$10:$C$224,$C304,'TL07'!$J$10:$J$224),0),
IF('TL07'!$B$229=L$3,SUMIF('TL07'!$C$238:$C$451,$C304,'TL07'!$J$238:$J$451),0),
IF('TL08'!$B$3=L$3,SUMIF('TL08'!$C$10:$C$224,$C304,'TL08'!$J$10:$J$224),0),
IF('TL08'!$B$229=L$3,SUMIF('TL08'!$C$238:$C$451,$C304,'TL08'!$J$238:$J$451),0),
IF('TL09'!$B$3=L$3,SUMIF('TL09'!$C$10:$C$224,$C304,'TL09'!$J$10:$J$224),0),
IF('TL09'!$B$229=L$3,SUMIF('TL09'!$C$238:$C$451,$C304,'TL09'!$J$238:$J$451),0),
IF('TL10'!$B$3=L$3,SUMIF('TL10'!$C$10:$C$224,$C304,'TL10'!$J$10:$J$224),0),
IF('TL10'!$B$229=L$3,SUMIF('TL10'!$C$238:$C$451,$C304,'TL10'!$J$238:$J$451),0),
IF('TL11'!$B$3=L$3,SUMIF('TL11'!$C$10:$C$224,$C304,'TL11'!$J$10:$J$224),0),
IF('TL11'!$B$229=L$3,SUMIF('TL11'!$C$238:$C$451,$C304,'TL11'!$J$238:$J$451),0),
IF('TL12'!$B$3=L$3,SUMIF('TL12'!$C$10:$C$224,$C304,'TL12'!$J$10:$J$224),0),
IF('TL12'!$B$229=L$3,SUMIF('TL12'!$C$238:$C$451,$C304,'TL12'!$J$238:$J$451),0),
IF('TL13'!$B$3=L$3,SUMIF('TL13'!$C$10:$C$224,$C304,'TL13'!$J$10:$J$224),0),
IF('TL13'!$B$229=L$3,SUMIF('TL13'!$C$238:$C$451,$C304,'TL13'!$J$238:$J$451),0),
IF('TL14'!$B$3=L$3,SUMIF('TL14'!$C$10:$C$224,$C304,'TL14'!$J$10:$J$224),0),
IF('TL14'!$B$229=L$3,SUMIF('TL14'!$C$238:$C$451,$C304,'TL14'!$J$238:$J$451),0),
IF('TL15'!$B$3=L$3,SUMIF('TL15'!$C$10:$C$224,$C304,'TL15'!$J$10:$J$224),0),
IF('TL15'!$B$229=L$3,SUMIF('TL15'!$C$238:$C$451,$C304,'TL15'!$J$238:$J$451),0),
IF('TL16'!$B$3=L$3,SUMIF('TL16'!$C$10:$C$224,$C304,'TL16'!$J$10:$J$224),0),
IF('TL16'!$B$229=L$3,SUMIF('TL16'!$C$238:$C$451,$C304,'TL16'!$J$238:$J$451),0),
IF('TL17'!$B$3=L$3,SUMIF('TL17'!$C$10:$C$224,$C304,'TL17'!$J$10:$J$224),0),
IF('TL17'!$B$229=L$3,SUMIF('TL17'!$C$238:$C$451,$C304,'TL17'!$J$238:$J$451),0),
IF('TL18'!$B$3=L$3,SUMIF('TL18'!$C$10:$C$224,$C304,'TL18'!$J$10:$J$224),0),
IF('TL18'!$B$229=L$3,SUMIF('TL18'!$C$238:$C$451,$C304,'TL18'!$J$238:$J$451),0),
IF('TL19'!$B$3=L$3,SUMIF('TL19'!$C$10:$C$224,$C304,'TL19'!$J$10:$J$224),0),
IF('TL19'!$B$229=L$3,SUMIF('TL19'!$C$238:$C$451,$C304,'TL19'!$J$238:$J$451),0)
),0)</f>
        <v/>
      </c>
      <c r="M304" s="9">
        <f>IFERROR(SUM(
IF('TL01'!$B$3=M$3,SUMIF('TL01'!$C$10:$C$224,$C304,'TL01'!$J$10:$J$224),0),
IF('TL01'!$B$229=M$3,SUMIF('TL01'!$C$238:$C$451,$C304,'TL01'!$J$238:$J$451),0),
IF('TL02'!$B$3=M$3,SUMIF('TL02'!$C$10:$C$224,$C304,'TL02'!$J$10:$J$224),0),
IF('TL02'!$B$229=M$3,SUMIF('TL02'!$C$238:$C$451,$C304,'TL02'!$J$238:$J$451),0),
IF('TL03'!$B$3=M$3,SUMIF('TL03'!$C$10:$C$224,$C304,'TL03'!$J$10:$J$224),0),
IF('TL03'!$B$229=M$3,SUMIF('TL03'!$C$238:$C$451,$C304,'TL03'!$J$238:$J$451),0),
IF('TL04'!$B$3=M$3,SUMIF('TL04'!$C$10:$C$224,$C304,'TL04'!$J$10:$J$224),0),
IF('TL04'!$B$229=M$3,SUMIF('TL04'!$C$238:$C$451,$C304,'TL04'!$J$238:$J$451),0),
IF('TL05'!$B$3=M$3,SUMIF('TL05'!$C$10:$C$224,$C304,'TL05'!$J$10:$J$224),0),
IF('TL05'!$B$229=M$3,SUMIF('TL05'!$C$238:$C$451,$C304,'TL05'!$J$238:$J$451),0),
IF('TL06'!$B$3=M$3,SUMIF('TL06'!$C$10:$C$224,$C304,'TL06'!$J$10:$J$224),0),
IF('TL06'!$B$229=M$3,SUMIF('TL06'!$C$238:$C$451,$C304,'TL06'!$J$238:$J$451),0),
IF('TL07'!$B$3=M$3,SUMIF('TL07'!$C$10:$C$224,$C304,'TL07'!$J$10:$J$224),0),
IF('TL07'!$B$229=M$3,SUMIF('TL07'!$C$238:$C$451,$C304,'TL07'!$J$238:$J$451),0),
IF('TL08'!$B$3=M$3,SUMIF('TL08'!$C$10:$C$224,$C304,'TL08'!$J$10:$J$224),0),
IF('TL08'!$B$229=M$3,SUMIF('TL08'!$C$238:$C$451,$C304,'TL08'!$J$238:$J$451),0),
IF('TL09'!$B$3=M$3,SUMIF('TL09'!$C$10:$C$224,$C304,'TL09'!$J$10:$J$224),0),
IF('TL09'!$B$229=M$3,SUMIF('TL09'!$C$238:$C$451,$C304,'TL09'!$J$238:$J$451),0),
IF('TL10'!$B$3=M$3,SUMIF('TL10'!$C$10:$C$224,$C304,'TL10'!$J$10:$J$224),0),
IF('TL10'!$B$229=M$3,SUMIF('TL10'!$C$238:$C$451,$C304,'TL10'!$J$238:$J$451),0),
IF('TL11'!$B$3=M$3,SUMIF('TL11'!$C$10:$C$224,$C304,'TL11'!$J$10:$J$224),0),
IF('TL11'!$B$229=M$3,SUMIF('TL11'!$C$238:$C$451,$C304,'TL11'!$J$238:$J$451),0),
IF('TL12'!$B$3=M$3,SUMIF('TL12'!$C$10:$C$224,$C304,'TL12'!$J$10:$J$224),0),
IF('TL12'!$B$229=M$3,SUMIF('TL12'!$C$238:$C$451,$C304,'TL12'!$J$238:$J$451),0),
IF('TL13'!$B$3=M$3,SUMIF('TL13'!$C$10:$C$224,$C304,'TL13'!$J$10:$J$224),0),
IF('TL13'!$B$229=M$3,SUMIF('TL13'!$C$238:$C$451,$C304,'TL13'!$J$238:$J$451),0),
IF('TL14'!$B$3=M$3,SUMIF('TL14'!$C$10:$C$224,$C304,'TL14'!$J$10:$J$224),0),
IF('TL14'!$B$229=M$3,SUMIF('TL14'!$C$238:$C$451,$C304,'TL14'!$J$238:$J$451),0),
IF('TL15'!$B$3=M$3,SUMIF('TL15'!$C$10:$C$224,$C304,'TL15'!$J$10:$J$224),0),
IF('TL15'!$B$229=M$3,SUMIF('TL15'!$C$238:$C$451,$C304,'TL15'!$J$238:$J$451),0),
IF('TL16'!$B$3=M$3,SUMIF('TL16'!$C$10:$C$224,$C304,'TL16'!$J$10:$J$224),0),
IF('TL16'!$B$229=M$3,SUMIF('TL16'!$C$238:$C$451,$C304,'TL16'!$J$238:$J$451),0),
IF('TL17'!$B$3=M$3,SUMIF('TL17'!$C$10:$C$224,$C304,'TL17'!$J$10:$J$224),0),
IF('TL17'!$B$229=M$3,SUMIF('TL17'!$C$238:$C$451,$C304,'TL17'!$J$238:$J$451),0),
IF('TL18'!$B$3=M$3,SUMIF('TL18'!$C$10:$C$224,$C304,'TL18'!$J$10:$J$224),0),
IF('TL18'!$B$229=M$3,SUMIF('TL18'!$C$238:$C$451,$C304,'TL18'!$J$238:$J$451),0),
IF('TL19'!$B$3=M$3,SUMIF('TL19'!$C$10:$C$224,$C304,'TL19'!$J$10:$J$224),0),
IF('TL19'!$B$229=M$3,SUMIF('TL19'!$C$238:$C$451,$C304,'TL19'!$J$238:$J$451),0)
),0)</f>
        <v/>
      </c>
      <c r="N304" s="9">
        <f>IFERROR(SUM(
IF('TL01'!$B$3=N$3,SUMIF('TL01'!$C$10:$C$224,$C304,'TL01'!$J$10:$J$224),0),
IF('TL01'!$B$229=N$3,SUMIF('TL01'!$C$238:$C$451,$C304,'TL01'!$J$238:$J$451),0),
IF('TL02'!$B$3=N$3,SUMIF('TL02'!$C$10:$C$224,$C304,'TL02'!$J$10:$J$224),0),
IF('TL02'!$B$229=N$3,SUMIF('TL02'!$C$238:$C$451,$C304,'TL02'!$J$238:$J$451),0),
IF('TL03'!$B$3=N$3,SUMIF('TL03'!$C$10:$C$224,$C304,'TL03'!$J$10:$J$224),0),
IF('TL03'!$B$229=N$3,SUMIF('TL03'!$C$238:$C$451,$C304,'TL03'!$J$238:$J$451),0),
IF('TL04'!$B$3=N$3,SUMIF('TL04'!$C$10:$C$224,$C304,'TL04'!$J$10:$J$224),0),
IF('TL04'!$B$229=N$3,SUMIF('TL04'!$C$238:$C$451,$C304,'TL04'!$J$238:$J$451),0),
IF('TL05'!$B$3=N$3,SUMIF('TL05'!$C$10:$C$224,$C304,'TL05'!$J$10:$J$224),0),
IF('TL05'!$B$229=N$3,SUMIF('TL05'!$C$238:$C$451,$C304,'TL05'!$J$238:$J$451),0),
IF('TL06'!$B$3=N$3,SUMIF('TL06'!$C$10:$C$224,$C304,'TL06'!$J$10:$J$224),0),
IF('TL06'!$B$229=N$3,SUMIF('TL06'!$C$238:$C$451,$C304,'TL06'!$J$238:$J$451),0),
IF('TL07'!$B$3=N$3,SUMIF('TL07'!$C$10:$C$224,$C304,'TL07'!$J$10:$J$224),0),
IF('TL07'!$B$229=N$3,SUMIF('TL07'!$C$238:$C$451,$C304,'TL07'!$J$238:$J$451),0),
IF('TL08'!$B$3=N$3,SUMIF('TL08'!$C$10:$C$224,$C304,'TL08'!$J$10:$J$224),0),
IF('TL08'!$B$229=N$3,SUMIF('TL08'!$C$238:$C$451,$C304,'TL08'!$J$238:$J$451),0),
IF('TL09'!$B$3=N$3,SUMIF('TL09'!$C$10:$C$224,$C304,'TL09'!$J$10:$J$224),0),
IF('TL09'!$B$229=N$3,SUMIF('TL09'!$C$238:$C$451,$C304,'TL09'!$J$238:$J$451),0),
IF('TL10'!$B$3=N$3,SUMIF('TL10'!$C$10:$C$224,$C304,'TL10'!$J$10:$J$224),0),
IF('TL10'!$B$229=N$3,SUMIF('TL10'!$C$238:$C$451,$C304,'TL10'!$J$238:$J$451),0),
IF('TL11'!$B$3=N$3,SUMIF('TL11'!$C$10:$C$224,$C304,'TL11'!$J$10:$J$224),0),
IF('TL11'!$B$229=N$3,SUMIF('TL11'!$C$238:$C$451,$C304,'TL11'!$J$238:$J$451),0),
IF('TL12'!$B$3=N$3,SUMIF('TL12'!$C$10:$C$224,$C304,'TL12'!$J$10:$J$224),0),
IF('TL12'!$B$229=N$3,SUMIF('TL12'!$C$238:$C$451,$C304,'TL12'!$J$238:$J$451),0),
IF('TL13'!$B$3=N$3,SUMIF('TL13'!$C$10:$C$224,$C304,'TL13'!$J$10:$J$224),0),
IF('TL13'!$B$229=N$3,SUMIF('TL13'!$C$238:$C$451,$C304,'TL13'!$J$238:$J$451),0),
IF('TL14'!$B$3=N$3,SUMIF('TL14'!$C$10:$C$224,$C304,'TL14'!$J$10:$J$224),0),
IF('TL14'!$B$229=N$3,SUMIF('TL14'!$C$238:$C$451,$C304,'TL14'!$J$238:$J$451),0),
IF('TL15'!$B$3=N$3,SUMIF('TL15'!$C$10:$C$224,$C304,'TL15'!$J$10:$J$224),0),
IF('TL15'!$B$229=N$3,SUMIF('TL15'!$C$238:$C$451,$C304,'TL15'!$J$238:$J$451),0),
IF('TL16'!$B$3=N$3,SUMIF('TL16'!$C$10:$C$224,$C304,'TL16'!$J$10:$J$224),0),
IF('TL16'!$B$229=N$3,SUMIF('TL16'!$C$238:$C$451,$C304,'TL16'!$J$238:$J$451),0),
IF('TL17'!$B$3=N$3,SUMIF('TL17'!$C$10:$C$224,$C304,'TL17'!$J$10:$J$224),0),
IF('TL17'!$B$229=N$3,SUMIF('TL17'!$C$238:$C$451,$C304,'TL17'!$J$238:$J$451),0),
IF('TL18'!$B$3=N$3,SUMIF('TL18'!$C$10:$C$224,$C304,'TL18'!$J$10:$J$224),0),
IF('TL18'!$B$229=N$3,SUMIF('TL18'!$C$238:$C$451,$C304,'TL18'!$J$238:$J$451),0),
IF('TL19'!$B$3=N$3,SUMIF('TL19'!$C$10:$C$224,$C304,'TL19'!$J$10:$J$224),0),
IF('TL19'!$B$229=N$3,SUMIF('TL19'!$C$238:$C$451,$C304,'TL19'!$J$238:$J$451),0)
),0)</f>
        <v/>
      </c>
      <c r="O304" s="9">
        <f>IFERROR(SUM(
IF('TL01'!$B$3=O$3,SUMIF('TL01'!$C$10:$C$224,$C304,'TL01'!$J$10:$J$224),0),
IF('TL01'!$B$229=O$3,SUMIF('TL01'!$C$238:$C$451,$C304,'TL01'!$J$238:$J$451),0),
IF('TL02'!$B$3=O$3,SUMIF('TL02'!$C$10:$C$224,$C304,'TL02'!$J$10:$J$224),0),
IF('TL02'!$B$229=O$3,SUMIF('TL02'!$C$238:$C$451,$C304,'TL02'!$J$238:$J$451),0),
IF('TL03'!$B$3=O$3,SUMIF('TL03'!$C$10:$C$224,$C304,'TL03'!$J$10:$J$224),0),
IF('TL03'!$B$229=O$3,SUMIF('TL03'!$C$238:$C$451,$C304,'TL03'!$J$238:$J$451),0),
IF('TL04'!$B$3=O$3,SUMIF('TL04'!$C$10:$C$224,$C304,'TL04'!$J$10:$J$224),0),
IF('TL04'!$B$229=O$3,SUMIF('TL04'!$C$238:$C$451,$C304,'TL04'!$J$238:$J$451),0),
IF('TL05'!$B$3=O$3,SUMIF('TL05'!$C$10:$C$224,$C304,'TL05'!$J$10:$J$224),0),
IF('TL05'!$B$229=O$3,SUMIF('TL05'!$C$238:$C$451,$C304,'TL05'!$J$238:$J$451),0),
IF('TL06'!$B$3=O$3,SUMIF('TL06'!$C$10:$C$224,$C304,'TL06'!$J$10:$J$224),0),
IF('TL06'!$B$229=O$3,SUMIF('TL06'!$C$238:$C$451,$C304,'TL06'!$J$238:$J$451),0),
IF('TL07'!$B$3=O$3,SUMIF('TL07'!$C$10:$C$224,$C304,'TL07'!$J$10:$J$224),0),
IF('TL07'!$B$229=O$3,SUMIF('TL07'!$C$238:$C$451,$C304,'TL07'!$J$238:$J$451),0),
IF('TL08'!$B$3=O$3,SUMIF('TL08'!$C$10:$C$224,$C304,'TL08'!$J$10:$J$224),0),
IF('TL08'!$B$229=O$3,SUMIF('TL08'!$C$238:$C$451,$C304,'TL08'!$J$238:$J$451),0),
IF('TL09'!$B$3=O$3,SUMIF('TL09'!$C$10:$C$224,$C304,'TL09'!$J$10:$J$224),0),
IF('TL09'!$B$229=O$3,SUMIF('TL09'!$C$238:$C$451,$C304,'TL09'!$J$238:$J$451),0),
IF('TL10'!$B$3=O$3,SUMIF('TL10'!$C$10:$C$224,$C304,'TL10'!$J$10:$J$224),0),
IF('TL10'!$B$229=O$3,SUMIF('TL10'!$C$238:$C$451,$C304,'TL10'!$J$238:$J$451),0),
IF('TL11'!$B$3=O$3,SUMIF('TL11'!$C$10:$C$224,$C304,'TL11'!$J$10:$J$224),0),
IF('TL11'!$B$229=O$3,SUMIF('TL11'!$C$238:$C$451,$C304,'TL11'!$J$238:$J$451),0),
IF('TL12'!$B$3=O$3,SUMIF('TL12'!$C$10:$C$224,$C304,'TL12'!$J$10:$J$224),0),
IF('TL12'!$B$229=O$3,SUMIF('TL12'!$C$238:$C$451,$C304,'TL12'!$J$238:$J$451),0),
IF('TL13'!$B$3=O$3,SUMIF('TL13'!$C$10:$C$224,$C304,'TL13'!$J$10:$J$224),0),
IF('TL13'!$B$229=O$3,SUMIF('TL13'!$C$238:$C$451,$C304,'TL13'!$J$238:$J$451),0),
IF('TL14'!$B$3=O$3,SUMIF('TL14'!$C$10:$C$224,$C304,'TL14'!$J$10:$J$224),0),
IF('TL14'!$B$229=O$3,SUMIF('TL14'!$C$238:$C$451,$C304,'TL14'!$J$238:$J$451),0),
IF('TL15'!$B$3=O$3,SUMIF('TL15'!$C$10:$C$224,$C304,'TL15'!$J$10:$J$224),0),
IF('TL15'!$B$229=O$3,SUMIF('TL15'!$C$238:$C$451,$C304,'TL15'!$J$238:$J$451),0),
IF('TL16'!$B$3=O$3,SUMIF('TL16'!$C$10:$C$224,$C304,'TL16'!$J$10:$J$224),0),
IF('TL16'!$B$229=O$3,SUMIF('TL16'!$C$238:$C$451,$C304,'TL16'!$J$238:$J$451),0),
IF('TL17'!$B$3=O$3,SUMIF('TL17'!$C$10:$C$224,$C304,'TL17'!$J$10:$J$224),0),
IF('TL17'!$B$229=O$3,SUMIF('TL17'!$C$238:$C$451,$C304,'TL17'!$J$238:$J$451),0),
IF('TL18'!$B$3=O$3,SUMIF('TL18'!$C$10:$C$224,$C304,'TL18'!$J$10:$J$224),0),
IF('TL18'!$B$229=O$3,SUMIF('TL18'!$C$238:$C$451,$C304,'TL18'!$J$238:$J$451),0),
IF('TL19'!$B$3=O$3,SUMIF('TL19'!$C$10:$C$224,$C304,'TL19'!$J$10:$J$224),0),
IF('TL19'!$B$229=O$3,SUMIF('TL19'!$C$238:$C$451,$C304,'TL19'!$J$238:$J$451),0)
),0)</f>
        <v/>
      </c>
      <c r="P304" s="9">
        <f>IFERROR(SUM(
IF('TL01'!$B$3=P$3,SUMIF('TL01'!$C$10:$C$224,$C304,'TL01'!$J$10:$J$224),0),
IF('TL01'!$B$229=P$3,SUMIF('TL01'!$C$238:$C$451,$C304,'TL01'!$J$238:$J$451),0),
IF('TL02'!$B$3=P$3,SUMIF('TL02'!$C$10:$C$224,$C304,'TL02'!$J$10:$J$224),0),
IF('TL02'!$B$229=P$3,SUMIF('TL02'!$C$238:$C$451,$C304,'TL02'!$J$238:$J$451),0),
IF('TL03'!$B$3=P$3,SUMIF('TL03'!$C$10:$C$224,$C304,'TL03'!$J$10:$J$224),0),
IF('TL03'!$B$229=P$3,SUMIF('TL03'!$C$238:$C$451,$C304,'TL03'!$J$238:$J$451),0),
IF('TL04'!$B$3=P$3,SUMIF('TL04'!$C$10:$C$224,$C304,'TL04'!$J$10:$J$224),0),
IF('TL04'!$B$229=P$3,SUMIF('TL04'!$C$238:$C$451,$C304,'TL04'!$J$238:$J$451),0),
IF('TL05'!$B$3=P$3,SUMIF('TL05'!$C$10:$C$224,$C304,'TL05'!$J$10:$J$224),0),
IF('TL05'!$B$229=P$3,SUMIF('TL05'!$C$238:$C$451,$C304,'TL05'!$J$238:$J$451),0),
IF('TL06'!$B$3=P$3,SUMIF('TL06'!$C$10:$C$224,$C304,'TL06'!$J$10:$J$224),0),
IF('TL06'!$B$229=P$3,SUMIF('TL06'!$C$238:$C$451,$C304,'TL06'!$J$238:$J$451),0),
IF('TL07'!$B$3=P$3,SUMIF('TL07'!$C$10:$C$224,$C304,'TL07'!$J$10:$J$224),0),
IF('TL07'!$B$229=P$3,SUMIF('TL07'!$C$238:$C$451,$C304,'TL07'!$J$238:$J$451),0),
IF('TL08'!$B$3=P$3,SUMIF('TL08'!$C$10:$C$224,$C304,'TL08'!$J$10:$J$224),0),
IF('TL08'!$B$229=P$3,SUMIF('TL08'!$C$238:$C$451,$C304,'TL08'!$J$238:$J$451),0),
IF('TL09'!$B$3=P$3,SUMIF('TL09'!$C$10:$C$224,$C304,'TL09'!$J$10:$J$224),0),
IF('TL09'!$B$229=P$3,SUMIF('TL09'!$C$238:$C$451,$C304,'TL09'!$J$238:$J$451),0),
IF('TL10'!$B$3=P$3,SUMIF('TL10'!$C$10:$C$224,$C304,'TL10'!$J$10:$J$224),0),
IF('TL10'!$B$229=P$3,SUMIF('TL10'!$C$238:$C$451,$C304,'TL10'!$J$238:$J$451),0),
IF('TL11'!$B$3=P$3,SUMIF('TL11'!$C$10:$C$224,$C304,'TL11'!$J$10:$J$224),0),
IF('TL11'!$B$229=P$3,SUMIF('TL11'!$C$238:$C$451,$C304,'TL11'!$J$238:$J$451),0),
IF('TL12'!$B$3=P$3,SUMIF('TL12'!$C$10:$C$224,$C304,'TL12'!$J$10:$J$224),0),
IF('TL12'!$B$229=P$3,SUMIF('TL12'!$C$238:$C$451,$C304,'TL12'!$J$238:$J$451),0),
IF('TL13'!$B$3=P$3,SUMIF('TL13'!$C$10:$C$224,$C304,'TL13'!$J$10:$J$224),0),
IF('TL13'!$B$229=P$3,SUMIF('TL13'!$C$238:$C$451,$C304,'TL13'!$J$238:$J$451),0),
IF('TL14'!$B$3=P$3,SUMIF('TL14'!$C$10:$C$224,$C304,'TL14'!$J$10:$J$224),0),
IF('TL14'!$B$229=P$3,SUMIF('TL14'!$C$238:$C$451,$C304,'TL14'!$J$238:$J$451),0),
IF('TL15'!$B$3=P$3,SUMIF('TL15'!$C$10:$C$224,$C304,'TL15'!$J$10:$J$224),0),
IF('TL15'!$B$229=P$3,SUMIF('TL15'!$C$238:$C$451,$C304,'TL15'!$J$238:$J$451),0),
IF('TL16'!$B$3=P$3,SUMIF('TL16'!$C$10:$C$224,$C304,'TL16'!$J$10:$J$224),0),
IF('TL16'!$B$229=P$3,SUMIF('TL16'!$C$238:$C$451,$C304,'TL16'!$J$238:$J$451),0),
IF('TL17'!$B$3=P$3,SUMIF('TL17'!$C$10:$C$224,$C304,'TL17'!$J$10:$J$224),0),
IF('TL17'!$B$229=P$3,SUMIF('TL17'!$C$238:$C$451,$C304,'TL17'!$J$238:$J$451),0),
IF('TL18'!$B$3=P$3,SUMIF('TL18'!$C$10:$C$224,$C304,'TL18'!$J$10:$J$224),0),
IF('TL18'!$B$229=P$3,SUMIF('TL18'!$C$238:$C$451,$C304,'TL18'!$J$238:$J$451),0),
IF('TL19'!$B$3=P$3,SUMIF('TL19'!$C$10:$C$224,$C304,'TL19'!$J$10:$J$224),0),
IF('TL19'!$B$229=P$3,SUMIF('TL19'!$C$238:$C$451,$C304,'TL19'!$J$238:$J$451),0)
),0)</f>
        <v/>
      </c>
      <c r="Q304" s="9">
        <f>IFERROR(SUM(
IF('TL01'!$B$3=Q$3,SUMIF('TL01'!$C$10:$C$224,$C304,'TL01'!$J$10:$J$224),0),
IF('TL01'!$B$229=Q$3,SUMIF('TL01'!$C$238:$C$451,$C304,'TL01'!$J$238:$J$451),0),
IF('TL02'!$B$3=Q$3,SUMIF('TL02'!$C$10:$C$224,$C304,'TL02'!$J$10:$J$224),0),
IF('TL02'!$B$229=Q$3,SUMIF('TL02'!$C$238:$C$451,$C304,'TL02'!$J$238:$J$451),0),
IF('TL03'!$B$3=Q$3,SUMIF('TL03'!$C$10:$C$224,$C304,'TL03'!$J$10:$J$224),0),
IF('TL03'!$B$229=Q$3,SUMIF('TL03'!$C$238:$C$451,$C304,'TL03'!$J$238:$J$451),0),
IF('TL04'!$B$3=Q$3,SUMIF('TL04'!$C$10:$C$224,$C304,'TL04'!$J$10:$J$224),0),
IF('TL04'!$B$229=Q$3,SUMIF('TL04'!$C$238:$C$451,$C304,'TL04'!$J$238:$J$451),0),
IF('TL05'!$B$3=Q$3,SUMIF('TL05'!$C$10:$C$224,$C304,'TL05'!$J$10:$J$224),0),
IF('TL05'!$B$229=Q$3,SUMIF('TL05'!$C$238:$C$451,$C304,'TL05'!$J$238:$J$451),0),
IF('TL06'!$B$3=Q$3,SUMIF('TL06'!$C$10:$C$224,$C304,'TL06'!$J$10:$J$224),0),
IF('TL06'!$B$229=Q$3,SUMIF('TL06'!$C$238:$C$451,$C304,'TL06'!$J$238:$J$451),0),
IF('TL07'!$B$3=Q$3,SUMIF('TL07'!$C$10:$C$224,$C304,'TL07'!$J$10:$J$224),0),
IF('TL07'!$B$229=Q$3,SUMIF('TL07'!$C$238:$C$451,$C304,'TL07'!$J$238:$J$451),0),
IF('TL08'!$B$3=Q$3,SUMIF('TL08'!$C$10:$C$224,$C304,'TL08'!$J$10:$J$224),0),
IF('TL08'!$B$229=Q$3,SUMIF('TL08'!$C$238:$C$451,$C304,'TL08'!$J$238:$J$451),0),
IF('TL09'!$B$3=Q$3,SUMIF('TL09'!$C$10:$C$224,$C304,'TL09'!$J$10:$J$224),0),
IF('TL09'!$B$229=Q$3,SUMIF('TL09'!$C$238:$C$451,$C304,'TL09'!$J$238:$J$451),0),
IF('TL10'!$B$3=Q$3,SUMIF('TL10'!$C$10:$C$224,$C304,'TL10'!$J$10:$J$224),0),
IF('TL10'!$B$229=Q$3,SUMIF('TL10'!$C$238:$C$451,$C304,'TL10'!$J$238:$J$451),0),
IF('TL11'!$B$3=Q$3,SUMIF('TL11'!$C$10:$C$224,$C304,'TL11'!$J$10:$J$224),0),
IF('TL11'!$B$229=Q$3,SUMIF('TL11'!$C$238:$C$451,$C304,'TL11'!$J$238:$J$451),0),
IF('TL12'!$B$3=Q$3,SUMIF('TL12'!$C$10:$C$224,$C304,'TL12'!$J$10:$J$224),0),
IF('TL12'!$B$229=Q$3,SUMIF('TL12'!$C$238:$C$451,$C304,'TL12'!$J$238:$J$451),0),
IF('TL13'!$B$3=Q$3,SUMIF('TL13'!$C$10:$C$224,$C304,'TL13'!$J$10:$J$224),0),
IF('TL13'!$B$229=Q$3,SUMIF('TL13'!$C$238:$C$451,$C304,'TL13'!$J$238:$J$451),0),
IF('TL14'!$B$3=Q$3,SUMIF('TL14'!$C$10:$C$224,$C304,'TL14'!$J$10:$J$224),0),
IF('TL14'!$B$229=Q$3,SUMIF('TL14'!$C$238:$C$451,$C304,'TL14'!$J$238:$J$451),0),
IF('TL15'!$B$3=Q$3,SUMIF('TL15'!$C$10:$C$224,$C304,'TL15'!$J$10:$J$224),0),
IF('TL15'!$B$229=Q$3,SUMIF('TL15'!$C$238:$C$451,$C304,'TL15'!$J$238:$J$451),0),
IF('TL16'!$B$3=Q$3,SUMIF('TL16'!$C$10:$C$224,$C304,'TL16'!$J$10:$J$224),0),
IF('TL16'!$B$229=Q$3,SUMIF('TL16'!$C$238:$C$451,$C304,'TL16'!$J$238:$J$451),0),
IF('TL17'!$B$3=Q$3,SUMIF('TL17'!$C$10:$C$224,$C304,'TL17'!$J$10:$J$224),0),
IF('TL17'!$B$229=Q$3,SUMIF('TL17'!$C$238:$C$451,$C304,'TL17'!$J$238:$J$451),0),
IF('TL18'!$B$3=Q$3,SUMIF('TL18'!$C$10:$C$224,$C304,'TL18'!$J$10:$J$224),0),
IF('TL18'!$B$229=Q$3,SUMIF('TL18'!$C$238:$C$451,$C304,'TL18'!$J$238:$J$451),0),
IF('TL19'!$B$3=Q$3,SUMIF('TL19'!$C$10:$C$224,$C304,'TL19'!$J$10:$J$224),0),
IF('TL19'!$B$229=Q$3,SUMIF('TL19'!$C$238:$C$451,$C304,'TL19'!$J$238:$J$451),0)
),0)</f>
        <v/>
      </c>
      <c r="R304" s="9">
        <f>IFERROR(
SUM(
SUMIF('TL01'!C:C,C304,'TL01'!J:J),
SUMIF('TL02'!C:C,C304,'TL02'!J:J),
SUMIF('TL03'!C:C,C304,'TL03'!J:J),
SUMIF('TL04'!C:C,C304,'TL04'!J:J),
SUMIF('TL05'!C:C,C304,'TL05'!J:J),
SUMIF('TL06'!C:C,C304,'TL06'!J:J),
SUMIF('TL07'!C:C,C304,'TL07'!J:J),
SUMIF('TL08'!C:C,C304,'TL08'!J:J),
SUMIF('TL09'!C:C,C304,'TL09'!J:J),
SUMIF('TL10'!C:C,C304,'TL10'!J:J),
SUMIF('TL11'!C:C,C304,'TL11'!J:J),
SUMIF('TL12'!C:C,C304,'TL12'!J:J),
SUMIF('TL13'!C:C,C304,'TL13'!J:J),
SUMIF('TL14'!C:C,C304,'TL14'!J:J),
SUMIF('TL15'!C:C,C304,'TL15'!J:J),
SUMIF('TL16'!C:C,C304,'TL16'!J:J),
SUMIF('TL17'!C:C,C304,'TL17'!J:J),
SUMIF('TL18'!C:C,C304,'TL18'!J:J),SUMIF('TL19'!C:C,C304,'TL19'!J:J))
,0)</f>
        <v/>
      </c>
      <c r="S304" s="17">
        <f>IFERROR(__xludf.DUMMYFUNCTION("IFERROR(VLOOKUP(C304,
IMPORTRANGE(""1wULbzX32WdYsx-lj2U3uUNBBe2INVIRDtcK0d-Dvl90"",
""26-27!C:G""),
5,
FALSE),
"""")"),1088.2060000000001)</f>
        <v/>
      </c>
      <c r="T304" s="9" t="n"/>
      <c r="U304" s="92">
        <f>MAX(0,R304-T304)</f>
        <v/>
      </c>
      <c r="V304" s="93">
        <f>U304*S304</f>
        <v/>
      </c>
    </row>
    <row r="305" hidden="1" ht="15.75" customHeight="1" s="297">
      <c r="A305" s="122" t="inlineStr">
        <is>
          <t>BASF</t>
        </is>
      </c>
      <c r="B305" s="124" t="inlineStr">
        <is>
          <t>TS</t>
        </is>
      </c>
      <c r="C305" s="122" t="inlineStr">
        <is>
          <t>ILEVO</t>
        </is>
      </c>
      <c r="D305" s="122" t="inlineStr">
        <is>
          <t>FLUOPYRAM</t>
        </is>
      </c>
      <c r="E305" s="122" t="n">
        <v>600</v>
      </c>
      <c r="F305" s="4" t="inlineStr">
        <is>
          <t>L</t>
        </is>
      </c>
      <c r="G305" s="90">
        <f>HYPERLINK("https://www.google.com/search?q=" &amp; C305 &amp; "+bula+agrofit+pdf", "📄 Ver bula")</f>
        <v/>
      </c>
      <c r="H305" s="9">
        <f>IFERROR(__xludf.DUMMYFUNCTION("IFERROR(VLOOKUP(C305,
IMPORTRANGE(""1wULbzX32WdYsx-lj2U3uUNBBe2INVIRDtcK0d-Dvl90"",
""26-27!C:K""),
8,
FALSE),
"""")"),"")</f>
        <v/>
      </c>
      <c r="I305" s="123" t="n"/>
      <c r="J305" s="9">
        <f>IFERROR(SUM(
IF('TL01'!$B$3=J$3,SUMIF('TL01'!$C$10:$C$224,$C305,'TL01'!$J$10:$J$224),0),
IF('TL01'!$B$229=J$3,SUMIF('TL01'!$C$238:$C$451,$C305,'TL01'!$J$238:$J$451),0),
IF('TL02'!$B$3=J$3,SUMIF('TL02'!$C$10:$C$224,$C305,'TL02'!$J$10:$J$224),0),
IF('TL02'!$B$229=J$3,SUMIF('TL02'!$C$238:$C$451,$C305,'TL02'!$J$238:$J$451),0),
IF('TL03'!$B$3=J$3,SUMIF('TL03'!$C$10:$C$224,$C305,'TL03'!$J$10:$J$224),0),
IF('TL03'!$B$229=J$3,SUMIF('TL03'!$C$238:$C$451,$C305,'TL03'!$J$238:$J$451),0),
IF('TL04'!$B$3=J$3,SUMIF('TL04'!$C$10:$C$224,$C305,'TL04'!$J$10:$J$224),0),
IF('TL04'!$B$229=J$3,SUMIF('TL04'!$C$238:$C$451,$C305,'TL04'!$J$238:$J$451),0),
IF('TL05'!$B$3=J$3,SUMIF('TL05'!$C$10:$C$224,$C305,'TL05'!$J$10:$J$224),0),
IF('TL05'!$B$229=J$3,SUMIF('TL05'!$C$238:$C$451,$C305,'TL05'!$J$238:$J$451),0),
IF('TL06'!$B$3=J$3,SUMIF('TL06'!$C$10:$C$224,$C305,'TL06'!$J$10:$J$224),0),
IF('TL06'!$B$229=J$3,SUMIF('TL06'!$C$238:$C$451,$C305,'TL06'!$J$238:$J$451),0),
IF('TL07'!$B$3=J$3,SUMIF('TL07'!$C$10:$C$224,$C305,'TL07'!$J$10:$J$224),0),
IF('TL07'!$B$229=J$3,SUMIF('TL07'!$C$238:$C$451,$C305,'TL07'!$J$238:$J$451),0),
IF('TL08'!$B$3=J$3,SUMIF('TL08'!$C$10:$C$224,$C305,'TL08'!$J$10:$J$224),0),
IF('TL08'!$B$229=J$3,SUMIF('TL08'!$C$238:$C$451,$C305,'TL08'!$J$238:$J$451),0),
IF('TL09'!$B$3=J$3,SUMIF('TL09'!$C$10:$C$224,$C305,'TL09'!$J$10:$J$224),0),
IF('TL09'!$B$229=J$3,SUMIF('TL09'!$C$238:$C$451,$C305,'TL09'!$J$238:$J$451),0),
IF('TL10'!$B$3=J$3,SUMIF('TL10'!$C$10:$C$224,$C305,'TL10'!$J$10:$J$224),0),
IF('TL10'!$B$229=J$3,SUMIF('TL10'!$C$238:$C$451,$C305,'TL10'!$J$238:$J$451),0),
IF('TL11'!$B$3=J$3,SUMIF('TL11'!$C$10:$C$224,$C305,'TL11'!$J$10:$J$224),0),
IF('TL11'!$B$229=J$3,SUMIF('TL11'!$C$238:$C$451,$C305,'TL11'!$J$238:$J$451),0),
IF('TL12'!$B$3=J$3,SUMIF('TL12'!$C$10:$C$224,$C305,'TL12'!$J$10:$J$224),0),
IF('TL12'!$B$229=J$3,SUMIF('TL12'!$C$238:$C$451,$C305,'TL12'!$J$238:$J$451),0),
IF('TL13'!$B$3=J$3,SUMIF('TL13'!$C$10:$C$224,$C305,'TL13'!$J$10:$J$224),0),
IF('TL13'!$B$229=J$3,SUMIF('TL13'!$C$238:$C$451,$C305,'TL13'!$J$238:$J$451),0),
IF('TL14'!$B$3=J$3,SUMIF('TL14'!$C$10:$C$224,$C305,'TL14'!$J$10:$J$224),0),
IF('TL14'!$B$229=J$3,SUMIF('TL14'!$C$238:$C$451,$C305,'TL14'!$J$238:$J$451),0),
IF('TL15'!$B$3=J$3,SUMIF('TL15'!$C$10:$C$224,$C305,'TL15'!$J$10:$J$224),0),
IF('TL15'!$B$229=J$3,SUMIF('TL15'!$C$238:$C$451,$C305,'TL15'!$J$238:$J$451),0),
IF('TL16'!$B$3=J$3,SUMIF('TL16'!$C$10:$C$224,$C305,'TL16'!$J$10:$J$224),0),
IF('TL16'!$B$229=J$3,SUMIF('TL16'!$C$238:$C$451,$C305,'TL16'!$J$238:$J$451),0),
IF('TL17'!$B$3=J$3,SUMIF('TL17'!$C$10:$C$224,$C305,'TL17'!$J$10:$J$224),0),
IF('TL17'!$B$229=J$3,SUMIF('TL17'!$C$238:$C$451,$C305,'TL17'!$J$238:$J$451),0),
IF('TL18'!$B$3=J$3,SUMIF('TL18'!$C$10:$C$224,$C305,'TL18'!$J$10:$J$224),0),
IF('TL18'!$B$229=J$3,SUMIF('TL18'!$C$238:$C$451,$C305,'TL18'!$J$238:$J$451),0),
IF('TL19'!$B$3=J$3,SUMIF('TL19'!$C$10:$C$224,$C305,'TL19'!$J$10:$J$224),0),
IF('TL19'!$B$229=J$3,SUMIF('TL19'!$C$238:$C$451,$C305,'TL19'!$J$238:$J$451),0)
),0)</f>
        <v/>
      </c>
      <c r="K305" s="9">
        <f>IFERROR(SUM(
IF('TL01'!$B$3=K$3,SUMIF('TL01'!$C$10:$C$224,$C305,'TL01'!$J$10:$J$224),0),
IF('TL01'!$B$229=K$3,SUMIF('TL01'!$C$238:$C$451,$C305,'TL01'!$J$238:$J$451),0),
IF('TL02'!$B$3=K$3,SUMIF('TL02'!$C$10:$C$224,$C305,'TL02'!$J$10:$J$224),0),
IF('TL02'!$B$229=K$3,SUMIF('TL02'!$C$238:$C$451,$C305,'TL02'!$J$238:$J$451),0),
IF('TL03'!$B$3=K$3,SUMIF('TL03'!$C$10:$C$224,$C305,'TL03'!$J$10:$J$224),0),
IF('TL03'!$B$229=K$3,SUMIF('TL03'!$C$238:$C$451,$C305,'TL03'!$J$238:$J$451),0),
IF('TL04'!$B$3=K$3,SUMIF('TL04'!$C$10:$C$224,$C305,'TL04'!$J$10:$J$224),0),
IF('TL04'!$B$229=K$3,SUMIF('TL04'!$C$238:$C$451,$C305,'TL04'!$J$238:$J$451),0),
IF('TL05'!$B$3=K$3,SUMIF('TL05'!$C$10:$C$224,$C305,'TL05'!$J$10:$J$224),0),
IF('TL05'!$B$229=K$3,SUMIF('TL05'!$C$238:$C$451,$C305,'TL05'!$J$238:$J$451),0),
IF('TL06'!$B$3=K$3,SUMIF('TL06'!$C$10:$C$224,$C305,'TL06'!$J$10:$J$224),0),
IF('TL06'!$B$229=K$3,SUMIF('TL06'!$C$238:$C$451,$C305,'TL06'!$J$238:$J$451),0),
IF('TL07'!$B$3=K$3,SUMIF('TL07'!$C$10:$C$224,$C305,'TL07'!$J$10:$J$224),0),
IF('TL07'!$B$229=K$3,SUMIF('TL07'!$C$238:$C$451,$C305,'TL07'!$J$238:$J$451),0),
IF('TL08'!$B$3=K$3,SUMIF('TL08'!$C$10:$C$224,$C305,'TL08'!$J$10:$J$224),0),
IF('TL08'!$B$229=K$3,SUMIF('TL08'!$C$238:$C$451,$C305,'TL08'!$J$238:$J$451),0),
IF('TL09'!$B$3=K$3,SUMIF('TL09'!$C$10:$C$224,$C305,'TL09'!$J$10:$J$224),0),
IF('TL09'!$B$229=K$3,SUMIF('TL09'!$C$238:$C$451,$C305,'TL09'!$J$238:$J$451),0),
IF('TL10'!$B$3=K$3,SUMIF('TL10'!$C$10:$C$224,$C305,'TL10'!$J$10:$J$224),0),
IF('TL10'!$B$229=K$3,SUMIF('TL10'!$C$238:$C$451,$C305,'TL10'!$J$238:$J$451),0),
IF('TL11'!$B$3=K$3,SUMIF('TL11'!$C$10:$C$224,$C305,'TL11'!$J$10:$J$224),0),
IF('TL11'!$B$229=K$3,SUMIF('TL11'!$C$238:$C$451,$C305,'TL11'!$J$238:$J$451),0),
IF('TL12'!$B$3=K$3,SUMIF('TL12'!$C$10:$C$224,$C305,'TL12'!$J$10:$J$224),0),
IF('TL12'!$B$229=K$3,SUMIF('TL12'!$C$238:$C$451,$C305,'TL12'!$J$238:$J$451),0),
IF('TL13'!$B$3=K$3,SUMIF('TL13'!$C$10:$C$224,$C305,'TL13'!$J$10:$J$224),0),
IF('TL13'!$B$229=K$3,SUMIF('TL13'!$C$238:$C$451,$C305,'TL13'!$J$238:$J$451),0),
IF('TL14'!$B$3=K$3,SUMIF('TL14'!$C$10:$C$224,$C305,'TL14'!$J$10:$J$224),0),
IF('TL14'!$B$229=K$3,SUMIF('TL14'!$C$238:$C$451,$C305,'TL14'!$J$238:$J$451),0),
IF('TL15'!$B$3=K$3,SUMIF('TL15'!$C$10:$C$224,$C305,'TL15'!$J$10:$J$224),0),
IF('TL15'!$B$229=K$3,SUMIF('TL15'!$C$238:$C$451,$C305,'TL15'!$J$238:$J$451),0),
IF('TL16'!$B$3=K$3,SUMIF('TL16'!$C$10:$C$224,$C305,'TL16'!$J$10:$J$224),0),
IF('TL16'!$B$229=K$3,SUMIF('TL16'!$C$238:$C$451,$C305,'TL16'!$J$238:$J$451),0),
IF('TL17'!$B$3=K$3,SUMIF('TL17'!$C$10:$C$224,$C305,'TL17'!$J$10:$J$224),0),
IF('TL17'!$B$229=K$3,SUMIF('TL17'!$C$238:$C$451,$C305,'TL17'!$J$238:$J$451),0),
IF('TL18'!$B$3=K$3,SUMIF('TL18'!$C$10:$C$224,$C305,'TL18'!$J$10:$J$224),0),
IF('TL18'!$B$229=K$3,SUMIF('TL18'!$C$238:$C$451,$C305,'TL18'!$J$238:$J$451),0),
IF('TL19'!$B$3=K$3,SUMIF('TL19'!$C$10:$C$224,$C305,'TL19'!$J$10:$J$224),0),
IF('TL19'!$B$229=K$3,SUMIF('TL19'!$C$238:$C$451,$C305,'TL19'!$J$238:$J$451),0)
),0)</f>
        <v/>
      </c>
      <c r="L305" s="9">
        <f>IFERROR(SUM(
IF('TL01'!$B$3=L$3,SUMIF('TL01'!$C$10:$C$224,$C305,'TL01'!$J$10:$J$224),0),
IF('TL01'!$B$229=L$3,SUMIF('TL01'!$C$238:$C$451,$C305,'TL01'!$J$238:$J$451),0),
IF('TL02'!$B$3=L$3,SUMIF('TL02'!$C$10:$C$224,$C305,'TL02'!$J$10:$J$224),0),
IF('TL02'!$B$229=L$3,SUMIF('TL02'!$C$238:$C$451,$C305,'TL02'!$J$238:$J$451),0),
IF('TL03'!$B$3=L$3,SUMIF('TL03'!$C$10:$C$224,$C305,'TL03'!$J$10:$J$224),0),
IF('TL03'!$B$229=L$3,SUMIF('TL03'!$C$238:$C$451,$C305,'TL03'!$J$238:$J$451),0),
IF('TL04'!$B$3=L$3,SUMIF('TL04'!$C$10:$C$224,$C305,'TL04'!$J$10:$J$224),0),
IF('TL04'!$B$229=L$3,SUMIF('TL04'!$C$238:$C$451,$C305,'TL04'!$J$238:$J$451),0),
IF('TL05'!$B$3=L$3,SUMIF('TL05'!$C$10:$C$224,$C305,'TL05'!$J$10:$J$224),0),
IF('TL05'!$B$229=L$3,SUMIF('TL05'!$C$238:$C$451,$C305,'TL05'!$J$238:$J$451),0),
IF('TL06'!$B$3=L$3,SUMIF('TL06'!$C$10:$C$224,$C305,'TL06'!$J$10:$J$224),0),
IF('TL06'!$B$229=L$3,SUMIF('TL06'!$C$238:$C$451,$C305,'TL06'!$J$238:$J$451),0),
IF('TL07'!$B$3=L$3,SUMIF('TL07'!$C$10:$C$224,$C305,'TL07'!$J$10:$J$224),0),
IF('TL07'!$B$229=L$3,SUMIF('TL07'!$C$238:$C$451,$C305,'TL07'!$J$238:$J$451),0),
IF('TL08'!$B$3=L$3,SUMIF('TL08'!$C$10:$C$224,$C305,'TL08'!$J$10:$J$224),0),
IF('TL08'!$B$229=L$3,SUMIF('TL08'!$C$238:$C$451,$C305,'TL08'!$J$238:$J$451),0),
IF('TL09'!$B$3=L$3,SUMIF('TL09'!$C$10:$C$224,$C305,'TL09'!$J$10:$J$224),0),
IF('TL09'!$B$229=L$3,SUMIF('TL09'!$C$238:$C$451,$C305,'TL09'!$J$238:$J$451),0),
IF('TL10'!$B$3=L$3,SUMIF('TL10'!$C$10:$C$224,$C305,'TL10'!$J$10:$J$224),0),
IF('TL10'!$B$229=L$3,SUMIF('TL10'!$C$238:$C$451,$C305,'TL10'!$J$238:$J$451),0),
IF('TL11'!$B$3=L$3,SUMIF('TL11'!$C$10:$C$224,$C305,'TL11'!$J$10:$J$224),0),
IF('TL11'!$B$229=L$3,SUMIF('TL11'!$C$238:$C$451,$C305,'TL11'!$J$238:$J$451),0),
IF('TL12'!$B$3=L$3,SUMIF('TL12'!$C$10:$C$224,$C305,'TL12'!$J$10:$J$224),0),
IF('TL12'!$B$229=L$3,SUMIF('TL12'!$C$238:$C$451,$C305,'TL12'!$J$238:$J$451),0),
IF('TL13'!$B$3=L$3,SUMIF('TL13'!$C$10:$C$224,$C305,'TL13'!$J$10:$J$224),0),
IF('TL13'!$B$229=L$3,SUMIF('TL13'!$C$238:$C$451,$C305,'TL13'!$J$238:$J$451),0),
IF('TL14'!$B$3=L$3,SUMIF('TL14'!$C$10:$C$224,$C305,'TL14'!$J$10:$J$224),0),
IF('TL14'!$B$229=L$3,SUMIF('TL14'!$C$238:$C$451,$C305,'TL14'!$J$238:$J$451),0),
IF('TL15'!$B$3=L$3,SUMIF('TL15'!$C$10:$C$224,$C305,'TL15'!$J$10:$J$224),0),
IF('TL15'!$B$229=L$3,SUMIF('TL15'!$C$238:$C$451,$C305,'TL15'!$J$238:$J$451),0),
IF('TL16'!$B$3=L$3,SUMIF('TL16'!$C$10:$C$224,$C305,'TL16'!$J$10:$J$224),0),
IF('TL16'!$B$229=L$3,SUMIF('TL16'!$C$238:$C$451,$C305,'TL16'!$J$238:$J$451),0),
IF('TL17'!$B$3=L$3,SUMIF('TL17'!$C$10:$C$224,$C305,'TL17'!$J$10:$J$224),0),
IF('TL17'!$B$229=L$3,SUMIF('TL17'!$C$238:$C$451,$C305,'TL17'!$J$238:$J$451),0),
IF('TL18'!$B$3=L$3,SUMIF('TL18'!$C$10:$C$224,$C305,'TL18'!$J$10:$J$224),0),
IF('TL18'!$B$229=L$3,SUMIF('TL18'!$C$238:$C$451,$C305,'TL18'!$J$238:$J$451),0),
IF('TL19'!$B$3=L$3,SUMIF('TL19'!$C$10:$C$224,$C305,'TL19'!$J$10:$J$224),0),
IF('TL19'!$B$229=L$3,SUMIF('TL19'!$C$238:$C$451,$C305,'TL19'!$J$238:$J$451),0)
),0)</f>
        <v/>
      </c>
      <c r="M305" s="9">
        <f>IFERROR(SUM(
IF('TL01'!$B$3=M$3,SUMIF('TL01'!$C$10:$C$224,$C305,'TL01'!$J$10:$J$224),0),
IF('TL01'!$B$229=M$3,SUMIF('TL01'!$C$238:$C$451,$C305,'TL01'!$J$238:$J$451),0),
IF('TL02'!$B$3=M$3,SUMIF('TL02'!$C$10:$C$224,$C305,'TL02'!$J$10:$J$224),0),
IF('TL02'!$B$229=M$3,SUMIF('TL02'!$C$238:$C$451,$C305,'TL02'!$J$238:$J$451),0),
IF('TL03'!$B$3=M$3,SUMIF('TL03'!$C$10:$C$224,$C305,'TL03'!$J$10:$J$224),0),
IF('TL03'!$B$229=M$3,SUMIF('TL03'!$C$238:$C$451,$C305,'TL03'!$J$238:$J$451),0),
IF('TL04'!$B$3=M$3,SUMIF('TL04'!$C$10:$C$224,$C305,'TL04'!$J$10:$J$224),0),
IF('TL04'!$B$229=M$3,SUMIF('TL04'!$C$238:$C$451,$C305,'TL04'!$J$238:$J$451),0),
IF('TL05'!$B$3=M$3,SUMIF('TL05'!$C$10:$C$224,$C305,'TL05'!$J$10:$J$224),0),
IF('TL05'!$B$229=M$3,SUMIF('TL05'!$C$238:$C$451,$C305,'TL05'!$J$238:$J$451),0),
IF('TL06'!$B$3=M$3,SUMIF('TL06'!$C$10:$C$224,$C305,'TL06'!$J$10:$J$224),0),
IF('TL06'!$B$229=M$3,SUMIF('TL06'!$C$238:$C$451,$C305,'TL06'!$J$238:$J$451),0),
IF('TL07'!$B$3=M$3,SUMIF('TL07'!$C$10:$C$224,$C305,'TL07'!$J$10:$J$224),0),
IF('TL07'!$B$229=M$3,SUMIF('TL07'!$C$238:$C$451,$C305,'TL07'!$J$238:$J$451),0),
IF('TL08'!$B$3=M$3,SUMIF('TL08'!$C$10:$C$224,$C305,'TL08'!$J$10:$J$224),0),
IF('TL08'!$B$229=M$3,SUMIF('TL08'!$C$238:$C$451,$C305,'TL08'!$J$238:$J$451),0),
IF('TL09'!$B$3=M$3,SUMIF('TL09'!$C$10:$C$224,$C305,'TL09'!$J$10:$J$224),0),
IF('TL09'!$B$229=M$3,SUMIF('TL09'!$C$238:$C$451,$C305,'TL09'!$J$238:$J$451),0),
IF('TL10'!$B$3=M$3,SUMIF('TL10'!$C$10:$C$224,$C305,'TL10'!$J$10:$J$224),0),
IF('TL10'!$B$229=M$3,SUMIF('TL10'!$C$238:$C$451,$C305,'TL10'!$J$238:$J$451),0),
IF('TL11'!$B$3=M$3,SUMIF('TL11'!$C$10:$C$224,$C305,'TL11'!$J$10:$J$224),0),
IF('TL11'!$B$229=M$3,SUMIF('TL11'!$C$238:$C$451,$C305,'TL11'!$J$238:$J$451),0),
IF('TL12'!$B$3=M$3,SUMIF('TL12'!$C$10:$C$224,$C305,'TL12'!$J$10:$J$224),0),
IF('TL12'!$B$229=M$3,SUMIF('TL12'!$C$238:$C$451,$C305,'TL12'!$J$238:$J$451),0),
IF('TL13'!$B$3=M$3,SUMIF('TL13'!$C$10:$C$224,$C305,'TL13'!$J$10:$J$224),0),
IF('TL13'!$B$229=M$3,SUMIF('TL13'!$C$238:$C$451,$C305,'TL13'!$J$238:$J$451),0),
IF('TL14'!$B$3=M$3,SUMIF('TL14'!$C$10:$C$224,$C305,'TL14'!$J$10:$J$224),0),
IF('TL14'!$B$229=M$3,SUMIF('TL14'!$C$238:$C$451,$C305,'TL14'!$J$238:$J$451),0),
IF('TL15'!$B$3=M$3,SUMIF('TL15'!$C$10:$C$224,$C305,'TL15'!$J$10:$J$224),0),
IF('TL15'!$B$229=M$3,SUMIF('TL15'!$C$238:$C$451,$C305,'TL15'!$J$238:$J$451),0),
IF('TL16'!$B$3=M$3,SUMIF('TL16'!$C$10:$C$224,$C305,'TL16'!$J$10:$J$224),0),
IF('TL16'!$B$229=M$3,SUMIF('TL16'!$C$238:$C$451,$C305,'TL16'!$J$238:$J$451),0),
IF('TL17'!$B$3=M$3,SUMIF('TL17'!$C$10:$C$224,$C305,'TL17'!$J$10:$J$224),0),
IF('TL17'!$B$229=M$3,SUMIF('TL17'!$C$238:$C$451,$C305,'TL17'!$J$238:$J$451),0),
IF('TL18'!$B$3=M$3,SUMIF('TL18'!$C$10:$C$224,$C305,'TL18'!$J$10:$J$224),0),
IF('TL18'!$B$229=M$3,SUMIF('TL18'!$C$238:$C$451,$C305,'TL18'!$J$238:$J$451),0),
IF('TL19'!$B$3=M$3,SUMIF('TL19'!$C$10:$C$224,$C305,'TL19'!$J$10:$J$224),0),
IF('TL19'!$B$229=M$3,SUMIF('TL19'!$C$238:$C$451,$C305,'TL19'!$J$238:$J$451),0)
),0)</f>
        <v/>
      </c>
      <c r="N305" s="9">
        <f>IFERROR(SUM(
IF('TL01'!$B$3=N$3,SUMIF('TL01'!$C$10:$C$224,$C305,'TL01'!$J$10:$J$224),0),
IF('TL01'!$B$229=N$3,SUMIF('TL01'!$C$238:$C$451,$C305,'TL01'!$J$238:$J$451),0),
IF('TL02'!$B$3=N$3,SUMIF('TL02'!$C$10:$C$224,$C305,'TL02'!$J$10:$J$224),0),
IF('TL02'!$B$229=N$3,SUMIF('TL02'!$C$238:$C$451,$C305,'TL02'!$J$238:$J$451),0),
IF('TL03'!$B$3=N$3,SUMIF('TL03'!$C$10:$C$224,$C305,'TL03'!$J$10:$J$224),0),
IF('TL03'!$B$229=N$3,SUMIF('TL03'!$C$238:$C$451,$C305,'TL03'!$J$238:$J$451),0),
IF('TL04'!$B$3=N$3,SUMIF('TL04'!$C$10:$C$224,$C305,'TL04'!$J$10:$J$224),0),
IF('TL04'!$B$229=N$3,SUMIF('TL04'!$C$238:$C$451,$C305,'TL04'!$J$238:$J$451),0),
IF('TL05'!$B$3=N$3,SUMIF('TL05'!$C$10:$C$224,$C305,'TL05'!$J$10:$J$224),0),
IF('TL05'!$B$229=N$3,SUMIF('TL05'!$C$238:$C$451,$C305,'TL05'!$J$238:$J$451),0),
IF('TL06'!$B$3=N$3,SUMIF('TL06'!$C$10:$C$224,$C305,'TL06'!$J$10:$J$224),0),
IF('TL06'!$B$229=N$3,SUMIF('TL06'!$C$238:$C$451,$C305,'TL06'!$J$238:$J$451),0),
IF('TL07'!$B$3=N$3,SUMIF('TL07'!$C$10:$C$224,$C305,'TL07'!$J$10:$J$224),0),
IF('TL07'!$B$229=N$3,SUMIF('TL07'!$C$238:$C$451,$C305,'TL07'!$J$238:$J$451),0),
IF('TL08'!$B$3=N$3,SUMIF('TL08'!$C$10:$C$224,$C305,'TL08'!$J$10:$J$224),0),
IF('TL08'!$B$229=N$3,SUMIF('TL08'!$C$238:$C$451,$C305,'TL08'!$J$238:$J$451),0),
IF('TL09'!$B$3=N$3,SUMIF('TL09'!$C$10:$C$224,$C305,'TL09'!$J$10:$J$224),0),
IF('TL09'!$B$229=N$3,SUMIF('TL09'!$C$238:$C$451,$C305,'TL09'!$J$238:$J$451),0),
IF('TL10'!$B$3=N$3,SUMIF('TL10'!$C$10:$C$224,$C305,'TL10'!$J$10:$J$224),0),
IF('TL10'!$B$229=N$3,SUMIF('TL10'!$C$238:$C$451,$C305,'TL10'!$J$238:$J$451),0),
IF('TL11'!$B$3=N$3,SUMIF('TL11'!$C$10:$C$224,$C305,'TL11'!$J$10:$J$224),0),
IF('TL11'!$B$229=N$3,SUMIF('TL11'!$C$238:$C$451,$C305,'TL11'!$J$238:$J$451),0),
IF('TL12'!$B$3=N$3,SUMIF('TL12'!$C$10:$C$224,$C305,'TL12'!$J$10:$J$224),0),
IF('TL12'!$B$229=N$3,SUMIF('TL12'!$C$238:$C$451,$C305,'TL12'!$J$238:$J$451),0),
IF('TL13'!$B$3=N$3,SUMIF('TL13'!$C$10:$C$224,$C305,'TL13'!$J$10:$J$224),0),
IF('TL13'!$B$229=N$3,SUMIF('TL13'!$C$238:$C$451,$C305,'TL13'!$J$238:$J$451),0),
IF('TL14'!$B$3=N$3,SUMIF('TL14'!$C$10:$C$224,$C305,'TL14'!$J$10:$J$224),0),
IF('TL14'!$B$229=N$3,SUMIF('TL14'!$C$238:$C$451,$C305,'TL14'!$J$238:$J$451),0),
IF('TL15'!$B$3=N$3,SUMIF('TL15'!$C$10:$C$224,$C305,'TL15'!$J$10:$J$224),0),
IF('TL15'!$B$229=N$3,SUMIF('TL15'!$C$238:$C$451,$C305,'TL15'!$J$238:$J$451),0),
IF('TL16'!$B$3=N$3,SUMIF('TL16'!$C$10:$C$224,$C305,'TL16'!$J$10:$J$224),0),
IF('TL16'!$B$229=N$3,SUMIF('TL16'!$C$238:$C$451,$C305,'TL16'!$J$238:$J$451),0),
IF('TL17'!$B$3=N$3,SUMIF('TL17'!$C$10:$C$224,$C305,'TL17'!$J$10:$J$224),0),
IF('TL17'!$B$229=N$3,SUMIF('TL17'!$C$238:$C$451,$C305,'TL17'!$J$238:$J$451),0),
IF('TL18'!$B$3=N$3,SUMIF('TL18'!$C$10:$C$224,$C305,'TL18'!$J$10:$J$224),0),
IF('TL18'!$B$229=N$3,SUMIF('TL18'!$C$238:$C$451,$C305,'TL18'!$J$238:$J$451),0),
IF('TL19'!$B$3=N$3,SUMIF('TL19'!$C$10:$C$224,$C305,'TL19'!$J$10:$J$224),0),
IF('TL19'!$B$229=N$3,SUMIF('TL19'!$C$238:$C$451,$C305,'TL19'!$J$238:$J$451),0)
),0)</f>
        <v/>
      </c>
      <c r="O305" s="9">
        <f>IFERROR(SUM(
IF('TL01'!$B$3=O$3,SUMIF('TL01'!$C$10:$C$224,$C305,'TL01'!$J$10:$J$224),0),
IF('TL01'!$B$229=O$3,SUMIF('TL01'!$C$238:$C$451,$C305,'TL01'!$J$238:$J$451),0),
IF('TL02'!$B$3=O$3,SUMIF('TL02'!$C$10:$C$224,$C305,'TL02'!$J$10:$J$224),0),
IF('TL02'!$B$229=O$3,SUMIF('TL02'!$C$238:$C$451,$C305,'TL02'!$J$238:$J$451),0),
IF('TL03'!$B$3=O$3,SUMIF('TL03'!$C$10:$C$224,$C305,'TL03'!$J$10:$J$224),0),
IF('TL03'!$B$229=O$3,SUMIF('TL03'!$C$238:$C$451,$C305,'TL03'!$J$238:$J$451),0),
IF('TL04'!$B$3=O$3,SUMIF('TL04'!$C$10:$C$224,$C305,'TL04'!$J$10:$J$224),0),
IF('TL04'!$B$229=O$3,SUMIF('TL04'!$C$238:$C$451,$C305,'TL04'!$J$238:$J$451),0),
IF('TL05'!$B$3=O$3,SUMIF('TL05'!$C$10:$C$224,$C305,'TL05'!$J$10:$J$224),0),
IF('TL05'!$B$229=O$3,SUMIF('TL05'!$C$238:$C$451,$C305,'TL05'!$J$238:$J$451),0),
IF('TL06'!$B$3=O$3,SUMIF('TL06'!$C$10:$C$224,$C305,'TL06'!$J$10:$J$224),0),
IF('TL06'!$B$229=O$3,SUMIF('TL06'!$C$238:$C$451,$C305,'TL06'!$J$238:$J$451),0),
IF('TL07'!$B$3=O$3,SUMIF('TL07'!$C$10:$C$224,$C305,'TL07'!$J$10:$J$224),0),
IF('TL07'!$B$229=O$3,SUMIF('TL07'!$C$238:$C$451,$C305,'TL07'!$J$238:$J$451),0),
IF('TL08'!$B$3=O$3,SUMIF('TL08'!$C$10:$C$224,$C305,'TL08'!$J$10:$J$224),0),
IF('TL08'!$B$229=O$3,SUMIF('TL08'!$C$238:$C$451,$C305,'TL08'!$J$238:$J$451),0),
IF('TL09'!$B$3=O$3,SUMIF('TL09'!$C$10:$C$224,$C305,'TL09'!$J$10:$J$224),0),
IF('TL09'!$B$229=O$3,SUMIF('TL09'!$C$238:$C$451,$C305,'TL09'!$J$238:$J$451),0),
IF('TL10'!$B$3=O$3,SUMIF('TL10'!$C$10:$C$224,$C305,'TL10'!$J$10:$J$224),0),
IF('TL10'!$B$229=O$3,SUMIF('TL10'!$C$238:$C$451,$C305,'TL10'!$J$238:$J$451),0),
IF('TL11'!$B$3=O$3,SUMIF('TL11'!$C$10:$C$224,$C305,'TL11'!$J$10:$J$224),0),
IF('TL11'!$B$229=O$3,SUMIF('TL11'!$C$238:$C$451,$C305,'TL11'!$J$238:$J$451),0),
IF('TL12'!$B$3=O$3,SUMIF('TL12'!$C$10:$C$224,$C305,'TL12'!$J$10:$J$224),0),
IF('TL12'!$B$229=O$3,SUMIF('TL12'!$C$238:$C$451,$C305,'TL12'!$J$238:$J$451),0),
IF('TL13'!$B$3=O$3,SUMIF('TL13'!$C$10:$C$224,$C305,'TL13'!$J$10:$J$224),0),
IF('TL13'!$B$229=O$3,SUMIF('TL13'!$C$238:$C$451,$C305,'TL13'!$J$238:$J$451),0),
IF('TL14'!$B$3=O$3,SUMIF('TL14'!$C$10:$C$224,$C305,'TL14'!$J$10:$J$224),0),
IF('TL14'!$B$229=O$3,SUMIF('TL14'!$C$238:$C$451,$C305,'TL14'!$J$238:$J$451),0),
IF('TL15'!$B$3=O$3,SUMIF('TL15'!$C$10:$C$224,$C305,'TL15'!$J$10:$J$224),0),
IF('TL15'!$B$229=O$3,SUMIF('TL15'!$C$238:$C$451,$C305,'TL15'!$J$238:$J$451),0),
IF('TL16'!$B$3=O$3,SUMIF('TL16'!$C$10:$C$224,$C305,'TL16'!$J$10:$J$224),0),
IF('TL16'!$B$229=O$3,SUMIF('TL16'!$C$238:$C$451,$C305,'TL16'!$J$238:$J$451),0),
IF('TL17'!$B$3=O$3,SUMIF('TL17'!$C$10:$C$224,$C305,'TL17'!$J$10:$J$224),0),
IF('TL17'!$B$229=O$3,SUMIF('TL17'!$C$238:$C$451,$C305,'TL17'!$J$238:$J$451),0),
IF('TL18'!$B$3=O$3,SUMIF('TL18'!$C$10:$C$224,$C305,'TL18'!$J$10:$J$224),0),
IF('TL18'!$B$229=O$3,SUMIF('TL18'!$C$238:$C$451,$C305,'TL18'!$J$238:$J$451),0),
IF('TL19'!$B$3=O$3,SUMIF('TL19'!$C$10:$C$224,$C305,'TL19'!$J$10:$J$224),0),
IF('TL19'!$B$229=O$3,SUMIF('TL19'!$C$238:$C$451,$C305,'TL19'!$J$238:$J$451),0)
),0)</f>
        <v/>
      </c>
      <c r="P305" s="9">
        <f>IFERROR(SUM(
IF('TL01'!$B$3=P$3,SUMIF('TL01'!$C$10:$C$224,$C305,'TL01'!$J$10:$J$224),0),
IF('TL01'!$B$229=P$3,SUMIF('TL01'!$C$238:$C$451,$C305,'TL01'!$J$238:$J$451),0),
IF('TL02'!$B$3=P$3,SUMIF('TL02'!$C$10:$C$224,$C305,'TL02'!$J$10:$J$224),0),
IF('TL02'!$B$229=P$3,SUMIF('TL02'!$C$238:$C$451,$C305,'TL02'!$J$238:$J$451),0),
IF('TL03'!$B$3=P$3,SUMIF('TL03'!$C$10:$C$224,$C305,'TL03'!$J$10:$J$224),0),
IF('TL03'!$B$229=P$3,SUMIF('TL03'!$C$238:$C$451,$C305,'TL03'!$J$238:$J$451),0),
IF('TL04'!$B$3=P$3,SUMIF('TL04'!$C$10:$C$224,$C305,'TL04'!$J$10:$J$224),0),
IF('TL04'!$B$229=P$3,SUMIF('TL04'!$C$238:$C$451,$C305,'TL04'!$J$238:$J$451),0),
IF('TL05'!$B$3=P$3,SUMIF('TL05'!$C$10:$C$224,$C305,'TL05'!$J$10:$J$224),0),
IF('TL05'!$B$229=P$3,SUMIF('TL05'!$C$238:$C$451,$C305,'TL05'!$J$238:$J$451),0),
IF('TL06'!$B$3=P$3,SUMIF('TL06'!$C$10:$C$224,$C305,'TL06'!$J$10:$J$224),0),
IF('TL06'!$B$229=P$3,SUMIF('TL06'!$C$238:$C$451,$C305,'TL06'!$J$238:$J$451),0),
IF('TL07'!$B$3=P$3,SUMIF('TL07'!$C$10:$C$224,$C305,'TL07'!$J$10:$J$224),0),
IF('TL07'!$B$229=P$3,SUMIF('TL07'!$C$238:$C$451,$C305,'TL07'!$J$238:$J$451),0),
IF('TL08'!$B$3=P$3,SUMIF('TL08'!$C$10:$C$224,$C305,'TL08'!$J$10:$J$224),0),
IF('TL08'!$B$229=P$3,SUMIF('TL08'!$C$238:$C$451,$C305,'TL08'!$J$238:$J$451),0),
IF('TL09'!$B$3=P$3,SUMIF('TL09'!$C$10:$C$224,$C305,'TL09'!$J$10:$J$224),0),
IF('TL09'!$B$229=P$3,SUMIF('TL09'!$C$238:$C$451,$C305,'TL09'!$J$238:$J$451),0),
IF('TL10'!$B$3=P$3,SUMIF('TL10'!$C$10:$C$224,$C305,'TL10'!$J$10:$J$224),0),
IF('TL10'!$B$229=P$3,SUMIF('TL10'!$C$238:$C$451,$C305,'TL10'!$J$238:$J$451),0),
IF('TL11'!$B$3=P$3,SUMIF('TL11'!$C$10:$C$224,$C305,'TL11'!$J$10:$J$224),0),
IF('TL11'!$B$229=P$3,SUMIF('TL11'!$C$238:$C$451,$C305,'TL11'!$J$238:$J$451),0),
IF('TL12'!$B$3=P$3,SUMIF('TL12'!$C$10:$C$224,$C305,'TL12'!$J$10:$J$224),0),
IF('TL12'!$B$229=P$3,SUMIF('TL12'!$C$238:$C$451,$C305,'TL12'!$J$238:$J$451),0),
IF('TL13'!$B$3=P$3,SUMIF('TL13'!$C$10:$C$224,$C305,'TL13'!$J$10:$J$224),0),
IF('TL13'!$B$229=P$3,SUMIF('TL13'!$C$238:$C$451,$C305,'TL13'!$J$238:$J$451),0),
IF('TL14'!$B$3=P$3,SUMIF('TL14'!$C$10:$C$224,$C305,'TL14'!$J$10:$J$224),0),
IF('TL14'!$B$229=P$3,SUMIF('TL14'!$C$238:$C$451,$C305,'TL14'!$J$238:$J$451),0),
IF('TL15'!$B$3=P$3,SUMIF('TL15'!$C$10:$C$224,$C305,'TL15'!$J$10:$J$224),0),
IF('TL15'!$B$229=P$3,SUMIF('TL15'!$C$238:$C$451,$C305,'TL15'!$J$238:$J$451),0),
IF('TL16'!$B$3=P$3,SUMIF('TL16'!$C$10:$C$224,$C305,'TL16'!$J$10:$J$224),0),
IF('TL16'!$B$229=P$3,SUMIF('TL16'!$C$238:$C$451,$C305,'TL16'!$J$238:$J$451),0),
IF('TL17'!$B$3=P$3,SUMIF('TL17'!$C$10:$C$224,$C305,'TL17'!$J$10:$J$224),0),
IF('TL17'!$B$229=P$3,SUMIF('TL17'!$C$238:$C$451,$C305,'TL17'!$J$238:$J$451),0),
IF('TL18'!$B$3=P$3,SUMIF('TL18'!$C$10:$C$224,$C305,'TL18'!$J$10:$J$224),0),
IF('TL18'!$B$229=P$3,SUMIF('TL18'!$C$238:$C$451,$C305,'TL18'!$J$238:$J$451),0),
IF('TL19'!$B$3=P$3,SUMIF('TL19'!$C$10:$C$224,$C305,'TL19'!$J$10:$J$224),0),
IF('TL19'!$B$229=P$3,SUMIF('TL19'!$C$238:$C$451,$C305,'TL19'!$J$238:$J$451),0)
),0)</f>
        <v/>
      </c>
      <c r="Q305" s="9">
        <f>IFERROR(SUM(
IF('TL01'!$B$3=Q$3,SUMIF('TL01'!$C$10:$C$224,$C305,'TL01'!$J$10:$J$224),0),
IF('TL01'!$B$229=Q$3,SUMIF('TL01'!$C$238:$C$451,$C305,'TL01'!$J$238:$J$451),0),
IF('TL02'!$B$3=Q$3,SUMIF('TL02'!$C$10:$C$224,$C305,'TL02'!$J$10:$J$224),0),
IF('TL02'!$B$229=Q$3,SUMIF('TL02'!$C$238:$C$451,$C305,'TL02'!$J$238:$J$451),0),
IF('TL03'!$B$3=Q$3,SUMIF('TL03'!$C$10:$C$224,$C305,'TL03'!$J$10:$J$224),0),
IF('TL03'!$B$229=Q$3,SUMIF('TL03'!$C$238:$C$451,$C305,'TL03'!$J$238:$J$451),0),
IF('TL04'!$B$3=Q$3,SUMIF('TL04'!$C$10:$C$224,$C305,'TL04'!$J$10:$J$224),0),
IF('TL04'!$B$229=Q$3,SUMIF('TL04'!$C$238:$C$451,$C305,'TL04'!$J$238:$J$451),0),
IF('TL05'!$B$3=Q$3,SUMIF('TL05'!$C$10:$C$224,$C305,'TL05'!$J$10:$J$224),0),
IF('TL05'!$B$229=Q$3,SUMIF('TL05'!$C$238:$C$451,$C305,'TL05'!$J$238:$J$451),0),
IF('TL06'!$B$3=Q$3,SUMIF('TL06'!$C$10:$C$224,$C305,'TL06'!$J$10:$J$224),0),
IF('TL06'!$B$229=Q$3,SUMIF('TL06'!$C$238:$C$451,$C305,'TL06'!$J$238:$J$451),0),
IF('TL07'!$B$3=Q$3,SUMIF('TL07'!$C$10:$C$224,$C305,'TL07'!$J$10:$J$224),0),
IF('TL07'!$B$229=Q$3,SUMIF('TL07'!$C$238:$C$451,$C305,'TL07'!$J$238:$J$451),0),
IF('TL08'!$B$3=Q$3,SUMIF('TL08'!$C$10:$C$224,$C305,'TL08'!$J$10:$J$224),0),
IF('TL08'!$B$229=Q$3,SUMIF('TL08'!$C$238:$C$451,$C305,'TL08'!$J$238:$J$451),0),
IF('TL09'!$B$3=Q$3,SUMIF('TL09'!$C$10:$C$224,$C305,'TL09'!$J$10:$J$224),0),
IF('TL09'!$B$229=Q$3,SUMIF('TL09'!$C$238:$C$451,$C305,'TL09'!$J$238:$J$451),0),
IF('TL10'!$B$3=Q$3,SUMIF('TL10'!$C$10:$C$224,$C305,'TL10'!$J$10:$J$224),0),
IF('TL10'!$B$229=Q$3,SUMIF('TL10'!$C$238:$C$451,$C305,'TL10'!$J$238:$J$451),0),
IF('TL11'!$B$3=Q$3,SUMIF('TL11'!$C$10:$C$224,$C305,'TL11'!$J$10:$J$224),0),
IF('TL11'!$B$229=Q$3,SUMIF('TL11'!$C$238:$C$451,$C305,'TL11'!$J$238:$J$451),0),
IF('TL12'!$B$3=Q$3,SUMIF('TL12'!$C$10:$C$224,$C305,'TL12'!$J$10:$J$224),0),
IF('TL12'!$B$229=Q$3,SUMIF('TL12'!$C$238:$C$451,$C305,'TL12'!$J$238:$J$451),0),
IF('TL13'!$B$3=Q$3,SUMIF('TL13'!$C$10:$C$224,$C305,'TL13'!$J$10:$J$224),0),
IF('TL13'!$B$229=Q$3,SUMIF('TL13'!$C$238:$C$451,$C305,'TL13'!$J$238:$J$451),0),
IF('TL14'!$B$3=Q$3,SUMIF('TL14'!$C$10:$C$224,$C305,'TL14'!$J$10:$J$224),0),
IF('TL14'!$B$229=Q$3,SUMIF('TL14'!$C$238:$C$451,$C305,'TL14'!$J$238:$J$451),0),
IF('TL15'!$B$3=Q$3,SUMIF('TL15'!$C$10:$C$224,$C305,'TL15'!$J$10:$J$224),0),
IF('TL15'!$B$229=Q$3,SUMIF('TL15'!$C$238:$C$451,$C305,'TL15'!$J$238:$J$451),0),
IF('TL16'!$B$3=Q$3,SUMIF('TL16'!$C$10:$C$224,$C305,'TL16'!$J$10:$J$224),0),
IF('TL16'!$B$229=Q$3,SUMIF('TL16'!$C$238:$C$451,$C305,'TL16'!$J$238:$J$451),0),
IF('TL17'!$B$3=Q$3,SUMIF('TL17'!$C$10:$C$224,$C305,'TL17'!$J$10:$J$224),0),
IF('TL17'!$B$229=Q$3,SUMIF('TL17'!$C$238:$C$451,$C305,'TL17'!$J$238:$J$451),0),
IF('TL18'!$B$3=Q$3,SUMIF('TL18'!$C$10:$C$224,$C305,'TL18'!$J$10:$J$224),0),
IF('TL18'!$B$229=Q$3,SUMIF('TL18'!$C$238:$C$451,$C305,'TL18'!$J$238:$J$451),0),
IF('TL19'!$B$3=Q$3,SUMIF('TL19'!$C$10:$C$224,$C305,'TL19'!$J$10:$J$224),0),
IF('TL19'!$B$229=Q$3,SUMIF('TL19'!$C$238:$C$451,$C305,'TL19'!$J$238:$J$451),0)
),0)</f>
        <v/>
      </c>
      <c r="R305" s="9">
        <f>IFERROR(
SUM(
SUMIF('TL01'!C:C,C305,'TL01'!J:J),
SUMIF('TL02'!C:C,C305,'TL02'!J:J),
SUMIF('TL03'!C:C,C305,'TL03'!J:J),
SUMIF('TL04'!C:C,C305,'TL04'!J:J),
SUMIF('TL05'!C:C,C305,'TL05'!J:J),
SUMIF('TL06'!C:C,C305,'TL06'!J:J),
SUMIF('TL07'!C:C,C305,'TL07'!J:J),
SUMIF('TL08'!C:C,C305,'TL08'!J:J),
SUMIF('TL09'!C:C,C305,'TL09'!J:J),
SUMIF('TL10'!C:C,C305,'TL10'!J:J),
SUMIF('TL11'!C:C,C305,'TL11'!J:J),
SUMIF('TL12'!C:C,C305,'TL12'!J:J),
SUMIF('TL13'!C:C,C305,'TL13'!J:J),
SUMIF('TL14'!C:C,C305,'TL14'!J:J),
SUMIF('TL15'!C:C,C305,'TL15'!J:J),
SUMIF('TL16'!C:C,C305,'TL16'!J:J),
SUMIF('TL17'!C:C,C305,'TL17'!J:J),
SUMIF('TL18'!C:C,C305,'TL18'!J:J),SUMIF('TL19'!C:C,C305,'TL19'!J:J))
,0)</f>
        <v/>
      </c>
      <c r="S305" s="17">
        <f>IFERROR(__xludf.DUMMYFUNCTION("IFERROR(VLOOKUP(C305,
IMPORTRANGE(""1wULbzX32WdYsx-lj2U3uUNBBe2INVIRDtcK0d-Dvl90"",
""26-27!C:G""),
5,
FALSE),
"""")"),1552.6419999999998)</f>
        <v/>
      </c>
      <c r="T305" s="9" t="n"/>
      <c r="U305" s="92">
        <f>MAX(0,R305-T305)</f>
        <v/>
      </c>
      <c r="V305" s="93">
        <f>U305*S305</f>
        <v/>
      </c>
    </row>
    <row r="306" hidden="1" ht="15.75" customHeight="1" s="297">
      <c r="A306" s="122" t="inlineStr">
        <is>
          <t>FMC</t>
        </is>
      </c>
      <c r="B306" s="124" t="inlineStr">
        <is>
          <t>TS</t>
        </is>
      </c>
      <c r="C306" s="122" t="inlineStr">
        <is>
          <t>PERMIT STAR</t>
        </is>
      </c>
      <c r="D306" s="122" t="inlineStr">
        <is>
          <t>DIETHOLATE</t>
        </is>
      </c>
      <c r="E306" s="122" t="n">
        <v>800</v>
      </c>
      <c r="F306" s="4" t="inlineStr">
        <is>
          <t>L</t>
        </is>
      </c>
      <c r="G306" s="90">
        <f>HYPERLINK("https://www.google.com/search?q=" &amp; C306 &amp; "+bula+agrofit+pdf", "📄 Ver bula")</f>
        <v/>
      </c>
      <c r="H306" s="9">
        <f>IFERROR(__xludf.DUMMYFUNCTION("IFERROR(VLOOKUP(C306,
IMPORTRANGE(""1wULbzX32WdYsx-lj2U3uUNBBe2INVIRDtcK0d-Dvl90"",
""26-27!C:K""),
8,
FALSE),
"""")"),"")</f>
        <v/>
      </c>
      <c r="I306" s="121" t="n"/>
      <c r="J306" s="9">
        <f>IFERROR(SUM(
IF('TL01'!$B$3=J$3,SUMIF('TL01'!$C$10:$C$224,$C306,'TL01'!$J$10:$J$224),0),
IF('TL01'!$B$229=J$3,SUMIF('TL01'!$C$238:$C$451,$C306,'TL01'!$J$238:$J$451),0),
IF('TL02'!$B$3=J$3,SUMIF('TL02'!$C$10:$C$224,$C306,'TL02'!$J$10:$J$224),0),
IF('TL02'!$B$229=J$3,SUMIF('TL02'!$C$238:$C$451,$C306,'TL02'!$J$238:$J$451),0),
IF('TL03'!$B$3=J$3,SUMIF('TL03'!$C$10:$C$224,$C306,'TL03'!$J$10:$J$224),0),
IF('TL03'!$B$229=J$3,SUMIF('TL03'!$C$238:$C$451,$C306,'TL03'!$J$238:$J$451),0),
IF('TL04'!$B$3=J$3,SUMIF('TL04'!$C$10:$C$224,$C306,'TL04'!$J$10:$J$224),0),
IF('TL04'!$B$229=J$3,SUMIF('TL04'!$C$238:$C$451,$C306,'TL04'!$J$238:$J$451),0),
IF('TL05'!$B$3=J$3,SUMIF('TL05'!$C$10:$C$224,$C306,'TL05'!$J$10:$J$224),0),
IF('TL05'!$B$229=J$3,SUMIF('TL05'!$C$238:$C$451,$C306,'TL05'!$J$238:$J$451),0),
IF('TL06'!$B$3=J$3,SUMIF('TL06'!$C$10:$C$224,$C306,'TL06'!$J$10:$J$224),0),
IF('TL06'!$B$229=J$3,SUMIF('TL06'!$C$238:$C$451,$C306,'TL06'!$J$238:$J$451),0),
IF('TL07'!$B$3=J$3,SUMIF('TL07'!$C$10:$C$224,$C306,'TL07'!$J$10:$J$224),0),
IF('TL07'!$B$229=J$3,SUMIF('TL07'!$C$238:$C$451,$C306,'TL07'!$J$238:$J$451),0),
IF('TL08'!$B$3=J$3,SUMIF('TL08'!$C$10:$C$224,$C306,'TL08'!$J$10:$J$224),0),
IF('TL08'!$B$229=J$3,SUMIF('TL08'!$C$238:$C$451,$C306,'TL08'!$J$238:$J$451),0),
IF('TL09'!$B$3=J$3,SUMIF('TL09'!$C$10:$C$224,$C306,'TL09'!$J$10:$J$224),0),
IF('TL09'!$B$229=J$3,SUMIF('TL09'!$C$238:$C$451,$C306,'TL09'!$J$238:$J$451),0),
IF('TL10'!$B$3=J$3,SUMIF('TL10'!$C$10:$C$224,$C306,'TL10'!$J$10:$J$224),0),
IF('TL10'!$B$229=J$3,SUMIF('TL10'!$C$238:$C$451,$C306,'TL10'!$J$238:$J$451),0),
IF('TL11'!$B$3=J$3,SUMIF('TL11'!$C$10:$C$224,$C306,'TL11'!$J$10:$J$224),0),
IF('TL11'!$B$229=J$3,SUMIF('TL11'!$C$238:$C$451,$C306,'TL11'!$J$238:$J$451),0),
IF('TL12'!$B$3=J$3,SUMIF('TL12'!$C$10:$C$224,$C306,'TL12'!$J$10:$J$224),0),
IF('TL12'!$B$229=J$3,SUMIF('TL12'!$C$238:$C$451,$C306,'TL12'!$J$238:$J$451),0),
IF('TL13'!$B$3=J$3,SUMIF('TL13'!$C$10:$C$224,$C306,'TL13'!$J$10:$J$224),0),
IF('TL13'!$B$229=J$3,SUMIF('TL13'!$C$238:$C$451,$C306,'TL13'!$J$238:$J$451),0),
IF('TL14'!$B$3=J$3,SUMIF('TL14'!$C$10:$C$224,$C306,'TL14'!$J$10:$J$224),0),
IF('TL14'!$B$229=J$3,SUMIF('TL14'!$C$238:$C$451,$C306,'TL14'!$J$238:$J$451),0),
IF('TL15'!$B$3=J$3,SUMIF('TL15'!$C$10:$C$224,$C306,'TL15'!$J$10:$J$224),0),
IF('TL15'!$B$229=J$3,SUMIF('TL15'!$C$238:$C$451,$C306,'TL15'!$J$238:$J$451),0),
IF('TL16'!$B$3=J$3,SUMIF('TL16'!$C$10:$C$224,$C306,'TL16'!$J$10:$J$224),0),
IF('TL16'!$B$229=J$3,SUMIF('TL16'!$C$238:$C$451,$C306,'TL16'!$J$238:$J$451),0),
IF('TL17'!$B$3=J$3,SUMIF('TL17'!$C$10:$C$224,$C306,'TL17'!$J$10:$J$224),0),
IF('TL17'!$B$229=J$3,SUMIF('TL17'!$C$238:$C$451,$C306,'TL17'!$J$238:$J$451),0),
IF('TL18'!$B$3=J$3,SUMIF('TL18'!$C$10:$C$224,$C306,'TL18'!$J$10:$J$224),0),
IF('TL18'!$B$229=J$3,SUMIF('TL18'!$C$238:$C$451,$C306,'TL18'!$J$238:$J$451),0),
IF('TL19'!$B$3=J$3,SUMIF('TL19'!$C$10:$C$224,$C306,'TL19'!$J$10:$J$224),0),
IF('TL19'!$B$229=J$3,SUMIF('TL19'!$C$238:$C$451,$C306,'TL19'!$J$238:$J$451),0)
),0)</f>
        <v/>
      </c>
      <c r="K306" s="9">
        <f>IFERROR(SUM(
IF('TL01'!$B$3=K$3,SUMIF('TL01'!$C$10:$C$224,$C306,'TL01'!$J$10:$J$224),0),
IF('TL01'!$B$229=K$3,SUMIF('TL01'!$C$238:$C$451,$C306,'TL01'!$J$238:$J$451),0),
IF('TL02'!$B$3=K$3,SUMIF('TL02'!$C$10:$C$224,$C306,'TL02'!$J$10:$J$224),0),
IF('TL02'!$B$229=K$3,SUMIF('TL02'!$C$238:$C$451,$C306,'TL02'!$J$238:$J$451),0),
IF('TL03'!$B$3=K$3,SUMIF('TL03'!$C$10:$C$224,$C306,'TL03'!$J$10:$J$224),0),
IF('TL03'!$B$229=K$3,SUMIF('TL03'!$C$238:$C$451,$C306,'TL03'!$J$238:$J$451),0),
IF('TL04'!$B$3=K$3,SUMIF('TL04'!$C$10:$C$224,$C306,'TL04'!$J$10:$J$224),0),
IF('TL04'!$B$229=K$3,SUMIF('TL04'!$C$238:$C$451,$C306,'TL04'!$J$238:$J$451),0),
IF('TL05'!$B$3=K$3,SUMIF('TL05'!$C$10:$C$224,$C306,'TL05'!$J$10:$J$224),0),
IF('TL05'!$B$229=K$3,SUMIF('TL05'!$C$238:$C$451,$C306,'TL05'!$J$238:$J$451),0),
IF('TL06'!$B$3=K$3,SUMIF('TL06'!$C$10:$C$224,$C306,'TL06'!$J$10:$J$224),0),
IF('TL06'!$B$229=K$3,SUMIF('TL06'!$C$238:$C$451,$C306,'TL06'!$J$238:$J$451),0),
IF('TL07'!$B$3=K$3,SUMIF('TL07'!$C$10:$C$224,$C306,'TL07'!$J$10:$J$224),0),
IF('TL07'!$B$229=K$3,SUMIF('TL07'!$C$238:$C$451,$C306,'TL07'!$J$238:$J$451),0),
IF('TL08'!$B$3=K$3,SUMIF('TL08'!$C$10:$C$224,$C306,'TL08'!$J$10:$J$224),0),
IF('TL08'!$B$229=K$3,SUMIF('TL08'!$C$238:$C$451,$C306,'TL08'!$J$238:$J$451),0),
IF('TL09'!$B$3=K$3,SUMIF('TL09'!$C$10:$C$224,$C306,'TL09'!$J$10:$J$224),0),
IF('TL09'!$B$229=K$3,SUMIF('TL09'!$C$238:$C$451,$C306,'TL09'!$J$238:$J$451),0),
IF('TL10'!$B$3=K$3,SUMIF('TL10'!$C$10:$C$224,$C306,'TL10'!$J$10:$J$224),0),
IF('TL10'!$B$229=K$3,SUMIF('TL10'!$C$238:$C$451,$C306,'TL10'!$J$238:$J$451),0),
IF('TL11'!$B$3=K$3,SUMIF('TL11'!$C$10:$C$224,$C306,'TL11'!$J$10:$J$224),0),
IF('TL11'!$B$229=K$3,SUMIF('TL11'!$C$238:$C$451,$C306,'TL11'!$J$238:$J$451),0),
IF('TL12'!$B$3=K$3,SUMIF('TL12'!$C$10:$C$224,$C306,'TL12'!$J$10:$J$224),0),
IF('TL12'!$B$229=K$3,SUMIF('TL12'!$C$238:$C$451,$C306,'TL12'!$J$238:$J$451),0),
IF('TL13'!$B$3=K$3,SUMIF('TL13'!$C$10:$C$224,$C306,'TL13'!$J$10:$J$224),0),
IF('TL13'!$B$229=K$3,SUMIF('TL13'!$C$238:$C$451,$C306,'TL13'!$J$238:$J$451),0),
IF('TL14'!$B$3=K$3,SUMIF('TL14'!$C$10:$C$224,$C306,'TL14'!$J$10:$J$224),0),
IF('TL14'!$B$229=K$3,SUMIF('TL14'!$C$238:$C$451,$C306,'TL14'!$J$238:$J$451),0),
IF('TL15'!$B$3=K$3,SUMIF('TL15'!$C$10:$C$224,$C306,'TL15'!$J$10:$J$224),0),
IF('TL15'!$B$229=K$3,SUMIF('TL15'!$C$238:$C$451,$C306,'TL15'!$J$238:$J$451),0),
IF('TL16'!$B$3=K$3,SUMIF('TL16'!$C$10:$C$224,$C306,'TL16'!$J$10:$J$224),0),
IF('TL16'!$B$229=K$3,SUMIF('TL16'!$C$238:$C$451,$C306,'TL16'!$J$238:$J$451),0),
IF('TL17'!$B$3=K$3,SUMIF('TL17'!$C$10:$C$224,$C306,'TL17'!$J$10:$J$224),0),
IF('TL17'!$B$229=K$3,SUMIF('TL17'!$C$238:$C$451,$C306,'TL17'!$J$238:$J$451),0),
IF('TL18'!$B$3=K$3,SUMIF('TL18'!$C$10:$C$224,$C306,'TL18'!$J$10:$J$224),0),
IF('TL18'!$B$229=K$3,SUMIF('TL18'!$C$238:$C$451,$C306,'TL18'!$J$238:$J$451),0),
IF('TL19'!$B$3=K$3,SUMIF('TL19'!$C$10:$C$224,$C306,'TL19'!$J$10:$J$224),0),
IF('TL19'!$B$229=K$3,SUMIF('TL19'!$C$238:$C$451,$C306,'TL19'!$J$238:$J$451),0)
),0)</f>
        <v/>
      </c>
      <c r="L306" s="9">
        <f>IFERROR(SUM(
IF('TL01'!$B$3=L$3,SUMIF('TL01'!$C$10:$C$224,$C306,'TL01'!$J$10:$J$224),0),
IF('TL01'!$B$229=L$3,SUMIF('TL01'!$C$238:$C$451,$C306,'TL01'!$J$238:$J$451),0),
IF('TL02'!$B$3=L$3,SUMIF('TL02'!$C$10:$C$224,$C306,'TL02'!$J$10:$J$224),0),
IF('TL02'!$B$229=L$3,SUMIF('TL02'!$C$238:$C$451,$C306,'TL02'!$J$238:$J$451),0),
IF('TL03'!$B$3=L$3,SUMIF('TL03'!$C$10:$C$224,$C306,'TL03'!$J$10:$J$224),0),
IF('TL03'!$B$229=L$3,SUMIF('TL03'!$C$238:$C$451,$C306,'TL03'!$J$238:$J$451),0),
IF('TL04'!$B$3=L$3,SUMIF('TL04'!$C$10:$C$224,$C306,'TL04'!$J$10:$J$224),0),
IF('TL04'!$B$229=L$3,SUMIF('TL04'!$C$238:$C$451,$C306,'TL04'!$J$238:$J$451),0),
IF('TL05'!$B$3=L$3,SUMIF('TL05'!$C$10:$C$224,$C306,'TL05'!$J$10:$J$224),0),
IF('TL05'!$B$229=L$3,SUMIF('TL05'!$C$238:$C$451,$C306,'TL05'!$J$238:$J$451),0),
IF('TL06'!$B$3=L$3,SUMIF('TL06'!$C$10:$C$224,$C306,'TL06'!$J$10:$J$224),0),
IF('TL06'!$B$229=L$3,SUMIF('TL06'!$C$238:$C$451,$C306,'TL06'!$J$238:$J$451),0),
IF('TL07'!$B$3=L$3,SUMIF('TL07'!$C$10:$C$224,$C306,'TL07'!$J$10:$J$224),0),
IF('TL07'!$B$229=L$3,SUMIF('TL07'!$C$238:$C$451,$C306,'TL07'!$J$238:$J$451),0),
IF('TL08'!$B$3=L$3,SUMIF('TL08'!$C$10:$C$224,$C306,'TL08'!$J$10:$J$224),0),
IF('TL08'!$B$229=L$3,SUMIF('TL08'!$C$238:$C$451,$C306,'TL08'!$J$238:$J$451),0),
IF('TL09'!$B$3=L$3,SUMIF('TL09'!$C$10:$C$224,$C306,'TL09'!$J$10:$J$224),0),
IF('TL09'!$B$229=L$3,SUMIF('TL09'!$C$238:$C$451,$C306,'TL09'!$J$238:$J$451),0),
IF('TL10'!$B$3=L$3,SUMIF('TL10'!$C$10:$C$224,$C306,'TL10'!$J$10:$J$224),0),
IF('TL10'!$B$229=L$3,SUMIF('TL10'!$C$238:$C$451,$C306,'TL10'!$J$238:$J$451),0),
IF('TL11'!$B$3=L$3,SUMIF('TL11'!$C$10:$C$224,$C306,'TL11'!$J$10:$J$224),0),
IF('TL11'!$B$229=L$3,SUMIF('TL11'!$C$238:$C$451,$C306,'TL11'!$J$238:$J$451),0),
IF('TL12'!$B$3=L$3,SUMIF('TL12'!$C$10:$C$224,$C306,'TL12'!$J$10:$J$224),0),
IF('TL12'!$B$229=L$3,SUMIF('TL12'!$C$238:$C$451,$C306,'TL12'!$J$238:$J$451),0),
IF('TL13'!$B$3=L$3,SUMIF('TL13'!$C$10:$C$224,$C306,'TL13'!$J$10:$J$224),0),
IF('TL13'!$B$229=L$3,SUMIF('TL13'!$C$238:$C$451,$C306,'TL13'!$J$238:$J$451),0),
IF('TL14'!$B$3=L$3,SUMIF('TL14'!$C$10:$C$224,$C306,'TL14'!$J$10:$J$224),0),
IF('TL14'!$B$229=L$3,SUMIF('TL14'!$C$238:$C$451,$C306,'TL14'!$J$238:$J$451),0),
IF('TL15'!$B$3=L$3,SUMIF('TL15'!$C$10:$C$224,$C306,'TL15'!$J$10:$J$224),0),
IF('TL15'!$B$229=L$3,SUMIF('TL15'!$C$238:$C$451,$C306,'TL15'!$J$238:$J$451),0),
IF('TL16'!$B$3=L$3,SUMIF('TL16'!$C$10:$C$224,$C306,'TL16'!$J$10:$J$224),0),
IF('TL16'!$B$229=L$3,SUMIF('TL16'!$C$238:$C$451,$C306,'TL16'!$J$238:$J$451),0),
IF('TL17'!$B$3=L$3,SUMIF('TL17'!$C$10:$C$224,$C306,'TL17'!$J$10:$J$224),0),
IF('TL17'!$B$229=L$3,SUMIF('TL17'!$C$238:$C$451,$C306,'TL17'!$J$238:$J$451),0),
IF('TL18'!$B$3=L$3,SUMIF('TL18'!$C$10:$C$224,$C306,'TL18'!$J$10:$J$224),0),
IF('TL18'!$B$229=L$3,SUMIF('TL18'!$C$238:$C$451,$C306,'TL18'!$J$238:$J$451),0),
IF('TL19'!$B$3=L$3,SUMIF('TL19'!$C$10:$C$224,$C306,'TL19'!$J$10:$J$224),0),
IF('TL19'!$B$229=L$3,SUMIF('TL19'!$C$238:$C$451,$C306,'TL19'!$J$238:$J$451),0)
),0)</f>
        <v/>
      </c>
      <c r="M306" s="9">
        <f>IFERROR(SUM(
IF('TL01'!$B$3=M$3,SUMIF('TL01'!$C$10:$C$224,$C306,'TL01'!$J$10:$J$224),0),
IF('TL01'!$B$229=M$3,SUMIF('TL01'!$C$238:$C$451,$C306,'TL01'!$J$238:$J$451),0),
IF('TL02'!$B$3=M$3,SUMIF('TL02'!$C$10:$C$224,$C306,'TL02'!$J$10:$J$224),0),
IF('TL02'!$B$229=M$3,SUMIF('TL02'!$C$238:$C$451,$C306,'TL02'!$J$238:$J$451),0),
IF('TL03'!$B$3=M$3,SUMIF('TL03'!$C$10:$C$224,$C306,'TL03'!$J$10:$J$224),0),
IF('TL03'!$B$229=M$3,SUMIF('TL03'!$C$238:$C$451,$C306,'TL03'!$J$238:$J$451),0),
IF('TL04'!$B$3=M$3,SUMIF('TL04'!$C$10:$C$224,$C306,'TL04'!$J$10:$J$224),0),
IF('TL04'!$B$229=M$3,SUMIF('TL04'!$C$238:$C$451,$C306,'TL04'!$J$238:$J$451),0),
IF('TL05'!$B$3=M$3,SUMIF('TL05'!$C$10:$C$224,$C306,'TL05'!$J$10:$J$224),0),
IF('TL05'!$B$229=M$3,SUMIF('TL05'!$C$238:$C$451,$C306,'TL05'!$J$238:$J$451),0),
IF('TL06'!$B$3=M$3,SUMIF('TL06'!$C$10:$C$224,$C306,'TL06'!$J$10:$J$224),0),
IF('TL06'!$B$229=M$3,SUMIF('TL06'!$C$238:$C$451,$C306,'TL06'!$J$238:$J$451),0),
IF('TL07'!$B$3=M$3,SUMIF('TL07'!$C$10:$C$224,$C306,'TL07'!$J$10:$J$224),0),
IF('TL07'!$B$229=M$3,SUMIF('TL07'!$C$238:$C$451,$C306,'TL07'!$J$238:$J$451),0),
IF('TL08'!$B$3=M$3,SUMIF('TL08'!$C$10:$C$224,$C306,'TL08'!$J$10:$J$224),0),
IF('TL08'!$B$229=M$3,SUMIF('TL08'!$C$238:$C$451,$C306,'TL08'!$J$238:$J$451),0),
IF('TL09'!$B$3=M$3,SUMIF('TL09'!$C$10:$C$224,$C306,'TL09'!$J$10:$J$224),0),
IF('TL09'!$B$229=M$3,SUMIF('TL09'!$C$238:$C$451,$C306,'TL09'!$J$238:$J$451),0),
IF('TL10'!$B$3=M$3,SUMIF('TL10'!$C$10:$C$224,$C306,'TL10'!$J$10:$J$224),0),
IF('TL10'!$B$229=M$3,SUMIF('TL10'!$C$238:$C$451,$C306,'TL10'!$J$238:$J$451),0),
IF('TL11'!$B$3=M$3,SUMIF('TL11'!$C$10:$C$224,$C306,'TL11'!$J$10:$J$224),0),
IF('TL11'!$B$229=M$3,SUMIF('TL11'!$C$238:$C$451,$C306,'TL11'!$J$238:$J$451),0),
IF('TL12'!$B$3=M$3,SUMIF('TL12'!$C$10:$C$224,$C306,'TL12'!$J$10:$J$224),0),
IF('TL12'!$B$229=M$3,SUMIF('TL12'!$C$238:$C$451,$C306,'TL12'!$J$238:$J$451),0),
IF('TL13'!$B$3=M$3,SUMIF('TL13'!$C$10:$C$224,$C306,'TL13'!$J$10:$J$224),0),
IF('TL13'!$B$229=M$3,SUMIF('TL13'!$C$238:$C$451,$C306,'TL13'!$J$238:$J$451),0),
IF('TL14'!$B$3=M$3,SUMIF('TL14'!$C$10:$C$224,$C306,'TL14'!$J$10:$J$224),0),
IF('TL14'!$B$229=M$3,SUMIF('TL14'!$C$238:$C$451,$C306,'TL14'!$J$238:$J$451),0),
IF('TL15'!$B$3=M$3,SUMIF('TL15'!$C$10:$C$224,$C306,'TL15'!$J$10:$J$224),0),
IF('TL15'!$B$229=M$3,SUMIF('TL15'!$C$238:$C$451,$C306,'TL15'!$J$238:$J$451),0),
IF('TL16'!$B$3=M$3,SUMIF('TL16'!$C$10:$C$224,$C306,'TL16'!$J$10:$J$224),0),
IF('TL16'!$B$229=M$3,SUMIF('TL16'!$C$238:$C$451,$C306,'TL16'!$J$238:$J$451),0),
IF('TL17'!$B$3=M$3,SUMIF('TL17'!$C$10:$C$224,$C306,'TL17'!$J$10:$J$224),0),
IF('TL17'!$B$229=M$3,SUMIF('TL17'!$C$238:$C$451,$C306,'TL17'!$J$238:$J$451),0),
IF('TL18'!$B$3=M$3,SUMIF('TL18'!$C$10:$C$224,$C306,'TL18'!$J$10:$J$224),0),
IF('TL18'!$B$229=M$3,SUMIF('TL18'!$C$238:$C$451,$C306,'TL18'!$J$238:$J$451),0),
IF('TL19'!$B$3=M$3,SUMIF('TL19'!$C$10:$C$224,$C306,'TL19'!$J$10:$J$224),0),
IF('TL19'!$B$229=M$3,SUMIF('TL19'!$C$238:$C$451,$C306,'TL19'!$J$238:$J$451),0)
),0)</f>
        <v/>
      </c>
      <c r="N306" s="9">
        <f>IFERROR(SUM(
IF('TL01'!$B$3=N$3,SUMIF('TL01'!$C$10:$C$224,$C306,'TL01'!$J$10:$J$224),0),
IF('TL01'!$B$229=N$3,SUMIF('TL01'!$C$238:$C$451,$C306,'TL01'!$J$238:$J$451),0),
IF('TL02'!$B$3=N$3,SUMIF('TL02'!$C$10:$C$224,$C306,'TL02'!$J$10:$J$224),0),
IF('TL02'!$B$229=N$3,SUMIF('TL02'!$C$238:$C$451,$C306,'TL02'!$J$238:$J$451),0),
IF('TL03'!$B$3=N$3,SUMIF('TL03'!$C$10:$C$224,$C306,'TL03'!$J$10:$J$224),0),
IF('TL03'!$B$229=N$3,SUMIF('TL03'!$C$238:$C$451,$C306,'TL03'!$J$238:$J$451),0),
IF('TL04'!$B$3=N$3,SUMIF('TL04'!$C$10:$C$224,$C306,'TL04'!$J$10:$J$224),0),
IF('TL04'!$B$229=N$3,SUMIF('TL04'!$C$238:$C$451,$C306,'TL04'!$J$238:$J$451),0),
IF('TL05'!$B$3=N$3,SUMIF('TL05'!$C$10:$C$224,$C306,'TL05'!$J$10:$J$224),0),
IF('TL05'!$B$229=N$3,SUMIF('TL05'!$C$238:$C$451,$C306,'TL05'!$J$238:$J$451),0),
IF('TL06'!$B$3=N$3,SUMIF('TL06'!$C$10:$C$224,$C306,'TL06'!$J$10:$J$224),0),
IF('TL06'!$B$229=N$3,SUMIF('TL06'!$C$238:$C$451,$C306,'TL06'!$J$238:$J$451),0),
IF('TL07'!$B$3=N$3,SUMIF('TL07'!$C$10:$C$224,$C306,'TL07'!$J$10:$J$224),0),
IF('TL07'!$B$229=N$3,SUMIF('TL07'!$C$238:$C$451,$C306,'TL07'!$J$238:$J$451),0),
IF('TL08'!$B$3=N$3,SUMIF('TL08'!$C$10:$C$224,$C306,'TL08'!$J$10:$J$224),0),
IF('TL08'!$B$229=N$3,SUMIF('TL08'!$C$238:$C$451,$C306,'TL08'!$J$238:$J$451),0),
IF('TL09'!$B$3=N$3,SUMIF('TL09'!$C$10:$C$224,$C306,'TL09'!$J$10:$J$224),0),
IF('TL09'!$B$229=N$3,SUMIF('TL09'!$C$238:$C$451,$C306,'TL09'!$J$238:$J$451),0),
IF('TL10'!$B$3=N$3,SUMIF('TL10'!$C$10:$C$224,$C306,'TL10'!$J$10:$J$224),0),
IF('TL10'!$B$229=N$3,SUMIF('TL10'!$C$238:$C$451,$C306,'TL10'!$J$238:$J$451),0),
IF('TL11'!$B$3=N$3,SUMIF('TL11'!$C$10:$C$224,$C306,'TL11'!$J$10:$J$224),0),
IF('TL11'!$B$229=N$3,SUMIF('TL11'!$C$238:$C$451,$C306,'TL11'!$J$238:$J$451),0),
IF('TL12'!$B$3=N$3,SUMIF('TL12'!$C$10:$C$224,$C306,'TL12'!$J$10:$J$224),0),
IF('TL12'!$B$229=N$3,SUMIF('TL12'!$C$238:$C$451,$C306,'TL12'!$J$238:$J$451),0),
IF('TL13'!$B$3=N$3,SUMIF('TL13'!$C$10:$C$224,$C306,'TL13'!$J$10:$J$224),0),
IF('TL13'!$B$229=N$3,SUMIF('TL13'!$C$238:$C$451,$C306,'TL13'!$J$238:$J$451),0),
IF('TL14'!$B$3=N$3,SUMIF('TL14'!$C$10:$C$224,$C306,'TL14'!$J$10:$J$224),0),
IF('TL14'!$B$229=N$3,SUMIF('TL14'!$C$238:$C$451,$C306,'TL14'!$J$238:$J$451),0),
IF('TL15'!$B$3=N$3,SUMIF('TL15'!$C$10:$C$224,$C306,'TL15'!$J$10:$J$224),0),
IF('TL15'!$B$229=N$3,SUMIF('TL15'!$C$238:$C$451,$C306,'TL15'!$J$238:$J$451),0),
IF('TL16'!$B$3=N$3,SUMIF('TL16'!$C$10:$C$224,$C306,'TL16'!$J$10:$J$224),0),
IF('TL16'!$B$229=N$3,SUMIF('TL16'!$C$238:$C$451,$C306,'TL16'!$J$238:$J$451),0),
IF('TL17'!$B$3=N$3,SUMIF('TL17'!$C$10:$C$224,$C306,'TL17'!$J$10:$J$224),0),
IF('TL17'!$B$229=N$3,SUMIF('TL17'!$C$238:$C$451,$C306,'TL17'!$J$238:$J$451),0),
IF('TL18'!$B$3=N$3,SUMIF('TL18'!$C$10:$C$224,$C306,'TL18'!$J$10:$J$224),0),
IF('TL18'!$B$229=N$3,SUMIF('TL18'!$C$238:$C$451,$C306,'TL18'!$J$238:$J$451),0),
IF('TL19'!$B$3=N$3,SUMIF('TL19'!$C$10:$C$224,$C306,'TL19'!$J$10:$J$224),0),
IF('TL19'!$B$229=N$3,SUMIF('TL19'!$C$238:$C$451,$C306,'TL19'!$J$238:$J$451),0)
),0)</f>
        <v/>
      </c>
      <c r="O306" s="9">
        <f>IFERROR(SUM(
IF('TL01'!$B$3=O$3,SUMIF('TL01'!$C$10:$C$224,$C306,'TL01'!$J$10:$J$224),0),
IF('TL01'!$B$229=O$3,SUMIF('TL01'!$C$238:$C$451,$C306,'TL01'!$J$238:$J$451),0),
IF('TL02'!$B$3=O$3,SUMIF('TL02'!$C$10:$C$224,$C306,'TL02'!$J$10:$J$224),0),
IF('TL02'!$B$229=O$3,SUMIF('TL02'!$C$238:$C$451,$C306,'TL02'!$J$238:$J$451),0),
IF('TL03'!$B$3=O$3,SUMIF('TL03'!$C$10:$C$224,$C306,'TL03'!$J$10:$J$224),0),
IF('TL03'!$B$229=O$3,SUMIF('TL03'!$C$238:$C$451,$C306,'TL03'!$J$238:$J$451),0),
IF('TL04'!$B$3=O$3,SUMIF('TL04'!$C$10:$C$224,$C306,'TL04'!$J$10:$J$224),0),
IF('TL04'!$B$229=O$3,SUMIF('TL04'!$C$238:$C$451,$C306,'TL04'!$J$238:$J$451),0),
IF('TL05'!$B$3=O$3,SUMIF('TL05'!$C$10:$C$224,$C306,'TL05'!$J$10:$J$224),0),
IF('TL05'!$B$229=O$3,SUMIF('TL05'!$C$238:$C$451,$C306,'TL05'!$J$238:$J$451),0),
IF('TL06'!$B$3=O$3,SUMIF('TL06'!$C$10:$C$224,$C306,'TL06'!$J$10:$J$224),0),
IF('TL06'!$B$229=O$3,SUMIF('TL06'!$C$238:$C$451,$C306,'TL06'!$J$238:$J$451),0),
IF('TL07'!$B$3=O$3,SUMIF('TL07'!$C$10:$C$224,$C306,'TL07'!$J$10:$J$224),0),
IF('TL07'!$B$229=O$3,SUMIF('TL07'!$C$238:$C$451,$C306,'TL07'!$J$238:$J$451),0),
IF('TL08'!$B$3=O$3,SUMIF('TL08'!$C$10:$C$224,$C306,'TL08'!$J$10:$J$224),0),
IF('TL08'!$B$229=O$3,SUMIF('TL08'!$C$238:$C$451,$C306,'TL08'!$J$238:$J$451),0),
IF('TL09'!$B$3=O$3,SUMIF('TL09'!$C$10:$C$224,$C306,'TL09'!$J$10:$J$224),0),
IF('TL09'!$B$229=O$3,SUMIF('TL09'!$C$238:$C$451,$C306,'TL09'!$J$238:$J$451),0),
IF('TL10'!$B$3=O$3,SUMIF('TL10'!$C$10:$C$224,$C306,'TL10'!$J$10:$J$224),0),
IF('TL10'!$B$229=O$3,SUMIF('TL10'!$C$238:$C$451,$C306,'TL10'!$J$238:$J$451),0),
IF('TL11'!$B$3=O$3,SUMIF('TL11'!$C$10:$C$224,$C306,'TL11'!$J$10:$J$224),0),
IF('TL11'!$B$229=O$3,SUMIF('TL11'!$C$238:$C$451,$C306,'TL11'!$J$238:$J$451),0),
IF('TL12'!$B$3=O$3,SUMIF('TL12'!$C$10:$C$224,$C306,'TL12'!$J$10:$J$224),0),
IF('TL12'!$B$229=O$3,SUMIF('TL12'!$C$238:$C$451,$C306,'TL12'!$J$238:$J$451),0),
IF('TL13'!$B$3=O$3,SUMIF('TL13'!$C$10:$C$224,$C306,'TL13'!$J$10:$J$224),0),
IF('TL13'!$B$229=O$3,SUMIF('TL13'!$C$238:$C$451,$C306,'TL13'!$J$238:$J$451),0),
IF('TL14'!$B$3=O$3,SUMIF('TL14'!$C$10:$C$224,$C306,'TL14'!$J$10:$J$224),0),
IF('TL14'!$B$229=O$3,SUMIF('TL14'!$C$238:$C$451,$C306,'TL14'!$J$238:$J$451),0),
IF('TL15'!$B$3=O$3,SUMIF('TL15'!$C$10:$C$224,$C306,'TL15'!$J$10:$J$224),0),
IF('TL15'!$B$229=O$3,SUMIF('TL15'!$C$238:$C$451,$C306,'TL15'!$J$238:$J$451),0),
IF('TL16'!$B$3=O$3,SUMIF('TL16'!$C$10:$C$224,$C306,'TL16'!$J$10:$J$224),0),
IF('TL16'!$B$229=O$3,SUMIF('TL16'!$C$238:$C$451,$C306,'TL16'!$J$238:$J$451),0),
IF('TL17'!$B$3=O$3,SUMIF('TL17'!$C$10:$C$224,$C306,'TL17'!$J$10:$J$224),0),
IF('TL17'!$B$229=O$3,SUMIF('TL17'!$C$238:$C$451,$C306,'TL17'!$J$238:$J$451),0),
IF('TL18'!$B$3=O$3,SUMIF('TL18'!$C$10:$C$224,$C306,'TL18'!$J$10:$J$224),0),
IF('TL18'!$B$229=O$3,SUMIF('TL18'!$C$238:$C$451,$C306,'TL18'!$J$238:$J$451),0),
IF('TL19'!$B$3=O$3,SUMIF('TL19'!$C$10:$C$224,$C306,'TL19'!$J$10:$J$224),0),
IF('TL19'!$B$229=O$3,SUMIF('TL19'!$C$238:$C$451,$C306,'TL19'!$J$238:$J$451),0)
),0)</f>
        <v/>
      </c>
      <c r="P306" s="9">
        <f>IFERROR(SUM(
IF('TL01'!$B$3=P$3,SUMIF('TL01'!$C$10:$C$224,$C306,'TL01'!$J$10:$J$224),0),
IF('TL01'!$B$229=P$3,SUMIF('TL01'!$C$238:$C$451,$C306,'TL01'!$J$238:$J$451),0),
IF('TL02'!$B$3=P$3,SUMIF('TL02'!$C$10:$C$224,$C306,'TL02'!$J$10:$J$224),0),
IF('TL02'!$B$229=P$3,SUMIF('TL02'!$C$238:$C$451,$C306,'TL02'!$J$238:$J$451),0),
IF('TL03'!$B$3=P$3,SUMIF('TL03'!$C$10:$C$224,$C306,'TL03'!$J$10:$J$224),0),
IF('TL03'!$B$229=P$3,SUMIF('TL03'!$C$238:$C$451,$C306,'TL03'!$J$238:$J$451),0),
IF('TL04'!$B$3=P$3,SUMIF('TL04'!$C$10:$C$224,$C306,'TL04'!$J$10:$J$224),0),
IF('TL04'!$B$229=P$3,SUMIF('TL04'!$C$238:$C$451,$C306,'TL04'!$J$238:$J$451),0),
IF('TL05'!$B$3=P$3,SUMIF('TL05'!$C$10:$C$224,$C306,'TL05'!$J$10:$J$224),0),
IF('TL05'!$B$229=P$3,SUMIF('TL05'!$C$238:$C$451,$C306,'TL05'!$J$238:$J$451),0),
IF('TL06'!$B$3=P$3,SUMIF('TL06'!$C$10:$C$224,$C306,'TL06'!$J$10:$J$224),0),
IF('TL06'!$B$229=P$3,SUMIF('TL06'!$C$238:$C$451,$C306,'TL06'!$J$238:$J$451),0),
IF('TL07'!$B$3=P$3,SUMIF('TL07'!$C$10:$C$224,$C306,'TL07'!$J$10:$J$224),0),
IF('TL07'!$B$229=P$3,SUMIF('TL07'!$C$238:$C$451,$C306,'TL07'!$J$238:$J$451),0),
IF('TL08'!$B$3=P$3,SUMIF('TL08'!$C$10:$C$224,$C306,'TL08'!$J$10:$J$224),0),
IF('TL08'!$B$229=P$3,SUMIF('TL08'!$C$238:$C$451,$C306,'TL08'!$J$238:$J$451),0),
IF('TL09'!$B$3=P$3,SUMIF('TL09'!$C$10:$C$224,$C306,'TL09'!$J$10:$J$224),0),
IF('TL09'!$B$229=P$3,SUMIF('TL09'!$C$238:$C$451,$C306,'TL09'!$J$238:$J$451),0),
IF('TL10'!$B$3=P$3,SUMIF('TL10'!$C$10:$C$224,$C306,'TL10'!$J$10:$J$224),0),
IF('TL10'!$B$229=P$3,SUMIF('TL10'!$C$238:$C$451,$C306,'TL10'!$J$238:$J$451),0),
IF('TL11'!$B$3=P$3,SUMIF('TL11'!$C$10:$C$224,$C306,'TL11'!$J$10:$J$224),0),
IF('TL11'!$B$229=P$3,SUMIF('TL11'!$C$238:$C$451,$C306,'TL11'!$J$238:$J$451),0),
IF('TL12'!$B$3=P$3,SUMIF('TL12'!$C$10:$C$224,$C306,'TL12'!$J$10:$J$224),0),
IF('TL12'!$B$229=P$3,SUMIF('TL12'!$C$238:$C$451,$C306,'TL12'!$J$238:$J$451),0),
IF('TL13'!$B$3=P$3,SUMIF('TL13'!$C$10:$C$224,$C306,'TL13'!$J$10:$J$224),0),
IF('TL13'!$B$229=P$3,SUMIF('TL13'!$C$238:$C$451,$C306,'TL13'!$J$238:$J$451),0),
IF('TL14'!$B$3=P$3,SUMIF('TL14'!$C$10:$C$224,$C306,'TL14'!$J$10:$J$224),0),
IF('TL14'!$B$229=P$3,SUMIF('TL14'!$C$238:$C$451,$C306,'TL14'!$J$238:$J$451),0),
IF('TL15'!$B$3=P$3,SUMIF('TL15'!$C$10:$C$224,$C306,'TL15'!$J$10:$J$224),0),
IF('TL15'!$B$229=P$3,SUMIF('TL15'!$C$238:$C$451,$C306,'TL15'!$J$238:$J$451),0),
IF('TL16'!$B$3=P$3,SUMIF('TL16'!$C$10:$C$224,$C306,'TL16'!$J$10:$J$224),0),
IF('TL16'!$B$229=P$3,SUMIF('TL16'!$C$238:$C$451,$C306,'TL16'!$J$238:$J$451),0),
IF('TL17'!$B$3=P$3,SUMIF('TL17'!$C$10:$C$224,$C306,'TL17'!$J$10:$J$224),0),
IF('TL17'!$B$229=P$3,SUMIF('TL17'!$C$238:$C$451,$C306,'TL17'!$J$238:$J$451),0),
IF('TL18'!$B$3=P$3,SUMIF('TL18'!$C$10:$C$224,$C306,'TL18'!$J$10:$J$224),0),
IF('TL18'!$B$229=P$3,SUMIF('TL18'!$C$238:$C$451,$C306,'TL18'!$J$238:$J$451),0),
IF('TL19'!$B$3=P$3,SUMIF('TL19'!$C$10:$C$224,$C306,'TL19'!$J$10:$J$224),0),
IF('TL19'!$B$229=P$3,SUMIF('TL19'!$C$238:$C$451,$C306,'TL19'!$J$238:$J$451),0)
),0)</f>
        <v/>
      </c>
      <c r="Q306" s="9">
        <f>IFERROR(SUM(
IF('TL01'!$B$3=Q$3,SUMIF('TL01'!$C$10:$C$224,$C306,'TL01'!$J$10:$J$224),0),
IF('TL01'!$B$229=Q$3,SUMIF('TL01'!$C$238:$C$451,$C306,'TL01'!$J$238:$J$451),0),
IF('TL02'!$B$3=Q$3,SUMIF('TL02'!$C$10:$C$224,$C306,'TL02'!$J$10:$J$224),0),
IF('TL02'!$B$229=Q$3,SUMIF('TL02'!$C$238:$C$451,$C306,'TL02'!$J$238:$J$451),0),
IF('TL03'!$B$3=Q$3,SUMIF('TL03'!$C$10:$C$224,$C306,'TL03'!$J$10:$J$224),0),
IF('TL03'!$B$229=Q$3,SUMIF('TL03'!$C$238:$C$451,$C306,'TL03'!$J$238:$J$451),0),
IF('TL04'!$B$3=Q$3,SUMIF('TL04'!$C$10:$C$224,$C306,'TL04'!$J$10:$J$224),0),
IF('TL04'!$B$229=Q$3,SUMIF('TL04'!$C$238:$C$451,$C306,'TL04'!$J$238:$J$451),0),
IF('TL05'!$B$3=Q$3,SUMIF('TL05'!$C$10:$C$224,$C306,'TL05'!$J$10:$J$224),0),
IF('TL05'!$B$229=Q$3,SUMIF('TL05'!$C$238:$C$451,$C306,'TL05'!$J$238:$J$451),0),
IF('TL06'!$B$3=Q$3,SUMIF('TL06'!$C$10:$C$224,$C306,'TL06'!$J$10:$J$224),0),
IF('TL06'!$B$229=Q$3,SUMIF('TL06'!$C$238:$C$451,$C306,'TL06'!$J$238:$J$451),0),
IF('TL07'!$B$3=Q$3,SUMIF('TL07'!$C$10:$C$224,$C306,'TL07'!$J$10:$J$224),0),
IF('TL07'!$B$229=Q$3,SUMIF('TL07'!$C$238:$C$451,$C306,'TL07'!$J$238:$J$451),0),
IF('TL08'!$B$3=Q$3,SUMIF('TL08'!$C$10:$C$224,$C306,'TL08'!$J$10:$J$224),0),
IF('TL08'!$B$229=Q$3,SUMIF('TL08'!$C$238:$C$451,$C306,'TL08'!$J$238:$J$451),0),
IF('TL09'!$B$3=Q$3,SUMIF('TL09'!$C$10:$C$224,$C306,'TL09'!$J$10:$J$224),0),
IF('TL09'!$B$229=Q$3,SUMIF('TL09'!$C$238:$C$451,$C306,'TL09'!$J$238:$J$451),0),
IF('TL10'!$B$3=Q$3,SUMIF('TL10'!$C$10:$C$224,$C306,'TL10'!$J$10:$J$224),0),
IF('TL10'!$B$229=Q$3,SUMIF('TL10'!$C$238:$C$451,$C306,'TL10'!$J$238:$J$451),0),
IF('TL11'!$B$3=Q$3,SUMIF('TL11'!$C$10:$C$224,$C306,'TL11'!$J$10:$J$224),0),
IF('TL11'!$B$229=Q$3,SUMIF('TL11'!$C$238:$C$451,$C306,'TL11'!$J$238:$J$451),0),
IF('TL12'!$B$3=Q$3,SUMIF('TL12'!$C$10:$C$224,$C306,'TL12'!$J$10:$J$224),0),
IF('TL12'!$B$229=Q$3,SUMIF('TL12'!$C$238:$C$451,$C306,'TL12'!$J$238:$J$451),0),
IF('TL13'!$B$3=Q$3,SUMIF('TL13'!$C$10:$C$224,$C306,'TL13'!$J$10:$J$224),0),
IF('TL13'!$B$229=Q$3,SUMIF('TL13'!$C$238:$C$451,$C306,'TL13'!$J$238:$J$451),0),
IF('TL14'!$B$3=Q$3,SUMIF('TL14'!$C$10:$C$224,$C306,'TL14'!$J$10:$J$224),0),
IF('TL14'!$B$229=Q$3,SUMIF('TL14'!$C$238:$C$451,$C306,'TL14'!$J$238:$J$451),0),
IF('TL15'!$B$3=Q$3,SUMIF('TL15'!$C$10:$C$224,$C306,'TL15'!$J$10:$J$224),0),
IF('TL15'!$B$229=Q$3,SUMIF('TL15'!$C$238:$C$451,$C306,'TL15'!$J$238:$J$451),0),
IF('TL16'!$B$3=Q$3,SUMIF('TL16'!$C$10:$C$224,$C306,'TL16'!$J$10:$J$224),0),
IF('TL16'!$B$229=Q$3,SUMIF('TL16'!$C$238:$C$451,$C306,'TL16'!$J$238:$J$451),0),
IF('TL17'!$B$3=Q$3,SUMIF('TL17'!$C$10:$C$224,$C306,'TL17'!$J$10:$J$224),0),
IF('TL17'!$B$229=Q$3,SUMIF('TL17'!$C$238:$C$451,$C306,'TL17'!$J$238:$J$451),0),
IF('TL18'!$B$3=Q$3,SUMIF('TL18'!$C$10:$C$224,$C306,'TL18'!$J$10:$J$224),0),
IF('TL18'!$B$229=Q$3,SUMIF('TL18'!$C$238:$C$451,$C306,'TL18'!$J$238:$J$451),0),
IF('TL19'!$B$3=Q$3,SUMIF('TL19'!$C$10:$C$224,$C306,'TL19'!$J$10:$J$224),0),
IF('TL19'!$B$229=Q$3,SUMIF('TL19'!$C$238:$C$451,$C306,'TL19'!$J$238:$J$451),0)
),0)</f>
        <v/>
      </c>
      <c r="R306" s="9">
        <f>IFERROR(
SUM(
SUMIF('TL01'!C:C,C306,'TL01'!J:J),
SUMIF('TL02'!C:C,C306,'TL02'!J:J),
SUMIF('TL03'!C:C,C306,'TL03'!J:J),
SUMIF('TL04'!C:C,C306,'TL04'!J:J),
SUMIF('TL05'!C:C,C306,'TL05'!J:J),
SUMIF('TL06'!C:C,C306,'TL06'!J:J),
SUMIF('TL07'!C:C,C306,'TL07'!J:J),
SUMIF('TL08'!C:C,C306,'TL08'!J:J),
SUMIF('TL09'!C:C,C306,'TL09'!J:J),
SUMIF('TL10'!C:C,C306,'TL10'!J:J),
SUMIF('TL11'!C:C,C306,'TL11'!J:J),
SUMIF('TL12'!C:C,C306,'TL12'!J:J),
SUMIF('TL13'!C:C,C306,'TL13'!J:J),
SUMIF('TL14'!C:C,C306,'TL14'!J:J),
SUMIF('TL15'!C:C,C306,'TL15'!J:J),
SUMIF('TL16'!C:C,C306,'TL16'!J:J),
SUMIF('TL17'!C:C,C306,'TL17'!J:J),
SUMIF('TL18'!C:C,C306,'TL18'!J:J),SUMIF('TL19'!C:C,C306,'TL19'!J:J))
,0)</f>
        <v/>
      </c>
      <c r="S306" s="17">
        <f>IFERROR(__xludf.DUMMYFUNCTION("IFERROR(VLOOKUP(C306,
IMPORTRANGE(""1wULbzX32WdYsx-lj2U3uUNBBe2INVIRDtcK0d-Dvl90"",
""26-27!C:G""),
5,
FALSE),
"""")"),420.812)</f>
        <v/>
      </c>
      <c r="T306" s="9" t="n"/>
      <c r="U306" s="92">
        <f>MAX(0,R306-T306)</f>
        <v/>
      </c>
      <c r="V306" s="93">
        <f>U306*S306</f>
        <v/>
      </c>
    </row>
    <row r="307" hidden="1" ht="15.75" customHeight="1" s="297">
      <c r="A307" s="4" t="n"/>
      <c r="B307" s="125" t="inlineStr">
        <is>
          <t>SEMENTE</t>
        </is>
      </c>
      <c r="C307" s="4" t="inlineStr">
        <is>
          <t>FEIJÃO</t>
        </is>
      </c>
      <c r="D307" s="20" t="n"/>
      <c r="E307" s="9" t="n"/>
      <c r="F307" s="4" t="n"/>
      <c r="G307" s="90">
        <f>HYPERLINK("https://www.google.com/search?q=" &amp; C307 &amp; "+bula+agrofit+pdf", "📄 Ver bula")</f>
        <v/>
      </c>
      <c r="H307" s="9" t="n"/>
      <c r="I307" s="1" t="n"/>
      <c r="J307" s="9">
        <f>IFERROR(SUM(
IF('TL01'!$B$3=J$3,SUMIF('TL01'!$C$10:$C$224,$C307,'TL01'!$J$10:$J$224),0),
IF('TL01'!$B$229=J$3,SUMIF('TL01'!$C$238:$C$451,$C307,'TL01'!$J$238:$J$451),0),
IF('TL02'!$B$3=J$3,SUMIF('TL02'!$C$10:$C$224,$C307,'TL02'!$J$10:$J$224),0),
IF('TL02'!$B$229=J$3,SUMIF('TL02'!$C$238:$C$451,$C307,'TL02'!$J$238:$J$451),0),
IF('TL03'!$B$3=J$3,SUMIF('TL03'!$C$10:$C$224,$C307,'TL03'!$J$10:$J$224),0),
IF('TL03'!$B$229=J$3,SUMIF('TL03'!$C$238:$C$451,$C307,'TL03'!$J$238:$J$451),0),
IF('TL04'!$B$3=J$3,SUMIF('TL04'!$C$10:$C$224,$C307,'TL04'!$J$10:$J$224),0),
IF('TL04'!$B$229=J$3,SUMIF('TL04'!$C$238:$C$451,$C307,'TL04'!$J$238:$J$451),0),
IF('TL05'!$B$3=J$3,SUMIF('TL05'!$C$10:$C$224,$C307,'TL05'!$J$10:$J$224),0),
IF('TL05'!$B$229=J$3,SUMIF('TL05'!$C$238:$C$451,$C307,'TL05'!$J$238:$J$451),0),
IF('TL06'!$B$3=J$3,SUMIF('TL06'!$C$10:$C$224,$C307,'TL06'!$J$10:$J$224),0),
IF('TL06'!$B$229=J$3,SUMIF('TL06'!$C$238:$C$451,$C307,'TL06'!$J$238:$J$451),0),
IF('TL07'!$B$3=J$3,SUMIF('TL07'!$C$10:$C$224,$C307,'TL07'!$J$10:$J$224),0),
IF('TL07'!$B$229=J$3,SUMIF('TL07'!$C$238:$C$451,$C307,'TL07'!$J$238:$J$451),0),
IF('TL08'!$B$3=J$3,SUMIF('TL08'!$C$10:$C$224,$C307,'TL08'!$J$10:$J$224),0),
IF('TL08'!$B$229=J$3,SUMIF('TL08'!$C$238:$C$451,$C307,'TL08'!$J$238:$J$451),0),
IF('TL09'!$B$3=J$3,SUMIF('TL09'!$C$10:$C$224,$C307,'TL09'!$J$10:$J$224),0),
IF('TL09'!$B$229=J$3,SUMIF('TL09'!$C$238:$C$451,$C307,'TL09'!$J$238:$J$451),0),
IF('TL10'!$B$3=J$3,SUMIF('TL10'!$C$10:$C$224,$C307,'TL10'!$J$10:$J$224),0),
IF('TL10'!$B$229=J$3,SUMIF('TL10'!$C$238:$C$451,$C307,'TL10'!$J$238:$J$451),0),
IF('TL11'!$B$3=J$3,SUMIF('TL11'!$C$10:$C$224,$C307,'TL11'!$J$10:$J$224),0),
IF('TL11'!$B$229=J$3,SUMIF('TL11'!$C$238:$C$451,$C307,'TL11'!$J$238:$J$451),0),
IF('TL12'!$B$3=J$3,SUMIF('TL12'!$C$10:$C$224,$C307,'TL12'!$J$10:$J$224),0),
IF('TL12'!$B$229=J$3,SUMIF('TL12'!$C$238:$C$451,$C307,'TL12'!$J$238:$J$451),0),
IF('TL13'!$B$3=J$3,SUMIF('TL13'!$C$10:$C$224,$C307,'TL13'!$J$10:$J$224),0),
IF('TL13'!$B$229=J$3,SUMIF('TL13'!$C$238:$C$451,$C307,'TL13'!$J$238:$J$451),0),
IF('TL14'!$B$3=J$3,SUMIF('TL14'!$C$10:$C$224,$C307,'TL14'!$J$10:$J$224),0),
IF('TL14'!$B$229=J$3,SUMIF('TL14'!$C$238:$C$451,$C307,'TL14'!$J$238:$J$451),0),
IF('TL15'!$B$3=J$3,SUMIF('TL15'!$C$10:$C$224,$C307,'TL15'!$J$10:$J$224),0),
IF('TL15'!$B$229=J$3,SUMIF('TL15'!$C$238:$C$451,$C307,'TL15'!$J$238:$J$451),0),
IF('TL16'!$B$3=J$3,SUMIF('TL16'!$C$10:$C$224,$C307,'TL16'!$J$10:$J$224),0),
IF('TL16'!$B$229=J$3,SUMIF('TL16'!$C$238:$C$451,$C307,'TL16'!$J$238:$J$451),0),
IF('TL17'!$B$3=J$3,SUMIF('TL17'!$C$10:$C$224,$C307,'TL17'!$J$10:$J$224),0),
IF('TL17'!$B$229=J$3,SUMIF('TL17'!$C$238:$C$451,$C307,'TL17'!$J$238:$J$451),0),
IF('TL18'!$B$3=J$3,SUMIF('TL18'!$C$10:$C$224,$C307,'TL18'!$J$10:$J$224),0),
IF('TL18'!$B$229=J$3,SUMIF('TL18'!$C$238:$C$451,$C307,'TL18'!$J$238:$J$451),0),
IF('TL19'!$B$3=J$3,SUMIF('TL19'!$C$10:$C$224,$C307,'TL19'!$J$10:$J$224),0),
IF('TL19'!$B$229=J$3,SUMIF('TL19'!$C$238:$C$451,$C307,'TL19'!$J$238:$J$451),0)
),0)</f>
        <v/>
      </c>
      <c r="K307" s="9">
        <f>IFERROR(SUM(
IF('TL01'!$B$3=K$3,SUMIF('TL01'!$C$10:$C$224,$C307,'TL01'!$J$10:$J$224),0),
IF('TL01'!$B$229=K$3,SUMIF('TL01'!$C$238:$C$451,$C307,'TL01'!$J$238:$J$451),0),
IF('TL02'!$B$3=K$3,SUMIF('TL02'!$C$10:$C$224,$C307,'TL02'!$J$10:$J$224),0),
IF('TL02'!$B$229=K$3,SUMIF('TL02'!$C$238:$C$451,$C307,'TL02'!$J$238:$J$451),0),
IF('TL03'!$B$3=K$3,SUMIF('TL03'!$C$10:$C$224,$C307,'TL03'!$J$10:$J$224),0),
IF('TL03'!$B$229=K$3,SUMIF('TL03'!$C$238:$C$451,$C307,'TL03'!$J$238:$J$451),0),
IF('TL04'!$B$3=K$3,SUMIF('TL04'!$C$10:$C$224,$C307,'TL04'!$J$10:$J$224),0),
IF('TL04'!$B$229=K$3,SUMIF('TL04'!$C$238:$C$451,$C307,'TL04'!$J$238:$J$451),0),
IF('TL05'!$B$3=K$3,SUMIF('TL05'!$C$10:$C$224,$C307,'TL05'!$J$10:$J$224),0),
IF('TL05'!$B$229=K$3,SUMIF('TL05'!$C$238:$C$451,$C307,'TL05'!$J$238:$J$451),0),
IF('TL06'!$B$3=K$3,SUMIF('TL06'!$C$10:$C$224,$C307,'TL06'!$J$10:$J$224),0),
IF('TL06'!$B$229=K$3,SUMIF('TL06'!$C$238:$C$451,$C307,'TL06'!$J$238:$J$451),0),
IF('TL07'!$B$3=K$3,SUMIF('TL07'!$C$10:$C$224,$C307,'TL07'!$J$10:$J$224),0),
IF('TL07'!$B$229=K$3,SUMIF('TL07'!$C$238:$C$451,$C307,'TL07'!$J$238:$J$451),0),
IF('TL08'!$B$3=K$3,SUMIF('TL08'!$C$10:$C$224,$C307,'TL08'!$J$10:$J$224),0),
IF('TL08'!$B$229=K$3,SUMIF('TL08'!$C$238:$C$451,$C307,'TL08'!$J$238:$J$451),0),
IF('TL09'!$B$3=K$3,SUMIF('TL09'!$C$10:$C$224,$C307,'TL09'!$J$10:$J$224),0),
IF('TL09'!$B$229=K$3,SUMIF('TL09'!$C$238:$C$451,$C307,'TL09'!$J$238:$J$451),0),
IF('TL10'!$B$3=K$3,SUMIF('TL10'!$C$10:$C$224,$C307,'TL10'!$J$10:$J$224),0),
IF('TL10'!$B$229=K$3,SUMIF('TL10'!$C$238:$C$451,$C307,'TL10'!$J$238:$J$451),0),
IF('TL11'!$B$3=K$3,SUMIF('TL11'!$C$10:$C$224,$C307,'TL11'!$J$10:$J$224),0),
IF('TL11'!$B$229=K$3,SUMIF('TL11'!$C$238:$C$451,$C307,'TL11'!$J$238:$J$451),0),
IF('TL12'!$B$3=K$3,SUMIF('TL12'!$C$10:$C$224,$C307,'TL12'!$J$10:$J$224),0),
IF('TL12'!$B$229=K$3,SUMIF('TL12'!$C$238:$C$451,$C307,'TL12'!$J$238:$J$451),0),
IF('TL13'!$B$3=K$3,SUMIF('TL13'!$C$10:$C$224,$C307,'TL13'!$J$10:$J$224),0),
IF('TL13'!$B$229=K$3,SUMIF('TL13'!$C$238:$C$451,$C307,'TL13'!$J$238:$J$451),0),
IF('TL14'!$B$3=K$3,SUMIF('TL14'!$C$10:$C$224,$C307,'TL14'!$J$10:$J$224),0),
IF('TL14'!$B$229=K$3,SUMIF('TL14'!$C$238:$C$451,$C307,'TL14'!$J$238:$J$451),0),
IF('TL15'!$B$3=K$3,SUMIF('TL15'!$C$10:$C$224,$C307,'TL15'!$J$10:$J$224),0),
IF('TL15'!$B$229=K$3,SUMIF('TL15'!$C$238:$C$451,$C307,'TL15'!$J$238:$J$451),0),
IF('TL16'!$B$3=K$3,SUMIF('TL16'!$C$10:$C$224,$C307,'TL16'!$J$10:$J$224),0),
IF('TL16'!$B$229=K$3,SUMIF('TL16'!$C$238:$C$451,$C307,'TL16'!$J$238:$J$451),0),
IF('TL17'!$B$3=K$3,SUMIF('TL17'!$C$10:$C$224,$C307,'TL17'!$J$10:$J$224),0),
IF('TL17'!$B$229=K$3,SUMIF('TL17'!$C$238:$C$451,$C307,'TL17'!$J$238:$J$451),0),
IF('TL18'!$B$3=K$3,SUMIF('TL18'!$C$10:$C$224,$C307,'TL18'!$J$10:$J$224),0),
IF('TL18'!$B$229=K$3,SUMIF('TL18'!$C$238:$C$451,$C307,'TL18'!$J$238:$J$451),0),
IF('TL19'!$B$3=K$3,SUMIF('TL19'!$C$10:$C$224,$C307,'TL19'!$J$10:$J$224),0),
IF('TL19'!$B$229=K$3,SUMIF('TL19'!$C$238:$C$451,$C307,'TL19'!$J$238:$J$451),0)
),0)</f>
        <v/>
      </c>
      <c r="L307" s="9">
        <f>IFERROR(SUM(
IF('TL01'!$B$3=L$3,SUMIF('TL01'!$C$10:$C$224,$C307,'TL01'!$J$10:$J$224),0),
IF('TL01'!$B$229=L$3,SUMIF('TL01'!$C$238:$C$451,$C307,'TL01'!$J$238:$J$451),0),
IF('TL02'!$B$3=L$3,SUMIF('TL02'!$C$10:$C$224,$C307,'TL02'!$J$10:$J$224),0),
IF('TL02'!$B$229=L$3,SUMIF('TL02'!$C$238:$C$451,$C307,'TL02'!$J$238:$J$451),0),
IF('TL03'!$B$3=L$3,SUMIF('TL03'!$C$10:$C$224,$C307,'TL03'!$J$10:$J$224),0),
IF('TL03'!$B$229=L$3,SUMIF('TL03'!$C$238:$C$451,$C307,'TL03'!$J$238:$J$451),0),
IF('TL04'!$B$3=L$3,SUMIF('TL04'!$C$10:$C$224,$C307,'TL04'!$J$10:$J$224),0),
IF('TL04'!$B$229=L$3,SUMIF('TL04'!$C$238:$C$451,$C307,'TL04'!$J$238:$J$451),0),
IF('TL05'!$B$3=L$3,SUMIF('TL05'!$C$10:$C$224,$C307,'TL05'!$J$10:$J$224),0),
IF('TL05'!$B$229=L$3,SUMIF('TL05'!$C$238:$C$451,$C307,'TL05'!$J$238:$J$451),0),
IF('TL06'!$B$3=L$3,SUMIF('TL06'!$C$10:$C$224,$C307,'TL06'!$J$10:$J$224),0),
IF('TL06'!$B$229=L$3,SUMIF('TL06'!$C$238:$C$451,$C307,'TL06'!$J$238:$J$451),0),
IF('TL07'!$B$3=L$3,SUMIF('TL07'!$C$10:$C$224,$C307,'TL07'!$J$10:$J$224),0),
IF('TL07'!$B$229=L$3,SUMIF('TL07'!$C$238:$C$451,$C307,'TL07'!$J$238:$J$451),0),
IF('TL08'!$B$3=L$3,SUMIF('TL08'!$C$10:$C$224,$C307,'TL08'!$J$10:$J$224),0),
IF('TL08'!$B$229=L$3,SUMIF('TL08'!$C$238:$C$451,$C307,'TL08'!$J$238:$J$451),0),
IF('TL09'!$B$3=L$3,SUMIF('TL09'!$C$10:$C$224,$C307,'TL09'!$J$10:$J$224),0),
IF('TL09'!$B$229=L$3,SUMIF('TL09'!$C$238:$C$451,$C307,'TL09'!$J$238:$J$451),0),
IF('TL10'!$B$3=L$3,SUMIF('TL10'!$C$10:$C$224,$C307,'TL10'!$J$10:$J$224),0),
IF('TL10'!$B$229=L$3,SUMIF('TL10'!$C$238:$C$451,$C307,'TL10'!$J$238:$J$451),0),
IF('TL11'!$B$3=L$3,SUMIF('TL11'!$C$10:$C$224,$C307,'TL11'!$J$10:$J$224),0),
IF('TL11'!$B$229=L$3,SUMIF('TL11'!$C$238:$C$451,$C307,'TL11'!$J$238:$J$451),0),
IF('TL12'!$B$3=L$3,SUMIF('TL12'!$C$10:$C$224,$C307,'TL12'!$J$10:$J$224),0),
IF('TL12'!$B$229=L$3,SUMIF('TL12'!$C$238:$C$451,$C307,'TL12'!$J$238:$J$451),0),
IF('TL13'!$B$3=L$3,SUMIF('TL13'!$C$10:$C$224,$C307,'TL13'!$J$10:$J$224),0),
IF('TL13'!$B$229=L$3,SUMIF('TL13'!$C$238:$C$451,$C307,'TL13'!$J$238:$J$451),0),
IF('TL14'!$B$3=L$3,SUMIF('TL14'!$C$10:$C$224,$C307,'TL14'!$J$10:$J$224),0),
IF('TL14'!$B$229=L$3,SUMIF('TL14'!$C$238:$C$451,$C307,'TL14'!$J$238:$J$451),0),
IF('TL15'!$B$3=L$3,SUMIF('TL15'!$C$10:$C$224,$C307,'TL15'!$J$10:$J$224),0),
IF('TL15'!$B$229=L$3,SUMIF('TL15'!$C$238:$C$451,$C307,'TL15'!$J$238:$J$451),0),
IF('TL16'!$B$3=L$3,SUMIF('TL16'!$C$10:$C$224,$C307,'TL16'!$J$10:$J$224),0),
IF('TL16'!$B$229=L$3,SUMIF('TL16'!$C$238:$C$451,$C307,'TL16'!$J$238:$J$451),0),
IF('TL17'!$B$3=L$3,SUMIF('TL17'!$C$10:$C$224,$C307,'TL17'!$J$10:$J$224),0),
IF('TL17'!$B$229=L$3,SUMIF('TL17'!$C$238:$C$451,$C307,'TL17'!$J$238:$J$451),0),
IF('TL18'!$B$3=L$3,SUMIF('TL18'!$C$10:$C$224,$C307,'TL18'!$J$10:$J$224),0),
IF('TL18'!$B$229=L$3,SUMIF('TL18'!$C$238:$C$451,$C307,'TL18'!$J$238:$J$451),0),
IF('TL19'!$B$3=L$3,SUMIF('TL19'!$C$10:$C$224,$C307,'TL19'!$J$10:$J$224),0),
IF('TL19'!$B$229=L$3,SUMIF('TL19'!$C$238:$C$451,$C307,'TL19'!$J$238:$J$451),0)
),0)</f>
        <v/>
      </c>
      <c r="M307" s="9">
        <f>IFERROR(SUM(
IF('TL01'!$B$3=M$3,SUMIF('TL01'!$C$10:$C$224,$C307,'TL01'!$J$10:$J$224),0),
IF('TL01'!$B$229=M$3,SUMIF('TL01'!$C$238:$C$451,$C307,'TL01'!$J$238:$J$451),0),
IF('TL02'!$B$3=M$3,SUMIF('TL02'!$C$10:$C$224,$C307,'TL02'!$J$10:$J$224),0),
IF('TL02'!$B$229=M$3,SUMIF('TL02'!$C$238:$C$451,$C307,'TL02'!$J$238:$J$451),0),
IF('TL03'!$B$3=M$3,SUMIF('TL03'!$C$10:$C$224,$C307,'TL03'!$J$10:$J$224),0),
IF('TL03'!$B$229=M$3,SUMIF('TL03'!$C$238:$C$451,$C307,'TL03'!$J$238:$J$451),0),
IF('TL04'!$B$3=M$3,SUMIF('TL04'!$C$10:$C$224,$C307,'TL04'!$J$10:$J$224),0),
IF('TL04'!$B$229=M$3,SUMIF('TL04'!$C$238:$C$451,$C307,'TL04'!$J$238:$J$451),0),
IF('TL05'!$B$3=M$3,SUMIF('TL05'!$C$10:$C$224,$C307,'TL05'!$J$10:$J$224),0),
IF('TL05'!$B$229=M$3,SUMIF('TL05'!$C$238:$C$451,$C307,'TL05'!$J$238:$J$451),0),
IF('TL06'!$B$3=M$3,SUMIF('TL06'!$C$10:$C$224,$C307,'TL06'!$J$10:$J$224),0),
IF('TL06'!$B$229=M$3,SUMIF('TL06'!$C$238:$C$451,$C307,'TL06'!$J$238:$J$451),0),
IF('TL07'!$B$3=M$3,SUMIF('TL07'!$C$10:$C$224,$C307,'TL07'!$J$10:$J$224),0),
IF('TL07'!$B$229=M$3,SUMIF('TL07'!$C$238:$C$451,$C307,'TL07'!$J$238:$J$451),0),
IF('TL08'!$B$3=M$3,SUMIF('TL08'!$C$10:$C$224,$C307,'TL08'!$J$10:$J$224),0),
IF('TL08'!$B$229=M$3,SUMIF('TL08'!$C$238:$C$451,$C307,'TL08'!$J$238:$J$451),0),
IF('TL09'!$B$3=M$3,SUMIF('TL09'!$C$10:$C$224,$C307,'TL09'!$J$10:$J$224),0),
IF('TL09'!$B$229=M$3,SUMIF('TL09'!$C$238:$C$451,$C307,'TL09'!$J$238:$J$451),0),
IF('TL10'!$B$3=M$3,SUMIF('TL10'!$C$10:$C$224,$C307,'TL10'!$J$10:$J$224),0),
IF('TL10'!$B$229=M$3,SUMIF('TL10'!$C$238:$C$451,$C307,'TL10'!$J$238:$J$451),0),
IF('TL11'!$B$3=M$3,SUMIF('TL11'!$C$10:$C$224,$C307,'TL11'!$J$10:$J$224),0),
IF('TL11'!$B$229=M$3,SUMIF('TL11'!$C$238:$C$451,$C307,'TL11'!$J$238:$J$451),0),
IF('TL12'!$B$3=M$3,SUMIF('TL12'!$C$10:$C$224,$C307,'TL12'!$J$10:$J$224),0),
IF('TL12'!$B$229=M$3,SUMIF('TL12'!$C$238:$C$451,$C307,'TL12'!$J$238:$J$451),0),
IF('TL13'!$B$3=M$3,SUMIF('TL13'!$C$10:$C$224,$C307,'TL13'!$J$10:$J$224),0),
IF('TL13'!$B$229=M$3,SUMIF('TL13'!$C$238:$C$451,$C307,'TL13'!$J$238:$J$451),0),
IF('TL14'!$B$3=M$3,SUMIF('TL14'!$C$10:$C$224,$C307,'TL14'!$J$10:$J$224),0),
IF('TL14'!$B$229=M$3,SUMIF('TL14'!$C$238:$C$451,$C307,'TL14'!$J$238:$J$451),0),
IF('TL15'!$B$3=M$3,SUMIF('TL15'!$C$10:$C$224,$C307,'TL15'!$J$10:$J$224),0),
IF('TL15'!$B$229=M$3,SUMIF('TL15'!$C$238:$C$451,$C307,'TL15'!$J$238:$J$451),0),
IF('TL16'!$B$3=M$3,SUMIF('TL16'!$C$10:$C$224,$C307,'TL16'!$J$10:$J$224),0),
IF('TL16'!$B$229=M$3,SUMIF('TL16'!$C$238:$C$451,$C307,'TL16'!$J$238:$J$451),0),
IF('TL17'!$B$3=M$3,SUMIF('TL17'!$C$10:$C$224,$C307,'TL17'!$J$10:$J$224),0),
IF('TL17'!$B$229=M$3,SUMIF('TL17'!$C$238:$C$451,$C307,'TL17'!$J$238:$J$451),0),
IF('TL18'!$B$3=M$3,SUMIF('TL18'!$C$10:$C$224,$C307,'TL18'!$J$10:$J$224),0),
IF('TL18'!$B$229=M$3,SUMIF('TL18'!$C$238:$C$451,$C307,'TL18'!$J$238:$J$451),0),
IF('TL19'!$B$3=M$3,SUMIF('TL19'!$C$10:$C$224,$C307,'TL19'!$J$10:$J$224),0),
IF('TL19'!$B$229=M$3,SUMIF('TL19'!$C$238:$C$451,$C307,'TL19'!$J$238:$J$451),0)
),0)</f>
        <v/>
      </c>
      <c r="N307" s="9">
        <f>IFERROR(SUM(
IF('TL01'!$B$3=N$3,SUMIF('TL01'!$C$10:$C$224,$C307,'TL01'!$J$10:$J$224),0),
IF('TL01'!$B$229=N$3,SUMIF('TL01'!$C$238:$C$451,$C307,'TL01'!$J$238:$J$451),0),
IF('TL02'!$B$3=N$3,SUMIF('TL02'!$C$10:$C$224,$C307,'TL02'!$J$10:$J$224),0),
IF('TL02'!$B$229=N$3,SUMIF('TL02'!$C$238:$C$451,$C307,'TL02'!$J$238:$J$451),0),
IF('TL03'!$B$3=N$3,SUMIF('TL03'!$C$10:$C$224,$C307,'TL03'!$J$10:$J$224),0),
IF('TL03'!$B$229=N$3,SUMIF('TL03'!$C$238:$C$451,$C307,'TL03'!$J$238:$J$451),0),
IF('TL04'!$B$3=N$3,SUMIF('TL04'!$C$10:$C$224,$C307,'TL04'!$J$10:$J$224),0),
IF('TL04'!$B$229=N$3,SUMIF('TL04'!$C$238:$C$451,$C307,'TL04'!$J$238:$J$451),0),
IF('TL05'!$B$3=N$3,SUMIF('TL05'!$C$10:$C$224,$C307,'TL05'!$J$10:$J$224),0),
IF('TL05'!$B$229=N$3,SUMIF('TL05'!$C$238:$C$451,$C307,'TL05'!$J$238:$J$451),0),
IF('TL06'!$B$3=N$3,SUMIF('TL06'!$C$10:$C$224,$C307,'TL06'!$J$10:$J$224),0),
IF('TL06'!$B$229=N$3,SUMIF('TL06'!$C$238:$C$451,$C307,'TL06'!$J$238:$J$451),0),
IF('TL07'!$B$3=N$3,SUMIF('TL07'!$C$10:$C$224,$C307,'TL07'!$J$10:$J$224),0),
IF('TL07'!$B$229=N$3,SUMIF('TL07'!$C$238:$C$451,$C307,'TL07'!$J$238:$J$451),0),
IF('TL08'!$B$3=N$3,SUMIF('TL08'!$C$10:$C$224,$C307,'TL08'!$J$10:$J$224),0),
IF('TL08'!$B$229=N$3,SUMIF('TL08'!$C$238:$C$451,$C307,'TL08'!$J$238:$J$451),0),
IF('TL09'!$B$3=N$3,SUMIF('TL09'!$C$10:$C$224,$C307,'TL09'!$J$10:$J$224),0),
IF('TL09'!$B$229=N$3,SUMIF('TL09'!$C$238:$C$451,$C307,'TL09'!$J$238:$J$451),0),
IF('TL10'!$B$3=N$3,SUMIF('TL10'!$C$10:$C$224,$C307,'TL10'!$J$10:$J$224),0),
IF('TL10'!$B$229=N$3,SUMIF('TL10'!$C$238:$C$451,$C307,'TL10'!$J$238:$J$451),0),
IF('TL11'!$B$3=N$3,SUMIF('TL11'!$C$10:$C$224,$C307,'TL11'!$J$10:$J$224),0),
IF('TL11'!$B$229=N$3,SUMIF('TL11'!$C$238:$C$451,$C307,'TL11'!$J$238:$J$451),0),
IF('TL12'!$B$3=N$3,SUMIF('TL12'!$C$10:$C$224,$C307,'TL12'!$J$10:$J$224),0),
IF('TL12'!$B$229=N$3,SUMIF('TL12'!$C$238:$C$451,$C307,'TL12'!$J$238:$J$451),0),
IF('TL13'!$B$3=N$3,SUMIF('TL13'!$C$10:$C$224,$C307,'TL13'!$J$10:$J$224),0),
IF('TL13'!$B$229=N$3,SUMIF('TL13'!$C$238:$C$451,$C307,'TL13'!$J$238:$J$451),0),
IF('TL14'!$B$3=N$3,SUMIF('TL14'!$C$10:$C$224,$C307,'TL14'!$J$10:$J$224),0),
IF('TL14'!$B$229=N$3,SUMIF('TL14'!$C$238:$C$451,$C307,'TL14'!$J$238:$J$451),0),
IF('TL15'!$B$3=N$3,SUMIF('TL15'!$C$10:$C$224,$C307,'TL15'!$J$10:$J$224),0),
IF('TL15'!$B$229=N$3,SUMIF('TL15'!$C$238:$C$451,$C307,'TL15'!$J$238:$J$451),0),
IF('TL16'!$B$3=N$3,SUMIF('TL16'!$C$10:$C$224,$C307,'TL16'!$J$10:$J$224),0),
IF('TL16'!$B$229=N$3,SUMIF('TL16'!$C$238:$C$451,$C307,'TL16'!$J$238:$J$451),0),
IF('TL17'!$B$3=N$3,SUMIF('TL17'!$C$10:$C$224,$C307,'TL17'!$J$10:$J$224),0),
IF('TL17'!$B$229=N$3,SUMIF('TL17'!$C$238:$C$451,$C307,'TL17'!$J$238:$J$451),0),
IF('TL18'!$B$3=N$3,SUMIF('TL18'!$C$10:$C$224,$C307,'TL18'!$J$10:$J$224),0),
IF('TL18'!$B$229=N$3,SUMIF('TL18'!$C$238:$C$451,$C307,'TL18'!$J$238:$J$451),0),
IF('TL19'!$B$3=N$3,SUMIF('TL19'!$C$10:$C$224,$C307,'TL19'!$J$10:$J$224),0),
IF('TL19'!$B$229=N$3,SUMIF('TL19'!$C$238:$C$451,$C307,'TL19'!$J$238:$J$451),0)
),0)</f>
        <v/>
      </c>
      <c r="O307" s="9">
        <f>IFERROR(SUM(
IF('TL01'!$B$3=O$3,SUMIF('TL01'!$C$10:$C$224,$C307,'TL01'!$J$10:$J$224),0),
IF('TL01'!$B$229=O$3,SUMIF('TL01'!$C$238:$C$451,$C307,'TL01'!$J$238:$J$451),0),
IF('TL02'!$B$3=O$3,SUMIF('TL02'!$C$10:$C$224,$C307,'TL02'!$J$10:$J$224),0),
IF('TL02'!$B$229=O$3,SUMIF('TL02'!$C$238:$C$451,$C307,'TL02'!$J$238:$J$451),0),
IF('TL03'!$B$3=O$3,SUMIF('TL03'!$C$10:$C$224,$C307,'TL03'!$J$10:$J$224),0),
IF('TL03'!$B$229=O$3,SUMIF('TL03'!$C$238:$C$451,$C307,'TL03'!$J$238:$J$451),0),
IF('TL04'!$B$3=O$3,SUMIF('TL04'!$C$10:$C$224,$C307,'TL04'!$J$10:$J$224),0),
IF('TL04'!$B$229=O$3,SUMIF('TL04'!$C$238:$C$451,$C307,'TL04'!$J$238:$J$451),0),
IF('TL05'!$B$3=O$3,SUMIF('TL05'!$C$10:$C$224,$C307,'TL05'!$J$10:$J$224),0),
IF('TL05'!$B$229=O$3,SUMIF('TL05'!$C$238:$C$451,$C307,'TL05'!$J$238:$J$451),0),
IF('TL06'!$B$3=O$3,SUMIF('TL06'!$C$10:$C$224,$C307,'TL06'!$J$10:$J$224),0),
IF('TL06'!$B$229=O$3,SUMIF('TL06'!$C$238:$C$451,$C307,'TL06'!$J$238:$J$451),0),
IF('TL07'!$B$3=O$3,SUMIF('TL07'!$C$10:$C$224,$C307,'TL07'!$J$10:$J$224),0),
IF('TL07'!$B$229=O$3,SUMIF('TL07'!$C$238:$C$451,$C307,'TL07'!$J$238:$J$451),0),
IF('TL08'!$B$3=O$3,SUMIF('TL08'!$C$10:$C$224,$C307,'TL08'!$J$10:$J$224),0),
IF('TL08'!$B$229=O$3,SUMIF('TL08'!$C$238:$C$451,$C307,'TL08'!$J$238:$J$451),0),
IF('TL09'!$B$3=O$3,SUMIF('TL09'!$C$10:$C$224,$C307,'TL09'!$J$10:$J$224),0),
IF('TL09'!$B$229=O$3,SUMIF('TL09'!$C$238:$C$451,$C307,'TL09'!$J$238:$J$451),0),
IF('TL10'!$B$3=O$3,SUMIF('TL10'!$C$10:$C$224,$C307,'TL10'!$J$10:$J$224),0),
IF('TL10'!$B$229=O$3,SUMIF('TL10'!$C$238:$C$451,$C307,'TL10'!$J$238:$J$451),0),
IF('TL11'!$B$3=O$3,SUMIF('TL11'!$C$10:$C$224,$C307,'TL11'!$J$10:$J$224),0),
IF('TL11'!$B$229=O$3,SUMIF('TL11'!$C$238:$C$451,$C307,'TL11'!$J$238:$J$451),0),
IF('TL12'!$B$3=O$3,SUMIF('TL12'!$C$10:$C$224,$C307,'TL12'!$J$10:$J$224),0),
IF('TL12'!$B$229=O$3,SUMIF('TL12'!$C$238:$C$451,$C307,'TL12'!$J$238:$J$451),0),
IF('TL13'!$B$3=O$3,SUMIF('TL13'!$C$10:$C$224,$C307,'TL13'!$J$10:$J$224),0),
IF('TL13'!$B$229=O$3,SUMIF('TL13'!$C$238:$C$451,$C307,'TL13'!$J$238:$J$451),0),
IF('TL14'!$B$3=O$3,SUMIF('TL14'!$C$10:$C$224,$C307,'TL14'!$J$10:$J$224),0),
IF('TL14'!$B$229=O$3,SUMIF('TL14'!$C$238:$C$451,$C307,'TL14'!$J$238:$J$451),0),
IF('TL15'!$B$3=O$3,SUMIF('TL15'!$C$10:$C$224,$C307,'TL15'!$J$10:$J$224),0),
IF('TL15'!$B$229=O$3,SUMIF('TL15'!$C$238:$C$451,$C307,'TL15'!$J$238:$J$451),0),
IF('TL16'!$B$3=O$3,SUMIF('TL16'!$C$10:$C$224,$C307,'TL16'!$J$10:$J$224),0),
IF('TL16'!$B$229=O$3,SUMIF('TL16'!$C$238:$C$451,$C307,'TL16'!$J$238:$J$451),0),
IF('TL17'!$B$3=O$3,SUMIF('TL17'!$C$10:$C$224,$C307,'TL17'!$J$10:$J$224),0),
IF('TL17'!$B$229=O$3,SUMIF('TL17'!$C$238:$C$451,$C307,'TL17'!$J$238:$J$451),0),
IF('TL18'!$B$3=O$3,SUMIF('TL18'!$C$10:$C$224,$C307,'TL18'!$J$10:$J$224),0),
IF('TL18'!$B$229=O$3,SUMIF('TL18'!$C$238:$C$451,$C307,'TL18'!$J$238:$J$451),0),
IF('TL19'!$B$3=O$3,SUMIF('TL19'!$C$10:$C$224,$C307,'TL19'!$J$10:$J$224),0),
IF('TL19'!$B$229=O$3,SUMIF('TL19'!$C$238:$C$451,$C307,'TL19'!$J$238:$J$451),0)
),0)</f>
        <v/>
      </c>
      <c r="P307" s="9">
        <f>IFERROR(SUM(
IF('TL01'!$B$3=P$3,SUMIF('TL01'!$C$10:$C$224,$C307,'TL01'!$J$10:$J$224),0),
IF('TL01'!$B$229=P$3,SUMIF('TL01'!$C$238:$C$451,$C307,'TL01'!$J$238:$J$451),0),
IF('TL02'!$B$3=P$3,SUMIF('TL02'!$C$10:$C$224,$C307,'TL02'!$J$10:$J$224),0),
IF('TL02'!$B$229=P$3,SUMIF('TL02'!$C$238:$C$451,$C307,'TL02'!$J$238:$J$451),0),
IF('TL03'!$B$3=P$3,SUMIF('TL03'!$C$10:$C$224,$C307,'TL03'!$J$10:$J$224),0),
IF('TL03'!$B$229=P$3,SUMIF('TL03'!$C$238:$C$451,$C307,'TL03'!$J$238:$J$451),0),
IF('TL04'!$B$3=P$3,SUMIF('TL04'!$C$10:$C$224,$C307,'TL04'!$J$10:$J$224),0),
IF('TL04'!$B$229=P$3,SUMIF('TL04'!$C$238:$C$451,$C307,'TL04'!$J$238:$J$451),0),
IF('TL05'!$B$3=P$3,SUMIF('TL05'!$C$10:$C$224,$C307,'TL05'!$J$10:$J$224),0),
IF('TL05'!$B$229=P$3,SUMIF('TL05'!$C$238:$C$451,$C307,'TL05'!$J$238:$J$451),0),
IF('TL06'!$B$3=P$3,SUMIF('TL06'!$C$10:$C$224,$C307,'TL06'!$J$10:$J$224),0),
IF('TL06'!$B$229=P$3,SUMIF('TL06'!$C$238:$C$451,$C307,'TL06'!$J$238:$J$451),0),
IF('TL07'!$B$3=P$3,SUMIF('TL07'!$C$10:$C$224,$C307,'TL07'!$J$10:$J$224),0),
IF('TL07'!$B$229=P$3,SUMIF('TL07'!$C$238:$C$451,$C307,'TL07'!$J$238:$J$451),0),
IF('TL08'!$B$3=P$3,SUMIF('TL08'!$C$10:$C$224,$C307,'TL08'!$J$10:$J$224),0),
IF('TL08'!$B$229=P$3,SUMIF('TL08'!$C$238:$C$451,$C307,'TL08'!$J$238:$J$451),0),
IF('TL09'!$B$3=P$3,SUMIF('TL09'!$C$10:$C$224,$C307,'TL09'!$J$10:$J$224),0),
IF('TL09'!$B$229=P$3,SUMIF('TL09'!$C$238:$C$451,$C307,'TL09'!$J$238:$J$451),0),
IF('TL10'!$B$3=P$3,SUMIF('TL10'!$C$10:$C$224,$C307,'TL10'!$J$10:$J$224),0),
IF('TL10'!$B$229=P$3,SUMIF('TL10'!$C$238:$C$451,$C307,'TL10'!$J$238:$J$451),0),
IF('TL11'!$B$3=P$3,SUMIF('TL11'!$C$10:$C$224,$C307,'TL11'!$J$10:$J$224),0),
IF('TL11'!$B$229=P$3,SUMIF('TL11'!$C$238:$C$451,$C307,'TL11'!$J$238:$J$451),0),
IF('TL12'!$B$3=P$3,SUMIF('TL12'!$C$10:$C$224,$C307,'TL12'!$J$10:$J$224),0),
IF('TL12'!$B$229=P$3,SUMIF('TL12'!$C$238:$C$451,$C307,'TL12'!$J$238:$J$451),0),
IF('TL13'!$B$3=P$3,SUMIF('TL13'!$C$10:$C$224,$C307,'TL13'!$J$10:$J$224),0),
IF('TL13'!$B$229=P$3,SUMIF('TL13'!$C$238:$C$451,$C307,'TL13'!$J$238:$J$451),0),
IF('TL14'!$B$3=P$3,SUMIF('TL14'!$C$10:$C$224,$C307,'TL14'!$J$10:$J$224),0),
IF('TL14'!$B$229=P$3,SUMIF('TL14'!$C$238:$C$451,$C307,'TL14'!$J$238:$J$451),0),
IF('TL15'!$B$3=P$3,SUMIF('TL15'!$C$10:$C$224,$C307,'TL15'!$J$10:$J$224),0),
IF('TL15'!$B$229=P$3,SUMIF('TL15'!$C$238:$C$451,$C307,'TL15'!$J$238:$J$451),0),
IF('TL16'!$B$3=P$3,SUMIF('TL16'!$C$10:$C$224,$C307,'TL16'!$J$10:$J$224),0),
IF('TL16'!$B$229=P$3,SUMIF('TL16'!$C$238:$C$451,$C307,'TL16'!$J$238:$J$451),0),
IF('TL17'!$B$3=P$3,SUMIF('TL17'!$C$10:$C$224,$C307,'TL17'!$J$10:$J$224),0),
IF('TL17'!$B$229=P$3,SUMIF('TL17'!$C$238:$C$451,$C307,'TL17'!$J$238:$J$451),0),
IF('TL18'!$B$3=P$3,SUMIF('TL18'!$C$10:$C$224,$C307,'TL18'!$J$10:$J$224),0),
IF('TL18'!$B$229=P$3,SUMIF('TL18'!$C$238:$C$451,$C307,'TL18'!$J$238:$J$451),0),
IF('TL19'!$B$3=P$3,SUMIF('TL19'!$C$10:$C$224,$C307,'TL19'!$J$10:$J$224),0),
IF('TL19'!$B$229=P$3,SUMIF('TL19'!$C$238:$C$451,$C307,'TL19'!$J$238:$J$451),0)
),0)</f>
        <v/>
      </c>
      <c r="Q307" s="9">
        <f>IFERROR(SUM(
IF('TL01'!$B$3=Q$3,SUMIF('TL01'!$C$10:$C$224,$C307,'TL01'!$J$10:$J$224),0),
IF('TL01'!$B$229=Q$3,SUMIF('TL01'!$C$238:$C$451,$C307,'TL01'!$J$238:$J$451),0),
IF('TL02'!$B$3=Q$3,SUMIF('TL02'!$C$10:$C$224,$C307,'TL02'!$J$10:$J$224),0),
IF('TL02'!$B$229=Q$3,SUMIF('TL02'!$C$238:$C$451,$C307,'TL02'!$J$238:$J$451),0),
IF('TL03'!$B$3=Q$3,SUMIF('TL03'!$C$10:$C$224,$C307,'TL03'!$J$10:$J$224),0),
IF('TL03'!$B$229=Q$3,SUMIF('TL03'!$C$238:$C$451,$C307,'TL03'!$J$238:$J$451),0),
IF('TL04'!$B$3=Q$3,SUMIF('TL04'!$C$10:$C$224,$C307,'TL04'!$J$10:$J$224),0),
IF('TL04'!$B$229=Q$3,SUMIF('TL04'!$C$238:$C$451,$C307,'TL04'!$J$238:$J$451),0),
IF('TL05'!$B$3=Q$3,SUMIF('TL05'!$C$10:$C$224,$C307,'TL05'!$J$10:$J$224),0),
IF('TL05'!$B$229=Q$3,SUMIF('TL05'!$C$238:$C$451,$C307,'TL05'!$J$238:$J$451),0),
IF('TL06'!$B$3=Q$3,SUMIF('TL06'!$C$10:$C$224,$C307,'TL06'!$J$10:$J$224),0),
IF('TL06'!$B$229=Q$3,SUMIF('TL06'!$C$238:$C$451,$C307,'TL06'!$J$238:$J$451),0),
IF('TL07'!$B$3=Q$3,SUMIF('TL07'!$C$10:$C$224,$C307,'TL07'!$J$10:$J$224),0),
IF('TL07'!$B$229=Q$3,SUMIF('TL07'!$C$238:$C$451,$C307,'TL07'!$J$238:$J$451),0),
IF('TL08'!$B$3=Q$3,SUMIF('TL08'!$C$10:$C$224,$C307,'TL08'!$J$10:$J$224),0),
IF('TL08'!$B$229=Q$3,SUMIF('TL08'!$C$238:$C$451,$C307,'TL08'!$J$238:$J$451),0),
IF('TL09'!$B$3=Q$3,SUMIF('TL09'!$C$10:$C$224,$C307,'TL09'!$J$10:$J$224),0),
IF('TL09'!$B$229=Q$3,SUMIF('TL09'!$C$238:$C$451,$C307,'TL09'!$J$238:$J$451),0),
IF('TL10'!$B$3=Q$3,SUMIF('TL10'!$C$10:$C$224,$C307,'TL10'!$J$10:$J$224),0),
IF('TL10'!$B$229=Q$3,SUMIF('TL10'!$C$238:$C$451,$C307,'TL10'!$J$238:$J$451),0),
IF('TL11'!$B$3=Q$3,SUMIF('TL11'!$C$10:$C$224,$C307,'TL11'!$J$10:$J$224),0),
IF('TL11'!$B$229=Q$3,SUMIF('TL11'!$C$238:$C$451,$C307,'TL11'!$J$238:$J$451),0),
IF('TL12'!$B$3=Q$3,SUMIF('TL12'!$C$10:$C$224,$C307,'TL12'!$J$10:$J$224),0),
IF('TL12'!$B$229=Q$3,SUMIF('TL12'!$C$238:$C$451,$C307,'TL12'!$J$238:$J$451),0),
IF('TL13'!$B$3=Q$3,SUMIF('TL13'!$C$10:$C$224,$C307,'TL13'!$J$10:$J$224),0),
IF('TL13'!$B$229=Q$3,SUMIF('TL13'!$C$238:$C$451,$C307,'TL13'!$J$238:$J$451),0),
IF('TL14'!$B$3=Q$3,SUMIF('TL14'!$C$10:$C$224,$C307,'TL14'!$J$10:$J$224),0),
IF('TL14'!$B$229=Q$3,SUMIF('TL14'!$C$238:$C$451,$C307,'TL14'!$J$238:$J$451),0),
IF('TL15'!$B$3=Q$3,SUMIF('TL15'!$C$10:$C$224,$C307,'TL15'!$J$10:$J$224),0),
IF('TL15'!$B$229=Q$3,SUMIF('TL15'!$C$238:$C$451,$C307,'TL15'!$J$238:$J$451),0),
IF('TL16'!$B$3=Q$3,SUMIF('TL16'!$C$10:$C$224,$C307,'TL16'!$J$10:$J$224),0),
IF('TL16'!$B$229=Q$3,SUMIF('TL16'!$C$238:$C$451,$C307,'TL16'!$J$238:$J$451),0),
IF('TL17'!$B$3=Q$3,SUMIF('TL17'!$C$10:$C$224,$C307,'TL17'!$J$10:$J$224),0),
IF('TL17'!$B$229=Q$3,SUMIF('TL17'!$C$238:$C$451,$C307,'TL17'!$J$238:$J$451),0),
IF('TL18'!$B$3=Q$3,SUMIF('TL18'!$C$10:$C$224,$C307,'TL18'!$J$10:$J$224),0),
IF('TL18'!$B$229=Q$3,SUMIF('TL18'!$C$238:$C$451,$C307,'TL18'!$J$238:$J$451),0),
IF('TL19'!$B$3=Q$3,SUMIF('TL19'!$C$10:$C$224,$C307,'TL19'!$J$10:$J$224),0),
IF('TL19'!$B$229=Q$3,SUMIF('TL19'!$C$238:$C$451,$C307,'TL19'!$J$238:$J$451),0)
),0)</f>
        <v/>
      </c>
      <c r="R307" s="9">
        <f>IFERROR(
SUM(
SUMIF('TL01'!C:C,C307,'TL01'!J:J),
SUMIF('TL02'!C:C,C307,'TL02'!J:J),
SUMIF('TL03'!C:C,C307,'TL03'!J:J),
SUMIF('TL04'!C:C,C307,'TL04'!J:J),
SUMIF('TL05'!C:C,C307,'TL05'!J:J),
SUMIF('TL06'!C:C,C307,'TL06'!J:J),
SUMIF('TL07'!C:C,C307,'TL07'!J:J),
SUMIF('TL08'!C:C,C307,'TL08'!J:J),
SUMIF('TL09'!C:C,C307,'TL09'!J:J),
SUMIF('TL10'!C:C,C307,'TL10'!J:J),
SUMIF('TL11'!C:C,C307,'TL11'!J:J),
SUMIF('TL12'!C:C,C307,'TL12'!J:J),
SUMIF('TL13'!C:C,C307,'TL13'!J:J),
SUMIF('TL14'!C:C,C307,'TL14'!J:J),
SUMIF('TL15'!C:C,C307,'TL15'!J:J),
SUMIF('TL16'!C:C,C307,'TL16'!J:J),
SUMIF('TL17'!C:C,C307,'TL17'!J:J),
SUMIF('TL18'!C:C,C307,'TL18'!J:J),SUMIF('TL19'!C:C,C307,'TL19'!J:J))
,0)</f>
        <v/>
      </c>
      <c r="S307" s="17">
        <f>IFERROR(__xludf.DUMMYFUNCTION("IFERROR(VLOOKUP(C307,
IMPORTRANGE(""1wULbzX32WdYsx-lj2U3uUNBBe2INVIRDtcK0d-Dvl90"",
""26-27!C:G""),
5,
FALSE),
"""")"),"")</f>
        <v/>
      </c>
      <c r="T307" s="9" t="n"/>
      <c r="U307" s="92">
        <f>MAX(0,R307-T307)</f>
        <v/>
      </c>
      <c r="V307" s="93">
        <f>U307*S307</f>
        <v/>
      </c>
    </row>
    <row r="308" hidden="1" ht="15.75" customHeight="1" s="297">
      <c r="A308" s="4" t="n"/>
      <c r="B308" s="125" t="inlineStr">
        <is>
          <t>SEMENTE</t>
        </is>
      </c>
      <c r="C308" s="4" t="inlineStr">
        <is>
          <t>SEMENTE TRIGO</t>
        </is>
      </c>
      <c r="D308" s="20" t="n"/>
      <c r="E308" s="9" t="n"/>
      <c r="F308" s="4" t="n"/>
      <c r="G308" s="90">
        <f>HYPERLINK("https://www.google.com/search?q=" &amp; C308 &amp; "+bula+agrofit+pdf", "📄 Ver bula")</f>
        <v/>
      </c>
      <c r="H308" s="9" t="n"/>
      <c r="I308" s="1" t="n"/>
      <c r="J308" s="9">
        <f>IFERROR(SUM(
IF('TL01'!$B$3=J$3,SUMIF('TL01'!$C$10:$C$224,$C308,'TL01'!$J$10:$J$224),0),
IF('TL01'!$B$229=J$3,SUMIF('TL01'!$C$238:$C$451,$C308,'TL01'!$J$238:$J$451),0),
IF('TL02'!$B$3=J$3,SUMIF('TL02'!$C$10:$C$224,$C308,'TL02'!$J$10:$J$224),0),
IF('TL02'!$B$229=J$3,SUMIF('TL02'!$C$238:$C$451,$C308,'TL02'!$J$238:$J$451),0),
IF('TL03'!$B$3=J$3,SUMIF('TL03'!$C$10:$C$224,$C308,'TL03'!$J$10:$J$224),0),
IF('TL03'!$B$229=J$3,SUMIF('TL03'!$C$238:$C$451,$C308,'TL03'!$J$238:$J$451),0),
IF('TL04'!$B$3=J$3,SUMIF('TL04'!$C$10:$C$224,$C308,'TL04'!$J$10:$J$224),0),
IF('TL04'!$B$229=J$3,SUMIF('TL04'!$C$238:$C$451,$C308,'TL04'!$J$238:$J$451),0),
IF('TL05'!$B$3=J$3,SUMIF('TL05'!$C$10:$C$224,$C308,'TL05'!$J$10:$J$224),0),
IF('TL05'!$B$229=J$3,SUMIF('TL05'!$C$238:$C$451,$C308,'TL05'!$J$238:$J$451),0),
IF('TL06'!$B$3=J$3,SUMIF('TL06'!$C$10:$C$224,$C308,'TL06'!$J$10:$J$224),0),
IF('TL06'!$B$229=J$3,SUMIF('TL06'!$C$238:$C$451,$C308,'TL06'!$J$238:$J$451),0),
IF('TL07'!$B$3=J$3,SUMIF('TL07'!$C$10:$C$224,$C308,'TL07'!$J$10:$J$224),0),
IF('TL07'!$B$229=J$3,SUMIF('TL07'!$C$238:$C$451,$C308,'TL07'!$J$238:$J$451),0),
IF('TL08'!$B$3=J$3,SUMIF('TL08'!$C$10:$C$224,$C308,'TL08'!$J$10:$J$224),0),
IF('TL08'!$B$229=J$3,SUMIF('TL08'!$C$238:$C$451,$C308,'TL08'!$J$238:$J$451),0),
IF('TL09'!$B$3=J$3,SUMIF('TL09'!$C$10:$C$224,$C308,'TL09'!$J$10:$J$224),0),
IF('TL09'!$B$229=J$3,SUMIF('TL09'!$C$238:$C$451,$C308,'TL09'!$J$238:$J$451),0),
IF('TL10'!$B$3=J$3,SUMIF('TL10'!$C$10:$C$224,$C308,'TL10'!$J$10:$J$224),0),
IF('TL10'!$B$229=J$3,SUMIF('TL10'!$C$238:$C$451,$C308,'TL10'!$J$238:$J$451),0),
IF('TL11'!$B$3=J$3,SUMIF('TL11'!$C$10:$C$224,$C308,'TL11'!$J$10:$J$224),0),
IF('TL11'!$B$229=J$3,SUMIF('TL11'!$C$238:$C$451,$C308,'TL11'!$J$238:$J$451),0),
IF('TL12'!$B$3=J$3,SUMIF('TL12'!$C$10:$C$224,$C308,'TL12'!$J$10:$J$224),0),
IF('TL12'!$B$229=J$3,SUMIF('TL12'!$C$238:$C$451,$C308,'TL12'!$J$238:$J$451),0),
IF('TL13'!$B$3=J$3,SUMIF('TL13'!$C$10:$C$224,$C308,'TL13'!$J$10:$J$224),0),
IF('TL13'!$B$229=J$3,SUMIF('TL13'!$C$238:$C$451,$C308,'TL13'!$J$238:$J$451),0),
IF('TL14'!$B$3=J$3,SUMIF('TL14'!$C$10:$C$224,$C308,'TL14'!$J$10:$J$224),0),
IF('TL14'!$B$229=J$3,SUMIF('TL14'!$C$238:$C$451,$C308,'TL14'!$J$238:$J$451),0),
IF('TL15'!$B$3=J$3,SUMIF('TL15'!$C$10:$C$224,$C308,'TL15'!$J$10:$J$224),0),
IF('TL15'!$B$229=J$3,SUMIF('TL15'!$C$238:$C$451,$C308,'TL15'!$J$238:$J$451),0),
IF('TL16'!$B$3=J$3,SUMIF('TL16'!$C$10:$C$224,$C308,'TL16'!$J$10:$J$224),0),
IF('TL16'!$B$229=J$3,SUMIF('TL16'!$C$238:$C$451,$C308,'TL16'!$J$238:$J$451),0),
IF('TL17'!$B$3=J$3,SUMIF('TL17'!$C$10:$C$224,$C308,'TL17'!$J$10:$J$224),0),
IF('TL17'!$B$229=J$3,SUMIF('TL17'!$C$238:$C$451,$C308,'TL17'!$J$238:$J$451),0),
IF('TL18'!$B$3=J$3,SUMIF('TL18'!$C$10:$C$224,$C308,'TL18'!$J$10:$J$224),0),
IF('TL18'!$B$229=J$3,SUMIF('TL18'!$C$238:$C$451,$C308,'TL18'!$J$238:$J$451),0),
IF('TL19'!$B$3=J$3,SUMIF('TL19'!$C$10:$C$224,$C308,'TL19'!$J$10:$J$224),0),
IF('TL19'!$B$229=J$3,SUMIF('TL19'!$C$238:$C$451,$C308,'TL19'!$J$238:$J$451),0)
),0)</f>
        <v/>
      </c>
      <c r="K308" s="9">
        <f>IFERROR(SUM(
IF('TL01'!$B$3=K$3,SUMIF('TL01'!$C$10:$C$224,$C308,'TL01'!$J$10:$J$224),0),
IF('TL01'!$B$229=K$3,SUMIF('TL01'!$C$238:$C$451,$C308,'TL01'!$J$238:$J$451),0),
IF('TL02'!$B$3=K$3,SUMIF('TL02'!$C$10:$C$224,$C308,'TL02'!$J$10:$J$224),0),
IF('TL02'!$B$229=K$3,SUMIF('TL02'!$C$238:$C$451,$C308,'TL02'!$J$238:$J$451),0),
IF('TL03'!$B$3=K$3,SUMIF('TL03'!$C$10:$C$224,$C308,'TL03'!$J$10:$J$224),0),
IF('TL03'!$B$229=K$3,SUMIF('TL03'!$C$238:$C$451,$C308,'TL03'!$J$238:$J$451),0),
IF('TL04'!$B$3=K$3,SUMIF('TL04'!$C$10:$C$224,$C308,'TL04'!$J$10:$J$224),0),
IF('TL04'!$B$229=K$3,SUMIF('TL04'!$C$238:$C$451,$C308,'TL04'!$J$238:$J$451),0),
IF('TL05'!$B$3=K$3,SUMIF('TL05'!$C$10:$C$224,$C308,'TL05'!$J$10:$J$224),0),
IF('TL05'!$B$229=K$3,SUMIF('TL05'!$C$238:$C$451,$C308,'TL05'!$J$238:$J$451),0),
IF('TL06'!$B$3=K$3,SUMIF('TL06'!$C$10:$C$224,$C308,'TL06'!$J$10:$J$224),0),
IF('TL06'!$B$229=K$3,SUMIF('TL06'!$C$238:$C$451,$C308,'TL06'!$J$238:$J$451),0),
IF('TL07'!$B$3=K$3,SUMIF('TL07'!$C$10:$C$224,$C308,'TL07'!$J$10:$J$224),0),
IF('TL07'!$B$229=K$3,SUMIF('TL07'!$C$238:$C$451,$C308,'TL07'!$J$238:$J$451),0),
IF('TL08'!$B$3=K$3,SUMIF('TL08'!$C$10:$C$224,$C308,'TL08'!$J$10:$J$224),0),
IF('TL08'!$B$229=K$3,SUMIF('TL08'!$C$238:$C$451,$C308,'TL08'!$J$238:$J$451),0),
IF('TL09'!$B$3=K$3,SUMIF('TL09'!$C$10:$C$224,$C308,'TL09'!$J$10:$J$224),0),
IF('TL09'!$B$229=K$3,SUMIF('TL09'!$C$238:$C$451,$C308,'TL09'!$J$238:$J$451),0),
IF('TL10'!$B$3=K$3,SUMIF('TL10'!$C$10:$C$224,$C308,'TL10'!$J$10:$J$224),0),
IF('TL10'!$B$229=K$3,SUMIF('TL10'!$C$238:$C$451,$C308,'TL10'!$J$238:$J$451),0),
IF('TL11'!$B$3=K$3,SUMIF('TL11'!$C$10:$C$224,$C308,'TL11'!$J$10:$J$224),0),
IF('TL11'!$B$229=K$3,SUMIF('TL11'!$C$238:$C$451,$C308,'TL11'!$J$238:$J$451),0),
IF('TL12'!$B$3=K$3,SUMIF('TL12'!$C$10:$C$224,$C308,'TL12'!$J$10:$J$224),0),
IF('TL12'!$B$229=K$3,SUMIF('TL12'!$C$238:$C$451,$C308,'TL12'!$J$238:$J$451),0),
IF('TL13'!$B$3=K$3,SUMIF('TL13'!$C$10:$C$224,$C308,'TL13'!$J$10:$J$224),0),
IF('TL13'!$B$229=K$3,SUMIF('TL13'!$C$238:$C$451,$C308,'TL13'!$J$238:$J$451),0),
IF('TL14'!$B$3=K$3,SUMIF('TL14'!$C$10:$C$224,$C308,'TL14'!$J$10:$J$224),0),
IF('TL14'!$B$229=K$3,SUMIF('TL14'!$C$238:$C$451,$C308,'TL14'!$J$238:$J$451),0),
IF('TL15'!$B$3=K$3,SUMIF('TL15'!$C$10:$C$224,$C308,'TL15'!$J$10:$J$224),0),
IF('TL15'!$B$229=K$3,SUMIF('TL15'!$C$238:$C$451,$C308,'TL15'!$J$238:$J$451),0),
IF('TL16'!$B$3=K$3,SUMIF('TL16'!$C$10:$C$224,$C308,'TL16'!$J$10:$J$224),0),
IF('TL16'!$B$229=K$3,SUMIF('TL16'!$C$238:$C$451,$C308,'TL16'!$J$238:$J$451),0),
IF('TL17'!$B$3=K$3,SUMIF('TL17'!$C$10:$C$224,$C308,'TL17'!$J$10:$J$224),0),
IF('TL17'!$B$229=K$3,SUMIF('TL17'!$C$238:$C$451,$C308,'TL17'!$J$238:$J$451),0),
IF('TL18'!$B$3=K$3,SUMIF('TL18'!$C$10:$C$224,$C308,'TL18'!$J$10:$J$224),0),
IF('TL18'!$B$229=K$3,SUMIF('TL18'!$C$238:$C$451,$C308,'TL18'!$J$238:$J$451),0),
IF('TL19'!$B$3=K$3,SUMIF('TL19'!$C$10:$C$224,$C308,'TL19'!$J$10:$J$224),0),
IF('TL19'!$B$229=K$3,SUMIF('TL19'!$C$238:$C$451,$C308,'TL19'!$J$238:$J$451),0)
),0)</f>
        <v/>
      </c>
      <c r="L308" s="9">
        <f>IFERROR(SUM(
IF('TL01'!$B$3=L$3,SUMIF('TL01'!$C$10:$C$224,$C308,'TL01'!$J$10:$J$224),0),
IF('TL01'!$B$229=L$3,SUMIF('TL01'!$C$238:$C$451,$C308,'TL01'!$J$238:$J$451),0),
IF('TL02'!$B$3=L$3,SUMIF('TL02'!$C$10:$C$224,$C308,'TL02'!$J$10:$J$224),0),
IF('TL02'!$B$229=L$3,SUMIF('TL02'!$C$238:$C$451,$C308,'TL02'!$J$238:$J$451),0),
IF('TL03'!$B$3=L$3,SUMIF('TL03'!$C$10:$C$224,$C308,'TL03'!$J$10:$J$224),0),
IF('TL03'!$B$229=L$3,SUMIF('TL03'!$C$238:$C$451,$C308,'TL03'!$J$238:$J$451),0),
IF('TL04'!$B$3=L$3,SUMIF('TL04'!$C$10:$C$224,$C308,'TL04'!$J$10:$J$224),0),
IF('TL04'!$B$229=L$3,SUMIF('TL04'!$C$238:$C$451,$C308,'TL04'!$J$238:$J$451),0),
IF('TL05'!$B$3=L$3,SUMIF('TL05'!$C$10:$C$224,$C308,'TL05'!$J$10:$J$224),0),
IF('TL05'!$B$229=L$3,SUMIF('TL05'!$C$238:$C$451,$C308,'TL05'!$J$238:$J$451),0),
IF('TL06'!$B$3=L$3,SUMIF('TL06'!$C$10:$C$224,$C308,'TL06'!$J$10:$J$224),0),
IF('TL06'!$B$229=L$3,SUMIF('TL06'!$C$238:$C$451,$C308,'TL06'!$J$238:$J$451),0),
IF('TL07'!$B$3=L$3,SUMIF('TL07'!$C$10:$C$224,$C308,'TL07'!$J$10:$J$224),0),
IF('TL07'!$B$229=L$3,SUMIF('TL07'!$C$238:$C$451,$C308,'TL07'!$J$238:$J$451),0),
IF('TL08'!$B$3=L$3,SUMIF('TL08'!$C$10:$C$224,$C308,'TL08'!$J$10:$J$224),0),
IF('TL08'!$B$229=L$3,SUMIF('TL08'!$C$238:$C$451,$C308,'TL08'!$J$238:$J$451),0),
IF('TL09'!$B$3=L$3,SUMIF('TL09'!$C$10:$C$224,$C308,'TL09'!$J$10:$J$224),0),
IF('TL09'!$B$229=L$3,SUMIF('TL09'!$C$238:$C$451,$C308,'TL09'!$J$238:$J$451),0),
IF('TL10'!$B$3=L$3,SUMIF('TL10'!$C$10:$C$224,$C308,'TL10'!$J$10:$J$224),0),
IF('TL10'!$B$229=L$3,SUMIF('TL10'!$C$238:$C$451,$C308,'TL10'!$J$238:$J$451),0),
IF('TL11'!$B$3=L$3,SUMIF('TL11'!$C$10:$C$224,$C308,'TL11'!$J$10:$J$224),0),
IF('TL11'!$B$229=L$3,SUMIF('TL11'!$C$238:$C$451,$C308,'TL11'!$J$238:$J$451),0),
IF('TL12'!$B$3=L$3,SUMIF('TL12'!$C$10:$C$224,$C308,'TL12'!$J$10:$J$224),0),
IF('TL12'!$B$229=L$3,SUMIF('TL12'!$C$238:$C$451,$C308,'TL12'!$J$238:$J$451),0),
IF('TL13'!$B$3=L$3,SUMIF('TL13'!$C$10:$C$224,$C308,'TL13'!$J$10:$J$224),0),
IF('TL13'!$B$229=L$3,SUMIF('TL13'!$C$238:$C$451,$C308,'TL13'!$J$238:$J$451),0),
IF('TL14'!$B$3=L$3,SUMIF('TL14'!$C$10:$C$224,$C308,'TL14'!$J$10:$J$224),0),
IF('TL14'!$B$229=L$3,SUMIF('TL14'!$C$238:$C$451,$C308,'TL14'!$J$238:$J$451),0),
IF('TL15'!$B$3=L$3,SUMIF('TL15'!$C$10:$C$224,$C308,'TL15'!$J$10:$J$224),0),
IF('TL15'!$B$229=L$3,SUMIF('TL15'!$C$238:$C$451,$C308,'TL15'!$J$238:$J$451),0),
IF('TL16'!$B$3=L$3,SUMIF('TL16'!$C$10:$C$224,$C308,'TL16'!$J$10:$J$224),0),
IF('TL16'!$B$229=L$3,SUMIF('TL16'!$C$238:$C$451,$C308,'TL16'!$J$238:$J$451),0),
IF('TL17'!$B$3=L$3,SUMIF('TL17'!$C$10:$C$224,$C308,'TL17'!$J$10:$J$224),0),
IF('TL17'!$B$229=L$3,SUMIF('TL17'!$C$238:$C$451,$C308,'TL17'!$J$238:$J$451),0),
IF('TL18'!$B$3=L$3,SUMIF('TL18'!$C$10:$C$224,$C308,'TL18'!$J$10:$J$224),0),
IF('TL18'!$B$229=L$3,SUMIF('TL18'!$C$238:$C$451,$C308,'TL18'!$J$238:$J$451),0),
IF('TL19'!$B$3=L$3,SUMIF('TL19'!$C$10:$C$224,$C308,'TL19'!$J$10:$J$224),0),
IF('TL19'!$B$229=L$3,SUMIF('TL19'!$C$238:$C$451,$C308,'TL19'!$J$238:$J$451),0)
),0)</f>
        <v/>
      </c>
      <c r="M308" s="9">
        <f>IFERROR(SUM(
IF('TL01'!$B$3=M$3,SUMIF('TL01'!$C$10:$C$224,$C308,'TL01'!$J$10:$J$224),0),
IF('TL01'!$B$229=M$3,SUMIF('TL01'!$C$238:$C$451,$C308,'TL01'!$J$238:$J$451),0),
IF('TL02'!$B$3=M$3,SUMIF('TL02'!$C$10:$C$224,$C308,'TL02'!$J$10:$J$224),0),
IF('TL02'!$B$229=M$3,SUMIF('TL02'!$C$238:$C$451,$C308,'TL02'!$J$238:$J$451),0),
IF('TL03'!$B$3=M$3,SUMIF('TL03'!$C$10:$C$224,$C308,'TL03'!$J$10:$J$224),0),
IF('TL03'!$B$229=M$3,SUMIF('TL03'!$C$238:$C$451,$C308,'TL03'!$J$238:$J$451),0),
IF('TL04'!$B$3=M$3,SUMIF('TL04'!$C$10:$C$224,$C308,'TL04'!$J$10:$J$224),0),
IF('TL04'!$B$229=M$3,SUMIF('TL04'!$C$238:$C$451,$C308,'TL04'!$J$238:$J$451),0),
IF('TL05'!$B$3=M$3,SUMIF('TL05'!$C$10:$C$224,$C308,'TL05'!$J$10:$J$224),0),
IF('TL05'!$B$229=M$3,SUMIF('TL05'!$C$238:$C$451,$C308,'TL05'!$J$238:$J$451),0),
IF('TL06'!$B$3=M$3,SUMIF('TL06'!$C$10:$C$224,$C308,'TL06'!$J$10:$J$224),0),
IF('TL06'!$B$229=M$3,SUMIF('TL06'!$C$238:$C$451,$C308,'TL06'!$J$238:$J$451),0),
IF('TL07'!$B$3=M$3,SUMIF('TL07'!$C$10:$C$224,$C308,'TL07'!$J$10:$J$224),0),
IF('TL07'!$B$229=M$3,SUMIF('TL07'!$C$238:$C$451,$C308,'TL07'!$J$238:$J$451),0),
IF('TL08'!$B$3=M$3,SUMIF('TL08'!$C$10:$C$224,$C308,'TL08'!$J$10:$J$224),0),
IF('TL08'!$B$229=M$3,SUMIF('TL08'!$C$238:$C$451,$C308,'TL08'!$J$238:$J$451),0),
IF('TL09'!$B$3=M$3,SUMIF('TL09'!$C$10:$C$224,$C308,'TL09'!$J$10:$J$224),0),
IF('TL09'!$B$229=M$3,SUMIF('TL09'!$C$238:$C$451,$C308,'TL09'!$J$238:$J$451),0),
IF('TL10'!$B$3=M$3,SUMIF('TL10'!$C$10:$C$224,$C308,'TL10'!$J$10:$J$224),0),
IF('TL10'!$B$229=M$3,SUMIF('TL10'!$C$238:$C$451,$C308,'TL10'!$J$238:$J$451),0),
IF('TL11'!$B$3=M$3,SUMIF('TL11'!$C$10:$C$224,$C308,'TL11'!$J$10:$J$224),0),
IF('TL11'!$B$229=M$3,SUMIF('TL11'!$C$238:$C$451,$C308,'TL11'!$J$238:$J$451),0),
IF('TL12'!$B$3=M$3,SUMIF('TL12'!$C$10:$C$224,$C308,'TL12'!$J$10:$J$224),0),
IF('TL12'!$B$229=M$3,SUMIF('TL12'!$C$238:$C$451,$C308,'TL12'!$J$238:$J$451),0),
IF('TL13'!$B$3=M$3,SUMIF('TL13'!$C$10:$C$224,$C308,'TL13'!$J$10:$J$224),0),
IF('TL13'!$B$229=M$3,SUMIF('TL13'!$C$238:$C$451,$C308,'TL13'!$J$238:$J$451),0),
IF('TL14'!$B$3=M$3,SUMIF('TL14'!$C$10:$C$224,$C308,'TL14'!$J$10:$J$224),0),
IF('TL14'!$B$229=M$3,SUMIF('TL14'!$C$238:$C$451,$C308,'TL14'!$J$238:$J$451),0),
IF('TL15'!$B$3=M$3,SUMIF('TL15'!$C$10:$C$224,$C308,'TL15'!$J$10:$J$224),0),
IF('TL15'!$B$229=M$3,SUMIF('TL15'!$C$238:$C$451,$C308,'TL15'!$J$238:$J$451),0),
IF('TL16'!$B$3=M$3,SUMIF('TL16'!$C$10:$C$224,$C308,'TL16'!$J$10:$J$224),0),
IF('TL16'!$B$229=M$3,SUMIF('TL16'!$C$238:$C$451,$C308,'TL16'!$J$238:$J$451),0),
IF('TL17'!$B$3=M$3,SUMIF('TL17'!$C$10:$C$224,$C308,'TL17'!$J$10:$J$224),0),
IF('TL17'!$B$229=M$3,SUMIF('TL17'!$C$238:$C$451,$C308,'TL17'!$J$238:$J$451),0),
IF('TL18'!$B$3=M$3,SUMIF('TL18'!$C$10:$C$224,$C308,'TL18'!$J$10:$J$224),0),
IF('TL18'!$B$229=M$3,SUMIF('TL18'!$C$238:$C$451,$C308,'TL18'!$J$238:$J$451),0),
IF('TL19'!$B$3=M$3,SUMIF('TL19'!$C$10:$C$224,$C308,'TL19'!$J$10:$J$224),0),
IF('TL19'!$B$229=M$3,SUMIF('TL19'!$C$238:$C$451,$C308,'TL19'!$J$238:$J$451),0)
),0)</f>
        <v/>
      </c>
      <c r="N308" s="9">
        <f>IFERROR(SUM(
IF('TL01'!$B$3=N$3,SUMIF('TL01'!$C$10:$C$224,$C308,'TL01'!$J$10:$J$224),0),
IF('TL01'!$B$229=N$3,SUMIF('TL01'!$C$238:$C$451,$C308,'TL01'!$J$238:$J$451),0),
IF('TL02'!$B$3=N$3,SUMIF('TL02'!$C$10:$C$224,$C308,'TL02'!$J$10:$J$224),0),
IF('TL02'!$B$229=N$3,SUMIF('TL02'!$C$238:$C$451,$C308,'TL02'!$J$238:$J$451),0),
IF('TL03'!$B$3=N$3,SUMIF('TL03'!$C$10:$C$224,$C308,'TL03'!$J$10:$J$224),0),
IF('TL03'!$B$229=N$3,SUMIF('TL03'!$C$238:$C$451,$C308,'TL03'!$J$238:$J$451),0),
IF('TL04'!$B$3=N$3,SUMIF('TL04'!$C$10:$C$224,$C308,'TL04'!$J$10:$J$224),0),
IF('TL04'!$B$229=N$3,SUMIF('TL04'!$C$238:$C$451,$C308,'TL04'!$J$238:$J$451),0),
IF('TL05'!$B$3=N$3,SUMIF('TL05'!$C$10:$C$224,$C308,'TL05'!$J$10:$J$224),0),
IF('TL05'!$B$229=N$3,SUMIF('TL05'!$C$238:$C$451,$C308,'TL05'!$J$238:$J$451),0),
IF('TL06'!$B$3=N$3,SUMIF('TL06'!$C$10:$C$224,$C308,'TL06'!$J$10:$J$224),0),
IF('TL06'!$B$229=N$3,SUMIF('TL06'!$C$238:$C$451,$C308,'TL06'!$J$238:$J$451),0),
IF('TL07'!$B$3=N$3,SUMIF('TL07'!$C$10:$C$224,$C308,'TL07'!$J$10:$J$224),0),
IF('TL07'!$B$229=N$3,SUMIF('TL07'!$C$238:$C$451,$C308,'TL07'!$J$238:$J$451),0),
IF('TL08'!$B$3=N$3,SUMIF('TL08'!$C$10:$C$224,$C308,'TL08'!$J$10:$J$224),0),
IF('TL08'!$B$229=N$3,SUMIF('TL08'!$C$238:$C$451,$C308,'TL08'!$J$238:$J$451),0),
IF('TL09'!$B$3=N$3,SUMIF('TL09'!$C$10:$C$224,$C308,'TL09'!$J$10:$J$224),0),
IF('TL09'!$B$229=N$3,SUMIF('TL09'!$C$238:$C$451,$C308,'TL09'!$J$238:$J$451),0),
IF('TL10'!$B$3=N$3,SUMIF('TL10'!$C$10:$C$224,$C308,'TL10'!$J$10:$J$224),0),
IF('TL10'!$B$229=N$3,SUMIF('TL10'!$C$238:$C$451,$C308,'TL10'!$J$238:$J$451),0),
IF('TL11'!$B$3=N$3,SUMIF('TL11'!$C$10:$C$224,$C308,'TL11'!$J$10:$J$224),0),
IF('TL11'!$B$229=N$3,SUMIF('TL11'!$C$238:$C$451,$C308,'TL11'!$J$238:$J$451),0),
IF('TL12'!$B$3=N$3,SUMIF('TL12'!$C$10:$C$224,$C308,'TL12'!$J$10:$J$224),0),
IF('TL12'!$B$229=N$3,SUMIF('TL12'!$C$238:$C$451,$C308,'TL12'!$J$238:$J$451),0),
IF('TL13'!$B$3=N$3,SUMIF('TL13'!$C$10:$C$224,$C308,'TL13'!$J$10:$J$224),0),
IF('TL13'!$B$229=N$3,SUMIF('TL13'!$C$238:$C$451,$C308,'TL13'!$J$238:$J$451),0),
IF('TL14'!$B$3=N$3,SUMIF('TL14'!$C$10:$C$224,$C308,'TL14'!$J$10:$J$224),0),
IF('TL14'!$B$229=N$3,SUMIF('TL14'!$C$238:$C$451,$C308,'TL14'!$J$238:$J$451),0),
IF('TL15'!$B$3=N$3,SUMIF('TL15'!$C$10:$C$224,$C308,'TL15'!$J$10:$J$224),0),
IF('TL15'!$B$229=N$3,SUMIF('TL15'!$C$238:$C$451,$C308,'TL15'!$J$238:$J$451),0),
IF('TL16'!$B$3=N$3,SUMIF('TL16'!$C$10:$C$224,$C308,'TL16'!$J$10:$J$224),0),
IF('TL16'!$B$229=N$3,SUMIF('TL16'!$C$238:$C$451,$C308,'TL16'!$J$238:$J$451),0),
IF('TL17'!$B$3=N$3,SUMIF('TL17'!$C$10:$C$224,$C308,'TL17'!$J$10:$J$224),0),
IF('TL17'!$B$229=N$3,SUMIF('TL17'!$C$238:$C$451,$C308,'TL17'!$J$238:$J$451),0),
IF('TL18'!$B$3=N$3,SUMIF('TL18'!$C$10:$C$224,$C308,'TL18'!$J$10:$J$224),0),
IF('TL18'!$B$229=N$3,SUMIF('TL18'!$C$238:$C$451,$C308,'TL18'!$J$238:$J$451),0),
IF('TL19'!$B$3=N$3,SUMIF('TL19'!$C$10:$C$224,$C308,'TL19'!$J$10:$J$224),0),
IF('TL19'!$B$229=N$3,SUMIF('TL19'!$C$238:$C$451,$C308,'TL19'!$J$238:$J$451),0)
),0)</f>
        <v/>
      </c>
      <c r="O308" s="9">
        <f>IFERROR(SUM(
IF('TL01'!$B$3=O$3,SUMIF('TL01'!$C$10:$C$224,$C308,'TL01'!$J$10:$J$224),0),
IF('TL01'!$B$229=O$3,SUMIF('TL01'!$C$238:$C$451,$C308,'TL01'!$J$238:$J$451),0),
IF('TL02'!$B$3=O$3,SUMIF('TL02'!$C$10:$C$224,$C308,'TL02'!$J$10:$J$224),0),
IF('TL02'!$B$229=O$3,SUMIF('TL02'!$C$238:$C$451,$C308,'TL02'!$J$238:$J$451),0),
IF('TL03'!$B$3=O$3,SUMIF('TL03'!$C$10:$C$224,$C308,'TL03'!$J$10:$J$224),0),
IF('TL03'!$B$229=O$3,SUMIF('TL03'!$C$238:$C$451,$C308,'TL03'!$J$238:$J$451),0),
IF('TL04'!$B$3=O$3,SUMIF('TL04'!$C$10:$C$224,$C308,'TL04'!$J$10:$J$224),0),
IF('TL04'!$B$229=O$3,SUMIF('TL04'!$C$238:$C$451,$C308,'TL04'!$J$238:$J$451),0),
IF('TL05'!$B$3=O$3,SUMIF('TL05'!$C$10:$C$224,$C308,'TL05'!$J$10:$J$224),0),
IF('TL05'!$B$229=O$3,SUMIF('TL05'!$C$238:$C$451,$C308,'TL05'!$J$238:$J$451),0),
IF('TL06'!$B$3=O$3,SUMIF('TL06'!$C$10:$C$224,$C308,'TL06'!$J$10:$J$224),0),
IF('TL06'!$B$229=O$3,SUMIF('TL06'!$C$238:$C$451,$C308,'TL06'!$J$238:$J$451),0),
IF('TL07'!$B$3=O$3,SUMIF('TL07'!$C$10:$C$224,$C308,'TL07'!$J$10:$J$224),0),
IF('TL07'!$B$229=O$3,SUMIF('TL07'!$C$238:$C$451,$C308,'TL07'!$J$238:$J$451),0),
IF('TL08'!$B$3=O$3,SUMIF('TL08'!$C$10:$C$224,$C308,'TL08'!$J$10:$J$224),0),
IF('TL08'!$B$229=O$3,SUMIF('TL08'!$C$238:$C$451,$C308,'TL08'!$J$238:$J$451),0),
IF('TL09'!$B$3=O$3,SUMIF('TL09'!$C$10:$C$224,$C308,'TL09'!$J$10:$J$224),0),
IF('TL09'!$B$229=O$3,SUMIF('TL09'!$C$238:$C$451,$C308,'TL09'!$J$238:$J$451),0),
IF('TL10'!$B$3=O$3,SUMIF('TL10'!$C$10:$C$224,$C308,'TL10'!$J$10:$J$224),0),
IF('TL10'!$B$229=O$3,SUMIF('TL10'!$C$238:$C$451,$C308,'TL10'!$J$238:$J$451),0),
IF('TL11'!$B$3=O$3,SUMIF('TL11'!$C$10:$C$224,$C308,'TL11'!$J$10:$J$224),0),
IF('TL11'!$B$229=O$3,SUMIF('TL11'!$C$238:$C$451,$C308,'TL11'!$J$238:$J$451),0),
IF('TL12'!$B$3=O$3,SUMIF('TL12'!$C$10:$C$224,$C308,'TL12'!$J$10:$J$224),0),
IF('TL12'!$B$229=O$3,SUMIF('TL12'!$C$238:$C$451,$C308,'TL12'!$J$238:$J$451),0),
IF('TL13'!$B$3=O$3,SUMIF('TL13'!$C$10:$C$224,$C308,'TL13'!$J$10:$J$224),0),
IF('TL13'!$B$229=O$3,SUMIF('TL13'!$C$238:$C$451,$C308,'TL13'!$J$238:$J$451),0),
IF('TL14'!$B$3=O$3,SUMIF('TL14'!$C$10:$C$224,$C308,'TL14'!$J$10:$J$224),0),
IF('TL14'!$B$229=O$3,SUMIF('TL14'!$C$238:$C$451,$C308,'TL14'!$J$238:$J$451),0),
IF('TL15'!$B$3=O$3,SUMIF('TL15'!$C$10:$C$224,$C308,'TL15'!$J$10:$J$224),0),
IF('TL15'!$B$229=O$3,SUMIF('TL15'!$C$238:$C$451,$C308,'TL15'!$J$238:$J$451),0),
IF('TL16'!$B$3=O$3,SUMIF('TL16'!$C$10:$C$224,$C308,'TL16'!$J$10:$J$224),0),
IF('TL16'!$B$229=O$3,SUMIF('TL16'!$C$238:$C$451,$C308,'TL16'!$J$238:$J$451),0),
IF('TL17'!$B$3=O$3,SUMIF('TL17'!$C$10:$C$224,$C308,'TL17'!$J$10:$J$224),0),
IF('TL17'!$B$229=O$3,SUMIF('TL17'!$C$238:$C$451,$C308,'TL17'!$J$238:$J$451),0),
IF('TL18'!$B$3=O$3,SUMIF('TL18'!$C$10:$C$224,$C308,'TL18'!$J$10:$J$224),0),
IF('TL18'!$B$229=O$3,SUMIF('TL18'!$C$238:$C$451,$C308,'TL18'!$J$238:$J$451),0),
IF('TL19'!$B$3=O$3,SUMIF('TL19'!$C$10:$C$224,$C308,'TL19'!$J$10:$J$224),0),
IF('TL19'!$B$229=O$3,SUMIF('TL19'!$C$238:$C$451,$C308,'TL19'!$J$238:$J$451),0)
),0)</f>
        <v/>
      </c>
      <c r="P308" s="9">
        <f>IFERROR(SUM(
IF('TL01'!$B$3=P$3,SUMIF('TL01'!$C$10:$C$224,$C308,'TL01'!$J$10:$J$224),0),
IF('TL01'!$B$229=P$3,SUMIF('TL01'!$C$238:$C$451,$C308,'TL01'!$J$238:$J$451),0),
IF('TL02'!$B$3=P$3,SUMIF('TL02'!$C$10:$C$224,$C308,'TL02'!$J$10:$J$224),0),
IF('TL02'!$B$229=P$3,SUMIF('TL02'!$C$238:$C$451,$C308,'TL02'!$J$238:$J$451),0),
IF('TL03'!$B$3=P$3,SUMIF('TL03'!$C$10:$C$224,$C308,'TL03'!$J$10:$J$224),0),
IF('TL03'!$B$229=P$3,SUMIF('TL03'!$C$238:$C$451,$C308,'TL03'!$J$238:$J$451),0),
IF('TL04'!$B$3=P$3,SUMIF('TL04'!$C$10:$C$224,$C308,'TL04'!$J$10:$J$224),0),
IF('TL04'!$B$229=P$3,SUMIF('TL04'!$C$238:$C$451,$C308,'TL04'!$J$238:$J$451),0),
IF('TL05'!$B$3=P$3,SUMIF('TL05'!$C$10:$C$224,$C308,'TL05'!$J$10:$J$224),0),
IF('TL05'!$B$229=P$3,SUMIF('TL05'!$C$238:$C$451,$C308,'TL05'!$J$238:$J$451),0),
IF('TL06'!$B$3=P$3,SUMIF('TL06'!$C$10:$C$224,$C308,'TL06'!$J$10:$J$224),0),
IF('TL06'!$B$229=P$3,SUMIF('TL06'!$C$238:$C$451,$C308,'TL06'!$J$238:$J$451),0),
IF('TL07'!$B$3=P$3,SUMIF('TL07'!$C$10:$C$224,$C308,'TL07'!$J$10:$J$224),0),
IF('TL07'!$B$229=P$3,SUMIF('TL07'!$C$238:$C$451,$C308,'TL07'!$J$238:$J$451),0),
IF('TL08'!$B$3=P$3,SUMIF('TL08'!$C$10:$C$224,$C308,'TL08'!$J$10:$J$224),0),
IF('TL08'!$B$229=P$3,SUMIF('TL08'!$C$238:$C$451,$C308,'TL08'!$J$238:$J$451),0),
IF('TL09'!$B$3=P$3,SUMIF('TL09'!$C$10:$C$224,$C308,'TL09'!$J$10:$J$224),0),
IF('TL09'!$B$229=P$3,SUMIF('TL09'!$C$238:$C$451,$C308,'TL09'!$J$238:$J$451),0),
IF('TL10'!$B$3=P$3,SUMIF('TL10'!$C$10:$C$224,$C308,'TL10'!$J$10:$J$224),0),
IF('TL10'!$B$229=P$3,SUMIF('TL10'!$C$238:$C$451,$C308,'TL10'!$J$238:$J$451),0),
IF('TL11'!$B$3=P$3,SUMIF('TL11'!$C$10:$C$224,$C308,'TL11'!$J$10:$J$224),0),
IF('TL11'!$B$229=P$3,SUMIF('TL11'!$C$238:$C$451,$C308,'TL11'!$J$238:$J$451),0),
IF('TL12'!$B$3=P$3,SUMIF('TL12'!$C$10:$C$224,$C308,'TL12'!$J$10:$J$224),0),
IF('TL12'!$B$229=P$3,SUMIF('TL12'!$C$238:$C$451,$C308,'TL12'!$J$238:$J$451),0),
IF('TL13'!$B$3=P$3,SUMIF('TL13'!$C$10:$C$224,$C308,'TL13'!$J$10:$J$224),0),
IF('TL13'!$B$229=P$3,SUMIF('TL13'!$C$238:$C$451,$C308,'TL13'!$J$238:$J$451),0),
IF('TL14'!$B$3=P$3,SUMIF('TL14'!$C$10:$C$224,$C308,'TL14'!$J$10:$J$224),0),
IF('TL14'!$B$229=P$3,SUMIF('TL14'!$C$238:$C$451,$C308,'TL14'!$J$238:$J$451),0),
IF('TL15'!$B$3=P$3,SUMIF('TL15'!$C$10:$C$224,$C308,'TL15'!$J$10:$J$224),0),
IF('TL15'!$B$229=P$3,SUMIF('TL15'!$C$238:$C$451,$C308,'TL15'!$J$238:$J$451),0),
IF('TL16'!$B$3=P$3,SUMIF('TL16'!$C$10:$C$224,$C308,'TL16'!$J$10:$J$224),0),
IF('TL16'!$B$229=P$3,SUMIF('TL16'!$C$238:$C$451,$C308,'TL16'!$J$238:$J$451),0),
IF('TL17'!$B$3=P$3,SUMIF('TL17'!$C$10:$C$224,$C308,'TL17'!$J$10:$J$224),0),
IF('TL17'!$B$229=P$3,SUMIF('TL17'!$C$238:$C$451,$C308,'TL17'!$J$238:$J$451),0),
IF('TL18'!$B$3=P$3,SUMIF('TL18'!$C$10:$C$224,$C308,'TL18'!$J$10:$J$224),0),
IF('TL18'!$B$229=P$3,SUMIF('TL18'!$C$238:$C$451,$C308,'TL18'!$J$238:$J$451),0),
IF('TL19'!$B$3=P$3,SUMIF('TL19'!$C$10:$C$224,$C308,'TL19'!$J$10:$J$224),0),
IF('TL19'!$B$229=P$3,SUMIF('TL19'!$C$238:$C$451,$C308,'TL19'!$J$238:$J$451),0)
),0)</f>
        <v/>
      </c>
      <c r="Q308" s="9">
        <f>IFERROR(SUM(
IF('TL01'!$B$3=Q$3,SUMIF('TL01'!$C$10:$C$224,$C308,'TL01'!$J$10:$J$224),0),
IF('TL01'!$B$229=Q$3,SUMIF('TL01'!$C$238:$C$451,$C308,'TL01'!$J$238:$J$451),0),
IF('TL02'!$B$3=Q$3,SUMIF('TL02'!$C$10:$C$224,$C308,'TL02'!$J$10:$J$224),0),
IF('TL02'!$B$229=Q$3,SUMIF('TL02'!$C$238:$C$451,$C308,'TL02'!$J$238:$J$451),0),
IF('TL03'!$B$3=Q$3,SUMIF('TL03'!$C$10:$C$224,$C308,'TL03'!$J$10:$J$224),0),
IF('TL03'!$B$229=Q$3,SUMIF('TL03'!$C$238:$C$451,$C308,'TL03'!$J$238:$J$451),0),
IF('TL04'!$B$3=Q$3,SUMIF('TL04'!$C$10:$C$224,$C308,'TL04'!$J$10:$J$224),0),
IF('TL04'!$B$229=Q$3,SUMIF('TL04'!$C$238:$C$451,$C308,'TL04'!$J$238:$J$451),0),
IF('TL05'!$B$3=Q$3,SUMIF('TL05'!$C$10:$C$224,$C308,'TL05'!$J$10:$J$224),0),
IF('TL05'!$B$229=Q$3,SUMIF('TL05'!$C$238:$C$451,$C308,'TL05'!$J$238:$J$451),0),
IF('TL06'!$B$3=Q$3,SUMIF('TL06'!$C$10:$C$224,$C308,'TL06'!$J$10:$J$224),0),
IF('TL06'!$B$229=Q$3,SUMIF('TL06'!$C$238:$C$451,$C308,'TL06'!$J$238:$J$451),0),
IF('TL07'!$B$3=Q$3,SUMIF('TL07'!$C$10:$C$224,$C308,'TL07'!$J$10:$J$224),0),
IF('TL07'!$B$229=Q$3,SUMIF('TL07'!$C$238:$C$451,$C308,'TL07'!$J$238:$J$451),0),
IF('TL08'!$B$3=Q$3,SUMIF('TL08'!$C$10:$C$224,$C308,'TL08'!$J$10:$J$224),0),
IF('TL08'!$B$229=Q$3,SUMIF('TL08'!$C$238:$C$451,$C308,'TL08'!$J$238:$J$451),0),
IF('TL09'!$B$3=Q$3,SUMIF('TL09'!$C$10:$C$224,$C308,'TL09'!$J$10:$J$224),0),
IF('TL09'!$B$229=Q$3,SUMIF('TL09'!$C$238:$C$451,$C308,'TL09'!$J$238:$J$451),0),
IF('TL10'!$B$3=Q$3,SUMIF('TL10'!$C$10:$C$224,$C308,'TL10'!$J$10:$J$224),0),
IF('TL10'!$B$229=Q$3,SUMIF('TL10'!$C$238:$C$451,$C308,'TL10'!$J$238:$J$451),0),
IF('TL11'!$B$3=Q$3,SUMIF('TL11'!$C$10:$C$224,$C308,'TL11'!$J$10:$J$224),0),
IF('TL11'!$B$229=Q$3,SUMIF('TL11'!$C$238:$C$451,$C308,'TL11'!$J$238:$J$451),0),
IF('TL12'!$B$3=Q$3,SUMIF('TL12'!$C$10:$C$224,$C308,'TL12'!$J$10:$J$224),0),
IF('TL12'!$B$229=Q$3,SUMIF('TL12'!$C$238:$C$451,$C308,'TL12'!$J$238:$J$451),0),
IF('TL13'!$B$3=Q$3,SUMIF('TL13'!$C$10:$C$224,$C308,'TL13'!$J$10:$J$224),0),
IF('TL13'!$B$229=Q$3,SUMIF('TL13'!$C$238:$C$451,$C308,'TL13'!$J$238:$J$451),0),
IF('TL14'!$B$3=Q$3,SUMIF('TL14'!$C$10:$C$224,$C308,'TL14'!$J$10:$J$224),0),
IF('TL14'!$B$229=Q$3,SUMIF('TL14'!$C$238:$C$451,$C308,'TL14'!$J$238:$J$451),0),
IF('TL15'!$B$3=Q$3,SUMIF('TL15'!$C$10:$C$224,$C308,'TL15'!$J$10:$J$224),0),
IF('TL15'!$B$229=Q$3,SUMIF('TL15'!$C$238:$C$451,$C308,'TL15'!$J$238:$J$451),0),
IF('TL16'!$B$3=Q$3,SUMIF('TL16'!$C$10:$C$224,$C308,'TL16'!$J$10:$J$224),0),
IF('TL16'!$B$229=Q$3,SUMIF('TL16'!$C$238:$C$451,$C308,'TL16'!$J$238:$J$451),0),
IF('TL17'!$B$3=Q$3,SUMIF('TL17'!$C$10:$C$224,$C308,'TL17'!$J$10:$J$224),0),
IF('TL17'!$B$229=Q$3,SUMIF('TL17'!$C$238:$C$451,$C308,'TL17'!$J$238:$J$451),0),
IF('TL18'!$B$3=Q$3,SUMIF('TL18'!$C$10:$C$224,$C308,'TL18'!$J$10:$J$224),0),
IF('TL18'!$B$229=Q$3,SUMIF('TL18'!$C$238:$C$451,$C308,'TL18'!$J$238:$J$451),0),
IF('TL19'!$B$3=Q$3,SUMIF('TL19'!$C$10:$C$224,$C308,'TL19'!$J$10:$J$224),0),
IF('TL19'!$B$229=Q$3,SUMIF('TL19'!$C$238:$C$451,$C308,'TL19'!$J$238:$J$451),0)
),0)</f>
        <v/>
      </c>
      <c r="R308" s="9">
        <f>IFERROR(
SUM(
SUMIF('TL01'!C:C,C308,'TL01'!J:J),
SUMIF('TL02'!C:C,C308,'TL02'!J:J),
SUMIF('TL03'!C:C,C308,'TL03'!J:J),
SUMIF('TL04'!C:C,C308,'TL04'!J:J),
SUMIF('TL05'!C:C,C308,'TL05'!J:J),
SUMIF('TL06'!C:C,C308,'TL06'!J:J),
SUMIF('TL07'!C:C,C308,'TL07'!J:J),
SUMIF('TL08'!C:C,C308,'TL08'!J:J),
SUMIF('TL09'!C:C,C308,'TL09'!J:J),
SUMIF('TL10'!C:C,C308,'TL10'!J:J),
SUMIF('TL11'!C:C,C308,'TL11'!J:J),
SUMIF('TL12'!C:C,C308,'TL12'!J:J),
SUMIF('TL13'!C:C,C308,'TL13'!J:J),
SUMIF('TL14'!C:C,C308,'TL14'!J:J),
SUMIF('TL15'!C:C,C308,'TL15'!J:J),
SUMIF('TL16'!C:C,C308,'TL16'!J:J),
SUMIF('TL17'!C:C,C308,'TL17'!J:J),
SUMIF('TL18'!C:C,C308,'TL18'!J:J),SUMIF('TL19'!C:C,C308,'TL19'!J:J))
,0)</f>
        <v/>
      </c>
      <c r="S308" s="17">
        <f>IFERROR(__xludf.DUMMYFUNCTION("IFERROR(VLOOKUP(C308,
IMPORTRANGE(""1wULbzX32WdYsx-lj2U3uUNBBe2INVIRDtcK0d-Dvl90"",
""26-27!C:G""),
5,
FALSE),
"""")"),"")</f>
        <v/>
      </c>
      <c r="T308" s="9" t="n"/>
      <c r="U308" s="92">
        <f>MAX(0,R308-T308)</f>
        <v/>
      </c>
      <c r="V308" s="93">
        <f>U308*S308</f>
        <v/>
      </c>
    </row>
    <row r="309" hidden="1" ht="15.75" customHeight="1" s="297">
      <c r="A309" s="4" t="n"/>
      <c r="B309" s="125" t="inlineStr">
        <is>
          <t>SEMENTE</t>
        </is>
      </c>
      <c r="C309" s="4" t="inlineStr">
        <is>
          <t>SEMENTE MILHO</t>
        </is>
      </c>
      <c r="D309" s="20" t="n"/>
      <c r="E309" s="9" t="n"/>
      <c r="F309" s="4" t="inlineStr">
        <is>
          <t>SC</t>
        </is>
      </c>
      <c r="G309" s="90">
        <f>HYPERLINK("https://www.google.com/search?q=" &amp; C309 &amp; "+bula+agrofit+pdf", "📄 Ver bula")</f>
        <v/>
      </c>
      <c r="H309" s="9" t="n">
        <v>1.2</v>
      </c>
      <c r="I309" s="1" t="n"/>
      <c r="J309" s="9">
        <f>IFERROR(SUM(
IF('TL01'!$B$3=J$3,SUMIF('TL01'!$C$10:$C$224,$C309,'TL01'!$J$10:$J$224),0),
IF('TL01'!$B$229=J$3,SUMIF('TL01'!$C$238:$C$451,$C309,'TL01'!$J$238:$J$451),0),
IF('TL02'!$B$3=J$3,SUMIF('TL02'!$C$10:$C$224,$C309,'TL02'!$J$10:$J$224),0),
IF('TL02'!$B$229=J$3,SUMIF('TL02'!$C$238:$C$451,$C309,'TL02'!$J$238:$J$451),0),
IF('TL03'!$B$3=J$3,SUMIF('TL03'!$C$10:$C$224,$C309,'TL03'!$J$10:$J$224),0),
IF('TL03'!$B$229=J$3,SUMIF('TL03'!$C$238:$C$451,$C309,'TL03'!$J$238:$J$451),0),
IF('TL04'!$B$3=J$3,SUMIF('TL04'!$C$10:$C$224,$C309,'TL04'!$J$10:$J$224),0),
IF('TL04'!$B$229=J$3,SUMIF('TL04'!$C$238:$C$451,$C309,'TL04'!$J$238:$J$451),0),
IF('TL05'!$B$3=J$3,SUMIF('TL05'!$C$10:$C$224,$C309,'TL05'!$J$10:$J$224),0),
IF('TL05'!$B$229=J$3,SUMIF('TL05'!$C$238:$C$451,$C309,'TL05'!$J$238:$J$451),0),
IF('TL06'!$B$3=J$3,SUMIF('TL06'!$C$10:$C$224,$C309,'TL06'!$J$10:$J$224),0),
IF('TL06'!$B$229=J$3,SUMIF('TL06'!$C$238:$C$451,$C309,'TL06'!$J$238:$J$451),0),
IF('TL07'!$B$3=J$3,SUMIF('TL07'!$C$10:$C$224,$C309,'TL07'!$J$10:$J$224),0),
IF('TL07'!$B$229=J$3,SUMIF('TL07'!$C$238:$C$451,$C309,'TL07'!$J$238:$J$451),0),
IF('TL08'!$B$3=J$3,SUMIF('TL08'!$C$10:$C$224,$C309,'TL08'!$J$10:$J$224),0),
IF('TL08'!$B$229=J$3,SUMIF('TL08'!$C$238:$C$451,$C309,'TL08'!$J$238:$J$451),0),
IF('TL09'!$B$3=J$3,SUMIF('TL09'!$C$10:$C$224,$C309,'TL09'!$J$10:$J$224),0),
IF('TL09'!$B$229=J$3,SUMIF('TL09'!$C$238:$C$451,$C309,'TL09'!$J$238:$J$451),0),
IF('TL10'!$B$3=J$3,SUMIF('TL10'!$C$10:$C$224,$C309,'TL10'!$J$10:$J$224),0),
IF('TL10'!$B$229=J$3,SUMIF('TL10'!$C$238:$C$451,$C309,'TL10'!$J$238:$J$451),0),
IF('TL11'!$B$3=J$3,SUMIF('TL11'!$C$10:$C$224,$C309,'TL11'!$J$10:$J$224),0),
IF('TL11'!$B$229=J$3,SUMIF('TL11'!$C$238:$C$451,$C309,'TL11'!$J$238:$J$451),0),
IF('TL12'!$B$3=J$3,SUMIF('TL12'!$C$10:$C$224,$C309,'TL12'!$J$10:$J$224),0),
IF('TL12'!$B$229=J$3,SUMIF('TL12'!$C$238:$C$451,$C309,'TL12'!$J$238:$J$451),0),
IF('TL13'!$B$3=J$3,SUMIF('TL13'!$C$10:$C$224,$C309,'TL13'!$J$10:$J$224),0),
IF('TL13'!$B$229=J$3,SUMIF('TL13'!$C$238:$C$451,$C309,'TL13'!$J$238:$J$451),0),
IF('TL14'!$B$3=J$3,SUMIF('TL14'!$C$10:$C$224,$C309,'TL14'!$J$10:$J$224),0),
IF('TL14'!$B$229=J$3,SUMIF('TL14'!$C$238:$C$451,$C309,'TL14'!$J$238:$J$451),0),
IF('TL15'!$B$3=J$3,SUMIF('TL15'!$C$10:$C$224,$C309,'TL15'!$J$10:$J$224),0),
IF('TL15'!$B$229=J$3,SUMIF('TL15'!$C$238:$C$451,$C309,'TL15'!$J$238:$J$451),0),
IF('TL16'!$B$3=J$3,SUMIF('TL16'!$C$10:$C$224,$C309,'TL16'!$J$10:$J$224),0),
IF('TL16'!$B$229=J$3,SUMIF('TL16'!$C$238:$C$451,$C309,'TL16'!$J$238:$J$451),0),
IF('TL17'!$B$3=J$3,SUMIF('TL17'!$C$10:$C$224,$C309,'TL17'!$J$10:$J$224),0),
IF('TL17'!$B$229=J$3,SUMIF('TL17'!$C$238:$C$451,$C309,'TL17'!$J$238:$J$451),0),
IF('TL18'!$B$3=J$3,SUMIF('TL18'!$C$10:$C$224,$C309,'TL18'!$J$10:$J$224),0),
IF('TL18'!$B$229=J$3,SUMIF('TL18'!$C$238:$C$451,$C309,'TL18'!$J$238:$J$451),0),
IF('TL19'!$B$3=J$3,SUMIF('TL19'!$C$10:$C$224,$C309,'TL19'!$J$10:$J$224),0),
IF('TL19'!$B$229=J$3,SUMIF('TL19'!$C$238:$C$451,$C309,'TL19'!$J$238:$J$451),0)
),0)</f>
        <v/>
      </c>
      <c r="K309" s="9">
        <f>IFERROR(SUM(
IF('TL01'!$B$3=K$3,SUMIF('TL01'!$C$10:$C$224,$C309,'TL01'!$J$10:$J$224),0),
IF('TL01'!$B$229=K$3,SUMIF('TL01'!$C$238:$C$451,$C309,'TL01'!$J$238:$J$451),0),
IF('TL02'!$B$3=K$3,SUMIF('TL02'!$C$10:$C$224,$C309,'TL02'!$J$10:$J$224),0),
IF('TL02'!$B$229=K$3,SUMIF('TL02'!$C$238:$C$451,$C309,'TL02'!$J$238:$J$451),0),
IF('TL03'!$B$3=K$3,SUMIF('TL03'!$C$10:$C$224,$C309,'TL03'!$J$10:$J$224),0),
IF('TL03'!$B$229=K$3,SUMIF('TL03'!$C$238:$C$451,$C309,'TL03'!$J$238:$J$451),0),
IF('TL04'!$B$3=K$3,SUMIF('TL04'!$C$10:$C$224,$C309,'TL04'!$J$10:$J$224),0),
IF('TL04'!$B$229=K$3,SUMIF('TL04'!$C$238:$C$451,$C309,'TL04'!$J$238:$J$451),0),
IF('TL05'!$B$3=K$3,SUMIF('TL05'!$C$10:$C$224,$C309,'TL05'!$J$10:$J$224),0),
IF('TL05'!$B$229=K$3,SUMIF('TL05'!$C$238:$C$451,$C309,'TL05'!$J$238:$J$451),0),
IF('TL06'!$B$3=K$3,SUMIF('TL06'!$C$10:$C$224,$C309,'TL06'!$J$10:$J$224),0),
IF('TL06'!$B$229=K$3,SUMIF('TL06'!$C$238:$C$451,$C309,'TL06'!$J$238:$J$451),0),
IF('TL07'!$B$3=K$3,SUMIF('TL07'!$C$10:$C$224,$C309,'TL07'!$J$10:$J$224),0),
IF('TL07'!$B$229=K$3,SUMIF('TL07'!$C$238:$C$451,$C309,'TL07'!$J$238:$J$451),0),
IF('TL08'!$B$3=K$3,SUMIF('TL08'!$C$10:$C$224,$C309,'TL08'!$J$10:$J$224),0),
IF('TL08'!$B$229=K$3,SUMIF('TL08'!$C$238:$C$451,$C309,'TL08'!$J$238:$J$451),0),
IF('TL09'!$B$3=K$3,SUMIF('TL09'!$C$10:$C$224,$C309,'TL09'!$J$10:$J$224),0),
IF('TL09'!$B$229=K$3,SUMIF('TL09'!$C$238:$C$451,$C309,'TL09'!$J$238:$J$451),0),
IF('TL10'!$B$3=K$3,SUMIF('TL10'!$C$10:$C$224,$C309,'TL10'!$J$10:$J$224),0),
IF('TL10'!$B$229=K$3,SUMIF('TL10'!$C$238:$C$451,$C309,'TL10'!$J$238:$J$451),0),
IF('TL11'!$B$3=K$3,SUMIF('TL11'!$C$10:$C$224,$C309,'TL11'!$J$10:$J$224),0),
IF('TL11'!$B$229=K$3,SUMIF('TL11'!$C$238:$C$451,$C309,'TL11'!$J$238:$J$451),0),
IF('TL12'!$B$3=K$3,SUMIF('TL12'!$C$10:$C$224,$C309,'TL12'!$J$10:$J$224),0),
IF('TL12'!$B$229=K$3,SUMIF('TL12'!$C$238:$C$451,$C309,'TL12'!$J$238:$J$451),0),
IF('TL13'!$B$3=K$3,SUMIF('TL13'!$C$10:$C$224,$C309,'TL13'!$J$10:$J$224),0),
IF('TL13'!$B$229=K$3,SUMIF('TL13'!$C$238:$C$451,$C309,'TL13'!$J$238:$J$451),0),
IF('TL14'!$B$3=K$3,SUMIF('TL14'!$C$10:$C$224,$C309,'TL14'!$J$10:$J$224),0),
IF('TL14'!$B$229=K$3,SUMIF('TL14'!$C$238:$C$451,$C309,'TL14'!$J$238:$J$451),0),
IF('TL15'!$B$3=K$3,SUMIF('TL15'!$C$10:$C$224,$C309,'TL15'!$J$10:$J$224),0),
IF('TL15'!$B$229=K$3,SUMIF('TL15'!$C$238:$C$451,$C309,'TL15'!$J$238:$J$451),0),
IF('TL16'!$B$3=K$3,SUMIF('TL16'!$C$10:$C$224,$C309,'TL16'!$J$10:$J$224),0),
IF('TL16'!$B$229=K$3,SUMIF('TL16'!$C$238:$C$451,$C309,'TL16'!$J$238:$J$451),0),
IF('TL17'!$B$3=K$3,SUMIF('TL17'!$C$10:$C$224,$C309,'TL17'!$J$10:$J$224),0),
IF('TL17'!$B$229=K$3,SUMIF('TL17'!$C$238:$C$451,$C309,'TL17'!$J$238:$J$451),0),
IF('TL18'!$B$3=K$3,SUMIF('TL18'!$C$10:$C$224,$C309,'TL18'!$J$10:$J$224),0),
IF('TL18'!$B$229=K$3,SUMIF('TL18'!$C$238:$C$451,$C309,'TL18'!$J$238:$J$451),0),
IF('TL19'!$B$3=K$3,SUMIF('TL19'!$C$10:$C$224,$C309,'TL19'!$J$10:$J$224),0),
IF('TL19'!$B$229=K$3,SUMIF('TL19'!$C$238:$C$451,$C309,'TL19'!$J$238:$J$451),0)
),0)</f>
        <v/>
      </c>
      <c r="L309" s="9">
        <f>IFERROR(SUM(
IF('TL01'!$B$3=L$3,SUMIF('TL01'!$C$10:$C$224,$C309,'TL01'!$J$10:$J$224),0),
IF('TL01'!$B$229=L$3,SUMIF('TL01'!$C$238:$C$451,$C309,'TL01'!$J$238:$J$451),0),
IF('TL02'!$B$3=L$3,SUMIF('TL02'!$C$10:$C$224,$C309,'TL02'!$J$10:$J$224),0),
IF('TL02'!$B$229=L$3,SUMIF('TL02'!$C$238:$C$451,$C309,'TL02'!$J$238:$J$451),0),
IF('TL03'!$B$3=L$3,SUMIF('TL03'!$C$10:$C$224,$C309,'TL03'!$J$10:$J$224),0),
IF('TL03'!$B$229=L$3,SUMIF('TL03'!$C$238:$C$451,$C309,'TL03'!$J$238:$J$451),0),
IF('TL04'!$B$3=L$3,SUMIF('TL04'!$C$10:$C$224,$C309,'TL04'!$J$10:$J$224),0),
IF('TL04'!$B$229=L$3,SUMIF('TL04'!$C$238:$C$451,$C309,'TL04'!$J$238:$J$451),0),
IF('TL05'!$B$3=L$3,SUMIF('TL05'!$C$10:$C$224,$C309,'TL05'!$J$10:$J$224),0),
IF('TL05'!$B$229=L$3,SUMIF('TL05'!$C$238:$C$451,$C309,'TL05'!$J$238:$J$451),0),
IF('TL06'!$B$3=L$3,SUMIF('TL06'!$C$10:$C$224,$C309,'TL06'!$J$10:$J$224),0),
IF('TL06'!$B$229=L$3,SUMIF('TL06'!$C$238:$C$451,$C309,'TL06'!$J$238:$J$451),0),
IF('TL07'!$B$3=L$3,SUMIF('TL07'!$C$10:$C$224,$C309,'TL07'!$J$10:$J$224),0),
IF('TL07'!$B$229=L$3,SUMIF('TL07'!$C$238:$C$451,$C309,'TL07'!$J$238:$J$451),0),
IF('TL08'!$B$3=L$3,SUMIF('TL08'!$C$10:$C$224,$C309,'TL08'!$J$10:$J$224),0),
IF('TL08'!$B$229=L$3,SUMIF('TL08'!$C$238:$C$451,$C309,'TL08'!$J$238:$J$451),0),
IF('TL09'!$B$3=L$3,SUMIF('TL09'!$C$10:$C$224,$C309,'TL09'!$J$10:$J$224),0),
IF('TL09'!$B$229=L$3,SUMIF('TL09'!$C$238:$C$451,$C309,'TL09'!$J$238:$J$451),0),
IF('TL10'!$B$3=L$3,SUMIF('TL10'!$C$10:$C$224,$C309,'TL10'!$J$10:$J$224),0),
IF('TL10'!$B$229=L$3,SUMIF('TL10'!$C$238:$C$451,$C309,'TL10'!$J$238:$J$451),0),
IF('TL11'!$B$3=L$3,SUMIF('TL11'!$C$10:$C$224,$C309,'TL11'!$J$10:$J$224),0),
IF('TL11'!$B$229=L$3,SUMIF('TL11'!$C$238:$C$451,$C309,'TL11'!$J$238:$J$451),0),
IF('TL12'!$B$3=L$3,SUMIF('TL12'!$C$10:$C$224,$C309,'TL12'!$J$10:$J$224),0),
IF('TL12'!$B$229=L$3,SUMIF('TL12'!$C$238:$C$451,$C309,'TL12'!$J$238:$J$451),0),
IF('TL13'!$B$3=L$3,SUMIF('TL13'!$C$10:$C$224,$C309,'TL13'!$J$10:$J$224),0),
IF('TL13'!$B$229=L$3,SUMIF('TL13'!$C$238:$C$451,$C309,'TL13'!$J$238:$J$451),0),
IF('TL14'!$B$3=L$3,SUMIF('TL14'!$C$10:$C$224,$C309,'TL14'!$J$10:$J$224),0),
IF('TL14'!$B$229=L$3,SUMIF('TL14'!$C$238:$C$451,$C309,'TL14'!$J$238:$J$451),0),
IF('TL15'!$B$3=L$3,SUMIF('TL15'!$C$10:$C$224,$C309,'TL15'!$J$10:$J$224),0),
IF('TL15'!$B$229=L$3,SUMIF('TL15'!$C$238:$C$451,$C309,'TL15'!$J$238:$J$451),0),
IF('TL16'!$B$3=L$3,SUMIF('TL16'!$C$10:$C$224,$C309,'TL16'!$J$10:$J$224),0),
IF('TL16'!$B$229=L$3,SUMIF('TL16'!$C$238:$C$451,$C309,'TL16'!$J$238:$J$451),0),
IF('TL17'!$B$3=L$3,SUMIF('TL17'!$C$10:$C$224,$C309,'TL17'!$J$10:$J$224),0),
IF('TL17'!$B$229=L$3,SUMIF('TL17'!$C$238:$C$451,$C309,'TL17'!$J$238:$J$451),0),
IF('TL18'!$B$3=L$3,SUMIF('TL18'!$C$10:$C$224,$C309,'TL18'!$J$10:$J$224),0),
IF('TL18'!$B$229=L$3,SUMIF('TL18'!$C$238:$C$451,$C309,'TL18'!$J$238:$J$451),0),
IF('TL19'!$B$3=L$3,SUMIF('TL19'!$C$10:$C$224,$C309,'TL19'!$J$10:$J$224),0),
IF('TL19'!$B$229=L$3,SUMIF('TL19'!$C$238:$C$451,$C309,'TL19'!$J$238:$J$451),0)
),0)</f>
        <v/>
      </c>
      <c r="M309" s="9">
        <f>IFERROR(SUM(
IF('TL01'!$B$3=M$3,SUMIF('TL01'!$C$10:$C$224,$C309,'TL01'!$J$10:$J$224),0),
IF('TL01'!$B$229=M$3,SUMIF('TL01'!$C$238:$C$451,$C309,'TL01'!$J$238:$J$451),0),
IF('TL02'!$B$3=M$3,SUMIF('TL02'!$C$10:$C$224,$C309,'TL02'!$J$10:$J$224),0),
IF('TL02'!$B$229=M$3,SUMIF('TL02'!$C$238:$C$451,$C309,'TL02'!$J$238:$J$451),0),
IF('TL03'!$B$3=M$3,SUMIF('TL03'!$C$10:$C$224,$C309,'TL03'!$J$10:$J$224),0),
IF('TL03'!$B$229=M$3,SUMIF('TL03'!$C$238:$C$451,$C309,'TL03'!$J$238:$J$451),0),
IF('TL04'!$B$3=M$3,SUMIF('TL04'!$C$10:$C$224,$C309,'TL04'!$J$10:$J$224),0),
IF('TL04'!$B$229=M$3,SUMIF('TL04'!$C$238:$C$451,$C309,'TL04'!$J$238:$J$451),0),
IF('TL05'!$B$3=M$3,SUMIF('TL05'!$C$10:$C$224,$C309,'TL05'!$J$10:$J$224),0),
IF('TL05'!$B$229=M$3,SUMIF('TL05'!$C$238:$C$451,$C309,'TL05'!$J$238:$J$451),0),
IF('TL06'!$B$3=M$3,SUMIF('TL06'!$C$10:$C$224,$C309,'TL06'!$J$10:$J$224),0),
IF('TL06'!$B$229=M$3,SUMIF('TL06'!$C$238:$C$451,$C309,'TL06'!$J$238:$J$451),0),
IF('TL07'!$B$3=M$3,SUMIF('TL07'!$C$10:$C$224,$C309,'TL07'!$J$10:$J$224),0),
IF('TL07'!$B$229=M$3,SUMIF('TL07'!$C$238:$C$451,$C309,'TL07'!$J$238:$J$451),0),
IF('TL08'!$B$3=M$3,SUMIF('TL08'!$C$10:$C$224,$C309,'TL08'!$J$10:$J$224),0),
IF('TL08'!$B$229=M$3,SUMIF('TL08'!$C$238:$C$451,$C309,'TL08'!$J$238:$J$451),0),
IF('TL09'!$B$3=M$3,SUMIF('TL09'!$C$10:$C$224,$C309,'TL09'!$J$10:$J$224),0),
IF('TL09'!$B$229=M$3,SUMIF('TL09'!$C$238:$C$451,$C309,'TL09'!$J$238:$J$451),0),
IF('TL10'!$B$3=M$3,SUMIF('TL10'!$C$10:$C$224,$C309,'TL10'!$J$10:$J$224),0),
IF('TL10'!$B$229=M$3,SUMIF('TL10'!$C$238:$C$451,$C309,'TL10'!$J$238:$J$451),0),
IF('TL11'!$B$3=M$3,SUMIF('TL11'!$C$10:$C$224,$C309,'TL11'!$J$10:$J$224),0),
IF('TL11'!$B$229=M$3,SUMIF('TL11'!$C$238:$C$451,$C309,'TL11'!$J$238:$J$451),0),
IF('TL12'!$B$3=M$3,SUMIF('TL12'!$C$10:$C$224,$C309,'TL12'!$J$10:$J$224),0),
IF('TL12'!$B$229=M$3,SUMIF('TL12'!$C$238:$C$451,$C309,'TL12'!$J$238:$J$451),0),
IF('TL13'!$B$3=M$3,SUMIF('TL13'!$C$10:$C$224,$C309,'TL13'!$J$10:$J$224),0),
IF('TL13'!$B$229=M$3,SUMIF('TL13'!$C$238:$C$451,$C309,'TL13'!$J$238:$J$451),0),
IF('TL14'!$B$3=M$3,SUMIF('TL14'!$C$10:$C$224,$C309,'TL14'!$J$10:$J$224),0),
IF('TL14'!$B$229=M$3,SUMIF('TL14'!$C$238:$C$451,$C309,'TL14'!$J$238:$J$451),0),
IF('TL15'!$B$3=M$3,SUMIF('TL15'!$C$10:$C$224,$C309,'TL15'!$J$10:$J$224),0),
IF('TL15'!$B$229=M$3,SUMIF('TL15'!$C$238:$C$451,$C309,'TL15'!$J$238:$J$451),0),
IF('TL16'!$B$3=M$3,SUMIF('TL16'!$C$10:$C$224,$C309,'TL16'!$J$10:$J$224),0),
IF('TL16'!$B$229=M$3,SUMIF('TL16'!$C$238:$C$451,$C309,'TL16'!$J$238:$J$451),0),
IF('TL17'!$B$3=M$3,SUMIF('TL17'!$C$10:$C$224,$C309,'TL17'!$J$10:$J$224),0),
IF('TL17'!$B$229=M$3,SUMIF('TL17'!$C$238:$C$451,$C309,'TL17'!$J$238:$J$451),0),
IF('TL18'!$B$3=M$3,SUMIF('TL18'!$C$10:$C$224,$C309,'TL18'!$J$10:$J$224),0),
IF('TL18'!$B$229=M$3,SUMIF('TL18'!$C$238:$C$451,$C309,'TL18'!$J$238:$J$451),0),
IF('TL19'!$B$3=M$3,SUMIF('TL19'!$C$10:$C$224,$C309,'TL19'!$J$10:$J$224),0),
IF('TL19'!$B$229=M$3,SUMIF('TL19'!$C$238:$C$451,$C309,'TL19'!$J$238:$J$451),0)
),0)</f>
        <v/>
      </c>
      <c r="N309" s="9">
        <f>IFERROR(SUM(
IF('TL01'!$B$3=N$3,SUMIF('TL01'!$C$10:$C$224,$C309,'TL01'!$J$10:$J$224),0),
IF('TL01'!$B$229=N$3,SUMIF('TL01'!$C$238:$C$451,$C309,'TL01'!$J$238:$J$451),0),
IF('TL02'!$B$3=N$3,SUMIF('TL02'!$C$10:$C$224,$C309,'TL02'!$J$10:$J$224),0),
IF('TL02'!$B$229=N$3,SUMIF('TL02'!$C$238:$C$451,$C309,'TL02'!$J$238:$J$451),0),
IF('TL03'!$B$3=N$3,SUMIF('TL03'!$C$10:$C$224,$C309,'TL03'!$J$10:$J$224),0),
IF('TL03'!$B$229=N$3,SUMIF('TL03'!$C$238:$C$451,$C309,'TL03'!$J$238:$J$451),0),
IF('TL04'!$B$3=N$3,SUMIF('TL04'!$C$10:$C$224,$C309,'TL04'!$J$10:$J$224),0),
IF('TL04'!$B$229=N$3,SUMIF('TL04'!$C$238:$C$451,$C309,'TL04'!$J$238:$J$451),0),
IF('TL05'!$B$3=N$3,SUMIF('TL05'!$C$10:$C$224,$C309,'TL05'!$J$10:$J$224),0),
IF('TL05'!$B$229=N$3,SUMIF('TL05'!$C$238:$C$451,$C309,'TL05'!$J$238:$J$451),0),
IF('TL06'!$B$3=N$3,SUMIF('TL06'!$C$10:$C$224,$C309,'TL06'!$J$10:$J$224),0),
IF('TL06'!$B$229=N$3,SUMIF('TL06'!$C$238:$C$451,$C309,'TL06'!$J$238:$J$451),0),
IF('TL07'!$B$3=N$3,SUMIF('TL07'!$C$10:$C$224,$C309,'TL07'!$J$10:$J$224),0),
IF('TL07'!$B$229=N$3,SUMIF('TL07'!$C$238:$C$451,$C309,'TL07'!$J$238:$J$451),0),
IF('TL08'!$B$3=N$3,SUMIF('TL08'!$C$10:$C$224,$C309,'TL08'!$J$10:$J$224),0),
IF('TL08'!$B$229=N$3,SUMIF('TL08'!$C$238:$C$451,$C309,'TL08'!$J$238:$J$451),0),
IF('TL09'!$B$3=N$3,SUMIF('TL09'!$C$10:$C$224,$C309,'TL09'!$J$10:$J$224),0),
IF('TL09'!$B$229=N$3,SUMIF('TL09'!$C$238:$C$451,$C309,'TL09'!$J$238:$J$451),0),
IF('TL10'!$B$3=N$3,SUMIF('TL10'!$C$10:$C$224,$C309,'TL10'!$J$10:$J$224),0),
IF('TL10'!$B$229=N$3,SUMIF('TL10'!$C$238:$C$451,$C309,'TL10'!$J$238:$J$451),0),
IF('TL11'!$B$3=N$3,SUMIF('TL11'!$C$10:$C$224,$C309,'TL11'!$J$10:$J$224),0),
IF('TL11'!$B$229=N$3,SUMIF('TL11'!$C$238:$C$451,$C309,'TL11'!$J$238:$J$451),0),
IF('TL12'!$B$3=N$3,SUMIF('TL12'!$C$10:$C$224,$C309,'TL12'!$J$10:$J$224),0),
IF('TL12'!$B$229=N$3,SUMIF('TL12'!$C$238:$C$451,$C309,'TL12'!$J$238:$J$451),0),
IF('TL13'!$B$3=N$3,SUMIF('TL13'!$C$10:$C$224,$C309,'TL13'!$J$10:$J$224),0),
IF('TL13'!$B$229=N$3,SUMIF('TL13'!$C$238:$C$451,$C309,'TL13'!$J$238:$J$451),0),
IF('TL14'!$B$3=N$3,SUMIF('TL14'!$C$10:$C$224,$C309,'TL14'!$J$10:$J$224),0),
IF('TL14'!$B$229=N$3,SUMIF('TL14'!$C$238:$C$451,$C309,'TL14'!$J$238:$J$451),0),
IF('TL15'!$B$3=N$3,SUMIF('TL15'!$C$10:$C$224,$C309,'TL15'!$J$10:$J$224),0),
IF('TL15'!$B$229=N$3,SUMIF('TL15'!$C$238:$C$451,$C309,'TL15'!$J$238:$J$451),0),
IF('TL16'!$B$3=N$3,SUMIF('TL16'!$C$10:$C$224,$C309,'TL16'!$J$10:$J$224),0),
IF('TL16'!$B$229=N$3,SUMIF('TL16'!$C$238:$C$451,$C309,'TL16'!$J$238:$J$451),0),
IF('TL17'!$B$3=N$3,SUMIF('TL17'!$C$10:$C$224,$C309,'TL17'!$J$10:$J$224),0),
IF('TL17'!$B$229=N$3,SUMIF('TL17'!$C$238:$C$451,$C309,'TL17'!$J$238:$J$451),0),
IF('TL18'!$B$3=N$3,SUMIF('TL18'!$C$10:$C$224,$C309,'TL18'!$J$10:$J$224),0),
IF('TL18'!$B$229=N$3,SUMIF('TL18'!$C$238:$C$451,$C309,'TL18'!$J$238:$J$451),0),
IF('TL19'!$B$3=N$3,SUMIF('TL19'!$C$10:$C$224,$C309,'TL19'!$J$10:$J$224),0),
IF('TL19'!$B$229=N$3,SUMIF('TL19'!$C$238:$C$451,$C309,'TL19'!$J$238:$J$451),0)
),0)</f>
        <v/>
      </c>
      <c r="O309" s="9">
        <f>IFERROR(SUM(
IF('TL01'!$B$3=O$3,SUMIF('TL01'!$C$10:$C$224,$C309,'TL01'!$J$10:$J$224),0),
IF('TL01'!$B$229=O$3,SUMIF('TL01'!$C$238:$C$451,$C309,'TL01'!$J$238:$J$451),0),
IF('TL02'!$B$3=O$3,SUMIF('TL02'!$C$10:$C$224,$C309,'TL02'!$J$10:$J$224),0),
IF('TL02'!$B$229=O$3,SUMIF('TL02'!$C$238:$C$451,$C309,'TL02'!$J$238:$J$451),0),
IF('TL03'!$B$3=O$3,SUMIF('TL03'!$C$10:$C$224,$C309,'TL03'!$J$10:$J$224),0),
IF('TL03'!$B$229=O$3,SUMIF('TL03'!$C$238:$C$451,$C309,'TL03'!$J$238:$J$451),0),
IF('TL04'!$B$3=O$3,SUMIF('TL04'!$C$10:$C$224,$C309,'TL04'!$J$10:$J$224),0),
IF('TL04'!$B$229=O$3,SUMIF('TL04'!$C$238:$C$451,$C309,'TL04'!$J$238:$J$451),0),
IF('TL05'!$B$3=O$3,SUMIF('TL05'!$C$10:$C$224,$C309,'TL05'!$J$10:$J$224),0),
IF('TL05'!$B$229=O$3,SUMIF('TL05'!$C$238:$C$451,$C309,'TL05'!$J$238:$J$451),0),
IF('TL06'!$B$3=O$3,SUMIF('TL06'!$C$10:$C$224,$C309,'TL06'!$J$10:$J$224),0),
IF('TL06'!$B$229=O$3,SUMIF('TL06'!$C$238:$C$451,$C309,'TL06'!$J$238:$J$451),0),
IF('TL07'!$B$3=O$3,SUMIF('TL07'!$C$10:$C$224,$C309,'TL07'!$J$10:$J$224),0),
IF('TL07'!$B$229=O$3,SUMIF('TL07'!$C$238:$C$451,$C309,'TL07'!$J$238:$J$451),0),
IF('TL08'!$B$3=O$3,SUMIF('TL08'!$C$10:$C$224,$C309,'TL08'!$J$10:$J$224),0),
IF('TL08'!$B$229=O$3,SUMIF('TL08'!$C$238:$C$451,$C309,'TL08'!$J$238:$J$451),0),
IF('TL09'!$B$3=O$3,SUMIF('TL09'!$C$10:$C$224,$C309,'TL09'!$J$10:$J$224),0),
IF('TL09'!$B$229=O$3,SUMIF('TL09'!$C$238:$C$451,$C309,'TL09'!$J$238:$J$451),0),
IF('TL10'!$B$3=O$3,SUMIF('TL10'!$C$10:$C$224,$C309,'TL10'!$J$10:$J$224),0),
IF('TL10'!$B$229=O$3,SUMIF('TL10'!$C$238:$C$451,$C309,'TL10'!$J$238:$J$451),0),
IF('TL11'!$B$3=O$3,SUMIF('TL11'!$C$10:$C$224,$C309,'TL11'!$J$10:$J$224),0),
IF('TL11'!$B$229=O$3,SUMIF('TL11'!$C$238:$C$451,$C309,'TL11'!$J$238:$J$451),0),
IF('TL12'!$B$3=O$3,SUMIF('TL12'!$C$10:$C$224,$C309,'TL12'!$J$10:$J$224),0),
IF('TL12'!$B$229=O$3,SUMIF('TL12'!$C$238:$C$451,$C309,'TL12'!$J$238:$J$451),0),
IF('TL13'!$B$3=O$3,SUMIF('TL13'!$C$10:$C$224,$C309,'TL13'!$J$10:$J$224),0),
IF('TL13'!$B$229=O$3,SUMIF('TL13'!$C$238:$C$451,$C309,'TL13'!$J$238:$J$451),0),
IF('TL14'!$B$3=O$3,SUMIF('TL14'!$C$10:$C$224,$C309,'TL14'!$J$10:$J$224),0),
IF('TL14'!$B$229=O$3,SUMIF('TL14'!$C$238:$C$451,$C309,'TL14'!$J$238:$J$451),0),
IF('TL15'!$B$3=O$3,SUMIF('TL15'!$C$10:$C$224,$C309,'TL15'!$J$10:$J$224),0),
IF('TL15'!$B$229=O$3,SUMIF('TL15'!$C$238:$C$451,$C309,'TL15'!$J$238:$J$451),0),
IF('TL16'!$B$3=O$3,SUMIF('TL16'!$C$10:$C$224,$C309,'TL16'!$J$10:$J$224),0),
IF('TL16'!$B$229=O$3,SUMIF('TL16'!$C$238:$C$451,$C309,'TL16'!$J$238:$J$451),0),
IF('TL17'!$B$3=O$3,SUMIF('TL17'!$C$10:$C$224,$C309,'TL17'!$J$10:$J$224),0),
IF('TL17'!$B$229=O$3,SUMIF('TL17'!$C$238:$C$451,$C309,'TL17'!$J$238:$J$451),0),
IF('TL18'!$B$3=O$3,SUMIF('TL18'!$C$10:$C$224,$C309,'TL18'!$J$10:$J$224),0),
IF('TL18'!$B$229=O$3,SUMIF('TL18'!$C$238:$C$451,$C309,'TL18'!$J$238:$J$451),0),
IF('TL19'!$B$3=O$3,SUMIF('TL19'!$C$10:$C$224,$C309,'TL19'!$J$10:$J$224),0),
IF('TL19'!$B$229=O$3,SUMIF('TL19'!$C$238:$C$451,$C309,'TL19'!$J$238:$J$451),0)
),0)</f>
        <v/>
      </c>
      <c r="P309" s="9">
        <f>IFERROR(SUM(
IF('TL01'!$B$3=P$3,SUMIF('TL01'!$C$10:$C$224,$C309,'TL01'!$J$10:$J$224),0),
IF('TL01'!$B$229=P$3,SUMIF('TL01'!$C$238:$C$451,$C309,'TL01'!$J$238:$J$451),0),
IF('TL02'!$B$3=P$3,SUMIF('TL02'!$C$10:$C$224,$C309,'TL02'!$J$10:$J$224),0),
IF('TL02'!$B$229=P$3,SUMIF('TL02'!$C$238:$C$451,$C309,'TL02'!$J$238:$J$451),0),
IF('TL03'!$B$3=P$3,SUMIF('TL03'!$C$10:$C$224,$C309,'TL03'!$J$10:$J$224),0),
IF('TL03'!$B$229=P$3,SUMIF('TL03'!$C$238:$C$451,$C309,'TL03'!$J$238:$J$451),0),
IF('TL04'!$B$3=P$3,SUMIF('TL04'!$C$10:$C$224,$C309,'TL04'!$J$10:$J$224),0),
IF('TL04'!$B$229=P$3,SUMIF('TL04'!$C$238:$C$451,$C309,'TL04'!$J$238:$J$451),0),
IF('TL05'!$B$3=P$3,SUMIF('TL05'!$C$10:$C$224,$C309,'TL05'!$J$10:$J$224),0),
IF('TL05'!$B$229=P$3,SUMIF('TL05'!$C$238:$C$451,$C309,'TL05'!$J$238:$J$451),0),
IF('TL06'!$B$3=P$3,SUMIF('TL06'!$C$10:$C$224,$C309,'TL06'!$J$10:$J$224),0),
IF('TL06'!$B$229=P$3,SUMIF('TL06'!$C$238:$C$451,$C309,'TL06'!$J$238:$J$451),0),
IF('TL07'!$B$3=P$3,SUMIF('TL07'!$C$10:$C$224,$C309,'TL07'!$J$10:$J$224),0),
IF('TL07'!$B$229=P$3,SUMIF('TL07'!$C$238:$C$451,$C309,'TL07'!$J$238:$J$451),0),
IF('TL08'!$B$3=P$3,SUMIF('TL08'!$C$10:$C$224,$C309,'TL08'!$J$10:$J$224),0),
IF('TL08'!$B$229=P$3,SUMIF('TL08'!$C$238:$C$451,$C309,'TL08'!$J$238:$J$451),0),
IF('TL09'!$B$3=P$3,SUMIF('TL09'!$C$10:$C$224,$C309,'TL09'!$J$10:$J$224),0),
IF('TL09'!$B$229=P$3,SUMIF('TL09'!$C$238:$C$451,$C309,'TL09'!$J$238:$J$451),0),
IF('TL10'!$B$3=P$3,SUMIF('TL10'!$C$10:$C$224,$C309,'TL10'!$J$10:$J$224),0),
IF('TL10'!$B$229=P$3,SUMIF('TL10'!$C$238:$C$451,$C309,'TL10'!$J$238:$J$451),0),
IF('TL11'!$B$3=P$3,SUMIF('TL11'!$C$10:$C$224,$C309,'TL11'!$J$10:$J$224),0),
IF('TL11'!$B$229=P$3,SUMIF('TL11'!$C$238:$C$451,$C309,'TL11'!$J$238:$J$451),0),
IF('TL12'!$B$3=P$3,SUMIF('TL12'!$C$10:$C$224,$C309,'TL12'!$J$10:$J$224),0),
IF('TL12'!$B$229=P$3,SUMIF('TL12'!$C$238:$C$451,$C309,'TL12'!$J$238:$J$451),0),
IF('TL13'!$B$3=P$3,SUMIF('TL13'!$C$10:$C$224,$C309,'TL13'!$J$10:$J$224),0),
IF('TL13'!$B$229=P$3,SUMIF('TL13'!$C$238:$C$451,$C309,'TL13'!$J$238:$J$451),0),
IF('TL14'!$B$3=P$3,SUMIF('TL14'!$C$10:$C$224,$C309,'TL14'!$J$10:$J$224),0),
IF('TL14'!$B$229=P$3,SUMIF('TL14'!$C$238:$C$451,$C309,'TL14'!$J$238:$J$451),0),
IF('TL15'!$B$3=P$3,SUMIF('TL15'!$C$10:$C$224,$C309,'TL15'!$J$10:$J$224),0),
IF('TL15'!$B$229=P$3,SUMIF('TL15'!$C$238:$C$451,$C309,'TL15'!$J$238:$J$451),0),
IF('TL16'!$B$3=P$3,SUMIF('TL16'!$C$10:$C$224,$C309,'TL16'!$J$10:$J$224),0),
IF('TL16'!$B$229=P$3,SUMIF('TL16'!$C$238:$C$451,$C309,'TL16'!$J$238:$J$451),0),
IF('TL17'!$B$3=P$3,SUMIF('TL17'!$C$10:$C$224,$C309,'TL17'!$J$10:$J$224),0),
IF('TL17'!$B$229=P$3,SUMIF('TL17'!$C$238:$C$451,$C309,'TL17'!$J$238:$J$451),0),
IF('TL18'!$B$3=P$3,SUMIF('TL18'!$C$10:$C$224,$C309,'TL18'!$J$10:$J$224),0),
IF('TL18'!$B$229=P$3,SUMIF('TL18'!$C$238:$C$451,$C309,'TL18'!$J$238:$J$451),0),
IF('TL19'!$B$3=P$3,SUMIF('TL19'!$C$10:$C$224,$C309,'TL19'!$J$10:$J$224),0),
IF('TL19'!$B$229=P$3,SUMIF('TL19'!$C$238:$C$451,$C309,'TL19'!$J$238:$J$451),0)
),0)</f>
        <v/>
      </c>
      <c r="Q309" s="9">
        <f>IFERROR(SUM(
IF('TL01'!$B$3=Q$3,SUMIF('TL01'!$C$10:$C$224,$C309,'TL01'!$J$10:$J$224),0),
IF('TL01'!$B$229=Q$3,SUMIF('TL01'!$C$238:$C$451,$C309,'TL01'!$J$238:$J$451),0),
IF('TL02'!$B$3=Q$3,SUMIF('TL02'!$C$10:$C$224,$C309,'TL02'!$J$10:$J$224),0),
IF('TL02'!$B$229=Q$3,SUMIF('TL02'!$C$238:$C$451,$C309,'TL02'!$J$238:$J$451),0),
IF('TL03'!$B$3=Q$3,SUMIF('TL03'!$C$10:$C$224,$C309,'TL03'!$J$10:$J$224),0),
IF('TL03'!$B$229=Q$3,SUMIF('TL03'!$C$238:$C$451,$C309,'TL03'!$J$238:$J$451),0),
IF('TL04'!$B$3=Q$3,SUMIF('TL04'!$C$10:$C$224,$C309,'TL04'!$J$10:$J$224),0),
IF('TL04'!$B$229=Q$3,SUMIF('TL04'!$C$238:$C$451,$C309,'TL04'!$J$238:$J$451),0),
IF('TL05'!$B$3=Q$3,SUMIF('TL05'!$C$10:$C$224,$C309,'TL05'!$J$10:$J$224),0),
IF('TL05'!$B$229=Q$3,SUMIF('TL05'!$C$238:$C$451,$C309,'TL05'!$J$238:$J$451),0),
IF('TL06'!$B$3=Q$3,SUMIF('TL06'!$C$10:$C$224,$C309,'TL06'!$J$10:$J$224),0),
IF('TL06'!$B$229=Q$3,SUMIF('TL06'!$C$238:$C$451,$C309,'TL06'!$J$238:$J$451),0),
IF('TL07'!$B$3=Q$3,SUMIF('TL07'!$C$10:$C$224,$C309,'TL07'!$J$10:$J$224),0),
IF('TL07'!$B$229=Q$3,SUMIF('TL07'!$C$238:$C$451,$C309,'TL07'!$J$238:$J$451),0),
IF('TL08'!$B$3=Q$3,SUMIF('TL08'!$C$10:$C$224,$C309,'TL08'!$J$10:$J$224),0),
IF('TL08'!$B$229=Q$3,SUMIF('TL08'!$C$238:$C$451,$C309,'TL08'!$J$238:$J$451),0),
IF('TL09'!$B$3=Q$3,SUMIF('TL09'!$C$10:$C$224,$C309,'TL09'!$J$10:$J$224),0),
IF('TL09'!$B$229=Q$3,SUMIF('TL09'!$C$238:$C$451,$C309,'TL09'!$J$238:$J$451),0),
IF('TL10'!$B$3=Q$3,SUMIF('TL10'!$C$10:$C$224,$C309,'TL10'!$J$10:$J$224),0),
IF('TL10'!$B$229=Q$3,SUMIF('TL10'!$C$238:$C$451,$C309,'TL10'!$J$238:$J$451),0),
IF('TL11'!$B$3=Q$3,SUMIF('TL11'!$C$10:$C$224,$C309,'TL11'!$J$10:$J$224),0),
IF('TL11'!$B$229=Q$3,SUMIF('TL11'!$C$238:$C$451,$C309,'TL11'!$J$238:$J$451),0),
IF('TL12'!$B$3=Q$3,SUMIF('TL12'!$C$10:$C$224,$C309,'TL12'!$J$10:$J$224),0),
IF('TL12'!$B$229=Q$3,SUMIF('TL12'!$C$238:$C$451,$C309,'TL12'!$J$238:$J$451),0),
IF('TL13'!$B$3=Q$3,SUMIF('TL13'!$C$10:$C$224,$C309,'TL13'!$J$10:$J$224),0),
IF('TL13'!$B$229=Q$3,SUMIF('TL13'!$C$238:$C$451,$C309,'TL13'!$J$238:$J$451),0),
IF('TL14'!$B$3=Q$3,SUMIF('TL14'!$C$10:$C$224,$C309,'TL14'!$J$10:$J$224),0),
IF('TL14'!$B$229=Q$3,SUMIF('TL14'!$C$238:$C$451,$C309,'TL14'!$J$238:$J$451),0),
IF('TL15'!$B$3=Q$3,SUMIF('TL15'!$C$10:$C$224,$C309,'TL15'!$J$10:$J$224),0),
IF('TL15'!$B$229=Q$3,SUMIF('TL15'!$C$238:$C$451,$C309,'TL15'!$J$238:$J$451),0),
IF('TL16'!$B$3=Q$3,SUMIF('TL16'!$C$10:$C$224,$C309,'TL16'!$J$10:$J$224),0),
IF('TL16'!$B$229=Q$3,SUMIF('TL16'!$C$238:$C$451,$C309,'TL16'!$J$238:$J$451),0),
IF('TL17'!$B$3=Q$3,SUMIF('TL17'!$C$10:$C$224,$C309,'TL17'!$J$10:$J$224),0),
IF('TL17'!$B$229=Q$3,SUMIF('TL17'!$C$238:$C$451,$C309,'TL17'!$J$238:$J$451),0),
IF('TL18'!$B$3=Q$3,SUMIF('TL18'!$C$10:$C$224,$C309,'TL18'!$J$10:$J$224),0),
IF('TL18'!$B$229=Q$3,SUMIF('TL18'!$C$238:$C$451,$C309,'TL18'!$J$238:$J$451),0),
IF('TL19'!$B$3=Q$3,SUMIF('TL19'!$C$10:$C$224,$C309,'TL19'!$J$10:$J$224),0),
IF('TL19'!$B$229=Q$3,SUMIF('TL19'!$C$238:$C$451,$C309,'TL19'!$J$238:$J$451),0)
),0)</f>
        <v/>
      </c>
      <c r="R309" s="9">
        <f>IFERROR(
SUM(
SUMIF('TL01'!C:C,C309,'TL01'!J:J),
SUMIF('TL02'!C:C,C309,'TL02'!J:J),
SUMIF('TL03'!C:C,C309,'TL03'!J:J),
SUMIF('TL04'!C:C,C309,'TL04'!J:J),
SUMIF('TL05'!C:C,C309,'TL05'!J:J),
SUMIF('TL06'!C:C,C309,'TL06'!J:J),
SUMIF('TL07'!C:C,C309,'TL07'!J:J),
SUMIF('TL08'!C:C,C309,'TL08'!J:J),
SUMIF('TL09'!C:C,C309,'TL09'!J:J),
SUMIF('TL10'!C:C,C309,'TL10'!J:J),
SUMIF('TL11'!C:C,C309,'TL11'!J:J),
SUMIF('TL12'!C:C,C309,'TL12'!J:J),
SUMIF('TL13'!C:C,C309,'TL13'!J:J),
SUMIF('TL14'!C:C,C309,'TL14'!J:J),
SUMIF('TL15'!C:C,C309,'TL15'!J:J),
SUMIF('TL16'!C:C,C309,'TL16'!J:J),
SUMIF('TL17'!C:C,C309,'TL17'!J:J),
SUMIF('TL18'!C:C,C309,'TL18'!J:J),SUMIF('TL19'!C:C,C309,'TL19'!J:J))
,0)</f>
        <v/>
      </c>
      <c r="S309" s="17">
        <f>IFERROR(__xludf.DUMMYFUNCTION("IFERROR(VLOOKUP(C309,
IMPORTRANGE(""1wULbzX32WdYsx-lj2U3uUNBBe2INVIRDtcK0d-Dvl90"",
""26-27!C:G""),
5,
FALSE),
"""")"),"")</f>
        <v/>
      </c>
      <c r="T309" s="9" t="n"/>
      <c r="U309" s="92">
        <f>MAX(0,R309-T309)</f>
        <v/>
      </c>
      <c r="V309" s="93">
        <f>U309*S309</f>
        <v/>
      </c>
    </row>
    <row r="310" hidden="1" ht="15.75" customHeight="1" s="297">
      <c r="A310" s="4" t="n"/>
      <c r="B310" s="125" t="inlineStr">
        <is>
          <t>SEMENTE</t>
        </is>
      </c>
      <c r="C310" s="4" t="inlineStr">
        <is>
          <t>MG540PWU</t>
        </is>
      </c>
      <c r="D310" s="20" t="n"/>
      <c r="E310" s="9" t="n"/>
      <c r="F310" s="4" t="inlineStr">
        <is>
          <t>SC</t>
        </is>
      </c>
      <c r="G310" s="90">
        <f>HYPERLINK("https://www.google.com/search?q=" &amp; C310 &amp; "+bula+agrofit+pdf", "📄 Ver bula")</f>
        <v/>
      </c>
      <c r="H310" s="9" t="n">
        <v>1.2</v>
      </c>
      <c r="I310" s="1" t="n"/>
      <c r="J310" s="9">
        <f>IFERROR(SUM(
IF('TL01'!$B$3=J$3,SUMIF('TL01'!$C$10:$C$224,$C310,'TL01'!$J$10:$J$224),0),
IF('TL01'!$B$229=J$3,SUMIF('TL01'!$C$238:$C$451,$C310,'TL01'!$J$238:$J$451),0),
IF('TL02'!$B$3=J$3,SUMIF('TL02'!$C$10:$C$224,$C310,'TL02'!$J$10:$J$224),0),
IF('TL02'!$B$229=J$3,SUMIF('TL02'!$C$238:$C$451,$C310,'TL02'!$J$238:$J$451),0),
IF('TL03'!$B$3=J$3,SUMIF('TL03'!$C$10:$C$224,$C310,'TL03'!$J$10:$J$224),0),
IF('TL03'!$B$229=J$3,SUMIF('TL03'!$C$238:$C$451,$C310,'TL03'!$J$238:$J$451),0),
IF('TL04'!$B$3=J$3,SUMIF('TL04'!$C$10:$C$224,$C310,'TL04'!$J$10:$J$224),0),
IF('TL04'!$B$229=J$3,SUMIF('TL04'!$C$238:$C$451,$C310,'TL04'!$J$238:$J$451),0),
IF('TL05'!$B$3=J$3,SUMIF('TL05'!$C$10:$C$224,$C310,'TL05'!$J$10:$J$224),0),
IF('TL05'!$B$229=J$3,SUMIF('TL05'!$C$238:$C$451,$C310,'TL05'!$J$238:$J$451),0),
IF('TL06'!$B$3=J$3,SUMIF('TL06'!$C$10:$C$224,$C310,'TL06'!$J$10:$J$224),0),
IF('TL06'!$B$229=J$3,SUMIF('TL06'!$C$238:$C$451,$C310,'TL06'!$J$238:$J$451),0),
IF('TL07'!$B$3=J$3,SUMIF('TL07'!$C$10:$C$224,$C310,'TL07'!$J$10:$J$224),0),
IF('TL07'!$B$229=J$3,SUMIF('TL07'!$C$238:$C$451,$C310,'TL07'!$J$238:$J$451),0),
IF('TL08'!$B$3=J$3,SUMIF('TL08'!$C$10:$C$224,$C310,'TL08'!$J$10:$J$224),0),
IF('TL08'!$B$229=J$3,SUMIF('TL08'!$C$238:$C$451,$C310,'TL08'!$J$238:$J$451),0),
IF('TL09'!$B$3=J$3,SUMIF('TL09'!$C$10:$C$224,$C310,'TL09'!$J$10:$J$224),0),
IF('TL09'!$B$229=J$3,SUMIF('TL09'!$C$238:$C$451,$C310,'TL09'!$J$238:$J$451),0),
IF('TL10'!$B$3=J$3,SUMIF('TL10'!$C$10:$C$224,$C310,'TL10'!$J$10:$J$224),0),
IF('TL10'!$B$229=J$3,SUMIF('TL10'!$C$238:$C$451,$C310,'TL10'!$J$238:$J$451),0),
IF('TL11'!$B$3=J$3,SUMIF('TL11'!$C$10:$C$224,$C310,'TL11'!$J$10:$J$224),0),
IF('TL11'!$B$229=J$3,SUMIF('TL11'!$C$238:$C$451,$C310,'TL11'!$J$238:$J$451),0),
IF('TL12'!$B$3=J$3,SUMIF('TL12'!$C$10:$C$224,$C310,'TL12'!$J$10:$J$224),0),
IF('TL12'!$B$229=J$3,SUMIF('TL12'!$C$238:$C$451,$C310,'TL12'!$J$238:$J$451),0),
IF('TL13'!$B$3=J$3,SUMIF('TL13'!$C$10:$C$224,$C310,'TL13'!$J$10:$J$224),0),
IF('TL13'!$B$229=J$3,SUMIF('TL13'!$C$238:$C$451,$C310,'TL13'!$J$238:$J$451),0),
IF('TL14'!$B$3=J$3,SUMIF('TL14'!$C$10:$C$224,$C310,'TL14'!$J$10:$J$224),0),
IF('TL14'!$B$229=J$3,SUMIF('TL14'!$C$238:$C$451,$C310,'TL14'!$J$238:$J$451),0),
IF('TL15'!$B$3=J$3,SUMIF('TL15'!$C$10:$C$224,$C310,'TL15'!$J$10:$J$224),0),
IF('TL15'!$B$229=J$3,SUMIF('TL15'!$C$238:$C$451,$C310,'TL15'!$J$238:$J$451),0),
IF('TL16'!$B$3=J$3,SUMIF('TL16'!$C$10:$C$224,$C310,'TL16'!$J$10:$J$224),0),
IF('TL16'!$B$229=J$3,SUMIF('TL16'!$C$238:$C$451,$C310,'TL16'!$J$238:$J$451),0),
IF('TL17'!$B$3=J$3,SUMIF('TL17'!$C$10:$C$224,$C310,'TL17'!$J$10:$J$224),0),
IF('TL17'!$B$229=J$3,SUMIF('TL17'!$C$238:$C$451,$C310,'TL17'!$J$238:$J$451),0),
IF('TL18'!$B$3=J$3,SUMIF('TL18'!$C$10:$C$224,$C310,'TL18'!$J$10:$J$224),0),
IF('TL18'!$B$229=J$3,SUMIF('TL18'!$C$238:$C$451,$C310,'TL18'!$J$238:$J$451),0),
IF('TL19'!$B$3=J$3,SUMIF('TL19'!$C$10:$C$224,$C310,'TL19'!$J$10:$J$224),0),
IF('TL19'!$B$229=J$3,SUMIF('TL19'!$C$238:$C$451,$C310,'TL19'!$J$238:$J$451),0)
),0)</f>
        <v/>
      </c>
      <c r="K310" s="9">
        <f>IFERROR(SUM(
IF('TL01'!$B$3=K$3,SUMIF('TL01'!$C$10:$C$224,$C310,'TL01'!$J$10:$J$224),0),
IF('TL01'!$B$229=K$3,SUMIF('TL01'!$C$238:$C$451,$C310,'TL01'!$J$238:$J$451),0),
IF('TL02'!$B$3=K$3,SUMIF('TL02'!$C$10:$C$224,$C310,'TL02'!$J$10:$J$224),0),
IF('TL02'!$B$229=K$3,SUMIF('TL02'!$C$238:$C$451,$C310,'TL02'!$J$238:$J$451),0),
IF('TL03'!$B$3=K$3,SUMIF('TL03'!$C$10:$C$224,$C310,'TL03'!$J$10:$J$224),0),
IF('TL03'!$B$229=K$3,SUMIF('TL03'!$C$238:$C$451,$C310,'TL03'!$J$238:$J$451),0),
IF('TL04'!$B$3=K$3,SUMIF('TL04'!$C$10:$C$224,$C310,'TL04'!$J$10:$J$224),0),
IF('TL04'!$B$229=K$3,SUMIF('TL04'!$C$238:$C$451,$C310,'TL04'!$J$238:$J$451),0),
IF('TL05'!$B$3=K$3,SUMIF('TL05'!$C$10:$C$224,$C310,'TL05'!$J$10:$J$224),0),
IF('TL05'!$B$229=K$3,SUMIF('TL05'!$C$238:$C$451,$C310,'TL05'!$J$238:$J$451),0),
IF('TL06'!$B$3=K$3,SUMIF('TL06'!$C$10:$C$224,$C310,'TL06'!$J$10:$J$224),0),
IF('TL06'!$B$229=K$3,SUMIF('TL06'!$C$238:$C$451,$C310,'TL06'!$J$238:$J$451),0),
IF('TL07'!$B$3=K$3,SUMIF('TL07'!$C$10:$C$224,$C310,'TL07'!$J$10:$J$224),0),
IF('TL07'!$B$229=K$3,SUMIF('TL07'!$C$238:$C$451,$C310,'TL07'!$J$238:$J$451),0),
IF('TL08'!$B$3=K$3,SUMIF('TL08'!$C$10:$C$224,$C310,'TL08'!$J$10:$J$224),0),
IF('TL08'!$B$229=K$3,SUMIF('TL08'!$C$238:$C$451,$C310,'TL08'!$J$238:$J$451),0),
IF('TL09'!$B$3=K$3,SUMIF('TL09'!$C$10:$C$224,$C310,'TL09'!$J$10:$J$224),0),
IF('TL09'!$B$229=K$3,SUMIF('TL09'!$C$238:$C$451,$C310,'TL09'!$J$238:$J$451),0),
IF('TL10'!$B$3=K$3,SUMIF('TL10'!$C$10:$C$224,$C310,'TL10'!$J$10:$J$224),0),
IF('TL10'!$B$229=K$3,SUMIF('TL10'!$C$238:$C$451,$C310,'TL10'!$J$238:$J$451),0),
IF('TL11'!$B$3=K$3,SUMIF('TL11'!$C$10:$C$224,$C310,'TL11'!$J$10:$J$224),0),
IF('TL11'!$B$229=K$3,SUMIF('TL11'!$C$238:$C$451,$C310,'TL11'!$J$238:$J$451),0),
IF('TL12'!$B$3=K$3,SUMIF('TL12'!$C$10:$C$224,$C310,'TL12'!$J$10:$J$224),0),
IF('TL12'!$B$229=K$3,SUMIF('TL12'!$C$238:$C$451,$C310,'TL12'!$J$238:$J$451),0),
IF('TL13'!$B$3=K$3,SUMIF('TL13'!$C$10:$C$224,$C310,'TL13'!$J$10:$J$224),0),
IF('TL13'!$B$229=K$3,SUMIF('TL13'!$C$238:$C$451,$C310,'TL13'!$J$238:$J$451),0),
IF('TL14'!$B$3=K$3,SUMIF('TL14'!$C$10:$C$224,$C310,'TL14'!$J$10:$J$224),0),
IF('TL14'!$B$229=K$3,SUMIF('TL14'!$C$238:$C$451,$C310,'TL14'!$J$238:$J$451),0),
IF('TL15'!$B$3=K$3,SUMIF('TL15'!$C$10:$C$224,$C310,'TL15'!$J$10:$J$224),0),
IF('TL15'!$B$229=K$3,SUMIF('TL15'!$C$238:$C$451,$C310,'TL15'!$J$238:$J$451),0),
IF('TL16'!$B$3=K$3,SUMIF('TL16'!$C$10:$C$224,$C310,'TL16'!$J$10:$J$224),0),
IF('TL16'!$B$229=K$3,SUMIF('TL16'!$C$238:$C$451,$C310,'TL16'!$J$238:$J$451),0),
IF('TL17'!$B$3=K$3,SUMIF('TL17'!$C$10:$C$224,$C310,'TL17'!$J$10:$J$224),0),
IF('TL17'!$B$229=K$3,SUMIF('TL17'!$C$238:$C$451,$C310,'TL17'!$J$238:$J$451),0),
IF('TL18'!$B$3=K$3,SUMIF('TL18'!$C$10:$C$224,$C310,'TL18'!$J$10:$J$224),0),
IF('TL18'!$B$229=K$3,SUMIF('TL18'!$C$238:$C$451,$C310,'TL18'!$J$238:$J$451),0),
IF('TL19'!$B$3=K$3,SUMIF('TL19'!$C$10:$C$224,$C310,'TL19'!$J$10:$J$224),0),
IF('TL19'!$B$229=K$3,SUMIF('TL19'!$C$238:$C$451,$C310,'TL19'!$J$238:$J$451),0)
),0)</f>
        <v/>
      </c>
      <c r="L310" s="9">
        <f>IFERROR(SUM(
IF('TL01'!$B$3=L$3,SUMIF('TL01'!$C$10:$C$224,$C310,'TL01'!$J$10:$J$224),0),
IF('TL01'!$B$229=L$3,SUMIF('TL01'!$C$238:$C$451,$C310,'TL01'!$J$238:$J$451),0),
IF('TL02'!$B$3=L$3,SUMIF('TL02'!$C$10:$C$224,$C310,'TL02'!$J$10:$J$224),0),
IF('TL02'!$B$229=L$3,SUMIF('TL02'!$C$238:$C$451,$C310,'TL02'!$J$238:$J$451),0),
IF('TL03'!$B$3=L$3,SUMIF('TL03'!$C$10:$C$224,$C310,'TL03'!$J$10:$J$224),0),
IF('TL03'!$B$229=L$3,SUMIF('TL03'!$C$238:$C$451,$C310,'TL03'!$J$238:$J$451),0),
IF('TL04'!$B$3=L$3,SUMIF('TL04'!$C$10:$C$224,$C310,'TL04'!$J$10:$J$224),0),
IF('TL04'!$B$229=L$3,SUMIF('TL04'!$C$238:$C$451,$C310,'TL04'!$J$238:$J$451),0),
IF('TL05'!$B$3=L$3,SUMIF('TL05'!$C$10:$C$224,$C310,'TL05'!$J$10:$J$224),0),
IF('TL05'!$B$229=L$3,SUMIF('TL05'!$C$238:$C$451,$C310,'TL05'!$J$238:$J$451),0),
IF('TL06'!$B$3=L$3,SUMIF('TL06'!$C$10:$C$224,$C310,'TL06'!$J$10:$J$224),0),
IF('TL06'!$B$229=L$3,SUMIF('TL06'!$C$238:$C$451,$C310,'TL06'!$J$238:$J$451),0),
IF('TL07'!$B$3=L$3,SUMIF('TL07'!$C$10:$C$224,$C310,'TL07'!$J$10:$J$224),0),
IF('TL07'!$B$229=L$3,SUMIF('TL07'!$C$238:$C$451,$C310,'TL07'!$J$238:$J$451),0),
IF('TL08'!$B$3=L$3,SUMIF('TL08'!$C$10:$C$224,$C310,'TL08'!$J$10:$J$224),0),
IF('TL08'!$B$229=L$3,SUMIF('TL08'!$C$238:$C$451,$C310,'TL08'!$J$238:$J$451),0),
IF('TL09'!$B$3=L$3,SUMIF('TL09'!$C$10:$C$224,$C310,'TL09'!$J$10:$J$224),0),
IF('TL09'!$B$229=L$3,SUMIF('TL09'!$C$238:$C$451,$C310,'TL09'!$J$238:$J$451),0),
IF('TL10'!$B$3=L$3,SUMIF('TL10'!$C$10:$C$224,$C310,'TL10'!$J$10:$J$224),0),
IF('TL10'!$B$229=L$3,SUMIF('TL10'!$C$238:$C$451,$C310,'TL10'!$J$238:$J$451),0),
IF('TL11'!$B$3=L$3,SUMIF('TL11'!$C$10:$C$224,$C310,'TL11'!$J$10:$J$224),0),
IF('TL11'!$B$229=L$3,SUMIF('TL11'!$C$238:$C$451,$C310,'TL11'!$J$238:$J$451),0),
IF('TL12'!$B$3=L$3,SUMIF('TL12'!$C$10:$C$224,$C310,'TL12'!$J$10:$J$224),0),
IF('TL12'!$B$229=L$3,SUMIF('TL12'!$C$238:$C$451,$C310,'TL12'!$J$238:$J$451),0),
IF('TL13'!$B$3=L$3,SUMIF('TL13'!$C$10:$C$224,$C310,'TL13'!$J$10:$J$224),0),
IF('TL13'!$B$229=L$3,SUMIF('TL13'!$C$238:$C$451,$C310,'TL13'!$J$238:$J$451),0),
IF('TL14'!$B$3=L$3,SUMIF('TL14'!$C$10:$C$224,$C310,'TL14'!$J$10:$J$224),0),
IF('TL14'!$B$229=L$3,SUMIF('TL14'!$C$238:$C$451,$C310,'TL14'!$J$238:$J$451),0),
IF('TL15'!$B$3=L$3,SUMIF('TL15'!$C$10:$C$224,$C310,'TL15'!$J$10:$J$224),0),
IF('TL15'!$B$229=L$3,SUMIF('TL15'!$C$238:$C$451,$C310,'TL15'!$J$238:$J$451),0),
IF('TL16'!$B$3=L$3,SUMIF('TL16'!$C$10:$C$224,$C310,'TL16'!$J$10:$J$224),0),
IF('TL16'!$B$229=L$3,SUMIF('TL16'!$C$238:$C$451,$C310,'TL16'!$J$238:$J$451),0),
IF('TL17'!$B$3=L$3,SUMIF('TL17'!$C$10:$C$224,$C310,'TL17'!$J$10:$J$224),0),
IF('TL17'!$B$229=L$3,SUMIF('TL17'!$C$238:$C$451,$C310,'TL17'!$J$238:$J$451),0),
IF('TL18'!$B$3=L$3,SUMIF('TL18'!$C$10:$C$224,$C310,'TL18'!$J$10:$J$224),0),
IF('TL18'!$B$229=L$3,SUMIF('TL18'!$C$238:$C$451,$C310,'TL18'!$J$238:$J$451),0),
IF('TL19'!$B$3=L$3,SUMIF('TL19'!$C$10:$C$224,$C310,'TL19'!$J$10:$J$224),0),
IF('TL19'!$B$229=L$3,SUMIF('TL19'!$C$238:$C$451,$C310,'TL19'!$J$238:$J$451),0)
),0)</f>
        <v/>
      </c>
      <c r="M310" s="9">
        <f>IFERROR(SUM(
IF('TL01'!$B$3=M$3,SUMIF('TL01'!$C$10:$C$224,$C310,'TL01'!$J$10:$J$224),0),
IF('TL01'!$B$229=M$3,SUMIF('TL01'!$C$238:$C$451,$C310,'TL01'!$J$238:$J$451),0),
IF('TL02'!$B$3=M$3,SUMIF('TL02'!$C$10:$C$224,$C310,'TL02'!$J$10:$J$224),0),
IF('TL02'!$B$229=M$3,SUMIF('TL02'!$C$238:$C$451,$C310,'TL02'!$J$238:$J$451),0),
IF('TL03'!$B$3=M$3,SUMIF('TL03'!$C$10:$C$224,$C310,'TL03'!$J$10:$J$224),0),
IF('TL03'!$B$229=M$3,SUMIF('TL03'!$C$238:$C$451,$C310,'TL03'!$J$238:$J$451),0),
IF('TL04'!$B$3=M$3,SUMIF('TL04'!$C$10:$C$224,$C310,'TL04'!$J$10:$J$224),0),
IF('TL04'!$B$229=M$3,SUMIF('TL04'!$C$238:$C$451,$C310,'TL04'!$J$238:$J$451),0),
IF('TL05'!$B$3=M$3,SUMIF('TL05'!$C$10:$C$224,$C310,'TL05'!$J$10:$J$224),0),
IF('TL05'!$B$229=M$3,SUMIF('TL05'!$C$238:$C$451,$C310,'TL05'!$J$238:$J$451),0),
IF('TL06'!$B$3=M$3,SUMIF('TL06'!$C$10:$C$224,$C310,'TL06'!$J$10:$J$224),0),
IF('TL06'!$B$229=M$3,SUMIF('TL06'!$C$238:$C$451,$C310,'TL06'!$J$238:$J$451),0),
IF('TL07'!$B$3=M$3,SUMIF('TL07'!$C$10:$C$224,$C310,'TL07'!$J$10:$J$224),0),
IF('TL07'!$B$229=M$3,SUMIF('TL07'!$C$238:$C$451,$C310,'TL07'!$J$238:$J$451),0),
IF('TL08'!$B$3=M$3,SUMIF('TL08'!$C$10:$C$224,$C310,'TL08'!$J$10:$J$224),0),
IF('TL08'!$B$229=M$3,SUMIF('TL08'!$C$238:$C$451,$C310,'TL08'!$J$238:$J$451),0),
IF('TL09'!$B$3=M$3,SUMIF('TL09'!$C$10:$C$224,$C310,'TL09'!$J$10:$J$224),0),
IF('TL09'!$B$229=M$3,SUMIF('TL09'!$C$238:$C$451,$C310,'TL09'!$J$238:$J$451),0),
IF('TL10'!$B$3=M$3,SUMIF('TL10'!$C$10:$C$224,$C310,'TL10'!$J$10:$J$224),0),
IF('TL10'!$B$229=M$3,SUMIF('TL10'!$C$238:$C$451,$C310,'TL10'!$J$238:$J$451),0),
IF('TL11'!$B$3=M$3,SUMIF('TL11'!$C$10:$C$224,$C310,'TL11'!$J$10:$J$224),0),
IF('TL11'!$B$229=M$3,SUMIF('TL11'!$C$238:$C$451,$C310,'TL11'!$J$238:$J$451),0),
IF('TL12'!$B$3=M$3,SUMIF('TL12'!$C$10:$C$224,$C310,'TL12'!$J$10:$J$224),0),
IF('TL12'!$B$229=M$3,SUMIF('TL12'!$C$238:$C$451,$C310,'TL12'!$J$238:$J$451),0),
IF('TL13'!$B$3=M$3,SUMIF('TL13'!$C$10:$C$224,$C310,'TL13'!$J$10:$J$224),0),
IF('TL13'!$B$229=M$3,SUMIF('TL13'!$C$238:$C$451,$C310,'TL13'!$J$238:$J$451),0),
IF('TL14'!$B$3=M$3,SUMIF('TL14'!$C$10:$C$224,$C310,'TL14'!$J$10:$J$224),0),
IF('TL14'!$B$229=M$3,SUMIF('TL14'!$C$238:$C$451,$C310,'TL14'!$J$238:$J$451),0),
IF('TL15'!$B$3=M$3,SUMIF('TL15'!$C$10:$C$224,$C310,'TL15'!$J$10:$J$224),0),
IF('TL15'!$B$229=M$3,SUMIF('TL15'!$C$238:$C$451,$C310,'TL15'!$J$238:$J$451),0),
IF('TL16'!$B$3=M$3,SUMIF('TL16'!$C$10:$C$224,$C310,'TL16'!$J$10:$J$224),0),
IF('TL16'!$B$229=M$3,SUMIF('TL16'!$C$238:$C$451,$C310,'TL16'!$J$238:$J$451),0),
IF('TL17'!$B$3=M$3,SUMIF('TL17'!$C$10:$C$224,$C310,'TL17'!$J$10:$J$224),0),
IF('TL17'!$B$229=M$3,SUMIF('TL17'!$C$238:$C$451,$C310,'TL17'!$J$238:$J$451),0),
IF('TL18'!$B$3=M$3,SUMIF('TL18'!$C$10:$C$224,$C310,'TL18'!$J$10:$J$224),0),
IF('TL18'!$B$229=M$3,SUMIF('TL18'!$C$238:$C$451,$C310,'TL18'!$J$238:$J$451),0),
IF('TL19'!$B$3=M$3,SUMIF('TL19'!$C$10:$C$224,$C310,'TL19'!$J$10:$J$224),0),
IF('TL19'!$B$229=M$3,SUMIF('TL19'!$C$238:$C$451,$C310,'TL19'!$J$238:$J$451),0)
),0)</f>
        <v/>
      </c>
      <c r="N310" s="9">
        <f>IFERROR(SUM(
IF('TL01'!$B$3=N$3,SUMIF('TL01'!$C$10:$C$224,$C310,'TL01'!$J$10:$J$224),0),
IF('TL01'!$B$229=N$3,SUMIF('TL01'!$C$238:$C$451,$C310,'TL01'!$J$238:$J$451),0),
IF('TL02'!$B$3=N$3,SUMIF('TL02'!$C$10:$C$224,$C310,'TL02'!$J$10:$J$224),0),
IF('TL02'!$B$229=N$3,SUMIF('TL02'!$C$238:$C$451,$C310,'TL02'!$J$238:$J$451),0),
IF('TL03'!$B$3=N$3,SUMIF('TL03'!$C$10:$C$224,$C310,'TL03'!$J$10:$J$224),0),
IF('TL03'!$B$229=N$3,SUMIF('TL03'!$C$238:$C$451,$C310,'TL03'!$J$238:$J$451),0),
IF('TL04'!$B$3=N$3,SUMIF('TL04'!$C$10:$C$224,$C310,'TL04'!$J$10:$J$224),0),
IF('TL04'!$B$229=N$3,SUMIF('TL04'!$C$238:$C$451,$C310,'TL04'!$J$238:$J$451),0),
IF('TL05'!$B$3=N$3,SUMIF('TL05'!$C$10:$C$224,$C310,'TL05'!$J$10:$J$224),0),
IF('TL05'!$B$229=N$3,SUMIF('TL05'!$C$238:$C$451,$C310,'TL05'!$J$238:$J$451),0),
IF('TL06'!$B$3=N$3,SUMIF('TL06'!$C$10:$C$224,$C310,'TL06'!$J$10:$J$224),0),
IF('TL06'!$B$229=N$3,SUMIF('TL06'!$C$238:$C$451,$C310,'TL06'!$J$238:$J$451),0),
IF('TL07'!$B$3=N$3,SUMIF('TL07'!$C$10:$C$224,$C310,'TL07'!$J$10:$J$224),0),
IF('TL07'!$B$229=N$3,SUMIF('TL07'!$C$238:$C$451,$C310,'TL07'!$J$238:$J$451),0),
IF('TL08'!$B$3=N$3,SUMIF('TL08'!$C$10:$C$224,$C310,'TL08'!$J$10:$J$224),0),
IF('TL08'!$B$229=N$3,SUMIF('TL08'!$C$238:$C$451,$C310,'TL08'!$J$238:$J$451),0),
IF('TL09'!$B$3=N$3,SUMIF('TL09'!$C$10:$C$224,$C310,'TL09'!$J$10:$J$224),0),
IF('TL09'!$B$229=N$3,SUMIF('TL09'!$C$238:$C$451,$C310,'TL09'!$J$238:$J$451),0),
IF('TL10'!$B$3=N$3,SUMIF('TL10'!$C$10:$C$224,$C310,'TL10'!$J$10:$J$224),0),
IF('TL10'!$B$229=N$3,SUMIF('TL10'!$C$238:$C$451,$C310,'TL10'!$J$238:$J$451),0),
IF('TL11'!$B$3=N$3,SUMIF('TL11'!$C$10:$C$224,$C310,'TL11'!$J$10:$J$224),0),
IF('TL11'!$B$229=N$3,SUMIF('TL11'!$C$238:$C$451,$C310,'TL11'!$J$238:$J$451),0),
IF('TL12'!$B$3=N$3,SUMIF('TL12'!$C$10:$C$224,$C310,'TL12'!$J$10:$J$224),0),
IF('TL12'!$B$229=N$3,SUMIF('TL12'!$C$238:$C$451,$C310,'TL12'!$J$238:$J$451),0),
IF('TL13'!$B$3=N$3,SUMIF('TL13'!$C$10:$C$224,$C310,'TL13'!$J$10:$J$224),0),
IF('TL13'!$B$229=N$3,SUMIF('TL13'!$C$238:$C$451,$C310,'TL13'!$J$238:$J$451),0),
IF('TL14'!$B$3=N$3,SUMIF('TL14'!$C$10:$C$224,$C310,'TL14'!$J$10:$J$224),0),
IF('TL14'!$B$229=N$3,SUMIF('TL14'!$C$238:$C$451,$C310,'TL14'!$J$238:$J$451),0),
IF('TL15'!$B$3=N$3,SUMIF('TL15'!$C$10:$C$224,$C310,'TL15'!$J$10:$J$224),0),
IF('TL15'!$B$229=N$3,SUMIF('TL15'!$C$238:$C$451,$C310,'TL15'!$J$238:$J$451),0),
IF('TL16'!$B$3=N$3,SUMIF('TL16'!$C$10:$C$224,$C310,'TL16'!$J$10:$J$224),0),
IF('TL16'!$B$229=N$3,SUMIF('TL16'!$C$238:$C$451,$C310,'TL16'!$J$238:$J$451),0),
IF('TL17'!$B$3=N$3,SUMIF('TL17'!$C$10:$C$224,$C310,'TL17'!$J$10:$J$224),0),
IF('TL17'!$B$229=N$3,SUMIF('TL17'!$C$238:$C$451,$C310,'TL17'!$J$238:$J$451),0),
IF('TL18'!$B$3=N$3,SUMIF('TL18'!$C$10:$C$224,$C310,'TL18'!$J$10:$J$224),0),
IF('TL18'!$B$229=N$3,SUMIF('TL18'!$C$238:$C$451,$C310,'TL18'!$J$238:$J$451),0),
IF('TL19'!$B$3=N$3,SUMIF('TL19'!$C$10:$C$224,$C310,'TL19'!$J$10:$J$224),0),
IF('TL19'!$B$229=N$3,SUMIF('TL19'!$C$238:$C$451,$C310,'TL19'!$J$238:$J$451),0)
),0)</f>
        <v/>
      </c>
      <c r="O310" s="9">
        <f>IFERROR(SUM(
IF('TL01'!$B$3=O$3,SUMIF('TL01'!$C$10:$C$224,$C310,'TL01'!$J$10:$J$224),0),
IF('TL01'!$B$229=O$3,SUMIF('TL01'!$C$238:$C$451,$C310,'TL01'!$J$238:$J$451),0),
IF('TL02'!$B$3=O$3,SUMIF('TL02'!$C$10:$C$224,$C310,'TL02'!$J$10:$J$224),0),
IF('TL02'!$B$229=O$3,SUMIF('TL02'!$C$238:$C$451,$C310,'TL02'!$J$238:$J$451),0),
IF('TL03'!$B$3=O$3,SUMIF('TL03'!$C$10:$C$224,$C310,'TL03'!$J$10:$J$224),0),
IF('TL03'!$B$229=O$3,SUMIF('TL03'!$C$238:$C$451,$C310,'TL03'!$J$238:$J$451),0),
IF('TL04'!$B$3=O$3,SUMIF('TL04'!$C$10:$C$224,$C310,'TL04'!$J$10:$J$224),0),
IF('TL04'!$B$229=O$3,SUMIF('TL04'!$C$238:$C$451,$C310,'TL04'!$J$238:$J$451),0),
IF('TL05'!$B$3=O$3,SUMIF('TL05'!$C$10:$C$224,$C310,'TL05'!$J$10:$J$224),0),
IF('TL05'!$B$229=O$3,SUMIF('TL05'!$C$238:$C$451,$C310,'TL05'!$J$238:$J$451),0),
IF('TL06'!$B$3=O$3,SUMIF('TL06'!$C$10:$C$224,$C310,'TL06'!$J$10:$J$224),0),
IF('TL06'!$B$229=O$3,SUMIF('TL06'!$C$238:$C$451,$C310,'TL06'!$J$238:$J$451),0),
IF('TL07'!$B$3=O$3,SUMIF('TL07'!$C$10:$C$224,$C310,'TL07'!$J$10:$J$224),0),
IF('TL07'!$B$229=O$3,SUMIF('TL07'!$C$238:$C$451,$C310,'TL07'!$J$238:$J$451),0),
IF('TL08'!$B$3=O$3,SUMIF('TL08'!$C$10:$C$224,$C310,'TL08'!$J$10:$J$224),0),
IF('TL08'!$B$229=O$3,SUMIF('TL08'!$C$238:$C$451,$C310,'TL08'!$J$238:$J$451),0),
IF('TL09'!$B$3=O$3,SUMIF('TL09'!$C$10:$C$224,$C310,'TL09'!$J$10:$J$224),0),
IF('TL09'!$B$229=O$3,SUMIF('TL09'!$C$238:$C$451,$C310,'TL09'!$J$238:$J$451),0),
IF('TL10'!$B$3=O$3,SUMIF('TL10'!$C$10:$C$224,$C310,'TL10'!$J$10:$J$224),0),
IF('TL10'!$B$229=O$3,SUMIF('TL10'!$C$238:$C$451,$C310,'TL10'!$J$238:$J$451),0),
IF('TL11'!$B$3=O$3,SUMIF('TL11'!$C$10:$C$224,$C310,'TL11'!$J$10:$J$224),0),
IF('TL11'!$B$229=O$3,SUMIF('TL11'!$C$238:$C$451,$C310,'TL11'!$J$238:$J$451),0),
IF('TL12'!$B$3=O$3,SUMIF('TL12'!$C$10:$C$224,$C310,'TL12'!$J$10:$J$224),0),
IF('TL12'!$B$229=O$3,SUMIF('TL12'!$C$238:$C$451,$C310,'TL12'!$J$238:$J$451),0),
IF('TL13'!$B$3=O$3,SUMIF('TL13'!$C$10:$C$224,$C310,'TL13'!$J$10:$J$224),0),
IF('TL13'!$B$229=O$3,SUMIF('TL13'!$C$238:$C$451,$C310,'TL13'!$J$238:$J$451),0),
IF('TL14'!$B$3=O$3,SUMIF('TL14'!$C$10:$C$224,$C310,'TL14'!$J$10:$J$224),0),
IF('TL14'!$B$229=O$3,SUMIF('TL14'!$C$238:$C$451,$C310,'TL14'!$J$238:$J$451),0),
IF('TL15'!$B$3=O$3,SUMIF('TL15'!$C$10:$C$224,$C310,'TL15'!$J$10:$J$224),0),
IF('TL15'!$B$229=O$3,SUMIF('TL15'!$C$238:$C$451,$C310,'TL15'!$J$238:$J$451),0),
IF('TL16'!$B$3=O$3,SUMIF('TL16'!$C$10:$C$224,$C310,'TL16'!$J$10:$J$224),0),
IF('TL16'!$B$229=O$3,SUMIF('TL16'!$C$238:$C$451,$C310,'TL16'!$J$238:$J$451),0),
IF('TL17'!$B$3=O$3,SUMIF('TL17'!$C$10:$C$224,$C310,'TL17'!$J$10:$J$224),0),
IF('TL17'!$B$229=O$3,SUMIF('TL17'!$C$238:$C$451,$C310,'TL17'!$J$238:$J$451),0),
IF('TL18'!$B$3=O$3,SUMIF('TL18'!$C$10:$C$224,$C310,'TL18'!$J$10:$J$224),0),
IF('TL18'!$B$229=O$3,SUMIF('TL18'!$C$238:$C$451,$C310,'TL18'!$J$238:$J$451),0),
IF('TL19'!$B$3=O$3,SUMIF('TL19'!$C$10:$C$224,$C310,'TL19'!$J$10:$J$224),0),
IF('TL19'!$B$229=O$3,SUMIF('TL19'!$C$238:$C$451,$C310,'TL19'!$J$238:$J$451),0)
),0)</f>
        <v/>
      </c>
      <c r="P310" s="9">
        <f>IFERROR(SUM(
IF('TL01'!$B$3=P$3,SUMIF('TL01'!$C$10:$C$224,$C310,'TL01'!$J$10:$J$224),0),
IF('TL01'!$B$229=P$3,SUMIF('TL01'!$C$238:$C$451,$C310,'TL01'!$J$238:$J$451),0),
IF('TL02'!$B$3=P$3,SUMIF('TL02'!$C$10:$C$224,$C310,'TL02'!$J$10:$J$224),0),
IF('TL02'!$B$229=P$3,SUMIF('TL02'!$C$238:$C$451,$C310,'TL02'!$J$238:$J$451),0),
IF('TL03'!$B$3=P$3,SUMIF('TL03'!$C$10:$C$224,$C310,'TL03'!$J$10:$J$224),0),
IF('TL03'!$B$229=P$3,SUMIF('TL03'!$C$238:$C$451,$C310,'TL03'!$J$238:$J$451),0),
IF('TL04'!$B$3=P$3,SUMIF('TL04'!$C$10:$C$224,$C310,'TL04'!$J$10:$J$224),0),
IF('TL04'!$B$229=P$3,SUMIF('TL04'!$C$238:$C$451,$C310,'TL04'!$J$238:$J$451),0),
IF('TL05'!$B$3=P$3,SUMIF('TL05'!$C$10:$C$224,$C310,'TL05'!$J$10:$J$224),0),
IF('TL05'!$B$229=P$3,SUMIF('TL05'!$C$238:$C$451,$C310,'TL05'!$J$238:$J$451),0),
IF('TL06'!$B$3=P$3,SUMIF('TL06'!$C$10:$C$224,$C310,'TL06'!$J$10:$J$224),0),
IF('TL06'!$B$229=P$3,SUMIF('TL06'!$C$238:$C$451,$C310,'TL06'!$J$238:$J$451),0),
IF('TL07'!$B$3=P$3,SUMIF('TL07'!$C$10:$C$224,$C310,'TL07'!$J$10:$J$224),0),
IF('TL07'!$B$229=P$3,SUMIF('TL07'!$C$238:$C$451,$C310,'TL07'!$J$238:$J$451),0),
IF('TL08'!$B$3=P$3,SUMIF('TL08'!$C$10:$C$224,$C310,'TL08'!$J$10:$J$224),0),
IF('TL08'!$B$229=P$3,SUMIF('TL08'!$C$238:$C$451,$C310,'TL08'!$J$238:$J$451),0),
IF('TL09'!$B$3=P$3,SUMIF('TL09'!$C$10:$C$224,$C310,'TL09'!$J$10:$J$224),0),
IF('TL09'!$B$229=P$3,SUMIF('TL09'!$C$238:$C$451,$C310,'TL09'!$J$238:$J$451),0),
IF('TL10'!$B$3=P$3,SUMIF('TL10'!$C$10:$C$224,$C310,'TL10'!$J$10:$J$224),0),
IF('TL10'!$B$229=P$3,SUMIF('TL10'!$C$238:$C$451,$C310,'TL10'!$J$238:$J$451),0),
IF('TL11'!$B$3=P$3,SUMIF('TL11'!$C$10:$C$224,$C310,'TL11'!$J$10:$J$224),0),
IF('TL11'!$B$229=P$3,SUMIF('TL11'!$C$238:$C$451,$C310,'TL11'!$J$238:$J$451),0),
IF('TL12'!$B$3=P$3,SUMIF('TL12'!$C$10:$C$224,$C310,'TL12'!$J$10:$J$224),0),
IF('TL12'!$B$229=P$3,SUMIF('TL12'!$C$238:$C$451,$C310,'TL12'!$J$238:$J$451),0),
IF('TL13'!$B$3=P$3,SUMIF('TL13'!$C$10:$C$224,$C310,'TL13'!$J$10:$J$224),0),
IF('TL13'!$B$229=P$3,SUMIF('TL13'!$C$238:$C$451,$C310,'TL13'!$J$238:$J$451),0),
IF('TL14'!$B$3=P$3,SUMIF('TL14'!$C$10:$C$224,$C310,'TL14'!$J$10:$J$224),0),
IF('TL14'!$B$229=P$3,SUMIF('TL14'!$C$238:$C$451,$C310,'TL14'!$J$238:$J$451),0),
IF('TL15'!$B$3=P$3,SUMIF('TL15'!$C$10:$C$224,$C310,'TL15'!$J$10:$J$224),0),
IF('TL15'!$B$229=P$3,SUMIF('TL15'!$C$238:$C$451,$C310,'TL15'!$J$238:$J$451),0),
IF('TL16'!$B$3=P$3,SUMIF('TL16'!$C$10:$C$224,$C310,'TL16'!$J$10:$J$224),0),
IF('TL16'!$B$229=P$3,SUMIF('TL16'!$C$238:$C$451,$C310,'TL16'!$J$238:$J$451),0),
IF('TL17'!$B$3=P$3,SUMIF('TL17'!$C$10:$C$224,$C310,'TL17'!$J$10:$J$224),0),
IF('TL17'!$B$229=P$3,SUMIF('TL17'!$C$238:$C$451,$C310,'TL17'!$J$238:$J$451),0),
IF('TL18'!$B$3=P$3,SUMIF('TL18'!$C$10:$C$224,$C310,'TL18'!$J$10:$J$224),0),
IF('TL18'!$B$229=P$3,SUMIF('TL18'!$C$238:$C$451,$C310,'TL18'!$J$238:$J$451),0),
IF('TL19'!$B$3=P$3,SUMIF('TL19'!$C$10:$C$224,$C310,'TL19'!$J$10:$J$224),0),
IF('TL19'!$B$229=P$3,SUMIF('TL19'!$C$238:$C$451,$C310,'TL19'!$J$238:$J$451),0)
),0)</f>
        <v/>
      </c>
      <c r="Q310" s="9">
        <f>IFERROR(SUM(
IF('TL01'!$B$3=Q$3,SUMIF('TL01'!$C$10:$C$224,$C310,'TL01'!$J$10:$J$224),0),
IF('TL01'!$B$229=Q$3,SUMIF('TL01'!$C$238:$C$451,$C310,'TL01'!$J$238:$J$451),0),
IF('TL02'!$B$3=Q$3,SUMIF('TL02'!$C$10:$C$224,$C310,'TL02'!$J$10:$J$224),0),
IF('TL02'!$B$229=Q$3,SUMIF('TL02'!$C$238:$C$451,$C310,'TL02'!$J$238:$J$451),0),
IF('TL03'!$B$3=Q$3,SUMIF('TL03'!$C$10:$C$224,$C310,'TL03'!$J$10:$J$224),0),
IF('TL03'!$B$229=Q$3,SUMIF('TL03'!$C$238:$C$451,$C310,'TL03'!$J$238:$J$451),0),
IF('TL04'!$B$3=Q$3,SUMIF('TL04'!$C$10:$C$224,$C310,'TL04'!$J$10:$J$224),0),
IF('TL04'!$B$229=Q$3,SUMIF('TL04'!$C$238:$C$451,$C310,'TL04'!$J$238:$J$451),0),
IF('TL05'!$B$3=Q$3,SUMIF('TL05'!$C$10:$C$224,$C310,'TL05'!$J$10:$J$224),0),
IF('TL05'!$B$229=Q$3,SUMIF('TL05'!$C$238:$C$451,$C310,'TL05'!$J$238:$J$451),0),
IF('TL06'!$B$3=Q$3,SUMIF('TL06'!$C$10:$C$224,$C310,'TL06'!$J$10:$J$224),0),
IF('TL06'!$B$229=Q$3,SUMIF('TL06'!$C$238:$C$451,$C310,'TL06'!$J$238:$J$451),0),
IF('TL07'!$B$3=Q$3,SUMIF('TL07'!$C$10:$C$224,$C310,'TL07'!$J$10:$J$224),0),
IF('TL07'!$B$229=Q$3,SUMIF('TL07'!$C$238:$C$451,$C310,'TL07'!$J$238:$J$451),0),
IF('TL08'!$B$3=Q$3,SUMIF('TL08'!$C$10:$C$224,$C310,'TL08'!$J$10:$J$224),0),
IF('TL08'!$B$229=Q$3,SUMIF('TL08'!$C$238:$C$451,$C310,'TL08'!$J$238:$J$451),0),
IF('TL09'!$B$3=Q$3,SUMIF('TL09'!$C$10:$C$224,$C310,'TL09'!$J$10:$J$224),0),
IF('TL09'!$B$229=Q$3,SUMIF('TL09'!$C$238:$C$451,$C310,'TL09'!$J$238:$J$451),0),
IF('TL10'!$B$3=Q$3,SUMIF('TL10'!$C$10:$C$224,$C310,'TL10'!$J$10:$J$224),0),
IF('TL10'!$B$229=Q$3,SUMIF('TL10'!$C$238:$C$451,$C310,'TL10'!$J$238:$J$451),0),
IF('TL11'!$B$3=Q$3,SUMIF('TL11'!$C$10:$C$224,$C310,'TL11'!$J$10:$J$224),0),
IF('TL11'!$B$229=Q$3,SUMIF('TL11'!$C$238:$C$451,$C310,'TL11'!$J$238:$J$451),0),
IF('TL12'!$B$3=Q$3,SUMIF('TL12'!$C$10:$C$224,$C310,'TL12'!$J$10:$J$224),0),
IF('TL12'!$B$229=Q$3,SUMIF('TL12'!$C$238:$C$451,$C310,'TL12'!$J$238:$J$451),0),
IF('TL13'!$B$3=Q$3,SUMIF('TL13'!$C$10:$C$224,$C310,'TL13'!$J$10:$J$224),0),
IF('TL13'!$B$229=Q$3,SUMIF('TL13'!$C$238:$C$451,$C310,'TL13'!$J$238:$J$451),0),
IF('TL14'!$B$3=Q$3,SUMIF('TL14'!$C$10:$C$224,$C310,'TL14'!$J$10:$J$224),0),
IF('TL14'!$B$229=Q$3,SUMIF('TL14'!$C$238:$C$451,$C310,'TL14'!$J$238:$J$451),0),
IF('TL15'!$B$3=Q$3,SUMIF('TL15'!$C$10:$C$224,$C310,'TL15'!$J$10:$J$224),0),
IF('TL15'!$B$229=Q$3,SUMIF('TL15'!$C$238:$C$451,$C310,'TL15'!$J$238:$J$451),0),
IF('TL16'!$B$3=Q$3,SUMIF('TL16'!$C$10:$C$224,$C310,'TL16'!$J$10:$J$224),0),
IF('TL16'!$B$229=Q$3,SUMIF('TL16'!$C$238:$C$451,$C310,'TL16'!$J$238:$J$451),0),
IF('TL17'!$B$3=Q$3,SUMIF('TL17'!$C$10:$C$224,$C310,'TL17'!$J$10:$J$224),0),
IF('TL17'!$B$229=Q$3,SUMIF('TL17'!$C$238:$C$451,$C310,'TL17'!$J$238:$J$451),0),
IF('TL18'!$B$3=Q$3,SUMIF('TL18'!$C$10:$C$224,$C310,'TL18'!$J$10:$J$224),0),
IF('TL18'!$B$229=Q$3,SUMIF('TL18'!$C$238:$C$451,$C310,'TL18'!$J$238:$J$451),0),
IF('TL19'!$B$3=Q$3,SUMIF('TL19'!$C$10:$C$224,$C310,'TL19'!$J$10:$J$224),0),
IF('TL19'!$B$229=Q$3,SUMIF('TL19'!$C$238:$C$451,$C310,'TL19'!$J$238:$J$451),0)
),0)</f>
        <v/>
      </c>
      <c r="R310" s="9">
        <f>IFERROR(
SUM(
SUMIF('TL01'!C:C,C310,'TL01'!J:J),
SUMIF('TL02'!C:C,C310,'TL02'!J:J),
SUMIF('TL03'!C:C,C310,'TL03'!J:J),
SUMIF('TL04'!C:C,C310,'TL04'!J:J),
SUMIF('TL05'!C:C,C310,'TL05'!J:J),
SUMIF('TL06'!C:C,C310,'TL06'!J:J),
SUMIF('TL07'!C:C,C310,'TL07'!J:J),
SUMIF('TL08'!C:C,C310,'TL08'!J:J),
SUMIF('TL09'!C:C,C310,'TL09'!J:J),
SUMIF('TL10'!C:C,C310,'TL10'!J:J),
SUMIF('TL11'!C:C,C310,'TL11'!J:J),
SUMIF('TL12'!C:C,C310,'TL12'!J:J),
SUMIF('TL13'!C:C,C310,'TL13'!J:J),
SUMIF('TL14'!C:C,C310,'TL14'!J:J),
SUMIF('TL15'!C:C,C310,'TL15'!J:J),
SUMIF('TL16'!C:C,C310,'TL16'!J:J),
SUMIF('TL17'!C:C,C310,'TL17'!J:J),
SUMIF('TL18'!C:C,C310,'TL18'!J:J),SUMIF('TL19'!C:C,C310,'TL19'!J:J))
,0)</f>
        <v/>
      </c>
      <c r="S310" s="17">
        <f>IFERROR(__xludf.DUMMYFUNCTION("IFERROR(VLOOKUP(C310,
IMPORTRANGE(""1wULbzX32WdYsx-lj2U3uUNBBe2INVIRDtcK0d-Dvl90"",
""26-27!C:G""),
5,
FALSE),
"""")"),"")</f>
        <v/>
      </c>
      <c r="T310" s="9" t="n"/>
      <c r="U310" s="92">
        <f>MAX(0,R310-T310)</f>
        <v/>
      </c>
      <c r="V310" s="93">
        <f>U310*S310</f>
        <v/>
      </c>
    </row>
    <row r="311" hidden="1" ht="15.75" customHeight="1" s="297">
      <c r="A311" s="4" t="n"/>
      <c r="B311" s="125" t="inlineStr">
        <is>
          <t>SEMENTE</t>
        </is>
      </c>
      <c r="C311" s="4" t="inlineStr">
        <is>
          <t>MG711PWU</t>
        </is>
      </c>
      <c r="D311" s="20" t="n"/>
      <c r="E311" s="9" t="n"/>
      <c r="F311" s="4" t="inlineStr">
        <is>
          <t>SC</t>
        </is>
      </c>
      <c r="G311" s="90">
        <f>HYPERLINK("https://www.google.com/search?q=" &amp; C311 &amp; "+bula+agrofit+pdf", "📄 Ver bula")</f>
        <v/>
      </c>
      <c r="H311" s="9" t="n">
        <v>1.2</v>
      </c>
      <c r="I311" s="1" t="n"/>
      <c r="J311" s="9">
        <f>IFERROR(SUM(
IF('TL01'!$B$3=J$3,SUMIF('TL01'!$C$10:$C$224,$C311,'TL01'!$J$10:$J$224),0),
IF('TL01'!$B$229=J$3,SUMIF('TL01'!$C$238:$C$451,$C311,'TL01'!$J$238:$J$451),0),
IF('TL02'!$B$3=J$3,SUMIF('TL02'!$C$10:$C$224,$C311,'TL02'!$J$10:$J$224),0),
IF('TL02'!$B$229=J$3,SUMIF('TL02'!$C$238:$C$451,$C311,'TL02'!$J$238:$J$451),0),
IF('TL03'!$B$3=J$3,SUMIF('TL03'!$C$10:$C$224,$C311,'TL03'!$J$10:$J$224),0),
IF('TL03'!$B$229=J$3,SUMIF('TL03'!$C$238:$C$451,$C311,'TL03'!$J$238:$J$451),0),
IF('TL04'!$B$3=J$3,SUMIF('TL04'!$C$10:$C$224,$C311,'TL04'!$J$10:$J$224),0),
IF('TL04'!$B$229=J$3,SUMIF('TL04'!$C$238:$C$451,$C311,'TL04'!$J$238:$J$451),0),
IF('TL05'!$B$3=J$3,SUMIF('TL05'!$C$10:$C$224,$C311,'TL05'!$J$10:$J$224),0),
IF('TL05'!$B$229=J$3,SUMIF('TL05'!$C$238:$C$451,$C311,'TL05'!$J$238:$J$451),0),
IF('TL06'!$B$3=J$3,SUMIF('TL06'!$C$10:$C$224,$C311,'TL06'!$J$10:$J$224),0),
IF('TL06'!$B$229=J$3,SUMIF('TL06'!$C$238:$C$451,$C311,'TL06'!$J$238:$J$451),0),
IF('TL07'!$B$3=J$3,SUMIF('TL07'!$C$10:$C$224,$C311,'TL07'!$J$10:$J$224),0),
IF('TL07'!$B$229=J$3,SUMIF('TL07'!$C$238:$C$451,$C311,'TL07'!$J$238:$J$451),0),
IF('TL08'!$B$3=J$3,SUMIF('TL08'!$C$10:$C$224,$C311,'TL08'!$J$10:$J$224),0),
IF('TL08'!$B$229=J$3,SUMIF('TL08'!$C$238:$C$451,$C311,'TL08'!$J$238:$J$451),0),
IF('TL09'!$B$3=J$3,SUMIF('TL09'!$C$10:$C$224,$C311,'TL09'!$J$10:$J$224),0),
IF('TL09'!$B$229=J$3,SUMIF('TL09'!$C$238:$C$451,$C311,'TL09'!$J$238:$J$451),0),
IF('TL10'!$B$3=J$3,SUMIF('TL10'!$C$10:$C$224,$C311,'TL10'!$J$10:$J$224),0),
IF('TL10'!$B$229=J$3,SUMIF('TL10'!$C$238:$C$451,$C311,'TL10'!$J$238:$J$451),0),
IF('TL11'!$B$3=J$3,SUMIF('TL11'!$C$10:$C$224,$C311,'TL11'!$J$10:$J$224),0),
IF('TL11'!$B$229=J$3,SUMIF('TL11'!$C$238:$C$451,$C311,'TL11'!$J$238:$J$451),0),
IF('TL12'!$B$3=J$3,SUMIF('TL12'!$C$10:$C$224,$C311,'TL12'!$J$10:$J$224),0),
IF('TL12'!$B$229=J$3,SUMIF('TL12'!$C$238:$C$451,$C311,'TL12'!$J$238:$J$451),0),
IF('TL13'!$B$3=J$3,SUMIF('TL13'!$C$10:$C$224,$C311,'TL13'!$J$10:$J$224),0),
IF('TL13'!$B$229=J$3,SUMIF('TL13'!$C$238:$C$451,$C311,'TL13'!$J$238:$J$451),0),
IF('TL14'!$B$3=J$3,SUMIF('TL14'!$C$10:$C$224,$C311,'TL14'!$J$10:$J$224),0),
IF('TL14'!$B$229=J$3,SUMIF('TL14'!$C$238:$C$451,$C311,'TL14'!$J$238:$J$451),0),
IF('TL15'!$B$3=J$3,SUMIF('TL15'!$C$10:$C$224,$C311,'TL15'!$J$10:$J$224),0),
IF('TL15'!$B$229=J$3,SUMIF('TL15'!$C$238:$C$451,$C311,'TL15'!$J$238:$J$451),0),
IF('TL16'!$B$3=J$3,SUMIF('TL16'!$C$10:$C$224,$C311,'TL16'!$J$10:$J$224),0),
IF('TL16'!$B$229=J$3,SUMIF('TL16'!$C$238:$C$451,$C311,'TL16'!$J$238:$J$451),0),
IF('TL17'!$B$3=J$3,SUMIF('TL17'!$C$10:$C$224,$C311,'TL17'!$J$10:$J$224),0),
IF('TL17'!$B$229=J$3,SUMIF('TL17'!$C$238:$C$451,$C311,'TL17'!$J$238:$J$451),0),
IF('TL18'!$B$3=J$3,SUMIF('TL18'!$C$10:$C$224,$C311,'TL18'!$J$10:$J$224),0),
IF('TL18'!$B$229=J$3,SUMIF('TL18'!$C$238:$C$451,$C311,'TL18'!$J$238:$J$451),0),
IF('TL19'!$B$3=J$3,SUMIF('TL19'!$C$10:$C$224,$C311,'TL19'!$J$10:$J$224),0),
IF('TL19'!$B$229=J$3,SUMIF('TL19'!$C$238:$C$451,$C311,'TL19'!$J$238:$J$451),0)
),0)</f>
        <v/>
      </c>
      <c r="K311" s="9">
        <f>IFERROR(SUM(
IF('TL01'!$B$3=K$3,SUMIF('TL01'!$C$10:$C$224,$C311,'TL01'!$J$10:$J$224),0),
IF('TL01'!$B$229=K$3,SUMIF('TL01'!$C$238:$C$451,$C311,'TL01'!$J$238:$J$451),0),
IF('TL02'!$B$3=K$3,SUMIF('TL02'!$C$10:$C$224,$C311,'TL02'!$J$10:$J$224),0),
IF('TL02'!$B$229=K$3,SUMIF('TL02'!$C$238:$C$451,$C311,'TL02'!$J$238:$J$451),0),
IF('TL03'!$B$3=K$3,SUMIF('TL03'!$C$10:$C$224,$C311,'TL03'!$J$10:$J$224),0),
IF('TL03'!$B$229=K$3,SUMIF('TL03'!$C$238:$C$451,$C311,'TL03'!$J$238:$J$451),0),
IF('TL04'!$B$3=K$3,SUMIF('TL04'!$C$10:$C$224,$C311,'TL04'!$J$10:$J$224),0),
IF('TL04'!$B$229=K$3,SUMIF('TL04'!$C$238:$C$451,$C311,'TL04'!$J$238:$J$451),0),
IF('TL05'!$B$3=K$3,SUMIF('TL05'!$C$10:$C$224,$C311,'TL05'!$J$10:$J$224),0),
IF('TL05'!$B$229=K$3,SUMIF('TL05'!$C$238:$C$451,$C311,'TL05'!$J$238:$J$451),0),
IF('TL06'!$B$3=K$3,SUMIF('TL06'!$C$10:$C$224,$C311,'TL06'!$J$10:$J$224),0),
IF('TL06'!$B$229=K$3,SUMIF('TL06'!$C$238:$C$451,$C311,'TL06'!$J$238:$J$451),0),
IF('TL07'!$B$3=K$3,SUMIF('TL07'!$C$10:$C$224,$C311,'TL07'!$J$10:$J$224),0),
IF('TL07'!$B$229=K$3,SUMIF('TL07'!$C$238:$C$451,$C311,'TL07'!$J$238:$J$451),0),
IF('TL08'!$B$3=K$3,SUMIF('TL08'!$C$10:$C$224,$C311,'TL08'!$J$10:$J$224),0),
IF('TL08'!$B$229=K$3,SUMIF('TL08'!$C$238:$C$451,$C311,'TL08'!$J$238:$J$451),0),
IF('TL09'!$B$3=K$3,SUMIF('TL09'!$C$10:$C$224,$C311,'TL09'!$J$10:$J$224),0),
IF('TL09'!$B$229=K$3,SUMIF('TL09'!$C$238:$C$451,$C311,'TL09'!$J$238:$J$451),0),
IF('TL10'!$B$3=K$3,SUMIF('TL10'!$C$10:$C$224,$C311,'TL10'!$J$10:$J$224),0),
IF('TL10'!$B$229=K$3,SUMIF('TL10'!$C$238:$C$451,$C311,'TL10'!$J$238:$J$451),0),
IF('TL11'!$B$3=K$3,SUMIF('TL11'!$C$10:$C$224,$C311,'TL11'!$J$10:$J$224),0),
IF('TL11'!$B$229=K$3,SUMIF('TL11'!$C$238:$C$451,$C311,'TL11'!$J$238:$J$451),0),
IF('TL12'!$B$3=K$3,SUMIF('TL12'!$C$10:$C$224,$C311,'TL12'!$J$10:$J$224),0),
IF('TL12'!$B$229=K$3,SUMIF('TL12'!$C$238:$C$451,$C311,'TL12'!$J$238:$J$451),0),
IF('TL13'!$B$3=K$3,SUMIF('TL13'!$C$10:$C$224,$C311,'TL13'!$J$10:$J$224),0),
IF('TL13'!$B$229=K$3,SUMIF('TL13'!$C$238:$C$451,$C311,'TL13'!$J$238:$J$451),0),
IF('TL14'!$B$3=K$3,SUMIF('TL14'!$C$10:$C$224,$C311,'TL14'!$J$10:$J$224),0),
IF('TL14'!$B$229=K$3,SUMIF('TL14'!$C$238:$C$451,$C311,'TL14'!$J$238:$J$451),0),
IF('TL15'!$B$3=K$3,SUMIF('TL15'!$C$10:$C$224,$C311,'TL15'!$J$10:$J$224),0),
IF('TL15'!$B$229=K$3,SUMIF('TL15'!$C$238:$C$451,$C311,'TL15'!$J$238:$J$451),0),
IF('TL16'!$B$3=K$3,SUMIF('TL16'!$C$10:$C$224,$C311,'TL16'!$J$10:$J$224),0),
IF('TL16'!$B$229=K$3,SUMIF('TL16'!$C$238:$C$451,$C311,'TL16'!$J$238:$J$451),0),
IF('TL17'!$B$3=K$3,SUMIF('TL17'!$C$10:$C$224,$C311,'TL17'!$J$10:$J$224),0),
IF('TL17'!$B$229=K$3,SUMIF('TL17'!$C$238:$C$451,$C311,'TL17'!$J$238:$J$451),0),
IF('TL18'!$B$3=K$3,SUMIF('TL18'!$C$10:$C$224,$C311,'TL18'!$J$10:$J$224),0),
IF('TL18'!$B$229=K$3,SUMIF('TL18'!$C$238:$C$451,$C311,'TL18'!$J$238:$J$451),0),
IF('TL19'!$B$3=K$3,SUMIF('TL19'!$C$10:$C$224,$C311,'TL19'!$J$10:$J$224),0),
IF('TL19'!$B$229=K$3,SUMIF('TL19'!$C$238:$C$451,$C311,'TL19'!$J$238:$J$451),0)
),0)</f>
        <v/>
      </c>
      <c r="L311" s="9">
        <f>IFERROR(SUM(
IF('TL01'!$B$3=L$3,SUMIF('TL01'!$C$10:$C$224,$C311,'TL01'!$J$10:$J$224),0),
IF('TL01'!$B$229=L$3,SUMIF('TL01'!$C$238:$C$451,$C311,'TL01'!$J$238:$J$451),0),
IF('TL02'!$B$3=L$3,SUMIF('TL02'!$C$10:$C$224,$C311,'TL02'!$J$10:$J$224),0),
IF('TL02'!$B$229=L$3,SUMIF('TL02'!$C$238:$C$451,$C311,'TL02'!$J$238:$J$451),0),
IF('TL03'!$B$3=L$3,SUMIF('TL03'!$C$10:$C$224,$C311,'TL03'!$J$10:$J$224),0),
IF('TL03'!$B$229=L$3,SUMIF('TL03'!$C$238:$C$451,$C311,'TL03'!$J$238:$J$451),0),
IF('TL04'!$B$3=L$3,SUMIF('TL04'!$C$10:$C$224,$C311,'TL04'!$J$10:$J$224),0),
IF('TL04'!$B$229=L$3,SUMIF('TL04'!$C$238:$C$451,$C311,'TL04'!$J$238:$J$451),0),
IF('TL05'!$B$3=L$3,SUMIF('TL05'!$C$10:$C$224,$C311,'TL05'!$J$10:$J$224),0),
IF('TL05'!$B$229=L$3,SUMIF('TL05'!$C$238:$C$451,$C311,'TL05'!$J$238:$J$451),0),
IF('TL06'!$B$3=L$3,SUMIF('TL06'!$C$10:$C$224,$C311,'TL06'!$J$10:$J$224),0),
IF('TL06'!$B$229=L$3,SUMIF('TL06'!$C$238:$C$451,$C311,'TL06'!$J$238:$J$451),0),
IF('TL07'!$B$3=L$3,SUMIF('TL07'!$C$10:$C$224,$C311,'TL07'!$J$10:$J$224),0),
IF('TL07'!$B$229=L$3,SUMIF('TL07'!$C$238:$C$451,$C311,'TL07'!$J$238:$J$451),0),
IF('TL08'!$B$3=L$3,SUMIF('TL08'!$C$10:$C$224,$C311,'TL08'!$J$10:$J$224),0),
IF('TL08'!$B$229=L$3,SUMIF('TL08'!$C$238:$C$451,$C311,'TL08'!$J$238:$J$451),0),
IF('TL09'!$B$3=L$3,SUMIF('TL09'!$C$10:$C$224,$C311,'TL09'!$J$10:$J$224),0),
IF('TL09'!$B$229=L$3,SUMIF('TL09'!$C$238:$C$451,$C311,'TL09'!$J$238:$J$451),0),
IF('TL10'!$B$3=L$3,SUMIF('TL10'!$C$10:$C$224,$C311,'TL10'!$J$10:$J$224),0),
IF('TL10'!$B$229=L$3,SUMIF('TL10'!$C$238:$C$451,$C311,'TL10'!$J$238:$J$451),0),
IF('TL11'!$B$3=L$3,SUMIF('TL11'!$C$10:$C$224,$C311,'TL11'!$J$10:$J$224),0),
IF('TL11'!$B$229=L$3,SUMIF('TL11'!$C$238:$C$451,$C311,'TL11'!$J$238:$J$451),0),
IF('TL12'!$B$3=L$3,SUMIF('TL12'!$C$10:$C$224,$C311,'TL12'!$J$10:$J$224),0),
IF('TL12'!$B$229=L$3,SUMIF('TL12'!$C$238:$C$451,$C311,'TL12'!$J$238:$J$451),0),
IF('TL13'!$B$3=L$3,SUMIF('TL13'!$C$10:$C$224,$C311,'TL13'!$J$10:$J$224),0),
IF('TL13'!$B$229=L$3,SUMIF('TL13'!$C$238:$C$451,$C311,'TL13'!$J$238:$J$451),0),
IF('TL14'!$B$3=L$3,SUMIF('TL14'!$C$10:$C$224,$C311,'TL14'!$J$10:$J$224),0),
IF('TL14'!$B$229=L$3,SUMIF('TL14'!$C$238:$C$451,$C311,'TL14'!$J$238:$J$451),0),
IF('TL15'!$B$3=L$3,SUMIF('TL15'!$C$10:$C$224,$C311,'TL15'!$J$10:$J$224),0),
IF('TL15'!$B$229=L$3,SUMIF('TL15'!$C$238:$C$451,$C311,'TL15'!$J$238:$J$451),0),
IF('TL16'!$B$3=L$3,SUMIF('TL16'!$C$10:$C$224,$C311,'TL16'!$J$10:$J$224),0),
IF('TL16'!$B$229=L$3,SUMIF('TL16'!$C$238:$C$451,$C311,'TL16'!$J$238:$J$451),0),
IF('TL17'!$B$3=L$3,SUMIF('TL17'!$C$10:$C$224,$C311,'TL17'!$J$10:$J$224),0),
IF('TL17'!$B$229=L$3,SUMIF('TL17'!$C$238:$C$451,$C311,'TL17'!$J$238:$J$451),0),
IF('TL18'!$B$3=L$3,SUMIF('TL18'!$C$10:$C$224,$C311,'TL18'!$J$10:$J$224),0),
IF('TL18'!$B$229=L$3,SUMIF('TL18'!$C$238:$C$451,$C311,'TL18'!$J$238:$J$451),0),
IF('TL19'!$B$3=L$3,SUMIF('TL19'!$C$10:$C$224,$C311,'TL19'!$J$10:$J$224),0),
IF('TL19'!$B$229=L$3,SUMIF('TL19'!$C$238:$C$451,$C311,'TL19'!$J$238:$J$451),0)
),0)</f>
        <v/>
      </c>
      <c r="M311" s="9">
        <f>IFERROR(SUM(
IF('TL01'!$B$3=M$3,SUMIF('TL01'!$C$10:$C$224,$C311,'TL01'!$J$10:$J$224),0),
IF('TL01'!$B$229=M$3,SUMIF('TL01'!$C$238:$C$451,$C311,'TL01'!$J$238:$J$451),0),
IF('TL02'!$B$3=M$3,SUMIF('TL02'!$C$10:$C$224,$C311,'TL02'!$J$10:$J$224),0),
IF('TL02'!$B$229=M$3,SUMIF('TL02'!$C$238:$C$451,$C311,'TL02'!$J$238:$J$451),0),
IF('TL03'!$B$3=M$3,SUMIF('TL03'!$C$10:$C$224,$C311,'TL03'!$J$10:$J$224),0),
IF('TL03'!$B$229=M$3,SUMIF('TL03'!$C$238:$C$451,$C311,'TL03'!$J$238:$J$451),0),
IF('TL04'!$B$3=M$3,SUMIF('TL04'!$C$10:$C$224,$C311,'TL04'!$J$10:$J$224),0),
IF('TL04'!$B$229=M$3,SUMIF('TL04'!$C$238:$C$451,$C311,'TL04'!$J$238:$J$451),0),
IF('TL05'!$B$3=M$3,SUMIF('TL05'!$C$10:$C$224,$C311,'TL05'!$J$10:$J$224),0),
IF('TL05'!$B$229=M$3,SUMIF('TL05'!$C$238:$C$451,$C311,'TL05'!$J$238:$J$451),0),
IF('TL06'!$B$3=M$3,SUMIF('TL06'!$C$10:$C$224,$C311,'TL06'!$J$10:$J$224),0),
IF('TL06'!$B$229=M$3,SUMIF('TL06'!$C$238:$C$451,$C311,'TL06'!$J$238:$J$451),0),
IF('TL07'!$B$3=M$3,SUMIF('TL07'!$C$10:$C$224,$C311,'TL07'!$J$10:$J$224),0),
IF('TL07'!$B$229=M$3,SUMIF('TL07'!$C$238:$C$451,$C311,'TL07'!$J$238:$J$451),0),
IF('TL08'!$B$3=M$3,SUMIF('TL08'!$C$10:$C$224,$C311,'TL08'!$J$10:$J$224),0),
IF('TL08'!$B$229=M$3,SUMIF('TL08'!$C$238:$C$451,$C311,'TL08'!$J$238:$J$451),0),
IF('TL09'!$B$3=M$3,SUMIF('TL09'!$C$10:$C$224,$C311,'TL09'!$J$10:$J$224),0),
IF('TL09'!$B$229=M$3,SUMIF('TL09'!$C$238:$C$451,$C311,'TL09'!$J$238:$J$451),0),
IF('TL10'!$B$3=M$3,SUMIF('TL10'!$C$10:$C$224,$C311,'TL10'!$J$10:$J$224),0),
IF('TL10'!$B$229=M$3,SUMIF('TL10'!$C$238:$C$451,$C311,'TL10'!$J$238:$J$451),0),
IF('TL11'!$B$3=M$3,SUMIF('TL11'!$C$10:$C$224,$C311,'TL11'!$J$10:$J$224),0),
IF('TL11'!$B$229=M$3,SUMIF('TL11'!$C$238:$C$451,$C311,'TL11'!$J$238:$J$451),0),
IF('TL12'!$B$3=M$3,SUMIF('TL12'!$C$10:$C$224,$C311,'TL12'!$J$10:$J$224),0),
IF('TL12'!$B$229=M$3,SUMIF('TL12'!$C$238:$C$451,$C311,'TL12'!$J$238:$J$451),0),
IF('TL13'!$B$3=M$3,SUMIF('TL13'!$C$10:$C$224,$C311,'TL13'!$J$10:$J$224),0),
IF('TL13'!$B$229=M$3,SUMIF('TL13'!$C$238:$C$451,$C311,'TL13'!$J$238:$J$451),0),
IF('TL14'!$B$3=M$3,SUMIF('TL14'!$C$10:$C$224,$C311,'TL14'!$J$10:$J$224),0),
IF('TL14'!$B$229=M$3,SUMIF('TL14'!$C$238:$C$451,$C311,'TL14'!$J$238:$J$451),0),
IF('TL15'!$B$3=M$3,SUMIF('TL15'!$C$10:$C$224,$C311,'TL15'!$J$10:$J$224),0),
IF('TL15'!$B$229=M$3,SUMIF('TL15'!$C$238:$C$451,$C311,'TL15'!$J$238:$J$451),0),
IF('TL16'!$B$3=M$3,SUMIF('TL16'!$C$10:$C$224,$C311,'TL16'!$J$10:$J$224),0),
IF('TL16'!$B$229=M$3,SUMIF('TL16'!$C$238:$C$451,$C311,'TL16'!$J$238:$J$451),0),
IF('TL17'!$B$3=M$3,SUMIF('TL17'!$C$10:$C$224,$C311,'TL17'!$J$10:$J$224),0),
IF('TL17'!$B$229=M$3,SUMIF('TL17'!$C$238:$C$451,$C311,'TL17'!$J$238:$J$451),0),
IF('TL18'!$B$3=M$3,SUMIF('TL18'!$C$10:$C$224,$C311,'TL18'!$J$10:$J$224),0),
IF('TL18'!$B$229=M$3,SUMIF('TL18'!$C$238:$C$451,$C311,'TL18'!$J$238:$J$451),0),
IF('TL19'!$B$3=M$3,SUMIF('TL19'!$C$10:$C$224,$C311,'TL19'!$J$10:$J$224),0),
IF('TL19'!$B$229=M$3,SUMIF('TL19'!$C$238:$C$451,$C311,'TL19'!$J$238:$J$451),0)
),0)</f>
        <v/>
      </c>
      <c r="N311" s="9">
        <f>IFERROR(SUM(
IF('TL01'!$B$3=N$3,SUMIF('TL01'!$C$10:$C$224,$C311,'TL01'!$J$10:$J$224),0),
IF('TL01'!$B$229=N$3,SUMIF('TL01'!$C$238:$C$451,$C311,'TL01'!$J$238:$J$451),0),
IF('TL02'!$B$3=N$3,SUMIF('TL02'!$C$10:$C$224,$C311,'TL02'!$J$10:$J$224),0),
IF('TL02'!$B$229=N$3,SUMIF('TL02'!$C$238:$C$451,$C311,'TL02'!$J$238:$J$451),0),
IF('TL03'!$B$3=N$3,SUMIF('TL03'!$C$10:$C$224,$C311,'TL03'!$J$10:$J$224),0),
IF('TL03'!$B$229=N$3,SUMIF('TL03'!$C$238:$C$451,$C311,'TL03'!$J$238:$J$451),0),
IF('TL04'!$B$3=N$3,SUMIF('TL04'!$C$10:$C$224,$C311,'TL04'!$J$10:$J$224),0),
IF('TL04'!$B$229=N$3,SUMIF('TL04'!$C$238:$C$451,$C311,'TL04'!$J$238:$J$451),0),
IF('TL05'!$B$3=N$3,SUMIF('TL05'!$C$10:$C$224,$C311,'TL05'!$J$10:$J$224),0),
IF('TL05'!$B$229=N$3,SUMIF('TL05'!$C$238:$C$451,$C311,'TL05'!$J$238:$J$451),0),
IF('TL06'!$B$3=N$3,SUMIF('TL06'!$C$10:$C$224,$C311,'TL06'!$J$10:$J$224),0),
IF('TL06'!$B$229=N$3,SUMIF('TL06'!$C$238:$C$451,$C311,'TL06'!$J$238:$J$451),0),
IF('TL07'!$B$3=N$3,SUMIF('TL07'!$C$10:$C$224,$C311,'TL07'!$J$10:$J$224),0),
IF('TL07'!$B$229=N$3,SUMIF('TL07'!$C$238:$C$451,$C311,'TL07'!$J$238:$J$451),0),
IF('TL08'!$B$3=N$3,SUMIF('TL08'!$C$10:$C$224,$C311,'TL08'!$J$10:$J$224),0),
IF('TL08'!$B$229=N$3,SUMIF('TL08'!$C$238:$C$451,$C311,'TL08'!$J$238:$J$451),0),
IF('TL09'!$B$3=N$3,SUMIF('TL09'!$C$10:$C$224,$C311,'TL09'!$J$10:$J$224),0),
IF('TL09'!$B$229=N$3,SUMIF('TL09'!$C$238:$C$451,$C311,'TL09'!$J$238:$J$451),0),
IF('TL10'!$B$3=N$3,SUMIF('TL10'!$C$10:$C$224,$C311,'TL10'!$J$10:$J$224),0),
IF('TL10'!$B$229=N$3,SUMIF('TL10'!$C$238:$C$451,$C311,'TL10'!$J$238:$J$451),0),
IF('TL11'!$B$3=N$3,SUMIF('TL11'!$C$10:$C$224,$C311,'TL11'!$J$10:$J$224),0),
IF('TL11'!$B$229=N$3,SUMIF('TL11'!$C$238:$C$451,$C311,'TL11'!$J$238:$J$451),0),
IF('TL12'!$B$3=N$3,SUMIF('TL12'!$C$10:$C$224,$C311,'TL12'!$J$10:$J$224),0),
IF('TL12'!$B$229=N$3,SUMIF('TL12'!$C$238:$C$451,$C311,'TL12'!$J$238:$J$451),0),
IF('TL13'!$B$3=N$3,SUMIF('TL13'!$C$10:$C$224,$C311,'TL13'!$J$10:$J$224),0),
IF('TL13'!$B$229=N$3,SUMIF('TL13'!$C$238:$C$451,$C311,'TL13'!$J$238:$J$451),0),
IF('TL14'!$B$3=N$3,SUMIF('TL14'!$C$10:$C$224,$C311,'TL14'!$J$10:$J$224),0),
IF('TL14'!$B$229=N$3,SUMIF('TL14'!$C$238:$C$451,$C311,'TL14'!$J$238:$J$451),0),
IF('TL15'!$B$3=N$3,SUMIF('TL15'!$C$10:$C$224,$C311,'TL15'!$J$10:$J$224),0),
IF('TL15'!$B$229=N$3,SUMIF('TL15'!$C$238:$C$451,$C311,'TL15'!$J$238:$J$451),0),
IF('TL16'!$B$3=N$3,SUMIF('TL16'!$C$10:$C$224,$C311,'TL16'!$J$10:$J$224),0),
IF('TL16'!$B$229=N$3,SUMIF('TL16'!$C$238:$C$451,$C311,'TL16'!$J$238:$J$451),0),
IF('TL17'!$B$3=N$3,SUMIF('TL17'!$C$10:$C$224,$C311,'TL17'!$J$10:$J$224),0),
IF('TL17'!$B$229=N$3,SUMIF('TL17'!$C$238:$C$451,$C311,'TL17'!$J$238:$J$451),0),
IF('TL18'!$B$3=N$3,SUMIF('TL18'!$C$10:$C$224,$C311,'TL18'!$J$10:$J$224),0),
IF('TL18'!$B$229=N$3,SUMIF('TL18'!$C$238:$C$451,$C311,'TL18'!$J$238:$J$451),0),
IF('TL19'!$B$3=N$3,SUMIF('TL19'!$C$10:$C$224,$C311,'TL19'!$J$10:$J$224),0),
IF('TL19'!$B$229=N$3,SUMIF('TL19'!$C$238:$C$451,$C311,'TL19'!$J$238:$J$451),0)
),0)</f>
        <v/>
      </c>
      <c r="O311" s="9">
        <f>IFERROR(SUM(
IF('TL01'!$B$3=O$3,SUMIF('TL01'!$C$10:$C$224,$C311,'TL01'!$J$10:$J$224),0),
IF('TL01'!$B$229=O$3,SUMIF('TL01'!$C$238:$C$451,$C311,'TL01'!$J$238:$J$451),0),
IF('TL02'!$B$3=O$3,SUMIF('TL02'!$C$10:$C$224,$C311,'TL02'!$J$10:$J$224),0),
IF('TL02'!$B$229=O$3,SUMIF('TL02'!$C$238:$C$451,$C311,'TL02'!$J$238:$J$451),0),
IF('TL03'!$B$3=O$3,SUMIF('TL03'!$C$10:$C$224,$C311,'TL03'!$J$10:$J$224),0),
IF('TL03'!$B$229=O$3,SUMIF('TL03'!$C$238:$C$451,$C311,'TL03'!$J$238:$J$451),0),
IF('TL04'!$B$3=O$3,SUMIF('TL04'!$C$10:$C$224,$C311,'TL04'!$J$10:$J$224),0),
IF('TL04'!$B$229=O$3,SUMIF('TL04'!$C$238:$C$451,$C311,'TL04'!$J$238:$J$451),0),
IF('TL05'!$B$3=O$3,SUMIF('TL05'!$C$10:$C$224,$C311,'TL05'!$J$10:$J$224),0),
IF('TL05'!$B$229=O$3,SUMIF('TL05'!$C$238:$C$451,$C311,'TL05'!$J$238:$J$451),0),
IF('TL06'!$B$3=O$3,SUMIF('TL06'!$C$10:$C$224,$C311,'TL06'!$J$10:$J$224),0),
IF('TL06'!$B$229=O$3,SUMIF('TL06'!$C$238:$C$451,$C311,'TL06'!$J$238:$J$451),0),
IF('TL07'!$B$3=O$3,SUMIF('TL07'!$C$10:$C$224,$C311,'TL07'!$J$10:$J$224),0),
IF('TL07'!$B$229=O$3,SUMIF('TL07'!$C$238:$C$451,$C311,'TL07'!$J$238:$J$451),0),
IF('TL08'!$B$3=O$3,SUMIF('TL08'!$C$10:$C$224,$C311,'TL08'!$J$10:$J$224),0),
IF('TL08'!$B$229=O$3,SUMIF('TL08'!$C$238:$C$451,$C311,'TL08'!$J$238:$J$451),0),
IF('TL09'!$B$3=O$3,SUMIF('TL09'!$C$10:$C$224,$C311,'TL09'!$J$10:$J$224),0),
IF('TL09'!$B$229=O$3,SUMIF('TL09'!$C$238:$C$451,$C311,'TL09'!$J$238:$J$451),0),
IF('TL10'!$B$3=O$3,SUMIF('TL10'!$C$10:$C$224,$C311,'TL10'!$J$10:$J$224),0),
IF('TL10'!$B$229=O$3,SUMIF('TL10'!$C$238:$C$451,$C311,'TL10'!$J$238:$J$451),0),
IF('TL11'!$B$3=O$3,SUMIF('TL11'!$C$10:$C$224,$C311,'TL11'!$J$10:$J$224),0),
IF('TL11'!$B$229=O$3,SUMIF('TL11'!$C$238:$C$451,$C311,'TL11'!$J$238:$J$451),0),
IF('TL12'!$B$3=O$3,SUMIF('TL12'!$C$10:$C$224,$C311,'TL12'!$J$10:$J$224),0),
IF('TL12'!$B$229=O$3,SUMIF('TL12'!$C$238:$C$451,$C311,'TL12'!$J$238:$J$451),0),
IF('TL13'!$B$3=O$3,SUMIF('TL13'!$C$10:$C$224,$C311,'TL13'!$J$10:$J$224),0),
IF('TL13'!$B$229=O$3,SUMIF('TL13'!$C$238:$C$451,$C311,'TL13'!$J$238:$J$451),0),
IF('TL14'!$B$3=O$3,SUMIF('TL14'!$C$10:$C$224,$C311,'TL14'!$J$10:$J$224),0),
IF('TL14'!$B$229=O$3,SUMIF('TL14'!$C$238:$C$451,$C311,'TL14'!$J$238:$J$451),0),
IF('TL15'!$B$3=O$3,SUMIF('TL15'!$C$10:$C$224,$C311,'TL15'!$J$10:$J$224),0),
IF('TL15'!$B$229=O$3,SUMIF('TL15'!$C$238:$C$451,$C311,'TL15'!$J$238:$J$451),0),
IF('TL16'!$B$3=O$3,SUMIF('TL16'!$C$10:$C$224,$C311,'TL16'!$J$10:$J$224),0),
IF('TL16'!$B$229=O$3,SUMIF('TL16'!$C$238:$C$451,$C311,'TL16'!$J$238:$J$451),0),
IF('TL17'!$B$3=O$3,SUMIF('TL17'!$C$10:$C$224,$C311,'TL17'!$J$10:$J$224),0),
IF('TL17'!$B$229=O$3,SUMIF('TL17'!$C$238:$C$451,$C311,'TL17'!$J$238:$J$451),0),
IF('TL18'!$B$3=O$3,SUMIF('TL18'!$C$10:$C$224,$C311,'TL18'!$J$10:$J$224),0),
IF('TL18'!$B$229=O$3,SUMIF('TL18'!$C$238:$C$451,$C311,'TL18'!$J$238:$J$451),0),
IF('TL19'!$B$3=O$3,SUMIF('TL19'!$C$10:$C$224,$C311,'TL19'!$J$10:$J$224),0),
IF('TL19'!$B$229=O$3,SUMIF('TL19'!$C$238:$C$451,$C311,'TL19'!$J$238:$J$451),0)
),0)</f>
        <v/>
      </c>
      <c r="P311" s="9">
        <f>IFERROR(SUM(
IF('TL01'!$B$3=P$3,SUMIF('TL01'!$C$10:$C$224,$C311,'TL01'!$J$10:$J$224),0),
IF('TL01'!$B$229=P$3,SUMIF('TL01'!$C$238:$C$451,$C311,'TL01'!$J$238:$J$451),0),
IF('TL02'!$B$3=P$3,SUMIF('TL02'!$C$10:$C$224,$C311,'TL02'!$J$10:$J$224),0),
IF('TL02'!$B$229=P$3,SUMIF('TL02'!$C$238:$C$451,$C311,'TL02'!$J$238:$J$451),0),
IF('TL03'!$B$3=P$3,SUMIF('TL03'!$C$10:$C$224,$C311,'TL03'!$J$10:$J$224),0),
IF('TL03'!$B$229=P$3,SUMIF('TL03'!$C$238:$C$451,$C311,'TL03'!$J$238:$J$451),0),
IF('TL04'!$B$3=P$3,SUMIF('TL04'!$C$10:$C$224,$C311,'TL04'!$J$10:$J$224),0),
IF('TL04'!$B$229=P$3,SUMIF('TL04'!$C$238:$C$451,$C311,'TL04'!$J$238:$J$451),0),
IF('TL05'!$B$3=P$3,SUMIF('TL05'!$C$10:$C$224,$C311,'TL05'!$J$10:$J$224),0),
IF('TL05'!$B$229=P$3,SUMIF('TL05'!$C$238:$C$451,$C311,'TL05'!$J$238:$J$451),0),
IF('TL06'!$B$3=P$3,SUMIF('TL06'!$C$10:$C$224,$C311,'TL06'!$J$10:$J$224),0),
IF('TL06'!$B$229=P$3,SUMIF('TL06'!$C$238:$C$451,$C311,'TL06'!$J$238:$J$451),0),
IF('TL07'!$B$3=P$3,SUMIF('TL07'!$C$10:$C$224,$C311,'TL07'!$J$10:$J$224),0),
IF('TL07'!$B$229=P$3,SUMIF('TL07'!$C$238:$C$451,$C311,'TL07'!$J$238:$J$451),0),
IF('TL08'!$B$3=P$3,SUMIF('TL08'!$C$10:$C$224,$C311,'TL08'!$J$10:$J$224),0),
IF('TL08'!$B$229=P$3,SUMIF('TL08'!$C$238:$C$451,$C311,'TL08'!$J$238:$J$451),0),
IF('TL09'!$B$3=P$3,SUMIF('TL09'!$C$10:$C$224,$C311,'TL09'!$J$10:$J$224),0),
IF('TL09'!$B$229=P$3,SUMIF('TL09'!$C$238:$C$451,$C311,'TL09'!$J$238:$J$451),0),
IF('TL10'!$B$3=P$3,SUMIF('TL10'!$C$10:$C$224,$C311,'TL10'!$J$10:$J$224),0),
IF('TL10'!$B$229=P$3,SUMIF('TL10'!$C$238:$C$451,$C311,'TL10'!$J$238:$J$451),0),
IF('TL11'!$B$3=P$3,SUMIF('TL11'!$C$10:$C$224,$C311,'TL11'!$J$10:$J$224),0),
IF('TL11'!$B$229=P$3,SUMIF('TL11'!$C$238:$C$451,$C311,'TL11'!$J$238:$J$451),0),
IF('TL12'!$B$3=P$3,SUMIF('TL12'!$C$10:$C$224,$C311,'TL12'!$J$10:$J$224),0),
IF('TL12'!$B$229=P$3,SUMIF('TL12'!$C$238:$C$451,$C311,'TL12'!$J$238:$J$451),0),
IF('TL13'!$B$3=P$3,SUMIF('TL13'!$C$10:$C$224,$C311,'TL13'!$J$10:$J$224),0),
IF('TL13'!$B$229=P$3,SUMIF('TL13'!$C$238:$C$451,$C311,'TL13'!$J$238:$J$451),0),
IF('TL14'!$B$3=P$3,SUMIF('TL14'!$C$10:$C$224,$C311,'TL14'!$J$10:$J$224),0),
IF('TL14'!$B$229=P$3,SUMIF('TL14'!$C$238:$C$451,$C311,'TL14'!$J$238:$J$451),0),
IF('TL15'!$B$3=P$3,SUMIF('TL15'!$C$10:$C$224,$C311,'TL15'!$J$10:$J$224),0),
IF('TL15'!$B$229=P$3,SUMIF('TL15'!$C$238:$C$451,$C311,'TL15'!$J$238:$J$451),0),
IF('TL16'!$B$3=P$3,SUMIF('TL16'!$C$10:$C$224,$C311,'TL16'!$J$10:$J$224),0),
IF('TL16'!$B$229=P$3,SUMIF('TL16'!$C$238:$C$451,$C311,'TL16'!$J$238:$J$451),0),
IF('TL17'!$B$3=P$3,SUMIF('TL17'!$C$10:$C$224,$C311,'TL17'!$J$10:$J$224),0),
IF('TL17'!$B$229=P$3,SUMIF('TL17'!$C$238:$C$451,$C311,'TL17'!$J$238:$J$451),0),
IF('TL18'!$B$3=P$3,SUMIF('TL18'!$C$10:$C$224,$C311,'TL18'!$J$10:$J$224),0),
IF('TL18'!$B$229=P$3,SUMIF('TL18'!$C$238:$C$451,$C311,'TL18'!$J$238:$J$451),0),
IF('TL19'!$B$3=P$3,SUMIF('TL19'!$C$10:$C$224,$C311,'TL19'!$J$10:$J$224),0),
IF('TL19'!$B$229=P$3,SUMIF('TL19'!$C$238:$C$451,$C311,'TL19'!$J$238:$J$451),0)
),0)</f>
        <v/>
      </c>
      <c r="Q311" s="9">
        <f>IFERROR(SUM(
IF('TL01'!$B$3=Q$3,SUMIF('TL01'!$C$10:$C$224,$C311,'TL01'!$J$10:$J$224),0),
IF('TL01'!$B$229=Q$3,SUMIF('TL01'!$C$238:$C$451,$C311,'TL01'!$J$238:$J$451),0),
IF('TL02'!$B$3=Q$3,SUMIF('TL02'!$C$10:$C$224,$C311,'TL02'!$J$10:$J$224),0),
IF('TL02'!$B$229=Q$3,SUMIF('TL02'!$C$238:$C$451,$C311,'TL02'!$J$238:$J$451),0),
IF('TL03'!$B$3=Q$3,SUMIF('TL03'!$C$10:$C$224,$C311,'TL03'!$J$10:$J$224),0),
IF('TL03'!$B$229=Q$3,SUMIF('TL03'!$C$238:$C$451,$C311,'TL03'!$J$238:$J$451),0),
IF('TL04'!$B$3=Q$3,SUMIF('TL04'!$C$10:$C$224,$C311,'TL04'!$J$10:$J$224),0),
IF('TL04'!$B$229=Q$3,SUMIF('TL04'!$C$238:$C$451,$C311,'TL04'!$J$238:$J$451),0),
IF('TL05'!$B$3=Q$3,SUMIF('TL05'!$C$10:$C$224,$C311,'TL05'!$J$10:$J$224),0),
IF('TL05'!$B$229=Q$3,SUMIF('TL05'!$C$238:$C$451,$C311,'TL05'!$J$238:$J$451),0),
IF('TL06'!$B$3=Q$3,SUMIF('TL06'!$C$10:$C$224,$C311,'TL06'!$J$10:$J$224),0),
IF('TL06'!$B$229=Q$3,SUMIF('TL06'!$C$238:$C$451,$C311,'TL06'!$J$238:$J$451),0),
IF('TL07'!$B$3=Q$3,SUMIF('TL07'!$C$10:$C$224,$C311,'TL07'!$J$10:$J$224),0),
IF('TL07'!$B$229=Q$3,SUMIF('TL07'!$C$238:$C$451,$C311,'TL07'!$J$238:$J$451),0),
IF('TL08'!$B$3=Q$3,SUMIF('TL08'!$C$10:$C$224,$C311,'TL08'!$J$10:$J$224),0),
IF('TL08'!$B$229=Q$3,SUMIF('TL08'!$C$238:$C$451,$C311,'TL08'!$J$238:$J$451),0),
IF('TL09'!$B$3=Q$3,SUMIF('TL09'!$C$10:$C$224,$C311,'TL09'!$J$10:$J$224),0),
IF('TL09'!$B$229=Q$3,SUMIF('TL09'!$C$238:$C$451,$C311,'TL09'!$J$238:$J$451),0),
IF('TL10'!$B$3=Q$3,SUMIF('TL10'!$C$10:$C$224,$C311,'TL10'!$J$10:$J$224),0),
IF('TL10'!$B$229=Q$3,SUMIF('TL10'!$C$238:$C$451,$C311,'TL10'!$J$238:$J$451),0),
IF('TL11'!$B$3=Q$3,SUMIF('TL11'!$C$10:$C$224,$C311,'TL11'!$J$10:$J$224),0),
IF('TL11'!$B$229=Q$3,SUMIF('TL11'!$C$238:$C$451,$C311,'TL11'!$J$238:$J$451),0),
IF('TL12'!$B$3=Q$3,SUMIF('TL12'!$C$10:$C$224,$C311,'TL12'!$J$10:$J$224),0),
IF('TL12'!$B$229=Q$3,SUMIF('TL12'!$C$238:$C$451,$C311,'TL12'!$J$238:$J$451),0),
IF('TL13'!$B$3=Q$3,SUMIF('TL13'!$C$10:$C$224,$C311,'TL13'!$J$10:$J$224),0),
IF('TL13'!$B$229=Q$3,SUMIF('TL13'!$C$238:$C$451,$C311,'TL13'!$J$238:$J$451),0),
IF('TL14'!$B$3=Q$3,SUMIF('TL14'!$C$10:$C$224,$C311,'TL14'!$J$10:$J$224),0),
IF('TL14'!$B$229=Q$3,SUMIF('TL14'!$C$238:$C$451,$C311,'TL14'!$J$238:$J$451),0),
IF('TL15'!$B$3=Q$3,SUMIF('TL15'!$C$10:$C$224,$C311,'TL15'!$J$10:$J$224),0),
IF('TL15'!$B$229=Q$3,SUMIF('TL15'!$C$238:$C$451,$C311,'TL15'!$J$238:$J$451),0),
IF('TL16'!$B$3=Q$3,SUMIF('TL16'!$C$10:$C$224,$C311,'TL16'!$J$10:$J$224),0),
IF('TL16'!$B$229=Q$3,SUMIF('TL16'!$C$238:$C$451,$C311,'TL16'!$J$238:$J$451),0),
IF('TL17'!$B$3=Q$3,SUMIF('TL17'!$C$10:$C$224,$C311,'TL17'!$J$10:$J$224),0),
IF('TL17'!$B$229=Q$3,SUMIF('TL17'!$C$238:$C$451,$C311,'TL17'!$J$238:$J$451),0),
IF('TL18'!$B$3=Q$3,SUMIF('TL18'!$C$10:$C$224,$C311,'TL18'!$J$10:$J$224),0),
IF('TL18'!$B$229=Q$3,SUMIF('TL18'!$C$238:$C$451,$C311,'TL18'!$J$238:$J$451),0),
IF('TL19'!$B$3=Q$3,SUMIF('TL19'!$C$10:$C$224,$C311,'TL19'!$J$10:$J$224),0),
IF('TL19'!$B$229=Q$3,SUMIF('TL19'!$C$238:$C$451,$C311,'TL19'!$J$238:$J$451),0)
),0)</f>
        <v/>
      </c>
      <c r="R311" s="9">
        <f>IFERROR(
SUM(
SUMIF('TL01'!C:C,C311,'TL01'!J:J),
SUMIF('TL02'!C:C,C311,'TL02'!J:J),
SUMIF('TL03'!C:C,C311,'TL03'!J:J),
SUMIF('TL04'!C:C,C311,'TL04'!J:J),
SUMIF('TL05'!C:C,C311,'TL05'!J:J),
SUMIF('TL06'!C:C,C311,'TL06'!J:J),
SUMIF('TL07'!C:C,C311,'TL07'!J:J),
SUMIF('TL08'!C:C,C311,'TL08'!J:J),
SUMIF('TL09'!C:C,C311,'TL09'!J:J),
SUMIF('TL10'!C:C,C311,'TL10'!J:J),
SUMIF('TL11'!C:C,C311,'TL11'!J:J),
SUMIF('TL12'!C:C,C311,'TL12'!J:J),
SUMIF('TL13'!C:C,C311,'TL13'!J:J),
SUMIF('TL14'!C:C,C311,'TL14'!J:J),
SUMIF('TL15'!C:C,C311,'TL15'!J:J),
SUMIF('TL16'!C:C,C311,'TL16'!J:J),
SUMIF('TL17'!C:C,C311,'TL17'!J:J),
SUMIF('TL18'!C:C,C311,'TL18'!J:J),SUMIF('TL19'!C:C,C311,'TL19'!J:J))
,0)</f>
        <v/>
      </c>
      <c r="S311" s="17">
        <f>IFERROR(__xludf.DUMMYFUNCTION("IFERROR(VLOOKUP(C311,
IMPORTRANGE(""1wULbzX32WdYsx-lj2U3uUNBBe2INVIRDtcK0d-Dvl90"",
""26-27!C:G""),
5,
FALSE),
"""")"),"")</f>
        <v/>
      </c>
      <c r="T311" s="9" t="n"/>
      <c r="U311" s="92">
        <f>MAX(0,R311-T311)</f>
        <v/>
      </c>
      <c r="V311" s="93">
        <f>U311*S311</f>
        <v/>
      </c>
    </row>
    <row r="312" hidden="1" ht="15.75" customHeight="1" s="297">
      <c r="A312" s="4" t="n"/>
      <c r="B312" s="125" t="inlineStr">
        <is>
          <t>SEMENTE</t>
        </is>
      </c>
      <c r="C312" s="4" t="inlineStr">
        <is>
          <t>MG616PWU</t>
        </is>
      </c>
      <c r="D312" s="20" t="n"/>
      <c r="E312" s="9" t="n"/>
      <c r="F312" s="4" t="inlineStr">
        <is>
          <t>SC</t>
        </is>
      </c>
      <c r="G312" s="90">
        <f>HYPERLINK("https://www.google.com/search?q=" &amp; C312 &amp; "+bula+agrofit+pdf", "📄 Ver bula")</f>
        <v/>
      </c>
      <c r="H312" s="9" t="n">
        <v>1.2</v>
      </c>
      <c r="I312" s="1" t="n"/>
      <c r="J312" s="9">
        <f>IFERROR(SUM(
IF('TL01'!$B$3=J$3,SUMIF('TL01'!$C$10:$C$224,$C312,'TL01'!$J$10:$J$224),0),
IF('TL01'!$B$229=J$3,SUMIF('TL01'!$C$238:$C$451,$C312,'TL01'!$J$238:$J$451),0),
IF('TL02'!$B$3=J$3,SUMIF('TL02'!$C$10:$C$224,$C312,'TL02'!$J$10:$J$224),0),
IF('TL02'!$B$229=J$3,SUMIF('TL02'!$C$238:$C$451,$C312,'TL02'!$J$238:$J$451),0),
IF('TL03'!$B$3=J$3,SUMIF('TL03'!$C$10:$C$224,$C312,'TL03'!$J$10:$J$224),0),
IF('TL03'!$B$229=J$3,SUMIF('TL03'!$C$238:$C$451,$C312,'TL03'!$J$238:$J$451),0),
IF('TL04'!$B$3=J$3,SUMIF('TL04'!$C$10:$C$224,$C312,'TL04'!$J$10:$J$224),0),
IF('TL04'!$B$229=J$3,SUMIF('TL04'!$C$238:$C$451,$C312,'TL04'!$J$238:$J$451),0),
IF('TL05'!$B$3=J$3,SUMIF('TL05'!$C$10:$C$224,$C312,'TL05'!$J$10:$J$224),0),
IF('TL05'!$B$229=J$3,SUMIF('TL05'!$C$238:$C$451,$C312,'TL05'!$J$238:$J$451),0),
IF('TL06'!$B$3=J$3,SUMIF('TL06'!$C$10:$C$224,$C312,'TL06'!$J$10:$J$224),0),
IF('TL06'!$B$229=J$3,SUMIF('TL06'!$C$238:$C$451,$C312,'TL06'!$J$238:$J$451),0),
IF('TL07'!$B$3=J$3,SUMIF('TL07'!$C$10:$C$224,$C312,'TL07'!$J$10:$J$224),0),
IF('TL07'!$B$229=J$3,SUMIF('TL07'!$C$238:$C$451,$C312,'TL07'!$J$238:$J$451),0),
IF('TL08'!$B$3=J$3,SUMIF('TL08'!$C$10:$C$224,$C312,'TL08'!$J$10:$J$224),0),
IF('TL08'!$B$229=J$3,SUMIF('TL08'!$C$238:$C$451,$C312,'TL08'!$J$238:$J$451),0),
IF('TL09'!$B$3=J$3,SUMIF('TL09'!$C$10:$C$224,$C312,'TL09'!$J$10:$J$224),0),
IF('TL09'!$B$229=J$3,SUMIF('TL09'!$C$238:$C$451,$C312,'TL09'!$J$238:$J$451),0),
IF('TL10'!$B$3=J$3,SUMIF('TL10'!$C$10:$C$224,$C312,'TL10'!$J$10:$J$224),0),
IF('TL10'!$B$229=J$3,SUMIF('TL10'!$C$238:$C$451,$C312,'TL10'!$J$238:$J$451),0),
IF('TL11'!$B$3=J$3,SUMIF('TL11'!$C$10:$C$224,$C312,'TL11'!$J$10:$J$224),0),
IF('TL11'!$B$229=J$3,SUMIF('TL11'!$C$238:$C$451,$C312,'TL11'!$J$238:$J$451),0),
IF('TL12'!$B$3=J$3,SUMIF('TL12'!$C$10:$C$224,$C312,'TL12'!$J$10:$J$224),0),
IF('TL12'!$B$229=J$3,SUMIF('TL12'!$C$238:$C$451,$C312,'TL12'!$J$238:$J$451),0),
IF('TL13'!$B$3=J$3,SUMIF('TL13'!$C$10:$C$224,$C312,'TL13'!$J$10:$J$224),0),
IF('TL13'!$B$229=J$3,SUMIF('TL13'!$C$238:$C$451,$C312,'TL13'!$J$238:$J$451),0),
IF('TL14'!$B$3=J$3,SUMIF('TL14'!$C$10:$C$224,$C312,'TL14'!$J$10:$J$224),0),
IF('TL14'!$B$229=J$3,SUMIF('TL14'!$C$238:$C$451,$C312,'TL14'!$J$238:$J$451),0),
IF('TL15'!$B$3=J$3,SUMIF('TL15'!$C$10:$C$224,$C312,'TL15'!$J$10:$J$224),0),
IF('TL15'!$B$229=J$3,SUMIF('TL15'!$C$238:$C$451,$C312,'TL15'!$J$238:$J$451),0),
IF('TL16'!$B$3=J$3,SUMIF('TL16'!$C$10:$C$224,$C312,'TL16'!$J$10:$J$224),0),
IF('TL16'!$B$229=J$3,SUMIF('TL16'!$C$238:$C$451,$C312,'TL16'!$J$238:$J$451),0),
IF('TL17'!$B$3=J$3,SUMIF('TL17'!$C$10:$C$224,$C312,'TL17'!$J$10:$J$224),0),
IF('TL17'!$B$229=J$3,SUMIF('TL17'!$C$238:$C$451,$C312,'TL17'!$J$238:$J$451),0),
IF('TL18'!$B$3=J$3,SUMIF('TL18'!$C$10:$C$224,$C312,'TL18'!$J$10:$J$224),0),
IF('TL18'!$B$229=J$3,SUMIF('TL18'!$C$238:$C$451,$C312,'TL18'!$J$238:$J$451),0),
IF('TL19'!$B$3=J$3,SUMIF('TL19'!$C$10:$C$224,$C312,'TL19'!$J$10:$J$224),0),
IF('TL19'!$B$229=J$3,SUMIF('TL19'!$C$238:$C$451,$C312,'TL19'!$J$238:$J$451),0)
),0)</f>
        <v/>
      </c>
      <c r="K312" s="9">
        <f>IFERROR(SUM(
IF('TL01'!$B$3=K$3,SUMIF('TL01'!$C$10:$C$224,$C312,'TL01'!$J$10:$J$224),0),
IF('TL01'!$B$229=K$3,SUMIF('TL01'!$C$238:$C$451,$C312,'TL01'!$J$238:$J$451),0),
IF('TL02'!$B$3=K$3,SUMIF('TL02'!$C$10:$C$224,$C312,'TL02'!$J$10:$J$224),0),
IF('TL02'!$B$229=K$3,SUMIF('TL02'!$C$238:$C$451,$C312,'TL02'!$J$238:$J$451),0),
IF('TL03'!$B$3=K$3,SUMIF('TL03'!$C$10:$C$224,$C312,'TL03'!$J$10:$J$224),0),
IF('TL03'!$B$229=K$3,SUMIF('TL03'!$C$238:$C$451,$C312,'TL03'!$J$238:$J$451),0),
IF('TL04'!$B$3=K$3,SUMIF('TL04'!$C$10:$C$224,$C312,'TL04'!$J$10:$J$224),0),
IF('TL04'!$B$229=K$3,SUMIF('TL04'!$C$238:$C$451,$C312,'TL04'!$J$238:$J$451),0),
IF('TL05'!$B$3=K$3,SUMIF('TL05'!$C$10:$C$224,$C312,'TL05'!$J$10:$J$224),0),
IF('TL05'!$B$229=K$3,SUMIF('TL05'!$C$238:$C$451,$C312,'TL05'!$J$238:$J$451),0),
IF('TL06'!$B$3=K$3,SUMIF('TL06'!$C$10:$C$224,$C312,'TL06'!$J$10:$J$224),0),
IF('TL06'!$B$229=K$3,SUMIF('TL06'!$C$238:$C$451,$C312,'TL06'!$J$238:$J$451),0),
IF('TL07'!$B$3=K$3,SUMIF('TL07'!$C$10:$C$224,$C312,'TL07'!$J$10:$J$224),0),
IF('TL07'!$B$229=K$3,SUMIF('TL07'!$C$238:$C$451,$C312,'TL07'!$J$238:$J$451),0),
IF('TL08'!$B$3=K$3,SUMIF('TL08'!$C$10:$C$224,$C312,'TL08'!$J$10:$J$224),0),
IF('TL08'!$B$229=K$3,SUMIF('TL08'!$C$238:$C$451,$C312,'TL08'!$J$238:$J$451),0),
IF('TL09'!$B$3=K$3,SUMIF('TL09'!$C$10:$C$224,$C312,'TL09'!$J$10:$J$224),0),
IF('TL09'!$B$229=K$3,SUMIF('TL09'!$C$238:$C$451,$C312,'TL09'!$J$238:$J$451),0),
IF('TL10'!$B$3=K$3,SUMIF('TL10'!$C$10:$C$224,$C312,'TL10'!$J$10:$J$224),0),
IF('TL10'!$B$229=K$3,SUMIF('TL10'!$C$238:$C$451,$C312,'TL10'!$J$238:$J$451),0),
IF('TL11'!$B$3=K$3,SUMIF('TL11'!$C$10:$C$224,$C312,'TL11'!$J$10:$J$224),0),
IF('TL11'!$B$229=K$3,SUMIF('TL11'!$C$238:$C$451,$C312,'TL11'!$J$238:$J$451),0),
IF('TL12'!$B$3=K$3,SUMIF('TL12'!$C$10:$C$224,$C312,'TL12'!$J$10:$J$224),0),
IF('TL12'!$B$229=K$3,SUMIF('TL12'!$C$238:$C$451,$C312,'TL12'!$J$238:$J$451),0),
IF('TL13'!$B$3=K$3,SUMIF('TL13'!$C$10:$C$224,$C312,'TL13'!$J$10:$J$224),0),
IF('TL13'!$B$229=K$3,SUMIF('TL13'!$C$238:$C$451,$C312,'TL13'!$J$238:$J$451),0),
IF('TL14'!$B$3=K$3,SUMIF('TL14'!$C$10:$C$224,$C312,'TL14'!$J$10:$J$224),0),
IF('TL14'!$B$229=K$3,SUMIF('TL14'!$C$238:$C$451,$C312,'TL14'!$J$238:$J$451),0),
IF('TL15'!$B$3=K$3,SUMIF('TL15'!$C$10:$C$224,$C312,'TL15'!$J$10:$J$224),0),
IF('TL15'!$B$229=K$3,SUMIF('TL15'!$C$238:$C$451,$C312,'TL15'!$J$238:$J$451),0),
IF('TL16'!$B$3=K$3,SUMIF('TL16'!$C$10:$C$224,$C312,'TL16'!$J$10:$J$224),0),
IF('TL16'!$B$229=K$3,SUMIF('TL16'!$C$238:$C$451,$C312,'TL16'!$J$238:$J$451),0),
IF('TL17'!$B$3=K$3,SUMIF('TL17'!$C$10:$C$224,$C312,'TL17'!$J$10:$J$224),0),
IF('TL17'!$B$229=K$3,SUMIF('TL17'!$C$238:$C$451,$C312,'TL17'!$J$238:$J$451),0),
IF('TL18'!$B$3=K$3,SUMIF('TL18'!$C$10:$C$224,$C312,'TL18'!$J$10:$J$224),0),
IF('TL18'!$B$229=K$3,SUMIF('TL18'!$C$238:$C$451,$C312,'TL18'!$J$238:$J$451),0),
IF('TL19'!$B$3=K$3,SUMIF('TL19'!$C$10:$C$224,$C312,'TL19'!$J$10:$J$224),0),
IF('TL19'!$B$229=K$3,SUMIF('TL19'!$C$238:$C$451,$C312,'TL19'!$J$238:$J$451),0)
),0)</f>
        <v/>
      </c>
      <c r="L312" s="9">
        <f>IFERROR(SUM(
IF('TL01'!$B$3=L$3,SUMIF('TL01'!$C$10:$C$224,$C312,'TL01'!$J$10:$J$224),0),
IF('TL01'!$B$229=L$3,SUMIF('TL01'!$C$238:$C$451,$C312,'TL01'!$J$238:$J$451),0),
IF('TL02'!$B$3=L$3,SUMIF('TL02'!$C$10:$C$224,$C312,'TL02'!$J$10:$J$224),0),
IF('TL02'!$B$229=L$3,SUMIF('TL02'!$C$238:$C$451,$C312,'TL02'!$J$238:$J$451),0),
IF('TL03'!$B$3=L$3,SUMIF('TL03'!$C$10:$C$224,$C312,'TL03'!$J$10:$J$224),0),
IF('TL03'!$B$229=L$3,SUMIF('TL03'!$C$238:$C$451,$C312,'TL03'!$J$238:$J$451),0),
IF('TL04'!$B$3=L$3,SUMIF('TL04'!$C$10:$C$224,$C312,'TL04'!$J$10:$J$224),0),
IF('TL04'!$B$229=L$3,SUMIF('TL04'!$C$238:$C$451,$C312,'TL04'!$J$238:$J$451),0),
IF('TL05'!$B$3=L$3,SUMIF('TL05'!$C$10:$C$224,$C312,'TL05'!$J$10:$J$224),0),
IF('TL05'!$B$229=L$3,SUMIF('TL05'!$C$238:$C$451,$C312,'TL05'!$J$238:$J$451),0),
IF('TL06'!$B$3=L$3,SUMIF('TL06'!$C$10:$C$224,$C312,'TL06'!$J$10:$J$224),0),
IF('TL06'!$B$229=L$3,SUMIF('TL06'!$C$238:$C$451,$C312,'TL06'!$J$238:$J$451),0),
IF('TL07'!$B$3=L$3,SUMIF('TL07'!$C$10:$C$224,$C312,'TL07'!$J$10:$J$224),0),
IF('TL07'!$B$229=L$3,SUMIF('TL07'!$C$238:$C$451,$C312,'TL07'!$J$238:$J$451),0),
IF('TL08'!$B$3=L$3,SUMIF('TL08'!$C$10:$C$224,$C312,'TL08'!$J$10:$J$224),0),
IF('TL08'!$B$229=L$3,SUMIF('TL08'!$C$238:$C$451,$C312,'TL08'!$J$238:$J$451),0),
IF('TL09'!$B$3=L$3,SUMIF('TL09'!$C$10:$C$224,$C312,'TL09'!$J$10:$J$224),0),
IF('TL09'!$B$229=L$3,SUMIF('TL09'!$C$238:$C$451,$C312,'TL09'!$J$238:$J$451),0),
IF('TL10'!$B$3=L$3,SUMIF('TL10'!$C$10:$C$224,$C312,'TL10'!$J$10:$J$224),0),
IF('TL10'!$B$229=L$3,SUMIF('TL10'!$C$238:$C$451,$C312,'TL10'!$J$238:$J$451),0),
IF('TL11'!$B$3=L$3,SUMIF('TL11'!$C$10:$C$224,$C312,'TL11'!$J$10:$J$224),0),
IF('TL11'!$B$229=L$3,SUMIF('TL11'!$C$238:$C$451,$C312,'TL11'!$J$238:$J$451),0),
IF('TL12'!$B$3=L$3,SUMIF('TL12'!$C$10:$C$224,$C312,'TL12'!$J$10:$J$224),0),
IF('TL12'!$B$229=L$3,SUMIF('TL12'!$C$238:$C$451,$C312,'TL12'!$J$238:$J$451),0),
IF('TL13'!$B$3=L$3,SUMIF('TL13'!$C$10:$C$224,$C312,'TL13'!$J$10:$J$224),0),
IF('TL13'!$B$229=L$3,SUMIF('TL13'!$C$238:$C$451,$C312,'TL13'!$J$238:$J$451),0),
IF('TL14'!$B$3=L$3,SUMIF('TL14'!$C$10:$C$224,$C312,'TL14'!$J$10:$J$224),0),
IF('TL14'!$B$229=L$3,SUMIF('TL14'!$C$238:$C$451,$C312,'TL14'!$J$238:$J$451),0),
IF('TL15'!$B$3=L$3,SUMIF('TL15'!$C$10:$C$224,$C312,'TL15'!$J$10:$J$224),0),
IF('TL15'!$B$229=L$3,SUMIF('TL15'!$C$238:$C$451,$C312,'TL15'!$J$238:$J$451),0),
IF('TL16'!$B$3=L$3,SUMIF('TL16'!$C$10:$C$224,$C312,'TL16'!$J$10:$J$224),0),
IF('TL16'!$B$229=L$3,SUMIF('TL16'!$C$238:$C$451,$C312,'TL16'!$J$238:$J$451),0),
IF('TL17'!$B$3=L$3,SUMIF('TL17'!$C$10:$C$224,$C312,'TL17'!$J$10:$J$224),0),
IF('TL17'!$B$229=L$3,SUMIF('TL17'!$C$238:$C$451,$C312,'TL17'!$J$238:$J$451),0),
IF('TL18'!$B$3=L$3,SUMIF('TL18'!$C$10:$C$224,$C312,'TL18'!$J$10:$J$224),0),
IF('TL18'!$B$229=L$3,SUMIF('TL18'!$C$238:$C$451,$C312,'TL18'!$J$238:$J$451),0),
IF('TL19'!$B$3=L$3,SUMIF('TL19'!$C$10:$C$224,$C312,'TL19'!$J$10:$J$224),0),
IF('TL19'!$B$229=L$3,SUMIF('TL19'!$C$238:$C$451,$C312,'TL19'!$J$238:$J$451),0)
),0)</f>
        <v/>
      </c>
      <c r="M312" s="9">
        <f>IFERROR(SUM(
IF('TL01'!$B$3=M$3,SUMIF('TL01'!$C$10:$C$224,$C312,'TL01'!$J$10:$J$224),0),
IF('TL01'!$B$229=M$3,SUMIF('TL01'!$C$238:$C$451,$C312,'TL01'!$J$238:$J$451),0),
IF('TL02'!$B$3=M$3,SUMIF('TL02'!$C$10:$C$224,$C312,'TL02'!$J$10:$J$224),0),
IF('TL02'!$B$229=M$3,SUMIF('TL02'!$C$238:$C$451,$C312,'TL02'!$J$238:$J$451),0),
IF('TL03'!$B$3=M$3,SUMIF('TL03'!$C$10:$C$224,$C312,'TL03'!$J$10:$J$224),0),
IF('TL03'!$B$229=M$3,SUMIF('TL03'!$C$238:$C$451,$C312,'TL03'!$J$238:$J$451),0),
IF('TL04'!$B$3=M$3,SUMIF('TL04'!$C$10:$C$224,$C312,'TL04'!$J$10:$J$224),0),
IF('TL04'!$B$229=M$3,SUMIF('TL04'!$C$238:$C$451,$C312,'TL04'!$J$238:$J$451),0),
IF('TL05'!$B$3=M$3,SUMIF('TL05'!$C$10:$C$224,$C312,'TL05'!$J$10:$J$224),0),
IF('TL05'!$B$229=M$3,SUMIF('TL05'!$C$238:$C$451,$C312,'TL05'!$J$238:$J$451),0),
IF('TL06'!$B$3=M$3,SUMIF('TL06'!$C$10:$C$224,$C312,'TL06'!$J$10:$J$224),0),
IF('TL06'!$B$229=M$3,SUMIF('TL06'!$C$238:$C$451,$C312,'TL06'!$J$238:$J$451),0),
IF('TL07'!$B$3=M$3,SUMIF('TL07'!$C$10:$C$224,$C312,'TL07'!$J$10:$J$224),0),
IF('TL07'!$B$229=M$3,SUMIF('TL07'!$C$238:$C$451,$C312,'TL07'!$J$238:$J$451),0),
IF('TL08'!$B$3=M$3,SUMIF('TL08'!$C$10:$C$224,$C312,'TL08'!$J$10:$J$224),0),
IF('TL08'!$B$229=M$3,SUMIF('TL08'!$C$238:$C$451,$C312,'TL08'!$J$238:$J$451),0),
IF('TL09'!$B$3=M$3,SUMIF('TL09'!$C$10:$C$224,$C312,'TL09'!$J$10:$J$224),0),
IF('TL09'!$B$229=M$3,SUMIF('TL09'!$C$238:$C$451,$C312,'TL09'!$J$238:$J$451),0),
IF('TL10'!$B$3=M$3,SUMIF('TL10'!$C$10:$C$224,$C312,'TL10'!$J$10:$J$224),0),
IF('TL10'!$B$229=M$3,SUMIF('TL10'!$C$238:$C$451,$C312,'TL10'!$J$238:$J$451),0),
IF('TL11'!$B$3=M$3,SUMIF('TL11'!$C$10:$C$224,$C312,'TL11'!$J$10:$J$224),0),
IF('TL11'!$B$229=M$3,SUMIF('TL11'!$C$238:$C$451,$C312,'TL11'!$J$238:$J$451),0),
IF('TL12'!$B$3=M$3,SUMIF('TL12'!$C$10:$C$224,$C312,'TL12'!$J$10:$J$224),0),
IF('TL12'!$B$229=M$3,SUMIF('TL12'!$C$238:$C$451,$C312,'TL12'!$J$238:$J$451),0),
IF('TL13'!$B$3=M$3,SUMIF('TL13'!$C$10:$C$224,$C312,'TL13'!$J$10:$J$224),0),
IF('TL13'!$B$229=M$3,SUMIF('TL13'!$C$238:$C$451,$C312,'TL13'!$J$238:$J$451),0),
IF('TL14'!$B$3=M$3,SUMIF('TL14'!$C$10:$C$224,$C312,'TL14'!$J$10:$J$224),0),
IF('TL14'!$B$229=M$3,SUMIF('TL14'!$C$238:$C$451,$C312,'TL14'!$J$238:$J$451),0),
IF('TL15'!$B$3=M$3,SUMIF('TL15'!$C$10:$C$224,$C312,'TL15'!$J$10:$J$224),0),
IF('TL15'!$B$229=M$3,SUMIF('TL15'!$C$238:$C$451,$C312,'TL15'!$J$238:$J$451),0),
IF('TL16'!$B$3=M$3,SUMIF('TL16'!$C$10:$C$224,$C312,'TL16'!$J$10:$J$224),0),
IF('TL16'!$B$229=M$3,SUMIF('TL16'!$C$238:$C$451,$C312,'TL16'!$J$238:$J$451),0),
IF('TL17'!$B$3=M$3,SUMIF('TL17'!$C$10:$C$224,$C312,'TL17'!$J$10:$J$224),0),
IF('TL17'!$B$229=M$3,SUMIF('TL17'!$C$238:$C$451,$C312,'TL17'!$J$238:$J$451),0),
IF('TL18'!$B$3=M$3,SUMIF('TL18'!$C$10:$C$224,$C312,'TL18'!$J$10:$J$224),0),
IF('TL18'!$B$229=M$3,SUMIF('TL18'!$C$238:$C$451,$C312,'TL18'!$J$238:$J$451),0),
IF('TL19'!$B$3=M$3,SUMIF('TL19'!$C$10:$C$224,$C312,'TL19'!$J$10:$J$224),0),
IF('TL19'!$B$229=M$3,SUMIF('TL19'!$C$238:$C$451,$C312,'TL19'!$J$238:$J$451),0)
),0)</f>
        <v/>
      </c>
      <c r="N312" s="9">
        <f>IFERROR(SUM(
IF('TL01'!$B$3=N$3,SUMIF('TL01'!$C$10:$C$224,$C312,'TL01'!$J$10:$J$224),0),
IF('TL01'!$B$229=N$3,SUMIF('TL01'!$C$238:$C$451,$C312,'TL01'!$J$238:$J$451),0),
IF('TL02'!$B$3=N$3,SUMIF('TL02'!$C$10:$C$224,$C312,'TL02'!$J$10:$J$224),0),
IF('TL02'!$B$229=N$3,SUMIF('TL02'!$C$238:$C$451,$C312,'TL02'!$J$238:$J$451),0),
IF('TL03'!$B$3=N$3,SUMIF('TL03'!$C$10:$C$224,$C312,'TL03'!$J$10:$J$224),0),
IF('TL03'!$B$229=N$3,SUMIF('TL03'!$C$238:$C$451,$C312,'TL03'!$J$238:$J$451),0),
IF('TL04'!$B$3=N$3,SUMIF('TL04'!$C$10:$C$224,$C312,'TL04'!$J$10:$J$224),0),
IF('TL04'!$B$229=N$3,SUMIF('TL04'!$C$238:$C$451,$C312,'TL04'!$J$238:$J$451),0),
IF('TL05'!$B$3=N$3,SUMIF('TL05'!$C$10:$C$224,$C312,'TL05'!$J$10:$J$224),0),
IF('TL05'!$B$229=N$3,SUMIF('TL05'!$C$238:$C$451,$C312,'TL05'!$J$238:$J$451),0),
IF('TL06'!$B$3=N$3,SUMIF('TL06'!$C$10:$C$224,$C312,'TL06'!$J$10:$J$224),0),
IF('TL06'!$B$229=N$3,SUMIF('TL06'!$C$238:$C$451,$C312,'TL06'!$J$238:$J$451),0),
IF('TL07'!$B$3=N$3,SUMIF('TL07'!$C$10:$C$224,$C312,'TL07'!$J$10:$J$224),0),
IF('TL07'!$B$229=N$3,SUMIF('TL07'!$C$238:$C$451,$C312,'TL07'!$J$238:$J$451),0),
IF('TL08'!$B$3=N$3,SUMIF('TL08'!$C$10:$C$224,$C312,'TL08'!$J$10:$J$224),0),
IF('TL08'!$B$229=N$3,SUMIF('TL08'!$C$238:$C$451,$C312,'TL08'!$J$238:$J$451),0),
IF('TL09'!$B$3=N$3,SUMIF('TL09'!$C$10:$C$224,$C312,'TL09'!$J$10:$J$224),0),
IF('TL09'!$B$229=N$3,SUMIF('TL09'!$C$238:$C$451,$C312,'TL09'!$J$238:$J$451),0),
IF('TL10'!$B$3=N$3,SUMIF('TL10'!$C$10:$C$224,$C312,'TL10'!$J$10:$J$224),0),
IF('TL10'!$B$229=N$3,SUMIF('TL10'!$C$238:$C$451,$C312,'TL10'!$J$238:$J$451),0),
IF('TL11'!$B$3=N$3,SUMIF('TL11'!$C$10:$C$224,$C312,'TL11'!$J$10:$J$224),0),
IF('TL11'!$B$229=N$3,SUMIF('TL11'!$C$238:$C$451,$C312,'TL11'!$J$238:$J$451),0),
IF('TL12'!$B$3=N$3,SUMIF('TL12'!$C$10:$C$224,$C312,'TL12'!$J$10:$J$224),0),
IF('TL12'!$B$229=N$3,SUMIF('TL12'!$C$238:$C$451,$C312,'TL12'!$J$238:$J$451),0),
IF('TL13'!$B$3=N$3,SUMIF('TL13'!$C$10:$C$224,$C312,'TL13'!$J$10:$J$224),0),
IF('TL13'!$B$229=N$3,SUMIF('TL13'!$C$238:$C$451,$C312,'TL13'!$J$238:$J$451),0),
IF('TL14'!$B$3=N$3,SUMIF('TL14'!$C$10:$C$224,$C312,'TL14'!$J$10:$J$224),0),
IF('TL14'!$B$229=N$3,SUMIF('TL14'!$C$238:$C$451,$C312,'TL14'!$J$238:$J$451),0),
IF('TL15'!$B$3=N$3,SUMIF('TL15'!$C$10:$C$224,$C312,'TL15'!$J$10:$J$224),0),
IF('TL15'!$B$229=N$3,SUMIF('TL15'!$C$238:$C$451,$C312,'TL15'!$J$238:$J$451),0),
IF('TL16'!$B$3=N$3,SUMIF('TL16'!$C$10:$C$224,$C312,'TL16'!$J$10:$J$224),0),
IF('TL16'!$B$229=N$3,SUMIF('TL16'!$C$238:$C$451,$C312,'TL16'!$J$238:$J$451),0),
IF('TL17'!$B$3=N$3,SUMIF('TL17'!$C$10:$C$224,$C312,'TL17'!$J$10:$J$224),0),
IF('TL17'!$B$229=N$3,SUMIF('TL17'!$C$238:$C$451,$C312,'TL17'!$J$238:$J$451),0),
IF('TL18'!$B$3=N$3,SUMIF('TL18'!$C$10:$C$224,$C312,'TL18'!$J$10:$J$224),0),
IF('TL18'!$B$229=N$3,SUMIF('TL18'!$C$238:$C$451,$C312,'TL18'!$J$238:$J$451),0),
IF('TL19'!$B$3=N$3,SUMIF('TL19'!$C$10:$C$224,$C312,'TL19'!$J$10:$J$224),0),
IF('TL19'!$B$229=N$3,SUMIF('TL19'!$C$238:$C$451,$C312,'TL19'!$J$238:$J$451),0)
),0)</f>
        <v/>
      </c>
      <c r="O312" s="9">
        <f>IFERROR(SUM(
IF('TL01'!$B$3=O$3,SUMIF('TL01'!$C$10:$C$224,$C312,'TL01'!$J$10:$J$224),0),
IF('TL01'!$B$229=O$3,SUMIF('TL01'!$C$238:$C$451,$C312,'TL01'!$J$238:$J$451),0),
IF('TL02'!$B$3=O$3,SUMIF('TL02'!$C$10:$C$224,$C312,'TL02'!$J$10:$J$224),0),
IF('TL02'!$B$229=O$3,SUMIF('TL02'!$C$238:$C$451,$C312,'TL02'!$J$238:$J$451),0),
IF('TL03'!$B$3=O$3,SUMIF('TL03'!$C$10:$C$224,$C312,'TL03'!$J$10:$J$224),0),
IF('TL03'!$B$229=O$3,SUMIF('TL03'!$C$238:$C$451,$C312,'TL03'!$J$238:$J$451),0),
IF('TL04'!$B$3=O$3,SUMIF('TL04'!$C$10:$C$224,$C312,'TL04'!$J$10:$J$224),0),
IF('TL04'!$B$229=O$3,SUMIF('TL04'!$C$238:$C$451,$C312,'TL04'!$J$238:$J$451),0),
IF('TL05'!$B$3=O$3,SUMIF('TL05'!$C$10:$C$224,$C312,'TL05'!$J$10:$J$224),0),
IF('TL05'!$B$229=O$3,SUMIF('TL05'!$C$238:$C$451,$C312,'TL05'!$J$238:$J$451),0),
IF('TL06'!$B$3=O$3,SUMIF('TL06'!$C$10:$C$224,$C312,'TL06'!$J$10:$J$224),0),
IF('TL06'!$B$229=O$3,SUMIF('TL06'!$C$238:$C$451,$C312,'TL06'!$J$238:$J$451),0),
IF('TL07'!$B$3=O$3,SUMIF('TL07'!$C$10:$C$224,$C312,'TL07'!$J$10:$J$224),0),
IF('TL07'!$B$229=O$3,SUMIF('TL07'!$C$238:$C$451,$C312,'TL07'!$J$238:$J$451),0),
IF('TL08'!$B$3=O$3,SUMIF('TL08'!$C$10:$C$224,$C312,'TL08'!$J$10:$J$224),0),
IF('TL08'!$B$229=O$3,SUMIF('TL08'!$C$238:$C$451,$C312,'TL08'!$J$238:$J$451),0),
IF('TL09'!$B$3=O$3,SUMIF('TL09'!$C$10:$C$224,$C312,'TL09'!$J$10:$J$224),0),
IF('TL09'!$B$229=O$3,SUMIF('TL09'!$C$238:$C$451,$C312,'TL09'!$J$238:$J$451),0),
IF('TL10'!$B$3=O$3,SUMIF('TL10'!$C$10:$C$224,$C312,'TL10'!$J$10:$J$224),0),
IF('TL10'!$B$229=O$3,SUMIF('TL10'!$C$238:$C$451,$C312,'TL10'!$J$238:$J$451),0),
IF('TL11'!$B$3=O$3,SUMIF('TL11'!$C$10:$C$224,$C312,'TL11'!$J$10:$J$224),0),
IF('TL11'!$B$229=O$3,SUMIF('TL11'!$C$238:$C$451,$C312,'TL11'!$J$238:$J$451),0),
IF('TL12'!$B$3=O$3,SUMIF('TL12'!$C$10:$C$224,$C312,'TL12'!$J$10:$J$224),0),
IF('TL12'!$B$229=O$3,SUMIF('TL12'!$C$238:$C$451,$C312,'TL12'!$J$238:$J$451),0),
IF('TL13'!$B$3=O$3,SUMIF('TL13'!$C$10:$C$224,$C312,'TL13'!$J$10:$J$224),0),
IF('TL13'!$B$229=O$3,SUMIF('TL13'!$C$238:$C$451,$C312,'TL13'!$J$238:$J$451),0),
IF('TL14'!$B$3=O$3,SUMIF('TL14'!$C$10:$C$224,$C312,'TL14'!$J$10:$J$224),0),
IF('TL14'!$B$229=O$3,SUMIF('TL14'!$C$238:$C$451,$C312,'TL14'!$J$238:$J$451),0),
IF('TL15'!$B$3=O$3,SUMIF('TL15'!$C$10:$C$224,$C312,'TL15'!$J$10:$J$224),0),
IF('TL15'!$B$229=O$3,SUMIF('TL15'!$C$238:$C$451,$C312,'TL15'!$J$238:$J$451),0),
IF('TL16'!$B$3=O$3,SUMIF('TL16'!$C$10:$C$224,$C312,'TL16'!$J$10:$J$224),0),
IF('TL16'!$B$229=O$3,SUMIF('TL16'!$C$238:$C$451,$C312,'TL16'!$J$238:$J$451),0),
IF('TL17'!$B$3=O$3,SUMIF('TL17'!$C$10:$C$224,$C312,'TL17'!$J$10:$J$224),0),
IF('TL17'!$B$229=O$3,SUMIF('TL17'!$C$238:$C$451,$C312,'TL17'!$J$238:$J$451),0),
IF('TL18'!$B$3=O$3,SUMIF('TL18'!$C$10:$C$224,$C312,'TL18'!$J$10:$J$224),0),
IF('TL18'!$B$229=O$3,SUMIF('TL18'!$C$238:$C$451,$C312,'TL18'!$J$238:$J$451),0),
IF('TL19'!$B$3=O$3,SUMIF('TL19'!$C$10:$C$224,$C312,'TL19'!$J$10:$J$224),0),
IF('TL19'!$B$229=O$3,SUMIF('TL19'!$C$238:$C$451,$C312,'TL19'!$J$238:$J$451),0)
),0)</f>
        <v/>
      </c>
      <c r="P312" s="9">
        <f>IFERROR(SUM(
IF('TL01'!$B$3=P$3,SUMIF('TL01'!$C$10:$C$224,$C312,'TL01'!$J$10:$J$224),0),
IF('TL01'!$B$229=P$3,SUMIF('TL01'!$C$238:$C$451,$C312,'TL01'!$J$238:$J$451),0),
IF('TL02'!$B$3=P$3,SUMIF('TL02'!$C$10:$C$224,$C312,'TL02'!$J$10:$J$224),0),
IF('TL02'!$B$229=P$3,SUMIF('TL02'!$C$238:$C$451,$C312,'TL02'!$J$238:$J$451),0),
IF('TL03'!$B$3=P$3,SUMIF('TL03'!$C$10:$C$224,$C312,'TL03'!$J$10:$J$224),0),
IF('TL03'!$B$229=P$3,SUMIF('TL03'!$C$238:$C$451,$C312,'TL03'!$J$238:$J$451),0),
IF('TL04'!$B$3=P$3,SUMIF('TL04'!$C$10:$C$224,$C312,'TL04'!$J$10:$J$224),0),
IF('TL04'!$B$229=P$3,SUMIF('TL04'!$C$238:$C$451,$C312,'TL04'!$J$238:$J$451),0),
IF('TL05'!$B$3=P$3,SUMIF('TL05'!$C$10:$C$224,$C312,'TL05'!$J$10:$J$224),0),
IF('TL05'!$B$229=P$3,SUMIF('TL05'!$C$238:$C$451,$C312,'TL05'!$J$238:$J$451),0),
IF('TL06'!$B$3=P$3,SUMIF('TL06'!$C$10:$C$224,$C312,'TL06'!$J$10:$J$224),0),
IF('TL06'!$B$229=P$3,SUMIF('TL06'!$C$238:$C$451,$C312,'TL06'!$J$238:$J$451),0),
IF('TL07'!$B$3=P$3,SUMIF('TL07'!$C$10:$C$224,$C312,'TL07'!$J$10:$J$224),0),
IF('TL07'!$B$229=P$3,SUMIF('TL07'!$C$238:$C$451,$C312,'TL07'!$J$238:$J$451),0),
IF('TL08'!$B$3=P$3,SUMIF('TL08'!$C$10:$C$224,$C312,'TL08'!$J$10:$J$224),0),
IF('TL08'!$B$229=P$3,SUMIF('TL08'!$C$238:$C$451,$C312,'TL08'!$J$238:$J$451),0),
IF('TL09'!$B$3=P$3,SUMIF('TL09'!$C$10:$C$224,$C312,'TL09'!$J$10:$J$224),0),
IF('TL09'!$B$229=P$3,SUMIF('TL09'!$C$238:$C$451,$C312,'TL09'!$J$238:$J$451),0),
IF('TL10'!$B$3=P$3,SUMIF('TL10'!$C$10:$C$224,$C312,'TL10'!$J$10:$J$224),0),
IF('TL10'!$B$229=P$3,SUMIF('TL10'!$C$238:$C$451,$C312,'TL10'!$J$238:$J$451),0),
IF('TL11'!$B$3=P$3,SUMIF('TL11'!$C$10:$C$224,$C312,'TL11'!$J$10:$J$224),0),
IF('TL11'!$B$229=P$3,SUMIF('TL11'!$C$238:$C$451,$C312,'TL11'!$J$238:$J$451),0),
IF('TL12'!$B$3=P$3,SUMIF('TL12'!$C$10:$C$224,$C312,'TL12'!$J$10:$J$224),0),
IF('TL12'!$B$229=P$3,SUMIF('TL12'!$C$238:$C$451,$C312,'TL12'!$J$238:$J$451),0),
IF('TL13'!$B$3=P$3,SUMIF('TL13'!$C$10:$C$224,$C312,'TL13'!$J$10:$J$224),0),
IF('TL13'!$B$229=P$3,SUMIF('TL13'!$C$238:$C$451,$C312,'TL13'!$J$238:$J$451),0),
IF('TL14'!$B$3=P$3,SUMIF('TL14'!$C$10:$C$224,$C312,'TL14'!$J$10:$J$224),0),
IF('TL14'!$B$229=P$3,SUMIF('TL14'!$C$238:$C$451,$C312,'TL14'!$J$238:$J$451),0),
IF('TL15'!$B$3=P$3,SUMIF('TL15'!$C$10:$C$224,$C312,'TL15'!$J$10:$J$224),0),
IF('TL15'!$B$229=P$3,SUMIF('TL15'!$C$238:$C$451,$C312,'TL15'!$J$238:$J$451),0),
IF('TL16'!$B$3=P$3,SUMIF('TL16'!$C$10:$C$224,$C312,'TL16'!$J$10:$J$224),0),
IF('TL16'!$B$229=P$3,SUMIF('TL16'!$C$238:$C$451,$C312,'TL16'!$J$238:$J$451),0),
IF('TL17'!$B$3=P$3,SUMIF('TL17'!$C$10:$C$224,$C312,'TL17'!$J$10:$J$224),0),
IF('TL17'!$B$229=P$3,SUMIF('TL17'!$C$238:$C$451,$C312,'TL17'!$J$238:$J$451),0),
IF('TL18'!$B$3=P$3,SUMIF('TL18'!$C$10:$C$224,$C312,'TL18'!$J$10:$J$224),0),
IF('TL18'!$B$229=P$3,SUMIF('TL18'!$C$238:$C$451,$C312,'TL18'!$J$238:$J$451),0),
IF('TL19'!$B$3=P$3,SUMIF('TL19'!$C$10:$C$224,$C312,'TL19'!$J$10:$J$224),0),
IF('TL19'!$B$229=P$3,SUMIF('TL19'!$C$238:$C$451,$C312,'TL19'!$J$238:$J$451),0)
),0)</f>
        <v/>
      </c>
      <c r="Q312" s="9">
        <f>IFERROR(SUM(
IF('TL01'!$B$3=Q$3,SUMIF('TL01'!$C$10:$C$224,$C312,'TL01'!$J$10:$J$224),0),
IF('TL01'!$B$229=Q$3,SUMIF('TL01'!$C$238:$C$451,$C312,'TL01'!$J$238:$J$451),0),
IF('TL02'!$B$3=Q$3,SUMIF('TL02'!$C$10:$C$224,$C312,'TL02'!$J$10:$J$224),0),
IF('TL02'!$B$229=Q$3,SUMIF('TL02'!$C$238:$C$451,$C312,'TL02'!$J$238:$J$451),0),
IF('TL03'!$B$3=Q$3,SUMIF('TL03'!$C$10:$C$224,$C312,'TL03'!$J$10:$J$224),0),
IF('TL03'!$B$229=Q$3,SUMIF('TL03'!$C$238:$C$451,$C312,'TL03'!$J$238:$J$451),0),
IF('TL04'!$B$3=Q$3,SUMIF('TL04'!$C$10:$C$224,$C312,'TL04'!$J$10:$J$224),0),
IF('TL04'!$B$229=Q$3,SUMIF('TL04'!$C$238:$C$451,$C312,'TL04'!$J$238:$J$451),0),
IF('TL05'!$B$3=Q$3,SUMIF('TL05'!$C$10:$C$224,$C312,'TL05'!$J$10:$J$224),0),
IF('TL05'!$B$229=Q$3,SUMIF('TL05'!$C$238:$C$451,$C312,'TL05'!$J$238:$J$451),0),
IF('TL06'!$B$3=Q$3,SUMIF('TL06'!$C$10:$C$224,$C312,'TL06'!$J$10:$J$224),0),
IF('TL06'!$B$229=Q$3,SUMIF('TL06'!$C$238:$C$451,$C312,'TL06'!$J$238:$J$451),0),
IF('TL07'!$B$3=Q$3,SUMIF('TL07'!$C$10:$C$224,$C312,'TL07'!$J$10:$J$224),0),
IF('TL07'!$B$229=Q$3,SUMIF('TL07'!$C$238:$C$451,$C312,'TL07'!$J$238:$J$451),0),
IF('TL08'!$B$3=Q$3,SUMIF('TL08'!$C$10:$C$224,$C312,'TL08'!$J$10:$J$224),0),
IF('TL08'!$B$229=Q$3,SUMIF('TL08'!$C$238:$C$451,$C312,'TL08'!$J$238:$J$451),0),
IF('TL09'!$B$3=Q$3,SUMIF('TL09'!$C$10:$C$224,$C312,'TL09'!$J$10:$J$224),0),
IF('TL09'!$B$229=Q$3,SUMIF('TL09'!$C$238:$C$451,$C312,'TL09'!$J$238:$J$451),0),
IF('TL10'!$B$3=Q$3,SUMIF('TL10'!$C$10:$C$224,$C312,'TL10'!$J$10:$J$224),0),
IF('TL10'!$B$229=Q$3,SUMIF('TL10'!$C$238:$C$451,$C312,'TL10'!$J$238:$J$451),0),
IF('TL11'!$B$3=Q$3,SUMIF('TL11'!$C$10:$C$224,$C312,'TL11'!$J$10:$J$224),0),
IF('TL11'!$B$229=Q$3,SUMIF('TL11'!$C$238:$C$451,$C312,'TL11'!$J$238:$J$451),0),
IF('TL12'!$B$3=Q$3,SUMIF('TL12'!$C$10:$C$224,$C312,'TL12'!$J$10:$J$224),0),
IF('TL12'!$B$229=Q$3,SUMIF('TL12'!$C$238:$C$451,$C312,'TL12'!$J$238:$J$451),0),
IF('TL13'!$B$3=Q$3,SUMIF('TL13'!$C$10:$C$224,$C312,'TL13'!$J$10:$J$224),0),
IF('TL13'!$B$229=Q$3,SUMIF('TL13'!$C$238:$C$451,$C312,'TL13'!$J$238:$J$451),0),
IF('TL14'!$B$3=Q$3,SUMIF('TL14'!$C$10:$C$224,$C312,'TL14'!$J$10:$J$224),0),
IF('TL14'!$B$229=Q$3,SUMIF('TL14'!$C$238:$C$451,$C312,'TL14'!$J$238:$J$451),0),
IF('TL15'!$B$3=Q$3,SUMIF('TL15'!$C$10:$C$224,$C312,'TL15'!$J$10:$J$224),0),
IF('TL15'!$B$229=Q$3,SUMIF('TL15'!$C$238:$C$451,$C312,'TL15'!$J$238:$J$451),0),
IF('TL16'!$B$3=Q$3,SUMIF('TL16'!$C$10:$C$224,$C312,'TL16'!$J$10:$J$224),0),
IF('TL16'!$B$229=Q$3,SUMIF('TL16'!$C$238:$C$451,$C312,'TL16'!$J$238:$J$451),0),
IF('TL17'!$B$3=Q$3,SUMIF('TL17'!$C$10:$C$224,$C312,'TL17'!$J$10:$J$224),0),
IF('TL17'!$B$229=Q$3,SUMIF('TL17'!$C$238:$C$451,$C312,'TL17'!$J$238:$J$451),0),
IF('TL18'!$B$3=Q$3,SUMIF('TL18'!$C$10:$C$224,$C312,'TL18'!$J$10:$J$224),0),
IF('TL18'!$B$229=Q$3,SUMIF('TL18'!$C$238:$C$451,$C312,'TL18'!$J$238:$J$451),0),
IF('TL19'!$B$3=Q$3,SUMIF('TL19'!$C$10:$C$224,$C312,'TL19'!$J$10:$J$224),0),
IF('TL19'!$B$229=Q$3,SUMIF('TL19'!$C$238:$C$451,$C312,'TL19'!$J$238:$J$451),0)
),0)</f>
        <v/>
      </c>
      <c r="R312" s="9">
        <f>IFERROR(
SUM(
SUMIF('TL01'!C:C,C312,'TL01'!J:J),
SUMIF('TL02'!C:C,C312,'TL02'!J:J),
SUMIF('TL03'!C:C,C312,'TL03'!J:J),
SUMIF('TL04'!C:C,C312,'TL04'!J:J),
SUMIF('TL05'!C:C,C312,'TL05'!J:J),
SUMIF('TL06'!C:C,C312,'TL06'!J:J),
SUMIF('TL07'!C:C,C312,'TL07'!J:J),
SUMIF('TL08'!C:C,C312,'TL08'!J:J),
SUMIF('TL09'!C:C,C312,'TL09'!J:J),
SUMIF('TL10'!C:C,C312,'TL10'!J:J),
SUMIF('TL11'!C:C,C312,'TL11'!J:J),
SUMIF('TL12'!C:C,C312,'TL12'!J:J),
SUMIF('TL13'!C:C,C312,'TL13'!J:J),
SUMIF('TL14'!C:C,C312,'TL14'!J:J),
SUMIF('TL15'!C:C,C312,'TL15'!J:J),
SUMIF('TL16'!C:C,C312,'TL16'!J:J),
SUMIF('TL17'!C:C,C312,'TL17'!J:J),
SUMIF('TL18'!C:C,C312,'TL18'!J:J),SUMIF('TL19'!C:C,C312,'TL19'!J:J))
,0)</f>
        <v/>
      </c>
      <c r="S312" s="17">
        <f>IFERROR(__xludf.DUMMYFUNCTION("IFERROR(VLOOKUP(C312,
IMPORTRANGE(""1wULbzX32WdYsx-lj2U3uUNBBe2INVIRDtcK0d-Dvl90"",
""26-27!C:G""),
5,
FALSE),
"""")"),"")</f>
        <v/>
      </c>
      <c r="T312" s="9" t="n"/>
      <c r="U312" s="92">
        <f>MAX(0,R312-T312)</f>
        <v/>
      </c>
      <c r="V312" s="93">
        <f>U312*S312</f>
        <v/>
      </c>
    </row>
    <row r="313" hidden="1" ht="15.75" customHeight="1" s="297">
      <c r="A313" s="4" t="n"/>
      <c r="B313" s="125" t="inlineStr">
        <is>
          <t>SEMENTE</t>
        </is>
      </c>
      <c r="C313" s="4" t="inlineStr">
        <is>
          <t>P3707PWU</t>
        </is>
      </c>
      <c r="D313" s="20" t="n"/>
      <c r="E313" s="9" t="n"/>
      <c r="F313" s="4" t="inlineStr">
        <is>
          <t>SC</t>
        </is>
      </c>
      <c r="G313" s="90">
        <f>HYPERLINK("https://www.google.com/search?q=" &amp; C313 &amp; "+bula+agrofit+pdf", "📄 Ver bula")</f>
        <v/>
      </c>
      <c r="H313" s="9" t="n">
        <v>1.2</v>
      </c>
      <c r="I313" s="1" t="n"/>
      <c r="J313" s="9">
        <f>IFERROR(SUM(
IF('TL01'!$B$3=J$3,SUMIF('TL01'!$C$10:$C$224,$C313,'TL01'!$J$10:$J$224),0),
IF('TL01'!$B$229=J$3,SUMIF('TL01'!$C$238:$C$451,$C313,'TL01'!$J$238:$J$451),0),
IF('TL02'!$B$3=J$3,SUMIF('TL02'!$C$10:$C$224,$C313,'TL02'!$J$10:$J$224),0),
IF('TL02'!$B$229=J$3,SUMIF('TL02'!$C$238:$C$451,$C313,'TL02'!$J$238:$J$451),0),
IF('TL03'!$B$3=J$3,SUMIF('TL03'!$C$10:$C$224,$C313,'TL03'!$J$10:$J$224),0),
IF('TL03'!$B$229=J$3,SUMIF('TL03'!$C$238:$C$451,$C313,'TL03'!$J$238:$J$451),0),
IF('TL04'!$B$3=J$3,SUMIF('TL04'!$C$10:$C$224,$C313,'TL04'!$J$10:$J$224),0),
IF('TL04'!$B$229=J$3,SUMIF('TL04'!$C$238:$C$451,$C313,'TL04'!$J$238:$J$451),0),
IF('TL05'!$B$3=J$3,SUMIF('TL05'!$C$10:$C$224,$C313,'TL05'!$J$10:$J$224),0),
IF('TL05'!$B$229=J$3,SUMIF('TL05'!$C$238:$C$451,$C313,'TL05'!$J$238:$J$451),0),
IF('TL06'!$B$3=J$3,SUMIF('TL06'!$C$10:$C$224,$C313,'TL06'!$J$10:$J$224),0),
IF('TL06'!$B$229=J$3,SUMIF('TL06'!$C$238:$C$451,$C313,'TL06'!$J$238:$J$451),0),
IF('TL07'!$B$3=J$3,SUMIF('TL07'!$C$10:$C$224,$C313,'TL07'!$J$10:$J$224),0),
IF('TL07'!$B$229=J$3,SUMIF('TL07'!$C$238:$C$451,$C313,'TL07'!$J$238:$J$451),0),
IF('TL08'!$B$3=J$3,SUMIF('TL08'!$C$10:$C$224,$C313,'TL08'!$J$10:$J$224),0),
IF('TL08'!$B$229=J$3,SUMIF('TL08'!$C$238:$C$451,$C313,'TL08'!$J$238:$J$451),0),
IF('TL09'!$B$3=J$3,SUMIF('TL09'!$C$10:$C$224,$C313,'TL09'!$J$10:$J$224),0),
IF('TL09'!$B$229=J$3,SUMIF('TL09'!$C$238:$C$451,$C313,'TL09'!$J$238:$J$451),0),
IF('TL10'!$B$3=J$3,SUMIF('TL10'!$C$10:$C$224,$C313,'TL10'!$J$10:$J$224),0),
IF('TL10'!$B$229=J$3,SUMIF('TL10'!$C$238:$C$451,$C313,'TL10'!$J$238:$J$451),0),
IF('TL11'!$B$3=J$3,SUMIF('TL11'!$C$10:$C$224,$C313,'TL11'!$J$10:$J$224),0),
IF('TL11'!$B$229=J$3,SUMIF('TL11'!$C$238:$C$451,$C313,'TL11'!$J$238:$J$451),0),
IF('TL12'!$B$3=J$3,SUMIF('TL12'!$C$10:$C$224,$C313,'TL12'!$J$10:$J$224),0),
IF('TL12'!$B$229=J$3,SUMIF('TL12'!$C$238:$C$451,$C313,'TL12'!$J$238:$J$451),0),
IF('TL13'!$B$3=J$3,SUMIF('TL13'!$C$10:$C$224,$C313,'TL13'!$J$10:$J$224),0),
IF('TL13'!$B$229=J$3,SUMIF('TL13'!$C$238:$C$451,$C313,'TL13'!$J$238:$J$451),0),
IF('TL14'!$B$3=J$3,SUMIF('TL14'!$C$10:$C$224,$C313,'TL14'!$J$10:$J$224),0),
IF('TL14'!$B$229=J$3,SUMIF('TL14'!$C$238:$C$451,$C313,'TL14'!$J$238:$J$451),0),
IF('TL15'!$B$3=J$3,SUMIF('TL15'!$C$10:$C$224,$C313,'TL15'!$J$10:$J$224),0),
IF('TL15'!$B$229=J$3,SUMIF('TL15'!$C$238:$C$451,$C313,'TL15'!$J$238:$J$451),0),
IF('TL16'!$B$3=J$3,SUMIF('TL16'!$C$10:$C$224,$C313,'TL16'!$J$10:$J$224),0),
IF('TL16'!$B$229=J$3,SUMIF('TL16'!$C$238:$C$451,$C313,'TL16'!$J$238:$J$451),0),
IF('TL17'!$B$3=J$3,SUMIF('TL17'!$C$10:$C$224,$C313,'TL17'!$J$10:$J$224),0),
IF('TL17'!$B$229=J$3,SUMIF('TL17'!$C$238:$C$451,$C313,'TL17'!$J$238:$J$451),0),
IF('TL18'!$B$3=J$3,SUMIF('TL18'!$C$10:$C$224,$C313,'TL18'!$J$10:$J$224),0),
IF('TL18'!$B$229=J$3,SUMIF('TL18'!$C$238:$C$451,$C313,'TL18'!$J$238:$J$451),0),
IF('TL19'!$B$3=J$3,SUMIF('TL19'!$C$10:$C$224,$C313,'TL19'!$J$10:$J$224),0),
IF('TL19'!$B$229=J$3,SUMIF('TL19'!$C$238:$C$451,$C313,'TL19'!$J$238:$J$451),0)
),0)</f>
        <v/>
      </c>
      <c r="K313" s="9">
        <f>IFERROR(SUM(
IF('TL01'!$B$3=K$3,SUMIF('TL01'!$C$10:$C$224,$C313,'TL01'!$J$10:$J$224),0),
IF('TL01'!$B$229=K$3,SUMIF('TL01'!$C$238:$C$451,$C313,'TL01'!$J$238:$J$451),0),
IF('TL02'!$B$3=K$3,SUMIF('TL02'!$C$10:$C$224,$C313,'TL02'!$J$10:$J$224),0),
IF('TL02'!$B$229=K$3,SUMIF('TL02'!$C$238:$C$451,$C313,'TL02'!$J$238:$J$451),0),
IF('TL03'!$B$3=K$3,SUMIF('TL03'!$C$10:$C$224,$C313,'TL03'!$J$10:$J$224),0),
IF('TL03'!$B$229=K$3,SUMIF('TL03'!$C$238:$C$451,$C313,'TL03'!$J$238:$J$451),0),
IF('TL04'!$B$3=K$3,SUMIF('TL04'!$C$10:$C$224,$C313,'TL04'!$J$10:$J$224),0),
IF('TL04'!$B$229=K$3,SUMIF('TL04'!$C$238:$C$451,$C313,'TL04'!$J$238:$J$451),0),
IF('TL05'!$B$3=K$3,SUMIF('TL05'!$C$10:$C$224,$C313,'TL05'!$J$10:$J$224),0),
IF('TL05'!$B$229=K$3,SUMIF('TL05'!$C$238:$C$451,$C313,'TL05'!$J$238:$J$451),0),
IF('TL06'!$B$3=K$3,SUMIF('TL06'!$C$10:$C$224,$C313,'TL06'!$J$10:$J$224),0),
IF('TL06'!$B$229=K$3,SUMIF('TL06'!$C$238:$C$451,$C313,'TL06'!$J$238:$J$451),0),
IF('TL07'!$B$3=K$3,SUMIF('TL07'!$C$10:$C$224,$C313,'TL07'!$J$10:$J$224),0),
IF('TL07'!$B$229=K$3,SUMIF('TL07'!$C$238:$C$451,$C313,'TL07'!$J$238:$J$451),0),
IF('TL08'!$B$3=K$3,SUMIF('TL08'!$C$10:$C$224,$C313,'TL08'!$J$10:$J$224),0),
IF('TL08'!$B$229=K$3,SUMIF('TL08'!$C$238:$C$451,$C313,'TL08'!$J$238:$J$451),0),
IF('TL09'!$B$3=K$3,SUMIF('TL09'!$C$10:$C$224,$C313,'TL09'!$J$10:$J$224),0),
IF('TL09'!$B$229=K$3,SUMIF('TL09'!$C$238:$C$451,$C313,'TL09'!$J$238:$J$451),0),
IF('TL10'!$B$3=K$3,SUMIF('TL10'!$C$10:$C$224,$C313,'TL10'!$J$10:$J$224),0),
IF('TL10'!$B$229=K$3,SUMIF('TL10'!$C$238:$C$451,$C313,'TL10'!$J$238:$J$451),0),
IF('TL11'!$B$3=K$3,SUMIF('TL11'!$C$10:$C$224,$C313,'TL11'!$J$10:$J$224),0),
IF('TL11'!$B$229=K$3,SUMIF('TL11'!$C$238:$C$451,$C313,'TL11'!$J$238:$J$451),0),
IF('TL12'!$B$3=K$3,SUMIF('TL12'!$C$10:$C$224,$C313,'TL12'!$J$10:$J$224),0),
IF('TL12'!$B$229=K$3,SUMIF('TL12'!$C$238:$C$451,$C313,'TL12'!$J$238:$J$451),0),
IF('TL13'!$B$3=K$3,SUMIF('TL13'!$C$10:$C$224,$C313,'TL13'!$J$10:$J$224),0),
IF('TL13'!$B$229=K$3,SUMIF('TL13'!$C$238:$C$451,$C313,'TL13'!$J$238:$J$451),0),
IF('TL14'!$B$3=K$3,SUMIF('TL14'!$C$10:$C$224,$C313,'TL14'!$J$10:$J$224),0),
IF('TL14'!$B$229=K$3,SUMIF('TL14'!$C$238:$C$451,$C313,'TL14'!$J$238:$J$451),0),
IF('TL15'!$B$3=K$3,SUMIF('TL15'!$C$10:$C$224,$C313,'TL15'!$J$10:$J$224),0),
IF('TL15'!$B$229=K$3,SUMIF('TL15'!$C$238:$C$451,$C313,'TL15'!$J$238:$J$451),0),
IF('TL16'!$B$3=K$3,SUMIF('TL16'!$C$10:$C$224,$C313,'TL16'!$J$10:$J$224),0),
IF('TL16'!$B$229=K$3,SUMIF('TL16'!$C$238:$C$451,$C313,'TL16'!$J$238:$J$451),0),
IF('TL17'!$B$3=K$3,SUMIF('TL17'!$C$10:$C$224,$C313,'TL17'!$J$10:$J$224),0),
IF('TL17'!$B$229=K$3,SUMIF('TL17'!$C$238:$C$451,$C313,'TL17'!$J$238:$J$451),0),
IF('TL18'!$B$3=K$3,SUMIF('TL18'!$C$10:$C$224,$C313,'TL18'!$J$10:$J$224),0),
IF('TL18'!$B$229=K$3,SUMIF('TL18'!$C$238:$C$451,$C313,'TL18'!$J$238:$J$451),0),
IF('TL19'!$B$3=K$3,SUMIF('TL19'!$C$10:$C$224,$C313,'TL19'!$J$10:$J$224),0),
IF('TL19'!$B$229=K$3,SUMIF('TL19'!$C$238:$C$451,$C313,'TL19'!$J$238:$J$451),0)
),0)</f>
        <v/>
      </c>
      <c r="L313" s="9">
        <f>IFERROR(SUM(
IF('TL01'!$B$3=L$3,SUMIF('TL01'!$C$10:$C$224,$C313,'TL01'!$J$10:$J$224),0),
IF('TL01'!$B$229=L$3,SUMIF('TL01'!$C$238:$C$451,$C313,'TL01'!$J$238:$J$451),0),
IF('TL02'!$B$3=L$3,SUMIF('TL02'!$C$10:$C$224,$C313,'TL02'!$J$10:$J$224),0),
IF('TL02'!$B$229=L$3,SUMIF('TL02'!$C$238:$C$451,$C313,'TL02'!$J$238:$J$451),0),
IF('TL03'!$B$3=L$3,SUMIF('TL03'!$C$10:$C$224,$C313,'TL03'!$J$10:$J$224),0),
IF('TL03'!$B$229=L$3,SUMIF('TL03'!$C$238:$C$451,$C313,'TL03'!$J$238:$J$451),0),
IF('TL04'!$B$3=L$3,SUMIF('TL04'!$C$10:$C$224,$C313,'TL04'!$J$10:$J$224),0),
IF('TL04'!$B$229=L$3,SUMIF('TL04'!$C$238:$C$451,$C313,'TL04'!$J$238:$J$451),0),
IF('TL05'!$B$3=L$3,SUMIF('TL05'!$C$10:$C$224,$C313,'TL05'!$J$10:$J$224),0),
IF('TL05'!$B$229=L$3,SUMIF('TL05'!$C$238:$C$451,$C313,'TL05'!$J$238:$J$451),0),
IF('TL06'!$B$3=L$3,SUMIF('TL06'!$C$10:$C$224,$C313,'TL06'!$J$10:$J$224),0),
IF('TL06'!$B$229=L$3,SUMIF('TL06'!$C$238:$C$451,$C313,'TL06'!$J$238:$J$451),0),
IF('TL07'!$B$3=L$3,SUMIF('TL07'!$C$10:$C$224,$C313,'TL07'!$J$10:$J$224),0),
IF('TL07'!$B$229=L$3,SUMIF('TL07'!$C$238:$C$451,$C313,'TL07'!$J$238:$J$451),0),
IF('TL08'!$B$3=L$3,SUMIF('TL08'!$C$10:$C$224,$C313,'TL08'!$J$10:$J$224),0),
IF('TL08'!$B$229=L$3,SUMIF('TL08'!$C$238:$C$451,$C313,'TL08'!$J$238:$J$451),0),
IF('TL09'!$B$3=L$3,SUMIF('TL09'!$C$10:$C$224,$C313,'TL09'!$J$10:$J$224),0),
IF('TL09'!$B$229=L$3,SUMIF('TL09'!$C$238:$C$451,$C313,'TL09'!$J$238:$J$451),0),
IF('TL10'!$B$3=L$3,SUMIF('TL10'!$C$10:$C$224,$C313,'TL10'!$J$10:$J$224),0),
IF('TL10'!$B$229=L$3,SUMIF('TL10'!$C$238:$C$451,$C313,'TL10'!$J$238:$J$451),0),
IF('TL11'!$B$3=L$3,SUMIF('TL11'!$C$10:$C$224,$C313,'TL11'!$J$10:$J$224),0),
IF('TL11'!$B$229=L$3,SUMIF('TL11'!$C$238:$C$451,$C313,'TL11'!$J$238:$J$451),0),
IF('TL12'!$B$3=L$3,SUMIF('TL12'!$C$10:$C$224,$C313,'TL12'!$J$10:$J$224),0),
IF('TL12'!$B$229=L$3,SUMIF('TL12'!$C$238:$C$451,$C313,'TL12'!$J$238:$J$451),0),
IF('TL13'!$B$3=L$3,SUMIF('TL13'!$C$10:$C$224,$C313,'TL13'!$J$10:$J$224),0),
IF('TL13'!$B$229=L$3,SUMIF('TL13'!$C$238:$C$451,$C313,'TL13'!$J$238:$J$451),0),
IF('TL14'!$B$3=L$3,SUMIF('TL14'!$C$10:$C$224,$C313,'TL14'!$J$10:$J$224),0),
IF('TL14'!$B$229=L$3,SUMIF('TL14'!$C$238:$C$451,$C313,'TL14'!$J$238:$J$451),0),
IF('TL15'!$B$3=L$3,SUMIF('TL15'!$C$10:$C$224,$C313,'TL15'!$J$10:$J$224),0),
IF('TL15'!$B$229=L$3,SUMIF('TL15'!$C$238:$C$451,$C313,'TL15'!$J$238:$J$451),0),
IF('TL16'!$B$3=L$3,SUMIF('TL16'!$C$10:$C$224,$C313,'TL16'!$J$10:$J$224),0),
IF('TL16'!$B$229=L$3,SUMIF('TL16'!$C$238:$C$451,$C313,'TL16'!$J$238:$J$451),0),
IF('TL17'!$B$3=L$3,SUMIF('TL17'!$C$10:$C$224,$C313,'TL17'!$J$10:$J$224),0),
IF('TL17'!$B$229=L$3,SUMIF('TL17'!$C$238:$C$451,$C313,'TL17'!$J$238:$J$451),0),
IF('TL18'!$B$3=L$3,SUMIF('TL18'!$C$10:$C$224,$C313,'TL18'!$J$10:$J$224),0),
IF('TL18'!$B$229=L$3,SUMIF('TL18'!$C$238:$C$451,$C313,'TL18'!$J$238:$J$451),0),
IF('TL19'!$B$3=L$3,SUMIF('TL19'!$C$10:$C$224,$C313,'TL19'!$J$10:$J$224),0),
IF('TL19'!$B$229=L$3,SUMIF('TL19'!$C$238:$C$451,$C313,'TL19'!$J$238:$J$451),0)
),0)</f>
        <v/>
      </c>
      <c r="M313" s="9">
        <f>IFERROR(SUM(
IF('TL01'!$B$3=M$3,SUMIF('TL01'!$C$10:$C$224,$C313,'TL01'!$J$10:$J$224),0),
IF('TL01'!$B$229=M$3,SUMIF('TL01'!$C$238:$C$451,$C313,'TL01'!$J$238:$J$451),0),
IF('TL02'!$B$3=M$3,SUMIF('TL02'!$C$10:$C$224,$C313,'TL02'!$J$10:$J$224),0),
IF('TL02'!$B$229=M$3,SUMIF('TL02'!$C$238:$C$451,$C313,'TL02'!$J$238:$J$451),0),
IF('TL03'!$B$3=M$3,SUMIF('TL03'!$C$10:$C$224,$C313,'TL03'!$J$10:$J$224),0),
IF('TL03'!$B$229=M$3,SUMIF('TL03'!$C$238:$C$451,$C313,'TL03'!$J$238:$J$451),0),
IF('TL04'!$B$3=M$3,SUMIF('TL04'!$C$10:$C$224,$C313,'TL04'!$J$10:$J$224),0),
IF('TL04'!$B$229=M$3,SUMIF('TL04'!$C$238:$C$451,$C313,'TL04'!$J$238:$J$451),0),
IF('TL05'!$B$3=M$3,SUMIF('TL05'!$C$10:$C$224,$C313,'TL05'!$J$10:$J$224),0),
IF('TL05'!$B$229=M$3,SUMIF('TL05'!$C$238:$C$451,$C313,'TL05'!$J$238:$J$451),0),
IF('TL06'!$B$3=M$3,SUMIF('TL06'!$C$10:$C$224,$C313,'TL06'!$J$10:$J$224),0),
IF('TL06'!$B$229=M$3,SUMIF('TL06'!$C$238:$C$451,$C313,'TL06'!$J$238:$J$451),0),
IF('TL07'!$B$3=M$3,SUMIF('TL07'!$C$10:$C$224,$C313,'TL07'!$J$10:$J$224),0),
IF('TL07'!$B$229=M$3,SUMIF('TL07'!$C$238:$C$451,$C313,'TL07'!$J$238:$J$451),0),
IF('TL08'!$B$3=M$3,SUMIF('TL08'!$C$10:$C$224,$C313,'TL08'!$J$10:$J$224),0),
IF('TL08'!$B$229=M$3,SUMIF('TL08'!$C$238:$C$451,$C313,'TL08'!$J$238:$J$451),0),
IF('TL09'!$B$3=M$3,SUMIF('TL09'!$C$10:$C$224,$C313,'TL09'!$J$10:$J$224),0),
IF('TL09'!$B$229=M$3,SUMIF('TL09'!$C$238:$C$451,$C313,'TL09'!$J$238:$J$451),0),
IF('TL10'!$B$3=M$3,SUMIF('TL10'!$C$10:$C$224,$C313,'TL10'!$J$10:$J$224),0),
IF('TL10'!$B$229=M$3,SUMIF('TL10'!$C$238:$C$451,$C313,'TL10'!$J$238:$J$451),0),
IF('TL11'!$B$3=M$3,SUMIF('TL11'!$C$10:$C$224,$C313,'TL11'!$J$10:$J$224),0),
IF('TL11'!$B$229=M$3,SUMIF('TL11'!$C$238:$C$451,$C313,'TL11'!$J$238:$J$451),0),
IF('TL12'!$B$3=M$3,SUMIF('TL12'!$C$10:$C$224,$C313,'TL12'!$J$10:$J$224),0),
IF('TL12'!$B$229=M$3,SUMIF('TL12'!$C$238:$C$451,$C313,'TL12'!$J$238:$J$451),0),
IF('TL13'!$B$3=M$3,SUMIF('TL13'!$C$10:$C$224,$C313,'TL13'!$J$10:$J$224),0),
IF('TL13'!$B$229=M$3,SUMIF('TL13'!$C$238:$C$451,$C313,'TL13'!$J$238:$J$451),0),
IF('TL14'!$B$3=M$3,SUMIF('TL14'!$C$10:$C$224,$C313,'TL14'!$J$10:$J$224),0),
IF('TL14'!$B$229=M$3,SUMIF('TL14'!$C$238:$C$451,$C313,'TL14'!$J$238:$J$451),0),
IF('TL15'!$B$3=M$3,SUMIF('TL15'!$C$10:$C$224,$C313,'TL15'!$J$10:$J$224),0),
IF('TL15'!$B$229=M$3,SUMIF('TL15'!$C$238:$C$451,$C313,'TL15'!$J$238:$J$451),0),
IF('TL16'!$B$3=M$3,SUMIF('TL16'!$C$10:$C$224,$C313,'TL16'!$J$10:$J$224),0),
IF('TL16'!$B$229=M$3,SUMIF('TL16'!$C$238:$C$451,$C313,'TL16'!$J$238:$J$451),0),
IF('TL17'!$B$3=M$3,SUMIF('TL17'!$C$10:$C$224,$C313,'TL17'!$J$10:$J$224),0),
IF('TL17'!$B$229=M$3,SUMIF('TL17'!$C$238:$C$451,$C313,'TL17'!$J$238:$J$451),0),
IF('TL18'!$B$3=M$3,SUMIF('TL18'!$C$10:$C$224,$C313,'TL18'!$J$10:$J$224),0),
IF('TL18'!$B$229=M$3,SUMIF('TL18'!$C$238:$C$451,$C313,'TL18'!$J$238:$J$451),0),
IF('TL19'!$B$3=M$3,SUMIF('TL19'!$C$10:$C$224,$C313,'TL19'!$J$10:$J$224),0),
IF('TL19'!$B$229=M$3,SUMIF('TL19'!$C$238:$C$451,$C313,'TL19'!$J$238:$J$451),0)
),0)</f>
        <v/>
      </c>
      <c r="N313" s="9">
        <f>IFERROR(SUM(
IF('TL01'!$B$3=N$3,SUMIF('TL01'!$C$10:$C$224,$C313,'TL01'!$J$10:$J$224),0),
IF('TL01'!$B$229=N$3,SUMIF('TL01'!$C$238:$C$451,$C313,'TL01'!$J$238:$J$451),0),
IF('TL02'!$B$3=N$3,SUMIF('TL02'!$C$10:$C$224,$C313,'TL02'!$J$10:$J$224),0),
IF('TL02'!$B$229=N$3,SUMIF('TL02'!$C$238:$C$451,$C313,'TL02'!$J$238:$J$451),0),
IF('TL03'!$B$3=N$3,SUMIF('TL03'!$C$10:$C$224,$C313,'TL03'!$J$10:$J$224),0),
IF('TL03'!$B$229=N$3,SUMIF('TL03'!$C$238:$C$451,$C313,'TL03'!$J$238:$J$451),0),
IF('TL04'!$B$3=N$3,SUMIF('TL04'!$C$10:$C$224,$C313,'TL04'!$J$10:$J$224),0),
IF('TL04'!$B$229=N$3,SUMIF('TL04'!$C$238:$C$451,$C313,'TL04'!$J$238:$J$451),0),
IF('TL05'!$B$3=N$3,SUMIF('TL05'!$C$10:$C$224,$C313,'TL05'!$J$10:$J$224),0),
IF('TL05'!$B$229=N$3,SUMIF('TL05'!$C$238:$C$451,$C313,'TL05'!$J$238:$J$451),0),
IF('TL06'!$B$3=N$3,SUMIF('TL06'!$C$10:$C$224,$C313,'TL06'!$J$10:$J$224),0),
IF('TL06'!$B$229=N$3,SUMIF('TL06'!$C$238:$C$451,$C313,'TL06'!$J$238:$J$451),0),
IF('TL07'!$B$3=N$3,SUMIF('TL07'!$C$10:$C$224,$C313,'TL07'!$J$10:$J$224),0),
IF('TL07'!$B$229=N$3,SUMIF('TL07'!$C$238:$C$451,$C313,'TL07'!$J$238:$J$451),0),
IF('TL08'!$B$3=N$3,SUMIF('TL08'!$C$10:$C$224,$C313,'TL08'!$J$10:$J$224),0),
IF('TL08'!$B$229=N$3,SUMIF('TL08'!$C$238:$C$451,$C313,'TL08'!$J$238:$J$451),0),
IF('TL09'!$B$3=N$3,SUMIF('TL09'!$C$10:$C$224,$C313,'TL09'!$J$10:$J$224),0),
IF('TL09'!$B$229=N$3,SUMIF('TL09'!$C$238:$C$451,$C313,'TL09'!$J$238:$J$451),0),
IF('TL10'!$B$3=N$3,SUMIF('TL10'!$C$10:$C$224,$C313,'TL10'!$J$10:$J$224),0),
IF('TL10'!$B$229=N$3,SUMIF('TL10'!$C$238:$C$451,$C313,'TL10'!$J$238:$J$451),0),
IF('TL11'!$B$3=N$3,SUMIF('TL11'!$C$10:$C$224,$C313,'TL11'!$J$10:$J$224),0),
IF('TL11'!$B$229=N$3,SUMIF('TL11'!$C$238:$C$451,$C313,'TL11'!$J$238:$J$451),0),
IF('TL12'!$B$3=N$3,SUMIF('TL12'!$C$10:$C$224,$C313,'TL12'!$J$10:$J$224),0),
IF('TL12'!$B$229=N$3,SUMIF('TL12'!$C$238:$C$451,$C313,'TL12'!$J$238:$J$451),0),
IF('TL13'!$B$3=N$3,SUMIF('TL13'!$C$10:$C$224,$C313,'TL13'!$J$10:$J$224),0),
IF('TL13'!$B$229=N$3,SUMIF('TL13'!$C$238:$C$451,$C313,'TL13'!$J$238:$J$451),0),
IF('TL14'!$B$3=N$3,SUMIF('TL14'!$C$10:$C$224,$C313,'TL14'!$J$10:$J$224),0),
IF('TL14'!$B$229=N$3,SUMIF('TL14'!$C$238:$C$451,$C313,'TL14'!$J$238:$J$451),0),
IF('TL15'!$B$3=N$3,SUMIF('TL15'!$C$10:$C$224,$C313,'TL15'!$J$10:$J$224),0),
IF('TL15'!$B$229=N$3,SUMIF('TL15'!$C$238:$C$451,$C313,'TL15'!$J$238:$J$451),0),
IF('TL16'!$B$3=N$3,SUMIF('TL16'!$C$10:$C$224,$C313,'TL16'!$J$10:$J$224),0),
IF('TL16'!$B$229=N$3,SUMIF('TL16'!$C$238:$C$451,$C313,'TL16'!$J$238:$J$451),0),
IF('TL17'!$B$3=N$3,SUMIF('TL17'!$C$10:$C$224,$C313,'TL17'!$J$10:$J$224),0),
IF('TL17'!$B$229=N$3,SUMIF('TL17'!$C$238:$C$451,$C313,'TL17'!$J$238:$J$451),0),
IF('TL18'!$B$3=N$3,SUMIF('TL18'!$C$10:$C$224,$C313,'TL18'!$J$10:$J$224),0),
IF('TL18'!$B$229=N$3,SUMIF('TL18'!$C$238:$C$451,$C313,'TL18'!$J$238:$J$451),0),
IF('TL19'!$B$3=N$3,SUMIF('TL19'!$C$10:$C$224,$C313,'TL19'!$J$10:$J$224),0),
IF('TL19'!$B$229=N$3,SUMIF('TL19'!$C$238:$C$451,$C313,'TL19'!$J$238:$J$451),0)
),0)</f>
        <v/>
      </c>
      <c r="O313" s="9">
        <f>IFERROR(SUM(
IF('TL01'!$B$3=O$3,SUMIF('TL01'!$C$10:$C$224,$C313,'TL01'!$J$10:$J$224),0),
IF('TL01'!$B$229=O$3,SUMIF('TL01'!$C$238:$C$451,$C313,'TL01'!$J$238:$J$451),0),
IF('TL02'!$B$3=O$3,SUMIF('TL02'!$C$10:$C$224,$C313,'TL02'!$J$10:$J$224),0),
IF('TL02'!$B$229=O$3,SUMIF('TL02'!$C$238:$C$451,$C313,'TL02'!$J$238:$J$451),0),
IF('TL03'!$B$3=O$3,SUMIF('TL03'!$C$10:$C$224,$C313,'TL03'!$J$10:$J$224),0),
IF('TL03'!$B$229=O$3,SUMIF('TL03'!$C$238:$C$451,$C313,'TL03'!$J$238:$J$451),0),
IF('TL04'!$B$3=O$3,SUMIF('TL04'!$C$10:$C$224,$C313,'TL04'!$J$10:$J$224),0),
IF('TL04'!$B$229=O$3,SUMIF('TL04'!$C$238:$C$451,$C313,'TL04'!$J$238:$J$451),0),
IF('TL05'!$B$3=O$3,SUMIF('TL05'!$C$10:$C$224,$C313,'TL05'!$J$10:$J$224),0),
IF('TL05'!$B$229=O$3,SUMIF('TL05'!$C$238:$C$451,$C313,'TL05'!$J$238:$J$451),0),
IF('TL06'!$B$3=O$3,SUMIF('TL06'!$C$10:$C$224,$C313,'TL06'!$J$10:$J$224),0),
IF('TL06'!$B$229=O$3,SUMIF('TL06'!$C$238:$C$451,$C313,'TL06'!$J$238:$J$451),0),
IF('TL07'!$B$3=O$3,SUMIF('TL07'!$C$10:$C$224,$C313,'TL07'!$J$10:$J$224),0),
IF('TL07'!$B$229=O$3,SUMIF('TL07'!$C$238:$C$451,$C313,'TL07'!$J$238:$J$451),0),
IF('TL08'!$B$3=O$3,SUMIF('TL08'!$C$10:$C$224,$C313,'TL08'!$J$10:$J$224),0),
IF('TL08'!$B$229=O$3,SUMIF('TL08'!$C$238:$C$451,$C313,'TL08'!$J$238:$J$451),0),
IF('TL09'!$B$3=O$3,SUMIF('TL09'!$C$10:$C$224,$C313,'TL09'!$J$10:$J$224),0),
IF('TL09'!$B$229=O$3,SUMIF('TL09'!$C$238:$C$451,$C313,'TL09'!$J$238:$J$451),0),
IF('TL10'!$B$3=O$3,SUMIF('TL10'!$C$10:$C$224,$C313,'TL10'!$J$10:$J$224),0),
IF('TL10'!$B$229=O$3,SUMIF('TL10'!$C$238:$C$451,$C313,'TL10'!$J$238:$J$451),0),
IF('TL11'!$B$3=O$3,SUMIF('TL11'!$C$10:$C$224,$C313,'TL11'!$J$10:$J$224),0),
IF('TL11'!$B$229=O$3,SUMIF('TL11'!$C$238:$C$451,$C313,'TL11'!$J$238:$J$451),0),
IF('TL12'!$B$3=O$3,SUMIF('TL12'!$C$10:$C$224,$C313,'TL12'!$J$10:$J$224),0),
IF('TL12'!$B$229=O$3,SUMIF('TL12'!$C$238:$C$451,$C313,'TL12'!$J$238:$J$451),0),
IF('TL13'!$B$3=O$3,SUMIF('TL13'!$C$10:$C$224,$C313,'TL13'!$J$10:$J$224),0),
IF('TL13'!$B$229=O$3,SUMIF('TL13'!$C$238:$C$451,$C313,'TL13'!$J$238:$J$451),0),
IF('TL14'!$B$3=O$3,SUMIF('TL14'!$C$10:$C$224,$C313,'TL14'!$J$10:$J$224),0),
IF('TL14'!$B$229=O$3,SUMIF('TL14'!$C$238:$C$451,$C313,'TL14'!$J$238:$J$451),0),
IF('TL15'!$B$3=O$3,SUMIF('TL15'!$C$10:$C$224,$C313,'TL15'!$J$10:$J$224),0),
IF('TL15'!$B$229=O$3,SUMIF('TL15'!$C$238:$C$451,$C313,'TL15'!$J$238:$J$451),0),
IF('TL16'!$B$3=O$3,SUMIF('TL16'!$C$10:$C$224,$C313,'TL16'!$J$10:$J$224),0),
IF('TL16'!$B$229=O$3,SUMIF('TL16'!$C$238:$C$451,$C313,'TL16'!$J$238:$J$451),0),
IF('TL17'!$B$3=O$3,SUMIF('TL17'!$C$10:$C$224,$C313,'TL17'!$J$10:$J$224),0),
IF('TL17'!$B$229=O$3,SUMIF('TL17'!$C$238:$C$451,$C313,'TL17'!$J$238:$J$451),0),
IF('TL18'!$B$3=O$3,SUMIF('TL18'!$C$10:$C$224,$C313,'TL18'!$J$10:$J$224),0),
IF('TL18'!$B$229=O$3,SUMIF('TL18'!$C$238:$C$451,$C313,'TL18'!$J$238:$J$451),0),
IF('TL19'!$B$3=O$3,SUMIF('TL19'!$C$10:$C$224,$C313,'TL19'!$J$10:$J$224),0),
IF('TL19'!$B$229=O$3,SUMIF('TL19'!$C$238:$C$451,$C313,'TL19'!$J$238:$J$451),0)
),0)</f>
        <v/>
      </c>
      <c r="P313" s="9">
        <f>IFERROR(SUM(
IF('TL01'!$B$3=P$3,SUMIF('TL01'!$C$10:$C$224,$C313,'TL01'!$J$10:$J$224),0),
IF('TL01'!$B$229=P$3,SUMIF('TL01'!$C$238:$C$451,$C313,'TL01'!$J$238:$J$451),0),
IF('TL02'!$B$3=P$3,SUMIF('TL02'!$C$10:$C$224,$C313,'TL02'!$J$10:$J$224),0),
IF('TL02'!$B$229=P$3,SUMIF('TL02'!$C$238:$C$451,$C313,'TL02'!$J$238:$J$451),0),
IF('TL03'!$B$3=P$3,SUMIF('TL03'!$C$10:$C$224,$C313,'TL03'!$J$10:$J$224),0),
IF('TL03'!$B$229=P$3,SUMIF('TL03'!$C$238:$C$451,$C313,'TL03'!$J$238:$J$451),0),
IF('TL04'!$B$3=P$3,SUMIF('TL04'!$C$10:$C$224,$C313,'TL04'!$J$10:$J$224),0),
IF('TL04'!$B$229=P$3,SUMIF('TL04'!$C$238:$C$451,$C313,'TL04'!$J$238:$J$451),0),
IF('TL05'!$B$3=P$3,SUMIF('TL05'!$C$10:$C$224,$C313,'TL05'!$J$10:$J$224),0),
IF('TL05'!$B$229=P$3,SUMIF('TL05'!$C$238:$C$451,$C313,'TL05'!$J$238:$J$451),0),
IF('TL06'!$B$3=P$3,SUMIF('TL06'!$C$10:$C$224,$C313,'TL06'!$J$10:$J$224),0),
IF('TL06'!$B$229=P$3,SUMIF('TL06'!$C$238:$C$451,$C313,'TL06'!$J$238:$J$451),0),
IF('TL07'!$B$3=P$3,SUMIF('TL07'!$C$10:$C$224,$C313,'TL07'!$J$10:$J$224),0),
IF('TL07'!$B$229=P$3,SUMIF('TL07'!$C$238:$C$451,$C313,'TL07'!$J$238:$J$451),0),
IF('TL08'!$B$3=P$3,SUMIF('TL08'!$C$10:$C$224,$C313,'TL08'!$J$10:$J$224),0),
IF('TL08'!$B$229=P$3,SUMIF('TL08'!$C$238:$C$451,$C313,'TL08'!$J$238:$J$451),0),
IF('TL09'!$B$3=P$3,SUMIF('TL09'!$C$10:$C$224,$C313,'TL09'!$J$10:$J$224),0),
IF('TL09'!$B$229=P$3,SUMIF('TL09'!$C$238:$C$451,$C313,'TL09'!$J$238:$J$451),0),
IF('TL10'!$B$3=P$3,SUMIF('TL10'!$C$10:$C$224,$C313,'TL10'!$J$10:$J$224),0),
IF('TL10'!$B$229=P$3,SUMIF('TL10'!$C$238:$C$451,$C313,'TL10'!$J$238:$J$451),0),
IF('TL11'!$B$3=P$3,SUMIF('TL11'!$C$10:$C$224,$C313,'TL11'!$J$10:$J$224),0),
IF('TL11'!$B$229=P$3,SUMIF('TL11'!$C$238:$C$451,$C313,'TL11'!$J$238:$J$451),0),
IF('TL12'!$B$3=P$3,SUMIF('TL12'!$C$10:$C$224,$C313,'TL12'!$J$10:$J$224),0),
IF('TL12'!$B$229=P$3,SUMIF('TL12'!$C$238:$C$451,$C313,'TL12'!$J$238:$J$451),0),
IF('TL13'!$B$3=P$3,SUMIF('TL13'!$C$10:$C$224,$C313,'TL13'!$J$10:$J$224),0),
IF('TL13'!$B$229=P$3,SUMIF('TL13'!$C$238:$C$451,$C313,'TL13'!$J$238:$J$451),0),
IF('TL14'!$B$3=P$3,SUMIF('TL14'!$C$10:$C$224,$C313,'TL14'!$J$10:$J$224),0),
IF('TL14'!$B$229=P$3,SUMIF('TL14'!$C$238:$C$451,$C313,'TL14'!$J$238:$J$451),0),
IF('TL15'!$B$3=P$3,SUMIF('TL15'!$C$10:$C$224,$C313,'TL15'!$J$10:$J$224),0),
IF('TL15'!$B$229=P$3,SUMIF('TL15'!$C$238:$C$451,$C313,'TL15'!$J$238:$J$451),0),
IF('TL16'!$B$3=P$3,SUMIF('TL16'!$C$10:$C$224,$C313,'TL16'!$J$10:$J$224),0),
IF('TL16'!$B$229=P$3,SUMIF('TL16'!$C$238:$C$451,$C313,'TL16'!$J$238:$J$451),0),
IF('TL17'!$B$3=P$3,SUMIF('TL17'!$C$10:$C$224,$C313,'TL17'!$J$10:$J$224),0),
IF('TL17'!$B$229=P$3,SUMIF('TL17'!$C$238:$C$451,$C313,'TL17'!$J$238:$J$451),0),
IF('TL18'!$B$3=P$3,SUMIF('TL18'!$C$10:$C$224,$C313,'TL18'!$J$10:$J$224),0),
IF('TL18'!$B$229=P$3,SUMIF('TL18'!$C$238:$C$451,$C313,'TL18'!$J$238:$J$451),0),
IF('TL19'!$B$3=P$3,SUMIF('TL19'!$C$10:$C$224,$C313,'TL19'!$J$10:$J$224),0),
IF('TL19'!$B$229=P$3,SUMIF('TL19'!$C$238:$C$451,$C313,'TL19'!$J$238:$J$451),0)
),0)</f>
        <v/>
      </c>
      <c r="Q313" s="9">
        <f>IFERROR(SUM(
IF('TL01'!$B$3=Q$3,SUMIF('TL01'!$C$10:$C$224,$C313,'TL01'!$J$10:$J$224),0),
IF('TL01'!$B$229=Q$3,SUMIF('TL01'!$C$238:$C$451,$C313,'TL01'!$J$238:$J$451),0),
IF('TL02'!$B$3=Q$3,SUMIF('TL02'!$C$10:$C$224,$C313,'TL02'!$J$10:$J$224),0),
IF('TL02'!$B$229=Q$3,SUMIF('TL02'!$C$238:$C$451,$C313,'TL02'!$J$238:$J$451),0),
IF('TL03'!$B$3=Q$3,SUMIF('TL03'!$C$10:$C$224,$C313,'TL03'!$J$10:$J$224),0),
IF('TL03'!$B$229=Q$3,SUMIF('TL03'!$C$238:$C$451,$C313,'TL03'!$J$238:$J$451),0),
IF('TL04'!$B$3=Q$3,SUMIF('TL04'!$C$10:$C$224,$C313,'TL04'!$J$10:$J$224),0),
IF('TL04'!$B$229=Q$3,SUMIF('TL04'!$C$238:$C$451,$C313,'TL04'!$J$238:$J$451),0),
IF('TL05'!$B$3=Q$3,SUMIF('TL05'!$C$10:$C$224,$C313,'TL05'!$J$10:$J$224),0),
IF('TL05'!$B$229=Q$3,SUMIF('TL05'!$C$238:$C$451,$C313,'TL05'!$J$238:$J$451),0),
IF('TL06'!$B$3=Q$3,SUMIF('TL06'!$C$10:$C$224,$C313,'TL06'!$J$10:$J$224),0),
IF('TL06'!$B$229=Q$3,SUMIF('TL06'!$C$238:$C$451,$C313,'TL06'!$J$238:$J$451),0),
IF('TL07'!$B$3=Q$3,SUMIF('TL07'!$C$10:$C$224,$C313,'TL07'!$J$10:$J$224),0),
IF('TL07'!$B$229=Q$3,SUMIF('TL07'!$C$238:$C$451,$C313,'TL07'!$J$238:$J$451),0),
IF('TL08'!$B$3=Q$3,SUMIF('TL08'!$C$10:$C$224,$C313,'TL08'!$J$10:$J$224),0),
IF('TL08'!$B$229=Q$3,SUMIF('TL08'!$C$238:$C$451,$C313,'TL08'!$J$238:$J$451),0),
IF('TL09'!$B$3=Q$3,SUMIF('TL09'!$C$10:$C$224,$C313,'TL09'!$J$10:$J$224),0),
IF('TL09'!$B$229=Q$3,SUMIF('TL09'!$C$238:$C$451,$C313,'TL09'!$J$238:$J$451),0),
IF('TL10'!$B$3=Q$3,SUMIF('TL10'!$C$10:$C$224,$C313,'TL10'!$J$10:$J$224),0),
IF('TL10'!$B$229=Q$3,SUMIF('TL10'!$C$238:$C$451,$C313,'TL10'!$J$238:$J$451),0),
IF('TL11'!$B$3=Q$3,SUMIF('TL11'!$C$10:$C$224,$C313,'TL11'!$J$10:$J$224),0),
IF('TL11'!$B$229=Q$3,SUMIF('TL11'!$C$238:$C$451,$C313,'TL11'!$J$238:$J$451),0),
IF('TL12'!$B$3=Q$3,SUMIF('TL12'!$C$10:$C$224,$C313,'TL12'!$J$10:$J$224),0),
IF('TL12'!$B$229=Q$3,SUMIF('TL12'!$C$238:$C$451,$C313,'TL12'!$J$238:$J$451),0),
IF('TL13'!$B$3=Q$3,SUMIF('TL13'!$C$10:$C$224,$C313,'TL13'!$J$10:$J$224),0),
IF('TL13'!$B$229=Q$3,SUMIF('TL13'!$C$238:$C$451,$C313,'TL13'!$J$238:$J$451),0),
IF('TL14'!$B$3=Q$3,SUMIF('TL14'!$C$10:$C$224,$C313,'TL14'!$J$10:$J$224),0),
IF('TL14'!$B$229=Q$3,SUMIF('TL14'!$C$238:$C$451,$C313,'TL14'!$J$238:$J$451),0),
IF('TL15'!$B$3=Q$3,SUMIF('TL15'!$C$10:$C$224,$C313,'TL15'!$J$10:$J$224),0),
IF('TL15'!$B$229=Q$3,SUMIF('TL15'!$C$238:$C$451,$C313,'TL15'!$J$238:$J$451),0),
IF('TL16'!$B$3=Q$3,SUMIF('TL16'!$C$10:$C$224,$C313,'TL16'!$J$10:$J$224),0),
IF('TL16'!$B$229=Q$3,SUMIF('TL16'!$C$238:$C$451,$C313,'TL16'!$J$238:$J$451),0),
IF('TL17'!$B$3=Q$3,SUMIF('TL17'!$C$10:$C$224,$C313,'TL17'!$J$10:$J$224),0),
IF('TL17'!$B$229=Q$3,SUMIF('TL17'!$C$238:$C$451,$C313,'TL17'!$J$238:$J$451),0),
IF('TL18'!$B$3=Q$3,SUMIF('TL18'!$C$10:$C$224,$C313,'TL18'!$J$10:$J$224),0),
IF('TL18'!$B$229=Q$3,SUMIF('TL18'!$C$238:$C$451,$C313,'TL18'!$J$238:$J$451),0),
IF('TL19'!$B$3=Q$3,SUMIF('TL19'!$C$10:$C$224,$C313,'TL19'!$J$10:$J$224),0),
IF('TL19'!$B$229=Q$3,SUMIF('TL19'!$C$238:$C$451,$C313,'TL19'!$J$238:$J$451),0)
),0)</f>
        <v/>
      </c>
      <c r="R313" s="9">
        <f>IFERROR(
SUM(
SUMIF('TL01'!C:C,C313,'TL01'!J:J),
SUMIF('TL02'!C:C,C313,'TL02'!J:J),
SUMIF('TL03'!C:C,C313,'TL03'!J:J),
SUMIF('TL04'!C:C,C313,'TL04'!J:J),
SUMIF('TL05'!C:C,C313,'TL05'!J:J),
SUMIF('TL06'!C:C,C313,'TL06'!J:J),
SUMIF('TL07'!C:C,C313,'TL07'!J:J),
SUMIF('TL08'!C:C,C313,'TL08'!J:J),
SUMIF('TL09'!C:C,C313,'TL09'!J:J),
SUMIF('TL10'!C:C,C313,'TL10'!J:J),
SUMIF('TL11'!C:C,C313,'TL11'!J:J),
SUMIF('TL12'!C:C,C313,'TL12'!J:J),
SUMIF('TL13'!C:C,C313,'TL13'!J:J),
SUMIF('TL14'!C:C,C313,'TL14'!J:J),
SUMIF('TL15'!C:C,C313,'TL15'!J:J),
SUMIF('TL16'!C:C,C313,'TL16'!J:J),
SUMIF('TL17'!C:C,C313,'TL17'!J:J),
SUMIF('TL18'!C:C,C313,'TL18'!J:J),SUMIF('TL19'!C:C,C313,'TL19'!J:J))
,0)</f>
        <v/>
      </c>
      <c r="S313" s="17">
        <f>IFERROR(__xludf.DUMMYFUNCTION("IFERROR(VLOOKUP(C313,
IMPORTRANGE(""1wULbzX32WdYsx-lj2U3uUNBBe2INVIRDtcK0d-Dvl90"",
""26-27!C:G""),
5,
FALSE),
"""")"),"")</f>
        <v/>
      </c>
      <c r="T313" s="9" t="n"/>
      <c r="U313" s="92">
        <f>MAX(0,R313-T313)</f>
        <v/>
      </c>
      <c r="V313" s="93">
        <f>U313*S313</f>
        <v/>
      </c>
    </row>
    <row r="314" hidden="1" ht="15.75" customHeight="1" s="297">
      <c r="A314" s="4" t="n"/>
      <c r="B314" s="125" t="inlineStr">
        <is>
          <t>SEMENTE</t>
        </is>
      </c>
      <c r="C314" s="4" t="inlineStr">
        <is>
          <t>P39209PWU</t>
        </is>
      </c>
      <c r="D314" s="20" t="n"/>
      <c r="E314" s="9" t="n"/>
      <c r="F314" s="4" t="inlineStr">
        <is>
          <t>SC</t>
        </is>
      </c>
      <c r="G314" s="90">
        <f>HYPERLINK("https://www.google.com/search?q=" &amp; C314 &amp; "+bula+agrofit+pdf", "📄 Ver bula")</f>
        <v/>
      </c>
      <c r="H314" s="9" t="n">
        <v>1.2</v>
      </c>
      <c r="I314" s="1" t="n"/>
      <c r="J314" s="9">
        <f>IFERROR(SUM(
IF('TL01'!$B$3=J$3,SUMIF('TL01'!$C$10:$C$224,$C314,'TL01'!$J$10:$J$224),0),
IF('TL01'!$B$229=J$3,SUMIF('TL01'!$C$238:$C$451,$C314,'TL01'!$J$238:$J$451),0),
IF('TL02'!$B$3=J$3,SUMIF('TL02'!$C$10:$C$224,$C314,'TL02'!$J$10:$J$224),0),
IF('TL02'!$B$229=J$3,SUMIF('TL02'!$C$238:$C$451,$C314,'TL02'!$J$238:$J$451),0),
IF('TL03'!$B$3=J$3,SUMIF('TL03'!$C$10:$C$224,$C314,'TL03'!$J$10:$J$224),0),
IF('TL03'!$B$229=J$3,SUMIF('TL03'!$C$238:$C$451,$C314,'TL03'!$J$238:$J$451),0),
IF('TL04'!$B$3=J$3,SUMIF('TL04'!$C$10:$C$224,$C314,'TL04'!$J$10:$J$224),0),
IF('TL04'!$B$229=J$3,SUMIF('TL04'!$C$238:$C$451,$C314,'TL04'!$J$238:$J$451),0),
IF('TL05'!$B$3=J$3,SUMIF('TL05'!$C$10:$C$224,$C314,'TL05'!$J$10:$J$224),0),
IF('TL05'!$B$229=J$3,SUMIF('TL05'!$C$238:$C$451,$C314,'TL05'!$J$238:$J$451),0),
IF('TL06'!$B$3=J$3,SUMIF('TL06'!$C$10:$C$224,$C314,'TL06'!$J$10:$J$224),0),
IF('TL06'!$B$229=J$3,SUMIF('TL06'!$C$238:$C$451,$C314,'TL06'!$J$238:$J$451),0),
IF('TL07'!$B$3=J$3,SUMIF('TL07'!$C$10:$C$224,$C314,'TL07'!$J$10:$J$224),0),
IF('TL07'!$B$229=J$3,SUMIF('TL07'!$C$238:$C$451,$C314,'TL07'!$J$238:$J$451),0),
IF('TL08'!$B$3=J$3,SUMIF('TL08'!$C$10:$C$224,$C314,'TL08'!$J$10:$J$224),0),
IF('TL08'!$B$229=J$3,SUMIF('TL08'!$C$238:$C$451,$C314,'TL08'!$J$238:$J$451),0),
IF('TL09'!$B$3=J$3,SUMIF('TL09'!$C$10:$C$224,$C314,'TL09'!$J$10:$J$224),0),
IF('TL09'!$B$229=J$3,SUMIF('TL09'!$C$238:$C$451,$C314,'TL09'!$J$238:$J$451),0),
IF('TL10'!$B$3=J$3,SUMIF('TL10'!$C$10:$C$224,$C314,'TL10'!$J$10:$J$224),0),
IF('TL10'!$B$229=J$3,SUMIF('TL10'!$C$238:$C$451,$C314,'TL10'!$J$238:$J$451),0),
IF('TL11'!$B$3=J$3,SUMIF('TL11'!$C$10:$C$224,$C314,'TL11'!$J$10:$J$224),0),
IF('TL11'!$B$229=J$3,SUMIF('TL11'!$C$238:$C$451,$C314,'TL11'!$J$238:$J$451),0),
IF('TL12'!$B$3=J$3,SUMIF('TL12'!$C$10:$C$224,$C314,'TL12'!$J$10:$J$224),0),
IF('TL12'!$B$229=J$3,SUMIF('TL12'!$C$238:$C$451,$C314,'TL12'!$J$238:$J$451),0),
IF('TL13'!$B$3=J$3,SUMIF('TL13'!$C$10:$C$224,$C314,'TL13'!$J$10:$J$224),0),
IF('TL13'!$B$229=J$3,SUMIF('TL13'!$C$238:$C$451,$C314,'TL13'!$J$238:$J$451),0),
IF('TL14'!$B$3=J$3,SUMIF('TL14'!$C$10:$C$224,$C314,'TL14'!$J$10:$J$224),0),
IF('TL14'!$B$229=J$3,SUMIF('TL14'!$C$238:$C$451,$C314,'TL14'!$J$238:$J$451),0),
IF('TL15'!$B$3=J$3,SUMIF('TL15'!$C$10:$C$224,$C314,'TL15'!$J$10:$J$224),0),
IF('TL15'!$B$229=J$3,SUMIF('TL15'!$C$238:$C$451,$C314,'TL15'!$J$238:$J$451),0),
IF('TL16'!$B$3=J$3,SUMIF('TL16'!$C$10:$C$224,$C314,'TL16'!$J$10:$J$224),0),
IF('TL16'!$B$229=J$3,SUMIF('TL16'!$C$238:$C$451,$C314,'TL16'!$J$238:$J$451),0),
IF('TL17'!$B$3=J$3,SUMIF('TL17'!$C$10:$C$224,$C314,'TL17'!$J$10:$J$224),0),
IF('TL17'!$B$229=J$3,SUMIF('TL17'!$C$238:$C$451,$C314,'TL17'!$J$238:$J$451),0),
IF('TL18'!$B$3=J$3,SUMIF('TL18'!$C$10:$C$224,$C314,'TL18'!$J$10:$J$224),0),
IF('TL18'!$B$229=J$3,SUMIF('TL18'!$C$238:$C$451,$C314,'TL18'!$J$238:$J$451),0),
IF('TL19'!$B$3=J$3,SUMIF('TL19'!$C$10:$C$224,$C314,'TL19'!$J$10:$J$224),0),
IF('TL19'!$B$229=J$3,SUMIF('TL19'!$C$238:$C$451,$C314,'TL19'!$J$238:$J$451),0)
),0)</f>
        <v/>
      </c>
      <c r="K314" s="9">
        <f>IFERROR(SUM(
IF('TL01'!$B$3=K$3,SUMIF('TL01'!$C$10:$C$224,$C314,'TL01'!$J$10:$J$224),0),
IF('TL01'!$B$229=K$3,SUMIF('TL01'!$C$238:$C$451,$C314,'TL01'!$J$238:$J$451),0),
IF('TL02'!$B$3=K$3,SUMIF('TL02'!$C$10:$C$224,$C314,'TL02'!$J$10:$J$224),0),
IF('TL02'!$B$229=K$3,SUMIF('TL02'!$C$238:$C$451,$C314,'TL02'!$J$238:$J$451),0),
IF('TL03'!$B$3=K$3,SUMIF('TL03'!$C$10:$C$224,$C314,'TL03'!$J$10:$J$224),0),
IF('TL03'!$B$229=K$3,SUMIF('TL03'!$C$238:$C$451,$C314,'TL03'!$J$238:$J$451),0),
IF('TL04'!$B$3=K$3,SUMIF('TL04'!$C$10:$C$224,$C314,'TL04'!$J$10:$J$224),0),
IF('TL04'!$B$229=K$3,SUMIF('TL04'!$C$238:$C$451,$C314,'TL04'!$J$238:$J$451),0),
IF('TL05'!$B$3=K$3,SUMIF('TL05'!$C$10:$C$224,$C314,'TL05'!$J$10:$J$224),0),
IF('TL05'!$B$229=K$3,SUMIF('TL05'!$C$238:$C$451,$C314,'TL05'!$J$238:$J$451),0),
IF('TL06'!$B$3=K$3,SUMIF('TL06'!$C$10:$C$224,$C314,'TL06'!$J$10:$J$224),0),
IF('TL06'!$B$229=K$3,SUMIF('TL06'!$C$238:$C$451,$C314,'TL06'!$J$238:$J$451),0),
IF('TL07'!$B$3=K$3,SUMIF('TL07'!$C$10:$C$224,$C314,'TL07'!$J$10:$J$224),0),
IF('TL07'!$B$229=K$3,SUMIF('TL07'!$C$238:$C$451,$C314,'TL07'!$J$238:$J$451),0),
IF('TL08'!$B$3=K$3,SUMIF('TL08'!$C$10:$C$224,$C314,'TL08'!$J$10:$J$224),0),
IF('TL08'!$B$229=K$3,SUMIF('TL08'!$C$238:$C$451,$C314,'TL08'!$J$238:$J$451),0),
IF('TL09'!$B$3=K$3,SUMIF('TL09'!$C$10:$C$224,$C314,'TL09'!$J$10:$J$224),0),
IF('TL09'!$B$229=K$3,SUMIF('TL09'!$C$238:$C$451,$C314,'TL09'!$J$238:$J$451),0),
IF('TL10'!$B$3=K$3,SUMIF('TL10'!$C$10:$C$224,$C314,'TL10'!$J$10:$J$224),0),
IF('TL10'!$B$229=K$3,SUMIF('TL10'!$C$238:$C$451,$C314,'TL10'!$J$238:$J$451),0),
IF('TL11'!$B$3=K$3,SUMIF('TL11'!$C$10:$C$224,$C314,'TL11'!$J$10:$J$224),0),
IF('TL11'!$B$229=K$3,SUMIF('TL11'!$C$238:$C$451,$C314,'TL11'!$J$238:$J$451),0),
IF('TL12'!$B$3=K$3,SUMIF('TL12'!$C$10:$C$224,$C314,'TL12'!$J$10:$J$224),0),
IF('TL12'!$B$229=K$3,SUMIF('TL12'!$C$238:$C$451,$C314,'TL12'!$J$238:$J$451),0),
IF('TL13'!$B$3=K$3,SUMIF('TL13'!$C$10:$C$224,$C314,'TL13'!$J$10:$J$224),0),
IF('TL13'!$B$229=K$3,SUMIF('TL13'!$C$238:$C$451,$C314,'TL13'!$J$238:$J$451),0),
IF('TL14'!$B$3=K$3,SUMIF('TL14'!$C$10:$C$224,$C314,'TL14'!$J$10:$J$224),0),
IF('TL14'!$B$229=K$3,SUMIF('TL14'!$C$238:$C$451,$C314,'TL14'!$J$238:$J$451),0),
IF('TL15'!$B$3=K$3,SUMIF('TL15'!$C$10:$C$224,$C314,'TL15'!$J$10:$J$224),0),
IF('TL15'!$B$229=K$3,SUMIF('TL15'!$C$238:$C$451,$C314,'TL15'!$J$238:$J$451),0),
IF('TL16'!$B$3=K$3,SUMIF('TL16'!$C$10:$C$224,$C314,'TL16'!$J$10:$J$224),0),
IF('TL16'!$B$229=K$3,SUMIF('TL16'!$C$238:$C$451,$C314,'TL16'!$J$238:$J$451),0),
IF('TL17'!$B$3=K$3,SUMIF('TL17'!$C$10:$C$224,$C314,'TL17'!$J$10:$J$224),0),
IF('TL17'!$B$229=K$3,SUMIF('TL17'!$C$238:$C$451,$C314,'TL17'!$J$238:$J$451),0),
IF('TL18'!$B$3=K$3,SUMIF('TL18'!$C$10:$C$224,$C314,'TL18'!$J$10:$J$224),0),
IF('TL18'!$B$229=K$3,SUMIF('TL18'!$C$238:$C$451,$C314,'TL18'!$J$238:$J$451),0),
IF('TL19'!$B$3=K$3,SUMIF('TL19'!$C$10:$C$224,$C314,'TL19'!$J$10:$J$224),0),
IF('TL19'!$B$229=K$3,SUMIF('TL19'!$C$238:$C$451,$C314,'TL19'!$J$238:$J$451),0)
),0)</f>
        <v/>
      </c>
      <c r="L314" s="9">
        <f>IFERROR(SUM(
IF('TL01'!$B$3=L$3,SUMIF('TL01'!$C$10:$C$224,$C314,'TL01'!$J$10:$J$224),0),
IF('TL01'!$B$229=L$3,SUMIF('TL01'!$C$238:$C$451,$C314,'TL01'!$J$238:$J$451),0),
IF('TL02'!$B$3=L$3,SUMIF('TL02'!$C$10:$C$224,$C314,'TL02'!$J$10:$J$224),0),
IF('TL02'!$B$229=L$3,SUMIF('TL02'!$C$238:$C$451,$C314,'TL02'!$J$238:$J$451),0),
IF('TL03'!$B$3=L$3,SUMIF('TL03'!$C$10:$C$224,$C314,'TL03'!$J$10:$J$224),0),
IF('TL03'!$B$229=L$3,SUMIF('TL03'!$C$238:$C$451,$C314,'TL03'!$J$238:$J$451),0),
IF('TL04'!$B$3=L$3,SUMIF('TL04'!$C$10:$C$224,$C314,'TL04'!$J$10:$J$224),0),
IF('TL04'!$B$229=L$3,SUMIF('TL04'!$C$238:$C$451,$C314,'TL04'!$J$238:$J$451),0),
IF('TL05'!$B$3=L$3,SUMIF('TL05'!$C$10:$C$224,$C314,'TL05'!$J$10:$J$224),0),
IF('TL05'!$B$229=L$3,SUMIF('TL05'!$C$238:$C$451,$C314,'TL05'!$J$238:$J$451),0),
IF('TL06'!$B$3=L$3,SUMIF('TL06'!$C$10:$C$224,$C314,'TL06'!$J$10:$J$224),0),
IF('TL06'!$B$229=L$3,SUMIF('TL06'!$C$238:$C$451,$C314,'TL06'!$J$238:$J$451),0),
IF('TL07'!$B$3=L$3,SUMIF('TL07'!$C$10:$C$224,$C314,'TL07'!$J$10:$J$224),0),
IF('TL07'!$B$229=L$3,SUMIF('TL07'!$C$238:$C$451,$C314,'TL07'!$J$238:$J$451),0),
IF('TL08'!$B$3=L$3,SUMIF('TL08'!$C$10:$C$224,$C314,'TL08'!$J$10:$J$224),0),
IF('TL08'!$B$229=L$3,SUMIF('TL08'!$C$238:$C$451,$C314,'TL08'!$J$238:$J$451),0),
IF('TL09'!$B$3=L$3,SUMIF('TL09'!$C$10:$C$224,$C314,'TL09'!$J$10:$J$224),0),
IF('TL09'!$B$229=L$3,SUMIF('TL09'!$C$238:$C$451,$C314,'TL09'!$J$238:$J$451),0),
IF('TL10'!$B$3=L$3,SUMIF('TL10'!$C$10:$C$224,$C314,'TL10'!$J$10:$J$224),0),
IF('TL10'!$B$229=L$3,SUMIF('TL10'!$C$238:$C$451,$C314,'TL10'!$J$238:$J$451),0),
IF('TL11'!$B$3=L$3,SUMIF('TL11'!$C$10:$C$224,$C314,'TL11'!$J$10:$J$224),0),
IF('TL11'!$B$229=L$3,SUMIF('TL11'!$C$238:$C$451,$C314,'TL11'!$J$238:$J$451),0),
IF('TL12'!$B$3=L$3,SUMIF('TL12'!$C$10:$C$224,$C314,'TL12'!$J$10:$J$224),0),
IF('TL12'!$B$229=L$3,SUMIF('TL12'!$C$238:$C$451,$C314,'TL12'!$J$238:$J$451),0),
IF('TL13'!$B$3=L$3,SUMIF('TL13'!$C$10:$C$224,$C314,'TL13'!$J$10:$J$224),0),
IF('TL13'!$B$229=L$3,SUMIF('TL13'!$C$238:$C$451,$C314,'TL13'!$J$238:$J$451),0),
IF('TL14'!$B$3=L$3,SUMIF('TL14'!$C$10:$C$224,$C314,'TL14'!$J$10:$J$224),0),
IF('TL14'!$B$229=L$3,SUMIF('TL14'!$C$238:$C$451,$C314,'TL14'!$J$238:$J$451),0),
IF('TL15'!$B$3=L$3,SUMIF('TL15'!$C$10:$C$224,$C314,'TL15'!$J$10:$J$224),0),
IF('TL15'!$B$229=L$3,SUMIF('TL15'!$C$238:$C$451,$C314,'TL15'!$J$238:$J$451),0),
IF('TL16'!$B$3=L$3,SUMIF('TL16'!$C$10:$C$224,$C314,'TL16'!$J$10:$J$224),0),
IF('TL16'!$B$229=L$3,SUMIF('TL16'!$C$238:$C$451,$C314,'TL16'!$J$238:$J$451),0),
IF('TL17'!$B$3=L$3,SUMIF('TL17'!$C$10:$C$224,$C314,'TL17'!$J$10:$J$224),0),
IF('TL17'!$B$229=L$3,SUMIF('TL17'!$C$238:$C$451,$C314,'TL17'!$J$238:$J$451),0),
IF('TL18'!$B$3=L$3,SUMIF('TL18'!$C$10:$C$224,$C314,'TL18'!$J$10:$J$224),0),
IF('TL18'!$B$229=L$3,SUMIF('TL18'!$C$238:$C$451,$C314,'TL18'!$J$238:$J$451),0),
IF('TL19'!$B$3=L$3,SUMIF('TL19'!$C$10:$C$224,$C314,'TL19'!$J$10:$J$224),0),
IF('TL19'!$B$229=L$3,SUMIF('TL19'!$C$238:$C$451,$C314,'TL19'!$J$238:$J$451),0)
),0)</f>
        <v/>
      </c>
      <c r="M314" s="9">
        <f>IFERROR(SUM(
IF('TL01'!$B$3=M$3,SUMIF('TL01'!$C$10:$C$224,$C314,'TL01'!$J$10:$J$224),0),
IF('TL01'!$B$229=M$3,SUMIF('TL01'!$C$238:$C$451,$C314,'TL01'!$J$238:$J$451),0),
IF('TL02'!$B$3=M$3,SUMIF('TL02'!$C$10:$C$224,$C314,'TL02'!$J$10:$J$224),0),
IF('TL02'!$B$229=M$3,SUMIF('TL02'!$C$238:$C$451,$C314,'TL02'!$J$238:$J$451),0),
IF('TL03'!$B$3=M$3,SUMIF('TL03'!$C$10:$C$224,$C314,'TL03'!$J$10:$J$224),0),
IF('TL03'!$B$229=M$3,SUMIF('TL03'!$C$238:$C$451,$C314,'TL03'!$J$238:$J$451),0),
IF('TL04'!$B$3=M$3,SUMIF('TL04'!$C$10:$C$224,$C314,'TL04'!$J$10:$J$224),0),
IF('TL04'!$B$229=M$3,SUMIF('TL04'!$C$238:$C$451,$C314,'TL04'!$J$238:$J$451),0),
IF('TL05'!$B$3=M$3,SUMIF('TL05'!$C$10:$C$224,$C314,'TL05'!$J$10:$J$224),0),
IF('TL05'!$B$229=M$3,SUMIF('TL05'!$C$238:$C$451,$C314,'TL05'!$J$238:$J$451),0),
IF('TL06'!$B$3=M$3,SUMIF('TL06'!$C$10:$C$224,$C314,'TL06'!$J$10:$J$224),0),
IF('TL06'!$B$229=M$3,SUMIF('TL06'!$C$238:$C$451,$C314,'TL06'!$J$238:$J$451),0),
IF('TL07'!$B$3=M$3,SUMIF('TL07'!$C$10:$C$224,$C314,'TL07'!$J$10:$J$224),0),
IF('TL07'!$B$229=M$3,SUMIF('TL07'!$C$238:$C$451,$C314,'TL07'!$J$238:$J$451),0),
IF('TL08'!$B$3=M$3,SUMIF('TL08'!$C$10:$C$224,$C314,'TL08'!$J$10:$J$224),0),
IF('TL08'!$B$229=M$3,SUMIF('TL08'!$C$238:$C$451,$C314,'TL08'!$J$238:$J$451),0),
IF('TL09'!$B$3=M$3,SUMIF('TL09'!$C$10:$C$224,$C314,'TL09'!$J$10:$J$224),0),
IF('TL09'!$B$229=M$3,SUMIF('TL09'!$C$238:$C$451,$C314,'TL09'!$J$238:$J$451),0),
IF('TL10'!$B$3=M$3,SUMIF('TL10'!$C$10:$C$224,$C314,'TL10'!$J$10:$J$224),0),
IF('TL10'!$B$229=M$3,SUMIF('TL10'!$C$238:$C$451,$C314,'TL10'!$J$238:$J$451),0),
IF('TL11'!$B$3=M$3,SUMIF('TL11'!$C$10:$C$224,$C314,'TL11'!$J$10:$J$224),0),
IF('TL11'!$B$229=M$3,SUMIF('TL11'!$C$238:$C$451,$C314,'TL11'!$J$238:$J$451),0),
IF('TL12'!$B$3=M$3,SUMIF('TL12'!$C$10:$C$224,$C314,'TL12'!$J$10:$J$224),0),
IF('TL12'!$B$229=M$3,SUMIF('TL12'!$C$238:$C$451,$C314,'TL12'!$J$238:$J$451),0),
IF('TL13'!$B$3=M$3,SUMIF('TL13'!$C$10:$C$224,$C314,'TL13'!$J$10:$J$224),0),
IF('TL13'!$B$229=M$3,SUMIF('TL13'!$C$238:$C$451,$C314,'TL13'!$J$238:$J$451),0),
IF('TL14'!$B$3=M$3,SUMIF('TL14'!$C$10:$C$224,$C314,'TL14'!$J$10:$J$224),0),
IF('TL14'!$B$229=M$3,SUMIF('TL14'!$C$238:$C$451,$C314,'TL14'!$J$238:$J$451),0),
IF('TL15'!$B$3=M$3,SUMIF('TL15'!$C$10:$C$224,$C314,'TL15'!$J$10:$J$224),0),
IF('TL15'!$B$229=M$3,SUMIF('TL15'!$C$238:$C$451,$C314,'TL15'!$J$238:$J$451),0),
IF('TL16'!$B$3=M$3,SUMIF('TL16'!$C$10:$C$224,$C314,'TL16'!$J$10:$J$224),0),
IF('TL16'!$B$229=M$3,SUMIF('TL16'!$C$238:$C$451,$C314,'TL16'!$J$238:$J$451),0),
IF('TL17'!$B$3=M$3,SUMIF('TL17'!$C$10:$C$224,$C314,'TL17'!$J$10:$J$224),0),
IF('TL17'!$B$229=M$3,SUMIF('TL17'!$C$238:$C$451,$C314,'TL17'!$J$238:$J$451),0),
IF('TL18'!$B$3=M$3,SUMIF('TL18'!$C$10:$C$224,$C314,'TL18'!$J$10:$J$224),0),
IF('TL18'!$B$229=M$3,SUMIF('TL18'!$C$238:$C$451,$C314,'TL18'!$J$238:$J$451),0),
IF('TL19'!$B$3=M$3,SUMIF('TL19'!$C$10:$C$224,$C314,'TL19'!$J$10:$J$224),0),
IF('TL19'!$B$229=M$3,SUMIF('TL19'!$C$238:$C$451,$C314,'TL19'!$J$238:$J$451),0)
),0)</f>
        <v/>
      </c>
      <c r="N314" s="9">
        <f>IFERROR(SUM(
IF('TL01'!$B$3=N$3,SUMIF('TL01'!$C$10:$C$224,$C314,'TL01'!$J$10:$J$224),0),
IF('TL01'!$B$229=N$3,SUMIF('TL01'!$C$238:$C$451,$C314,'TL01'!$J$238:$J$451),0),
IF('TL02'!$B$3=N$3,SUMIF('TL02'!$C$10:$C$224,$C314,'TL02'!$J$10:$J$224),0),
IF('TL02'!$B$229=N$3,SUMIF('TL02'!$C$238:$C$451,$C314,'TL02'!$J$238:$J$451),0),
IF('TL03'!$B$3=N$3,SUMIF('TL03'!$C$10:$C$224,$C314,'TL03'!$J$10:$J$224),0),
IF('TL03'!$B$229=N$3,SUMIF('TL03'!$C$238:$C$451,$C314,'TL03'!$J$238:$J$451),0),
IF('TL04'!$B$3=N$3,SUMIF('TL04'!$C$10:$C$224,$C314,'TL04'!$J$10:$J$224),0),
IF('TL04'!$B$229=N$3,SUMIF('TL04'!$C$238:$C$451,$C314,'TL04'!$J$238:$J$451),0),
IF('TL05'!$B$3=N$3,SUMIF('TL05'!$C$10:$C$224,$C314,'TL05'!$J$10:$J$224),0),
IF('TL05'!$B$229=N$3,SUMIF('TL05'!$C$238:$C$451,$C314,'TL05'!$J$238:$J$451),0),
IF('TL06'!$B$3=N$3,SUMIF('TL06'!$C$10:$C$224,$C314,'TL06'!$J$10:$J$224),0),
IF('TL06'!$B$229=N$3,SUMIF('TL06'!$C$238:$C$451,$C314,'TL06'!$J$238:$J$451),0),
IF('TL07'!$B$3=N$3,SUMIF('TL07'!$C$10:$C$224,$C314,'TL07'!$J$10:$J$224),0),
IF('TL07'!$B$229=N$3,SUMIF('TL07'!$C$238:$C$451,$C314,'TL07'!$J$238:$J$451),0),
IF('TL08'!$B$3=N$3,SUMIF('TL08'!$C$10:$C$224,$C314,'TL08'!$J$10:$J$224),0),
IF('TL08'!$B$229=N$3,SUMIF('TL08'!$C$238:$C$451,$C314,'TL08'!$J$238:$J$451),0),
IF('TL09'!$B$3=N$3,SUMIF('TL09'!$C$10:$C$224,$C314,'TL09'!$J$10:$J$224),0),
IF('TL09'!$B$229=N$3,SUMIF('TL09'!$C$238:$C$451,$C314,'TL09'!$J$238:$J$451),0),
IF('TL10'!$B$3=N$3,SUMIF('TL10'!$C$10:$C$224,$C314,'TL10'!$J$10:$J$224),0),
IF('TL10'!$B$229=N$3,SUMIF('TL10'!$C$238:$C$451,$C314,'TL10'!$J$238:$J$451),0),
IF('TL11'!$B$3=N$3,SUMIF('TL11'!$C$10:$C$224,$C314,'TL11'!$J$10:$J$224),0),
IF('TL11'!$B$229=N$3,SUMIF('TL11'!$C$238:$C$451,$C314,'TL11'!$J$238:$J$451),0),
IF('TL12'!$B$3=N$3,SUMIF('TL12'!$C$10:$C$224,$C314,'TL12'!$J$10:$J$224),0),
IF('TL12'!$B$229=N$3,SUMIF('TL12'!$C$238:$C$451,$C314,'TL12'!$J$238:$J$451),0),
IF('TL13'!$B$3=N$3,SUMIF('TL13'!$C$10:$C$224,$C314,'TL13'!$J$10:$J$224),0),
IF('TL13'!$B$229=N$3,SUMIF('TL13'!$C$238:$C$451,$C314,'TL13'!$J$238:$J$451),0),
IF('TL14'!$B$3=N$3,SUMIF('TL14'!$C$10:$C$224,$C314,'TL14'!$J$10:$J$224),0),
IF('TL14'!$B$229=N$3,SUMIF('TL14'!$C$238:$C$451,$C314,'TL14'!$J$238:$J$451),0),
IF('TL15'!$B$3=N$3,SUMIF('TL15'!$C$10:$C$224,$C314,'TL15'!$J$10:$J$224),0),
IF('TL15'!$B$229=N$3,SUMIF('TL15'!$C$238:$C$451,$C314,'TL15'!$J$238:$J$451),0),
IF('TL16'!$B$3=N$3,SUMIF('TL16'!$C$10:$C$224,$C314,'TL16'!$J$10:$J$224),0),
IF('TL16'!$B$229=N$3,SUMIF('TL16'!$C$238:$C$451,$C314,'TL16'!$J$238:$J$451),0),
IF('TL17'!$B$3=N$3,SUMIF('TL17'!$C$10:$C$224,$C314,'TL17'!$J$10:$J$224),0),
IF('TL17'!$B$229=N$3,SUMIF('TL17'!$C$238:$C$451,$C314,'TL17'!$J$238:$J$451),0),
IF('TL18'!$B$3=N$3,SUMIF('TL18'!$C$10:$C$224,$C314,'TL18'!$J$10:$J$224),0),
IF('TL18'!$B$229=N$3,SUMIF('TL18'!$C$238:$C$451,$C314,'TL18'!$J$238:$J$451),0),
IF('TL19'!$B$3=N$3,SUMIF('TL19'!$C$10:$C$224,$C314,'TL19'!$J$10:$J$224),0),
IF('TL19'!$B$229=N$3,SUMIF('TL19'!$C$238:$C$451,$C314,'TL19'!$J$238:$J$451),0)
),0)</f>
        <v/>
      </c>
      <c r="O314" s="9">
        <f>IFERROR(SUM(
IF('TL01'!$B$3=O$3,SUMIF('TL01'!$C$10:$C$224,$C314,'TL01'!$J$10:$J$224),0),
IF('TL01'!$B$229=O$3,SUMIF('TL01'!$C$238:$C$451,$C314,'TL01'!$J$238:$J$451),0),
IF('TL02'!$B$3=O$3,SUMIF('TL02'!$C$10:$C$224,$C314,'TL02'!$J$10:$J$224),0),
IF('TL02'!$B$229=O$3,SUMIF('TL02'!$C$238:$C$451,$C314,'TL02'!$J$238:$J$451),0),
IF('TL03'!$B$3=O$3,SUMIF('TL03'!$C$10:$C$224,$C314,'TL03'!$J$10:$J$224),0),
IF('TL03'!$B$229=O$3,SUMIF('TL03'!$C$238:$C$451,$C314,'TL03'!$J$238:$J$451),0),
IF('TL04'!$B$3=O$3,SUMIF('TL04'!$C$10:$C$224,$C314,'TL04'!$J$10:$J$224),0),
IF('TL04'!$B$229=O$3,SUMIF('TL04'!$C$238:$C$451,$C314,'TL04'!$J$238:$J$451),0),
IF('TL05'!$B$3=O$3,SUMIF('TL05'!$C$10:$C$224,$C314,'TL05'!$J$10:$J$224),0),
IF('TL05'!$B$229=O$3,SUMIF('TL05'!$C$238:$C$451,$C314,'TL05'!$J$238:$J$451),0),
IF('TL06'!$B$3=O$3,SUMIF('TL06'!$C$10:$C$224,$C314,'TL06'!$J$10:$J$224),0),
IF('TL06'!$B$229=O$3,SUMIF('TL06'!$C$238:$C$451,$C314,'TL06'!$J$238:$J$451),0),
IF('TL07'!$B$3=O$3,SUMIF('TL07'!$C$10:$C$224,$C314,'TL07'!$J$10:$J$224),0),
IF('TL07'!$B$229=O$3,SUMIF('TL07'!$C$238:$C$451,$C314,'TL07'!$J$238:$J$451),0),
IF('TL08'!$B$3=O$3,SUMIF('TL08'!$C$10:$C$224,$C314,'TL08'!$J$10:$J$224),0),
IF('TL08'!$B$229=O$3,SUMIF('TL08'!$C$238:$C$451,$C314,'TL08'!$J$238:$J$451),0),
IF('TL09'!$B$3=O$3,SUMIF('TL09'!$C$10:$C$224,$C314,'TL09'!$J$10:$J$224),0),
IF('TL09'!$B$229=O$3,SUMIF('TL09'!$C$238:$C$451,$C314,'TL09'!$J$238:$J$451),0),
IF('TL10'!$B$3=O$3,SUMIF('TL10'!$C$10:$C$224,$C314,'TL10'!$J$10:$J$224),0),
IF('TL10'!$B$229=O$3,SUMIF('TL10'!$C$238:$C$451,$C314,'TL10'!$J$238:$J$451),0),
IF('TL11'!$B$3=O$3,SUMIF('TL11'!$C$10:$C$224,$C314,'TL11'!$J$10:$J$224),0),
IF('TL11'!$B$229=O$3,SUMIF('TL11'!$C$238:$C$451,$C314,'TL11'!$J$238:$J$451),0),
IF('TL12'!$B$3=O$3,SUMIF('TL12'!$C$10:$C$224,$C314,'TL12'!$J$10:$J$224),0),
IF('TL12'!$B$229=O$3,SUMIF('TL12'!$C$238:$C$451,$C314,'TL12'!$J$238:$J$451),0),
IF('TL13'!$B$3=O$3,SUMIF('TL13'!$C$10:$C$224,$C314,'TL13'!$J$10:$J$224),0),
IF('TL13'!$B$229=O$3,SUMIF('TL13'!$C$238:$C$451,$C314,'TL13'!$J$238:$J$451),0),
IF('TL14'!$B$3=O$3,SUMIF('TL14'!$C$10:$C$224,$C314,'TL14'!$J$10:$J$224),0),
IF('TL14'!$B$229=O$3,SUMIF('TL14'!$C$238:$C$451,$C314,'TL14'!$J$238:$J$451),0),
IF('TL15'!$B$3=O$3,SUMIF('TL15'!$C$10:$C$224,$C314,'TL15'!$J$10:$J$224),0),
IF('TL15'!$B$229=O$3,SUMIF('TL15'!$C$238:$C$451,$C314,'TL15'!$J$238:$J$451),0),
IF('TL16'!$B$3=O$3,SUMIF('TL16'!$C$10:$C$224,$C314,'TL16'!$J$10:$J$224),0),
IF('TL16'!$B$229=O$3,SUMIF('TL16'!$C$238:$C$451,$C314,'TL16'!$J$238:$J$451),0),
IF('TL17'!$B$3=O$3,SUMIF('TL17'!$C$10:$C$224,$C314,'TL17'!$J$10:$J$224),0),
IF('TL17'!$B$229=O$3,SUMIF('TL17'!$C$238:$C$451,$C314,'TL17'!$J$238:$J$451),0),
IF('TL18'!$B$3=O$3,SUMIF('TL18'!$C$10:$C$224,$C314,'TL18'!$J$10:$J$224),0),
IF('TL18'!$B$229=O$3,SUMIF('TL18'!$C$238:$C$451,$C314,'TL18'!$J$238:$J$451),0),
IF('TL19'!$B$3=O$3,SUMIF('TL19'!$C$10:$C$224,$C314,'TL19'!$J$10:$J$224),0),
IF('TL19'!$B$229=O$3,SUMIF('TL19'!$C$238:$C$451,$C314,'TL19'!$J$238:$J$451),0)
),0)</f>
        <v/>
      </c>
      <c r="P314" s="9">
        <f>IFERROR(SUM(
IF('TL01'!$B$3=P$3,SUMIF('TL01'!$C$10:$C$224,$C314,'TL01'!$J$10:$J$224),0),
IF('TL01'!$B$229=P$3,SUMIF('TL01'!$C$238:$C$451,$C314,'TL01'!$J$238:$J$451),0),
IF('TL02'!$B$3=P$3,SUMIF('TL02'!$C$10:$C$224,$C314,'TL02'!$J$10:$J$224),0),
IF('TL02'!$B$229=P$3,SUMIF('TL02'!$C$238:$C$451,$C314,'TL02'!$J$238:$J$451),0),
IF('TL03'!$B$3=P$3,SUMIF('TL03'!$C$10:$C$224,$C314,'TL03'!$J$10:$J$224),0),
IF('TL03'!$B$229=P$3,SUMIF('TL03'!$C$238:$C$451,$C314,'TL03'!$J$238:$J$451),0),
IF('TL04'!$B$3=P$3,SUMIF('TL04'!$C$10:$C$224,$C314,'TL04'!$J$10:$J$224),0),
IF('TL04'!$B$229=P$3,SUMIF('TL04'!$C$238:$C$451,$C314,'TL04'!$J$238:$J$451),0),
IF('TL05'!$B$3=P$3,SUMIF('TL05'!$C$10:$C$224,$C314,'TL05'!$J$10:$J$224),0),
IF('TL05'!$B$229=P$3,SUMIF('TL05'!$C$238:$C$451,$C314,'TL05'!$J$238:$J$451),0),
IF('TL06'!$B$3=P$3,SUMIF('TL06'!$C$10:$C$224,$C314,'TL06'!$J$10:$J$224),0),
IF('TL06'!$B$229=P$3,SUMIF('TL06'!$C$238:$C$451,$C314,'TL06'!$J$238:$J$451),0),
IF('TL07'!$B$3=P$3,SUMIF('TL07'!$C$10:$C$224,$C314,'TL07'!$J$10:$J$224),0),
IF('TL07'!$B$229=P$3,SUMIF('TL07'!$C$238:$C$451,$C314,'TL07'!$J$238:$J$451),0),
IF('TL08'!$B$3=P$3,SUMIF('TL08'!$C$10:$C$224,$C314,'TL08'!$J$10:$J$224),0),
IF('TL08'!$B$229=P$3,SUMIF('TL08'!$C$238:$C$451,$C314,'TL08'!$J$238:$J$451),0),
IF('TL09'!$B$3=P$3,SUMIF('TL09'!$C$10:$C$224,$C314,'TL09'!$J$10:$J$224),0),
IF('TL09'!$B$229=P$3,SUMIF('TL09'!$C$238:$C$451,$C314,'TL09'!$J$238:$J$451),0),
IF('TL10'!$B$3=P$3,SUMIF('TL10'!$C$10:$C$224,$C314,'TL10'!$J$10:$J$224),0),
IF('TL10'!$B$229=P$3,SUMIF('TL10'!$C$238:$C$451,$C314,'TL10'!$J$238:$J$451),0),
IF('TL11'!$B$3=P$3,SUMIF('TL11'!$C$10:$C$224,$C314,'TL11'!$J$10:$J$224),0),
IF('TL11'!$B$229=P$3,SUMIF('TL11'!$C$238:$C$451,$C314,'TL11'!$J$238:$J$451),0),
IF('TL12'!$B$3=P$3,SUMIF('TL12'!$C$10:$C$224,$C314,'TL12'!$J$10:$J$224),0),
IF('TL12'!$B$229=P$3,SUMIF('TL12'!$C$238:$C$451,$C314,'TL12'!$J$238:$J$451),0),
IF('TL13'!$B$3=P$3,SUMIF('TL13'!$C$10:$C$224,$C314,'TL13'!$J$10:$J$224),0),
IF('TL13'!$B$229=P$3,SUMIF('TL13'!$C$238:$C$451,$C314,'TL13'!$J$238:$J$451),0),
IF('TL14'!$B$3=P$3,SUMIF('TL14'!$C$10:$C$224,$C314,'TL14'!$J$10:$J$224),0),
IF('TL14'!$B$229=P$3,SUMIF('TL14'!$C$238:$C$451,$C314,'TL14'!$J$238:$J$451),0),
IF('TL15'!$B$3=P$3,SUMIF('TL15'!$C$10:$C$224,$C314,'TL15'!$J$10:$J$224),0),
IF('TL15'!$B$229=P$3,SUMIF('TL15'!$C$238:$C$451,$C314,'TL15'!$J$238:$J$451),0),
IF('TL16'!$B$3=P$3,SUMIF('TL16'!$C$10:$C$224,$C314,'TL16'!$J$10:$J$224),0),
IF('TL16'!$B$229=P$3,SUMIF('TL16'!$C$238:$C$451,$C314,'TL16'!$J$238:$J$451),0),
IF('TL17'!$B$3=P$3,SUMIF('TL17'!$C$10:$C$224,$C314,'TL17'!$J$10:$J$224),0),
IF('TL17'!$B$229=P$3,SUMIF('TL17'!$C$238:$C$451,$C314,'TL17'!$J$238:$J$451),0),
IF('TL18'!$B$3=P$3,SUMIF('TL18'!$C$10:$C$224,$C314,'TL18'!$J$10:$J$224),0),
IF('TL18'!$B$229=P$3,SUMIF('TL18'!$C$238:$C$451,$C314,'TL18'!$J$238:$J$451),0),
IF('TL19'!$B$3=P$3,SUMIF('TL19'!$C$10:$C$224,$C314,'TL19'!$J$10:$J$224),0),
IF('TL19'!$B$229=P$3,SUMIF('TL19'!$C$238:$C$451,$C314,'TL19'!$J$238:$J$451),0)
),0)</f>
        <v/>
      </c>
      <c r="Q314" s="9">
        <f>IFERROR(SUM(
IF('TL01'!$B$3=Q$3,SUMIF('TL01'!$C$10:$C$224,$C314,'TL01'!$J$10:$J$224),0),
IF('TL01'!$B$229=Q$3,SUMIF('TL01'!$C$238:$C$451,$C314,'TL01'!$J$238:$J$451),0),
IF('TL02'!$B$3=Q$3,SUMIF('TL02'!$C$10:$C$224,$C314,'TL02'!$J$10:$J$224),0),
IF('TL02'!$B$229=Q$3,SUMIF('TL02'!$C$238:$C$451,$C314,'TL02'!$J$238:$J$451),0),
IF('TL03'!$B$3=Q$3,SUMIF('TL03'!$C$10:$C$224,$C314,'TL03'!$J$10:$J$224),0),
IF('TL03'!$B$229=Q$3,SUMIF('TL03'!$C$238:$C$451,$C314,'TL03'!$J$238:$J$451),0),
IF('TL04'!$B$3=Q$3,SUMIF('TL04'!$C$10:$C$224,$C314,'TL04'!$J$10:$J$224),0),
IF('TL04'!$B$229=Q$3,SUMIF('TL04'!$C$238:$C$451,$C314,'TL04'!$J$238:$J$451),0),
IF('TL05'!$B$3=Q$3,SUMIF('TL05'!$C$10:$C$224,$C314,'TL05'!$J$10:$J$224),0),
IF('TL05'!$B$229=Q$3,SUMIF('TL05'!$C$238:$C$451,$C314,'TL05'!$J$238:$J$451),0),
IF('TL06'!$B$3=Q$3,SUMIF('TL06'!$C$10:$C$224,$C314,'TL06'!$J$10:$J$224),0),
IF('TL06'!$B$229=Q$3,SUMIF('TL06'!$C$238:$C$451,$C314,'TL06'!$J$238:$J$451),0),
IF('TL07'!$B$3=Q$3,SUMIF('TL07'!$C$10:$C$224,$C314,'TL07'!$J$10:$J$224),0),
IF('TL07'!$B$229=Q$3,SUMIF('TL07'!$C$238:$C$451,$C314,'TL07'!$J$238:$J$451),0),
IF('TL08'!$B$3=Q$3,SUMIF('TL08'!$C$10:$C$224,$C314,'TL08'!$J$10:$J$224),0),
IF('TL08'!$B$229=Q$3,SUMIF('TL08'!$C$238:$C$451,$C314,'TL08'!$J$238:$J$451),0),
IF('TL09'!$B$3=Q$3,SUMIF('TL09'!$C$10:$C$224,$C314,'TL09'!$J$10:$J$224),0),
IF('TL09'!$B$229=Q$3,SUMIF('TL09'!$C$238:$C$451,$C314,'TL09'!$J$238:$J$451),0),
IF('TL10'!$B$3=Q$3,SUMIF('TL10'!$C$10:$C$224,$C314,'TL10'!$J$10:$J$224),0),
IF('TL10'!$B$229=Q$3,SUMIF('TL10'!$C$238:$C$451,$C314,'TL10'!$J$238:$J$451),0),
IF('TL11'!$B$3=Q$3,SUMIF('TL11'!$C$10:$C$224,$C314,'TL11'!$J$10:$J$224),0),
IF('TL11'!$B$229=Q$3,SUMIF('TL11'!$C$238:$C$451,$C314,'TL11'!$J$238:$J$451),0),
IF('TL12'!$B$3=Q$3,SUMIF('TL12'!$C$10:$C$224,$C314,'TL12'!$J$10:$J$224),0),
IF('TL12'!$B$229=Q$3,SUMIF('TL12'!$C$238:$C$451,$C314,'TL12'!$J$238:$J$451),0),
IF('TL13'!$B$3=Q$3,SUMIF('TL13'!$C$10:$C$224,$C314,'TL13'!$J$10:$J$224),0),
IF('TL13'!$B$229=Q$3,SUMIF('TL13'!$C$238:$C$451,$C314,'TL13'!$J$238:$J$451),0),
IF('TL14'!$B$3=Q$3,SUMIF('TL14'!$C$10:$C$224,$C314,'TL14'!$J$10:$J$224),0),
IF('TL14'!$B$229=Q$3,SUMIF('TL14'!$C$238:$C$451,$C314,'TL14'!$J$238:$J$451),0),
IF('TL15'!$B$3=Q$3,SUMIF('TL15'!$C$10:$C$224,$C314,'TL15'!$J$10:$J$224),0),
IF('TL15'!$B$229=Q$3,SUMIF('TL15'!$C$238:$C$451,$C314,'TL15'!$J$238:$J$451),0),
IF('TL16'!$B$3=Q$3,SUMIF('TL16'!$C$10:$C$224,$C314,'TL16'!$J$10:$J$224),0),
IF('TL16'!$B$229=Q$3,SUMIF('TL16'!$C$238:$C$451,$C314,'TL16'!$J$238:$J$451),0),
IF('TL17'!$B$3=Q$3,SUMIF('TL17'!$C$10:$C$224,$C314,'TL17'!$J$10:$J$224),0),
IF('TL17'!$B$229=Q$3,SUMIF('TL17'!$C$238:$C$451,$C314,'TL17'!$J$238:$J$451),0),
IF('TL18'!$B$3=Q$3,SUMIF('TL18'!$C$10:$C$224,$C314,'TL18'!$J$10:$J$224),0),
IF('TL18'!$B$229=Q$3,SUMIF('TL18'!$C$238:$C$451,$C314,'TL18'!$J$238:$J$451),0),
IF('TL19'!$B$3=Q$3,SUMIF('TL19'!$C$10:$C$224,$C314,'TL19'!$J$10:$J$224),0),
IF('TL19'!$B$229=Q$3,SUMIF('TL19'!$C$238:$C$451,$C314,'TL19'!$J$238:$J$451),0)
),0)</f>
        <v/>
      </c>
      <c r="R314" s="9">
        <f>IFERROR(
SUM(
SUMIF('TL01'!C:C,C314,'TL01'!J:J),
SUMIF('TL02'!C:C,C314,'TL02'!J:J),
SUMIF('TL03'!C:C,C314,'TL03'!J:J),
SUMIF('TL04'!C:C,C314,'TL04'!J:J),
SUMIF('TL05'!C:C,C314,'TL05'!J:J),
SUMIF('TL06'!C:C,C314,'TL06'!J:J),
SUMIF('TL07'!C:C,C314,'TL07'!J:J),
SUMIF('TL08'!C:C,C314,'TL08'!J:J),
SUMIF('TL09'!C:C,C314,'TL09'!J:J),
SUMIF('TL10'!C:C,C314,'TL10'!J:J),
SUMIF('TL11'!C:C,C314,'TL11'!J:J),
SUMIF('TL12'!C:C,C314,'TL12'!J:J),
SUMIF('TL13'!C:C,C314,'TL13'!J:J),
SUMIF('TL14'!C:C,C314,'TL14'!J:J),
SUMIF('TL15'!C:C,C314,'TL15'!J:J),
SUMIF('TL16'!C:C,C314,'TL16'!J:J),
SUMIF('TL17'!C:C,C314,'TL17'!J:J),
SUMIF('TL18'!C:C,C314,'TL18'!J:J),SUMIF('TL19'!C:C,C314,'TL19'!J:J))
,0)</f>
        <v/>
      </c>
      <c r="S314" s="17">
        <f>IFERROR(__xludf.DUMMYFUNCTION("IFERROR(VLOOKUP(C314,
IMPORTRANGE(""1wULbzX32WdYsx-lj2U3uUNBBe2INVIRDtcK0d-Dvl90"",
""26-27!C:G""),
5,
FALSE),
"""")"),"")</f>
        <v/>
      </c>
      <c r="T314" s="9" t="n"/>
      <c r="U314" s="92">
        <f>MAX(0,R314-T314)</f>
        <v/>
      </c>
      <c r="V314" s="93">
        <f>U314*S314</f>
        <v/>
      </c>
    </row>
    <row r="315" hidden="1" ht="15.75" customHeight="1" s="297">
      <c r="A315" s="4" t="n"/>
      <c r="B315" s="125" t="inlineStr">
        <is>
          <t>SEMENTE</t>
        </is>
      </c>
      <c r="C315" s="4" t="inlineStr">
        <is>
          <t>P40537PWU</t>
        </is>
      </c>
      <c r="D315" s="20" t="n"/>
      <c r="E315" s="9" t="n"/>
      <c r="F315" s="4" t="inlineStr">
        <is>
          <t>SC</t>
        </is>
      </c>
      <c r="G315" s="90">
        <f>HYPERLINK("https://www.google.com/search?q=" &amp; C315 &amp; "+bula+agrofit+pdf", "📄 Ver bula")</f>
        <v/>
      </c>
      <c r="H315" s="9" t="n">
        <v>1.2</v>
      </c>
      <c r="I315" s="1" t="n"/>
      <c r="J315" s="9">
        <f>IFERROR(SUM(
IF('TL01'!$B$3=J$3,SUMIF('TL01'!$C$10:$C$224,$C315,'TL01'!$J$10:$J$224),0),
IF('TL01'!$B$229=J$3,SUMIF('TL01'!$C$238:$C$451,$C315,'TL01'!$J$238:$J$451),0),
IF('TL02'!$B$3=J$3,SUMIF('TL02'!$C$10:$C$224,$C315,'TL02'!$J$10:$J$224),0),
IF('TL02'!$B$229=J$3,SUMIF('TL02'!$C$238:$C$451,$C315,'TL02'!$J$238:$J$451),0),
IF('TL03'!$B$3=J$3,SUMIF('TL03'!$C$10:$C$224,$C315,'TL03'!$J$10:$J$224),0),
IF('TL03'!$B$229=J$3,SUMIF('TL03'!$C$238:$C$451,$C315,'TL03'!$J$238:$J$451),0),
IF('TL04'!$B$3=J$3,SUMIF('TL04'!$C$10:$C$224,$C315,'TL04'!$J$10:$J$224),0),
IF('TL04'!$B$229=J$3,SUMIF('TL04'!$C$238:$C$451,$C315,'TL04'!$J$238:$J$451),0),
IF('TL05'!$B$3=J$3,SUMIF('TL05'!$C$10:$C$224,$C315,'TL05'!$J$10:$J$224),0),
IF('TL05'!$B$229=J$3,SUMIF('TL05'!$C$238:$C$451,$C315,'TL05'!$J$238:$J$451),0),
IF('TL06'!$B$3=J$3,SUMIF('TL06'!$C$10:$C$224,$C315,'TL06'!$J$10:$J$224),0),
IF('TL06'!$B$229=J$3,SUMIF('TL06'!$C$238:$C$451,$C315,'TL06'!$J$238:$J$451),0),
IF('TL07'!$B$3=J$3,SUMIF('TL07'!$C$10:$C$224,$C315,'TL07'!$J$10:$J$224),0),
IF('TL07'!$B$229=J$3,SUMIF('TL07'!$C$238:$C$451,$C315,'TL07'!$J$238:$J$451),0),
IF('TL08'!$B$3=J$3,SUMIF('TL08'!$C$10:$C$224,$C315,'TL08'!$J$10:$J$224),0),
IF('TL08'!$B$229=J$3,SUMIF('TL08'!$C$238:$C$451,$C315,'TL08'!$J$238:$J$451),0),
IF('TL09'!$B$3=J$3,SUMIF('TL09'!$C$10:$C$224,$C315,'TL09'!$J$10:$J$224),0),
IF('TL09'!$B$229=J$3,SUMIF('TL09'!$C$238:$C$451,$C315,'TL09'!$J$238:$J$451),0),
IF('TL10'!$B$3=J$3,SUMIF('TL10'!$C$10:$C$224,$C315,'TL10'!$J$10:$J$224),0),
IF('TL10'!$B$229=J$3,SUMIF('TL10'!$C$238:$C$451,$C315,'TL10'!$J$238:$J$451),0),
IF('TL11'!$B$3=J$3,SUMIF('TL11'!$C$10:$C$224,$C315,'TL11'!$J$10:$J$224),0),
IF('TL11'!$B$229=J$3,SUMIF('TL11'!$C$238:$C$451,$C315,'TL11'!$J$238:$J$451),0),
IF('TL12'!$B$3=J$3,SUMIF('TL12'!$C$10:$C$224,$C315,'TL12'!$J$10:$J$224),0),
IF('TL12'!$B$229=J$3,SUMIF('TL12'!$C$238:$C$451,$C315,'TL12'!$J$238:$J$451),0),
IF('TL13'!$B$3=J$3,SUMIF('TL13'!$C$10:$C$224,$C315,'TL13'!$J$10:$J$224),0),
IF('TL13'!$B$229=J$3,SUMIF('TL13'!$C$238:$C$451,$C315,'TL13'!$J$238:$J$451),0),
IF('TL14'!$B$3=J$3,SUMIF('TL14'!$C$10:$C$224,$C315,'TL14'!$J$10:$J$224),0),
IF('TL14'!$B$229=J$3,SUMIF('TL14'!$C$238:$C$451,$C315,'TL14'!$J$238:$J$451),0),
IF('TL15'!$B$3=J$3,SUMIF('TL15'!$C$10:$C$224,$C315,'TL15'!$J$10:$J$224),0),
IF('TL15'!$B$229=J$3,SUMIF('TL15'!$C$238:$C$451,$C315,'TL15'!$J$238:$J$451),0),
IF('TL16'!$B$3=J$3,SUMIF('TL16'!$C$10:$C$224,$C315,'TL16'!$J$10:$J$224),0),
IF('TL16'!$B$229=J$3,SUMIF('TL16'!$C$238:$C$451,$C315,'TL16'!$J$238:$J$451),0),
IF('TL17'!$B$3=J$3,SUMIF('TL17'!$C$10:$C$224,$C315,'TL17'!$J$10:$J$224),0),
IF('TL17'!$B$229=J$3,SUMIF('TL17'!$C$238:$C$451,$C315,'TL17'!$J$238:$J$451),0),
IF('TL18'!$B$3=J$3,SUMIF('TL18'!$C$10:$C$224,$C315,'TL18'!$J$10:$J$224),0),
IF('TL18'!$B$229=J$3,SUMIF('TL18'!$C$238:$C$451,$C315,'TL18'!$J$238:$J$451),0),
IF('TL19'!$B$3=J$3,SUMIF('TL19'!$C$10:$C$224,$C315,'TL19'!$J$10:$J$224),0),
IF('TL19'!$B$229=J$3,SUMIF('TL19'!$C$238:$C$451,$C315,'TL19'!$J$238:$J$451),0)
),0)</f>
        <v/>
      </c>
      <c r="K315" s="9">
        <f>IFERROR(SUM(
IF('TL01'!$B$3=K$3,SUMIF('TL01'!$C$10:$C$224,$C315,'TL01'!$J$10:$J$224),0),
IF('TL01'!$B$229=K$3,SUMIF('TL01'!$C$238:$C$451,$C315,'TL01'!$J$238:$J$451),0),
IF('TL02'!$B$3=K$3,SUMIF('TL02'!$C$10:$C$224,$C315,'TL02'!$J$10:$J$224),0),
IF('TL02'!$B$229=K$3,SUMIF('TL02'!$C$238:$C$451,$C315,'TL02'!$J$238:$J$451),0),
IF('TL03'!$B$3=K$3,SUMIF('TL03'!$C$10:$C$224,$C315,'TL03'!$J$10:$J$224),0),
IF('TL03'!$B$229=K$3,SUMIF('TL03'!$C$238:$C$451,$C315,'TL03'!$J$238:$J$451),0),
IF('TL04'!$B$3=K$3,SUMIF('TL04'!$C$10:$C$224,$C315,'TL04'!$J$10:$J$224),0),
IF('TL04'!$B$229=K$3,SUMIF('TL04'!$C$238:$C$451,$C315,'TL04'!$J$238:$J$451),0),
IF('TL05'!$B$3=K$3,SUMIF('TL05'!$C$10:$C$224,$C315,'TL05'!$J$10:$J$224),0),
IF('TL05'!$B$229=K$3,SUMIF('TL05'!$C$238:$C$451,$C315,'TL05'!$J$238:$J$451),0),
IF('TL06'!$B$3=K$3,SUMIF('TL06'!$C$10:$C$224,$C315,'TL06'!$J$10:$J$224),0),
IF('TL06'!$B$229=K$3,SUMIF('TL06'!$C$238:$C$451,$C315,'TL06'!$J$238:$J$451),0),
IF('TL07'!$B$3=K$3,SUMIF('TL07'!$C$10:$C$224,$C315,'TL07'!$J$10:$J$224),0),
IF('TL07'!$B$229=K$3,SUMIF('TL07'!$C$238:$C$451,$C315,'TL07'!$J$238:$J$451),0),
IF('TL08'!$B$3=K$3,SUMIF('TL08'!$C$10:$C$224,$C315,'TL08'!$J$10:$J$224),0),
IF('TL08'!$B$229=K$3,SUMIF('TL08'!$C$238:$C$451,$C315,'TL08'!$J$238:$J$451),0),
IF('TL09'!$B$3=K$3,SUMIF('TL09'!$C$10:$C$224,$C315,'TL09'!$J$10:$J$224),0),
IF('TL09'!$B$229=K$3,SUMIF('TL09'!$C$238:$C$451,$C315,'TL09'!$J$238:$J$451),0),
IF('TL10'!$B$3=K$3,SUMIF('TL10'!$C$10:$C$224,$C315,'TL10'!$J$10:$J$224),0),
IF('TL10'!$B$229=K$3,SUMIF('TL10'!$C$238:$C$451,$C315,'TL10'!$J$238:$J$451),0),
IF('TL11'!$B$3=K$3,SUMIF('TL11'!$C$10:$C$224,$C315,'TL11'!$J$10:$J$224),0),
IF('TL11'!$B$229=K$3,SUMIF('TL11'!$C$238:$C$451,$C315,'TL11'!$J$238:$J$451),0),
IF('TL12'!$B$3=K$3,SUMIF('TL12'!$C$10:$C$224,$C315,'TL12'!$J$10:$J$224),0),
IF('TL12'!$B$229=K$3,SUMIF('TL12'!$C$238:$C$451,$C315,'TL12'!$J$238:$J$451),0),
IF('TL13'!$B$3=K$3,SUMIF('TL13'!$C$10:$C$224,$C315,'TL13'!$J$10:$J$224),0),
IF('TL13'!$B$229=K$3,SUMIF('TL13'!$C$238:$C$451,$C315,'TL13'!$J$238:$J$451),0),
IF('TL14'!$B$3=K$3,SUMIF('TL14'!$C$10:$C$224,$C315,'TL14'!$J$10:$J$224),0),
IF('TL14'!$B$229=K$3,SUMIF('TL14'!$C$238:$C$451,$C315,'TL14'!$J$238:$J$451),0),
IF('TL15'!$B$3=K$3,SUMIF('TL15'!$C$10:$C$224,$C315,'TL15'!$J$10:$J$224),0),
IF('TL15'!$B$229=K$3,SUMIF('TL15'!$C$238:$C$451,$C315,'TL15'!$J$238:$J$451),0),
IF('TL16'!$B$3=K$3,SUMIF('TL16'!$C$10:$C$224,$C315,'TL16'!$J$10:$J$224),0),
IF('TL16'!$B$229=K$3,SUMIF('TL16'!$C$238:$C$451,$C315,'TL16'!$J$238:$J$451),0),
IF('TL17'!$B$3=K$3,SUMIF('TL17'!$C$10:$C$224,$C315,'TL17'!$J$10:$J$224),0),
IF('TL17'!$B$229=K$3,SUMIF('TL17'!$C$238:$C$451,$C315,'TL17'!$J$238:$J$451),0),
IF('TL18'!$B$3=K$3,SUMIF('TL18'!$C$10:$C$224,$C315,'TL18'!$J$10:$J$224),0),
IF('TL18'!$B$229=K$3,SUMIF('TL18'!$C$238:$C$451,$C315,'TL18'!$J$238:$J$451),0),
IF('TL19'!$B$3=K$3,SUMIF('TL19'!$C$10:$C$224,$C315,'TL19'!$J$10:$J$224),0),
IF('TL19'!$B$229=K$3,SUMIF('TL19'!$C$238:$C$451,$C315,'TL19'!$J$238:$J$451),0)
),0)</f>
        <v/>
      </c>
      <c r="L315" s="9">
        <f>IFERROR(SUM(
IF('TL01'!$B$3=L$3,SUMIF('TL01'!$C$10:$C$224,$C315,'TL01'!$J$10:$J$224),0),
IF('TL01'!$B$229=L$3,SUMIF('TL01'!$C$238:$C$451,$C315,'TL01'!$J$238:$J$451),0),
IF('TL02'!$B$3=L$3,SUMIF('TL02'!$C$10:$C$224,$C315,'TL02'!$J$10:$J$224),0),
IF('TL02'!$B$229=L$3,SUMIF('TL02'!$C$238:$C$451,$C315,'TL02'!$J$238:$J$451),0),
IF('TL03'!$B$3=L$3,SUMIF('TL03'!$C$10:$C$224,$C315,'TL03'!$J$10:$J$224),0),
IF('TL03'!$B$229=L$3,SUMIF('TL03'!$C$238:$C$451,$C315,'TL03'!$J$238:$J$451),0),
IF('TL04'!$B$3=L$3,SUMIF('TL04'!$C$10:$C$224,$C315,'TL04'!$J$10:$J$224),0),
IF('TL04'!$B$229=L$3,SUMIF('TL04'!$C$238:$C$451,$C315,'TL04'!$J$238:$J$451),0),
IF('TL05'!$B$3=L$3,SUMIF('TL05'!$C$10:$C$224,$C315,'TL05'!$J$10:$J$224),0),
IF('TL05'!$B$229=L$3,SUMIF('TL05'!$C$238:$C$451,$C315,'TL05'!$J$238:$J$451),0),
IF('TL06'!$B$3=L$3,SUMIF('TL06'!$C$10:$C$224,$C315,'TL06'!$J$10:$J$224),0),
IF('TL06'!$B$229=L$3,SUMIF('TL06'!$C$238:$C$451,$C315,'TL06'!$J$238:$J$451),0),
IF('TL07'!$B$3=L$3,SUMIF('TL07'!$C$10:$C$224,$C315,'TL07'!$J$10:$J$224),0),
IF('TL07'!$B$229=L$3,SUMIF('TL07'!$C$238:$C$451,$C315,'TL07'!$J$238:$J$451),0),
IF('TL08'!$B$3=L$3,SUMIF('TL08'!$C$10:$C$224,$C315,'TL08'!$J$10:$J$224),0),
IF('TL08'!$B$229=L$3,SUMIF('TL08'!$C$238:$C$451,$C315,'TL08'!$J$238:$J$451),0),
IF('TL09'!$B$3=L$3,SUMIF('TL09'!$C$10:$C$224,$C315,'TL09'!$J$10:$J$224),0),
IF('TL09'!$B$229=L$3,SUMIF('TL09'!$C$238:$C$451,$C315,'TL09'!$J$238:$J$451),0),
IF('TL10'!$B$3=L$3,SUMIF('TL10'!$C$10:$C$224,$C315,'TL10'!$J$10:$J$224),0),
IF('TL10'!$B$229=L$3,SUMIF('TL10'!$C$238:$C$451,$C315,'TL10'!$J$238:$J$451),0),
IF('TL11'!$B$3=L$3,SUMIF('TL11'!$C$10:$C$224,$C315,'TL11'!$J$10:$J$224),0),
IF('TL11'!$B$229=L$3,SUMIF('TL11'!$C$238:$C$451,$C315,'TL11'!$J$238:$J$451),0),
IF('TL12'!$B$3=L$3,SUMIF('TL12'!$C$10:$C$224,$C315,'TL12'!$J$10:$J$224),0),
IF('TL12'!$B$229=L$3,SUMIF('TL12'!$C$238:$C$451,$C315,'TL12'!$J$238:$J$451),0),
IF('TL13'!$B$3=L$3,SUMIF('TL13'!$C$10:$C$224,$C315,'TL13'!$J$10:$J$224),0),
IF('TL13'!$B$229=L$3,SUMIF('TL13'!$C$238:$C$451,$C315,'TL13'!$J$238:$J$451),0),
IF('TL14'!$B$3=L$3,SUMIF('TL14'!$C$10:$C$224,$C315,'TL14'!$J$10:$J$224),0),
IF('TL14'!$B$229=L$3,SUMIF('TL14'!$C$238:$C$451,$C315,'TL14'!$J$238:$J$451),0),
IF('TL15'!$B$3=L$3,SUMIF('TL15'!$C$10:$C$224,$C315,'TL15'!$J$10:$J$224),0),
IF('TL15'!$B$229=L$3,SUMIF('TL15'!$C$238:$C$451,$C315,'TL15'!$J$238:$J$451),0),
IF('TL16'!$B$3=L$3,SUMIF('TL16'!$C$10:$C$224,$C315,'TL16'!$J$10:$J$224),0),
IF('TL16'!$B$229=L$3,SUMIF('TL16'!$C$238:$C$451,$C315,'TL16'!$J$238:$J$451),0),
IF('TL17'!$B$3=L$3,SUMIF('TL17'!$C$10:$C$224,$C315,'TL17'!$J$10:$J$224),0),
IF('TL17'!$B$229=L$3,SUMIF('TL17'!$C$238:$C$451,$C315,'TL17'!$J$238:$J$451),0),
IF('TL18'!$B$3=L$3,SUMIF('TL18'!$C$10:$C$224,$C315,'TL18'!$J$10:$J$224),0),
IF('TL18'!$B$229=L$3,SUMIF('TL18'!$C$238:$C$451,$C315,'TL18'!$J$238:$J$451),0),
IF('TL19'!$B$3=L$3,SUMIF('TL19'!$C$10:$C$224,$C315,'TL19'!$J$10:$J$224),0),
IF('TL19'!$B$229=L$3,SUMIF('TL19'!$C$238:$C$451,$C315,'TL19'!$J$238:$J$451),0)
),0)</f>
        <v/>
      </c>
      <c r="M315" s="9">
        <f>IFERROR(SUM(
IF('TL01'!$B$3=M$3,SUMIF('TL01'!$C$10:$C$224,$C315,'TL01'!$J$10:$J$224),0),
IF('TL01'!$B$229=M$3,SUMIF('TL01'!$C$238:$C$451,$C315,'TL01'!$J$238:$J$451),0),
IF('TL02'!$B$3=M$3,SUMIF('TL02'!$C$10:$C$224,$C315,'TL02'!$J$10:$J$224),0),
IF('TL02'!$B$229=M$3,SUMIF('TL02'!$C$238:$C$451,$C315,'TL02'!$J$238:$J$451),0),
IF('TL03'!$B$3=M$3,SUMIF('TL03'!$C$10:$C$224,$C315,'TL03'!$J$10:$J$224),0),
IF('TL03'!$B$229=M$3,SUMIF('TL03'!$C$238:$C$451,$C315,'TL03'!$J$238:$J$451),0),
IF('TL04'!$B$3=M$3,SUMIF('TL04'!$C$10:$C$224,$C315,'TL04'!$J$10:$J$224),0),
IF('TL04'!$B$229=M$3,SUMIF('TL04'!$C$238:$C$451,$C315,'TL04'!$J$238:$J$451),0),
IF('TL05'!$B$3=M$3,SUMIF('TL05'!$C$10:$C$224,$C315,'TL05'!$J$10:$J$224),0),
IF('TL05'!$B$229=M$3,SUMIF('TL05'!$C$238:$C$451,$C315,'TL05'!$J$238:$J$451),0),
IF('TL06'!$B$3=M$3,SUMIF('TL06'!$C$10:$C$224,$C315,'TL06'!$J$10:$J$224),0),
IF('TL06'!$B$229=M$3,SUMIF('TL06'!$C$238:$C$451,$C315,'TL06'!$J$238:$J$451),0),
IF('TL07'!$B$3=M$3,SUMIF('TL07'!$C$10:$C$224,$C315,'TL07'!$J$10:$J$224),0),
IF('TL07'!$B$229=M$3,SUMIF('TL07'!$C$238:$C$451,$C315,'TL07'!$J$238:$J$451),0),
IF('TL08'!$B$3=M$3,SUMIF('TL08'!$C$10:$C$224,$C315,'TL08'!$J$10:$J$224),0),
IF('TL08'!$B$229=M$3,SUMIF('TL08'!$C$238:$C$451,$C315,'TL08'!$J$238:$J$451),0),
IF('TL09'!$B$3=M$3,SUMIF('TL09'!$C$10:$C$224,$C315,'TL09'!$J$10:$J$224),0),
IF('TL09'!$B$229=M$3,SUMIF('TL09'!$C$238:$C$451,$C315,'TL09'!$J$238:$J$451),0),
IF('TL10'!$B$3=M$3,SUMIF('TL10'!$C$10:$C$224,$C315,'TL10'!$J$10:$J$224),0),
IF('TL10'!$B$229=M$3,SUMIF('TL10'!$C$238:$C$451,$C315,'TL10'!$J$238:$J$451),0),
IF('TL11'!$B$3=M$3,SUMIF('TL11'!$C$10:$C$224,$C315,'TL11'!$J$10:$J$224),0),
IF('TL11'!$B$229=M$3,SUMIF('TL11'!$C$238:$C$451,$C315,'TL11'!$J$238:$J$451),0),
IF('TL12'!$B$3=M$3,SUMIF('TL12'!$C$10:$C$224,$C315,'TL12'!$J$10:$J$224),0),
IF('TL12'!$B$229=M$3,SUMIF('TL12'!$C$238:$C$451,$C315,'TL12'!$J$238:$J$451),0),
IF('TL13'!$B$3=M$3,SUMIF('TL13'!$C$10:$C$224,$C315,'TL13'!$J$10:$J$224),0),
IF('TL13'!$B$229=M$3,SUMIF('TL13'!$C$238:$C$451,$C315,'TL13'!$J$238:$J$451),0),
IF('TL14'!$B$3=M$3,SUMIF('TL14'!$C$10:$C$224,$C315,'TL14'!$J$10:$J$224),0),
IF('TL14'!$B$229=M$3,SUMIF('TL14'!$C$238:$C$451,$C315,'TL14'!$J$238:$J$451),0),
IF('TL15'!$B$3=M$3,SUMIF('TL15'!$C$10:$C$224,$C315,'TL15'!$J$10:$J$224),0),
IF('TL15'!$B$229=M$3,SUMIF('TL15'!$C$238:$C$451,$C315,'TL15'!$J$238:$J$451),0),
IF('TL16'!$B$3=M$3,SUMIF('TL16'!$C$10:$C$224,$C315,'TL16'!$J$10:$J$224),0),
IF('TL16'!$B$229=M$3,SUMIF('TL16'!$C$238:$C$451,$C315,'TL16'!$J$238:$J$451),0),
IF('TL17'!$B$3=M$3,SUMIF('TL17'!$C$10:$C$224,$C315,'TL17'!$J$10:$J$224),0),
IF('TL17'!$B$229=M$3,SUMIF('TL17'!$C$238:$C$451,$C315,'TL17'!$J$238:$J$451),0),
IF('TL18'!$B$3=M$3,SUMIF('TL18'!$C$10:$C$224,$C315,'TL18'!$J$10:$J$224),0),
IF('TL18'!$B$229=M$3,SUMIF('TL18'!$C$238:$C$451,$C315,'TL18'!$J$238:$J$451),0),
IF('TL19'!$B$3=M$3,SUMIF('TL19'!$C$10:$C$224,$C315,'TL19'!$J$10:$J$224),0),
IF('TL19'!$B$229=M$3,SUMIF('TL19'!$C$238:$C$451,$C315,'TL19'!$J$238:$J$451),0)
),0)</f>
        <v/>
      </c>
      <c r="N315" s="9">
        <f>IFERROR(SUM(
IF('TL01'!$B$3=N$3,SUMIF('TL01'!$C$10:$C$224,$C315,'TL01'!$J$10:$J$224),0),
IF('TL01'!$B$229=N$3,SUMIF('TL01'!$C$238:$C$451,$C315,'TL01'!$J$238:$J$451),0),
IF('TL02'!$B$3=N$3,SUMIF('TL02'!$C$10:$C$224,$C315,'TL02'!$J$10:$J$224),0),
IF('TL02'!$B$229=N$3,SUMIF('TL02'!$C$238:$C$451,$C315,'TL02'!$J$238:$J$451),0),
IF('TL03'!$B$3=N$3,SUMIF('TL03'!$C$10:$C$224,$C315,'TL03'!$J$10:$J$224),0),
IF('TL03'!$B$229=N$3,SUMIF('TL03'!$C$238:$C$451,$C315,'TL03'!$J$238:$J$451),0),
IF('TL04'!$B$3=N$3,SUMIF('TL04'!$C$10:$C$224,$C315,'TL04'!$J$10:$J$224),0),
IF('TL04'!$B$229=N$3,SUMIF('TL04'!$C$238:$C$451,$C315,'TL04'!$J$238:$J$451),0),
IF('TL05'!$B$3=N$3,SUMIF('TL05'!$C$10:$C$224,$C315,'TL05'!$J$10:$J$224),0),
IF('TL05'!$B$229=N$3,SUMIF('TL05'!$C$238:$C$451,$C315,'TL05'!$J$238:$J$451),0),
IF('TL06'!$B$3=N$3,SUMIF('TL06'!$C$10:$C$224,$C315,'TL06'!$J$10:$J$224),0),
IF('TL06'!$B$229=N$3,SUMIF('TL06'!$C$238:$C$451,$C315,'TL06'!$J$238:$J$451),0),
IF('TL07'!$B$3=N$3,SUMIF('TL07'!$C$10:$C$224,$C315,'TL07'!$J$10:$J$224),0),
IF('TL07'!$B$229=N$3,SUMIF('TL07'!$C$238:$C$451,$C315,'TL07'!$J$238:$J$451),0),
IF('TL08'!$B$3=N$3,SUMIF('TL08'!$C$10:$C$224,$C315,'TL08'!$J$10:$J$224),0),
IF('TL08'!$B$229=N$3,SUMIF('TL08'!$C$238:$C$451,$C315,'TL08'!$J$238:$J$451),0),
IF('TL09'!$B$3=N$3,SUMIF('TL09'!$C$10:$C$224,$C315,'TL09'!$J$10:$J$224),0),
IF('TL09'!$B$229=N$3,SUMIF('TL09'!$C$238:$C$451,$C315,'TL09'!$J$238:$J$451),0),
IF('TL10'!$B$3=N$3,SUMIF('TL10'!$C$10:$C$224,$C315,'TL10'!$J$10:$J$224),0),
IF('TL10'!$B$229=N$3,SUMIF('TL10'!$C$238:$C$451,$C315,'TL10'!$J$238:$J$451),0),
IF('TL11'!$B$3=N$3,SUMIF('TL11'!$C$10:$C$224,$C315,'TL11'!$J$10:$J$224),0),
IF('TL11'!$B$229=N$3,SUMIF('TL11'!$C$238:$C$451,$C315,'TL11'!$J$238:$J$451),0),
IF('TL12'!$B$3=N$3,SUMIF('TL12'!$C$10:$C$224,$C315,'TL12'!$J$10:$J$224),0),
IF('TL12'!$B$229=N$3,SUMIF('TL12'!$C$238:$C$451,$C315,'TL12'!$J$238:$J$451),0),
IF('TL13'!$B$3=N$3,SUMIF('TL13'!$C$10:$C$224,$C315,'TL13'!$J$10:$J$224),0),
IF('TL13'!$B$229=N$3,SUMIF('TL13'!$C$238:$C$451,$C315,'TL13'!$J$238:$J$451),0),
IF('TL14'!$B$3=N$3,SUMIF('TL14'!$C$10:$C$224,$C315,'TL14'!$J$10:$J$224),0),
IF('TL14'!$B$229=N$3,SUMIF('TL14'!$C$238:$C$451,$C315,'TL14'!$J$238:$J$451),0),
IF('TL15'!$B$3=N$3,SUMIF('TL15'!$C$10:$C$224,$C315,'TL15'!$J$10:$J$224),0),
IF('TL15'!$B$229=N$3,SUMIF('TL15'!$C$238:$C$451,$C315,'TL15'!$J$238:$J$451),0),
IF('TL16'!$B$3=N$3,SUMIF('TL16'!$C$10:$C$224,$C315,'TL16'!$J$10:$J$224),0),
IF('TL16'!$B$229=N$3,SUMIF('TL16'!$C$238:$C$451,$C315,'TL16'!$J$238:$J$451),0),
IF('TL17'!$B$3=N$3,SUMIF('TL17'!$C$10:$C$224,$C315,'TL17'!$J$10:$J$224),0),
IF('TL17'!$B$229=N$3,SUMIF('TL17'!$C$238:$C$451,$C315,'TL17'!$J$238:$J$451),0),
IF('TL18'!$B$3=N$3,SUMIF('TL18'!$C$10:$C$224,$C315,'TL18'!$J$10:$J$224),0),
IF('TL18'!$B$229=N$3,SUMIF('TL18'!$C$238:$C$451,$C315,'TL18'!$J$238:$J$451),0),
IF('TL19'!$B$3=N$3,SUMIF('TL19'!$C$10:$C$224,$C315,'TL19'!$J$10:$J$224),0),
IF('TL19'!$B$229=N$3,SUMIF('TL19'!$C$238:$C$451,$C315,'TL19'!$J$238:$J$451),0)
),0)</f>
        <v/>
      </c>
      <c r="O315" s="9">
        <f>IFERROR(SUM(
IF('TL01'!$B$3=O$3,SUMIF('TL01'!$C$10:$C$224,$C315,'TL01'!$J$10:$J$224),0),
IF('TL01'!$B$229=O$3,SUMIF('TL01'!$C$238:$C$451,$C315,'TL01'!$J$238:$J$451),0),
IF('TL02'!$B$3=O$3,SUMIF('TL02'!$C$10:$C$224,$C315,'TL02'!$J$10:$J$224),0),
IF('TL02'!$B$229=O$3,SUMIF('TL02'!$C$238:$C$451,$C315,'TL02'!$J$238:$J$451),0),
IF('TL03'!$B$3=O$3,SUMIF('TL03'!$C$10:$C$224,$C315,'TL03'!$J$10:$J$224),0),
IF('TL03'!$B$229=O$3,SUMIF('TL03'!$C$238:$C$451,$C315,'TL03'!$J$238:$J$451),0),
IF('TL04'!$B$3=O$3,SUMIF('TL04'!$C$10:$C$224,$C315,'TL04'!$J$10:$J$224),0),
IF('TL04'!$B$229=O$3,SUMIF('TL04'!$C$238:$C$451,$C315,'TL04'!$J$238:$J$451),0),
IF('TL05'!$B$3=O$3,SUMIF('TL05'!$C$10:$C$224,$C315,'TL05'!$J$10:$J$224),0),
IF('TL05'!$B$229=O$3,SUMIF('TL05'!$C$238:$C$451,$C315,'TL05'!$J$238:$J$451),0),
IF('TL06'!$B$3=O$3,SUMIF('TL06'!$C$10:$C$224,$C315,'TL06'!$J$10:$J$224),0),
IF('TL06'!$B$229=O$3,SUMIF('TL06'!$C$238:$C$451,$C315,'TL06'!$J$238:$J$451),0),
IF('TL07'!$B$3=O$3,SUMIF('TL07'!$C$10:$C$224,$C315,'TL07'!$J$10:$J$224),0),
IF('TL07'!$B$229=O$3,SUMIF('TL07'!$C$238:$C$451,$C315,'TL07'!$J$238:$J$451),0),
IF('TL08'!$B$3=O$3,SUMIF('TL08'!$C$10:$C$224,$C315,'TL08'!$J$10:$J$224),0),
IF('TL08'!$B$229=O$3,SUMIF('TL08'!$C$238:$C$451,$C315,'TL08'!$J$238:$J$451),0),
IF('TL09'!$B$3=O$3,SUMIF('TL09'!$C$10:$C$224,$C315,'TL09'!$J$10:$J$224),0),
IF('TL09'!$B$229=O$3,SUMIF('TL09'!$C$238:$C$451,$C315,'TL09'!$J$238:$J$451),0),
IF('TL10'!$B$3=O$3,SUMIF('TL10'!$C$10:$C$224,$C315,'TL10'!$J$10:$J$224),0),
IF('TL10'!$B$229=O$3,SUMIF('TL10'!$C$238:$C$451,$C315,'TL10'!$J$238:$J$451),0),
IF('TL11'!$B$3=O$3,SUMIF('TL11'!$C$10:$C$224,$C315,'TL11'!$J$10:$J$224),0),
IF('TL11'!$B$229=O$3,SUMIF('TL11'!$C$238:$C$451,$C315,'TL11'!$J$238:$J$451),0),
IF('TL12'!$B$3=O$3,SUMIF('TL12'!$C$10:$C$224,$C315,'TL12'!$J$10:$J$224),0),
IF('TL12'!$B$229=O$3,SUMIF('TL12'!$C$238:$C$451,$C315,'TL12'!$J$238:$J$451),0),
IF('TL13'!$B$3=O$3,SUMIF('TL13'!$C$10:$C$224,$C315,'TL13'!$J$10:$J$224),0),
IF('TL13'!$B$229=O$3,SUMIF('TL13'!$C$238:$C$451,$C315,'TL13'!$J$238:$J$451),0),
IF('TL14'!$B$3=O$3,SUMIF('TL14'!$C$10:$C$224,$C315,'TL14'!$J$10:$J$224),0),
IF('TL14'!$B$229=O$3,SUMIF('TL14'!$C$238:$C$451,$C315,'TL14'!$J$238:$J$451),0),
IF('TL15'!$B$3=O$3,SUMIF('TL15'!$C$10:$C$224,$C315,'TL15'!$J$10:$J$224),0),
IF('TL15'!$B$229=O$3,SUMIF('TL15'!$C$238:$C$451,$C315,'TL15'!$J$238:$J$451),0),
IF('TL16'!$B$3=O$3,SUMIF('TL16'!$C$10:$C$224,$C315,'TL16'!$J$10:$J$224),0),
IF('TL16'!$B$229=O$3,SUMIF('TL16'!$C$238:$C$451,$C315,'TL16'!$J$238:$J$451),0),
IF('TL17'!$B$3=O$3,SUMIF('TL17'!$C$10:$C$224,$C315,'TL17'!$J$10:$J$224),0),
IF('TL17'!$B$229=O$3,SUMIF('TL17'!$C$238:$C$451,$C315,'TL17'!$J$238:$J$451),0),
IF('TL18'!$B$3=O$3,SUMIF('TL18'!$C$10:$C$224,$C315,'TL18'!$J$10:$J$224),0),
IF('TL18'!$B$229=O$3,SUMIF('TL18'!$C$238:$C$451,$C315,'TL18'!$J$238:$J$451),0),
IF('TL19'!$B$3=O$3,SUMIF('TL19'!$C$10:$C$224,$C315,'TL19'!$J$10:$J$224),0),
IF('TL19'!$B$229=O$3,SUMIF('TL19'!$C$238:$C$451,$C315,'TL19'!$J$238:$J$451),0)
),0)</f>
        <v/>
      </c>
      <c r="P315" s="9">
        <f>IFERROR(SUM(
IF('TL01'!$B$3=P$3,SUMIF('TL01'!$C$10:$C$224,$C315,'TL01'!$J$10:$J$224),0),
IF('TL01'!$B$229=P$3,SUMIF('TL01'!$C$238:$C$451,$C315,'TL01'!$J$238:$J$451),0),
IF('TL02'!$B$3=P$3,SUMIF('TL02'!$C$10:$C$224,$C315,'TL02'!$J$10:$J$224),0),
IF('TL02'!$B$229=P$3,SUMIF('TL02'!$C$238:$C$451,$C315,'TL02'!$J$238:$J$451),0),
IF('TL03'!$B$3=P$3,SUMIF('TL03'!$C$10:$C$224,$C315,'TL03'!$J$10:$J$224),0),
IF('TL03'!$B$229=P$3,SUMIF('TL03'!$C$238:$C$451,$C315,'TL03'!$J$238:$J$451),0),
IF('TL04'!$B$3=P$3,SUMIF('TL04'!$C$10:$C$224,$C315,'TL04'!$J$10:$J$224),0),
IF('TL04'!$B$229=P$3,SUMIF('TL04'!$C$238:$C$451,$C315,'TL04'!$J$238:$J$451),0),
IF('TL05'!$B$3=P$3,SUMIF('TL05'!$C$10:$C$224,$C315,'TL05'!$J$10:$J$224),0),
IF('TL05'!$B$229=P$3,SUMIF('TL05'!$C$238:$C$451,$C315,'TL05'!$J$238:$J$451),0),
IF('TL06'!$B$3=P$3,SUMIF('TL06'!$C$10:$C$224,$C315,'TL06'!$J$10:$J$224),0),
IF('TL06'!$B$229=P$3,SUMIF('TL06'!$C$238:$C$451,$C315,'TL06'!$J$238:$J$451),0),
IF('TL07'!$B$3=P$3,SUMIF('TL07'!$C$10:$C$224,$C315,'TL07'!$J$10:$J$224),0),
IF('TL07'!$B$229=P$3,SUMIF('TL07'!$C$238:$C$451,$C315,'TL07'!$J$238:$J$451),0),
IF('TL08'!$B$3=P$3,SUMIF('TL08'!$C$10:$C$224,$C315,'TL08'!$J$10:$J$224),0),
IF('TL08'!$B$229=P$3,SUMIF('TL08'!$C$238:$C$451,$C315,'TL08'!$J$238:$J$451),0),
IF('TL09'!$B$3=P$3,SUMIF('TL09'!$C$10:$C$224,$C315,'TL09'!$J$10:$J$224),0),
IF('TL09'!$B$229=P$3,SUMIF('TL09'!$C$238:$C$451,$C315,'TL09'!$J$238:$J$451),0),
IF('TL10'!$B$3=P$3,SUMIF('TL10'!$C$10:$C$224,$C315,'TL10'!$J$10:$J$224),0),
IF('TL10'!$B$229=P$3,SUMIF('TL10'!$C$238:$C$451,$C315,'TL10'!$J$238:$J$451),0),
IF('TL11'!$B$3=P$3,SUMIF('TL11'!$C$10:$C$224,$C315,'TL11'!$J$10:$J$224),0),
IF('TL11'!$B$229=P$3,SUMIF('TL11'!$C$238:$C$451,$C315,'TL11'!$J$238:$J$451),0),
IF('TL12'!$B$3=P$3,SUMIF('TL12'!$C$10:$C$224,$C315,'TL12'!$J$10:$J$224),0),
IF('TL12'!$B$229=P$3,SUMIF('TL12'!$C$238:$C$451,$C315,'TL12'!$J$238:$J$451),0),
IF('TL13'!$B$3=P$3,SUMIF('TL13'!$C$10:$C$224,$C315,'TL13'!$J$10:$J$224),0),
IF('TL13'!$B$229=P$3,SUMIF('TL13'!$C$238:$C$451,$C315,'TL13'!$J$238:$J$451),0),
IF('TL14'!$B$3=P$3,SUMIF('TL14'!$C$10:$C$224,$C315,'TL14'!$J$10:$J$224),0),
IF('TL14'!$B$229=P$3,SUMIF('TL14'!$C$238:$C$451,$C315,'TL14'!$J$238:$J$451),0),
IF('TL15'!$B$3=P$3,SUMIF('TL15'!$C$10:$C$224,$C315,'TL15'!$J$10:$J$224),0),
IF('TL15'!$B$229=P$3,SUMIF('TL15'!$C$238:$C$451,$C315,'TL15'!$J$238:$J$451),0),
IF('TL16'!$B$3=P$3,SUMIF('TL16'!$C$10:$C$224,$C315,'TL16'!$J$10:$J$224),0),
IF('TL16'!$B$229=P$3,SUMIF('TL16'!$C$238:$C$451,$C315,'TL16'!$J$238:$J$451),0),
IF('TL17'!$B$3=P$3,SUMIF('TL17'!$C$10:$C$224,$C315,'TL17'!$J$10:$J$224),0),
IF('TL17'!$B$229=P$3,SUMIF('TL17'!$C$238:$C$451,$C315,'TL17'!$J$238:$J$451),0),
IF('TL18'!$B$3=P$3,SUMIF('TL18'!$C$10:$C$224,$C315,'TL18'!$J$10:$J$224),0),
IF('TL18'!$B$229=P$3,SUMIF('TL18'!$C$238:$C$451,$C315,'TL18'!$J$238:$J$451),0),
IF('TL19'!$B$3=P$3,SUMIF('TL19'!$C$10:$C$224,$C315,'TL19'!$J$10:$J$224),0),
IF('TL19'!$B$229=P$3,SUMIF('TL19'!$C$238:$C$451,$C315,'TL19'!$J$238:$J$451),0)
),0)</f>
        <v/>
      </c>
      <c r="Q315" s="9">
        <f>IFERROR(SUM(
IF('TL01'!$B$3=Q$3,SUMIF('TL01'!$C$10:$C$224,$C315,'TL01'!$J$10:$J$224),0),
IF('TL01'!$B$229=Q$3,SUMIF('TL01'!$C$238:$C$451,$C315,'TL01'!$J$238:$J$451),0),
IF('TL02'!$B$3=Q$3,SUMIF('TL02'!$C$10:$C$224,$C315,'TL02'!$J$10:$J$224),0),
IF('TL02'!$B$229=Q$3,SUMIF('TL02'!$C$238:$C$451,$C315,'TL02'!$J$238:$J$451),0),
IF('TL03'!$B$3=Q$3,SUMIF('TL03'!$C$10:$C$224,$C315,'TL03'!$J$10:$J$224),0),
IF('TL03'!$B$229=Q$3,SUMIF('TL03'!$C$238:$C$451,$C315,'TL03'!$J$238:$J$451),0),
IF('TL04'!$B$3=Q$3,SUMIF('TL04'!$C$10:$C$224,$C315,'TL04'!$J$10:$J$224),0),
IF('TL04'!$B$229=Q$3,SUMIF('TL04'!$C$238:$C$451,$C315,'TL04'!$J$238:$J$451),0),
IF('TL05'!$B$3=Q$3,SUMIF('TL05'!$C$10:$C$224,$C315,'TL05'!$J$10:$J$224),0),
IF('TL05'!$B$229=Q$3,SUMIF('TL05'!$C$238:$C$451,$C315,'TL05'!$J$238:$J$451),0),
IF('TL06'!$B$3=Q$3,SUMIF('TL06'!$C$10:$C$224,$C315,'TL06'!$J$10:$J$224),0),
IF('TL06'!$B$229=Q$3,SUMIF('TL06'!$C$238:$C$451,$C315,'TL06'!$J$238:$J$451),0),
IF('TL07'!$B$3=Q$3,SUMIF('TL07'!$C$10:$C$224,$C315,'TL07'!$J$10:$J$224),0),
IF('TL07'!$B$229=Q$3,SUMIF('TL07'!$C$238:$C$451,$C315,'TL07'!$J$238:$J$451),0),
IF('TL08'!$B$3=Q$3,SUMIF('TL08'!$C$10:$C$224,$C315,'TL08'!$J$10:$J$224),0),
IF('TL08'!$B$229=Q$3,SUMIF('TL08'!$C$238:$C$451,$C315,'TL08'!$J$238:$J$451),0),
IF('TL09'!$B$3=Q$3,SUMIF('TL09'!$C$10:$C$224,$C315,'TL09'!$J$10:$J$224),0),
IF('TL09'!$B$229=Q$3,SUMIF('TL09'!$C$238:$C$451,$C315,'TL09'!$J$238:$J$451),0),
IF('TL10'!$B$3=Q$3,SUMIF('TL10'!$C$10:$C$224,$C315,'TL10'!$J$10:$J$224),0),
IF('TL10'!$B$229=Q$3,SUMIF('TL10'!$C$238:$C$451,$C315,'TL10'!$J$238:$J$451),0),
IF('TL11'!$B$3=Q$3,SUMIF('TL11'!$C$10:$C$224,$C315,'TL11'!$J$10:$J$224),0),
IF('TL11'!$B$229=Q$3,SUMIF('TL11'!$C$238:$C$451,$C315,'TL11'!$J$238:$J$451),0),
IF('TL12'!$B$3=Q$3,SUMIF('TL12'!$C$10:$C$224,$C315,'TL12'!$J$10:$J$224),0),
IF('TL12'!$B$229=Q$3,SUMIF('TL12'!$C$238:$C$451,$C315,'TL12'!$J$238:$J$451),0),
IF('TL13'!$B$3=Q$3,SUMIF('TL13'!$C$10:$C$224,$C315,'TL13'!$J$10:$J$224),0),
IF('TL13'!$B$229=Q$3,SUMIF('TL13'!$C$238:$C$451,$C315,'TL13'!$J$238:$J$451),0),
IF('TL14'!$B$3=Q$3,SUMIF('TL14'!$C$10:$C$224,$C315,'TL14'!$J$10:$J$224),0),
IF('TL14'!$B$229=Q$3,SUMIF('TL14'!$C$238:$C$451,$C315,'TL14'!$J$238:$J$451),0),
IF('TL15'!$B$3=Q$3,SUMIF('TL15'!$C$10:$C$224,$C315,'TL15'!$J$10:$J$224),0),
IF('TL15'!$B$229=Q$3,SUMIF('TL15'!$C$238:$C$451,$C315,'TL15'!$J$238:$J$451),0),
IF('TL16'!$B$3=Q$3,SUMIF('TL16'!$C$10:$C$224,$C315,'TL16'!$J$10:$J$224),0),
IF('TL16'!$B$229=Q$3,SUMIF('TL16'!$C$238:$C$451,$C315,'TL16'!$J$238:$J$451),0),
IF('TL17'!$B$3=Q$3,SUMIF('TL17'!$C$10:$C$224,$C315,'TL17'!$J$10:$J$224),0),
IF('TL17'!$B$229=Q$3,SUMIF('TL17'!$C$238:$C$451,$C315,'TL17'!$J$238:$J$451),0),
IF('TL18'!$B$3=Q$3,SUMIF('TL18'!$C$10:$C$224,$C315,'TL18'!$J$10:$J$224),0),
IF('TL18'!$B$229=Q$3,SUMIF('TL18'!$C$238:$C$451,$C315,'TL18'!$J$238:$J$451),0),
IF('TL19'!$B$3=Q$3,SUMIF('TL19'!$C$10:$C$224,$C315,'TL19'!$J$10:$J$224),0),
IF('TL19'!$B$229=Q$3,SUMIF('TL19'!$C$238:$C$451,$C315,'TL19'!$J$238:$J$451),0)
),0)</f>
        <v/>
      </c>
      <c r="R315" s="9">
        <f>IFERROR(
SUM(
SUMIF('TL01'!C:C,C315,'TL01'!J:J),
SUMIF('TL02'!C:C,C315,'TL02'!J:J),
SUMIF('TL03'!C:C,C315,'TL03'!J:J),
SUMIF('TL04'!C:C,C315,'TL04'!J:J),
SUMIF('TL05'!C:C,C315,'TL05'!J:J),
SUMIF('TL06'!C:C,C315,'TL06'!J:J),
SUMIF('TL07'!C:C,C315,'TL07'!J:J),
SUMIF('TL08'!C:C,C315,'TL08'!J:J),
SUMIF('TL09'!C:C,C315,'TL09'!J:J),
SUMIF('TL10'!C:C,C315,'TL10'!J:J),
SUMIF('TL11'!C:C,C315,'TL11'!J:J),
SUMIF('TL12'!C:C,C315,'TL12'!J:J),
SUMIF('TL13'!C:C,C315,'TL13'!J:J),
SUMIF('TL14'!C:C,C315,'TL14'!J:J),
SUMIF('TL15'!C:C,C315,'TL15'!J:J),
SUMIF('TL16'!C:C,C315,'TL16'!J:J),
SUMIF('TL17'!C:C,C315,'TL17'!J:J),
SUMIF('TL18'!C:C,C315,'TL18'!J:J),SUMIF('TL19'!C:C,C315,'TL19'!J:J))
,0)</f>
        <v/>
      </c>
      <c r="S315" s="17">
        <f>IFERROR(__xludf.DUMMYFUNCTION("IFERROR(VLOOKUP(C315,
IMPORTRANGE(""1wULbzX32WdYsx-lj2U3uUNBBe2INVIRDtcK0d-Dvl90"",
""26-27!C:G""),
5,
FALSE),
"""")"),"")</f>
        <v/>
      </c>
      <c r="T315" s="9" t="n"/>
      <c r="U315" s="92">
        <f>MAX(0,R315-T315)</f>
        <v/>
      </c>
      <c r="V315" s="93">
        <f>U315*S315</f>
        <v/>
      </c>
    </row>
    <row r="316" hidden="1" ht="15.75" customHeight="1" s="297">
      <c r="A316" s="4" t="n"/>
      <c r="B316" s="125" t="inlineStr">
        <is>
          <t>SEMENTE</t>
        </is>
      </c>
      <c r="C316" s="4" t="inlineStr">
        <is>
          <t>FS650PWU</t>
        </is>
      </c>
      <c r="D316" s="20" t="n"/>
      <c r="E316" s="9" t="n"/>
      <c r="F316" s="4" t="inlineStr">
        <is>
          <t>SC</t>
        </is>
      </c>
      <c r="G316" s="90">
        <f>HYPERLINK("https://www.google.com/search?q=" &amp; C316 &amp; "+bula+agrofit+pdf", "📄 Ver bula")</f>
        <v/>
      </c>
      <c r="H316" s="9" t="n">
        <v>1.2</v>
      </c>
      <c r="I316" s="1" t="n"/>
      <c r="J316" s="9">
        <f>IFERROR(SUM(
IF('TL01'!$B$3=J$3,SUMIF('TL01'!$C$10:$C$224,$C316,'TL01'!$J$10:$J$224),0),
IF('TL01'!$B$229=J$3,SUMIF('TL01'!$C$238:$C$451,$C316,'TL01'!$J$238:$J$451),0),
IF('TL02'!$B$3=J$3,SUMIF('TL02'!$C$10:$C$224,$C316,'TL02'!$J$10:$J$224),0),
IF('TL02'!$B$229=J$3,SUMIF('TL02'!$C$238:$C$451,$C316,'TL02'!$J$238:$J$451),0),
IF('TL03'!$B$3=J$3,SUMIF('TL03'!$C$10:$C$224,$C316,'TL03'!$J$10:$J$224),0),
IF('TL03'!$B$229=J$3,SUMIF('TL03'!$C$238:$C$451,$C316,'TL03'!$J$238:$J$451),0),
IF('TL04'!$B$3=J$3,SUMIF('TL04'!$C$10:$C$224,$C316,'TL04'!$J$10:$J$224),0),
IF('TL04'!$B$229=J$3,SUMIF('TL04'!$C$238:$C$451,$C316,'TL04'!$J$238:$J$451),0),
IF('TL05'!$B$3=J$3,SUMIF('TL05'!$C$10:$C$224,$C316,'TL05'!$J$10:$J$224),0),
IF('TL05'!$B$229=J$3,SUMIF('TL05'!$C$238:$C$451,$C316,'TL05'!$J$238:$J$451),0),
IF('TL06'!$B$3=J$3,SUMIF('TL06'!$C$10:$C$224,$C316,'TL06'!$J$10:$J$224),0),
IF('TL06'!$B$229=J$3,SUMIF('TL06'!$C$238:$C$451,$C316,'TL06'!$J$238:$J$451),0),
IF('TL07'!$B$3=J$3,SUMIF('TL07'!$C$10:$C$224,$C316,'TL07'!$J$10:$J$224),0),
IF('TL07'!$B$229=J$3,SUMIF('TL07'!$C$238:$C$451,$C316,'TL07'!$J$238:$J$451),0),
IF('TL08'!$B$3=J$3,SUMIF('TL08'!$C$10:$C$224,$C316,'TL08'!$J$10:$J$224),0),
IF('TL08'!$B$229=J$3,SUMIF('TL08'!$C$238:$C$451,$C316,'TL08'!$J$238:$J$451),0),
IF('TL09'!$B$3=J$3,SUMIF('TL09'!$C$10:$C$224,$C316,'TL09'!$J$10:$J$224),0),
IF('TL09'!$B$229=J$3,SUMIF('TL09'!$C$238:$C$451,$C316,'TL09'!$J$238:$J$451),0),
IF('TL10'!$B$3=J$3,SUMIF('TL10'!$C$10:$C$224,$C316,'TL10'!$J$10:$J$224),0),
IF('TL10'!$B$229=J$3,SUMIF('TL10'!$C$238:$C$451,$C316,'TL10'!$J$238:$J$451),0),
IF('TL11'!$B$3=J$3,SUMIF('TL11'!$C$10:$C$224,$C316,'TL11'!$J$10:$J$224),0),
IF('TL11'!$B$229=J$3,SUMIF('TL11'!$C$238:$C$451,$C316,'TL11'!$J$238:$J$451),0),
IF('TL12'!$B$3=J$3,SUMIF('TL12'!$C$10:$C$224,$C316,'TL12'!$J$10:$J$224),0),
IF('TL12'!$B$229=J$3,SUMIF('TL12'!$C$238:$C$451,$C316,'TL12'!$J$238:$J$451),0),
IF('TL13'!$B$3=J$3,SUMIF('TL13'!$C$10:$C$224,$C316,'TL13'!$J$10:$J$224),0),
IF('TL13'!$B$229=J$3,SUMIF('TL13'!$C$238:$C$451,$C316,'TL13'!$J$238:$J$451),0),
IF('TL14'!$B$3=J$3,SUMIF('TL14'!$C$10:$C$224,$C316,'TL14'!$J$10:$J$224),0),
IF('TL14'!$B$229=J$3,SUMIF('TL14'!$C$238:$C$451,$C316,'TL14'!$J$238:$J$451),0),
IF('TL15'!$B$3=J$3,SUMIF('TL15'!$C$10:$C$224,$C316,'TL15'!$J$10:$J$224),0),
IF('TL15'!$B$229=J$3,SUMIF('TL15'!$C$238:$C$451,$C316,'TL15'!$J$238:$J$451),0),
IF('TL16'!$B$3=J$3,SUMIF('TL16'!$C$10:$C$224,$C316,'TL16'!$J$10:$J$224),0),
IF('TL16'!$B$229=J$3,SUMIF('TL16'!$C$238:$C$451,$C316,'TL16'!$J$238:$J$451),0),
IF('TL17'!$B$3=J$3,SUMIF('TL17'!$C$10:$C$224,$C316,'TL17'!$J$10:$J$224),0),
IF('TL17'!$B$229=J$3,SUMIF('TL17'!$C$238:$C$451,$C316,'TL17'!$J$238:$J$451),0),
IF('TL18'!$B$3=J$3,SUMIF('TL18'!$C$10:$C$224,$C316,'TL18'!$J$10:$J$224),0),
IF('TL18'!$B$229=J$3,SUMIF('TL18'!$C$238:$C$451,$C316,'TL18'!$J$238:$J$451),0),
IF('TL19'!$B$3=J$3,SUMIF('TL19'!$C$10:$C$224,$C316,'TL19'!$J$10:$J$224),0),
IF('TL19'!$B$229=J$3,SUMIF('TL19'!$C$238:$C$451,$C316,'TL19'!$J$238:$J$451),0)
),0)</f>
        <v/>
      </c>
      <c r="K316" s="9">
        <f>IFERROR(SUM(
IF('TL01'!$B$3=K$3,SUMIF('TL01'!$C$10:$C$224,$C316,'TL01'!$J$10:$J$224),0),
IF('TL01'!$B$229=K$3,SUMIF('TL01'!$C$238:$C$451,$C316,'TL01'!$J$238:$J$451),0),
IF('TL02'!$B$3=K$3,SUMIF('TL02'!$C$10:$C$224,$C316,'TL02'!$J$10:$J$224),0),
IF('TL02'!$B$229=K$3,SUMIF('TL02'!$C$238:$C$451,$C316,'TL02'!$J$238:$J$451),0),
IF('TL03'!$B$3=K$3,SUMIF('TL03'!$C$10:$C$224,$C316,'TL03'!$J$10:$J$224),0),
IF('TL03'!$B$229=K$3,SUMIF('TL03'!$C$238:$C$451,$C316,'TL03'!$J$238:$J$451),0),
IF('TL04'!$B$3=K$3,SUMIF('TL04'!$C$10:$C$224,$C316,'TL04'!$J$10:$J$224),0),
IF('TL04'!$B$229=K$3,SUMIF('TL04'!$C$238:$C$451,$C316,'TL04'!$J$238:$J$451),0),
IF('TL05'!$B$3=K$3,SUMIF('TL05'!$C$10:$C$224,$C316,'TL05'!$J$10:$J$224),0),
IF('TL05'!$B$229=K$3,SUMIF('TL05'!$C$238:$C$451,$C316,'TL05'!$J$238:$J$451),0),
IF('TL06'!$B$3=K$3,SUMIF('TL06'!$C$10:$C$224,$C316,'TL06'!$J$10:$J$224),0),
IF('TL06'!$B$229=K$3,SUMIF('TL06'!$C$238:$C$451,$C316,'TL06'!$J$238:$J$451),0),
IF('TL07'!$B$3=K$3,SUMIF('TL07'!$C$10:$C$224,$C316,'TL07'!$J$10:$J$224),0),
IF('TL07'!$B$229=K$3,SUMIF('TL07'!$C$238:$C$451,$C316,'TL07'!$J$238:$J$451),0),
IF('TL08'!$B$3=K$3,SUMIF('TL08'!$C$10:$C$224,$C316,'TL08'!$J$10:$J$224),0),
IF('TL08'!$B$229=K$3,SUMIF('TL08'!$C$238:$C$451,$C316,'TL08'!$J$238:$J$451),0),
IF('TL09'!$B$3=K$3,SUMIF('TL09'!$C$10:$C$224,$C316,'TL09'!$J$10:$J$224),0),
IF('TL09'!$B$229=K$3,SUMIF('TL09'!$C$238:$C$451,$C316,'TL09'!$J$238:$J$451),0),
IF('TL10'!$B$3=K$3,SUMIF('TL10'!$C$10:$C$224,$C316,'TL10'!$J$10:$J$224),0),
IF('TL10'!$B$229=K$3,SUMIF('TL10'!$C$238:$C$451,$C316,'TL10'!$J$238:$J$451),0),
IF('TL11'!$B$3=K$3,SUMIF('TL11'!$C$10:$C$224,$C316,'TL11'!$J$10:$J$224),0),
IF('TL11'!$B$229=K$3,SUMIF('TL11'!$C$238:$C$451,$C316,'TL11'!$J$238:$J$451),0),
IF('TL12'!$B$3=K$3,SUMIF('TL12'!$C$10:$C$224,$C316,'TL12'!$J$10:$J$224),0),
IF('TL12'!$B$229=K$3,SUMIF('TL12'!$C$238:$C$451,$C316,'TL12'!$J$238:$J$451),0),
IF('TL13'!$B$3=K$3,SUMIF('TL13'!$C$10:$C$224,$C316,'TL13'!$J$10:$J$224),0),
IF('TL13'!$B$229=K$3,SUMIF('TL13'!$C$238:$C$451,$C316,'TL13'!$J$238:$J$451),0),
IF('TL14'!$B$3=K$3,SUMIF('TL14'!$C$10:$C$224,$C316,'TL14'!$J$10:$J$224),0),
IF('TL14'!$B$229=K$3,SUMIF('TL14'!$C$238:$C$451,$C316,'TL14'!$J$238:$J$451),0),
IF('TL15'!$B$3=K$3,SUMIF('TL15'!$C$10:$C$224,$C316,'TL15'!$J$10:$J$224),0),
IF('TL15'!$B$229=K$3,SUMIF('TL15'!$C$238:$C$451,$C316,'TL15'!$J$238:$J$451),0),
IF('TL16'!$B$3=K$3,SUMIF('TL16'!$C$10:$C$224,$C316,'TL16'!$J$10:$J$224),0),
IF('TL16'!$B$229=K$3,SUMIF('TL16'!$C$238:$C$451,$C316,'TL16'!$J$238:$J$451),0),
IF('TL17'!$B$3=K$3,SUMIF('TL17'!$C$10:$C$224,$C316,'TL17'!$J$10:$J$224),0),
IF('TL17'!$B$229=K$3,SUMIF('TL17'!$C$238:$C$451,$C316,'TL17'!$J$238:$J$451),0),
IF('TL18'!$B$3=K$3,SUMIF('TL18'!$C$10:$C$224,$C316,'TL18'!$J$10:$J$224),0),
IF('TL18'!$B$229=K$3,SUMIF('TL18'!$C$238:$C$451,$C316,'TL18'!$J$238:$J$451),0),
IF('TL19'!$B$3=K$3,SUMIF('TL19'!$C$10:$C$224,$C316,'TL19'!$J$10:$J$224),0),
IF('TL19'!$B$229=K$3,SUMIF('TL19'!$C$238:$C$451,$C316,'TL19'!$J$238:$J$451),0)
),0)</f>
        <v/>
      </c>
      <c r="L316" s="9">
        <f>IFERROR(SUM(
IF('TL01'!$B$3=L$3,SUMIF('TL01'!$C$10:$C$224,$C316,'TL01'!$J$10:$J$224),0),
IF('TL01'!$B$229=L$3,SUMIF('TL01'!$C$238:$C$451,$C316,'TL01'!$J$238:$J$451),0),
IF('TL02'!$B$3=L$3,SUMIF('TL02'!$C$10:$C$224,$C316,'TL02'!$J$10:$J$224),0),
IF('TL02'!$B$229=L$3,SUMIF('TL02'!$C$238:$C$451,$C316,'TL02'!$J$238:$J$451),0),
IF('TL03'!$B$3=L$3,SUMIF('TL03'!$C$10:$C$224,$C316,'TL03'!$J$10:$J$224),0),
IF('TL03'!$B$229=L$3,SUMIF('TL03'!$C$238:$C$451,$C316,'TL03'!$J$238:$J$451),0),
IF('TL04'!$B$3=L$3,SUMIF('TL04'!$C$10:$C$224,$C316,'TL04'!$J$10:$J$224),0),
IF('TL04'!$B$229=L$3,SUMIF('TL04'!$C$238:$C$451,$C316,'TL04'!$J$238:$J$451),0),
IF('TL05'!$B$3=L$3,SUMIF('TL05'!$C$10:$C$224,$C316,'TL05'!$J$10:$J$224),0),
IF('TL05'!$B$229=L$3,SUMIF('TL05'!$C$238:$C$451,$C316,'TL05'!$J$238:$J$451),0),
IF('TL06'!$B$3=L$3,SUMIF('TL06'!$C$10:$C$224,$C316,'TL06'!$J$10:$J$224),0),
IF('TL06'!$B$229=L$3,SUMIF('TL06'!$C$238:$C$451,$C316,'TL06'!$J$238:$J$451),0),
IF('TL07'!$B$3=L$3,SUMIF('TL07'!$C$10:$C$224,$C316,'TL07'!$J$10:$J$224),0),
IF('TL07'!$B$229=L$3,SUMIF('TL07'!$C$238:$C$451,$C316,'TL07'!$J$238:$J$451),0),
IF('TL08'!$B$3=L$3,SUMIF('TL08'!$C$10:$C$224,$C316,'TL08'!$J$10:$J$224),0),
IF('TL08'!$B$229=L$3,SUMIF('TL08'!$C$238:$C$451,$C316,'TL08'!$J$238:$J$451),0),
IF('TL09'!$B$3=L$3,SUMIF('TL09'!$C$10:$C$224,$C316,'TL09'!$J$10:$J$224),0),
IF('TL09'!$B$229=L$3,SUMIF('TL09'!$C$238:$C$451,$C316,'TL09'!$J$238:$J$451),0),
IF('TL10'!$B$3=L$3,SUMIF('TL10'!$C$10:$C$224,$C316,'TL10'!$J$10:$J$224),0),
IF('TL10'!$B$229=L$3,SUMIF('TL10'!$C$238:$C$451,$C316,'TL10'!$J$238:$J$451),0),
IF('TL11'!$B$3=L$3,SUMIF('TL11'!$C$10:$C$224,$C316,'TL11'!$J$10:$J$224),0),
IF('TL11'!$B$229=L$3,SUMIF('TL11'!$C$238:$C$451,$C316,'TL11'!$J$238:$J$451),0),
IF('TL12'!$B$3=L$3,SUMIF('TL12'!$C$10:$C$224,$C316,'TL12'!$J$10:$J$224),0),
IF('TL12'!$B$229=L$3,SUMIF('TL12'!$C$238:$C$451,$C316,'TL12'!$J$238:$J$451),0),
IF('TL13'!$B$3=L$3,SUMIF('TL13'!$C$10:$C$224,$C316,'TL13'!$J$10:$J$224),0),
IF('TL13'!$B$229=L$3,SUMIF('TL13'!$C$238:$C$451,$C316,'TL13'!$J$238:$J$451),0),
IF('TL14'!$B$3=L$3,SUMIF('TL14'!$C$10:$C$224,$C316,'TL14'!$J$10:$J$224),0),
IF('TL14'!$B$229=L$3,SUMIF('TL14'!$C$238:$C$451,$C316,'TL14'!$J$238:$J$451),0),
IF('TL15'!$B$3=L$3,SUMIF('TL15'!$C$10:$C$224,$C316,'TL15'!$J$10:$J$224),0),
IF('TL15'!$B$229=L$3,SUMIF('TL15'!$C$238:$C$451,$C316,'TL15'!$J$238:$J$451),0),
IF('TL16'!$B$3=L$3,SUMIF('TL16'!$C$10:$C$224,$C316,'TL16'!$J$10:$J$224),0),
IF('TL16'!$B$229=L$3,SUMIF('TL16'!$C$238:$C$451,$C316,'TL16'!$J$238:$J$451),0),
IF('TL17'!$B$3=L$3,SUMIF('TL17'!$C$10:$C$224,$C316,'TL17'!$J$10:$J$224),0),
IF('TL17'!$B$229=L$3,SUMIF('TL17'!$C$238:$C$451,$C316,'TL17'!$J$238:$J$451),0),
IF('TL18'!$B$3=L$3,SUMIF('TL18'!$C$10:$C$224,$C316,'TL18'!$J$10:$J$224),0),
IF('TL18'!$B$229=L$3,SUMIF('TL18'!$C$238:$C$451,$C316,'TL18'!$J$238:$J$451),0),
IF('TL19'!$B$3=L$3,SUMIF('TL19'!$C$10:$C$224,$C316,'TL19'!$J$10:$J$224),0),
IF('TL19'!$B$229=L$3,SUMIF('TL19'!$C$238:$C$451,$C316,'TL19'!$J$238:$J$451),0)
),0)</f>
        <v/>
      </c>
      <c r="M316" s="9">
        <f>IFERROR(SUM(
IF('TL01'!$B$3=M$3,SUMIF('TL01'!$C$10:$C$224,$C316,'TL01'!$J$10:$J$224),0),
IF('TL01'!$B$229=M$3,SUMIF('TL01'!$C$238:$C$451,$C316,'TL01'!$J$238:$J$451),0),
IF('TL02'!$B$3=M$3,SUMIF('TL02'!$C$10:$C$224,$C316,'TL02'!$J$10:$J$224),0),
IF('TL02'!$B$229=M$3,SUMIF('TL02'!$C$238:$C$451,$C316,'TL02'!$J$238:$J$451),0),
IF('TL03'!$B$3=M$3,SUMIF('TL03'!$C$10:$C$224,$C316,'TL03'!$J$10:$J$224),0),
IF('TL03'!$B$229=M$3,SUMIF('TL03'!$C$238:$C$451,$C316,'TL03'!$J$238:$J$451),0),
IF('TL04'!$B$3=M$3,SUMIF('TL04'!$C$10:$C$224,$C316,'TL04'!$J$10:$J$224),0),
IF('TL04'!$B$229=M$3,SUMIF('TL04'!$C$238:$C$451,$C316,'TL04'!$J$238:$J$451),0),
IF('TL05'!$B$3=M$3,SUMIF('TL05'!$C$10:$C$224,$C316,'TL05'!$J$10:$J$224),0),
IF('TL05'!$B$229=M$3,SUMIF('TL05'!$C$238:$C$451,$C316,'TL05'!$J$238:$J$451),0),
IF('TL06'!$B$3=M$3,SUMIF('TL06'!$C$10:$C$224,$C316,'TL06'!$J$10:$J$224),0),
IF('TL06'!$B$229=M$3,SUMIF('TL06'!$C$238:$C$451,$C316,'TL06'!$J$238:$J$451),0),
IF('TL07'!$B$3=M$3,SUMIF('TL07'!$C$10:$C$224,$C316,'TL07'!$J$10:$J$224),0),
IF('TL07'!$B$229=M$3,SUMIF('TL07'!$C$238:$C$451,$C316,'TL07'!$J$238:$J$451),0),
IF('TL08'!$B$3=M$3,SUMIF('TL08'!$C$10:$C$224,$C316,'TL08'!$J$10:$J$224),0),
IF('TL08'!$B$229=M$3,SUMIF('TL08'!$C$238:$C$451,$C316,'TL08'!$J$238:$J$451),0),
IF('TL09'!$B$3=M$3,SUMIF('TL09'!$C$10:$C$224,$C316,'TL09'!$J$10:$J$224),0),
IF('TL09'!$B$229=M$3,SUMIF('TL09'!$C$238:$C$451,$C316,'TL09'!$J$238:$J$451),0),
IF('TL10'!$B$3=M$3,SUMIF('TL10'!$C$10:$C$224,$C316,'TL10'!$J$10:$J$224),0),
IF('TL10'!$B$229=M$3,SUMIF('TL10'!$C$238:$C$451,$C316,'TL10'!$J$238:$J$451),0),
IF('TL11'!$B$3=M$3,SUMIF('TL11'!$C$10:$C$224,$C316,'TL11'!$J$10:$J$224),0),
IF('TL11'!$B$229=M$3,SUMIF('TL11'!$C$238:$C$451,$C316,'TL11'!$J$238:$J$451),0),
IF('TL12'!$B$3=M$3,SUMIF('TL12'!$C$10:$C$224,$C316,'TL12'!$J$10:$J$224),0),
IF('TL12'!$B$229=M$3,SUMIF('TL12'!$C$238:$C$451,$C316,'TL12'!$J$238:$J$451),0),
IF('TL13'!$B$3=M$3,SUMIF('TL13'!$C$10:$C$224,$C316,'TL13'!$J$10:$J$224),0),
IF('TL13'!$B$229=M$3,SUMIF('TL13'!$C$238:$C$451,$C316,'TL13'!$J$238:$J$451),0),
IF('TL14'!$B$3=M$3,SUMIF('TL14'!$C$10:$C$224,$C316,'TL14'!$J$10:$J$224),0),
IF('TL14'!$B$229=M$3,SUMIF('TL14'!$C$238:$C$451,$C316,'TL14'!$J$238:$J$451),0),
IF('TL15'!$B$3=M$3,SUMIF('TL15'!$C$10:$C$224,$C316,'TL15'!$J$10:$J$224),0),
IF('TL15'!$B$229=M$3,SUMIF('TL15'!$C$238:$C$451,$C316,'TL15'!$J$238:$J$451),0),
IF('TL16'!$B$3=M$3,SUMIF('TL16'!$C$10:$C$224,$C316,'TL16'!$J$10:$J$224),0),
IF('TL16'!$B$229=M$3,SUMIF('TL16'!$C$238:$C$451,$C316,'TL16'!$J$238:$J$451),0),
IF('TL17'!$B$3=M$3,SUMIF('TL17'!$C$10:$C$224,$C316,'TL17'!$J$10:$J$224),0),
IF('TL17'!$B$229=M$3,SUMIF('TL17'!$C$238:$C$451,$C316,'TL17'!$J$238:$J$451),0),
IF('TL18'!$B$3=M$3,SUMIF('TL18'!$C$10:$C$224,$C316,'TL18'!$J$10:$J$224),0),
IF('TL18'!$B$229=M$3,SUMIF('TL18'!$C$238:$C$451,$C316,'TL18'!$J$238:$J$451),0),
IF('TL19'!$B$3=M$3,SUMIF('TL19'!$C$10:$C$224,$C316,'TL19'!$J$10:$J$224),0),
IF('TL19'!$B$229=M$3,SUMIF('TL19'!$C$238:$C$451,$C316,'TL19'!$J$238:$J$451),0)
),0)</f>
        <v/>
      </c>
      <c r="N316" s="9">
        <f>IFERROR(SUM(
IF('TL01'!$B$3=N$3,SUMIF('TL01'!$C$10:$C$224,$C316,'TL01'!$J$10:$J$224),0),
IF('TL01'!$B$229=N$3,SUMIF('TL01'!$C$238:$C$451,$C316,'TL01'!$J$238:$J$451),0),
IF('TL02'!$B$3=N$3,SUMIF('TL02'!$C$10:$C$224,$C316,'TL02'!$J$10:$J$224),0),
IF('TL02'!$B$229=N$3,SUMIF('TL02'!$C$238:$C$451,$C316,'TL02'!$J$238:$J$451),0),
IF('TL03'!$B$3=N$3,SUMIF('TL03'!$C$10:$C$224,$C316,'TL03'!$J$10:$J$224),0),
IF('TL03'!$B$229=N$3,SUMIF('TL03'!$C$238:$C$451,$C316,'TL03'!$J$238:$J$451),0),
IF('TL04'!$B$3=N$3,SUMIF('TL04'!$C$10:$C$224,$C316,'TL04'!$J$10:$J$224),0),
IF('TL04'!$B$229=N$3,SUMIF('TL04'!$C$238:$C$451,$C316,'TL04'!$J$238:$J$451),0),
IF('TL05'!$B$3=N$3,SUMIF('TL05'!$C$10:$C$224,$C316,'TL05'!$J$10:$J$224),0),
IF('TL05'!$B$229=N$3,SUMIF('TL05'!$C$238:$C$451,$C316,'TL05'!$J$238:$J$451),0),
IF('TL06'!$B$3=N$3,SUMIF('TL06'!$C$10:$C$224,$C316,'TL06'!$J$10:$J$224),0),
IF('TL06'!$B$229=N$3,SUMIF('TL06'!$C$238:$C$451,$C316,'TL06'!$J$238:$J$451),0),
IF('TL07'!$B$3=N$3,SUMIF('TL07'!$C$10:$C$224,$C316,'TL07'!$J$10:$J$224),0),
IF('TL07'!$B$229=N$3,SUMIF('TL07'!$C$238:$C$451,$C316,'TL07'!$J$238:$J$451),0),
IF('TL08'!$B$3=N$3,SUMIF('TL08'!$C$10:$C$224,$C316,'TL08'!$J$10:$J$224),0),
IF('TL08'!$B$229=N$3,SUMIF('TL08'!$C$238:$C$451,$C316,'TL08'!$J$238:$J$451),0),
IF('TL09'!$B$3=N$3,SUMIF('TL09'!$C$10:$C$224,$C316,'TL09'!$J$10:$J$224),0),
IF('TL09'!$B$229=N$3,SUMIF('TL09'!$C$238:$C$451,$C316,'TL09'!$J$238:$J$451),0),
IF('TL10'!$B$3=N$3,SUMIF('TL10'!$C$10:$C$224,$C316,'TL10'!$J$10:$J$224),0),
IF('TL10'!$B$229=N$3,SUMIF('TL10'!$C$238:$C$451,$C316,'TL10'!$J$238:$J$451),0),
IF('TL11'!$B$3=N$3,SUMIF('TL11'!$C$10:$C$224,$C316,'TL11'!$J$10:$J$224),0),
IF('TL11'!$B$229=N$3,SUMIF('TL11'!$C$238:$C$451,$C316,'TL11'!$J$238:$J$451),0),
IF('TL12'!$B$3=N$3,SUMIF('TL12'!$C$10:$C$224,$C316,'TL12'!$J$10:$J$224),0),
IF('TL12'!$B$229=N$3,SUMIF('TL12'!$C$238:$C$451,$C316,'TL12'!$J$238:$J$451),0),
IF('TL13'!$B$3=N$3,SUMIF('TL13'!$C$10:$C$224,$C316,'TL13'!$J$10:$J$224),0),
IF('TL13'!$B$229=N$3,SUMIF('TL13'!$C$238:$C$451,$C316,'TL13'!$J$238:$J$451),0),
IF('TL14'!$B$3=N$3,SUMIF('TL14'!$C$10:$C$224,$C316,'TL14'!$J$10:$J$224),0),
IF('TL14'!$B$229=N$3,SUMIF('TL14'!$C$238:$C$451,$C316,'TL14'!$J$238:$J$451),0),
IF('TL15'!$B$3=N$3,SUMIF('TL15'!$C$10:$C$224,$C316,'TL15'!$J$10:$J$224),0),
IF('TL15'!$B$229=N$3,SUMIF('TL15'!$C$238:$C$451,$C316,'TL15'!$J$238:$J$451),0),
IF('TL16'!$B$3=N$3,SUMIF('TL16'!$C$10:$C$224,$C316,'TL16'!$J$10:$J$224),0),
IF('TL16'!$B$229=N$3,SUMIF('TL16'!$C$238:$C$451,$C316,'TL16'!$J$238:$J$451),0),
IF('TL17'!$B$3=N$3,SUMIF('TL17'!$C$10:$C$224,$C316,'TL17'!$J$10:$J$224),0),
IF('TL17'!$B$229=N$3,SUMIF('TL17'!$C$238:$C$451,$C316,'TL17'!$J$238:$J$451),0),
IF('TL18'!$B$3=N$3,SUMIF('TL18'!$C$10:$C$224,$C316,'TL18'!$J$10:$J$224),0),
IF('TL18'!$B$229=N$3,SUMIF('TL18'!$C$238:$C$451,$C316,'TL18'!$J$238:$J$451),0),
IF('TL19'!$B$3=N$3,SUMIF('TL19'!$C$10:$C$224,$C316,'TL19'!$J$10:$J$224),0),
IF('TL19'!$B$229=N$3,SUMIF('TL19'!$C$238:$C$451,$C316,'TL19'!$J$238:$J$451),0)
),0)</f>
        <v/>
      </c>
      <c r="O316" s="9">
        <f>IFERROR(SUM(
IF('TL01'!$B$3=O$3,SUMIF('TL01'!$C$10:$C$224,$C316,'TL01'!$J$10:$J$224),0),
IF('TL01'!$B$229=O$3,SUMIF('TL01'!$C$238:$C$451,$C316,'TL01'!$J$238:$J$451),0),
IF('TL02'!$B$3=O$3,SUMIF('TL02'!$C$10:$C$224,$C316,'TL02'!$J$10:$J$224),0),
IF('TL02'!$B$229=O$3,SUMIF('TL02'!$C$238:$C$451,$C316,'TL02'!$J$238:$J$451),0),
IF('TL03'!$B$3=O$3,SUMIF('TL03'!$C$10:$C$224,$C316,'TL03'!$J$10:$J$224),0),
IF('TL03'!$B$229=O$3,SUMIF('TL03'!$C$238:$C$451,$C316,'TL03'!$J$238:$J$451),0),
IF('TL04'!$B$3=O$3,SUMIF('TL04'!$C$10:$C$224,$C316,'TL04'!$J$10:$J$224),0),
IF('TL04'!$B$229=O$3,SUMIF('TL04'!$C$238:$C$451,$C316,'TL04'!$J$238:$J$451),0),
IF('TL05'!$B$3=O$3,SUMIF('TL05'!$C$10:$C$224,$C316,'TL05'!$J$10:$J$224),0),
IF('TL05'!$B$229=O$3,SUMIF('TL05'!$C$238:$C$451,$C316,'TL05'!$J$238:$J$451),0),
IF('TL06'!$B$3=O$3,SUMIF('TL06'!$C$10:$C$224,$C316,'TL06'!$J$10:$J$224),0),
IF('TL06'!$B$229=O$3,SUMIF('TL06'!$C$238:$C$451,$C316,'TL06'!$J$238:$J$451),0),
IF('TL07'!$B$3=O$3,SUMIF('TL07'!$C$10:$C$224,$C316,'TL07'!$J$10:$J$224),0),
IF('TL07'!$B$229=O$3,SUMIF('TL07'!$C$238:$C$451,$C316,'TL07'!$J$238:$J$451),0),
IF('TL08'!$B$3=O$3,SUMIF('TL08'!$C$10:$C$224,$C316,'TL08'!$J$10:$J$224),0),
IF('TL08'!$B$229=O$3,SUMIF('TL08'!$C$238:$C$451,$C316,'TL08'!$J$238:$J$451),0),
IF('TL09'!$B$3=O$3,SUMIF('TL09'!$C$10:$C$224,$C316,'TL09'!$J$10:$J$224),0),
IF('TL09'!$B$229=O$3,SUMIF('TL09'!$C$238:$C$451,$C316,'TL09'!$J$238:$J$451),0),
IF('TL10'!$B$3=O$3,SUMIF('TL10'!$C$10:$C$224,$C316,'TL10'!$J$10:$J$224),0),
IF('TL10'!$B$229=O$3,SUMIF('TL10'!$C$238:$C$451,$C316,'TL10'!$J$238:$J$451),0),
IF('TL11'!$B$3=O$3,SUMIF('TL11'!$C$10:$C$224,$C316,'TL11'!$J$10:$J$224),0),
IF('TL11'!$B$229=O$3,SUMIF('TL11'!$C$238:$C$451,$C316,'TL11'!$J$238:$J$451),0),
IF('TL12'!$B$3=O$3,SUMIF('TL12'!$C$10:$C$224,$C316,'TL12'!$J$10:$J$224),0),
IF('TL12'!$B$229=O$3,SUMIF('TL12'!$C$238:$C$451,$C316,'TL12'!$J$238:$J$451),0),
IF('TL13'!$B$3=O$3,SUMIF('TL13'!$C$10:$C$224,$C316,'TL13'!$J$10:$J$224),0),
IF('TL13'!$B$229=O$3,SUMIF('TL13'!$C$238:$C$451,$C316,'TL13'!$J$238:$J$451),0),
IF('TL14'!$B$3=O$3,SUMIF('TL14'!$C$10:$C$224,$C316,'TL14'!$J$10:$J$224),0),
IF('TL14'!$B$229=O$3,SUMIF('TL14'!$C$238:$C$451,$C316,'TL14'!$J$238:$J$451),0),
IF('TL15'!$B$3=O$3,SUMIF('TL15'!$C$10:$C$224,$C316,'TL15'!$J$10:$J$224),0),
IF('TL15'!$B$229=O$3,SUMIF('TL15'!$C$238:$C$451,$C316,'TL15'!$J$238:$J$451),0),
IF('TL16'!$B$3=O$3,SUMIF('TL16'!$C$10:$C$224,$C316,'TL16'!$J$10:$J$224),0),
IF('TL16'!$B$229=O$3,SUMIF('TL16'!$C$238:$C$451,$C316,'TL16'!$J$238:$J$451),0),
IF('TL17'!$B$3=O$3,SUMIF('TL17'!$C$10:$C$224,$C316,'TL17'!$J$10:$J$224),0),
IF('TL17'!$B$229=O$3,SUMIF('TL17'!$C$238:$C$451,$C316,'TL17'!$J$238:$J$451),0),
IF('TL18'!$B$3=O$3,SUMIF('TL18'!$C$10:$C$224,$C316,'TL18'!$J$10:$J$224),0),
IF('TL18'!$B$229=O$3,SUMIF('TL18'!$C$238:$C$451,$C316,'TL18'!$J$238:$J$451),0),
IF('TL19'!$B$3=O$3,SUMIF('TL19'!$C$10:$C$224,$C316,'TL19'!$J$10:$J$224),0),
IF('TL19'!$B$229=O$3,SUMIF('TL19'!$C$238:$C$451,$C316,'TL19'!$J$238:$J$451),0)
),0)</f>
        <v/>
      </c>
      <c r="P316" s="9">
        <f>IFERROR(SUM(
IF('TL01'!$B$3=P$3,SUMIF('TL01'!$C$10:$C$224,$C316,'TL01'!$J$10:$J$224),0),
IF('TL01'!$B$229=P$3,SUMIF('TL01'!$C$238:$C$451,$C316,'TL01'!$J$238:$J$451),0),
IF('TL02'!$B$3=P$3,SUMIF('TL02'!$C$10:$C$224,$C316,'TL02'!$J$10:$J$224),0),
IF('TL02'!$B$229=P$3,SUMIF('TL02'!$C$238:$C$451,$C316,'TL02'!$J$238:$J$451),0),
IF('TL03'!$B$3=P$3,SUMIF('TL03'!$C$10:$C$224,$C316,'TL03'!$J$10:$J$224),0),
IF('TL03'!$B$229=P$3,SUMIF('TL03'!$C$238:$C$451,$C316,'TL03'!$J$238:$J$451),0),
IF('TL04'!$B$3=P$3,SUMIF('TL04'!$C$10:$C$224,$C316,'TL04'!$J$10:$J$224),0),
IF('TL04'!$B$229=P$3,SUMIF('TL04'!$C$238:$C$451,$C316,'TL04'!$J$238:$J$451),0),
IF('TL05'!$B$3=P$3,SUMIF('TL05'!$C$10:$C$224,$C316,'TL05'!$J$10:$J$224),0),
IF('TL05'!$B$229=P$3,SUMIF('TL05'!$C$238:$C$451,$C316,'TL05'!$J$238:$J$451),0),
IF('TL06'!$B$3=P$3,SUMIF('TL06'!$C$10:$C$224,$C316,'TL06'!$J$10:$J$224),0),
IF('TL06'!$B$229=P$3,SUMIF('TL06'!$C$238:$C$451,$C316,'TL06'!$J$238:$J$451),0),
IF('TL07'!$B$3=P$3,SUMIF('TL07'!$C$10:$C$224,$C316,'TL07'!$J$10:$J$224),0),
IF('TL07'!$B$229=P$3,SUMIF('TL07'!$C$238:$C$451,$C316,'TL07'!$J$238:$J$451),0),
IF('TL08'!$B$3=P$3,SUMIF('TL08'!$C$10:$C$224,$C316,'TL08'!$J$10:$J$224),0),
IF('TL08'!$B$229=P$3,SUMIF('TL08'!$C$238:$C$451,$C316,'TL08'!$J$238:$J$451),0),
IF('TL09'!$B$3=P$3,SUMIF('TL09'!$C$10:$C$224,$C316,'TL09'!$J$10:$J$224),0),
IF('TL09'!$B$229=P$3,SUMIF('TL09'!$C$238:$C$451,$C316,'TL09'!$J$238:$J$451),0),
IF('TL10'!$B$3=P$3,SUMIF('TL10'!$C$10:$C$224,$C316,'TL10'!$J$10:$J$224),0),
IF('TL10'!$B$229=P$3,SUMIF('TL10'!$C$238:$C$451,$C316,'TL10'!$J$238:$J$451),0),
IF('TL11'!$B$3=P$3,SUMIF('TL11'!$C$10:$C$224,$C316,'TL11'!$J$10:$J$224),0),
IF('TL11'!$B$229=P$3,SUMIF('TL11'!$C$238:$C$451,$C316,'TL11'!$J$238:$J$451),0),
IF('TL12'!$B$3=P$3,SUMIF('TL12'!$C$10:$C$224,$C316,'TL12'!$J$10:$J$224),0),
IF('TL12'!$B$229=P$3,SUMIF('TL12'!$C$238:$C$451,$C316,'TL12'!$J$238:$J$451),0),
IF('TL13'!$B$3=P$3,SUMIF('TL13'!$C$10:$C$224,$C316,'TL13'!$J$10:$J$224),0),
IF('TL13'!$B$229=P$3,SUMIF('TL13'!$C$238:$C$451,$C316,'TL13'!$J$238:$J$451),0),
IF('TL14'!$B$3=P$3,SUMIF('TL14'!$C$10:$C$224,$C316,'TL14'!$J$10:$J$224),0),
IF('TL14'!$B$229=P$3,SUMIF('TL14'!$C$238:$C$451,$C316,'TL14'!$J$238:$J$451),0),
IF('TL15'!$B$3=P$3,SUMIF('TL15'!$C$10:$C$224,$C316,'TL15'!$J$10:$J$224),0),
IF('TL15'!$B$229=P$3,SUMIF('TL15'!$C$238:$C$451,$C316,'TL15'!$J$238:$J$451),0),
IF('TL16'!$B$3=P$3,SUMIF('TL16'!$C$10:$C$224,$C316,'TL16'!$J$10:$J$224),0),
IF('TL16'!$B$229=P$3,SUMIF('TL16'!$C$238:$C$451,$C316,'TL16'!$J$238:$J$451),0),
IF('TL17'!$B$3=P$3,SUMIF('TL17'!$C$10:$C$224,$C316,'TL17'!$J$10:$J$224),0),
IF('TL17'!$B$229=P$3,SUMIF('TL17'!$C$238:$C$451,$C316,'TL17'!$J$238:$J$451),0),
IF('TL18'!$B$3=P$3,SUMIF('TL18'!$C$10:$C$224,$C316,'TL18'!$J$10:$J$224),0),
IF('TL18'!$B$229=P$3,SUMIF('TL18'!$C$238:$C$451,$C316,'TL18'!$J$238:$J$451),0),
IF('TL19'!$B$3=P$3,SUMIF('TL19'!$C$10:$C$224,$C316,'TL19'!$J$10:$J$224),0),
IF('TL19'!$B$229=P$3,SUMIF('TL19'!$C$238:$C$451,$C316,'TL19'!$J$238:$J$451),0)
),0)</f>
        <v/>
      </c>
      <c r="Q316" s="9">
        <f>IFERROR(SUM(
IF('TL01'!$B$3=Q$3,SUMIF('TL01'!$C$10:$C$224,$C316,'TL01'!$J$10:$J$224),0),
IF('TL01'!$B$229=Q$3,SUMIF('TL01'!$C$238:$C$451,$C316,'TL01'!$J$238:$J$451),0),
IF('TL02'!$B$3=Q$3,SUMIF('TL02'!$C$10:$C$224,$C316,'TL02'!$J$10:$J$224),0),
IF('TL02'!$B$229=Q$3,SUMIF('TL02'!$C$238:$C$451,$C316,'TL02'!$J$238:$J$451),0),
IF('TL03'!$B$3=Q$3,SUMIF('TL03'!$C$10:$C$224,$C316,'TL03'!$J$10:$J$224),0),
IF('TL03'!$B$229=Q$3,SUMIF('TL03'!$C$238:$C$451,$C316,'TL03'!$J$238:$J$451),0),
IF('TL04'!$B$3=Q$3,SUMIF('TL04'!$C$10:$C$224,$C316,'TL04'!$J$10:$J$224),0),
IF('TL04'!$B$229=Q$3,SUMIF('TL04'!$C$238:$C$451,$C316,'TL04'!$J$238:$J$451),0),
IF('TL05'!$B$3=Q$3,SUMIF('TL05'!$C$10:$C$224,$C316,'TL05'!$J$10:$J$224),0),
IF('TL05'!$B$229=Q$3,SUMIF('TL05'!$C$238:$C$451,$C316,'TL05'!$J$238:$J$451),0),
IF('TL06'!$B$3=Q$3,SUMIF('TL06'!$C$10:$C$224,$C316,'TL06'!$J$10:$J$224),0),
IF('TL06'!$B$229=Q$3,SUMIF('TL06'!$C$238:$C$451,$C316,'TL06'!$J$238:$J$451),0),
IF('TL07'!$B$3=Q$3,SUMIF('TL07'!$C$10:$C$224,$C316,'TL07'!$J$10:$J$224),0),
IF('TL07'!$B$229=Q$3,SUMIF('TL07'!$C$238:$C$451,$C316,'TL07'!$J$238:$J$451),0),
IF('TL08'!$B$3=Q$3,SUMIF('TL08'!$C$10:$C$224,$C316,'TL08'!$J$10:$J$224),0),
IF('TL08'!$B$229=Q$3,SUMIF('TL08'!$C$238:$C$451,$C316,'TL08'!$J$238:$J$451),0),
IF('TL09'!$B$3=Q$3,SUMIF('TL09'!$C$10:$C$224,$C316,'TL09'!$J$10:$J$224),0),
IF('TL09'!$B$229=Q$3,SUMIF('TL09'!$C$238:$C$451,$C316,'TL09'!$J$238:$J$451),0),
IF('TL10'!$B$3=Q$3,SUMIF('TL10'!$C$10:$C$224,$C316,'TL10'!$J$10:$J$224),0),
IF('TL10'!$B$229=Q$3,SUMIF('TL10'!$C$238:$C$451,$C316,'TL10'!$J$238:$J$451),0),
IF('TL11'!$B$3=Q$3,SUMIF('TL11'!$C$10:$C$224,$C316,'TL11'!$J$10:$J$224),0),
IF('TL11'!$B$229=Q$3,SUMIF('TL11'!$C$238:$C$451,$C316,'TL11'!$J$238:$J$451),0),
IF('TL12'!$B$3=Q$3,SUMIF('TL12'!$C$10:$C$224,$C316,'TL12'!$J$10:$J$224),0),
IF('TL12'!$B$229=Q$3,SUMIF('TL12'!$C$238:$C$451,$C316,'TL12'!$J$238:$J$451),0),
IF('TL13'!$B$3=Q$3,SUMIF('TL13'!$C$10:$C$224,$C316,'TL13'!$J$10:$J$224),0),
IF('TL13'!$B$229=Q$3,SUMIF('TL13'!$C$238:$C$451,$C316,'TL13'!$J$238:$J$451),0),
IF('TL14'!$B$3=Q$3,SUMIF('TL14'!$C$10:$C$224,$C316,'TL14'!$J$10:$J$224),0),
IF('TL14'!$B$229=Q$3,SUMIF('TL14'!$C$238:$C$451,$C316,'TL14'!$J$238:$J$451),0),
IF('TL15'!$B$3=Q$3,SUMIF('TL15'!$C$10:$C$224,$C316,'TL15'!$J$10:$J$224),0),
IF('TL15'!$B$229=Q$3,SUMIF('TL15'!$C$238:$C$451,$C316,'TL15'!$J$238:$J$451),0),
IF('TL16'!$B$3=Q$3,SUMIF('TL16'!$C$10:$C$224,$C316,'TL16'!$J$10:$J$224),0),
IF('TL16'!$B$229=Q$3,SUMIF('TL16'!$C$238:$C$451,$C316,'TL16'!$J$238:$J$451),0),
IF('TL17'!$B$3=Q$3,SUMIF('TL17'!$C$10:$C$224,$C316,'TL17'!$J$10:$J$224),0),
IF('TL17'!$B$229=Q$3,SUMIF('TL17'!$C$238:$C$451,$C316,'TL17'!$J$238:$J$451),0),
IF('TL18'!$B$3=Q$3,SUMIF('TL18'!$C$10:$C$224,$C316,'TL18'!$J$10:$J$224),0),
IF('TL18'!$B$229=Q$3,SUMIF('TL18'!$C$238:$C$451,$C316,'TL18'!$J$238:$J$451),0),
IF('TL19'!$B$3=Q$3,SUMIF('TL19'!$C$10:$C$224,$C316,'TL19'!$J$10:$J$224),0),
IF('TL19'!$B$229=Q$3,SUMIF('TL19'!$C$238:$C$451,$C316,'TL19'!$J$238:$J$451),0)
),0)</f>
        <v/>
      </c>
      <c r="R316" s="9">
        <f>IFERROR(
SUM(
SUMIF('TL01'!C:C,C316,'TL01'!J:J),
SUMIF('TL02'!C:C,C316,'TL02'!J:J),
SUMIF('TL03'!C:C,C316,'TL03'!J:J),
SUMIF('TL04'!C:C,C316,'TL04'!J:J),
SUMIF('TL05'!C:C,C316,'TL05'!J:J),
SUMIF('TL06'!C:C,C316,'TL06'!J:J),
SUMIF('TL07'!C:C,C316,'TL07'!J:J),
SUMIF('TL08'!C:C,C316,'TL08'!J:J),
SUMIF('TL09'!C:C,C316,'TL09'!J:J),
SUMIF('TL10'!C:C,C316,'TL10'!J:J),
SUMIF('TL11'!C:C,C316,'TL11'!J:J),
SUMIF('TL12'!C:C,C316,'TL12'!J:J),
SUMIF('TL13'!C:C,C316,'TL13'!J:J),
SUMIF('TL14'!C:C,C316,'TL14'!J:J),
SUMIF('TL15'!C:C,C316,'TL15'!J:J),
SUMIF('TL16'!C:C,C316,'TL16'!J:J),
SUMIF('TL17'!C:C,C316,'TL17'!J:J),
SUMIF('TL18'!C:C,C316,'TL18'!J:J),SUMIF('TL19'!C:C,C316,'TL19'!J:J))
,0)</f>
        <v/>
      </c>
      <c r="S316" s="17">
        <f>IFERROR(__xludf.DUMMYFUNCTION("IFERROR(VLOOKUP(C316,
IMPORTRANGE(""1wULbzX32WdYsx-lj2U3uUNBBe2INVIRDtcK0d-Dvl90"",
""26-27!C:G""),
5,
FALSE),
"""")"),"")</f>
        <v/>
      </c>
      <c r="T316" s="9" t="n"/>
      <c r="U316" s="92">
        <f>MAX(0,R316-T316)</f>
        <v/>
      </c>
      <c r="V316" s="93">
        <f>U316*S316</f>
        <v/>
      </c>
    </row>
    <row r="317" hidden="1" ht="15.75" customHeight="1" s="297">
      <c r="A317" s="4" t="n"/>
      <c r="B317" s="125" t="inlineStr">
        <is>
          <t>SEMENTE</t>
        </is>
      </c>
      <c r="C317" s="4" t="inlineStr">
        <is>
          <t>SEMENTE SOJA CV</t>
        </is>
      </c>
      <c r="D317" s="20" t="n"/>
      <c r="E317" s="9" t="n"/>
      <c r="F317" s="4" t="n"/>
      <c r="G317" s="90">
        <f>HYPERLINK("https://www.google.com/search?q=" &amp; C317 &amp; "+bula+agrofit+pdf", "📄 Ver bula")</f>
        <v/>
      </c>
      <c r="H317" s="9" t="n"/>
      <c r="I317" s="1" t="n"/>
      <c r="J317" s="9">
        <f>IFERROR(SUM(
IF('TL01'!$B$3=J$3,SUMIF('TL01'!$C$10:$C$224,$C317,'TL01'!$J$10:$J$224),0),
IF('TL01'!$B$229=J$3,SUMIF('TL01'!$C$238:$C$451,$C317,'TL01'!$J$238:$J$451),0),
IF('TL02'!$B$3=J$3,SUMIF('TL02'!$C$10:$C$224,$C317,'TL02'!$J$10:$J$224),0),
IF('TL02'!$B$229=J$3,SUMIF('TL02'!$C$238:$C$451,$C317,'TL02'!$J$238:$J$451),0),
IF('TL03'!$B$3=J$3,SUMIF('TL03'!$C$10:$C$224,$C317,'TL03'!$J$10:$J$224),0),
IF('TL03'!$B$229=J$3,SUMIF('TL03'!$C$238:$C$451,$C317,'TL03'!$J$238:$J$451),0),
IF('TL04'!$B$3=J$3,SUMIF('TL04'!$C$10:$C$224,$C317,'TL04'!$J$10:$J$224),0),
IF('TL04'!$B$229=J$3,SUMIF('TL04'!$C$238:$C$451,$C317,'TL04'!$J$238:$J$451),0),
IF('TL05'!$B$3=J$3,SUMIF('TL05'!$C$10:$C$224,$C317,'TL05'!$J$10:$J$224),0),
IF('TL05'!$B$229=J$3,SUMIF('TL05'!$C$238:$C$451,$C317,'TL05'!$J$238:$J$451),0),
IF('TL06'!$B$3=J$3,SUMIF('TL06'!$C$10:$C$224,$C317,'TL06'!$J$10:$J$224),0),
IF('TL06'!$B$229=J$3,SUMIF('TL06'!$C$238:$C$451,$C317,'TL06'!$J$238:$J$451),0),
IF('TL07'!$B$3=J$3,SUMIF('TL07'!$C$10:$C$224,$C317,'TL07'!$J$10:$J$224),0),
IF('TL07'!$B$229=J$3,SUMIF('TL07'!$C$238:$C$451,$C317,'TL07'!$J$238:$J$451),0),
IF('TL08'!$B$3=J$3,SUMIF('TL08'!$C$10:$C$224,$C317,'TL08'!$J$10:$J$224),0),
IF('TL08'!$B$229=J$3,SUMIF('TL08'!$C$238:$C$451,$C317,'TL08'!$J$238:$J$451),0),
IF('TL09'!$B$3=J$3,SUMIF('TL09'!$C$10:$C$224,$C317,'TL09'!$J$10:$J$224),0),
IF('TL09'!$B$229=J$3,SUMIF('TL09'!$C$238:$C$451,$C317,'TL09'!$J$238:$J$451),0),
IF('TL10'!$B$3=J$3,SUMIF('TL10'!$C$10:$C$224,$C317,'TL10'!$J$10:$J$224),0),
IF('TL10'!$B$229=J$3,SUMIF('TL10'!$C$238:$C$451,$C317,'TL10'!$J$238:$J$451),0),
IF('TL11'!$B$3=J$3,SUMIF('TL11'!$C$10:$C$224,$C317,'TL11'!$J$10:$J$224),0),
IF('TL11'!$B$229=J$3,SUMIF('TL11'!$C$238:$C$451,$C317,'TL11'!$J$238:$J$451),0),
IF('TL12'!$B$3=J$3,SUMIF('TL12'!$C$10:$C$224,$C317,'TL12'!$J$10:$J$224),0),
IF('TL12'!$B$229=J$3,SUMIF('TL12'!$C$238:$C$451,$C317,'TL12'!$J$238:$J$451),0),
IF('TL13'!$B$3=J$3,SUMIF('TL13'!$C$10:$C$224,$C317,'TL13'!$J$10:$J$224),0),
IF('TL13'!$B$229=J$3,SUMIF('TL13'!$C$238:$C$451,$C317,'TL13'!$J$238:$J$451),0),
IF('TL14'!$B$3=J$3,SUMIF('TL14'!$C$10:$C$224,$C317,'TL14'!$J$10:$J$224),0),
IF('TL14'!$B$229=J$3,SUMIF('TL14'!$C$238:$C$451,$C317,'TL14'!$J$238:$J$451),0),
IF('TL15'!$B$3=J$3,SUMIF('TL15'!$C$10:$C$224,$C317,'TL15'!$J$10:$J$224),0),
IF('TL15'!$B$229=J$3,SUMIF('TL15'!$C$238:$C$451,$C317,'TL15'!$J$238:$J$451),0),
IF('TL16'!$B$3=J$3,SUMIF('TL16'!$C$10:$C$224,$C317,'TL16'!$J$10:$J$224),0),
IF('TL16'!$B$229=J$3,SUMIF('TL16'!$C$238:$C$451,$C317,'TL16'!$J$238:$J$451),0),
IF('TL17'!$B$3=J$3,SUMIF('TL17'!$C$10:$C$224,$C317,'TL17'!$J$10:$J$224),0),
IF('TL17'!$B$229=J$3,SUMIF('TL17'!$C$238:$C$451,$C317,'TL17'!$J$238:$J$451),0),
IF('TL18'!$B$3=J$3,SUMIF('TL18'!$C$10:$C$224,$C317,'TL18'!$J$10:$J$224),0),
IF('TL18'!$B$229=J$3,SUMIF('TL18'!$C$238:$C$451,$C317,'TL18'!$J$238:$J$451),0),
IF('TL19'!$B$3=J$3,SUMIF('TL19'!$C$10:$C$224,$C317,'TL19'!$J$10:$J$224),0),
IF('TL19'!$B$229=J$3,SUMIF('TL19'!$C$238:$C$451,$C317,'TL19'!$J$238:$J$451),0)
),0)</f>
        <v/>
      </c>
      <c r="K317" s="9">
        <f>IFERROR(SUM(
IF('TL01'!$B$3=K$3,SUMIF('TL01'!$C$10:$C$224,$C317,'TL01'!$J$10:$J$224),0),
IF('TL01'!$B$229=K$3,SUMIF('TL01'!$C$238:$C$451,$C317,'TL01'!$J$238:$J$451),0),
IF('TL02'!$B$3=K$3,SUMIF('TL02'!$C$10:$C$224,$C317,'TL02'!$J$10:$J$224),0),
IF('TL02'!$B$229=K$3,SUMIF('TL02'!$C$238:$C$451,$C317,'TL02'!$J$238:$J$451),0),
IF('TL03'!$B$3=K$3,SUMIF('TL03'!$C$10:$C$224,$C317,'TL03'!$J$10:$J$224),0),
IF('TL03'!$B$229=K$3,SUMIF('TL03'!$C$238:$C$451,$C317,'TL03'!$J$238:$J$451),0),
IF('TL04'!$B$3=K$3,SUMIF('TL04'!$C$10:$C$224,$C317,'TL04'!$J$10:$J$224),0),
IF('TL04'!$B$229=K$3,SUMIF('TL04'!$C$238:$C$451,$C317,'TL04'!$J$238:$J$451),0),
IF('TL05'!$B$3=K$3,SUMIF('TL05'!$C$10:$C$224,$C317,'TL05'!$J$10:$J$224),0),
IF('TL05'!$B$229=K$3,SUMIF('TL05'!$C$238:$C$451,$C317,'TL05'!$J$238:$J$451),0),
IF('TL06'!$B$3=K$3,SUMIF('TL06'!$C$10:$C$224,$C317,'TL06'!$J$10:$J$224),0),
IF('TL06'!$B$229=K$3,SUMIF('TL06'!$C$238:$C$451,$C317,'TL06'!$J$238:$J$451),0),
IF('TL07'!$B$3=K$3,SUMIF('TL07'!$C$10:$C$224,$C317,'TL07'!$J$10:$J$224),0),
IF('TL07'!$B$229=K$3,SUMIF('TL07'!$C$238:$C$451,$C317,'TL07'!$J$238:$J$451),0),
IF('TL08'!$B$3=K$3,SUMIF('TL08'!$C$10:$C$224,$C317,'TL08'!$J$10:$J$224),0),
IF('TL08'!$B$229=K$3,SUMIF('TL08'!$C$238:$C$451,$C317,'TL08'!$J$238:$J$451),0),
IF('TL09'!$B$3=K$3,SUMIF('TL09'!$C$10:$C$224,$C317,'TL09'!$J$10:$J$224),0),
IF('TL09'!$B$229=K$3,SUMIF('TL09'!$C$238:$C$451,$C317,'TL09'!$J$238:$J$451),0),
IF('TL10'!$B$3=K$3,SUMIF('TL10'!$C$10:$C$224,$C317,'TL10'!$J$10:$J$224),0),
IF('TL10'!$B$229=K$3,SUMIF('TL10'!$C$238:$C$451,$C317,'TL10'!$J$238:$J$451),0),
IF('TL11'!$B$3=K$3,SUMIF('TL11'!$C$10:$C$224,$C317,'TL11'!$J$10:$J$224),0),
IF('TL11'!$B$229=K$3,SUMIF('TL11'!$C$238:$C$451,$C317,'TL11'!$J$238:$J$451),0),
IF('TL12'!$B$3=K$3,SUMIF('TL12'!$C$10:$C$224,$C317,'TL12'!$J$10:$J$224),0),
IF('TL12'!$B$229=K$3,SUMIF('TL12'!$C$238:$C$451,$C317,'TL12'!$J$238:$J$451),0),
IF('TL13'!$B$3=K$3,SUMIF('TL13'!$C$10:$C$224,$C317,'TL13'!$J$10:$J$224),0),
IF('TL13'!$B$229=K$3,SUMIF('TL13'!$C$238:$C$451,$C317,'TL13'!$J$238:$J$451),0),
IF('TL14'!$B$3=K$3,SUMIF('TL14'!$C$10:$C$224,$C317,'TL14'!$J$10:$J$224),0),
IF('TL14'!$B$229=K$3,SUMIF('TL14'!$C$238:$C$451,$C317,'TL14'!$J$238:$J$451),0),
IF('TL15'!$B$3=K$3,SUMIF('TL15'!$C$10:$C$224,$C317,'TL15'!$J$10:$J$224),0),
IF('TL15'!$B$229=K$3,SUMIF('TL15'!$C$238:$C$451,$C317,'TL15'!$J$238:$J$451),0),
IF('TL16'!$B$3=K$3,SUMIF('TL16'!$C$10:$C$224,$C317,'TL16'!$J$10:$J$224),0),
IF('TL16'!$B$229=K$3,SUMIF('TL16'!$C$238:$C$451,$C317,'TL16'!$J$238:$J$451),0),
IF('TL17'!$B$3=K$3,SUMIF('TL17'!$C$10:$C$224,$C317,'TL17'!$J$10:$J$224),0),
IF('TL17'!$B$229=K$3,SUMIF('TL17'!$C$238:$C$451,$C317,'TL17'!$J$238:$J$451),0),
IF('TL18'!$B$3=K$3,SUMIF('TL18'!$C$10:$C$224,$C317,'TL18'!$J$10:$J$224),0),
IF('TL18'!$B$229=K$3,SUMIF('TL18'!$C$238:$C$451,$C317,'TL18'!$J$238:$J$451),0),
IF('TL19'!$B$3=K$3,SUMIF('TL19'!$C$10:$C$224,$C317,'TL19'!$J$10:$J$224),0),
IF('TL19'!$B$229=K$3,SUMIF('TL19'!$C$238:$C$451,$C317,'TL19'!$J$238:$J$451),0)
),0)</f>
        <v/>
      </c>
      <c r="L317" s="9">
        <f>IFERROR(SUM(
IF('TL01'!$B$3=L$3,SUMIF('TL01'!$C$10:$C$224,$C317,'TL01'!$J$10:$J$224),0),
IF('TL01'!$B$229=L$3,SUMIF('TL01'!$C$238:$C$451,$C317,'TL01'!$J$238:$J$451),0),
IF('TL02'!$B$3=L$3,SUMIF('TL02'!$C$10:$C$224,$C317,'TL02'!$J$10:$J$224),0),
IF('TL02'!$B$229=L$3,SUMIF('TL02'!$C$238:$C$451,$C317,'TL02'!$J$238:$J$451),0),
IF('TL03'!$B$3=L$3,SUMIF('TL03'!$C$10:$C$224,$C317,'TL03'!$J$10:$J$224),0),
IF('TL03'!$B$229=L$3,SUMIF('TL03'!$C$238:$C$451,$C317,'TL03'!$J$238:$J$451),0),
IF('TL04'!$B$3=L$3,SUMIF('TL04'!$C$10:$C$224,$C317,'TL04'!$J$10:$J$224),0),
IF('TL04'!$B$229=L$3,SUMIF('TL04'!$C$238:$C$451,$C317,'TL04'!$J$238:$J$451),0),
IF('TL05'!$B$3=L$3,SUMIF('TL05'!$C$10:$C$224,$C317,'TL05'!$J$10:$J$224),0),
IF('TL05'!$B$229=L$3,SUMIF('TL05'!$C$238:$C$451,$C317,'TL05'!$J$238:$J$451),0),
IF('TL06'!$B$3=L$3,SUMIF('TL06'!$C$10:$C$224,$C317,'TL06'!$J$10:$J$224),0),
IF('TL06'!$B$229=L$3,SUMIF('TL06'!$C$238:$C$451,$C317,'TL06'!$J$238:$J$451),0),
IF('TL07'!$B$3=L$3,SUMIF('TL07'!$C$10:$C$224,$C317,'TL07'!$J$10:$J$224),0),
IF('TL07'!$B$229=L$3,SUMIF('TL07'!$C$238:$C$451,$C317,'TL07'!$J$238:$J$451),0),
IF('TL08'!$B$3=L$3,SUMIF('TL08'!$C$10:$C$224,$C317,'TL08'!$J$10:$J$224),0),
IF('TL08'!$B$229=L$3,SUMIF('TL08'!$C$238:$C$451,$C317,'TL08'!$J$238:$J$451),0),
IF('TL09'!$B$3=L$3,SUMIF('TL09'!$C$10:$C$224,$C317,'TL09'!$J$10:$J$224),0),
IF('TL09'!$B$229=L$3,SUMIF('TL09'!$C$238:$C$451,$C317,'TL09'!$J$238:$J$451),0),
IF('TL10'!$B$3=L$3,SUMIF('TL10'!$C$10:$C$224,$C317,'TL10'!$J$10:$J$224),0),
IF('TL10'!$B$229=L$3,SUMIF('TL10'!$C$238:$C$451,$C317,'TL10'!$J$238:$J$451),0),
IF('TL11'!$B$3=L$3,SUMIF('TL11'!$C$10:$C$224,$C317,'TL11'!$J$10:$J$224),0),
IF('TL11'!$B$229=L$3,SUMIF('TL11'!$C$238:$C$451,$C317,'TL11'!$J$238:$J$451),0),
IF('TL12'!$B$3=L$3,SUMIF('TL12'!$C$10:$C$224,$C317,'TL12'!$J$10:$J$224),0),
IF('TL12'!$B$229=L$3,SUMIF('TL12'!$C$238:$C$451,$C317,'TL12'!$J$238:$J$451),0),
IF('TL13'!$B$3=L$3,SUMIF('TL13'!$C$10:$C$224,$C317,'TL13'!$J$10:$J$224),0),
IF('TL13'!$B$229=L$3,SUMIF('TL13'!$C$238:$C$451,$C317,'TL13'!$J$238:$J$451),0),
IF('TL14'!$B$3=L$3,SUMIF('TL14'!$C$10:$C$224,$C317,'TL14'!$J$10:$J$224),0),
IF('TL14'!$B$229=L$3,SUMIF('TL14'!$C$238:$C$451,$C317,'TL14'!$J$238:$J$451),0),
IF('TL15'!$B$3=L$3,SUMIF('TL15'!$C$10:$C$224,$C317,'TL15'!$J$10:$J$224),0),
IF('TL15'!$B$229=L$3,SUMIF('TL15'!$C$238:$C$451,$C317,'TL15'!$J$238:$J$451),0),
IF('TL16'!$B$3=L$3,SUMIF('TL16'!$C$10:$C$224,$C317,'TL16'!$J$10:$J$224),0),
IF('TL16'!$B$229=L$3,SUMIF('TL16'!$C$238:$C$451,$C317,'TL16'!$J$238:$J$451),0),
IF('TL17'!$B$3=L$3,SUMIF('TL17'!$C$10:$C$224,$C317,'TL17'!$J$10:$J$224),0),
IF('TL17'!$B$229=L$3,SUMIF('TL17'!$C$238:$C$451,$C317,'TL17'!$J$238:$J$451),0),
IF('TL18'!$B$3=L$3,SUMIF('TL18'!$C$10:$C$224,$C317,'TL18'!$J$10:$J$224),0),
IF('TL18'!$B$229=L$3,SUMIF('TL18'!$C$238:$C$451,$C317,'TL18'!$J$238:$J$451),0),
IF('TL19'!$B$3=L$3,SUMIF('TL19'!$C$10:$C$224,$C317,'TL19'!$J$10:$J$224),0),
IF('TL19'!$B$229=L$3,SUMIF('TL19'!$C$238:$C$451,$C317,'TL19'!$J$238:$J$451),0)
),0)</f>
        <v/>
      </c>
      <c r="M317" s="9">
        <f>IFERROR(SUM(
IF('TL01'!$B$3=M$3,SUMIF('TL01'!$C$10:$C$224,$C317,'TL01'!$J$10:$J$224),0),
IF('TL01'!$B$229=M$3,SUMIF('TL01'!$C$238:$C$451,$C317,'TL01'!$J$238:$J$451),0),
IF('TL02'!$B$3=M$3,SUMIF('TL02'!$C$10:$C$224,$C317,'TL02'!$J$10:$J$224),0),
IF('TL02'!$B$229=M$3,SUMIF('TL02'!$C$238:$C$451,$C317,'TL02'!$J$238:$J$451),0),
IF('TL03'!$B$3=M$3,SUMIF('TL03'!$C$10:$C$224,$C317,'TL03'!$J$10:$J$224),0),
IF('TL03'!$B$229=M$3,SUMIF('TL03'!$C$238:$C$451,$C317,'TL03'!$J$238:$J$451),0),
IF('TL04'!$B$3=M$3,SUMIF('TL04'!$C$10:$C$224,$C317,'TL04'!$J$10:$J$224),0),
IF('TL04'!$B$229=M$3,SUMIF('TL04'!$C$238:$C$451,$C317,'TL04'!$J$238:$J$451),0),
IF('TL05'!$B$3=M$3,SUMIF('TL05'!$C$10:$C$224,$C317,'TL05'!$J$10:$J$224),0),
IF('TL05'!$B$229=M$3,SUMIF('TL05'!$C$238:$C$451,$C317,'TL05'!$J$238:$J$451),0),
IF('TL06'!$B$3=M$3,SUMIF('TL06'!$C$10:$C$224,$C317,'TL06'!$J$10:$J$224),0),
IF('TL06'!$B$229=M$3,SUMIF('TL06'!$C$238:$C$451,$C317,'TL06'!$J$238:$J$451),0),
IF('TL07'!$B$3=M$3,SUMIF('TL07'!$C$10:$C$224,$C317,'TL07'!$J$10:$J$224),0),
IF('TL07'!$B$229=M$3,SUMIF('TL07'!$C$238:$C$451,$C317,'TL07'!$J$238:$J$451),0),
IF('TL08'!$B$3=M$3,SUMIF('TL08'!$C$10:$C$224,$C317,'TL08'!$J$10:$J$224),0),
IF('TL08'!$B$229=M$3,SUMIF('TL08'!$C$238:$C$451,$C317,'TL08'!$J$238:$J$451),0),
IF('TL09'!$B$3=M$3,SUMIF('TL09'!$C$10:$C$224,$C317,'TL09'!$J$10:$J$224),0),
IF('TL09'!$B$229=M$3,SUMIF('TL09'!$C$238:$C$451,$C317,'TL09'!$J$238:$J$451),0),
IF('TL10'!$B$3=M$3,SUMIF('TL10'!$C$10:$C$224,$C317,'TL10'!$J$10:$J$224),0),
IF('TL10'!$B$229=M$3,SUMIF('TL10'!$C$238:$C$451,$C317,'TL10'!$J$238:$J$451),0),
IF('TL11'!$B$3=M$3,SUMIF('TL11'!$C$10:$C$224,$C317,'TL11'!$J$10:$J$224),0),
IF('TL11'!$B$229=M$3,SUMIF('TL11'!$C$238:$C$451,$C317,'TL11'!$J$238:$J$451),0),
IF('TL12'!$B$3=M$3,SUMIF('TL12'!$C$10:$C$224,$C317,'TL12'!$J$10:$J$224),0),
IF('TL12'!$B$229=M$3,SUMIF('TL12'!$C$238:$C$451,$C317,'TL12'!$J$238:$J$451),0),
IF('TL13'!$B$3=M$3,SUMIF('TL13'!$C$10:$C$224,$C317,'TL13'!$J$10:$J$224),0),
IF('TL13'!$B$229=M$3,SUMIF('TL13'!$C$238:$C$451,$C317,'TL13'!$J$238:$J$451),0),
IF('TL14'!$B$3=M$3,SUMIF('TL14'!$C$10:$C$224,$C317,'TL14'!$J$10:$J$224),0),
IF('TL14'!$B$229=M$3,SUMIF('TL14'!$C$238:$C$451,$C317,'TL14'!$J$238:$J$451),0),
IF('TL15'!$B$3=M$3,SUMIF('TL15'!$C$10:$C$224,$C317,'TL15'!$J$10:$J$224),0),
IF('TL15'!$B$229=M$3,SUMIF('TL15'!$C$238:$C$451,$C317,'TL15'!$J$238:$J$451),0),
IF('TL16'!$B$3=M$3,SUMIF('TL16'!$C$10:$C$224,$C317,'TL16'!$J$10:$J$224),0),
IF('TL16'!$B$229=M$3,SUMIF('TL16'!$C$238:$C$451,$C317,'TL16'!$J$238:$J$451),0),
IF('TL17'!$B$3=M$3,SUMIF('TL17'!$C$10:$C$224,$C317,'TL17'!$J$10:$J$224),0),
IF('TL17'!$B$229=M$3,SUMIF('TL17'!$C$238:$C$451,$C317,'TL17'!$J$238:$J$451),0),
IF('TL18'!$B$3=M$3,SUMIF('TL18'!$C$10:$C$224,$C317,'TL18'!$J$10:$J$224),0),
IF('TL18'!$B$229=M$3,SUMIF('TL18'!$C$238:$C$451,$C317,'TL18'!$J$238:$J$451),0),
IF('TL19'!$B$3=M$3,SUMIF('TL19'!$C$10:$C$224,$C317,'TL19'!$J$10:$J$224),0),
IF('TL19'!$B$229=M$3,SUMIF('TL19'!$C$238:$C$451,$C317,'TL19'!$J$238:$J$451),0)
),0)</f>
        <v/>
      </c>
      <c r="N317" s="9">
        <f>IFERROR(SUM(
IF('TL01'!$B$3=N$3,SUMIF('TL01'!$C$10:$C$224,$C317,'TL01'!$J$10:$J$224),0),
IF('TL01'!$B$229=N$3,SUMIF('TL01'!$C$238:$C$451,$C317,'TL01'!$J$238:$J$451),0),
IF('TL02'!$B$3=N$3,SUMIF('TL02'!$C$10:$C$224,$C317,'TL02'!$J$10:$J$224),0),
IF('TL02'!$B$229=N$3,SUMIF('TL02'!$C$238:$C$451,$C317,'TL02'!$J$238:$J$451),0),
IF('TL03'!$B$3=N$3,SUMIF('TL03'!$C$10:$C$224,$C317,'TL03'!$J$10:$J$224),0),
IF('TL03'!$B$229=N$3,SUMIF('TL03'!$C$238:$C$451,$C317,'TL03'!$J$238:$J$451),0),
IF('TL04'!$B$3=N$3,SUMIF('TL04'!$C$10:$C$224,$C317,'TL04'!$J$10:$J$224),0),
IF('TL04'!$B$229=N$3,SUMIF('TL04'!$C$238:$C$451,$C317,'TL04'!$J$238:$J$451),0),
IF('TL05'!$B$3=N$3,SUMIF('TL05'!$C$10:$C$224,$C317,'TL05'!$J$10:$J$224),0),
IF('TL05'!$B$229=N$3,SUMIF('TL05'!$C$238:$C$451,$C317,'TL05'!$J$238:$J$451),0),
IF('TL06'!$B$3=N$3,SUMIF('TL06'!$C$10:$C$224,$C317,'TL06'!$J$10:$J$224),0),
IF('TL06'!$B$229=N$3,SUMIF('TL06'!$C$238:$C$451,$C317,'TL06'!$J$238:$J$451),0),
IF('TL07'!$B$3=N$3,SUMIF('TL07'!$C$10:$C$224,$C317,'TL07'!$J$10:$J$224),0),
IF('TL07'!$B$229=N$3,SUMIF('TL07'!$C$238:$C$451,$C317,'TL07'!$J$238:$J$451),0),
IF('TL08'!$B$3=N$3,SUMIF('TL08'!$C$10:$C$224,$C317,'TL08'!$J$10:$J$224),0),
IF('TL08'!$B$229=N$3,SUMIF('TL08'!$C$238:$C$451,$C317,'TL08'!$J$238:$J$451),0),
IF('TL09'!$B$3=N$3,SUMIF('TL09'!$C$10:$C$224,$C317,'TL09'!$J$10:$J$224),0),
IF('TL09'!$B$229=N$3,SUMIF('TL09'!$C$238:$C$451,$C317,'TL09'!$J$238:$J$451),0),
IF('TL10'!$B$3=N$3,SUMIF('TL10'!$C$10:$C$224,$C317,'TL10'!$J$10:$J$224),0),
IF('TL10'!$B$229=N$3,SUMIF('TL10'!$C$238:$C$451,$C317,'TL10'!$J$238:$J$451),0),
IF('TL11'!$B$3=N$3,SUMIF('TL11'!$C$10:$C$224,$C317,'TL11'!$J$10:$J$224),0),
IF('TL11'!$B$229=N$3,SUMIF('TL11'!$C$238:$C$451,$C317,'TL11'!$J$238:$J$451),0),
IF('TL12'!$B$3=N$3,SUMIF('TL12'!$C$10:$C$224,$C317,'TL12'!$J$10:$J$224),0),
IF('TL12'!$B$229=N$3,SUMIF('TL12'!$C$238:$C$451,$C317,'TL12'!$J$238:$J$451),0),
IF('TL13'!$B$3=N$3,SUMIF('TL13'!$C$10:$C$224,$C317,'TL13'!$J$10:$J$224),0),
IF('TL13'!$B$229=N$3,SUMIF('TL13'!$C$238:$C$451,$C317,'TL13'!$J$238:$J$451),0),
IF('TL14'!$B$3=N$3,SUMIF('TL14'!$C$10:$C$224,$C317,'TL14'!$J$10:$J$224),0),
IF('TL14'!$B$229=N$3,SUMIF('TL14'!$C$238:$C$451,$C317,'TL14'!$J$238:$J$451),0),
IF('TL15'!$B$3=N$3,SUMIF('TL15'!$C$10:$C$224,$C317,'TL15'!$J$10:$J$224),0),
IF('TL15'!$B$229=N$3,SUMIF('TL15'!$C$238:$C$451,$C317,'TL15'!$J$238:$J$451),0),
IF('TL16'!$B$3=N$3,SUMIF('TL16'!$C$10:$C$224,$C317,'TL16'!$J$10:$J$224),0),
IF('TL16'!$B$229=N$3,SUMIF('TL16'!$C$238:$C$451,$C317,'TL16'!$J$238:$J$451),0),
IF('TL17'!$B$3=N$3,SUMIF('TL17'!$C$10:$C$224,$C317,'TL17'!$J$10:$J$224),0),
IF('TL17'!$B$229=N$3,SUMIF('TL17'!$C$238:$C$451,$C317,'TL17'!$J$238:$J$451),0),
IF('TL18'!$B$3=N$3,SUMIF('TL18'!$C$10:$C$224,$C317,'TL18'!$J$10:$J$224),0),
IF('TL18'!$B$229=N$3,SUMIF('TL18'!$C$238:$C$451,$C317,'TL18'!$J$238:$J$451),0),
IF('TL19'!$B$3=N$3,SUMIF('TL19'!$C$10:$C$224,$C317,'TL19'!$J$10:$J$224),0),
IF('TL19'!$B$229=N$3,SUMIF('TL19'!$C$238:$C$451,$C317,'TL19'!$J$238:$J$451),0)
),0)</f>
        <v/>
      </c>
      <c r="O317" s="9">
        <f>IFERROR(SUM(
IF('TL01'!$B$3=O$3,SUMIF('TL01'!$C$10:$C$224,$C317,'TL01'!$J$10:$J$224),0),
IF('TL01'!$B$229=O$3,SUMIF('TL01'!$C$238:$C$451,$C317,'TL01'!$J$238:$J$451),0),
IF('TL02'!$B$3=O$3,SUMIF('TL02'!$C$10:$C$224,$C317,'TL02'!$J$10:$J$224),0),
IF('TL02'!$B$229=O$3,SUMIF('TL02'!$C$238:$C$451,$C317,'TL02'!$J$238:$J$451),0),
IF('TL03'!$B$3=O$3,SUMIF('TL03'!$C$10:$C$224,$C317,'TL03'!$J$10:$J$224),0),
IF('TL03'!$B$229=O$3,SUMIF('TL03'!$C$238:$C$451,$C317,'TL03'!$J$238:$J$451),0),
IF('TL04'!$B$3=O$3,SUMIF('TL04'!$C$10:$C$224,$C317,'TL04'!$J$10:$J$224),0),
IF('TL04'!$B$229=O$3,SUMIF('TL04'!$C$238:$C$451,$C317,'TL04'!$J$238:$J$451),0),
IF('TL05'!$B$3=O$3,SUMIF('TL05'!$C$10:$C$224,$C317,'TL05'!$J$10:$J$224),0),
IF('TL05'!$B$229=O$3,SUMIF('TL05'!$C$238:$C$451,$C317,'TL05'!$J$238:$J$451),0),
IF('TL06'!$B$3=O$3,SUMIF('TL06'!$C$10:$C$224,$C317,'TL06'!$J$10:$J$224),0),
IF('TL06'!$B$229=O$3,SUMIF('TL06'!$C$238:$C$451,$C317,'TL06'!$J$238:$J$451),0),
IF('TL07'!$B$3=O$3,SUMIF('TL07'!$C$10:$C$224,$C317,'TL07'!$J$10:$J$224),0),
IF('TL07'!$B$229=O$3,SUMIF('TL07'!$C$238:$C$451,$C317,'TL07'!$J$238:$J$451),0),
IF('TL08'!$B$3=O$3,SUMIF('TL08'!$C$10:$C$224,$C317,'TL08'!$J$10:$J$224),0),
IF('TL08'!$B$229=O$3,SUMIF('TL08'!$C$238:$C$451,$C317,'TL08'!$J$238:$J$451),0),
IF('TL09'!$B$3=O$3,SUMIF('TL09'!$C$10:$C$224,$C317,'TL09'!$J$10:$J$224),0),
IF('TL09'!$B$229=O$3,SUMIF('TL09'!$C$238:$C$451,$C317,'TL09'!$J$238:$J$451),0),
IF('TL10'!$B$3=O$3,SUMIF('TL10'!$C$10:$C$224,$C317,'TL10'!$J$10:$J$224),0),
IF('TL10'!$B$229=O$3,SUMIF('TL10'!$C$238:$C$451,$C317,'TL10'!$J$238:$J$451),0),
IF('TL11'!$B$3=O$3,SUMIF('TL11'!$C$10:$C$224,$C317,'TL11'!$J$10:$J$224),0),
IF('TL11'!$B$229=O$3,SUMIF('TL11'!$C$238:$C$451,$C317,'TL11'!$J$238:$J$451),0),
IF('TL12'!$B$3=O$3,SUMIF('TL12'!$C$10:$C$224,$C317,'TL12'!$J$10:$J$224),0),
IF('TL12'!$B$229=O$3,SUMIF('TL12'!$C$238:$C$451,$C317,'TL12'!$J$238:$J$451),0),
IF('TL13'!$B$3=O$3,SUMIF('TL13'!$C$10:$C$224,$C317,'TL13'!$J$10:$J$224),0),
IF('TL13'!$B$229=O$3,SUMIF('TL13'!$C$238:$C$451,$C317,'TL13'!$J$238:$J$451),0),
IF('TL14'!$B$3=O$3,SUMIF('TL14'!$C$10:$C$224,$C317,'TL14'!$J$10:$J$224),0),
IF('TL14'!$B$229=O$3,SUMIF('TL14'!$C$238:$C$451,$C317,'TL14'!$J$238:$J$451),0),
IF('TL15'!$B$3=O$3,SUMIF('TL15'!$C$10:$C$224,$C317,'TL15'!$J$10:$J$224),0),
IF('TL15'!$B$229=O$3,SUMIF('TL15'!$C$238:$C$451,$C317,'TL15'!$J$238:$J$451),0),
IF('TL16'!$B$3=O$3,SUMIF('TL16'!$C$10:$C$224,$C317,'TL16'!$J$10:$J$224),0),
IF('TL16'!$B$229=O$3,SUMIF('TL16'!$C$238:$C$451,$C317,'TL16'!$J$238:$J$451),0),
IF('TL17'!$B$3=O$3,SUMIF('TL17'!$C$10:$C$224,$C317,'TL17'!$J$10:$J$224),0),
IF('TL17'!$B$229=O$3,SUMIF('TL17'!$C$238:$C$451,$C317,'TL17'!$J$238:$J$451),0),
IF('TL18'!$B$3=O$3,SUMIF('TL18'!$C$10:$C$224,$C317,'TL18'!$J$10:$J$224),0),
IF('TL18'!$B$229=O$3,SUMIF('TL18'!$C$238:$C$451,$C317,'TL18'!$J$238:$J$451),0),
IF('TL19'!$B$3=O$3,SUMIF('TL19'!$C$10:$C$224,$C317,'TL19'!$J$10:$J$224),0),
IF('TL19'!$B$229=O$3,SUMIF('TL19'!$C$238:$C$451,$C317,'TL19'!$J$238:$J$451),0)
),0)</f>
        <v/>
      </c>
      <c r="P317" s="9">
        <f>IFERROR(SUM(
IF('TL01'!$B$3=P$3,SUMIF('TL01'!$C$10:$C$224,$C317,'TL01'!$J$10:$J$224),0),
IF('TL01'!$B$229=P$3,SUMIF('TL01'!$C$238:$C$451,$C317,'TL01'!$J$238:$J$451),0),
IF('TL02'!$B$3=P$3,SUMIF('TL02'!$C$10:$C$224,$C317,'TL02'!$J$10:$J$224),0),
IF('TL02'!$B$229=P$3,SUMIF('TL02'!$C$238:$C$451,$C317,'TL02'!$J$238:$J$451),0),
IF('TL03'!$B$3=P$3,SUMIF('TL03'!$C$10:$C$224,$C317,'TL03'!$J$10:$J$224),0),
IF('TL03'!$B$229=P$3,SUMIF('TL03'!$C$238:$C$451,$C317,'TL03'!$J$238:$J$451),0),
IF('TL04'!$B$3=P$3,SUMIF('TL04'!$C$10:$C$224,$C317,'TL04'!$J$10:$J$224),0),
IF('TL04'!$B$229=P$3,SUMIF('TL04'!$C$238:$C$451,$C317,'TL04'!$J$238:$J$451),0),
IF('TL05'!$B$3=P$3,SUMIF('TL05'!$C$10:$C$224,$C317,'TL05'!$J$10:$J$224),0),
IF('TL05'!$B$229=P$3,SUMIF('TL05'!$C$238:$C$451,$C317,'TL05'!$J$238:$J$451),0),
IF('TL06'!$B$3=P$3,SUMIF('TL06'!$C$10:$C$224,$C317,'TL06'!$J$10:$J$224),0),
IF('TL06'!$B$229=P$3,SUMIF('TL06'!$C$238:$C$451,$C317,'TL06'!$J$238:$J$451),0),
IF('TL07'!$B$3=P$3,SUMIF('TL07'!$C$10:$C$224,$C317,'TL07'!$J$10:$J$224),0),
IF('TL07'!$B$229=P$3,SUMIF('TL07'!$C$238:$C$451,$C317,'TL07'!$J$238:$J$451),0),
IF('TL08'!$B$3=P$3,SUMIF('TL08'!$C$10:$C$224,$C317,'TL08'!$J$10:$J$224),0),
IF('TL08'!$B$229=P$3,SUMIF('TL08'!$C$238:$C$451,$C317,'TL08'!$J$238:$J$451),0),
IF('TL09'!$B$3=P$3,SUMIF('TL09'!$C$10:$C$224,$C317,'TL09'!$J$10:$J$224),0),
IF('TL09'!$B$229=P$3,SUMIF('TL09'!$C$238:$C$451,$C317,'TL09'!$J$238:$J$451),0),
IF('TL10'!$B$3=P$3,SUMIF('TL10'!$C$10:$C$224,$C317,'TL10'!$J$10:$J$224),0),
IF('TL10'!$B$229=P$3,SUMIF('TL10'!$C$238:$C$451,$C317,'TL10'!$J$238:$J$451),0),
IF('TL11'!$B$3=P$3,SUMIF('TL11'!$C$10:$C$224,$C317,'TL11'!$J$10:$J$224),0),
IF('TL11'!$B$229=P$3,SUMIF('TL11'!$C$238:$C$451,$C317,'TL11'!$J$238:$J$451),0),
IF('TL12'!$B$3=P$3,SUMIF('TL12'!$C$10:$C$224,$C317,'TL12'!$J$10:$J$224),0),
IF('TL12'!$B$229=P$3,SUMIF('TL12'!$C$238:$C$451,$C317,'TL12'!$J$238:$J$451),0),
IF('TL13'!$B$3=P$3,SUMIF('TL13'!$C$10:$C$224,$C317,'TL13'!$J$10:$J$224),0),
IF('TL13'!$B$229=P$3,SUMIF('TL13'!$C$238:$C$451,$C317,'TL13'!$J$238:$J$451),0),
IF('TL14'!$B$3=P$3,SUMIF('TL14'!$C$10:$C$224,$C317,'TL14'!$J$10:$J$224),0),
IF('TL14'!$B$229=P$3,SUMIF('TL14'!$C$238:$C$451,$C317,'TL14'!$J$238:$J$451),0),
IF('TL15'!$B$3=P$3,SUMIF('TL15'!$C$10:$C$224,$C317,'TL15'!$J$10:$J$224),0),
IF('TL15'!$B$229=P$3,SUMIF('TL15'!$C$238:$C$451,$C317,'TL15'!$J$238:$J$451),0),
IF('TL16'!$B$3=P$3,SUMIF('TL16'!$C$10:$C$224,$C317,'TL16'!$J$10:$J$224),0),
IF('TL16'!$B$229=P$3,SUMIF('TL16'!$C$238:$C$451,$C317,'TL16'!$J$238:$J$451),0),
IF('TL17'!$B$3=P$3,SUMIF('TL17'!$C$10:$C$224,$C317,'TL17'!$J$10:$J$224),0),
IF('TL17'!$B$229=P$3,SUMIF('TL17'!$C$238:$C$451,$C317,'TL17'!$J$238:$J$451),0),
IF('TL18'!$B$3=P$3,SUMIF('TL18'!$C$10:$C$224,$C317,'TL18'!$J$10:$J$224),0),
IF('TL18'!$B$229=P$3,SUMIF('TL18'!$C$238:$C$451,$C317,'TL18'!$J$238:$J$451),0),
IF('TL19'!$B$3=P$3,SUMIF('TL19'!$C$10:$C$224,$C317,'TL19'!$J$10:$J$224),0),
IF('TL19'!$B$229=P$3,SUMIF('TL19'!$C$238:$C$451,$C317,'TL19'!$J$238:$J$451),0)
),0)</f>
        <v/>
      </c>
      <c r="Q317" s="9">
        <f>IFERROR(SUM(
IF('TL01'!$B$3=Q$3,SUMIF('TL01'!$C$10:$C$224,$C317,'TL01'!$J$10:$J$224),0),
IF('TL01'!$B$229=Q$3,SUMIF('TL01'!$C$238:$C$451,$C317,'TL01'!$J$238:$J$451),0),
IF('TL02'!$B$3=Q$3,SUMIF('TL02'!$C$10:$C$224,$C317,'TL02'!$J$10:$J$224),0),
IF('TL02'!$B$229=Q$3,SUMIF('TL02'!$C$238:$C$451,$C317,'TL02'!$J$238:$J$451),0),
IF('TL03'!$B$3=Q$3,SUMIF('TL03'!$C$10:$C$224,$C317,'TL03'!$J$10:$J$224),0),
IF('TL03'!$B$229=Q$3,SUMIF('TL03'!$C$238:$C$451,$C317,'TL03'!$J$238:$J$451),0),
IF('TL04'!$B$3=Q$3,SUMIF('TL04'!$C$10:$C$224,$C317,'TL04'!$J$10:$J$224),0),
IF('TL04'!$B$229=Q$3,SUMIF('TL04'!$C$238:$C$451,$C317,'TL04'!$J$238:$J$451),0),
IF('TL05'!$B$3=Q$3,SUMIF('TL05'!$C$10:$C$224,$C317,'TL05'!$J$10:$J$224),0),
IF('TL05'!$B$229=Q$3,SUMIF('TL05'!$C$238:$C$451,$C317,'TL05'!$J$238:$J$451),0),
IF('TL06'!$B$3=Q$3,SUMIF('TL06'!$C$10:$C$224,$C317,'TL06'!$J$10:$J$224),0),
IF('TL06'!$B$229=Q$3,SUMIF('TL06'!$C$238:$C$451,$C317,'TL06'!$J$238:$J$451),0),
IF('TL07'!$B$3=Q$3,SUMIF('TL07'!$C$10:$C$224,$C317,'TL07'!$J$10:$J$224),0),
IF('TL07'!$B$229=Q$3,SUMIF('TL07'!$C$238:$C$451,$C317,'TL07'!$J$238:$J$451),0),
IF('TL08'!$B$3=Q$3,SUMIF('TL08'!$C$10:$C$224,$C317,'TL08'!$J$10:$J$224),0),
IF('TL08'!$B$229=Q$3,SUMIF('TL08'!$C$238:$C$451,$C317,'TL08'!$J$238:$J$451),0),
IF('TL09'!$B$3=Q$3,SUMIF('TL09'!$C$10:$C$224,$C317,'TL09'!$J$10:$J$224),0),
IF('TL09'!$B$229=Q$3,SUMIF('TL09'!$C$238:$C$451,$C317,'TL09'!$J$238:$J$451),0),
IF('TL10'!$B$3=Q$3,SUMIF('TL10'!$C$10:$C$224,$C317,'TL10'!$J$10:$J$224),0),
IF('TL10'!$B$229=Q$3,SUMIF('TL10'!$C$238:$C$451,$C317,'TL10'!$J$238:$J$451),0),
IF('TL11'!$B$3=Q$3,SUMIF('TL11'!$C$10:$C$224,$C317,'TL11'!$J$10:$J$224),0),
IF('TL11'!$B$229=Q$3,SUMIF('TL11'!$C$238:$C$451,$C317,'TL11'!$J$238:$J$451),0),
IF('TL12'!$B$3=Q$3,SUMIF('TL12'!$C$10:$C$224,$C317,'TL12'!$J$10:$J$224),0),
IF('TL12'!$B$229=Q$3,SUMIF('TL12'!$C$238:$C$451,$C317,'TL12'!$J$238:$J$451),0),
IF('TL13'!$B$3=Q$3,SUMIF('TL13'!$C$10:$C$224,$C317,'TL13'!$J$10:$J$224),0),
IF('TL13'!$B$229=Q$3,SUMIF('TL13'!$C$238:$C$451,$C317,'TL13'!$J$238:$J$451),0),
IF('TL14'!$B$3=Q$3,SUMIF('TL14'!$C$10:$C$224,$C317,'TL14'!$J$10:$J$224),0),
IF('TL14'!$B$229=Q$3,SUMIF('TL14'!$C$238:$C$451,$C317,'TL14'!$J$238:$J$451),0),
IF('TL15'!$B$3=Q$3,SUMIF('TL15'!$C$10:$C$224,$C317,'TL15'!$J$10:$J$224),0),
IF('TL15'!$B$229=Q$3,SUMIF('TL15'!$C$238:$C$451,$C317,'TL15'!$J$238:$J$451),0),
IF('TL16'!$B$3=Q$3,SUMIF('TL16'!$C$10:$C$224,$C317,'TL16'!$J$10:$J$224),0),
IF('TL16'!$B$229=Q$3,SUMIF('TL16'!$C$238:$C$451,$C317,'TL16'!$J$238:$J$451),0),
IF('TL17'!$B$3=Q$3,SUMIF('TL17'!$C$10:$C$224,$C317,'TL17'!$J$10:$J$224),0),
IF('TL17'!$B$229=Q$3,SUMIF('TL17'!$C$238:$C$451,$C317,'TL17'!$J$238:$J$451),0),
IF('TL18'!$B$3=Q$3,SUMIF('TL18'!$C$10:$C$224,$C317,'TL18'!$J$10:$J$224),0),
IF('TL18'!$B$229=Q$3,SUMIF('TL18'!$C$238:$C$451,$C317,'TL18'!$J$238:$J$451),0),
IF('TL19'!$B$3=Q$3,SUMIF('TL19'!$C$10:$C$224,$C317,'TL19'!$J$10:$J$224),0),
IF('TL19'!$B$229=Q$3,SUMIF('TL19'!$C$238:$C$451,$C317,'TL19'!$J$238:$J$451),0)
),0)</f>
        <v/>
      </c>
      <c r="R317" s="9">
        <f>IFERROR(
SUM(
SUMIF('TL01'!C:C,C317,'TL01'!J:J),
SUMIF('TL02'!C:C,C317,'TL02'!J:J),
SUMIF('TL03'!C:C,C317,'TL03'!J:J),
SUMIF('TL04'!C:C,C317,'TL04'!J:J),
SUMIF('TL05'!C:C,C317,'TL05'!J:J),
SUMIF('TL06'!C:C,C317,'TL06'!J:J),
SUMIF('TL07'!C:C,C317,'TL07'!J:J),
SUMIF('TL08'!C:C,C317,'TL08'!J:J),
SUMIF('TL09'!C:C,C317,'TL09'!J:J),
SUMIF('TL10'!C:C,C317,'TL10'!J:J),
SUMIF('TL11'!C:C,C317,'TL11'!J:J),
SUMIF('TL12'!C:C,C317,'TL12'!J:J),
SUMIF('TL13'!C:C,C317,'TL13'!J:J),
SUMIF('TL14'!C:C,C317,'TL14'!J:J),
SUMIF('TL15'!C:C,C317,'TL15'!J:J),
SUMIF('TL16'!C:C,C317,'TL16'!J:J),
SUMIF('TL17'!C:C,C317,'TL17'!J:J),
SUMIF('TL18'!C:C,C317,'TL18'!J:J),SUMIF('TL19'!C:C,C317,'TL19'!J:J))
,0)</f>
        <v/>
      </c>
      <c r="S317" s="17">
        <f>IFERROR(__xludf.DUMMYFUNCTION("IFERROR(VLOOKUP(C317,
IMPORTRANGE(""1wULbzX32WdYsx-lj2U3uUNBBe2INVIRDtcK0d-Dvl90"",
""26-27!C:G""),
5,
FALSE),
"""")"),"")</f>
        <v/>
      </c>
      <c r="T317" s="9" t="n"/>
      <c r="U317" s="92">
        <f>MAX(0,R317-T317)</f>
        <v/>
      </c>
      <c r="V317" s="93">
        <f>U317*S317</f>
        <v/>
      </c>
    </row>
    <row r="318" hidden="1" ht="15.75" customHeight="1" s="297">
      <c r="A318" s="4" t="n"/>
      <c r="B318" s="125" t="inlineStr">
        <is>
          <t>SEMENTE</t>
        </is>
      </c>
      <c r="C318" s="4" t="inlineStr">
        <is>
          <t>OLIMPO</t>
        </is>
      </c>
      <c r="D318" s="20" t="n"/>
      <c r="E318" s="9" t="n"/>
      <c r="F318" s="4" t="inlineStr">
        <is>
          <t>5MM</t>
        </is>
      </c>
      <c r="G318" s="90">
        <f>HYPERLINK("https://www.google.com/search?q=" &amp; C318 &amp; "+bula+agrofit+pdf", "📄 Ver bula")</f>
        <v/>
      </c>
      <c r="H318" s="9" t="n"/>
      <c r="I318" s="1" t="inlineStr">
        <is>
          <t>BAG</t>
        </is>
      </c>
      <c r="J318" s="9">
        <f>IFERROR(SUM(
IF('TL01'!$B$3=J$3,SUMIF('TL01'!$C$10:$C$224,$C318,'TL01'!$J$10:$J$224),0),
IF('TL01'!$B$229=J$3,SUMIF('TL01'!$C$238:$C$451,$C318,'TL01'!$J$238:$J$451),0),
IF('TL02'!$B$3=J$3,SUMIF('TL02'!$C$10:$C$224,$C318,'TL02'!$J$10:$J$224),0),
IF('TL02'!$B$229=J$3,SUMIF('TL02'!$C$238:$C$451,$C318,'TL02'!$J$238:$J$451),0),
IF('TL03'!$B$3=J$3,SUMIF('TL03'!$C$10:$C$224,$C318,'TL03'!$J$10:$J$224),0),
IF('TL03'!$B$229=J$3,SUMIF('TL03'!$C$238:$C$451,$C318,'TL03'!$J$238:$J$451),0),
IF('TL04'!$B$3=J$3,SUMIF('TL04'!$C$10:$C$224,$C318,'TL04'!$J$10:$J$224),0),
IF('TL04'!$B$229=J$3,SUMIF('TL04'!$C$238:$C$451,$C318,'TL04'!$J$238:$J$451),0),
IF('TL05'!$B$3=J$3,SUMIF('TL05'!$C$10:$C$224,$C318,'TL05'!$J$10:$J$224),0),
IF('TL05'!$B$229=J$3,SUMIF('TL05'!$C$238:$C$451,$C318,'TL05'!$J$238:$J$451),0),
IF('TL06'!$B$3=J$3,SUMIF('TL06'!$C$10:$C$224,$C318,'TL06'!$J$10:$J$224),0),
IF('TL06'!$B$229=J$3,SUMIF('TL06'!$C$238:$C$451,$C318,'TL06'!$J$238:$J$451),0),
IF('TL07'!$B$3=J$3,SUMIF('TL07'!$C$10:$C$224,$C318,'TL07'!$J$10:$J$224),0),
IF('TL07'!$B$229=J$3,SUMIF('TL07'!$C$238:$C$451,$C318,'TL07'!$J$238:$J$451),0),
IF('TL08'!$B$3=J$3,SUMIF('TL08'!$C$10:$C$224,$C318,'TL08'!$J$10:$J$224),0),
IF('TL08'!$B$229=J$3,SUMIF('TL08'!$C$238:$C$451,$C318,'TL08'!$J$238:$J$451),0),
IF('TL09'!$B$3=J$3,SUMIF('TL09'!$C$10:$C$224,$C318,'TL09'!$J$10:$J$224),0),
IF('TL09'!$B$229=J$3,SUMIF('TL09'!$C$238:$C$451,$C318,'TL09'!$J$238:$J$451),0),
IF('TL10'!$B$3=J$3,SUMIF('TL10'!$C$10:$C$224,$C318,'TL10'!$J$10:$J$224),0),
IF('TL10'!$B$229=J$3,SUMIF('TL10'!$C$238:$C$451,$C318,'TL10'!$J$238:$J$451),0),
IF('TL11'!$B$3=J$3,SUMIF('TL11'!$C$10:$C$224,$C318,'TL11'!$J$10:$J$224),0),
IF('TL11'!$B$229=J$3,SUMIF('TL11'!$C$238:$C$451,$C318,'TL11'!$J$238:$J$451),0),
IF('TL12'!$B$3=J$3,SUMIF('TL12'!$C$10:$C$224,$C318,'TL12'!$J$10:$J$224),0),
IF('TL12'!$B$229=J$3,SUMIF('TL12'!$C$238:$C$451,$C318,'TL12'!$J$238:$J$451),0),
IF('TL13'!$B$3=J$3,SUMIF('TL13'!$C$10:$C$224,$C318,'TL13'!$J$10:$J$224),0),
IF('TL13'!$B$229=J$3,SUMIF('TL13'!$C$238:$C$451,$C318,'TL13'!$J$238:$J$451),0),
IF('TL14'!$B$3=J$3,SUMIF('TL14'!$C$10:$C$224,$C318,'TL14'!$J$10:$J$224),0),
IF('TL14'!$B$229=J$3,SUMIF('TL14'!$C$238:$C$451,$C318,'TL14'!$J$238:$J$451),0),
IF('TL15'!$B$3=J$3,SUMIF('TL15'!$C$10:$C$224,$C318,'TL15'!$J$10:$J$224),0),
IF('TL15'!$B$229=J$3,SUMIF('TL15'!$C$238:$C$451,$C318,'TL15'!$J$238:$J$451),0),
IF('TL16'!$B$3=J$3,SUMIF('TL16'!$C$10:$C$224,$C318,'TL16'!$J$10:$J$224),0),
IF('TL16'!$B$229=J$3,SUMIF('TL16'!$C$238:$C$451,$C318,'TL16'!$J$238:$J$451),0),
IF('TL17'!$B$3=J$3,SUMIF('TL17'!$C$10:$C$224,$C318,'TL17'!$J$10:$J$224),0),
IF('TL17'!$B$229=J$3,SUMIF('TL17'!$C$238:$C$451,$C318,'TL17'!$J$238:$J$451),0),
IF('TL18'!$B$3=J$3,SUMIF('TL18'!$C$10:$C$224,$C318,'TL18'!$J$10:$J$224),0),
IF('TL18'!$B$229=J$3,SUMIF('TL18'!$C$238:$C$451,$C318,'TL18'!$J$238:$J$451),0),
IF('TL19'!$B$3=J$3,SUMIF('TL19'!$C$10:$C$224,$C318,'TL19'!$J$10:$J$224),0),
IF('TL19'!$B$229=J$3,SUMIF('TL19'!$C$238:$C$451,$C318,'TL19'!$J$238:$J$451),0)
),0)</f>
        <v/>
      </c>
      <c r="K318" s="9">
        <f>IFERROR(SUM(
IF('TL01'!$B$3=K$3,SUMIF('TL01'!$C$10:$C$224,$C318,'TL01'!$J$10:$J$224),0),
IF('TL01'!$B$229=K$3,SUMIF('TL01'!$C$238:$C$451,$C318,'TL01'!$J$238:$J$451),0),
IF('TL02'!$B$3=K$3,SUMIF('TL02'!$C$10:$C$224,$C318,'TL02'!$J$10:$J$224),0),
IF('TL02'!$B$229=K$3,SUMIF('TL02'!$C$238:$C$451,$C318,'TL02'!$J$238:$J$451),0),
IF('TL03'!$B$3=K$3,SUMIF('TL03'!$C$10:$C$224,$C318,'TL03'!$J$10:$J$224),0),
IF('TL03'!$B$229=K$3,SUMIF('TL03'!$C$238:$C$451,$C318,'TL03'!$J$238:$J$451),0),
IF('TL04'!$B$3=K$3,SUMIF('TL04'!$C$10:$C$224,$C318,'TL04'!$J$10:$J$224),0),
IF('TL04'!$B$229=K$3,SUMIF('TL04'!$C$238:$C$451,$C318,'TL04'!$J$238:$J$451),0),
IF('TL05'!$B$3=K$3,SUMIF('TL05'!$C$10:$C$224,$C318,'TL05'!$J$10:$J$224),0),
IF('TL05'!$B$229=K$3,SUMIF('TL05'!$C$238:$C$451,$C318,'TL05'!$J$238:$J$451),0),
IF('TL06'!$B$3=K$3,SUMIF('TL06'!$C$10:$C$224,$C318,'TL06'!$J$10:$J$224),0),
IF('TL06'!$B$229=K$3,SUMIF('TL06'!$C$238:$C$451,$C318,'TL06'!$J$238:$J$451),0),
IF('TL07'!$B$3=K$3,SUMIF('TL07'!$C$10:$C$224,$C318,'TL07'!$J$10:$J$224),0),
IF('TL07'!$B$229=K$3,SUMIF('TL07'!$C$238:$C$451,$C318,'TL07'!$J$238:$J$451),0),
IF('TL08'!$B$3=K$3,SUMIF('TL08'!$C$10:$C$224,$C318,'TL08'!$J$10:$J$224),0),
IF('TL08'!$B$229=K$3,SUMIF('TL08'!$C$238:$C$451,$C318,'TL08'!$J$238:$J$451),0),
IF('TL09'!$B$3=K$3,SUMIF('TL09'!$C$10:$C$224,$C318,'TL09'!$J$10:$J$224),0),
IF('TL09'!$B$229=K$3,SUMIF('TL09'!$C$238:$C$451,$C318,'TL09'!$J$238:$J$451),0),
IF('TL10'!$B$3=K$3,SUMIF('TL10'!$C$10:$C$224,$C318,'TL10'!$J$10:$J$224),0),
IF('TL10'!$B$229=K$3,SUMIF('TL10'!$C$238:$C$451,$C318,'TL10'!$J$238:$J$451),0),
IF('TL11'!$B$3=K$3,SUMIF('TL11'!$C$10:$C$224,$C318,'TL11'!$J$10:$J$224),0),
IF('TL11'!$B$229=K$3,SUMIF('TL11'!$C$238:$C$451,$C318,'TL11'!$J$238:$J$451),0),
IF('TL12'!$B$3=K$3,SUMIF('TL12'!$C$10:$C$224,$C318,'TL12'!$J$10:$J$224),0),
IF('TL12'!$B$229=K$3,SUMIF('TL12'!$C$238:$C$451,$C318,'TL12'!$J$238:$J$451),0),
IF('TL13'!$B$3=K$3,SUMIF('TL13'!$C$10:$C$224,$C318,'TL13'!$J$10:$J$224),0),
IF('TL13'!$B$229=K$3,SUMIF('TL13'!$C$238:$C$451,$C318,'TL13'!$J$238:$J$451),0),
IF('TL14'!$B$3=K$3,SUMIF('TL14'!$C$10:$C$224,$C318,'TL14'!$J$10:$J$224),0),
IF('TL14'!$B$229=K$3,SUMIF('TL14'!$C$238:$C$451,$C318,'TL14'!$J$238:$J$451),0),
IF('TL15'!$B$3=K$3,SUMIF('TL15'!$C$10:$C$224,$C318,'TL15'!$J$10:$J$224),0),
IF('TL15'!$B$229=K$3,SUMIF('TL15'!$C$238:$C$451,$C318,'TL15'!$J$238:$J$451),0),
IF('TL16'!$B$3=K$3,SUMIF('TL16'!$C$10:$C$224,$C318,'TL16'!$J$10:$J$224),0),
IF('TL16'!$B$229=K$3,SUMIF('TL16'!$C$238:$C$451,$C318,'TL16'!$J$238:$J$451),0),
IF('TL17'!$B$3=K$3,SUMIF('TL17'!$C$10:$C$224,$C318,'TL17'!$J$10:$J$224),0),
IF('TL17'!$B$229=K$3,SUMIF('TL17'!$C$238:$C$451,$C318,'TL17'!$J$238:$J$451),0),
IF('TL18'!$B$3=K$3,SUMIF('TL18'!$C$10:$C$224,$C318,'TL18'!$J$10:$J$224),0),
IF('TL18'!$B$229=K$3,SUMIF('TL18'!$C$238:$C$451,$C318,'TL18'!$J$238:$J$451),0),
IF('TL19'!$B$3=K$3,SUMIF('TL19'!$C$10:$C$224,$C318,'TL19'!$J$10:$J$224),0),
IF('TL19'!$B$229=K$3,SUMIF('TL19'!$C$238:$C$451,$C318,'TL19'!$J$238:$J$451),0)
),0)</f>
        <v/>
      </c>
      <c r="L318" s="9">
        <f>IFERROR(SUM(
IF('TL01'!$B$3=L$3,SUMIF('TL01'!$C$10:$C$224,$C318,'TL01'!$J$10:$J$224),0),
IF('TL01'!$B$229=L$3,SUMIF('TL01'!$C$238:$C$451,$C318,'TL01'!$J$238:$J$451),0),
IF('TL02'!$B$3=L$3,SUMIF('TL02'!$C$10:$C$224,$C318,'TL02'!$J$10:$J$224),0),
IF('TL02'!$B$229=L$3,SUMIF('TL02'!$C$238:$C$451,$C318,'TL02'!$J$238:$J$451),0),
IF('TL03'!$B$3=L$3,SUMIF('TL03'!$C$10:$C$224,$C318,'TL03'!$J$10:$J$224),0),
IF('TL03'!$B$229=L$3,SUMIF('TL03'!$C$238:$C$451,$C318,'TL03'!$J$238:$J$451),0),
IF('TL04'!$B$3=L$3,SUMIF('TL04'!$C$10:$C$224,$C318,'TL04'!$J$10:$J$224),0),
IF('TL04'!$B$229=L$3,SUMIF('TL04'!$C$238:$C$451,$C318,'TL04'!$J$238:$J$451),0),
IF('TL05'!$B$3=L$3,SUMIF('TL05'!$C$10:$C$224,$C318,'TL05'!$J$10:$J$224),0),
IF('TL05'!$B$229=L$3,SUMIF('TL05'!$C$238:$C$451,$C318,'TL05'!$J$238:$J$451),0),
IF('TL06'!$B$3=L$3,SUMIF('TL06'!$C$10:$C$224,$C318,'TL06'!$J$10:$J$224),0),
IF('TL06'!$B$229=L$3,SUMIF('TL06'!$C$238:$C$451,$C318,'TL06'!$J$238:$J$451),0),
IF('TL07'!$B$3=L$3,SUMIF('TL07'!$C$10:$C$224,$C318,'TL07'!$J$10:$J$224),0),
IF('TL07'!$B$229=L$3,SUMIF('TL07'!$C$238:$C$451,$C318,'TL07'!$J$238:$J$451),0),
IF('TL08'!$B$3=L$3,SUMIF('TL08'!$C$10:$C$224,$C318,'TL08'!$J$10:$J$224),0),
IF('TL08'!$B$229=L$3,SUMIF('TL08'!$C$238:$C$451,$C318,'TL08'!$J$238:$J$451),0),
IF('TL09'!$B$3=L$3,SUMIF('TL09'!$C$10:$C$224,$C318,'TL09'!$J$10:$J$224),0),
IF('TL09'!$B$229=L$3,SUMIF('TL09'!$C$238:$C$451,$C318,'TL09'!$J$238:$J$451),0),
IF('TL10'!$B$3=L$3,SUMIF('TL10'!$C$10:$C$224,$C318,'TL10'!$J$10:$J$224),0),
IF('TL10'!$B$229=L$3,SUMIF('TL10'!$C$238:$C$451,$C318,'TL10'!$J$238:$J$451),0),
IF('TL11'!$B$3=L$3,SUMIF('TL11'!$C$10:$C$224,$C318,'TL11'!$J$10:$J$224),0),
IF('TL11'!$B$229=L$3,SUMIF('TL11'!$C$238:$C$451,$C318,'TL11'!$J$238:$J$451),0),
IF('TL12'!$B$3=L$3,SUMIF('TL12'!$C$10:$C$224,$C318,'TL12'!$J$10:$J$224),0),
IF('TL12'!$B$229=L$3,SUMIF('TL12'!$C$238:$C$451,$C318,'TL12'!$J$238:$J$451),0),
IF('TL13'!$B$3=L$3,SUMIF('TL13'!$C$10:$C$224,$C318,'TL13'!$J$10:$J$224),0),
IF('TL13'!$B$229=L$3,SUMIF('TL13'!$C$238:$C$451,$C318,'TL13'!$J$238:$J$451),0),
IF('TL14'!$B$3=L$3,SUMIF('TL14'!$C$10:$C$224,$C318,'TL14'!$J$10:$J$224),0),
IF('TL14'!$B$229=L$3,SUMIF('TL14'!$C$238:$C$451,$C318,'TL14'!$J$238:$J$451),0),
IF('TL15'!$B$3=L$3,SUMIF('TL15'!$C$10:$C$224,$C318,'TL15'!$J$10:$J$224),0),
IF('TL15'!$B$229=L$3,SUMIF('TL15'!$C$238:$C$451,$C318,'TL15'!$J$238:$J$451),0),
IF('TL16'!$B$3=L$3,SUMIF('TL16'!$C$10:$C$224,$C318,'TL16'!$J$10:$J$224),0),
IF('TL16'!$B$229=L$3,SUMIF('TL16'!$C$238:$C$451,$C318,'TL16'!$J$238:$J$451),0),
IF('TL17'!$B$3=L$3,SUMIF('TL17'!$C$10:$C$224,$C318,'TL17'!$J$10:$J$224),0),
IF('TL17'!$B$229=L$3,SUMIF('TL17'!$C$238:$C$451,$C318,'TL17'!$J$238:$J$451),0),
IF('TL18'!$B$3=L$3,SUMIF('TL18'!$C$10:$C$224,$C318,'TL18'!$J$10:$J$224),0),
IF('TL18'!$B$229=L$3,SUMIF('TL18'!$C$238:$C$451,$C318,'TL18'!$J$238:$J$451),0),
IF('TL19'!$B$3=L$3,SUMIF('TL19'!$C$10:$C$224,$C318,'TL19'!$J$10:$J$224),0),
IF('TL19'!$B$229=L$3,SUMIF('TL19'!$C$238:$C$451,$C318,'TL19'!$J$238:$J$451),0)
),0)</f>
        <v/>
      </c>
      <c r="M318" s="9">
        <f>IFERROR(SUM(
IF('TL01'!$B$3=M$3,SUMIF('TL01'!$C$10:$C$224,$C318,'TL01'!$J$10:$J$224),0),
IF('TL01'!$B$229=M$3,SUMIF('TL01'!$C$238:$C$451,$C318,'TL01'!$J$238:$J$451),0),
IF('TL02'!$B$3=M$3,SUMIF('TL02'!$C$10:$C$224,$C318,'TL02'!$J$10:$J$224),0),
IF('TL02'!$B$229=M$3,SUMIF('TL02'!$C$238:$C$451,$C318,'TL02'!$J$238:$J$451),0),
IF('TL03'!$B$3=M$3,SUMIF('TL03'!$C$10:$C$224,$C318,'TL03'!$J$10:$J$224),0),
IF('TL03'!$B$229=M$3,SUMIF('TL03'!$C$238:$C$451,$C318,'TL03'!$J$238:$J$451),0),
IF('TL04'!$B$3=M$3,SUMIF('TL04'!$C$10:$C$224,$C318,'TL04'!$J$10:$J$224),0),
IF('TL04'!$B$229=M$3,SUMIF('TL04'!$C$238:$C$451,$C318,'TL04'!$J$238:$J$451),0),
IF('TL05'!$B$3=M$3,SUMIF('TL05'!$C$10:$C$224,$C318,'TL05'!$J$10:$J$224),0),
IF('TL05'!$B$229=M$3,SUMIF('TL05'!$C$238:$C$451,$C318,'TL05'!$J$238:$J$451),0),
IF('TL06'!$B$3=M$3,SUMIF('TL06'!$C$10:$C$224,$C318,'TL06'!$J$10:$J$224),0),
IF('TL06'!$B$229=M$3,SUMIF('TL06'!$C$238:$C$451,$C318,'TL06'!$J$238:$J$451),0),
IF('TL07'!$B$3=M$3,SUMIF('TL07'!$C$10:$C$224,$C318,'TL07'!$J$10:$J$224),0),
IF('TL07'!$B$229=M$3,SUMIF('TL07'!$C$238:$C$451,$C318,'TL07'!$J$238:$J$451),0),
IF('TL08'!$B$3=M$3,SUMIF('TL08'!$C$10:$C$224,$C318,'TL08'!$J$10:$J$224),0),
IF('TL08'!$B$229=M$3,SUMIF('TL08'!$C$238:$C$451,$C318,'TL08'!$J$238:$J$451),0),
IF('TL09'!$B$3=M$3,SUMIF('TL09'!$C$10:$C$224,$C318,'TL09'!$J$10:$J$224),0),
IF('TL09'!$B$229=M$3,SUMIF('TL09'!$C$238:$C$451,$C318,'TL09'!$J$238:$J$451),0),
IF('TL10'!$B$3=M$3,SUMIF('TL10'!$C$10:$C$224,$C318,'TL10'!$J$10:$J$224),0),
IF('TL10'!$B$229=M$3,SUMIF('TL10'!$C$238:$C$451,$C318,'TL10'!$J$238:$J$451),0),
IF('TL11'!$B$3=M$3,SUMIF('TL11'!$C$10:$C$224,$C318,'TL11'!$J$10:$J$224),0),
IF('TL11'!$B$229=M$3,SUMIF('TL11'!$C$238:$C$451,$C318,'TL11'!$J$238:$J$451),0),
IF('TL12'!$B$3=M$3,SUMIF('TL12'!$C$10:$C$224,$C318,'TL12'!$J$10:$J$224),0),
IF('TL12'!$B$229=M$3,SUMIF('TL12'!$C$238:$C$451,$C318,'TL12'!$J$238:$J$451),0),
IF('TL13'!$B$3=M$3,SUMIF('TL13'!$C$10:$C$224,$C318,'TL13'!$J$10:$J$224),0),
IF('TL13'!$B$229=M$3,SUMIF('TL13'!$C$238:$C$451,$C318,'TL13'!$J$238:$J$451),0),
IF('TL14'!$B$3=M$3,SUMIF('TL14'!$C$10:$C$224,$C318,'TL14'!$J$10:$J$224),0),
IF('TL14'!$B$229=M$3,SUMIF('TL14'!$C$238:$C$451,$C318,'TL14'!$J$238:$J$451),0),
IF('TL15'!$B$3=M$3,SUMIF('TL15'!$C$10:$C$224,$C318,'TL15'!$J$10:$J$224),0),
IF('TL15'!$B$229=M$3,SUMIF('TL15'!$C$238:$C$451,$C318,'TL15'!$J$238:$J$451),0),
IF('TL16'!$B$3=M$3,SUMIF('TL16'!$C$10:$C$224,$C318,'TL16'!$J$10:$J$224),0),
IF('TL16'!$B$229=M$3,SUMIF('TL16'!$C$238:$C$451,$C318,'TL16'!$J$238:$J$451),0),
IF('TL17'!$B$3=M$3,SUMIF('TL17'!$C$10:$C$224,$C318,'TL17'!$J$10:$J$224),0),
IF('TL17'!$B$229=M$3,SUMIF('TL17'!$C$238:$C$451,$C318,'TL17'!$J$238:$J$451),0),
IF('TL18'!$B$3=M$3,SUMIF('TL18'!$C$10:$C$224,$C318,'TL18'!$J$10:$J$224),0),
IF('TL18'!$B$229=M$3,SUMIF('TL18'!$C$238:$C$451,$C318,'TL18'!$J$238:$J$451),0),
IF('TL19'!$B$3=M$3,SUMIF('TL19'!$C$10:$C$224,$C318,'TL19'!$J$10:$J$224),0),
IF('TL19'!$B$229=M$3,SUMIF('TL19'!$C$238:$C$451,$C318,'TL19'!$J$238:$J$451),0)
),0)</f>
        <v/>
      </c>
      <c r="N318" s="9">
        <f>IFERROR(SUM(
IF('TL01'!$B$3=N$3,SUMIF('TL01'!$C$10:$C$224,$C318,'TL01'!$J$10:$J$224),0),
IF('TL01'!$B$229=N$3,SUMIF('TL01'!$C$238:$C$451,$C318,'TL01'!$J$238:$J$451),0),
IF('TL02'!$B$3=N$3,SUMIF('TL02'!$C$10:$C$224,$C318,'TL02'!$J$10:$J$224),0),
IF('TL02'!$B$229=N$3,SUMIF('TL02'!$C$238:$C$451,$C318,'TL02'!$J$238:$J$451),0),
IF('TL03'!$B$3=N$3,SUMIF('TL03'!$C$10:$C$224,$C318,'TL03'!$J$10:$J$224),0),
IF('TL03'!$B$229=N$3,SUMIF('TL03'!$C$238:$C$451,$C318,'TL03'!$J$238:$J$451),0),
IF('TL04'!$B$3=N$3,SUMIF('TL04'!$C$10:$C$224,$C318,'TL04'!$J$10:$J$224),0),
IF('TL04'!$B$229=N$3,SUMIF('TL04'!$C$238:$C$451,$C318,'TL04'!$J$238:$J$451),0),
IF('TL05'!$B$3=N$3,SUMIF('TL05'!$C$10:$C$224,$C318,'TL05'!$J$10:$J$224),0),
IF('TL05'!$B$229=N$3,SUMIF('TL05'!$C$238:$C$451,$C318,'TL05'!$J$238:$J$451),0),
IF('TL06'!$B$3=N$3,SUMIF('TL06'!$C$10:$C$224,$C318,'TL06'!$J$10:$J$224),0),
IF('TL06'!$B$229=N$3,SUMIF('TL06'!$C$238:$C$451,$C318,'TL06'!$J$238:$J$451),0),
IF('TL07'!$B$3=N$3,SUMIF('TL07'!$C$10:$C$224,$C318,'TL07'!$J$10:$J$224),0),
IF('TL07'!$B$229=N$3,SUMIF('TL07'!$C$238:$C$451,$C318,'TL07'!$J$238:$J$451),0),
IF('TL08'!$B$3=N$3,SUMIF('TL08'!$C$10:$C$224,$C318,'TL08'!$J$10:$J$224),0),
IF('TL08'!$B$229=N$3,SUMIF('TL08'!$C$238:$C$451,$C318,'TL08'!$J$238:$J$451),0),
IF('TL09'!$B$3=N$3,SUMIF('TL09'!$C$10:$C$224,$C318,'TL09'!$J$10:$J$224),0),
IF('TL09'!$B$229=N$3,SUMIF('TL09'!$C$238:$C$451,$C318,'TL09'!$J$238:$J$451),0),
IF('TL10'!$B$3=N$3,SUMIF('TL10'!$C$10:$C$224,$C318,'TL10'!$J$10:$J$224),0),
IF('TL10'!$B$229=N$3,SUMIF('TL10'!$C$238:$C$451,$C318,'TL10'!$J$238:$J$451),0),
IF('TL11'!$B$3=N$3,SUMIF('TL11'!$C$10:$C$224,$C318,'TL11'!$J$10:$J$224),0),
IF('TL11'!$B$229=N$3,SUMIF('TL11'!$C$238:$C$451,$C318,'TL11'!$J$238:$J$451),0),
IF('TL12'!$B$3=N$3,SUMIF('TL12'!$C$10:$C$224,$C318,'TL12'!$J$10:$J$224),0),
IF('TL12'!$B$229=N$3,SUMIF('TL12'!$C$238:$C$451,$C318,'TL12'!$J$238:$J$451),0),
IF('TL13'!$B$3=N$3,SUMIF('TL13'!$C$10:$C$224,$C318,'TL13'!$J$10:$J$224),0),
IF('TL13'!$B$229=N$3,SUMIF('TL13'!$C$238:$C$451,$C318,'TL13'!$J$238:$J$451),0),
IF('TL14'!$B$3=N$3,SUMIF('TL14'!$C$10:$C$224,$C318,'TL14'!$J$10:$J$224),0),
IF('TL14'!$B$229=N$3,SUMIF('TL14'!$C$238:$C$451,$C318,'TL14'!$J$238:$J$451),0),
IF('TL15'!$B$3=N$3,SUMIF('TL15'!$C$10:$C$224,$C318,'TL15'!$J$10:$J$224),0),
IF('TL15'!$B$229=N$3,SUMIF('TL15'!$C$238:$C$451,$C318,'TL15'!$J$238:$J$451),0),
IF('TL16'!$B$3=N$3,SUMIF('TL16'!$C$10:$C$224,$C318,'TL16'!$J$10:$J$224),0),
IF('TL16'!$B$229=N$3,SUMIF('TL16'!$C$238:$C$451,$C318,'TL16'!$J$238:$J$451),0),
IF('TL17'!$B$3=N$3,SUMIF('TL17'!$C$10:$C$224,$C318,'TL17'!$J$10:$J$224),0),
IF('TL17'!$B$229=N$3,SUMIF('TL17'!$C$238:$C$451,$C318,'TL17'!$J$238:$J$451),0),
IF('TL18'!$B$3=N$3,SUMIF('TL18'!$C$10:$C$224,$C318,'TL18'!$J$10:$J$224),0),
IF('TL18'!$B$229=N$3,SUMIF('TL18'!$C$238:$C$451,$C318,'TL18'!$J$238:$J$451),0),
IF('TL19'!$B$3=N$3,SUMIF('TL19'!$C$10:$C$224,$C318,'TL19'!$J$10:$J$224),0),
IF('TL19'!$B$229=N$3,SUMIF('TL19'!$C$238:$C$451,$C318,'TL19'!$J$238:$J$451),0)
),0)</f>
        <v/>
      </c>
      <c r="O318" s="9">
        <f>IFERROR(SUM(
IF('TL01'!$B$3=O$3,SUMIF('TL01'!$C$10:$C$224,$C318,'TL01'!$J$10:$J$224),0),
IF('TL01'!$B$229=O$3,SUMIF('TL01'!$C$238:$C$451,$C318,'TL01'!$J$238:$J$451),0),
IF('TL02'!$B$3=O$3,SUMIF('TL02'!$C$10:$C$224,$C318,'TL02'!$J$10:$J$224),0),
IF('TL02'!$B$229=O$3,SUMIF('TL02'!$C$238:$C$451,$C318,'TL02'!$J$238:$J$451),0),
IF('TL03'!$B$3=O$3,SUMIF('TL03'!$C$10:$C$224,$C318,'TL03'!$J$10:$J$224),0),
IF('TL03'!$B$229=O$3,SUMIF('TL03'!$C$238:$C$451,$C318,'TL03'!$J$238:$J$451),0),
IF('TL04'!$B$3=O$3,SUMIF('TL04'!$C$10:$C$224,$C318,'TL04'!$J$10:$J$224),0),
IF('TL04'!$B$229=O$3,SUMIF('TL04'!$C$238:$C$451,$C318,'TL04'!$J$238:$J$451),0),
IF('TL05'!$B$3=O$3,SUMIF('TL05'!$C$10:$C$224,$C318,'TL05'!$J$10:$J$224),0),
IF('TL05'!$B$229=O$3,SUMIF('TL05'!$C$238:$C$451,$C318,'TL05'!$J$238:$J$451),0),
IF('TL06'!$B$3=O$3,SUMIF('TL06'!$C$10:$C$224,$C318,'TL06'!$J$10:$J$224),0),
IF('TL06'!$B$229=O$3,SUMIF('TL06'!$C$238:$C$451,$C318,'TL06'!$J$238:$J$451),0),
IF('TL07'!$B$3=O$3,SUMIF('TL07'!$C$10:$C$224,$C318,'TL07'!$J$10:$J$224),0),
IF('TL07'!$B$229=O$3,SUMIF('TL07'!$C$238:$C$451,$C318,'TL07'!$J$238:$J$451),0),
IF('TL08'!$B$3=O$3,SUMIF('TL08'!$C$10:$C$224,$C318,'TL08'!$J$10:$J$224),0),
IF('TL08'!$B$229=O$3,SUMIF('TL08'!$C$238:$C$451,$C318,'TL08'!$J$238:$J$451),0),
IF('TL09'!$B$3=O$3,SUMIF('TL09'!$C$10:$C$224,$C318,'TL09'!$J$10:$J$224),0),
IF('TL09'!$B$229=O$3,SUMIF('TL09'!$C$238:$C$451,$C318,'TL09'!$J$238:$J$451),0),
IF('TL10'!$B$3=O$3,SUMIF('TL10'!$C$10:$C$224,$C318,'TL10'!$J$10:$J$224),0),
IF('TL10'!$B$229=O$3,SUMIF('TL10'!$C$238:$C$451,$C318,'TL10'!$J$238:$J$451),0),
IF('TL11'!$B$3=O$3,SUMIF('TL11'!$C$10:$C$224,$C318,'TL11'!$J$10:$J$224),0),
IF('TL11'!$B$229=O$3,SUMIF('TL11'!$C$238:$C$451,$C318,'TL11'!$J$238:$J$451),0),
IF('TL12'!$B$3=O$3,SUMIF('TL12'!$C$10:$C$224,$C318,'TL12'!$J$10:$J$224),0),
IF('TL12'!$B$229=O$3,SUMIF('TL12'!$C$238:$C$451,$C318,'TL12'!$J$238:$J$451),0),
IF('TL13'!$B$3=O$3,SUMIF('TL13'!$C$10:$C$224,$C318,'TL13'!$J$10:$J$224),0),
IF('TL13'!$B$229=O$3,SUMIF('TL13'!$C$238:$C$451,$C318,'TL13'!$J$238:$J$451),0),
IF('TL14'!$B$3=O$3,SUMIF('TL14'!$C$10:$C$224,$C318,'TL14'!$J$10:$J$224),0),
IF('TL14'!$B$229=O$3,SUMIF('TL14'!$C$238:$C$451,$C318,'TL14'!$J$238:$J$451),0),
IF('TL15'!$B$3=O$3,SUMIF('TL15'!$C$10:$C$224,$C318,'TL15'!$J$10:$J$224),0),
IF('TL15'!$B$229=O$3,SUMIF('TL15'!$C$238:$C$451,$C318,'TL15'!$J$238:$J$451),0),
IF('TL16'!$B$3=O$3,SUMIF('TL16'!$C$10:$C$224,$C318,'TL16'!$J$10:$J$224),0),
IF('TL16'!$B$229=O$3,SUMIF('TL16'!$C$238:$C$451,$C318,'TL16'!$J$238:$J$451),0),
IF('TL17'!$B$3=O$3,SUMIF('TL17'!$C$10:$C$224,$C318,'TL17'!$J$10:$J$224),0),
IF('TL17'!$B$229=O$3,SUMIF('TL17'!$C$238:$C$451,$C318,'TL17'!$J$238:$J$451),0),
IF('TL18'!$B$3=O$3,SUMIF('TL18'!$C$10:$C$224,$C318,'TL18'!$J$10:$J$224),0),
IF('TL18'!$B$229=O$3,SUMIF('TL18'!$C$238:$C$451,$C318,'TL18'!$J$238:$J$451),0),
IF('TL19'!$B$3=O$3,SUMIF('TL19'!$C$10:$C$224,$C318,'TL19'!$J$10:$J$224),0),
IF('TL19'!$B$229=O$3,SUMIF('TL19'!$C$238:$C$451,$C318,'TL19'!$J$238:$J$451),0)
),0)</f>
        <v/>
      </c>
      <c r="P318" s="9">
        <f>IFERROR(SUM(
IF('TL01'!$B$3=P$3,SUMIF('TL01'!$C$10:$C$224,$C318,'TL01'!$J$10:$J$224),0),
IF('TL01'!$B$229=P$3,SUMIF('TL01'!$C$238:$C$451,$C318,'TL01'!$J$238:$J$451),0),
IF('TL02'!$B$3=P$3,SUMIF('TL02'!$C$10:$C$224,$C318,'TL02'!$J$10:$J$224),0),
IF('TL02'!$B$229=P$3,SUMIF('TL02'!$C$238:$C$451,$C318,'TL02'!$J$238:$J$451),0),
IF('TL03'!$B$3=P$3,SUMIF('TL03'!$C$10:$C$224,$C318,'TL03'!$J$10:$J$224),0),
IF('TL03'!$B$229=P$3,SUMIF('TL03'!$C$238:$C$451,$C318,'TL03'!$J$238:$J$451),0),
IF('TL04'!$B$3=P$3,SUMIF('TL04'!$C$10:$C$224,$C318,'TL04'!$J$10:$J$224),0),
IF('TL04'!$B$229=P$3,SUMIF('TL04'!$C$238:$C$451,$C318,'TL04'!$J$238:$J$451),0),
IF('TL05'!$B$3=P$3,SUMIF('TL05'!$C$10:$C$224,$C318,'TL05'!$J$10:$J$224),0),
IF('TL05'!$B$229=P$3,SUMIF('TL05'!$C$238:$C$451,$C318,'TL05'!$J$238:$J$451),0),
IF('TL06'!$B$3=P$3,SUMIF('TL06'!$C$10:$C$224,$C318,'TL06'!$J$10:$J$224),0),
IF('TL06'!$B$229=P$3,SUMIF('TL06'!$C$238:$C$451,$C318,'TL06'!$J$238:$J$451),0),
IF('TL07'!$B$3=P$3,SUMIF('TL07'!$C$10:$C$224,$C318,'TL07'!$J$10:$J$224),0),
IF('TL07'!$B$229=P$3,SUMIF('TL07'!$C$238:$C$451,$C318,'TL07'!$J$238:$J$451),0),
IF('TL08'!$B$3=P$3,SUMIF('TL08'!$C$10:$C$224,$C318,'TL08'!$J$10:$J$224),0),
IF('TL08'!$B$229=P$3,SUMIF('TL08'!$C$238:$C$451,$C318,'TL08'!$J$238:$J$451),0),
IF('TL09'!$B$3=P$3,SUMIF('TL09'!$C$10:$C$224,$C318,'TL09'!$J$10:$J$224),0),
IF('TL09'!$B$229=P$3,SUMIF('TL09'!$C$238:$C$451,$C318,'TL09'!$J$238:$J$451),0),
IF('TL10'!$B$3=P$3,SUMIF('TL10'!$C$10:$C$224,$C318,'TL10'!$J$10:$J$224),0),
IF('TL10'!$B$229=P$3,SUMIF('TL10'!$C$238:$C$451,$C318,'TL10'!$J$238:$J$451),0),
IF('TL11'!$B$3=P$3,SUMIF('TL11'!$C$10:$C$224,$C318,'TL11'!$J$10:$J$224),0),
IF('TL11'!$B$229=P$3,SUMIF('TL11'!$C$238:$C$451,$C318,'TL11'!$J$238:$J$451),0),
IF('TL12'!$B$3=P$3,SUMIF('TL12'!$C$10:$C$224,$C318,'TL12'!$J$10:$J$224),0),
IF('TL12'!$B$229=P$3,SUMIF('TL12'!$C$238:$C$451,$C318,'TL12'!$J$238:$J$451),0),
IF('TL13'!$B$3=P$3,SUMIF('TL13'!$C$10:$C$224,$C318,'TL13'!$J$10:$J$224),0),
IF('TL13'!$B$229=P$3,SUMIF('TL13'!$C$238:$C$451,$C318,'TL13'!$J$238:$J$451),0),
IF('TL14'!$B$3=P$3,SUMIF('TL14'!$C$10:$C$224,$C318,'TL14'!$J$10:$J$224),0),
IF('TL14'!$B$229=P$3,SUMIF('TL14'!$C$238:$C$451,$C318,'TL14'!$J$238:$J$451),0),
IF('TL15'!$B$3=P$3,SUMIF('TL15'!$C$10:$C$224,$C318,'TL15'!$J$10:$J$224),0),
IF('TL15'!$B$229=P$3,SUMIF('TL15'!$C$238:$C$451,$C318,'TL15'!$J$238:$J$451),0),
IF('TL16'!$B$3=P$3,SUMIF('TL16'!$C$10:$C$224,$C318,'TL16'!$J$10:$J$224),0),
IF('TL16'!$B$229=P$3,SUMIF('TL16'!$C$238:$C$451,$C318,'TL16'!$J$238:$J$451),0),
IF('TL17'!$B$3=P$3,SUMIF('TL17'!$C$10:$C$224,$C318,'TL17'!$J$10:$J$224),0),
IF('TL17'!$B$229=P$3,SUMIF('TL17'!$C$238:$C$451,$C318,'TL17'!$J$238:$J$451),0),
IF('TL18'!$B$3=P$3,SUMIF('TL18'!$C$10:$C$224,$C318,'TL18'!$J$10:$J$224),0),
IF('TL18'!$B$229=P$3,SUMIF('TL18'!$C$238:$C$451,$C318,'TL18'!$J$238:$J$451),0),
IF('TL19'!$B$3=P$3,SUMIF('TL19'!$C$10:$C$224,$C318,'TL19'!$J$10:$J$224),0),
IF('TL19'!$B$229=P$3,SUMIF('TL19'!$C$238:$C$451,$C318,'TL19'!$J$238:$J$451),0)
),0)</f>
        <v/>
      </c>
      <c r="Q318" s="9">
        <f>IFERROR(SUM(
IF('TL01'!$B$3=Q$3,SUMIF('TL01'!$C$10:$C$224,$C318,'TL01'!$J$10:$J$224),0),
IF('TL01'!$B$229=Q$3,SUMIF('TL01'!$C$238:$C$451,$C318,'TL01'!$J$238:$J$451),0),
IF('TL02'!$B$3=Q$3,SUMIF('TL02'!$C$10:$C$224,$C318,'TL02'!$J$10:$J$224),0),
IF('TL02'!$B$229=Q$3,SUMIF('TL02'!$C$238:$C$451,$C318,'TL02'!$J$238:$J$451),0),
IF('TL03'!$B$3=Q$3,SUMIF('TL03'!$C$10:$C$224,$C318,'TL03'!$J$10:$J$224),0),
IF('TL03'!$B$229=Q$3,SUMIF('TL03'!$C$238:$C$451,$C318,'TL03'!$J$238:$J$451),0),
IF('TL04'!$B$3=Q$3,SUMIF('TL04'!$C$10:$C$224,$C318,'TL04'!$J$10:$J$224),0),
IF('TL04'!$B$229=Q$3,SUMIF('TL04'!$C$238:$C$451,$C318,'TL04'!$J$238:$J$451),0),
IF('TL05'!$B$3=Q$3,SUMIF('TL05'!$C$10:$C$224,$C318,'TL05'!$J$10:$J$224),0),
IF('TL05'!$B$229=Q$3,SUMIF('TL05'!$C$238:$C$451,$C318,'TL05'!$J$238:$J$451),0),
IF('TL06'!$B$3=Q$3,SUMIF('TL06'!$C$10:$C$224,$C318,'TL06'!$J$10:$J$224),0),
IF('TL06'!$B$229=Q$3,SUMIF('TL06'!$C$238:$C$451,$C318,'TL06'!$J$238:$J$451),0),
IF('TL07'!$B$3=Q$3,SUMIF('TL07'!$C$10:$C$224,$C318,'TL07'!$J$10:$J$224),0),
IF('TL07'!$B$229=Q$3,SUMIF('TL07'!$C$238:$C$451,$C318,'TL07'!$J$238:$J$451),0),
IF('TL08'!$B$3=Q$3,SUMIF('TL08'!$C$10:$C$224,$C318,'TL08'!$J$10:$J$224),0),
IF('TL08'!$B$229=Q$3,SUMIF('TL08'!$C$238:$C$451,$C318,'TL08'!$J$238:$J$451),0),
IF('TL09'!$B$3=Q$3,SUMIF('TL09'!$C$10:$C$224,$C318,'TL09'!$J$10:$J$224),0),
IF('TL09'!$B$229=Q$3,SUMIF('TL09'!$C$238:$C$451,$C318,'TL09'!$J$238:$J$451),0),
IF('TL10'!$B$3=Q$3,SUMIF('TL10'!$C$10:$C$224,$C318,'TL10'!$J$10:$J$224),0),
IF('TL10'!$B$229=Q$3,SUMIF('TL10'!$C$238:$C$451,$C318,'TL10'!$J$238:$J$451),0),
IF('TL11'!$B$3=Q$3,SUMIF('TL11'!$C$10:$C$224,$C318,'TL11'!$J$10:$J$224),0),
IF('TL11'!$B$229=Q$3,SUMIF('TL11'!$C$238:$C$451,$C318,'TL11'!$J$238:$J$451),0),
IF('TL12'!$B$3=Q$3,SUMIF('TL12'!$C$10:$C$224,$C318,'TL12'!$J$10:$J$224),0),
IF('TL12'!$B$229=Q$3,SUMIF('TL12'!$C$238:$C$451,$C318,'TL12'!$J$238:$J$451),0),
IF('TL13'!$B$3=Q$3,SUMIF('TL13'!$C$10:$C$224,$C318,'TL13'!$J$10:$J$224),0),
IF('TL13'!$B$229=Q$3,SUMIF('TL13'!$C$238:$C$451,$C318,'TL13'!$J$238:$J$451),0),
IF('TL14'!$B$3=Q$3,SUMIF('TL14'!$C$10:$C$224,$C318,'TL14'!$J$10:$J$224),0),
IF('TL14'!$B$229=Q$3,SUMIF('TL14'!$C$238:$C$451,$C318,'TL14'!$J$238:$J$451),0),
IF('TL15'!$B$3=Q$3,SUMIF('TL15'!$C$10:$C$224,$C318,'TL15'!$J$10:$J$224),0),
IF('TL15'!$B$229=Q$3,SUMIF('TL15'!$C$238:$C$451,$C318,'TL15'!$J$238:$J$451),0),
IF('TL16'!$B$3=Q$3,SUMIF('TL16'!$C$10:$C$224,$C318,'TL16'!$J$10:$J$224),0),
IF('TL16'!$B$229=Q$3,SUMIF('TL16'!$C$238:$C$451,$C318,'TL16'!$J$238:$J$451),0),
IF('TL17'!$B$3=Q$3,SUMIF('TL17'!$C$10:$C$224,$C318,'TL17'!$J$10:$J$224),0),
IF('TL17'!$B$229=Q$3,SUMIF('TL17'!$C$238:$C$451,$C318,'TL17'!$J$238:$J$451),0),
IF('TL18'!$B$3=Q$3,SUMIF('TL18'!$C$10:$C$224,$C318,'TL18'!$J$10:$J$224),0),
IF('TL18'!$B$229=Q$3,SUMIF('TL18'!$C$238:$C$451,$C318,'TL18'!$J$238:$J$451),0),
IF('TL19'!$B$3=Q$3,SUMIF('TL19'!$C$10:$C$224,$C318,'TL19'!$J$10:$J$224),0),
IF('TL19'!$B$229=Q$3,SUMIF('TL19'!$C$238:$C$451,$C318,'TL19'!$J$238:$J$451),0)
),0)</f>
        <v/>
      </c>
      <c r="R318" s="9">
        <f>IFERROR(
SUM(
SUMIF('TL01'!C:C,C318,'TL01'!J:J),
SUMIF('TL02'!C:C,C318,'TL02'!J:J),
SUMIF('TL03'!C:C,C318,'TL03'!J:J),
SUMIF('TL04'!C:C,C318,'TL04'!J:J),
SUMIF('TL05'!C:C,C318,'TL05'!J:J),
SUMIF('TL06'!C:C,C318,'TL06'!J:J),
SUMIF('TL07'!C:C,C318,'TL07'!J:J),
SUMIF('TL08'!C:C,C318,'TL08'!J:J),
SUMIF('TL09'!C:C,C318,'TL09'!J:J),
SUMIF('TL10'!C:C,C318,'TL10'!J:J),
SUMIF('TL11'!C:C,C318,'TL11'!J:J),
SUMIF('TL12'!C:C,C318,'TL12'!J:J),
SUMIF('TL13'!C:C,C318,'TL13'!J:J),
SUMIF('TL14'!C:C,C318,'TL14'!J:J),
SUMIF('TL15'!C:C,C318,'TL15'!J:J),
SUMIF('TL16'!C:C,C318,'TL16'!J:J),
SUMIF('TL17'!C:C,C318,'TL17'!J:J),
SUMIF('TL18'!C:C,C318,'TL18'!J:J),SUMIF('TL19'!C:C,C318,'TL19'!J:J))
,0)</f>
        <v/>
      </c>
      <c r="S318" s="17">
        <f>IFERROR(__xludf.DUMMYFUNCTION("IFERROR(VLOOKUP(C318,
IMPORTRANGE(""1wULbzX32WdYsx-lj2U3uUNBBe2INVIRDtcK0d-Dvl90"",
""26-27!C:G""),
5,
FALSE),
"""")"),"")</f>
        <v/>
      </c>
      <c r="T318" s="9" t="n"/>
      <c r="U318" s="92">
        <f>MAX(0,R318-T318)</f>
        <v/>
      </c>
      <c r="V318" s="93">
        <f>U318*S318</f>
        <v/>
      </c>
    </row>
    <row r="319" hidden="1" ht="15.75" customHeight="1" s="297">
      <c r="A319" s="4" t="n"/>
      <c r="B319" s="125" t="inlineStr">
        <is>
          <t>SEMENTE</t>
        </is>
      </c>
      <c r="C319" s="4" t="inlineStr">
        <is>
          <t>M8349</t>
        </is>
      </c>
      <c r="D319" s="20" t="n"/>
      <c r="E319" s="9" t="n"/>
      <c r="F319" s="4" t="inlineStr">
        <is>
          <t>5MM</t>
        </is>
      </c>
      <c r="G319" s="90">
        <f>HYPERLINK("https://www.google.com/search?q=" &amp; C319 &amp; "+bula+agrofit+pdf", "📄 Ver bula")</f>
        <v/>
      </c>
      <c r="H319" s="9" t="n"/>
      <c r="I319" s="1" t="n"/>
      <c r="J319" s="9">
        <f>IFERROR(SUM(
IF('TL01'!$B$3=J$3,SUMIF('TL01'!$C$10:$C$224,$C319,'TL01'!$J$10:$J$224),0),
IF('TL01'!$B$229=J$3,SUMIF('TL01'!$C$238:$C$451,$C319,'TL01'!$J$238:$J$451),0),
IF('TL02'!$B$3=J$3,SUMIF('TL02'!$C$10:$C$224,$C319,'TL02'!$J$10:$J$224),0),
IF('TL02'!$B$229=J$3,SUMIF('TL02'!$C$238:$C$451,$C319,'TL02'!$J$238:$J$451),0),
IF('TL03'!$B$3=J$3,SUMIF('TL03'!$C$10:$C$224,$C319,'TL03'!$J$10:$J$224),0),
IF('TL03'!$B$229=J$3,SUMIF('TL03'!$C$238:$C$451,$C319,'TL03'!$J$238:$J$451),0),
IF('TL04'!$B$3=J$3,SUMIF('TL04'!$C$10:$C$224,$C319,'TL04'!$J$10:$J$224),0),
IF('TL04'!$B$229=J$3,SUMIF('TL04'!$C$238:$C$451,$C319,'TL04'!$J$238:$J$451),0),
IF('TL05'!$B$3=J$3,SUMIF('TL05'!$C$10:$C$224,$C319,'TL05'!$J$10:$J$224),0),
IF('TL05'!$B$229=J$3,SUMIF('TL05'!$C$238:$C$451,$C319,'TL05'!$J$238:$J$451),0),
IF('TL06'!$B$3=J$3,SUMIF('TL06'!$C$10:$C$224,$C319,'TL06'!$J$10:$J$224),0),
IF('TL06'!$B$229=J$3,SUMIF('TL06'!$C$238:$C$451,$C319,'TL06'!$J$238:$J$451),0),
IF('TL07'!$B$3=J$3,SUMIF('TL07'!$C$10:$C$224,$C319,'TL07'!$J$10:$J$224),0),
IF('TL07'!$B$229=J$3,SUMIF('TL07'!$C$238:$C$451,$C319,'TL07'!$J$238:$J$451),0),
IF('TL08'!$B$3=J$3,SUMIF('TL08'!$C$10:$C$224,$C319,'TL08'!$J$10:$J$224),0),
IF('TL08'!$B$229=J$3,SUMIF('TL08'!$C$238:$C$451,$C319,'TL08'!$J$238:$J$451),0),
IF('TL09'!$B$3=J$3,SUMIF('TL09'!$C$10:$C$224,$C319,'TL09'!$J$10:$J$224),0),
IF('TL09'!$B$229=J$3,SUMIF('TL09'!$C$238:$C$451,$C319,'TL09'!$J$238:$J$451),0),
IF('TL10'!$B$3=J$3,SUMIF('TL10'!$C$10:$C$224,$C319,'TL10'!$J$10:$J$224),0),
IF('TL10'!$B$229=J$3,SUMIF('TL10'!$C$238:$C$451,$C319,'TL10'!$J$238:$J$451),0),
IF('TL11'!$B$3=J$3,SUMIF('TL11'!$C$10:$C$224,$C319,'TL11'!$J$10:$J$224),0),
IF('TL11'!$B$229=J$3,SUMIF('TL11'!$C$238:$C$451,$C319,'TL11'!$J$238:$J$451),0),
IF('TL12'!$B$3=J$3,SUMIF('TL12'!$C$10:$C$224,$C319,'TL12'!$J$10:$J$224),0),
IF('TL12'!$B$229=J$3,SUMIF('TL12'!$C$238:$C$451,$C319,'TL12'!$J$238:$J$451),0),
IF('TL13'!$B$3=J$3,SUMIF('TL13'!$C$10:$C$224,$C319,'TL13'!$J$10:$J$224),0),
IF('TL13'!$B$229=J$3,SUMIF('TL13'!$C$238:$C$451,$C319,'TL13'!$J$238:$J$451),0),
IF('TL14'!$B$3=J$3,SUMIF('TL14'!$C$10:$C$224,$C319,'TL14'!$J$10:$J$224),0),
IF('TL14'!$B$229=J$3,SUMIF('TL14'!$C$238:$C$451,$C319,'TL14'!$J$238:$J$451),0),
IF('TL15'!$B$3=J$3,SUMIF('TL15'!$C$10:$C$224,$C319,'TL15'!$J$10:$J$224),0),
IF('TL15'!$B$229=J$3,SUMIF('TL15'!$C$238:$C$451,$C319,'TL15'!$J$238:$J$451),0),
IF('TL16'!$B$3=J$3,SUMIF('TL16'!$C$10:$C$224,$C319,'TL16'!$J$10:$J$224),0),
IF('TL16'!$B$229=J$3,SUMIF('TL16'!$C$238:$C$451,$C319,'TL16'!$J$238:$J$451),0),
IF('TL17'!$B$3=J$3,SUMIF('TL17'!$C$10:$C$224,$C319,'TL17'!$J$10:$J$224),0),
IF('TL17'!$B$229=J$3,SUMIF('TL17'!$C$238:$C$451,$C319,'TL17'!$J$238:$J$451),0),
IF('TL18'!$B$3=J$3,SUMIF('TL18'!$C$10:$C$224,$C319,'TL18'!$J$10:$J$224),0),
IF('TL18'!$B$229=J$3,SUMIF('TL18'!$C$238:$C$451,$C319,'TL18'!$J$238:$J$451),0),
IF('TL19'!$B$3=J$3,SUMIF('TL19'!$C$10:$C$224,$C319,'TL19'!$J$10:$J$224),0),
IF('TL19'!$B$229=J$3,SUMIF('TL19'!$C$238:$C$451,$C319,'TL19'!$J$238:$J$451),0)
),0)</f>
        <v/>
      </c>
      <c r="K319" s="9">
        <f>IFERROR(SUM(
IF('TL01'!$B$3=K$3,SUMIF('TL01'!$C$10:$C$224,$C319,'TL01'!$J$10:$J$224),0),
IF('TL01'!$B$229=K$3,SUMIF('TL01'!$C$238:$C$451,$C319,'TL01'!$J$238:$J$451),0),
IF('TL02'!$B$3=K$3,SUMIF('TL02'!$C$10:$C$224,$C319,'TL02'!$J$10:$J$224),0),
IF('TL02'!$B$229=K$3,SUMIF('TL02'!$C$238:$C$451,$C319,'TL02'!$J$238:$J$451),0),
IF('TL03'!$B$3=K$3,SUMIF('TL03'!$C$10:$C$224,$C319,'TL03'!$J$10:$J$224),0),
IF('TL03'!$B$229=K$3,SUMIF('TL03'!$C$238:$C$451,$C319,'TL03'!$J$238:$J$451),0),
IF('TL04'!$B$3=K$3,SUMIF('TL04'!$C$10:$C$224,$C319,'TL04'!$J$10:$J$224),0),
IF('TL04'!$B$229=K$3,SUMIF('TL04'!$C$238:$C$451,$C319,'TL04'!$J$238:$J$451),0),
IF('TL05'!$B$3=K$3,SUMIF('TL05'!$C$10:$C$224,$C319,'TL05'!$J$10:$J$224),0),
IF('TL05'!$B$229=K$3,SUMIF('TL05'!$C$238:$C$451,$C319,'TL05'!$J$238:$J$451),0),
IF('TL06'!$B$3=K$3,SUMIF('TL06'!$C$10:$C$224,$C319,'TL06'!$J$10:$J$224),0),
IF('TL06'!$B$229=K$3,SUMIF('TL06'!$C$238:$C$451,$C319,'TL06'!$J$238:$J$451),0),
IF('TL07'!$B$3=K$3,SUMIF('TL07'!$C$10:$C$224,$C319,'TL07'!$J$10:$J$224),0),
IF('TL07'!$B$229=K$3,SUMIF('TL07'!$C$238:$C$451,$C319,'TL07'!$J$238:$J$451),0),
IF('TL08'!$B$3=K$3,SUMIF('TL08'!$C$10:$C$224,$C319,'TL08'!$J$10:$J$224),0),
IF('TL08'!$B$229=K$3,SUMIF('TL08'!$C$238:$C$451,$C319,'TL08'!$J$238:$J$451),0),
IF('TL09'!$B$3=K$3,SUMIF('TL09'!$C$10:$C$224,$C319,'TL09'!$J$10:$J$224),0),
IF('TL09'!$B$229=K$3,SUMIF('TL09'!$C$238:$C$451,$C319,'TL09'!$J$238:$J$451),0),
IF('TL10'!$B$3=K$3,SUMIF('TL10'!$C$10:$C$224,$C319,'TL10'!$J$10:$J$224),0),
IF('TL10'!$B$229=K$3,SUMIF('TL10'!$C$238:$C$451,$C319,'TL10'!$J$238:$J$451),0),
IF('TL11'!$B$3=K$3,SUMIF('TL11'!$C$10:$C$224,$C319,'TL11'!$J$10:$J$224),0),
IF('TL11'!$B$229=K$3,SUMIF('TL11'!$C$238:$C$451,$C319,'TL11'!$J$238:$J$451),0),
IF('TL12'!$B$3=K$3,SUMIF('TL12'!$C$10:$C$224,$C319,'TL12'!$J$10:$J$224),0),
IF('TL12'!$B$229=K$3,SUMIF('TL12'!$C$238:$C$451,$C319,'TL12'!$J$238:$J$451),0),
IF('TL13'!$B$3=K$3,SUMIF('TL13'!$C$10:$C$224,$C319,'TL13'!$J$10:$J$224),0),
IF('TL13'!$B$229=K$3,SUMIF('TL13'!$C$238:$C$451,$C319,'TL13'!$J$238:$J$451),0),
IF('TL14'!$B$3=K$3,SUMIF('TL14'!$C$10:$C$224,$C319,'TL14'!$J$10:$J$224),0),
IF('TL14'!$B$229=K$3,SUMIF('TL14'!$C$238:$C$451,$C319,'TL14'!$J$238:$J$451),0),
IF('TL15'!$B$3=K$3,SUMIF('TL15'!$C$10:$C$224,$C319,'TL15'!$J$10:$J$224),0),
IF('TL15'!$B$229=K$3,SUMIF('TL15'!$C$238:$C$451,$C319,'TL15'!$J$238:$J$451),0),
IF('TL16'!$B$3=K$3,SUMIF('TL16'!$C$10:$C$224,$C319,'TL16'!$J$10:$J$224),0),
IF('TL16'!$B$229=K$3,SUMIF('TL16'!$C$238:$C$451,$C319,'TL16'!$J$238:$J$451),0),
IF('TL17'!$B$3=K$3,SUMIF('TL17'!$C$10:$C$224,$C319,'TL17'!$J$10:$J$224),0),
IF('TL17'!$B$229=K$3,SUMIF('TL17'!$C$238:$C$451,$C319,'TL17'!$J$238:$J$451),0),
IF('TL18'!$B$3=K$3,SUMIF('TL18'!$C$10:$C$224,$C319,'TL18'!$J$10:$J$224),0),
IF('TL18'!$B$229=K$3,SUMIF('TL18'!$C$238:$C$451,$C319,'TL18'!$J$238:$J$451),0),
IF('TL19'!$B$3=K$3,SUMIF('TL19'!$C$10:$C$224,$C319,'TL19'!$J$10:$J$224),0),
IF('TL19'!$B$229=K$3,SUMIF('TL19'!$C$238:$C$451,$C319,'TL19'!$J$238:$J$451),0)
),0)</f>
        <v/>
      </c>
      <c r="L319" s="9">
        <f>IFERROR(SUM(
IF('TL01'!$B$3=L$3,SUMIF('TL01'!$C$10:$C$224,$C319,'TL01'!$J$10:$J$224),0),
IF('TL01'!$B$229=L$3,SUMIF('TL01'!$C$238:$C$451,$C319,'TL01'!$J$238:$J$451),0),
IF('TL02'!$B$3=L$3,SUMIF('TL02'!$C$10:$C$224,$C319,'TL02'!$J$10:$J$224),0),
IF('TL02'!$B$229=L$3,SUMIF('TL02'!$C$238:$C$451,$C319,'TL02'!$J$238:$J$451),0),
IF('TL03'!$B$3=L$3,SUMIF('TL03'!$C$10:$C$224,$C319,'TL03'!$J$10:$J$224),0),
IF('TL03'!$B$229=L$3,SUMIF('TL03'!$C$238:$C$451,$C319,'TL03'!$J$238:$J$451),0),
IF('TL04'!$B$3=L$3,SUMIF('TL04'!$C$10:$C$224,$C319,'TL04'!$J$10:$J$224),0),
IF('TL04'!$B$229=L$3,SUMIF('TL04'!$C$238:$C$451,$C319,'TL04'!$J$238:$J$451),0),
IF('TL05'!$B$3=L$3,SUMIF('TL05'!$C$10:$C$224,$C319,'TL05'!$J$10:$J$224),0),
IF('TL05'!$B$229=L$3,SUMIF('TL05'!$C$238:$C$451,$C319,'TL05'!$J$238:$J$451),0),
IF('TL06'!$B$3=L$3,SUMIF('TL06'!$C$10:$C$224,$C319,'TL06'!$J$10:$J$224),0),
IF('TL06'!$B$229=L$3,SUMIF('TL06'!$C$238:$C$451,$C319,'TL06'!$J$238:$J$451),0),
IF('TL07'!$B$3=L$3,SUMIF('TL07'!$C$10:$C$224,$C319,'TL07'!$J$10:$J$224),0),
IF('TL07'!$B$229=L$3,SUMIF('TL07'!$C$238:$C$451,$C319,'TL07'!$J$238:$J$451),0),
IF('TL08'!$B$3=L$3,SUMIF('TL08'!$C$10:$C$224,$C319,'TL08'!$J$10:$J$224),0),
IF('TL08'!$B$229=L$3,SUMIF('TL08'!$C$238:$C$451,$C319,'TL08'!$J$238:$J$451),0),
IF('TL09'!$B$3=L$3,SUMIF('TL09'!$C$10:$C$224,$C319,'TL09'!$J$10:$J$224),0),
IF('TL09'!$B$229=L$3,SUMIF('TL09'!$C$238:$C$451,$C319,'TL09'!$J$238:$J$451),0),
IF('TL10'!$B$3=L$3,SUMIF('TL10'!$C$10:$C$224,$C319,'TL10'!$J$10:$J$224),0),
IF('TL10'!$B$229=L$3,SUMIF('TL10'!$C$238:$C$451,$C319,'TL10'!$J$238:$J$451),0),
IF('TL11'!$B$3=L$3,SUMIF('TL11'!$C$10:$C$224,$C319,'TL11'!$J$10:$J$224),0),
IF('TL11'!$B$229=L$3,SUMIF('TL11'!$C$238:$C$451,$C319,'TL11'!$J$238:$J$451),0),
IF('TL12'!$B$3=L$3,SUMIF('TL12'!$C$10:$C$224,$C319,'TL12'!$J$10:$J$224),0),
IF('TL12'!$B$229=L$3,SUMIF('TL12'!$C$238:$C$451,$C319,'TL12'!$J$238:$J$451),0),
IF('TL13'!$B$3=L$3,SUMIF('TL13'!$C$10:$C$224,$C319,'TL13'!$J$10:$J$224),0),
IF('TL13'!$B$229=L$3,SUMIF('TL13'!$C$238:$C$451,$C319,'TL13'!$J$238:$J$451),0),
IF('TL14'!$B$3=L$3,SUMIF('TL14'!$C$10:$C$224,$C319,'TL14'!$J$10:$J$224),0),
IF('TL14'!$B$229=L$3,SUMIF('TL14'!$C$238:$C$451,$C319,'TL14'!$J$238:$J$451),0),
IF('TL15'!$B$3=L$3,SUMIF('TL15'!$C$10:$C$224,$C319,'TL15'!$J$10:$J$224),0),
IF('TL15'!$B$229=L$3,SUMIF('TL15'!$C$238:$C$451,$C319,'TL15'!$J$238:$J$451),0),
IF('TL16'!$B$3=L$3,SUMIF('TL16'!$C$10:$C$224,$C319,'TL16'!$J$10:$J$224),0),
IF('TL16'!$B$229=L$3,SUMIF('TL16'!$C$238:$C$451,$C319,'TL16'!$J$238:$J$451),0),
IF('TL17'!$B$3=L$3,SUMIF('TL17'!$C$10:$C$224,$C319,'TL17'!$J$10:$J$224),0),
IF('TL17'!$B$229=L$3,SUMIF('TL17'!$C$238:$C$451,$C319,'TL17'!$J$238:$J$451),0),
IF('TL18'!$B$3=L$3,SUMIF('TL18'!$C$10:$C$224,$C319,'TL18'!$J$10:$J$224),0),
IF('TL18'!$B$229=L$3,SUMIF('TL18'!$C$238:$C$451,$C319,'TL18'!$J$238:$J$451),0),
IF('TL19'!$B$3=L$3,SUMIF('TL19'!$C$10:$C$224,$C319,'TL19'!$J$10:$J$224),0),
IF('TL19'!$B$229=L$3,SUMIF('TL19'!$C$238:$C$451,$C319,'TL19'!$J$238:$J$451),0)
),0)</f>
        <v/>
      </c>
      <c r="M319" s="9">
        <f>IFERROR(SUM(
IF('TL01'!$B$3=M$3,SUMIF('TL01'!$C$10:$C$224,$C319,'TL01'!$J$10:$J$224),0),
IF('TL01'!$B$229=M$3,SUMIF('TL01'!$C$238:$C$451,$C319,'TL01'!$J$238:$J$451),0),
IF('TL02'!$B$3=M$3,SUMIF('TL02'!$C$10:$C$224,$C319,'TL02'!$J$10:$J$224),0),
IF('TL02'!$B$229=M$3,SUMIF('TL02'!$C$238:$C$451,$C319,'TL02'!$J$238:$J$451),0),
IF('TL03'!$B$3=M$3,SUMIF('TL03'!$C$10:$C$224,$C319,'TL03'!$J$10:$J$224),0),
IF('TL03'!$B$229=M$3,SUMIF('TL03'!$C$238:$C$451,$C319,'TL03'!$J$238:$J$451),0),
IF('TL04'!$B$3=M$3,SUMIF('TL04'!$C$10:$C$224,$C319,'TL04'!$J$10:$J$224),0),
IF('TL04'!$B$229=M$3,SUMIF('TL04'!$C$238:$C$451,$C319,'TL04'!$J$238:$J$451),0),
IF('TL05'!$B$3=M$3,SUMIF('TL05'!$C$10:$C$224,$C319,'TL05'!$J$10:$J$224),0),
IF('TL05'!$B$229=M$3,SUMIF('TL05'!$C$238:$C$451,$C319,'TL05'!$J$238:$J$451),0),
IF('TL06'!$B$3=M$3,SUMIF('TL06'!$C$10:$C$224,$C319,'TL06'!$J$10:$J$224),0),
IF('TL06'!$B$229=M$3,SUMIF('TL06'!$C$238:$C$451,$C319,'TL06'!$J$238:$J$451),0),
IF('TL07'!$B$3=M$3,SUMIF('TL07'!$C$10:$C$224,$C319,'TL07'!$J$10:$J$224),0),
IF('TL07'!$B$229=M$3,SUMIF('TL07'!$C$238:$C$451,$C319,'TL07'!$J$238:$J$451),0),
IF('TL08'!$B$3=M$3,SUMIF('TL08'!$C$10:$C$224,$C319,'TL08'!$J$10:$J$224),0),
IF('TL08'!$B$229=M$3,SUMIF('TL08'!$C$238:$C$451,$C319,'TL08'!$J$238:$J$451),0),
IF('TL09'!$B$3=M$3,SUMIF('TL09'!$C$10:$C$224,$C319,'TL09'!$J$10:$J$224),0),
IF('TL09'!$B$229=M$3,SUMIF('TL09'!$C$238:$C$451,$C319,'TL09'!$J$238:$J$451),0),
IF('TL10'!$B$3=M$3,SUMIF('TL10'!$C$10:$C$224,$C319,'TL10'!$J$10:$J$224),0),
IF('TL10'!$B$229=M$3,SUMIF('TL10'!$C$238:$C$451,$C319,'TL10'!$J$238:$J$451),0),
IF('TL11'!$B$3=M$3,SUMIF('TL11'!$C$10:$C$224,$C319,'TL11'!$J$10:$J$224),0),
IF('TL11'!$B$229=M$3,SUMIF('TL11'!$C$238:$C$451,$C319,'TL11'!$J$238:$J$451),0),
IF('TL12'!$B$3=M$3,SUMIF('TL12'!$C$10:$C$224,$C319,'TL12'!$J$10:$J$224),0),
IF('TL12'!$B$229=M$3,SUMIF('TL12'!$C$238:$C$451,$C319,'TL12'!$J$238:$J$451),0),
IF('TL13'!$B$3=M$3,SUMIF('TL13'!$C$10:$C$224,$C319,'TL13'!$J$10:$J$224),0),
IF('TL13'!$B$229=M$3,SUMIF('TL13'!$C$238:$C$451,$C319,'TL13'!$J$238:$J$451),0),
IF('TL14'!$B$3=M$3,SUMIF('TL14'!$C$10:$C$224,$C319,'TL14'!$J$10:$J$224),0),
IF('TL14'!$B$229=M$3,SUMIF('TL14'!$C$238:$C$451,$C319,'TL14'!$J$238:$J$451),0),
IF('TL15'!$B$3=M$3,SUMIF('TL15'!$C$10:$C$224,$C319,'TL15'!$J$10:$J$224),0),
IF('TL15'!$B$229=M$3,SUMIF('TL15'!$C$238:$C$451,$C319,'TL15'!$J$238:$J$451),0),
IF('TL16'!$B$3=M$3,SUMIF('TL16'!$C$10:$C$224,$C319,'TL16'!$J$10:$J$224),0),
IF('TL16'!$B$229=M$3,SUMIF('TL16'!$C$238:$C$451,$C319,'TL16'!$J$238:$J$451),0),
IF('TL17'!$B$3=M$3,SUMIF('TL17'!$C$10:$C$224,$C319,'TL17'!$J$10:$J$224),0),
IF('TL17'!$B$229=M$3,SUMIF('TL17'!$C$238:$C$451,$C319,'TL17'!$J$238:$J$451),0),
IF('TL18'!$B$3=M$3,SUMIF('TL18'!$C$10:$C$224,$C319,'TL18'!$J$10:$J$224),0),
IF('TL18'!$B$229=M$3,SUMIF('TL18'!$C$238:$C$451,$C319,'TL18'!$J$238:$J$451),0),
IF('TL19'!$B$3=M$3,SUMIF('TL19'!$C$10:$C$224,$C319,'TL19'!$J$10:$J$224),0),
IF('TL19'!$B$229=M$3,SUMIF('TL19'!$C$238:$C$451,$C319,'TL19'!$J$238:$J$451),0)
),0)</f>
        <v/>
      </c>
      <c r="N319" s="9">
        <f>IFERROR(SUM(
IF('TL01'!$B$3=N$3,SUMIF('TL01'!$C$10:$C$224,$C319,'TL01'!$J$10:$J$224),0),
IF('TL01'!$B$229=N$3,SUMIF('TL01'!$C$238:$C$451,$C319,'TL01'!$J$238:$J$451),0),
IF('TL02'!$B$3=N$3,SUMIF('TL02'!$C$10:$C$224,$C319,'TL02'!$J$10:$J$224),0),
IF('TL02'!$B$229=N$3,SUMIF('TL02'!$C$238:$C$451,$C319,'TL02'!$J$238:$J$451),0),
IF('TL03'!$B$3=N$3,SUMIF('TL03'!$C$10:$C$224,$C319,'TL03'!$J$10:$J$224),0),
IF('TL03'!$B$229=N$3,SUMIF('TL03'!$C$238:$C$451,$C319,'TL03'!$J$238:$J$451),0),
IF('TL04'!$B$3=N$3,SUMIF('TL04'!$C$10:$C$224,$C319,'TL04'!$J$10:$J$224),0),
IF('TL04'!$B$229=N$3,SUMIF('TL04'!$C$238:$C$451,$C319,'TL04'!$J$238:$J$451),0),
IF('TL05'!$B$3=N$3,SUMIF('TL05'!$C$10:$C$224,$C319,'TL05'!$J$10:$J$224),0),
IF('TL05'!$B$229=N$3,SUMIF('TL05'!$C$238:$C$451,$C319,'TL05'!$J$238:$J$451),0),
IF('TL06'!$B$3=N$3,SUMIF('TL06'!$C$10:$C$224,$C319,'TL06'!$J$10:$J$224),0),
IF('TL06'!$B$229=N$3,SUMIF('TL06'!$C$238:$C$451,$C319,'TL06'!$J$238:$J$451),0),
IF('TL07'!$B$3=N$3,SUMIF('TL07'!$C$10:$C$224,$C319,'TL07'!$J$10:$J$224),0),
IF('TL07'!$B$229=N$3,SUMIF('TL07'!$C$238:$C$451,$C319,'TL07'!$J$238:$J$451),0),
IF('TL08'!$B$3=N$3,SUMIF('TL08'!$C$10:$C$224,$C319,'TL08'!$J$10:$J$224),0),
IF('TL08'!$B$229=N$3,SUMIF('TL08'!$C$238:$C$451,$C319,'TL08'!$J$238:$J$451),0),
IF('TL09'!$B$3=N$3,SUMIF('TL09'!$C$10:$C$224,$C319,'TL09'!$J$10:$J$224),0),
IF('TL09'!$B$229=N$3,SUMIF('TL09'!$C$238:$C$451,$C319,'TL09'!$J$238:$J$451),0),
IF('TL10'!$B$3=N$3,SUMIF('TL10'!$C$10:$C$224,$C319,'TL10'!$J$10:$J$224),0),
IF('TL10'!$B$229=N$3,SUMIF('TL10'!$C$238:$C$451,$C319,'TL10'!$J$238:$J$451),0),
IF('TL11'!$B$3=N$3,SUMIF('TL11'!$C$10:$C$224,$C319,'TL11'!$J$10:$J$224),0),
IF('TL11'!$B$229=N$3,SUMIF('TL11'!$C$238:$C$451,$C319,'TL11'!$J$238:$J$451),0),
IF('TL12'!$B$3=N$3,SUMIF('TL12'!$C$10:$C$224,$C319,'TL12'!$J$10:$J$224),0),
IF('TL12'!$B$229=N$3,SUMIF('TL12'!$C$238:$C$451,$C319,'TL12'!$J$238:$J$451),0),
IF('TL13'!$B$3=N$3,SUMIF('TL13'!$C$10:$C$224,$C319,'TL13'!$J$10:$J$224),0),
IF('TL13'!$B$229=N$3,SUMIF('TL13'!$C$238:$C$451,$C319,'TL13'!$J$238:$J$451),0),
IF('TL14'!$B$3=N$3,SUMIF('TL14'!$C$10:$C$224,$C319,'TL14'!$J$10:$J$224),0),
IF('TL14'!$B$229=N$3,SUMIF('TL14'!$C$238:$C$451,$C319,'TL14'!$J$238:$J$451),0),
IF('TL15'!$B$3=N$3,SUMIF('TL15'!$C$10:$C$224,$C319,'TL15'!$J$10:$J$224),0),
IF('TL15'!$B$229=N$3,SUMIF('TL15'!$C$238:$C$451,$C319,'TL15'!$J$238:$J$451),0),
IF('TL16'!$B$3=N$3,SUMIF('TL16'!$C$10:$C$224,$C319,'TL16'!$J$10:$J$224),0),
IF('TL16'!$B$229=N$3,SUMIF('TL16'!$C$238:$C$451,$C319,'TL16'!$J$238:$J$451),0),
IF('TL17'!$B$3=N$3,SUMIF('TL17'!$C$10:$C$224,$C319,'TL17'!$J$10:$J$224),0),
IF('TL17'!$B$229=N$3,SUMIF('TL17'!$C$238:$C$451,$C319,'TL17'!$J$238:$J$451),0),
IF('TL18'!$B$3=N$3,SUMIF('TL18'!$C$10:$C$224,$C319,'TL18'!$J$10:$J$224),0),
IF('TL18'!$B$229=N$3,SUMIF('TL18'!$C$238:$C$451,$C319,'TL18'!$J$238:$J$451),0),
IF('TL19'!$B$3=N$3,SUMIF('TL19'!$C$10:$C$224,$C319,'TL19'!$J$10:$J$224),0),
IF('TL19'!$B$229=N$3,SUMIF('TL19'!$C$238:$C$451,$C319,'TL19'!$J$238:$J$451),0)
),0)</f>
        <v/>
      </c>
      <c r="O319" s="9">
        <f>IFERROR(SUM(
IF('TL01'!$B$3=O$3,SUMIF('TL01'!$C$10:$C$224,$C319,'TL01'!$J$10:$J$224),0),
IF('TL01'!$B$229=O$3,SUMIF('TL01'!$C$238:$C$451,$C319,'TL01'!$J$238:$J$451),0),
IF('TL02'!$B$3=O$3,SUMIF('TL02'!$C$10:$C$224,$C319,'TL02'!$J$10:$J$224),0),
IF('TL02'!$B$229=O$3,SUMIF('TL02'!$C$238:$C$451,$C319,'TL02'!$J$238:$J$451),0),
IF('TL03'!$B$3=O$3,SUMIF('TL03'!$C$10:$C$224,$C319,'TL03'!$J$10:$J$224),0),
IF('TL03'!$B$229=O$3,SUMIF('TL03'!$C$238:$C$451,$C319,'TL03'!$J$238:$J$451),0),
IF('TL04'!$B$3=O$3,SUMIF('TL04'!$C$10:$C$224,$C319,'TL04'!$J$10:$J$224),0),
IF('TL04'!$B$229=O$3,SUMIF('TL04'!$C$238:$C$451,$C319,'TL04'!$J$238:$J$451),0),
IF('TL05'!$B$3=O$3,SUMIF('TL05'!$C$10:$C$224,$C319,'TL05'!$J$10:$J$224),0),
IF('TL05'!$B$229=O$3,SUMIF('TL05'!$C$238:$C$451,$C319,'TL05'!$J$238:$J$451),0),
IF('TL06'!$B$3=O$3,SUMIF('TL06'!$C$10:$C$224,$C319,'TL06'!$J$10:$J$224),0),
IF('TL06'!$B$229=O$3,SUMIF('TL06'!$C$238:$C$451,$C319,'TL06'!$J$238:$J$451),0),
IF('TL07'!$B$3=O$3,SUMIF('TL07'!$C$10:$C$224,$C319,'TL07'!$J$10:$J$224),0),
IF('TL07'!$B$229=O$3,SUMIF('TL07'!$C$238:$C$451,$C319,'TL07'!$J$238:$J$451),0),
IF('TL08'!$B$3=O$3,SUMIF('TL08'!$C$10:$C$224,$C319,'TL08'!$J$10:$J$224),0),
IF('TL08'!$B$229=O$3,SUMIF('TL08'!$C$238:$C$451,$C319,'TL08'!$J$238:$J$451),0),
IF('TL09'!$B$3=O$3,SUMIF('TL09'!$C$10:$C$224,$C319,'TL09'!$J$10:$J$224),0),
IF('TL09'!$B$229=O$3,SUMIF('TL09'!$C$238:$C$451,$C319,'TL09'!$J$238:$J$451),0),
IF('TL10'!$B$3=O$3,SUMIF('TL10'!$C$10:$C$224,$C319,'TL10'!$J$10:$J$224),0),
IF('TL10'!$B$229=O$3,SUMIF('TL10'!$C$238:$C$451,$C319,'TL10'!$J$238:$J$451),0),
IF('TL11'!$B$3=O$3,SUMIF('TL11'!$C$10:$C$224,$C319,'TL11'!$J$10:$J$224),0),
IF('TL11'!$B$229=O$3,SUMIF('TL11'!$C$238:$C$451,$C319,'TL11'!$J$238:$J$451),0),
IF('TL12'!$B$3=O$3,SUMIF('TL12'!$C$10:$C$224,$C319,'TL12'!$J$10:$J$224),0),
IF('TL12'!$B$229=O$3,SUMIF('TL12'!$C$238:$C$451,$C319,'TL12'!$J$238:$J$451),0),
IF('TL13'!$B$3=O$3,SUMIF('TL13'!$C$10:$C$224,$C319,'TL13'!$J$10:$J$224),0),
IF('TL13'!$B$229=O$3,SUMIF('TL13'!$C$238:$C$451,$C319,'TL13'!$J$238:$J$451),0),
IF('TL14'!$B$3=O$3,SUMIF('TL14'!$C$10:$C$224,$C319,'TL14'!$J$10:$J$224),0),
IF('TL14'!$B$229=O$3,SUMIF('TL14'!$C$238:$C$451,$C319,'TL14'!$J$238:$J$451),0),
IF('TL15'!$B$3=O$3,SUMIF('TL15'!$C$10:$C$224,$C319,'TL15'!$J$10:$J$224),0),
IF('TL15'!$B$229=O$3,SUMIF('TL15'!$C$238:$C$451,$C319,'TL15'!$J$238:$J$451),0),
IF('TL16'!$B$3=O$3,SUMIF('TL16'!$C$10:$C$224,$C319,'TL16'!$J$10:$J$224),0),
IF('TL16'!$B$229=O$3,SUMIF('TL16'!$C$238:$C$451,$C319,'TL16'!$J$238:$J$451),0),
IF('TL17'!$B$3=O$3,SUMIF('TL17'!$C$10:$C$224,$C319,'TL17'!$J$10:$J$224),0),
IF('TL17'!$B$229=O$3,SUMIF('TL17'!$C$238:$C$451,$C319,'TL17'!$J$238:$J$451),0),
IF('TL18'!$B$3=O$3,SUMIF('TL18'!$C$10:$C$224,$C319,'TL18'!$J$10:$J$224),0),
IF('TL18'!$B$229=O$3,SUMIF('TL18'!$C$238:$C$451,$C319,'TL18'!$J$238:$J$451),0),
IF('TL19'!$B$3=O$3,SUMIF('TL19'!$C$10:$C$224,$C319,'TL19'!$J$10:$J$224),0),
IF('TL19'!$B$229=O$3,SUMIF('TL19'!$C$238:$C$451,$C319,'TL19'!$J$238:$J$451),0)
),0)</f>
        <v/>
      </c>
      <c r="P319" s="9">
        <f>IFERROR(SUM(
IF('TL01'!$B$3=P$3,SUMIF('TL01'!$C$10:$C$224,$C319,'TL01'!$J$10:$J$224),0),
IF('TL01'!$B$229=P$3,SUMIF('TL01'!$C$238:$C$451,$C319,'TL01'!$J$238:$J$451),0),
IF('TL02'!$B$3=P$3,SUMIF('TL02'!$C$10:$C$224,$C319,'TL02'!$J$10:$J$224),0),
IF('TL02'!$B$229=P$3,SUMIF('TL02'!$C$238:$C$451,$C319,'TL02'!$J$238:$J$451),0),
IF('TL03'!$B$3=P$3,SUMIF('TL03'!$C$10:$C$224,$C319,'TL03'!$J$10:$J$224),0),
IF('TL03'!$B$229=P$3,SUMIF('TL03'!$C$238:$C$451,$C319,'TL03'!$J$238:$J$451),0),
IF('TL04'!$B$3=P$3,SUMIF('TL04'!$C$10:$C$224,$C319,'TL04'!$J$10:$J$224),0),
IF('TL04'!$B$229=P$3,SUMIF('TL04'!$C$238:$C$451,$C319,'TL04'!$J$238:$J$451),0),
IF('TL05'!$B$3=P$3,SUMIF('TL05'!$C$10:$C$224,$C319,'TL05'!$J$10:$J$224),0),
IF('TL05'!$B$229=P$3,SUMIF('TL05'!$C$238:$C$451,$C319,'TL05'!$J$238:$J$451),0),
IF('TL06'!$B$3=P$3,SUMIF('TL06'!$C$10:$C$224,$C319,'TL06'!$J$10:$J$224),0),
IF('TL06'!$B$229=P$3,SUMIF('TL06'!$C$238:$C$451,$C319,'TL06'!$J$238:$J$451),0),
IF('TL07'!$B$3=P$3,SUMIF('TL07'!$C$10:$C$224,$C319,'TL07'!$J$10:$J$224),0),
IF('TL07'!$B$229=P$3,SUMIF('TL07'!$C$238:$C$451,$C319,'TL07'!$J$238:$J$451),0),
IF('TL08'!$B$3=P$3,SUMIF('TL08'!$C$10:$C$224,$C319,'TL08'!$J$10:$J$224),0),
IF('TL08'!$B$229=P$3,SUMIF('TL08'!$C$238:$C$451,$C319,'TL08'!$J$238:$J$451),0),
IF('TL09'!$B$3=P$3,SUMIF('TL09'!$C$10:$C$224,$C319,'TL09'!$J$10:$J$224),0),
IF('TL09'!$B$229=P$3,SUMIF('TL09'!$C$238:$C$451,$C319,'TL09'!$J$238:$J$451),0),
IF('TL10'!$B$3=P$3,SUMIF('TL10'!$C$10:$C$224,$C319,'TL10'!$J$10:$J$224),0),
IF('TL10'!$B$229=P$3,SUMIF('TL10'!$C$238:$C$451,$C319,'TL10'!$J$238:$J$451),0),
IF('TL11'!$B$3=P$3,SUMIF('TL11'!$C$10:$C$224,$C319,'TL11'!$J$10:$J$224),0),
IF('TL11'!$B$229=P$3,SUMIF('TL11'!$C$238:$C$451,$C319,'TL11'!$J$238:$J$451),0),
IF('TL12'!$B$3=P$3,SUMIF('TL12'!$C$10:$C$224,$C319,'TL12'!$J$10:$J$224),0),
IF('TL12'!$B$229=P$3,SUMIF('TL12'!$C$238:$C$451,$C319,'TL12'!$J$238:$J$451),0),
IF('TL13'!$B$3=P$3,SUMIF('TL13'!$C$10:$C$224,$C319,'TL13'!$J$10:$J$224),0),
IF('TL13'!$B$229=P$3,SUMIF('TL13'!$C$238:$C$451,$C319,'TL13'!$J$238:$J$451),0),
IF('TL14'!$B$3=P$3,SUMIF('TL14'!$C$10:$C$224,$C319,'TL14'!$J$10:$J$224),0),
IF('TL14'!$B$229=P$3,SUMIF('TL14'!$C$238:$C$451,$C319,'TL14'!$J$238:$J$451),0),
IF('TL15'!$B$3=P$3,SUMIF('TL15'!$C$10:$C$224,$C319,'TL15'!$J$10:$J$224),0),
IF('TL15'!$B$229=P$3,SUMIF('TL15'!$C$238:$C$451,$C319,'TL15'!$J$238:$J$451),0),
IF('TL16'!$B$3=P$3,SUMIF('TL16'!$C$10:$C$224,$C319,'TL16'!$J$10:$J$224),0),
IF('TL16'!$B$229=P$3,SUMIF('TL16'!$C$238:$C$451,$C319,'TL16'!$J$238:$J$451),0),
IF('TL17'!$B$3=P$3,SUMIF('TL17'!$C$10:$C$224,$C319,'TL17'!$J$10:$J$224),0),
IF('TL17'!$B$229=P$3,SUMIF('TL17'!$C$238:$C$451,$C319,'TL17'!$J$238:$J$451),0),
IF('TL18'!$B$3=P$3,SUMIF('TL18'!$C$10:$C$224,$C319,'TL18'!$J$10:$J$224),0),
IF('TL18'!$B$229=P$3,SUMIF('TL18'!$C$238:$C$451,$C319,'TL18'!$J$238:$J$451),0),
IF('TL19'!$B$3=P$3,SUMIF('TL19'!$C$10:$C$224,$C319,'TL19'!$J$10:$J$224),0),
IF('TL19'!$B$229=P$3,SUMIF('TL19'!$C$238:$C$451,$C319,'TL19'!$J$238:$J$451),0)
),0)</f>
        <v/>
      </c>
      <c r="Q319" s="9">
        <f>IFERROR(SUM(
IF('TL01'!$B$3=Q$3,SUMIF('TL01'!$C$10:$C$224,$C319,'TL01'!$J$10:$J$224),0),
IF('TL01'!$B$229=Q$3,SUMIF('TL01'!$C$238:$C$451,$C319,'TL01'!$J$238:$J$451),0),
IF('TL02'!$B$3=Q$3,SUMIF('TL02'!$C$10:$C$224,$C319,'TL02'!$J$10:$J$224),0),
IF('TL02'!$B$229=Q$3,SUMIF('TL02'!$C$238:$C$451,$C319,'TL02'!$J$238:$J$451),0),
IF('TL03'!$B$3=Q$3,SUMIF('TL03'!$C$10:$C$224,$C319,'TL03'!$J$10:$J$224),0),
IF('TL03'!$B$229=Q$3,SUMIF('TL03'!$C$238:$C$451,$C319,'TL03'!$J$238:$J$451),0),
IF('TL04'!$B$3=Q$3,SUMIF('TL04'!$C$10:$C$224,$C319,'TL04'!$J$10:$J$224),0),
IF('TL04'!$B$229=Q$3,SUMIF('TL04'!$C$238:$C$451,$C319,'TL04'!$J$238:$J$451),0),
IF('TL05'!$B$3=Q$3,SUMIF('TL05'!$C$10:$C$224,$C319,'TL05'!$J$10:$J$224),0),
IF('TL05'!$B$229=Q$3,SUMIF('TL05'!$C$238:$C$451,$C319,'TL05'!$J$238:$J$451),0),
IF('TL06'!$B$3=Q$3,SUMIF('TL06'!$C$10:$C$224,$C319,'TL06'!$J$10:$J$224),0),
IF('TL06'!$B$229=Q$3,SUMIF('TL06'!$C$238:$C$451,$C319,'TL06'!$J$238:$J$451),0),
IF('TL07'!$B$3=Q$3,SUMIF('TL07'!$C$10:$C$224,$C319,'TL07'!$J$10:$J$224),0),
IF('TL07'!$B$229=Q$3,SUMIF('TL07'!$C$238:$C$451,$C319,'TL07'!$J$238:$J$451),0),
IF('TL08'!$B$3=Q$3,SUMIF('TL08'!$C$10:$C$224,$C319,'TL08'!$J$10:$J$224),0),
IF('TL08'!$B$229=Q$3,SUMIF('TL08'!$C$238:$C$451,$C319,'TL08'!$J$238:$J$451),0),
IF('TL09'!$B$3=Q$3,SUMIF('TL09'!$C$10:$C$224,$C319,'TL09'!$J$10:$J$224),0),
IF('TL09'!$B$229=Q$3,SUMIF('TL09'!$C$238:$C$451,$C319,'TL09'!$J$238:$J$451),0),
IF('TL10'!$B$3=Q$3,SUMIF('TL10'!$C$10:$C$224,$C319,'TL10'!$J$10:$J$224),0),
IF('TL10'!$B$229=Q$3,SUMIF('TL10'!$C$238:$C$451,$C319,'TL10'!$J$238:$J$451),0),
IF('TL11'!$B$3=Q$3,SUMIF('TL11'!$C$10:$C$224,$C319,'TL11'!$J$10:$J$224),0),
IF('TL11'!$B$229=Q$3,SUMIF('TL11'!$C$238:$C$451,$C319,'TL11'!$J$238:$J$451),0),
IF('TL12'!$B$3=Q$3,SUMIF('TL12'!$C$10:$C$224,$C319,'TL12'!$J$10:$J$224),0),
IF('TL12'!$B$229=Q$3,SUMIF('TL12'!$C$238:$C$451,$C319,'TL12'!$J$238:$J$451),0),
IF('TL13'!$B$3=Q$3,SUMIF('TL13'!$C$10:$C$224,$C319,'TL13'!$J$10:$J$224),0),
IF('TL13'!$B$229=Q$3,SUMIF('TL13'!$C$238:$C$451,$C319,'TL13'!$J$238:$J$451),0),
IF('TL14'!$B$3=Q$3,SUMIF('TL14'!$C$10:$C$224,$C319,'TL14'!$J$10:$J$224),0),
IF('TL14'!$B$229=Q$3,SUMIF('TL14'!$C$238:$C$451,$C319,'TL14'!$J$238:$J$451),0),
IF('TL15'!$B$3=Q$3,SUMIF('TL15'!$C$10:$C$224,$C319,'TL15'!$J$10:$J$224),0),
IF('TL15'!$B$229=Q$3,SUMIF('TL15'!$C$238:$C$451,$C319,'TL15'!$J$238:$J$451),0),
IF('TL16'!$B$3=Q$3,SUMIF('TL16'!$C$10:$C$224,$C319,'TL16'!$J$10:$J$224),0),
IF('TL16'!$B$229=Q$3,SUMIF('TL16'!$C$238:$C$451,$C319,'TL16'!$J$238:$J$451),0),
IF('TL17'!$B$3=Q$3,SUMIF('TL17'!$C$10:$C$224,$C319,'TL17'!$J$10:$J$224),0),
IF('TL17'!$B$229=Q$3,SUMIF('TL17'!$C$238:$C$451,$C319,'TL17'!$J$238:$J$451),0),
IF('TL18'!$B$3=Q$3,SUMIF('TL18'!$C$10:$C$224,$C319,'TL18'!$J$10:$J$224),0),
IF('TL18'!$B$229=Q$3,SUMIF('TL18'!$C$238:$C$451,$C319,'TL18'!$J$238:$J$451),0),
IF('TL19'!$B$3=Q$3,SUMIF('TL19'!$C$10:$C$224,$C319,'TL19'!$J$10:$J$224),0),
IF('TL19'!$B$229=Q$3,SUMIF('TL19'!$C$238:$C$451,$C319,'TL19'!$J$238:$J$451),0)
),0)</f>
        <v/>
      </c>
      <c r="R319" s="9">
        <f>IFERROR(
SUM(
SUMIF('TL01'!C:C,C319,'TL01'!J:J),
SUMIF('TL02'!C:C,C319,'TL02'!J:J),
SUMIF('TL03'!C:C,C319,'TL03'!J:J),
SUMIF('TL04'!C:C,C319,'TL04'!J:J),
SUMIF('TL05'!C:C,C319,'TL05'!J:J),
SUMIF('TL06'!C:C,C319,'TL06'!J:J),
SUMIF('TL07'!C:C,C319,'TL07'!J:J),
SUMIF('TL08'!C:C,C319,'TL08'!J:J),
SUMIF('TL09'!C:C,C319,'TL09'!J:J),
SUMIF('TL10'!C:C,C319,'TL10'!J:J),
SUMIF('TL11'!C:C,C319,'TL11'!J:J),
SUMIF('TL12'!C:C,C319,'TL12'!J:J),
SUMIF('TL13'!C:C,C319,'TL13'!J:J),
SUMIF('TL14'!C:C,C319,'TL14'!J:J),
SUMIF('TL15'!C:C,C319,'TL15'!J:J),
SUMIF('TL16'!C:C,C319,'TL16'!J:J),
SUMIF('TL17'!C:C,C319,'TL17'!J:J),
SUMIF('TL18'!C:C,C319,'TL18'!J:J),SUMIF('TL19'!C:C,C319,'TL19'!J:J))
,0)</f>
        <v/>
      </c>
      <c r="S319" s="17">
        <f>IFERROR(__xludf.DUMMYFUNCTION("IFERROR(VLOOKUP(C319,
IMPORTRANGE(""1wULbzX32WdYsx-lj2U3uUNBBe2INVIRDtcK0d-Dvl90"",
""26-27!C:G""),
5,
FALSE),
"""")"),"")</f>
        <v/>
      </c>
      <c r="T319" s="9" t="n"/>
      <c r="U319" s="92">
        <f>MAX(0,R319-T319)</f>
        <v/>
      </c>
      <c r="V319" s="93">
        <f>U319*S319</f>
        <v/>
      </c>
    </row>
    <row r="320" hidden="1" ht="15.75" customHeight="1" s="297">
      <c r="A320" s="4" t="n"/>
      <c r="B320" s="125" t="inlineStr">
        <is>
          <t>SEMENTE</t>
        </is>
      </c>
      <c r="C320" s="4" t="inlineStr">
        <is>
          <t>CORDIUS C2795 CE</t>
        </is>
      </c>
      <c r="D320" s="4" t="inlineStr">
        <is>
          <t>MATURAÇÃO 7.9</t>
        </is>
      </c>
      <c r="E320" s="9" t="n"/>
      <c r="F320" s="4" t="n"/>
      <c r="G320" s="90">
        <f>HYPERLINK("https://www.google.com/search?q=" &amp; C320 &amp; "+bula+agrofit+pdf", "📄 Ver bula")</f>
        <v/>
      </c>
      <c r="H320" s="9" t="n"/>
      <c r="I320" s="1" t="inlineStr">
        <is>
          <t>BAG</t>
        </is>
      </c>
      <c r="J320" s="9">
        <f>IFERROR(SUM(
IF('TL01'!$B$3=J$3,SUMIF('TL01'!$C$10:$C$224,$C320,'TL01'!$J$10:$J$224),0),
IF('TL01'!$B$229=J$3,SUMIF('TL01'!$C$238:$C$451,$C320,'TL01'!$J$238:$J$451),0),
IF('TL02'!$B$3=J$3,SUMIF('TL02'!$C$10:$C$224,$C320,'TL02'!$J$10:$J$224),0),
IF('TL02'!$B$229=J$3,SUMIF('TL02'!$C$238:$C$451,$C320,'TL02'!$J$238:$J$451),0),
IF('TL03'!$B$3=J$3,SUMIF('TL03'!$C$10:$C$224,$C320,'TL03'!$J$10:$J$224),0),
IF('TL03'!$B$229=J$3,SUMIF('TL03'!$C$238:$C$451,$C320,'TL03'!$J$238:$J$451),0),
IF('TL04'!$B$3=J$3,SUMIF('TL04'!$C$10:$C$224,$C320,'TL04'!$J$10:$J$224),0),
IF('TL04'!$B$229=J$3,SUMIF('TL04'!$C$238:$C$451,$C320,'TL04'!$J$238:$J$451),0),
IF('TL05'!$B$3=J$3,SUMIF('TL05'!$C$10:$C$224,$C320,'TL05'!$J$10:$J$224),0),
IF('TL05'!$B$229=J$3,SUMIF('TL05'!$C$238:$C$451,$C320,'TL05'!$J$238:$J$451),0),
IF('TL06'!$B$3=J$3,SUMIF('TL06'!$C$10:$C$224,$C320,'TL06'!$J$10:$J$224),0),
IF('TL06'!$B$229=J$3,SUMIF('TL06'!$C$238:$C$451,$C320,'TL06'!$J$238:$J$451),0),
IF('TL07'!$B$3=J$3,SUMIF('TL07'!$C$10:$C$224,$C320,'TL07'!$J$10:$J$224),0),
IF('TL07'!$B$229=J$3,SUMIF('TL07'!$C$238:$C$451,$C320,'TL07'!$J$238:$J$451),0),
IF('TL08'!$B$3=J$3,SUMIF('TL08'!$C$10:$C$224,$C320,'TL08'!$J$10:$J$224),0),
IF('TL08'!$B$229=J$3,SUMIF('TL08'!$C$238:$C$451,$C320,'TL08'!$J$238:$J$451),0),
IF('TL09'!$B$3=J$3,SUMIF('TL09'!$C$10:$C$224,$C320,'TL09'!$J$10:$J$224),0),
IF('TL09'!$B$229=J$3,SUMIF('TL09'!$C$238:$C$451,$C320,'TL09'!$J$238:$J$451),0),
IF('TL10'!$B$3=J$3,SUMIF('TL10'!$C$10:$C$224,$C320,'TL10'!$J$10:$J$224),0),
IF('TL10'!$B$229=J$3,SUMIF('TL10'!$C$238:$C$451,$C320,'TL10'!$J$238:$J$451),0),
IF('TL11'!$B$3=J$3,SUMIF('TL11'!$C$10:$C$224,$C320,'TL11'!$J$10:$J$224),0),
IF('TL11'!$B$229=J$3,SUMIF('TL11'!$C$238:$C$451,$C320,'TL11'!$J$238:$J$451),0),
IF('TL12'!$B$3=J$3,SUMIF('TL12'!$C$10:$C$224,$C320,'TL12'!$J$10:$J$224),0),
IF('TL12'!$B$229=J$3,SUMIF('TL12'!$C$238:$C$451,$C320,'TL12'!$J$238:$J$451),0),
IF('TL13'!$B$3=J$3,SUMIF('TL13'!$C$10:$C$224,$C320,'TL13'!$J$10:$J$224),0),
IF('TL13'!$B$229=J$3,SUMIF('TL13'!$C$238:$C$451,$C320,'TL13'!$J$238:$J$451),0),
IF('TL14'!$B$3=J$3,SUMIF('TL14'!$C$10:$C$224,$C320,'TL14'!$J$10:$J$224),0),
IF('TL14'!$B$229=J$3,SUMIF('TL14'!$C$238:$C$451,$C320,'TL14'!$J$238:$J$451),0),
IF('TL15'!$B$3=J$3,SUMIF('TL15'!$C$10:$C$224,$C320,'TL15'!$J$10:$J$224),0),
IF('TL15'!$B$229=J$3,SUMIF('TL15'!$C$238:$C$451,$C320,'TL15'!$J$238:$J$451),0),
IF('TL16'!$B$3=J$3,SUMIF('TL16'!$C$10:$C$224,$C320,'TL16'!$J$10:$J$224),0),
IF('TL16'!$B$229=J$3,SUMIF('TL16'!$C$238:$C$451,$C320,'TL16'!$J$238:$J$451),0),
IF('TL17'!$B$3=J$3,SUMIF('TL17'!$C$10:$C$224,$C320,'TL17'!$J$10:$J$224),0),
IF('TL17'!$B$229=J$3,SUMIF('TL17'!$C$238:$C$451,$C320,'TL17'!$J$238:$J$451),0),
IF('TL18'!$B$3=J$3,SUMIF('TL18'!$C$10:$C$224,$C320,'TL18'!$J$10:$J$224),0),
IF('TL18'!$B$229=J$3,SUMIF('TL18'!$C$238:$C$451,$C320,'TL18'!$J$238:$J$451),0),
IF('TL19'!$B$3=J$3,SUMIF('TL19'!$C$10:$C$224,$C320,'TL19'!$J$10:$J$224),0),
IF('TL19'!$B$229=J$3,SUMIF('TL19'!$C$238:$C$451,$C320,'TL19'!$J$238:$J$451),0)
),0)</f>
        <v/>
      </c>
      <c r="K320" s="9">
        <f>IFERROR(SUM(
IF('TL01'!$B$3=K$3,SUMIF('TL01'!$C$10:$C$224,$C320,'TL01'!$J$10:$J$224),0),
IF('TL01'!$B$229=K$3,SUMIF('TL01'!$C$238:$C$451,$C320,'TL01'!$J$238:$J$451),0),
IF('TL02'!$B$3=K$3,SUMIF('TL02'!$C$10:$C$224,$C320,'TL02'!$J$10:$J$224),0),
IF('TL02'!$B$229=K$3,SUMIF('TL02'!$C$238:$C$451,$C320,'TL02'!$J$238:$J$451),0),
IF('TL03'!$B$3=K$3,SUMIF('TL03'!$C$10:$C$224,$C320,'TL03'!$J$10:$J$224),0),
IF('TL03'!$B$229=K$3,SUMIF('TL03'!$C$238:$C$451,$C320,'TL03'!$J$238:$J$451),0),
IF('TL04'!$B$3=K$3,SUMIF('TL04'!$C$10:$C$224,$C320,'TL04'!$J$10:$J$224),0),
IF('TL04'!$B$229=K$3,SUMIF('TL04'!$C$238:$C$451,$C320,'TL04'!$J$238:$J$451),0),
IF('TL05'!$B$3=K$3,SUMIF('TL05'!$C$10:$C$224,$C320,'TL05'!$J$10:$J$224),0),
IF('TL05'!$B$229=K$3,SUMIF('TL05'!$C$238:$C$451,$C320,'TL05'!$J$238:$J$451),0),
IF('TL06'!$B$3=K$3,SUMIF('TL06'!$C$10:$C$224,$C320,'TL06'!$J$10:$J$224),0),
IF('TL06'!$B$229=K$3,SUMIF('TL06'!$C$238:$C$451,$C320,'TL06'!$J$238:$J$451),0),
IF('TL07'!$B$3=K$3,SUMIF('TL07'!$C$10:$C$224,$C320,'TL07'!$J$10:$J$224),0),
IF('TL07'!$B$229=K$3,SUMIF('TL07'!$C$238:$C$451,$C320,'TL07'!$J$238:$J$451),0),
IF('TL08'!$B$3=K$3,SUMIF('TL08'!$C$10:$C$224,$C320,'TL08'!$J$10:$J$224),0),
IF('TL08'!$B$229=K$3,SUMIF('TL08'!$C$238:$C$451,$C320,'TL08'!$J$238:$J$451),0),
IF('TL09'!$B$3=K$3,SUMIF('TL09'!$C$10:$C$224,$C320,'TL09'!$J$10:$J$224),0),
IF('TL09'!$B$229=K$3,SUMIF('TL09'!$C$238:$C$451,$C320,'TL09'!$J$238:$J$451),0),
IF('TL10'!$B$3=K$3,SUMIF('TL10'!$C$10:$C$224,$C320,'TL10'!$J$10:$J$224),0),
IF('TL10'!$B$229=K$3,SUMIF('TL10'!$C$238:$C$451,$C320,'TL10'!$J$238:$J$451),0),
IF('TL11'!$B$3=K$3,SUMIF('TL11'!$C$10:$C$224,$C320,'TL11'!$J$10:$J$224),0),
IF('TL11'!$B$229=K$3,SUMIF('TL11'!$C$238:$C$451,$C320,'TL11'!$J$238:$J$451),0),
IF('TL12'!$B$3=K$3,SUMIF('TL12'!$C$10:$C$224,$C320,'TL12'!$J$10:$J$224),0),
IF('TL12'!$B$229=K$3,SUMIF('TL12'!$C$238:$C$451,$C320,'TL12'!$J$238:$J$451),0),
IF('TL13'!$B$3=K$3,SUMIF('TL13'!$C$10:$C$224,$C320,'TL13'!$J$10:$J$224),0),
IF('TL13'!$B$229=K$3,SUMIF('TL13'!$C$238:$C$451,$C320,'TL13'!$J$238:$J$451),0),
IF('TL14'!$B$3=K$3,SUMIF('TL14'!$C$10:$C$224,$C320,'TL14'!$J$10:$J$224),0),
IF('TL14'!$B$229=K$3,SUMIF('TL14'!$C$238:$C$451,$C320,'TL14'!$J$238:$J$451),0),
IF('TL15'!$B$3=K$3,SUMIF('TL15'!$C$10:$C$224,$C320,'TL15'!$J$10:$J$224),0),
IF('TL15'!$B$229=K$3,SUMIF('TL15'!$C$238:$C$451,$C320,'TL15'!$J$238:$J$451),0),
IF('TL16'!$B$3=K$3,SUMIF('TL16'!$C$10:$C$224,$C320,'TL16'!$J$10:$J$224),0),
IF('TL16'!$B$229=K$3,SUMIF('TL16'!$C$238:$C$451,$C320,'TL16'!$J$238:$J$451),0),
IF('TL17'!$B$3=K$3,SUMIF('TL17'!$C$10:$C$224,$C320,'TL17'!$J$10:$J$224),0),
IF('TL17'!$B$229=K$3,SUMIF('TL17'!$C$238:$C$451,$C320,'TL17'!$J$238:$J$451),0),
IF('TL18'!$B$3=K$3,SUMIF('TL18'!$C$10:$C$224,$C320,'TL18'!$J$10:$J$224),0),
IF('TL18'!$B$229=K$3,SUMIF('TL18'!$C$238:$C$451,$C320,'TL18'!$J$238:$J$451),0),
IF('TL19'!$B$3=K$3,SUMIF('TL19'!$C$10:$C$224,$C320,'TL19'!$J$10:$J$224),0),
IF('TL19'!$B$229=K$3,SUMIF('TL19'!$C$238:$C$451,$C320,'TL19'!$J$238:$J$451),0)
),0)</f>
        <v/>
      </c>
      <c r="L320" s="9">
        <f>IFERROR(SUM(
IF('TL01'!$B$3=L$3,SUMIF('TL01'!$C$10:$C$224,$C320,'TL01'!$J$10:$J$224),0),
IF('TL01'!$B$229=L$3,SUMIF('TL01'!$C$238:$C$451,$C320,'TL01'!$J$238:$J$451),0),
IF('TL02'!$B$3=L$3,SUMIF('TL02'!$C$10:$C$224,$C320,'TL02'!$J$10:$J$224),0),
IF('TL02'!$B$229=L$3,SUMIF('TL02'!$C$238:$C$451,$C320,'TL02'!$J$238:$J$451),0),
IF('TL03'!$B$3=L$3,SUMIF('TL03'!$C$10:$C$224,$C320,'TL03'!$J$10:$J$224),0),
IF('TL03'!$B$229=L$3,SUMIF('TL03'!$C$238:$C$451,$C320,'TL03'!$J$238:$J$451),0),
IF('TL04'!$B$3=L$3,SUMIF('TL04'!$C$10:$C$224,$C320,'TL04'!$J$10:$J$224),0),
IF('TL04'!$B$229=L$3,SUMIF('TL04'!$C$238:$C$451,$C320,'TL04'!$J$238:$J$451),0),
IF('TL05'!$B$3=L$3,SUMIF('TL05'!$C$10:$C$224,$C320,'TL05'!$J$10:$J$224),0),
IF('TL05'!$B$229=L$3,SUMIF('TL05'!$C$238:$C$451,$C320,'TL05'!$J$238:$J$451),0),
IF('TL06'!$B$3=L$3,SUMIF('TL06'!$C$10:$C$224,$C320,'TL06'!$J$10:$J$224),0),
IF('TL06'!$B$229=L$3,SUMIF('TL06'!$C$238:$C$451,$C320,'TL06'!$J$238:$J$451),0),
IF('TL07'!$B$3=L$3,SUMIF('TL07'!$C$10:$C$224,$C320,'TL07'!$J$10:$J$224),0),
IF('TL07'!$B$229=L$3,SUMIF('TL07'!$C$238:$C$451,$C320,'TL07'!$J$238:$J$451),0),
IF('TL08'!$B$3=L$3,SUMIF('TL08'!$C$10:$C$224,$C320,'TL08'!$J$10:$J$224),0),
IF('TL08'!$B$229=L$3,SUMIF('TL08'!$C$238:$C$451,$C320,'TL08'!$J$238:$J$451),0),
IF('TL09'!$B$3=L$3,SUMIF('TL09'!$C$10:$C$224,$C320,'TL09'!$J$10:$J$224),0),
IF('TL09'!$B$229=L$3,SUMIF('TL09'!$C$238:$C$451,$C320,'TL09'!$J$238:$J$451),0),
IF('TL10'!$B$3=L$3,SUMIF('TL10'!$C$10:$C$224,$C320,'TL10'!$J$10:$J$224),0),
IF('TL10'!$B$229=L$3,SUMIF('TL10'!$C$238:$C$451,$C320,'TL10'!$J$238:$J$451),0),
IF('TL11'!$B$3=L$3,SUMIF('TL11'!$C$10:$C$224,$C320,'TL11'!$J$10:$J$224),0),
IF('TL11'!$B$229=L$3,SUMIF('TL11'!$C$238:$C$451,$C320,'TL11'!$J$238:$J$451),0),
IF('TL12'!$B$3=L$3,SUMIF('TL12'!$C$10:$C$224,$C320,'TL12'!$J$10:$J$224),0),
IF('TL12'!$B$229=L$3,SUMIF('TL12'!$C$238:$C$451,$C320,'TL12'!$J$238:$J$451),0),
IF('TL13'!$B$3=L$3,SUMIF('TL13'!$C$10:$C$224,$C320,'TL13'!$J$10:$J$224),0),
IF('TL13'!$B$229=L$3,SUMIF('TL13'!$C$238:$C$451,$C320,'TL13'!$J$238:$J$451),0),
IF('TL14'!$B$3=L$3,SUMIF('TL14'!$C$10:$C$224,$C320,'TL14'!$J$10:$J$224),0),
IF('TL14'!$B$229=L$3,SUMIF('TL14'!$C$238:$C$451,$C320,'TL14'!$J$238:$J$451),0),
IF('TL15'!$B$3=L$3,SUMIF('TL15'!$C$10:$C$224,$C320,'TL15'!$J$10:$J$224),0),
IF('TL15'!$B$229=L$3,SUMIF('TL15'!$C$238:$C$451,$C320,'TL15'!$J$238:$J$451),0),
IF('TL16'!$B$3=L$3,SUMIF('TL16'!$C$10:$C$224,$C320,'TL16'!$J$10:$J$224),0),
IF('TL16'!$B$229=L$3,SUMIF('TL16'!$C$238:$C$451,$C320,'TL16'!$J$238:$J$451),0),
IF('TL17'!$B$3=L$3,SUMIF('TL17'!$C$10:$C$224,$C320,'TL17'!$J$10:$J$224),0),
IF('TL17'!$B$229=L$3,SUMIF('TL17'!$C$238:$C$451,$C320,'TL17'!$J$238:$J$451),0),
IF('TL18'!$B$3=L$3,SUMIF('TL18'!$C$10:$C$224,$C320,'TL18'!$J$10:$J$224),0),
IF('TL18'!$B$229=L$3,SUMIF('TL18'!$C$238:$C$451,$C320,'TL18'!$J$238:$J$451),0),
IF('TL19'!$B$3=L$3,SUMIF('TL19'!$C$10:$C$224,$C320,'TL19'!$J$10:$J$224),0),
IF('TL19'!$B$229=L$3,SUMIF('TL19'!$C$238:$C$451,$C320,'TL19'!$J$238:$J$451),0)
),0)</f>
        <v/>
      </c>
      <c r="M320" s="9">
        <f>IFERROR(SUM(
IF('TL01'!$B$3=M$3,SUMIF('TL01'!$C$10:$C$224,$C320,'TL01'!$J$10:$J$224),0),
IF('TL01'!$B$229=M$3,SUMIF('TL01'!$C$238:$C$451,$C320,'TL01'!$J$238:$J$451),0),
IF('TL02'!$B$3=M$3,SUMIF('TL02'!$C$10:$C$224,$C320,'TL02'!$J$10:$J$224),0),
IF('TL02'!$B$229=M$3,SUMIF('TL02'!$C$238:$C$451,$C320,'TL02'!$J$238:$J$451),0),
IF('TL03'!$B$3=M$3,SUMIF('TL03'!$C$10:$C$224,$C320,'TL03'!$J$10:$J$224),0),
IF('TL03'!$B$229=M$3,SUMIF('TL03'!$C$238:$C$451,$C320,'TL03'!$J$238:$J$451),0),
IF('TL04'!$B$3=M$3,SUMIF('TL04'!$C$10:$C$224,$C320,'TL04'!$J$10:$J$224),0),
IF('TL04'!$B$229=M$3,SUMIF('TL04'!$C$238:$C$451,$C320,'TL04'!$J$238:$J$451),0),
IF('TL05'!$B$3=M$3,SUMIF('TL05'!$C$10:$C$224,$C320,'TL05'!$J$10:$J$224),0),
IF('TL05'!$B$229=M$3,SUMIF('TL05'!$C$238:$C$451,$C320,'TL05'!$J$238:$J$451),0),
IF('TL06'!$B$3=M$3,SUMIF('TL06'!$C$10:$C$224,$C320,'TL06'!$J$10:$J$224),0),
IF('TL06'!$B$229=M$3,SUMIF('TL06'!$C$238:$C$451,$C320,'TL06'!$J$238:$J$451),0),
IF('TL07'!$B$3=M$3,SUMIF('TL07'!$C$10:$C$224,$C320,'TL07'!$J$10:$J$224),0),
IF('TL07'!$B$229=M$3,SUMIF('TL07'!$C$238:$C$451,$C320,'TL07'!$J$238:$J$451),0),
IF('TL08'!$B$3=M$3,SUMIF('TL08'!$C$10:$C$224,$C320,'TL08'!$J$10:$J$224),0),
IF('TL08'!$B$229=M$3,SUMIF('TL08'!$C$238:$C$451,$C320,'TL08'!$J$238:$J$451),0),
IF('TL09'!$B$3=M$3,SUMIF('TL09'!$C$10:$C$224,$C320,'TL09'!$J$10:$J$224),0),
IF('TL09'!$B$229=M$3,SUMIF('TL09'!$C$238:$C$451,$C320,'TL09'!$J$238:$J$451),0),
IF('TL10'!$B$3=M$3,SUMIF('TL10'!$C$10:$C$224,$C320,'TL10'!$J$10:$J$224),0),
IF('TL10'!$B$229=M$3,SUMIF('TL10'!$C$238:$C$451,$C320,'TL10'!$J$238:$J$451),0),
IF('TL11'!$B$3=M$3,SUMIF('TL11'!$C$10:$C$224,$C320,'TL11'!$J$10:$J$224),0),
IF('TL11'!$B$229=M$3,SUMIF('TL11'!$C$238:$C$451,$C320,'TL11'!$J$238:$J$451),0),
IF('TL12'!$B$3=M$3,SUMIF('TL12'!$C$10:$C$224,$C320,'TL12'!$J$10:$J$224),0),
IF('TL12'!$B$229=M$3,SUMIF('TL12'!$C$238:$C$451,$C320,'TL12'!$J$238:$J$451),0),
IF('TL13'!$B$3=M$3,SUMIF('TL13'!$C$10:$C$224,$C320,'TL13'!$J$10:$J$224),0),
IF('TL13'!$B$229=M$3,SUMIF('TL13'!$C$238:$C$451,$C320,'TL13'!$J$238:$J$451),0),
IF('TL14'!$B$3=M$3,SUMIF('TL14'!$C$10:$C$224,$C320,'TL14'!$J$10:$J$224),0),
IF('TL14'!$B$229=M$3,SUMIF('TL14'!$C$238:$C$451,$C320,'TL14'!$J$238:$J$451),0),
IF('TL15'!$B$3=M$3,SUMIF('TL15'!$C$10:$C$224,$C320,'TL15'!$J$10:$J$224),0),
IF('TL15'!$B$229=M$3,SUMIF('TL15'!$C$238:$C$451,$C320,'TL15'!$J$238:$J$451),0),
IF('TL16'!$B$3=M$3,SUMIF('TL16'!$C$10:$C$224,$C320,'TL16'!$J$10:$J$224),0),
IF('TL16'!$B$229=M$3,SUMIF('TL16'!$C$238:$C$451,$C320,'TL16'!$J$238:$J$451),0),
IF('TL17'!$B$3=M$3,SUMIF('TL17'!$C$10:$C$224,$C320,'TL17'!$J$10:$J$224),0),
IF('TL17'!$B$229=M$3,SUMIF('TL17'!$C$238:$C$451,$C320,'TL17'!$J$238:$J$451),0),
IF('TL18'!$B$3=M$3,SUMIF('TL18'!$C$10:$C$224,$C320,'TL18'!$J$10:$J$224),0),
IF('TL18'!$B$229=M$3,SUMIF('TL18'!$C$238:$C$451,$C320,'TL18'!$J$238:$J$451),0),
IF('TL19'!$B$3=M$3,SUMIF('TL19'!$C$10:$C$224,$C320,'TL19'!$J$10:$J$224),0),
IF('TL19'!$B$229=M$3,SUMIF('TL19'!$C$238:$C$451,$C320,'TL19'!$J$238:$J$451),0)
),0)</f>
        <v/>
      </c>
      <c r="N320" s="9">
        <f>IFERROR(SUM(
IF('TL01'!$B$3=N$3,SUMIF('TL01'!$C$10:$C$224,$C320,'TL01'!$J$10:$J$224),0),
IF('TL01'!$B$229=N$3,SUMIF('TL01'!$C$238:$C$451,$C320,'TL01'!$J$238:$J$451),0),
IF('TL02'!$B$3=N$3,SUMIF('TL02'!$C$10:$C$224,$C320,'TL02'!$J$10:$J$224),0),
IF('TL02'!$B$229=N$3,SUMIF('TL02'!$C$238:$C$451,$C320,'TL02'!$J$238:$J$451),0),
IF('TL03'!$B$3=N$3,SUMIF('TL03'!$C$10:$C$224,$C320,'TL03'!$J$10:$J$224),0),
IF('TL03'!$B$229=N$3,SUMIF('TL03'!$C$238:$C$451,$C320,'TL03'!$J$238:$J$451),0),
IF('TL04'!$B$3=N$3,SUMIF('TL04'!$C$10:$C$224,$C320,'TL04'!$J$10:$J$224),0),
IF('TL04'!$B$229=N$3,SUMIF('TL04'!$C$238:$C$451,$C320,'TL04'!$J$238:$J$451),0),
IF('TL05'!$B$3=N$3,SUMIF('TL05'!$C$10:$C$224,$C320,'TL05'!$J$10:$J$224),0),
IF('TL05'!$B$229=N$3,SUMIF('TL05'!$C$238:$C$451,$C320,'TL05'!$J$238:$J$451),0),
IF('TL06'!$B$3=N$3,SUMIF('TL06'!$C$10:$C$224,$C320,'TL06'!$J$10:$J$224),0),
IF('TL06'!$B$229=N$3,SUMIF('TL06'!$C$238:$C$451,$C320,'TL06'!$J$238:$J$451),0),
IF('TL07'!$B$3=N$3,SUMIF('TL07'!$C$10:$C$224,$C320,'TL07'!$J$10:$J$224),0),
IF('TL07'!$B$229=N$3,SUMIF('TL07'!$C$238:$C$451,$C320,'TL07'!$J$238:$J$451),0),
IF('TL08'!$B$3=N$3,SUMIF('TL08'!$C$10:$C$224,$C320,'TL08'!$J$10:$J$224),0),
IF('TL08'!$B$229=N$3,SUMIF('TL08'!$C$238:$C$451,$C320,'TL08'!$J$238:$J$451),0),
IF('TL09'!$B$3=N$3,SUMIF('TL09'!$C$10:$C$224,$C320,'TL09'!$J$10:$J$224),0),
IF('TL09'!$B$229=N$3,SUMIF('TL09'!$C$238:$C$451,$C320,'TL09'!$J$238:$J$451),0),
IF('TL10'!$B$3=N$3,SUMIF('TL10'!$C$10:$C$224,$C320,'TL10'!$J$10:$J$224),0),
IF('TL10'!$B$229=N$3,SUMIF('TL10'!$C$238:$C$451,$C320,'TL10'!$J$238:$J$451),0),
IF('TL11'!$B$3=N$3,SUMIF('TL11'!$C$10:$C$224,$C320,'TL11'!$J$10:$J$224),0),
IF('TL11'!$B$229=N$3,SUMIF('TL11'!$C$238:$C$451,$C320,'TL11'!$J$238:$J$451),0),
IF('TL12'!$B$3=N$3,SUMIF('TL12'!$C$10:$C$224,$C320,'TL12'!$J$10:$J$224),0),
IF('TL12'!$B$229=N$3,SUMIF('TL12'!$C$238:$C$451,$C320,'TL12'!$J$238:$J$451),0),
IF('TL13'!$B$3=N$3,SUMIF('TL13'!$C$10:$C$224,$C320,'TL13'!$J$10:$J$224),0),
IF('TL13'!$B$229=N$3,SUMIF('TL13'!$C$238:$C$451,$C320,'TL13'!$J$238:$J$451),0),
IF('TL14'!$B$3=N$3,SUMIF('TL14'!$C$10:$C$224,$C320,'TL14'!$J$10:$J$224),0),
IF('TL14'!$B$229=N$3,SUMIF('TL14'!$C$238:$C$451,$C320,'TL14'!$J$238:$J$451),0),
IF('TL15'!$B$3=N$3,SUMIF('TL15'!$C$10:$C$224,$C320,'TL15'!$J$10:$J$224),0),
IF('TL15'!$B$229=N$3,SUMIF('TL15'!$C$238:$C$451,$C320,'TL15'!$J$238:$J$451),0),
IF('TL16'!$B$3=N$3,SUMIF('TL16'!$C$10:$C$224,$C320,'TL16'!$J$10:$J$224),0),
IF('TL16'!$B$229=N$3,SUMIF('TL16'!$C$238:$C$451,$C320,'TL16'!$J$238:$J$451),0),
IF('TL17'!$B$3=N$3,SUMIF('TL17'!$C$10:$C$224,$C320,'TL17'!$J$10:$J$224),0),
IF('TL17'!$B$229=N$3,SUMIF('TL17'!$C$238:$C$451,$C320,'TL17'!$J$238:$J$451),0),
IF('TL18'!$B$3=N$3,SUMIF('TL18'!$C$10:$C$224,$C320,'TL18'!$J$10:$J$224),0),
IF('TL18'!$B$229=N$3,SUMIF('TL18'!$C$238:$C$451,$C320,'TL18'!$J$238:$J$451),0),
IF('TL19'!$B$3=N$3,SUMIF('TL19'!$C$10:$C$224,$C320,'TL19'!$J$10:$J$224),0),
IF('TL19'!$B$229=N$3,SUMIF('TL19'!$C$238:$C$451,$C320,'TL19'!$J$238:$J$451),0)
),0)</f>
        <v/>
      </c>
      <c r="O320" s="9">
        <f>IFERROR(SUM(
IF('TL01'!$B$3=O$3,SUMIF('TL01'!$C$10:$C$224,$C320,'TL01'!$J$10:$J$224),0),
IF('TL01'!$B$229=O$3,SUMIF('TL01'!$C$238:$C$451,$C320,'TL01'!$J$238:$J$451),0),
IF('TL02'!$B$3=O$3,SUMIF('TL02'!$C$10:$C$224,$C320,'TL02'!$J$10:$J$224),0),
IF('TL02'!$B$229=O$3,SUMIF('TL02'!$C$238:$C$451,$C320,'TL02'!$J$238:$J$451),0),
IF('TL03'!$B$3=O$3,SUMIF('TL03'!$C$10:$C$224,$C320,'TL03'!$J$10:$J$224),0),
IF('TL03'!$B$229=O$3,SUMIF('TL03'!$C$238:$C$451,$C320,'TL03'!$J$238:$J$451),0),
IF('TL04'!$B$3=O$3,SUMIF('TL04'!$C$10:$C$224,$C320,'TL04'!$J$10:$J$224),0),
IF('TL04'!$B$229=O$3,SUMIF('TL04'!$C$238:$C$451,$C320,'TL04'!$J$238:$J$451),0),
IF('TL05'!$B$3=O$3,SUMIF('TL05'!$C$10:$C$224,$C320,'TL05'!$J$10:$J$224),0),
IF('TL05'!$B$229=O$3,SUMIF('TL05'!$C$238:$C$451,$C320,'TL05'!$J$238:$J$451),0),
IF('TL06'!$B$3=O$3,SUMIF('TL06'!$C$10:$C$224,$C320,'TL06'!$J$10:$J$224),0),
IF('TL06'!$B$229=O$3,SUMIF('TL06'!$C$238:$C$451,$C320,'TL06'!$J$238:$J$451),0),
IF('TL07'!$B$3=O$3,SUMIF('TL07'!$C$10:$C$224,$C320,'TL07'!$J$10:$J$224),0),
IF('TL07'!$B$229=O$3,SUMIF('TL07'!$C$238:$C$451,$C320,'TL07'!$J$238:$J$451),0),
IF('TL08'!$B$3=O$3,SUMIF('TL08'!$C$10:$C$224,$C320,'TL08'!$J$10:$J$224),0),
IF('TL08'!$B$229=O$3,SUMIF('TL08'!$C$238:$C$451,$C320,'TL08'!$J$238:$J$451),0),
IF('TL09'!$B$3=O$3,SUMIF('TL09'!$C$10:$C$224,$C320,'TL09'!$J$10:$J$224),0),
IF('TL09'!$B$229=O$3,SUMIF('TL09'!$C$238:$C$451,$C320,'TL09'!$J$238:$J$451),0),
IF('TL10'!$B$3=O$3,SUMIF('TL10'!$C$10:$C$224,$C320,'TL10'!$J$10:$J$224),0),
IF('TL10'!$B$229=O$3,SUMIF('TL10'!$C$238:$C$451,$C320,'TL10'!$J$238:$J$451),0),
IF('TL11'!$B$3=O$3,SUMIF('TL11'!$C$10:$C$224,$C320,'TL11'!$J$10:$J$224),0),
IF('TL11'!$B$229=O$3,SUMIF('TL11'!$C$238:$C$451,$C320,'TL11'!$J$238:$J$451),0),
IF('TL12'!$B$3=O$3,SUMIF('TL12'!$C$10:$C$224,$C320,'TL12'!$J$10:$J$224),0),
IF('TL12'!$B$229=O$3,SUMIF('TL12'!$C$238:$C$451,$C320,'TL12'!$J$238:$J$451),0),
IF('TL13'!$B$3=O$3,SUMIF('TL13'!$C$10:$C$224,$C320,'TL13'!$J$10:$J$224),0),
IF('TL13'!$B$229=O$3,SUMIF('TL13'!$C$238:$C$451,$C320,'TL13'!$J$238:$J$451),0),
IF('TL14'!$B$3=O$3,SUMIF('TL14'!$C$10:$C$224,$C320,'TL14'!$J$10:$J$224),0),
IF('TL14'!$B$229=O$3,SUMIF('TL14'!$C$238:$C$451,$C320,'TL14'!$J$238:$J$451),0),
IF('TL15'!$B$3=O$3,SUMIF('TL15'!$C$10:$C$224,$C320,'TL15'!$J$10:$J$224),0),
IF('TL15'!$B$229=O$3,SUMIF('TL15'!$C$238:$C$451,$C320,'TL15'!$J$238:$J$451),0),
IF('TL16'!$B$3=O$3,SUMIF('TL16'!$C$10:$C$224,$C320,'TL16'!$J$10:$J$224),0),
IF('TL16'!$B$229=O$3,SUMIF('TL16'!$C$238:$C$451,$C320,'TL16'!$J$238:$J$451),0),
IF('TL17'!$B$3=O$3,SUMIF('TL17'!$C$10:$C$224,$C320,'TL17'!$J$10:$J$224),0),
IF('TL17'!$B$229=O$3,SUMIF('TL17'!$C$238:$C$451,$C320,'TL17'!$J$238:$J$451),0),
IF('TL18'!$B$3=O$3,SUMIF('TL18'!$C$10:$C$224,$C320,'TL18'!$J$10:$J$224),0),
IF('TL18'!$B$229=O$3,SUMIF('TL18'!$C$238:$C$451,$C320,'TL18'!$J$238:$J$451),0),
IF('TL19'!$B$3=O$3,SUMIF('TL19'!$C$10:$C$224,$C320,'TL19'!$J$10:$J$224),0),
IF('TL19'!$B$229=O$3,SUMIF('TL19'!$C$238:$C$451,$C320,'TL19'!$J$238:$J$451),0)
),0)</f>
        <v/>
      </c>
      <c r="P320" s="9">
        <f>IFERROR(SUM(
IF('TL01'!$B$3=P$3,SUMIF('TL01'!$C$10:$C$224,$C320,'TL01'!$J$10:$J$224),0),
IF('TL01'!$B$229=P$3,SUMIF('TL01'!$C$238:$C$451,$C320,'TL01'!$J$238:$J$451),0),
IF('TL02'!$B$3=P$3,SUMIF('TL02'!$C$10:$C$224,$C320,'TL02'!$J$10:$J$224),0),
IF('TL02'!$B$229=P$3,SUMIF('TL02'!$C$238:$C$451,$C320,'TL02'!$J$238:$J$451),0),
IF('TL03'!$B$3=P$3,SUMIF('TL03'!$C$10:$C$224,$C320,'TL03'!$J$10:$J$224),0),
IF('TL03'!$B$229=P$3,SUMIF('TL03'!$C$238:$C$451,$C320,'TL03'!$J$238:$J$451),0),
IF('TL04'!$B$3=P$3,SUMIF('TL04'!$C$10:$C$224,$C320,'TL04'!$J$10:$J$224),0),
IF('TL04'!$B$229=P$3,SUMIF('TL04'!$C$238:$C$451,$C320,'TL04'!$J$238:$J$451),0),
IF('TL05'!$B$3=P$3,SUMIF('TL05'!$C$10:$C$224,$C320,'TL05'!$J$10:$J$224),0),
IF('TL05'!$B$229=P$3,SUMIF('TL05'!$C$238:$C$451,$C320,'TL05'!$J$238:$J$451),0),
IF('TL06'!$B$3=P$3,SUMIF('TL06'!$C$10:$C$224,$C320,'TL06'!$J$10:$J$224),0),
IF('TL06'!$B$229=P$3,SUMIF('TL06'!$C$238:$C$451,$C320,'TL06'!$J$238:$J$451),0),
IF('TL07'!$B$3=P$3,SUMIF('TL07'!$C$10:$C$224,$C320,'TL07'!$J$10:$J$224),0),
IF('TL07'!$B$229=P$3,SUMIF('TL07'!$C$238:$C$451,$C320,'TL07'!$J$238:$J$451),0),
IF('TL08'!$B$3=P$3,SUMIF('TL08'!$C$10:$C$224,$C320,'TL08'!$J$10:$J$224),0),
IF('TL08'!$B$229=P$3,SUMIF('TL08'!$C$238:$C$451,$C320,'TL08'!$J$238:$J$451),0),
IF('TL09'!$B$3=P$3,SUMIF('TL09'!$C$10:$C$224,$C320,'TL09'!$J$10:$J$224),0),
IF('TL09'!$B$229=P$3,SUMIF('TL09'!$C$238:$C$451,$C320,'TL09'!$J$238:$J$451),0),
IF('TL10'!$B$3=P$3,SUMIF('TL10'!$C$10:$C$224,$C320,'TL10'!$J$10:$J$224),0),
IF('TL10'!$B$229=P$3,SUMIF('TL10'!$C$238:$C$451,$C320,'TL10'!$J$238:$J$451),0),
IF('TL11'!$B$3=P$3,SUMIF('TL11'!$C$10:$C$224,$C320,'TL11'!$J$10:$J$224),0),
IF('TL11'!$B$229=P$3,SUMIF('TL11'!$C$238:$C$451,$C320,'TL11'!$J$238:$J$451),0),
IF('TL12'!$B$3=P$3,SUMIF('TL12'!$C$10:$C$224,$C320,'TL12'!$J$10:$J$224),0),
IF('TL12'!$B$229=P$3,SUMIF('TL12'!$C$238:$C$451,$C320,'TL12'!$J$238:$J$451),0),
IF('TL13'!$B$3=P$3,SUMIF('TL13'!$C$10:$C$224,$C320,'TL13'!$J$10:$J$224),0),
IF('TL13'!$B$229=P$3,SUMIF('TL13'!$C$238:$C$451,$C320,'TL13'!$J$238:$J$451),0),
IF('TL14'!$B$3=P$3,SUMIF('TL14'!$C$10:$C$224,$C320,'TL14'!$J$10:$J$224),0),
IF('TL14'!$B$229=P$3,SUMIF('TL14'!$C$238:$C$451,$C320,'TL14'!$J$238:$J$451),0),
IF('TL15'!$B$3=P$3,SUMIF('TL15'!$C$10:$C$224,$C320,'TL15'!$J$10:$J$224),0),
IF('TL15'!$B$229=P$3,SUMIF('TL15'!$C$238:$C$451,$C320,'TL15'!$J$238:$J$451),0),
IF('TL16'!$B$3=P$3,SUMIF('TL16'!$C$10:$C$224,$C320,'TL16'!$J$10:$J$224),0),
IF('TL16'!$B$229=P$3,SUMIF('TL16'!$C$238:$C$451,$C320,'TL16'!$J$238:$J$451),0),
IF('TL17'!$B$3=P$3,SUMIF('TL17'!$C$10:$C$224,$C320,'TL17'!$J$10:$J$224),0),
IF('TL17'!$B$229=P$3,SUMIF('TL17'!$C$238:$C$451,$C320,'TL17'!$J$238:$J$451),0),
IF('TL18'!$B$3=P$3,SUMIF('TL18'!$C$10:$C$224,$C320,'TL18'!$J$10:$J$224),0),
IF('TL18'!$B$229=P$3,SUMIF('TL18'!$C$238:$C$451,$C320,'TL18'!$J$238:$J$451),0),
IF('TL19'!$B$3=P$3,SUMIF('TL19'!$C$10:$C$224,$C320,'TL19'!$J$10:$J$224),0),
IF('TL19'!$B$229=P$3,SUMIF('TL19'!$C$238:$C$451,$C320,'TL19'!$J$238:$J$451),0)
),0)</f>
        <v/>
      </c>
      <c r="Q320" s="9">
        <f>IFERROR(SUM(
IF('TL01'!$B$3=Q$3,SUMIF('TL01'!$C$10:$C$224,$C320,'TL01'!$J$10:$J$224),0),
IF('TL01'!$B$229=Q$3,SUMIF('TL01'!$C$238:$C$451,$C320,'TL01'!$J$238:$J$451),0),
IF('TL02'!$B$3=Q$3,SUMIF('TL02'!$C$10:$C$224,$C320,'TL02'!$J$10:$J$224),0),
IF('TL02'!$B$229=Q$3,SUMIF('TL02'!$C$238:$C$451,$C320,'TL02'!$J$238:$J$451),0),
IF('TL03'!$B$3=Q$3,SUMIF('TL03'!$C$10:$C$224,$C320,'TL03'!$J$10:$J$224),0),
IF('TL03'!$B$229=Q$3,SUMIF('TL03'!$C$238:$C$451,$C320,'TL03'!$J$238:$J$451),0),
IF('TL04'!$B$3=Q$3,SUMIF('TL04'!$C$10:$C$224,$C320,'TL04'!$J$10:$J$224),0),
IF('TL04'!$B$229=Q$3,SUMIF('TL04'!$C$238:$C$451,$C320,'TL04'!$J$238:$J$451),0),
IF('TL05'!$B$3=Q$3,SUMIF('TL05'!$C$10:$C$224,$C320,'TL05'!$J$10:$J$224),0),
IF('TL05'!$B$229=Q$3,SUMIF('TL05'!$C$238:$C$451,$C320,'TL05'!$J$238:$J$451),0),
IF('TL06'!$B$3=Q$3,SUMIF('TL06'!$C$10:$C$224,$C320,'TL06'!$J$10:$J$224),0),
IF('TL06'!$B$229=Q$3,SUMIF('TL06'!$C$238:$C$451,$C320,'TL06'!$J$238:$J$451),0),
IF('TL07'!$B$3=Q$3,SUMIF('TL07'!$C$10:$C$224,$C320,'TL07'!$J$10:$J$224),0),
IF('TL07'!$B$229=Q$3,SUMIF('TL07'!$C$238:$C$451,$C320,'TL07'!$J$238:$J$451),0),
IF('TL08'!$B$3=Q$3,SUMIF('TL08'!$C$10:$C$224,$C320,'TL08'!$J$10:$J$224),0),
IF('TL08'!$B$229=Q$3,SUMIF('TL08'!$C$238:$C$451,$C320,'TL08'!$J$238:$J$451),0),
IF('TL09'!$B$3=Q$3,SUMIF('TL09'!$C$10:$C$224,$C320,'TL09'!$J$10:$J$224),0),
IF('TL09'!$B$229=Q$3,SUMIF('TL09'!$C$238:$C$451,$C320,'TL09'!$J$238:$J$451),0),
IF('TL10'!$B$3=Q$3,SUMIF('TL10'!$C$10:$C$224,$C320,'TL10'!$J$10:$J$224),0),
IF('TL10'!$B$229=Q$3,SUMIF('TL10'!$C$238:$C$451,$C320,'TL10'!$J$238:$J$451),0),
IF('TL11'!$B$3=Q$3,SUMIF('TL11'!$C$10:$C$224,$C320,'TL11'!$J$10:$J$224),0),
IF('TL11'!$B$229=Q$3,SUMIF('TL11'!$C$238:$C$451,$C320,'TL11'!$J$238:$J$451),0),
IF('TL12'!$B$3=Q$3,SUMIF('TL12'!$C$10:$C$224,$C320,'TL12'!$J$10:$J$224),0),
IF('TL12'!$B$229=Q$3,SUMIF('TL12'!$C$238:$C$451,$C320,'TL12'!$J$238:$J$451),0),
IF('TL13'!$B$3=Q$3,SUMIF('TL13'!$C$10:$C$224,$C320,'TL13'!$J$10:$J$224),0),
IF('TL13'!$B$229=Q$3,SUMIF('TL13'!$C$238:$C$451,$C320,'TL13'!$J$238:$J$451),0),
IF('TL14'!$B$3=Q$3,SUMIF('TL14'!$C$10:$C$224,$C320,'TL14'!$J$10:$J$224),0),
IF('TL14'!$B$229=Q$3,SUMIF('TL14'!$C$238:$C$451,$C320,'TL14'!$J$238:$J$451),0),
IF('TL15'!$B$3=Q$3,SUMIF('TL15'!$C$10:$C$224,$C320,'TL15'!$J$10:$J$224),0),
IF('TL15'!$B$229=Q$3,SUMIF('TL15'!$C$238:$C$451,$C320,'TL15'!$J$238:$J$451),0),
IF('TL16'!$B$3=Q$3,SUMIF('TL16'!$C$10:$C$224,$C320,'TL16'!$J$10:$J$224),0),
IF('TL16'!$B$229=Q$3,SUMIF('TL16'!$C$238:$C$451,$C320,'TL16'!$J$238:$J$451),0),
IF('TL17'!$B$3=Q$3,SUMIF('TL17'!$C$10:$C$224,$C320,'TL17'!$J$10:$J$224),0),
IF('TL17'!$B$229=Q$3,SUMIF('TL17'!$C$238:$C$451,$C320,'TL17'!$J$238:$J$451),0),
IF('TL18'!$B$3=Q$3,SUMIF('TL18'!$C$10:$C$224,$C320,'TL18'!$J$10:$J$224),0),
IF('TL18'!$B$229=Q$3,SUMIF('TL18'!$C$238:$C$451,$C320,'TL18'!$J$238:$J$451),0),
IF('TL19'!$B$3=Q$3,SUMIF('TL19'!$C$10:$C$224,$C320,'TL19'!$J$10:$J$224),0),
IF('TL19'!$B$229=Q$3,SUMIF('TL19'!$C$238:$C$451,$C320,'TL19'!$J$238:$J$451),0)
),0)</f>
        <v/>
      </c>
      <c r="R320" s="9">
        <f>IFERROR(
SUM(
SUMIF('TL01'!C:C,C320,'TL01'!J:J),
SUMIF('TL02'!C:C,C320,'TL02'!J:J),
SUMIF('TL03'!C:C,C320,'TL03'!J:J),
SUMIF('TL04'!C:C,C320,'TL04'!J:J),
SUMIF('TL05'!C:C,C320,'TL05'!J:J),
SUMIF('TL06'!C:C,C320,'TL06'!J:J),
SUMIF('TL07'!C:C,C320,'TL07'!J:J),
SUMIF('TL08'!C:C,C320,'TL08'!J:J),
SUMIF('TL09'!C:C,C320,'TL09'!J:J),
SUMIF('TL10'!C:C,C320,'TL10'!J:J),
SUMIF('TL11'!C:C,C320,'TL11'!J:J),
SUMIF('TL12'!C:C,C320,'TL12'!J:J),
SUMIF('TL13'!C:C,C320,'TL13'!J:J),
SUMIF('TL14'!C:C,C320,'TL14'!J:J),
SUMIF('TL15'!C:C,C320,'TL15'!J:J),
SUMIF('TL16'!C:C,C320,'TL16'!J:J),
SUMIF('TL17'!C:C,C320,'TL17'!J:J),
SUMIF('TL18'!C:C,C320,'TL18'!J:J),SUMIF('TL19'!C:C,C320,'TL19'!J:J))
,0)</f>
        <v/>
      </c>
      <c r="S320" s="17">
        <f>IFERROR(__xludf.DUMMYFUNCTION("IFERROR(VLOOKUP(C320,
IMPORTRANGE(""1wULbzX32WdYsx-lj2U3uUNBBe2INVIRDtcK0d-Dvl90"",
""26-27!C:G""),
5,
FALSE),
"""")"),"")</f>
        <v/>
      </c>
      <c r="T320" s="9" t="n"/>
      <c r="U320" s="92">
        <f>MAX(0,R320-T320)</f>
        <v/>
      </c>
      <c r="V320" s="93">
        <f>U320*S320</f>
        <v/>
      </c>
    </row>
    <row r="321" hidden="1" ht="15.75" customHeight="1" s="297">
      <c r="A321" s="4" t="n"/>
      <c r="B321" s="125" t="inlineStr">
        <is>
          <t>SEMENTE</t>
        </is>
      </c>
      <c r="C321" s="4" t="inlineStr">
        <is>
          <t>HERA I2X</t>
        </is>
      </c>
      <c r="D321" s="20" t="n"/>
      <c r="E321" s="9" t="n"/>
      <c r="F321" s="4" t="n"/>
      <c r="G321" s="90">
        <f>HYPERLINK("https://www.google.com/search?q=" &amp; C321 &amp; "+bula+agrofit+pdf", "📄 Ver bula")</f>
        <v/>
      </c>
      <c r="H321" s="9" t="n"/>
      <c r="I321" s="1" t="n"/>
      <c r="J321" s="9">
        <f>IFERROR(SUM(
IF('TL01'!$B$3=J$3,SUMIF('TL01'!$C$10:$C$224,$C321,'TL01'!$J$10:$J$224),0),
IF('TL01'!$B$229=J$3,SUMIF('TL01'!$C$238:$C$451,$C321,'TL01'!$J$238:$J$451),0),
IF('TL02'!$B$3=J$3,SUMIF('TL02'!$C$10:$C$224,$C321,'TL02'!$J$10:$J$224),0),
IF('TL02'!$B$229=J$3,SUMIF('TL02'!$C$238:$C$451,$C321,'TL02'!$J$238:$J$451),0),
IF('TL03'!$B$3=J$3,SUMIF('TL03'!$C$10:$C$224,$C321,'TL03'!$J$10:$J$224),0),
IF('TL03'!$B$229=J$3,SUMIF('TL03'!$C$238:$C$451,$C321,'TL03'!$J$238:$J$451),0),
IF('TL04'!$B$3=J$3,SUMIF('TL04'!$C$10:$C$224,$C321,'TL04'!$J$10:$J$224),0),
IF('TL04'!$B$229=J$3,SUMIF('TL04'!$C$238:$C$451,$C321,'TL04'!$J$238:$J$451),0),
IF('TL05'!$B$3=J$3,SUMIF('TL05'!$C$10:$C$224,$C321,'TL05'!$J$10:$J$224),0),
IF('TL05'!$B$229=J$3,SUMIF('TL05'!$C$238:$C$451,$C321,'TL05'!$J$238:$J$451),0),
IF('TL06'!$B$3=J$3,SUMIF('TL06'!$C$10:$C$224,$C321,'TL06'!$J$10:$J$224),0),
IF('TL06'!$B$229=J$3,SUMIF('TL06'!$C$238:$C$451,$C321,'TL06'!$J$238:$J$451),0),
IF('TL07'!$B$3=J$3,SUMIF('TL07'!$C$10:$C$224,$C321,'TL07'!$J$10:$J$224),0),
IF('TL07'!$B$229=J$3,SUMIF('TL07'!$C$238:$C$451,$C321,'TL07'!$J$238:$J$451),0),
IF('TL08'!$B$3=J$3,SUMIF('TL08'!$C$10:$C$224,$C321,'TL08'!$J$10:$J$224),0),
IF('TL08'!$B$229=J$3,SUMIF('TL08'!$C$238:$C$451,$C321,'TL08'!$J$238:$J$451),0),
IF('TL09'!$B$3=J$3,SUMIF('TL09'!$C$10:$C$224,$C321,'TL09'!$J$10:$J$224),0),
IF('TL09'!$B$229=J$3,SUMIF('TL09'!$C$238:$C$451,$C321,'TL09'!$J$238:$J$451),0),
IF('TL10'!$B$3=J$3,SUMIF('TL10'!$C$10:$C$224,$C321,'TL10'!$J$10:$J$224),0),
IF('TL10'!$B$229=J$3,SUMIF('TL10'!$C$238:$C$451,$C321,'TL10'!$J$238:$J$451),0),
IF('TL11'!$B$3=J$3,SUMIF('TL11'!$C$10:$C$224,$C321,'TL11'!$J$10:$J$224),0),
IF('TL11'!$B$229=J$3,SUMIF('TL11'!$C$238:$C$451,$C321,'TL11'!$J$238:$J$451),0),
IF('TL12'!$B$3=J$3,SUMIF('TL12'!$C$10:$C$224,$C321,'TL12'!$J$10:$J$224),0),
IF('TL12'!$B$229=J$3,SUMIF('TL12'!$C$238:$C$451,$C321,'TL12'!$J$238:$J$451),0),
IF('TL13'!$B$3=J$3,SUMIF('TL13'!$C$10:$C$224,$C321,'TL13'!$J$10:$J$224),0),
IF('TL13'!$B$229=J$3,SUMIF('TL13'!$C$238:$C$451,$C321,'TL13'!$J$238:$J$451),0),
IF('TL14'!$B$3=J$3,SUMIF('TL14'!$C$10:$C$224,$C321,'TL14'!$J$10:$J$224),0),
IF('TL14'!$B$229=J$3,SUMIF('TL14'!$C$238:$C$451,$C321,'TL14'!$J$238:$J$451),0),
IF('TL15'!$B$3=J$3,SUMIF('TL15'!$C$10:$C$224,$C321,'TL15'!$J$10:$J$224),0),
IF('TL15'!$B$229=J$3,SUMIF('TL15'!$C$238:$C$451,$C321,'TL15'!$J$238:$J$451),0),
IF('TL16'!$B$3=J$3,SUMIF('TL16'!$C$10:$C$224,$C321,'TL16'!$J$10:$J$224),0),
IF('TL16'!$B$229=J$3,SUMIF('TL16'!$C$238:$C$451,$C321,'TL16'!$J$238:$J$451),0),
IF('TL17'!$B$3=J$3,SUMIF('TL17'!$C$10:$C$224,$C321,'TL17'!$J$10:$J$224),0),
IF('TL17'!$B$229=J$3,SUMIF('TL17'!$C$238:$C$451,$C321,'TL17'!$J$238:$J$451),0),
IF('TL18'!$B$3=J$3,SUMIF('TL18'!$C$10:$C$224,$C321,'TL18'!$J$10:$J$224),0),
IF('TL18'!$B$229=J$3,SUMIF('TL18'!$C$238:$C$451,$C321,'TL18'!$J$238:$J$451),0),
IF('TL19'!$B$3=J$3,SUMIF('TL19'!$C$10:$C$224,$C321,'TL19'!$J$10:$J$224),0),
IF('TL19'!$B$229=J$3,SUMIF('TL19'!$C$238:$C$451,$C321,'TL19'!$J$238:$J$451),0)
),0)</f>
        <v/>
      </c>
      <c r="K321" s="9">
        <f>IFERROR(SUM(
IF('TL01'!$B$3=K$3,SUMIF('TL01'!$C$10:$C$224,$C321,'TL01'!$J$10:$J$224),0),
IF('TL01'!$B$229=K$3,SUMIF('TL01'!$C$238:$C$451,$C321,'TL01'!$J$238:$J$451),0),
IF('TL02'!$B$3=K$3,SUMIF('TL02'!$C$10:$C$224,$C321,'TL02'!$J$10:$J$224),0),
IF('TL02'!$B$229=K$3,SUMIF('TL02'!$C$238:$C$451,$C321,'TL02'!$J$238:$J$451),0),
IF('TL03'!$B$3=K$3,SUMIF('TL03'!$C$10:$C$224,$C321,'TL03'!$J$10:$J$224),0),
IF('TL03'!$B$229=K$3,SUMIF('TL03'!$C$238:$C$451,$C321,'TL03'!$J$238:$J$451),0),
IF('TL04'!$B$3=K$3,SUMIF('TL04'!$C$10:$C$224,$C321,'TL04'!$J$10:$J$224),0),
IF('TL04'!$B$229=K$3,SUMIF('TL04'!$C$238:$C$451,$C321,'TL04'!$J$238:$J$451),0),
IF('TL05'!$B$3=K$3,SUMIF('TL05'!$C$10:$C$224,$C321,'TL05'!$J$10:$J$224),0),
IF('TL05'!$B$229=K$3,SUMIF('TL05'!$C$238:$C$451,$C321,'TL05'!$J$238:$J$451),0),
IF('TL06'!$B$3=K$3,SUMIF('TL06'!$C$10:$C$224,$C321,'TL06'!$J$10:$J$224),0),
IF('TL06'!$B$229=K$3,SUMIF('TL06'!$C$238:$C$451,$C321,'TL06'!$J$238:$J$451),0),
IF('TL07'!$B$3=K$3,SUMIF('TL07'!$C$10:$C$224,$C321,'TL07'!$J$10:$J$224),0),
IF('TL07'!$B$229=K$3,SUMIF('TL07'!$C$238:$C$451,$C321,'TL07'!$J$238:$J$451),0),
IF('TL08'!$B$3=K$3,SUMIF('TL08'!$C$10:$C$224,$C321,'TL08'!$J$10:$J$224),0),
IF('TL08'!$B$229=K$3,SUMIF('TL08'!$C$238:$C$451,$C321,'TL08'!$J$238:$J$451),0),
IF('TL09'!$B$3=K$3,SUMIF('TL09'!$C$10:$C$224,$C321,'TL09'!$J$10:$J$224),0),
IF('TL09'!$B$229=K$3,SUMIF('TL09'!$C$238:$C$451,$C321,'TL09'!$J$238:$J$451),0),
IF('TL10'!$B$3=K$3,SUMIF('TL10'!$C$10:$C$224,$C321,'TL10'!$J$10:$J$224),0),
IF('TL10'!$B$229=K$3,SUMIF('TL10'!$C$238:$C$451,$C321,'TL10'!$J$238:$J$451),0),
IF('TL11'!$B$3=K$3,SUMIF('TL11'!$C$10:$C$224,$C321,'TL11'!$J$10:$J$224),0),
IF('TL11'!$B$229=K$3,SUMIF('TL11'!$C$238:$C$451,$C321,'TL11'!$J$238:$J$451),0),
IF('TL12'!$B$3=K$3,SUMIF('TL12'!$C$10:$C$224,$C321,'TL12'!$J$10:$J$224),0),
IF('TL12'!$B$229=K$3,SUMIF('TL12'!$C$238:$C$451,$C321,'TL12'!$J$238:$J$451),0),
IF('TL13'!$B$3=K$3,SUMIF('TL13'!$C$10:$C$224,$C321,'TL13'!$J$10:$J$224),0),
IF('TL13'!$B$229=K$3,SUMIF('TL13'!$C$238:$C$451,$C321,'TL13'!$J$238:$J$451),0),
IF('TL14'!$B$3=K$3,SUMIF('TL14'!$C$10:$C$224,$C321,'TL14'!$J$10:$J$224),0),
IF('TL14'!$B$229=K$3,SUMIF('TL14'!$C$238:$C$451,$C321,'TL14'!$J$238:$J$451),0),
IF('TL15'!$B$3=K$3,SUMIF('TL15'!$C$10:$C$224,$C321,'TL15'!$J$10:$J$224),0),
IF('TL15'!$B$229=K$3,SUMIF('TL15'!$C$238:$C$451,$C321,'TL15'!$J$238:$J$451),0),
IF('TL16'!$B$3=K$3,SUMIF('TL16'!$C$10:$C$224,$C321,'TL16'!$J$10:$J$224),0),
IF('TL16'!$B$229=K$3,SUMIF('TL16'!$C$238:$C$451,$C321,'TL16'!$J$238:$J$451),0),
IF('TL17'!$B$3=K$3,SUMIF('TL17'!$C$10:$C$224,$C321,'TL17'!$J$10:$J$224),0),
IF('TL17'!$B$229=K$3,SUMIF('TL17'!$C$238:$C$451,$C321,'TL17'!$J$238:$J$451),0),
IF('TL18'!$B$3=K$3,SUMIF('TL18'!$C$10:$C$224,$C321,'TL18'!$J$10:$J$224),0),
IF('TL18'!$B$229=K$3,SUMIF('TL18'!$C$238:$C$451,$C321,'TL18'!$J$238:$J$451),0),
IF('TL19'!$B$3=K$3,SUMIF('TL19'!$C$10:$C$224,$C321,'TL19'!$J$10:$J$224),0),
IF('TL19'!$B$229=K$3,SUMIF('TL19'!$C$238:$C$451,$C321,'TL19'!$J$238:$J$451),0)
),0)</f>
        <v/>
      </c>
      <c r="L321" s="9">
        <f>IFERROR(SUM(
IF('TL01'!$B$3=L$3,SUMIF('TL01'!$C$10:$C$224,$C321,'TL01'!$J$10:$J$224),0),
IF('TL01'!$B$229=L$3,SUMIF('TL01'!$C$238:$C$451,$C321,'TL01'!$J$238:$J$451),0),
IF('TL02'!$B$3=L$3,SUMIF('TL02'!$C$10:$C$224,$C321,'TL02'!$J$10:$J$224),0),
IF('TL02'!$B$229=L$3,SUMIF('TL02'!$C$238:$C$451,$C321,'TL02'!$J$238:$J$451),0),
IF('TL03'!$B$3=L$3,SUMIF('TL03'!$C$10:$C$224,$C321,'TL03'!$J$10:$J$224),0),
IF('TL03'!$B$229=L$3,SUMIF('TL03'!$C$238:$C$451,$C321,'TL03'!$J$238:$J$451),0),
IF('TL04'!$B$3=L$3,SUMIF('TL04'!$C$10:$C$224,$C321,'TL04'!$J$10:$J$224),0),
IF('TL04'!$B$229=L$3,SUMIF('TL04'!$C$238:$C$451,$C321,'TL04'!$J$238:$J$451),0),
IF('TL05'!$B$3=L$3,SUMIF('TL05'!$C$10:$C$224,$C321,'TL05'!$J$10:$J$224),0),
IF('TL05'!$B$229=L$3,SUMIF('TL05'!$C$238:$C$451,$C321,'TL05'!$J$238:$J$451),0),
IF('TL06'!$B$3=L$3,SUMIF('TL06'!$C$10:$C$224,$C321,'TL06'!$J$10:$J$224),0),
IF('TL06'!$B$229=L$3,SUMIF('TL06'!$C$238:$C$451,$C321,'TL06'!$J$238:$J$451),0),
IF('TL07'!$B$3=L$3,SUMIF('TL07'!$C$10:$C$224,$C321,'TL07'!$J$10:$J$224),0),
IF('TL07'!$B$229=L$3,SUMIF('TL07'!$C$238:$C$451,$C321,'TL07'!$J$238:$J$451),0),
IF('TL08'!$B$3=L$3,SUMIF('TL08'!$C$10:$C$224,$C321,'TL08'!$J$10:$J$224),0),
IF('TL08'!$B$229=L$3,SUMIF('TL08'!$C$238:$C$451,$C321,'TL08'!$J$238:$J$451),0),
IF('TL09'!$B$3=L$3,SUMIF('TL09'!$C$10:$C$224,$C321,'TL09'!$J$10:$J$224),0),
IF('TL09'!$B$229=L$3,SUMIF('TL09'!$C$238:$C$451,$C321,'TL09'!$J$238:$J$451),0),
IF('TL10'!$B$3=L$3,SUMIF('TL10'!$C$10:$C$224,$C321,'TL10'!$J$10:$J$224),0),
IF('TL10'!$B$229=L$3,SUMIF('TL10'!$C$238:$C$451,$C321,'TL10'!$J$238:$J$451),0),
IF('TL11'!$B$3=L$3,SUMIF('TL11'!$C$10:$C$224,$C321,'TL11'!$J$10:$J$224),0),
IF('TL11'!$B$229=L$3,SUMIF('TL11'!$C$238:$C$451,$C321,'TL11'!$J$238:$J$451),0),
IF('TL12'!$B$3=L$3,SUMIF('TL12'!$C$10:$C$224,$C321,'TL12'!$J$10:$J$224),0),
IF('TL12'!$B$229=L$3,SUMIF('TL12'!$C$238:$C$451,$C321,'TL12'!$J$238:$J$451),0),
IF('TL13'!$B$3=L$3,SUMIF('TL13'!$C$10:$C$224,$C321,'TL13'!$J$10:$J$224),0),
IF('TL13'!$B$229=L$3,SUMIF('TL13'!$C$238:$C$451,$C321,'TL13'!$J$238:$J$451),0),
IF('TL14'!$B$3=L$3,SUMIF('TL14'!$C$10:$C$224,$C321,'TL14'!$J$10:$J$224),0),
IF('TL14'!$B$229=L$3,SUMIF('TL14'!$C$238:$C$451,$C321,'TL14'!$J$238:$J$451),0),
IF('TL15'!$B$3=L$3,SUMIF('TL15'!$C$10:$C$224,$C321,'TL15'!$J$10:$J$224),0),
IF('TL15'!$B$229=L$3,SUMIF('TL15'!$C$238:$C$451,$C321,'TL15'!$J$238:$J$451),0),
IF('TL16'!$B$3=L$3,SUMIF('TL16'!$C$10:$C$224,$C321,'TL16'!$J$10:$J$224),0),
IF('TL16'!$B$229=L$3,SUMIF('TL16'!$C$238:$C$451,$C321,'TL16'!$J$238:$J$451),0),
IF('TL17'!$B$3=L$3,SUMIF('TL17'!$C$10:$C$224,$C321,'TL17'!$J$10:$J$224),0),
IF('TL17'!$B$229=L$3,SUMIF('TL17'!$C$238:$C$451,$C321,'TL17'!$J$238:$J$451),0),
IF('TL18'!$B$3=L$3,SUMIF('TL18'!$C$10:$C$224,$C321,'TL18'!$J$10:$J$224),0),
IF('TL18'!$B$229=L$3,SUMIF('TL18'!$C$238:$C$451,$C321,'TL18'!$J$238:$J$451),0),
IF('TL19'!$B$3=L$3,SUMIF('TL19'!$C$10:$C$224,$C321,'TL19'!$J$10:$J$224),0),
IF('TL19'!$B$229=L$3,SUMIF('TL19'!$C$238:$C$451,$C321,'TL19'!$J$238:$J$451),0)
),0)</f>
        <v/>
      </c>
      <c r="M321" s="9">
        <f>IFERROR(SUM(
IF('TL01'!$B$3=M$3,SUMIF('TL01'!$C$10:$C$224,$C321,'TL01'!$J$10:$J$224),0),
IF('TL01'!$B$229=M$3,SUMIF('TL01'!$C$238:$C$451,$C321,'TL01'!$J$238:$J$451),0),
IF('TL02'!$B$3=M$3,SUMIF('TL02'!$C$10:$C$224,$C321,'TL02'!$J$10:$J$224),0),
IF('TL02'!$B$229=M$3,SUMIF('TL02'!$C$238:$C$451,$C321,'TL02'!$J$238:$J$451),0),
IF('TL03'!$B$3=M$3,SUMIF('TL03'!$C$10:$C$224,$C321,'TL03'!$J$10:$J$224),0),
IF('TL03'!$B$229=M$3,SUMIF('TL03'!$C$238:$C$451,$C321,'TL03'!$J$238:$J$451),0),
IF('TL04'!$B$3=M$3,SUMIF('TL04'!$C$10:$C$224,$C321,'TL04'!$J$10:$J$224),0),
IF('TL04'!$B$229=M$3,SUMIF('TL04'!$C$238:$C$451,$C321,'TL04'!$J$238:$J$451),0),
IF('TL05'!$B$3=M$3,SUMIF('TL05'!$C$10:$C$224,$C321,'TL05'!$J$10:$J$224),0),
IF('TL05'!$B$229=M$3,SUMIF('TL05'!$C$238:$C$451,$C321,'TL05'!$J$238:$J$451),0),
IF('TL06'!$B$3=M$3,SUMIF('TL06'!$C$10:$C$224,$C321,'TL06'!$J$10:$J$224),0),
IF('TL06'!$B$229=M$3,SUMIF('TL06'!$C$238:$C$451,$C321,'TL06'!$J$238:$J$451),0),
IF('TL07'!$B$3=M$3,SUMIF('TL07'!$C$10:$C$224,$C321,'TL07'!$J$10:$J$224),0),
IF('TL07'!$B$229=M$3,SUMIF('TL07'!$C$238:$C$451,$C321,'TL07'!$J$238:$J$451),0),
IF('TL08'!$B$3=M$3,SUMIF('TL08'!$C$10:$C$224,$C321,'TL08'!$J$10:$J$224),0),
IF('TL08'!$B$229=M$3,SUMIF('TL08'!$C$238:$C$451,$C321,'TL08'!$J$238:$J$451),0),
IF('TL09'!$B$3=M$3,SUMIF('TL09'!$C$10:$C$224,$C321,'TL09'!$J$10:$J$224),0),
IF('TL09'!$B$229=M$3,SUMIF('TL09'!$C$238:$C$451,$C321,'TL09'!$J$238:$J$451),0),
IF('TL10'!$B$3=M$3,SUMIF('TL10'!$C$10:$C$224,$C321,'TL10'!$J$10:$J$224),0),
IF('TL10'!$B$229=M$3,SUMIF('TL10'!$C$238:$C$451,$C321,'TL10'!$J$238:$J$451),0),
IF('TL11'!$B$3=M$3,SUMIF('TL11'!$C$10:$C$224,$C321,'TL11'!$J$10:$J$224),0),
IF('TL11'!$B$229=M$3,SUMIF('TL11'!$C$238:$C$451,$C321,'TL11'!$J$238:$J$451),0),
IF('TL12'!$B$3=M$3,SUMIF('TL12'!$C$10:$C$224,$C321,'TL12'!$J$10:$J$224),0),
IF('TL12'!$B$229=M$3,SUMIF('TL12'!$C$238:$C$451,$C321,'TL12'!$J$238:$J$451),0),
IF('TL13'!$B$3=M$3,SUMIF('TL13'!$C$10:$C$224,$C321,'TL13'!$J$10:$J$224),0),
IF('TL13'!$B$229=M$3,SUMIF('TL13'!$C$238:$C$451,$C321,'TL13'!$J$238:$J$451),0),
IF('TL14'!$B$3=M$3,SUMIF('TL14'!$C$10:$C$224,$C321,'TL14'!$J$10:$J$224),0),
IF('TL14'!$B$229=M$3,SUMIF('TL14'!$C$238:$C$451,$C321,'TL14'!$J$238:$J$451),0),
IF('TL15'!$B$3=M$3,SUMIF('TL15'!$C$10:$C$224,$C321,'TL15'!$J$10:$J$224),0),
IF('TL15'!$B$229=M$3,SUMIF('TL15'!$C$238:$C$451,$C321,'TL15'!$J$238:$J$451),0),
IF('TL16'!$B$3=M$3,SUMIF('TL16'!$C$10:$C$224,$C321,'TL16'!$J$10:$J$224),0),
IF('TL16'!$B$229=M$3,SUMIF('TL16'!$C$238:$C$451,$C321,'TL16'!$J$238:$J$451),0),
IF('TL17'!$B$3=M$3,SUMIF('TL17'!$C$10:$C$224,$C321,'TL17'!$J$10:$J$224),0),
IF('TL17'!$B$229=M$3,SUMIF('TL17'!$C$238:$C$451,$C321,'TL17'!$J$238:$J$451),0),
IF('TL18'!$B$3=M$3,SUMIF('TL18'!$C$10:$C$224,$C321,'TL18'!$J$10:$J$224),0),
IF('TL18'!$B$229=M$3,SUMIF('TL18'!$C$238:$C$451,$C321,'TL18'!$J$238:$J$451),0),
IF('TL19'!$B$3=M$3,SUMIF('TL19'!$C$10:$C$224,$C321,'TL19'!$J$10:$J$224),0),
IF('TL19'!$B$229=M$3,SUMIF('TL19'!$C$238:$C$451,$C321,'TL19'!$J$238:$J$451),0)
),0)</f>
        <v/>
      </c>
      <c r="N321" s="9">
        <f>IFERROR(SUM(
IF('TL01'!$B$3=N$3,SUMIF('TL01'!$C$10:$C$224,$C321,'TL01'!$J$10:$J$224),0),
IF('TL01'!$B$229=N$3,SUMIF('TL01'!$C$238:$C$451,$C321,'TL01'!$J$238:$J$451),0),
IF('TL02'!$B$3=N$3,SUMIF('TL02'!$C$10:$C$224,$C321,'TL02'!$J$10:$J$224),0),
IF('TL02'!$B$229=N$3,SUMIF('TL02'!$C$238:$C$451,$C321,'TL02'!$J$238:$J$451),0),
IF('TL03'!$B$3=N$3,SUMIF('TL03'!$C$10:$C$224,$C321,'TL03'!$J$10:$J$224),0),
IF('TL03'!$B$229=N$3,SUMIF('TL03'!$C$238:$C$451,$C321,'TL03'!$J$238:$J$451),0),
IF('TL04'!$B$3=N$3,SUMIF('TL04'!$C$10:$C$224,$C321,'TL04'!$J$10:$J$224),0),
IF('TL04'!$B$229=N$3,SUMIF('TL04'!$C$238:$C$451,$C321,'TL04'!$J$238:$J$451),0),
IF('TL05'!$B$3=N$3,SUMIF('TL05'!$C$10:$C$224,$C321,'TL05'!$J$10:$J$224),0),
IF('TL05'!$B$229=N$3,SUMIF('TL05'!$C$238:$C$451,$C321,'TL05'!$J$238:$J$451),0),
IF('TL06'!$B$3=N$3,SUMIF('TL06'!$C$10:$C$224,$C321,'TL06'!$J$10:$J$224),0),
IF('TL06'!$B$229=N$3,SUMIF('TL06'!$C$238:$C$451,$C321,'TL06'!$J$238:$J$451),0),
IF('TL07'!$B$3=N$3,SUMIF('TL07'!$C$10:$C$224,$C321,'TL07'!$J$10:$J$224),0),
IF('TL07'!$B$229=N$3,SUMIF('TL07'!$C$238:$C$451,$C321,'TL07'!$J$238:$J$451),0),
IF('TL08'!$B$3=N$3,SUMIF('TL08'!$C$10:$C$224,$C321,'TL08'!$J$10:$J$224),0),
IF('TL08'!$B$229=N$3,SUMIF('TL08'!$C$238:$C$451,$C321,'TL08'!$J$238:$J$451),0),
IF('TL09'!$B$3=N$3,SUMIF('TL09'!$C$10:$C$224,$C321,'TL09'!$J$10:$J$224),0),
IF('TL09'!$B$229=N$3,SUMIF('TL09'!$C$238:$C$451,$C321,'TL09'!$J$238:$J$451),0),
IF('TL10'!$B$3=N$3,SUMIF('TL10'!$C$10:$C$224,$C321,'TL10'!$J$10:$J$224),0),
IF('TL10'!$B$229=N$3,SUMIF('TL10'!$C$238:$C$451,$C321,'TL10'!$J$238:$J$451),0),
IF('TL11'!$B$3=N$3,SUMIF('TL11'!$C$10:$C$224,$C321,'TL11'!$J$10:$J$224),0),
IF('TL11'!$B$229=N$3,SUMIF('TL11'!$C$238:$C$451,$C321,'TL11'!$J$238:$J$451),0),
IF('TL12'!$B$3=N$3,SUMIF('TL12'!$C$10:$C$224,$C321,'TL12'!$J$10:$J$224),0),
IF('TL12'!$B$229=N$3,SUMIF('TL12'!$C$238:$C$451,$C321,'TL12'!$J$238:$J$451),0),
IF('TL13'!$B$3=N$3,SUMIF('TL13'!$C$10:$C$224,$C321,'TL13'!$J$10:$J$224),0),
IF('TL13'!$B$229=N$3,SUMIF('TL13'!$C$238:$C$451,$C321,'TL13'!$J$238:$J$451),0),
IF('TL14'!$B$3=N$3,SUMIF('TL14'!$C$10:$C$224,$C321,'TL14'!$J$10:$J$224),0),
IF('TL14'!$B$229=N$3,SUMIF('TL14'!$C$238:$C$451,$C321,'TL14'!$J$238:$J$451),0),
IF('TL15'!$B$3=N$3,SUMIF('TL15'!$C$10:$C$224,$C321,'TL15'!$J$10:$J$224),0),
IF('TL15'!$B$229=N$3,SUMIF('TL15'!$C$238:$C$451,$C321,'TL15'!$J$238:$J$451),0),
IF('TL16'!$B$3=N$3,SUMIF('TL16'!$C$10:$C$224,$C321,'TL16'!$J$10:$J$224),0),
IF('TL16'!$B$229=N$3,SUMIF('TL16'!$C$238:$C$451,$C321,'TL16'!$J$238:$J$451),0),
IF('TL17'!$B$3=N$3,SUMIF('TL17'!$C$10:$C$224,$C321,'TL17'!$J$10:$J$224),0),
IF('TL17'!$B$229=N$3,SUMIF('TL17'!$C$238:$C$451,$C321,'TL17'!$J$238:$J$451),0),
IF('TL18'!$B$3=N$3,SUMIF('TL18'!$C$10:$C$224,$C321,'TL18'!$J$10:$J$224),0),
IF('TL18'!$B$229=N$3,SUMIF('TL18'!$C$238:$C$451,$C321,'TL18'!$J$238:$J$451),0),
IF('TL19'!$B$3=N$3,SUMIF('TL19'!$C$10:$C$224,$C321,'TL19'!$J$10:$J$224),0),
IF('TL19'!$B$229=N$3,SUMIF('TL19'!$C$238:$C$451,$C321,'TL19'!$J$238:$J$451),0)
),0)</f>
        <v/>
      </c>
      <c r="O321" s="9">
        <f>IFERROR(SUM(
IF('TL01'!$B$3=O$3,SUMIF('TL01'!$C$10:$C$224,$C321,'TL01'!$J$10:$J$224),0),
IF('TL01'!$B$229=O$3,SUMIF('TL01'!$C$238:$C$451,$C321,'TL01'!$J$238:$J$451),0),
IF('TL02'!$B$3=O$3,SUMIF('TL02'!$C$10:$C$224,$C321,'TL02'!$J$10:$J$224),0),
IF('TL02'!$B$229=O$3,SUMIF('TL02'!$C$238:$C$451,$C321,'TL02'!$J$238:$J$451),0),
IF('TL03'!$B$3=O$3,SUMIF('TL03'!$C$10:$C$224,$C321,'TL03'!$J$10:$J$224),0),
IF('TL03'!$B$229=O$3,SUMIF('TL03'!$C$238:$C$451,$C321,'TL03'!$J$238:$J$451),0),
IF('TL04'!$B$3=O$3,SUMIF('TL04'!$C$10:$C$224,$C321,'TL04'!$J$10:$J$224),0),
IF('TL04'!$B$229=O$3,SUMIF('TL04'!$C$238:$C$451,$C321,'TL04'!$J$238:$J$451),0),
IF('TL05'!$B$3=O$3,SUMIF('TL05'!$C$10:$C$224,$C321,'TL05'!$J$10:$J$224),0),
IF('TL05'!$B$229=O$3,SUMIF('TL05'!$C$238:$C$451,$C321,'TL05'!$J$238:$J$451),0),
IF('TL06'!$B$3=O$3,SUMIF('TL06'!$C$10:$C$224,$C321,'TL06'!$J$10:$J$224),0),
IF('TL06'!$B$229=O$3,SUMIF('TL06'!$C$238:$C$451,$C321,'TL06'!$J$238:$J$451),0),
IF('TL07'!$B$3=O$3,SUMIF('TL07'!$C$10:$C$224,$C321,'TL07'!$J$10:$J$224),0),
IF('TL07'!$B$229=O$3,SUMIF('TL07'!$C$238:$C$451,$C321,'TL07'!$J$238:$J$451),0),
IF('TL08'!$B$3=O$3,SUMIF('TL08'!$C$10:$C$224,$C321,'TL08'!$J$10:$J$224),0),
IF('TL08'!$B$229=O$3,SUMIF('TL08'!$C$238:$C$451,$C321,'TL08'!$J$238:$J$451),0),
IF('TL09'!$B$3=O$3,SUMIF('TL09'!$C$10:$C$224,$C321,'TL09'!$J$10:$J$224),0),
IF('TL09'!$B$229=O$3,SUMIF('TL09'!$C$238:$C$451,$C321,'TL09'!$J$238:$J$451),0),
IF('TL10'!$B$3=O$3,SUMIF('TL10'!$C$10:$C$224,$C321,'TL10'!$J$10:$J$224),0),
IF('TL10'!$B$229=O$3,SUMIF('TL10'!$C$238:$C$451,$C321,'TL10'!$J$238:$J$451),0),
IF('TL11'!$B$3=O$3,SUMIF('TL11'!$C$10:$C$224,$C321,'TL11'!$J$10:$J$224),0),
IF('TL11'!$B$229=O$3,SUMIF('TL11'!$C$238:$C$451,$C321,'TL11'!$J$238:$J$451),0),
IF('TL12'!$B$3=O$3,SUMIF('TL12'!$C$10:$C$224,$C321,'TL12'!$J$10:$J$224),0),
IF('TL12'!$B$229=O$3,SUMIF('TL12'!$C$238:$C$451,$C321,'TL12'!$J$238:$J$451),0),
IF('TL13'!$B$3=O$3,SUMIF('TL13'!$C$10:$C$224,$C321,'TL13'!$J$10:$J$224),0),
IF('TL13'!$B$229=O$3,SUMIF('TL13'!$C$238:$C$451,$C321,'TL13'!$J$238:$J$451),0),
IF('TL14'!$B$3=O$3,SUMIF('TL14'!$C$10:$C$224,$C321,'TL14'!$J$10:$J$224),0),
IF('TL14'!$B$229=O$3,SUMIF('TL14'!$C$238:$C$451,$C321,'TL14'!$J$238:$J$451),0),
IF('TL15'!$B$3=O$3,SUMIF('TL15'!$C$10:$C$224,$C321,'TL15'!$J$10:$J$224),0),
IF('TL15'!$B$229=O$3,SUMIF('TL15'!$C$238:$C$451,$C321,'TL15'!$J$238:$J$451),0),
IF('TL16'!$B$3=O$3,SUMIF('TL16'!$C$10:$C$224,$C321,'TL16'!$J$10:$J$224),0),
IF('TL16'!$B$229=O$3,SUMIF('TL16'!$C$238:$C$451,$C321,'TL16'!$J$238:$J$451),0),
IF('TL17'!$B$3=O$3,SUMIF('TL17'!$C$10:$C$224,$C321,'TL17'!$J$10:$J$224),0),
IF('TL17'!$B$229=O$3,SUMIF('TL17'!$C$238:$C$451,$C321,'TL17'!$J$238:$J$451),0),
IF('TL18'!$B$3=O$3,SUMIF('TL18'!$C$10:$C$224,$C321,'TL18'!$J$10:$J$224),0),
IF('TL18'!$B$229=O$3,SUMIF('TL18'!$C$238:$C$451,$C321,'TL18'!$J$238:$J$451),0),
IF('TL19'!$B$3=O$3,SUMIF('TL19'!$C$10:$C$224,$C321,'TL19'!$J$10:$J$224),0),
IF('TL19'!$B$229=O$3,SUMIF('TL19'!$C$238:$C$451,$C321,'TL19'!$J$238:$J$451),0)
),0)</f>
        <v/>
      </c>
      <c r="P321" s="9">
        <f>IFERROR(SUM(
IF('TL01'!$B$3=P$3,SUMIF('TL01'!$C$10:$C$224,$C321,'TL01'!$J$10:$J$224),0),
IF('TL01'!$B$229=P$3,SUMIF('TL01'!$C$238:$C$451,$C321,'TL01'!$J$238:$J$451),0),
IF('TL02'!$B$3=P$3,SUMIF('TL02'!$C$10:$C$224,$C321,'TL02'!$J$10:$J$224),0),
IF('TL02'!$B$229=P$3,SUMIF('TL02'!$C$238:$C$451,$C321,'TL02'!$J$238:$J$451),0),
IF('TL03'!$B$3=P$3,SUMIF('TL03'!$C$10:$C$224,$C321,'TL03'!$J$10:$J$224),0),
IF('TL03'!$B$229=P$3,SUMIF('TL03'!$C$238:$C$451,$C321,'TL03'!$J$238:$J$451),0),
IF('TL04'!$B$3=P$3,SUMIF('TL04'!$C$10:$C$224,$C321,'TL04'!$J$10:$J$224),0),
IF('TL04'!$B$229=P$3,SUMIF('TL04'!$C$238:$C$451,$C321,'TL04'!$J$238:$J$451),0),
IF('TL05'!$B$3=P$3,SUMIF('TL05'!$C$10:$C$224,$C321,'TL05'!$J$10:$J$224),0),
IF('TL05'!$B$229=P$3,SUMIF('TL05'!$C$238:$C$451,$C321,'TL05'!$J$238:$J$451),0),
IF('TL06'!$B$3=P$3,SUMIF('TL06'!$C$10:$C$224,$C321,'TL06'!$J$10:$J$224),0),
IF('TL06'!$B$229=P$3,SUMIF('TL06'!$C$238:$C$451,$C321,'TL06'!$J$238:$J$451),0),
IF('TL07'!$B$3=P$3,SUMIF('TL07'!$C$10:$C$224,$C321,'TL07'!$J$10:$J$224),0),
IF('TL07'!$B$229=P$3,SUMIF('TL07'!$C$238:$C$451,$C321,'TL07'!$J$238:$J$451),0),
IF('TL08'!$B$3=P$3,SUMIF('TL08'!$C$10:$C$224,$C321,'TL08'!$J$10:$J$224),0),
IF('TL08'!$B$229=P$3,SUMIF('TL08'!$C$238:$C$451,$C321,'TL08'!$J$238:$J$451),0),
IF('TL09'!$B$3=P$3,SUMIF('TL09'!$C$10:$C$224,$C321,'TL09'!$J$10:$J$224),0),
IF('TL09'!$B$229=P$3,SUMIF('TL09'!$C$238:$C$451,$C321,'TL09'!$J$238:$J$451),0),
IF('TL10'!$B$3=P$3,SUMIF('TL10'!$C$10:$C$224,$C321,'TL10'!$J$10:$J$224),0),
IF('TL10'!$B$229=P$3,SUMIF('TL10'!$C$238:$C$451,$C321,'TL10'!$J$238:$J$451),0),
IF('TL11'!$B$3=P$3,SUMIF('TL11'!$C$10:$C$224,$C321,'TL11'!$J$10:$J$224),0),
IF('TL11'!$B$229=P$3,SUMIF('TL11'!$C$238:$C$451,$C321,'TL11'!$J$238:$J$451),0),
IF('TL12'!$B$3=P$3,SUMIF('TL12'!$C$10:$C$224,$C321,'TL12'!$J$10:$J$224),0),
IF('TL12'!$B$229=P$3,SUMIF('TL12'!$C$238:$C$451,$C321,'TL12'!$J$238:$J$451),0),
IF('TL13'!$B$3=P$3,SUMIF('TL13'!$C$10:$C$224,$C321,'TL13'!$J$10:$J$224),0),
IF('TL13'!$B$229=P$3,SUMIF('TL13'!$C$238:$C$451,$C321,'TL13'!$J$238:$J$451),0),
IF('TL14'!$B$3=P$3,SUMIF('TL14'!$C$10:$C$224,$C321,'TL14'!$J$10:$J$224),0),
IF('TL14'!$B$229=P$3,SUMIF('TL14'!$C$238:$C$451,$C321,'TL14'!$J$238:$J$451),0),
IF('TL15'!$B$3=P$3,SUMIF('TL15'!$C$10:$C$224,$C321,'TL15'!$J$10:$J$224),0),
IF('TL15'!$B$229=P$3,SUMIF('TL15'!$C$238:$C$451,$C321,'TL15'!$J$238:$J$451),0),
IF('TL16'!$B$3=P$3,SUMIF('TL16'!$C$10:$C$224,$C321,'TL16'!$J$10:$J$224),0),
IF('TL16'!$B$229=P$3,SUMIF('TL16'!$C$238:$C$451,$C321,'TL16'!$J$238:$J$451),0),
IF('TL17'!$B$3=P$3,SUMIF('TL17'!$C$10:$C$224,$C321,'TL17'!$J$10:$J$224),0),
IF('TL17'!$B$229=P$3,SUMIF('TL17'!$C$238:$C$451,$C321,'TL17'!$J$238:$J$451),0),
IF('TL18'!$B$3=P$3,SUMIF('TL18'!$C$10:$C$224,$C321,'TL18'!$J$10:$J$224),0),
IF('TL18'!$B$229=P$3,SUMIF('TL18'!$C$238:$C$451,$C321,'TL18'!$J$238:$J$451),0),
IF('TL19'!$B$3=P$3,SUMIF('TL19'!$C$10:$C$224,$C321,'TL19'!$J$10:$J$224),0),
IF('TL19'!$B$229=P$3,SUMIF('TL19'!$C$238:$C$451,$C321,'TL19'!$J$238:$J$451),0)
),0)</f>
        <v/>
      </c>
      <c r="Q321" s="9">
        <f>IFERROR(SUM(
IF('TL01'!$B$3=Q$3,SUMIF('TL01'!$C$10:$C$224,$C321,'TL01'!$J$10:$J$224),0),
IF('TL01'!$B$229=Q$3,SUMIF('TL01'!$C$238:$C$451,$C321,'TL01'!$J$238:$J$451),0),
IF('TL02'!$B$3=Q$3,SUMIF('TL02'!$C$10:$C$224,$C321,'TL02'!$J$10:$J$224),0),
IF('TL02'!$B$229=Q$3,SUMIF('TL02'!$C$238:$C$451,$C321,'TL02'!$J$238:$J$451),0),
IF('TL03'!$B$3=Q$3,SUMIF('TL03'!$C$10:$C$224,$C321,'TL03'!$J$10:$J$224),0),
IF('TL03'!$B$229=Q$3,SUMIF('TL03'!$C$238:$C$451,$C321,'TL03'!$J$238:$J$451),0),
IF('TL04'!$B$3=Q$3,SUMIF('TL04'!$C$10:$C$224,$C321,'TL04'!$J$10:$J$224),0),
IF('TL04'!$B$229=Q$3,SUMIF('TL04'!$C$238:$C$451,$C321,'TL04'!$J$238:$J$451),0),
IF('TL05'!$B$3=Q$3,SUMIF('TL05'!$C$10:$C$224,$C321,'TL05'!$J$10:$J$224),0),
IF('TL05'!$B$229=Q$3,SUMIF('TL05'!$C$238:$C$451,$C321,'TL05'!$J$238:$J$451),0),
IF('TL06'!$B$3=Q$3,SUMIF('TL06'!$C$10:$C$224,$C321,'TL06'!$J$10:$J$224),0),
IF('TL06'!$B$229=Q$3,SUMIF('TL06'!$C$238:$C$451,$C321,'TL06'!$J$238:$J$451),0),
IF('TL07'!$B$3=Q$3,SUMIF('TL07'!$C$10:$C$224,$C321,'TL07'!$J$10:$J$224),0),
IF('TL07'!$B$229=Q$3,SUMIF('TL07'!$C$238:$C$451,$C321,'TL07'!$J$238:$J$451),0),
IF('TL08'!$B$3=Q$3,SUMIF('TL08'!$C$10:$C$224,$C321,'TL08'!$J$10:$J$224),0),
IF('TL08'!$B$229=Q$3,SUMIF('TL08'!$C$238:$C$451,$C321,'TL08'!$J$238:$J$451),0),
IF('TL09'!$B$3=Q$3,SUMIF('TL09'!$C$10:$C$224,$C321,'TL09'!$J$10:$J$224),0),
IF('TL09'!$B$229=Q$3,SUMIF('TL09'!$C$238:$C$451,$C321,'TL09'!$J$238:$J$451),0),
IF('TL10'!$B$3=Q$3,SUMIF('TL10'!$C$10:$C$224,$C321,'TL10'!$J$10:$J$224),0),
IF('TL10'!$B$229=Q$3,SUMIF('TL10'!$C$238:$C$451,$C321,'TL10'!$J$238:$J$451),0),
IF('TL11'!$B$3=Q$3,SUMIF('TL11'!$C$10:$C$224,$C321,'TL11'!$J$10:$J$224),0),
IF('TL11'!$B$229=Q$3,SUMIF('TL11'!$C$238:$C$451,$C321,'TL11'!$J$238:$J$451),0),
IF('TL12'!$B$3=Q$3,SUMIF('TL12'!$C$10:$C$224,$C321,'TL12'!$J$10:$J$224),0),
IF('TL12'!$B$229=Q$3,SUMIF('TL12'!$C$238:$C$451,$C321,'TL12'!$J$238:$J$451),0),
IF('TL13'!$B$3=Q$3,SUMIF('TL13'!$C$10:$C$224,$C321,'TL13'!$J$10:$J$224),0),
IF('TL13'!$B$229=Q$3,SUMIF('TL13'!$C$238:$C$451,$C321,'TL13'!$J$238:$J$451),0),
IF('TL14'!$B$3=Q$3,SUMIF('TL14'!$C$10:$C$224,$C321,'TL14'!$J$10:$J$224),0),
IF('TL14'!$B$229=Q$3,SUMIF('TL14'!$C$238:$C$451,$C321,'TL14'!$J$238:$J$451),0),
IF('TL15'!$B$3=Q$3,SUMIF('TL15'!$C$10:$C$224,$C321,'TL15'!$J$10:$J$224),0),
IF('TL15'!$B$229=Q$3,SUMIF('TL15'!$C$238:$C$451,$C321,'TL15'!$J$238:$J$451),0),
IF('TL16'!$B$3=Q$3,SUMIF('TL16'!$C$10:$C$224,$C321,'TL16'!$J$10:$J$224),0),
IF('TL16'!$B$229=Q$3,SUMIF('TL16'!$C$238:$C$451,$C321,'TL16'!$J$238:$J$451),0),
IF('TL17'!$B$3=Q$3,SUMIF('TL17'!$C$10:$C$224,$C321,'TL17'!$J$10:$J$224),0),
IF('TL17'!$B$229=Q$3,SUMIF('TL17'!$C$238:$C$451,$C321,'TL17'!$J$238:$J$451),0),
IF('TL18'!$B$3=Q$3,SUMIF('TL18'!$C$10:$C$224,$C321,'TL18'!$J$10:$J$224),0),
IF('TL18'!$B$229=Q$3,SUMIF('TL18'!$C$238:$C$451,$C321,'TL18'!$J$238:$J$451),0),
IF('TL19'!$B$3=Q$3,SUMIF('TL19'!$C$10:$C$224,$C321,'TL19'!$J$10:$J$224),0),
IF('TL19'!$B$229=Q$3,SUMIF('TL19'!$C$238:$C$451,$C321,'TL19'!$J$238:$J$451),0)
),0)</f>
        <v/>
      </c>
      <c r="R321" s="9">
        <f>IFERROR(
SUM(
SUMIF('TL01'!C:C,C321,'TL01'!J:J),
SUMIF('TL02'!C:C,C321,'TL02'!J:J),
SUMIF('TL03'!C:C,C321,'TL03'!J:J),
SUMIF('TL04'!C:C,C321,'TL04'!J:J),
SUMIF('TL05'!C:C,C321,'TL05'!J:J),
SUMIF('TL06'!C:C,C321,'TL06'!J:J),
SUMIF('TL07'!C:C,C321,'TL07'!J:J),
SUMIF('TL08'!C:C,C321,'TL08'!J:J),
SUMIF('TL09'!C:C,C321,'TL09'!J:J),
SUMIF('TL10'!C:C,C321,'TL10'!J:J),
SUMIF('TL11'!C:C,C321,'TL11'!J:J),
SUMIF('TL12'!C:C,C321,'TL12'!J:J),
SUMIF('TL13'!C:C,C321,'TL13'!J:J),
SUMIF('TL14'!C:C,C321,'TL14'!J:J),
SUMIF('TL15'!C:C,C321,'TL15'!J:J),
SUMIF('TL16'!C:C,C321,'TL16'!J:J),
SUMIF('TL17'!C:C,C321,'TL17'!J:J),
SUMIF('TL18'!C:C,C321,'TL18'!J:J),SUMIF('TL19'!C:C,C321,'TL19'!J:J))
,0)</f>
        <v/>
      </c>
      <c r="S321" s="17">
        <f>IFERROR(__xludf.DUMMYFUNCTION("IFERROR(VLOOKUP(C321,
IMPORTRANGE(""1wULbzX32WdYsx-lj2U3uUNBBe2INVIRDtcK0d-Dvl90"",
""26-27!C:G""),
5,
FALSE),
"""")"),"")</f>
        <v/>
      </c>
      <c r="T321" s="9" t="n"/>
      <c r="U321" s="92">
        <f>MAX(0,R321-T321)</f>
        <v/>
      </c>
      <c r="V321" s="93">
        <f>U321*S321</f>
        <v/>
      </c>
    </row>
    <row r="322" hidden="1" ht="15.75" customHeight="1" s="297">
      <c r="A322" s="4" t="n"/>
      <c r="B322" s="125" t="inlineStr">
        <is>
          <t>SEMENTE</t>
        </is>
      </c>
      <c r="C322" s="4" t="inlineStr">
        <is>
          <t>SPARTA 8.0</t>
        </is>
      </c>
      <c r="D322" s="20" t="n"/>
      <c r="E322" s="9" t="n"/>
      <c r="F322" s="4" t="inlineStr">
        <is>
          <t>5MM</t>
        </is>
      </c>
      <c r="G322" s="90">
        <f>HYPERLINK("https://www.google.com/search?q=" &amp; C322 &amp; "+bula+agrofit+pdf", "📄 Ver bula")</f>
        <v/>
      </c>
      <c r="H322" s="9" t="n"/>
      <c r="I322" s="1" t="inlineStr">
        <is>
          <t>BAG</t>
        </is>
      </c>
      <c r="J322" s="9">
        <f>IFERROR(SUM(
IF('TL01'!$B$3=J$3,SUMIF('TL01'!$C$10:$C$224,$C322,'TL01'!$J$10:$J$224),0),
IF('TL01'!$B$229=J$3,SUMIF('TL01'!$C$238:$C$451,$C322,'TL01'!$J$238:$J$451),0),
IF('TL02'!$B$3=J$3,SUMIF('TL02'!$C$10:$C$224,$C322,'TL02'!$J$10:$J$224),0),
IF('TL02'!$B$229=J$3,SUMIF('TL02'!$C$238:$C$451,$C322,'TL02'!$J$238:$J$451),0),
IF('TL03'!$B$3=J$3,SUMIF('TL03'!$C$10:$C$224,$C322,'TL03'!$J$10:$J$224),0),
IF('TL03'!$B$229=J$3,SUMIF('TL03'!$C$238:$C$451,$C322,'TL03'!$J$238:$J$451),0),
IF('TL04'!$B$3=J$3,SUMIF('TL04'!$C$10:$C$224,$C322,'TL04'!$J$10:$J$224),0),
IF('TL04'!$B$229=J$3,SUMIF('TL04'!$C$238:$C$451,$C322,'TL04'!$J$238:$J$451),0),
IF('TL05'!$B$3=J$3,SUMIF('TL05'!$C$10:$C$224,$C322,'TL05'!$J$10:$J$224),0),
IF('TL05'!$B$229=J$3,SUMIF('TL05'!$C$238:$C$451,$C322,'TL05'!$J$238:$J$451),0),
IF('TL06'!$B$3=J$3,SUMIF('TL06'!$C$10:$C$224,$C322,'TL06'!$J$10:$J$224),0),
IF('TL06'!$B$229=J$3,SUMIF('TL06'!$C$238:$C$451,$C322,'TL06'!$J$238:$J$451),0),
IF('TL07'!$B$3=J$3,SUMIF('TL07'!$C$10:$C$224,$C322,'TL07'!$J$10:$J$224),0),
IF('TL07'!$B$229=J$3,SUMIF('TL07'!$C$238:$C$451,$C322,'TL07'!$J$238:$J$451),0),
IF('TL08'!$B$3=J$3,SUMIF('TL08'!$C$10:$C$224,$C322,'TL08'!$J$10:$J$224),0),
IF('TL08'!$B$229=J$3,SUMIF('TL08'!$C$238:$C$451,$C322,'TL08'!$J$238:$J$451),0),
IF('TL09'!$B$3=J$3,SUMIF('TL09'!$C$10:$C$224,$C322,'TL09'!$J$10:$J$224),0),
IF('TL09'!$B$229=J$3,SUMIF('TL09'!$C$238:$C$451,$C322,'TL09'!$J$238:$J$451),0),
IF('TL10'!$B$3=J$3,SUMIF('TL10'!$C$10:$C$224,$C322,'TL10'!$J$10:$J$224),0),
IF('TL10'!$B$229=J$3,SUMIF('TL10'!$C$238:$C$451,$C322,'TL10'!$J$238:$J$451),0),
IF('TL11'!$B$3=J$3,SUMIF('TL11'!$C$10:$C$224,$C322,'TL11'!$J$10:$J$224),0),
IF('TL11'!$B$229=J$3,SUMIF('TL11'!$C$238:$C$451,$C322,'TL11'!$J$238:$J$451),0),
IF('TL12'!$B$3=J$3,SUMIF('TL12'!$C$10:$C$224,$C322,'TL12'!$J$10:$J$224),0),
IF('TL12'!$B$229=J$3,SUMIF('TL12'!$C$238:$C$451,$C322,'TL12'!$J$238:$J$451),0),
IF('TL13'!$B$3=J$3,SUMIF('TL13'!$C$10:$C$224,$C322,'TL13'!$J$10:$J$224),0),
IF('TL13'!$B$229=J$3,SUMIF('TL13'!$C$238:$C$451,$C322,'TL13'!$J$238:$J$451),0),
IF('TL14'!$B$3=J$3,SUMIF('TL14'!$C$10:$C$224,$C322,'TL14'!$J$10:$J$224),0),
IF('TL14'!$B$229=J$3,SUMIF('TL14'!$C$238:$C$451,$C322,'TL14'!$J$238:$J$451),0),
IF('TL15'!$B$3=J$3,SUMIF('TL15'!$C$10:$C$224,$C322,'TL15'!$J$10:$J$224),0),
IF('TL15'!$B$229=J$3,SUMIF('TL15'!$C$238:$C$451,$C322,'TL15'!$J$238:$J$451),0),
IF('TL16'!$B$3=J$3,SUMIF('TL16'!$C$10:$C$224,$C322,'TL16'!$J$10:$J$224),0),
IF('TL16'!$B$229=J$3,SUMIF('TL16'!$C$238:$C$451,$C322,'TL16'!$J$238:$J$451),0),
IF('TL17'!$B$3=J$3,SUMIF('TL17'!$C$10:$C$224,$C322,'TL17'!$J$10:$J$224),0),
IF('TL17'!$B$229=J$3,SUMIF('TL17'!$C$238:$C$451,$C322,'TL17'!$J$238:$J$451),0),
IF('TL18'!$B$3=J$3,SUMIF('TL18'!$C$10:$C$224,$C322,'TL18'!$J$10:$J$224),0),
IF('TL18'!$B$229=J$3,SUMIF('TL18'!$C$238:$C$451,$C322,'TL18'!$J$238:$J$451),0),
IF('TL19'!$B$3=J$3,SUMIF('TL19'!$C$10:$C$224,$C322,'TL19'!$J$10:$J$224),0),
IF('TL19'!$B$229=J$3,SUMIF('TL19'!$C$238:$C$451,$C322,'TL19'!$J$238:$J$451),0)
),0)</f>
        <v/>
      </c>
      <c r="K322" s="9">
        <f>IFERROR(SUM(
IF('TL01'!$B$3=K$3,SUMIF('TL01'!$C$10:$C$224,$C322,'TL01'!$J$10:$J$224),0),
IF('TL01'!$B$229=K$3,SUMIF('TL01'!$C$238:$C$451,$C322,'TL01'!$J$238:$J$451),0),
IF('TL02'!$B$3=K$3,SUMIF('TL02'!$C$10:$C$224,$C322,'TL02'!$J$10:$J$224),0),
IF('TL02'!$B$229=K$3,SUMIF('TL02'!$C$238:$C$451,$C322,'TL02'!$J$238:$J$451),0),
IF('TL03'!$B$3=K$3,SUMIF('TL03'!$C$10:$C$224,$C322,'TL03'!$J$10:$J$224),0),
IF('TL03'!$B$229=K$3,SUMIF('TL03'!$C$238:$C$451,$C322,'TL03'!$J$238:$J$451),0),
IF('TL04'!$B$3=K$3,SUMIF('TL04'!$C$10:$C$224,$C322,'TL04'!$J$10:$J$224),0),
IF('TL04'!$B$229=K$3,SUMIF('TL04'!$C$238:$C$451,$C322,'TL04'!$J$238:$J$451),0),
IF('TL05'!$B$3=K$3,SUMIF('TL05'!$C$10:$C$224,$C322,'TL05'!$J$10:$J$224),0),
IF('TL05'!$B$229=K$3,SUMIF('TL05'!$C$238:$C$451,$C322,'TL05'!$J$238:$J$451),0),
IF('TL06'!$B$3=K$3,SUMIF('TL06'!$C$10:$C$224,$C322,'TL06'!$J$10:$J$224),0),
IF('TL06'!$B$229=K$3,SUMIF('TL06'!$C$238:$C$451,$C322,'TL06'!$J$238:$J$451),0),
IF('TL07'!$B$3=K$3,SUMIF('TL07'!$C$10:$C$224,$C322,'TL07'!$J$10:$J$224),0),
IF('TL07'!$B$229=K$3,SUMIF('TL07'!$C$238:$C$451,$C322,'TL07'!$J$238:$J$451),0),
IF('TL08'!$B$3=K$3,SUMIF('TL08'!$C$10:$C$224,$C322,'TL08'!$J$10:$J$224),0),
IF('TL08'!$B$229=K$3,SUMIF('TL08'!$C$238:$C$451,$C322,'TL08'!$J$238:$J$451),0),
IF('TL09'!$B$3=K$3,SUMIF('TL09'!$C$10:$C$224,$C322,'TL09'!$J$10:$J$224),0),
IF('TL09'!$B$229=K$3,SUMIF('TL09'!$C$238:$C$451,$C322,'TL09'!$J$238:$J$451),0),
IF('TL10'!$B$3=K$3,SUMIF('TL10'!$C$10:$C$224,$C322,'TL10'!$J$10:$J$224),0),
IF('TL10'!$B$229=K$3,SUMIF('TL10'!$C$238:$C$451,$C322,'TL10'!$J$238:$J$451),0),
IF('TL11'!$B$3=K$3,SUMIF('TL11'!$C$10:$C$224,$C322,'TL11'!$J$10:$J$224),0),
IF('TL11'!$B$229=K$3,SUMIF('TL11'!$C$238:$C$451,$C322,'TL11'!$J$238:$J$451),0),
IF('TL12'!$B$3=K$3,SUMIF('TL12'!$C$10:$C$224,$C322,'TL12'!$J$10:$J$224),0),
IF('TL12'!$B$229=K$3,SUMIF('TL12'!$C$238:$C$451,$C322,'TL12'!$J$238:$J$451),0),
IF('TL13'!$B$3=K$3,SUMIF('TL13'!$C$10:$C$224,$C322,'TL13'!$J$10:$J$224),0),
IF('TL13'!$B$229=K$3,SUMIF('TL13'!$C$238:$C$451,$C322,'TL13'!$J$238:$J$451),0),
IF('TL14'!$B$3=K$3,SUMIF('TL14'!$C$10:$C$224,$C322,'TL14'!$J$10:$J$224),0),
IF('TL14'!$B$229=K$3,SUMIF('TL14'!$C$238:$C$451,$C322,'TL14'!$J$238:$J$451),0),
IF('TL15'!$B$3=K$3,SUMIF('TL15'!$C$10:$C$224,$C322,'TL15'!$J$10:$J$224),0),
IF('TL15'!$B$229=K$3,SUMIF('TL15'!$C$238:$C$451,$C322,'TL15'!$J$238:$J$451),0),
IF('TL16'!$B$3=K$3,SUMIF('TL16'!$C$10:$C$224,$C322,'TL16'!$J$10:$J$224),0),
IF('TL16'!$B$229=K$3,SUMIF('TL16'!$C$238:$C$451,$C322,'TL16'!$J$238:$J$451),0),
IF('TL17'!$B$3=K$3,SUMIF('TL17'!$C$10:$C$224,$C322,'TL17'!$J$10:$J$224),0),
IF('TL17'!$B$229=K$3,SUMIF('TL17'!$C$238:$C$451,$C322,'TL17'!$J$238:$J$451),0),
IF('TL18'!$B$3=K$3,SUMIF('TL18'!$C$10:$C$224,$C322,'TL18'!$J$10:$J$224),0),
IF('TL18'!$B$229=K$3,SUMIF('TL18'!$C$238:$C$451,$C322,'TL18'!$J$238:$J$451),0),
IF('TL19'!$B$3=K$3,SUMIF('TL19'!$C$10:$C$224,$C322,'TL19'!$J$10:$J$224),0),
IF('TL19'!$B$229=K$3,SUMIF('TL19'!$C$238:$C$451,$C322,'TL19'!$J$238:$J$451),0)
),0)</f>
        <v/>
      </c>
      <c r="L322" s="9">
        <f>IFERROR(SUM(
IF('TL01'!$B$3=L$3,SUMIF('TL01'!$C$10:$C$224,$C322,'TL01'!$J$10:$J$224),0),
IF('TL01'!$B$229=L$3,SUMIF('TL01'!$C$238:$C$451,$C322,'TL01'!$J$238:$J$451),0),
IF('TL02'!$B$3=L$3,SUMIF('TL02'!$C$10:$C$224,$C322,'TL02'!$J$10:$J$224),0),
IF('TL02'!$B$229=L$3,SUMIF('TL02'!$C$238:$C$451,$C322,'TL02'!$J$238:$J$451),0),
IF('TL03'!$B$3=L$3,SUMIF('TL03'!$C$10:$C$224,$C322,'TL03'!$J$10:$J$224),0),
IF('TL03'!$B$229=L$3,SUMIF('TL03'!$C$238:$C$451,$C322,'TL03'!$J$238:$J$451),0),
IF('TL04'!$B$3=L$3,SUMIF('TL04'!$C$10:$C$224,$C322,'TL04'!$J$10:$J$224),0),
IF('TL04'!$B$229=L$3,SUMIF('TL04'!$C$238:$C$451,$C322,'TL04'!$J$238:$J$451),0),
IF('TL05'!$B$3=L$3,SUMIF('TL05'!$C$10:$C$224,$C322,'TL05'!$J$10:$J$224),0),
IF('TL05'!$B$229=L$3,SUMIF('TL05'!$C$238:$C$451,$C322,'TL05'!$J$238:$J$451),0),
IF('TL06'!$B$3=L$3,SUMIF('TL06'!$C$10:$C$224,$C322,'TL06'!$J$10:$J$224),0),
IF('TL06'!$B$229=L$3,SUMIF('TL06'!$C$238:$C$451,$C322,'TL06'!$J$238:$J$451),0),
IF('TL07'!$B$3=L$3,SUMIF('TL07'!$C$10:$C$224,$C322,'TL07'!$J$10:$J$224),0),
IF('TL07'!$B$229=L$3,SUMIF('TL07'!$C$238:$C$451,$C322,'TL07'!$J$238:$J$451),0),
IF('TL08'!$B$3=L$3,SUMIF('TL08'!$C$10:$C$224,$C322,'TL08'!$J$10:$J$224),0),
IF('TL08'!$B$229=L$3,SUMIF('TL08'!$C$238:$C$451,$C322,'TL08'!$J$238:$J$451),0),
IF('TL09'!$B$3=L$3,SUMIF('TL09'!$C$10:$C$224,$C322,'TL09'!$J$10:$J$224),0),
IF('TL09'!$B$229=L$3,SUMIF('TL09'!$C$238:$C$451,$C322,'TL09'!$J$238:$J$451),0),
IF('TL10'!$B$3=L$3,SUMIF('TL10'!$C$10:$C$224,$C322,'TL10'!$J$10:$J$224),0),
IF('TL10'!$B$229=L$3,SUMIF('TL10'!$C$238:$C$451,$C322,'TL10'!$J$238:$J$451),0),
IF('TL11'!$B$3=L$3,SUMIF('TL11'!$C$10:$C$224,$C322,'TL11'!$J$10:$J$224),0),
IF('TL11'!$B$229=L$3,SUMIF('TL11'!$C$238:$C$451,$C322,'TL11'!$J$238:$J$451),0),
IF('TL12'!$B$3=L$3,SUMIF('TL12'!$C$10:$C$224,$C322,'TL12'!$J$10:$J$224),0),
IF('TL12'!$B$229=L$3,SUMIF('TL12'!$C$238:$C$451,$C322,'TL12'!$J$238:$J$451),0),
IF('TL13'!$B$3=L$3,SUMIF('TL13'!$C$10:$C$224,$C322,'TL13'!$J$10:$J$224),0),
IF('TL13'!$B$229=L$3,SUMIF('TL13'!$C$238:$C$451,$C322,'TL13'!$J$238:$J$451),0),
IF('TL14'!$B$3=L$3,SUMIF('TL14'!$C$10:$C$224,$C322,'TL14'!$J$10:$J$224),0),
IF('TL14'!$B$229=L$3,SUMIF('TL14'!$C$238:$C$451,$C322,'TL14'!$J$238:$J$451),0),
IF('TL15'!$B$3=L$3,SUMIF('TL15'!$C$10:$C$224,$C322,'TL15'!$J$10:$J$224),0),
IF('TL15'!$B$229=L$3,SUMIF('TL15'!$C$238:$C$451,$C322,'TL15'!$J$238:$J$451),0),
IF('TL16'!$B$3=L$3,SUMIF('TL16'!$C$10:$C$224,$C322,'TL16'!$J$10:$J$224),0),
IF('TL16'!$B$229=L$3,SUMIF('TL16'!$C$238:$C$451,$C322,'TL16'!$J$238:$J$451),0),
IF('TL17'!$B$3=L$3,SUMIF('TL17'!$C$10:$C$224,$C322,'TL17'!$J$10:$J$224),0),
IF('TL17'!$B$229=L$3,SUMIF('TL17'!$C$238:$C$451,$C322,'TL17'!$J$238:$J$451),0),
IF('TL18'!$B$3=L$3,SUMIF('TL18'!$C$10:$C$224,$C322,'TL18'!$J$10:$J$224),0),
IF('TL18'!$B$229=L$3,SUMIF('TL18'!$C$238:$C$451,$C322,'TL18'!$J$238:$J$451),0),
IF('TL19'!$B$3=L$3,SUMIF('TL19'!$C$10:$C$224,$C322,'TL19'!$J$10:$J$224),0),
IF('TL19'!$B$229=L$3,SUMIF('TL19'!$C$238:$C$451,$C322,'TL19'!$J$238:$J$451),0)
),0)</f>
        <v/>
      </c>
      <c r="M322" s="9">
        <f>IFERROR(SUM(
IF('TL01'!$B$3=M$3,SUMIF('TL01'!$C$10:$C$224,$C322,'TL01'!$J$10:$J$224),0),
IF('TL01'!$B$229=M$3,SUMIF('TL01'!$C$238:$C$451,$C322,'TL01'!$J$238:$J$451),0),
IF('TL02'!$B$3=M$3,SUMIF('TL02'!$C$10:$C$224,$C322,'TL02'!$J$10:$J$224),0),
IF('TL02'!$B$229=M$3,SUMIF('TL02'!$C$238:$C$451,$C322,'TL02'!$J$238:$J$451),0),
IF('TL03'!$B$3=M$3,SUMIF('TL03'!$C$10:$C$224,$C322,'TL03'!$J$10:$J$224),0),
IF('TL03'!$B$229=M$3,SUMIF('TL03'!$C$238:$C$451,$C322,'TL03'!$J$238:$J$451),0),
IF('TL04'!$B$3=M$3,SUMIF('TL04'!$C$10:$C$224,$C322,'TL04'!$J$10:$J$224),0),
IF('TL04'!$B$229=M$3,SUMIF('TL04'!$C$238:$C$451,$C322,'TL04'!$J$238:$J$451),0),
IF('TL05'!$B$3=M$3,SUMIF('TL05'!$C$10:$C$224,$C322,'TL05'!$J$10:$J$224),0),
IF('TL05'!$B$229=M$3,SUMIF('TL05'!$C$238:$C$451,$C322,'TL05'!$J$238:$J$451),0),
IF('TL06'!$B$3=M$3,SUMIF('TL06'!$C$10:$C$224,$C322,'TL06'!$J$10:$J$224),0),
IF('TL06'!$B$229=M$3,SUMIF('TL06'!$C$238:$C$451,$C322,'TL06'!$J$238:$J$451),0),
IF('TL07'!$B$3=M$3,SUMIF('TL07'!$C$10:$C$224,$C322,'TL07'!$J$10:$J$224),0),
IF('TL07'!$B$229=M$3,SUMIF('TL07'!$C$238:$C$451,$C322,'TL07'!$J$238:$J$451),0),
IF('TL08'!$B$3=M$3,SUMIF('TL08'!$C$10:$C$224,$C322,'TL08'!$J$10:$J$224),0),
IF('TL08'!$B$229=M$3,SUMIF('TL08'!$C$238:$C$451,$C322,'TL08'!$J$238:$J$451),0),
IF('TL09'!$B$3=M$3,SUMIF('TL09'!$C$10:$C$224,$C322,'TL09'!$J$10:$J$224),0),
IF('TL09'!$B$229=M$3,SUMIF('TL09'!$C$238:$C$451,$C322,'TL09'!$J$238:$J$451),0),
IF('TL10'!$B$3=M$3,SUMIF('TL10'!$C$10:$C$224,$C322,'TL10'!$J$10:$J$224),0),
IF('TL10'!$B$229=M$3,SUMIF('TL10'!$C$238:$C$451,$C322,'TL10'!$J$238:$J$451),0),
IF('TL11'!$B$3=M$3,SUMIF('TL11'!$C$10:$C$224,$C322,'TL11'!$J$10:$J$224),0),
IF('TL11'!$B$229=M$3,SUMIF('TL11'!$C$238:$C$451,$C322,'TL11'!$J$238:$J$451),0),
IF('TL12'!$B$3=M$3,SUMIF('TL12'!$C$10:$C$224,$C322,'TL12'!$J$10:$J$224),0),
IF('TL12'!$B$229=M$3,SUMIF('TL12'!$C$238:$C$451,$C322,'TL12'!$J$238:$J$451),0),
IF('TL13'!$B$3=M$3,SUMIF('TL13'!$C$10:$C$224,$C322,'TL13'!$J$10:$J$224),0),
IF('TL13'!$B$229=M$3,SUMIF('TL13'!$C$238:$C$451,$C322,'TL13'!$J$238:$J$451),0),
IF('TL14'!$B$3=M$3,SUMIF('TL14'!$C$10:$C$224,$C322,'TL14'!$J$10:$J$224),0),
IF('TL14'!$B$229=M$3,SUMIF('TL14'!$C$238:$C$451,$C322,'TL14'!$J$238:$J$451),0),
IF('TL15'!$B$3=M$3,SUMIF('TL15'!$C$10:$C$224,$C322,'TL15'!$J$10:$J$224),0),
IF('TL15'!$B$229=M$3,SUMIF('TL15'!$C$238:$C$451,$C322,'TL15'!$J$238:$J$451),0),
IF('TL16'!$B$3=M$3,SUMIF('TL16'!$C$10:$C$224,$C322,'TL16'!$J$10:$J$224),0),
IF('TL16'!$B$229=M$3,SUMIF('TL16'!$C$238:$C$451,$C322,'TL16'!$J$238:$J$451),0),
IF('TL17'!$B$3=M$3,SUMIF('TL17'!$C$10:$C$224,$C322,'TL17'!$J$10:$J$224),0),
IF('TL17'!$B$229=M$3,SUMIF('TL17'!$C$238:$C$451,$C322,'TL17'!$J$238:$J$451),0),
IF('TL18'!$B$3=M$3,SUMIF('TL18'!$C$10:$C$224,$C322,'TL18'!$J$10:$J$224),0),
IF('TL18'!$B$229=M$3,SUMIF('TL18'!$C$238:$C$451,$C322,'TL18'!$J$238:$J$451),0),
IF('TL19'!$B$3=M$3,SUMIF('TL19'!$C$10:$C$224,$C322,'TL19'!$J$10:$J$224),0),
IF('TL19'!$B$229=M$3,SUMIF('TL19'!$C$238:$C$451,$C322,'TL19'!$J$238:$J$451),0)
),0)</f>
        <v/>
      </c>
      <c r="N322" s="9">
        <f>IFERROR(SUM(
IF('TL01'!$B$3=N$3,SUMIF('TL01'!$C$10:$C$224,$C322,'TL01'!$J$10:$J$224),0),
IF('TL01'!$B$229=N$3,SUMIF('TL01'!$C$238:$C$451,$C322,'TL01'!$J$238:$J$451),0),
IF('TL02'!$B$3=N$3,SUMIF('TL02'!$C$10:$C$224,$C322,'TL02'!$J$10:$J$224),0),
IF('TL02'!$B$229=N$3,SUMIF('TL02'!$C$238:$C$451,$C322,'TL02'!$J$238:$J$451),0),
IF('TL03'!$B$3=N$3,SUMIF('TL03'!$C$10:$C$224,$C322,'TL03'!$J$10:$J$224),0),
IF('TL03'!$B$229=N$3,SUMIF('TL03'!$C$238:$C$451,$C322,'TL03'!$J$238:$J$451),0),
IF('TL04'!$B$3=N$3,SUMIF('TL04'!$C$10:$C$224,$C322,'TL04'!$J$10:$J$224),0),
IF('TL04'!$B$229=N$3,SUMIF('TL04'!$C$238:$C$451,$C322,'TL04'!$J$238:$J$451),0),
IF('TL05'!$B$3=N$3,SUMIF('TL05'!$C$10:$C$224,$C322,'TL05'!$J$10:$J$224),0),
IF('TL05'!$B$229=N$3,SUMIF('TL05'!$C$238:$C$451,$C322,'TL05'!$J$238:$J$451),0),
IF('TL06'!$B$3=N$3,SUMIF('TL06'!$C$10:$C$224,$C322,'TL06'!$J$10:$J$224),0),
IF('TL06'!$B$229=N$3,SUMIF('TL06'!$C$238:$C$451,$C322,'TL06'!$J$238:$J$451),0),
IF('TL07'!$B$3=N$3,SUMIF('TL07'!$C$10:$C$224,$C322,'TL07'!$J$10:$J$224),0),
IF('TL07'!$B$229=N$3,SUMIF('TL07'!$C$238:$C$451,$C322,'TL07'!$J$238:$J$451),0),
IF('TL08'!$B$3=N$3,SUMIF('TL08'!$C$10:$C$224,$C322,'TL08'!$J$10:$J$224),0),
IF('TL08'!$B$229=N$3,SUMIF('TL08'!$C$238:$C$451,$C322,'TL08'!$J$238:$J$451),0),
IF('TL09'!$B$3=N$3,SUMIF('TL09'!$C$10:$C$224,$C322,'TL09'!$J$10:$J$224),0),
IF('TL09'!$B$229=N$3,SUMIF('TL09'!$C$238:$C$451,$C322,'TL09'!$J$238:$J$451),0),
IF('TL10'!$B$3=N$3,SUMIF('TL10'!$C$10:$C$224,$C322,'TL10'!$J$10:$J$224),0),
IF('TL10'!$B$229=N$3,SUMIF('TL10'!$C$238:$C$451,$C322,'TL10'!$J$238:$J$451),0),
IF('TL11'!$B$3=N$3,SUMIF('TL11'!$C$10:$C$224,$C322,'TL11'!$J$10:$J$224),0),
IF('TL11'!$B$229=N$3,SUMIF('TL11'!$C$238:$C$451,$C322,'TL11'!$J$238:$J$451),0),
IF('TL12'!$B$3=N$3,SUMIF('TL12'!$C$10:$C$224,$C322,'TL12'!$J$10:$J$224),0),
IF('TL12'!$B$229=N$3,SUMIF('TL12'!$C$238:$C$451,$C322,'TL12'!$J$238:$J$451),0),
IF('TL13'!$B$3=N$3,SUMIF('TL13'!$C$10:$C$224,$C322,'TL13'!$J$10:$J$224),0),
IF('TL13'!$B$229=N$3,SUMIF('TL13'!$C$238:$C$451,$C322,'TL13'!$J$238:$J$451),0),
IF('TL14'!$B$3=N$3,SUMIF('TL14'!$C$10:$C$224,$C322,'TL14'!$J$10:$J$224),0),
IF('TL14'!$B$229=N$3,SUMIF('TL14'!$C$238:$C$451,$C322,'TL14'!$J$238:$J$451),0),
IF('TL15'!$B$3=N$3,SUMIF('TL15'!$C$10:$C$224,$C322,'TL15'!$J$10:$J$224),0),
IF('TL15'!$B$229=N$3,SUMIF('TL15'!$C$238:$C$451,$C322,'TL15'!$J$238:$J$451),0),
IF('TL16'!$B$3=N$3,SUMIF('TL16'!$C$10:$C$224,$C322,'TL16'!$J$10:$J$224),0),
IF('TL16'!$B$229=N$3,SUMIF('TL16'!$C$238:$C$451,$C322,'TL16'!$J$238:$J$451),0),
IF('TL17'!$B$3=N$3,SUMIF('TL17'!$C$10:$C$224,$C322,'TL17'!$J$10:$J$224),0),
IF('TL17'!$B$229=N$3,SUMIF('TL17'!$C$238:$C$451,$C322,'TL17'!$J$238:$J$451),0),
IF('TL18'!$B$3=N$3,SUMIF('TL18'!$C$10:$C$224,$C322,'TL18'!$J$10:$J$224),0),
IF('TL18'!$B$229=N$3,SUMIF('TL18'!$C$238:$C$451,$C322,'TL18'!$J$238:$J$451),0),
IF('TL19'!$B$3=N$3,SUMIF('TL19'!$C$10:$C$224,$C322,'TL19'!$J$10:$J$224),0),
IF('TL19'!$B$229=N$3,SUMIF('TL19'!$C$238:$C$451,$C322,'TL19'!$J$238:$J$451),0)
),0)</f>
        <v/>
      </c>
      <c r="O322" s="9">
        <f>IFERROR(SUM(
IF('TL01'!$B$3=O$3,SUMIF('TL01'!$C$10:$C$224,$C322,'TL01'!$J$10:$J$224),0),
IF('TL01'!$B$229=O$3,SUMIF('TL01'!$C$238:$C$451,$C322,'TL01'!$J$238:$J$451),0),
IF('TL02'!$B$3=O$3,SUMIF('TL02'!$C$10:$C$224,$C322,'TL02'!$J$10:$J$224),0),
IF('TL02'!$B$229=O$3,SUMIF('TL02'!$C$238:$C$451,$C322,'TL02'!$J$238:$J$451),0),
IF('TL03'!$B$3=O$3,SUMIF('TL03'!$C$10:$C$224,$C322,'TL03'!$J$10:$J$224),0),
IF('TL03'!$B$229=O$3,SUMIF('TL03'!$C$238:$C$451,$C322,'TL03'!$J$238:$J$451),0),
IF('TL04'!$B$3=O$3,SUMIF('TL04'!$C$10:$C$224,$C322,'TL04'!$J$10:$J$224),0),
IF('TL04'!$B$229=O$3,SUMIF('TL04'!$C$238:$C$451,$C322,'TL04'!$J$238:$J$451),0),
IF('TL05'!$B$3=O$3,SUMIF('TL05'!$C$10:$C$224,$C322,'TL05'!$J$10:$J$224),0),
IF('TL05'!$B$229=O$3,SUMIF('TL05'!$C$238:$C$451,$C322,'TL05'!$J$238:$J$451),0),
IF('TL06'!$B$3=O$3,SUMIF('TL06'!$C$10:$C$224,$C322,'TL06'!$J$10:$J$224),0),
IF('TL06'!$B$229=O$3,SUMIF('TL06'!$C$238:$C$451,$C322,'TL06'!$J$238:$J$451),0),
IF('TL07'!$B$3=O$3,SUMIF('TL07'!$C$10:$C$224,$C322,'TL07'!$J$10:$J$224),0),
IF('TL07'!$B$229=O$3,SUMIF('TL07'!$C$238:$C$451,$C322,'TL07'!$J$238:$J$451),0),
IF('TL08'!$B$3=O$3,SUMIF('TL08'!$C$10:$C$224,$C322,'TL08'!$J$10:$J$224),0),
IF('TL08'!$B$229=O$3,SUMIF('TL08'!$C$238:$C$451,$C322,'TL08'!$J$238:$J$451),0),
IF('TL09'!$B$3=O$3,SUMIF('TL09'!$C$10:$C$224,$C322,'TL09'!$J$10:$J$224),0),
IF('TL09'!$B$229=O$3,SUMIF('TL09'!$C$238:$C$451,$C322,'TL09'!$J$238:$J$451),0),
IF('TL10'!$B$3=O$3,SUMIF('TL10'!$C$10:$C$224,$C322,'TL10'!$J$10:$J$224),0),
IF('TL10'!$B$229=O$3,SUMIF('TL10'!$C$238:$C$451,$C322,'TL10'!$J$238:$J$451),0),
IF('TL11'!$B$3=O$3,SUMIF('TL11'!$C$10:$C$224,$C322,'TL11'!$J$10:$J$224),0),
IF('TL11'!$B$229=O$3,SUMIF('TL11'!$C$238:$C$451,$C322,'TL11'!$J$238:$J$451),0),
IF('TL12'!$B$3=O$3,SUMIF('TL12'!$C$10:$C$224,$C322,'TL12'!$J$10:$J$224),0),
IF('TL12'!$B$229=O$3,SUMIF('TL12'!$C$238:$C$451,$C322,'TL12'!$J$238:$J$451),0),
IF('TL13'!$B$3=O$3,SUMIF('TL13'!$C$10:$C$224,$C322,'TL13'!$J$10:$J$224),0),
IF('TL13'!$B$229=O$3,SUMIF('TL13'!$C$238:$C$451,$C322,'TL13'!$J$238:$J$451),0),
IF('TL14'!$B$3=O$3,SUMIF('TL14'!$C$10:$C$224,$C322,'TL14'!$J$10:$J$224),0),
IF('TL14'!$B$229=O$3,SUMIF('TL14'!$C$238:$C$451,$C322,'TL14'!$J$238:$J$451),0),
IF('TL15'!$B$3=O$3,SUMIF('TL15'!$C$10:$C$224,$C322,'TL15'!$J$10:$J$224),0),
IF('TL15'!$B$229=O$3,SUMIF('TL15'!$C$238:$C$451,$C322,'TL15'!$J$238:$J$451),0),
IF('TL16'!$B$3=O$3,SUMIF('TL16'!$C$10:$C$224,$C322,'TL16'!$J$10:$J$224),0),
IF('TL16'!$B$229=O$3,SUMIF('TL16'!$C$238:$C$451,$C322,'TL16'!$J$238:$J$451),0),
IF('TL17'!$B$3=O$3,SUMIF('TL17'!$C$10:$C$224,$C322,'TL17'!$J$10:$J$224),0),
IF('TL17'!$B$229=O$3,SUMIF('TL17'!$C$238:$C$451,$C322,'TL17'!$J$238:$J$451),0),
IF('TL18'!$B$3=O$3,SUMIF('TL18'!$C$10:$C$224,$C322,'TL18'!$J$10:$J$224),0),
IF('TL18'!$B$229=O$3,SUMIF('TL18'!$C$238:$C$451,$C322,'TL18'!$J$238:$J$451),0),
IF('TL19'!$B$3=O$3,SUMIF('TL19'!$C$10:$C$224,$C322,'TL19'!$J$10:$J$224),0),
IF('TL19'!$B$229=O$3,SUMIF('TL19'!$C$238:$C$451,$C322,'TL19'!$J$238:$J$451),0)
),0)</f>
        <v/>
      </c>
      <c r="P322" s="9">
        <f>IFERROR(SUM(
IF('TL01'!$B$3=P$3,SUMIF('TL01'!$C$10:$C$224,$C322,'TL01'!$J$10:$J$224),0),
IF('TL01'!$B$229=P$3,SUMIF('TL01'!$C$238:$C$451,$C322,'TL01'!$J$238:$J$451),0),
IF('TL02'!$B$3=P$3,SUMIF('TL02'!$C$10:$C$224,$C322,'TL02'!$J$10:$J$224),0),
IF('TL02'!$B$229=P$3,SUMIF('TL02'!$C$238:$C$451,$C322,'TL02'!$J$238:$J$451),0),
IF('TL03'!$B$3=P$3,SUMIF('TL03'!$C$10:$C$224,$C322,'TL03'!$J$10:$J$224),0),
IF('TL03'!$B$229=P$3,SUMIF('TL03'!$C$238:$C$451,$C322,'TL03'!$J$238:$J$451),0),
IF('TL04'!$B$3=P$3,SUMIF('TL04'!$C$10:$C$224,$C322,'TL04'!$J$10:$J$224),0),
IF('TL04'!$B$229=P$3,SUMIF('TL04'!$C$238:$C$451,$C322,'TL04'!$J$238:$J$451),0),
IF('TL05'!$B$3=P$3,SUMIF('TL05'!$C$10:$C$224,$C322,'TL05'!$J$10:$J$224),0),
IF('TL05'!$B$229=P$3,SUMIF('TL05'!$C$238:$C$451,$C322,'TL05'!$J$238:$J$451),0),
IF('TL06'!$B$3=P$3,SUMIF('TL06'!$C$10:$C$224,$C322,'TL06'!$J$10:$J$224),0),
IF('TL06'!$B$229=P$3,SUMIF('TL06'!$C$238:$C$451,$C322,'TL06'!$J$238:$J$451),0),
IF('TL07'!$B$3=P$3,SUMIF('TL07'!$C$10:$C$224,$C322,'TL07'!$J$10:$J$224),0),
IF('TL07'!$B$229=P$3,SUMIF('TL07'!$C$238:$C$451,$C322,'TL07'!$J$238:$J$451),0),
IF('TL08'!$B$3=P$3,SUMIF('TL08'!$C$10:$C$224,$C322,'TL08'!$J$10:$J$224),0),
IF('TL08'!$B$229=P$3,SUMIF('TL08'!$C$238:$C$451,$C322,'TL08'!$J$238:$J$451),0),
IF('TL09'!$B$3=P$3,SUMIF('TL09'!$C$10:$C$224,$C322,'TL09'!$J$10:$J$224),0),
IF('TL09'!$B$229=P$3,SUMIF('TL09'!$C$238:$C$451,$C322,'TL09'!$J$238:$J$451),0),
IF('TL10'!$B$3=P$3,SUMIF('TL10'!$C$10:$C$224,$C322,'TL10'!$J$10:$J$224),0),
IF('TL10'!$B$229=P$3,SUMIF('TL10'!$C$238:$C$451,$C322,'TL10'!$J$238:$J$451),0),
IF('TL11'!$B$3=P$3,SUMIF('TL11'!$C$10:$C$224,$C322,'TL11'!$J$10:$J$224),0),
IF('TL11'!$B$229=P$3,SUMIF('TL11'!$C$238:$C$451,$C322,'TL11'!$J$238:$J$451),0),
IF('TL12'!$B$3=P$3,SUMIF('TL12'!$C$10:$C$224,$C322,'TL12'!$J$10:$J$224),0),
IF('TL12'!$B$229=P$3,SUMIF('TL12'!$C$238:$C$451,$C322,'TL12'!$J$238:$J$451),0),
IF('TL13'!$B$3=P$3,SUMIF('TL13'!$C$10:$C$224,$C322,'TL13'!$J$10:$J$224),0),
IF('TL13'!$B$229=P$3,SUMIF('TL13'!$C$238:$C$451,$C322,'TL13'!$J$238:$J$451),0),
IF('TL14'!$B$3=P$3,SUMIF('TL14'!$C$10:$C$224,$C322,'TL14'!$J$10:$J$224),0),
IF('TL14'!$B$229=P$3,SUMIF('TL14'!$C$238:$C$451,$C322,'TL14'!$J$238:$J$451),0),
IF('TL15'!$B$3=P$3,SUMIF('TL15'!$C$10:$C$224,$C322,'TL15'!$J$10:$J$224),0),
IF('TL15'!$B$229=P$3,SUMIF('TL15'!$C$238:$C$451,$C322,'TL15'!$J$238:$J$451),0),
IF('TL16'!$B$3=P$3,SUMIF('TL16'!$C$10:$C$224,$C322,'TL16'!$J$10:$J$224),0),
IF('TL16'!$B$229=P$3,SUMIF('TL16'!$C$238:$C$451,$C322,'TL16'!$J$238:$J$451),0),
IF('TL17'!$B$3=P$3,SUMIF('TL17'!$C$10:$C$224,$C322,'TL17'!$J$10:$J$224),0),
IF('TL17'!$B$229=P$3,SUMIF('TL17'!$C$238:$C$451,$C322,'TL17'!$J$238:$J$451),0),
IF('TL18'!$B$3=P$3,SUMIF('TL18'!$C$10:$C$224,$C322,'TL18'!$J$10:$J$224),0),
IF('TL18'!$B$229=P$3,SUMIF('TL18'!$C$238:$C$451,$C322,'TL18'!$J$238:$J$451),0),
IF('TL19'!$B$3=P$3,SUMIF('TL19'!$C$10:$C$224,$C322,'TL19'!$J$10:$J$224),0),
IF('TL19'!$B$229=P$3,SUMIF('TL19'!$C$238:$C$451,$C322,'TL19'!$J$238:$J$451),0)
),0)</f>
        <v/>
      </c>
      <c r="Q322" s="9">
        <f>IFERROR(SUM(
IF('TL01'!$B$3=Q$3,SUMIF('TL01'!$C$10:$C$224,$C322,'TL01'!$J$10:$J$224),0),
IF('TL01'!$B$229=Q$3,SUMIF('TL01'!$C$238:$C$451,$C322,'TL01'!$J$238:$J$451),0),
IF('TL02'!$B$3=Q$3,SUMIF('TL02'!$C$10:$C$224,$C322,'TL02'!$J$10:$J$224),0),
IF('TL02'!$B$229=Q$3,SUMIF('TL02'!$C$238:$C$451,$C322,'TL02'!$J$238:$J$451),0),
IF('TL03'!$B$3=Q$3,SUMIF('TL03'!$C$10:$C$224,$C322,'TL03'!$J$10:$J$224),0),
IF('TL03'!$B$229=Q$3,SUMIF('TL03'!$C$238:$C$451,$C322,'TL03'!$J$238:$J$451),0),
IF('TL04'!$B$3=Q$3,SUMIF('TL04'!$C$10:$C$224,$C322,'TL04'!$J$10:$J$224),0),
IF('TL04'!$B$229=Q$3,SUMIF('TL04'!$C$238:$C$451,$C322,'TL04'!$J$238:$J$451),0),
IF('TL05'!$B$3=Q$3,SUMIF('TL05'!$C$10:$C$224,$C322,'TL05'!$J$10:$J$224),0),
IF('TL05'!$B$229=Q$3,SUMIF('TL05'!$C$238:$C$451,$C322,'TL05'!$J$238:$J$451),0),
IF('TL06'!$B$3=Q$3,SUMIF('TL06'!$C$10:$C$224,$C322,'TL06'!$J$10:$J$224),0),
IF('TL06'!$B$229=Q$3,SUMIF('TL06'!$C$238:$C$451,$C322,'TL06'!$J$238:$J$451),0),
IF('TL07'!$B$3=Q$3,SUMIF('TL07'!$C$10:$C$224,$C322,'TL07'!$J$10:$J$224),0),
IF('TL07'!$B$229=Q$3,SUMIF('TL07'!$C$238:$C$451,$C322,'TL07'!$J$238:$J$451),0),
IF('TL08'!$B$3=Q$3,SUMIF('TL08'!$C$10:$C$224,$C322,'TL08'!$J$10:$J$224),0),
IF('TL08'!$B$229=Q$3,SUMIF('TL08'!$C$238:$C$451,$C322,'TL08'!$J$238:$J$451),0),
IF('TL09'!$B$3=Q$3,SUMIF('TL09'!$C$10:$C$224,$C322,'TL09'!$J$10:$J$224),0),
IF('TL09'!$B$229=Q$3,SUMIF('TL09'!$C$238:$C$451,$C322,'TL09'!$J$238:$J$451),0),
IF('TL10'!$B$3=Q$3,SUMIF('TL10'!$C$10:$C$224,$C322,'TL10'!$J$10:$J$224),0),
IF('TL10'!$B$229=Q$3,SUMIF('TL10'!$C$238:$C$451,$C322,'TL10'!$J$238:$J$451),0),
IF('TL11'!$B$3=Q$3,SUMIF('TL11'!$C$10:$C$224,$C322,'TL11'!$J$10:$J$224),0),
IF('TL11'!$B$229=Q$3,SUMIF('TL11'!$C$238:$C$451,$C322,'TL11'!$J$238:$J$451),0),
IF('TL12'!$B$3=Q$3,SUMIF('TL12'!$C$10:$C$224,$C322,'TL12'!$J$10:$J$224),0),
IF('TL12'!$B$229=Q$3,SUMIF('TL12'!$C$238:$C$451,$C322,'TL12'!$J$238:$J$451),0),
IF('TL13'!$B$3=Q$3,SUMIF('TL13'!$C$10:$C$224,$C322,'TL13'!$J$10:$J$224),0),
IF('TL13'!$B$229=Q$3,SUMIF('TL13'!$C$238:$C$451,$C322,'TL13'!$J$238:$J$451),0),
IF('TL14'!$B$3=Q$3,SUMIF('TL14'!$C$10:$C$224,$C322,'TL14'!$J$10:$J$224),0),
IF('TL14'!$B$229=Q$3,SUMIF('TL14'!$C$238:$C$451,$C322,'TL14'!$J$238:$J$451),0),
IF('TL15'!$B$3=Q$3,SUMIF('TL15'!$C$10:$C$224,$C322,'TL15'!$J$10:$J$224),0),
IF('TL15'!$B$229=Q$3,SUMIF('TL15'!$C$238:$C$451,$C322,'TL15'!$J$238:$J$451),0),
IF('TL16'!$B$3=Q$3,SUMIF('TL16'!$C$10:$C$224,$C322,'TL16'!$J$10:$J$224),0),
IF('TL16'!$B$229=Q$3,SUMIF('TL16'!$C$238:$C$451,$C322,'TL16'!$J$238:$J$451),0),
IF('TL17'!$B$3=Q$3,SUMIF('TL17'!$C$10:$C$224,$C322,'TL17'!$J$10:$J$224),0),
IF('TL17'!$B$229=Q$3,SUMIF('TL17'!$C$238:$C$451,$C322,'TL17'!$J$238:$J$451),0),
IF('TL18'!$B$3=Q$3,SUMIF('TL18'!$C$10:$C$224,$C322,'TL18'!$J$10:$J$224),0),
IF('TL18'!$B$229=Q$3,SUMIF('TL18'!$C$238:$C$451,$C322,'TL18'!$J$238:$J$451),0),
IF('TL19'!$B$3=Q$3,SUMIF('TL19'!$C$10:$C$224,$C322,'TL19'!$J$10:$J$224),0),
IF('TL19'!$B$229=Q$3,SUMIF('TL19'!$C$238:$C$451,$C322,'TL19'!$J$238:$J$451),0)
),0)</f>
        <v/>
      </c>
      <c r="R322" s="9">
        <f>IFERROR(
SUM(
SUMIF('TL01'!C:C,C322,'TL01'!J:J),
SUMIF('TL02'!C:C,C322,'TL02'!J:J),
SUMIF('TL03'!C:C,C322,'TL03'!J:J),
SUMIF('TL04'!C:C,C322,'TL04'!J:J),
SUMIF('TL05'!C:C,C322,'TL05'!J:J),
SUMIF('TL06'!C:C,C322,'TL06'!J:J),
SUMIF('TL07'!C:C,C322,'TL07'!J:J),
SUMIF('TL08'!C:C,C322,'TL08'!J:J),
SUMIF('TL09'!C:C,C322,'TL09'!J:J),
SUMIF('TL10'!C:C,C322,'TL10'!J:J),
SUMIF('TL11'!C:C,C322,'TL11'!J:J),
SUMIF('TL12'!C:C,C322,'TL12'!J:J),
SUMIF('TL13'!C:C,C322,'TL13'!J:J),
SUMIF('TL14'!C:C,C322,'TL14'!J:J),
SUMIF('TL15'!C:C,C322,'TL15'!J:J),
SUMIF('TL16'!C:C,C322,'TL16'!J:J),
SUMIF('TL17'!C:C,C322,'TL17'!J:J),
SUMIF('TL18'!C:C,C322,'TL18'!J:J),SUMIF('TL19'!C:C,C322,'TL19'!J:J))
,0)</f>
        <v/>
      </c>
      <c r="S322" s="17">
        <f>IFERROR(__xludf.DUMMYFUNCTION("IFERROR(VLOOKUP(C322,
IMPORTRANGE(""1wULbzX32WdYsx-lj2U3uUNBBe2INVIRDtcK0d-Dvl90"",
""26-27!C:G""),
5,
FALSE),
"""")"),"")</f>
        <v/>
      </c>
      <c r="T322" s="9" t="n"/>
      <c r="U322" s="92">
        <f>MAX(0,R322-T322)</f>
        <v/>
      </c>
      <c r="V322" s="93">
        <f>U322*S322</f>
        <v/>
      </c>
    </row>
    <row r="323" hidden="1" ht="15.75" customHeight="1" s="297">
      <c r="A323" s="4" t="n"/>
      <c r="B323" s="125" t="inlineStr">
        <is>
          <t>SEMENTE</t>
        </is>
      </c>
      <c r="C323" s="4" t="inlineStr">
        <is>
          <t>CORDIUS C2795 CE 7.9</t>
        </is>
      </c>
      <c r="D323" s="20" t="n"/>
      <c r="E323" s="9" t="n"/>
      <c r="F323" s="4" t="n"/>
      <c r="G323" s="90">
        <f>HYPERLINK("https://www.google.com/search?q=" &amp; C323 &amp; "+bula+agrofit+pdf", "📄 Ver bula")</f>
        <v/>
      </c>
      <c r="H323" s="9" t="n"/>
      <c r="I323" s="1" t="n"/>
      <c r="J323" s="9">
        <f>IFERROR(SUM(
IF('TL01'!$B$3=J$3,SUMIF('TL01'!$C$10:$C$224,$C323,'TL01'!$J$10:$J$224),0),
IF('TL01'!$B$229=J$3,SUMIF('TL01'!$C$238:$C$451,$C323,'TL01'!$J$238:$J$451),0),
IF('TL02'!$B$3=J$3,SUMIF('TL02'!$C$10:$C$224,$C323,'TL02'!$J$10:$J$224),0),
IF('TL02'!$B$229=J$3,SUMIF('TL02'!$C$238:$C$451,$C323,'TL02'!$J$238:$J$451),0),
IF('TL03'!$B$3=J$3,SUMIF('TL03'!$C$10:$C$224,$C323,'TL03'!$J$10:$J$224),0),
IF('TL03'!$B$229=J$3,SUMIF('TL03'!$C$238:$C$451,$C323,'TL03'!$J$238:$J$451),0),
IF('TL04'!$B$3=J$3,SUMIF('TL04'!$C$10:$C$224,$C323,'TL04'!$J$10:$J$224),0),
IF('TL04'!$B$229=J$3,SUMIF('TL04'!$C$238:$C$451,$C323,'TL04'!$J$238:$J$451),0),
IF('TL05'!$B$3=J$3,SUMIF('TL05'!$C$10:$C$224,$C323,'TL05'!$J$10:$J$224),0),
IF('TL05'!$B$229=J$3,SUMIF('TL05'!$C$238:$C$451,$C323,'TL05'!$J$238:$J$451),0),
IF('TL06'!$B$3=J$3,SUMIF('TL06'!$C$10:$C$224,$C323,'TL06'!$J$10:$J$224),0),
IF('TL06'!$B$229=J$3,SUMIF('TL06'!$C$238:$C$451,$C323,'TL06'!$J$238:$J$451),0),
IF('TL07'!$B$3=J$3,SUMIF('TL07'!$C$10:$C$224,$C323,'TL07'!$J$10:$J$224),0),
IF('TL07'!$B$229=J$3,SUMIF('TL07'!$C$238:$C$451,$C323,'TL07'!$J$238:$J$451),0),
IF('TL08'!$B$3=J$3,SUMIF('TL08'!$C$10:$C$224,$C323,'TL08'!$J$10:$J$224),0),
IF('TL08'!$B$229=J$3,SUMIF('TL08'!$C$238:$C$451,$C323,'TL08'!$J$238:$J$451),0),
IF('TL09'!$B$3=J$3,SUMIF('TL09'!$C$10:$C$224,$C323,'TL09'!$J$10:$J$224),0),
IF('TL09'!$B$229=J$3,SUMIF('TL09'!$C$238:$C$451,$C323,'TL09'!$J$238:$J$451),0),
IF('TL10'!$B$3=J$3,SUMIF('TL10'!$C$10:$C$224,$C323,'TL10'!$J$10:$J$224),0),
IF('TL10'!$B$229=J$3,SUMIF('TL10'!$C$238:$C$451,$C323,'TL10'!$J$238:$J$451),0),
IF('TL11'!$B$3=J$3,SUMIF('TL11'!$C$10:$C$224,$C323,'TL11'!$J$10:$J$224),0),
IF('TL11'!$B$229=J$3,SUMIF('TL11'!$C$238:$C$451,$C323,'TL11'!$J$238:$J$451),0),
IF('TL12'!$B$3=J$3,SUMIF('TL12'!$C$10:$C$224,$C323,'TL12'!$J$10:$J$224),0),
IF('TL12'!$B$229=J$3,SUMIF('TL12'!$C$238:$C$451,$C323,'TL12'!$J$238:$J$451),0),
IF('TL13'!$B$3=J$3,SUMIF('TL13'!$C$10:$C$224,$C323,'TL13'!$J$10:$J$224),0),
IF('TL13'!$B$229=J$3,SUMIF('TL13'!$C$238:$C$451,$C323,'TL13'!$J$238:$J$451),0),
IF('TL14'!$B$3=J$3,SUMIF('TL14'!$C$10:$C$224,$C323,'TL14'!$J$10:$J$224),0),
IF('TL14'!$B$229=J$3,SUMIF('TL14'!$C$238:$C$451,$C323,'TL14'!$J$238:$J$451),0),
IF('TL15'!$B$3=J$3,SUMIF('TL15'!$C$10:$C$224,$C323,'TL15'!$J$10:$J$224),0),
IF('TL15'!$B$229=J$3,SUMIF('TL15'!$C$238:$C$451,$C323,'TL15'!$J$238:$J$451),0),
IF('TL16'!$B$3=J$3,SUMIF('TL16'!$C$10:$C$224,$C323,'TL16'!$J$10:$J$224),0),
IF('TL16'!$B$229=J$3,SUMIF('TL16'!$C$238:$C$451,$C323,'TL16'!$J$238:$J$451),0),
IF('TL17'!$B$3=J$3,SUMIF('TL17'!$C$10:$C$224,$C323,'TL17'!$J$10:$J$224),0),
IF('TL17'!$B$229=J$3,SUMIF('TL17'!$C$238:$C$451,$C323,'TL17'!$J$238:$J$451),0),
IF('TL18'!$B$3=J$3,SUMIF('TL18'!$C$10:$C$224,$C323,'TL18'!$J$10:$J$224),0),
IF('TL18'!$B$229=J$3,SUMIF('TL18'!$C$238:$C$451,$C323,'TL18'!$J$238:$J$451),0),
IF('TL19'!$B$3=J$3,SUMIF('TL19'!$C$10:$C$224,$C323,'TL19'!$J$10:$J$224),0),
IF('TL19'!$B$229=J$3,SUMIF('TL19'!$C$238:$C$451,$C323,'TL19'!$J$238:$J$451),0)
),0)</f>
        <v/>
      </c>
      <c r="K323" s="9">
        <f>IFERROR(SUM(
IF('TL01'!$B$3=K$3,SUMIF('TL01'!$C$10:$C$224,$C323,'TL01'!$J$10:$J$224),0),
IF('TL01'!$B$229=K$3,SUMIF('TL01'!$C$238:$C$451,$C323,'TL01'!$J$238:$J$451),0),
IF('TL02'!$B$3=K$3,SUMIF('TL02'!$C$10:$C$224,$C323,'TL02'!$J$10:$J$224),0),
IF('TL02'!$B$229=K$3,SUMIF('TL02'!$C$238:$C$451,$C323,'TL02'!$J$238:$J$451),0),
IF('TL03'!$B$3=K$3,SUMIF('TL03'!$C$10:$C$224,$C323,'TL03'!$J$10:$J$224),0),
IF('TL03'!$B$229=K$3,SUMIF('TL03'!$C$238:$C$451,$C323,'TL03'!$J$238:$J$451),0),
IF('TL04'!$B$3=K$3,SUMIF('TL04'!$C$10:$C$224,$C323,'TL04'!$J$10:$J$224),0),
IF('TL04'!$B$229=K$3,SUMIF('TL04'!$C$238:$C$451,$C323,'TL04'!$J$238:$J$451),0),
IF('TL05'!$B$3=K$3,SUMIF('TL05'!$C$10:$C$224,$C323,'TL05'!$J$10:$J$224),0),
IF('TL05'!$B$229=K$3,SUMIF('TL05'!$C$238:$C$451,$C323,'TL05'!$J$238:$J$451),0),
IF('TL06'!$B$3=K$3,SUMIF('TL06'!$C$10:$C$224,$C323,'TL06'!$J$10:$J$224),0),
IF('TL06'!$B$229=K$3,SUMIF('TL06'!$C$238:$C$451,$C323,'TL06'!$J$238:$J$451),0),
IF('TL07'!$B$3=K$3,SUMIF('TL07'!$C$10:$C$224,$C323,'TL07'!$J$10:$J$224),0),
IF('TL07'!$B$229=K$3,SUMIF('TL07'!$C$238:$C$451,$C323,'TL07'!$J$238:$J$451),0),
IF('TL08'!$B$3=K$3,SUMIF('TL08'!$C$10:$C$224,$C323,'TL08'!$J$10:$J$224),0),
IF('TL08'!$B$229=K$3,SUMIF('TL08'!$C$238:$C$451,$C323,'TL08'!$J$238:$J$451),0),
IF('TL09'!$B$3=K$3,SUMIF('TL09'!$C$10:$C$224,$C323,'TL09'!$J$10:$J$224),0),
IF('TL09'!$B$229=K$3,SUMIF('TL09'!$C$238:$C$451,$C323,'TL09'!$J$238:$J$451),0),
IF('TL10'!$B$3=K$3,SUMIF('TL10'!$C$10:$C$224,$C323,'TL10'!$J$10:$J$224),0),
IF('TL10'!$B$229=K$3,SUMIF('TL10'!$C$238:$C$451,$C323,'TL10'!$J$238:$J$451),0),
IF('TL11'!$B$3=K$3,SUMIF('TL11'!$C$10:$C$224,$C323,'TL11'!$J$10:$J$224),0),
IF('TL11'!$B$229=K$3,SUMIF('TL11'!$C$238:$C$451,$C323,'TL11'!$J$238:$J$451),0),
IF('TL12'!$B$3=K$3,SUMIF('TL12'!$C$10:$C$224,$C323,'TL12'!$J$10:$J$224),0),
IF('TL12'!$B$229=K$3,SUMIF('TL12'!$C$238:$C$451,$C323,'TL12'!$J$238:$J$451),0),
IF('TL13'!$B$3=K$3,SUMIF('TL13'!$C$10:$C$224,$C323,'TL13'!$J$10:$J$224),0),
IF('TL13'!$B$229=K$3,SUMIF('TL13'!$C$238:$C$451,$C323,'TL13'!$J$238:$J$451),0),
IF('TL14'!$B$3=K$3,SUMIF('TL14'!$C$10:$C$224,$C323,'TL14'!$J$10:$J$224),0),
IF('TL14'!$B$229=K$3,SUMIF('TL14'!$C$238:$C$451,$C323,'TL14'!$J$238:$J$451),0),
IF('TL15'!$B$3=K$3,SUMIF('TL15'!$C$10:$C$224,$C323,'TL15'!$J$10:$J$224),0),
IF('TL15'!$B$229=K$3,SUMIF('TL15'!$C$238:$C$451,$C323,'TL15'!$J$238:$J$451),0),
IF('TL16'!$B$3=K$3,SUMIF('TL16'!$C$10:$C$224,$C323,'TL16'!$J$10:$J$224),0),
IF('TL16'!$B$229=K$3,SUMIF('TL16'!$C$238:$C$451,$C323,'TL16'!$J$238:$J$451),0),
IF('TL17'!$B$3=K$3,SUMIF('TL17'!$C$10:$C$224,$C323,'TL17'!$J$10:$J$224),0),
IF('TL17'!$B$229=K$3,SUMIF('TL17'!$C$238:$C$451,$C323,'TL17'!$J$238:$J$451),0),
IF('TL18'!$B$3=K$3,SUMIF('TL18'!$C$10:$C$224,$C323,'TL18'!$J$10:$J$224),0),
IF('TL18'!$B$229=K$3,SUMIF('TL18'!$C$238:$C$451,$C323,'TL18'!$J$238:$J$451),0),
IF('TL19'!$B$3=K$3,SUMIF('TL19'!$C$10:$C$224,$C323,'TL19'!$J$10:$J$224),0),
IF('TL19'!$B$229=K$3,SUMIF('TL19'!$C$238:$C$451,$C323,'TL19'!$J$238:$J$451),0)
),0)</f>
        <v/>
      </c>
      <c r="L323" s="9">
        <f>IFERROR(SUM(
IF('TL01'!$B$3=L$3,SUMIF('TL01'!$C$10:$C$224,$C323,'TL01'!$J$10:$J$224),0),
IF('TL01'!$B$229=L$3,SUMIF('TL01'!$C$238:$C$451,$C323,'TL01'!$J$238:$J$451),0),
IF('TL02'!$B$3=L$3,SUMIF('TL02'!$C$10:$C$224,$C323,'TL02'!$J$10:$J$224),0),
IF('TL02'!$B$229=L$3,SUMIF('TL02'!$C$238:$C$451,$C323,'TL02'!$J$238:$J$451),0),
IF('TL03'!$B$3=L$3,SUMIF('TL03'!$C$10:$C$224,$C323,'TL03'!$J$10:$J$224),0),
IF('TL03'!$B$229=L$3,SUMIF('TL03'!$C$238:$C$451,$C323,'TL03'!$J$238:$J$451),0),
IF('TL04'!$B$3=L$3,SUMIF('TL04'!$C$10:$C$224,$C323,'TL04'!$J$10:$J$224),0),
IF('TL04'!$B$229=L$3,SUMIF('TL04'!$C$238:$C$451,$C323,'TL04'!$J$238:$J$451),0),
IF('TL05'!$B$3=L$3,SUMIF('TL05'!$C$10:$C$224,$C323,'TL05'!$J$10:$J$224),0),
IF('TL05'!$B$229=L$3,SUMIF('TL05'!$C$238:$C$451,$C323,'TL05'!$J$238:$J$451),0),
IF('TL06'!$B$3=L$3,SUMIF('TL06'!$C$10:$C$224,$C323,'TL06'!$J$10:$J$224),0),
IF('TL06'!$B$229=L$3,SUMIF('TL06'!$C$238:$C$451,$C323,'TL06'!$J$238:$J$451),0),
IF('TL07'!$B$3=L$3,SUMIF('TL07'!$C$10:$C$224,$C323,'TL07'!$J$10:$J$224),0),
IF('TL07'!$B$229=L$3,SUMIF('TL07'!$C$238:$C$451,$C323,'TL07'!$J$238:$J$451),0),
IF('TL08'!$B$3=L$3,SUMIF('TL08'!$C$10:$C$224,$C323,'TL08'!$J$10:$J$224),0),
IF('TL08'!$B$229=L$3,SUMIF('TL08'!$C$238:$C$451,$C323,'TL08'!$J$238:$J$451),0),
IF('TL09'!$B$3=L$3,SUMIF('TL09'!$C$10:$C$224,$C323,'TL09'!$J$10:$J$224),0),
IF('TL09'!$B$229=L$3,SUMIF('TL09'!$C$238:$C$451,$C323,'TL09'!$J$238:$J$451),0),
IF('TL10'!$B$3=L$3,SUMIF('TL10'!$C$10:$C$224,$C323,'TL10'!$J$10:$J$224),0),
IF('TL10'!$B$229=L$3,SUMIF('TL10'!$C$238:$C$451,$C323,'TL10'!$J$238:$J$451),0),
IF('TL11'!$B$3=L$3,SUMIF('TL11'!$C$10:$C$224,$C323,'TL11'!$J$10:$J$224),0),
IF('TL11'!$B$229=L$3,SUMIF('TL11'!$C$238:$C$451,$C323,'TL11'!$J$238:$J$451),0),
IF('TL12'!$B$3=L$3,SUMIF('TL12'!$C$10:$C$224,$C323,'TL12'!$J$10:$J$224),0),
IF('TL12'!$B$229=L$3,SUMIF('TL12'!$C$238:$C$451,$C323,'TL12'!$J$238:$J$451),0),
IF('TL13'!$B$3=L$3,SUMIF('TL13'!$C$10:$C$224,$C323,'TL13'!$J$10:$J$224),0),
IF('TL13'!$B$229=L$3,SUMIF('TL13'!$C$238:$C$451,$C323,'TL13'!$J$238:$J$451),0),
IF('TL14'!$B$3=L$3,SUMIF('TL14'!$C$10:$C$224,$C323,'TL14'!$J$10:$J$224),0),
IF('TL14'!$B$229=L$3,SUMIF('TL14'!$C$238:$C$451,$C323,'TL14'!$J$238:$J$451),0),
IF('TL15'!$B$3=L$3,SUMIF('TL15'!$C$10:$C$224,$C323,'TL15'!$J$10:$J$224),0),
IF('TL15'!$B$229=L$3,SUMIF('TL15'!$C$238:$C$451,$C323,'TL15'!$J$238:$J$451),0),
IF('TL16'!$B$3=L$3,SUMIF('TL16'!$C$10:$C$224,$C323,'TL16'!$J$10:$J$224),0),
IF('TL16'!$B$229=L$3,SUMIF('TL16'!$C$238:$C$451,$C323,'TL16'!$J$238:$J$451),0),
IF('TL17'!$B$3=L$3,SUMIF('TL17'!$C$10:$C$224,$C323,'TL17'!$J$10:$J$224),0),
IF('TL17'!$B$229=L$3,SUMIF('TL17'!$C$238:$C$451,$C323,'TL17'!$J$238:$J$451),0),
IF('TL18'!$B$3=L$3,SUMIF('TL18'!$C$10:$C$224,$C323,'TL18'!$J$10:$J$224),0),
IF('TL18'!$B$229=L$3,SUMIF('TL18'!$C$238:$C$451,$C323,'TL18'!$J$238:$J$451),0),
IF('TL19'!$B$3=L$3,SUMIF('TL19'!$C$10:$C$224,$C323,'TL19'!$J$10:$J$224),0),
IF('TL19'!$B$229=L$3,SUMIF('TL19'!$C$238:$C$451,$C323,'TL19'!$J$238:$J$451),0)
),0)</f>
        <v/>
      </c>
      <c r="M323" s="9">
        <f>IFERROR(SUM(
IF('TL01'!$B$3=M$3,SUMIF('TL01'!$C$10:$C$224,$C323,'TL01'!$J$10:$J$224),0),
IF('TL01'!$B$229=M$3,SUMIF('TL01'!$C$238:$C$451,$C323,'TL01'!$J$238:$J$451),0),
IF('TL02'!$B$3=M$3,SUMIF('TL02'!$C$10:$C$224,$C323,'TL02'!$J$10:$J$224),0),
IF('TL02'!$B$229=M$3,SUMIF('TL02'!$C$238:$C$451,$C323,'TL02'!$J$238:$J$451),0),
IF('TL03'!$B$3=M$3,SUMIF('TL03'!$C$10:$C$224,$C323,'TL03'!$J$10:$J$224),0),
IF('TL03'!$B$229=M$3,SUMIF('TL03'!$C$238:$C$451,$C323,'TL03'!$J$238:$J$451),0),
IF('TL04'!$B$3=M$3,SUMIF('TL04'!$C$10:$C$224,$C323,'TL04'!$J$10:$J$224),0),
IF('TL04'!$B$229=M$3,SUMIF('TL04'!$C$238:$C$451,$C323,'TL04'!$J$238:$J$451),0),
IF('TL05'!$B$3=M$3,SUMIF('TL05'!$C$10:$C$224,$C323,'TL05'!$J$10:$J$224),0),
IF('TL05'!$B$229=M$3,SUMIF('TL05'!$C$238:$C$451,$C323,'TL05'!$J$238:$J$451),0),
IF('TL06'!$B$3=M$3,SUMIF('TL06'!$C$10:$C$224,$C323,'TL06'!$J$10:$J$224),0),
IF('TL06'!$B$229=M$3,SUMIF('TL06'!$C$238:$C$451,$C323,'TL06'!$J$238:$J$451),0),
IF('TL07'!$B$3=M$3,SUMIF('TL07'!$C$10:$C$224,$C323,'TL07'!$J$10:$J$224),0),
IF('TL07'!$B$229=M$3,SUMIF('TL07'!$C$238:$C$451,$C323,'TL07'!$J$238:$J$451),0),
IF('TL08'!$B$3=M$3,SUMIF('TL08'!$C$10:$C$224,$C323,'TL08'!$J$10:$J$224),0),
IF('TL08'!$B$229=M$3,SUMIF('TL08'!$C$238:$C$451,$C323,'TL08'!$J$238:$J$451),0),
IF('TL09'!$B$3=M$3,SUMIF('TL09'!$C$10:$C$224,$C323,'TL09'!$J$10:$J$224),0),
IF('TL09'!$B$229=M$3,SUMIF('TL09'!$C$238:$C$451,$C323,'TL09'!$J$238:$J$451),0),
IF('TL10'!$B$3=M$3,SUMIF('TL10'!$C$10:$C$224,$C323,'TL10'!$J$10:$J$224),0),
IF('TL10'!$B$229=M$3,SUMIF('TL10'!$C$238:$C$451,$C323,'TL10'!$J$238:$J$451),0),
IF('TL11'!$B$3=M$3,SUMIF('TL11'!$C$10:$C$224,$C323,'TL11'!$J$10:$J$224),0),
IF('TL11'!$B$229=M$3,SUMIF('TL11'!$C$238:$C$451,$C323,'TL11'!$J$238:$J$451),0),
IF('TL12'!$B$3=M$3,SUMIF('TL12'!$C$10:$C$224,$C323,'TL12'!$J$10:$J$224),0),
IF('TL12'!$B$229=M$3,SUMIF('TL12'!$C$238:$C$451,$C323,'TL12'!$J$238:$J$451),0),
IF('TL13'!$B$3=M$3,SUMIF('TL13'!$C$10:$C$224,$C323,'TL13'!$J$10:$J$224),0),
IF('TL13'!$B$229=M$3,SUMIF('TL13'!$C$238:$C$451,$C323,'TL13'!$J$238:$J$451),0),
IF('TL14'!$B$3=M$3,SUMIF('TL14'!$C$10:$C$224,$C323,'TL14'!$J$10:$J$224),0),
IF('TL14'!$B$229=M$3,SUMIF('TL14'!$C$238:$C$451,$C323,'TL14'!$J$238:$J$451),0),
IF('TL15'!$B$3=M$3,SUMIF('TL15'!$C$10:$C$224,$C323,'TL15'!$J$10:$J$224),0),
IF('TL15'!$B$229=M$3,SUMIF('TL15'!$C$238:$C$451,$C323,'TL15'!$J$238:$J$451),0),
IF('TL16'!$B$3=M$3,SUMIF('TL16'!$C$10:$C$224,$C323,'TL16'!$J$10:$J$224),0),
IF('TL16'!$B$229=M$3,SUMIF('TL16'!$C$238:$C$451,$C323,'TL16'!$J$238:$J$451),0),
IF('TL17'!$B$3=M$3,SUMIF('TL17'!$C$10:$C$224,$C323,'TL17'!$J$10:$J$224),0),
IF('TL17'!$B$229=M$3,SUMIF('TL17'!$C$238:$C$451,$C323,'TL17'!$J$238:$J$451),0),
IF('TL18'!$B$3=M$3,SUMIF('TL18'!$C$10:$C$224,$C323,'TL18'!$J$10:$J$224),0),
IF('TL18'!$B$229=M$3,SUMIF('TL18'!$C$238:$C$451,$C323,'TL18'!$J$238:$J$451),0),
IF('TL19'!$B$3=M$3,SUMIF('TL19'!$C$10:$C$224,$C323,'TL19'!$J$10:$J$224),0),
IF('TL19'!$B$229=M$3,SUMIF('TL19'!$C$238:$C$451,$C323,'TL19'!$J$238:$J$451),0)
),0)</f>
        <v/>
      </c>
      <c r="N323" s="9">
        <f>IFERROR(SUM(
IF('TL01'!$B$3=N$3,SUMIF('TL01'!$C$10:$C$224,$C323,'TL01'!$J$10:$J$224),0),
IF('TL01'!$B$229=N$3,SUMIF('TL01'!$C$238:$C$451,$C323,'TL01'!$J$238:$J$451),0),
IF('TL02'!$B$3=N$3,SUMIF('TL02'!$C$10:$C$224,$C323,'TL02'!$J$10:$J$224),0),
IF('TL02'!$B$229=N$3,SUMIF('TL02'!$C$238:$C$451,$C323,'TL02'!$J$238:$J$451),0),
IF('TL03'!$B$3=N$3,SUMIF('TL03'!$C$10:$C$224,$C323,'TL03'!$J$10:$J$224),0),
IF('TL03'!$B$229=N$3,SUMIF('TL03'!$C$238:$C$451,$C323,'TL03'!$J$238:$J$451),0),
IF('TL04'!$B$3=N$3,SUMIF('TL04'!$C$10:$C$224,$C323,'TL04'!$J$10:$J$224),0),
IF('TL04'!$B$229=N$3,SUMIF('TL04'!$C$238:$C$451,$C323,'TL04'!$J$238:$J$451),0),
IF('TL05'!$B$3=N$3,SUMIF('TL05'!$C$10:$C$224,$C323,'TL05'!$J$10:$J$224),0),
IF('TL05'!$B$229=N$3,SUMIF('TL05'!$C$238:$C$451,$C323,'TL05'!$J$238:$J$451),0),
IF('TL06'!$B$3=N$3,SUMIF('TL06'!$C$10:$C$224,$C323,'TL06'!$J$10:$J$224),0),
IF('TL06'!$B$229=N$3,SUMIF('TL06'!$C$238:$C$451,$C323,'TL06'!$J$238:$J$451),0),
IF('TL07'!$B$3=N$3,SUMIF('TL07'!$C$10:$C$224,$C323,'TL07'!$J$10:$J$224),0),
IF('TL07'!$B$229=N$3,SUMIF('TL07'!$C$238:$C$451,$C323,'TL07'!$J$238:$J$451),0),
IF('TL08'!$B$3=N$3,SUMIF('TL08'!$C$10:$C$224,$C323,'TL08'!$J$10:$J$224),0),
IF('TL08'!$B$229=N$3,SUMIF('TL08'!$C$238:$C$451,$C323,'TL08'!$J$238:$J$451),0),
IF('TL09'!$B$3=N$3,SUMIF('TL09'!$C$10:$C$224,$C323,'TL09'!$J$10:$J$224),0),
IF('TL09'!$B$229=N$3,SUMIF('TL09'!$C$238:$C$451,$C323,'TL09'!$J$238:$J$451),0),
IF('TL10'!$B$3=N$3,SUMIF('TL10'!$C$10:$C$224,$C323,'TL10'!$J$10:$J$224),0),
IF('TL10'!$B$229=N$3,SUMIF('TL10'!$C$238:$C$451,$C323,'TL10'!$J$238:$J$451),0),
IF('TL11'!$B$3=N$3,SUMIF('TL11'!$C$10:$C$224,$C323,'TL11'!$J$10:$J$224),0),
IF('TL11'!$B$229=N$3,SUMIF('TL11'!$C$238:$C$451,$C323,'TL11'!$J$238:$J$451),0),
IF('TL12'!$B$3=N$3,SUMIF('TL12'!$C$10:$C$224,$C323,'TL12'!$J$10:$J$224),0),
IF('TL12'!$B$229=N$3,SUMIF('TL12'!$C$238:$C$451,$C323,'TL12'!$J$238:$J$451),0),
IF('TL13'!$B$3=N$3,SUMIF('TL13'!$C$10:$C$224,$C323,'TL13'!$J$10:$J$224),0),
IF('TL13'!$B$229=N$3,SUMIF('TL13'!$C$238:$C$451,$C323,'TL13'!$J$238:$J$451),0),
IF('TL14'!$B$3=N$3,SUMIF('TL14'!$C$10:$C$224,$C323,'TL14'!$J$10:$J$224),0),
IF('TL14'!$B$229=N$3,SUMIF('TL14'!$C$238:$C$451,$C323,'TL14'!$J$238:$J$451),0),
IF('TL15'!$B$3=N$3,SUMIF('TL15'!$C$10:$C$224,$C323,'TL15'!$J$10:$J$224),0),
IF('TL15'!$B$229=N$3,SUMIF('TL15'!$C$238:$C$451,$C323,'TL15'!$J$238:$J$451),0),
IF('TL16'!$B$3=N$3,SUMIF('TL16'!$C$10:$C$224,$C323,'TL16'!$J$10:$J$224),0),
IF('TL16'!$B$229=N$3,SUMIF('TL16'!$C$238:$C$451,$C323,'TL16'!$J$238:$J$451),0),
IF('TL17'!$B$3=N$3,SUMIF('TL17'!$C$10:$C$224,$C323,'TL17'!$J$10:$J$224),0),
IF('TL17'!$B$229=N$3,SUMIF('TL17'!$C$238:$C$451,$C323,'TL17'!$J$238:$J$451),0),
IF('TL18'!$B$3=N$3,SUMIF('TL18'!$C$10:$C$224,$C323,'TL18'!$J$10:$J$224),0),
IF('TL18'!$B$229=N$3,SUMIF('TL18'!$C$238:$C$451,$C323,'TL18'!$J$238:$J$451),0),
IF('TL19'!$B$3=N$3,SUMIF('TL19'!$C$10:$C$224,$C323,'TL19'!$J$10:$J$224),0),
IF('TL19'!$B$229=N$3,SUMIF('TL19'!$C$238:$C$451,$C323,'TL19'!$J$238:$J$451),0)
),0)</f>
        <v/>
      </c>
      <c r="O323" s="9">
        <f>IFERROR(SUM(
IF('TL01'!$B$3=O$3,SUMIF('TL01'!$C$10:$C$224,$C323,'TL01'!$J$10:$J$224),0),
IF('TL01'!$B$229=O$3,SUMIF('TL01'!$C$238:$C$451,$C323,'TL01'!$J$238:$J$451),0),
IF('TL02'!$B$3=O$3,SUMIF('TL02'!$C$10:$C$224,$C323,'TL02'!$J$10:$J$224),0),
IF('TL02'!$B$229=O$3,SUMIF('TL02'!$C$238:$C$451,$C323,'TL02'!$J$238:$J$451),0),
IF('TL03'!$B$3=O$3,SUMIF('TL03'!$C$10:$C$224,$C323,'TL03'!$J$10:$J$224),0),
IF('TL03'!$B$229=O$3,SUMIF('TL03'!$C$238:$C$451,$C323,'TL03'!$J$238:$J$451),0),
IF('TL04'!$B$3=O$3,SUMIF('TL04'!$C$10:$C$224,$C323,'TL04'!$J$10:$J$224),0),
IF('TL04'!$B$229=O$3,SUMIF('TL04'!$C$238:$C$451,$C323,'TL04'!$J$238:$J$451),0),
IF('TL05'!$B$3=O$3,SUMIF('TL05'!$C$10:$C$224,$C323,'TL05'!$J$10:$J$224),0),
IF('TL05'!$B$229=O$3,SUMIF('TL05'!$C$238:$C$451,$C323,'TL05'!$J$238:$J$451),0),
IF('TL06'!$B$3=O$3,SUMIF('TL06'!$C$10:$C$224,$C323,'TL06'!$J$10:$J$224),0),
IF('TL06'!$B$229=O$3,SUMIF('TL06'!$C$238:$C$451,$C323,'TL06'!$J$238:$J$451),0),
IF('TL07'!$B$3=O$3,SUMIF('TL07'!$C$10:$C$224,$C323,'TL07'!$J$10:$J$224),0),
IF('TL07'!$B$229=O$3,SUMIF('TL07'!$C$238:$C$451,$C323,'TL07'!$J$238:$J$451),0),
IF('TL08'!$B$3=O$3,SUMIF('TL08'!$C$10:$C$224,$C323,'TL08'!$J$10:$J$224),0),
IF('TL08'!$B$229=O$3,SUMIF('TL08'!$C$238:$C$451,$C323,'TL08'!$J$238:$J$451),0),
IF('TL09'!$B$3=O$3,SUMIF('TL09'!$C$10:$C$224,$C323,'TL09'!$J$10:$J$224),0),
IF('TL09'!$B$229=O$3,SUMIF('TL09'!$C$238:$C$451,$C323,'TL09'!$J$238:$J$451),0),
IF('TL10'!$B$3=O$3,SUMIF('TL10'!$C$10:$C$224,$C323,'TL10'!$J$10:$J$224),0),
IF('TL10'!$B$229=O$3,SUMIF('TL10'!$C$238:$C$451,$C323,'TL10'!$J$238:$J$451),0),
IF('TL11'!$B$3=O$3,SUMIF('TL11'!$C$10:$C$224,$C323,'TL11'!$J$10:$J$224),0),
IF('TL11'!$B$229=O$3,SUMIF('TL11'!$C$238:$C$451,$C323,'TL11'!$J$238:$J$451),0),
IF('TL12'!$B$3=O$3,SUMIF('TL12'!$C$10:$C$224,$C323,'TL12'!$J$10:$J$224),0),
IF('TL12'!$B$229=O$3,SUMIF('TL12'!$C$238:$C$451,$C323,'TL12'!$J$238:$J$451),0),
IF('TL13'!$B$3=O$3,SUMIF('TL13'!$C$10:$C$224,$C323,'TL13'!$J$10:$J$224),0),
IF('TL13'!$B$229=O$3,SUMIF('TL13'!$C$238:$C$451,$C323,'TL13'!$J$238:$J$451),0),
IF('TL14'!$B$3=O$3,SUMIF('TL14'!$C$10:$C$224,$C323,'TL14'!$J$10:$J$224),0),
IF('TL14'!$B$229=O$3,SUMIF('TL14'!$C$238:$C$451,$C323,'TL14'!$J$238:$J$451),0),
IF('TL15'!$B$3=O$3,SUMIF('TL15'!$C$10:$C$224,$C323,'TL15'!$J$10:$J$224),0),
IF('TL15'!$B$229=O$3,SUMIF('TL15'!$C$238:$C$451,$C323,'TL15'!$J$238:$J$451),0),
IF('TL16'!$B$3=O$3,SUMIF('TL16'!$C$10:$C$224,$C323,'TL16'!$J$10:$J$224),0),
IF('TL16'!$B$229=O$3,SUMIF('TL16'!$C$238:$C$451,$C323,'TL16'!$J$238:$J$451),0),
IF('TL17'!$B$3=O$3,SUMIF('TL17'!$C$10:$C$224,$C323,'TL17'!$J$10:$J$224),0),
IF('TL17'!$B$229=O$3,SUMIF('TL17'!$C$238:$C$451,$C323,'TL17'!$J$238:$J$451),0),
IF('TL18'!$B$3=O$3,SUMIF('TL18'!$C$10:$C$224,$C323,'TL18'!$J$10:$J$224),0),
IF('TL18'!$B$229=O$3,SUMIF('TL18'!$C$238:$C$451,$C323,'TL18'!$J$238:$J$451),0),
IF('TL19'!$B$3=O$3,SUMIF('TL19'!$C$10:$C$224,$C323,'TL19'!$J$10:$J$224),0),
IF('TL19'!$B$229=O$3,SUMIF('TL19'!$C$238:$C$451,$C323,'TL19'!$J$238:$J$451),0)
),0)</f>
        <v/>
      </c>
      <c r="P323" s="9">
        <f>IFERROR(SUM(
IF('TL01'!$B$3=P$3,SUMIF('TL01'!$C$10:$C$224,$C323,'TL01'!$J$10:$J$224),0),
IF('TL01'!$B$229=P$3,SUMIF('TL01'!$C$238:$C$451,$C323,'TL01'!$J$238:$J$451),0),
IF('TL02'!$B$3=P$3,SUMIF('TL02'!$C$10:$C$224,$C323,'TL02'!$J$10:$J$224),0),
IF('TL02'!$B$229=P$3,SUMIF('TL02'!$C$238:$C$451,$C323,'TL02'!$J$238:$J$451),0),
IF('TL03'!$B$3=P$3,SUMIF('TL03'!$C$10:$C$224,$C323,'TL03'!$J$10:$J$224),0),
IF('TL03'!$B$229=P$3,SUMIF('TL03'!$C$238:$C$451,$C323,'TL03'!$J$238:$J$451),0),
IF('TL04'!$B$3=P$3,SUMIF('TL04'!$C$10:$C$224,$C323,'TL04'!$J$10:$J$224),0),
IF('TL04'!$B$229=P$3,SUMIF('TL04'!$C$238:$C$451,$C323,'TL04'!$J$238:$J$451),0),
IF('TL05'!$B$3=P$3,SUMIF('TL05'!$C$10:$C$224,$C323,'TL05'!$J$10:$J$224),0),
IF('TL05'!$B$229=P$3,SUMIF('TL05'!$C$238:$C$451,$C323,'TL05'!$J$238:$J$451),0),
IF('TL06'!$B$3=P$3,SUMIF('TL06'!$C$10:$C$224,$C323,'TL06'!$J$10:$J$224),0),
IF('TL06'!$B$229=P$3,SUMIF('TL06'!$C$238:$C$451,$C323,'TL06'!$J$238:$J$451),0),
IF('TL07'!$B$3=P$3,SUMIF('TL07'!$C$10:$C$224,$C323,'TL07'!$J$10:$J$224),0),
IF('TL07'!$B$229=P$3,SUMIF('TL07'!$C$238:$C$451,$C323,'TL07'!$J$238:$J$451),0),
IF('TL08'!$B$3=P$3,SUMIF('TL08'!$C$10:$C$224,$C323,'TL08'!$J$10:$J$224),0),
IF('TL08'!$B$229=P$3,SUMIF('TL08'!$C$238:$C$451,$C323,'TL08'!$J$238:$J$451),0),
IF('TL09'!$B$3=P$3,SUMIF('TL09'!$C$10:$C$224,$C323,'TL09'!$J$10:$J$224),0),
IF('TL09'!$B$229=P$3,SUMIF('TL09'!$C$238:$C$451,$C323,'TL09'!$J$238:$J$451),0),
IF('TL10'!$B$3=P$3,SUMIF('TL10'!$C$10:$C$224,$C323,'TL10'!$J$10:$J$224),0),
IF('TL10'!$B$229=P$3,SUMIF('TL10'!$C$238:$C$451,$C323,'TL10'!$J$238:$J$451),0),
IF('TL11'!$B$3=P$3,SUMIF('TL11'!$C$10:$C$224,$C323,'TL11'!$J$10:$J$224),0),
IF('TL11'!$B$229=P$3,SUMIF('TL11'!$C$238:$C$451,$C323,'TL11'!$J$238:$J$451),0),
IF('TL12'!$B$3=P$3,SUMIF('TL12'!$C$10:$C$224,$C323,'TL12'!$J$10:$J$224),0),
IF('TL12'!$B$229=P$3,SUMIF('TL12'!$C$238:$C$451,$C323,'TL12'!$J$238:$J$451),0),
IF('TL13'!$B$3=P$3,SUMIF('TL13'!$C$10:$C$224,$C323,'TL13'!$J$10:$J$224),0),
IF('TL13'!$B$229=P$3,SUMIF('TL13'!$C$238:$C$451,$C323,'TL13'!$J$238:$J$451),0),
IF('TL14'!$B$3=P$3,SUMIF('TL14'!$C$10:$C$224,$C323,'TL14'!$J$10:$J$224),0),
IF('TL14'!$B$229=P$3,SUMIF('TL14'!$C$238:$C$451,$C323,'TL14'!$J$238:$J$451),0),
IF('TL15'!$B$3=P$3,SUMIF('TL15'!$C$10:$C$224,$C323,'TL15'!$J$10:$J$224),0),
IF('TL15'!$B$229=P$3,SUMIF('TL15'!$C$238:$C$451,$C323,'TL15'!$J$238:$J$451),0),
IF('TL16'!$B$3=P$3,SUMIF('TL16'!$C$10:$C$224,$C323,'TL16'!$J$10:$J$224),0),
IF('TL16'!$B$229=P$3,SUMIF('TL16'!$C$238:$C$451,$C323,'TL16'!$J$238:$J$451),0),
IF('TL17'!$B$3=P$3,SUMIF('TL17'!$C$10:$C$224,$C323,'TL17'!$J$10:$J$224),0),
IF('TL17'!$B$229=P$3,SUMIF('TL17'!$C$238:$C$451,$C323,'TL17'!$J$238:$J$451),0),
IF('TL18'!$B$3=P$3,SUMIF('TL18'!$C$10:$C$224,$C323,'TL18'!$J$10:$J$224),0),
IF('TL18'!$B$229=P$3,SUMIF('TL18'!$C$238:$C$451,$C323,'TL18'!$J$238:$J$451),0),
IF('TL19'!$B$3=P$3,SUMIF('TL19'!$C$10:$C$224,$C323,'TL19'!$J$10:$J$224),0),
IF('TL19'!$B$229=P$3,SUMIF('TL19'!$C$238:$C$451,$C323,'TL19'!$J$238:$J$451),0)
),0)</f>
        <v/>
      </c>
      <c r="Q323" s="9">
        <f>IFERROR(SUM(
IF('TL01'!$B$3=Q$3,SUMIF('TL01'!$C$10:$C$224,$C323,'TL01'!$J$10:$J$224),0),
IF('TL01'!$B$229=Q$3,SUMIF('TL01'!$C$238:$C$451,$C323,'TL01'!$J$238:$J$451),0),
IF('TL02'!$B$3=Q$3,SUMIF('TL02'!$C$10:$C$224,$C323,'TL02'!$J$10:$J$224),0),
IF('TL02'!$B$229=Q$3,SUMIF('TL02'!$C$238:$C$451,$C323,'TL02'!$J$238:$J$451),0),
IF('TL03'!$B$3=Q$3,SUMIF('TL03'!$C$10:$C$224,$C323,'TL03'!$J$10:$J$224),0),
IF('TL03'!$B$229=Q$3,SUMIF('TL03'!$C$238:$C$451,$C323,'TL03'!$J$238:$J$451),0),
IF('TL04'!$B$3=Q$3,SUMIF('TL04'!$C$10:$C$224,$C323,'TL04'!$J$10:$J$224),0),
IF('TL04'!$B$229=Q$3,SUMIF('TL04'!$C$238:$C$451,$C323,'TL04'!$J$238:$J$451),0),
IF('TL05'!$B$3=Q$3,SUMIF('TL05'!$C$10:$C$224,$C323,'TL05'!$J$10:$J$224),0),
IF('TL05'!$B$229=Q$3,SUMIF('TL05'!$C$238:$C$451,$C323,'TL05'!$J$238:$J$451),0),
IF('TL06'!$B$3=Q$3,SUMIF('TL06'!$C$10:$C$224,$C323,'TL06'!$J$10:$J$224),0),
IF('TL06'!$B$229=Q$3,SUMIF('TL06'!$C$238:$C$451,$C323,'TL06'!$J$238:$J$451),0),
IF('TL07'!$B$3=Q$3,SUMIF('TL07'!$C$10:$C$224,$C323,'TL07'!$J$10:$J$224),0),
IF('TL07'!$B$229=Q$3,SUMIF('TL07'!$C$238:$C$451,$C323,'TL07'!$J$238:$J$451),0),
IF('TL08'!$B$3=Q$3,SUMIF('TL08'!$C$10:$C$224,$C323,'TL08'!$J$10:$J$224),0),
IF('TL08'!$B$229=Q$3,SUMIF('TL08'!$C$238:$C$451,$C323,'TL08'!$J$238:$J$451),0),
IF('TL09'!$B$3=Q$3,SUMIF('TL09'!$C$10:$C$224,$C323,'TL09'!$J$10:$J$224),0),
IF('TL09'!$B$229=Q$3,SUMIF('TL09'!$C$238:$C$451,$C323,'TL09'!$J$238:$J$451),0),
IF('TL10'!$B$3=Q$3,SUMIF('TL10'!$C$10:$C$224,$C323,'TL10'!$J$10:$J$224),0),
IF('TL10'!$B$229=Q$3,SUMIF('TL10'!$C$238:$C$451,$C323,'TL10'!$J$238:$J$451),0),
IF('TL11'!$B$3=Q$3,SUMIF('TL11'!$C$10:$C$224,$C323,'TL11'!$J$10:$J$224),0),
IF('TL11'!$B$229=Q$3,SUMIF('TL11'!$C$238:$C$451,$C323,'TL11'!$J$238:$J$451),0),
IF('TL12'!$B$3=Q$3,SUMIF('TL12'!$C$10:$C$224,$C323,'TL12'!$J$10:$J$224),0),
IF('TL12'!$B$229=Q$3,SUMIF('TL12'!$C$238:$C$451,$C323,'TL12'!$J$238:$J$451),0),
IF('TL13'!$B$3=Q$3,SUMIF('TL13'!$C$10:$C$224,$C323,'TL13'!$J$10:$J$224),0),
IF('TL13'!$B$229=Q$3,SUMIF('TL13'!$C$238:$C$451,$C323,'TL13'!$J$238:$J$451),0),
IF('TL14'!$B$3=Q$3,SUMIF('TL14'!$C$10:$C$224,$C323,'TL14'!$J$10:$J$224),0),
IF('TL14'!$B$229=Q$3,SUMIF('TL14'!$C$238:$C$451,$C323,'TL14'!$J$238:$J$451),0),
IF('TL15'!$B$3=Q$3,SUMIF('TL15'!$C$10:$C$224,$C323,'TL15'!$J$10:$J$224),0),
IF('TL15'!$B$229=Q$3,SUMIF('TL15'!$C$238:$C$451,$C323,'TL15'!$J$238:$J$451),0),
IF('TL16'!$B$3=Q$3,SUMIF('TL16'!$C$10:$C$224,$C323,'TL16'!$J$10:$J$224),0),
IF('TL16'!$B$229=Q$3,SUMIF('TL16'!$C$238:$C$451,$C323,'TL16'!$J$238:$J$451),0),
IF('TL17'!$B$3=Q$3,SUMIF('TL17'!$C$10:$C$224,$C323,'TL17'!$J$10:$J$224),0),
IF('TL17'!$B$229=Q$3,SUMIF('TL17'!$C$238:$C$451,$C323,'TL17'!$J$238:$J$451),0),
IF('TL18'!$B$3=Q$3,SUMIF('TL18'!$C$10:$C$224,$C323,'TL18'!$J$10:$J$224),0),
IF('TL18'!$B$229=Q$3,SUMIF('TL18'!$C$238:$C$451,$C323,'TL18'!$J$238:$J$451),0),
IF('TL19'!$B$3=Q$3,SUMIF('TL19'!$C$10:$C$224,$C323,'TL19'!$J$10:$J$224),0),
IF('TL19'!$B$229=Q$3,SUMIF('TL19'!$C$238:$C$451,$C323,'TL19'!$J$238:$J$451),0)
),0)</f>
        <v/>
      </c>
      <c r="R323" s="9">
        <f>IFERROR(
SUM(
SUMIF('TL01'!C:C,C323,'TL01'!J:J),
SUMIF('TL02'!C:C,C323,'TL02'!J:J),
SUMIF('TL03'!C:C,C323,'TL03'!J:J),
SUMIF('TL04'!C:C,C323,'TL04'!J:J),
SUMIF('TL05'!C:C,C323,'TL05'!J:J),
SUMIF('TL06'!C:C,C323,'TL06'!J:J),
SUMIF('TL07'!C:C,C323,'TL07'!J:J),
SUMIF('TL08'!C:C,C323,'TL08'!J:J),
SUMIF('TL09'!C:C,C323,'TL09'!J:J),
SUMIF('TL10'!C:C,C323,'TL10'!J:J),
SUMIF('TL11'!C:C,C323,'TL11'!J:J),
SUMIF('TL12'!C:C,C323,'TL12'!J:J),
SUMIF('TL13'!C:C,C323,'TL13'!J:J),
SUMIF('TL14'!C:C,C323,'TL14'!J:J),
SUMIF('TL15'!C:C,C323,'TL15'!J:J),
SUMIF('TL16'!C:C,C323,'TL16'!J:J),
SUMIF('TL17'!C:C,C323,'TL17'!J:J),
SUMIF('TL18'!C:C,C323,'TL18'!J:J),SUMIF('TL19'!C:C,C323,'TL19'!J:J))
,0)</f>
        <v/>
      </c>
      <c r="S323" s="17">
        <f>IFERROR(__xludf.DUMMYFUNCTION("IFERROR(VLOOKUP(C323,
IMPORTRANGE(""1wULbzX32WdYsx-lj2U3uUNBBe2INVIRDtcK0d-Dvl90"",
""26-27!C:G""),
5,
FALSE),
"""")"),"")</f>
        <v/>
      </c>
      <c r="T323" s="9" t="n"/>
      <c r="U323" s="92">
        <f>MAX(0,R323-T323)</f>
        <v/>
      </c>
      <c r="V323" s="93">
        <f>U323*S323</f>
        <v/>
      </c>
    </row>
    <row r="324" hidden="1" ht="15.75" customHeight="1" s="297">
      <c r="A324" s="4" t="n"/>
      <c r="B324" s="125" t="inlineStr">
        <is>
          <t>SEMENTE</t>
        </is>
      </c>
      <c r="C324" s="4" t="inlineStr">
        <is>
          <t>IMPETO</t>
        </is>
      </c>
      <c r="D324" s="20" t="n"/>
      <c r="E324" s="9" t="n"/>
      <c r="F324" s="4" t="inlineStr">
        <is>
          <t>5MM</t>
        </is>
      </c>
      <c r="G324" s="90">
        <f>HYPERLINK("https://www.google.com/search?q=" &amp; C324 &amp; "+bula+agrofit+pdf", "📄 Ver bula")</f>
        <v/>
      </c>
      <c r="H324" s="9" t="n"/>
      <c r="I324" s="1" t="n"/>
      <c r="J324" s="9">
        <f>IFERROR(SUM(
IF('TL01'!$B$3=J$3,SUMIF('TL01'!$C$10:$C$224,$C324,'TL01'!$J$10:$J$224),0),
IF('TL01'!$B$229=J$3,SUMIF('TL01'!$C$238:$C$451,$C324,'TL01'!$J$238:$J$451),0),
IF('TL02'!$B$3=J$3,SUMIF('TL02'!$C$10:$C$224,$C324,'TL02'!$J$10:$J$224),0),
IF('TL02'!$B$229=J$3,SUMIF('TL02'!$C$238:$C$451,$C324,'TL02'!$J$238:$J$451),0),
IF('TL03'!$B$3=J$3,SUMIF('TL03'!$C$10:$C$224,$C324,'TL03'!$J$10:$J$224),0),
IF('TL03'!$B$229=J$3,SUMIF('TL03'!$C$238:$C$451,$C324,'TL03'!$J$238:$J$451),0),
IF('TL04'!$B$3=J$3,SUMIF('TL04'!$C$10:$C$224,$C324,'TL04'!$J$10:$J$224),0),
IF('TL04'!$B$229=J$3,SUMIF('TL04'!$C$238:$C$451,$C324,'TL04'!$J$238:$J$451),0),
IF('TL05'!$B$3=J$3,SUMIF('TL05'!$C$10:$C$224,$C324,'TL05'!$J$10:$J$224),0),
IF('TL05'!$B$229=J$3,SUMIF('TL05'!$C$238:$C$451,$C324,'TL05'!$J$238:$J$451),0),
IF('TL06'!$B$3=J$3,SUMIF('TL06'!$C$10:$C$224,$C324,'TL06'!$J$10:$J$224),0),
IF('TL06'!$B$229=J$3,SUMIF('TL06'!$C$238:$C$451,$C324,'TL06'!$J$238:$J$451),0),
IF('TL07'!$B$3=J$3,SUMIF('TL07'!$C$10:$C$224,$C324,'TL07'!$J$10:$J$224),0),
IF('TL07'!$B$229=J$3,SUMIF('TL07'!$C$238:$C$451,$C324,'TL07'!$J$238:$J$451),0),
IF('TL08'!$B$3=J$3,SUMIF('TL08'!$C$10:$C$224,$C324,'TL08'!$J$10:$J$224),0),
IF('TL08'!$B$229=J$3,SUMIF('TL08'!$C$238:$C$451,$C324,'TL08'!$J$238:$J$451),0),
IF('TL09'!$B$3=J$3,SUMIF('TL09'!$C$10:$C$224,$C324,'TL09'!$J$10:$J$224),0),
IF('TL09'!$B$229=J$3,SUMIF('TL09'!$C$238:$C$451,$C324,'TL09'!$J$238:$J$451),0),
IF('TL10'!$B$3=J$3,SUMIF('TL10'!$C$10:$C$224,$C324,'TL10'!$J$10:$J$224),0),
IF('TL10'!$B$229=J$3,SUMIF('TL10'!$C$238:$C$451,$C324,'TL10'!$J$238:$J$451),0),
IF('TL11'!$B$3=J$3,SUMIF('TL11'!$C$10:$C$224,$C324,'TL11'!$J$10:$J$224),0),
IF('TL11'!$B$229=J$3,SUMIF('TL11'!$C$238:$C$451,$C324,'TL11'!$J$238:$J$451),0),
IF('TL12'!$B$3=J$3,SUMIF('TL12'!$C$10:$C$224,$C324,'TL12'!$J$10:$J$224),0),
IF('TL12'!$B$229=J$3,SUMIF('TL12'!$C$238:$C$451,$C324,'TL12'!$J$238:$J$451),0),
IF('TL13'!$B$3=J$3,SUMIF('TL13'!$C$10:$C$224,$C324,'TL13'!$J$10:$J$224),0),
IF('TL13'!$B$229=J$3,SUMIF('TL13'!$C$238:$C$451,$C324,'TL13'!$J$238:$J$451),0),
IF('TL14'!$B$3=J$3,SUMIF('TL14'!$C$10:$C$224,$C324,'TL14'!$J$10:$J$224),0),
IF('TL14'!$B$229=J$3,SUMIF('TL14'!$C$238:$C$451,$C324,'TL14'!$J$238:$J$451),0),
IF('TL15'!$B$3=J$3,SUMIF('TL15'!$C$10:$C$224,$C324,'TL15'!$J$10:$J$224),0),
IF('TL15'!$B$229=J$3,SUMIF('TL15'!$C$238:$C$451,$C324,'TL15'!$J$238:$J$451),0),
IF('TL16'!$B$3=J$3,SUMIF('TL16'!$C$10:$C$224,$C324,'TL16'!$J$10:$J$224),0),
IF('TL16'!$B$229=J$3,SUMIF('TL16'!$C$238:$C$451,$C324,'TL16'!$J$238:$J$451),0),
IF('TL17'!$B$3=J$3,SUMIF('TL17'!$C$10:$C$224,$C324,'TL17'!$J$10:$J$224),0),
IF('TL17'!$B$229=J$3,SUMIF('TL17'!$C$238:$C$451,$C324,'TL17'!$J$238:$J$451),0),
IF('TL18'!$B$3=J$3,SUMIF('TL18'!$C$10:$C$224,$C324,'TL18'!$J$10:$J$224),0),
IF('TL18'!$B$229=J$3,SUMIF('TL18'!$C$238:$C$451,$C324,'TL18'!$J$238:$J$451),0),
IF('TL19'!$B$3=J$3,SUMIF('TL19'!$C$10:$C$224,$C324,'TL19'!$J$10:$J$224),0),
IF('TL19'!$B$229=J$3,SUMIF('TL19'!$C$238:$C$451,$C324,'TL19'!$J$238:$J$451),0)
),0)</f>
        <v/>
      </c>
      <c r="K324" s="9">
        <f>IFERROR(SUM(
IF('TL01'!$B$3=K$3,SUMIF('TL01'!$C$10:$C$224,$C324,'TL01'!$J$10:$J$224),0),
IF('TL01'!$B$229=K$3,SUMIF('TL01'!$C$238:$C$451,$C324,'TL01'!$J$238:$J$451),0),
IF('TL02'!$B$3=K$3,SUMIF('TL02'!$C$10:$C$224,$C324,'TL02'!$J$10:$J$224),0),
IF('TL02'!$B$229=K$3,SUMIF('TL02'!$C$238:$C$451,$C324,'TL02'!$J$238:$J$451),0),
IF('TL03'!$B$3=K$3,SUMIF('TL03'!$C$10:$C$224,$C324,'TL03'!$J$10:$J$224),0),
IF('TL03'!$B$229=K$3,SUMIF('TL03'!$C$238:$C$451,$C324,'TL03'!$J$238:$J$451),0),
IF('TL04'!$B$3=K$3,SUMIF('TL04'!$C$10:$C$224,$C324,'TL04'!$J$10:$J$224),0),
IF('TL04'!$B$229=K$3,SUMIF('TL04'!$C$238:$C$451,$C324,'TL04'!$J$238:$J$451),0),
IF('TL05'!$B$3=K$3,SUMIF('TL05'!$C$10:$C$224,$C324,'TL05'!$J$10:$J$224),0),
IF('TL05'!$B$229=K$3,SUMIF('TL05'!$C$238:$C$451,$C324,'TL05'!$J$238:$J$451),0),
IF('TL06'!$B$3=K$3,SUMIF('TL06'!$C$10:$C$224,$C324,'TL06'!$J$10:$J$224),0),
IF('TL06'!$B$229=K$3,SUMIF('TL06'!$C$238:$C$451,$C324,'TL06'!$J$238:$J$451),0),
IF('TL07'!$B$3=K$3,SUMIF('TL07'!$C$10:$C$224,$C324,'TL07'!$J$10:$J$224),0),
IF('TL07'!$B$229=K$3,SUMIF('TL07'!$C$238:$C$451,$C324,'TL07'!$J$238:$J$451),0),
IF('TL08'!$B$3=K$3,SUMIF('TL08'!$C$10:$C$224,$C324,'TL08'!$J$10:$J$224),0),
IF('TL08'!$B$229=K$3,SUMIF('TL08'!$C$238:$C$451,$C324,'TL08'!$J$238:$J$451),0),
IF('TL09'!$B$3=K$3,SUMIF('TL09'!$C$10:$C$224,$C324,'TL09'!$J$10:$J$224),0),
IF('TL09'!$B$229=K$3,SUMIF('TL09'!$C$238:$C$451,$C324,'TL09'!$J$238:$J$451),0),
IF('TL10'!$B$3=K$3,SUMIF('TL10'!$C$10:$C$224,$C324,'TL10'!$J$10:$J$224),0),
IF('TL10'!$B$229=K$3,SUMIF('TL10'!$C$238:$C$451,$C324,'TL10'!$J$238:$J$451),0),
IF('TL11'!$B$3=K$3,SUMIF('TL11'!$C$10:$C$224,$C324,'TL11'!$J$10:$J$224),0),
IF('TL11'!$B$229=K$3,SUMIF('TL11'!$C$238:$C$451,$C324,'TL11'!$J$238:$J$451),0),
IF('TL12'!$B$3=K$3,SUMIF('TL12'!$C$10:$C$224,$C324,'TL12'!$J$10:$J$224),0),
IF('TL12'!$B$229=K$3,SUMIF('TL12'!$C$238:$C$451,$C324,'TL12'!$J$238:$J$451),0),
IF('TL13'!$B$3=K$3,SUMIF('TL13'!$C$10:$C$224,$C324,'TL13'!$J$10:$J$224),0),
IF('TL13'!$B$229=K$3,SUMIF('TL13'!$C$238:$C$451,$C324,'TL13'!$J$238:$J$451),0),
IF('TL14'!$B$3=K$3,SUMIF('TL14'!$C$10:$C$224,$C324,'TL14'!$J$10:$J$224),0),
IF('TL14'!$B$229=K$3,SUMIF('TL14'!$C$238:$C$451,$C324,'TL14'!$J$238:$J$451),0),
IF('TL15'!$B$3=K$3,SUMIF('TL15'!$C$10:$C$224,$C324,'TL15'!$J$10:$J$224),0),
IF('TL15'!$B$229=K$3,SUMIF('TL15'!$C$238:$C$451,$C324,'TL15'!$J$238:$J$451),0),
IF('TL16'!$B$3=K$3,SUMIF('TL16'!$C$10:$C$224,$C324,'TL16'!$J$10:$J$224),0),
IF('TL16'!$B$229=K$3,SUMIF('TL16'!$C$238:$C$451,$C324,'TL16'!$J$238:$J$451),0),
IF('TL17'!$B$3=K$3,SUMIF('TL17'!$C$10:$C$224,$C324,'TL17'!$J$10:$J$224),0),
IF('TL17'!$B$229=K$3,SUMIF('TL17'!$C$238:$C$451,$C324,'TL17'!$J$238:$J$451),0),
IF('TL18'!$B$3=K$3,SUMIF('TL18'!$C$10:$C$224,$C324,'TL18'!$J$10:$J$224),0),
IF('TL18'!$B$229=K$3,SUMIF('TL18'!$C$238:$C$451,$C324,'TL18'!$J$238:$J$451),0),
IF('TL19'!$B$3=K$3,SUMIF('TL19'!$C$10:$C$224,$C324,'TL19'!$J$10:$J$224),0),
IF('TL19'!$B$229=K$3,SUMIF('TL19'!$C$238:$C$451,$C324,'TL19'!$J$238:$J$451),0)
),0)</f>
        <v/>
      </c>
      <c r="L324" s="9">
        <f>IFERROR(SUM(
IF('TL01'!$B$3=L$3,SUMIF('TL01'!$C$10:$C$224,$C324,'TL01'!$J$10:$J$224),0),
IF('TL01'!$B$229=L$3,SUMIF('TL01'!$C$238:$C$451,$C324,'TL01'!$J$238:$J$451),0),
IF('TL02'!$B$3=L$3,SUMIF('TL02'!$C$10:$C$224,$C324,'TL02'!$J$10:$J$224),0),
IF('TL02'!$B$229=L$3,SUMIF('TL02'!$C$238:$C$451,$C324,'TL02'!$J$238:$J$451),0),
IF('TL03'!$B$3=L$3,SUMIF('TL03'!$C$10:$C$224,$C324,'TL03'!$J$10:$J$224),0),
IF('TL03'!$B$229=L$3,SUMIF('TL03'!$C$238:$C$451,$C324,'TL03'!$J$238:$J$451),0),
IF('TL04'!$B$3=L$3,SUMIF('TL04'!$C$10:$C$224,$C324,'TL04'!$J$10:$J$224),0),
IF('TL04'!$B$229=L$3,SUMIF('TL04'!$C$238:$C$451,$C324,'TL04'!$J$238:$J$451),0),
IF('TL05'!$B$3=L$3,SUMIF('TL05'!$C$10:$C$224,$C324,'TL05'!$J$10:$J$224),0),
IF('TL05'!$B$229=L$3,SUMIF('TL05'!$C$238:$C$451,$C324,'TL05'!$J$238:$J$451),0),
IF('TL06'!$B$3=L$3,SUMIF('TL06'!$C$10:$C$224,$C324,'TL06'!$J$10:$J$224),0),
IF('TL06'!$B$229=L$3,SUMIF('TL06'!$C$238:$C$451,$C324,'TL06'!$J$238:$J$451),0),
IF('TL07'!$B$3=L$3,SUMIF('TL07'!$C$10:$C$224,$C324,'TL07'!$J$10:$J$224),0),
IF('TL07'!$B$229=L$3,SUMIF('TL07'!$C$238:$C$451,$C324,'TL07'!$J$238:$J$451),0),
IF('TL08'!$B$3=L$3,SUMIF('TL08'!$C$10:$C$224,$C324,'TL08'!$J$10:$J$224),0),
IF('TL08'!$B$229=L$3,SUMIF('TL08'!$C$238:$C$451,$C324,'TL08'!$J$238:$J$451),0),
IF('TL09'!$B$3=L$3,SUMIF('TL09'!$C$10:$C$224,$C324,'TL09'!$J$10:$J$224),0),
IF('TL09'!$B$229=L$3,SUMIF('TL09'!$C$238:$C$451,$C324,'TL09'!$J$238:$J$451),0),
IF('TL10'!$B$3=L$3,SUMIF('TL10'!$C$10:$C$224,$C324,'TL10'!$J$10:$J$224),0),
IF('TL10'!$B$229=L$3,SUMIF('TL10'!$C$238:$C$451,$C324,'TL10'!$J$238:$J$451),0),
IF('TL11'!$B$3=L$3,SUMIF('TL11'!$C$10:$C$224,$C324,'TL11'!$J$10:$J$224),0),
IF('TL11'!$B$229=L$3,SUMIF('TL11'!$C$238:$C$451,$C324,'TL11'!$J$238:$J$451),0),
IF('TL12'!$B$3=L$3,SUMIF('TL12'!$C$10:$C$224,$C324,'TL12'!$J$10:$J$224),0),
IF('TL12'!$B$229=L$3,SUMIF('TL12'!$C$238:$C$451,$C324,'TL12'!$J$238:$J$451),0),
IF('TL13'!$B$3=L$3,SUMIF('TL13'!$C$10:$C$224,$C324,'TL13'!$J$10:$J$224),0),
IF('TL13'!$B$229=L$3,SUMIF('TL13'!$C$238:$C$451,$C324,'TL13'!$J$238:$J$451),0),
IF('TL14'!$B$3=L$3,SUMIF('TL14'!$C$10:$C$224,$C324,'TL14'!$J$10:$J$224),0),
IF('TL14'!$B$229=L$3,SUMIF('TL14'!$C$238:$C$451,$C324,'TL14'!$J$238:$J$451),0),
IF('TL15'!$B$3=L$3,SUMIF('TL15'!$C$10:$C$224,$C324,'TL15'!$J$10:$J$224),0),
IF('TL15'!$B$229=L$3,SUMIF('TL15'!$C$238:$C$451,$C324,'TL15'!$J$238:$J$451),0),
IF('TL16'!$B$3=L$3,SUMIF('TL16'!$C$10:$C$224,$C324,'TL16'!$J$10:$J$224),0),
IF('TL16'!$B$229=L$3,SUMIF('TL16'!$C$238:$C$451,$C324,'TL16'!$J$238:$J$451),0),
IF('TL17'!$B$3=L$3,SUMIF('TL17'!$C$10:$C$224,$C324,'TL17'!$J$10:$J$224),0),
IF('TL17'!$B$229=L$3,SUMIF('TL17'!$C$238:$C$451,$C324,'TL17'!$J$238:$J$451),0),
IF('TL18'!$B$3=L$3,SUMIF('TL18'!$C$10:$C$224,$C324,'TL18'!$J$10:$J$224),0),
IF('TL18'!$B$229=L$3,SUMIF('TL18'!$C$238:$C$451,$C324,'TL18'!$J$238:$J$451),0),
IF('TL19'!$B$3=L$3,SUMIF('TL19'!$C$10:$C$224,$C324,'TL19'!$J$10:$J$224),0),
IF('TL19'!$B$229=L$3,SUMIF('TL19'!$C$238:$C$451,$C324,'TL19'!$J$238:$J$451),0)
),0)</f>
        <v/>
      </c>
      <c r="M324" s="9">
        <f>IFERROR(SUM(
IF('TL01'!$B$3=M$3,SUMIF('TL01'!$C$10:$C$224,$C324,'TL01'!$J$10:$J$224),0),
IF('TL01'!$B$229=M$3,SUMIF('TL01'!$C$238:$C$451,$C324,'TL01'!$J$238:$J$451),0),
IF('TL02'!$B$3=M$3,SUMIF('TL02'!$C$10:$C$224,$C324,'TL02'!$J$10:$J$224),0),
IF('TL02'!$B$229=M$3,SUMIF('TL02'!$C$238:$C$451,$C324,'TL02'!$J$238:$J$451),0),
IF('TL03'!$B$3=M$3,SUMIF('TL03'!$C$10:$C$224,$C324,'TL03'!$J$10:$J$224),0),
IF('TL03'!$B$229=M$3,SUMIF('TL03'!$C$238:$C$451,$C324,'TL03'!$J$238:$J$451),0),
IF('TL04'!$B$3=M$3,SUMIF('TL04'!$C$10:$C$224,$C324,'TL04'!$J$10:$J$224),0),
IF('TL04'!$B$229=M$3,SUMIF('TL04'!$C$238:$C$451,$C324,'TL04'!$J$238:$J$451),0),
IF('TL05'!$B$3=M$3,SUMIF('TL05'!$C$10:$C$224,$C324,'TL05'!$J$10:$J$224),0),
IF('TL05'!$B$229=M$3,SUMIF('TL05'!$C$238:$C$451,$C324,'TL05'!$J$238:$J$451),0),
IF('TL06'!$B$3=M$3,SUMIF('TL06'!$C$10:$C$224,$C324,'TL06'!$J$10:$J$224),0),
IF('TL06'!$B$229=M$3,SUMIF('TL06'!$C$238:$C$451,$C324,'TL06'!$J$238:$J$451),0),
IF('TL07'!$B$3=M$3,SUMIF('TL07'!$C$10:$C$224,$C324,'TL07'!$J$10:$J$224),0),
IF('TL07'!$B$229=M$3,SUMIF('TL07'!$C$238:$C$451,$C324,'TL07'!$J$238:$J$451),0),
IF('TL08'!$B$3=M$3,SUMIF('TL08'!$C$10:$C$224,$C324,'TL08'!$J$10:$J$224),0),
IF('TL08'!$B$229=M$3,SUMIF('TL08'!$C$238:$C$451,$C324,'TL08'!$J$238:$J$451),0),
IF('TL09'!$B$3=M$3,SUMIF('TL09'!$C$10:$C$224,$C324,'TL09'!$J$10:$J$224),0),
IF('TL09'!$B$229=M$3,SUMIF('TL09'!$C$238:$C$451,$C324,'TL09'!$J$238:$J$451),0),
IF('TL10'!$B$3=M$3,SUMIF('TL10'!$C$10:$C$224,$C324,'TL10'!$J$10:$J$224),0),
IF('TL10'!$B$229=M$3,SUMIF('TL10'!$C$238:$C$451,$C324,'TL10'!$J$238:$J$451),0),
IF('TL11'!$B$3=M$3,SUMIF('TL11'!$C$10:$C$224,$C324,'TL11'!$J$10:$J$224),0),
IF('TL11'!$B$229=M$3,SUMIF('TL11'!$C$238:$C$451,$C324,'TL11'!$J$238:$J$451),0),
IF('TL12'!$B$3=M$3,SUMIF('TL12'!$C$10:$C$224,$C324,'TL12'!$J$10:$J$224),0),
IF('TL12'!$B$229=M$3,SUMIF('TL12'!$C$238:$C$451,$C324,'TL12'!$J$238:$J$451),0),
IF('TL13'!$B$3=M$3,SUMIF('TL13'!$C$10:$C$224,$C324,'TL13'!$J$10:$J$224),0),
IF('TL13'!$B$229=M$3,SUMIF('TL13'!$C$238:$C$451,$C324,'TL13'!$J$238:$J$451),0),
IF('TL14'!$B$3=M$3,SUMIF('TL14'!$C$10:$C$224,$C324,'TL14'!$J$10:$J$224),0),
IF('TL14'!$B$229=M$3,SUMIF('TL14'!$C$238:$C$451,$C324,'TL14'!$J$238:$J$451),0),
IF('TL15'!$B$3=M$3,SUMIF('TL15'!$C$10:$C$224,$C324,'TL15'!$J$10:$J$224),0),
IF('TL15'!$B$229=M$3,SUMIF('TL15'!$C$238:$C$451,$C324,'TL15'!$J$238:$J$451),0),
IF('TL16'!$B$3=M$3,SUMIF('TL16'!$C$10:$C$224,$C324,'TL16'!$J$10:$J$224),0),
IF('TL16'!$B$229=M$3,SUMIF('TL16'!$C$238:$C$451,$C324,'TL16'!$J$238:$J$451),0),
IF('TL17'!$B$3=M$3,SUMIF('TL17'!$C$10:$C$224,$C324,'TL17'!$J$10:$J$224),0),
IF('TL17'!$B$229=M$3,SUMIF('TL17'!$C$238:$C$451,$C324,'TL17'!$J$238:$J$451),0),
IF('TL18'!$B$3=M$3,SUMIF('TL18'!$C$10:$C$224,$C324,'TL18'!$J$10:$J$224),0),
IF('TL18'!$B$229=M$3,SUMIF('TL18'!$C$238:$C$451,$C324,'TL18'!$J$238:$J$451),0),
IF('TL19'!$B$3=M$3,SUMIF('TL19'!$C$10:$C$224,$C324,'TL19'!$J$10:$J$224),0),
IF('TL19'!$B$229=M$3,SUMIF('TL19'!$C$238:$C$451,$C324,'TL19'!$J$238:$J$451),0)
),0)</f>
        <v/>
      </c>
      <c r="N324" s="9">
        <f>IFERROR(SUM(
IF('TL01'!$B$3=N$3,SUMIF('TL01'!$C$10:$C$224,$C324,'TL01'!$J$10:$J$224),0),
IF('TL01'!$B$229=N$3,SUMIF('TL01'!$C$238:$C$451,$C324,'TL01'!$J$238:$J$451),0),
IF('TL02'!$B$3=N$3,SUMIF('TL02'!$C$10:$C$224,$C324,'TL02'!$J$10:$J$224),0),
IF('TL02'!$B$229=N$3,SUMIF('TL02'!$C$238:$C$451,$C324,'TL02'!$J$238:$J$451),0),
IF('TL03'!$B$3=N$3,SUMIF('TL03'!$C$10:$C$224,$C324,'TL03'!$J$10:$J$224),0),
IF('TL03'!$B$229=N$3,SUMIF('TL03'!$C$238:$C$451,$C324,'TL03'!$J$238:$J$451),0),
IF('TL04'!$B$3=N$3,SUMIF('TL04'!$C$10:$C$224,$C324,'TL04'!$J$10:$J$224),0),
IF('TL04'!$B$229=N$3,SUMIF('TL04'!$C$238:$C$451,$C324,'TL04'!$J$238:$J$451),0),
IF('TL05'!$B$3=N$3,SUMIF('TL05'!$C$10:$C$224,$C324,'TL05'!$J$10:$J$224),0),
IF('TL05'!$B$229=N$3,SUMIF('TL05'!$C$238:$C$451,$C324,'TL05'!$J$238:$J$451),0),
IF('TL06'!$B$3=N$3,SUMIF('TL06'!$C$10:$C$224,$C324,'TL06'!$J$10:$J$224),0),
IF('TL06'!$B$229=N$3,SUMIF('TL06'!$C$238:$C$451,$C324,'TL06'!$J$238:$J$451),0),
IF('TL07'!$B$3=N$3,SUMIF('TL07'!$C$10:$C$224,$C324,'TL07'!$J$10:$J$224),0),
IF('TL07'!$B$229=N$3,SUMIF('TL07'!$C$238:$C$451,$C324,'TL07'!$J$238:$J$451),0),
IF('TL08'!$B$3=N$3,SUMIF('TL08'!$C$10:$C$224,$C324,'TL08'!$J$10:$J$224),0),
IF('TL08'!$B$229=N$3,SUMIF('TL08'!$C$238:$C$451,$C324,'TL08'!$J$238:$J$451),0),
IF('TL09'!$B$3=N$3,SUMIF('TL09'!$C$10:$C$224,$C324,'TL09'!$J$10:$J$224),0),
IF('TL09'!$B$229=N$3,SUMIF('TL09'!$C$238:$C$451,$C324,'TL09'!$J$238:$J$451),0),
IF('TL10'!$B$3=N$3,SUMIF('TL10'!$C$10:$C$224,$C324,'TL10'!$J$10:$J$224),0),
IF('TL10'!$B$229=N$3,SUMIF('TL10'!$C$238:$C$451,$C324,'TL10'!$J$238:$J$451),0),
IF('TL11'!$B$3=N$3,SUMIF('TL11'!$C$10:$C$224,$C324,'TL11'!$J$10:$J$224),0),
IF('TL11'!$B$229=N$3,SUMIF('TL11'!$C$238:$C$451,$C324,'TL11'!$J$238:$J$451),0),
IF('TL12'!$B$3=N$3,SUMIF('TL12'!$C$10:$C$224,$C324,'TL12'!$J$10:$J$224),0),
IF('TL12'!$B$229=N$3,SUMIF('TL12'!$C$238:$C$451,$C324,'TL12'!$J$238:$J$451),0),
IF('TL13'!$B$3=N$3,SUMIF('TL13'!$C$10:$C$224,$C324,'TL13'!$J$10:$J$224),0),
IF('TL13'!$B$229=N$3,SUMIF('TL13'!$C$238:$C$451,$C324,'TL13'!$J$238:$J$451),0),
IF('TL14'!$B$3=N$3,SUMIF('TL14'!$C$10:$C$224,$C324,'TL14'!$J$10:$J$224),0),
IF('TL14'!$B$229=N$3,SUMIF('TL14'!$C$238:$C$451,$C324,'TL14'!$J$238:$J$451),0),
IF('TL15'!$B$3=N$3,SUMIF('TL15'!$C$10:$C$224,$C324,'TL15'!$J$10:$J$224),0),
IF('TL15'!$B$229=N$3,SUMIF('TL15'!$C$238:$C$451,$C324,'TL15'!$J$238:$J$451),0),
IF('TL16'!$B$3=N$3,SUMIF('TL16'!$C$10:$C$224,$C324,'TL16'!$J$10:$J$224),0),
IF('TL16'!$B$229=N$3,SUMIF('TL16'!$C$238:$C$451,$C324,'TL16'!$J$238:$J$451),0),
IF('TL17'!$B$3=N$3,SUMIF('TL17'!$C$10:$C$224,$C324,'TL17'!$J$10:$J$224),0),
IF('TL17'!$B$229=N$3,SUMIF('TL17'!$C$238:$C$451,$C324,'TL17'!$J$238:$J$451),0),
IF('TL18'!$B$3=N$3,SUMIF('TL18'!$C$10:$C$224,$C324,'TL18'!$J$10:$J$224),0),
IF('TL18'!$B$229=N$3,SUMIF('TL18'!$C$238:$C$451,$C324,'TL18'!$J$238:$J$451),0),
IF('TL19'!$B$3=N$3,SUMIF('TL19'!$C$10:$C$224,$C324,'TL19'!$J$10:$J$224),0),
IF('TL19'!$B$229=N$3,SUMIF('TL19'!$C$238:$C$451,$C324,'TL19'!$J$238:$J$451),0)
),0)</f>
        <v/>
      </c>
      <c r="O324" s="9">
        <f>IFERROR(SUM(
IF('TL01'!$B$3=O$3,SUMIF('TL01'!$C$10:$C$224,$C324,'TL01'!$J$10:$J$224),0),
IF('TL01'!$B$229=O$3,SUMIF('TL01'!$C$238:$C$451,$C324,'TL01'!$J$238:$J$451),0),
IF('TL02'!$B$3=O$3,SUMIF('TL02'!$C$10:$C$224,$C324,'TL02'!$J$10:$J$224),0),
IF('TL02'!$B$229=O$3,SUMIF('TL02'!$C$238:$C$451,$C324,'TL02'!$J$238:$J$451),0),
IF('TL03'!$B$3=O$3,SUMIF('TL03'!$C$10:$C$224,$C324,'TL03'!$J$10:$J$224),0),
IF('TL03'!$B$229=O$3,SUMIF('TL03'!$C$238:$C$451,$C324,'TL03'!$J$238:$J$451),0),
IF('TL04'!$B$3=O$3,SUMIF('TL04'!$C$10:$C$224,$C324,'TL04'!$J$10:$J$224),0),
IF('TL04'!$B$229=O$3,SUMIF('TL04'!$C$238:$C$451,$C324,'TL04'!$J$238:$J$451),0),
IF('TL05'!$B$3=O$3,SUMIF('TL05'!$C$10:$C$224,$C324,'TL05'!$J$10:$J$224),0),
IF('TL05'!$B$229=O$3,SUMIF('TL05'!$C$238:$C$451,$C324,'TL05'!$J$238:$J$451),0),
IF('TL06'!$B$3=O$3,SUMIF('TL06'!$C$10:$C$224,$C324,'TL06'!$J$10:$J$224),0),
IF('TL06'!$B$229=O$3,SUMIF('TL06'!$C$238:$C$451,$C324,'TL06'!$J$238:$J$451),0),
IF('TL07'!$B$3=O$3,SUMIF('TL07'!$C$10:$C$224,$C324,'TL07'!$J$10:$J$224),0),
IF('TL07'!$B$229=O$3,SUMIF('TL07'!$C$238:$C$451,$C324,'TL07'!$J$238:$J$451),0),
IF('TL08'!$B$3=O$3,SUMIF('TL08'!$C$10:$C$224,$C324,'TL08'!$J$10:$J$224),0),
IF('TL08'!$B$229=O$3,SUMIF('TL08'!$C$238:$C$451,$C324,'TL08'!$J$238:$J$451),0),
IF('TL09'!$B$3=O$3,SUMIF('TL09'!$C$10:$C$224,$C324,'TL09'!$J$10:$J$224),0),
IF('TL09'!$B$229=O$3,SUMIF('TL09'!$C$238:$C$451,$C324,'TL09'!$J$238:$J$451),0),
IF('TL10'!$B$3=O$3,SUMIF('TL10'!$C$10:$C$224,$C324,'TL10'!$J$10:$J$224),0),
IF('TL10'!$B$229=O$3,SUMIF('TL10'!$C$238:$C$451,$C324,'TL10'!$J$238:$J$451),0),
IF('TL11'!$B$3=O$3,SUMIF('TL11'!$C$10:$C$224,$C324,'TL11'!$J$10:$J$224),0),
IF('TL11'!$B$229=O$3,SUMIF('TL11'!$C$238:$C$451,$C324,'TL11'!$J$238:$J$451),0),
IF('TL12'!$B$3=O$3,SUMIF('TL12'!$C$10:$C$224,$C324,'TL12'!$J$10:$J$224),0),
IF('TL12'!$B$229=O$3,SUMIF('TL12'!$C$238:$C$451,$C324,'TL12'!$J$238:$J$451),0),
IF('TL13'!$B$3=O$3,SUMIF('TL13'!$C$10:$C$224,$C324,'TL13'!$J$10:$J$224),0),
IF('TL13'!$B$229=O$3,SUMIF('TL13'!$C$238:$C$451,$C324,'TL13'!$J$238:$J$451),0),
IF('TL14'!$B$3=O$3,SUMIF('TL14'!$C$10:$C$224,$C324,'TL14'!$J$10:$J$224),0),
IF('TL14'!$B$229=O$3,SUMIF('TL14'!$C$238:$C$451,$C324,'TL14'!$J$238:$J$451),0),
IF('TL15'!$B$3=O$3,SUMIF('TL15'!$C$10:$C$224,$C324,'TL15'!$J$10:$J$224),0),
IF('TL15'!$B$229=O$3,SUMIF('TL15'!$C$238:$C$451,$C324,'TL15'!$J$238:$J$451),0),
IF('TL16'!$B$3=O$3,SUMIF('TL16'!$C$10:$C$224,$C324,'TL16'!$J$10:$J$224),0),
IF('TL16'!$B$229=O$3,SUMIF('TL16'!$C$238:$C$451,$C324,'TL16'!$J$238:$J$451),0),
IF('TL17'!$B$3=O$3,SUMIF('TL17'!$C$10:$C$224,$C324,'TL17'!$J$10:$J$224),0),
IF('TL17'!$B$229=O$3,SUMIF('TL17'!$C$238:$C$451,$C324,'TL17'!$J$238:$J$451),0),
IF('TL18'!$B$3=O$3,SUMIF('TL18'!$C$10:$C$224,$C324,'TL18'!$J$10:$J$224),0),
IF('TL18'!$B$229=O$3,SUMIF('TL18'!$C$238:$C$451,$C324,'TL18'!$J$238:$J$451),0),
IF('TL19'!$B$3=O$3,SUMIF('TL19'!$C$10:$C$224,$C324,'TL19'!$J$10:$J$224),0),
IF('TL19'!$B$229=O$3,SUMIF('TL19'!$C$238:$C$451,$C324,'TL19'!$J$238:$J$451),0)
),0)</f>
        <v/>
      </c>
      <c r="P324" s="9">
        <f>IFERROR(SUM(
IF('TL01'!$B$3=P$3,SUMIF('TL01'!$C$10:$C$224,$C324,'TL01'!$J$10:$J$224),0),
IF('TL01'!$B$229=P$3,SUMIF('TL01'!$C$238:$C$451,$C324,'TL01'!$J$238:$J$451),0),
IF('TL02'!$B$3=P$3,SUMIF('TL02'!$C$10:$C$224,$C324,'TL02'!$J$10:$J$224),0),
IF('TL02'!$B$229=P$3,SUMIF('TL02'!$C$238:$C$451,$C324,'TL02'!$J$238:$J$451),0),
IF('TL03'!$B$3=P$3,SUMIF('TL03'!$C$10:$C$224,$C324,'TL03'!$J$10:$J$224),0),
IF('TL03'!$B$229=P$3,SUMIF('TL03'!$C$238:$C$451,$C324,'TL03'!$J$238:$J$451),0),
IF('TL04'!$B$3=P$3,SUMIF('TL04'!$C$10:$C$224,$C324,'TL04'!$J$10:$J$224),0),
IF('TL04'!$B$229=P$3,SUMIF('TL04'!$C$238:$C$451,$C324,'TL04'!$J$238:$J$451),0),
IF('TL05'!$B$3=P$3,SUMIF('TL05'!$C$10:$C$224,$C324,'TL05'!$J$10:$J$224),0),
IF('TL05'!$B$229=P$3,SUMIF('TL05'!$C$238:$C$451,$C324,'TL05'!$J$238:$J$451),0),
IF('TL06'!$B$3=P$3,SUMIF('TL06'!$C$10:$C$224,$C324,'TL06'!$J$10:$J$224),0),
IF('TL06'!$B$229=P$3,SUMIF('TL06'!$C$238:$C$451,$C324,'TL06'!$J$238:$J$451),0),
IF('TL07'!$B$3=P$3,SUMIF('TL07'!$C$10:$C$224,$C324,'TL07'!$J$10:$J$224),0),
IF('TL07'!$B$229=P$3,SUMIF('TL07'!$C$238:$C$451,$C324,'TL07'!$J$238:$J$451),0),
IF('TL08'!$B$3=P$3,SUMIF('TL08'!$C$10:$C$224,$C324,'TL08'!$J$10:$J$224),0),
IF('TL08'!$B$229=P$3,SUMIF('TL08'!$C$238:$C$451,$C324,'TL08'!$J$238:$J$451),0),
IF('TL09'!$B$3=P$3,SUMIF('TL09'!$C$10:$C$224,$C324,'TL09'!$J$10:$J$224),0),
IF('TL09'!$B$229=P$3,SUMIF('TL09'!$C$238:$C$451,$C324,'TL09'!$J$238:$J$451),0),
IF('TL10'!$B$3=P$3,SUMIF('TL10'!$C$10:$C$224,$C324,'TL10'!$J$10:$J$224),0),
IF('TL10'!$B$229=P$3,SUMIF('TL10'!$C$238:$C$451,$C324,'TL10'!$J$238:$J$451),0),
IF('TL11'!$B$3=P$3,SUMIF('TL11'!$C$10:$C$224,$C324,'TL11'!$J$10:$J$224),0),
IF('TL11'!$B$229=P$3,SUMIF('TL11'!$C$238:$C$451,$C324,'TL11'!$J$238:$J$451),0),
IF('TL12'!$B$3=P$3,SUMIF('TL12'!$C$10:$C$224,$C324,'TL12'!$J$10:$J$224),0),
IF('TL12'!$B$229=P$3,SUMIF('TL12'!$C$238:$C$451,$C324,'TL12'!$J$238:$J$451),0),
IF('TL13'!$B$3=P$3,SUMIF('TL13'!$C$10:$C$224,$C324,'TL13'!$J$10:$J$224),0),
IF('TL13'!$B$229=P$3,SUMIF('TL13'!$C$238:$C$451,$C324,'TL13'!$J$238:$J$451),0),
IF('TL14'!$B$3=P$3,SUMIF('TL14'!$C$10:$C$224,$C324,'TL14'!$J$10:$J$224),0),
IF('TL14'!$B$229=P$3,SUMIF('TL14'!$C$238:$C$451,$C324,'TL14'!$J$238:$J$451),0),
IF('TL15'!$B$3=P$3,SUMIF('TL15'!$C$10:$C$224,$C324,'TL15'!$J$10:$J$224),0),
IF('TL15'!$B$229=P$3,SUMIF('TL15'!$C$238:$C$451,$C324,'TL15'!$J$238:$J$451),0),
IF('TL16'!$B$3=P$3,SUMIF('TL16'!$C$10:$C$224,$C324,'TL16'!$J$10:$J$224),0),
IF('TL16'!$B$229=P$3,SUMIF('TL16'!$C$238:$C$451,$C324,'TL16'!$J$238:$J$451),0),
IF('TL17'!$B$3=P$3,SUMIF('TL17'!$C$10:$C$224,$C324,'TL17'!$J$10:$J$224),0),
IF('TL17'!$B$229=P$3,SUMIF('TL17'!$C$238:$C$451,$C324,'TL17'!$J$238:$J$451),0),
IF('TL18'!$B$3=P$3,SUMIF('TL18'!$C$10:$C$224,$C324,'TL18'!$J$10:$J$224),0),
IF('TL18'!$B$229=P$3,SUMIF('TL18'!$C$238:$C$451,$C324,'TL18'!$J$238:$J$451),0),
IF('TL19'!$B$3=P$3,SUMIF('TL19'!$C$10:$C$224,$C324,'TL19'!$J$10:$J$224),0),
IF('TL19'!$B$229=P$3,SUMIF('TL19'!$C$238:$C$451,$C324,'TL19'!$J$238:$J$451),0)
),0)</f>
        <v/>
      </c>
      <c r="Q324" s="9">
        <f>IFERROR(SUM(
IF('TL01'!$B$3=Q$3,SUMIF('TL01'!$C$10:$C$224,$C324,'TL01'!$J$10:$J$224),0),
IF('TL01'!$B$229=Q$3,SUMIF('TL01'!$C$238:$C$451,$C324,'TL01'!$J$238:$J$451),0),
IF('TL02'!$B$3=Q$3,SUMIF('TL02'!$C$10:$C$224,$C324,'TL02'!$J$10:$J$224),0),
IF('TL02'!$B$229=Q$3,SUMIF('TL02'!$C$238:$C$451,$C324,'TL02'!$J$238:$J$451),0),
IF('TL03'!$B$3=Q$3,SUMIF('TL03'!$C$10:$C$224,$C324,'TL03'!$J$10:$J$224),0),
IF('TL03'!$B$229=Q$3,SUMIF('TL03'!$C$238:$C$451,$C324,'TL03'!$J$238:$J$451),0),
IF('TL04'!$B$3=Q$3,SUMIF('TL04'!$C$10:$C$224,$C324,'TL04'!$J$10:$J$224),0),
IF('TL04'!$B$229=Q$3,SUMIF('TL04'!$C$238:$C$451,$C324,'TL04'!$J$238:$J$451),0),
IF('TL05'!$B$3=Q$3,SUMIF('TL05'!$C$10:$C$224,$C324,'TL05'!$J$10:$J$224),0),
IF('TL05'!$B$229=Q$3,SUMIF('TL05'!$C$238:$C$451,$C324,'TL05'!$J$238:$J$451),0),
IF('TL06'!$B$3=Q$3,SUMIF('TL06'!$C$10:$C$224,$C324,'TL06'!$J$10:$J$224),0),
IF('TL06'!$B$229=Q$3,SUMIF('TL06'!$C$238:$C$451,$C324,'TL06'!$J$238:$J$451),0),
IF('TL07'!$B$3=Q$3,SUMIF('TL07'!$C$10:$C$224,$C324,'TL07'!$J$10:$J$224),0),
IF('TL07'!$B$229=Q$3,SUMIF('TL07'!$C$238:$C$451,$C324,'TL07'!$J$238:$J$451),0),
IF('TL08'!$B$3=Q$3,SUMIF('TL08'!$C$10:$C$224,$C324,'TL08'!$J$10:$J$224),0),
IF('TL08'!$B$229=Q$3,SUMIF('TL08'!$C$238:$C$451,$C324,'TL08'!$J$238:$J$451),0),
IF('TL09'!$B$3=Q$3,SUMIF('TL09'!$C$10:$C$224,$C324,'TL09'!$J$10:$J$224),0),
IF('TL09'!$B$229=Q$3,SUMIF('TL09'!$C$238:$C$451,$C324,'TL09'!$J$238:$J$451),0),
IF('TL10'!$B$3=Q$3,SUMIF('TL10'!$C$10:$C$224,$C324,'TL10'!$J$10:$J$224),0),
IF('TL10'!$B$229=Q$3,SUMIF('TL10'!$C$238:$C$451,$C324,'TL10'!$J$238:$J$451),0),
IF('TL11'!$B$3=Q$3,SUMIF('TL11'!$C$10:$C$224,$C324,'TL11'!$J$10:$J$224),0),
IF('TL11'!$B$229=Q$3,SUMIF('TL11'!$C$238:$C$451,$C324,'TL11'!$J$238:$J$451),0),
IF('TL12'!$B$3=Q$3,SUMIF('TL12'!$C$10:$C$224,$C324,'TL12'!$J$10:$J$224),0),
IF('TL12'!$B$229=Q$3,SUMIF('TL12'!$C$238:$C$451,$C324,'TL12'!$J$238:$J$451),0),
IF('TL13'!$B$3=Q$3,SUMIF('TL13'!$C$10:$C$224,$C324,'TL13'!$J$10:$J$224),0),
IF('TL13'!$B$229=Q$3,SUMIF('TL13'!$C$238:$C$451,$C324,'TL13'!$J$238:$J$451),0),
IF('TL14'!$B$3=Q$3,SUMIF('TL14'!$C$10:$C$224,$C324,'TL14'!$J$10:$J$224),0),
IF('TL14'!$B$229=Q$3,SUMIF('TL14'!$C$238:$C$451,$C324,'TL14'!$J$238:$J$451),0),
IF('TL15'!$B$3=Q$3,SUMIF('TL15'!$C$10:$C$224,$C324,'TL15'!$J$10:$J$224),0),
IF('TL15'!$B$229=Q$3,SUMIF('TL15'!$C$238:$C$451,$C324,'TL15'!$J$238:$J$451),0),
IF('TL16'!$B$3=Q$3,SUMIF('TL16'!$C$10:$C$224,$C324,'TL16'!$J$10:$J$224),0),
IF('TL16'!$B$229=Q$3,SUMIF('TL16'!$C$238:$C$451,$C324,'TL16'!$J$238:$J$451),0),
IF('TL17'!$B$3=Q$3,SUMIF('TL17'!$C$10:$C$224,$C324,'TL17'!$J$10:$J$224),0),
IF('TL17'!$B$229=Q$3,SUMIF('TL17'!$C$238:$C$451,$C324,'TL17'!$J$238:$J$451),0),
IF('TL18'!$B$3=Q$3,SUMIF('TL18'!$C$10:$C$224,$C324,'TL18'!$J$10:$J$224),0),
IF('TL18'!$B$229=Q$3,SUMIF('TL18'!$C$238:$C$451,$C324,'TL18'!$J$238:$J$451),0),
IF('TL19'!$B$3=Q$3,SUMIF('TL19'!$C$10:$C$224,$C324,'TL19'!$J$10:$J$224),0),
IF('TL19'!$B$229=Q$3,SUMIF('TL19'!$C$238:$C$451,$C324,'TL19'!$J$238:$J$451),0)
),0)</f>
        <v/>
      </c>
      <c r="R324" s="9">
        <f>IFERROR(
SUM(
SUMIF('TL01'!C:C,C324,'TL01'!J:J),
SUMIF('TL02'!C:C,C324,'TL02'!J:J),
SUMIF('TL03'!C:C,C324,'TL03'!J:J),
SUMIF('TL04'!C:C,C324,'TL04'!J:J),
SUMIF('TL05'!C:C,C324,'TL05'!J:J),
SUMIF('TL06'!C:C,C324,'TL06'!J:J),
SUMIF('TL07'!C:C,C324,'TL07'!J:J),
SUMIF('TL08'!C:C,C324,'TL08'!J:J),
SUMIF('TL09'!C:C,C324,'TL09'!J:J),
SUMIF('TL10'!C:C,C324,'TL10'!J:J),
SUMIF('TL11'!C:C,C324,'TL11'!J:J),
SUMIF('TL12'!C:C,C324,'TL12'!J:J),
SUMIF('TL13'!C:C,C324,'TL13'!J:J),
SUMIF('TL14'!C:C,C324,'TL14'!J:J),
SUMIF('TL15'!C:C,C324,'TL15'!J:J),
SUMIF('TL16'!C:C,C324,'TL16'!J:J),
SUMIF('TL17'!C:C,C324,'TL17'!J:J),
SUMIF('TL18'!C:C,C324,'TL18'!J:J),SUMIF('TL19'!C:C,C324,'TL19'!J:J))
,0)</f>
        <v/>
      </c>
      <c r="S324" s="17">
        <f>IFERROR(__xludf.DUMMYFUNCTION("IFERROR(VLOOKUP(C324,
IMPORTRANGE(""1wULbzX32WdYsx-lj2U3uUNBBe2INVIRDtcK0d-Dvl90"",
""26-27!C:G""),
5,
FALSE),
"""")"),"")</f>
        <v/>
      </c>
      <c r="T324" s="9" t="n"/>
      <c r="U324" s="92">
        <f>MAX(0,R324-T324)</f>
        <v/>
      </c>
      <c r="V324" s="93">
        <f>U324*S324</f>
        <v/>
      </c>
    </row>
    <row r="325" hidden="1" ht="15.75" customHeight="1" s="297">
      <c r="A325" s="4" t="n"/>
      <c r="B325" s="125" t="inlineStr">
        <is>
          <t>SEMENTE</t>
        </is>
      </c>
      <c r="C325" s="4" t="inlineStr">
        <is>
          <t>NEO 790</t>
        </is>
      </c>
      <c r="D325" s="20" t="n"/>
      <c r="E325" s="9" t="n"/>
      <c r="F325" s="4" t="inlineStr">
        <is>
          <t>5MM</t>
        </is>
      </c>
      <c r="G325" s="90">
        <f>HYPERLINK("https://www.google.com/search?q=" &amp; C325 &amp; "+bula+agrofit+pdf", "📄 Ver bula")</f>
        <v/>
      </c>
      <c r="H325" s="9" t="n"/>
      <c r="I325" s="1" t="n"/>
      <c r="J325" s="9">
        <f>IFERROR(SUM(
IF('TL01'!$B$3=J$3,SUMIF('TL01'!$C$10:$C$224,$C325,'TL01'!$J$10:$J$224),0),
IF('TL01'!$B$229=J$3,SUMIF('TL01'!$C$238:$C$451,$C325,'TL01'!$J$238:$J$451),0),
IF('TL02'!$B$3=J$3,SUMIF('TL02'!$C$10:$C$224,$C325,'TL02'!$J$10:$J$224),0),
IF('TL02'!$B$229=J$3,SUMIF('TL02'!$C$238:$C$451,$C325,'TL02'!$J$238:$J$451),0),
IF('TL03'!$B$3=J$3,SUMIF('TL03'!$C$10:$C$224,$C325,'TL03'!$J$10:$J$224),0),
IF('TL03'!$B$229=J$3,SUMIF('TL03'!$C$238:$C$451,$C325,'TL03'!$J$238:$J$451),0),
IF('TL04'!$B$3=J$3,SUMIF('TL04'!$C$10:$C$224,$C325,'TL04'!$J$10:$J$224),0),
IF('TL04'!$B$229=J$3,SUMIF('TL04'!$C$238:$C$451,$C325,'TL04'!$J$238:$J$451),0),
IF('TL05'!$B$3=J$3,SUMIF('TL05'!$C$10:$C$224,$C325,'TL05'!$J$10:$J$224),0),
IF('TL05'!$B$229=J$3,SUMIF('TL05'!$C$238:$C$451,$C325,'TL05'!$J$238:$J$451),0),
IF('TL06'!$B$3=J$3,SUMIF('TL06'!$C$10:$C$224,$C325,'TL06'!$J$10:$J$224),0),
IF('TL06'!$B$229=J$3,SUMIF('TL06'!$C$238:$C$451,$C325,'TL06'!$J$238:$J$451),0),
IF('TL07'!$B$3=J$3,SUMIF('TL07'!$C$10:$C$224,$C325,'TL07'!$J$10:$J$224),0),
IF('TL07'!$B$229=J$3,SUMIF('TL07'!$C$238:$C$451,$C325,'TL07'!$J$238:$J$451),0),
IF('TL08'!$B$3=J$3,SUMIF('TL08'!$C$10:$C$224,$C325,'TL08'!$J$10:$J$224),0),
IF('TL08'!$B$229=J$3,SUMIF('TL08'!$C$238:$C$451,$C325,'TL08'!$J$238:$J$451),0),
IF('TL09'!$B$3=J$3,SUMIF('TL09'!$C$10:$C$224,$C325,'TL09'!$J$10:$J$224),0),
IF('TL09'!$B$229=J$3,SUMIF('TL09'!$C$238:$C$451,$C325,'TL09'!$J$238:$J$451),0),
IF('TL10'!$B$3=J$3,SUMIF('TL10'!$C$10:$C$224,$C325,'TL10'!$J$10:$J$224),0),
IF('TL10'!$B$229=J$3,SUMIF('TL10'!$C$238:$C$451,$C325,'TL10'!$J$238:$J$451),0),
IF('TL11'!$B$3=J$3,SUMIF('TL11'!$C$10:$C$224,$C325,'TL11'!$J$10:$J$224),0),
IF('TL11'!$B$229=J$3,SUMIF('TL11'!$C$238:$C$451,$C325,'TL11'!$J$238:$J$451),0),
IF('TL12'!$B$3=J$3,SUMIF('TL12'!$C$10:$C$224,$C325,'TL12'!$J$10:$J$224),0),
IF('TL12'!$B$229=J$3,SUMIF('TL12'!$C$238:$C$451,$C325,'TL12'!$J$238:$J$451),0),
IF('TL13'!$B$3=J$3,SUMIF('TL13'!$C$10:$C$224,$C325,'TL13'!$J$10:$J$224),0),
IF('TL13'!$B$229=J$3,SUMIF('TL13'!$C$238:$C$451,$C325,'TL13'!$J$238:$J$451),0),
IF('TL14'!$B$3=J$3,SUMIF('TL14'!$C$10:$C$224,$C325,'TL14'!$J$10:$J$224),0),
IF('TL14'!$B$229=J$3,SUMIF('TL14'!$C$238:$C$451,$C325,'TL14'!$J$238:$J$451),0),
IF('TL15'!$B$3=J$3,SUMIF('TL15'!$C$10:$C$224,$C325,'TL15'!$J$10:$J$224),0),
IF('TL15'!$B$229=J$3,SUMIF('TL15'!$C$238:$C$451,$C325,'TL15'!$J$238:$J$451),0),
IF('TL16'!$B$3=J$3,SUMIF('TL16'!$C$10:$C$224,$C325,'TL16'!$J$10:$J$224),0),
IF('TL16'!$B$229=J$3,SUMIF('TL16'!$C$238:$C$451,$C325,'TL16'!$J$238:$J$451),0),
IF('TL17'!$B$3=J$3,SUMIF('TL17'!$C$10:$C$224,$C325,'TL17'!$J$10:$J$224),0),
IF('TL17'!$B$229=J$3,SUMIF('TL17'!$C$238:$C$451,$C325,'TL17'!$J$238:$J$451),0),
IF('TL18'!$B$3=J$3,SUMIF('TL18'!$C$10:$C$224,$C325,'TL18'!$J$10:$J$224),0),
IF('TL18'!$B$229=J$3,SUMIF('TL18'!$C$238:$C$451,$C325,'TL18'!$J$238:$J$451),0),
IF('TL19'!$B$3=J$3,SUMIF('TL19'!$C$10:$C$224,$C325,'TL19'!$J$10:$J$224),0),
IF('TL19'!$B$229=J$3,SUMIF('TL19'!$C$238:$C$451,$C325,'TL19'!$J$238:$J$451),0)
),0)</f>
        <v/>
      </c>
      <c r="K325" s="9">
        <f>IFERROR(SUM(
IF('TL01'!$B$3=K$3,SUMIF('TL01'!$C$10:$C$224,$C325,'TL01'!$J$10:$J$224),0),
IF('TL01'!$B$229=K$3,SUMIF('TL01'!$C$238:$C$451,$C325,'TL01'!$J$238:$J$451),0),
IF('TL02'!$B$3=K$3,SUMIF('TL02'!$C$10:$C$224,$C325,'TL02'!$J$10:$J$224),0),
IF('TL02'!$B$229=K$3,SUMIF('TL02'!$C$238:$C$451,$C325,'TL02'!$J$238:$J$451),0),
IF('TL03'!$B$3=K$3,SUMIF('TL03'!$C$10:$C$224,$C325,'TL03'!$J$10:$J$224),0),
IF('TL03'!$B$229=K$3,SUMIF('TL03'!$C$238:$C$451,$C325,'TL03'!$J$238:$J$451),0),
IF('TL04'!$B$3=K$3,SUMIF('TL04'!$C$10:$C$224,$C325,'TL04'!$J$10:$J$224),0),
IF('TL04'!$B$229=K$3,SUMIF('TL04'!$C$238:$C$451,$C325,'TL04'!$J$238:$J$451),0),
IF('TL05'!$B$3=K$3,SUMIF('TL05'!$C$10:$C$224,$C325,'TL05'!$J$10:$J$224),0),
IF('TL05'!$B$229=K$3,SUMIF('TL05'!$C$238:$C$451,$C325,'TL05'!$J$238:$J$451),0),
IF('TL06'!$B$3=K$3,SUMIF('TL06'!$C$10:$C$224,$C325,'TL06'!$J$10:$J$224),0),
IF('TL06'!$B$229=K$3,SUMIF('TL06'!$C$238:$C$451,$C325,'TL06'!$J$238:$J$451),0),
IF('TL07'!$B$3=K$3,SUMIF('TL07'!$C$10:$C$224,$C325,'TL07'!$J$10:$J$224),0),
IF('TL07'!$B$229=K$3,SUMIF('TL07'!$C$238:$C$451,$C325,'TL07'!$J$238:$J$451),0),
IF('TL08'!$B$3=K$3,SUMIF('TL08'!$C$10:$C$224,$C325,'TL08'!$J$10:$J$224),0),
IF('TL08'!$B$229=K$3,SUMIF('TL08'!$C$238:$C$451,$C325,'TL08'!$J$238:$J$451),0),
IF('TL09'!$B$3=K$3,SUMIF('TL09'!$C$10:$C$224,$C325,'TL09'!$J$10:$J$224),0),
IF('TL09'!$B$229=K$3,SUMIF('TL09'!$C$238:$C$451,$C325,'TL09'!$J$238:$J$451),0),
IF('TL10'!$B$3=K$3,SUMIF('TL10'!$C$10:$C$224,$C325,'TL10'!$J$10:$J$224),0),
IF('TL10'!$B$229=K$3,SUMIF('TL10'!$C$238:$C$451,$C325,'TL10'!$J$238:$J$451),0),
IF('TL11'!$B$3=K$3,SUMIF('TL11'!$C$10:$C$224,$C325,'TL11'!$J$10:$J$224),0),
IF('TL11'!$B$229=K$3,SUMIF('TL11'!$C$238:$C$451,$C325,'TL11'!$J$238:$J$451),0),
IF('TL12'!$B$3=K$3,SUMIF('TL12'!$C$10:$C$224,$C325,'TL12'!$J$10:$J$224),0),
IF('TL12'!$B$229=K$3,SUMIF('TL12'!$C$238:$C$451,$C325,'TL12'!$J$238:$J$451),0),
IF('TL13'!$B$3=K$3,SUMIF('TL13'!$C$10:$C$224,$C325,'TL13'!$J$10:$J$224),0),
IF('TL13'!$B$229=K$3,SUMIF('TL13'!$C$238:$C$451,$C325,'TL13'!$J$238:$J$451),0),
IF('TL14'!$B$3=K$3,SUMIF('TL14'!$C$10:$C$224,$C325,'TL14'!$J$10:$J$224),0),
IF('TL14'!$B$229=K$3,SUMIF('TL14'!$C$238:$C$451,$C325,'TL14'!$J$238:$J$451),0),
IF('TL15'!$B$3=K$3,SUMIF('TL15'!$C$10:$C$224,$C325,'TL15'!$J$10:$J$224),0),
IF('TL15'!$B$229=K$3,SUMIF('TL15'!$C$238:$C$451,$C325,'TL15'!$J$238:$J$451),0),
IF('TL16'!$B$3=K$3,SUMIF('TL16'!$C$10:$C$224,$C325,'TL16'!$J$10:$J$224),0),
IF('TL16'!$B$229=K$3,SUMIF('TL16'!$C$238:$C$451,$C325,'TL16'!$J$238:$J$451),0),
IF('TL17'!$B$3=K$3,SUMIF('TL17'!$C$10:$C$224,$C325,'TL17'!$J$10:$J$224),0),
IF('TL17'!$B$229=K$3,SUMIF('TL17'!$C$238:$C$451,$C325,'TL17'!$J$238:$J$451),0),
IF('TL18'!$B$3=K$3,SUMIF('TL18'!$C$10:$C$224,$C325,'TL18'!$J$10:$J$224),0),
IF('TL18'!$B$229=K$3,SUMIF('TL18'!$C$238:$C$451,$C325,'TL18'!$J$238:$J$451),0),
IF('TL19'!$B$3=K$3,SUMIF('TL19'!$C$10:$C$224,$C325,'TL19'!$J$10:$J$224),0),
IF('TL19'!$B$229=K$3,SUMIF('TL19'!$C$238:$C$451,$C325,'TL19'!$J$238:$J$451),0)
),0)</f>
        <v/>
      </c>
      <c r="L325" s="9">
        <f>IFERROR(SUM(
IF('TL01'!$B$3=L$3,SUMIF('TL01'!$C$10:$C$224,$C325,'TL01'!$J$10:$J$224),0),
IF('TL01'!$B$229=L$3,SUMIF('TL01'!$C$238:$C$451,$C325,'TL01'!$J$238:$J$451),0),
IF('TL02'!$B$3=L$3,SUMIF('TL02'!$C$10:$C$224,$C325,'TL02'!$J$10:$J$224),0),
IF('TL02'!$B$229=L$3,SUMIF('TL02'!$C$238:$C$451,$C325,'TL02'!$J$238:$J$451),0),
IF('TL03'!$B$3=L$3,SUMIF('TL03'!$C$10:$C$224,$C325,'TL03'!$J$10:$J$224),0),
IF('TL03'!$B$229=L$3,SUMIF('TL03'!$C$238:$C$451,$C325,'TL03'!$J$238:$J$451),0),
IF('TL04'!$B$3=L$3,SUMIF('TL04'!$C$10:$C$224,$C325,'TL04'!$J$10:$J$224),0),
IF('TL04'!$B$229=L$3,SUMIF('TL04'!$C$238:$C$451,$C325,'TL04'!$J$238:$J$451),0),
IF('TL05'!$B$3=L$3,SUMIF('TL05'!$C$10:$C$224,$C325,'TL05'!$J$10:$J$224),0),
IF('TL05'!$B$229=L$3,SUMIF('TL05'!$C$238:$C$451,$C325,'TL05'!$J$238:$J$451),0),
IF('TL06'!$B$3=L$3,SUMIF('TL06'!$C$10:$C$224,$C325,'TL06'!$J$10:$J$224),0),
IF('TL06'!$B$229=L$3,SUMIF('TL06'!$C$238:$C$451,$C325,'TL06'!$J$238:$J$451),0),
IF('TL07'!$B$3=L$3,SUMIF('TL07'!$C$10:$C$224,$C325,'TL07'!$J$10:$J$224),0),
IF('TL07'!$B$229=L$3,SUMIF('TL07'!$C$238:$C$451,$C325,'TL07'!$J$238:$J$451),0),
IF('TL08'!$B$3=L$3,SUMIF('TL08'!$C$10:$C$224,$C325,'TL08'!$J$10:$J$224),0),
IF('TL08'!$B$229=L$3,SUMIF('TL08'!$C$238:$C$451,$C325,'TL08'!$J$238:$J$451),0),
IF('TL09'!$B$3=L$3,SUMIF('TL09'!$C$10:$C$224,$C325,'TL09'!$J$10:$J$224),0),
IF('TL09'!$B$229=L$3,SUMIF('TL09'!$C$238:$C$451,$C325,'TL09'!$J$238:$J$451),0),
IF('TL10'!$B$3=L$3,SUMIF('TL10'!$C$10:$C$224,$C325,'TL10'!$J$10:$J$224),0),
IF('TL10'!$B$229=L$3,SUMIF('TL10'!$C$238:$C$451,$C325,'TL10'!$J$238:$J$451),0),
IF('TL11'!$B$3=L$3,SUMIF('TL11'!$C$10:$C$224,$C325,'TL11'!$J$10:$J$224),0),
IF('TL11'!$B$229=L$3,SUMIF('TL11'!$C$238:$C$451,$C325,'TL11'!$J$238:$J$451),0),
IF('TL12'!$B$3=L$3,SUMIF('TL12'!$C$10:$C$224,$C325,'TL12'!$J$10:$J$224),0),
IF('TL12'!$B$229=L$3,SUMIF('TL12'!$C$238:$C$451,$C325,'TL12'!$J$238:$J$451),0),
IF('TL13'!$B$3=L$3,SUMIF('TL13'!$C$10:$C$224,$C325,'TL13'!$J$10:$J$224),0),
IF('TL13'!$B$229=L$3,SUMIF('TL13'!$C$238:$C$451,$C325,'TL13'!$J$238:$J$451),0),
IF('TL14'!$B$3=L$3,SUMIF('TL14'!$C$10:$C$224,$C325,'TL14'!$J$10:$J$224),0),
IF('TL14'!$B$229=L$3,SUMIF('TL14'!$C$238:$C$451,$C325,'TL14'!$J$238:$J$451),0),
IF('TL15'!$B$3=L$3,SUMIF('TL15'!$C$10:$C$224,$C325,'TL15'!$J$10:$J$224),0),
IF('TL15'!$B$229=L$3,SUMIF('TL15'!$C$238:$C$451,$C325,'TL15'!$J$238:$J$451),0),
IF('TL16'!$B$3=L$3,SUMIF('TL16'!$C$10:$C$224,$C325,'TL16'!$J$10:$J$224),0),
IF('TL16'!$B$229=L$3,SUMIF('TL16'!$C$238:$C$451,$C325,'TL16'!$J$238:$J$451),0),
IF('TL17'!$B$3=L$3,SUMIF('TL17'!$C$10:$C$224,$C325,'TL17'!$J$10:$J$224),0),
IF('TL17'!$B$229=L$3,SUMIF('TL17'!$C$238:$C$451,$C325,'TL17'!$J$238:$J$451),0),
IF('TL18'!$B$3=L$3,SUMIF('TL18'!$C$10:$C$224,$C325,'TL18'!$J$10:$J$224),0),
IF('TL18'!$B$229=L$3,SUMIF('TL18'!$C$238:$C$451,$C325,'TL18'!$J$238:$J$451),0),
IF('TL19'!$B$3=L$3,SUMIF('TL19'!$C$10:$C$224,$C325,'TL19'!$J$10:$J$224),0),
IF('TL19'!$B$229=L$3,SUMIF('TL19'!$C$238:$C$451,$C325,'TL19'!$J$238:$J$451),0)
),0)</f>
        <v/>
      </c>
      <c r="M325" s="9">
        <f>IFERROR(SUM(
IF('TL01'!$B$3=M$3,SUMIF('TL01'!$C$10:$C$224,$C325,'TL01'!$J$10:$J$224),0),
IF('TL01'!$B$229=M$3,SUMIF('TL01'!$C$238:$C$451,$C325,'TL01'!$J$238:$J$451),0),
IF('TL02'!$B$3=M$3,SUMIF('TL02'!$C$10:$C$224,$C325,'TL02'!$J$10:$J$224),0),
IF('TL02'!$B$229=M$3,SUMIF('TL02'!$C$238:$C$451,$C325,'TL02'!$J$238:$J$451),0),
IF('TL03'!$B$3=M$3,SUMIF('TL03'!$C$10:$C$224,$C325,'TL03'!$J$10:$J$224),0),
IF('TL03'!$B$229=M$3,SUMIF('TL03'!$C$238:$C$451,$C325,'TL03'!$J$238:$J$451),0),
IF('TL04'!$B$3=M$3,SUMIF('TL04'!$C$10:$C$224,$C325,'TL04'!$J$10:$J$224),0),
IF('TL04'!$B$229=M$3,SUMIF('TL04'!$C$238:$C$451,$C325,'TL04'!$J$238:$J$451),0),
IF('TL05'!$B$3=M$3,SUMIF('TL05'!$C$10:$C$224,$C325,'TL05'!$J$10:$J$224),0),
IF('TL05'!$B$229=M$3,SUMIF('TL05'!$C$238:$C$451,$C325,'TL05'!$J$238:$J$451),0),
IF('TL06'!$B$3=M$3,SUMIF('TL06'!$C$10:$C$224,$C325,'TL06'!$J$10:$J$224),0),
IF('TL06'!$B$229=M$3,SUMIF('TL06'!$C$238:$C$451,$C325,'TL06'!$J$238:$J$451),0),
IF('TL07'!$B$3=M$3,SUMIF('TL07'!$C$10:$C$224,$C325,'TL07'!$J$10:$J$224),0),
IF('TL07'!$B$229=M$3,SUMIF('TL07'!$C$238:$C$451,$C325,'TL07'!$J$238:$J$451),0),
IF('TL08'!$B$3=M$3,SUMIF('TL08'!$C$10:$C$224,$C325,'TL08'!$J$10:$J$224),0),
IF('TL08'!$B$229=M$3,SUMIF('TL08'!$C$238:$C$451,$C325,'TL08'!$J$238:$J$451),0),
IF('TL09'!$B$3=M$3,SUMIF('TL09'!$C$10:$C$224,$C325,'TL09'!$J$10:$J$224),0),
IF('TL09'!$B$229=M$3,SUMIF('TL09'!$C$238:$C$451,$C325,'TL09'!$J$238:$J$451),0),
IF('TL10'!$B$3=M$3,SUMIF('TL10'!$C$10:$C$224,$C325,'TL10'!$J$10:$J$224),0),
IF('TL10'!$B$229=M$3,SUMIF('TL10'!$C$238:$C$451,$C325,'TL10'!$J$238:$J$451),0),
IF('TL11'!$B$3=M$3,SUMIF('TL11'!$C$10:$C$224,$C325,'TL11'!$J$10:$J$224),0),
IF('TL11'!$B$229=M$3,SUMIF('TL11'!$C$238:$C$451,$C325,'TL11'!$J$238:$J$451),0),
IF('TL12'!$B$3=M$3,SUMIF('TL12'!$C$10:$C$224,$C325,'TL12'!$J$10:$J$224),0),
IF('TL12'!$B$229=M$3,SUMIF('TL12'!$C$238:$C$451,$C325,'TL12'!$J$238:$J$451),0),
IF('TL13'!$B$3=M$3,SUMIF('TL13'!$C$10:$C$224,$C325,'TL13'!$J$10:$J$224),0),
IF('TL13'!$B$229=M$3,SUMIF('TL13'!$C$238:$C$451,$C325,'TL13'!$J$238:$J$451),0),
IF('TL14'!$B$3=M$3,SUMIF('TL14'!$C$10:$C$224,$C325,'TL14'!$J$10:$J$224),0),
IF('TL14'!$B$229=M$3,SUMIF('TL14'!$C$238:$C$451,$C325,'TL14'!$J$238:$J$451),0),
IF('TL15'!$B$3=M$3,SUMIF('TL15'!$C$10:$C$224,$C325,'TL15'!$J$10:$J$224),0),
IF('TL15'!$B$229=M$3,SUMIF('TL15'!$C$238:$C$451,$C325,'TL15'!$J$238:$J$451),0),
IF('TL16'!$B$3=M$3,SUMIF('TL16'!$C$10:$C$224,$C325,'TL16'!$J$10:$J$224),0),
IF('TL16'!$B$229=M$3,SUMIF('TL16'!$C$238:$C$451,$C325,'TL16'!$J$238:$J$451),0),
IF('TL17'!$B$3=M$3,SUMIF('TL17'!$C$10:$C$224,$C325,'TL17'!$J$10:$J$224),0),
IF('TL17'!$B$229=M$3,SUMIF('TL17'!$C$238:$C$451,$C325,'TL17'!$J$238:$J$451),0),
IF('TL18'!$B$3=M$3,SUMIF('TL18'!$C$10:$C$224,$C325,'TL18'!$J$10:$J$224),0),
IF('TL18'!$B$229=M$3,SUMIF('TL18'!$C$238:$C$451,$C325,'TL18'!$J$238:$J$451),0),
IF('TL19'!$B$3=M$3,SUMIF('TL19'!$C$10:$C$224,$C325,'TL19'!$J$10:$J$224),0),
IF('TL19'!$B$229=M$3,SUMIF('TL19'!$C$238:$C$451,$C325,'TL19'!$J$238:$J$451),0)
),0)</f>
        <v/>
      </c>
      <c r="N325" s="9">
        <f>IFERROR(SUM(
IF('TL01'!$B$3=N$3,SUMIF('TL01'!$C$10:$C$224,$C325,'TL01'!$J$10:$J$224),0),
IF('TL01'!$B$229=N$3,SUMIF('TL01'!$C$238:$C$451,$C325,'TL01'!$J$238:$J$451),0),
IF('TL02'!$B$3=N$3,SUMIF('TL02'!$C$10:$C$224,$C325,'TL02'!$J$10:$J$224),0),
IF('TL02'!$B$229=N$3,SUMIF('TL02'!$C$238:$C$451,$C325,'TL02'!$J$238:$J$451),0),
IF('TL03'!$B$3=N$3,SUMIF('TL03'!$C$10:$C$224,$C325,'TL03'!$J$10:$J$224),0),
IF('TL03'!$B$229=N$3,SUMIF('TL03'!$C$238:$C$451,$C325,'TL03'!$J$238:$J$451),0),
IF('TL04'!$B$3=N$3,SUMIF('TL04'!$C$10:$C$224,$C325,'TL04'!$J$10:$J$224),0),
IF('TL04'!$B$229=N$3,SUMIF('TL04'!$C$238:$C$451,$C325,'TL04'!$J$238:$J$451),0),
IF('TL05'!$B$3=N$3,SUMIF('TL05'!$C$10:$C$224,$C325,'TL05'!$J$10:$J$224),0),
IF('TL05'!$B$229=N$3,SUMIF('TL05'!$C$238:$C$451,$C325,'TL05'!$J$238:$J$451),0),
IF('TL06'!$B$3=N$3,SUMIF('TL06'!$C$10:$C$224,$C325,'TL06'!$J$10:$J$224),0),
IF('TL06'!$B$229=N$3,SUMIF('TL06'!$C$238:$C$451,$C325,'TL06'!$J$238:$J$451),0),
IF('TL07'!$B$3=N$3,SUMIF('TL07'!$C$10:$C$224,$C325,'TL07'!$J$10:$J$224),0),
IF('TL07'!$B$229=N$3,SUMIF('TL07'!$C$238:$C$451,$C325,'TL07'!$J$238:$J$451),0),
IF('TL08'!$B$3=N$3,SUMIF('TL08'!$C$10:$C$224,$C325,'TL08'!$J$10:$J$224),0),
IF('TL08'!$B$229=N$3,SUMIF('TL08'!$C$238:$C$451,$C325,'TL08'!$J$238:$J$451),0),
IF('TL09'!$B$3=N$3,SUMIF('TL09'!$C$10:$C$224,$C325,'TL09'!$J$10:$J$224),0),
IF('TL09'!$B$229=N$3,SUMIF('TL09'!$C$238:$C$451,$C325,'TL09'!$J$238:$J$451),0),
IF('TL10'!$B$3=N$3,SUMIF('TL10'!$C$10:$C$224,$C325,'TL10'!$J$10:$J$224),0),
IF('TL10'!$B$229=N$3,SUMIF('TL10'!$C$238:$C$451,$C325,'TL10'!$J$238:$J$451),0),
IF('TL11'!$B$3=N$3,SUMIF('TL11'!$C$10:$C$224,$C325,'TL11'!$J$10:$J$224),0),
IF('TL11'!$B$229=N$3,SUMIF('TL11'!$C$238:$C$451,$C325,'TL11'!$J$238:$J$451),0),
IF('TL12'!$B$3=N$3,SUMIF('TL12'!$C$10:$C$224,$C325,'TL12'!$J$10:$J$224),0),
IF('TL12'!$B$229=N$3,SUMIF('TL12'!$C$238:$C$451,$C325,'TL12'!$J$238:$J$451),0),
IF('TL13'!$B$3=N$3,SUMIF('TL13'!$C$10:$C$224,$C325,'TL13'!$J$10:$J$224),0),
IF('TL13'!$B$229=N$3,SUMIF('TL13'!$C$238:$C$451,$C325,'TL13'!$J$238:$J$451),0),
IF('TL14'!$B$3=N$3,SUMIF('TL14'!$C$10:$C$224,$C325,'TL14'!$J$10:$J$224),0),
IF('TL14'!$B$229=N$3,SUMIF('TL14'!$C$238:$C$451,$C325,'TL14'!$J$238:$J$451),0),
IF('TL15'!$B$3=N$3,SUMIF('TL15'!$C$10:$C$224,$C325,'TL15'!$J$10:$J$224),0),
IF('TL15'!$B$229=N$3,SUMIF('TL15'!$C$238:$C$451,$C325,'TL15'!$J$238:$J$451),0),
IF('TL16'!$B$3=N$3,SUMIF('TL16'!$C$10:$C$224,$C325,'TL16'!$J$10:$J$224),0),
IF('TL16'!$B$229=N$3,SUMIF('TL16'!$C$238:$C$451,$C325,'TL16'!$J$238:$J$451),0),
IF('TL17'!$B$3=N$3,SUMIF('TL17'!$C$10:$C$224,$C325,'TL17'!$J$10:$J$224),0),
IF('TL17'!$B$229=N$3,SUMIF('TL17'!$C$238:$C$451,$C325,'TL17'!$J$238:$J$451),0),
IF('TL18'!$B$3=N$3,SUMIF('TL18'!$C$10:$C$224,$C325,'TL18'!$J$10:$J$224),0),
IF('TL18'!$B$229=N$3,SUMIF('TL18'!$C$238:$C$451,$C325,'TL18'!$J$238:$J$451),0),
IF('TL19'!$B$3=N$3,SUMIF('TL19'!$C$10:$C$224,$C325,'TL19'!$J$10:$J$224),0),
IF('TL19'!$B$229=N$3,SUMIF('TL19'!$C$238:$C$451,$C325,'TL19'!$J$238:$J$451),0)
),0)</f>
        <v/>
      </c>
      <c r="O325" s="9">
        <f>IFERROR(SUM(
IF('TL01'!$B$3=O$3,SUMIF('TL01'!$C$10:$C$224,$C325,'TL01'!$J$10:$J$224),0),
IF('TL01'!$B$229=O$3,SUMIF('TL01'!$C$238:$C$451,$C325,'TL01'!$J$238:$J$451),0),
IF('TL02'!$B$3=O$3,SUMIF('TL02'!$C$10:$C$224,$C325,'TL02'!$J$10:$J$224),0),
IF('TL02'!$B$229=O$3,SUMIF('TL02'!$C$238:$C$451,$C325,'TL02'!$J$238:$J$451),0),
IF('TL03'!$B$3=O$3,SUMIF('TL03'!$C$10:$C$224,$C325,'TL03'!$J$10:$J$224),0),
IF('TL03'!$B$229=O$3,SUMIF('TL03'!$C$238:$C$451,$C325,'TL03'!$J$238:$J$451),0),
IF('TL04'!$B$3=O$3,SUMIF('TL04'!$C$10:$C$224,$C325,'TL04'!$J$10:$J$224),0),
IF('TL04'!$B$229=O$3,SUMIF('TL04'!$C$238:$C$451,$C325,'TL04'!$J$238:$J$451),0),
IF('TL05'!$B$3=O$3,SUMIF('TL05'!$C$10:$C$224,$C325,'TL05'!$J$10:$J$224),0),
IF('TL05'!$B$229=O$3,SUMIF('TL05'!$C$238:$C$451,$C325,'TL05'!$J$238:$J$451),0),
IF('TL06'!$B$3=O$3,SUMIF('TL06'!$C$10:$C$224,$C325,'TL06'!$J$10:$J$224),0),
IF('TL06'!$B$229=O$3,SUMIF('TL06'!$C$238:$C$451,$C325,'TL06'!$J$238:$J$451),0),
IF('TL07'!$B$3=O$3,SUMIF('TL07'!$C$10:$C$224,$C325,'TL07'!$J$10:$J$224),0),
IF('TL07'!$B$229=O$3,SUMIF('TL07'!$C$238:$C$451,$C325,'TL07'!$J$238:$J$451),0),
IF('TL08'!$B$3=O$3,SUMIF('TL08'!$C$10:$C$224,$C325,'TL08'!$J$10:$J$224),0),
IF('TL08'!$B$229=O$3,SUMIF('TL08'!$C$238:$C$451,$C325,'TL08'!$J$238:$J$451),0),
IF('TL09'!$B$3=O$3,SUMIF('TL09'!$C$10:$C$224,$C325,'TL09'!$J$10:$J$224),0),
IF('TL09'!$B$229=O$3,SUMIF('TL09'!$C$238:$C$451,$C325,'TL09'!$J$238:$J$451),0),
IF('TL10'!$B$3=O$3,SUMIF('TL10'!$C$10:$C$224,$C325,'TL10'!$J$10:$J$224),0),
IF('TL10'!$B$229=O$3,SUMIF('TL10'!$C$238:$C$451,$C325,'TL10'!$J$238:$J$451),0),
IF('TL11'!$B$3=O$3,SUMIF('TL11'!$C$10:$C$224,$C325,'TL11'!$J$10:$J$224),0),
IF('TL11'!$B$229=O$3,SUMIF('TL11'!$C$238:$C$451,$C325,'TL11'!$J$238:$J$451),0),
IF('TL12'!$B$3=O$3,SUMIF('TL12'!$C$10:$C$224,$C325,'TL12'!$J$10:$J$224),0),
IF('TL12'!$B$229=O$3,SUMIF('TL12'!$C$238:$C$451,$C325,'TL12'!$J$238:$J$451),0),
IF('TL13'!$B$3=O$3,SUMIF('TL13'!$C$10:$C$224,$C325,'TL13'!$J$10:$J$224),0),
IF('TL13'!$B$229=O$3,SUMIF('TL13'!$C$238:$C$451,$C325,'TL13'!$J$238:$J$451),0),
IF('TL14'!$B$3=O$3,SUMIF('TL14'!$C$10:$C$224,$C325,'TL14'!$J$10:$J$224),0),
IF('TL14'!$B$229=O$3,SUMIF('TL14'!$C$238:$C$451,$C325,'TL14'!$J$238:$J$451),0),
IF('TL15'!$B$3=O$3,SUMIF('TL15'!$C$10:$C$224,$C325,'TL15'!$J$10:$J$224),0),
IF('TL15'!$B$229=O$3,SUMIF('TL15'!$C$238:$C$451,$C325,'TL15'!$J$238:$J$451),0),
IF('TL16'!$B$3=O$3,SUMIF('TL16'!$C$10:$C$224,$C325,'TL16'!$J$10:$J$224),0),
IF('TL16'!$B$229=O$3,SUMIF('TL16'!$C$238:$C$451,$C325,'TL16'!$J$238:$J$451),0),
IF('TL17'!$B$3=O$3,SUMIF('TL17'!$C$10:$C$224,$C325,'TL17'!$J$10:$J$224),0),
IF('TL17'!$B$229=O$3,SUMIF('TL17'!$C$238:$C$451,$C325,'TL17'!$J$238:$J$451),0),
IF('TL18'!$B$3=O$3,SUMIF('TL18'!$C$10:$C$224,$C325,'TL18'!$J$10:$J$224),0),
IF('TL18'!$B$229=O$3,SUMIF('TL18'!$C$238:$C$451,$C325,'TL18'!$J$238:$J$451),0),
IF('TL19'!$B$3=O$3,SUMIF('TL19'!$C$10:$C$224,$C325,'TL19'!$J$10:$J$224),0),
IF('TL19'!$B$229=O$3,SUMIF('TL19'!$C$238:$C$451,$C325,'TL19'!$J$238:$J$451),0)
),0)</f>
        <v/>
      </c>
      <c r="P325" s="9">
        <f>IFERROR(SUM(
IF('TL01'!$B$3=P$3,SUMIF('TL01'!$C$10:$C$224,$C325,'TL01'!$J$10:$J$224),0),
IF('TL01'!$B$229=P$3,SUMIF('TL01'!$C$238:$C$451,$C325,'TL01'!$J$238:$J$451),0),
IF('TL02'!$B$3=P$3,SUMIF('TL02'!$C$10:$C$224,$C325,'TL02'!$J$10:$J$224),0),
IF('TL02'!$B$229=P$3,SUMIF('TL02'!$C$238:$C$451,$C325,'TL02'!$J$238:$J$451),0),
IF('TL03'!$B$3=P$3,SUMIF('TL03'!$C$10:$C$224,$C325,'TL03'!$J$10:$J$224),0),
IF('TL03'!$B$229=P$3,SUMIF('TL03'!$C$238:$C$451,$C325,'TL03'!$J$238:$J$451),0),
IF('TL04'!$B$3=P$3,SUMIF('TL04'!$C$10:$C$224,$C325,'TL04'!$J$10:$J$224),0),
IF('TL04'!$B$229=P$3,SUMIF('TL04'!$C$238:$C$451,$C325,'TL04'!$J$238:$J$451),0),
IF('TL05'!$B$3=P$3,SUMIF('TL05'!$C$10:$C$224,$C325,'TL05'!$J$10:$J$224),0),
IF('TL05'!$B$229=P$3,SUMIF('TL05'!$C$238:$C$451,$C325,'TL05'!$J$238:$J$451),0),
IF('TL06'!$B$3=P$3,SUMIF('TL06'!$C$10:$C$224,$C325,'TL06'!$J$10:$J$224),0),
IF('TL06'!$B$229=P$3,SUMIF('TL06'!$C$238:$C$451,$C325,'TL06'!$J$238:$J$451),0),
IF('TL07'!$B$3=P$3,SUMIF('TL07'!$C$10:$C$224,$C325,'TL07'!$J$10:$J$224),0),
IF('TL07'!$B$229=P$3,SUMIF('TL07'!$C$238:$C$451,$C325,'TL07'!$J$238:$J$451),0),
IF('TL08'!$B$3=P$3,SUMIF('TL08'!$C$10:$C$224,$C325,'TL08'!$J$10:$J$224),0),
IF('TL08'!$B$229=P$3,SUMIF('TL08'!$C$238:$C$451,$C325,'TL08'!$J$238:$J$451),0),
IF('TL09'!$B$3=P$3,SUMIF('TL09'!$C$10:$C$224,$C325,'TL09'!$J$10:$J$224),0),
IF('TL09'!$B$229=P$3,SUMIF('TL09'!$C$238:$C$451,$C325,'TL09'!$J$238:$J$451),0),
IF('TL10'!$B$3=P$3,SUMIF('TL10'!$C$10:$C$224,$C325,'TL10'!$J$10:$J$224),0),
IF('TL10'!$B$229=P$3,SUMIF('TL10'!$C$238:$C$451,$C325,'TL10'!$J$238:$J$451),0),
IF('TL11'!$B$3=P$3,SUMIF('TL11'!$C$10:$C$224,$C325,'TL11'!$J$10:$J$224),0),
IF('TL11'!$B$229=P$3,SUMIF('TL11'!$C$238:$C$451,$C325,'TL11'!$J$238:$J$451),0),
IF('TL12'!$B$3=P$3,SUMIF('TL12'!$C$10:$C$224,$C325,'TL12'!$J$10:$J$224),0),
IF('TL12'!$B$229=P$3,SUMIF('TL12'!$C$238:$C$451,$C325,'TL12'!$J$238:$J$451),0),
IF('TL13'!$B$3=P$3,SUMIF('TL13'!$C$10:$C$224,$C325,'TL13'!$J$10:$J$224),0),
IF('TL13'!$B$229=P$3,SUMIF('TL13'!$C$238:$C$451,$C325,'TL13'!$J$238:$J$451),0),
IF('TL14'!$B$3=P$3,SUMIF('TL14'!$C$10:$C$224,$C325,'TL14'!$J$10:$J$224),0),
IF('TL14'!$B$229=P$3,SUMIF('TL14'!$C$238:$C$451,$C325,'TL14'!$J$238:$J$451),0),
IF('TL15'!$B$3=P$3,SUMIF('TL15'!$C$10:$C$224,$C325,'TL15'!$J$10:$J$224),0),
IF('TL15'!$B$229=P$3,SUMIF('TL15'!$C$238:$C$451,$C325,'TL15'!$J$238:$J$451),0),
IF('TL16'!$B$3=P$3,SUMIF('TL16'!$C$10:$C$224,$C325,'TL16'!$J$10:$J$224),0),
IF('TL16'!$B$229=P$3,SUMIF('TL16'!$C$238:$C$451,$C325,'TL16'!$J$238:$J$451),0),
IF('TL17'!$B$3=P$3,SUMIF('TL17'!$C$10:$C$224,$C325,'TL17'!$J$10:$J$224),0),
IF('TL17'!$B$229=P$3,SUMIF('TL17'!$C$238:$C$451,$C325,'TL17'!$J$238:$J$451),0),
IF('TL18'!$B$3=P$3,SUMIF('TL18'!$C$10:$C$224,$C325,'TL18'!$J$10:$J$224),0),
IF('TL18'!$B$229=P$3,SUMIF('TL18'!$C$238:$C$451,$C325,'TL18'!$J$238:$J$451),0),
IF('TL19'!$B$3=P$3,SUMIF('TL19'!$C$10:$C$224,$C325,'TL19'!$J$10:$J$224),0),
IF('TL19'!$B$229=P$3,SUMIF('TL19'!$C$238:$C$451,$C325,'TL19'!$J$238:$J$451),0)
),0)</f>
        <v/>
      </c>
      <c r="Q325" s="9">
        <f>IFERROR(SUM(
IF('TL01'!$B$3=Q$3,SUMIF('TL01'!$C$10:$C$224,$C325,'TL01'!$J$10:$J$224),0),
IF('TL01'!$B$229=Q$3,SUMIF('TL01'!$C$238:$C$451,$C325,'TL01'!$J$238:$J$451),0),
IF('TL02'!$B$3=Q$3,SUMIF('TL02'!$C$10:$C$224,$C325,'TL02'!$J$10:$J$224),0),
IF('TL02'!$B$229=Q$3,SUMIF('TL02'!$C$238:$C$451,$C325,'TL02'!$J$238:$J$451),0),
IF('TL03'!$B$3=Q$3,SUMIF('TL03'!$C$10:$C$224,$C325,'TL03'!$J$10:$J$224),0),
IF('TL03'!$B$229=Q$3,SUMIF('TL03'!$C$238:$C$451,$C325,'TL03'!$J$238:$J$451),0),
IF('TL04'!$B$3=Q$3,SUMIF('TL04'!$C$10:$C$224,$C325,'TL04'!$J$10:$J$224),0),
IF('TL04'!$B$229=Q$3,SUMIF('TL04'!$C$238:$C$451,$C325,'TL04'!$J$238:$J$451),0),
IF('TL05'!$B$3=Q$3,SUMIF('TL05'!$C$10:$C$224,$C325,'TL05'!$J$10:$J$224),0),
IF('TL05'!$B$229=Q$3,SUMIF('TL05'!$C$238:$C$451,$C325,'TL05'!$J$238:$J$451),0),
IF('TL06'!$B$3=Q$3,SUMIF('TL06'!$C$10:$C$224,$C325,'TL06'!$J$10:$J$224),0),
IF('TL06'!$B$229=Q$3,SUMIF('TL06'!$C$238:$C$451,$C325,'TL06'!$J$238:$J$451),0),
IF('TL07'!$B$3=Q$3,SUMIF('TL07'!$C$10:$C$224,$C325,'TL07'!$J$10:$J$224),0),
IF('TL07'!$B$229=Q$3,SUMIF('TL07'!$C$238:$C$451,$C325,'TL07'!$J$238:$J$451),0),
IF('TL08'!$B$3=Q$3,SUMIF('TL08'!$C$10:$C$224,$C325,'TL08'!$J$10:$J$224),0),
IF('TL08'!$B$229=Q$3,SUMIF('TL08'!$C$238:$C$451,$C325,'TL08'!$J$238:$J$451),0),
IF('TL09'!$B$3=Q$3,SUMIF('TL09'!$C$10:$C$224,$C325,'TL09'!$J$10:$J$224),0),
IF('TL09'!$B$229=Q$3,SUMIF('TL09'!$C$238:$C$451,$C325,'TL09'!$J$238:$J$451),0),
IF('TL10'!$B$3=Q$3,SUMIF('TL10'!$C$10:$C$224,$C325,'TL10'!$J$10:$J$224),0),
IF('TL10'!$B$229=Q$3,SUMIF('TL10'!$C$238:$C$451,$C325,'TL10'!$J$238:$J$451),0),
IF('TL11'!$B$3=Q$3,SUMIF('TL11'!$C$10:$C$224,$C325,'TL11'!$J$10:$J$224),0),
IF('TL11'!$B$229=Q$3,SUMIF('TL11'!$C$238:$C$451,$C325,'TL11'!$J$238:$J$451),0),
IF('TL12'!$B$3=Q$3,SUMIF('TL12'!$C$10:$C$224,$C325,'TL12'!$J$10:$J$224),0),
IF('TL12'!$B$229=Q$3,SUMIF('TL12'!$C$238:$C$451,$C325,'TL12'!$J$238:$J$451),0),
IF('TL13'!$B$3=Q$3,SUMIF('TL13'!$C$10:$C$224,$C325,'TL13'!$J$10:$J$224),0),
IF('TL13'!$B$229=Q$3,SUMIF('TL13'!$C$238:$C$451,$C325,'TL13'!$J$238:$J$451),0),
IF('TL14'!$B$3=Q$3,SUMIF('TL14'!$C$10:$C$224,$C325,'TL14'!$J$10:$J$224),0),
IF('TL14'!$B$229=Q$3,SUMIF('TL14'!$C$238:$C$451,$C325,'TL14'!$J$238:$J$451),0),
IF('TL15'!$B$3=Q$3,SUMIF('TL15'!$C$10:$C$224,$C325,'TL15'!$J$10:$J$224),0),
IF('TL15'!$B$229=Q$3,SUMIF('TL15'!$C$238:$C$451,$C325,'TL15'!$J$238:$J$451),0),
IF('TL16'!$B$3=Q$3,SUMIF('TL16'!$C$10:$C$224,$C325,'TL16'!$J$10:$J$224),0),
IF('TL16'!$B$229=Q$3,SUMIF('TL16'!$C$238:$C$451,$C325,'TL16'!$J$238:$J$451),0),
IF('TL17'!$B$3=Q$3,SUMIF('TL17'!$C$10:$C$224,$C325,'TL17'!$J$10:$J$224),0),
IF('TL17'!$B$229=Q$3,SUMIF('TL17'!$C$238:$C$451,$C325,'TL17'!$J$238:$J$451),0),
IF('TL18'!$B$3=Q$3,SUMIF('TL18'!$C$10:$C$224,$C325,'TL18'!$J$10:$J$224),0),
IF('TL18'!$B$229=Q$3,SUMIF('TL18'!$C$238:$C$451,$C325,'TL18'!$J$238:$J$451),0),
IF('TL19'!$B$3=Q$3,SUMIF('TL19'!$C$10:$C$224,$C325,'TL19'!$J$10:$J$224),0),
IF('TL19'!$B$229=Q$3,SUMIF('TL19'!$C$238:$C$451,$C325,'TL19'!$J$238:$J$451),0)
),0)</f>
        <v/>
      </c>
      <c r="R325" s="9">
        <f>IFERROR(
SUM(
SUMIF('TL01'!C:C,C325,'TL01'!J:J),
SUMIF('TL02'!C:C,C325,'TL02'!J:J),
SUMIF('TL03'!C:C,C325,'TL03'!J:J),
SUMIF('TL04'!C:C,C325,'TL04'!J:J),
SUMIF('TL05'!C:C,C325,'TL05'!J:J),
SUMIF('TL06'!C:C,C325,'TL06'!J:J),
SUMIF('TL07'!C:C,C325,'TL07'!J:J),
SUMIF('TL08'!C:C,C325,'TL08'!J:J),
SUMIF('TL09'!C:C,C325,'TL09'!J:J),
SUMIF('TL10'!C:C,C325,'TL10'!J:J),
SUMIF('TL11'!C:C,C325,'TL11'!J:J),
SUMIF('TL12'!C:C,C325,'TL12'!J:J),
SUMIF('TL13'!C:C,C325,'TL13'!J:J),
SUMIF('TL14'!C:C,C325,'TL14'!J:J),
SUMIF('TL15'!C:C,C325,'TL15'!J:J),
SUMIF('TL16'!C:C,C325,'TL16'!J:J),
SUMIF('TL17'!C:C,C325,'TL17'!J:J),
SUMIF('TL18'!C:C,C325,'TL18'!J:J),SUMIF('TL19'!C:C,C325,'TL19'!J:J))
,0)</f>
        <v/>
      </c>
      <c r="S325" s="17">
        <f>IFERROR(__xludf.DUMMYFUNCTION("IFERROR(VLOOKUP(C325,
IMPORTRANGE(""1wULbzX32WdYsx-lj2U3uUNBBe2INVIRDtcK0d-Dvl90"",
""26-27!C:G""),
5,
FALSE),
"""")"),"")</f>
        <v/>
      </c>
      <c r="T325" s="9" t="n"/>
      <c r="U325" s="92">
        <f>MAX(0,R325-T325)</f>
        <v/>
      </c>
      <c r="V325" s="93">
        <f>U325*S325</f>
        <v/>
      </c>
    </row>
    <row r="326" hidden="1" ht="15.75" customHeight="1" s="297">
      <c r="A326" s="4" t="n"/>
      <c r="B326" s="125" t="inlineStr">
        <is>
          <t>SEMENTE</t>
        </is>
      </c>
      <c r="C326" s="4" t="inlineStr">
        <is>
          <t>APORÉ 7.3</t>
        </is>
      </c>
      <c r="D326" s="20" t="n"/>
      <c r="E326" s="9" t="n"/>
      <c r="F326" s="4" t="inlineStr">
        <is>
          <t>5MM</t>
        </is>
      </c>
      <c r="G326" s="90">
        <f>HYPERLINK("https://www.google.com/search?q=" &amp; C326 &amp; "+bula+agrofit+pdf", "📄 Ver bula")</f>
        <v/>
      </c>
      <c r="H326" s="9" t="n"/>
      <c r="I326" s="1" t="inlineStr">
        <is>
          <t>BAG</t>
        </is>
      </c>
      <c r="J326" s="9">
        <f>IFERROR(SUM(
IF('TL01'!$B$3=J$3,SUMIF('TL01'!$C$10:$C$224,$C326,'TL01'!$J$10:$J$224),0),
IF('TL01'!$B$229=J$3,SUMIF('TL01'!$C$238:$C$451,$C326,'TL01'!$J$238:$J$451),0),
IF('TL02'!$B$3=J$3,SUMIF('TL02'!$C$10:$C$224,$C326,'TL02'!$J$10:$J$224),0),
IF('TL02'!$B$229=J$3,SUMIF('TL02'!$C$238:$C$451,$C326,'TL02'!$J$238:$J$451),0),
IF('TL03'!$B$3=J$3,SUMIF('TL03'!$C$10:$C$224,$C326,'TL03'!$J$10:$J$224),0),
IF('TL03'!$B$229=J$3,SUMIF('TL03'!$C$238:$C$451,$C326,'TL03'!$J$238:$J$451),0),
IF('TL04'!$B$3=J$3,SUMIF('TL04'!$C$10:$C$224,$C326,'TL04'!$J$10:$J$224),0),
IF('TL04'!$B$229=J$3,SUMIF('TL04'!$C$238:$C$451,$C326,'TL04'!$J$238:$J$451),0),
IF('TL05'!$B$3=J$3,SUMIF('TL05'!$C$10:$C$224,$C326,'TL05'!$J$10:$J$224),0),
IF('TL05'!$B$229=J$3,SUMIF('TL05'!$C$238:$C$451,$C326,'TL05'!$J$238:$J$451),0),
IF('TL06'!$B$3=J$3,SUMIF('TL06'!$C$10:$C$224,$C326,'TL06'!$J$10:$J$224),0),
IF('TL06'!$B$229=J$3,SUMIF('TL06'!$C$238:$C$451,$C326,'TL06'!$J$238:$J$451),0),
IF('TL07'!$B$3=J$3,SUMIF('TL07'!$C$10:$C$224,$C326,'TL07'!$J$10:$J$224),0),
IF('TL07'!$B$229=J$3,SUMIF('TL07'!$C$238:$C$451,$C326,'TL07'!$J$238:$J$451),0),
IF('TL08'!$B$3=J$3,SUMIF('TL08'!$C$10:$C$224,$C326,'TL08'!$J$10:$J$224),0),
IF('TL08'!$B$229=J$3,SUMIF('TL08'!$C$238:$C$451,$C326,'TL08'!$J$238:$J$451),0),
IF('TL09'!$B$3=J$3,SUMIF('TL09'!$C$10:$C$224,$C326,'TL09'!$J$10:$J$224),0),
IF('TL09'!$B$229=J$3,SUMIF('TL09'!$C$238:$C$451,$C326,'TL09'!$J$238:$J$451),0),
IF('TL10'!$B$3=J$3,SUMIF('TL10'!$C$10:$C$224,$C326,'TL10'!$J$10:$J$224),0),
IF('TL10'!$B$229=J$3,SUMIF('TL10'!$C$238:$C$451,$C326,'TL10'!$J$238:$J$451),0),
IF('TL11'!$B$3=J$3,SUMIF('TL11'!$C$10:$C$224,$C326,'TL11'!$J$10:$J$224),0),
IF('TL11'!$B$229=J$3,SUMIF('TL11'!$C$238:$C$451,$C326,'TL11'!$J$238:$J$451),0),
IF('TL12'!$B$3=J$3,SUMIF('TL12'!$C$10:$C$224,$C326,'TL12'!$J$10:$J$224),0),
IF('TL12'!$B$229=J$3,SUMIF('TL12'!$C$238:$C$451,$C326,'TL12'!$J$238:$J$451),0),
IF('TL13'!$B$3=J$3,SUMIF('TL13'!$C$10:$C$224,$C326,'TL13'!$J$10:$J$224),0),
IF('TL13'!$B$229=J$3,SUMIF('TL13'!$C$238:$C$451,$C326,'TL13'!$J$238:$J$451),0),
IF('TL14'!$B$3=J$3,SUMIF('TL14'!$C$10:$C$224,$C326,'TL14'!$J$10:$J$224),0),
IF('TL14'!$B$229=J$3,SUMIF('TL14'!$C$238:$C$451,$C326,'TL14'!$J$238:$J$451),0),
IF('TL15'!$B$3=J$3,SUMIF('TL15'!$C$10:$C$224,$C326,'TL15'!$J$10:$J$224),0),
IF('TL15'!$B$229=J$3,SUMIF('TL15'!$C$238:$C$451,$C326,'TL15'!$J$238:$J$451),0),
IF('TL16'!$B$3=J$3,SUMIF('TL16'!$C$10:$C$224,$C326,'TL16'!$J$10:$J$224),0),
IF('TL16'!$B$229=J$3,SUMIF('TL16'!$C$238:$C$451,$C326,'TL16'!$J$238:$J$451),0),
IF('TL17'!$B$3=J$3,SUMIF('TL17'!$C$10:$C$224,$C326,'TL17'!$J$10:$J$224),0),
IF('TL17'!$B$229=J$3,SUMIF('TL17'!$C$238:$C$451,$C326,'TL17'!$J$238:$J$451),0),
IF('TL18'!$B$3=J$3,SUMIF('TL18'!$C$10:$C$224,$C326,'TL18'!$J$10:$J$224),0),
IF('TL18'!$B$229=J$3,SUMIF('TL18'!$C$238:$C$451,$C326,'TL18'!$J$238:$J$451),0),
IF('TL19'!$B$3=J$3,SUMIF('TL19'!$C$10:$C$224,$C326,'TL19'!$J$10:$J$224),0),
IF('TL19'!$B$229=J$3,SUMIF('TL19'!$C$238:$C$451,$C326,'TL19'!$J$238:$J$451),0)
),0)</f>
        <v/>
      </c>
      <c r="K326" s="9">
        <f>IFERROR(SUM(
IF('TL01'!$B$3=K$3,SUMIF('TL01'!$C$10:$C$224,$C326,'TL01'!$J$10:$J$224),0),
IF('TL01'!$B$229=K$3,SUMIF('TL01'!$C$238:$C$451,$C326,'TL01'!$J$238:$J$451),0),
IF('TL02'!$B$3=K$3,SUMIF('TL02'!$C$10:$C$224,$C326,'TL02'!$J$10:$J$224),0),
IF('TL02'!$B$229=K$3,SUMIF('TL02'!$C$238:$C$451,$C326,'TL02'!$J$238:$J$451),0),
IF('TL03'!$B$3=K$3,SUMIF('TL03'!$C$10:$C$224,$C326,'TL03'!$J$10:$J$224),0),
IF('TL03'!$B$229=K$3,SUMIF('TL03'!$C$238:$C$451,$C326,'TL03'!$J$238:$J$451),0),
IF('TL04'!$B$3=K$3,SUMIF('TL04'!$C$10:$C$224,$C326,'TL04'!$J$10:$J$224),0),
IF('TL04'!$B$229=K$3,SUMIF('TL04'!$C$238:$C$451,$C326,'TL04'!$J$238:$J$451),0),
IF('TL05'!$B$3=K$3,SUMIF('TL05'!$C$10:$C$224,$C326,'TL05'!$J$10:$J$224),0),
IF('TL05'!$B$229=K$3,SUMIF('TL05'!$C$238:$C$451,$C326,'TL05'!$J$238:$J$451),0),
IF('TL06'!$B$3=K$3,SUMIF('TL06'!$C$10:$C$224,$C326,'TL06'!$J$10:$J$224),0),
IF('TL06'!$B$229=K$3,SUMIF('TL06'!$C$238:$C$451,$C326,'TL06'!$J$238:$J$451),0),
IF('TL07'!$B$3=K$3,SUMIF('TL07'!$C$10:$C$224,$C326,'TL07'!$J$10:$J$224),0),
IF('TL07'!$B$229=K$3,SUMIF('TL07'!$C$238:$C$451,$C326,'TL07'!$J$238:$J$451),0),
IF('TL08'!$B$3=K$3,SUMIF('TL08'!$C$10:$C$224,$C326,'TL08'!$J$10:$J$224),0),
IF('TL08'!$B$229=K$3,SUMIF('TL08'!$C$238:$C$451,$C326,'TL08'!$J$238:$J$451),0),
IF('TL09'!$B$3=K$3,SUMIF('TL09'!$C$10:$C$224,$C326,'TL09'!$J$10:$J$224),0),
IF('TL09'!$B$229=K$3,SUMIF('TL09'!$C$238:$C$451,$C326,'TL09'!$J$238:$J$451),0),
IF('TL10'!$B$3=K$3,SUMIF('TL10'!$C$10:$C$224,$C326,'TL10'!$J$10:$J$224),0),
IF('TL10'!$B$229=K$3,SUMIF('TL10'!$C$238:$C$451,$C326,'TL10'!$J$238:$J$451),0),
IF('TL11'!$B$3=K$3,SUMIF('TL11'!$C$10:$C$224,$C326,'TL11'!$J$10:$J$224),0),
IF('TL11'!$B$229=K$3,SUMIF('TL11'!$C$238:$C$451,$C326,'TL11'!$J$238:$J$451),0),
IF('TL12'!$B$3=K$3,SUMIF('TL12'!$C$10:$C$224,$C326,'TL12'!$J$10:$J$224),0),
IF('TL12'!$B$229=K$3,SUMIF('TL12'!$C$238:$C$451,$C326,'TL12'!$J$238:$J$451),0),
IF('TL13'!$B$3=K$3,SUMIF('TL13'!$C$10:$C$224,$C326,'TL13'!$J$10:$J$224),0),
IF('TL13'!$B$229=K$3,SUMIF('TL13'!$C$238:$C$451,$C326,'TL13'!$J$238:$J$451),0),
IF('TL14'!$B$3=K$3,SUMIF('TL14'!$C$10:$C$224,$C326,'TL14'!$J$10:$J$224),0),
IF('TL14'!$B$229=K$3,SUMIF('TL14'!$C$238:$C$451,$C326,'TL14'!$J$238:$J$451),0),
IF('TL15'!$B$3=K$3,SUMIF('TL15'!$C$10:$C$224,$C326,'TL15'!$J$10:$J$224),0),
IF('TL15'!$B$229=K$3,SUMIF('TL15'!$C$238:$C$451,$C326,'TL15'!$J$238:$J$451),0),
IF('TL16'!$B$3=K$3,SUMIF('TL16'!$C$10:$C$224,$C326,'TL16'!$J$10:$J$224),0),
IF('TL16'!$B$229=K$3,SUMIF('TL16'!$C$238:$C$451,$C326,'TL16'!$J$238:$J$451),0),
IF('TL17'!$B$3=K$3,SUMIF('TL17'!$C$10:$C$224,$C326,'TL17'!$J$10:$J$224),0),
IF('TL17'!$B$229=K$3,SUMIF('TL17'!$C$238:$C$451,$C326,'TL17'!$J$238:$J$451),0),
IF('TL18'!$B$3=K$3,SUMIF('TL18'!$C$10:$C$224,$C326,'TL18'!$J$10:$J$224),0),
IF('TL18'!$B$229=K$3,SUMIF('TL18'!$C$238:$C$451,$C326,'TL18'!$J$238:$J$451),0),
IF('TL19'!$B$3=K$3,SUMIF('TL19'!$C$10:$C$224,$C326,'TL19'!$J$10:$J$224),0),
IF('TL19'!$B$229=K$3,SUMIF('TL19'!$C$238:$C$451,$C326,'TL19'!$J$238:$J$451),0)
),0)</f>
        <v/>
      </c>
      <c r="L326" s="9">
        <f>IFERROR(SUM(
IF('TL01'!$B$3=L$3,SUMIF('TL01'!$C$10:$C$224,$C326,'TL01'!$J$10:$J$224),0),
IF('TL01'!$B$229=L$3,SUMIF('TL01'!$C$238:$C$451,$C326,'TL01'!$J$238:$J$451),0),
IF('TL02'!$B$3=L$3,SUMIF('TL02'!$C$10:$C$224,$C326,'TL02'!$J$10:$J$224),0),
IF('TL02'!$B$229=L$3,SUMIF('TL02'!$C$238:$C$451,$C326,'TL02'!$J$238:$J$451),0),
IF('TL03'!$B$3=L$3,SUMIF('TL03'!$C$10:$C$224,$C326,'TL03'!$J$10:$J$224),0),
IF('TL03'!$B$229=L$3,SUMIF('TL03'!$C$238:$C$451,$C326,'TL03'!$J$238:$J$451),0),
IF('TL04'!$B$3=L$3,SUMIF('TL04'!$C$10:$C$224,$C326,'TL04'!$J$10:$J$224),0),
IF('TL04'!$B$229=L$3,SUMIF('TL04'!$C$238:$C$451,$C326,'TL04'!$J$238:$J$451),0),
IF('TL05'!$B$3=L$3,SUMIF('TL05'!$C$10:$C$224,$C326,'TL05'!$J$10:$J$224),0),
IF('TL05'!$B$229=L$3,SUMIF('TL05'!$C$238:$C$451,$C326,'TL05'!$J$238:$J$451),0),
IF('TL06'!$B$3=L$3,SUMIF('TL06'!$C$10:$C$224,$C326,'TL06'!$J$10:$J$224),0),
IF('TL06'!$B$229=L$3,SUMIF('TL06'!$C$238:$C$451,$C326,'TL06'!$J$238:$J$451),0),
IF('TL07'!$B$3=L$3,SUMIF('TL07'!$C$10:$C$224,$C326,'TL07'!$J$10:$J$224),0),
IF('TL07'!$B$229=L$3,SUMIF('TL07'!$C$238:$C$451,$C326,'TL07'!$J$238:$J$451),0),
IF('TL08'!$B$3=L$3,SUMIF('TL08'!$C$10:$C$224,$C326,'TL08'!$J$10:$J$224),0),
IF('TL08'!$B$229=L$3,SUMIF('TL08'!$C$238:$C$451,$C326,'TL08'!$J$238:$J$451),0),
IF('TL09'!$B$3=L$3,SUMIF('TL09'!$C$10:$C$224,$C326,'TL09'!$J$10:$J$224),0),
IF('TL09'!$B$229=L$3,SUMIF('TL09'!$C$238:$C$451,$C326,'TL09'!$J$238:$J$451),0),
IF('TL10'!$B$3=L$3,SUMIF('TL10'!$C$10:$C$224,$C326,'TL10'!$J$10:$J$224),0),
IF('TL10'!$B$229=L$3,SUMIF('TL10'!$C$238:$C$451,$C326,'TL10'!$J$238:$J$451),0),
IF('TL11'!$B$3=L$3,SUMIF('TL11'!$C$10:$C$224,$C326,'TL11'!$J$10:$J$224),0),
IF('TL11'!$B$229=L$3,SUMIF('TL11'!$C$238:$C$451,$C326,'TL11'!$J$238:$J$451),0),
IF('TL12'!$B$3=L$3,SUMIF('TL12'!$C$10:$C$224,$C326,'TL12'!$J$10:$J$224),0),
IF('TL12'!$B$229=L$3,SUMIF('TL12'!$C$238:$C$451,$C326,'TL12'!$J$238:$J$451),0),
IF('TL13'!$B$3=L$3,SUMIF('TL13'!$C$10:$C$224,$C326,'TL13'!$J$10:$J$224),0),
IF('TL13'!$B$229=L$3,SUMIF('TL13'!$C$238:$C$451,$C326,'TL13'!$J$238:$J$451),0),
IF('TL14'!$B$3=L$3,SUMIF('TL14'!$C$10:$C$224,$C326,'TL14'!$J$10:$J$224),0),
IF('TL14'!$B$229=L$3,SUMIF('TL14'!$C$238:$C$451,$C326,'TL14'!$J$238:$J$451),0),
IF('TL15'!$B$3=L$3,SUMIF('TL15'!$C$10:$C$224,$C326,'TL15'!$J$10:$J$224),0),
IF('TL15'!$B$229=L$3,SUMIF('TL15'!$C$238:$C$451,$C326,'TL15'!$J$238:$J$451),0),
IF('TL16'!$B$3=L$3,SUMIF('TL16'!$C$10:$C$224,$C326,'TL16'!$J$10:$J$224),0),
IF('TL16'!$B$229=L$3,SUMIF('TL16'!$C$238:$C$451,$C326,'TL16'!$J$238:$J$451),0),
IF('TL17'!$B$3=L$3,SUMIF('TL17'!$C$10:$C$224,$C326,'TL17'!$J$10:$J$224),0),
IF('TL17'!$B$229=L$3,SUMIF('TL17'!$C$238:$C$451,$C326,'TL17'!$J$238:$J$451),0),
IF('TL18'!$B$3=L$3,SUMIF('TL18'!$C$10:$C$224,$C326,'TL18'!$J$10:$J$224),0),
IF('TL18'!$B$229=L$3,SUMIF('TL18'!$C$238:$C$451,$C326,'TL18'!$J$238:$J$451),0),
IF('TL19'!$B$3=L$3,SUMIF('TL19'!$C$10:$C$224,$C326,'TL19'!$J$10:$J$224),0),
IF('TL19'!$B$229=L$3,SUMIF('TL19'!$C$238:$C$451,$C326,'TL19'!$J$238:$J$451),0)
),0)</f>
        <v/>
      </c>
      <c r="M326" s="9">
        <f>IFERROR(SUM(
IF('TL01'!$B$3=M$3,SUMIF('TL01'!$C$10:$C$224,$C326,'TL01'!$J$10:$J$224),0),
IF('TL01'!$B$229=M$3,SUMIF('TL01'!$C$238:$C$451,$C326,'TL01'!$J$238:$J$451),0),
IF('TL02'!$B$3=M$3,SUMIF('TL02'!$C$10:$C$224,$C326,'TL02'!$J$10:$J$224),0),
IF('TL02'!$B$229=M$3,SUMIF('TL02'!$C$238:$C$451,$C326,'TL02'!$J$238:$J$451),0),
IF('TL03'!$B$3=M$3,SUMIF('TL03'!$C$10:$C$224,$C326,'TL03'!$J$10:$J$224),0),
IF('TL03'!$B$229=M$3,SUMIF('TL03'!$C$238:$C$451,$C326,'TL03'!$J$238:$J$451),0),
IF('TL04'!$B$3=M$3,SUMIF('TL04'!$C$10:$C$224,$C326,'TL04'!$J$10:$J$224),0),
IF('TL04'!$B$229=M$3,SUMIF('TL04'!$C$238:$C$451,$C326,'TL04'!$J$238:$J$451),0),
IF('TL05'!$B$3=M$3,SUMIF('TL05'!$C$10:$C$224,$C326,'TL05'!$J$10:$J$224),0),
IF('TL05'!$B$229=M$3,SUMIF('TL05'!$C$238:$C$451,$C326,'TL05'!$J$238:$J$451),0),
IF('TL06'!$B$3=M$3,SUMIF('TL06'!$C$10:$C$224,$C326,'TL06'!$J$10:$J$224),0),
IF('TL06'!$B$229=M$3,SUMIF('TL06'!$C$238:$C$451,$C326,'TL06'!$J$238:$J$451),0),
IF('TL07'!$B$3=M$3,SUMIF('TL07'!$C$10:$C$224,$C326,'TL07'!$J$10:$J$224),0),
IF('TL07'!$B$229=M$3,SUMIF('TL07'!$C$238:$C$451,$C326,'TL07'!$J$238:$J$451),0),
IF('TL08'!$B$3=M$3,SUMIF('TL08'!$C$10:$C$224,$C326,'TL08'!$J$10:$J$224),0),
IF('TL08'!$B$229=M$3,SUMIF('TL08'!$C$238:$C$451,$C326,'TL08'!$J$238:$J$451),0),
IF('TL09'!$B$3=M$3,SUMIF('TL09'!$C$10:$C$224,$C326,'TL09'!$J$10:$J$224),0),
IF('TL09'!$B$229=M$3,SUMIF('TL09'!$C$238:$C$451,$C326,'TL09'!$J$238:$J$451),0),
IF('TL10'!$B$3=M$3,SUMIF('TL10'!$C$10:$C$224,$C326,'TL10'!$J$10:$J$224),0),
IF('TL10'!$B$229=M$3,SUMIF('TL10'!$C$238:$C$451,$C326,'TL10'!$J$238:$J$451),0),
IF('TL11'!$B$3=M$3,SUMIF('TL11'!$C$10:$C$224,$C326,'TL11'!$J$10:$J$224),0),
IF('TL11'!$B$229=M$3,SUMIF('TL11'!$C$238:$C$451,$C326,'TL11'!$J$238:$J$451),0),
IF('TL12'!$B$3=M$3,SUMIF('TL12'!$C$10:$C$224,$C326,'TL12'!$J$10:$J$224),0),
IF('TL12'!$B$229=M$3,SUMIF('TL12'!$C$238:$C$451,$C326,'TL12'!$J$238:$J$451),0),
IF('TL13'!$B$3=M$3,SUMIF('TL13'!$C$10:$C$224,$C326,'TL13'!$J$10:$J$224),0),
IF('TL13'!$B$229=M$3,SUMIF('TL13'!$C$238:$C$451,$C326,'TL13'!$J$238:$J$451),0),
IF('TL14'!$B$3=M$3,SUMIF('TL14'!$C$10:$C$224,$C326,'TL14'!$J$10:$J$224),0),
IF('TL14'!$B$229=M$3,SUMIF('TL14'!$C$238:$C$451,$C326,'TL14'!$J$238:$J$451),0),
IF('TL15'!$B$3=M$3,SUMIF('TL15'!$C$10:$C$224,$C326,'TL15'!$J$10:$J$224),0),
IF('TL15'!$B$229=M$3,SUMIF('TL15'!$C$238:$C$451,$C326,'TL15'!$J$238:$J$451),0),
IF('TL16'!$B$3=M$3,SUMIF('TL16'!$C$10:$C$224,$C326,'TL16'!$J$10:$J$224),0),
IF('TL16'!$B$229=M$3,SUMIF('TL16'!$C$238:$C$451,$C326,'TL16'!$J$238:$J$451),0),
IF('TL17'!$B$3=M$3,SUMIF('TL17'!$C$10:$C$224,$C326,'TL17'!$J$10:$J$224),0),
IF('TL17'!$B$229=M$3,SUMIF('TL17'!$C$238:$C$451,$C326,'TL17'!$J$238:$J$451),0),
IF('TL18'!$B$3=M$3,SUMIF('TL18'!$C$10:$C$224,$C326,'TL18'!$J$10:$J$224),0),
IF('TL18'!$B$229=M$3,SUMIF('TL18'!$C$238:$C$451,$C326,'TL18'!$J$238:$J$451),0),
IF('TL19'!$B$3=M$3,SUMIF('TL19'!$C$10:$C$224,$C326,'TL19'!$J$10:$J$224),0),
IF('TL19'!$B$229=M$3,SUMIF('TL19'!$C$238:$C$451,$C326,'TL19'!$J$238:$J$451),0)
),0)</f>
        <v/>
      </c>
      <c r="N326" s="9">
        <f>IFERROR(SUM(
IF('TL01'!$B$3=N$3,SUMIF('TL01'!$C$10:$C$224,$C326,'TL01'!$J$10:$J$224),0),
IF('TL01'!$B$229=N$3,SUMIF('TL01'!$C$238:$C$451,$C326,'TL01'!$J$238:$J$451),0),
IF('TL02'!$B$3=N$3,SUMIF('TL02'!$C$10:$C$224,$C326,'TL02'!$J$10:$J$224),0),
IF('TL02'!$B$229=N$3,SUMIF('TL02'!$C$238:$C$451,$C326,'TL02'!$J$238:$J$451),0),
IF('TL03'!$B$3=N$3,SUMIF('TL03'!$C$10:$C$224,$C326,'TL03'!$J$10:$J$224),0),
IF('TL03'!$B$229=N$3,SUMIF('TL03'!$C$238:$C$451,$C326,'TL03'!$J$238:$J$451),0),
IF('TL04'!$B$3=N$3,SUMIF('TL04'!$C$10:$C$224,$C326,'TL04'!$J$10:$J$224),0),
IF('TL04'!$B$229=N$3,SUMIF('TL04'!$C$238:$C$451,$C326,'TL04'!$J$238:$J$451),0),
IF('TL05'!$B$3=N$3,SUMIF('TL05'!$C$10:$C$224,$C326,'TL05'!$J$10:$J$224),0),
IF('TL05'!$B$229=N$3,SUMIF('TL05'!$C$238:$C$451,$C326,'TL05'!$J$238:$J$451),0),
IF('TL06'!$B$3=N$3,SUMIF('TL06'!$C$10:$C$224,$C326,'TL06'!$J$10:$J$224),0),
IF('TL06'!$B$229=N$3,SUMIF('TL06'!$C$238:$C$451,$C326,'TL06'!$J$238:$J$451),0),
IF('TL07'!$B$3=N$3,SUMIF('TL07'!$C$10:$C$224,$C326,'TL07'!$J$10:$J$224),0),
IF('TL07'!$B$229=N$3,SUMIF('TL07'!$C$238:$C$451,$C326,'TL07'!$J$238:$J$451),0),
IF('TL08'!$B$3=N$3,SUMIF('TL08'!$C$10:$C$224,$C326,'TL08'!$J$10:$J$224),0),
IF('TL08'!$B$229=N$3,SUMIF('TL08'!$C$238:$C$451,$C326,'TL08'!$J$238:$J$451),0),
IF('TL09'!$B$3=N$3,SUMIF('TL09'!$C$10:$C$224,$C326,'TL09'!$J$10:$J$224),0),
IF('TL09'!$B$229=N$3,SUMIF('TL09'!$C$238:$C$451,$C326,'TL09'!$J$238:$J$451),0),
IF('TL10'!$B$3=N$3,SUMIF('TL10'!$C$10:$C$224,$C326,'TL10'!$J$10:$J$224),0),
IF('TL10'!$B$229=N$3,SUMIF('TL10'!$C$238:$C$451,$C326,'TL10'!$J$238:$J$451),0),
IF('TL11'!$B$3=N$3,SUMIF('TL11'!$C$10:$C$224,$C326,'TL11'!$J$10:$J$224),0),
IF('TL11'!$B$229=N$3,SUMIF('TL11'!$C$238:$C$451,$C326,'TL11'!$J$238:$J$451),0),
IF('TL12'!$B$3=N$3,SUMIF('TL12'!$C$10:$C$224,$C326,'TL12'!$J$10:$J$224),0),
IF('TL12'!$B$229=N$3,SUMIF('TL12'!$C$238:$C$451,$C326,'TL12'!$J$238:$J$451),0),
IF('TL13'!$B$3=N$3,SUMIF('TL13'!$C$10:$C$224,$C326,'TL13'!$J$10:$J$224),0),
IF('TL13'!$B$229=N$3,SUMIF('TL13'!$C$238:$C$451,$C326,'TL13'!$J$238:$J$451),0),
IF('TL14'!$B$3=N$3,SUMIF('TL14'!$C$10:$C$224,$C326,'TL14'!$J$10:$J$224),0),
IF('TL14'!$B$229=N$3,SUMIF('TL14'!$C$238:$C$451,$C326,'TL14'!$J$238:$J$451),0),
IF('TL15'!$B$3=N$3,SUMIF('TL15'!$C$10:$C$224,$C326,'TL15'!$J$10:$J$224),0),
IF('TL15'!$B$229=N$3,SUMIF('TL15'!$C$238:$C$451,$C326,'TL15'!$J$238:$J$451),0),
IF('TL16'!$B$3=N$3,SUMIF('TL16'!$C$10:$C$224,$C326,'TL16'!$J$10:$J$224),0),
IF('TL16'!$B$229=N$3,SUMIF('TL16'!$C$238:$C$451,$C326,'TL16'!$J$238:$J$451),0),
IF('TL17'!$B$3=N$3,SUMIF('TL17'!$C$10:$C$224,$C326,'TL17'!$J$10:$J$224),0),
IF('TL17'!$B$229=N$3,SUMIF('TL17'!$C$238:$C$451,$C326,'TL17'!$J$238:$J$451),0),
IF('TL18'!$B$3=N$3,SUMIF('TL18'!$C$10:$C$224,$C326,'TL18'!$J$10:$J$224),0),
IF('TL18'!$B$229=N$3,SUMIF('TL18'!$C$238:$C$451,$C326,'TL18'!$J$238:$J$451),0),
IF('TL19'!$B$3=N$3,SUMIF('TL19'!$C$10:$C$224,$C326,'TL19'!$J$10:$J$224),0),
IF('TL19'!$B$229=N$3,SUMIF('TL19'!$C$238:$C$451,$C326,'TL19'!$J$238:$J$451),0)
),0)</f>
        <v/>
      </c>
      <c r="O326" s="9">
        <f>IFERROR(SUM(
IF('TL01'!$B$3=O$3,SUMIF('TL01'!$C$10:$C$224,$C326,'TL01'!$J$10:$J$224),0),
IF('TL01'!$B$229=O$3,SUMIF('TL01'!$C$238:$C$451,$C326,'TL01'!$J$238:$J$451),0),
IF('TL02'!$B$3=O$3,SUMIF('TL02'!$C$10:$C$224,$C326,'TL02'!$J$10:$J$224),0),
IF('TL02'!$B$229=O$3,SUMIF('TL02'!$C$238:$C$451,$C326,'TL02'!$J$238:$J$451),0),
IF('TL03'!$B$3=O$3,SUMIF('TL03'!$C$10:$C$224,$C326,'TL03'!$J$10:$J$224),0),
IF('TL03'!$B$229=O$3,SUMIF('TL03'!$C$238:$C$451,$C326,'TL03'!$J$238:$J$451),0),
IF('TL04'!$B$3=O$3,SUMIF('TL04'!$C$10:$C$224,$C326,'TL04'!$J$10:$J$224),0),
IF('TL04'!$B$229=O$3,SUMIF('TL04'!$C$238:$C$451,$C326,'TL04'!$J$238:$J$451),0),
IF('TL05'!$B$3=O$3,SUMIF('TL05'!$C$10:$C$224,$C326,'TL05'!$J$10:$J$224),0),
IF('TL05'!$B$229=O$3,SUMIF('TL05'!$C$238:$C$451,$C326,'TL05'!$J$238:$J$451),0),
IF('TL06'!$B$3=O$3,SUMIF('TL06'!$C$10:$C$224,$C326,'TL06'!$J$10:$J$224),0),
IF('TL06'!$B$229=O$3,SUMIF('TL06'!$C$238:$C$451,$C326,'TL06'!$J$238:$J$451),0),
IF('TL07'!$B$3=O$3,SUMIF('TL07'!$C$10:$C$224,$C326,'TL07'!$J$10:$J$224),0),
IF('TL07'!$B$229=O$3,SUMIF('TL07'!$C$238:$C$451,$C326,'TL07'!$J$238:$J$451),0),
IF('TL08'!$B$3=O$3,SUMIF('TL08'!$C$10:$C$224,$C326,'TL08'!$J$10:$J$224),0),
IF('TL08'!$B$229=O$3,SUMIF('TL08'!$C$238:$C$451,$C326,'TL08'!$J$238:$J$451),0),
IF('TL09'!$B$3=O$3,SUMIF('TL09'!$C$10:$C$224,$C326,'TL09'!$J$10:$J$224),0),
IF('TL09'!$B$229=O$3,SUMIF('TL09'!$C$238:$C$451,$C326,'TL09'!$J$238:$J$451),0),
IF('TL10'!$B$3=O$3,SUMIF('TL10'!$C$10:$C$224,$C326,'TL10'!$J$10:$J$224),0),
IF('TL10'!$B$229=O$3,SUMIF('TL10'!$C$238:$C$451,$C326,'TL10'!$J$238:$J$451),0),
IF('TL11'!$B$3=O$3,SUMIF('TL11'!$C$10:$C$224,$C326,'TL11'!$J$10:$J$224),0),
IF('TL11'!$B$229=O$3,SUMIF('TL11'!$C$238:$C$451,$C326,'TL11'!$J$238:$J$451),0),
IF('TL12'!$B$3=O$3,SUMIF('TL12'!$C$10:$C$224,$C326,'TL12'!$J$10:$J$224),0),
IF('TL12'!$B$229=O$3,SUMIF('TL12'!$C$238:$C$451,$C326,'TL12'!$J$238:$J$451),0),
IF('TL13'!$B$3=O$3,SUMIF('TL13'!$C$10:$C$224,$C326,'TL13'!$J$10:$J$224),0),
IF('TL13'!$B$229=O$3,SUMIF('TL13'!$C$238:$C$451,$C326,'TL13'!$J$238:$J$451),0),
IF('TL14'!$B$3=O$3,SUMIF('TL14'!$C$10:$C$224,$C326,'TL14'!$J$10:$J$224),0),
IF('TL14'!$B$229=O$3,SUMIF('TL14'!$C$238:$C$451,$C326,'TL14'!$J$238:$J$451),0),
IF('TL15'!$B$3=O$3,SUMIF('TL15'!$C$10:$C$224,$C326,'TL15'!$J$10:$J$224),0),
IF('TL15'!$B$229=O$3,SUMIF('TL15'!$C$238:$C$451,$C326,'TL15'!$J$238:$J$451),0),
IF('TL16'!$B$3=O$3,SUMIF('TL16'!$C$10:$C$224,$C326,'TL16'!$J$10:$J$224),0),
IF('TL16'!$B$229=O$3,SUMIF('TL16'!$C$238:$C$451,$C326,'TL16'!$J$238:$J$451),0),
IF('TL17'!$B$3=O$3,SUMIF('TL17'!$C$10:$C$224,$C326,'TL17'!$J$10:$J$224),0),
IF('TL17'!$B$229=O$3,SUMIF('TL17'!$C$238:$C$451,$C326,'TL17'!$J$238:$J$451),0),
IF('TL18'!$B$3=O$3,SUMIF('TL18'!$C$10:$C$224,$C326,'TL18'!$J$10:$J$224),0),
IF('TL18'!$B$229=O$3,SUMIF('TL18'!$C$238:$C$451,$C326,'TL18'!$J$238:$J$451),0),
IF('TL19'!$B$3=O$3,SUMIF('TL19'!$C$10:$C$224,$C326,'TL19'!$J$10:$J$224),0),
IF('TL19'!$B$229=O$3,SUMIF('TL19'!$C$238:$C$451,$C326,'TL19'!$J$238:$J$451),0)
),0)</f>
        <v/>
      </c>
      <c r="P326" s="9">
        <f>IFERROR(SUM(
IF('TL01'!$B$3=P$3,SUMIF('TL01'!$C$10:$C$224,$C326,'TL01'!$J$10:$J$224),0),
IF('TL01'!$B$229=P$3,SUMIF('TL01'!$C$238:$C$451,$C326,'TL01'!$J$238:$J$451),0),
IF('TL02'!$B$3=P$3,SUMIF('TL02'!$C$10:$C$224,$C326,'TL02'!$J$10:$J$224),0),
IF('TL02'!$B$229=P$3,SUMIF('TL02'!$C$238:$C$451,$C326,'TL02'!$J$238:$J$451),0),
IF('TL03'!$B$3=P$3,SUMIF('TL03'!$C$10:$C$224,$C326,'TL03'!$J$10:$J$224),0),
IF('TL03'!$B$229=P$3,SUMIF('TL03'!$C$238:$C$451,$C326,'TL03'!$J$238:$J$451),0),
IF('TL04'!$B$3=P$3,SUMIF('TL04'!$C$10:$C$224,$C326,'TL04'!$J$10:$J$224),0),
IF('TL04'!$B$229=P$3,SUMIF('TL04'!$C$238:$C$451,$C326,'TL04'!$J$238:$J$451),0),
IF('TL05'!$B$3=P$3,SUMIF('TL05'!$C$10:$C$224,$C326,'TL05'!$J$10:$J$224),0),
IF('TL05'!$B$229=P$3,SUMIF('TL05'!$C$238:$C$451,$C326,'TL05'!$J$238:$J$451),0),
IF('TL06'!$B$3=P$3,SUMIF('TL06'!$C$10:$C$224,$C326,'TL06'!$J$10:$J$224),0),
IF('TL06'!$B$229=P$3,SUMIF('TL06'!$C$238:$C$451,$C326,'TL06'!$J$238:$J$451),0),
IF('TL07'!$B$3=P$3,SUMIF('TL07'!$C$10:$C$224,$C326,'TL07'!$J$10:$J$224),0),
IF('TL07'!$B$229=P$3,SUMIF('TL07'!$C$238:$C$451,$C326,'TL07'!$J$238:$J$451),0),
IF('TL08'!$B$3=P$3,SUMIF('TL08'!$C$10:$C$224,$C326,'TL08'!$J$10:$J$224),0),
IF('TL08'!$B$229=P$3,SUMIF('TL08'!$C$238:$C$451,$C326,'TL08'!$J$238:$J$451),0),
IF('TL09'!$B$3=P$3,SUMIF('TL09'!$C$10:$C$224,$C326,'TL09'!$J$10:$J$224),0),
IF('TL09'!$B$229=P$3,SUMIF('TL09'!$C$238:$C$451,$C326,'TL09'!$J$238:$J$451),0),
IF('TL10'!$B$3=P$3,SUMIF('TL10'!$C$10:$C$224,$C326,'TL10'!$J$10:$J$224),0),
IF('TL10'!$B$229=P$3,SUMIF('TL10'!$C$238:$C$451,$C326,'TL10'!$J$238:$J$451),0),
IF('TL11'!$B$3=P$3,SUMIF('TL11'!$C$10:$C$224,$C326,'TL11'!$J$10:$J$224),0),
IF('TL11'!$B$229=P$3,SUMIF('TL11'!$C$238:$C$451,$C326,'TL11'!$J$238:$J$451),0),
IF('TL12'!$B$3=P$3,SUMIF('TL12'!$C$10:$C$224,$C326,'TL12'!$J$10:$J$224),0),
IF('TL12'!$B$229=P$3,SUMIF('TL12'!$C$238:$C$451,$C326,'TL12'!$J$238:$J$451),0),
IF('TL13'!$B$3=P$3,SUMIF('TL13'!$C$10:$C$224,$C326,'TL13'!$J$10:$J$224),0),
IF('TL13'!$B$229=P$3,SUMIF('TL13'!$C$238:$C$451,$C326,'TL13'!$J$238:$J$451),0),
IF('TL14'!$B$3=P$3,SUMIF('TL14'!$C$10:$C$224,$C326,'TL14'!$J$10:$J$224),0),
IF('TL14'!$B$229=P$3,SUMIF('TL14'!$C$238:$C$451,$C326,'TL14'!$J$238:$J$451),0),
IF('TL15'!$B$3=P$3,SUMIF('TL15'!$C$10:$C$224,$C326,'TL15'!$J$10:$J$224),0),
IF('TL15'!$B$229=P$3,SUMIF('TL15'!$C$238:$C$451,$C326,'TL15'!$J$238:$J$451),0),
IF('TL16'!$B$3=P$3,SUMIF('TL16'!$C$10:$C$224,$C326,'TL16'!$J$10:$J$224),0),
IF('TL16'!$B$229=P$3,SUMIF('TL16'!$C$238:$C$451,$C326,'TL16'!$J$238:$J$451),0),
IF('TL17'!$B$3=P$3,SUMIF('TL17'!$C$10:$C$224,$C326,'TL17'!$J$10:$J$224),0),
IF('TL17'!$B$229=P$3,SUMIF('TL17'!$C$238:$C$451,$C326,'TL17'!$J$238:$J$451),0),
IF('TL18'!$B$3=P$3,SUMIF('TL18'!$C$10:$C$224,$C326,'TL18'!$J$10:$J$224),0),
IF('TL18'!$B$229=P$3,SUMIF('TL18'!$C$238:$C$451,$C326,'TL18'!$J$238:$J$451),0),
IF('TL19'!$B$3=P$3,SUMIF('TL19'!$C$10:$C$224,$C326,'TL19'!$J$10:$J$224),0),
IF('TL19'!$B$229=P$3,SUMIF('TL19'!$C$238:$C$451,$C326,'TL19'!$J$238:$J$451),0)
),0)</f>
        <v/>
      </c>
      <c r="Q326" s="9">
        <f>IFERROR(SUM(
IF('TL01'!$B$3=Q$3,SUMIF('TL01'!$C$10:$C$224,$C326,'TL01'!$J$10:$J$224),0),
IF('TL01'!$B$229=Q$3,SUMIF('TL01'!$C$238:$C$451,$C326,'TL01'!$J$238:$J$451),0),
IF('TL02'!$B$3=Q$3,SUMIF('TL02'!$C$10:$C$224,$C326,'TL02'!$J$10:$J$224),0),
IF('TL02'!$B$229=Q$3,SUMIF('TL02'!$C$238:$C$451,$C326,'TL02'!$J$238:$J$451),0),
IF('TL03'!$B$3=Q$3,SUMIF('TL03'!$C$10:$C$224,$C326,'TL03'!$J$10:$J$224),0),
IF('TL03'!$B$229=Q$3,SUMIF('TL03'!$C$238:$C$451,$C326,'TL03'!$J$238:$J$451),0),
IF('TL04'!$B$3=Q$3,SUMIF('TL04'!$C$10:$C$224,$C326,'TL04'!$J$10:$J$224),0),
IF('TL04'!$B$229=Q$3,SUMIF('TL04'!$C$238:$C$451,$C326,'TL04'!$J$238:$J$451),0),
IF('TL05'!$B$3=Q$3,SUMIF('TL05'!$C$10:$C$224,$C326,'TL05'!$J$10:$J$224),0),
IF('TL05'!$B$229=Q$3,SUMIF('TL05'!$C$238:$C$451,$C326,'TL05'!$J$238:$J$451),0),
IF('TL06'!$B$3=Q$3,SUMIF('TL06'!$C$10:$C$224,$C326,'TL06'!$J$10:$J$224),0),
IF('TL06'!$B$229=Q$3,SUMIF('TL06'!$C$238:$C$451,$C326,'TL06'!$J$238:$J$451),0),
IF('TL07'!$B$3=Q$3,SUMIF('TL07'!$C$10:$C$224,$C326,'TL07'!$J$10:$J$224),0),
IF('TL07'!$B$229=Q$3,SUMIF('TL07'!$C$238:$C$451,$C326,'TL07'!$J$238:$J$451),0),
IF('TL08'!$B$3=Q$3,SUMIF('TL08'!$C$10:$C$224,$C326,'TL08'!$J$10:$J$224),0),
IF('TL08'!$B$229=Q$3,SUMIF('TL08'!$C$238:$C$451,$C326,'TL08'!$J$238:$J$451),0),
IF('TL09'!$B$3=Q$3,SUMIF('TL09'!$C$10:$C$224,$C326,'TL09'!$J$10:$J$224),0),
IF('TL09'!$B$229=Q$3,SUMIF('TL09'!$C$238:$C$451,$C326,'TL09'!$J$238:$J$451),0),
IF('TL10'!$B$3=Q$3,SUMIF('TL10'!$C$10:$C$224,$C326,'TL10'!$J$10:$J$224),0),
IF('TL10'!$B$229=Q$3,SUMIF('TL10'!$C$238:$C$451,$C326,'TL10'!$J$238:$J$451),0),
IF('TL11'!$B$3=Q$3,SUMIF('TL11'!$C$10:$C$224,$C326,'TL11'!$J$10:$J$224),0),
IF('TL11'!$B$229=Q$3,SUMIF('TL11'!$C$238:$C$451,$C326,'TL11'!$J$238:$J$451),0),
IF('TL12'!$B$3=Q$3,SUMIF('TL12'!$C$10:$C$224,$C326,'TL12'!$J$10:$J$224),0),
IF('TL12'!$B$229=Q$3,SUMIF('TL12'!$C$238:$C$451,$C326,'TL12'!$J$238:$J$451),0),
IF('TL13'!$B$3=Q$3,SUMIF('TL13'!$C$10:$C$224,$C326,'TL13'!$J$10:$J$224),0),
IF('TL13'!$B$229=Q$3,SUMIF('TL13'!$C$238:$C$451,$C326,'TL13'!$J$238:$J$451),0),
IF('TL14'!$B$3=Q$3,SUMIF('TL14'!$C$10:$C$224,$C326,'TL14'!$J$10:$J$224),0),
IF('TL14'!$B$229=Q$3,SUMIF('TL14'!$C$238:$C$451,$C326,'TL14'!$J$238:$J$451),0),
IF('TL15'!$B$3=Q$3,SUMIF('TL15'!$C$10:$C$224,$C326,'TL15'!$J$10:$J$224),0),
IF('TL15'!$B$229=Q$3,SUMIF('TL15'!$C$238:$C$451,$C326,'TL15'!$J$238:$J$451),0),
IF('TL16'!$B$3=Q$3,SUMIF('TL16'!$C$10:$C$224,$C326,'TL16'!$J$10:$J$224),0),
IF('TL16'!$B$229=Q$3,SUMIF('TL16'!$C$238:$C$451,$C326,'TL16'!$J$238:$J$451),0),
IF('TL17'!$B$3=Q$3,SUMIF('TL17'!$C$10:$C$224,$C326,'TL17'!$J$10:$J$224),0),
IF('TL17'!$B$229=Q$3,SUMIF('TL17'!$C$238:$C$451,$C326,'TL17'!$J$238:$J$451),0),
IF('TL18'!$B$3=Q$3,SUMIF('TL18'!$C$10:$C$224,$C326,'TL18'!$J$10:$J$224),0),
IF('TL18'!$B$229=Q$3,SUMIF('TL18'!$C$238:$C$451,$C326,'TL18'!$J$238:$J$451),0),
IF('TL19'!$B$3=Q$3,SUMIF('TL19'!$C$10:$C$224,$C326,'TL19'!$J$10:$J$224),0),
IF('TL19'!$B$229=Q$3,SUMIF('TL19'!$C$238:$C$451,$C326,'TL19'!$J$238:$J$451),0)
),0)</f>
        <v/>
      </c>
      <c r="R326" s="9">
        <f>IFERROR(
SUM(
SUMIF('TL01'!C:C,C326,'TL01'!J:J),
SUMIF('TL02'!C:C,C326,'TL02'!J:J),
SUMIF('TL03'!C:C,C326,'TL03'!J:J),
SUMIF('TL04'!C:C,C326,'TL04'!J:J),
SUMIF('TL05'!C:C,C326,'TL05'!J:J),
SUMIF('TL06'!C:C,C326,'TL06'!J:J),
SUMIF('TL07'!C:C,C326,'TL07'!J:J),
SUMIF('TL08'!C:C,C326,'TL08'!J:J),
SUMIF('TL09'!C:C,C326,'TL09'!J:J),
SUMIF('TL10'!C:C,C326,'TL10'!J:J),
SUMIF('TL11'!C:C,C326,'TL11'!J:J),
SUMIF('TL12'!C:C,C326,'TL12'!J:J),
SUMIF('TL13'!C:C,C326,'TL13'!J:J),
SUMIF('TL14'!C:C,C326,'TL14'!J:J),
SUMIF('TL15'!C:C,C326,'TL15'!J:J),
SUMIF('TL16'!C:C,C326,'TL16'!J:J),
SUMIF('TL17'!C:C,C326,'TL17'!J:J),
SUMIF('TL18'!C:C,C326,'TL18'!J:J),SUMIF('TL19'!C:C,C326,'TL19'!J:J))
,0)</f>
        <v/>
      </c>
      <c r="S326" s="17">
        <f>IFERROR(__xludf.DUMMYFUNCTION("IFERROR(VLOOKUP(C326,
IMPORTRANGE(""1wULbzX32WdYsx-lj2U3uUNBBe2INVIRDtcK0d-Dvl90"",
""26-27!C:G""),
5,
FALSE),
"""")"),"")</f>
        <v/>
      </c>
      <c r="T326" s="9" t="n"/>
      <c r="U326" s="92">
        <f>MAX(0,R326-T326)</f>
        <v/>
      </c>
      <c r="V326" s="93">
        <f>U326*S326</f>
        <v/>
      </c>
    </row>
    <row r="327" hidden="1" ht="15.75" customHeight="1" s="297">
      <c r="A327" s="4" t="n"/>
      <c r="B327" s="125" t="inlineStr">
        <is>
          <t>SEMENTE</t>
        </is>
      </c>
      <c r="C327" s="4" t="inlineStr">
        <is>
          <t>GUAPÓ 7.7</t>
        </is>
      </c>
      <c r="D327" s="20" t="n"/>
      <c r="E327" s="9" t="n"/>
      <c r="F327" s="4" t="inlineStr">
        <is>
          <t>5MM</t>
        </is>
      </c>
      <c r="G327" s="90">
        <f>HYPERLINK("https://www.google.com/search?q=" &amp; C327 &amp; "+bula+agrofit+pdf", "📄 Ver bula")</f>
        <v/>
      </c>
      <c r="H327" s="9" t="n"/>
      <c r="I327" s="1" t="inlineStr">
        <is>
          <t>BAG</t>
        </is>
      </c>
      <c r="J327" s="9">
        <f>IFERROR(SUM(
IF('TL01'!$B$3=J$3,SUMIF('TL01'!$C$10:$C$224,$C327,'TL01'!$J$10:$J$224),0),
IF('TL01'!$B$229=J$3,SUMIF('TL01'!$C$238:$C$451,$C327,'TL01'!$J$238:$J$451),0),
IF('TL02'!$B$3=J$3,SUMIF('TL02'!$C$10:$C$224,$C327,'TL02'!$J$10:$J$224),0),
IF('TL02'!$B$229=J$3,SUMIF('TL02'!$C$238:$C$451,$C327,'TL02'!$J$238:$J$451),0),
IF('TL03'!$B$3=J$3,SUMIF('TL03'!$C$10:$C$224,$C327,'TL03'!$J$10:$J$224),0),
IF('TL03'!$B$229=J$3,SUMIF('TL03'!$C$238:$C$451,$C327,'TL03'!$J$238:$J$451),0),
IF('TL04'!$B$3=J$3,SUMIF('TL04'!$C$10:$C$224,$C327,'TL04'!$J$10:$J$224),0),
IF('TL04'!$B$229=J$3,SUMIF('TL04'!$C$238:$C$451,$C327,'TL04'!$J$238:$J$451),0),
IF('TL05'!$B$3=J$3,SUMIF('TL05'!$C$10:$C$224,$C327,'TL05'!$J$10:$J$224),0),
IF('TL05'!$B$229=J$3,SUMIF('TL05'!$C$238:$C$451,$C327,'TL05'!$J$238:$J$451),0),
IF('TL06'!$B$3=J$3,SUMIF('TL06'!$C$10:$C$224,$C327,'TL06'!$J$10:$J$224),0),
IF('TL06'!$B$229=J$3,SUMIF('TL06'!$C$238:$C$451,$C327,'TL06'!$J$238:$J$451),0),
IF('TL07'!$B$3=J$3,SUMIF('TL07'!$C$10:$C$224,$C327,'TL07'!$J$10:$J$224),0),
IF('TL07'!$B$229=J$3,SUMIF('TL07'!$C$238:$C$451,$C327,'TL07'!$J$238:$J$451),0),
IF('TL08'!$B$3=J$3,SUMIF('TL08'!$C$10:$C$224,$C327,'TL08'!$J$10:$J$224),0),
IF('TL08'!$B$229=J$3,SUMIF('TL08'!$C$238:$C$451,$C327,'TL08'!$J$238:$J$451),0),
IF('TL09'!$B$3=J$3,SUMIF('TL09'!$C$10:$C$224,$C327,'TL09'!$J$10:$J$224),0),
IF('TL09'!$B$229=J$3,SUMIF('TL09'!$C$238:$C$451,$C327,'TL09'!$J$238:$J$451),0),
IF('TL10'!$B$3=J$3,SUMIF('TL10'!$C$10:$C$224,$C327,'TL10'!$J$10:$J$224),0),
IF('TL10'!$B$229=J$3,SUMIF('TL10'!$C$238:$C$451,$C327,'TL10'!$J$238:$J$451),0),
IF('TL11'!$B$3=J$3,SUMIF('TL11'!$C$10:$C$224,$C327,'TL11'!$J$10:$J$224),0),
IF('TL11'!$B$229=J$3,SUMIF('TL11'!$C$238:$C$451,$C327,'TL11'!$J$238:$J$451),0),
IF('TL12'!$B$3=J$3,SUMIF('TL12'!$C$10:$C$224,$C327,'TL12'!$J$10:$J$224),0),
IF('TL12'!$B$229=J$3,SUMIF('TL12'!$C$238:$C$451,$C327,'TL12'!$J$238:$J$451),0),
IF('TL13'!$B$3=J$3,SUMIF('TL13'!$C$10:$C$224,$C327,'TL13'!$J$10:$J$224),0),
IF('TL13'!$B$229=J$3,SUMIF('TL13'!$C$238:$C$451,$C327,'TL13'!$J$238:$J$451),0),
IF('TL14'!$B$3=J$3,SUMIF('TL14'!$C$10:$C$224,$C327,'TL14'!$J$10:$J$224),0),
IF('TL14'!$B$229=J$3,SUMIF('TL14'!$C$238:$C$451,$C327,'TL14'!$J$238:$J$451),0),
IF('TL15'!$B$3=J$3,SUMIF('TL15'!$C$10:$C$224,$C327,'TL15'!$J$10:$J$224),0),
IF('TL15'!$B$229=J$3,SUMIF('TL15'!$C$238:$C$451,$C327,'TL15'!$J$238:$J$451),0),
IF('TL16'!$B$3=J$3,SUMIF('TL16'!$C$10:$C$224,$C327,'TL16'!$J$10:$J$224),0),
IF('TL16'!$B$229=J$3,SUMIF('TL16'!$C$238:$C$451,$C327,'TL16'!$J$238:$J$451),0),
IF('TL17'!$B$3=J$3,SUMIF('TL17'!$C$10:$C$224,$C327,'TL17'!$J$10:$J$224),0),
IF('TL17'!$B$229=J$3,SUMIF('TL17'!$C$238:$C$451,$C327,'TL17'!$J$238:$J$451),0),
IF('TL18'!$B$3=J$3,SUMIF('TL18'!$C$10:$C$224,$C327,'TL18'!$J$10:$J$224),0),
IF('TL18'!$B$229=J$3,SUMIF('TL18'!$C$238:$C$451,$C327,'TL18'!$J$238:$J$451),0),
IF('TL19'!$B$3=J$3,SUMIF('TL19'!$C$10:$C$224,$C327,'TL19'!$J$10:$J$224),0),
IF('TL19'!$B$229=J$3,SUMIF('TL19'!$C$238:$C$451,$C327,'TL19'!$J$238:$J$451),0)
),0)</f>
        <v/>
      </c>
      <c r="K327" s="9">
        <f>IFERROR(SUM(
IF('TL01'!$B$3=K$3,SUMIF('TL01'!$C$10:$C$224,$C327,'TL01'!$J$10:$J$224),0),
IF('TL01'!$B$229=K$3,SUMIF('TL01'!$C$238:$C$451,$C327,'TL01'!$J$238:$J$451),0),
IF('TL02'!$B$3=K$3,SUMIF('TL02'!$C$10:$C$224,$C327,'TL02'!$J$10:$J$224),0),
IF('TL02'!$B$229=K$3,SUMIF('TL02'!$C$238:$C$451,$C327,'TL02'!$J$238:$J$451),0),
IF('TL03'!$B$3=K$3,SUMIF('TL03'!$C$10:$C$224,$C327,'TL03'!$J$10:$J$224),0),
IF('TL03'!$B$229=K$3,SUMIF('TL03'!$C$238:$C$451,$C327,'TL03'!$J$238:$J$451),0),
IF('TL04'!$B$3=K$3,SUMIF('TL04'!$C$10:$C$224,$C327,'TL04'!$J$10:$J$224),0),
IF('TL04'!$B$229=K$3,SUMIF('TL04'!$C$238:$C$451,$C327,'TL04'!$J$238:$J$451),0),
IF('TL05'!$B$3=K$3,SUMIF('TL05'!$C$10:$C$224,$C327,'TL05'!$J$10:$J$224),0),
IF('TL05'!$B$229=K$3,SUMIF('TL05'!$C$238:$C$451,$C327,'TL05'!$J$238:$J$451),0),
IF('TL06'!$B$3=K$3,SUMIF('TL06'!$C$10:$C$224,$C327,'TL06'!$J$10:$J$224),0),
IF('TL06'!$B$229=K$3,SUMIF('TL06'!$C$238:$C$451,$C327,'TL06'!$J$238:$J$451),0),
IF('TL07'!$B$3=K$3,SUMIF('TL07'!$C$10:$C$224,$C327,'TL07'!$J$10:$J$224),0),
IF('TL07'!$B$229=K$3,SUMIF('TL07'!$C$238:$C$451,$C327,'TL07'!$J$238:$J$451),0),
IF('TL08'!$B$3=K$3,SUMIF('TL08'!$C$10:$C$224,$C327,'TL08'!$J$10:$J$224),0),
IF('TL08'!$B$229=K$3,SUMIF('TL08'!$C$238:$C$451,$C327,'TL08'!$J$238:$J$451),0),
IF('TL09'!$B$3=K$3,SUMIF('TL09'!$C$10:$C$224,$C327,'TL09'!$J$10:$J$224),0),
IF('TL09'!$B$229=K$3,SUMIF('TL09'!$C$238:$C$451,$C327,'TL09'!$J$238:$J$451),0),
IF('TL10'!$B$3=K$3,SUMIF('TL10'!$C$10:$C$224,$C327,'TL10'!$J$10:$J$224),0),
IF('TL10'!$B$229=K$3,SUMIF('TL10'!$C$238:$C$451,$C327,'TL10'!$J$238:$J$451),0),
IF('TL11'!$B$3=K$3,SUMIF('TL11'!$C$10:$C$224,$C327,'TL11'!$J$10:$J$224),0),
IF('TL11'!$B$229=K$3,SUMIF('TL11'!$C$238:$C$451,$C327,'TL11'!$J$238:$J$451),0),
IF('TL12'!$B$3=K$3,SUMIF('TL12'!$C$10:$C$224,$C327,'TL12'!$J$10:$J$224),0),
IF('TL12'!$B$229=K$3,SUMIF('TL12'!$C$238:$C$451,$C327,'TL12'!$J$238:$J$451),0),
IF('TL13'!$B$3=K$3,SUMIF('TL13'!$C$10:$C$224,$C327,'TL13'!$J$10:$J$224),0),
IF('TL13'!$B$229=K$3,SUMIF('TL13'!$C$238:$C$451,$C327,'TL13'!$J$238:$J$451),0),
IF('TL14'!$B$3=K$3,SUMIF('TL14'!$C$10:$C$224,$C327,'TL14'!$J$10:$J$224),0),
IF('TL14'!$B$229=K$3,SUMIF('TL14'!$C$238:$C$451,$C327,'TL14'!$J$238:$J$451),0),
IF('TL15'!$B$3=K$3,SUMIF('TL15'!$C$10:$C$224,$C327,'TL15'!$J$10:$J$224),0),
IF('TL15'!$B$229=K$3,SUMIF('TL15'!$C$238:$C$451,$C327,'TL15'!$J$238:$J$451),0),
IF('TL16'!$B$3=K$3,SUMIF('TL16'!$C$10:$C$224,$C327,'TL16'!$J$10:$J$224),0),
IF('TL16'!$B$229=K$3,SUMIF('TL16'!$C$238:$C$451,$C327,'TL16'!$J$238:$J$451),0),
IF('TL17'!$B$3=K$3,SUMIF('TL17'!$C$10:$C$224,$C327,'TL17'!$J$10:$J$224),0),
IF('TL17'!$B$229=K$3,SUMIF('TL17'!$C$238:$C$451,$C327,'TL17'!$J$238:$J$451),0),
IF('TL18'!$B$3=K$3,SUMIF('TL18'!$C$10:$C$224,$C327,'TL18'!$J$10:$J$224),0),
IF('TL18'!$B$229=K$3,SUMIF('TL18'!$C$238:$C$451,$C327,'TL18'!$J$238:$J$451),0),
IF('TL19'!$B$3=K$3,SUMIF('TL19'!$C$10:$C$224,$C327,'TL19'!$J$10:$J$224),0),
IF('TL19'!$B$229=K$3,SUMIF('TL19'!$C$238:$C$451,$C327,'TL19'!$J$238:$J$451),0)
),0)</f>
        <v/>
      </c>
      <c r="L327" s="9">
        <f>IFERROR(SUM(
IF('TL01'!$B$3=L$3,SUMIF('TL01'!$C$10:$C$224,$C327,'TL01'!$J$10:$J$224),0),
IF('TL01'!$B$229=L$3,SUMIF('TL01'!$C$238:$C$451,$C327,'TL01'!$J$238:$J$451),0),
IF('TL02'!$B$3=L$3,SUMIF('TL02'!$C$10:$C$224,$C327,'TL02'!$J$10:$J$224),0),
IF('TL02'!$B$229=L$3,SUMIF('TL02'!$C$238:$C$451,$C327,'TL02'!$J$238:$J$451),0),
IF('TL03'!$B$3=L$3,SUMIF('TL03'!$C$10:$C$224,$C327,'TL03'!$J$10:$J$224),0),
IF('TL03'!$B$229=L$3,SUMIF('TL03'!$C$238:$C$451,$C327,'TL03'!$J$238:$J$451),0),
IF('TL04'!$B$3=L$3,SUMIF('TL04'!$C$10:$C$224,$C327,'TL04'!$J$10:$J$224),0),
IF('TL04'!$B$229=L$3,SUMIF('TL04'!$C$238:$C$451,$C327,'TL04'!$J$238:$J$451),0),
IF('TL05'!$B$3=L$3,SUMIF('TL05'!$C$10:$C$224,$C327,'TL05'!$J$10:$J$224),0),
IF('TL05'!$B$229=L$3,SUMIF('TL05'!$C$238:$C$451,$C327,'TL05'!$J$238:$J$451),0),
IF('TL06'!$B$3=L$3,SUMIF('TL06'!$C$10:$C$224,$C327,'TL06'!$J$10:$J$224),0),
IF('TL06'!$B$229=L$3,SUMIF('TL06'!$C$238:$C$451,$C327,'TL06'!$J$238:$J$451),0),
IF('TL07'!$B$3=L$3,SUMIF('TL07'!$C$10:$C$224,$C327,'TL07'!$J$10:$J$224),0),
IF('TL07'!$B$229=L$3,SUMIF('TL07'!$C$238:$C$451,$C327,'TL07'!$J$238:$J$451),0),
IF('TL08'!$B$3=L$3,SUMIF('TL08'!$C$10:$C$224,$C327,'TL08'!$J$10:$J$224),0),
IF('TL08'!$B$229=L$3,SUMIF('TL08'!$C$238:$C$451,$C327,'TL08'!$J$238:$J$451),0),
IF('TL09'!$B$3=L$3,SUMIF('TL09'!$C$10:$C$224,$C327,'TL09'!$J$10:$J$224),0),
IF('TL09'!$B$229=L$3,SUMIF('TL09'!$C$238:$C$451,$C327,'TL09'!$J$238:$J$451),0),
IF('TL10'!$B$3=L$3,SUMIF('TL10'!$C$10:$C$224,$C327,'TL10'!$J$10:$J$224),0),
IF('TL10'!$B$229=L$3,SUMIF('TL10'!$C$238:$C$451,$C327,'TL10'!$J$238:$J$451),0),
IF('TL11'!$B$3=L$3,SUMIF('TL11'!$C$10:$C$224,$C327,'TL11'!$J$10:$J$224),0),
IF('TL11'!$B$229=L$3,SUMIF('TL11'!$C$238:$C$451,$C327,'TL11'!$J$238:$J$451),0),
IF('TL12'!$B$3=L$3,SUMIF('TL12'!$C$10:$C$224,$C327,'TL12'!$J$10:$J$224),0),
IF('TL12'!$B$229=L$3,SUMIF('TL12'!$C$238:$C$451,$C327,'TL12'!$J$238:$J$451),0),
IF('TL13'!$B$3=L$3,SUMIF('TL13'!$C$10:$C$224,$C327,'TL13'!$J$10:$J$224),0),
IF('TL13'!$B$229=L$3,SUMIF('TL13'!$C$238:$C$451,$C327,'TL13'!$J$238:$J$451),0),
IF('TL14'!$B$3=L$3,SUMIF('TL14'!$C$10:$C$224,$C327,'TL14'!$J$10:$J$224),0),
IF('TL14'!$B$229=L$3,SUMIF('TL14'!$C$238:$C$451,$C327,'TL14'!$J$238:$J$451),0),
IF('TL15'!$B$3=L$3,SUMIF('TL15'!$C$10:$C$224,$C327,'TL15'!$J$10:$J$224),0),
IF('TL15'!$B$229=L$3,SUMIF('TL15'!$C$238:$C$451,$C327,'TL15'!$J$238:$J$451),0),
IF('TL16'!$B$3=L$3,SUMIF('TL16'!$C$10:$C$224,$C327,'TL16'!$J$10:$J$224),0),
IF('TL16'!$B$229=L$3,SUMIF('TL16'!$C$238:$C$451,$C327,'TL16'!$J$238:$J$451),0),
IF('TL17'!$B$3=L$3,SUMIF('TL17'!$C$10:$C$224,$C327,'TL17'!$J$10:$J$224),0),
IF('TL17'!$B$229=L$3,SUMIF('TL17'!$C$238:$C$451,$C327,'TL17'!$J$238:$J$451),0),
IF('TL18'!$B$3=L$3,SUMIF('TL18'!$C$10:$C$224,$C327,'TL18'!$J$10:$J$224),0),
IF('TL18'!$B$229=L$3,SUMIF('TL18'!$C$238:$C$451,$C327,'TL18'!$J$238:$J$451),0),
IF('TL19'!$B$3=L$3,SUMIF('TL19'!$C$10:$C$224,$C327,'TL19'!$J$10:$J$224),0),
IF('TL19'!$B$229=L$3,SUMIF('TL19'!$C$238:$C$451,$C327,'TL19'!$J$238:$J$451),0)
),0)</f>
        <v/>
      </c>
      <c r="M327" s="9">
        <f>IFERROR(SUM(
IF('TL01'!$B$3=M$3,SUMIF('TL01'!$C$10:$C$224,$C327,'TL01'!$J$10:$J$224),0),
IF('TL01'!$B$229=M$3,SUMIF('TL01'!$C$238:$C$451,$C327,'TL01'!$J$238:$J$451),0),
IF('TL02'!$B$3=M$3,SUMIF('TL02'!$C$10:$C$224,$C327,'TL02'!$J$10:$J$224),0),
IF('TL02'!$B$229=M$3,SUMIF('TL02'!$C$238:$C$451,$C327,'TL02'!$J$238:$J$451),0),
IF('TL03'!$B$3=M$3,SUMIF('TL03'!$C$10:$C$224,$C327,'TL03'!$J$10:$J$224),0),
IF('TL03'!$B$229=M$3,SUMIF('TL03'!$C$238:$C$451,$C327,'TL03'!$J$238:$J$451),0),
IF('TL04'!$B$3=M$3,SUMIF('TL04'!$C$10:$C$224,$C327,'TL04'!$J$10:$J$224),0),
IF('TL04'!$B$229=M$3,SUMIF('TL04'!$C$238:$C$451,$C327,'TL04'!$J$238:$J$451),0),
IF('TL05'!$B$3=M$3,SUMIF('TL05'!$C$10:$C$224,$C327,'TL05'!$J$10:$J$224),0),
IF('TL05'!$B$229=M$3,SUMIF('TL05'!$C$238:$C$451,$C327,'TL05'!$J$238:$J$451),0),
IF('TL06'!$B$3=M$3,SUMIF('TL06'!$C$10:$C$224,$C327,'TL06'!$J$10:$J$224),0),
IF('TL06'!$B$229=M$3,SUMIF('TL06'!$C$238:$C$451,$C327,'TL06'!$J$238:$J$451),0),
IF('TL07'!$B$3=M$3,SUMIF('TL07'!$C$10:$C$224,$C327,'TL07'!$J$10:$J$224),0),
IF('TL07'!$B$229=M$3,SUMIF('TL07'!$C$238:$C$451,$C327,'TL07'!$J$238:$J$451),0),
IF('TL08'!$B$3=M$3,SUMIF('TL08'!$C$10:$C$224,$C327,'TL08'!$J$10:$J$224),0),
IF('TL08'!$B$229=M$3,SUMIF('TL08'!$C$238:$C$451,$C327,'TL08'!$J$238:$J$451),0),
IF('TL09'!$B$3=M$3,SUMIF('TL09'!$C$10:$C$224,$C327,'TL09'!$J$10:$J$224),0),
IF('TL09'!$B$229=M$3,SUMIF('TL09'!$C$238:$C$451,$C327,'TL09'!$J$238:$J$451),0),
IF('TL10'!$B$3=M$3,SUMIF('TL10'!$C$10:$C$224,$C327,'TL10'!$J$10:$J$224),0),
IF('TL10'!$B$229=M$3,SUMIF('TL10'!$C$238:$C$451,$C327,'TL10'!$J$238:$J$451),0),
IF('TL11'!$B$3=M$3,SUMIF('TL11'!$C$10:$C$224,$C327,'TL11'!$J$10:$J$224),0),
IF('TL11'!$B$229=M$3,SUMIF('TL11'!$C$238:$C$451,$C327,'TL11'!$J$238:$J$451),0),
IF('TL12'!$B$3=M$3,SUMIF('TL12'!$C$10:$C$224,$C327,'TL12'!$J$10:$J$224),0),
IF('TL12'!$B$229=M$3,SUMIF('TL12'!$C$238:$C$451,$C327,'TL12'!$J$238:$J$451),0),
IF('TL13'!$B$3=M$3,SUMIF('TL13'!$C$10:$C$224,$C327,'TL13'!$J$10:$J$224),0),
IF('TL13'!$B$229=M$3,SUMIF('TL13'!$C$238:$C$451,$C327,'TL13'!$J$238:$J$451),0),
IF('TL14'!$B$3=M$3,SUMIF('TL14'!$C$10:$C$224,$C327,'TL14'!$J$10:$J$224),0),
IF('TL14'!$B$229=M$3,SUMIF('TL14'!$C$238:$C$451,$C327,'TL14'!$J$238:$J$451),0),
IF('TL15'!$B$3=M$3,SUMIF('TL15'!$C$10:$C$224,$C327,'TL15'!$J$10:$J$224),0),
IF('TL15'!$B$229=M$3,SUMIF('TL15'!$C$238:$C$451,$C327,'TL15'!$J$238:$J$451),0),
IF('TL16'!$B$3=M$3,SUMIF('TL16'!$C$10:$C$224,$C327,'TL16'!$J$10:$J$224),0),
IF('TL16'!$B$229=M$3,SUMIF('TL16'!$C$238:$C$451,$C327,'TL16'!$J$238:$J$451),0),
IF('TL17'!$B$3=M$3,SUMIF('TL17'!$C$10:$C$224,$C327,'TL17'!$J$10:$J$224),0),
IF('TL17'!$B$229=M$3,SUMIF('TL17'!$C$238:$C$451,$C327,'TL17'!$J$238:$J$451),0),
IF('TL18'!$B$3=M$3,SUMIF('TL18'!$C$10:$C$224,$C327,'TL18'!$J$10:$J$224),0),
IF('TL18'!$B$229=M$3,SUMIF('TL18'!$C$238:$C$451,$C327,'TL18'!$J$238:$J$451),0),
IF('TL19'!$B$3=M$3,SUMIF('TL19'!$C$10:$C$224,$C327,'TL19'!$J$10:$J$224),0),
IF('TL19'!$B$229=M$3,SUMIF('TL19'!$C$238:$C$451,$C327,'TL19'!$J$238:$J$451),0)
),0)</f>
        <v/>
      </c>
      <c r="N327" s="9">
        <f>IFERROR(SUM(
IF('TL01'!$B$3=N$3,SUMIF('TL01'!$C$10:$C$224,$C327,'TL01'!$J$10:$J$224),0),
IF('TL01'!$B$229=N$3,SUMIF('TL01'!$C$238:$C$451,$C327,'TL01'!$J$238:$J$451),0),
IF('TL02'!$B$3=N$3,SUMIF('TL02'!$C$10:$C$224,$C327,'TL02'!$J$10:$J$224),0),
IF('TL02'!$B$229=N$3,SUMIF('TL02'!$C$238:$C$451,$C327,'TL02'!$J$238:$J$451),0),
IF('TL03'!$B$3=N$3,SUMIF('TL03'!$C$10:$C$224,$C327,'TL03'!$J$10:$J$224),0),
IF('TL03'!$B$229=N$3,SUMIF('TL03'!$C$238:$C$451,$C327,'TL03'!$J$238:$J$451),0),
IF('TL04'!$B$3=N$3,SUMIF('TL04'!$C$10:$C$224,$C327,'TL04'!$J$10:$J$224),0),
IF('TL04'!$B$229=N$3,SUMIF('TL04'!$C$238:$C$451,$C327,'TL04'!$J$238:$J$451),0),
IF('TL05'!$B$3=N$3,SUMIF('TL05'!$C$10:$C$224,$C327,'TL05'!$J$10:$J$224),0),
IF('TL05'!$B$229=N$3,SUMIF('TL05'!$C$238:$C$451,$C327,'TL05'!$J$238:$J$451),0),
IF('TL06'!$B$3=N$3,SUMIF('TL06'!$C$10:$C$224,$C327,'TL06'!$J$10:$J$224),0),
IF('TL06'!$B$229=N$3,SUMIF('TL06'!$C$238:$C$451,$C327,'TL06'!$J$238:$J$451),0),
IF('TL07'!$B$3=N$3,SUMIF('TL07'!$C$10:$C$224,$C327,'TL07'!$J$10:$J$224),0),
IF('TL07'!$B$229=N$3,SUMIF('TL07'!$C$238:$C$451,$C327,'TL07'!$J$238:$J$451),0),
IF('TL08'!$B$3=N$3,SUMIF('TL08'!$C$10:$C$224,$C327,'TL08'!$J$10:$J$224),0),
IF('TL08'!$B$229=N$3,SUMIF('TL08'!$C$238:$C$451,$C327,'TL08'!$J$238:$J$451),0),
IF('TL09'!$B$3=N$3,SUMIF('TL09'!$C$10:$C$224,$C327,'TL09'!$J$10:$J$224),0),
IF('TL09'!$B$229=N$3,SUMIF('TL09'!$C$238:$C$451,$C327,'TL09'!$J$238:$J$451),0),
IF('TL10'!$B$3=N$3,SUMIF('TL10'!$C$10:$C$224,$C327,'TL10'!$J$10:$J$224),0),
IF('TL10'!$B$229=N$3,SUMIF('TL10'!$C$238:$C$451,$C327,'TL10'!$J$238:$J$451),0),
IF('TL11'!$B$3=N$3,SUMIF('TL11'!$C$10:$C$224,$C327,'TL11'!$J$10:$J$224),0),
IF('TL11'!$B$229=N$3,SUMIF('TL11'!$C$238:$C$451,$C327,'TL11'!$J$238:$J$451),0),
IF('TL12'!$B$3=N$3,SUMIF('TL12'!$C$10:$C$224,$C327,'TL12'!$J$10:$J$224),0),
IF('TL12'!$B$229=N$3,SUMIF('TL12'!$C$238:$C$451,$C327,'TL12'!$J$238:$J$451),0),
IF('TL13'!$B$3=N$3,SUMIF('TL13'!$C$10:$C$224,$C327,'TL13'!$J$10:$J$224),0),
IF('TL13'!$B$229=N$3,SUMIF('TL13'!$C$238:$C$451,$C327,'TL13'!$J$238:$J$451),0),
IF('TL14'!$B$3=N$3,SUMIF('TL14'!$C$10:$C$224,$C327,'TL14'!$J$10:$J$224),0),
IF('TL14'!$B$229=N$3,SUMIF('TL14'!$C$238:$C$451,$C327,'TL14'!$J$238:$J$451),0),
IF('TL15'!$B$3=N$3,SUMIF('TL15'!$C$10:$C$224,$C327,'TL15'!$J$10:$J$224),0),
IF('TL15'!$B$229=N$3,SUMIF('TL15'!$C$238:$C$451,$C327,'TL15'!$J$238:$J$451),0),
IF('TL16'!$B$3=N$3,SUMIF('TL16'!$C$10:$C$224,$C327,'TL16'!$J$10:$J$224),0),
IF('TL16'!$B$229=N$3,SUMIF('TL16'!$C$238:$C$451,$C327,'TL16'!$J$238:$J$451),0),
IF('TL17'!$B$3=N$3,SUMIF('TL17'!$C$10:$C$224,$C327,'TL17'!$J$10:$J$224),0),
IF('TL17'!$B$229=N$3,SUMIF('TL17'!$C$238:$C$451,$C327,'TL17'!$J$238:$J$451),0),
IF('TL18'!$B$3=N$3,SUMIF('TL18'!$C$10:$C$224,$C327,'TL18'!$J$10:$J$224),0),
IF('TL18'!$B$229=N$3,SUMIF('TL18'!$C$238:$C$451,$C327,'TL18'!$J$238:$J$451),0),
IF('TL19'!$B$3=N$3,SUMIF('TL19'!$C$10:$C$224,$C327,'TL19'!$J$10:$J$224),0),
IF('TL19'!$B$229=N$3,SUMIF('TL19'!$C$238:$C$451,$C327,'TL19'!$J$238:$J$451),0)
),0)</f>
        <v/>
      </c>
      <c r="O327" s="9">
        <f>IFERROR(SUM(
IF('TL01'!$B$3=O$3,SUMIF('TL01'!$C$10:$C$224,$C327,'TL01'!$J$10:$J$224),0),
IF('TL01'!$B$229=O$3,SUMIF('TL01'!$C$238:$C$451,$C327,'TL01'!$J$238:$J$451),0),
IF('TL02'!$B$3=O$3,SUMIF('TL02'!$C$10:$C$224,$C327,'TL02'!$J$10:$J$224),0),
IF('TL02'!$B$229=O$3,SUMIF('TL02'!$C$238:$C$451,$C327,'TL02'!$J$238:$J$451),0),
IF('TL03'!$B$3=O$3,SUMIF('TL03'!$C$10:$C$224,$C327,'TL03'!$J$10:$J$224),0),
IF('TL03'!$B$229=O$3,SUMIF('TL03'!$C$238:$C$451,$C327,'TL03'!$J$238:$J$451),0),
IF('TL04'!$B$3=O$3,SUMIF('TL04'!$C$10:$C$224,$C327,'TL04'!$J$10:$J$224),0),
IF('TL04'!$B$229=O$3,SUMIF('TL04'!$C$238:$C$451,$C327,'TL04'!$J$238:$J$451),0),
IF('TL05'!$B$3=O$3,SUMIF('TL05'!$C$10:$C$224,$C327,'TL05'!$J$10:$J$224),0),
IF('TL05'!$B$229=O$3,SUMIF('TL05'!$C$238:$C$451,$C327,'TL05'!$J$238:$J$451),0),
IF('TL06'!$B$3=O$3,SUMIF('TL06'!$C$10:$C$224,$C327,'TL06'!$J$10:$J$224),0),
IF('TL06'!$B$229=O$3,SUMIF('TL06'!$C$238:$C$451,$C327,'TL06'!$J$238:$J$451),0),
IF('TL07'!$B$3=O$3,SUMIF('TL07'!$C$10:$C$224,$C327,'TL07'!$J$10:$J$224),0),
IF('TL07'!$B$229=O$3,SUMIF('TL07'!$C$238:$C$451,$C327,'TL07'!$J$238:$J$451),0),
IF('TL08'!$B$3=O$3,SUMIF('TL08'!$C$10:$C$224,$C327,'TL08'!$J$10:$J$224),0),
IF('TL08'!$B$229=O$3,SUMIF('TL08'!$C$238:$C$451,$C327,'TL08'!$J$238:$J$451),0),
IF('TL09'!$B$3=O$3,SUMIF('TL09'!$C$10:$C$224,$C327,'TL09'!$J$10:$J$224),0),
IF('TL09'!$B$229=O$3,SUMIF('TL09'!$C$238:$C$451,$C327,'TL09'!$J$238:$J$451),0),
IF('TL10'!$B$3=O$3,SUMIF('TL10'!$C$10:$C$224,$C327,'TL10'!$J$10:$J$224),0),
IF('TL10'!$B$229=O$3,SUMIF('TL10'!$C$238:$C$451,$C327,'TL10'!$J$238:$J$451),0),
IF('TL11'!$B$3=O$3,SUMIF('TL11'!$C$10:$C$224,$C327,'TL11'!$J$10:$J$224),0),
IF('TL11'!$B$229=O$3,SUMIF('TL11'!$C$238:$C$451,$C327,'TL11'!$J$238:$J$451),0),
IF('TL12'!$B$3=O$3,SUMIF('TL12'!$C$10:$C$224,$C327,'TL12'!$J$10:$J$224),0),
IF('TL12'!$B$229=O$3,SUMIF('TL12'!$C$238:$C$451,$C327,'TL12'!$J$238:$J$451),0),
IF('TL13'!$B$3=O$3,SUMIF('TL13'!$C$10:$C$224,$C327,'TL13'!$J$10:$J$224),0),
IF('TL13'!$B$229=O$3,SUMIF('TL13'!$C$238:$C$451,$C327,'TL13'!$J$238:$J$451),0),
IF('TL14'!$B$3=O$3,SUMIF('TL14'!$C$10:$C$224,$C327,'TL14'!$J$10:$J$224),0),
IF('TL14'!$B$229=O$3,SUMIF('TL14'!$C$238:$C$451,$C327,'TL14'!$J$238:$J$451),0),
IF('TL15'!$B$3=O$3,SUMIF('TL15'!$C$10:$C$224,$C327,'TL15'!$J$10:$J$224),0),
IF('TL15'!$B$229=O$3,SUMIF('TL15'!$C$238:$C$451,$C327,'TL15'!$J$238:$J$451),0),
IF('TL16'!$B$3=O$3,SUMIF('TL16'!$C$10:$C$224,$C327,'TL16'!$J$10:$J$224),0),
IF('TL16'!$B$229=O$3,SUMIF('TL16'!$C$238:$C$451,$C327,'TL16'!$J$238:$J$451),0),
IF('TL17'!$B$3=O$3,SUMIF('TL17'!$C$10:$C$224,$C327,'TL17'!$J$10:$J$224),0),
IF('TL17'!$B$229=O$3,SUMIF('TL17'!$C$238:$C$451,$C327,'TL17'!$J$238:$J$451),0),
IF('TL18'!$B$3=O$3,SUMIF('TL18'!$C$10:$C$224,$C327,'TL18'!$J$10:$J$224),0),
IF('TL18'!$B$229=O$3,SUMIF('TL18'!$C$238:$C$451,$C327,'TL18'!$J$238:$J$451),0),
IF('TL19'!$B$3=O$3,SUMIF('TL19'!$C$10:$C$224,$C327,'TL19'!$J$10:$J$224),0),
IF('TL19'!$B$229=O$3,SUMIF('TL19'!$C$238:$C$451,$C327,'TL19'!$J$238:$J$451),0)
),0)</f>
        <v/>
      </c>
      <c r="P327" s="9">
        <f>IFERROR(SUM(
IF('TL01'!$B$3=P$3,SUMIF('TL01'!$C$10:$C$224,$C327,'TL01'!$J$10:$J$224),0),
IF('TL01'!$B$229=P$3,SUMIF('TL01'!$C$238:$C$451,$C327,'TL01'!$J$238:$J$451),0),
IF('TL02'!$B$3=P$3,SUMIF('TL02'!$C$10:$C$224,$C327,'TL02'!$J$10:$J$224),0),
IF('TL02'!$B$229=P$3,SUMIF('TL02'!$C$238:$C$451,$C327,'TL02'!$J$238:$J$451),0),
IF('TL03'!$B$3=P$3,SUMIF('TL03'!$C$10:$C$224,$C327,'TL03'!$J$10:$J$224),0),
IF('TL03'!$B$229=P$3,SUMIF('TL03'!$C$238:$C$451,$C327,'TL03'!$J$238:$J$451),0),
IF('TL04'!$B$3=P$3,SUMIF('TL04'!$C$10:$C$224,$C327,'TL04'!$J$10:$J$224),0),
IF('TL04'!$B$229=P$3,SUMIF('TL04'!$C$238:$C$451,$C327,'TL04'!$J$238:$J$451),0),
IF('TL05'!$B$3=P$3,SUMIF('TL05'!$C$10:$C$224,$C327,'TL05'!$J$10:$J$224),0),
IF('TL05'!$B$229=P$3,SUMIF('TL05'!$C$238:$C$451,$C327,'TL05'!$J$238:$J$451),0),
IF('TL06'!$B$3=P$3,SUMIF('TL06'!$C$10:$C$224,$C327,'TL06'!$J$10:$J$224),0),
IF('TL06'!$B$229=P$3,SUMIF('TL06'!$C$238:$C$451,$C327,'TL06'!$J$238:$J$451),0),
IF('TL07'!$B$3=P$3,SUMIF('TL07'!$C$10:$C$224,$C327,'TL07'!$J$10:$J$224),0),
IF('TL07'!$B$229=P$3,SUMIF('TL07'!$C$238:$C$451,$C327,'TL07'!$J$238:$J$451),0),
IF('TL08'!$B$3=P$3,SUMIF('TL08'!$C$10:$C$224,$C327,'TL08'!$J$10:$J$224),0),
IF('TL08'!$B$229=P$3,SUMIF('TL08'!$C$238:$C$451,$C327,'TL08'!$J$238:$J$451),0),
IF('TL09'!$B$3=P$3,SUMIF('TL09'!$C$10:$C$224,$C327,'TL09'!$J$10:$J$224),0),
IF('TL09'!$B$229=P$3,SUMIF('TL09'!$C$238:$C$451,$C327,'TL09'!$J$238:$J$451),0),
IF('TL10'!$B$3=P$3,SUMIF('TL10'!$C$10:$C$224,$C327,'TL10'!$J$10:$J$224),0),
IF('TL10'!$B$229=P$3,SUMIF('TL10'!$C$238:$C$451,$C327,'TL10'!$J$238:$J$451),0),
IF('TL11'!$B$3=P$3,SUMIF('TL11'!$C$10:$C$224,$C327,'TL11'!$J$10:$J$224),0),
IF('TL11'!$B$229=P$3,SUMIF('TL11'!$C$238:$C$451,$C327,'TL11'!$J$238:$J$451),0),
IF('TL12'!$B$3=P$3,SUMIF('TL12'!$C$10:$C$224,$C327,'TL12'!$J$10:$J$224),0),
IF('TL12'!$B$229=P$3,SUMIF('TL12'!$C$238:$C$451,$C327,'TL12'!$J$238:$J$451),0),
IF('TL13'!$B$3=P$3,SUMIF('TL13'!$C$10:$C$224,$C327,'TL13'!$J$10:$J$224),0),
IF('TL13'!$B$229=P$3,SUMIF('TL13'!$C$238:$C$451,$C327,'TL13'!$J$238:$J$451),0),
IF('TL14'!$B$3=P$3,SUMIF('TL14'!$C$10:$C$224,$C327,'TL14'!$J$10:$J$224),0),
IF('TL14'!$B$229=P$3,SUMIF('TL14'!$C$238:$C$451,$C327,'TL14'!$J$238:$J$451),0),
IF('TL15'!$B$3=P$3,SUMIF('TL15'!$C$10:$C$224,$C327,'TL15'!$J$10:$J$224),0),
IF('TL15'!$B$229=P$3,SUMIF('TL15'!$C$238:$C$451,$C327,'TL15'!$J$238:$J$451),0),
IF('TL16'!$B$3=P$3,SUMIF('TL16'!$C$10:$C$224,$C327,'TL16'!$J$10:$J$224),0),
IF('TL16'!$B$229=P$3,SUMIF('TL16'!$C$238:$C$451,$C327,'TL16'!$J$238:$J$451),0),
IF('TL17'!$B$3=P$3,SUMIF('TL17'!$C$10:$C$224,$C327,'TL17'!$J$10:$J$224),0),
IF('TL17'!$B$229=P$3,SUMIF('TL17'!$C$238:$C$451,$C327,'TL17'!$J$238:$J$451),0),
IF('TL18'!$B$3=P$3,SUMIF('TL18'!$C$10:$C$224,$C327,'TL18'!$J$10:$J$224),0),
IF('TL18'!$B$229=P$3,SUMIF('TL18'!$C$238:$C$451,$C327,'TL18'!$J$238:$J$451),0),
IF('TL19'!$B$3=P$3,SUMIF('TL19'!$C$10:$C$224,$C327,'TL19'!$J$10:$J$224),0),
IF('TL19'!$B$229=P$3,SUMIF('TL19'!$C$238:$C$451,$C327,'TL19'!$J$238:$J$451),0)
),0)</f>
        <v/>
      </c>
      <c r="Q327" s="9">
        <f>IFERROR(SUM(
IF('TL01'!$B$3=Q$3,SUMIF('TL01'!$C$10:$C$224,$C327,'TL01'!$J$10:$J$224),0),
IF('TL01'!$B$229=Q$3,SUMIF('TL01'!$C$238:$C$451,$C327,'TL01'!$J$238:$J$451),0),
IF('TL02'!$B$3=Q$3,SUMIF('TL02'!$C$10:$C$224,$C327,'TL02'!$J$10:$J$224),0),
IF('TL02'!$B$229=Q$3,SUMIF('TL02'!$C$238:$C$451,$C327,'TL02'!$J$238:$J$451),0),
IF('TL03'!$B$3=Q$3,SUMIF('TL03'!$C$10:$C$224,$C327,'TL03'!$J$10:$J$224),0),
IF('TL03'!$B$229=Q$3,SUMIF('TL03'!$C$238:$C$451,$C327,'TL03'!$J$238:$J$451),0),
IF('TL04'!$B$3=Q$3,SUMIF('TL04'!$C$10:$C$224,$C327,'TL04'!$J$10:$J$224),0),
IF('TL04'!$B$229=Q$3,SUMIF('TL04'!$C$238:$C$451,$C327,'TL04'!$J$238:$J$451),0),
IF('TL05'!$B$3=Q$3,SUMIF('TL05'!$C$10:$C$224,$C327,'TL05'!$J$10:$J$224),0),
IF('TL05'!$B$229=Q$3,SUMIF('TL05'!$C$238:$C$451,$C327,'TL05'!$J$238:$J$451),0),
IF('TL06'!$B$3=Q$3,SUMIF('TL06'!$C$10:$C$224,$C327,'TL06'!$J$10:$J$224),0),
IF('TL06'!$B$229=Q$3,SUMIF('TL06'!$C$238:$C$451,$C327,'TL06'!$J$238:$J$451),0),
IF('TL07'!$B$3=Q$3,SUMIF('TL07'!$C$10:$C$224,$C327,'TL07'!$J$10:$J$224),0),
IF('TL07'!$B$229=Q$3,SUMIF('TL07'!$C$238:$C$451,$C327,'TL07'!$J$238:$J$451),0),
IF('TL08'!$B$3=Q$3,SUMIF('TL08'!$C$10:$C$224,$C327,'TL08'!$J$10:$J$224),0),
IF('TL08'!$B$229=Q$3,SUMIF('TL08'!$C$238:$C$451,$C327,'TL08'!$J$238:$J$451),0),
IF('TL09'!$B$3=Q$3,SUMIF('TL09'!$C$10:$C$224,$C327,'TL09'!$J$10:$J$224),0),
IF('TL09'!$B$229=Q$3,SUMIF('TL09'!$C$238:$C$451,$C327,'TL09'!$J$238:$J$451),0),
IF('TL10'!$B$3=Q$3,SUMIF('TL10'!$C$10:$C$224,$C327,'TL10'!$J$10:$J$224),0),
IF('TL10'!$B$229=Q$3,SUMIF('TL10'!$C$238:$C$451,$C327,'TL10'!$J$238:$J$451),0),
IF('TL11'!$B$3=Q$3,SUMIF('TL11'!$C$10:$C$224,$C327,'TL11'!$J$10:$J$224),0),
IF('TL11'!$B$229=Q$3,SUMIF('TL11'!$C$238:$C$451,$C327,'TL11'!$J$238:$J$451),0),
IF('TL12'!$B$3=Q$3,SUMIF('TL12'!$C$10:$C$224,$C327,'TL12'!$J$10:$J$224),0),
IF('TL12'!$B$229=Q$3,SUMIF('TL12'!$C$238:$C$451,$C327,'TL12'!$J$238:$J$451),0),
IF('TL13'!$B$3=Q$3,SUMIF('TL13'!$C$10:$C$224,$C327,'TL13'!$J$10:$J$224),0),
IF('TL13'!$B$229=Q$3,SUMIF('TL13'!$C$238:$C$451,$C327,'TL13'!$J$238:$J$451),0),
IF('TL14'!$B$3=Q$3,SUMIF('TL14'!$C$10:$C$224,$C327,'TL14'!$J$10:$J$224),0),
IF('TL14'!$B$229=Q$3,SUMIF('TL14'!$C$238:$C$451,$C327,'TL14'!$J$238:$J$451),0),
IF('TL15'!$B$3=Q$3,SUMIF('TL15'!$C$10:$C$224,$C327,'TL15'!$J$10:$J$224),0),
IF('TL15'!$B$229=Q$3,SUMIF('TL15'!$C$238:$C$451,$C327,'TL15'!$J$238:$J$451),0),
IF('TL16'!$B$3=Q$3,SUMIF('TL16'!$C$10:$C$224,$C327,'TL16'!$J$10:$J$224),0),
IF('TL16'!$B$229=Q$3,SUMIF('TL16'!$C$238:$C$451,$C327,'TL16'!$J$238:$J$451),0),
IF('TL17'!$B$3=Q$3,SUMIF('TL17'!$C$10:$C$224,$C327,'TL17'!$J$10:$J$224),0),
IF('TL17'!$B$229=Q$3,SUMIF('TL17'!$C$238:$C$451,$C327,'TL17'!$J$238:$J$451),0),
IF('TL18'!$B$3=Q$3,SUMIF('TL18'!$C$10:$C$224,$C327,'TL18'!$J$10:$J$224),0),
IF('TL18'!$B$229=Q$3,SUMIF('TL18'!$C$238:$C$451,$C327,'TL18'!$J$238:$J$451),0),
IF('TL19'!$B$3=Q$3,SUMIF('TL19'!$C$10:$C$224,$C327,'TL19'!$J$10:$J$224),0),
IF('TL19'!$B$229=Q$3,SUMIF('TL19'!$C$238:$C$451,$C327,'TL19'!$J$238:$J$451),0)
),0)</f>
        <v/>
      </c>
      <c r="R327" s="9">
        <f>IFERROR(
SUM(
SUMIF('TL01'!C:C,C327,'TL01'!J:J),
SUMIF('TL02'!C:C,C327,'TL02'!J:J),
SUMIF('TL03'!C:C,C327,'TL03'!J:J),
SUMIF('TL04'!C:C,C327,'TL04'!J:J),
SUMIF('TL05'!C:C,C327,'TL05'!J:J),
SUMIF('TL06'!C:C,C327,'TL06'!J:J),
SUMIF('TL07'!C:C,C327,'TL07'!J:J),
SUMIF('TL08'!C:C,C327,'TL08'!J:J),
SUMIF('TL09'!C:C,C327,'TL09'!J:J),
SUMIF('TL10'!C:C,C327,'TL10'!J:J),
SUMIF('TL11'!C:C,C327,'TL11'!J:J),
SUMIF('TL12'!C:C,C327,'TL12'!J:J),
SUMIF('TL13'!C:C,C327,'TL13'!J:J),
SUMIF('TL14'!C:C,C327,'TL14'!J:J),
SUMIF('TL15'!C:C,C327,'TL15'!J:J),
SUMIF('TL16'!C:C,C327,'TL16'!J:J),
SUMIF('TL17'!C:C,C327,'TL17'!J:J),
SUMIF('TL18'!C:C,C327,'TL18'!J:J),SUMIF('TL19'!C:C,C327,'TL19'!J:J))
,0)</f>
        <v/>
      </c>
      <c r="S327" s="17">
        <f>IFERROR(__xludf.DUMMYFUNCTION("IFERROR(VLOOKUP(C327,
IMPORTRANGE(""1wULbzX32WdYsx-lj2U3uUNBBe2INVIRDtcK0d-Dvl90"",
""26-27!C:G""),
5,
FALSE),
"""")"),"")</f>
        <v/>
      </c>
      <c r="T327" s="9" t="n"/>
      <c r="U327" s="92">
        <f>MAX(0,R327-T327)</f>
        <v/>
      </c>
      <c r="V327" s="93">
        <f>U327*S327</f>
        <v/>
      </c>
    </row>
    <row r="328" hidden="1" ht="15.75" customHeight="1" s="297">
      <c r="A328" s="4" t="n"/>
      <c r="B328" s="125" t="inlineStr">
        <is>
          <t>SEMENTE</t>
        </is>
      </c>
      <c r="C328" s="4" t="inlineStr">
        <is>
          <t>MITICA 7.7</t>
        </is>
      </c>
      <c r="D328" s="20" t="n"/>
      <c r="E328" s="9" t="n"/>
      <c r="F328" s="4" t="inlineStr">
        <is>
          <t>5MM</t>
        </is>
      </c>
      <c r="G328" s="90">
        <f>HYPERLINK("https://www.google.com/search?q=" &amp; C328 &amp; "+bula+agrofit+pdf", "📄 Ver bula")</f>
        <v/>
      </c>
      <c r="H328" s="9" t="n"/>
      <c r="I328" s="1" t="inlineStr">
        <is>
          <t>BAG</t>
        </is>
      </c>
      <c r="J328" s="9">
        <f>IFERROR(SUM(
IF('TL01'!$B$3=J$3,SUMIF('TL01'!$C$10:$C$224,$C328,'TL01'!$J$10:$J$224),0),
IF('TL01'!$B$229=J$3,SUMIF('TL01'!$C$238:$C$451,$C328,'TL01'!$J$238:$J$451),0),
IF('TL02'!$B$3=J$3,SUMIF('TL02'!$C$10:$C$224,$C328,'TL02'!$J$10:$J$224),0),
IF('TL02'!$B$229=J$3,SUMIF('TL02'!$C$238:$C$451,$C328,'TL02'!$J$238:$J$451),0),
IF('TL03'!$B$3=J$3,SUMIF('TL03'!$C$10:$C$224,$C328,'TL03'!$J$10:$J$224),0),
IF('TL03'!$B$229=J$3,SUMIF('TL03'!$C$238:$C$451,$C328,'TL03'!$J$238:$J$451),0),
IF('TL04'!$B$3=J$3,SUMIF('TL04'!$C$10:$C$224,$C328,'TL04'!$J$10:$J$224),0),
IF('TL04'!$B$229=J$3,SUMIF('TL04'!$C$238:$C$451,$C328,'TL04'!$J$238:$J$451),0),
IF('TL05'!$B$3=J$3,SUMIF('TL05'!$C$10:$C$224,$C328,'TL05'!$J$10:$J$224),0),
IF('TL05'!$B$229=J$3,SUMIF('TL05'!$C$238:$C$451,$C328,'TL05'!$J$238:$J$451),0),
IF('TL06'!$B$3=J$3,SUMIF('TL06'!$C$10:$C$224,$C328,'TL06'!$J$10:$J$224),0),
IF('TL06'!$B$229=J$3,SUMIF('TL06'!$C$238:$C$451,$C328,'TL06'!$J$238:$J$451),0),
IF('TL07'!$B$3=J$3,SUMIF('TL07'!$C$10:$C$224,$C328,'TL07'!$J$10:$J$224),0),
IF('TL07'!$B$229=J$3,SUMIF('TL07'!$C$238:$C$451,$C328,'TL07'!$J$238:$J$451),0),
IF('TL08'!$B$3=J$3,SUMIF('TL08'!$C$10:$C$224,$C328,'TL08'!$J$10:$J$224),0),
IF('TL08'!$B$229=J$3,SUMIF('TL08'!$C$238:$C$451,$C328,'TL08'!$J$238:$J$451),0),
IF('TL09'!$B$3=J$3,SUMIF('TL09'!$C$10:$C$224,$C328,'TL09'!$J$10:$J$224),0),
IF('TL09'!$B$229=J$3,SUMIF('TL09'!$C$238:$C$451,$C328,'TL09'!$J$238:$J$451),0),
IF('TL10'!$B$3=J$3,SUMIF('TL10'!$C$10:$C$224,$C328,'TL10'!$J$10:$J$224),0),
IF('TL10'!$B$229=J$3,SUMIF('TL10'!$C$238:$C$451,$C328,'TL10'!$J$238:$J$451),0),
IF('TL11'!$B$3=J$3,SUMIF('TL11'!$C$10:$C$224,$C328,'TL11'!$J$10:$J$224),0),
IF('TL11'!$B$229=J$3,SUMIF('TL11'!$C$238:$C$451,$C328,'TL11'!$J$238:$J$451),0),
IF('TL12'!$B$3=J$3,SUMIF('TL12'!$C$10:$C$224,$C328,'TL12'!$J$10:$J$224),0),
IF('TL12'!$B$229=J$3,SUMIF('TL12'!$C$238:$C$451,$C328,'TL12'!$J$238:$J$451),0),
IF('TL13'!$B$3=J$3,SUMIF('TL13'!$C$10:$C$224,$C328,'TL13'!$J$10:$J$224),0),
IF('TL13'!$B$229=J$3,SUMIF('TL13'!$C$238:$C$451,$C328,'TL13'!$J$238:$J$451),0),
IF('TL14'!$B$3=J$3,SUMIF('TL14'!$C$10:$C$224,$C328,'TL14'!$J$10:$J$224),0),
IF('TL14'!$B$229=J$3,SUMIF('TL14'!$C$238:$C$451,$C328,'TL14'!$J$238:$J$451),0),
IF('TL15'!$B$3=J$3,SUMIF('TL15'!$C$10:$C$224,$C328,'TL15'!$J$10:$J$224),0),
IF('TL15'!$B$229=J$3,SUMIF('TL15'!$C$238:$C$451,$C328,'TL15'!$J$238:$J$451),0),
IF('TL16'!$B$3=J$3,SUMIF('TL16'!$C$10:$C$224,$C328,'TL16'!$J$10:$J$224),0),
IF('TL16'!$B$229=J$3,SUMIF('TL16'!$C$238:$C$451,$C328,'TL16'!$J$238:$J$451),0),
IF('TL17'!$B$3=J$3,SUMIF('TL17'!$C$10:$C$224,$C328,'TL17'!$J$10:$J$224),0),
IF('TL17'!$B$229=J$3,SUMIF('TL17'!$C$238:$C$451,$C328,'TL17'!$J$238:$J$451),0),
IF('TL18'!$B$3=J$3,SUMIF('TL18'!$C$10:$C$224,$C328,'TL18'!$J$10:$J$224),0),
IF('TL18'!$B$229=J$3,SUMIF('TL18'!$C$238:$C$451,$C328,'TL18'!$J$238:$J$451),0),
IF('TL19'!$B$3=J$3,SUMIF('TL19'!$C$10:$C$224,$C328,'TL19'!$J$10:$J$224),0),
IF('TL19'!$B$229=J$3,SUMIF('TL19'!$C$238:$C$451,$C328,'TL19'!$J$238:$J$451),0)
),0)</f>
        <v/>
      </c>
      <c r="K328" s="9">
        <f>IFERROR(SUM(
IF('TL01'!$B$3=K$3,SUMIF('TL01'!$C$10:$C$224,$C328,'TL01'!$J$10:$J$224),0),
IF('TL01'!$B$229=K$3,SUMIF('TL01'!$C$238:$C$451,$C328,'TL01'!$J$238:$J$451),0),
IF('TL02'!$B$3=K$3,SUMIF('TL02'!$C$10:$C$224,$C328,'TL02'!$J$10:$J$224),0),
IF('TL02'!$B$229=K$3,SUMIF('TL02'!$C$238:$C$451,$C328,'TL02'!$J$238:$J$451),0),
IF('TL03'!$B$3=K$3,SUMIF('TL03'!$C$10:$C$224,$C328,'TL03'!$J$10:$J$224),0),
IF('TL03'!$B$229=K$3,SUMIF('TL03'!$C$238:$C$451,$C328,'TL03'!$J$238:$J$451),0),
IF('TL04'!$B$3=K$3,SUMIF('TL04'!$C$10:$C$224,$C328,'TL04'!$J$10:$J$224),0),
IF('TL04'!$B$229=K$3,SUMIF('TL04'!$C$238:$C$451,$C328,'TL04'!$J$238:$J$451),0),
IF('TL05'!$B$3=K$3,SUMIF('TL05'!$C$10:$C$224,$C328,'TL05'!$J$10:$J$224),0),
IF('TL05'!$B$229=K$3,SUMIF('TL05'!$C$238:$C$451,$C328,'TL05'!$J$238:$J$451),0),
IF('TL06'!$B$3=K$3,SUMIF('TL06'!$C$10:$C$224,$C328,'TL06'!$J$10:$J$224),0),
IF('TL06'!$B$229=K$3,SUMIF('TL06'!$C$238:$C$451,$C328,'TL06'!$J$238:$J$451),0),
IF('TL07'!$B$3=K$3,SUMIF('TL07'!$C$10:$C$224,$C328,'TL07'!$J$10:$J$224),0),
IF('TL07'!$B$229=K$3,SUMIF('TL07'!$C$238:$C$451,$C328,'TL07'!$J$238:$J$451),0),
IF('TL08'!$B$3=K$3,SUMIF('TL08'!$C$10:$C$224,$C328,'TL08'!$J$10:$J$224),0),
IF('TL08'!$B$229=K$3,SUMIF('TL08'!$C$238:$C$451,$C328,'TL08'!$J$238:$J$451),0),
IF('TL09'!$B$3=K$3,SUMIF('TL09'!$C$10:$C$224,$C328,'TL09'!$J$10:$J$224),0),
IF('TL09'!$B$229=K$3,SUMIF('TL09'!$C$238:$C$451,$C328,'TL09'!$J$238:$J$451),0),
IF('TL10'!$B$3=K$3,SUMIF('TL10'!$C$10:$C$224,$C328,'TL10'!$J$10:$J$224),0),
IF('TL10'!$B$229=K$3,SUMIF('TL10'!$C$238:$C$451,$C328,'TL10'!$J$238:$J$451),0),
IF('TL11'!$B$3=K$3,SUMIF('TL11'!$C$10:$C$224,$C328,'TL11'!$J$10:$J$224),0),
IF('TL11'!$B$229=K$3,SUMIF('TL11'!$C$238:$C$451,$C328,'TL11'!$J$238:$J$451),0),
IF('TL12'!$B$3=K$3,SUMIF('TL12'!$C$10:$C$224,$C328,'TL12'!$J$10:$J$224),0),
IF('TL12'!$B$229=K$3,SUMIF('TL12'!$C$238:$C$451,$C328,'TL12'!$J$238:$J$451),0),
IF('TL13'!$B$3=K$3,SUMIF('TL13'!$C$10:$C$224,$C328,'TL13'!$J$10:$J$224),0),
IF('TL13'!$B$229=K$3,SUMIF('TL13'!$C$238:$C$451,$C328,'TL13'!$J$238:$J$451),0),
IF('TL14'!$B$3=K$3,SUMIF('TL14'!$C$10:$C$224,$C328,'TL14'!$J$10:$J$224),0),
IF('TL14'!$B$229=K$3,SUMIF('TL14'!$C$238:$C$451,$C328,'TL14'!$J$238:$J$451),0),
IF('TL15'!$B$3=K$3,SUMIF('TL15'!$C$10:$C$224,$C328,'TL15'!$J$10:$J$224),0),
IF('TL15'!$B$229=K$3,SUMIF('TL15'!$C$238:$C$451,$C328,'TL15'!$J$238:$J$451),0),
IF('TL16'!$B$3=K$3,SUMIF('TL16'!$C$10:$C$224,$C328,'TL16'!$J$10:$J$224),0),
IF('TL16'!$B$229=K$3,SUMIF('TL16'!$C$238:$C$451,$C328,'TL16'!$J$238:$J$451),0),
IF('TL17'!$B$3=K$3,SUMIF('TL17'!$C$10:$C$224,$C328,'TL17'!$J$10:$J$224),0),
IF('TL17'!$B$229=K$3,SUMIF('TL17'!$C$238:$C$451,$C328,'TL17'!$J$238:$J$451),0),
IF('TL18'!$B$3=K$3,SUMIF('TL18'!$C$10:$C$224,$C328,'TL18'!$J$10:$J$224),0),
IF('TL18'!$B$229=K$3,SUMIF('TL18'!$C$238:$C$451,$C328,'TL18'!$J$238:$J$451),0),
IF('TL19'!$B$3=K$3,SUMIF('TL19'!$C$10:$C$224,$C328,'TL19'!$J$10:$J$224),0),
IF('TL19'!$B$229=K$3,SUMIF('TL19'!$C$238:$C$451,$C328,'TL19'!$J$238:$J$451),0)
),0)</f>
        <v/>
      </c>
      <c r="L328" s="9">
        <f>IFERROR(SUM(
IF('TL01'!$B$3=L$3,SUMIF('TL01'!$C$10:$C$224,$C328,'TL01'!$J$10:$J$224),0),
IF('TL01'!$B$229=L$3,SUMIF('TL01'!$C$238:$C$451,$C328,'TL01'!$J$238:$J$451),0),
IF('TL02'!$B$3=L$3,SUMIF('TL02'!$C$10:$C$224,$C328,'TL02'!$J$10:$J$224),0),
IF('TL02'!$B$229=L$3,SUMIF('TL02'!$C$238:$C$451,$C328,'TL02'!$J$238:$J$451),0),
IF('TL03'!$B$3=L$3,SUMIF('TL03'!$C$10:$C$224,$C328,'TL03'!$J$10:$J$224),0),
IF('TL03'!$B$229=L$3,SUMIF('TL03'!$C$238:$C$451,$C328,'TL03'!$J$238:$J$451),0),
IF('TL04'!$B$3=L$3,SUMIF('TL04'!$C$10:$C$224,$C328,'TL04'!$J$10:$J$224),0),
IF('TL04'!$B$229=L$3,SUMIF('TL04'!$C$238:$C$451,$C328,'TL04'!$J$238:$J$451),0),
IF('TL05'!$B$3=L$3,SUMIF('TL05'!$C$10:$C$224,$C328,'TL05'!$J$10:$J$224),0),
IF('TL05'!$B$229=L$3,SUMIF('TL05'!$C$238:$C$451,$C328,'TL05'!$J$238:$J$451),0),
IF('TL06'!$B$3=L$3,SUMIF('TL06'!$C$10:$C$224,$C328,'TL06'!$J$10:$J$224),0),
IF('TL06'!$B$229=L$3,SUMIF('TL06'!$C$238:$C$451,$C328,'TL06'!$J$238:$J$451),0),
IF('TL07'!$B$3=L$3,SUMIF('TL07'!$C$10:$C$224,$C328,'TL07'!$J$10:$J$224),0),
IF('TL07'!$B$229=L$3,SUMIF('TL07'!$C$238:$C$451,$C328,'TL07'!$J$238:$J$451),0),
IF('TL08'!$B$3=L$3,SUMIF('TL08'!$C$10:$C$224,$C328,'TL08'!$J$10:$J$224),0),
IF('TL08'!$B$229=L$3,SUMIF('TL08'!$C$238:$C$451,$C328,'TL08'!$J$238:$J$451),0),
IF('TL09'!$B$3=L$3,SUMIF('TL09'!$C$10:$C$224,$C328,'TL09'!$J$10:$J$224),0),
IF('TL09'!$B$229=L$3,SUMIF('TL09'!$C$238:$C$451,$C328,'TL09'!$J$238:$J$451),0),
IF('TL10'!$B$3=L$3,SUMIF('TL10'!$C$10:$C$224,$C328,'TL10'!$J$10:$J$224),0),
IF('TL10'!$B$229=L$3,SUMIF('TL10'!$C$238:$C$451,$C328,'TL10'!$J$238:$J$451),0),
IF('TL11'!$B$3=L$3,SUMIF('TL11'!$C$10:$C$224,$C328,'TL11'!$J$10:$J$224),0),
IF('TL11'!$B$229=L$3,SUMIF('TL11'!$C$238:$C$451,$C328,'TL11'!$J$238:$J$451),0),
IF('TL12'!$B$3=L$3,SUMIF('TL12'!$C$10:$C$224,$C328,'TL12'!$J$10:$J$224),0),
IF('TL12'!$B$229=L$3,SUMIF('TL12'!$C$238:$C$451,$C328,'TL12'!$J$238:$J$451),0),
IF('TL13'!$B$3=L$3,SUMIF('TL13'!$C$10:$C$224,$C328,'TL13'!$J$10:$J$224),0),
IF('TL13'!$B$229=L$3,SUMIF('TL13'!$C$238:$C$451,$C328,'TL13'!$J$238:$J$451),0),
IF('TL14'!$B$3=L$3,SUMIF('TL14'!$C$10:$C$224,$C328,'TL14'!$J$10:$J$224),0),
IF('TL14'!$B$229=L$3,SUMIF('TL14'!$C$238:$C$451,$C328,'TL14'!$J$238:$J$451),0),
IF('TL15'!$B$3=L$3,SUMIF('TL15'!$C$10:$C$224,$C328,'TL15'!$J$10:$J$224),0),
IF('TL15'!$B$229=L$3,SUMIF('TL15'!$C$238:$C$451,$C328,'TL15'!$J$238:$J$451),0),
IF('TL16'!$B$3=L$3,SUMIF('TL16'!$C$10:$C$224,$C328,'TL16'!$J$10:$J$224),0),
IF('TL16'!$B$229=L$3,SUMIF('TL16'!$C$238:$C$451,$C328,'TL16'!$J$238:$J$451),0),
IF('TL17'!$B$3=L$3,SUMIF('TL17'!$C$10:$C$224,$C328,'TL17'!$J$10:$J$224),0),
IF('TL17'!$B$229=L$3,SUMIF('TL17'!$C$238:$C$451,$C328,'TL17'!$J$238:$J$451),0),
IF('TL18'!$B$3=L$3,SUMIF('TL18'!$C$10:$C$224,$C328,'TL18'!$J$10:$J$224),0),
IF('TL18'!$B$229=L$3,SUMIF('TL18'!$C$238:$C$451,$C328,'TL18'!$J$238:$J$451),0),
IF('TL19'!$B$3=L$3,SUMIF('TL19'!$C$10:$C$224,$C328,'TL19'!$J$10:$J$224),0),
IF('TL19'!$B$229=L$3,SUMIF('TL19'!$C$238:$C$451,$C328,'TL19'!$J$238:$J$451),0)
),0)</f>
        <v/>
      </c>
      <c r="M328" s="9">
        <f>IFERROR(SUM(
IF('TL01'!$B$3=M$3,SUMIF('TL01'!$C$10:$C$224,$C328,'TL01'!$J$10:$J$224),0),
IF('TL01'!$B$229=M$3,SUMIF('TL01'!$C$238:$C$451,$C328,'TL01'!$J$238:$J$451),0),
IF('TL02'!$B$3=M$3,SUMIF('TL02'!$C$10:$C$224,$C328,'TL02'!$J$10:$J$224),0),
IF('TL02'!$B$229=M$3,SUMIF('TL02'!$C$238:$C$451,$C328,'TL02'!$J$238:$J$451),0),
IF('TL03'!$B$3=M$3,SUMIF('TL03'!$C$10:$C$224,$C328,'TL03'!$J$10:$J$224),0),
IF('TL03'!$B$229=M$3,SUMIF('TL03'!$C$238:$C$451,$C328,'TL03'!$J$238:$J$451),0),
IF('TL04'!$B$3=M$3,SUMIF('TL04'!$C$10:$C$224,$C328,'TL04'!$J$10:$J$224),0),
IF('TL04'!$B$229=M$3,SUMIF('TL04'!$C$238:$C$451,$C328,'TL04'!$J$238:$J$451),0),
IF('TL05'!$B$3=M$3,SUMIF('TL05'!$C$10:$C$224,$C328,'TL05'!$J$10:$J$224),0),
IF('TL05'!$B$229=M$3,SUMIF('TL05'!$C$238:$C$451,$C328,'TL05'!$J$238:$J$451),0),
IF('TL06'!$B$3=M$3,SUMIF('TL06'!$C$10:$C$224,$C328,'TL06'!$J$10:$J$224),0),
IF('TL06'!$B$229=M$3,SUMIF('TL06'!$C$238:$C$451,$C328,'TL06'!$J$238:$J$451),0),
IF('TL07'!$B$3=M$3,SUMIF('TL07'!$C$10:$C$224,$C328,'TL07'!$J$10:$J$224),0),
IF('TL07'!$B$229=M$3,SUMIF('TL07'!$C$238:$C$451,$C328,'TL07'!$J$238:$J$451),0),
IF('TL08'!$B$3=M$3,SUMIF('TL08'!$C$10:$C$224,$C328,'TL08'!$J$10:$J$224),0),
IF('TL08'!$B$229=M$3,SUMIF('TL08'!$C$238:$C$451,$C328,'TL08'!$J$238:$J$451),0),
IF('TL09'!$B$3=M$3,SUMIF('TL09'!$C$10:$C$224,$C328,'TL09'!$J$10:$J$224),0),
IF('TL09'!$B$229=M$3,SUMIF('TL09'!$C$238:$C$451,$C328,'TL09'!$J$238:$J$451),0),
IF('TL10'!$B$3=M$3,SUMIF('TL10'!$C$10:$C$224,$C328,'TL10'!$J$10:$J$224),0),
IF('TL10'!$B$229=M$3,SUMIF('TL10'!$C$238:$C$451,$C328,'TL10'!$J$238:$J$451),0),
IF('TL11'!$B$3=M$3,SUMIF('TL11'!$C$10:$C$224,$C328,'TL11'!$J$10:$J$224),0),
IF('TL11'!$B$229=M$3,SUMIF('TL11'!$C$238:$C$451,$C328,'TL11'!$J$238:$J$451),0),
IF('TL12'!$B$3=M$3,SUMIF('TL12'!$C$10:$C$224,$C328,'TL12'!$J$10:$J$224),0),
IF('TL12'!$B$229=M$3,SUMIF('TL12'!$C$238:$C$451,$C328,'TL12'!$J$238:$J$451),0),
IF('TL13'!$B$3=M$3,SUMIF('TL13'!$C$10:$C$224,$C328,'TL13'!$J$10:$J$224),0),
IF('TL13'!$B$229=M$3,SUMIF('TL13'!$C$238:$C$451,$C328,'TL13'!$J$238:$J$451),0),
IF('TL14'!$B$3=M$3,SUMIF('TL14'!$C$10:$C$224,$C328,'TL14'!$J$10:$J$224),0),
IF('TL14'!$B$229=M$3,SUMIF('TL14'!$C$238:$C$451,$C328,'TL14'!$J$238:$J$451),0),
IF('TL15'!$B$3=M$3,SUMIF('TL15'!$C$10:$C$224,$C328,'TL15'!$J$10:$J$224),0),
IF('TL15'!$B$229=M$3,SUMIF('TL15'!$C$238:$C$451,$C328,'TL15'!$J$238:$J$451),0),
IF('TL16'!$B$3=M$3,SUMIF('TL16'!$C$10:$C$224,$C328,'TL16'!$J$10:$J$224),0),
IF('TL16'!$B$229=M$3,SUMIF('TL16'!$C$238:$C$451,$C328,'TL16'!$J$238:$J$451),0),
IF('TL17'!$B$3=M$3,SUMIF('TL17'!$C$10:$C$224,$C328,'TL17'!$J$10:$J$224),0),
IF('TL17'!$B$229=M$3,SUMIF('TL17'!$C$238:$C$451,$C328,'TL17'!$J$238:$J$451),0),
IF('TL18'!$B$3=M$3,SUMIF('TL18'!$C$10:$C$224,$C328,'TL18'!$J$10:$J$224),0),
IF('TL18'!$B$229=M$3,SUMIF('TL18'!$C$238:$C$451,$C328,'TL18'!$J$238:$J$451),0),
IF('TL19'!$B$3=M$3,SUMIF('TL19'!$C$10:$C$224,$C328,'TL19'!$J$10:$J$224),0),
IF('TL19'!$B$229=M$3,SUMIF('TL19'!$C$238:$C$451,$C328,'TL19'!$J$238:$J$451),0)
),0)</f>
        <v/>
      </c>
      <c r="N328" s="9">
        <f>IFERROR(SUM(
IF('TL01'!$B$3=N$3,SUMIF('TL01'!$C$10:$C$224,$C328,'TL01'!$J$10:$J$224),0),
IF('TL01'!$B$229=N$3,SUMIF('TL01'!$C$238:$C$451,$C328,'TL01'!$J$238:$J$451),0),
IF('TL02'!$B$3=N$3,SUMIF('TL02'!$C$10:$C$224,$C328,'TL02'!$J$10:$J$224),0),
IF('TL02'!$B$229=N$3,SUMIF('TL02'!$C$238:$C$451,$C328,'TL02'!$J$238:$J$451),0),
IF('TL03'!$B$3=N$3,SUMIF('TL03'!$C$10:$C$224,$C328,'TL03'!$J$10:$J$224),0),
IF('TL03'!$B$229=N$3,SUMIF('TL03'!$C$238:$C$451,$C328,'TL03'!$J$238:$J$451),0),
IF('TL04'!$B$3=N$3,SUMIF('TL04'!$C$10:$C$224,$C328,'TL04'!$J$10:$J$224),0),
IF('TL04'!$B$229=N$3,SUMIF('TL04'!$C$238:$C$451,$C328,'TL04'!$J$238:$J$451),0),
IF('TL05'!$B$3=N$3,SUMIF('TL05'!$C$10:$C$224,$C328,'TL05'!$J$10:$J$224),0),
IF('TL05'!$B$229=N$3,SUMIF('TL05'!$C$238:$C$451,$C328,'TL05'!$J$238:$J$451),0),
IF('TL06'!$B$3=N$3,SUMIF('TL06'!$C$10:$C$224,$C328,'TL06'!$J$10:$J$224),0),
IF('TL06'!$B$229=N$3,SUMIF('TL06'!$C$238:$C$451,$C328,'TL06'!$J$238:$J$451),0),
IF('TL07'!$B$3=N$3,SUMIF('TL07'!$C$10:$C$224,$C328,'TL07'!$J$10:$J$224),0),
IF('TL07'!$B$229=N$3,SUMIF('TL07'!$C$238:$C$451,$C328,'TL07'!$J$238:$J$451),0),
IF('TL08'!$B$3=N$3,SUMIF('TL08'!$C$10:$C$224,$C328,'TL08'!$J$10:$J$224),0),
IF('TL08'!$B$229=N$3,SUMIF('TL08'!$C$238:$C$451,$C328,'TL08'!$J$238:$J$451),0),
IF('TL09'!$B$3=N$3,SUMIF('TL09'!$C$10:$C$224,$C328,'TL09'!$J$10:$J$224),0),
IF('TL09'!$B$229=N$3,SUMIF('TL09'!$C$238:$C$451,$C328,'TL09'!$J$238:$J$451),0),
IF('TL10'!$B$3=N$3,SUMIF('TL10'!$C$10:$C$224,$C328,'TL10'!$J$10:$J$224),0),
IF('TL10'!$B$229=N$3,SUMIF('TL10'!$C$238:$C$451,$C328,'TL10'!$J$238:$J$451),0),
IF('TL11'!$B$3=N$3,SUMIF('TL11'!$C$10:$C$224,$C328,'TL11'!$J$10:$J$224),0),
IF('TL11'!$B$229=N$3,SUMIF('TL11'!$C$238:$C$451,$C328,'TL11'!$J$238:$J$451),0),
IF('TL12'!$B$3=N$3,SUMIF('TL12'!$C$10:$C$224,$C328,'TL12'!$J$10:$J$224),0),
IF('TL12'!$B$229=N$3,SUMIF('TL12'!$C$238:$C$451,$C328,'TL12'!$J$238:$J$451),0),
IF('TL13'!$B$3=N$3,SUMIF('TL13'!$C$10:$C$224,$C328,'TL13'!$J$10:$J$224),0),
IF('TL13'!$B$229=N$3,SUMIF('TL13'!$C$238:$C$451,$C328,'TL13'!$J$238:$J$451),0),
IF('TL14'!$B$3=N$3,SUMIF('TL14'!$C$10:$C$224,$C328,'TL14'!$J$10:$J$224),0),
IF('TL14'!$B$229=N$3,SUMIF('TL14'!$C$238:$C$451,$C328,'TL14'!$J$238:$J$451),0),
IF('TL15'!$B$3=N$3,SUMIF('TL15'!$C$10:$C$224,$C328,'TL15'!$J$10:$J$224),0),
IF('TL15'!$B$229=N$3,SUMIF('TL15'!$C$238:$C$451,$C328,'TL15'!$J$238:$J$451),0),
IF('TL16'!$B$3=N$3,SUMIF('TL16'!$C$10:$C$224,$C328,'TL16'!$J$10:$J$224),0),
IF('TL16'!$B$229=N$3,SUMIF('TL16'!$C$238:$C$451,$C328,'TL16'!$J$238:$J$451),0),
IF('TL17'!$B$3=N$3,SUMIF('TL17'!$C$10:$C$224,$C328,'TL17'!$J$10:$J$224),0),
IF('TL17'!$B$229=N$3,SUMIF('TL17'!$C$238:$C$451,$C328,'TL17'!$J$238:$J$451),0),
IF('TL18'!$B$3=N$3,SUMIF('TL18'!$C$10:$C$224,$C328,'TL18'!$J$10:$J$224),0),
IF('TL18'!$B$229=N$3,SUMIF('TL18'!$C$238:$C$451,$C328,'TL18'!$J$238:$J$451),0),
IF('TL19'!$B$3=N$3,SUMIF('TL19'!$C$10:$C$224,$C328,'TL19'!$J$10:$J$224),0),
IF('TL19'!$B$229=N$3,SUMIF('TL19'!$C$238:$C$451,$C328,'TL19'!$J$238:$J$451),0)
),0)</f>
        <v/>
      </c>
      <c r="O328" s="9">
        <f>IFERROR(SUM(
IF('TL01'!$B$3=O$3,SUMIF('TL01'!$C$10:$C$224,$C328,'TL01'!$J$10:$J$224),0),
IF('TL01'!$B$229=O$3,SUMIF('TL01'!$C$238:$C$451,$C328,'TL01'!$J$238:$J$451),0),
IF('TL02'!$B$3=O$3,SUMIF('TL02'!$C$10:$C$224,$C328,'TL02'!$J$10:$J$224),0),
IF('TL02'!$B$229=O$3,SUMIF('TL02'!$C$238:$C$451,$C328,'TL02'!$J$238:$J$451),0),
IF('TL03'!$B$3=O$3,SUMIF('TL03'!$C$10:$C$224,$C328,'TL03'!$J$10:$J$224),0),
IF('TL03'!$B$229=O$3,SUMIF('TL03'!$C$238:$C$451,$C328,'TL03'!$J$238:$J$451),0),
IF('TL04'!$B$3=O$3,SUMIF('TL04'!$C$10:$C$224,$C328,'TL04'!$J$10:$J$224),0),
IF('TL04'!$B$229=O$3,SUMIF('TL04'!$C$238:$C$451,$C328,'TL04'!$J$238:$J$451),0),
IF('TL05'!$B$3=O$3,SUMIF('TL05'!$C$10:$C$224,$C328,'TL05'!$J$10:$J$224),0),
IF('TL05'!$B$229=O$3,SUMIF('TL05'!$C$238:$C$451,$C328,'TL05'!$J$238:$J$451),0),
IF('TL06'!$B$3=O$3,SUMIF('TL06'!$C$10:$C$224,$C328,'TL06'!$J$10:$J$224),0),
IF('TL06'!$B$229=O$3,SUMIF('TL06'!$C$238:$C$451,$C328,'TL06'!$J$238:$J$451),0),
IF('TL07'!$B$3=O$3,SUMIF('TL07'!$C$10:$C$224,$C328,'TL07'!$J$10:$J$224),0),
IF('TL07'!$B$229=O$3,SUMIF('TL07'!$C$238:$C$451,$C328,'TL07'!$J$238:$J$451),0),
IF('TL08'!$B$3=O$3,SUMIF('TL08'!$C$10:$C$224,$C328,'TL08'!$J$10:$J$224),0),
IF('TL08'!$B$229=O$3,SUMIF('TL08'!$C$238:$C$451,$C328,'TL08'!$J$238:$J$451),0),
IF('TL09'!$B$3=O$3,SUMIF('TL09'!$C$10:$C$224,$C328,'TL09'!$J$10:$J$224),0),
IF('TL09'!$B$229=O$3,SUMIF('TL09'!$C$238:$C$451,$C328,'TL09'!$J$238:$J$451),0),
IF('TL10'!$B$3=O$3,SUMIF('TL10'!$C$10:$C$224,$C328,'TL10'!$J$10:$J$224),0),
IF('TL10'!$B$229=O$3,SUMIF('TL10'!$C$238:$C$451,$C328,'TL10'!$J$238:$J$451),0),
IF('TL11'!$B$3=O$3,SUMIF('TL11'!$C$10:$C$224,$C328,'TL11'!$J$10:$J$224),0),
IF('TL11'!$B$229=O$3,SUMIF('TL11'!$C$238:$C$451,$C328,'TL11'!$J$238:$J$451),0),
IF('TL12'!$B$3=O$3,SUMIF('TL12'!$C$10:$C$224,$C328,'TL12'!$J$10:$J$224),0),
IF('TL12'!$B$229=O$3,SUMIF('TL12'!$C$238:$C$451,$C328,'TL12'!$J$238:$J$451),0),
IF('TL13'!$B$3=O$3,SUMIF('TL13'!$C$10:$C$224,$C328,'TL13'!$J$10:$J$224),0),
IF('TL13'!$B$229=O$3,SUMIF('TL13'!$C$238:$C$451,$C328,'TL13'!$J$238:$J$451),0),
IF('TL14'!$B$3=O$3,SUMIF('TL14'!$C$10:$C$224,$C328,'TL14'!$J$10:$J$224),0),
IF('TL14'!$B$229=O$3,SUMIF('TL14'!$C$238:$C$451,$C328,'TL14'!$J$238:$J$451),0),
IF('TL15'!$B$3=O$3,SUMIF('TL15'!$C$10:$C$224,$C328,'TL15'!$J$10:$J$224),0),
IF('TL15'!$B$229=O$3,SUMIF('TL15'!$C$238:$C$451,$C328,'TL15'!$J$238:$J$451),0),
IF('TL16'!$B$3=O$3,SUMIF('TL16'!$C$10:$C$224,$C328,'TL16'!$J$10:$J$224),0),
IF('TL16'!$B$229=O$3,SUMIF('TL16'!$C$238:$C$451,$C328,'TL16'!$J$238:$J$451),0),
IF('TL17'!$B$3=O$3,SUMIF('TL17'!$C$10:$C$224,$C328,'TL17'!$J$10:$J$224),0),
IF('TL17'!$B$229=O$3,SUMIF('TL17'!$C$238:$C$451,$C328,'TL17'!$J$238:$J$451),0),
IF('TL18'!$B$3=O$3,SUMIF('TL18'!$C$10:$C$224,$C328,'TL18'!$J$10:$J$224),0),
IF('TL18'!$B$229=O$3,SUMIF('TL18'!$C$238:$C$451,$C328,'TL18'!$J$238:$J$451),0),
IF('TL19'!$B$3=O$3,SUMIF('TL19'!$C$10:$C$224,$C328,'TL19'!$J$10:$J$224),0),
IF('TL19'!$B$229=O$3,SUMIF('TL19'!$C$238:$C$451,$C328,'TL19'!$J$238:$J$451),0)
),0)</f>
        <v/>
      </c>
      <c r="P328" s="9">
        <f>IFERROR(SUM(
IF('TL01'!$B$3=P$3,SUMIF('TL01'!$C$10:$C$224,$C328,'TL01'!$J$10:$J$224),0),
IF('TL01'!$B$229=P$3,SUMIF('TL01'!$C$238:$C$451,$C328,'TL01'!$J$238:$J$451),0),
IF('TL02'!$B$3=P$3,SUMIF('TL02'!$C$10:$C$224,$C328,'TL02'!$J$10:$J$224),0),
IF('TL02'!$B$229=P$3,SUMIF('TL02'!$C$238:$C$451,$C328,'TL02'!$J$238:$J$451),0),
IF('TL03'!$B$3=P$3,SUMIF('TL03'!$C$10:$C$224,$C328,'TL03'!$J$10:$J$224),0),
IF('TL03'!$B$229=P$3,SUMIF('TL03'!$C$238:$C$451,$C328,'TL03'!$J$238:$J$451),0),
IF('TL04'!$B$3=P$3,SUMIF('TL04'!$C$10:$C$224,$C328,'TL04'!$J$10:$J$224),0),
IF('TL04'!$B$229=P$3,SUMIF('TL04'!$C$238:$C$451,$C328,'TL04'!$J$238:$J$451),0),
IF('TL05'!$B$3=P$3,SUMIF('TL05'!$C$10:$C$224,$C328,'TL05'!$J$10:$J$224),0),
IF('TL05'!$B$229=P$3,SUMIF('TL05'!$C$238:$C$451,$C328,'TL05'!$J$238:$J$451),0),
IF('TL06'!$B$3=P$3,SUMIF('TL06'!$C$10:$C$224,$C328,'TL06'!$J$10:$J$224),0),
IF('TL06'!$B$229=P$3,SUMIF('TL06'!$C$238:$C$451,$C328,'TL06'!$J$238:$J$451),0),
IF('TL07'!$B$3=P$3,SUMIF('TL07'!$C$10:$C$224,$C328,'TL07'!$J$10:$J$224),0),
IF('TL07'!$B$229=P$3,SUMIF('TL07'!$C$238:$C$451,$C328,'TL07'!$J$238:$J$451),0),
IF('TL08'!$B$3=P$3,SUMIF('TL08'!$C$10:$C$224,$C328,'TL08'!$J$10:$J$224),0),
IF('TL08'!$B$229=P$3,SUMIF('TL08'!$C$238:$C$451,$C328,'TL08'!$J$238:$J$451),0),
IF('TL09'!$B$3=P$3,SUMIF('TL09'!$C$10:$C$224,$C328,'TL09'!$J$10:$J$224),0),
IF('TL09'!$B$229=P$3,SUMIF('TL09'!$C$238:$C$451,$C328,'TL09'!$J$238:$J$451),0),
IF('TL10'!$B$3=P$3,SUMIF('TL10'!$C$10:$C$224,$C328,'TL10'!$J$10:$J$224),0),
IF('TL10'!$B$229=P$3,SUMIF('TL10'!$C$238:$C$451,$C328,'TL10'!$J$238:$J$451),0),
IF('TL11'!$B$3=P$3,SUMIF('TL11'!$C$10:$C$224,$C328,'TL11'!$J$10:$J$224),0),
IF('TL11'!$B$229=P$3,SUMIF('TL11'!$C$238:$C$451,$C328,'TL11'!$J$238:$J$451),0),
IF('TL12'!$B$3=P$3,SUMIF('TL12'!$C$10:$C$224,$C328,'TL12'!$J$10:$J$224),0),
IF('TL12'!$B$229=P$3,SUMIF('TL12'!$C$238:$C$451,$C328,'TL12'!$J$238:$J$451),0),
IF('TL13'!$B$3=P$3,SUMIF('TL13'!$C$10:$C$224,$C328,'TL13'!$J$10:$J$224),0),
IF('TL13'!$B$229=P$3,SUMIF('TL13'!$C$238:$C$451,$C328,'TL13'!$J$238:$J$451),0),
IF('TL14'!$B$3=P$3,SUMIF('TL14'!$C$10:$C$224,$C328,'TL14'!$J$10:$J$224),0),
IF('TL14'!$B$229=P$3,SUMIF('TL14'!$C$238:$C$451,$C328,'TL14'!$J$238:$J$451),0),
IF('TL15'!$B$3=P$3,SUMIF('TL15'!$C$10:$C$224,$C328,'TL15'!$J$10:$J$224),0),
IF('TL15'!$B$229=P$3,SUMIF('TL15'!$C$238:$C$451,$C328,'TL15'!$J$238:$J$451),0),
IF('TL16'!$B$3=P$3,SUMIF('TL16'!$C$10:$C$224,$C328,'TL16'!$J$10:$J$224),0),
IF('TL16'!$B$229=P$3,SUMIF('TL16'!$C$238:$C$451,$C328,'TL16'!$J$238:$J$451),0),
IF('TL17'!$B$3=P$3,SUMIF('TL17'!$C$10:$C$224,$C328,'TL17'!$J$10:$J$224),0),
IF('TL17'!$B$229=P$3,SUMIF('TL17'!$C$238:$C$451,$C328,'TL17'!$J$238:$J$451),0),
IF('TL18'!$B$3=P$3,SUMIF('TL18'!$C$10:$C$224,$C328,'TL18'!$J$10:$J$224),0),
IF('TL18'!$B$229=P$3,SUMIF('TL18'!$C$238:$C$451,$C328,'TL18'!$J$238:$J$451),0),
IF('TL19'!$B$3=P$3,SUMIF('TL19'!$C$10:$C$224,$C328,'TL19'!$J$10:$J$224),0),
IF('TL19'!$B$229=P$3,SUMIF('TL19'!$C$238:$C$451,$C328,'TL19'!$J$238:$J$451),0)
),0)</f>
        <v/>
      </c>
      <c r="Q328" s="9">
        <f>IFERROR(SUM(
IF('TL01'!$B$3=Q$3,SUMIF('TL01'!$C$10:$C$224,$C328,'TL01'!$J$10:$J$224),0),
IF('TL01'!$B$229=Q$3,SUMIF('TL01'!$C$238:$C$451,$C328,'TL01'!$J$238:$J$451),0),
IF('TL02'!$B$3=Q$3,SUMIF('TL02'!$C$10:$C$224,$C328,'TL02'!$J$10:$J$224),0),
IF('TL02'!$B$229=Q$3,SUMIF('TL02'!$C$238:$C$451,$C328,'TL02'!$J$238:$J$451),0),
IF('TL03'!$B$3=Q$3,SUMIF('TL03'!$C$10:$C$224,$C328,'TL03'!$J$10:$J$224),0),
IF('TL03'!$B$229=Q$3,SUMIF('TL03'!$C$238:$C$451,$C328,'TL03'!$J$238:$J$451),0),
IF('TL04'!$B$3=Q$3,SUMIF('TL04'!$C$10:$C$224,$C328,'TL04'!$J$10:$J$224),0),
IF('TL04'!$B$229=Q$3,SUMIF('TL04'!$C$238:$C$451,$C328,'TL04'!$J$238:$J$451),0),
IF('TL05'!$B$3=Q$3,SUMIF('TL05'!$C$10:$C$224,$C328,'TL05'!$J$10:$J$224),0),
IF('TL05'!$B$229=Q$3,SUMIF('TL05'!$C$238:$C$451,$C328,'TL05'!$J$238:$J$451),0),
IF('TL06'!$B$3=Q$3,SUMIF('TL06'!$C$10:$C$224,$C328,'TL06'!$J$10:$J$224),0),
IF('TL06'!$B$229=Q$3,SUMIF('TL06'!$C$238:$C$451,$C328,'TL06'!$J$238:$J$451),0),
IF('TL07'!$B$3=Q$3,SUMIF('TL07'!$C$10:$C$224,$C328,'TL07'!$J$10:$J$224),0),
IF('TL07'!$B$229=Q$3,SUMIF('TL07'!$C$238:$C$451,$C328,'TL07'!$J$238:$J$451),0),
IF('TL08'!$B$3=Q$3,SUMIF('TL08'!$C$10:$C$224,$C328,'TL08'!$J$10:$J$224),0),
IF('TL08'!$B$229=Q$3,SUMIF('TL08'!$C$238:$C$451,$C328,'TL08'!$J$238:$J$451),0),
IF('TL09'!$B$3=Q$3,SUMIF('TL09'!$C$10:$C$224,$C328,'TL09'!$J$10:$J$224),0),
IF('TL09'!$B$229=Q$3,SUMIF('TL09'!$C$238:$C$451,$C328,'TL09'!$J$238:$J$451),0),
IF('TL10'!$B$3=Q$3,SUMIF('TL10'!$C$10:$C$224,$C328,'TL10'!$J$10:$J$224),0),
IF('TL10'!$B$229=Q$3,SUMIF('TL10'!$C$238:$C$451,$C328,'TL10'!$J$238:$J$451),0),
IF('TL11'!$B$3=Q$3,SUMIF('TL11'!$C$10:$C$224,$C328,'TL11'!$J$10:$J$224),0),
IF('TL11'!$B$229=Q$3,SUMIF('TL11'!$C$238:$C$451,$C328,'TL11'!$J$238:$J$451),0),
IF('TL12'!$B$3=Q$3,SUMIF('TL12'!$C$10:$C$224,$C328,'TL12'!$J$10:$J$224),0),
IF('TL12'!$B$229=Q$3,SUMIF('TL12'!$C$238:$C$451,$C328,'TL12'!$J$238:$J$451),0),
IF('TL13'!$B$3=Q$3,SUMIF('TL13'!$C$10:$C$224,$C328,'TL13'!$J$10:$J$224),0),
IF('TL13'!$B$229=Q$3,SUMIF('TL13'!$C$238:$C$451,$C328,'TL13'!$J$238:$J$451),0),
IF('TL14'!$B$3=Q$3,SUMIF('TL14'!$C$10:$C$224,$C328,'TL14'!$J$10:$J$224),0),
IF('TL14'!$B$229=Q$3,SUMIF('TL14'!$C$238:$C$451,$C328,'TL14'!$J$238:$J$451),0),
IF('TL15'!$B$3=Q$3,SUMIF('TL15'!$C$10:$C$224,$C328,'TL15'!$J$10:$J$224),0),
IF('TL15'!$B$229=Q$3,SUMIF('TL15'!$C$238:$C$451,$C328,'TL15'!$J$238:$J$451),0),
IF('TL16'!$B$3=Q$3,SUMIF('TL16'!$C$10:$C$224,$C328,'TL16'!$J$10:$J$224),0),
IF('TL16'!$B$229=Q$3,SUMIF('TL16'!$C$238:$C$451,$C328,'TL16'!$J$238:$J$451),0),
IF('TL17'!$B$3=Q$3,SUMIF('TL17'!$C$10:$C$224,$C328,'TL17'!$J$10:$J$224),0),
IF('TL17'!$B$229=Q$3,SUMIF('TL17'!$C$238:$C$451,$C328,'TL17'!$J$238:$J$451),0),
IF('TL18'!$B$3=Q$3,SUMIF('TL18'!$C$10:$C$224,$C328,'TL18'!$J$10:$J$224),0),
IF('TL18'!$B$229=Q$3,SUMIF('TL18'!$C$238:$C$451,$C328,'TL18'!$J$238:$J$451),0),
IF('TL19'!$B$3=Q$3,SUMIF('TL19'!$C$10:$C$224,$C328,'TL19'!$J$10:$J$224),0),
IF('TL19'!$B$229=Q$3,SUMIF('TL19'!$C$238:$C$451,$C328,'TL19'!$J$238:$J$451),0)
),0)</f>
        <v/>
      </c>
      <c r="R328" s="9">
        <f>IFERROR(
SUM(
SUMIF('TL01'!C:C,C328,'TL01'!J:J),
SUMIF('TL02'!C:C,C328,'TL02'!J:J),
SUMIF('TL03'!C:C,C328,'TL03'!J:J),
SUMIF('TL04'!C:C,C328,'TL04'!J:J),
SUMIF('TL05'!C:C,C328,'TL05'!J:J),
SUMIF('TL06'!C:C,C328,'TL06'!J:J),
SUMIF('TL07'!C:C,C328,'TL07'!J:J),
SUMIF('TL08'!C:C,C328,'TL08'!J:J),
SUMIF('TL09'!C:C,C328,'TL09'!J:J),
SUMIF('TL10'!C:C,C328,'TL10'!J:J),
SUMIF('TL11'!C:C,C328,'TL11'!J:J),
SUMIF('TL12'!C:C,C328,'TL12'!J:J),
SUMIF('TL13'!C:C,C328,'TL13'!J:J),
SUMIF('TL14'!C:C,C328,'TL14'!J:J),
SUMIF('TL15'!C:C,C328,'TL15'!J:J),
SUMIF('TL16'!C:C,C328,'TL16'!J:J),
SUMIF('TL17'!C:C,C328,'TL17'!J:J),
SUMIF('TL18'!C:C,C328,'TL18'!J:J),SUMIF('TL19'!C:C,C328,'TL19'!J:J))
,0)</f>
        <v/>
      </c>
      <c r="S328" s="17">
        <f>IFERROR(__xludf.DUMMYFUNCTION("IFERROR(VLOOKUP(C328,
IMPORTRANGE(""1wULbzX32WdYsx-lj2U3uUNBBe2INVIRDtcK0d-Dvl90"",
""26-27!C:G""),
5,
FALSE),
"""")"),"")</f>
        <v/>
      </c>
      <c r="T328" s="9" t="n"/>
      <c r="U328" s="92">
        <f>MAX(0,R328-T328)</f>
        <v/>
      </c>
      <c r="V328" s="93">
        <f>U328*S328</f>
        <v/>
      </c>
    </row>
    <row r="329" hidden="1" ht="15.75" customHeight="1" s="297">
      <c r="A329" s="4" t="n"/>
      <c r="B329" s="125" t="inlineStr">
        <is>
          <t>SEMENTE</t>
        </is>
      </c>
      <c r="C329" s="4" t="inlineStr">
        <is>
          <t>TMG MURICI I2X 7.6</t>
        </is>
      </c>
      <c r="D329" s="20" t="n"/>
      <c r="E329" s="9" t="n"/>
      <c r="F329" s="4" t="inlineStr">
        <is>
          <t>5MM</t>
        </is>
      </c>
      <c r="G329" s="90">
        <f>HYPERLINK("https://www.google.com/search?q=" &amp; C329 &amp; "+bula+agrofit+pdf", "📄 Ver bula")</f>
        <v/>
      </c>
      <c r="H329" s="9" t="n"/>
      <c r="I329" s="1" t="n"/>
      <c r="J329" s="9">
        <f>IFERROR(SUM(
IF('TL01'!$B$3=J$3,SUMIF('TL01'!$C$10:$C$224,$C329,'TL01'!$J$10:$J$224),0),
IF('TL01'!$B$229=J$3,SUMIF('TL01'!$C$238:$C$451,$C329,'TL01'!$J$238:$J$451),0),
IF('TL02'!$B$3=J$3,SUMIF('TL02'!$C$10:$C$224,$C329,'TL02'!$J$10:$J$224),0),
IF('TL02'!$B$229=J$3,SUMIF('TL02'!$C$238:$C$451,$C329,'TL02'!$J$238:$J$451),0),
IF('TL03'!$B$3=J$3,SUMIF('TL03'!$C$10:$C$224,$C329,'TL03'!$J$10:$J$224),0),
IF('TL03'!$B$229=J$3,SUMIF('TL03'!$C$238:$C$451,$C329,'TL03'!$J$238:$J$451),0),
IF('TL04'!$B$3=J$3,SUMIF('TL04'!$C$10:$C$224,$C329,'TL04'!$J$10:$J$224),0),
IF('TL04'!$B$229=J$3,SUMIF('TL04'!$C$238:$C$451,$C329,'TL04'!$J$238:$J$451),0),
IF('TL05'!$B$3=J$3,SUMIF('TL05'!$C$10:$C$224,$C329,'TL05'!$J$10:$J$224),0),
IF('TL05'!$B$229=J$3,SUMIF('TL05'!$C$238:$C$451,$C329,'TL05'!$J$238:$J$451),0),
IF('TL06'!$B$3=J$3,SUMIF('TL06'!$C$10:$C$224,$C329,'TL06'!$J$10:$J$224),0),
IF('TL06'!$B$229=J$3,SUMIF('TL06'!$C$238:$C$451,$C329,'TL06'!$J$238:$J$451),0),
IF('TL07'!$B$3=J$3,SUMIF('TL07'!$C$10:$C$224,$C329,'TL07'!$J$10:$J$224),0),
IF('TL07'!$B$229=J$3,SUMIF('TL07'!$C$238:$C$451,$C329,'TL07'!$J$238:$J$451),0),
IF('TL08'!$B$3=J$3,SUMIF('TL08'!$C$10:$C$224,$C329,'TL08'!$J$10:$J$224),0),
IF('TL08'!$B$229=J$3,SUMIF('TL08'!$C$238:$C$451,$C329,'TL08'!$J$238:$J$451),0),
IF('TL09'!$B$3=J$3,SUMIF('TL09'!$C$10:$C$224,$C329,'TL09'!$J$10:$J$224),0),
IF('TL09'!$B$229=J$3,SUMIF('TL09'!$C$238:$C$451,$C329,'TL09'!$J$238:$J$451),0),
IF('TL10'!$B$3=J$3,SUMIF('TL10'!$C$10:$C$224,$C329,'TL10'!$J$10:$J$224),0),
IF('TL10'!$B$229=J$3,SUMIF('TL10'!$C$238:$C$451,$C329,'TL10'!$J$238:$J$451),0),
IF('TL11'!$B$3=J$3,SUMIF('TL11'!$C$10:$C$224,$C329,'TL11'!$J$10:$J$224),0),
IF('TL11'!$B$229=J$3,SUMIF('TL11'!$C$238:$C$451,$C329,'TL11'!$J$238:$J$451),0),
IF('TL12'!$B$3=J$3,SUMIF('TL12'!$C$10:$C$224,$C329,'TL12'!$J$10:$J$224),0),
IF('TL12'!$B$229=J$3,SUMIF('TL12'!$C$238:$C$451,$C329,'TL12'!$J$238:$J$451),0),
IF('TL13'!$B$3=J$3,SUMIF('TL13'!$C$10:$C$224,$C329,'TL13'!$J$10:$J$224),0),
IF('TL13'!$B$229=J$3,SUMIF('TL13'!$C$238:$C$451,$C329,'TL13'!$J$238:$J$451),0),
IF('TL14'!$B$3=J$3,SUMIF('TL14'!$C$10:$C$224,$C329,'TL14'!$J$10:$J$224),0),
IF('TL14'!$B$229=J$3,SUMIF('TL14'!$C$238:$C$451,$C329,'TL14'!$J$238:$J$451),0),
IF('TL15'!$B$3=J$3,SUMIF('TL15'!$C$10:$C$224,$C329,'TL15'!$J$10:$J$224),0),
IF('TL15'!$B$229=J$3,SUMIF('TL15'!$C$238:$C$451,$C329,'TL15'!$J$238:$J$451),0),
IF('TL16'!$B$3=J$3,SUMIF('TL16'!$C$10:$C$224,$C329,'TL16'!$J$10:$J$224),0),
IF('TL16'!$B$229=J$3,SUMIF('TL16'!$C$238:$C$451,$C329,'TL16'!$J$238:$J$451),0),
IF('TL17'!$B$3=J$3,SUMIF('TL17'!$C$10:$C$224,$C329,'TL17'!$J$10:$J$224),0),
IF('TL17'!$B$229=J$3,SUMIF('TL17'!$C$238:$C$451,$C329,'TL17'!$J$238:$J$451),0),
IF('TL18'!$B$3=J$3,SUMIF('TL18'!$C$10:$C$224,$C329,'TL18'!$J$10:$J$224),0),
IF('TL18'!$B$229=J$3,SUMIF('TL18'!$C$238:$C$451,$C329,'TL18'!$J$238:$J$451),0),
IF('TL19'!$B$3=J$3,SUMIF('TL19'!$C$10:$C$224,$C329,'TL19'!$J$10:$J$224),0),
IF('TL19'!$B$229=J$3,SUMIF('TL19'!$C$238:$C$451,$C329,'TL19'!$J$238:$J$451),0)
),0)</f>
        <v/>
      </c>
      <c r="K329" s="9">
        <f>IFERROR(SUM(
IF('TL01'!$B$3=K$3,SUMIF('TL01'!$C$10:$C$224,$C329,'TL01'!$J$10:$J$224),0),
IF('TL01'!$B$229=K$3,SUMIF('TL01'!$C$238:$C$451,$C329,'TL01'!$J$238:$J$451),0),
IF('TL02'!$B$3=K$3,SUMIF('TL02'!$C$10:$C$224,$C329,'TL02'!$J$10:$J$224),0),
IF('TL02'!$B$229=K$3,SUMIF('TL02'!$C$238:$C$451,$C329,'TL02'!$J$238:$J$451),0),
IF('TL03'!$B$3=K$3,SUMIF('TL03'!$C$10:$C$224,$C329,'TL03'!$J$10:$J$224),0),
IF('TL03'!$B$229=K$3,SUMIF('TL03'!$C$238:$C$451,$C329,'TL03'!$J$238:$J$451),0),
IF('TL04'!$B$3=K$3,SUMIF('TL04'!$C$10:$C$224,$C329,'TL04'!$J$10:$J$224),0),
IF('TL04'!$B$229=K$3,SUMIF('TL04'!$C$238:$C$451,$C329,'TL04'!$J$238:$J$451),0),
IF('TL05'!$B$3=K$3,SUMIF('TL05'!$C$10:$C$224,$C329,'TL05'!$J$10:$J$224),0),
IF('TL05'!$B$229=K$3,SUMIF('TL05'!$C$238:$C$451,$C329,'TL05'!$J$238:$J$451),0),
IF('TL06'!$B$3=K$3,SUMIF('TL06'!$C$10:$C$224,$C329,'TL06'!$J$10:$J$224),0),
IF('TL06'!$B$229=K$3,SUMIF('TL06'!$C$238:$C$451,$C329,'TL06'!$J$238:$J$451),0),
IF('TL07'!$B$3=K$3,SUMIF('TL07'!$C$10:$C$224,$C329,'TL07'!$J$10:$J$224),0),
IF('TL07'!$B$229=K$3,SUMIF('TL07'!$C$238:$C$451,$C329,'TL07'!$J$238:$J$451),0),
IF('TL08'!$B$3=K$3,SUMIF('TL08'!$C$10:$C$224,$C329,'TL08'!$J$10:$J$224),0),
IF('TL08'!$B$229=K$3,SUMIF('TL08'!$C$238:$C$451,$C329,'TL08'!$J$238:$J$451),0),
IF('TL09'!$B$3=K$3,SUMIF('TL09'!$C$10:$C$224,$C329,'TL09'!$J$10:$J$224),0),
IF('TL09'!$B$229=K$3,SUMIF('TL09'!$C$238:$C$451,$C329,'TL09'!$J$238:$J$451),0),
IF('TL10'!$B$3=K$3,SUMIF('TL10'!$C$10:$C$224,$C329,'TL10'!$J$10:$J$224),0),
IF('TL10'!$B$229=K$3,SUMIF('TL10'!$C$238:$C$451,$C329,'TL10'!$J$238:$J$451),0),
IF('TL11'!$B$3=K$3,SUMIF('TL11'!$C$10:$C$224,$C329,'TL11'!$J$10:$J$224),0),
IF('TL11'!$B$229=K$3,SUMIF('TL11'!$C$238:$C$451,$C329,'TL11'!$J$238:$J$451),0),
IF('TL12'!$B$3=K$3,SUMIF('TL12'!$C$10:$C$224,$C329,'TL12'!$J$10:$J$224),0),
IF('TL12'!$B$229=K$3,SUMIF('TL12'!$C$238:$C$451,$C329,'TL12'!$J$238:$J$451),0),
IF('TL13'!$B$3=K$3,SUMIF('TL13'!$C$10:$C$224,$C329,'TL13'!$J$10:$J$224),0),
IF('TL13'!$B$229=K$3,SUMIF('TL13'!$C$238:$C$451,$C329,'TL13'!$J$238:$J$451),0),
IF('TL14'!$B$3=K$3,SUMIF('TL14'!$C$10:$C$224,$C329,'TL14'!$J$10:$J$224),0),
IF('TL14'!$B$229=K$3,SUMIF('TL14'!$C$238:$C$451,$C329,'TL14'!$J$238:$J$451),0),
IF('TL15'!$B$3=K$3,SUMIF('TL15'!$C$10:$C$224,$C329,'TL15'!$J$10:$J$224),0),
IF('TL15'!$B$229=K$3,SUMIF('TL15'!$C$238:$C$451,$C329,'TL15'!$J$238:$J$451),0),
IF('TL16'!$B$3=K$3,SUMIF('TL16'!$C$10:$C$224,$C329,'TL16'!$J$10:$J$224),0),
IF('TL16'!$B$229=K$3,SUMIF('TL16'!$C$238:$C$451,$C329,'TL16'!$J$238:$J$451),0),
IF('TL17'!$B$3=K$3,SUMIF('TL17'!$C$10:$C$224,$C329,'TL17'!$J$10:$J$224),0),
IF('TL17'!$B$229=K$3,SUMIF('TL17'!$C$238:$C$451,$C329,'TL17'!$J$238:$J$451),0),
IF('TL18'!$B$3=K$3,SUMIF('TL18'!$C$10:$C$224,$C329,'TL18'!$J$10:$J$224),0),
IF('TL18'!$B$229=K$3,SUMIF('TL18'!$C$238:$C$451,$C329,'TL18'!$J$238:$J$451),0),
IF('TL19'!$B$3=K$3,SUMIF('TL19'!$C$10:$C$224,$C329,'TL19'!$J$10:$J$224),0),
IF('TL19'!$B$229=K$3,SUMIF('TL19'!$C$238:$C$451,$C329,'TL19'!$J$238:$J$451),0)
),0)</f>
        <v/>
      </c>
      <c r="L329" s="9">
        <f>IFERROR(SUM(
IF('TL01'!$B$3=L$3,SUMIF('TL01'!$C$10:$C$224,$C329,'TL01'!$J$10:$J$224),0),
IF('TL01'!$B$229=L$3,SUMIF('TL01'!$C$238:$C$451,$C329,'TL01'!$J$238:$J$451),0),
IF('TL02'!$B$3=L$3,SUMIF('TL02'!$C$10:$C$224,$C329,'TL02'!$J$10:$J$224),0),
IF('TL02'!$B$229=L$3,SUMIF('TL02'!$C$238:$C$451,$C329,'TL02'!$J$238:$J$451),0),
IF('TL03'!$B$3=L$3,SUMIF('TL03'!$C$10:$C$224,$C329,'TL03'!$J$10:$J$224),0),
IF('TL03'!$B$229=L$3,SUMIF('TL03'!$C$238:$C$451,$C329,'TL03'!$J$238:$J$451),0),
IF('TL04'!$B$3=L$3,SUMIF('TL04'!$C$10:$C$224,$C329,'TL04'!$J$10:$J$224),0),
IF('TL04'!$B$229=L$3,SUMIF('TL04'!$C$238:$C$451,$C329,'TL04'!$J$238:$J$451),0),
IF('TL05'!$B$3=L$3,SUMIF('TL05'!$C$10:$C$224,$C329,'TL05'!$J$10:$J$224),0),
IF('TL05'!$B$229=L$3,SUMIF('TL05'!$C$238:$C$451,$C329,'TL05'!$J$238:$J$451),0),
IF('TL06'!$B$3=L$3,SUMIF('TL06'!$C$10:$C$224,$C329,'TL06'!$J$10:$J$224),0),
IF('TL06'!$B$229=L$3,SUMIF('TL06'!$C$238:$C$451,$C329,'TL06'!$J$238:$J$451),0),
IF('TL07'!$B$3=L$3,SUMIF('TL07'!$C$10:$C$224,$C329,'TL07'!$J$10:$J$224),0),
IF('TL07'!$B$229=L$3,SUMIF('TL07'!$C$238:$C$451,$C329,'TL07'!$J$238:$J$451),0),
IF('TL08'!$B$3=L$3,SUMIF('TL08'!$C$10:$C$224,$C329,'TL08'!$J$10:$J$224),0),
IF('TL08'!$B$229=L$3,SUMIF('TL08'!$C$238:$C$451,$C329,'TL08'!$J$238:$J$451),0),
IF('TL09'!$B$3=L$3,SUMIF('TL09'!$C$10:$C$224,$C329,'TL09'!$J$10:$J$224),0),
IF('TL09'!$B$229=L$3,SUMIF('TL09'!$C$238:$C$451,$C329,'TL09'!$J$238:$J$451),0),
IF('TL10'!$B$3=L$3,SUMIF('TL10'!$C$10:$C$224,$C329,'TL10'!$J$10:$J$224),0),
IF('TL10'!$B$229=L$3,SUMIF('TL10'!$C$238:$C$451,$C329,'TL10'!$J$238:$J$451),0),
IF('TL11'!$B$3=L$3,SUMIF('TL11'!$C$10:$C$224,$C329,'TL11'!$J$10:$J$224),0),
IF('TL11'!$B$229=L$3,SUMIF('TL11'!$C$238:$C$451,$C329,'TL11'!$J$238:$J$451),0),
IF('TL12'!$B$3=L$3,SUMIF('TL12'!$C$10:$C$224,$C329,'TL12'!$J$10:$J$224),0),
IF('TL12'!$B$229=L$3,SUMIF('TL12'!$C$238:$C$451,$C329,'TL12'!$J$238:$J$451),0),
IF('TL13'!$B$3=L$3,SUMIF('TL13'!$C$10:$C$224,$C329,'TL13'!$J$10:$J$224),0),
IF('TL13'!$B$229=L$3,SUMIF('TL13'!$C$238:$C$451,$C329,'TL13'!$J$238:$J$451),0),
IF('TL14'!$B$3=L$3,SUMIF('TL14'!$C$10:$C$224,$C329,'TL14'!$J$10:$J$224),0),
IF('TL14'!$B$229=L$3,SUMIF('TL14'!$C$238:$C$451,$C329,'TL14'!$J$238:$J$451),0),
IF('TL15'!$B$3=L$3,SUMIF('TL15'!$C$10:$C$224,$C329,'TL15'!$J$10:$J$224),0),
IF('TL15'!$B$229=L$3,SUMIF('TL15'!$C$238:$C$451,$C329,'TL15'!$J$238:$J$451),0),
IF('TL16'!$B$3=L$3,SUMIF('TL16'!$C$10:$C$224,$C329,'TL16'!$J$10:$J$224),0),
IF('TL16'!$B$229=L$3,SUMIF('TL16'!$C$238:$C$451,$C329,'TL16'!$J$238:$J$451),0),
IF('TL17'!$B$3=L$3,SUMIF('TL17'!$C$10:$C$224,$C329,'TL17'!$J$10:$J$224),0),
IF('TL17'!$B$229=L$3,SUMIF('TL17'!$C$238:$C$451,$C329,'TL17'!$J$238:$J$451),0),
IF('TL18'!$B$3=L$3,SUMIF('TL18'!$C$10:$C$224,$C329,'TL18'!$J$10:$J$224),0),
IF('TL18'!$B$229=L$3,SUMIF('TL18'!$C$238:$C$451,$C329,'TL18'!$J$238:$J$451),0),
IF('TL19'!$B$3=L$3,SUMIF('TL19'!$C$10:$C$224,$C329,'TL19'!$J$10:$J$224),0),
IF('TL19'!$B$229=L$3,SUMIF('TL19'!$C$238:$C$451,$C329,'TL19'!$J$238:$J$451),0)
),0)</f>
        <v/>
      </c>
      <c r="M329" s="9">
        <f>IFERROR(SUM(
IF('TL01'!$B$3=M$3,SUMIF('TL01'!$C$10:$C$224,$C329,'TL01'!$J$10:$J$224),0),
IF('TL01'!$B$229=M$3,SUMIF('TL01'!$C$238:$C$451,$C329,'TL01'!$J$238:$J$451),0),
IF('TL02'!$B$3=M$3,SUMIF('TL02'!$C$10:$C$224,$C329,'TL02'!$J$10:$J$224),0),
IF('TL02'!$B$229=M$3,SUMIF('TL02'!$C$238:$C$451,$C329,'TL02'!$J$238:$J$451),0),
IF('TL03'!$B$3=M$3,SUMIF('TL03'!$C$10:$C$224,$C329,'TL03'!$J$10:$J$224),0),
IF('TL03'!$B$229=M$3,SUMIF('TL03'!$C$238:$C$451,$C329,'TL03'!$J$238:$J$451),0),
IF('TL04'!$B$3=M$3,SUMIF('TL04'!$C$10:$C$224,$C329,'TL04'!$J$10:$J$224),0),
IF('TL04'!$B$229=M$3,SUMIF('TL04'!$C$238:$C$451,$C329,'TL04'!$J$238:$J$451),0),
IF('TL05'!$B$3=M$3,SUMIF('TL05'!$C$10:$C$224,$C329,'TL05'!$J$10:$J$224),0),
IF('TL05'!$B$229=M$3,SUMIF('TL05'!$C$238:$C$451,$C329,'TL05'!$J$238:$J$451),0),
IF('TL06'!$B$3=M$3,SUMIF('TL06'!$C$10:$C$224,$C329,'TL06'!$J$10:$J$224),0),
IF('TL06'!$B$229=M$3,SUMIF('TL06'!$C$238:$C$451,$C329,'TL06'!$J$238:$J$451),0),
IF('TL07'!$B$3=M$3,SUMIF('TL07'!$C$10:$C$224,$C329,'TL07'!$J$10:$J$224),0),
IF('TL07'!$B$229=M$3,SUMIF('TL07'!$C$238:$C$451,$C329,'TL07'!$J$238:$J$451),0),
IF('TL08'!$B$3=M$3,SUMIF('TL08'!$C$10:$C$224,$C329,'TL08'!$J$10:$J$224),0),
IF('TL08'!$B$229=M$3,SUMIF('TL08'!$C$238:$C$451,$C329,'TL08'!$J$238:$J$451),0),
IF('TL09'!$B$3=M$3,SUMIF('TL09'!$C$10:$C$224,$C329,'TL09'!$J$10:$J$224),0),
IF('TL09'!$B$229=M$3,SUMIF('TL09'!$C$238:$C$451,$C329,'TL09'!$J$238:$J$451),0),
IF('TL10'!$B$3=M$3,SUMIF('TL10'!$C$10:$C$224,$C329,'TL10'!$J$10:$J$224),0),
IF('TL10'!$B$229=M$3,SUMIF('TL10'!$C$238:$C$451,$C329,'TL10'!$J$238:$J$451),0),
IF('TL11'!$B$3=M$3,SUMIF('TL11'!$C$10:$C$224,$C329,'TL11'!$J$10:$J$224),0),
IF('TL11'!$B$229=M$3,SUMIF('TL11'!$C$238:$C$451,$C329,'TL11'!$J$238:$J$451),0),
IF('TL12'!$B$3=M$3,SUMIF('TL12'!$C$10:$C$224,$C329,'TL12'!$J$10:$J$224),0),
IF('TL12'!$B$229=M$3,SUMIF('TL12'!$C$238:$C$451,$C329,'TL12'!$J$238:$J$451),0),
IF('TL13'!$B$3=M$3,SUMIF('TL13'!$C$10:$C$224,$C329,'TL13'!$J$10:$J$224),0),
IF('TL13'!$B$229=M$3,SUMIF('TL13'!$C$238:$C$451,$C329,'TL13'!$J$238:$J$451),0),
IF('TL14'!$B$3=M$3,SUMIF('TL14'!$C$10:$C$224,$C329,'TL14'!$J$10:$J$224),0),
IF('TL14'!$B$229=M$3,SUMIF('TL14'!$C$238:$C$451,$C329,'TL14'!$J$238:$J$451),0),
IF('TL15'!$B$3=M$3,SUMIF('TL15'!$C$10:$C$224,$C329,'TL15'!$J$10:$J$224),0),
IF('TL15'!$B$229=M$3,SUMIF('TL15'!$C$238:$C$451,$C329,'TL15'!$J$238:$J$451),0),
IF('TL16'!$B$3=M$3,SUMIF('TL16'!$C$10:$C$224,$C329,'TL16'!$J$10:$J$224),0),
IF('TL16'!$B$229=M$3,SUMIF('TL16'!$C$238:$C$451,$C329,'TL16'!$J$238:$J$451),0),
IF('TL17'!$B$3=M$3,SUMIF('TL17'!$C$10:$C$224,$C329,'TL17'!$J$10:$J$224),0),
IF('TL17'!$B$229=M$3,SUMIF('TL17'!$C$238:$C$451,$C329,'TL17'!$J$238:$J$451),0),
IF('TL18'!$B$3=M$3,SUMIF('TL18'!$C$10:$C$224,$C329,'TL18'!$J$10:$J$224),0),
IF('TL18'!$B$229=M$3,SUMIF('TL18'!$C$238:$C$451,$C329,'TL18'!$J$238:$J$451),0),
IF('TL19'!$B$3=M$3,SUMIF('TL19'!$C$10:$C$224,$C329,'TL19'!$J$10:$J$224),0),
IF('TL19'!$B$229=M$3,SUMIF('TL19'!$C$238:$C$451,$C329,'TL19'!$J$238:$J$451),0)
),0)</f>
        <v/>
      </c>
      <c r="N329" s="9">
        <f>IFERROR(SUM(
IF('TL01'!$B$3=N$3,SUMIF('TL01'!$C$10:$C$224,$C329,'TL01'!$J$10:$J$224),0),
IF('TL01'!$B$229=N$3,SUMIF('TL01'!$C$238:$C$451,$C329,'TL01'!$J$238:$J$451),0),
IF('TL02'!$B$3=N$3,SUMIF('TL02'!$C$10:$C$224,$C329,'TL02'!$J$10:$J$224),0),
IF('TL02'!$B$229=N$3,SUMIF('TL02'!$C$238:$C$451,$C329,'TL02'!$J$238:$J$451),0),
IF('TL03'!$B$3=N$3,SUMIF('TL03'!$C$10:$C$224,$C329,'TL03'!$J$10:$J$224),0),
IF('TL03'!$B$229=N$3,SUMIF('TL03'!$C$238:$C$451,$C329,'TL03'!$J$238:$J$451),0),
IF('TL04'!$B$3=N$3,SUMIF('TL04'!$C$10:$C$224,$C329,'TL04'!$J$10:$J$224),0),
IF('TL04'!$B$229=N$3,SUMIF('TL04'!$C$238:$C$451,$C329,'TL04'!$J$238:$J$451),0),
IF('TL05'!$B$3=N$3,SUMIF('TL05'!$C$10:$C$224,$C329,'TL05'!$J$10:$J$224),0),
IF('TL05'!$B$229=N$3,SUMIF('TL05'!$C$238:$C$451,$C329,'TL05'!$J$238:$J$451),0),
IF('TL06'!$B$3=N$3,SUMIF('TL06'!$C$10:$C$224,$C329,'TL06'!$J$10:$J$224),0),
IF('TL06'!$B$229=N$3,SUMIF('TL06'!$C$238:$C$451,$C329,'TL06'!$J$238:$J$451),0),
IF('TL07'!$B$3=N$3,SUMIF('TL07'!$C$10:$C$224,$C329,'TL07'!$J$10:$J$224),0),
IF('TL07'!$B$229=N$3,SUMIF('TL07'!$C$238:$C$451,$C329,'TL07'!$J$238:$J$451),0),
IF('TL08'!$B$3=N$3,SUMIF('TL08'!$C$10:$C$224,$C329,'TL08'!$J$10:$J$224),0),
IF('TL08'!$B$229=N$3,SUMIF('TL08'!$C$238:$C$451,$C329,'TL08'!$J$238:$J$451),0),
IF('TL09'!$B$3=N$3,SUMIF('TL09'!$C$10:$C$224,$C329,'TL09'!$J$10:$J$224),0),
IF('TL09'!$B$229=N$3,SUMIF('TL09'!$C$238:$C$451,$C329,'TL09'!$J$238:$J$451),0),
IF('TL10'!$B$3=N$3,SUMIF('TL10'!$C$10:$C$224,$C329,'TL10'!$J$10:$J$224),0),
IF('TL10'!$B$229=N$3,SUMIF('TL10'!$C$238:$C$451,$C329,'TL10'!$J$238:$J$451),0),
IF('TL11'!$B$3=N$3,SUMIF('TL11'!$C$10:$C$224,$C329,'TL11'!$J$10:$J$224),0),
IF('TL11'!$B$229=N$3,SUMIF('TL11'!$C$238:$C$451,$C329,'TL11'!$J$238:$J$451),0),
IF('TL12'!$B$3=N$3,SUMIF('TL12'!$C$10:$C$224,$C329,'TL12'!$J$10:$J$224),0),
IF('TL12'!$B$229=N$3,SUMIF('TL12'!$C$238:$C$451,$C329,'TL12'!$J$238:$J$451),0),
IF('TL13'!$B$3=N$3,SUMIF('TL13'!$C$10:$C$224,$C329,'TL13'!$J$10:$J$224),0),
IF('TL13'!$B$229=N$3,SUMIF('TL13'!$C$238:$C$451,$C329,'TL13'!$J$238:$J$451),0),
IF('TL14'!$B$3=N$3,SUMIF('TL14'!$C$10:$C$224,$C329,'TL14'!$J$10:$J$224),0),
IF('TL14'!$B$229=N$3,SUMIF('TL14'!$C$238:$C$451,$C329,'TL14'!$J$238:$J$451),0),
IF('TL15'!$B$3=N$3,SUMIF('TL15'!$C$10:$C$224,$C329,'TL15'!$J$10:$J$224),0),
IF('TL15'!$B$229=N$3,SUMIF('TL15'!$C$238:$C$451,$C329,'TL15'!$J$238:$J$451),0),
IF('TL16'!$B$3=N$3,SUMIF('TL16'!$C$10:$C$224,$C329,'TL16'!$J$10:$J$224),0),
IF('TL16'!$B$229=N$3,SUMIF('TL16'!$C$238:$C$451,$C329,'TL16'!$J$238:$J$451),0),
IF('TL17'!$B$3=N$3,SUMIF('TL17'!$C$10:$C$224,$C329,'TL17'!$J$10:$J$224),0),
IF('TL17'!$B$229=N$3,SUMIF('TL17'!$C$238:$C$451,$C329,'TL17'!$J$238:$J$451),0),
IF('TL18'!$B$3=N$3,SUMIF('TL18'!$C$10:$C$224,$C329,'TL18'!$J$10:$J$224),0),
IF('TL18'!$B$229=N$3,SUMIF('TL18'!$C$238:$C$451,$C329,'TL18'!$J$238:$J$451),0),
IF('TL19'!$B$3=N$3,SUMIF('TL19'!$C$10:$C$224,$C329,'TL19'!$J$10:$J$224),0),
IF('TL19'!$B$229=N$3,SUMIF('TL19'!$C$238:$C$451,$C329,'TL19'!$J$238:$J$451),0)
),0)</f>
        <v/>
      </c>
      <c r="O329" s="9">
        <f>IFERROR(SUM(
IF('TL01'!$B$3=O$3,SUMIF('TL01'!$C$10:$C$224,$C329,'TL01'!$J$10:$J$224),0),
IF('TL01'!$B$229=O$3,SUMIF('TL01'!$C$238:$C$451,$C329,'TL01'!$J$238:$J$451),0),
IF('TL02'!$B$3=O$3,SUMIF('TL02'!$C$10:$C$224,$C329,'TL02'!$J$10:$J$224),0),
IF('TL02'!$B$229=O$3,SUMIF('TL02'!$C$238:$C$451,$C329,'TL02'!$J$238:$J$451),0),
IF('TL03'!$B$3=O$3,SUMIF('TL03'!$C$10:$C$224,$C329,'TL03'!$J$10:$J$224),0),
IF('TL03'!$B$229=O$3,SUMIF('TL03'!$C$238:$C$451,$C329,'TL03'!$J$238:$J$451),0),
IF('TL04'!$B$3=O$3,SUMIF('TL04'!$C$10:$C$224,$C329,'TL04'!$J$10:$J$224),0),
IF('TL04'!$B$229=O$3,SUMIF('TL04'!$C$238:$C$451,$C329,'TL04'!$J$238:$J$451),0),
IF('TL05'!$B$3=O$3,SUMIF('TL05'!$C$10:$C$224,$C329,'TL05'!$J$10:$J$224),0),
IF('TL05'!$B$229=O$3,SUMIF('TL05'!$C$238:$C$451,$C329,'TL05'!$J$238:$J$451),0),
IF('TL06'!$B$3=O$3,SUMIF('TL06'!$C$10:$C$224,$C329,'TL06'!$J$10:$J$224),0),
IF('TL06'!$B$229=O$3,SUMIF('TL06'!$C$238:$C$451,$C329,'TL06'!$J$238:$J$451),0),
IF('TL07'!$B$3=O$3,SUMIF('TL07'!$C$10:$C$224,$C329,'TL07'!$J$10:$J$224),0),
IF('TL07'!$B$229=O$3,SUMIF('TL07'!$C$238:$C$451,$C329,'TL07'!$J$238:$J$451),0),
IF('TL08'!$B$3=O$3,SUMIF('TL08'!$C$10:$C$224,$C329,'TL08'!$J$10:$J$224),0),
IF('TL08'!$B$229=O$3,SUMIF('TL08'!$C$238:$C$451,$C329,'TL08'!$J$238:$J$451),0),
IF('TL09'!$B$3=O$3,SUMIF('TL09'!$C$10:$C$224,$C329,'TL09'!$J$10:$J$224),0),
IF('TL09'!$B$229=O$3,SUMIF('TL09'!$C$238:$C$451,$C329,'TL09'!$J$238:$J$451),0),
IF('TL10'!$B$3=O$3,SUMIF('TL10'!$C$10:$C$224,$C329,'TL10'!$J$10:$J$224),0),
IF('TL10'!$B$229=O$3,SUMIF('TL10'!$C$238:$C$451,$C329,'TL10'!$J$238:$J$451),0),
IF('TL11'!$B$3=O$3,SUMIF('TL11'!$C$10:$C$224,$C329,'TL11'!$J$10:$J$224),0),
IF('TL11'!$B$229=O$3,SUMIF('TL11'!$C$238:$C$451,$C329,'TL11'!$J$238:$J$451),0),
IF('TL12'!$B$3=O$3,SUMIF('TL12'!$C$10:$C$224,$C329,'TL12'!$J$10:$J$224),0),
IF('TL12'!$B$229=O$3,SUMIF('TL12'!$C$238:$C$451,$C329,'TL12'!$J$238:$J$451),0),
IF('TL13'!$B$3=O$3,SUMIF('TL13'!$C$10:$C$224,$C329,'TL13'!$J$10:$J$224),0),
IF('TL13'!$B$229=O$3,SUMIF('TL13'!$C$238:$C$451,$C329,'TL13'!$J$238:$J$451),0),
IF('TL14'!$B$3=O$3,SUMIF('TL14'!$C$10:$C$224,$C329,'TL14'!$J$10:$J$224),0),
IF('TL14'!$B$229=O$3,SUMIF('TL14'!$C$238:$C$451,$C329,'TL14'!$J$238:$J$451),0),
IF('TL15'!$B$3=O$3,SUMIF('TL15'!$C$10:$C$224,$C329,'TL15'!$J$10:$J$224),0),
IF('TL15'!$B$229=O$3,SUMIF('TL15'!$C$238:$C$451,$C329,'TL15'!$J$238:$J$451),0),
IF('TL16'!$B$3=O$3,SUMIF('TL16'!$C$10:$C$224,$C329,'TL16'!$J$10:$J$224),0),
IF('TL16'!$B$229=O$3,SUMIF('TL16'!$C$238:$C$451,$C329,'TL16'!$J$238:$J$451),0),
IF('TL17'!$B$3=O$3,SUMIF('TL17'!$C$10:$C$224,$C329,'TL17'!$J$10:$J$224),0),
IF('TL17'!$B$229=O$3,SUMIF('TL17'!$C$238:$C$451,$C329,'TL17'!$J$238:$J$451),0),
IF('TL18'!$B$3=O$3,SUMIF('TL18'!$C$10:$C$224,$C329,'TL18'!$J$10:$J$224),0),
IF('TL18'!$B$229=O$3,SUMIF('TL18'!$C$238:$C$451,$C329,'TL18'!$J$238:$J$451),0),
IF('TL19'!$B$3=O$3,SUMIF('TL19'!$C$10:$C$224,$C329,'TL19'!$J$10:$J$224),0),
IF('TL19'!$B$229=O$3,SUMIF('TL19'!$C$238:$C$451,$C329,'TL19'!$J$238:$J$451),0)
),0)</f>
        <v/>
      </c>
      <c r="P329" s="9">
        <f>IFERROR(SUM(
IF('TL01'!$B$3=P$3,SUMIF('TL01'!$C$10:$C$224,$C329,'TL01'!$J$10:$J$224),0),
IF('TL01'!$B$229=P$3,SUMIF('TL01'!$C$238:$C$451,$C329,'TL01'!$J$238:$J$451),0),
IF('TL02'!$B$3=P$3,SUMIF('TL02'!$C$10:$C$224,$C329,'TL02'!$J$10:$J$224),0),
IF('TL02'!$B$229=P$3,SUMIF('TL02'!$C$238:$C$451,$C329,'TL02'!$J$238:$J$451),0),
IF('TL03'!$B$3=P$3,SUMIF('TL03'!$C$10:$C$224,$C329,'TL03'!$J$10:$J$224),0),
IF('TL03'!$B$229=P$3,SUMIF('TL03'!$C$238:$C$451,$C329,'TL03'!$J$238:$J$451),0),
IF('TL04'!$B$3=P$3,SUMIF('TL04'!$C$10:$C$224,$C329,'TL04'!$J$10:$J$224),0),
IF('TL04'!$B$229=P$3,SUMIF('TL04'!$C$238:$C$451,$C329,'TL04'!$J$238:$J$451),0),
IF('TL05'!$B$3=P$3,SUMIF('TL05'!$C$10:$C$224,$C329,'TL05'!$J$10:$J$224),0),
IF('TL05'!$B$229=P$3,SUMIF('TL05'!$C$238:$C$451,$C329,'TL05'!$J$238:$J$451),0),
IF('TL06'!$B$3=P$3,SUMIF('TL06'!$C$10:$C$224,$C329,'TL06'!$J$10:$J$224),0),
IF('TL06'!$B$229=P$3,SUMIF('TL06'!$C$238:$C$451,$C329,'TL06'!$J$238:$J$451),0),
IF('TL07'!$B$3=P$3,SUMIF('TL07'!$C$10:$C$224,$C329,'TL07'!$J$10:$J$224),0),
IF('TL07'!$B$229=P$3,SUMIF('TL07'!$C$238:$C$451,$C329,'TL07'!$J$238:$J$451),0),
IF('TL08'!$B$3=P$3,SUMIF('TL08'!$C$10:$C$224,$C329,'TL08'!$J$10:$J$224),0),
IF('TL08'!$B$229=P$3,SUMIF('TL08'!$C$238:$C$451,$C329,'TL08'!$J$238:$J$451),0),
IF('TL09'!$B$3=P$3,SUMIF('TL09'!$C$10:$C$224,$C329,'TL09'!$J$10:$J$224),0),
IF('TL09'!$B$229=P$3,SUMIF('TL09'!$C$238:$C$451,$C329,'TL09'!$J$238:$J$451),0),
IF('TL10'!$B$3=P$3,SUMIF('TL10'!$C$10:$C$224,$C329,'TL10'!$J$10:$J$224),0),
IF('TL10'!$B$229=P$3,SUMIF('TL10'!$C$238:$C$451,$C329,'TL10'!$J$238:$J$451),0),
IF('TL11'!$B$3=P$3,SUMIF('TL11'!$C$10:$C$224,$C329,'TL11'!$J$10:$J$224),0),
IF('TL11'!$B$229=P$3,SUMIF('TL11'!$C$238:$C$451,$C329,'TL11'!$J$238:$J$451),0),
IF('TL12'!$B$3=P$3,SUMIF('TL12'!$C$10:$C$224,$C329,'TL12'!$J$10:$J$224),0),
IF('TL12'!$B$229=P$3,SUMIF('TL12'!$C$238:$C$451,$C329,'TL12'!$J$238:$J$451),0),
IF('TL13'!$B$3=P$3,SUMIF('TL13'!$C$10:$C$224,$C329,'TL13'!$J$10:$J$224),0),
IF('TL13'!$B$229=P$3,SUMIF('TL13'!$C$238:$C$451,$C329,'TL13'!$J$238:$J$451),0),
IF('TL14'!$B$3=P$3,SUMIF('TL14'!$C$10:$C$224,$C329,'TL14'!$J$10:$J$224),0),
IF('TL14'!$B$229=P$3,SUMIF('TL14'!$C$238:$C$451,$C329,'TL14'!$J$238:$J$451),0),
IF('TL15'!$B$3=P$3,SUMIF('TL15'!$C$10:$C$224,$C329,'TL15'!$J$10:$J$224),0),
IF('TL15'!$B$229=P$3,SUMIF('TL15'!$C$238:$C$451,$C329,'TL15'!$J$238:$J$451),0),
IF('TL16'!$B$3=P$3,SUMIF('TL16'!$C$10:$C$224,$C329,'TL16'!$J$10:$J$224),0),
IF('TL16'!$B$229=P$3,SUMIF('TL16'!$C$238:$C$451,$C329,'TL16'!$J$238:$J$451),0),
IF('TL17'!$B$3=P$3,SUMIF('TL17'!$C$10:$C$224,$C329,'TL17'!$J$10:$J$224),0),
IF('TL17'!$B$229=P$3,SUMIF('TL17'!$C$238:$C$451,$C329,'TL17'!$J$238:$J$451),0),
IF('TL18'!$B$3=P$3,SUMIF('TL18'!$C$10:$C$224,$C329,'TL18'!$J$10:$J$224),0),
IF('TL18'!$B$229=P$3,SUMIF('TL18'!$C$238:$C$451,$C329,'TL18'!$J$238:$J$451),0),
IF('TL19'!$B$3=P$3,SUMIF('TL19'!$C$10:$C$224,$C329,'TL19'!$J$10:$J$224),0),
IF('TL19'!$B$229=P$3,SUMIF('TL19'!$C$238:$C$451,$C329,'TL19'!$J$238:$J$451),0)
),0)</f>
        <v/>
      </c>
      <c r="Q329" s="9">
        <f>IFERROR(SUM(
IF('TL01'!$B$3=Q$3,SUMIF('TL01'!$C$10:$C$224,$C329,'TL01'!$J$10:$J$224),0),
IF('TL01'!$B$229=Q$3,SUMIF('TL01'!$C$238:$C$451,$C329,'TL01'!$J$238:$J$451),0),
IF('TL02'!$B$3=Q$3,SUMIF('TL02'!$C$10:$C$224,$C329,'TL02'!$J$10:$J$224),0),
IF('TL02'!$B$229=Q$3,SUMIF('TL02'!$C$238:$C$451,$C329,'TL02'!$J$238:$J$451),0),
IF('TL03'!$B$3=Q$3,SUMIF('TL03'!$C$10:$C$224,$C329,'TL03'!$J$10:$J$224),0),
IF('TL03'!$B$229=Q$3,SUMIF('TL03'!$C$238:$C$451,$C329,'TL03'!$J$238:$J$451),0),
IF('TL04'!$B$3=Q$3,SUMIF('TL04'!$C$10:$C$224,$C329,'TL04'!$J$10:$J$224),0),
IF('TL04'!$B$229=Q$3,SUMIF('TL04'!$C$238:$C$451,$C329,'TL04'!$J$238:$J$451),0),
IF('TL05'!$B$3=Q$3,SUMIF('TL05'!$C$10:$C$224,$C329,'TL05'!$J$10:$J$224),0),
IF('TL05'!$B$229=Q$3,SUMIF('TL05'!$C$238:$C$451,$C329,'TL05'!$J$238:$J$451),0),
IF('TL06'!$B$3=Q$3,SUMIF('TL06'!$C$10:$C$224,$C329,'TL06'!$J$10:$J$224),0),
IF('TL06'!$B$229=Q$3,SUMIF('TL06'!$C$238:$C$451,$C329,'TL06'!$J$238:$J$451),0),
IF('TL07'!$B$3=Q$3,SUMIF('TL07'!$C$10:$C$224,$C329,'TL07'!$J$10:$J$224),0),
IF('TL07'!$B$229=Q$3,SUMIF('TL07'!$C$238:$C$451,$C329,'TL07'!$J$238:$J$451),0),
IF('TL08'!$B$3=Q$3,SUMIF('TL08'!$C$10:$C$224,$C329,'TL08'!$J$10:$J$224),0),
IF('TL08'!$B$229=Q$3,SUMIF('TL08'!$C$238:$C$451,$C329,'TL08'!$J$238:$J$451),0),
IF('TL09'!$B$3=Q$3,SUMIF('TL09'!$C$10:$C$224,$C329,'TL09'!$J$10:$J$224),0),
IF('TL09'!$B$229=Q$3,SUMIF('TL09'!$C$238:$C$451,$C329,'TL09'!$J$238:$J$451),0),
IF('TL10'!$B$3=Q$3,SUMIF('TL10'!$C$10:$C$224,$C329,'TL10'!$J$10:$J$224),0),
IF('TL10'!$B$229=Q$3,SUMIF('TL10'!$C$238:$C$451,$C329,'TL10'!$J$238:$J$451),0),
IF('TL11'!$B$3=Q$3,SUMIF('TL11'!$C$10:$C$224,$C329,'TL11'!$J$10:$J$224),0),
IF('TL11'!$B$229=Q$3,SUMIF('TL11'!$C$238:$C$451,$C329,'TL11'!$J$238:$J$451),0),
IF('TL12'!$B$3=Q$3,SUMIF('TL12'!$C$10:$C$224,$C329,'TL12'!$J$10:$J$224),0),
IF('TL12'!$B$229=Q$3,SUMIF('TL12'!$C$238:$C$451,$C329,'TL12'!$J$238:$J$451),0),
IF('TL13'!$B$3=Q$3,SUMIF('TL13'!$C$10:$C$224,$C329,'TL13'!$J$10:$J$224),0),
IF('TL13'!$B$229=Q$3,SUMIF('TL13'!$C$238:$C$451,$C329,'TL13'!$J$238:$J$451),0),
IF('TL14'!$B$3=Q$3,SUMIF('TL14'!$C$10:$C$224,$C329,'TL14'!$J$10:$J$224),0),
IF('TL14'!$B$229=Q$3,SUMIF('TL14'!$C$238:$C$451,$C329,'TL14'!$J$238:$J$451),0),
IF('TL15'!$B$3=Q$3,SUMIF('TL15'!$C$10:$C$224,$C329,'TL15'!$J$10:$J$224),0),
IF('TL15'!$B$229=Q$3,SUMIF('TL15'!$C$238:$C$451,$C329,'TL15'!$J$238:$J$451),0),
IF('TL16'!$B$3=Q$3,SUMIF('TL16'!$C$10:$C$224,$C329,'TL16'!$J$10:$J$224),0),
IF('TL16'!$B$229=Q$3,SUMIF('TL16'!$C$238:$C$451,$C329,'TL16'!$J$238:$J$451),0),
IF('TL17'!$B$3=Q$3,SUMIF('TL17'!$C$10:$C$224,$C329,'TL17'!$J$10:$J$224),0),
IF('TL17'!$B$229=Q$3,SUMIF('TL17'!$C$238:$C$451,$C329,'TL17'!$J$238:$J$451),0),
IF('TL18'!$B$3=Q$3,SUMIF('TL18'!$C$10:$C$224,$C329,'TL18'!$J$10:$J$224),0),
IF('TL18'!$B$229=Q$3,SUMIF('TL18'!$C$238:$C$451,$C329,'TL18'!$J$238:$J$451),0),
IF('TL19'!$B$3=Q$3,SUMIF('TL19'!$C$10:$C$224,$C329,'TL19'!$J$10:$J$224),0),
IF('TL19'!$B$229=Q$3,SUMIF('TL19'!$C$238:$C$451,$C329,'TL19'!$J$238:$J$451),0)
),0)</f>
        <v/>
      </c>
      <c r="R329" s="9">
        <f>IFERROR(
SUM(
SUMIF('TL01'!C:C,C329,'TL01'!J:J),
SUMIF('TL02'!C:C,C329,'TL02'!J:J),
SUMIF('TL03'!C:C,C329,'TL03'!J:J),
SUMIF('TL04'!C:C,C329,'TL04'!J:J),
SUMIF('TL05'!C:C,C329,'TL05'!J:J),
SUMIF('TL06'!C:C,C329,'TL06'!J:J),
SUMIF('TL07'!C:C,C329,'TL07'!J:J),
SUMIF('TL08'!C:C,C329,'TL08'!J:J),
SUMIF('TL09'!C:C,C329,'TL09'!J:J),
SUMIF('TL10'!C:C,C329,'TL10'!J:J),
SUMIF('TL11'!C:C,C329,'TL11'!J:J),
SUMIF('TL12'!C:C,C329,'TL12'!J:J),
SUMIF('TL13'!C:C,C329,'TL13'!J:J),
SUMIF('TL14'!C:C,C329,'TL14'!J:J),
SUMIF('TL15'!C:C,C329,'TL15'!J:J),
SUMIF('TL16'!C:C,C329,'TL16'!J:J),
SUMIF('TL17'!C:C,C329,'TL17'!J:J),
SUMIF('TL18'!C:C,C329,'TL18'!J:J),SUMIF('TL19'!C:C,C329,'TL19'!J:J))
,0)</f>
        <v/>
      </c>
      <c r="S329" s="17">
        <f>IFERROR(__xludf.DUMMYFUNCTION("IFERROR(VLOOKUP(C329,
IMPORTRANGE(""1wULbzX32WdYsx-lj2U3uUNBBe2INVIRDtcK0d-Dvl90"",
""26-27!C:G""),
5,
FALSE),
"""")"),"")</f>
        <v/>
      </c>
      <c r="T329" s="9" t="n"/>
      <c r="U329" s="92">
        <f>MAX(0,R329-T329)</f>
        <v/>
      </c>
      <c r="V329" s="93">
        <f>U329*S329</f>
        <v/>
      </c>
    </row>
    <row r="330" hidden="1" ht="15.75" customHeight="1" s="297">
      <c r="A330" s="4" t="n"/>
      <c r="B330" s="125" t="inlineStr">
        <is>
          <t>SEMENTE</t>
        </is>
      </c>
      <c r="C330" s="4" t="inlineStr">
        <is>
          <t>DOMÍNIO 8.4</t>
        </is>
      </c>
      <c r="D330" s="20" t="n"/>
      <c r="E330" s="9" t="n"/>
      <c r="F330" s="4" t="inlineStr">
        <is>
          <t>KG</t>
        </is>
      </c>
      <c r="G330" s="90">
        <f>HYPERLINK("https://www.google.com/search?q=" &amp; C330 &amp; "+bula+agrofit+pdf", "📄 Ver bula")</f>
        <v/>
      </c>
      <c r="H330" s="9" t="n"/>
      <c r="I330" s="1" t="n"/>
      <c r="J330" s="9">
        <f>IFERROR(SUM(
IF('TL01'!$B$3=J$3,SUMIF('TL01'!$C$10:$C$224,$C330,'TL01'!$J$10:$J$224),0),
IF('TL01'!$B$229=J$3,SUMIF('TL01'!$C$238:$C$451,$C330,'TL01'!$J$238:$J$451),0),
IF('TL02'!$B$3=J$3,SUMIF('TL02'!$C$10:$C$224,$C330,'TL02'!$J$10:$J$224),0),
IF('TL02'!$B$229=J$3,SUMIF('TL02'!$C$238:$C$451,$C330,'TL02'!$J$238:$J$451),0),
IF('TL03'!$B$3=J$3,SUMIF('TL03'!$C$10:$C$224,$C330,'TL03'!$J$10:$J$224),0),
IF('TL03'!$B$229=J$3,SUMIF('TL03'!$C$238:$C$451,$C330,'TL03'!$J$238:$J$451),0),
IF('TL04'!$B$3=J$3,SUMIF('TL04'!$C$10:$C$224,$C330,'TL04'!$J$10:$J$224),0),
IF('TL04'!$B$229=J$3,SUMIF('TL04'!$C$238:$C$451,$C330,'TL04'!$J$238:$J$451),0),
IF('TL05'!$B$3=J$3,SUMIF('TL05'!$C$10:$C$224,$C330,'TL05'!$J$10:$J$224),0),
IF('TL05'!$B$229=J$3,SUMIF('TL05'!$C$238:$C$451,$C330,'TL05'!$J$238:$J$451),0),
IF('TL06'!$B$3=J$3,SUMIF('TL06'!$C$10:$C$224,$C330,'TL06'!$J$10:$J$224),0),
IF('TL06'!$B$229=J$3,SUMIF('TL06'!$C$238:$C$451,$C330,'TL06'!$J$238:$J$451),0),
IF('TL07'!$B$3=J$3,SUMIF('TL07'!$C$10:$C$224,$C330,'TL07'!$J$10:$J$224),0),
IF('TL07'!$B$229=J$3,SUMIF('TL07'!$C$238:$C$451,$C330,'TL07'!$J$238:$J$451),0),
IF('TL08'!$B$3=J$3,SUMIF('TL08'!$C$10:$C$224,$C330,'TL08'!$J$10:$J$224),0),
IF('TL08'!$B$229=J$3,SUMIF('TL08'!$C$238:$C$451,$C330,'TL08'!$J$238:$J$451),0),
IF('TL09'!$B$3=J$3,SUMIF('TL09'!$C$10:$C$224,$C330,'TL09'!$J$10:$J$224),0),
IF('TL09'!$B$229=J$3,SUMIF('TL09'!$C$238:$C$451,$C330,'TL09'!$J$238:$J$451),0),
IF('TL10'!$B$3=J$3,SUMIF('TL10'!$C$10:$C$224,$C330,'TL10'!$J$10:$J$224),0),
IF('TL10'!$B$229=J$3,SUMIF('TL10'!$C$238:$C$451,$C330,'TL10'!$J$238:$J$451),0),
IF('TL11'!$B$3=J$3,SUMIF('TL11'!$C$10:$C$224,$C330,'TL11'!$J$10:$J$224),0),
IF('TL11'!$B$229=J$3,SUMIF('TL11'!$C$238:$C$451,$C330,'TL11'!$J$238:$J$451),0),
IF('TL12'!$B$3=J$3,SUMIF('TL12'!$C$10:$C$224,$C330,'TL12'!$J$10:$J$224),0),
IF('TL12'!$B$229=J$3,SUMIF('TL12'!$C$238:$C$451,$C330,'TL12'!$J$238:$J$451),0),
IF('TL13'!$B$3=J$3,SUMIF('TL13'!$C$10:$C$224,$C330,'TL13'!$J$10:$J$224),0),
IF('TL13'!$B$229=J$3,SUMIF('TL13'!$C$238:$C$451,$C330,'TL13'!$J$238:$J$451),0),
IF('TL14'!$B$3=J$3,SUMIF('TL14'!$C$10:$C$224,$C330,'TL14'!$J$10:$J$224),0),
IF('TL14'!$B$229=J$3,SUMIF('TL14'!$C$238:$C$451,$C330,'TL14'!$J$238:$J$451),0),
IF('TL15'!$B$3=J$3,SUMIF('TL15'!$C$10:$C$224,$C330,'TL15'!$J$10:$J$224),0),
IF('TL15'!$B$229=J$3,SUMIF('TL15'!$C$238:$C$451,$C330,'TL15'!$J$238:$J$451),0),
IF('TL16'!$B$3=J$3,SUMIF('TL16'!$C$10:$C$224,$C330,'TL16'!$J$10:$J$224),0),
IF('TL16'!$B$229=J$3,SUMIF('TL16'!$C$238:$C$451,$C330,'TL16'!$J$238:$J$451),0),
IF('TL17'!$B$3=J$3,SUMIF('TL17'!$C$10:$C$224,$C330,'TL17'!$J$10:$J$224),0),
IF('TL17'!$B$229=J$3,SUMIF('TL17'!$C$238:$C$451,$C330,'TL17'!$J$238:$J$451),0),
IF('TL18'!$B$3=J$3,SUMIF('TL18'!$C$10:$C$224,$C330,'TL18'!$J$10:$J$224),0),
IF('TL18'!$B$229=J$3,SUMIF('TL18'!$C$238:$C$451,$C330,'TL18'!$J$238:$J$451),0),
IF('TL19'!$B$3=J$3,SUMIF('TL19'!$C$10:$C$224,$C330,'TL19'!$J$10:$J$224),0),
IF('TL19'!$B$229=J$3,SUMIF('TL19'!$C$238:$C$451,$C330,'TL19'!$J$238:$J$451),0)
),0)</f>
        <v/>
      </c>
      <c r="K330" s="9">
        <f>IFERROR(SUM(
IF('TL01'!$B$3=K$3,SUMIF('TL01'!$C$10:$C$224,$C330,'TL01'!$J$10:$J$224),0),
IF('TL01'!$B$229=K$3,SUMIF('TL01'!$C$238:$C$451,$C330,'TL01'!$J$238:$J$451),0),
IF('TL02'!$B$3=K$3,SUMIF('TL02'!$C$10:$C$224,$C330,'TL02'!$J$10:$J$224),0),
IF('TL02'!$B$229=K$3,SUMIF('TL02'!$C$238:$C$451,$C330,'TL02'!$J$238:$J$451),0),
IF('TL03'!$B$3=K$3,SUMIF('TL03'!$C$10:$C$224,$C330,'TL03'!$J$10:$J$224),0),
IF('TL03'!$B$229=K$3,SUMIF('TL03'!$C$238:$C$451,$C330,'TL03'!$J$238:$J$451),0),
IF('TL04'!$B$3=K$3,SUMIF('TL04'!$C$10:$C$224,$C330,'TL04'!$J$10:$J$224),0),
IF('TL04'!$B$229=K$3,SUMIF('TL04'!$C$238:$C$451,$C330,'TL04'!$J$238:$J$451),0),
IF('TL05'!$B$3=K$3,SUMIF('TL05'!$C$10:$C$224,$C330,'TL05'!$J$10:$J$224),0),
IF('TL05'!$B$229=K$3,SUMIF('TL05'!$C$238:$C$451,$C330,'TL05'!$J$238:$J$451),0),
IF('TL06'!$B$3=K$3,SUMIF('TL06'!$C$10:$C$224,$C330,'TL06'!$J$10:$J$224),0),
IF('TL06'!$B$229=K$3,SUMIF('TL06'!$C$238:$C$451,$C330,'TL06'!$J$238:$J$451),0),
IF('TL07'!$B$3=K$3,SUMIF('TL07'!$C$10:$C$224,$C330,'TL07'!$J$10:$J$224),0),
IF('TL07'!$B$229=K$3,SUMIF('TL07'!$C$238:$C$451,$C330,'TL07'!$J$238:$J$451),0),
IF('TL08'!$B$3=K$3,SUMIF('TL08'!$C$10:$C$224,$C330,'TL08'!$J$10:$J$224),0),
IF('TL08'!$B$229=K$3,SUMIF('TL08'!$C$238:$C$451,$C330,'TL08'!$J$238:$J$451),0),
IF('TL09'!$B$3=K$3,SUMIF('TL09'!$C$10:$C$224,$C330,'TL09'!$J$10:$J$224),0),
IF('TL09'!$B$229=K$3,SUMIF('TL09'!$C$238:$C$451,$C330,'TL09'!$J$238:$J$451),0),
IF('TL10'!$B$3=K$3,SUMIF('TL10'!$C$10:$C$224,$C330,'TL10'!$J$10:$J$224),0),
IF('TL10'!$B$229=K$3,SUMIF('TL10'!$C$238:$C$451,$C330,'TL10'!$J$238:$J$451),0),
IF('TL11'!$B$3=K$3,SUMIF('TL11'!$C$10:$C$224,$C330,'TL11'!$J$10:$J$224),0),
IF('TL11'!$B$229=K$3,SUMIF('TL11'!$C$238:$C$451,$C330,'TL11'!$J$238:$J$451),0),
IF('TL12'!$B$3=K$3,SUMIF('TL12'!$C$10:$C$224,$C330,'TL12'!$J$10:$J$224),0),
IF('TL12'!$B$229=K$3,SUMIF('TL12'!$C$238:$C$451,$C330,'TL12'!$J$238:$J$451),0),
IF('TL13'!$B$3=K$3,SUMIF('TL13'!$C$10:$C$224,$C330,'TL13'!$J$10:$J$224),0),
IF('TL13'!$B$229=K$3,SUMIF('TL13'!$C$238:$C$451,$C330,'TL13'!$J$238:$J$451),0),
IF('TL14'!$B$3=K$3,SUMIF('TL14'!$C$10:$C$224,$C330,'TL14'!$J$10:$J$224),0),
IF('TL14'!$B$229=K$3,SUMIF('TL14'!$C$238:$C$451,$C330,'TL14'!$J$238:$J$451),0),
IF('TL15'!$B$3=K$3,SUMIF('TL15'!$C$10:$C$224,$C330,'TL15'!$J$10:$J$224),0),
IF('TL15'!$B$229=K$3,SUMIF('TL15'!$C$238:$C$451,$C330,'TL15'!$J$238:$J$451),0),
IF('TL16'!$B$3=K$3,SUMIF('TL16'!$C$10:$C$224,$C330,'TL16'!$J$10:$J$224),0),
IF('TL16'!$B$229=K$3,SUMIF('TL16'!$C$238:$C$451,$C330,'TL16'!$J$238:$J$451),0),
IF('TL17'!$B$3=K$3,SUMIF('TL17'!$C$10:$C$224,$C330,'TL17'!$J$10:$J$224),0),
IF('TL17'!$B$229=K$3,SUMIF('TL17'!$C$238:$C$451,$C330,'TL17'!$J$238:$J$451),0),
IF('TL18'!$B$3=K$3,SUMIF('TL18'!$C$10:$C$224,$C330,'TL18'!$J$10:$J$224),0),
IF('TL18'!$B$229=K$3,SUMIF('TL18'!$C$238:$C$451,$C330,'TL18'!$J$238:$J$451),0),
IF('TL19'!$B$3=K$3,SUMIF('TL19'!$C$10:$C$224,$C330,'TL19'!$J$10:$J$224),0),
IF('TL19'!$B$229=K$3,SUMIF('TL19'!$C$238:$C$451,$C330,'TL19'!$J$238:$J$451),0)
),0)</f>
        <v/>
      </c>
      <c r="L330" s="9">
        <f>IFERROR(SUM(
IF('TL01'!$B$3=L$3,SUMIF('TL01'!$C$10:$C$224,$C330,'TL01'!$J$10:$J$224),0),
IF('TL01'!$B$229=L$3,SUMIF('TL01'!$C$238:$C$451,$C330,'TL01'!$J$238:$J$451),0),
IF('TL02'!$B$3=L$3,SUMIF('TL02'!$C$10:$C$224,$C330,'TL02'!$J$10:$J$224),0),
IF('TL02'!$B$229=L$3,SUMIF('TL02'!$C$238:$C$451,$C330,'TL02'!$J$238:$J$451),0),
IF('TL03'!$B$3=L$3,SUMIF('TL03'!$C$10:$C$224,$C330,'TL03'!$J$10:$J$224),0),
IF('TL03'!$B$229=L$3,SUMIF('TL03'!$C$238:$C$451,$C330,'TL03'!$J$238:$J$451),0),
IF('TL04'!$B$3=L$3,SUMIF('TL04'!$C$10:$C$224,$C330,'TL04'!$J$10:$J$224),0),
IF('TL04'!$B$229=L$3,SUMIF('TL04'!$C$238:$C$451,$C330,'TL04'!$J$238:$J$451),0),
IF('TL05'!$B$3=L$3,SUMIF('TL05'!$C$10:$C$224,$C330,'TL05'!$J$10:$J$224),0),
IF('TL05'!$B$229=L$3,SUMIF('TL05'!$C$238:$C$451,$C330,'TL05'!$J$238:$J$451),0),
IF('TL06'!$B$3=L$3,SUMIF('TL06'!$C$10:$C$224,$C330,'TL06'!$J$10:$J$224),0),
IF('TL06'!$B$229=L$3,SUMIF('TL06'!$C$238:$C$451,$C330,'TL06'!$J$238:$J$451),0),
IF('TL07'!$B$3=L$3,SUMIF('TL07'!$C$10:$C$224,$C330,'TL07'!$J$10:$J$224),0),
IF('TL07'!$B$229=L$3,SUMIF('TL07'!$C$238:$C$451,$C330,'TL07'!$J$238:$J$451),0),
IF('TL08'!$B$3=L$3,SUMIF('TL08'!$C$10:$C$224,$C330,'TL08'!$J$10:$J$224),0),
IF('TL08'!$B$229=L$3,SUMIF('TL08'!$C$238:$C$451,$C330,'TL08'!$J$238:$J$451),0),
IF('TL09'!$B$3=L$3,SUMIF('TL09'!$C$10:$C$224,$C330,'TL09'!$J$10:$J$224),0),
IF('TL09'!$B$229=L$3,SUMIF('TL09'!$C$238:$C$451,$C330,'TL09'!$J$238:$J$451),0),
IF('TL10'!$B$3=L$3,SUMIF('TL10'!$C$10:$C$224,$C330,'TL10'!$J$10:$J$224),0),
IF('TL10'!$B$229=L$3,SUMIF('TL10'!$C$238:$C$451,$C330,'TL10'!$J$238:$J$451),0),
IF('TL11'!$B$3=L$3,SUMIF('TL11'!$C$10:$C$224,$C330,'TL11'!$J$10:$J$224),0),
IF('TL11'!$B$229=L$3,SUMIF('TL11'!$C$238:$C$451,$C330,'TL11'!$J$238:$J$451),0),
IF('TL12'!$B$3=L$3,SUMIF('TL12'!$C$10:$C$224,$C330,'TL12'!$J$10:$J$224),0),
IF('TL12'!$B$229=L$3,SUMIF('TL12'!$C$238:$C$451,$C330,'TL12'!$J$238:$J$451),0),
IF('TL13'!$B$3=L$3,SUMIF('TL13'!$C$10:$C$224,$C330,'TL13'!$J$10:$J$224),0),
IF('TL13'!$B$229=L$3,SUMIF('TL13'!$C$238:$C$451,$C330,'TL13'!$J$238:$J$451),0),
IF('TL14'!$B$3=L$3,SUMIF('TL14'!$C$10:$C$224,$C330,'TL14'!$J$10:$J$224),0),
IF('TL14'!$B$229=L$3,SUMIF('TL14'!$C$238:$C$451,$C330,'TL14'!$J$238:$J$451),0),
IF('TL15'!$B$3=L$3,SUMIF('TL15'!$C$10:$C$224,$C330,'TL15'!$J$10:$J$224),0),
IF('TL15'!$B$229=L$3,SUMIF('TL15'!$C$238:$C$451,$C330,'TL15'!$J$238:$J$451),0),
IF('TL16'!$B$3=L$3,SUMIF('TL16'!$C$10:$C$224,$C330,'TL16'!$J$10:$J$224),0),
IF('TL16'!$B$229=L$3,SUMIF('TL16'!$C$238:$C$451,$C330,'TL16'!$J$238:$J$451),0),
IF('TL17'!$B$3=L$3,SUMIF('TL17'!$C$10:$C$224,$C330,'TL17'!$J$10:$J$224),0),
IF('TL17'!$B$229=L$3,SUMIF('TL17'!$C$238:$C$451,$C330,'TL17'!$J$238:$J$451),0),
IF('TL18'!$B$3=L$3,SUMIF('TL18'!$C$10:$C$224,$C330,'TL18'!$J$10:$J$224),0),
IF('TL18'!$B$229=L$3,SUMIF('TL18'!$C$238:$C$451,$C330,'TL18'!$J$238:$J$451),0),
IF('TL19'!$B$3=L$3,SUMIF('TL19'!$C$10:$C$224,$C330,'TL19'!$J$10:$J$224),0),
IF('TL19'!$B$229=L$3,SUMIF('TL19'!$C$238:$C$451,$C330,'TL19'!$J$238:$J$451),0)
),0)</f>
        <v/>
      </c>
      <c r="M330" s="9">
        <f>IFERROR(SUM(
IF('TL01'!$B$3=M$3,SUMIF('TL01'!$C$10:$C$224,$C330,'TL01'!$J$10:$J$224),0),
IF('TL01'!$B$229=M$3,SUMIF('TL01'!$C$238:$C$451,$C330,'TL01'!$J$238:$J$451),0),
IF('TL02'!$B$3=M$3,SUMIF('TL02'!$C$10:$C$224,$C330,'TL02'!$J$10:$J$224),0),
IF('TL02'!$B$229=M$3,SUMIF('TL02'!$C$238:$C$451,$C330,'TL02'!$J$238:$J$451),0),
IF('TL03'!$B$3=M$3,SUMIF('TL03'!$C$10:$C$224,$C330,'TL03'!$J$10:$J$224),0),
IF('TL03'!$B$229=M$3,SUMIF('TL03'!$C$238:$C$451,$C330,'TL03'!$J$238:$J$451),0),
IF('TL04'!$B$3=M$3,SUMIF('TL04'!$C$10:$C$224,$C330,'TL04'!$J$10:$J$224),0),
IF('TL04'!$B$229=M$3,SUMIF('TL04'!$C$238:$C$451,$C330,'TL04'!$J$238:$J$451),0),
IF('TL05'!$B$3=M$3,SUMIF('TL05'!$C$10:$C$224,$C330,'TL05'!$J$10:$J$224),0),
IF('TL05'!$B$229=M$3,SUMIF('TL05'!$C$238:$C$451,$C330,'TL05'!$J$238:$J$451),0),
IF('TL06'!$B$3=M$3,SUMIF('TL06'!$C$10:$C$224,$C330,'TL06'!$J$10:$J$224),0),
IF('TL06'!$B$229=M$3,SUMIF('TL06'!$C$238:$C$451,$C330,'TL06'!$J$238:$J$451),0),
IF('TL07'!$B$3=M$3,SUMIF('TL07'!$C$10:$C$224,$C330,'TL07'!$J$10:$J$224),0),
IF('TL07'!$B$229=M$3,SUMIF('TL07'!$C$238:$C$451,$C330,'TL07'!$J$238:$J$451),0),
IF('TL08'!$B$3=M$3,SUMIF('TL08'!$C$10:$C$224,$C330,'TL08'!$J$10:$J$224),0),
IF('TL08'!$B$229=M$3,SUMIF('TL08'!$C$238:$C$451,$C330,'TL08'!$J$238:$J$451),0),
IF('TL09'!$B$3=M$3,SUMIF('TL09'!$C$10:$C$224,$C330,'TL09'!$J$10:$J$224),0),
IF('TL09'!$B$229=M$3,SUMIF('TL09'!$C$238:$C$451,$C330,'TL09'!$J$238:$J$451),0),
IF('TL10'!$B$3=M$3,SUMIF('TL10'!$C$10:$C$224,$C330,'TL10'!$J$10:$J$224),0),
IF('TL10'!$B$229=M$3,SUMIF('TL10'!$C$238:$C$451,$C330,'TL10'!$J$238:$J$451),0),
IF('TL11'!$B$3=M$3,SUMIF('TL11'!$C$10:$C$224,$C330,'TL11'!$J$10:$J$224),0),
IF('TL11'!$B$229=M$3,SUMIF('TL11'!$C$238:$C$451,$C330,'TL11'!$J$238:$J$451),0),
IF('TL12'!$B$3=M$3,SUMIF('TL12'!$C$10:$C$224,$C330,'TL12'!$J$10:$J$224),0),
IF('TL12'!$B$229=M$3,SUMIF('TL12'!$C$238:$C$451,$C330,'TL12'!$J$238:$J$451),0),
IF('TL13'!$B$3=M$3,SUMIF('TL13'!$C$10:$C$224,$C330,'TL13'!$J$10:$J$224),0),
IF('TL13'!$B$229=M$3,SUMIF('TL13'!$C$238:$C$451,$C330,'TL13'!$J$238:$J$451),0),
IF('TL14'!$B$3=M$3,SUMIF('TL14'!$C$10:$C$224,$C330,'TL14'!$J$10:$J$224),0),
IF('TL14'!$B$229=M$3,SUMIF('TL14'!$C$238:$C$451,$C330,'TL14'!$J$238:$J$451),0),
IF('TL15'!$B$3=M$3,SUMIF('TL15'!$C$10:$C$224,$C330,'TL15'!$J$10:$J$224),0),
IF('TL15'!$B$229=M$3,SUMIF('TL15'!$C$238:$C$451,$C330,'TL15'!$J$238:$J$451),0),
IF('TL16'!$B$3=M$3,SUMIF('TL16'!$C$10:$C$224,$C330,'TL16'!$J$10:$J$224),0),
IF('TL16'!$B$229=M$3,SUMIF('TL16'!$C$238:$C$451,$C330,'TL16'!$J$238:$J$451),0),
IF('TL17'!$B$3=M$3,SUMIF('TL17'!$C$10:$C$224,$C330,'TL17'!$J$10:$J$224),0),
IF('TL17'!$B$229=M$3,SUMIF('TL17'!$C$238:$C$451,$C330,'TL17'!$J$238:$J$451),0),
IF('TL18'!$B$3=M$3,SUMIF('TL18'!$C$10:$C$224,$C330,'TL18'!$J$10:$J$224),0),
IF('TL18'!$B$229=M$3,SUMIF('TL18'!$C$238:$C$451,$C330,'TL18'!$J$238:$J$451),0),
IF('TL19'!$B$3=M$3,SUMIF('TL19'!$C$10:$C$224,$C330,'TL19'!$J$10:$J$224),0),
IF('TL19'!$B$229=M$3,SUMIF('TL19'!$C$238:$C$451,$C330,'TL19'!$J$238:$J$451),0)
),0)</f>
        <v/>
      </c>
      <c r="N330" s="9">
        <f>IFERROR(SUM(
IF('TL01'!$B$3=N$3,SUMIF('TL01'!$C$10:$C$224,$C330,'TL01'!$J$10:$J$224),0),
IF('TL01'!$B$229=N$3,SUMIF('TL01'!$C$238:$C$451,$C330,'TL01'!$J$238:$J$451),0),
IF('TL02'!$B$3=N$3,SUMIF('TL02'!$C$10:$C$224,$C330,'TL02'!$J$10:$J$224),0),
IF('TL02'!$B$229=N$3,SUMIF('TL02'!$C$238:$C$451,$C330,'TL02'!$J$238:$J$451),0),
IF('TL03'!$B$3=N$3,SUMIF('TL03'!$C$10:$C$224,$C330,'TL03'!$J$10:$J$224),0),
IF('TL03'!$B$229=N$3,SUMIF('TL03'!$C$238:$C$451,$C330,'TL03'!$J$238:$J$451),0),
IF('TL04'!$B$3=N$3,SUMIF('TL04'!$C$10:$C$224,$C330,'TL04'!$J$10:$J$224),0),
IF('TL04'!$B$229=N$3,SUMIF('TL04'!$C$238:$C$451,$C330,'TL04'!$J$238:$J$451),0),
IF('TL05'!$B$3=N$3,SUMIF('TL05'!$C$10:$C$224,$C330,'TL05'!$J$10:$J$224),0),
IF('TL05'!$B$229=N$3,SUMIF('TL05'!$C$238:$C$451,$C330,'TL05'!$J$238:$J$451),0),
IF('TL06'!$B$3=N$3,SUMIF('TL06'!$C$10:$C$224,$C330,'TL06'!$J$10:$J$224),0),
IF('TL06'!$B$229=N$3,SUMIF('TL06'!$C$238:$C$451,$C330,'TL06'!$J$238:$J$451),0),
IF('TL07'!$B$3=N$3,SUMIF('TL07'!$C$10:$C$224,$C330,'TL07'!$J$10:$J$224),0),
IF('TL07'!$B$229=N$3,SUMIF('TL07'!$C$238:$C$451,$C330,'TL07'!$J$238:$J$451),0),
IF('TL08'!$B$3=N$3,SUMIF('TL08'!$C$10:$C$224,$C330,'TL08'!$J$10:$J$224),0),
IF('TL08'!$B$229=N$3,SUMIF('TL08'!$C$238:$C$451,$C330,'TL08'!$J$238:$J$451),0),
IF('TL09'!$B$3=N$3,SUMIF('TL09'!$C$10:$C$224,$C330,'TL09'!$J$10:$J$224),0),
IF('TL09'!$B$229=N$3,SUMIF('TL09'!$C$238:$C$451,$C330,'TL09'!$J$238:$J$451),0),
IF('TL10'!$B$3=N$3,SUMIF('TL10'!$C$10:$C$224,$C330,'TL10'!$J$10:$J$224),0),
IF('TL10'!$B$229=N$3,SUMIF('TL10'!$C$238:$C$451,$C330,'TL10'!$J$238:$J$451),0),
IF('TL11'!$B$3=N$3,SUMIF('TL11'!$C$10:$C$224,$C330,'TL11'!$J$10:$J$224),0),
IF('TL11'!$B$229=N$3,SUMIF('TL11'!$C$238:$C$451,$C330,'TL11'!$J$238:$J$451),0),
IF('TL12'!$B$3=N$3,SUMIF('TL12'!$C$10:$C$224,$C330,'TL12'!$J$10:$J$224),0),
IF('TL12'!$B$229=N$3,SUMIF('TL12'!$C$238:$C$451,$C330,'TL12'!$J$238:$J$451),0),
IF('TL13'!$B$3=N$3,SUMIF('TL13'!$C$10:$C$224,$C330,'TL13'!$J$10:$J$224),0),
IF('TL13'!$B$229=N$3,SUMIF('TL13'!$C$238:$C$451,$C330,'TL13'!$J$238:$J$451),0),
IF('TL14'!$B$3=N$3,SUMIF('TL14'!$C$10:$C$224,$C330,'TL14'!$J$10:$J$224),0),
IF('TL14'!$B$229=N$3,SUMIF('TL14'!$C$238:$C$451,$C330,'TL14'!$J$238:$J$451),0),
IF('TL15'!$B$3=N$3,SUMIF('TL15'!$C$10:$C$224,$C330,'TL15'!$J$10:$J$224),0),
IF('TL15'!$B$229=N$3,SUMIF('TL15'!$C$238:$C$451,$C330,'TL15'!$J$238:$J$451),0),
IF('TL16'!$B$3=N$3,SUMIF('TL16'!$C$10:$C$224,$C330,'TL16'!$J$10:$J$224),0),
IF('TL16'!$B$229=N$3,SUMIF('TL16'!$C$238:$C$451,$C330,'TL16'!$J$238:$J$451),0),
IF('TL17'!$B$3=N$3,SUMIF('TL17'!$C$10:$C$224,$C330,'TL17'!$J$10:$J$224),0),
IF('TL17'!$B$229=N$3,SUMIF('TL17'!$C$238:$C$451,$C330,'TL17'!$J$238:$J$451),0),
IF('TL18'!$B$3=N$3,SUMIF('TL18'!$C$10:$C$224,$C330,'TL18'!$J$10:$J$224),0),
IF('TL18'!$B$229=N$3,SUMIF('TL18'!$C$238:$C$451,$C330,'TL18'!$J$238:$J$451),0),
IF('TL19'!$B$3=N$3,SUMIF('TL19'!$C$10:$C$224,$C330,'TL19'!$J$10:$J$224),0),
IF('TL19'!$B$229=N$3,SUMIF('TL19'!$C$238:$C$451,$C330,'TL19'!$J$238:$J$451),0)
),0)</f>
        <v/>
      </c>
      <c r="O330" s="9">
        <f>IFERROR(SUM(
IF('TL01'!$B$3=O$3,SUMIF('TL01'!$C$10:$C$224,$C330,'TL01'!$J$10:$J$224),0),
IF('TL01'!$B$229=O$3,SUMIF('TL01'!$C$238:$C$451,$C330,'TL01'!$J$238:$J$451),0),
IF('TL02'!$B$3=O$3,SUMIF('TL02'!$C$10:$C$224,$C330,'TL02'!$J$10:$J$224),0),
IF('TL02'!$B$229=O$3,SUMIF('TL02'!$C$238:$C$451,$C330,'TL02'!$J$238:$J$451),0),
IF('TL03'!$B$3=O$3,SUMIF('TL03'!$C$10:$C$224,$C330,'TL03'!$J$10:$J$224),0),
IF('TL03'!$B$229=O$3,SUMIF('TL03'!$C$238:$C$451,$C330,'TL03'!$J$238:$J$451),0),
IF('TL04'!$B$3=O$3,SUMIF('TL04'!$C$10:$C$224,$C330,'TL04'!$J$10:$J$224),0),
IF('TL04'!$B$229=O$3,SUMIF('TL04'!$C$238:$C$451,$C330,'TL04'!$J$238:$J$451),0),
IF('TL05'!$B$3=O$3,SUMIF('TL05'!$C$10:$C$224,$C330,'TL05'!$J$10:$J$224),0),
IF('TL05'!$B$229=O$3,SUMIF('TL05'!$C$238:$C$451,$C330,'TL05'!$J$238:$J$451),0),
IF('TL06'!$B$3=O$3,SUMIF('TL06'!$C$10:$C$224,$C330,'TL06'!$J$10:$J$224),0),
IF('TL06'!$B$229=O$3,SUMIF('TL06'!$C$238:$C$451,$C330,'TL06'!$J$238:$J$451),0),
IF('TL07'!$B$3=O$3,SUMIF('TL07'!$C$10:$C$224,$C330,'TL07'!$J$10:$J$224),0),
IF('TL07'!$B$229=O$3,SUMIF('TL07'!$C$238:$C$451,$C330,'TL07'!$J$238:$J$451),0),
IF('TL08'!$B$3=O$3,SUMIF('TL08'!$C$10:$C$224,$C330,'TL08'!$J$10:$J$224),0),
IF('TL08'!$B$229=O$3,SUMIF('TL08'!$C$238:$C$451,$C330,'TL08'!$J$238:$J$451),0),
IF('TL09'!$B$3=O$3,SUMIF('TL09'!$C$10:$C$224,$C330,'TL09'!$J$10:$J$224),0),
IF('TL09'!$B$229=O$3,SUMIF('TL09'!$C$238:$C$451,$C330,'TL09'!$J$238:$J$451),0),
IF('TL10'!$B$3=O$3,SUMIF('TL10'!$C$10:$C$224,$C330,'TL10'!$J$10:$J$224),0),
IF('TL10'!$B$229=O$3,SUMIF('TL10'!$C$238:$C$451,$C330,'TL10'!$J$238:$J$451),0),
IF('TL11'!$B$3=O$3,SUMIF('TL11'!$C$10:$C$224,$C330,'TL11'!$J$10:$J$224),0),
IF('TL11'!$B$229=O$3,SUMIF('TL11'!$C$238:$C$451,$C330,'TL11'!$J$238:$J$451),0),
IF('TL12'!$B$3=O$3,SUMIF('TL12'!$C$10:$C$224,$C330,'TL12'!$J$10:$J$224),0),
IF('TL12'!$B$229=O$3,SUMIF('TL12'!$C$238:$C$451,$C330,'TL12'!$J$238:$J$451),0),
IF('TL13'!$B$3=O$3,SUMIF('TL13'!$C$10:$C$224,$C330,'TL13'!$J$10:$J$224),0),
IF('TL13'!$B$229=O$3,SUMIF('TL13'!$C$238:$C$451,$C330,'TL13'!$J$238:$J$451),0),
IF('TL14'!$B$3=O$3,SUMIF('TL14'!$C$10:$C$224,$C330,'TL14'!$J$10:$J$224),0),
IF('TL14'!$B$229=O$3,SUMIF('TL14'!$C$238:$C$451,$C330,'TL14'!$J$238:$J$451),0),
IF('TL15'!$B$3=O$3,SUMIF('TL15'!$C$10:$C$224,$C330,'TL15'!$J$10:$J$224),0),
IF('TL15'!$B$229=O$3,SUMIF('TL15'!$C$238:$C$451,$C330,'TL15'!$J$238:$J$451),0),
IF('TL16'!$B$3=O$3,SUMIF('TL16'!$C$10:$C$224,$C330,'TL16'!$J$10:$J$224),0),
IF('TL16'!$B$229=O$3,SUMIF('TL16'!$C$238:$C$451,$C330,'TL16'!$J$238:$J$451),0),
IF('TL17'!$B$3=O$3,SUMIF('TL17'!$C$10:$C$224,$C330,'TL17'!$J$10:$J$224),0),
IF('TL17'!$B$229=O$3,SUMIF('TL17'!$C$238:$C$451,$C330,'TL17'!$J$238:$J$451),0),
IF('TL18'!$B$3=O$3,SUMIF('TL18'!$C$10:$C$224,$C330,'TL18'!$J$10:$J$224),0),
IF('TL18'!$B$229=O$3,SUMIF('TL18'!$C$238:$C$451,$C330,'TL18'!$J$238:$J$451),0),
IF('TL19'!$B$3=O$3,SUMIF('TL19'!$C$10:$C$224,$C330,'TL19'!$J$10:$J$224),0),
IF('TL19'!$B$229=O$3,SUMIF('TL19'!$C$238:$C$451,$C330,'TL19'!$J$238:$J$451),0)
),0)</f>
        <v/>
      </c>
      <c r="P330" s="9">
        <f>IFERROR(SUM(
IF('TL01'!$B$3=P$3,SUMIF('TL01'!$C$10:$C$224,$C330,'TL01'!$J$10:$J$224),0),
IF('TL01'!$B$229=P$3,SUMIF('TL01'!$C$238:$C$451,$C330,'TL01'!$J$238:$J$451),0),
IF('TL02'!$B$3=P$3,SUMIF('TL02'!$C$10:$C$224,$C330,'TL02'!$J$10:$J$224),0),
IF('TL02'!$B$229=P$3,SUMIF('TL02'!$C$238:$C$451,$C330,'TL02'!$J$238:$J$451),0),
IF('TL03'!$B$3=P$3,SUMIF('TL03'!$C$10:$C$224,$C330,'TL03'!$J$10:$J$224),0),
IF('TL03'!$B$229=P$3,SUMIF('TL03'!$C$238:$C$451,$C330,'TL03'!$J$238:$J$451),0),
IF('TL04'!$B$3=P$3,SUMIF('TL04'!$C$10:$C$224,$C330,'TL04'!$J$10:$J$224),0),
IF('TL04'!$B$229=P$3,SUMIF('TL04'!$C$238:$C$451,$C330,'TL04'!$J$238:$J$451),0),
IF('TL05'!$B$3=P$3,SUMIF('TL05'!$C$10:$C$224,$C330,'TL05'!$J$10:$J$224),0),
IF('TL05'!$B$229=P$3,SUMIF('TL05'!$C$238:$C$451,$C330,'TL05'!$J$238:$J$451),0),
IF('TL06'!$B$3=P$3,SUMIF('TL06'!$C$10:$C$224,$C330,'TL06'!$J$10:$J$224),0),
IF('TL06'!$B$229=P$3,SUMIF('TL06'!$C$238:$C$451,$C330,'TL06'!$J$238:$J$451),0),
IF('TL07'!$B$3=P$3,SUMIF('TL07'!$C$10:$C$224,$C330,'TL07'!$J$10:$J$224),0),
IF('TL07'!$B$229=P$3,SUMIF('TL07'!$C$238:$C$451,$C330,'TL07'!$J$238:$J$451),0),
IF('TL08'!$B$3=P$3,SUMIF('TL08'!$C$10:$C$224,$C330,'TL08'!$J$10:$J$224),0),
IF('TL08'!$B$229=P$3,SUMIF('TL08'!$C$238:$C$451,$C330,'TL08'!$J$238:$J$451),0),
IF('TL09'!$B$3=P$3,SUMIF('TL09'!$C$10:$C$224,$C330,'TL09'!$J$10:$J$224),0),
IF('TL09'!$B$229=P$3,SUMIF('TL09'!$C$238:$C$451,$C330,'TL09'!$J$238:$J$451),0),
IF('TL10'!$B$3=P$3,SUMIF('TL10'!$C$10:$C$224,$C330,'TL10'!$J$10:$J$224),0),
IF('TL10'!$B$229=P$3,SUMIF('TL10'!$C$238:$C$451,$C330,'TL10'!$J$238:$J$451),0),
IF('TL11'!$B$3=P$3,SUMIF('TL11'!$C$10:$C$224,$C330,'TL11'!$J$10:$J$224),0),
IF('TL11'!$B$229=P$3,SUMIF('TL11'!$C$238:$C$451,$C330,'TL11'!$J$238:$J$451),0),
IF('TL12'!$B$3=P$3,SUMIF('TL12'!$C$10:$C$224,$C330,'TL12'!$J$10:$J$224),0),
IF('TL12'!$B$229=P$3,SUMIF('TL12'!$C$238:$C$451,$C330,'TL12'!$J$238:$J$451),0),
IF('TL13'!$B$3=P$3,SUMIF('TL13'!$C$10:$C$224,$C330,'TL13'!$J$10:$J$224),0),
IF('TL13'!$B$229=P$3,SUMIF('TL13'!$C$238:$C$451,$C330,'TL13'!$J$238:$J$451),0),
IF('TL14'!$B$3=P$3,SUMIF('TL14'!$C$10:$C$224,$C330,'TL14'!$J$10:$J$224),0),
IF('TL14'!$B$229=P$3,SUMIF('TL14'!$C$238:$C$451,$C330,'TL14'!$J$238:$J$451),0),
IF('TL15'!$B$3=P$3,SUMIF('TL15'!$C$10:$C$224,$C330,'TL15'!$J$10:$J$224),0),
IF('TL15'!$B$229=P$3,SUMIF('TL15'!$C$238:$C$451,$C330,'TL15'!$J$238:$J$451),0),
IF('TL16'!$B$3=P$3,SUMIF('TL16'!$C$10:$C$224,$C330,'TL16'!$J$10:$J$224),0),
IF('TL16'!$B$229=P$3,SUMIF('TL16'!$C$238:$C$451,$C330,'TL16'!$J$238:$J$451),0),
IF('TL17'!$B$3=P$3,SUMIF('TL17'!$C$10:$C$224,$C330,'TL17'!$J$10:$J$224),0),
IF('TL17'!$B$229=P$3,SUMIF('TL17'!$C$238:$C$451,$C330,'TL17'!$J$238:$J$451),0),
IF('TL18'!$B$3=P$3,SUMIF('TL18'!$C$10:$C$224,$C330,'TL18'!$J$10:$J$224),0),
IF('TL18'!$B$229=P$3,SUMIF('TL18'!$C$238:$C$451,$C330,'TL18'!$J$238:$J$451),0),
IF('TL19'!$B$3=P$3,SUMIF('TL19'!$C$10:$C$224,$C330,'TL19'!$J$10:$J$224),0),
IF('TL19'!$B$229=P$3,SUMIF('TL19'!$C$238:$C$451,$C330,'TL19'!$J$238:$J$451),0)
),0)</f>
        <v/>
      </c>
      <c r="Q330" s="9">
        <f>IFERROR(SUM(
IF('TL01'!$B$3=Q$3,SUMIF('TL01'!$C$10:$C$224,$C330,'TL01'!$J$10:$J$224),0),
IF('TL01'!$B$229=Q$3,SUMIF('TL01'!$C$238:$C$451,$C330,'TL01'!$J$238:$J$451),0),
IF('TL02'!$B$3=Q$3,SUMIF('TL02'!$C$10:$C$224,$C330,'TL02'!$J$10:$J$224),0),
IF('TL02'!$B$229=Q$3,SUMIF('TL02'!$C$238:$C$451,$C330,'TL02'!$J$238:$J$451),0),
IF('TL03'!$B$3=Q$3,SUMIF('TL03'!$C$10:$C$224,$C330,'TL03'!$J$10:$J$224),0),
IF('TL03'!$B$229=Q$3,SUMIF('TL03'!$C$238:$C$451,$C330,'TL03'!$J$238:$J$451),0),
IF('TL04'!$B$3=Q$3,SUMIF('TL04'!$C$10:$C$224,$C330,'TL04'!$J$10:$J$224),0),
IF('TL04'!$B$229=Q$3,SUMIF('TL04'!$C$238:$C$451,$C330,'TL04'!$J$238:$J$451),0),
IF('TL05'!$B$3=Q$3,SUMIF('TL05'!$C$10:$C$224,$C330,'TL05'!$J$10:$J$224),0),
IF('TL05'!$B$229=Q$3,SUMIF('TL05'!$C$238:$C$451,$C330,'TL05'!$J$238:$J$451),0),
IF('TL06'!$B$3=Q$3,SUMIF('TL06'!$C$10:$C$224,$C330,'TL06'!$J$10:$J$224),0),
IF('TL06'!$B$229=Q$3,SUMIF('TL06'!$C$238:$C$451,$C330,'TL06'!$J$238:$J$451),0),
IF('TL07'!$B$3=Q$3,SUMIF('TL07'!$C$10:$C$224,$C330,'TL07'!$J$10:$J$224),0),
IF('TL07'!$B$229=Q$3,SUMIF('TL07'!$C$238:$C$451,$C330,'TL07'!$J$238:$J$451),0),
IF('TL08'!$B$3=Q$3,SUMIF('TL08'!$C$10:$C$224,$C330,'TL08'!$J$10:$J$224),0),
IF('TL08'!$B$229=Q$3,SUMIF('TL08'!$C$238:$C$451,$C330,'TL08'!$J$238:$J$451),0),
IF('TL09'!$B$3=Q$3,SUMIF('TL09'!$C$10:$C$224,$C330,'TL09'!$J$10:$J$224),0),
IF('TL09'!$B$229=Q$3,SUMIF('TL09'!$C$238:$C$451,$C330,'TL09'!$J$238:$J$451),0),
IF('TL10'!$B$3=Q$3,SUMIF('TL10'!$C$10:$C$224,$C330,'TL10'!$J$10:$J$224),0),
IF('TL10'!$B$229=Q$3,SUMIF('TL10'!$C$238:$C$451,$C330,'TL10'!$J$238:$J$451),0),
IF('TL11'!$B$3=Q$3,SUMIF('TL11'!$C$10:$C$224,$C330,'TL11'!$J$10:$J$224),0),
IF('TL11'!$B$229=Q$3,SUMIF('TL11'!$C$238:$C$451,$C330,'TL11'!$J$238:$J$451),0),
IF('TL12'!$B$3=Q$3,SUMIF('TL12'!$C$10:$C$224,$C330,'TL12'!$J$10:$J$224),0),
IF('TL12'!$B$229=Q$3,SUMIF('TL12'!$C$238:$C$451,$C330,'TL12'!$J$238:$J$451),0),
IF('TL13'!$B$3=Q$3,SUMIF('TL13'!$C$10:$C$224,$C330,'TL13'!$J$10:$J$224),0),
IF('TL13'!$B$229=Q$3,SUMIF('TL13'!$C$238:$C$451,$C330,'TL13'!$J$238:$J$451),0),
IF('TL14'!$B$3=Q$3,SUMIF('TL14'!$C$10:$C$224,$C330,'TL14'!$J$10:$J$224),0),
IF('TL14'!$B$229=Q$3,SUMIF('TL14'!$C$238:$C$451,$C330,'TL14'!$J$238:$J$451),0),
IF('TL15'!$B$3=Q$3,SUMIF('TL15'!$C$10:$C$224,$C330,'TL15'!$J$10:$J$224),0),
IF('TL15'!$B$229=Q$3,SUMIF('TL15'!$C$238:$C$451,$C330,'TL15'!$J$238:$J$451),0),
IF('TL16'!$B$3=Q$3,SUMIF('TL16'!$C$10:$C$224,$C330,'TL16'!$J$10:$J$224),0),
IF('TL16'!$B$229=Q$3,SUMIF('TL16'!$C$238:$C$451,$C330,'TL16'!$J$238:$J$451),0),
IF('TL17'!$B$3=Q$3,SUMIF('TL17'!$C$10:$C$224,$C330,'TL17'!$J$10:$J$224),0),
IF('TL17'!$B$229=Q$3,SUMIF('TL17'!$C$238:$C$451,$C330,'TL17'!$J$238:$J$451),0),
IF('TL18'!$B$3=Q$3,SUMIF('TL18'!$C$10:$C$224,$C330,'TL18'!$J$10:$J$224),0),
IF('TL18'!$B$229=Q$3,SUMIF('TL18'!$C$238:$C$451,$C330,'TL18'!$J$238:$J$451),0),
IF('TL19'!$B$3=Q$3,SUMIF('TL19'!$C$10:$C$224,$C330,'TL19'!$J$10:$J$224),0),
IF('TL19'!$B$229=Q$3,SUMIF('TL19'!$C$238:$C$451,$C330,'TL19'!$J$238:$J$451),0)
),0)</f>
        <v/>
      </c>
      <c r="R330" s="9">
        <f>IFERROR(
SUM(
SUMIF('TL01'!C:C,C330,'TL01'!J:J),
SUMIF('TL02'!C:C,C330,'TL02'!J:J),
SUMIF('TL03'!C:C,C330,'TL03'!J:J),
SUMIF('TL04'!C:C,C330,'TL04'!J:J),
SUMIF('TL05'!C:C,C330,'TL05'!J:J),
SUMIF('TL06'!C:C,C330,'TL06'!J:J),
SUMIF('TL07'!C:C,C330,'TL07'!J:J),
SUMIF('TL08'!C:C,C330,'TL08'!J:J),
SUMIF('TL09'!C:C,C330,'TL09'!J:J),
SUMIF('TL10'!C:C,C330,'TL10'!J:J),
SUMIF('TL11'!C:C,C330,'TL11'!J:J),
SUMIF('TL12'!C:C,C330,'TL12'!J:J),
SUMIF('TL13'!C:C,C330,'TL13'!J:J),
SUMIF('TL14'!C:C,C330,'TL14'!J:J),
SUMIF('TL15'!C:C,C330,'TL15'!J:J),
SUMIF('TL16'!C:C,C330,'TL16'!J:J),
SUMIF('TL17'!C:C,C330,'TL17'!J:J),
SUMIF('TL18'!C:C,C330,'TL18'!J:J),SUMIF('TL19'!C:C,C330,'TL19'!J:J))
,0)</f>
        <v/>
      </c>
      <c r="S330" s="17">
        <f>IFERROR(__xludf.DUMMYFUNCTION("IFERROR(VLOOKUP(C330,
IMPORTRANGE(""1wULbzX32WdYsx-lj2U3uUNBBe2INVIRDtcK0d-Dvl90"",
""26-27!C:G""),
5,
FALSE),
"""")"),"")</f>
        <v/>
      </c>
      <c r="T330" s="9" t="n"/>
      <c r="U330" s="92">
        <f>MAX(0,R330-T330)</f>
        <v/>
      </c>
      <c r="V330" s="93">
        <f>U330*S330</f>
        <v/>
      </c>
    </row>
    <row r="331" hidden="1" ht="15.75" customHeight="1" s="297">
      <c r="A331" s="4" t="n"/>
      <c r="B331" s="125" t="inlineStr">
        <is>
          <t>SEMENTE</t>
        </is>
      </c>
      <c r="C331" s="4" t="inlineStr">
        <is>
          <t>LENDA</t>
        </is>
      </c>
      <c r="D331" s="20" t="n"/>
      <c r="E331" s="9" t="n"/>
      <c r="F331" s="4" t="inlineStr">
        <is>
          <t>5MM</t>
        </is>
      </c>
      <c r="G331" s="90">
        <f>HYPERLINK("https://www.google.com/search?q=" &amp; C331 &amp; "+bula+agrofit+pdf", "📄 Ver bula")</f>
        <v/>
      </c>
      <c r="H331" s="9" t="n"/>
      <c r="I331" s="1" t="n"/>
      <c r="J331" s="9">
        <f>IFERROR(SUM(
IF('TL01'!$B$3=J$3,SUMIF('TL01'!$C$10:$C$224,$C331,'TL01'!$J$10:$J$224),0),
IF('TL01'!$B$229=J$3,SUMIF('TL01'!$C$238:$C$451,$C331,'TL01'!$J$238:$J$451),0),
IF('TL02'!$B$3=J$3,SUMIF('TL02'!$C$10:$C$224,$C331,'TL02'!$J$10:$J$224),0),
IF('TL02'!$B$229=J$3,SUMIF('TL02'!$C$238:$C$451,$C331,'TL02'!$J$238:$J$451),0),
IF('TL03'!$B$3=J$3,SUMIF('TL03'!$C$10:$C$224,$C331,'TL03'!$J$10:$J$224),0),
IF('TL03'!$B$229=J$3,SUMIF('TL03'!$C$238:$C$451,$C331,'TL03'!$J$238:$J$451),0),
IF('TL04'!$B$3=J$3,SUMIF('TL04'!$C$10:$C$224,$C331,'TL04'!$J$10:$J$224),0),
IF('TL04'!$B$229=J$3,SUMIF('TL04'!$C$238:$C$451,$C331,'TL04'!$J$238:$J$451),0),
IF('TL05'!$B$3=J$3,SUMIF('TL05'!$C$10:$C$224,$C331,'TL05'!$J$10:$J$224),0),
IF('TL05'!$B$229=J$3,SUMIF('TL05'!$C$238:$C$451,$C331,'TL05'!$J$238:$J$451),0),
IF('TL06'!$B$3=J$3,SUMIF('TL06'!$C$10:$C$224,$C331,'TL06'!$J$10:$J$224),0),
IF('TL06'!$B$229=J$3,SUMIF('TL06'!$C$238:$C$451,$C331,'TL06'!$J$238:$J$451),0),
IF('TL07'!$B$3=J$3,SUMIF('TL07'!$C$10:$C$224,$C331,'TL07'!$J$10:$J$224),0),
IF('TL07'!$B$229=J$3,SUMIF('TL07'!$C$238:$C$451,$C331,'TL07'!$J$238:$J$451),0),
IF('TL08'!$B$3=J$3,SUMIF('TL08'!$C$10:$C$224,$C331,'TL08'!$J$10:$J$224),0),
IF('TL08'!$B$229=J$3,SUMIF('TL08'!$C$238:$C$451,$C331,'TL08'!$J$238:$J$451),0),
IF('TL09'!$B$3=J$3,SUMIF('TL09'!$C$10:$C$224,$C331,'TL09'!$J$10:$J$224),0),
IF('TL09'!$B$229=J$3,SUMIF('TL09'!$C$238:$C$451,$C331,'TL09'!$J$238:$J$451),0),
IF('TL10'!$B$3=J$3,SUMIF('TL10'!$C$10:$C$224,$C331,'TL10'!$J$10:$J$224),0),
IF('TL10'!$B$229=J$3,SUMIF('TL10'!$C$238:$C$451,$C331,'TL10'!$J$238:$J$451),0),
IF('TL11'!$B$3=J$3,SUMIF('TL11'!$C$10:$C$224,$C331,'TL11'!$J$10:$J$224),0),
IF('TL11'!$B$229=J$3,SUMIF('TL11'!$C$238:$C$451,$C331,'TL11'!$J$238:$J$451),0),
IF('TL12'!$B$3=J$3,SUMIF('TL12'!$C$10:$C$224,$C331,'TL12'!$J$10:$J$224),0),
IF('TL12'!$B$229=J$3,SUMIF('TL12'!$C$238:$C$451,$C331,'TL12'!$J$238:$J$451),0),
IF('TL13'!$B$3=J$3,SUMIF('TL13'!$C$10:$C$224,$C331,'TL13'!$J$10:$J$224),0),
IF('TL13'!$B$229=J$3,SUMIF('TL13'!$C$238:$C$451,$C331,'TL13'!$J$238:$J$451),0),
IF('TL14'!$B$3=J$3,SUMIF('TL14'!$C$10:$C$224,$C331,'TL14'!$J$10:$J$224),0),
IF('TL14'!$B$229=J$3,SUMIF('TL14'!$C$238:$C$451,$C331,'TL14'!$J$238:$J$451),0),
IF('TL15'!$B$3=J$3,SUMIF('TL15'!$C$10:$C$224,$C331,'TL15'!$J$10:$J$224),0),
IF('TL15'!$B$229=J$3,SUMIF('TL15'!$C$238:$C$451,$C331,'TL15'!$J$238:$J$451),0),
IF('TL16'!$B$3=J$3,SUMIF('TL16'!$C$10:$C$224,$C331,'TL16'!$J$10:$J$224),0),
IF('TL16'!$B$229=J$3,SUMIF('TL16'!$C$238:$C$451,$C331,'TL16'!$J$238:$J$451),0),
IF('TL17'!$B$3=J$3,SUMIF('TL17'!$C$10:$C$224,$C331,'TL17'!$J$10:$J$224),0),
IF('TL17'!$B$229=J$3,SUMIF('TL17'!$C$238:$C$451,$C331,'TL17'!$J$238:$J$451),0),
IF('TL18'!$B$3=J$3,SUMIF('TL18'!$C$10:$C$224,$C331,'TL18'!$J$10:$J$224),0),
IF('TL18'!$B$229=J$3,SUMIF('TL18'!$C$238:$C$451,$C331,'TL18'!$J$238:$J$451),0),
IF('TL19'!$B$3=J$3,SUMIF('TL19'!$C$10:$C$224,$C331,'TL19'!$J$10:$J$224),0),
IF('TL19'!$B$229=J$3,SUMIF('TL19'!$C$238:$C$451,$C331,'TL19'!$J$238:$J$451),0)
),0)</f>
        <v/>
      </c>
      <c r="K331" s="9">
        <f>IFERROR(SUM(
IF('TL01'!$B$3=K$3,SUMIF('TL01'!$C$10:$C$224,$C331,'TL01'!$J$10:$J$224),0),
IF('TL01'!$B$229=K$3,SUMIF('TL01'!$C$238:$C$451,$C331,'TL01'!$J$238:$J$451),0),
IF('TL02'!$B$3=K$3,SUMIF('TL02'!$C$10:$C$224,$C331,'TL02'!$J$10:$J$224),0),
IF('TL02'!$B$229=K$3,SUMIF('TL02'!$C$238:$C$451,$C331,'TL02'!$J$238:$J$451),0),
IF('TL03'!$B$3=K$3,SUMIF('TL03'!$C$10:$C$224,$C331,'TL03'!$J$10:$J$224),0),
IF('TL03'!$B$229=K$3,SUMIF('TL03'!$C$238:$C$451,$C331,'TL03'!$J$238:$J$451),0),
IF('TL04'!$B$3=K$3,SUMIF('TL04'!$C$10:$C$224,$C331,'TL04'!$J$10:$J$224),0),
IF('TL04'!$B$229=K$3,SUMIF('TL04'!$C$238:$C$451,$C331,'TL04'!$J$238:$J$451),0),
IF('TL05'!$B$3=K$3,SUMIF('TL05'!$C$10:$C$224,$C331,'TL05'!$J$10:$J$224),0),
IF('TL05'!$B$229=K$3,SUMIF('TL05'!$C$238:$C$451,$C331,'TL05'!$J$238:$J$451),0),
IF('TL06'!$B$3=K$3,SUMIF('TL06'!$C$10:$C$224,$C331,'TL06'!$J$10:$J$224),0),
IF('TL06'!$B$229=K$3,SUMIF('TL06'!$C$238:$C$451,$C331,'TL06'!$J$238:$J$451),0),
IF('TL07'!$B$3=K$3,SUMIF('TL07'!$C$10:$C$224,$C331,'TL07'!$J$10:$J$224),0),
IF('TL07'!$B$229=K$3,SUMIF('TL07'!$C$238:$C$451,$C331,'TL07'!$J$238:$J$451),0),
IF('TL08'!$B$3=K$3,SUMIF('TL08'!$C$10:$C$224,$C331,'TL08'!$J$10:$J$224),0),
IF('TL08'!$B$229=K$3,SUMIF('TL08'!$C$238:$C$451,$C331,'TL08'!$J$238:$J$451),0),
IF('TL09'!$B$3=K$3,SUMIF('TL09'!$C$10:$C$224,$C331,'TL09'!$J$10:$J$224),0),
IF('TL09'!$B$229=K$3,SUMIF('TL09'!$C$238:$C$451,$C331,'TL09'!$J$238:$J$451),0),
IF('TL10'!$B$3=K$3,SUMIF('TL10'!$C$10:$C$224,$C331,'TL10'!$J$10:$J$224),0),
IF('TL10'!$B$229=K$3,SUMIF('TL10'!$C$238:$C$451,$C331,'TL10'!$J$238:$J$451),0),
IF('TL11'!$B$3=K$3,SUMIF('TL11'!$C$10:$C$224,$C331,'TL11'!$J$10:$J$224),0),
IF('TL11'!$B$229=K$3,SUMIF('TL11'!$C$238:$C$451,$C331,'TL11'!$J$238:$J$451),0),
IF('TL12'!$B$3=K$3,SUMIF('TL12'!$C$10:$C$224,$C331,'TL12'!$J$10:$J$224),0),
IF('TL12'!$B$229=K$3,SUMIF('TL12'!$C$238:$C$451,$C331,'TL12'!$J$238:$J$451),0),
IF('TL13'!$B$3=K$3,SUMIF('TL13'!$C$10:$C$224,$C331,'TL13'!$J$10:$J$224),0),
IF('TL13'!$B$229=K$3,SUMIF('TL13'!$C$238:$C$451,$C331,'TL13'!$J$238:$J$451),0),
IF('TL14'!$B$3=K$3,SUMIF('TL14'!$C$10:$C$224,$C331,'TL14'!$J$10:$J$224),0),
IF('TL14'!$B$229=K$3,SUMIF('TL14'!$C$238:$C$451,$C331,'TL14'!$J$238:$J$451),0),
IF('TL15'!$B$3=K$3,SUMIF('TL15'!$C$10:$C$224,$C331,'TL15'!$J$10:$J$224),0),
IF('TL15'!$B$229=K$3,SUMIF('TL15'!$C$238:$C$451,$C331,'TL15'!$J$238:$J$451),0),
IF('TL16'!$B$3=K$3,SUMIF('TL16'!$C$10:$C$224,$C331,'TL16'!$J$10:$J$224),0),
IF('TL16'!$B$229=K$3,SUMIF('TL16'!$C$238:$C$451,$C331,'TL16'!$J$238:$J$451),0),
IF('TL17'!$B$3=K$3,SUMIF('TL17'!$C$10:$C$224,$C331,'TL17'!$J$10:$J$224),0),
IF('TL17'!$B$229=K$3,SUMIF('TL17'!$C$238:$C$451,$C331,'TL17'!$J$238:$J$451),0),
IF('TL18'!$B$3=K$3,SUMIF('TL18'!$C$10:$C$224,$C331,'TL18'!$J$10:$J$224),0),
IF('TL18'!$B$229=K$3,SUMIF('TL18'!$C$238:$C$451,$C331,'TL18'!$J$238:$J$451),0),
IF('TL19'!$B$3=K$3,SUMIF('TL19'!$C$10:$C$224,$C331,'TL19'!$J$10:$J$224),0),
IF('TL19'!$B$229=K$3,SUMIF('TL19'!$C$238:$C$451,$C331,'TL19'!$J$238:$J$451),0)
),0)</f>
        <v/>
      </c>
      <c r="L331" s="9">
        <f>IFERROR(SUM(
IF('TL01'!$B$3=L$3,SUMIF('TL01'!$C$10:$C$224,$C331,'TL01'!$J$10:$J$224),0),
IF('TL01'!$B$229=L$3,SUMIF('TL01'!$C$238:$C$451,$C331,'TL01'!$J$238:$J$451),0),
IF('TL02'!$B$3=L$3,SUMIF('TL02'!$C$10:$C$224,$C331,'TL02'!$J$10:$J$224),0),
IF('TL02'!$B$229=L$3,SUMIF('TL02'!$C$238:$C$451,$C331,'TL02'!$J$238:$J$451),0),
IF('TL03'!$B$3=L$3,SUMIF('TL03'!$C$10:$C$224,$C331,'TL03'!$J$10:$J$224),0),
IF('TL03'!$B$229=L$3,SUMIF('TL03'!$C$238:$C$451,$C331,'TL03'!$J$238:$J$451),0),
IF('TL04'!$B$3=L$3,SUMIF('TL04'!$C$10:$C$224,$C331,'TL04'!$J$10:$J$224),0),
IF('TL04'!$B$229=L$3,SUMIF('TL04'!$C$238:$C$451,$C331,'TL04'!$J$238:$J$451),0),
IF('TL05'!$B$3=L$3,SUMIF('TL05'!$C$10:$C$224,$C331,'TL05'!$J$10:$J$224),0),
IF('TL05'!$B$229=L$3,SUMIF('TL05'!$C$238:$C$451,$C331,'TL05'!$J$238:$J$451),0),
IF('TL06'!$B$3=L$3,SUMIF('TL06'!$C$10:$C$224,$C331,'TL06'!$J$10:$J$224),0),
IF('TL06'!$B$229=L$3,SUMIF('TL06'!$C$238:$C$451,$C331,'TL06'!$J$238:$J$451),0),
IF('TL07'!$B$3=L$3,SUMIF('TL07'!$C$10:$C$224,$C331,'TL07'!$J$10:$J$224),0),
IF('TL07'!$B$229=L$3,SUMIF('TL07'!$C$238:$C$451,$C331,'TL07'!$J$238:$J$451),0),
IF('TL08'!$B$3=L$3,SUMIF('TL08'!$C$10:$C$224,$C331,'TL08'!$J$10:$J$224),0),
IF('TL08'!$B$229=L$3,SUMIF('TL08'!$C$238:$C$451,$C331,'TL08'!$J$238:$J$451),0),
IF('TL09'!$B$3=L$3,SUMIF('TL09'!$C$10:$C$224,$C331,'TL09'!$J$10:$J$224),0),
IF('TL09'!$B$229=L$3,SUMIF('TL09'!$C$238:$C$451,$C331,'TL09'!$J$238:$J$451),0),
IF('TL10'!$B$3=L$3,SUMIF('TL10'!$C$10:$C$224,$C331,'TL10'!$J$10:$J$224),0),
IF('TL10'!$B$229=L$3,SUMIF('TL10'!$C$238:$C$451,$C331,'TL10'!$J$238:$J$451),0),
IF('TL11'!$B$3=L$3,SUMIF('TL11'!$C$10:$C$224,$C331,'TL11'!$J$10:$J$224),0),
IF('TL11'!$B$229=L$3,SUMIF('TL11'!$C$238:$C$451,$C331,'TL11'!$J$238:$J$451),0),
IF('TL12'!$B$3=L$3,SUMIF('TL12'!$C$10:$C$224,$C331,'TL12'!$J$10:$J$224),0),
IF('TL12'!$B$229=L$3,SUMIF('TL12'!$C$238:$C$451,$C331,'TL12'!$J$238:$J$451),0),
IF('TL13'!$B$3=L$3,SUMIF('TL13'!$C$10:$C$224,$C331,'TL13'!$J$10:$J$224),0),
IF('TL13'!$B$229=L$3,SUMIF('TL13'!$C$238:$C$451,$C331,'TL13'!$J$238:$J$451),0),
IF('TL14'!$B$3=L$3,SUMIF('TL14'!$C$10:$C$224,$C331,'TL14'!$J$10:$J$224),0),
IF('TL14'!$B$229=L$3,SUMIF('TL14'!$C$238:$C$451,$C331,'TL14'!$J$238:$J$451),0),
IF('TL15'!$B$3=L$3,SUMIF('TL15'!$C$10:$C$224,$C331,'TL15'!$J$10:$J$224),0),
IF('TL15'!$B$229=L$3,SUMIF('TL15'!$C$238:$C$451,$C331,'TL15'!$J$238:$J$451),0),
IF('TL16'!$B$3=L$3,SUMIF('TL16'!$C$10:$C$224,$C331,'TL16'!$J$10:$J$224),0),
IF('TL16'!$B$229=L$3,SUMIF('TL16'!$C$238:$C$451,$C331,'TL16'!$J$238:$J$451),0),
IF('TL17'!$B$3=L$3,SUMIF('TL17'!$C$10:$C$224,$C331,'TL17'!$J$10:$J$224),0),
IF('TL17'!$B$229=L$3,SUMIF('TL17'!$C$238:$C$451,$C331,'TL17'!$J$238:$J$451),0),
IF('TL18'!$B$3=L$3,SUMIF('TL18'!$C$10:$C$224,$C331,'TL18'!$J$10:$J$224),0),
IF('TL18'!$B$229=L$3,SUMIF('TL18'!$C$238:$C$451,$C331,'TL18'!$J$238:$J$451),0),
IF('TL19'!$B$3=L$3,SUMIF('TL19'!$C$10:$C$224,$C331,'TL19'!$J$10:$J$224),0),
IF('TL19'!$B$229=L$3,SUMIF('TL19'!$C$238:$C$451,$C331,'TL19'!$J$238:$J$451),0)
),0)</f>
        <v/>
      </c>
      <c r="M331" s="9">
        <f>IFERROR(SUM(
IF('TL01'!$B$3=M$3,SUMIF('TL01'!$C$10:$C$224,$C331,'TL01'!$J$10:$J$224),0),
IF('TL01'!$B$229=M$3,SUMIF('TL01'!$C$238:$C$451,$C331,'TL01'!$J$238:$J$451),0),
IF('TL02'!$B$3=M$3,SUMIF('TL02'!$C$10:$C$224,$C331,'TL02'!$J$10:$J$224),0),
IF('TL02'!$B$229=M$3,SUMIF('TL02'!$C$238:$C$451,$C331,'TL02'!$J$238:$J$451),0),
IF('TL03'!$B$3=M$3,SUMIF('TL03'!$C$10:$C$224,$C331,'TL03'!$J$10:$J$224),0),
IF('TL03'!$B$229=M$3,SUMIF('TL03'!$C$238:$C$451,$C331,'TL03'!$J$238:$J$451),0),
IF('TL04'!$B$3=M$3,SUMIF('TL04'!$C$10:$C$224,$C331,'TL04'!$J$10:$J$224),0),
IF('TL04'!$B$229=M$3,SUMIF('TL04'!$C$238:$C$451,$C331,'TL04'!$J$238:$J$451),0),
IF('TL05'!$B$3=M$3,SUMIF('TL05'!$C$10:$C$224,$C331,'TL05'!$J$10:$J$224),0),
IF('TL05'!$B$229=M$3,SUMIF('TL05'!$C$238:$C$451,$C331,'TL05'!$J$238:$J$451),0),
IF('TL06'!$B$3=M$3,SUMIF('TL06'!$C$10:$C$224,$C331,'TL06'!$J$10:$J$224),0),
IF('TL06'!$B$229=M$3,SUMIF('TL06'!$C$238:$C$451,$C331,'TL06'!$J$238:$J$451),0),
IF('TL07'!$B$3=M$3,SUMIF('TL07'!$C$10:$C$224,$C331,'TL07'!$J$10:$J$224),0),
IF('TL07'!$B$229=M$3,SUMIF('TL07'!$C$238:$C$451,$C331,'TL07'!$J$238:$J$451),0),
IF('TL08'!$B$3=M$3,SUMIF('TL08'!$C$10:$C$224,$C331,'TL08'!$J$10:$J$224),0),
IF('TL08'!$B$229=M$3,SUMIF('TL08'!$C$238:$C$451,$C331,'TL08'!$J$238:$J$451),0),
IF('TL09'!$B$3=M$3,SUMIF('TL09'!$C$10:$C$224,$C331,'TL09'!$J$10:$J$224),0),
IF('TL09'!$B$229=M$3,SUMIF('TL09'!$C$238:$C$451,$C331,'TL09'!$J$238:$J$451),0),
IF('TL10'!$B$3=M$3,SUMIF('TL10'!$C$10:$C$224,$C331,'TL10'!$J$10:$J$224),0),
IF('TL10'!$B$229=M$3,SUMIF('TL10'!$C$238:$C$451,$C331,'TL10'!$J$238:$J$451),0),
IF('TL11'!$B$3=M$3,SUMIF('TL11'!$C$10:$C$224,$C331,'TL11'!$J$10:$J$224),0),
IF('TL11'!$B$229=M$3,SUMIF('TL11'!$C$238:$C$451,$C331,'TL11'!$J$238:$J$451),0),
IF('TL12'!$B$3=M$3,SUMIF('TL12'!$C$10:$C$224,$C331,'TL12'!$J$10:$J$224),0),
IF('TL12'!$B$229=M$3,SUMIF('TL12'!$C$238:$C$451,$C331,'TL12'!$J$238:$J$451),0),
IF('TL13'!$B$3=M$3,SUMIF('TL13'!$C$10:$C$224,$C331,'TL13'!$J$10:$J$224),0),
IF('TL13'!$B$229=M$3,SUMIF('TL13'!$C$238:$C$451,$C331,'TL13'!$J$238:$J$451),0),
IF('TL14'!$B$3=M$3,SUMIF('TL14'!$C$10:$C$224,$C331,'TL14'!$J$10:$J$224),0),
IF('TL14'!$B$229=M$3,SUMIF('TL14'!$C$238:$C$451,$C331,'TL14'!$J$238:$J$451),0),
IF('TL15'!$B$3=M$3,SUMIF('TL15'!$C$10:$C$224,$C331,'TL15'!$J$10:$J$224),0),
IF('TL15'!$B$229=M$3,SUMIF('TL15'!$C$238:$C$451,$C331,'TL15'!$J$238:$J$451),0),
IF('TL16'!$B$3=M$3,SUMIF('TL16'!$C$10:$C$224,$C331,'TL16'!$J$10:$J$224),0),
IF('TL16'!$B$229=M$3,SUMIF('TL16'!$C$238:$C$451,$C331,'TL16'!$J$238:$J$451),0),
IF('TL17'!$B$3=M$3,SUMIF('TL17'!$C$10:$C$224,$C331,'TL17'!$J$10:$J$224),0),
IF('TL17'!$B$229=M$3,SUMIF('TL17'!$C$238:$C$451,$C331,'TL17'!$J$238:$J$451),0),
IF('TL18'!$B$3=M$3,SUMIF('TL18'!$C$10:$C$224,$C331,'TL18'!$J$10:$J$224),0),
IF('TL18'!$B$229=M$3,SUMIF('TL18'!$C$238:$C$451,$C331,'TL18'!$J$238:$J$451),0),
IF('TL19'!$B$3=M$3,SUMIF('TL19'!$C$10:$C$224,$C331,'TL19'!$J$10:$J$224),0),
IF('TL19'!$B$229=M$3,SUMIF('TL19'!$C$238:$C$451,$C331,'TL19'!$J$238:$J$451),0)
),0)</f>
        <v/>
      </c>
      <c r="N331" s="9">
        <f>IFERROR(SUM(
IF('TL01'!$B$3=N$3,SUMIF('TL01'!$C$10:$C$224,$C331,'TL01'!$J$10:$J$224),0),
IF('TL01'!$B$229=N$3,SUMIF('TL01'!$C$238:$C$451,$C331,'TL01'!$J$238:$J$451),0),
IF('TL02'!$B$3=N$3,SUMIF('TL02'!$C$10:$C$224,$C331,'TL02'!$J$10:$J$224),0),
IF('TL02'!$B$229=N$3,SUMIF('TL02'!$C$238:$C$451,$C331,'TL02'!$J$238:$J$451),0),
IF('TL03'!$B$3=N$3,SUMIF('TL03'!$C$10:$C$224,$C331,'TL03'!$J$10:$J$224),0),
IF('TL03'!$B$229=N$3,SUMIF('TL03'!$C$238:$C$451,$C331,'TL03'!$J$238:$J$451),0),
IF('TL04'!$B$3=N$3,SUMIF('TL04'!$C$10:$C$224,$C331,'TL04'!$J$10:$J$224),0),
IF('TL04'!$B$229=N$3,SUMIF('TL04'!$C$238:$C$451,$C331,'TL04'!$J$238:$J$451),0),
IF('TL05'!$B$3=N$3,SUMIF('TL05'!$C$10:$C$224,$C331,'TL05'!$J$10:$J$224),0),
IF('TL05'!$B$229=N$3,SUMIF('TL05'!$C$238:$C$451,$C331,'TL05'!$J$238:$J$451),0),
IF('TL06'!$B$3=N$3,SUMIF('TL06'!$C$10:$C$224,$C331,'TL06'!$J$10:$J$224),0),
IF('TL06'!$B$229=N$3,SUMIF('TL06'!$C$238:$C$451,$C331,'TL06'!$J$238:$J$451),0),
IF('TL07'!$B$3=N$3,SUMIF('TL07'!$C$10:$C$224,$C331,'TL07'!$J$10:$J$224),0),
IF('TL07'!$B$229=N$3,SUMIF('TL07'!$C$238:$C$451,$C331,'TL07'!$J$238:$J$451),0),
IF('TL08'!$B$3=N$3,SUMIF('TL08'!$C$10:$C$224,$C331,'TL08'!$J$10:$J$224),0),
IF('TL08'!$B$229=N$3,SUMIF('TL08'!$C$238:$C$451,$C331,'TL08'!$J$238:$J$451),0),
IF('TL09'!$B$3=N$3,SUMIF('TL09'!$C$10:$C$224,$C331,'TL09'!$J$10:$J$224),0),
IF('TL09'!$B$229=N$3,SUMIF('TL09'!$C$238:$C$451,$C331,'TL09'!$J$238:$J$451),0),
IF('TL10'!$B$3=N$3,SUMIF('TL10'!$C$10:$C$224,$C331,'TL10'!$J$10:$J$224),0),
IF('TL10'!$B$229=N$3,SUMIF('TL10'!$C$238:$C$451,$C331,'TL10'!$J$238:$J$451),0),
IF('TL11'!$B$3=N$3,SUMIF('TL11'!$C$10:$C$224,$C331,'TL11'!$J$10:$J$224),0),
IF('TL11'!$B$229=N$3,SUMIF('TL11'!$C$238:$C$451,$C331,'TL11'!$J$238:$J$451),0),
IF('TL12'!$B$3=N$3,SUMIF('TL12'!$C$10:$C$224,$C331,'TL12'!$J$10:$J$224),0),
IF('TL12'!$B$229=N$3,SUMIF('TL12'!$C$238:$C$451,$C331,'TL12'!$J$238:$J$451),0),
IF('TL13'!$B$3=N$3,SUMIF('TL13'!$C$10:$C$224,$C331,'TL13'!$J$10:$J$224),0),
IF('TL13'!$B$229=N$3,SUMIF('TL13'!$C$238:$C$451,$C331,'TL13'!$J$238:$J$451),0),
IF('TL14'!$B$3=N$3,SUMIF('TL14'!$C$10:$C$224,$C331,'TL14'!$J$10:$J$224),0),
IF('TL14'!$B$229=N$3,SUMIF('TL14'!$C$238:$C$451,$C331,'TL14'!$J$238:$J$451),0),
IF('TL15'!$B$3=N$3,SUMIF('TL15'!$C$10:$C$224,$C331,'TL15'!$J$10:$J$224),0),
IF('TL15'!$B$229=N$3,SUMIF('TL15'!$C$238:$C$451,$C331,'TL15'!$J$238:$J$451),0),
IF('TL16'!$B$3=N$3,SUMIF('TL16'!$C$10:$C$224,$C331,'TL16'!$J$10:$J$224),0),
IF('TL16'!$B$229=N$3,SUMIF('TL16'!$C$238:$C$451,$C331,'TL16'!$J$238:$J$451),0),
IF('TL17'!$B$3=N$3,SUMIF('TL17'!$C$10:$C$224,$C331,'TL17'!$J$10:$J$224),0),
IF('TL17'!$B$229=N$3,SUMIF('TL17'!$C$238:$C$451,$C331,'TL17'!$J$238:$J$451),0),
IF('TL18'!$B$3=N$3,SUMIF('TL18'!$C$10:$C$224,$C331,'TL18'!$J$10:$J$224),0),
IF('TL18'!$B$229=N$3,SUMIF('TL18'!$C$238:$C$451,$C331,'TL18'!$J$238:$J$451),0),
IF('TL19'!$B$3=N$3,SUMIF('TL19'!$C$10:$C$224,$C331,'TL19'!$J$10:$J$224),0),
IF('TL19'!$B$229=N$3,SUMIF('TL19'!$C$238:$C$451,$C331,'TL19'!$J$238:$J$451),0)
),0)</f>
        <v/>
      </c>
      <c r="O331" s="9">
        <f>IFERROR(SUM(
IF('TL01'!$B$3=O$3,SUMIF('TL01'!$C$10:$C$224,$C331,'TL01'!$J$10:$J$224),0),
IF('TL01'!$B$229=O$3,SUMIF('TL01'!$C$238:$C$451,$C331,'TL01'!$J$238:$J$451),0),
IF('TL02'!$B$3=O$3,SUMIF('TL02'!$C$10:$C$224,$C331,'TL02'!$J$10:$J$224),0),
IF('TL02'!$B$229=O$3,SUMIF('TL02'!$C$238:$C$451,$C331,'TL02'!$J$238:$J$451),0),
IF('TL03'!$B$3=O$3,SUMIF('TL03'!$C$10:$C$224,$C331,'TL03'!$J$10:$J$224),0),
IF('TL03'!$B$229=O$3,SUMIF('TL03'!$C$238:$C$451,$C331,'TL03'!$J$238:$J$451),0),
IF('TL04'!$B$3=O$3,SUMIF('TL04'!$C$10:$C$224,$C331,'TL04'!$J$10:$J$224),0),
IF('TL04'!$B$229=O$3,SUMIF('TL04'!$C$238:$C$451,$C331,'TL04'!$J$238:$J$451),0),
IF('TL05'!$B$3=O$3,SUMIF('TL05'!$C$10:$C$224,$C331,'TL05'!$J$10:$J$224),0),
IF('TL05'!$B$229=O$3,SUMIF('TL05'!$C$238:$C$451,$C331,'TL05'!$J$238:$J$451),0),
IF('TL06'!$B$3=O$3,SUMIF('TL06'!$C$10:$C$224,$C331,'TL06'!$J$10:$J$224),0),
IF('TL06'!$B$229=O$3,SUMIF('TL06'!$C$238:$C$451,$C331,'TL06'!$J$238:$J$451),0),
IF('TL07'!$B$3=O$3,SUMIF('TL07'!$C$10:$C$224,$C331,'TL07'!$J$10:$J$224),0),
IF('TL07'!$B$229=O$3,SUMIF('TL07'!$C$238:$C$451,$C331,'TL07'!$J$238:$J$451),0),
IF('TL08'!$B$3=O$3,SUMIF('TL08'!$C$10:$C$224,$C331,'TL08'!$J$10:$J$224),0),
IF('TL08'!$B$229=O$3,SUMIF('TL08'!$C$238:$C$451,$C331,'TL08'!$J$238:$J$451),0),
IF('TL09'!$B$3=O$3,SUMIF('TL09'!$C$10:$C$224,$C331,'TL09'!$J$10:$J$224),0),
IF('TL09'!$B$229=O$3,SUMIF('TL09'!$C$238:$C$451,$C331,'TL09'!$J$238:$J$451),0),
IF('TL10'!$B$3=O$3,SUMIF('TL10'!$C$10:$C$224,$C331,'TL10'!$J$10:$J$224),0),
IF('TL10'!$B$229=O$3,SUMIF('TL10'!$C$238:$C$451,$C331,'TL10'!$J$238:$J$451),0),
IF('TL11'!$B$3=O$3,SUMIF('TL11'!$C$10:$C$224,$C331,'TL11'!$J$10:$J$224),0),
IF('TL11'!$B$229=O$3,SUMIF('TL11'!$C$238:$C$451,$C331,'TL11'!$J$238:$J$451),0),
IF('TL12'!$B$3=O$3,SUMIF('TL12'!$C$10:$C$224,$C331,'TL12'!$J$10:$J$224),0),
IF('TL12'!$B$229=O$3,SUMIF('TL12'!$C$238:$C$451,$C331,'TL12'!$J$238:$J$451),0),
IF('TL13'!$B$3=O$3,SUMIF('TL13'!$C$10:$C$224,$C331,'TL13'!$J$10:$J$224),0),
IF('TL13'!$B$229=O$3,SUMIF('TL13'!$C$238:$C$451,$C331,'TL13'!$J$238:$J$451),0),
IF('TL14'!$B$3=O$3,SUMIF('TL14'!$C$10:$C$224,$C331,'TL14'!$J$10:$J$224),0),
IF('TL14'!$B$229=O$3,SUMIF('TL14'!$C$238:$C$451,$C331,'TL14'!$J$238:$J$451),0),
IF('TL15'!$B$3=O$3,SUMIF('TL15'!$C$10:$C$224,$C331,'TL15'!$J$10:$J$224),0),
IF('TL15'!$B$229=O$3,SUMIF('TL15'!$C$238:$C$451,$C331,'TL15'!$J$238:$J$451),0),
IF('TL16'!$B$3=O$3,SUMIF('TL16'!$C$10:$C$224,$C331,'TL16'!$J$10:$J$224),0),
IF('TL16'!$B$229=O$3,SUMIF('TL16'!$C$238:$C$451,$C331,'TL16'!$J$238:$J$451),0),
IF('TL17'!$B$3=O$3,SUMIF('TL17'!$C$10:$C$224,$C331,'TL17'!$J$10:$J$224),0),
IF('TL17'!$B$229=O$3,SUMIF('TL17'!$C$238:$C$451,$C331,'TL17'!$J$238:$J$451),0),
IF('TL18'!$B$3=O$3,SUMIF('TL18'!$C$10:$C$224,$C331,'TL18'!$J$10:$J$224),0),
IF('TL18'!$B$229=O$3,SUMIF('TL18'!$C$238:$C$451,$C331,'TL18'!$J$238:$J$451),0),
IF('TL19'!$B$3=O$3,SUMIF('TL19'!$C$10:$C$224,$C331,'TL19'!$J$10:$J$224),0),
IF('TL19'!$B$229=O$3,SUMIF('TL19'!$C$238:$C$451,$C331,'TL19'!$J$238:$J$451),0)
),0)</f>
        <v/>
      </c>
      <c r="P331" s="9">
        <f>IFERROR(SUM(
IF('TL01'!$B$3=P$3,SUMIF('TL01'!$C$10:$C$224,$C331,'TL01'!$J$10:$J$224),0),
IF('TL01'!$B$229=P$3,SUMIF('TL01'!$C$238:$C$451,$C331,'TL01'!$J$238:$J$451),0),
IF('TL02'!$B$3=P$3,SUMIF('TL02'!$C$10:$C$224,$C331,'TL02'!$J$10:$J$224),0),
IF('TL02'!$B$229=P$3,SUMIF('TL02'!$C$238:$C$451,$C331,'TL02'!$J$238:$J$451),0),
IF('TL03'!$B$3=P$3,SUMIF('TL03'!$C$10:$C$224,$C331,'TL03'!$J$10:$J$224),0),
IF('TL03'!$B$229=P$3,SUMIF('TL03'!$C$238:$C$451,$C331,'TL03'!$J$238:$J$451),0),
IF('TL04'!$B$3=P$3,SUMIF('TL04'!$C$10:$C$224,$C331,'TL04'!$J$10:$J$224),0),
IF('TL04'!$B$229=P$3,SUMIF('TL04'!$C$238:$C$451,$C331,'TL04'!$J$238:$J$451),0),
IF('TL05'!$B$3=P$3,SUMIF('TL05'!$C$10:$C$224,$C331,'TL05'!$J$10:$J$224),0),
IF('TL05'!$B$229=P$3,SUMIF('TL05'!$C$238:$C$451,$C331,'TL05'!$J$238:$J$451),0),
IF('TL06'!$B$3=P$3,SUMIF('TL06'!$C$10:$C$224,$C331,'TL06'!$J$10:$J$224),0),
IF('TL06'!$B$229=P$3,SUMIF('TL06'!$C$238:$C$451,$C331,'TL06'!$J$238:$J$451),0),
IF('TL07'!$B$3=P$3,SUMIF('TL07'!$C$10:$C$224,$C331,'TL07'!$J$10:$J$224),0),
IF('TL07'!$B$229=P$3,SUMIF('TL07'!$C$238:$C$451,$C331,'TL07'!$J$238:$J$451),0),
IF('TL08'!$B$3=P$3,SUMIF('TL08'!$C$10:$C$224,$C331,'TL08'!$J$10:$J$224),0),
IF('TL08'!$B$229=P$3,SUMIF('TL08'!$C$238:$C$451,$C331,'TL08'!$J$238:$J$451),0),
IF('TL09'!$B$3=P$3,SUMIF('TL09'!$C$10:$C$224,$C331,'TL09'!$J$10:$J$224),0),
IF('TL09'!$B$229=P$3,SUMIF('TL09'!$C$238:$C$451,$C331,'TL09'!$J$238:$J$451),0),
IF('TL10'!$B$3=P$3,SUMIF('TL10'!$C$10:$C$224,$C331,'TL10'!$J$10:$J$224),0),
IF('TL10'!$B$229=P$3,SUMIF('TL10'!$C$238:$C$451,$C331,'TL10'!$J$238:$J$451),0),
IF('TL11'!$B$3=P$3,SUMIF('TL11'!$C$10:$C$224,$C331,'TL11'!$J$10:$J$224),0),
IF('TL11'!$B$229=P$3,SUMIF('TL11'!$C$238:$C$451,$C331,'TL11'!$J$238:$J$451),0),
IF('TL12'!$B$3=P$3,SUMIF('TL12'!$C$10:$C$224,$C331,'TL12'!$J$10:$J$224),0),
IF('TL12'!$B$229=P$3,SUMIF('TL12'!$C$238:$C$451,$C331,'TL12'!$J$238:$J$451),0),
IF('TL13'!$B$3=P$3,SUMIF('TL13'!$C$10:$C$224,$C331,'TL13'!$J$10:$J$224),0),
IF('TL13'!$B$229=P$3,SUMIF('TL13'!$C$238:$C$451,$C331,'TL13'!$J$238:$J$451),0),
IF('TL14'!$B$3=P$3,SUMIF('TL14'!$C$10:$C$224,$C331,'TL14'!$J$10:$J$224),0),
IF('TL14'!$B$229=P$3,SUMIF('TL14'!$C$238:$C$451,$C331,'TL14'!$J$238:$J$451),0),
IF('TL15'!$B$3=P$3,SUMIF('TL15'!$C$10:$C$224,$C331,'TL15'!$J$10:$J$224),0),
IF('TL15'!$B$229=P$3,SUMIF('TL15'!$C$238:$C$451,$C331,'TL15'!$J$238:$J$451),0),
IF('TL16'!$B$3=P$3,SUMIF('TL16'!$C$10:$C$224,$C331,'TL16'!$J$10:$J$224),0),
IF('TL16'!$B$229=P$3,SUMIF('TL16'!$C$238:$C$451,$C331,'TL16'!$J$238:$J$451),0),
IF('TL17'!$B$3=P$3,SUMIF('TL17'!$C$10:$C$224,$C331,'TL17'!$J$10:$J$224),0),
IF('TL17'!$B$229=P$3,SUMIF('TL17'!$C$238:$C$451,$C331,'TL17'!$J$238:$J$451),0),
IF('TL18'!$B$3=P$3,SUMIF('TL18'!$C$10:$C$224,$C331,'TL18'!$J$10:$J$224),0),
IF('TL18'!$B$229=P$3,SUMIF('TL18'!$C$238:$C$451,$C331,'TL18'!$J$238:$J$451),0),
IF('TL19'!$B$3=P$3,SUMIF('TL19'!$C$10:$C$224,$C331,'TL19'!$J$10:$J$224),0),
IF('TL19'!$B$229=P$3,SUMIF('TL19'!$C$238:$C$451,$C331,'TL19'!$J$238:$J$451),0)
),0)</f>
        <v/>
      </c>
      <c r="Q331" s="9">
        <f>IFERROR(SUM(
IF('TL01'!$B$3=Q$3,SUMIF('TL01'!$C$10:$C$224,$C331,'TL01'!$J$10:$J$224),0),
IF('TL01'!$B$229=Q$3,SUMIF('TL01'!$C$238:$C$451,$C331,'TL01'!$J$238:$J$451),0),
IF('TL02'!$B$3=Q$3,SUMIF('TL02'!$C$10:$C$224,$C331,'TL02'!$J$10:$J$224),0),
IF('TL02'!$B$229=Q$3,SUMIF('TL02'!$C$238:$C$451,$C331,'TL02'!$J$238:$J$451),0),
IF('TL03'!$B$3=Q$3,SUMIF('TL03'!$C$10:$C$224,$C331,'TL03'!$J$10:$J$224),0),
IF('TL03'!$B$229=Q$3,SUMIF('TL03'!$C$238:$C$451,$C331,'TL03'!$J$238:$J$451),0),
IF('TL04'!$B$3=Q$3,SUMIF('TL04'!$C$10:$C$224,$C331,'TL04'!$J$10:$J$224),0),
IF('TL04'!$B$229=Q$3,SUMIF('TL04'!$C$238:$C$451,$C331,'TL04'!$J$238:$J$451),0),
IF('TL05'!$B$3=Q$3,SUMIF('TL05'!$C$10:$C$224,$C331,'TL05'!$J$10:$J$224),0),
IF('TL05'!$B$229=Q$3,SUMIF('TL05'!$C$238:$C$451,$C331,'TL05'!$J$238:$J$451),0),
IF('TL06'!$B$3=Q$3,SUMIF('TL06'!$C$10:$C$224,$C331,'TL06'!$J$10:$J$224),0),
IF('TL06'!$B$229=Q$3,SUMIF('TL06'!$C$238:$C$451,$C331,'TL06'!$J$238:$J$451),0),
IF('TL07'!$B$3=Q$3,SUMIF('TL07'!$C$10:$C$224,$C331,'TL07'!$J$10:$J$224),0),
IF('TL07'!$B$229=Q$3,SUMIF('TL07'!$C$238:$C$451,$C331,'TL07'!$J$238:$J$451),0),
IF('TL08'!$B$3=Q$3,SUMIF('TL08'!$C$10:$C$224,$C331,'TL08'!$J$10:$J$224),0),
IF('TL08'!$B$229=Q$3,SUMIF('TL08'!$C$238:$C$451,$C331,'TL08'!$J$238:$J$451),0),
IF('TL09'!$B$3=Q$3,SUMIF('TL09'!$C$10:$C$224,$C331,'TL09'!$J$10:$J$224),0),
IF('TL09'!$B$229=Q$3,SUMIF('TL09'!$C$238:$C$451,$C331,'TL09'!$J$238:$J$451),0),
IF('TL10'!$B$3=Q$3,SUMIF('TL10'!$C$10:$C$224,$C331,'TL10'!$J$10:$J$224),0),
IF('TL10'!$B$229=Q$3,SUMIF('TL10'!$C$238:$C$451,$C331,'TL10'!$J$238:$J$451),0),
IF('TL11'!$B$3=Q$3,SUMIF('TL11'!$C$10:$C$224,$C331,'TL11'!$J$10:$J$224),0),
IF('TL11'!$B$229=Q$3,SUMIF('TL11'!$C$238:$C$451,$C331,'TL11'!$J$238:$J$451),0),
IF('TL12'!$B$3=Q$3,SUMIF('TL12'!$C$10:$C$224,$C331,'TL12'!$J$10:$J$224),0),
IF('TL12'!$B$229=Q$3,SUMIF('TL12'!$C$238:$C$451,$C331,'TL12'!$J$238:$J$451),0),
IF('TL13'!$B$3=Q$3,SUMIF('TL13'!$C$10:$C$224,$C331,'TL13'!$J$10:$J$224),0),
IF('TL13'!$B$229=Q$3,SUMIF('TL13'!$C$238:$C$451,$C331,'TL13'!$J$238:$J$451),0),
IF('TL14'!$B$3=Q$3,SUMIF('TL14'!$C$10:$C$224,$C331,'TL14'!$J$10:$J$224),0),
IF('TL14'!$B$229=Q$3,SUMIF('TL14'!$C$238:$C$451,$C331,'TL14'!$J$238:$J$451),0),
IF('TL15'!$B$3=Q$3,SUMIF('TL15'!$C$10:$C$224,$C331,'TL15'!$J$10:$J$224),0),
IF('TL15'!$B$229=Q$3,SUMIF('TL15'!$C$238:$C$451,$C331,'TL15'!$J$238:$J$451),0),
IF('TL16'!$B$3=Q$3,SUMIF('TL16'!$C$10:$C$224,$C331,'TL16'!$J$10:$J$224),0),
IF('TL16'!$B$229=Q$3,SUMIF('TL16'!$C$238:$C$451,$C331,'TL16'!$J$238:$J$451),0),
IF('TL17'!$B$3=Q$3,SUMIF('TL17'!$C$10:$C$224,$C331,'TL17'!$J$10:$J$224),0),
IF('TL17'!$B$229=Q$3,SUMIF('TL17'!$C$238:$C$451,$C331,'TL17'!$J$238:$J$451),0),
IF('TL18'!$B$3=Q$3,SUMIF('TL18'!$C$10:$C$224,$C331,'TL18'!$J$10:$J$224),0),
IF('TL18'!$B$229=Q$3,SUMIF('TL18'!$C$238:$C$451,$C331,'TL18'!$J$238:$J$451),0),
IF('TL19'!$B$3=Q$3,SUMIF('TL19'!$C$10:$C$224,$C331,'TL19'!$J$10:$J$224),0),
IF('TL19'!$B$229=Q$3,SUMIF('TL19'!$C$238:$C$451,$C331,'TL19'!$J$238:$J$451),0)
),0)</f>
        <v/>
      </c>
      <c r="R331" s="9">
        <f>IFERROR(
SUM(
SUMIF('TL01'!C:C,C331,'TL01'!J:J),
SUMIF('TL02'!C:C,C331,'TL02'!J:J),
SUMIF('TL03'!C:C,C331,'TL03'!J:J),
SUMIF('TL04'!C:C,C331,'TL04'!J:J),
SUMIF('TL05'!C:C,C331,'TL05'!J:J),
SUMIF('TL06'!C:C,C331,'TL06'!J:J),
SUMIF('TL07'!C:C,C331,'TL07'!J:J),
SUMIF('TL08'!C:C,C331,'TL08'!J:J),
SUMIF('TL09'!C:C,C331,'TL09'!J:J),
SUMIF('TL10'!C:C,C331,'TL10'!J:J),
SUMIF('TL11'!C:C,C331,'TL11'!J:J),
SUMIF('TL12'!C:C,C331,'TL12'!J:J),
SUMIF('TL13'!C:C,C331,'TL13'!J:J),
SUMIF('TL14'!C:C,C331,'TL14'!J:J),
SUMIF('TL15'!C:C,C331,'TL15'!J:J),
SUMIF('TL16'!C:C,C331,'TL16'!J:J),
SUMIF('TL17'!C:C,C331,'TL17'!J:J),
SUMIF('TL18'!C:C,C331,'TL18'!J:J),SUMIF('TL19'!C:C,C331,'TL19'!J:J))
,0)</f>
        <v/>
      </c>
      <c r="S331" s="17">
        <f>IFERROR(__xludf.DUMMYFUNCTION("IFERROR(VLOOKUP(C331,
IMPORTRANGE(""1wULbzX32WdYsx-lj2U3uUNBBe2INVIRDtcK0d-Dvl90"",
""26-27!C:G""),
5,
FALSE),
"""")"),"")</f>
        <v/>
      </c>
      <c r="T331" s="9" t="n"/>
      <c r="U331" s="92">
        <f>MAX(0,R331-T331)</f>
        <v/>
      </c>
      <c r="V331" s="93">
        <f>U331*S331</f>
        <v/>
      </c>
    </row>
    <row r="332" hidden="1" ht="15.75" customHeight="1" s="297">
      <c r="A332" s="4" t="n"/>
      <c r="B332" s="125" t="inlineStr">
        <is>
          <t>SEMENTE</t>
        </is>
      </c>
      <c r="C332" s="4" t="inlineStr">
        <is>
          <t>BRASMAX HERA</t>
        </is>
      </c>
      <c r="D332" s="20" t="n"/>
      <c r="E332" s="9" t="n"/>
      <c r="F332" s="4" t="n"/>
      <c r="G332" s="90">
        <f>HYPERLINK("https://www.google.com/search?q=" &amp; C332 &amp; "+bula+agrofit+pdf", "📄 Ver bula")</f>
        <v/>
      </c>
      <c r="H332" s="9" t="n"/>
      <c r="I332" s="1" t="n"/>
      <c r="J332" s="9">
        <f>IFERROR(SUM(
IF('TL01'!$B$3=J$3,SUMIF('TL01'!$C$10:$C$224,$C332,'TL01'!$J$10:$J$224),0),
IF('TL01'!$B$229=J$3,SUMIF('TL01'!$C$238:$C$451,$C332,'TL01'!$J$238:$J$451),0),
IF('TL02'!$B$3=J$3,SUMIF('TL02'!$C$10:$C$224,$C332,'TL02'!$J$10:$J$224),0),
IF('TL02'!$B$229=J$3,SUMIF('TL02'!$C$238:$C$451,$C332,'TL02'!$J$238:$J$451),0),
IF('TL03'!$B$3=J$3,SUMIF('TL03'!$C$10:$C$224,$C332,'TL03'!$J$10:$J$224),0),
IF('TL03'!$B$229=J$3,SUMIF('TL03'!$C$238:$C$451,$C332,'TL03'!$J$238:$J$451),0),
IF('TL04'!$B$3=J$3,SUMIF('TL04'!$C$10:$C$224,$C332,'TL04'!$J$10:$J$224),0),
IF('TL04'!$B$229=J$3,SUMIF('TL04'!$C$238:$C$451,$C332,'TL04'!$J$238:$J$451),0),
IF('TL05'!$B$3=J$3,SUMIF('TL05'!$C$10:$C$224,$C332,'TL05'!$J$10:$J$224),0),
IF('TL05'!$B$229=J$3,SUMIF('TL05'!$C$238:$C$451,$C332,'TL05'!$J$238:$J$451),0),
IF('TL06'!$B$3=J$3,SUMIF('TL06'!$C$10:$C$224,$C332,'TL06'!$J$10:$J$224),0),
IF('TL06'!$B$229=J$3,SUMIF('TL06'!$C$238:$C$451,$C332,'TL06'!$J$238:$J$451),0),
IF('TL07'!$B$3=J$3,SUMIF('TL07'!$C$10:$C$224,$C332,'TL07'!$J$10:$J$224),0),
IF('TL07'!$B$229=J$3,SUMIF('TL07'!$C$238:$C$451,$C332,'TL07'!$J$238:$J$451),0),
IF('TL08'!$B$3=J$3,SUMIF('TL08'!$C$10:$C$224,$C332,'TL08'!$J$10:$J$224),0),
IF('TL08'!$B$229=J$3,SUMIF('TL08'!$C$238:$C$451,$C332,'TL08'!$J$238:$J$451),0),
IF('TL09'!$B$3=J$3,SUMIF('TL09'!$C$10:$C$224,$C332,'TL09'!$J$10:$J$224),0),
IF('TL09'!$B$229=J$3,SUMIF('TL09'!$C$238:$C$451,$C332,'TL09'!$J$238:$J$451),0),
IF('TL10'!$B$3=J$3,SUMIF('TL10'!$C$10:$C$224,$C332,'TL10'!$J$10:$J$224),0),
IF('TL10'!$B$229=J$3,SUMIF('TL10'!$C$238:$C$451,$C332,'TL10'!$J$238:$J$451),0),
IF('TL11'!$B$3=J$3,SUMIF('TL11'!$C$10:$C$224,$C332,'TL11'!$J$10:$J$224),0),
IF('TL11'!$B$229=J$3,SUMIF('TL11'!$C$238:$C$451,$C332,'TL11'!$J$238:$J$451),0),
IF('TL12'!$B$3=J$3,SUMIF('TL12'!$C$10:$C$224,$C332,'TL12'!$J$10:$J$224),0),
IF('TL12'!$B$229=J$3,SUMIF('TL12'!$C$238:$C$451,$C332,'TL12'!$J$238:$J$451),0),
IF('TL13'!$B$3=J$3,SUMIF('TL13'!$C$10:$C$224,$C332,'TL13'!$J$10:$J$224),0),
IF('TL13'!$B$229=J$3,SUMIF('TL13'!$C$238:$C$451,$C332,'TL13'!$J$238:$J$451),0),
IF('TL14'!$B$3=J$3,SUMIF('TL14'!$C$10:$C$224,$C332,'TL14'!$J$10:$J$224),0),
IF('TL14'!$B$229=J$3,SUMIF('TL14'!$C$238:$C$451,$C332,'TL14'!$J$238:$J$451),0),
IF('TL15'!$B$3=J$3,SUMIF('TL15'!$C$10:$C$224,$C332,'TL15'!$J$10:$J$224),0),
IF('TL15'!$B$229=J$3,SUMIF('TL15'!$C$238:$C$451,$C332,'TL15'!$J$238:$J$451),0),
IF('TL16'!$B$3=J$3,SUMIF('TL16'!$C$10:$C$224,$C332,'TL16'!$J$10:$J$224),0),
IF('TL16'!$B$229=J$3,SUMIF('TL16'!$C$238:$C$451,$C332,'TL16'!$J$238:$J$451),0),
IF('TL17'!$B$3=J$3,SUMIF('TL17'!$C$10:$C$224,$C332,'TL17'!$J$10:$J$224),0),
IF('TL17'!$B$229=J$3,SUMIF('TL17'!$C$238:$C$451,$C332,'TL17'!$J$238:$J$451),0),
IF('TL18'!$B$3=J$3,SUMIF('TL18'!$C$10:$C$224,$C332,'TL18'!$J$10:$J$224),0),
IF('TL18'!$B$229=J$3,SUMIF('TL18'!$C$238:$C$451,$C332,'TL18'!$J$238:$J$451),0),
IF('TL19'!$B$3=J$3,SUMIF('TL19'!$C$10:$C$224,$C332,'TL19'!$J$10:$J$224),0),
IF('TL19'!$B$229=J$3,SUMIF('TL19'!$C$238:$C$451,$C332,'TL19'!$J$238:$J$451),0)
),0)</f>
        <v/>
      </c>
      <c r="K332" s="9">
        <f>IFERROR(SUM(
IF('TL01'!$B$3=K$3,SUMIF('TL01'!$C$10:$C$224,$C332,'TL01'!$J$10:$J$224),0),
IF('TL01'!$B$229=K$3,SUMIF('TL01'!$C$238:$C$451,$C332,'TL01'!$J$238:$J$451),0),
IF('TL02'!$B$3=K$3,SUMIF('TL02'!$C$10:$C$224,$C332,'TL02'!$J$10:$J$224),0),
IF('TL02'!$B$229=K$3,SUMIF('TL02'!$C$238:$C$451,$C332,'TL02'!$J$238:$J$451),0),
IF('TL03'!$B$3=K$3,SUMIF('TL03'!$C$10:$C$224,$C332,'TL03'!$J$10:$J$224),0),
IF('TL03'!$B$229=K$3,SUMIF('TL03'!$C$238:$C$451,$C332,'TL03'!$J$238:$J$451),0),
IF('TL04'!$B$3=K$3,SUMIF('TL04'!$C$10:$C$224,$C332,'TL04'!$J$10:$J$224),0),
IF('TL04'!$B$229=K$3,SUMIF('TL04'!$C$238:$C$451,$C332,'TL04'!$J$238:$J$451),0),
IF('TL05'!$B$3=K$3,SUMIF('TL05'!$C$10:$C$224,$C332,'TL05'!$J$10:$J$224),0),
IF('TL05'!$B$229=K$3,SUMIF('TL05'!$C$238:$C$451,$C332,'TL05'!$J$238:$J$451),0),
IF('TL06'!$B$3=K$3,SUMIF('TL06'!$C$10:$C$224,$C332,'TL06'!$J$10:$J$224),0),
IF('TL06'!$B$229=K$3,SUMIF('TL06'!$C$238:$C$451,$C332,'TL06'!$J$238:$J$451),0),
IF('TL07'!$B$3=K$3,SUMIF('TL07'!$C$10:$C$224,$C332,'TL07'!$J$10:$J$224),0),
IF('TL07'!$B$229=K$3,SUMIF('TL07'!$C$238:$C$451,$C332,'TL07'!$J$238:$J$451),0),
IF('TL08'!$B$3=K$3,SUMIF('TL08'!$C$10:$C$224,$C332,'TL08'!$J$10:$J$224),0),
IF('TL08'!$B$229=K$3,SUMIF('TL08'!$C$238:$C$451,$C332,'TL08'!$J$238:$J$451),0),
IF('TL09'!$B$3=K$3,SUMIF('TL09'!$C$10:$C$224,$C332,'TL09'!$J$10:$J$224),0),
IF('TL09'!$B$229=K$3,SUMIF('TL09'!$C$238:$C$451,$C332,'TL09'!$J$238:$J$451),0),
IF('TL10'!$B$3=K$3,SUMIF('TL10'!$C$10:$C$224,$C332,'TL10'!$J$10:$J$224),0),
IF('TL10'!$B$229=K$3,SUMIF('TL10'!$C$238:$C$451,$C332,'TL10'!$J$238:$J$451),0),
IF('TL11'!$B$3=K$3,SUMIF('TL11'!$C$10:$C$224,$C332,'TL11'!$J$10:$J$224),0),
IF('TL11'!$B$229=K$3,SUMIF('TL11'!$C$238:$C$451,$C332,'TL11'!$J$238:$J$451),0),
IF('TL12'!$B$3=K$3,SUMIF('TL12'!$C$10:$C$224,$C332,'TL12'!$J$10:$J$224),0),
IF('TL12'!$B$229=K$3,SUMIF('TL12'!$C$238:$C$451,$C332,'TL12'!$J$238:$J$451),0),
IF('TL13'!$B$3=K$3,SUMIF('TL13'!$C$10:$C$224,$C332,'TL13'!$J$10:$J$224),0),
IF('TL13'!$B$229=K$3,SUMIF('TL13'!$C$238:$C$451,$C332,'TL13'!$J$238:$J$451),0),
IF('TL14'!$B$3=K$3,SUMIF('TL14'!$C$10:$C$224,$C332,'TL14'!$J$10:$J$224),0),
IF('TL14'!$B$229=K$3,SUMIF('TL14'!$C$238:$C$451,$C332,'TL14'!$J$238:$J$451),0),
IF('TL15'!$B$3=K$3,SUMIF('TL15'!$C$10:$C$224,$C332,'TL15'!$J$10:$J$224),0),
IF('TL15'!$B$229=K$3,SUMIF('TL15'!$C$238:$C$451,$C332,'TL15'!$J$238:$J$451),0),
IF('TL16'!$B$3=K$3,SUMIF('TL16'!$C$10:$C$224,$C332,'TL16'!$J$10:$J$224),0),
IF('TL16'!$B$229=K$3,SUMIF('TL16'!$C$238:$C$451,$C332,'TL16'!$J$238:$J$451),0),
IF('TL17'!$B$3=K$3,SUMIF('TL17'!$C$10:$C$224,$C332,'TL17'!$J$10:$J$224),0),
IF('TL17'!$B$229=K$3,SUMIF('TL17'!$C$238:$C$451,$C332,'TL17'!$J$238:$J$451),0),
IF('TL18'!$B$3=K$3,SUMIF('TL18'!$C$10:$C$224,$C332,'TL18'!$J$10:$J$224),0),
IF('TL18'!$B$229=K$3,SUMIF('TL18'!$C$238:$C$451,$C332,'TL18'!$J$238:$J$451),0),
IF('TL19'!$B$3=K$3,SUMIF('TL19'!$C$10:$C$224,$C332,'TL19'!$J$10:$J$224),0),
IF('TL19'!$B$229=K$3,SUMIF('TL19'!$C$238:$C$451,$C332,'TL19'!$J$238:$J$451),0)
),0)</f>
        <v/>
      </c>
      <c r="L332" s="9">
        <f>IFERROR(SUM(
IF('TL01'!$B$3=L$3,SUMIF('TL01'!$C$10:$C$224,$C332,'TL01'!$J$10:$J$224),0),
IF('TL01'!$B$229=L$3,SUMIF('TL01'!$C$238:$C$451,$C332,'TL01'!$J$238:$J$451),0),
IF('TL02'!$B$3=L$3,SUMIF('TL02'!$C$10:$C$224,$C332,'TL02'!$J$10:$J$224),0),
IF('TL02'!$B$229=L$3,SUMIF('TL02'!$C$238:$C$451,$C332,'TL02'!$J$238:$J$451),0),
IF('TL03'!$B$3=L$3,SUMIF('TL03'!$C$10:$C$224,$C332,'TL03'!$J$10:$J$224),0),
IF('TL03'!$B$229=L$3,SUMIF('TL03'!$C$238:$C$451,$C332,'TL03'!$J$238:$J$451),0),
IF('TL04'!$B$3=L$3,SUMIF('TL04'!$C$10:$C$224,$C332,'TL04'!$J$10:$J$224),0),
IF('TL04'!$B$229=L$3,SUMIF('TL04'!$C$238:$C$451,$C332,'TL04'!$J$238:$J$451),0),
IF('TL05'!$B$3=L$3,SUMIF('TL05'!$C$10:$C$224,$C332,'TL05'!$J$10:$J$224),0),
IF('TL05'!$B$229=L$3,SUMIF('TL05'!$C$238:$C$451,$C332,'TL05'!$J$238:$J$451),0),
IF('TL06'!$B$3=L$3,SUMIF('TL06'!$C$10:$C$224,$C332,'TL06'!$J$10:$J$224),0),
IF('TL06'!$B$229=L$3,SUMIF('TL06'!$C$238:$C$451,$C332,'TL06'!$J$238:$J$451),0),
IF('TL07'!$B$3=L$3,SUMIF('TL07'!$C$10:$C$224,$C332,'TL07'!$J$10:$J$224),0),
IF('TL07'!$B$229=L$3,SUMIF('TL07'!$C$238:$C$451,$C332,'TL07'!$J$238:$J$451),0),
IF('TL08'!$B$3=L$3,SUMIF('TL08'!$C$10:$C$224,$C332,'TL08'!$J$10:$J$224),0),
IF('TL08'!$B$229=L$3,SUMIF('TL08'!$C$238:$C$451,$C332,'TL08'!$J$238:$J$451),0),
IF('TL09'!$B$3=L$3,SUMIF('TL09'!$C$10:$C$224,$C332,'TL09'!$J$10:$J$224),0),
IF('TL09'!$B$229=L$3,SUMIF('TL09'!$C$238:$C$451,$C332,'TL09'!$J$238:$J$451),0),
IF('TL10'!$B$3=L$3,SUMIF('TL10'!$C$10:$C$224,$C332,'TL10'!$J$10:$J$224),0),
IF('TL10'!$B$229=L$3,SUMIF('TL10'!$C$238:$C$451,$C332,'TL10'!$J$238:$J$451),0),
IF('TL11'!$B$3=L$3,SUMIF('TL11'!$C$10:$C$224,$C332,'TL11'!$J$10:$J$224),0),
IF('TL11'!$B$229=L$3,SUMIF('TL11'!$C$238:$C$451,$C332,'TL11'!$J$238:$J$451),0),
IF('TL12'!$B$3=L$3,SUMIF('TL12'!$C$10:$C$224,$C332,'TL12'!$J$10:$J$224),0),
IF('TL12'!$B$229=L$3,SUMIF('TL12'!$C$238:$C$451,$C332,'TL12'!$J$238:$J$451),0),
IF('TL13'!$B$3=L$3,SUMIF('TL13'!$C$10:$C$224,$C332,'TL13'!$J$10:$J$224),0),
IF('TL13'!$B$229=L$3,SUMIF('TL13'!$C$238:$C$451,$C332,'TL13'!$J$238:$J$451),0),
IF('TL14'!$B$3=L$3,SUMIF('TL14'!$C$10:$C$224,$C332,'TL14'!$J$10:$J$224),0),
IF('TL14'!$B$229=L$3,SUMIF('TL14'!$C$238:$C$451,$C332,'TL14'!$J$238:$J$451),0),
IF('TL15'!$B$3=L$3,SUMIF('TL15'!$C$10:$C$224,$C332,'TL15'!$J$10:$J$224),0),
IF('TL15'!$B$229=L$3,SUMIF('TL15'!$C$238:$C$451,$C332,'TL15'!$J$238:$J$451),0),
IF('TL16'!$B$3=L$3,SUMIF('TL16'!$C$10:$C$224,$C332,'TL16'!$J$10:$J$224),0),
IF('TL16'!$B$229=L$3,SUMIF('TL16'!$C$238:$C$451,$C332,'TL16'!$J$238:$J$451),0),
IF('TL17'!$B$3=L$3,SUMIF('TL17'!$C$10:$C$224,$C332,'TL17'!$J$10:$J$224),0),
IF('TL17'!$B$229=L$3,SUMIF('TL17'!$C$238:$C$451,$C332,'TL17'!$J$238:$J$451),0),
IF('TL18'!$B$3=L$3,SUMIF('TL18'!$C$10:$C$224,$C332,'TL18'!$J$10:$J$224),0),
IF('TL18'!$B$229=L$3,SUMIF('TL18'!$C$238:$C$451,$C332,'TL18'!$J$238:$J$451),0),
IF('TL19'!$B$3=L$3,SUMIF('TL19'!$C$10:$C$224,$C332,'TL19'!$J$10:$J$224),0),
IF('TL19'!$B$229=L$3,SUMIF('TL19'!$C$238:$C$451,$C332,'TL19'!$J$238:$J$451),0)
),0)</f>
        <v/>
      </c>
      <c r="M332" s="9">
        <f>IFERROR(SUM(
IF('TL01'!$B$3=M$3,SUMIF('TL01'!$C$10:$C$224,$C332,'TL01'!$J$10:$J$224),0),
IF('TL01'!$B$229=M$3,SUMIF('TL01'!$C$238:$C$451,$C332,'TL01'!$J$238:$J$451),0),
IF('TL02'!$B$3=M$3,SUMIF('TL02'!$C$10:$C$224,$C332,'TL02'!$J$10:$J$224),0),
IF('TL02'!$B$229=M$3,SUMIF('TL02'!$C$238:$C$451,$C332,'TL02'!$J$238:$J$451),0),
IF('TL03'!$B$3=M$3,SUMIF('TL03'!$C$10:$C$224,$C332,'TL03'!$J$10:$J$224),0),
IF('TL03'!$B$229=M$3,SUMIF('TL03'!$C$238:$C$451,$C332,'TL03'!$J$238:$J$451),0),
IF('TL04'!$B$3=M$3,SUMIF('TL04'!$C$10:$C$224,$C332,'TL04'!$J$10:$J$224),0),
IF('TL04'!$B$229=M$3,SUMIF('TL04'!$C$238:$C$451,$C332,'TL04'!$J$238:$J$451),0),
IF('TL05'!$B$3=M$3,SUMIF('TL05'!$C$10:$C$224,$C332,'TL05'!$J$10:$J$224),0),
IF('TL05'!$B$229=M$3,SUMIF('TL05'!$C$238:$C$451,$C332,'TL05'!$J$238:$J$451),0),
IF('TL06'!$B$3=M$3,SUMIF('TL06'!$C$10:$C$224,$C332,'TL06'!$J$10:$J$224),0),
IF('TL06'!$B$229=M$3,SUMIF('TL06'!$C$238:$C$451,$C332,'TL06'!$J$238:$J$451),0),
IF('TL07'!$B$3=M$3,SUMIF('TL07'!$C$10:$C$224,$C332,'TL07'!$J$10:$J$224),0),
IF('TL07'!$B$229=M$3,SUMIF('TL07'!$C$238:$C$451,$C332,'TL07'!$J$238:$J$451),0),
IF('TL08'!$B$3=M$3,SUMIF('TL08'!$C$10:$C$224,$C332,'TL08'!$J$10:$J$224),0),
IF('TL08'!$B$229=M$3,SUMIF('TL08'!$C$238:$C$451,$C332,'TL08'!$J$238:$J$451),0),
IF('TL09'!$B$3=M$3,SUMIF('TL09'!$C$10:$C$224,$C332,'TL09'!$J$10:$J$224),0),
IF('TL09'!$B$229=M$3,SUMIF('TL09'!$C$238:$C$451,$C332,'TL09'!$J$238:$J$451),0),
IF('TL10'!$B$3=M$3,SUMIF('TL10'!$C$10:$C$224,$C332,'TL10'!$J$10:$J$224),0),
IF('TL10'!$B$229=M$3,SUMIF('TL10'!$C$238:$C$451,$C332,'TL10'!$J$238:$J$451),0),
IF('TL11'!$B$3=M$3,SUMIF('TL11'!$C$10:$C$224,$C332,'TL11'!$J$10:$J$224),0),
IF('TL11'!$B$229=M$3,SUMIF('TL11'!$C$238:$C$451,$C332,'TL11'!$J$238:$J$451),0),
IF('TL12'!$B$3=M$3,SUMIF('TL12'!$C$10:$C$224,$C332,'TL12'!$J$10:$J$224),0),
IF('TL12'!$B$229=M$3,SUMIF('TL12'!$C$238:$C$451,$C332,'TL12'!$J$238:$J$451),0),
IF('TL13'!$B$3=M$3,SUMIF('TL13'!$C$10:$C$224,$C332,'TL13'!$J$10:$J$224),0),
IF('TL13'!$B$229=M$3,SUMIF('TL13'!$C$238:$C$451,$C332,'TL13'!$J$238:$J$451),0),
IF('TL14'!$B$3=M$3,SUMIF('TL14'!$C$10:$C$224,$C332,'TL14'!$J$10:$J$224),0),
IF('TL14'!$B$229=M$3,SUMIF('TL14'!$C$238:$C$451,$C332,'TL14'!$J$238:$J$451),0),
IF('TL15'!$B$3=M$3,SUMIF('TL15'!$C$10:$C$224,$C332,'TL15'!$J$10:$J$224),0),
IF('TL15'!$B$229=M$3,SUMIF('TL15'!$C$238:$C$451,$C332,'TL15'!$J$238:$J$451),0),
IF('TL16'!$B$3=M$3,SUMIF('TL16'!$C$10:$C$224,$C332,'TL16'!$J$10:$J$224),0),
IF('TL16'!$B$229=M$3,SUMIF('TL16'!$C$238:$C$451,$C332,'TL16'!$J$238:$J$451),0),
IF('TL17'!$B$3=M$3,SUMIF('TL17'!$C$10:$C$224,$C332,'TL17'!$J$10:$J$224),0),
IF('TL17'!$B$229=M$3,SUMIF('TL17'!$C$238:$C$451,$C332,'TL17'!$J$238:$J$451),0),
IF('TL18'!$B$3=M$3,SUMIF('TL18'!$C$10:$C$224,$C332,'TL18'!$J$10:$J$224),0),
IF('TL18'!$B$229=M$3,SUMIF('TL18'!$C$238:$C$451,$C332,'TL18'!$J$238:$J$451),0),
IF('TL19'!$B$3=M$3,SUMIF('TL19'!$C$10:$C$224,$C332,'TL19'!$J$10:$J$224),0),
IF('TL19'!$B$229=M$3,SUMIF('TL19'!$C$238:$C$451,$C332,'TL19'!$J$238:$J$451),0)
),0)</f>
        <v/>
      </c>
      <c r="N332" s="9">
        <f>IFERROR(SUM(
IF('TL01'!$B$3=N$3,SUMIF('TL01'!$C$10:$C$224,$C332,'TL01'!$J$10:$J$224),0),
IF('TL01'!$B$229=N$3,SUMIF('TL01'!$C$238:$C$451,$C332,'TL01'!$J$238:$J$451),0),
IF('TL02'!$B$3=N$3,SUMIF('TL02'!$C$10:$C$224,$C332,'TL02'!$J$10:$J$224),0),
IF('TL02'!$B$229=N$3,SUMIF('TL02'!$C$238:$C$451,$C332,'TL02'!$J$238:$J$451),0),
IF('TL03'!$B$3=N$3,SUMIF('TL03'!$C$10:$C$224,$C332,'TL03'!$J$10:$J$224),0),
IF('TL03'!$B$229=N$3,SUMIF('TL03'!$C$238:$C$451,$C332,'TL03'!$J$238:$J$451),0),
IF('TL04'!$B$3=N$3,SUMIF('TL04'!$C$10:$C$224,$C332,'TL04'!$J$10:$J$224),0),
IF('TL04'!$B$229=N$3,SUMIF('TL04'!$C$238:$C$451,$C332,'TL04'!$J$238:$J$451),0),
IF('TL05'!$B$3=N$3,SUMIF('TL05'!$C$10:$C$224,$C332,'TL05'!$J$10:$J$224),0),
IF('TL05'!$B$229=N$3,SUMIF('TL05'!$C$238:$C$451,$C332,'TL05'!$J$238:$J$451),0),
IF('TL06'!$B$3=N$3,SUMIF('TL06'!$C$10:$C$224,$C332,'TL06'!$J$10:$J$224),0),
IF('TL06'!$B$229=N$3,SUMIF('TL06'!$C$238:$C$451,$C332,'TL06'!$J$238:$J$451),0),
IF('TL07'!$B$3=N$3,SUMIF('TL07'!$C$10:$C$224,$C332,'TL07'!$J$10:$J$224),0),
IF('TL07'!$B$229=N$3,SUMIF('TL07'!$C$238:$C$451,$C332,'TL07'!$J$238:$J$451),0),
IF('TL08'!$B$3=N$3,SUMIF('TL08'!$C$10:$C$224,$C332,'TL08'!$J$10:$J$224),0),
IF('TL08'!$B$229=N$3,SUMIF('TL08'!$C$238:$C$451,$C332,'TL08'!$J$238:$J$451),0),
IF('TL09'!$B$3=N$3,SUMIF('TL09'!$C$10:$C$224,$C332,'TL09'!$J$10:$J$224),0),
IF('TL09'!$B$229=N$3,SUMIF('TL09'!$C$238:$C$451,$C332,'TL09'!$J$238:$J$451),0),
IF('TL10'!$B$3=N$3,SUMIF('TL10'!$C$10:$C$224,$C332,'TL10'!$J$10:$J$224),0),
IF('TL10'!$B$229=N$3,SUMIF('TL10'!$C$238:$C$451,$C332,'TL10'!$J$238:$J$451),0),
IF('TL11'!$B$3=N$3,SUMIF('TL11'!$C$10:$C$224,$C332,'TL11'!$J$10:$J$224),0),
IF('TL11'!$B$229=N$3,SUMIF('TL11'!$C$238:$C$451,$C332,'TL11'!$J$238:$J$451),0),
IF('TL12'!$B$3=N$3,SUMIF('TL12'!$C$10:$C$224,$C332,'TL12'!$J$10:$J$224),0),
IF('TL12'!$B$229=N$3,SUMIF('TL12'!$C$238:$C$451,$C332,'TL12'!$J$238:$J$451),0),
IF('TL13'!$B$3=N$3,SUMIF('TL13'!$C$10:$C$224,$C332,'TL13'!$J$10:$J$224),0),
IF('TL13'!$B$229=N$3,SUMIF('TL13'!$C$238:$C$451,$C332,'TL13'!$J$238:$J$451),0),
IF('TL14'!$B$3=N$3,SUMIF('TL14'!$C$10:$C$224,$C332,'TL14'!$J$10:$J$224),0),
IF('TL14'!$B$229=N$3,SUMIF('TL14'!$C$238:$C$451,$C332,'TL14'!$J$238:$J$451),0),
IF('TL15'!$B$3=N$3,SUMIF('TL15'!$C$10:$C$224,$C332,'TL15'!$J$10:$J$224),0),
IF('TL15'!$B$229=N$3,SUMIF('TL15'!$C$238:$C$451,$C332,'TL15'!$J$238:$J$451),0),
IF('TL16'!$B$3=N$3,SUMIF('TL16'!$C$10:$C$224,$C332,'TL16'!$J$10:$J$224),0),
IF('TL16'!$B$229=N$3,SUMIF('TL16'!$C$238:$C$451,$C332,'TL16'!$J$238:$J$451),0),
IF('TL17'!$B$3=N$3,SUMIF('TL17'!$C$10:$C$224,$C332,'TL17'!$J$10:$J$224),0),
IF('TL17'!$B$229=N$3,SUMIF('TL17'!$C$238:$C$451,$C332,'TL17'!$J$238:$J$451),0),
IF('TL18'!$B$3=N$3,SUMIF('TL18'!$C$10:$C$224,$C332,'TL18'!$J$10:$J$224),0),
IF('TL18'!$B$229=N$3,SUMIF('TL18'!$C$238:$C$451,$C332,'TL18'!$J$238:$J$451),0),
IF('TL19'!$B$3=N$3,SUMIF('TL19'!$C$10:$C$224,$C332,'TL19'!$J$10:$J$224),0),
IF('TL19'!$B$229=N$3,SUMIF('TL19'!$C$238:$C$451,$C332,'TL19'!$J$238:$J$451),0)
),0)</f>
        <v/>
      </c>
      <c r="O332" s="9">
        <f>IFERROR(SUM(
IF('TL01'!$B$3=O$3,SUMIF('TL01'!$C$10:$C$224,$C332,'TL01'!$J$10:$J$224),0),
IF('TL01'!$B$229=O$3,SUMIF('TL01'!$C$238:$C$451,$C332,'TL01'!$J$238:$J$451),0),
IF('TL02'!$B$3=O$3,SUMIF('TL02'!$C$10:$C$224,$C332,'TL02'!$J$10:$J$224),0),
IF('TL02'!$B$229=O$3,SUMIF('TL02'!$C$238:$C$451,$C332,'TL02'!$J$238:$J$451),0),
IF('TL03'!$B$3=O$3,SUMIF('TL03'!$C$10:$C$224,$C332,'TL03'!$J$10:$J$224),0),
IF('TL03'!$B$229=O$3,SUMIF('TL03'!$C$238:$C$451,$C332,'TL03'!$J$238:$J$451),0),
IF('TL04'!$B$3=O$3,SUMIF('TL04'!$C$10:$C$224,$C332,'TL04'!$J$10:$J$224),0),
IF('TL04'!$B$229=O$3,SUMIF('TL04'!$C$238:$C$451,$C332,'TL04'!$J$238:$J$451),0),
IF('TL05'!$B$3=O$3,SUMIF('TL05'!$C$10:$C$224,$C332,'TL05'!$J$10:$J$224),0),
IF('TL05'!$B$229=O$3,SUMIF('TL05'!$C$238:$C$451,$C332,'TL05'!$J$238:$J$451),0),
IF('TL06'!$B$3=O$3,SUMIF('TL06'!$C$10:$C$224,$C332,'TL06'!$J$10:$J$224),0),
IF('TL06'!$B$229=O$3,SUMIF('TL06'!$C$238:$C$451,$C332,'TL06'!$J$238:$J$451),0),
IF('TL07'!$B$3=O$3,SUMIF('TL07'!$C$10:$C$224,$C332,'TL07'!$J$10:$J$224),0),
IF('TL07'!$B$229=O$3,SUMIF('TL07'!$C$238:$C$451,$C332,'TL07'!$J$238:$J$451),0),
IF('TL08'!$B$3=O$3,SUMIF('TL08'!$C$10:$C$224,$C332,'TL08'!$J$10:$J$224),0),
IF('TL08'!$B$229=O$3,SUMIF('TL08'!$C$238:$C$451,$C332,'TL08'!$J$238:$J$451),0),
IF('TL09'!$B$3=O$3,SUMIF('TL09'!$C$10:$C$224,$C332,'TL09'!$J$10:$J$224),0),
IF('TL09'!$B$229=O$3,SUMIF('TL09'!$C$238:$C$451,$C332,'TL09'!$J$238:$J$451),0),
IF('TL10'!$B$3=O$3,SUMIF('TL10'!$C$10:$C$224,$C332,'TL10'!$J$10:$J$224),0),
IF('TL10'!$B$229=O$3,SUMIF('TL10'!$C$238:$C$451,$C332,'TL10'!$J$238:$J$451),0),
IF('TL11'!$B$3=O$3,SUMIF('TL11'!$C$10:$C$224,$C332,'TL11'!$J$10:$J$224),0),
IF('TL11'!$B$229=O$3,SUMIF('TL11'!$C$238:$C$451,$C332,'TL11'!$J$238:$J$451),0),
IF('TL12'!$B$3=O$3,SUMIF('TL12'!$C$10:$C$224,$C332,'TL12'!$J$10:$J$224),0),
IF('TL12'!$B$229=O$3,SUMIF('TL12'!$C$238:$C$451,$C332,'TL12'!$J$238:$J$451),0),
IF('TL13'!$B$3=O$3,SUMIF('TL13'!$C$10:$C$224,$C332,'TL13'!$J$10:$J$224),0),
IF('TL13'!$B$229=O$3,SUMIF('TL13'!$C$238:$C$451,$C332,'TL13'!$J$238:$J$451),0),
IF('TL14'!$B$3=O$3,SUMIF('TL14'!$C$10:$C$224,$C332,'TL14'!$J$10:$J$224),0),
IF('TL14'!$B$229=O$3,SUMIF('TL14'!$C$238:$C$451,$C332,'TL14'!$J$238:$J$451),0),
IF('TL15'!$B$3=O$3,SUMIF('TL15'!$C$10:$C$224,$C332,'TL15'!$J$10:$J$224),0),
IF('TL15'!$B$229=O$3,SUMIF('TL15'!$C$238:$C$451,$C332,'TL15'!$J$238:$J$451),0),
IF('TL16'!$B$3=O$3,SUMIF('TL16'!$C$10:$C$224,$C332,'TL16'!$J$10:$J$224),0),
IF('TL16'!$B$229=O$3,SUMIF('TL16'!$C$238:$C$451,$C332,'TL16'!$J$238:$J$451),0),
IF('TL17'!$B$3=O$3,SUMIF('TL17'!$C$10:$C$224,$C332,'TL17'!$J$10:$J$224),0),
IF('TL17'!$B$229=O$3,SUMIF('TL17'!$C$238:$C$451,$C332,'TL17'!$J$238:$J$451),0),
IF('TL18'!$B$3=O$3,SUMIF('TL18'!$C$10:$C$224,$C332,'TL18'!$J$10:$J$224),0),
IF('TL18'!$B$229=O$3,SUMIF('TL18'!$C$238:$C$451,$C332,'TL18'!$J$238:$J$451),0),
IF('TL19'!$B$3=O$3,SUMIF('TL19'!$C$10:$C$224,$C332,'TL19'!$J$10:$J$224),0),
IF('TL19'!$B$229=O$3,SUMIF('TL19'!$C$238:$C$451,$C332,'TL19'!$J$238:$J$451),0)
),0)</f>
        <v/>
      </c>
      <c r="P332" s="9">
        <f>IFERROR(SUM(
IF('TL01'!$B$3=P$3,SUMIF('TL01'!$C$10:$C$224,$C332,'TL01'!$J$10:$J$224),0),
IF('TL01'!$B$229=P$3,SUMIF('TL01'!$C$238:$C$451,$C332,'TL01'!$J$238:$J$451),0),
IF('TL02'!$B$3=P$3,SUMIF('TL02'!$C$10:$C$224,$C332,'TL02'!$J$10:$J$224),0),
IF('TL02'!$B$229=P$3,SUMIF('TL02'!$C$238:$C$451,$C332,'TL02'!$J$238:$J$451),0),
IF('TL03'!$B$3=P$3,SUMIF('TL03'!$C$10:$C$224,$C332,'TL03'!$J$10:$J$224),0),
IF('TL03'!$B$229=P$3,SUMIF('TL03'!$C$238:$C$451,$C332,'TL03'!$J$238:$J$451),0),
IF('TL04'!$B$3=P$3,SUMIF('TL04'!$C$10:$C$224,$C332,'TL04'!$J$10:$J$224),0),
IF('TL04'!$B$229=P$3,SUMIF('TL04'!$C$238:$C$451,$C332,'TL04'!$J$238:$J$451),0),
IF('TL05'!$B$3=P$3,SUMIF('TL05'!$C$10:$C$224,$C332,'TL05'!$J$10:$J$224),0),
IF('TL05'!$B$229=P$3,SUMIF('TL05'!$C$238:$C$451,$C332,'TL05'!$J$238:$J$451),0),
IF('TL06'!$B$3=P$3,SUMIF('TL06'!$C$10:$C$224,$C332,'TL06'!$J$10:$J$224),0),
IF('TL06'!$B$229=P$3,SUMIF('TL06'!$C$238:$C$451,$C332,'TL06'!$J$238:$J$451),0),
IF('TL07'!$B$3=P$3,SUMIF('TL07'!$C$10:$C$224,$C332,'TL07'!$J$10:$J$224),0),
IF('TL07'!$B$229=P$3,SUMIF('TL07'!$C$238:$C$451,$C332,'TL07'!$J$238:$J$451),0),
IF('TL08'!$B$3=P$3,SUMIF('TL08'!$C$10:$C$224,$C332,'TL08'!$J$10:$J$224),0),
IF('TL08'!$B$229=P$3,SUMIF('TL08'!$C$238:$C$451,$C332,'TL08'!$J$238:$J$451),0),
IF('TL09'!$B$3=P$3,SUMIF('TL09'!$C$10:$C$224,$C332,'TL09'!$J$10:$J$224),0),
IF('TL09'!$B$229=P$3,SUMIF('TL09'!$C$238:$C$451,$C332,'TL09'!$J$238:$J$451),0),
IF('TL10'!$B$3=P$3,SUMIF('TL10'!$C$10:$C$224,$C332,'TL10'!$J$10:$J$224),0),
IF('TL10'!$B$229=P$3,SUMIF('TL10'!$C$238:$C$451,$C332,'TL10'!$J$238:$J$451),0),
IF('TL11'!$B$3=P$3,SUMIF('TL11'!$C$10:$C$224,$C332,'TL11'!$J$10:$J$224),0),
IF('TL11'!$B$229=P$3,SUMIF('TL11'!$C$238:$C$451,$C332,'TL11'!$J$238:$J$451),0),
IF('TL12'!$B$3=P$3,SUMIF('TL12'!$C$10:$C$224,$C332,'TL12'!$J$10:$J$224),0),
IF('TL12'!$B$229=P$3,SUMIF('TL12'!$C$238:$C$451,$C332,'TL12'!$J$238:$J$451),0),
IF('TL13'!$B$3=P$3,SUMIF('TL13'!$C$10:$C$224,$C332,'TL13'!$J$10:$J$224),0),
IF('TL13'!$B$229=P$3,SUMIF('TL13'!$C$238:$C$451,$C332,'TL13'!$J$238:$J$451),0),
IF('TL14'!$B$3=P$3,SUMIF('TL14'!$C$10:$C$224,$C332,'TL14'!$J$10:$J$224),0),
IF('TL14'!$B$229=P$3,SUMIF('TL14'!$C$238:$C$451,$C332,'TL14'!$J$238:$J$451),0),
IF('TL15'!$B$3=P$3,SUMIF('TL15'!$C$10:$C$224,$C332,'TL15'!$J$10:$J$224),0),
IF('TL15'!$B$229=P$3,SUMIF('TL15'!$C$238:$C$451,$C332,'TL15'!$J$238:$J$451),0),
IF('TL16'!$B$3=P$3,SUMIF('TL16'!$C$10:$C$224,$C332,'TL16'!$J$10:$J$224),0),
IF('TL16'!$B$229=P$3,SUMIF('TL16'!$C$238:$C$451,$C332,'TL16'!$J$238:$J$451),0),
IF('TL17'!$B$3=P$3,SUMIF('TL17'!$C$10:$C$224,$C332,'TL17'!$J$10:$J$224),0),
IF('TL17'!$B$229=P$3,SUMIF('TL17'!$C$238:$C$451,$C332,'TL17'!$J$238:$J$451),0),
IF('TL18'!$B$3=P$3,SUMIF('TL18'!$C$10:$C$224,$C332,'TL18'!$J$10:$J$224),0),
IF('TL18'!$B$229=P$3,SUMIF('TL18'!$C$238:$C$451,$C332,'TL18'!$J$238:$J$451),0),
IF('TL19'!$B$3=P$3,SUMIF('TL19'!$C$10:$C$224,$C332,'TL19'!$J$10:$J$224),0),
IF('TL19'!$B$229=P$3,SUMIF('TL19'!$C$238:$C$451,$C332,'TL19'!$J$238:$J$451),0)
),0)</f>
        <v/>
      </c>
      <c r="Q332" s="9">
        <f>IFERROR(SUM(
IF('TL01'!$B$3=Q$3,SUMIF('TL01'!$C$10:$C$224,$C332,'TL01'!$J$10:$J$224),0),
IF('TL01'!$B$229=Q$3,SUMIF('TL01'!$C$238:$C$451,$C332,'TL01'!$J$238:$J$451),0),
IF('TL02'!$B$3=Q$3,SUMIF('TL02'!$C$10:$C$224,$C332,'TL02'!$J$10:$J$224),0),
IF('TL02'!$B$229=Q$3,SUMIF('TL02'!$C$238:$C$451,$C332,'TL02'!$J$238:$J$451),0),
IF('TL03'!$B$3=Q$3,SUMIF('TL03'!$C$10:$C$224,$C332,'TL03'!$J$10:$J$224),0),
IF('TL03'!$B$229=Q$3,SUMIF('TL03'!$C$238:$C$451,$C332,'TL03'!$J$238:$J$451),0),
IF('TL04'!$B$3=Q$3,SUMIF('TL04'!$C$10:$C$224,$C332,'TL04'!$J$10:$J$224),0),
IF('TL04'!$B$229=Q$3,SUMIF('TL04'!$C$238:$C$451,$C332,'TL04'!$J$238:$J$451),0),
IF('TL05'!$B$3=Q$3,SUMIF('TL05'!$C$10:$C$224,$C332,'TL05'!$J$10:$J$224),0),
IF('TL05'!$B$229=Q$3,SUMIF('TL05'!$C$238:$C$451,$C332,'TL05'!$J$238:$J$451),0),
IF('TL06'!$B$3=Q$3,SUMIF('TL06'!$C$10:$C$224,$C332,'TL06'!$J$10:$J$224),0),
IF('TL06'!$B$229=Q$3,SUMIF('TL06'!$C$238:$C$451,$C332,'TL06'!$J$238:$J$451),0),
IF('TL07'!$B$3=Q$3,SUMIF('TL07'!$C$10:$C$224,$C332,'TL07'!$J$10:$J$224),0),
IF('TL07'!$B$229=Q$3,SUMIF('TL07'!$C$238:$C$451,$C332,'TL07'!$J$238:$J$451),0),
IF('TL08'!$B$3=Q$3,SUMIF('TL08'!$C$10:$C$224,$C332,'TL08'!$J$10:$J$224),0),
IF('TL08'!$B$229=Q$3,SUMIF('TL08'!$C$238:$C$451,$C332,'TL08'!$J$238:$J$451),0),
IF('TL09'!$B$3=Q$3,SUMIF('TL09'!$C$10:$C$224,$C332,'TL09'!$J$10:$J$224),0),
IF('TL09'!$B$229=Q$3,SUMIF('TL09'!$C$238:$C$451,$C332,'TL09'!$J$238:$J$451),0),
IF('TL10'!$B$3=Q$3,SUMIF('TL10'!$C$10:$C$224,$C332,'TL10'!$J$10:$J$224),0),
IF('TL10'!$B$229=Q$3,SUMIF('TL10'!$C$238:$C$451,$C332,'TL10'!$J$238:$J$451),0),
IF('TL11'!$B$3=Q$3,SUMIF('TL11'!$C$10:$C$224,$C332,'TL11'!$J$10:$J$224),0),
IF('TL11'!$B$229=Q$3,SUMIF('TL11'!$C$238:$C$451,$C332,'TL11'!$J$238:$J$451),0),
IF('TL12'!$B$3=Q$3,SUMIF('TL12'!$C$10:$C$224,$C332,'TL12'!$J$10:$J$224),0),
IF('TL12'!$B$229=Q$3,SUMIF('TL12'!$C$238:$C$451,$C332,'TL12'!$J$238:$J$451),0),
IF('TL13'!$B$3=Q$3,SUMIF('TL13'!$C$10:$C$224,$C332,'TL13'!$J$10:$J$224),0),
IF('TL13'!$B$229=Q$3,SUMIF('TL13'!$C$238:$C$451,$C332,'TL13'!$J$238:$J$451),0),
IF('TL14'!$B$3=Q$3,SUMIF('TL14'!$C$10:$C$224,$C332,'TL14'!$J$10:$J$224),0),
IF('TL14'!$B$229=Q$3,SUMIF('TL14'!$C$238:$C$451,$C332,'TL14'!$J$238:$J$451),0),
IF('TL15'!$B$3=Q$3,SUMIF('TL15'!$C$10:$C$224,$C332,'TL15'!$J$10:$J$224),0),
IF('TL15'!$B$229=Q$3,SUMIF('TL15'!$C$238:$C$451,$C332,'TL15'!$J$238:$J$451),0),
IF('TL16'!$B$3=Q$3,SUMIF('TL16'!$C$10:$C$224,$C332,'TL16'!$J$10:$J$224),0),
IF('TL16'!$B$229=Q$3,SUMIF('TL16'!$C$238:$C$451,$C332,'TL16'!$J$238:$J$451),0),
IF('TL17'!$B$3=Q$3,SUMIF('TL17'!$C$10:$C$224,$C332,'TL17'!$J$10:$J$224),0),
IF('TL17'!$B$229=Q$3,SUMIF('TL17'!$C$238:$C$451,$C332,'TL17'!$J$238:$J$451),0),
IF('TL18'!$B$3=Q$3,SUMIF('TL18'!$C$10:$C$224,$C332,'TL18'!$J$10:$J$224),0),
IF('TL18'!$B$229=Q$3,SUMIF('TL18'!$C$238:$C$451,$C332,'TL18'!$J$238:$J$451),0),
IF('TL19'!$B$3=Q$3,SUMIF('TL19'!$C$10:$C$224,$C332,'TL19'!$J$10:$J$224),0),
IF('TL19'!$B$229=Q$3,SUMIF('TL19'!$C$238:$C$451,$C332,'TL19'!$J$238:$J$451),0)
),0)</f>
        <v/>
      </c>
      <c r="R332" s="9">
        <f>IFERROR(
SUM(
SUMIF('TL01'!C:C,C332,'TL01'!J:J),
SUMIF('TL02'!C:C,C332,'TL02'!J:J),
SUMIF('TL03'!C:C,C332,'TL03'!J:J),
SUMIF('TL04'!C:C,C332,'TL04'!J:J),
SUMIF('TL05'!C:C,C332,'TL05'!J:J),
SUMIF('TL06'!C:C,C332,'TL06'!J:J),
SUMIF('TL07'!C:C,C332,'TL07'!J:J),
SUMIF('TL08'!C:C,C332,'TL08'!J:J),
SUMIF('TL09'!C:C,C332,'TL09'!J:J),
SUMIF('TL10'!C:C,C332,'TL10'!J:J),
SUMIF('TL11'!C:C,C332,'TL11'!J:J),
SUMIF('TL12'!C:C,C332,'TL12'!J:J),
SUMIF('TL13'!C:C,C332,'TL13'!J:J),
SUMIF('TL14'!C:C,C332,'TL14'!J:J),
SUMIF('TL15'!C:C,C332,'TL15'!J:J),
SUMIF('TL16'!C:C,C332,'TL16'!J:J),
SUMIF('TL17'!C:C,C332,'TL17'!J:J),
SUMIF('TL18'!C:C,C332,'TL18'!J:J),SUMIF('TL19'!C:C,C332,'TL19'!J:J))
,0)</f>
        <v/>
      </c>
      <c r="S332" s="17">
        <f>IFERROR(__xludf.DUMMYFUNCTION("IFERROR(VLOOKUP(C332,
IMPORTRANGE(""1wULbzX32WdYsx-lj2U3uUNBBe2INVIRDtcK0d-Dvl90"",
""26-27!C:G""),
5,
FALSE),
"""")"),"")</f>
        <v/>
      </c>
      <c r="T332" s="9" t="n"/>
      <c r="U332" s="92">
        <f>MAX(0,R332-T332)</f>
        <v/>
      </c>
      <c r="V332" s="93">
        <f>U332*S332</f>
        <v/>
      </c>
    </row>
    <row r="333" hidden="1" ht="15.75" customHeight="1" s="297">
      <c r="A333" s="4" t="n"/>
      <c r="B333" s="125" t="inlineStr">
        <is>
          <t>SEMENTE</t>
        </is>
      </c>
      <c r="C333" s="4" t="inlineStr">
        <is>
          <t>BRASMAX OLIMPO</t>
        </is>
      </c>
      <c r="D333" s="20" t="n"/>
      <c r="E333" s="9" t="n"/>
      <c r="F333" s="4" t="n"/>
      <c r="G333" s="90">
        <f>HYPERLINK("https://www.google.com/search?q=" &amp; C333 &amp; "+bula+agrofit+pdf", "📄 Ver bula")</f>
        <v/>
      </c>
      <c r="H333" s="9" t="n"/>
      <c r="I333" s="1" t="n"/>
      <c r="J333" s="9">
        <f>IFERROR(SUM(
IF('TL01'!$B$3=J$3,SUMIF('TL01'!$C$10:$C$224,$C333,'TL01'!$J$10:$J$224),0),
IF('TL01'!$B$229=J$3,SUMIF('TL01'!$C$238:$C$451,$C333,'TL01'!$J$238:$J$451),0),
IF('TL02'!$B$3=J$3,SUMIF('TL02'!$C$10:$C$224,$C333,'TL02'!$J$10:$J$224),0),
IF('TL02'!$B$229=J$3,SUMIF('TL02'!$C$238:$C$451,$C333,'TL02'!$J$238:$J$451),0),
IF('TL03'!$B$3=J$3,SUMIF('TL03'!$C$10:$C$224,$C333,'TL03'!$J$10:$J$224),0),
IF('TL03'!$B$229=J$3,SUMIF('TL03'!$C$238:$C$451,$C333,'TL03'!$J$238:$J$451),0),
IF('TL04'!$B$3=J$3,SUMIF('TL04'!$C$10:$C$224,$C333,'TL04'!$J$10:$J$224),0),
IF('TL04'!$B$229=J$3,SUMIF('TL04'!$C$238:$C$451,$C333,'TL04'!$J$238:$J$451),0),
IF('TL05'!$B$3=J$3,SUMIF('TL05'!$C$10:$C$224,$C333,'TL05'!$J$10:$J$224),0),
IF('TL05'!$B$229=J$3,SUMIF('TL05'!$C$238:$C$451,$C333,'TL05'!$J$238:$J$451),0),
IF('TL06'!$B$3=J$3,SUMIF('TL06'!$C$10:$C$224,$C333,'TL06'!$J$10:$J$224),0),
IF('TL06'!$B$229=J$3,SUMIF('TL06'!$C$238:$C$451,$C333,'TL06'!$J$238:$J$451),0),
IF('TL07'!$B$3=J$3,SUMIF('TL07'!$C$10:$C$224,$C333,'TL07'!$J$10:$J$224),0),
IF('TL07'!$B$229=J$3,SUMIF('TL07'!$C$238:$C$451,$C333,'TL07'!$J$238:$J$451),0),
IF('TL08'!$B$3=J$3,SUMIF('TL08'!$C$10:$C$224,$C333,'TL08'!$J$10:$J$224),0),
IF('TL08'!$B$229=J$3,SUMIF('TL08'!$C$238:$C$451,$C333,'TL08'!$J$238:$J$451),0),
IF('TL09'!$B$3=J$3,SUMIF('TL09'!$C$10:$C$224,$C333,'TL09'!$J$10:$J$224),0),
IF('TL09'!$B$229=J$3,SUMIF('TL09'!$C$238:$C$451,$C333,'TL09'!$J$238:$J$451),0),
IF('TL10'!$B$3=J$3,SUMIF('TL10'!$C$10:$C$224,$C333,'TL10'!$J$10:$J$224),0),
IF('TL10'!$B$229=J$3,SUMIF('TL10'!$C$238:$C$451,$C333,'TL10'!$J$238:$J$451),0),
IF('TL11'!$B$3=J$3,SUMIF('TL11'!$C$10:$C$224,$C333,'TL11'!$J$10:$J$224),0),
IF('TL11'!$B$229=J$3,SUMIF('TL11'!$C$238:$C$451,$C333,'TL11'!$J$238:$J$451),0),
IF('TL12'!$B$3=J$3,SUMIF('TL12'!$C$10:$C$224,$C333,'TL12'!$J$10:$J$224),0),
IF('TL12'!$B$229=J$3,SUMIF('TL12'!$C$238:$C$451,$C333,'TL12'!$J$238:$J$451),0),
IF('TL13'!$B$3=J$3,SUMIF('TL13'!$C$10:$C$224,$C333,'TL13'!$J$10:$J$224),0),
IF('TL13'!$B$229=J$3,SUMIF('TL13'!$C$238:$C$451,$C333,'TL13'!$J$238:$J$451),0),
IF('TL14'!$B$3=J$3,SUMIF('TL14'!$C$10:$C$224,$C333,'TL14'!$J$10:$J$224),0),
IF('TL14'!$B$229=J$3,SUMIF('TL14'!$C$238:$C$451,$C333,'TL14'!$J$238:$J$451),0),
IF('TL15'!$B$3=J$3,SUMIF('TL15'!$C$10:$C$224,$C333,'TL15'!$J$10:$J$224),0),
IF('TL15'!$B$229=J$3,SUMIF('TL15'!$C$238:$C$451,$C333,'TL15'!$J$238:$J$451),0),
IF('TL16'!$B$3=J$3,SUMIF('TL16'!$C$10:$C$224,$C333,'TL16'!$J$10:$J$224),0),
IF('TL16'!$B$229=J$3,SUMIF('TL16'!$C$238:$C$451,$C333,'TL16'!$J$238:$J$451),0),
IF('TL17'!$B$3=J$3,SUMIF('TL17'!$C$10:$C$224,$C333,'TL17'!$J$10:$J$224),0),
IF('TL17'!$B$229=J$3,SUMIF('TL17'!$C$238:$C$451,$C333,'TL17'!$J$238:$J$451),0),
IF('TL18'!$B$3=J$3,SUMIF('TL18'!$C$10:$C$224,$C333,'TL18'!$J$10:$J$224),0),
IF('TL18'!$B$229=J$3,SUMIF('TL18'!$C$238:$C$451,$C333,'TL18'!$J$238:$J$451),0),
IF('TL19'!$B$3=J$3,SUMIF('TL19'!$C$10:$C$224,$C333,'TL19'!$J$10:$J$224),0),
IF('TL19'!$B$229=J$3,SUMIF('TL19'!$C$238:$C$451,$C333,'TL19'!$J$238:$J$451),0)
),0)</f>
        <v/>
      </c>
      <c r="K333" s="9">
        <f>IFERROR(SUM(
IF('TL01'!$B$3=K$3,SUMIF('TL01'!$C$10:$C$224,$C333,'TL01'!$J$10:$J$224),0),
IF('TL01'!$B$229=K$3,SUMIF('TL01'!$C$238:$C$451,$C333,'TL01'!$J$238:$J$451),0),
IF('TL02'!$B$3=K$3,SUMIF('TL02'!$C$10:$C$224,$C333,'TL02'!$J$10:$J$224),0),
IF('TL02'!$B$229=K$3,SUMIF('TL02'!$C$238:$C$451,$C333,'TL02'!$J$238:$J$451),0),
IF('TL03'!$B$3=K$3,SUMIF('TL03'!$C$10:$C$224,$C333,'TL03'!$J$10:$J$224),0),
IF('TL03'!$B$229=K$3,SUMIF('TL03'!$C$238:$C$451,$C333,'TL03'!$J$238:$J$451),0),
IF('TL04'!$B$3=K$3,SUMIF('TL04'!$C$10:$C$224,$C333,'TL04'!$J$10:$J$224),0),
IF('TL04'!$B$229=K$3,SUMIF('TL04'!$C$238:$C$451,$C333,'TL04'!$J$238:$J$451),0),
IF('TL05'!$B$3=K$3,SUMIF('TL05'!$C$10:$C$224,$C333,'TL05'!$J$10:$J$224),0),
IF('TL05'!$B$229=K$3,SUMIF('TL05'!$C$238:$C$451,$C333,'TL05'!$J$238:$J$451),0),
IF('TL06'!$B$3=K$3,SUMIF('TL06'!$C$10:$C$224,$C333,'TL06'!$J$10:$J$224),0),
IF('TL06'!$B$229=K$3,SUMIF('TL06'!$C$238:$C$451,$C333,'TL06'!$J$238:$J$451),0),
IF('TL07'!$B$3=K$3,SUMIF('TL07'!$C$10:$C$224,$C333,'TL07'!$J$10:$J$224),0),
IF('TL07'!$B$229=K$3,SUMIF('TL07'!$C$238:$C$451,$C333,'TL07'!$J$238:$J$451),0),
IF('TL08'!$B$3=K$3,SUMIF('TL08'!$C$10:$C$224,$C333,'TL08'!$J$10:$J$224),0),
IF('TL08'!$B$229=K$3,SUMIF('TL08'!$C$238:$C$451,$C333,'TL08'!$J$238:$J$451),0),
IF('TL09'!$B$3=K$3,SUMIF('TL09'!$C$10:$C$224,$C333,'TL09'!$J$10:$J$224),0),
IF('TL09'!$B$229=K$3,SUMIF('TL09'!$C$238:$C$451,$C333,'TL09'!$J$238:$J$451),0),
IF('TL10'!$B$3=K$3,SUMIF('TL10'!$C$10:$C$224,$C333,'TL10'!$J$10:$J$224),0),
IF('TL10'!$B$229=K$3,SUMIF('TL10'!$C$238:$C$451,$C333,'TL10'!$J$238:$J$451),0),
IF('TL11'!$B$3=K$3,SUMIF('TL11'!$C$10:$C$224,$C333,'TL11'!$J$10:$J$224),0),
IF('TL11'!$B$229=K$3,SUMIF('TL11'!$C$238:$C$451,$C333,'TL11'!$J$238:$J$451),0),
IF('TL12'!$B$3=K$3,SUMIF('TL12'!$C$10:$C$224,$C333,'TL12'!$J$10:$J$224),0),
IF('TL12'!$B$229=K$3,SUMIF('TL12'!$C$238:$C$451,$C333,'TL12'!$J$238:$J$451),0),
IF('TL13'!$B$3=K$3,SUMIF('TL13'!$C$10:$C$224,$C333,'TL13'!$J$10:$J$224),0),
IF('TL13'!$B$229=K$3,SUMIF('TL13'!$C$238:$C$451,$C333,'TL13'!$J$238:$J$451),0),
IF('TL14'!$B$3=K$3,SUMIF('TL14'!$C$10:$C$224,$C333,'TL14'!$J$10:$J$224),0),
IF('TL14'!$B$229=K$3,SUMIF('TL14'!$C$238:$C$451,$C333,'TL14'!$J$238:$J$451),0),
IF('TL15'!$B$3=K$3,SUMIF('TL15'!$C$10:$C$224,$C333,'TL15'!$J$10:$J$224),0),
IF('TL15'!$B$229=K$3,SUMIF('TL15'!$C$238:$C$451,$C333,'TL15'!$J$238:$J$451),0),
IF('TL16'!$B$3=K$3,SUMIF('TL16'!$C$10:$C$224,$C333,'TL16'!$J$10:$J$224),0),
IF('TL16'!$B$229=K$3,SUMIF('TL16'!$C$238:$C$451,$C333,'TL16'!$J$238:$J$451),0),
IF('TL17'!$B$3=K$3,SUMIF('TL17'!$C$10:$C$224,$C333,'TL17'!$J$10:$J$224),0),
IF('TL17'!$B$229=K$3,SUMIF('TL17'!$C$238:$C$451,$C333,'TL17'!$J$238:$J$451),0),
IF('TL18'!$B$3=K$3,SUMIF('TL18'!$C$10:$C$224,$C333,'TL18'!$J$10:$J$224),0),
IF('TL18'!$B$229=K$3,SUMIF('TL18'!$C$238:$C$451,$C333,'TL18'!$J$238:$J$451),0),
IF('TL19'!$B$3=K$3,SUMIF('TL19'!$C$10:$C$224,$C333,'TL19'!$J$10:$J$224),0),
IF('TL19'!$B$229=K$3,SUMIF('TL19'!$C$238:$C$451,$C333,'TL19'!$J$238:$J$451),0)
),0)</f>
        <v/>
      </c>
      <c r="L333" s="9">
        <f>IFERROR(SUM(
IF('TL01'!$B$3=L$3,SUMIF('TL01'!$C$10:$C$224,$C333,'TL01'!$J$10:$J$224),0),
IF('TL01'!$B$229=L$3,SUMIF('TL01'!$C$238:$C$451,$C333,'TL01'!$J$238:$J$451),0),
IF('TL02'!$B$3=L$3,SUMIF('TL02'!$C$10:$C$224,$C333,'TL02'!$J$10:$J$224),0),
IF('TL02'!$B$229=L$3,SUMIF('TL02'!$C$238:$C$451,$C333,'TL02'!$J$238:$J$451),0),
IF('TL03'!$B$3=L$3,SUMIF('TL03'!$C$10:$C$224,$C333,'TL03'!$J$10:$J$224),0),
IF('TL03'!$B$229=L$3,SUMIF('TL03'!$C$238:$C$451,$C333,'TL03'!$J$238:$J$451),0),
IF('TL04'!$B$3=L$3,SUMIF('TL04'!$C$10:$C$224,$C333,'TL04'!$J$10:$J$224),0),
IF('TL04'!$B$229=L$3,SUMIF('TL04'!$C$238:$C$451,$C333,'TL04'!$J$238:$J$451),0),
IF('TL05'!$B$3=L$3,SUMIF('TL05'!$C$10:$C$224,$C333,'TL05'!$J$10:$J$224),0),
IF('TL05'!$B$229=L$3,SUMIF('TL05'!$C$238:$C$451,$C333,'TL05'!$J$238:$J$451),0),
IF('TL06'!$B$3=L$3,SUMIF('TL06'!$C$10:$C$224,$C333,'TL06'!$J$10:$J$224),0),
IF('TL06'!$B$229=L$3,SUMIF('TL06'!$C$238:$C$451,$C333,'TL06'!$J$238:$J$451),0),
IF('TL07'!$B$3=L$3,SUMIF('TL07'!$C$10:$C$224,$C333,'TL07'!$J$10:$J$224),0),
IF('TL07'!$B$229=L$3,SUMIF('TL07'!$C$238:$C$451,$C333,'TL07'!$J$238:$J$451),0),
IF('TL08'!$B$3=L$3,SUMIF('TL08'!$C$10:$C$224,$C333,'TL08'!$J$10:$J$224),0),
IF('TL08'!$B$229=L$3,SUMIF('TL08'!$C$238:$C$451,$C333,'TL08'!$J$238:$J$451),0),
IF('TL09'!$B$3=L$3,SUMIF('TL09'!$C$10:$C$224,$C333,'TL09'!$J$10:$J$224),0),
IF('TL09'!$B$229=L$3,SUMIF('TL09'!$C$238:$C$451,$C333,'TL09'!$J$238:$J$451),0),
IF('TL10'!$B$3=L$3,SUMIF('TL10'!$C$10:$C$224,$C333,'TL10'!$J$10:$J$224),0),
IF('TL10'!$B$229=L$3,SUMIF('TL10'!$C$238:$C$451,$C333,'TL10'!$J$238:$J$451),0),
IF('TL11'!$B$3=L$3,SUMIF('TL11'!$C$10:$C$224,$C333,'TL11'!$J$10:$J$224),0),
IF('TL11'!$B$229=L$3,SUMIF('TL11'!$C$238:$C$451,$C333,'TL11'!$J$238:$J$451),0),
IF('TL12'!$B$3=L$3,SUMIF('TL12'!$C$10:$C$224,$C333,'TL12'!$J$10:$J$224),0),
IF('TL12'!$B$229=L$3,SUMIF('TL12'!$C$238:$C$451,$C333,'TL12'!$J$238:$J$451),0),
IF('TL13'!$B$3=L$3,SUMIF('TL13'!$C$10:$C$224,$C333,'TL13'!$J$10:$J$224),0),
IF('TL13'!$B$229=L$3,SUMIF('TL13'!$C$238:$C$451,$C333,'TL13'!$J$238:$J$451),0),
IF('TL14'!$B$3=L$3,SUMIF('TL14'!$C$10:$C$224,$C333,'TL14'!$J$10:$J$224),0),
IF('TL14'!$B$229=L$3,SUMIF('TL14'!$C$238:$C$451,$C333,'TL14'!$J$238:$J$451),0),
IF('TL15'!$B$3=L$3,SUMIF('TL15'!$C$10:$C$224,$C333,'TL15'!$J$10:$J$224),0),
IF('TL15'!$B$229=L$3,SUMIF('TL15'!$C$238:$C$451,$C333,'TL15'!$J$238:$J$451),0),
IF('TL16'!$B$3=L$3,SUMIF('TL16'!$C$10:$C$224,$C333,'TL16'!$J$10:$J$224),0),
IF('TL16'!$B$229=L$3,SUMIF('TL16'!$C$238:$C$451,$C333,'TL16'!$J$238:$J$451),0),
IF('TL17'!$B$3=L$3,SUMIF('TL17'!$C$10:$C$224,$C333,'TL17'!$J$10:$J$224),0),
IF('TL17'!$B$229=L$3,SUMIF('TL17'!$C$238:$C$451,$C333,'TL17'!$J$238:$J$451),0),
IF('TL18'!$B$3=L$3,SUMIF('TL18'!$C$10:$C$224,$C333,'TL18'!$J$10:$J$224),0),
IF('TL18'!$B$229=L$3,SUMIF('TL18'!$C$238:$C$451,$C333,'TL18'!$J$238:$J$451),0),
IF('TL19'!$B$3=L$3,SUMIF('TL19'!$C$10:$C$224,$C333,'TL19'!$J$10:$J$224),0),
IF('TL19'!$B$229=L$3,SUMIF('TL19'!$C$238:$C$451,$C333,'TL19'!$J$238:$J$451),0)
),0)</f>
        <v/>
      </c>
      <c r="M333" s="9">
        <f>IFERROR(SUM(
IF('TL01'!$B$3=M$3,SUMIF('TL01'!$C$10:$C$224,$C333,'TL01'!$J$10:$J$224),0),
IF('TL01'!$B$229=M$3,SUMIF('TL01'!$C$238:$C$451,$C333,'TL01'!$J$238:$J$451),0),
IF('TL02'!$B$3=M$3,SUMIF('TL02'!$C$10:$C$224,$C333,'TL02'!$J$10:$J$224),0),
IF('TL02'!$B$229=M$3,SUMIF('TL02'!$C$238:$C$451,$C333,'TL02'!$J$238:$J$451),0),
IF('TL03'!$B$3=M$3,SUMIF('TL03'!$C$10:$C$224,$C333,'TL03'!$J$10:$J$224),0),
IF('TL03'!$B$229=M$3,SUMIF('TL03'!$C$238:$C$451,$C333,'TL03'!$J$238:$J$451),0),
IF('TL04'!$B$3=M$3,SUMIF('TL04'!$C$10:$C$224,$C333,'TL04'!$J$10:$J$224),0),
IF('TL04'!$B$229=M$3,SUMIF('TL04'!$C$238:$C$451,$C333,'TL04'!$J$238:$J$451),0),
IF('TL05'!$B$3=M$3,SUMIF('TL05'!$C$10:$C$224,$C333,'TL05'!$J$10:$J$224),0),
IF('TL05'!$B$229=M$3,SUMIF('TL05'!$C$238:$C$451,$C333,'TL05'!$J$238:$J$451),0),
IF('TL06'!$B$3=M$3,SUMIF('TL06'!$C$10:$C$224,$C333,'TL06'!$J$10:$J$224),0),
IF('TL06'!$B$229=M$3,SUMIF('TL06'!$C$238:$C$451,$C333,'TL06'!$J$238:$J$451),0),
IF('TL07'!$B$3=M$3,SUMIF('TL07'!$C$10:$C$224,$C333,'TL07'!$J$10:$J$224),0),
IF('TL07'!$B$229=M$3,SUMIF('TL07'!$C$238:$C$451,$C333,'TL07'!$J$238:$J$451),0),
IF('TL08'!$B$3=M$3,SUMIF('TL08'!$C$10:$C$224,$C333,'TL08'!$J$10:$J$224),0),
IF('TL08'!$B$229=M$3,SUMIF('TL08'!$C$238:$C$451,$C333,'TL08'!$J$238:$J$451),0),
IF('TL09'!$B$3=M$3,SUMIF('TL09'!$C$10:$C$224,$C333,'TL09'!$J$10:$J$224),0),
IF('TL09'!$B$229=M$3,SUMIF('TL09'!$C$238:$C$451,$C333,'TL09'!$J$238:$J$451),0),
IF('TL10'!$B$3=M$3,SUMIF('TL10'!$C$10:$C$224,$C333,'TL10'!$J$10:$J$224),0),
IF('TL10'!$B$229=M$3,SUMIF('TL10'!$C$238:$C$451,$C333,'TL10'!$J$238:$J$451),0),
IF('TL11'!$B$3=M$3,SUMIF('TL11'!$C$10:$C$224,$C333,'TL11'!$J$10:$J$224),0),
IF('TL11'!$B$229=M$3,SUMIF('TL11'!$C$238:$C$451,$C333,'TL11'!$J$238:$J$451),0),
IF('TL12'!$B$3=M$3,SUMIF('TL12'!$C$10:$C$224,$C333,'TL12'!$J$10:$J$224),0),
IF('TL12'!$B$229=M$3,SUMIF('TL12'!$C$238:$C$451,$C333,'TL12'!$J$238:$J$451),0),
IF('TL13'!$B$3=M$3,SUMIF('TL13'!$C$10:$C$224,$C333,'TL13'!$J$10:$J$224),0),
IF('TL13'!$B$229=M$3,SUMIF('TL13'!$C$238:$C$451,$C333,'TL13'!$J$238:$J$451),0),
IF('TL14'!$B$3=M$3,SUMIF('TL14'!$C$10:$C$224,$C333,'TL14'!$J$10:$J$224),0),
IF('TL14'!$B$229=M$3,SUMIF('TL14'!$C$238:$C$451,$C333,'TL14'!$J$238:$J$451),0),
IF('TL15'!$B$3=M$3,SUMIF('TL15'!$C$10:$C$224,$C333,'TL15'!$J$10:$J$224),0),
IF('TL15'!$B$229=M$3,SUMIF('TL15'!$C$238:$C$451,$C333,'TL15'!$J$238:$J$451),0),
IF('TL16'!$B$3=M$3,SUMIF('TL16'!$C$10:$C$224,$C333,'TL16'!$J$10:$J$224),0),
IF('TL16'!$B$229=M$3,SUMIF('TL16'!$C$238:$C$451,$C333,'TL16'!$J$238:$J$451),0),
IF('TL17'!$B$3=M$3,SUMIF('TL17'!$C$10:$C$224,$C333,'TL17'!$J$10:$J$224),0),
IF('TL17'!$B$229=M$3,SUMIF('TL17'!$C$238:$C$451,$C333,'TL17'!$J$238:$J$451),0),
IF('TL18'!$B$3=M$3,SUMIF('TL18'!$C$10:$C$224,$C333,'TL18'!$J$10:$J$224),0),
IF('TL18'!$B$229=M$3,SUMIF('TL18'!$C$238:$C$451,$C333,'TL18'!$J$238:$J$451),0),
IF('TL19'!$B$3=M$3,SUMIF('TL19'!$C$10:$C$224,$C333,'TL19'!$J$10:$J$224),0),
IF('TL19'!$B$229=M$3,SUMIF('TL19'!$C$238:$C$451,$C333,'TL19'!$J$238:$J$451),0)
),0)</f>
        <v/>
      </c>
      <c r="N333" s="9">
        <f>IFERROR(SUM(
IF('TL01'!$B$3=N$3,SUMIF('TL01'!$C$10:$C$224,$C333,'TL01'!$J$10:$J$224),0),
IF('TL01'!$B$229=N$3,SUMIF('TL01'!$C$238:$C$451,$C333,'TL01'!$J$238:$J$451),0),
IF('TL02'!$B$3=N$3,SUMIF('TL02'!$C$10:$C$224,$C333,'TL02'!$J$10:$J$224),0),
IF('TL02'!$B$229=N$3,SUMIF('TL02'!$C$238:$C$451,$C333,'TL02'!$J$238:$J$451),0),
IF('TL03'!$B$3=N$3,SUMIF('TL03'!$C$10:$C$224,$C333,'TL03'!$J$10:$J$224),0),
IF('TL03'!$B$229=N$3,SUMIF('TL03'!$C$238:$C$451,$C333,'TL03'!$J$238:$J$451),0),
IF('TL04'!$B$3=N$3,SUMIF('TL04'!$C$10:$C$224,$C333,'TL04'!$J$10:$J$224),0),
IF('TL04'!$B$229=N$3,SUMIF('TL04'!$C$238:$C$451,$C333,'TL04'!$J$238:$J$451),0),
IF('TL05'!$B$3=N$3,SUMIF('TL05'!$C$10:$C$224,$C333,'TL05'!$J$10:$J$224),0),
IF('TL05'!$B$229=N$3,SUMIF('TL05'!$C$238:$C$451,$C333,'TL05'!$J$238:$J$451),0),
IF('TL06'!$B$3=N$3,SUMIF('TL06'!$C$10:$C$224,$C333,'TL06'!$J$10:$J$224),0),
IF('TL06'!$B$229=N$3,SUMIF('TL06'!$C$238:$C$451,$C333,'TL06'!$J$238:$J$451),0),
IF('TL07'!$B$3=N$3,SUMIF('TL07'!$C$10:$C$224,$C333,'TL07'!$J$10:$J$224),0),
IF('TL07'!$B$229=N$3,SUMIF('TL07'!$C$238:$C$451,$C333,'TL07'!$J$238:$J$451),0),
IF('TL08'!$B$3=N$3,SUMIF('TL08'!$C$10:$C$224,$C333,'TL08'!$J$10:$J$224),0),
IF('TL08'!$B$229=N$3,SUMIF('TL08'!$C$238:$C$451,$C333,'TL08'!$J$238:$J$451),0),
IF('TL09'!$B$3=N$3,SUMIF('TL09'!$C$10:$C$224,$C333,'TL09'!$J$10:$J$224),0),
IF('TL09'!$B$229=N$3,SUMIF('TL09'!$C$238:$C$451,$C333,'TL09'!$J$238:$J$451),0),
IF('TL10'!$B$3=N$3,SUMIF('TL10'!$C$10:$C$224,$C333,'TL10'!$J$10:$J$224),0),
IF('TL10'!$B$229=N$3,SUMIF('TL10'!$C$238:$C$451,$C333,'TL10'!$J$238:$J$451),0),
IF('TL11'!$B$3=N$3,SUMIF('TL11'!$C$10:$C$224,$C333,'TL11'!$J$10:$J$224),0),
IF('TL11'!$B$229=N$3,SUMIF('TL11'!$C$238:$C$451,$C333,'TL11'!$J$238:$J$451),0),
IF('TL12'!$B$3=N$3,SUMIF('TL12'!$C$10:$C$224,$C333,'TL12'!$J$10:$J$224),0),
IF('TL12'!$B$229=N$3,SUMIF('TL12'!$C$238:$C$451,$C333,'TL12'!$J$238:$J$451),0),
IF('TL13'!$B$3=N$3,SUMIF('TL13'!$C$10:$C$224,$C333,'TL13'!$J$10:$J$224),0),
IF('TL13'!$B$229=N$3,SUMIF('TL13'!$C$238:$C$451,$C333,'TL13'!$J$238:$J$451),0),
IF('TL14'!$B$3=N$3,SUMIF('TL14'!$C$10:$C$224,$C333,'TL14'!$J$10:$J$224),0),
IF('TL14'!$B$229=N$3,SUMIF('TL14'!$C$238:$C$451,$C333,'TL14'!$J$238:$J$451),0),
IF('TL15'!$B$3=N$3,SUMIF('TL15'!$C$10:$C$224,$C333,'TL15'!$J$10:$J$224),0),
IF('TL15'!$B$229=N$3,SUMIF('TL15'!$C$238:$C$451,$C333,'TL15'!$J$238:$J$451),0),
IF('TL16'!$B$3=N$3,SUMIF('TL16'!$C$10:$C$224,$C333,'TL16'!$J$10:$J$224),0),
IF('TL16'!$B$229=N$3,SUMIF('TL16'!$C$238:$C$451,$C333,'TL16'!$J$238:$J$451),0),
IF('TL17'!$B$3=N$3,SUMIF('TL17'!$C$10:$C$224,$C333,'TL17'!$J$10:$J$224),0),
IF('TL17'!$B$229=N$3,SUMIF('TL17'!$C$238:$C$451,$C333,'TL17'!$J$238:$J$451),0),
IF('TL18'!$B$3=N$3,SUMIF('TL18'!$C$10:$C$224,$C333,'TL18'!$J$10:$J$224),0),
IF('TL18'!$B$229=N$3,SUMIF('TL18'!$C$238:$C$451,$C333,'TL18'!$J$238:$J$451),0),
IF('TL19'!$B$3=N$3,SUMIF('TL19'!$C$10:$C$224,$C333,'TL19'!$J$10:$J$224),0),
IF('TL19'!$B$229=N$3,SUMIF('TL19'!$C$238:$C$451,$C333,'TL19'!$J$238:$J$451),0)
),0)</f>
        <v/>
      </c>
      <c r="O333" s="9">
        <f>IFERROR(SUM(
IF('TL01'!$B$3=O$3,SUMIF('TL01'!$C$10:$C$224,$C333,'TL01'!$J$10:$J$224),0),
IF('TL01'!$B$229=O$3,SUMIF('TL01'!$C$238:$C$451,$C333,'TL01'!$J$238:$J$451),0),
IF('TL02'!$B$3=O$3,SUMIF('TL02'!$C$10:$C$224,$C333,'TL02'!$J$10:$J$224),0),
IF('TL02'!$B$229=O$3,SUMIF('TL02'!$C$238:$C$451,$C333,'TL02'!$J$238:$J$451),0),
IF('TL03'!$B$3=O$3,SUMIF('TL03'!$C$10:$C$224,$C333,'TL03'!$J$10:$J$224),0),
IF('TL03'!$B$229=O$3,SUMIF('TL03'!$C$238:$C$451,$C333,'TL03'!$J$238:$J$451),0),
IF('TL04'!$B$3=O$3,SUMIF('TL04'!$C$10:$C$224,$C333,'TL04'!$J$10:$J$224),0),
IF('TL04'!$B$229=O$3,SUMIF('TL04'!$C$238:$C$451,$C333,'TL04'!$J$238:$J$451),0),
IF('TL05'!$B$3=O$3,SUMIF('TL05'!$C$10:$C$224,$C333,'TL05'!$J$10:$J$224),0),
IF('TL05'!$B$229=O$3,SUMIF('TL05'!$C$238:$C$451,$C333,'TL05'!$J$238:$J$451),0),
IF('TL06'!$B$3=O$3,SUMIF('TL06'!$C$10:$C$224,$C333,'TL06'!$J$10:$J$224),0),
IF('TL06'!$B$229=O$3,SUMIF('TL06'!$C$238:$C$451,$C333,'TL06'!$J$238:$J$451),0),
IF('TL07'!$B$3=O$3,SUMIF('TL07'!$C$10:$C$224,$C333,'TL07'!$J$10:$J$224),0),
IF('TL07'!$B$229=O$3,SUMIF('TL07'!$C$238:$C$451,$C333,'TL07'!$J$238:$J$451),0),
IF('TL08'!$B$3=O$3,SUMIF('TL08'!$C$10:$C$224,$C333,'TL08'!$J$10:$J$224),0),
IF('TL08'!$B$229=O$3,SUMIF('TL08'!$C$238:$C$451,$C333,'TL08'!$J$238:$J$451),0),
IF('TL09'!$B$3=O$3,SUMIF('TL09'!$C$10:$C$224,$C333,'TL09'!$J$10:$J$224),0),
IF('TL09'!$B$229=O$3,SUMIF('TL09'!$C$238:$C$451,$C333,'TL09'!$J$238:$J$451),0),
IF('TL10'!$B$3=O$3,SUMIF('TL10'!$C$10:$C$224,$C333,'TL10'!$J$10:$J$224),0),
IF('TL10'!$B$229=O$3,SUMIF('TL10'!$C$238:$C$451,$C333,'TL10'!$J$238:$J$451),0),
IF('TL11'!$B$3=O$3,SUMIF('TL11'!$C$10:$C$224,$C333,'TL11'!$J$10:$J$224),0),
IF('TL11'!$B$229=O$3,SUMIF('TL11'!$C$238:$C$451,$C333,'TL11'!$J$238:$J$451),0),
IF('TL12'!$B$3=O$3,SUMIF('TL12'!$C$10:$C$224,$C333,'TL12'!$J$10:$J$224),0),
IF('TL12'!$B$229=O$3,SUMIF('TL12'!$C$238:$C$451,$C333,'TL12'!$J$238:$J$451),0),
IF('TL13'!$B$3=O$3,SUMIF('TL13'!$C$10:$C$224,$C333,'TL13'!$J$10:$J$224),0),
IF('TL13'!$B$229=O$3,SUMIF('TL13'!$C$238:$C$451,$C333,'TL13'!$J$238:$J$451),0),
IF('TL14'!$B$3=O$3,SUMIF('TL14'!$C$10:$C$224,$C333,'TL14'!$J$10:$J$224),0),
IF('TL14'!$B$229=O$3,SUMIF('TL14'!$C$238:$C$451,$C333,'TL14'!$J$238:$J$451),0),
IF('TL15'!$B$3=O$3,SUMIF('TL15'!$C$10:$C$224,$C333,'TL15'!$J$10:$J$224),0),
IF('TL15'!$B$229=O$3,SUMIF('TL15'!$C$238:$C$451,$C333,'TL15'!$J$238:$J$451),0),
IF('TL16'!$B$3=O$3,SUMIF('TL16'!$C$10:$C$224,$C333,'TL16'!$J$10:$J$224),0),
IF('TL16'!$B$229=O$3,SUMIF('TL16'!$C$238:$C$451,$C333,'TL16'!$J$238:$J$451),0),
IF('TL17'!$B$3=O$3,SUMIF('TL17'!$C$10:$C$224,$C333,'TL17'!$J$10:$J$224),0),
IF('TL17'!$B$229=O$3,SUMIF('TL17'!$C$238:$C$451,$C333,'TL17'!$J$238:$J$451),0),
IF('TL18'!$B$3=O$3,SUMIF('TL18'!$C$10:$C$224,$C333,'TL18'!$J$10:$J$224),0),
IF('TL18'!$B$229=O$3,SUMIF('TL18'!$C$238:$C$451,$C333,'TL18'!$J$238:$J$451),0),
IF('TL19'!$B$3=O$3,SUMIF('TL19'!$C$10:$C$224,$C333,'TL19'!$J$10:$J$224),0),
IF('TL19'!$B$229=O$3,SUMIF('TL19'!$C$238:$C$451,$C333,'TL19'!$J$238:$J$451),0)
),0)</f>
        <v/>
      </c>
      <c r="P333" s="9">
        <f>IFERROR(SUM(
IF('TL01'!$B$3=P$3,SUMIF('TL01'!$C$10:$C$224,$C333,'TL01'!$J$10:$J$224),0),
IF('TL01'!$B$229=P$3,SUMIF('TL01'!$C$238:$C$451,$C333,'TL01'!$J$238:$J$451),0),
IF('TL02'!$B$3=P$3,SUMIF('TL02'!$C$10:$C$224,$C333,'TL02'!$J$10:$J$224),0),
IF('TL02'!$B$229=P$3,SUMIF('TL02'!$C$238:$C$451,$C333,'TL02'!$J$238:$J$451),0),
IF('TL03'!$B$3=P$3,SUMIF('TL03'!$C$10:$C$224,$C333,'TL03'!$J$10:$J$224),0),
IF('TL03'!$B$229=P$3,SUMIF('TL03'!$C$238:$C$451,$C333,'TL03'!$J$238:$J$451),0),
IF('TL04'!$B$3=P$3,SUMIF('TL04'!$C$10:$C$224,$C333,'TL04'!$J$10:$J$224),0),
IF('TL04'!$B$229=P$3,SUMIF('TL04'!$C$238:$C$451,$C333,'TL04'!$J$238:$J$451),0),
IF('TL05'!$B$3=P$3,SUMIF('TL05'!$C$10:$C$224,$C333,'TL05'!$J$10:$J$224),0),
IF('TL05'!$B$229=P$3,SUMIF('TL05'!$C$238:$C$451,$C333,'TL05'!$J$238:$J$451),0),
IF('TL06'!$B$3=P$3,SUMIF('TL06'!$C$10:$C$224,$C333,'TL06'!$J$10:$J$224),0),
IF('TL06'!$B$229=P$3,SUMIF('TL06'!$C$238:$C$451,$C333,'TL06'!$J$238:$J$451),0),
IF('TL07'!$B$3=P$3,SUMIF('TL07'!$C$10:$C$224,$C333,'TL07'!$J$10:$J$224),0),
IF('TL07'!$B$229=P$3,SUMIF('TL07'!$C$238:$C$451,$C333,'TL07'!$J$238:$J$451),0),
IF('TL08'!$B$3=P$3,SUMIF('TL08'!$C$10:$C$224,$C333,'TL08'!$J$10:$J$224),0),
IF('TL08'!$B$229=P$3,SUMIF('TL08'!$C$238:$C$451,$C333,'TL08'!$J$238:$J$451),0),
IF('TL09'!$B$3=P$3,SUMIF('TL09'!$C$10:$C$224,$C333,'TL09'!$J$10:$J$224),0),
IF('TL09'!$B$229=P$3,SUMIF('TL09'!$C$238:$C$451,$C333,'TL09'!$J$238:$J$451),0),
IF('TL10'!$B$3=P$3,SUMIF('TL10'!$C$10:$C$224,$C333,'TL10'!$J$10:$J$224),0),
IF('TL10'!$B$229=P$3,SUMIF('TL10'!$C$238:$C$451,$C333,'TL10'!$J$238:$J$451),0),
IF('TL11'!$B$3=P$3,SUMIF('TL11'!$C$10:$C$224,$C333,'TL11'!$J$10:$J$224),0),
IF('TL11'!$B$229=P$3,SUMIF('TL11'!$C$238:$C$451,$C333,'TL11'!$J$238:$J$451),0),
IF('TL12'!$B$3=P$3,SUMIF('TL12'!$C$10:$C$224,$C333,'TL12'!$J$10:$J$224),0),
IF('TL12'!$B$229=P$3,SUMIF('TL12'!$C$238:$C$451,$C333,'TL12'!$J$238:$J$451),0),
IF('TL13'!$B$3=P$3,SUMIF('TL13'!$C$10:$C$224,$C333,'TL13'!$J$10:$J$224),0),
IF('TL13'!$B$229=P$3,SUMIF('TL13'!$C$238:$C$451,$C333,'TL13'!$J$238:$J$451),0),
IF('TL14'!$B$3=P$3,SUMIF('TL14'!$C$10:$C$224,$C333,'TL14'!$J$10:$J$224),0),
IF('TL14'!$B$229=P$3,SUMIF('TL14'!$C$238:$C$451,$C333,'TL14'!$J$238:$J$451),0),
IF('TL15'!$B$3=P$3,SUMIF('TL15'!$C$10:$C$224,$C333,'TL15'!$J$10:$J$224),0),
IF('TL15'!$B$229=P$3,SUMIF('TL15'!$C$238:$C$451,$C333,'TL15'!$J$238:$J$451),0),
IF('TL16'!$B$3=P$3,SUMIF('TL16'!$C$10:$C$224,$C333,'TL16'!$J$10:$J$224),0),
IF('TL16'!$B$229=P$3,SUMIF('TL16'!$C$238:$C$451,$C333,'TL16'!$J$238:$J$451),0),
IF('TL17'!$B$3=P$3,SUMIF('TL17'!$C$10:$C$224,$C333,'TL17'!$J$10:$J$224),0),
IF('TL17'!$B$229=P$3,SUMIF('TL17'!$C$238:$C$451,$C333,'TL17'!$J$238:$J$451),0),
IF('TL18'!$B$3=P$3,SUMIF('TL18'!$C$10:$C$224,$C333,'TL18'!$J$10:$J$224),0),
IF('TL18'!$B$229=P$3,SUMIF('TL18'!$C$238:$C$451,$C333,'TL18'!$J$238:$J$451),0),
IF('TL19'!$B$3=P$3,SUMIF('TL19'!$C$10:$C$224,$C333,'TL19'!$J$10:$J$224),0),
IF('TL19'!$B$229=P$3,SUMIF('TL19'!$C$238:$C$451,$C333,'TL19'!$J$238:$J$451),0)
),0)</f>
        <v/>
      </c>
      <c r="Q333" s="9">
        <f>IFERROR(SUM(
IF('TL01'!$B$3=Q$3,SUMIF('TL01'!$C$10:$C$224,$C333,'TL01'!$J$10:$J$224),0),
IF('TL01'!$B$229=Q$3,SUMIF('TL01'!$C$238:$C$451,$C333,'TL01'!$J$238:$J$451),0),
IF('TL02'!$B$3=Q$3,SUMIF('TL02'!$C$10:$C$224,$C333,'TL02'!$J$10:$J$224),0),
IF('TL02'!$B$229=Q$3,SUMIF('TL02'!$C$238:$C$451,$C333,'TL02'!$J$238:$J$451),0),
IF('TL03'!$B$3=Q$3,SUMIF('TL03'!$C$10:$C$224,$C333,'TL03'!$J$10:$J$224),0),
IF('TL03'!$B$229=Q$3,SUMIF('TL03'!$C$238:$C$451,$C333,'TL03'!$J$238:$J$451),0),
IF('TL04'!$B$3=Q$3,SUMIF('TL04'!$C$10:$C$224,$C333,'TL04'!$J$10:$J$224),0),
IF('TL04'!$B$229=Q$3,SUMIF('TL04'!$C$238:$C$451,$C333,'TL04'!$J$238:$J$451),0),
IF('TL05'!$B$3=Q$3,SUMIF('TL05'!$C$10:$C$224,$C333,'TL05'!$J$10:$J$224),0),
IF('TL05'!$B$229=Q$3,SUMIF('TL05'!$C$238:$C$451,$C333,'TL05'!$J$238:$J$451),0),
IF('TL06'!$B$3=Q$3,SUMIF('TL06'!$C$10:$C$224,$C333,'TL06'!$J$10:$J$224),0),
IF('TL06'!$B$229=Q$3,SUMIF('TL06'!$C$238:$C$451,$C333,'TL06'!$J$238:$J$451),0),
IF('TL07'!$B$3=Q$3,SUMIF('TL07'!$C$10:$C$224,$C333,'TL07'!$J$10:$J$224),0),
IF('TL07'!$B$229=Q$3,SUMIF('TL07'!$C$238:$C$451,$C333,'TL07'!$J$238:$J$451),0),
IF('TL08'!$B$3=Q$3,SUMIF('TL08'!$C$10:$C$224,$C333,'TL08'!$J$10:$J$224),0),
IF('TL08'!$B$229=Q$3,SUMIF('TL08'!$C$238:$C$451,$C333,'TL08'!$J$238:$J$451),0),
IF('TL09'!$B$3=Q$3,SUMIF('TL09'!$C$10:$C$224,$C333,'TL09'!$J$10:$J$224),0),
IF('TL09'!$B$229=Q$3,SUMIF('TL09'!$C$238:$C$451,$C333,'TL09'!$J$238:$J$451),0),
IF('TL10'!$B$3=Q$3,SUMIF('TL10'!$C$10:$C$224,$C333,'TL10'!$J$10:$J$224),0),
IF('TL10'!$B$229=Q$3,SUMIF('TL10'!$C$238:$C$451,$C333,'TL10'!$J$238:$J$451),0),
IF('TL11'!$B$3=Q$3,SUMIF('TL11'!$C$10:$C$224,$C333,'TL11'!$J$10:$J$224),0),
IF('TL11'!$B$229=Q$3,SUMIF('TL11'!$C$238:$C$451,$C333,'TL11'!$J$238:$J$451),0),
IF('TL12'!$B$3=Q$3,SUMIF('TL12'!$C$10:$C$224,$C333,'TL12'!$J$10:$J$224),0),
IF('TL12'!$B$229=Q$3,SUMIF('TL12'!$C$238:$C$451,$C333,'TL12'!$J$238:$J$451),0),
IF('TL13'!$B$3=Q$3,SUMIF('TL13'!$C$10:$C$224,$C333,'TL13'!$J$10:$J$224),0),
IF('TL13'!$B$229=Q$3,SUMIF('TL13'!$C$238:$C$451,$C333,'TL13'!$J$238:$J$451),0),
IF('TL14'!$B$3=Q$3,SUMIF('TL14'!$C$10:$C$224,$C333,'TL14'!$J$10:$J$224),0),
IF('TL14'!$B$229=Q$3,SUMIF('TL14'!$C$238:$C$451,$C333,'TL14'!$J$238:$J$451),0),
IF('TL15'!$B$3=Q$3,SUMIF('TL15'!$C$10:$C$224,$C333,'TL15'!$J$10:$J$224),0),
IF('TL15'!$B$229=Q$3,SUMIF('TL15'!$C$238:$C$451,$C333,'TL15'!$J$238:$J$451),0),
IF('TL16'!$B$3=Q$3,SUMIF('TL16'!$C$10:$C$224,$C333,'TL16'!$J$10:$J$224),0),
IF('TL16'!$B$229=Q$3,SUMIF('TL16'!$C$238:$C$451,$C333,'TL16'!$J$238:$J$451),0),
IF('TL17'!$B$3=Q$3,SUMIF('TL17'!$C$10:$C$224,$C333,'TL17'!$J$10:$J$224),0),
IF('TL17'!$B$229=Q$3,SUMIF('TL17'!$C$238:$C$451,$C333,'TL17'!$J$238:$J$451),0),
IF('TL18'!$B$3=Q$3,SUMIF('TL18'!$C$10:$C$224,$C333,'TL18'!$J$10:$J$224),0),
IF('TL18'!$B$229=Q$3,SUMIF('TL18'!$C$238:$C$451,$C333,'TL18'!$J$238:$J$451),0),
IF('TL19'!$B$3=Q$3,SUMIF('TL19'!$C$10:$C$224,$C333,'TL19'!$J$10:$J$224),0),
IF('TL19'!$B$229=Q$3,SUMIF('TL19'!$C$238:$C$451,$C333,'TL19'!$J$238:$J$451),0)
),0)</f>
        <v/>
      </c>
      <c r="R333" s="9">
        <f>IFERROR(
SUM(
SUMIF('TL01'!C:C,C333,'TL01'!J:J),
SUMIF('TL02'!C:C,C333,'TL02'!J:J),
SUMIF('TL03'!C:C,C333,'TL03'!J:J),
SUMIF('TL04'!C:C,C333,'TL04'!J:J),
SUMIF('TL05'!C:C,C333,'TL05'!J:J),
SUMIF('TL06'!C:C,C333,'TL06'!J:J),
SUMIF('TL07'!C:C,C333,'TL07'!J:J),
SUMIF('TL08'!C:C,C333,'TL08'!J:J),
SUMIF('TL09'!C:C,C333,'TL09'!J:J),
SUMIF('TL10'!C:C,C333,'TL10'!J:J),
SUMIF('TL11'!C:C,C333,'TL11'!J:J),
SUMIF('TL12'!C:C,C333,'TL12'!J:J),
SUMIF('TL13'!C:C,C333,'TL13'!J:J),
SUMIF('TL14'!C:C,C333,'TL14'!J:J),
SUMIF('TL15'!C:C,C333,'TL15'!J:J),
SUMIF('TL16'!C:C,C333,'TL16'!J:J),
SUMIF('TL17'!C:C,C333,'TL17'!J:J),
SUMIF('TL18'!C:C,C333,'TL18'!J:J),SUMIF('TL19'!C:C,C333,'TL19'!J:J))
,0)</f>
        <v/>
      </c>
      <c r="S333" s="17">
        <f>IFERROR(__xludf.DUMMYFUNCTION("IFERROR(VLOOKUP(C333,
IMPORTRANGE(""1wULbzX32WdYsx-lj2U3uUNBBe2INVIRDtcK0d-Dvl90"",
""26-27!C:G""),
5,
FALSE),
"""")"),"")</f>
        <v/>
      </c>
      <c r="T333" s="9" t="n"/>
      <c r="U333" s="92">
        <f>MAX(0,R333-T333)</f>
        <v/>
      </c>
      <c r="V333" s="93">
        <f>U333*S333</f>
        <v/>
      </c>
    </row>
    <row r="334" hidden="1" ht="15.75" customHeight="1" s="297">
      <c r="A334" s="4" t="n"/>
      <c r="B334" s="125" t="inlineStr">
        <is>
          <t>SEMENTE</t>
        </is>
      </c>
      <c r="C334" s="4" t="inlineStr">
        <is>
          <t>S6525 I2X</t>
        </is>
      </c>
      <c r="D334" s="20" t="n"/>
      <c r="E334" s="9" t="n"/>
      <c r="F334" s="4" t="n"/>
      <c r="G334" s="90">
        <f>HYPERLINK("https://www.google.com/search?q=" &amp; C334 &amp; "+bula+agrofit+pdf", "📄 Ver bula")</f>
        <v/>
      </c>
      <c r="H334" s="9" t="n"/>
      <c r="I334" s="1" t="n"/>
      <c r="J334" s="9">
        <f>IFERROR(SUM(
IF('TL01'!$B$3=J$3,SUMIF('TL01'!$C$10:$C$224,$C334,'TL01'!$J$10:$J$224),0),
IF('TL01'!$B$229=J$3,SUMIF('TL01'!$C$238:$C$451,$C334,'TL01'!$J$238:$J$451),0),
IF('TL02'!$B$3=J$3,SUMIF('TL02'!$C$10:$C$224,$C334,'TL02'!$J$10:$J$224),0),
IF('TL02'!$B$229=J$3,SUMIF('TL02'!$C$238:$C$451,$C334,'TL02'!$J$238:$J$451),0),
IF('TL03'!$B$3=J$3,SUMIF('TL03'!$C$10:$C$224,$C334,'TL03'!$J$10:$J$224),0),
IF('TL03'!$B$229=J$3,SUMIF('TL03'!$C$238:$C$451,$C334,'TL03'!$J$238:$J$451),0),
IF('TL04'!$B$3=J$3,SUMIF('TL04'!$C$10:$C$224,$C334,'TL04'!$J$10:$J$224),0),
IF('TL04'!$B$229=J$3,SUMIF('TL04'!$C$238:$C$451,$C334,'TL04'!$J$238:$J$451),0),
IF('TL05'!$B$3=J$3,SUMIF('TL05'!$C$10:$C$224,$C334,'TL05'!$J$10:$J$224),0),
IF('TL05'!$B$229=J$3,SUMIF('TL05'!$C$238:$C$451,$C334,'TL05'!$J$238:$J$451),0),
IF('TL06'!$B$3=J$3,SUMIF('TL06'!$C$10:$C$224,$C334,'TL06'!$J$10:$J$224),0),
IF('TL06'!$B$229=J$3,SUMIF('TL06'!$C$238:$C$451,$C334,'TL06'!$J$238:$J$451),0),
IF('TL07'!$B$3=J$3,SUMIF('TL07'!$C$10:$C$224,$C334,'TL07'!$J$10:$J$224),0),
IF('TL07'!$B$229=J$3,SUMIF('TL07'!$C$238:$C$451,$C334,'TL07'!$J$238:$J$451),0),
IF('TL08'!$B$3=J$3,SUMIF('TL08'!$C$10:$C$224,$C334,'TL08'!$J$10:$J$224),0),
IF('TL08'!$B$229=J$3,SUMIF('TL08'!$C$238:$C$451,$C334,'TL08'!$J$238:$J$451),0),
IF('TL09'!$B$3=J$3,SUMIF('TL09'!$C$10:$C$224,$C334,'TL09'!$J$10:$J$224),0),
IF('TL09'!$B$229=J$3,SUMIF('TL09'!$C$238:$C$451,$C334,'TL09'!$J$238:$J$451),0),
IF('TL10'!$B$3=J$3,SUMIF('TL10'!$C$10:$C$224,$C334,'TL10'!$J$10:$J$224),0),
IF('TL10'!$B$229=J$3,SUMIF('TL10'!$C$238:$C$451,$C334,'TL10'!$J$238:$J$451),0),
IF('TL11'!$B$3=J$3,SUMIF('TL11'!$C$10:$C$224,$C334,'TL11'!$J$10:$J$224),0),
IF('TL11'!$B$229=J$3,SUMIF('TL11'!$C$238:$C$451,$C334,'TL11'!$J$238:$J$451),0),
IF('TL12'!$B$3=J$3,SUMIF('TL12'!$C$10:$C$224,$C334,'TL12'!$J$10:$J$224),0),
IF('TL12'!$B$229=J$3,SUMIF('TL12'!$C$238:$C$451,$C334,'TL12'!$J$238:$J$451),0),
IF('TL13'!$B$3=J$3,SUMIF('TL13'!$C$10:$C$224,$C334,'TL13'!$J$10:$J$224),0),
IF('TL13'!$B$229=J$3,SUMIF('TL13'!$C$238:$C$451,$C334,'TL13'!$J$238:$J$451),0),
IF('TL14'!$B$3=J$3,SUMIF('TL14'!$C$10:$C$224,$C334,'TL14'!$J$10:$J$224),0),
IF('TL14'!$B$229=J$3,SUMIF('TL14'!$C$238:$C$451,$C334,'TL14'!$J$238:$J$451),0),
IF('TL15'!$B$3=J$3,SUMIF('TL15'!$C$10:$C$224,$C334,'TL15'!$J$10:$J$224),0),
IF('TL15'!$B$229=J$3,SUMIF('TL15'!$C$238:$C$451,$C334,'TL15'!$J$238:$J$451),0),
IF('TL16'!$B$3=J$3,SUMIF('TL16'!$C$10:$C$224,$C334,'TL16'!$J$10:$J$224),0),
IF('TL16'!$B$229=J$3,SUMIF('TL16'!$C$238:$C$451,$C334,'TL16'!$J$238:$J$451),0),
IF('TL17'!$B$3=J$3,SUMIF('TL17'!$C$10:$C$224,$C334,'TL17'!$J$10:$J$224),0),
IF('TL17'!$B$229=J$3,SUMIF('TL17'!$C$238:$C$451,$C334,'TL17'!$J$238:$J$451),0),
IF('TL18'!$B$3=J$3,SUMIF('TL18'!$C$10:$C$224,$C334,'TL18'!$J$10:$J$224),0),
IF('TL18'!$B$229=J$3,SUMIF('TL18'!$C$238:$C$451,$C334,'TL18'!$J$238:$J$451),0),
IF('TL19'!$B$3=J$3,SUMIF('TL19'!$C$10:$C$224,$C334,'TL19'!$J$10:$J$224),0),
IF('TL19'!$B$229=J$3,SUMIF('TL19'!$C$238:$C$451,$C334,'TL19'!$J$238:$J$451),0)
),0)</f>
        <v/>
      </c>
      <c r="K334" s="9">
        <f>IFERROR(SUM(
IF('TL01'!$B$3=K$3,SUMIF('TL01'!$C$10:$C$224,$C334,'TL01'!$J$10:$J$224),0),
IF('TL01'!$B$229=K$3,SUMIF('TL01'!$C$238:$C$451,$C334,'TL01'!$J$238:$J$451),0),
IF('TL02'!$B$3=K$3,SUMIF('TL02'!$C$10:$C$224,$C334,'TL02'!$J$10:$J$224),0),
IF('TL02'!$B$229=K$3,SUMIF('TL02'!$C$238:$C$451,$C334,'TL02'!$J$238:$J$451),0),
IF('TL03'!$B$3=K$3,SUMIF('TL03'!$C$10:$C$224,$C334,'TL03'!$J$10:$J$224),0),
IF('TL03'!$B$229=K$3,SUMIF('TL03'!$C$238:$C$451,$C334,'TL03'!$J$238:$J$451),0),
IF('TL04'!$B$3=K$3,SUMIF('TL04'!$C$10:$C$224,$C334,'TL04'!$J$10:$J$224),0),
IF('TL04'!$B$229=K$3,SUMIF('TL04'!$C$238:$C$451,$C334,'TL04'!$J$238:$J$451),0),
IF('TL05'!$B$3=K$3,SUMIF('TL05'!$C$10:$C$224,$C334,'TL05'!$J$10:$J$224),0),
IF('TL05'!$B$229=K$3,SUMIF('TL05'!$C$238:$C$451,$C334,'TL05'!$J$238:$J$451),0),
IF('TL06'!$B$3=K$3,SUMIF('TL06'!$C$10:$C$224,$C334,'TL06'!$J$10:$J$224),0),
IF('TL06'!$B$229=K$3,SUMIF('TL06'!$C$238:$C$451,$C334,'TL06'!$J$238:$J$451),0),
IF('TL07'!$B$3=K$3,SUMIF('TL07'!$C$10:$C$224,$C334,'TL07'!$J$10:$J$224),0),
IF('TL07'!$B$229=K$3,SUMIF('TL07'!$C$238:$C$451,$C334,'TL07'!$J$238:$J$451),0),
IF('TL08'!$B$3=K$3,SUMIF('TL08'!$C$10:$C$224,$C334,'TL08'!$J$10:$J$224),0),
IF('TL08'!$B$229=K$3,SUMIF('TL08'!$C$238:$C$451,$C334,'TL08'!$J$238:$J$451),0),
IF('TL09'!$B$3=K$3,SUMIF('TL09'!$C$10:$C$224,$C334,'TL09'!$J$10:$J$224),0),
IF('TL09'!$B$229=K$3,SUMIF('TL09'!$C$238:$C$451,$C334,'TL09'!$J$238:$J$451),0),
IF('TL10'!$B$3=K$3,SUMIF('TL10'!$C$10:$C$224,$C334,'TL10'!$J$10:$J$224),0),
IF('TL10'!$B$229=K$3,SUMIF('TL10'!$C$238:$C$451,$C334,'TL10'!$J$238:$J$451),0),
IF('TL11'!$B$3=K$3,SUMIF('TL11'!$C$10:$C$224,$C334,'TL11'!$J$10:$J$224),0),
IF('TL11'!$B$229=K$3,SUMIF('TL11'!$C$238:$C$451,$C334,'TL11'!$J$238:$J$451),0),
IF('TL12'!$B$3=K$3,SUMIF('TL12'!$C$10:$C$224,$C334,'TL12'!$J$10:$J$224),0),
IF('TL12'!$B$229=K$3,SUMIF('TL12'!$C$238:$C$451,$C334,'TL12'!$J$238:$J$451),0),
IF('TL13'!$B$3=K$3,SUMIF('TL13'!$C$10:$C$224,$C334,'TL13'!$J$10:$J$224),0),
IF('TL13'!$B$229=K$3,SUMIF('TL13'!$C$238:$C$451,$C334,'TL13'!$J$238:$J$451),0),
IF('TL14'!$B$3=K$3,SUMIF('TL14'!$C$10:$C$224,$C334,'TL14'!$J$10:$J$224),0),
IF('TL14'!$B$229=K$3,SUMIF('TL14'!$C$238:$C$451,$C334,'TL14'!$J$238:$J$451),0),
IF('TL15'!$B$3=K$3,SUMIF('TL15'!$C$10:$C$224,$C334,'TL15'!$J$10:$J$224),0),
IF('TL15'!$B$229=K$3,SUMIF('TL15'!$C$238:$C$451,$C334,'TL15'!$J$238:$J$451),0),
IF('TL16'!$B$3=K$3,SUMIF('TL16'!$C$10:$C$224,$C334,'TL16'!$J$10:$J$224),0),
IF('TL16'!$B$229=K$3,SUMIF('TL16'!$C$238:$C$451,$C334,'TL16'!$J$238:$J$451),0),
IF('TL17'!$B$3=K$3,SUMIF('TL17'!$C$10:$C$224,$C334,'TL17'!$J$10:$J$224),0),
IF('TL17'!$B$229=K$3,SUMIF('TL17'!$C$238:$C$451,$C334,'TL17'!$J$238:$J$451),0),
IF('TL18'!$B$3=K$3,SUMIF('TL18'!$C$10:$C$224,$C334,'TL18'!$J$10:$J$224),0),
IF('TL18'!$B$229=K$3,SUMIF('TL18'!$C$238:$C$451,$C334,'TL18'!$J$238:$J$451),0),
IF('TL19'!$B$3=K$3,SUMIF('TL19'!$C$10:$C$224,$C334,'TL19'!$J$10:$J$224),0),
IF('TL19'!$B$229=K$3,SUMIF('TL19'!$C$238:$C$451,$C334,'TL19'!$J$238:$J$451),0)
),0)</f>
        <v/>
      </c>
      <c r="L334" s="9">
        <f>IFERROR(SUM(
IF('TL01'!$B$3=L$3,SUMIF('TL01'!$C$10:$C$224,$C334,'TL01'!$J$10:$J$224),0),
IF('TL01'!$B$229=L$3,SUMIF('TL01'!$C$238:$C$451,$C334,'TL01'!$J$238:$J$451),0),
IF('TL02'!$B$3=L$3,SUMIF('TL02'!$C$10:$C$224,$C334,'TL02'!$J$10:$J$224),0),
IF('TL02'!$B$229=L$3,SUMIF('TL02'!$C$238:$C$451,$C334,'TL02'!$J$238:$J$451),0),
IF('TL03'!$B$3=L$3,SUMIF('TL03'!$C$10:$C$224,$C334,'TL03'!$J$10:$J$224),0),
IF('TL03'!$B$229=L$3,SUMIF('TL03'!$C$238:$C$451,$C334,'TL03'!$J$238:$J$451),0),
IF('TL04'!$B$3=L$3,SUMIF('TL04'!$C$10:$C$224,$C334,'TL04'!$J$10:$J$224),0),
IF('TL04'!$B$229=L$3,SUMIF('TL04'!$C$238:$C$451,$C334,'TL04'!$J$238:$J$451),0),
IF('TL05'!$B$3=L$3,SUMIF('TL05'!$C$10:$C$224,$C334,'TL05'!$J$10:$J$224),0),
IF('TL05'!$B$229=L$3,SUMIF('TL05'!$C$238:$C$451,$C334,'TL05'!$J$238:$J$451),0),
IF('TL06'!$B$3=L$3,SUMIF('TL06'!$C$10:$C$224,$C334,'TL06'!$J$10:$J$224),0),
IF('TL06'!$B$229=L$3,SUMIF('TL06'!$C$238:$C$451,$C334,'TL06'!$J$238:$J$451),0),
IF('TL07'!$B$3=L$3,SUMIF('TL07'!$C$10:$C$224,$C334,'TL07'!$J$10:$J$224),0),
IF('TL07'!$B$229=L$3,SUMIF('TL07'!$C$238:$C$451,$C334,'TL07'!$J$238:$J$451),0),
IF('TL08'!$B$3=L$3,SUMIF('TL08'!$C$10:$C$224,$C334,'TL08'!$J$10:$J$224),0),
IF('TL08'!$B$229=L$3,SUMIF('TL08'!$C$238:$C$451,$C334,'TL08'!$J$238:$J$451),0),
IF('TL09'!$B$3=L$3,SUMIF('TL09'!$C$10:$C$224,$C334,'TL09'!$J$10:$J$224),0),
IF('TL09'!$B$229=L$3,SUMIF('TL09'!$C$238:$C$451,$C334,'TL09'!$J$238:$J$451),0),
IF('TL10'!$B$3=L$3,SUMIF('TL10'!$C$10:$C$224,$C334,'TL10'!$J$10:$J$224),0),
IF('TL10'!$B$229=L$3,SUMIF('TL10'!$C$238:$C$451,$C334,'TL10'!$J$238:$J$451),0),
IF('TL11'!$B$3=L$3,SUMIF('TL11'!$C$10:$C$224,$C334,'TL11'!$J$10:$J$224),0),
IF('TL11'!$B$229=L$3,SUMIF('TL11'!$C$238:$C$451,$C334,'TL11'!$J$238:$J$451),0),
IF('TL12'!$B$3=L$3,SUMIF('TL12'!$C$10:$C$224,$C334,'TL12'!$J$10:$J$224),0),
IF('TL12'!$B$229=L$3,SUMIF('TL12'!$C$238:$C$451,$C334,'TL12'!$J$238:$J$451),0),
IF('TL13'!$B$3=L$3,SUMIF('TL13'!$C$10:$C$224,$C334,'TL13'!$J$10:$J$224),0),
IF('TL13'!$B$229=L$3,SUMIF('TL13'!$C$238:$C$451,$C334,'TL13'!$J$238:$J$451),0),
IF('TL14'!$B$3=L$3,SUMIF('TL14'!$C$10:$C$224,$C334,'TL14'!$J$10:$J$224),0),
IF('TL14'!$B$229=L$3,SUMIF('TL14'!$C$238:$C$451,$C334,'TL14'!$J$238:$J$451),0),
IF('TL15'!$B$3=L$3,SUMIF('TL15'!$C$10:$C$224,$C334,'TL15'!$J$10:$J$224),0),
IF('TL15'!$B$229=L$3,SUMIF('TL15'!$C$238:$C$451,$C334,'TL15'!$J$238:$J$451),0),
IF('TL16'!$B$3=L$3,SUMIF('TL16'!$C$10:$C$224,$C334,'TL16'!$J$10:$J$224),0),
IF('TL16'!$B$229=L$3,SUMIF('TL16'!$C$238:$C$451,$C334,'TL16'!$J$238:$J$451),0),
IF('TL17'!$B$3=L$3,SUMIF('TL17'!$C$10:$C$224,$C334,'TL17'!$J$10:$J$224),0),
IF('TL17'!$B$229=L$3,SUMIF('TL17'!$C$238:$C$451,$C334,'TL17'!$J$238:$J$451),0),
IF('TL18'!$B$3=L$3,SUMIF('TL18'!$C$10:$C$224,$C334,'TL18'!$J$10:$J$224),0),
IF('TL18'!$B$229=L$3,SUMIF('TL18'!$C$238:$C$451,$C334,'TL18'!$J$238:$J$451),0),
IF('TL19'!$B$3=L$3,SUMIF('TL19'!$C$10:$C$224,$C334,'TL19'!$J$10:$J$224),0),
IF('TL19'!$B$229=L$3,SUMIF('TL19'!$C$238:$C$451,$C334,'TL19'!$J$238:$J$451),0)
),0)</f>
        <v/>
      </c>
      <c r="M334" s="9">
        <f>IFERROR(SUM(
IF('TL01'!$B$3=M$3,SUMIF('TL01'!$C$10:$C$224,$C334,'TL01'!$J$10:$J$224),0),
IF('TL01'!$B$229=M$3,SUMIF('TL01'!$C$238:$C$451,$C334,'TL01'!$J$238:$J$451),0),
IF('TL02'!$B$3=M$3,SUMIF('TL02'!$C$10:$C$224,$C334,'TL02'!$J$10:$J$224),0),
IF('TL02'!$B$229=M$3,SUMIF('TL02'!$C$238:$C$451,$C334,'TL02'!$J$238:$J$451),0),
IF('TL03'!$B$3=M$3,SUMIF('TL03'!$C$10:$C$224,$C334,'TL03'!$J$10:$J$224),0),
IF('TL03'!$B$229=M$3,SUMIF('TL03'!$C$238:$C$451,$C334,'TL03'!$J$238:$J$451),0),
IF('TL04'!$B$3=M$3,SUMIF('TL04'!$C$10:$C$224,$C334,'TL04'!$J$10:$J$224),0),
IF('TL04'!$B$229=M$3,SUMIF('TL04'!$C$238:$C$451,$C334,'TL04'!$J$238:$J$451),0),
IF('TL05'!$B$3=M$3,SUMIF('TL05'!$C$10:$C$224,$C334,'TL05'!$J$10:$J$224),0),
IF('TL05'!$B$229=M$3,SUMIF('TL05'!$C$238:$C$451,$C334,'TL05'!$J$238:$J$451),0),
IF('TL06'!$B$3=M$3,SUMIF('TL06'!$C$10:$C$224,$C334,'TL06'!$J$10:$J$224),0),
IF('TL06'!$B$229=M$3,SUMIF('TL06'!$C$238:$C$451,$C334,'TL06'!$J$238:$J$451),0),
IF('TL07'!$B$3=M$3,SUMIF('TL07'!$C$10:$C$224,$C334,'TL07'!$J$10:$J$224),0),
IF('TL07'!$B$229=M$3,SUMIF('TL07'!$C$238:$C$451,$C334,'TL07'!$J$238:$J$451),0),
IF('TL08'!$B$3=M$3,SUMIF('TL08'!$C$10:$C$224,$C334,'TL08'!$J$10:$J$224),0),
IF('TL08'!$B$229=M$3,SUMIF('TL08'!$C$238:$C$451,$C334,'TL08'!$J$238:$J$451),0),
IF('TL09'!$B$3=M$3,SUMIF('TL09'!$C$10:$C$224,$C334,'TL09'!$J$10:$J$224),0),
IF('TL09'!$B$229=M$3,SUMIF('TL09'!$C$238:$C$451,$C334,'TL09'!$J$238:$J$451),0),
IF('TL10'!$B$3=M$3,SUMIF('TL10'!$C$10:$C$224,$C334,'TL10'!$J$10:$J$224),0),
IF('TL10'!$B$229=M$3,SUMIF('TL10'!$C$238:$C$451,$C334,'TL10'!$J$238:$J$451),0),
IF('TL11'!$B$3=M$3,SUMIF('TL11'!$C$10:$C$224,$C334,'TL11'!$J$10:$J$224),0),
IF('TL11'!$B$229=M$3,SUMIF('TL11'!$C$238:$C$451,$C334,'TL11'!$J$238:$J$451),0),
IF('TL12'!$B$3=M$3,SUMIF('TL12'!$C$10:$C$224,$C334,'TL12'!$J$10:$J$224),0),
IF('TL12'!$B$229=M$3,SUMIF('TL12'!$C$238:$C$451,$C334,'TL12'!$J$238:$J$451),0),
IF('TL13'!$B$3=M$3,SUMIF('TL13'!$C$10:$C$224,$C334,'TL13'!$J$10:$J$224),0),
IF('TL13'!$B$229=M$3,SUMIF('TL13'!$C$238:$C$451,$C334,'TL13'!$J$238:$J$451),0),
IF('TL14'!$B$3=M$3,SUMIF('TL14'!$C$10:$C$224,$C334,'TL14'!$J$10:$J$224),0),
IF('TL14'!$B$229=M$3,SUMIF('TL14'!$C$238:$C$451,$C334,'TL14'!$J$238:$J$451),0),
IF('TL15'!$B$3=M$3,SUMIF('TL15'!$C$10:$C$224,$C334,'TL15'!$J$10:$J$224),0),
IF('TL15'!$B$229=M$3,SUMIF('TL15'!$C$238:$C$451,$C334,'TL15'!$J$238:$J$451),0),
IF('TL16'!$B$3=M$3,SUMIF('TL16'!$C$10:$C$224,$C334,'TL16'!$J$10:$J$224),0),
IF('TL16'!$B$229=M$3,SUMIF('TL16'!$C$238:$C$451,$C334,'TL16'!$J$238:$J$451),0),
IF('TL17'!$B$3=M$3,SUMIF('TL17'!$C$10:$C$224,$C334,'TL17'!$J$10:$J$224),0),
IF('TL17'!$B$229=M$3,SUMIF('TL17'!$C$238:$C$451,$C334,'TL17'!$J$238:$J$451),0),
IF('TL18'!$B$3=M$3,SUMIF('TL18'!$C$10:$C$224,$C334,'TL18'!$J$10:$J$224),0),
IF('TL18'!$B$229=M$3,SUMIF('TL18'!$C$238:$C$451,$C334,'TL18'!$J$238:$J$451),0),
IF('TL19'!$B$3=M$3,SUMIF('TL19'!$C$10:$C$224,$C334,'TL19'!$J$10:$J$224),0),
IF('TL19'!$B$229=M$3,SUMIF('TL19'!$C$238:$C$451,$C334,'TL19'!$J$238:$J$451),0)
),0)</f>
        <v/>
      </c>
      <c r="N334" s="9">
        <f>IFERROR(SUM(
IF('TL01'!$B$3=N$3,SUMIF('TL01'!$C$10:$C$224,$C334,'TL01'!$J$10:$J$224),0),
IF('TL01'!$B$229=N$3,SUMIF('TL01'!$C$238:$C$451,$C334,'TL01'!$J$238:$J$451),0),
IF('TL02'!$B$3=N$3,SUMIF('TL02'!$C$10:$C$224,$C334,'TL02'!$J$10:$J$224),0),
IF('TL02'!$B$229=N$3,SUMIF('TL02'!$C$238:$C$451,$C334,'TL02'!$J$238:$J$451),0),
IF('TL03'!$B$3=N$3,SUMIF('TL03'!$C$10:$C$224,$C334,'TL03'!$J$10:$J$224),0),
IF('TL03'!$B$229=N$3,SUMIF('TL03'!$C$238:$C$451,$C334,'TL03'!$J$238:$J$451),0),
IF('TL04'!$B$3=N$3,SUMIF('TL04'!$C$10:$C$224,$C334,'TL04'!$J$10:$J$224),0),
IF('TL04'!$B$229=N$3,SUMIF('TL04'!$C$238:$C$451,$C334,'TL04'!$J$238:$J$451),0),
IF('TL05'!$B$3=N$3,SUMIF('TL05'!$C$10:$C$224,$C334,'TL05'!$J$10:$J$224),0),
IF('TL05'!$B$229=N$3,SUMIF('TL05'!$C$238:$C$451,$C334,'TL05'!$J$238:$J$451),0),
IF('TL06'!$B$3=N$3,SUMIF('TL06'!$C$10:$C$224,$C334,'TL06'!$J$10:$J$224),0),
IF('TL06'!$B$229=N$3,SUMIF('TL06'!$C$238:$C$451,$C334,'TL06'!$J$238:$J$451),0),
IF('TL07'!$B$3=N$3,SUMIF('TL07'!$C$10:$C$224,$C334,'TL07'!$J$10:$J$224),0),
IF('TL07'!$B$229=N$3,SUMIF('TL07'!$C$238:$C$451,$C334,'TL07'!$J$238:$J$451),0),
IF('TL08'!$B$3=N$3,SUMIF('TL08'!$C$10:$C$224,$C334,'TL08'!$J$10:$J$224),0),
IF('TL08'!$B$229=N$3,SUMIF('TL08'!$C$238:$C$451,$C334,'TL08'!$J$238:$J$451),0),
IF('TL09'!$B$3=N$3,SUMIF('TL09'!$C$10:$C$224,$C334,'TL09'!$J$10:$J$224),0),
IF('TL09'!$B$229=N$3,SUMIF('TL09'!$C$238:$C$451,$C334,'TL09'!$J$238:$J$451),0),
IF('TL10'!$B$3=N$3,SUMIF('TL10'!$C$10:$C$224,$C334,'TL10'!$J$10:$J$224),0),
IF('TL10'!$B$229=N$3,SUMIF('TL10'!$C$238:$C$451,$C334,'TL10'!$J$238:$J$451),0),
IF('TL11'!$B$3=N$3,SUMIF('TL11'!$C$10:$C$224,$C334,'TL11'!$J$10:$J$224),0),
IF('TL11'!$B$229=N$3,SUMIF('TL11'!$C$238:$C$451,$C334,'TL11'!$J$238:$J$451),0),
IF('TL12'!$B$3=N$3,SUMIF('TL12'!$C$10:$C$224,$C334,'TL12'!$J$10:$J$224),0),
IF('TL12'!$B$229=N$3,SUMIF('TL12'!$C$238:$C$451,$C334,'TL12'!$J$238:$J$451),0),
IF('TL13'!$B$3=N$3,SUMIF('TL13'!$C$10:$C$224,$C334,'TL13'!$J$10:$J$224),0),
IF('TL13'!$B$229=N$3,SUMIF('TL13'!$C$238:$C$451,$C334,'TL13'!$J$238:$J$451),0),
IF('TL14'!$B$3=N$3,SUMIF('TL14'!$C$10:$C$224,$C334,'TL14'!$J$10:$J$224),0),
IF('TL14'!$B$229=N$3,SUMIF('TL14'!$C$238:$C$451,$C334,'TL14'!$J$238:$J$451),0),
IF('TL15'!$B$3=N$3,SUMIF('TL15'!$C$10:$C$224,$C334,'TL15'!$J$10:$J$224),0),
IF('TL15'!$B$229=N$3,SUMIF('TL15'!$C$238:$C$451,$C334,'TL15'!$J$238:$J$451),0),
IF('TL16'!$B$3=N$3,SUMIF('TL16'!$C$10:$C$224,$C334,'TL16'!$J$10:$J$224),0),
IF('TL16'!$B$229=N$3,SUMIF('TL16'!$C$238:$C$451,$C334,'TL16'!$J$238:$J$451),0),
IF('TL17'!$B$3=N$3,SUMIF('TL17'!$C$10:$C$224,$C334,'TL17'!$J$10:$J$224),0),
IF('TL17'!$B$229=N$3,SUMIF('TL17'!$C$238:$C$451,$C334,'TL17'!$J$238:$J$451),0),
IF('TL18'!$B$3=N$3,SUMIF('TL18'!$C$10:$C$224,$C334,'TL18'!$J$10:$J$224),0),
IF('TL18'!$B$229=N$3,SUMIF('TL18'!$C$238:$C$451,$C334,'TL18'!$J$238:$J$451),0),
IF('TL19'!$B$3=N$3,SUMIF('TL19'!$C$10:$C$224,$C334,'TL19'!$J$10:$J$224),0),
IF('TL19'!$B$229=N$3,SUMIF('TL19'!$C$238:$C$451,$C334,'TL19'!$J$238:$J$451),0)
),0)</f>
        <v/>
      </c>
      <c r="O334" s="9">
        <f>IFERROR(SUM(
IF('TL01'!$B$3=O$3,SUMIF('TL01'!$C$10:$C$224,$C334,'TL01'!$J$10:$J$224),0),
IF('TL01'!$B$229=O$3,SUMIF('TL01'!$C$238:$C$451,$C334,'TL01'!$J$238:$J$451),0),
IF('TL02'!$B$3=O$3,SUMIF('TL02'!$C$10:$C$224,$C334,'TL02'!$J$10:$J$224),0),
IF('TL02'!$B$229=O$3,SUMIF('TL02'!$C$238:$C$451,$C334,'TL02'!$J$238:$J$451),0),
IF('TL03'!$B$3=O$3,SUMIF('TL03'!$C$10:$C$224,$C334,'TL03'!$J$10:$J$224),0),
IF('TL03'!$B$229=O$3,SUMIF('TL03'!$C$238:$C$451,$C334,'TL03'!$J$238:$J$451),0),
IF('TL04'!$B$3=O$3,SUMIF('TL04'!$C$10:$C$224,$C334,'TL04'!$J$10:$J$224),0),
IF('TL04'!$B$229=O$3,SUMIF('TL04'!$C$238:$C$451,$C334,'TL04'!$J$238:$J$451),0),
IF('TL05'!$B$3=O$3,SUMIF('TL05'!$C$10:$C$224,$C334,'TL05'!$J$10:$J$224),0),
IF('TL05'!$B$229=O$3,SUMIF('TL05'!$C$238:$C$451,$C334,'TL05'!$J$238:$J$451),0),
IF('TL06'!$B$3=O$3,SUMIF('TL06'!$C$10:$C$224,$C334,'TL06'!$J$10:$J$224),0),
IF('TL06'!$B$229=O$3,SUMIF('TL06'!$C$238:$C$451,$C334,'TL06'!$J$238:$J$451),0),
IF('TL07'!$B$3=O$3,SUMIF('TL07'!$C$10:$C$224,$C334,'TL07'!$J$10:$J$224),0),
IF('TL07'!$B$229=O$3,SUMIF('TL07'!$C$238:$C$451,$C334,'TL07'!$J$238:$J$451),0),
IF('TL08'!$B$3=O$3,SUMIF('TL08'!$C$10:$C$224,$C334,'TL08'!$J$10:$J$224),0),
IF('TL08'!$B$229=O$3,SUMIF('TL08'!$C$238:$C$451,$C334,'TL08'!$J$238:$J$451),0),
IF('TL09'!$B$3=O$3,SUMIF('TL09'!$C$10:$C$224,$C334,'TL09'!$J$10:$J$224),0),
IF('TL09'!$B$229=O$3,SUMIF('TL09'!$C$238:$C$451,$C334,'TL09'!$J$238:$J$451),0),
IF('TL10'!$B$3=O$3,SUMIF('TL10'!$C$10:$C$224,$C334,'TL10'!$J$10:$J$224),0),
IF('TL10'!$B$229=O$3,SUMIF('TL10'!$C$238:$C$451,$C334,'TL10'!$J$238:$J$451),0),
IF('TL11'!$B$3=O$3,SUMIF('TL11'!$C$10:$C$224,$C334,'TL11'!$J$10:$J$224),0),
IF('TL11'!$B$229=O$3,SUMIF('TL11'!$C$238:$C$451,$C334,'TL11'!$J$238:$J$451),0),
IF('TL12'!$B$3=O$3,SUMIF('TL12'!$C$10:$C$224,$C334,'TL12'!$J$10:$J$224),0),
IF('TL12'!$B$229=O$3,SUMIF('TL12'!$C$238:$C$451,$C334,'TL12'!$J$238:$J$451),0),
IF('TL13'!$B$3=O$3,SUMIF('TL13'!$C$10:$C$224,$C334,'TL13'!$J$10:$J$224),0),
IF('TL13'!$B$229=O$3,SUMIF('TL13'!$C$238:$C$451,$C334,'TL13'!$J$238:$J$451),0),
IF('TL14'!$B$3=O$3,SUMIF('TL14'!$C$10:$C$224,$C334,'TL14'!$J$10:$J$224),0),
IF('TL14'!$B$229=O$3,SUMIF('TL14'!$C$238:$C$451,$C334,'TL14'!$J$238:$J$451),0),
IF('TL15'!$B$3=O$3,SUMIF('TL15'!$C$10:$C$224,$C334,'TL15'!$J$10:$J$224),0),
IF('TL15'!$B$229=O$3,SUMIF('TL15'!$C$238:$C$451,$C334,'TL15'!$J$238:$J$451),0),
IF('TL16'!$B$3=O$3,SUMIF('TL16'!$C$10:$C$224,$C334,'TL16'!$J$10:$J$224),0),
IF('TL16'!$B$229=O$3,SUMIF('TL16'!$C$238:$C$451,$C334,'TL16'!$J$238:$J$451),0),
IF('TL17'!$B$3=O$3,SUMIF('TL17'!$C$10:$C$224,$C334,'TL17'!$J$10:$J$224),0),
IF('TL17'!$B$229=O$3,SUMIF('TL17'!$C$238:$C$451,$C334,'TL17'!$J$238:$J$451),0),
IF('TL18'!$B$3=O$3,SUMIF('TL18'!$C$10:$C$224,$C334,'TL18'!$J$10:$J$224),0),
IF('TL18'!$B$229=O$3,SUMIF('TL18'!$C$238:$C$451,$C334,'TL18'!$J$238:$J$451),0),
IF('TL19'!$B$3=O$3,SUMIF('TL19'!$C$10:$C$224,$C334,'TL19'!$J$10:$J$224),0),
IF('TL19'!$B$229=O$3,SUMIF('TL19'!$C$238:$C$451,$C334,'TL19'!$J$238:$J$451),0)
),0)</f>
        <v/>
      </c>
      <c r="P334" s="9">
        <f>IFERROR(SUM(
IF('TL01'!$B$3=P$3,SUMIF('TL01'!$C$10:$C$224,$C334,'TL01'!$J$10:$J$224),0),
IF('TL01'!$B$229=P$3,SUMIF('TL01'!$C$238:$C$451,$C334,'TL01'!$J$238:$J$451),0),
IF('TL02'!$B$3=P$3,SUMIF('TL02'!$C$10:$C$224,$C334,'TL02'!$J$10:$J$224),0),
IF('TL02'!$B$229=P$3,SUMIF('TL02'!$C$238:$C$451,$C334,'TL02'!$J$238:$J$451),0),
IF('TL03'!$B$3=P$3,SUMIF('TL03'!$C$10:$C$224,$C334,'TL03'!$J$10:$J$224),0),
IF('TL03'!$B$229=P$3,SUMIF('TL03'!$C$238:$C$451,$C334,'TL03'!$J$238:$J$451),0),
IF('TL04'!$B$3=P$3,SUMIF('TL04'!$C$10:$C$224,$C334,'TL04'!$J$10:$J$224),0),
IF('TL04'!$B$229=P$3,SUMIF('TL04'!$C$238:$C$451,$C334,'TL04'!$J$238:$J$451),0),
IF('TL05'!$B$3=P$3,SUMIF('TL05'!$C$10:$C$224,$C334,'TL05'!$J$10:$J$224),0),
IF('TL05'!$B$229=P$3,SUMIF('TL05'!$C$238:$C$451,$C334,'TL05'!$J$238:$J$451),0),
IF('TL06'!$B$3=P$3,SUMIF('TL06'!$C$10:$C$224,$C334,'TL06'!$J$10:$J$224),0),
IF('TL06'!$B$229=P$3,SUMIF('TL06'!$C$238:$C$451,$C334,'TL06'!$J$238:$J$451),0),
IF('TL07'!$B$3=P$3,SUMIF('TL07'!$C$10:$C$224,$C334,'TL07'!$J$10:$J$224),0),
IF('TL07'!$B$229=P$3,SUMIF('TL07'!$C$238:$C$451,$C334,'TL07'!$J$238:$J$451),0),
IF('TL08'!$B$3=P$3,SUMIF('TL08'!$C$10:$C$224,$C334,'TL08'!$J$10:$J$224),0),
IF('TL08'!$B$229=P$3,SUMIF('TL08'!$C$238:$C$451,$C334,'TL08'!$J$238:$J$451),0),
IF('TL09'!$B$3=P$3,SUMIF('TL09'!$C$10:$C$224,$C334,'TL09'!$J$10:$J$224),0),
IF('TL09'!$B$229=P$3,SUMIF('TL09'!$C$238:$C$451,$C334,'TL09'!$J$238:$J$451),0),
IF('TL10'!$B$3=P$3,SUMIF('TL10'!$C$10:$C$224,$C334,'TL10'!$J$10:$J$224),0),
IF('TL10'!$B$229=P$3,SUMIF('TL10'!$C$238:$C$451,$C334,'TL10'!$J$238:$J$451),0),
IF('TL11'!$B$3=P$3,SUMIF('TL11'!$C$10:$C$224,$C334,'TL11'!$J$10:$J$224),0),
IF('TL11'!$B$229=P$3,SUMIF('TL11'!$C$238:$C$451,$C334,'TL11'!$J$238:$J$451),0),
IF('TL12'!$B$3=P$3,SUMIF('TL12'!$C$10:$C$224,$C334,'TL12'!$J$10:$J$224),0),
IF('TL12'!$B$229=P$3,SUMIF('TL12'!$C$238:$C$451,$C334,'TL12'!$J$238:$J$451),0),
IF('TL13'!$B$3=P$3,SUMIF('TL13'!$C$10:$C$224,$C334,'TL13'!$J$10:$J$224),0),
IF('TL13'!$B$229=P$3,SUMIF('TL13'!$C$238:$C$451,$C334,'TL13'!$J$238:$J$451),0),
IF('TL14'!$B$3=P$3,SUMIF('TL14'!$C$10:$C$224,$C334,'TL14'!$J$10:$J$224),0),
IF('TL14'!$B$229=P$3,SUMIF('TL14'!$C$238:$C$451,$C334,'TL14'!$J$238:$J$451),0),
IF('TL15'!$B$3=P$3,SUMIF('TL15'!$C$10:$C$224,$C334,'TL15'!$J$10:$J$224),0),
IF('TL15'!$B$229=P$3,SUMIF('TL15'!$C$238:$C$451,$C334,'TL15'!$J$238:$J$451),0),
IF('TL16'!$B$3=P$3,SUMIF('TL16'!$C$10:$C$224,$C334,'TL16'!$J$10:$J$224),0),
IF('TL16'!$B$229=P$3,SUMIF('TL16'!$C$238:$C$451,$C334,'TL16'!$J$238:$J$451),0),
IF('TL17'!$B$3=P$3,SUMIF('TL17'!$C$10:$C$224,$C334,'TL17'!$J$10:$J$224),0),
IF('TL17'!$B$229=P$3,SUMIF('TL17'!$C$238:$C$451,$C334,'TL17'!$J$238:$J$451),0),
IF('TL18'!$B$3=P$3,SUMIF('TL18'!$C$10:$C$224,$C334,'TL18'!$J$10:$J$224),0),
IF('TL18'!$B$229=P$3,SUMIF('TL18'!$C$238:$C$451,$C334,'TL18'!$J$238:$J$451),0),
IF('TL19'!$B$3=P$3,SUMIF('TL19'!$C$10:$C$224,$C334,'TL19'!$J$10:$J$224),0),
IF('TL19'!$B$229=P$3,SUMIF('TL19'!$C$238:$C$451,$C334,'TL19'!$J$238:$J$451),0)
),0)</f>
        <v/>
      </c>
      <c r="Q334" s="9">
        <f>IFERROR(SUM(
IF('TL01'!$B$3=Q$3,SUMIF('TL01'!$C$10:$C$224,$C334,'TL01'!$J$10:$J$224),0),
IF('TL01'!$B$229=Q$3,SUMIF('TL01'!$C$238:$C$451,$C334,'TL01'!$J$238:$J$451),0),
IF('TL02'!$B$3=Q$3,SUMIF('TL02'!$C$10:$C$224,$C334,'TL02'!$J$10:$J$224),0),
IF('TL02'!$B$229=Q$3,SUMIF('TL02'!$C$238:$C$451,$C334,'TL02'!$J$238:$J$451),0),
IF('TL03'!$B$3=Q$3,SUMIF('TL03'!$C$10:$C$224,$C334,'TL03'!$J$10:$J$224),0),
IF('TL03'!$B$229=Q$3,SUMIF('TL03'!$C$238:$C$451,$C334,'TL03'!$J$238:$J$451),0),
IF('TL04'!$B$3=Q$3,SUMIF('TL04'!$C$10:$C$224,$C334,'TL04'!$J$10:$J$224),0),
IF('TL04'!$B$229=Q$3,SUMIF('TL04'!$C$238:$C$451,$C334,'TL04'!$J$238:$J$451),0),
IF('TL05'!$B$3=Q$3,SUMIF('TL05'!$C$10:$C$224,$C334,'TL05'!$J$10:$J$224),0),
IF('TL05'!$B$229=Q$3,SUMIF('TL05'!$C$238:$C$451,$C334,'TL05'!$J$238:$J$451),0),
IF('TL06'!$B$3=Q$3,SUMIF('TL06'!$C$10:$C$224,$C334,'TL06'!$J$10:$J$224),0),
IF('TL06'!$B$229=Q$3,SUMIF('TL06'!$C$238:$C$451,$C334,'TL06'!$J$238:$J$451),0),
IF('TL07'!$B$3=Q$3,SUMIF('TL07'!$C$10:$C$224,$C334,'TL07'!$J$10:$J$224),0),
IF('TL07'!$B$229=Q$3,SUMIF('TL07'!$C$238:$C$451,$C334,'TL07'!$J$238:$J$451),0),
IF('TL08'!$B$3=Q$3,SUMIF('TL08'!$C$10:$C$224,$C334,'TL08'!$J$10:$J$224),0),
IF('TL08'!$B$229=Q$3,SUMIF('TL08'!$C$238:$C$451,$C334,'TL08'!$J$238:$J$451),0),
IF('TL09'!$B$3=Q$3,SUMIF('TL09'!$C$10:$C$224,$C334,'TL09'!$J$10:$J$224),0),
IF('TL09'!$B$229=Q$3,SUMIF('TL09'!$C$238:$C$451,$C334,'TL09'!$J$238:$J$451),0),
IF('TL10'!$B$3=Q$3,SUMIF('TL10'!$C$10:$C$224,$C334,'TL10'!$J$10:$J$224),0),
IF('TL10'!$B$229=Q$3,SUMIF('TL10'!$C$238:$C$451,$C334,'TL10'!$J$238:$J$451),0),
IF('TL11'!$B$3=Q$3,SUMIF('TL11'!$C$10:$C$224,$C334,'TL11'!$J$10:$J$224),0),
IF('TL11'!$B$229=Q$3,SUMIF('TL11'!$C$238:$C$451,$C334,'TL11'!$J$238:$J$451),0),
IF('TL12'!$B$3=Q$3,SUMIF('TL12'!$C$10:$C$224,$C334,'TL12'!$J$10:$J$224),0),
IF('TL12'!$B$229=Q$3,SUMIF('TL12'!$C$238:$C$451,$C334,'TL12'!$J$238:$J$451),0),
IF('TL13'!$B$3=Q$3,SUMIF('TL13'!$C$10:$C$224,$C334,'TL13'!$J$10:$J$224),0),
IF('TL13'!$B$229=Q$3,SUMIF('TL13'!$C$238:$C$451,$C334,'TL13'!$J$238:$J$451),0),
IF('TL14'!$B$3=Q$3,SUMIF('TL14'!$C$10:$C$224,$C334,'TL14'!$J$10:$J$224),0),
IF('TL14'!$B$229=Q$3,SUMIF('TL14'!$C$238:$C$451,$C334,'TL14'!$J$238:$J$451),0),
IF('TL15'!$B$3=Q$3,SUMIF('TL15'!$C$10:$C$224,$C334,'TL15'!$J$10:$J$224),0),
IF('TL15'!$B$229=Q$3,SUMIF('TL15'!$C$238:$C$451,$C334,'TL15'!$J$238:$J$451),0),
IF('TL16'!$B$3=Q$3,SUMIF('TL16'!$C$10:$C$224,$C334,'TL16'!$J$10:$J$224),0),
IF('TL16'!$B$229=Q$3,SUMIF('TL16'!$C$238:$C$451,$C334,'TL16'!$J$238:$J$451),0),
IF('TL17'!$B$3=Q$3,SUMIF('TL17'!$C$10:$C$224,$C334,'TL17'!$J$10:$J$224),0),
IF('TL17'!$B$229=Q$3,SUMIF('TL17'!$C$238:$C$451,$C334,'TL17'!$J$238:$J$451),0),
IF('TL18'!$B$3=Q$3,SUMIF('TL18'!$C$10:$C$224,$C334,'TL18'!$J$10:$J$224),0),
IF('TL18'!$B$229=Q$3,SUMIF('TL18'!$C$238:$C$451,$C334,'TL18'!$J$238:$J$451),0),
IF('TL19'!$B$3=Q$3,SUMIF('TL19'!$C$10:$C$224,$C334,'TL19'!$J$10:$J$224),0),
IF('TL19'!$B$229=Q$3,SUMIF('TL19'!$C$238:$C$451,$C334,'TL19'!$J$238:$J$451),0)
),0)</f>
        <v/>
      </c>
      <c r="R334" s="9">
        <f>IFERROR(
SUM(
SUMIF('TL01'!C:C,C334,'TL01'!J:J),
SUMIF('TL02'!C:C,C334,'TL02'!J:J),
SUMIF('TL03'!C:C,C334,'TL03'!J:J),
SUMIF('TL04'!C:C,C334,'TL04'!J:J),
SUMIF('TL05'!C:C,C334,'TL05'!J:J),
SUMIF('TL06'!C:C,C334,'TL06'!J:J),
SUMIF('TL07'!C:C,C334,'TL07'!J:J),
SUMIF('TL08'!C:C,C334,'TL08'!J:J),
SUMIF('TL09'!C:C,C334,'TL09'!J:J),
SUMIF('TL10'!C:C,C334,'TL10'!J:J),
SUMIF('TL11'!C:C,C334,'TL11'!J:J),
SUMIF('TL12'!C:C,C334,'TL12'!J:J),
SUMIF('TL13'!C:C,C334,'TL13'!J:J),
SUMIF('TL14'!C:C,C334,'TL14'!J:J),
SUMIF('TL15'!C:C,C334,'TL15'!J:J),
SUMIF('TL16'!C:C,C334,'TL16'!J:J),
SUMIF('TL17'!C:C,C334,'TL17'!J:J),
SUMIF('TL18'!C:C,C334,'TL18'!J:J),SUMIF('TL19'!C:C,C334,'TL19'!J:J))
,0)</f>
        <v/>
      </c>
      <c r="S334" s="17">
        <f>IFERROR(__xludf.DUMMYFUNCTION("IFERROR(VLOOKUP(C334,
IMPORTRANGE(""1wULbzX32WdYsx-lj2U3uUNBBe2INVIRDtcK0d-Dvl90"",
""26-27!C:G""),
5,
FALSE),
"""")"),"")</f>
        <v/>
      </c>
      <c r="T334" s="9" t="n"/>
      <c r="U334" s="92">
        <f>MAX(0,R334-T334)</f>
        <v/>
      </c>
      <c r="V334" s="93">
        <f>U334*S334</f>
        <v/>
      </c>
    </row>
    <row r="335" hidden="1" ht="15.75" customHeight="1" s="297">
      <c r="A335" s="4" t="n"/>
      <c r="B335" s="125" t="inlineStr">
        <is>
          <t>SEMENTE</t>
        </is>
      </c>
      <c r="C335" s="4" t="inlineStr">
        <is>
          <t>TMG ITAÚBA I2X</t>
        </is>
      </c>
      <c r="D335" s="20" t="n"/>
      <c r="E335" s="9" t="n"/>
      <c r="F335" s="4" t="n"/>
      <c r="G335" s="90">
        <f>HYPERLINK("https://www.google.com/search?q=" &amp; C335 &amp; "+bula+agrofit+pdf", "📄 Ver bula")</f>
        <v/>
      </c>
      <c r="H335" s="9" t="n"/>
      <c r="I335" s="1" t="n"/>
      <c r="J335" s="9">
        <f>IFERROR(SUM(
IF('TL01'!$B$3=J$3,SUMIF('TL01'!$C$10:$C$224,$C335,'TL01'!$J$10:$J$224),0),
IF('TL01'!$B$229=J$3,SUMIF('TL01'!$C$238:$C$451,$C335,'TL01'!$J$238:$J$451),0),
IF('TL02'!$B$3=J$3,SUMIF('TL02'!$C$10:$C$224,$C335,'TL02'!$J$10:$J$224),0),
IF('TL02'!$B$229=J$3,SUMIF('TL02'!$C$238:$C$451,$C335,'TL02'!$J$238:$J$451),0),
IF('TL03'!$B$3=J$3,SUMIF('TL03'!$C$10:$C$224,$C335,'TL03'!$J$10:$J$224),0),
IF('TL03'!$B$229=J$3,SUMIF('TL03'!$C$238:$C$451,$C335,'TL03'!$J$238:$J$451),0),
IF('TL04'!$B$3=J$3,SUMIF('TL04'!$C$10:$C$224,$C335,'TL04'!$J$10:$J$224),0),
IF('TL04'!$B$229=J$3,SUMIF('TL04'!$C$238:$C$451,$C335,'TL04'!$J$238:$J$451),0),
IF('TL05'!$B$3=J$3,SUMIF('TL05'!$C$10:$C$224,$C335,'TL05'!$J$10:$J$224),0),
IF('TL05'!$B$229=J$3,SUMIF('TL05'!$C$238:$C$451,$C335,'TL05'!$J$238:$J$451),0),
IF('TL06'!$B$3=J$3,SUMIF('TL06'!$C$10:$C$224,$C335,'TL06'!$J$10:$J$224),0),
IF('TL06'!$B$229=J$3,SUMIF('TL06'!$C$238:$C$451,$C335,'TL06'!$J$238:$J$451),0),
IF('TL07'!$B$3=J$3,SUMIF('TL07'!$C$10:$C$224,$C335,'TL07'!$J$10:$J$224),0),
IF('TL07'!$B$229=J$3,SUMIF('TL07'!$C$238:$C$451,$C335,'TL07'!$J$238:$J$451),0),
IF('TL08'!$B$3=J$3,SUMIF('TL08'!$C$10:$C$224,$C335,'TL08'!$J$10:$J$224),0),
IF('TL08'!$B$229=J$3,SUMIF('TL08'!$C$238:$C$451,$C335,'TL08'!$J$238:$J$451),0),
IF('TL09'!$B$3=J$3,SUMIF('TL09'!$C$10:$C$224,$C335,'TL09'!$J$10:$J$224),0),
IF('TL09'!$B$229=J$3,SUMIF('TL09'!$C$238:$C$451,$C335,'TL09'!$J$238:$J$451),0),
IF('TL10'!$B$3=J$3,SUMIF('TL10'!$C$10:$C$224,$C335,'TL10'!$J$10:$J$224),0),
IF('TL10'!$B$229=J$3,SUMIF('TL10'!$C$238:$C$451,$C335,'TL10'!$J$238:$J$451),0),
IF('TL11'!$B$3=J$3,SUMIF('TL11'!$C$10:$C$224,$C335,'TL11'!$J$10:$J$224),0),
IF('TL11'!$B$229=J$3,SUMIF('TL11'!$C$238:$C$451,$C335,'TL11'!$J$238:$J$451),0),
IF('TL12'!$B$3=J$3,SUMIF('TL12'!$C$10:$C$224,$C335,'TL12'!$J$10:$J$224),0),
IF('TL12'!$B$229=J$3,SUMIF('TL12'!$C$238:$C$451,$C335,'TL12'!$J$238:$J$451),0),
IF('TL13'!$B$3=J$3,SUMIF('TL13'!$C$10:$C$224,$C335,'TL13'!$J$10:$J$224),0),
IF('TL13'!$B$229=J$3,SUMIF('TL13'!$C$238:$C$451,$C335,'TL13'!$J$238:$J$451),0),
IF('TL14'!$B$3=J$3,SUMIF('TL14'!$C$10:$C$224,$C335,'TL14'!$J$10:$J$224),0),
IF('TL14'!$B$229=J$3,SUMIF('TL14'!$C$238:$C$451,$C335,'TL14'!$J$238:$J$451),0),
IF('TL15'!$B$3=J$3,SUMIF('TL15'!$C$10:$C$224,$C335,'TL15'!$J$10:$J$224),0),
IF('TL15'!$B$229=J$3,SUMIF('TL15'!$C$238:$C$451,$C335,'TL15'!$J$238:$J$451),0),
IF('TL16'!$B$3=J$3,SUMIF('TL16'!$C$10:$C$224,$C335,'TL16'!$J$10:$J$224),0),
IF('TL16'!$B$229=J$3,SUMIF('TL16'!$C$238:$C$451,$C335,'TL16'!$J$238:$J$451),0),
IF('TL17'!$B$3=J$3,SUMIF('TL17'!$C$10:$C$224,$C335,'TL17'!$J$10:$J$224),0),
IF('TL17'!$B$229=J$3,SUMIF('TL17'!$C$238:$C$451,$C335,'TL17'!$J$238:$J$451),0),
IF('TL18'!$B$3=J$3,SUMIF('TL18'!$C$10:$C$224,$C335,'TL18'!$J$10:$J$224),0),
IF('TL18'!$B$229=J$3,SUMIF('TL18'!$C$238:$C$451,$C335,'TL18'!$J$238:$J$451),0),
IF('TL19'!$B$3=J$3,SUMIF('TL19'!$C$10:$C$224,$C335,'TL19'!$J$10:$J$224),0),
IF('TL19'!$B$229=J$3,SUMIF('TL19'!$C$238:$C$451,$C335,'TL19'!$J$238:$J$451),0)
),0)</f>
        <v/>
      </c>
      <c r="K335" s="9">
        <f>IFERROR(SUM(
IF('TL01'!$B$3=K$3,SUMIF('TL01'!$C$10:$C$224,$C335,'TL01'!$J$10:$J$224),0),
IF('TL01'!$B$229=K$3,SUMIF('TL01'!$C$238:$C$451,$C335,'TL01'!$J$238:$J$451),0),
IF('TL02'!$B$3=K$3,SUMIF('TL02'!$C$10:$C$224,$C335,'TL02'!$J$10:$J$224),0),
IF('TL02'!$B$229=K$3,SUMIF('TL02'!$C$238:$C$451,$C335,'TL02'!$J$238:$J$451),0),
IF('TL03'!$B$3=K$3,SUMIF('TL03'!$C$10:$C$224,$C335,'TL03'!$J$10:$J$224),0),
IF('TL03'!$B$229=K$3,SUMIF('TL03'!$C$238:$C$451,$C335,'TL03'!$J$238:$J$451),0),
IF('TL04'!$B$3=K$3,SUMIF('TL04'!$C$10:$C$224,$C335,'TL04'!$J$10:$J$224),0),
IF('TL04'!$B$229=K$3,SUMIF('TL04'!$C$238:$C$451,$C335,'TL04'!$J$238:$J$451),0),
IF('TL05'!$B$3=K$3,SUMIF('TL05'!$C$10:$C$224,$C335,'TL05'!$J$10:$J$224),0),
IF('TL05'!$B$229=K$3,SUMIF('TL05'!$C$238:$C$451,$C335,'TL05'!$J$238:$J$451),0),
IF('TL06'!$B$3=K$3,SUMIF('TL06'!$C$10:$C$224,$C335,'TL06'!$J$10:$J$224),0),
IF('TL06'!$B$229=K$3,SUMIF('TL06'!$C$238:$C$451,$C335,'TL06'!$J$238:$J$451),0),
IF('TL07'!$B$3=K$3,SUMIF('TL07'!$C$10:$C$224,$C335,'TL07'!$J$10:$J$224),0),
IF('TL07'!$B$229=K$3,SUMIF('TL07'!$C$238:$C$451,$C335,'TL07'!$J$238:$J$451),0),
IF('TL08'!$B$3=K$3,SUMIF('TL08'!$C$10:$C$224,$C335,'TL08'!$J$10:$J$224),0),
IF('TL08'!$B$229=K$3,SUMIF('TL08'!$C$238:$C$451,$C335,'TL08'!$J$238:$J$451),0),
IF('TL09'!$B$3=K$3,SUMIF('TL09'!$C$10:$C$224,$C335,'TL09'!$J$10:$J$224),0),
IF('TL09'!$B$229=K$3,SUMIF('TL09'!$C$238:$C$451,$C335,'TL09'!$J$238:$J$451),0),
IF('TL10'!$B$3=K$3,SUMIF('TL10'!$C$10:$C$224,$C335,'TL10'!$J$10:$J$224),0),
IF('TL10'!$B$229=K$3,SUMIF('TL10'!$C$238:$C$451,$C335,'TL10'!$J$238:$J$451),0),
IF('TL11'!$B$3=K$3,SUMIF('TL11'!$C$10:$C$224,$C335,'TL11'!$J$10:$J$224),0),
IF('TL11'!$B$229=K$3,SUMIF('TL11'!$C$238:$C$451,$C335,'TL11'!$J$238:$J$451),0),
IF('TL12'!$B$3=K$3,SUMIF('TL12'!$C$10:$C$224,$C335,'TL12'!$J$10:$J$224),0),
IF('TL12'!$B$229=K$3,SUMIF('TL12'!$C$238:$C$451,$C335,'TL12'!$J$238:$J$451),0),
IF('TL13'!$B$3=K$3,SUMIF('TL13'!$C$10:$C$224,$C335,'TL13'!$J$10:$J$224),0),
IF('TL13'!$B$229=K$3,SUMIF('TL13'!$C$238:$C$451,$C335,'TL13'!$J$238:$J$451),0),
IF('TL14'!$B$3=K$3,SUMIF('TL14'!$C$10:$C$224,$C335,'TL14'!$J$10:$J$224),0),
IF('TL14'!$B$229=K$3,SUMIF('TL14'!$C$238:$C$451,$C335,'TL14'!$J$238:$J$451),0),
IF('TL15'!$B$3=K$3,SUMIF('TL15'!$C$10:$C$224,$C335,'TL15'!$J$10:$J$224),0),
IF('TL15'!$B$229=K$3,SUMIF('TL15'!$C$238:$C$451,$C335,'TL15'!$J$238:$J$451),0),
IF('TL16'!$B$3=K$3,SUMIF('TL16'!$C$10:$C$224,$C335,'TL16'!$J$10:$J$224),0),
IF('TL16'!$B$229=K$3,SUMIF('TL16'!$C$238:$C$451,$C335,'TL16'!$J$238:$J$451),0),
IF('TL17'!$B$3=K$3,SUMIF('TL17'!$C$10:$C$224,$C335,'TL17'!$J$10:$J$224),0),
IF('TL17'!$B$229=K$3,SUMIF('TL17'!$C$238:$C$451,$C335,'TL17'!$J$238:$J$451),0),
IF('TL18'!$B$3=K$3,SUMIF('TL18'!$C$10:$C$224,$C335,'TL18'!$J$10:$J$224),0),
IF('TL18'!$B$229=K$3,SUMIF('TL18'!$C$238:$C$451,$C335,'TL18'!$J$238:$J$451),0),
IF('TL19'!$B$3=K$3,SUMIF('TL19'!$C$10:$C$224,$C335,'TL19'!$J$10:$J$224),0),
IF('TL19'!$B$229=K$3,SUMIF('TL19'!$C$238:$C$451,$C335,'TL19'!$J$238:$J$451),0)
),0)</f>
        <v/>
      </c>
      <c r="L335" s="9">
        <f>IFERROR(SUM(
IF('TL01'!$B$3=L$3,SUMIF('TL01'!$C$10:$C$224,$C335,'TL01'!$J$10:$J$224),0),
IF('TL01'!$B$229=L$3,SUMIF('TL01'!$C$238:$C$451,$C335,'TL01'!$J$238:$J$451),0),
IF('TL02'!$B$3=L$3,SUMIF('TL02'!$C$10:$C$224,$C335,'TL02'!$J$10:$J$224),0),
IF('TL02'!$B$229=L$3,SUMIF('TL02'!$C$238:$C$451,$C335,'TL02'!$J$238:$J$451),0),
IF('TL03'!$B$3=L$3,SUMIF('TL03'!$C$10:$C$224,$C335,'TL03'!$J$10:$J$224),0),
IF('TL03'!$B$229=L$3,SUMIF('TL03'!$C$238:$C$451,$C335,'TL03'!$J$238:$J$451),0),
IF('TL04'!$B$3=L$3,SUMIF('TL04'!$C$10:$C$224,$C335,'TL04'!$J$10:$J$224),0),
IF('TL04'!$B$229=L$3,SUMIF('TL04'!$C$238:$C$451,$C335,'TL04'!$J$238:$J$451),0),
IF('TL05'!$B$3=L$3,SUMIF('TL05'!$C$10:$C$224,$C335,'TL05'!$J$10:$J$224),0),
IF('TL05'!$B$229=L$3,SUMIF('TL05'!$C$238:$C$451,$C335,'TL05'!$J$238:$J$451),0),
IF('TL06'!$B$3=L$3,SUMIF('TL06'!$C$10:$C$224,$C335,'TL06'!$J$10:$J$224),0),
IF('TL06'!$B$229=L$3,SUMIF('TL06'!$C$238:$C$451,$C335,'TL06'!$J$238:$J$451),0),
IF('TL07'!$B$3=L$3,SUMIF('TL07'!$C$10:$C$224,$C335,'TL07'!$J$10:$J$224),0),
IF('TL07'!$B$229=L$3,SUMIF('TL07'!$C$238:$C$451,$C335,'TL07'!$J$238:$J$451),0),
IF('TL08'!$B$3=L$3,SUMIF('TL08'!$C$10:$C$224,$C335,'TL08'!$J$10:$J$224),0),
IF('TL08'!$B$229=L$3,SUMIF('TL08'!$C$238:$C$451,$C335,'TL08'!$J$238:$J$451),0),
IF('TL09'!$B$3=L$3,SUMIF('TL09'!$C$10:$C$224,$C335,'TL09'!$J$10:$J$224),0),
IF('TL09'!$B$229=L$3,SUMIF('TL09'!$C$238:$C$451,$C335,'TL09'!$J$238:$J$451),0),
IF('TL10'!$B$3=L$3,SUMIF('TL10'!$C$10:$C$224,$C335,'TL10'!$J$10:$J$224),0),
IF('TL10'!$B$229=L$3,SUMIF('TL10'!$C$238:$C$451,$C335,'TL10'!$J$238:$J$451),0),
IF('TL11'!$B$3=L$3,SUMIF('TL11'!$C$10:$C$224,$C335,'TL11'!$J$10:$J$224),0),
IF('TL11'!$B$229=L$3,SUMIF('TL11'!$C$238:$C$451,$C335,'TL11'!$J$238:$J$451),0),
IF('TL12'!$B$3=L$3,SUMIF('TL12'!$C$10:$C$224,$C335,'TL12'!$J$10:$J$224),0),
IF('TL12'!$B$229=L$3,SUMIF('TL12'!$C$238:$C$451,$C335,'TL12'!$J$238:$J$451),0),
IF('TL13'!$B$3=L$3,SUMIF('TL13'!$C$10:$C$224,$C335,'TL13'!$J$10:$J$224),0),
IF('TL13'!$B$229=L$3,SUMIF('TL13'!$C$238:$C$451,$C335,'TL13'!$J$238:$J$451),0),
IF('TL14'!$B$3=L$3,SUMIF('TL14'!$C$10:$C$224,$C335,'TL14'!$J$10:$J$224),0),
IF('TL14'!$B$229=L$3,SUMIF('TL14'!$C$238:$C$451,$C335,'TL14'!$J$238:$J$451),0),
IF('TL15'!$B$3=L$3,SUMIF('TL15'!$C$10:$C$224,$C335,'TL15'!$J$10:$J$224),0),
IF('TL15'!$B$229=L$3,SUMIF('TL15'!$C$238:$C$451,$C335,'TL15'!$J$238:$J$451),0),
IF('TL16'!$B$3=L$3,SUMIF('TL16'!$C$10:$C$224,$C335,'TL16'!$J$10:$J$224),0),
IF('TL16'!$B$229=L$3,SUMIF('TL16'!$C$238:$C$451,$C335,'TL16'!$J$238:$J$451),0),
IF('TL17'!$B$3=L$3,SUMIF('TL17'!$C$10:$C$224,$C335,'TL17'!$J$10:$J$224),0),
IF('TL17'!$B$229=L$3,SUMIF('TL17'!$C$238:$C$451,$C335,'TL17'!$J$238:$J$451),0),
IF('TL18'!$B$3=L$3,SUMIF('TL18'!$C$10:$C$224,$C335,'TL18'!$J$10:$J$224),0),
IF('TL18'!$B$229=L$3,SUMIF('TL18'!$C$238:$C$451,$C335,'TL18'!$J$238:$J$451),0),
IF('TL19'!$B$3=L$3,SUMIF('TL19'!$C$10:$C$224,$C335,'TL19'!$J$10:$J$224),0),
IF('TL19'!$B$229=L$3,SUMIF('TL19'!$C$238:$C$451,$C335,'TL19'!$J$238:$J$451),0)
),0)</f>
        <v/>
      </c>
      <c r="M335" s="9">
        <f>IFERROR(SUM(
IF('TL01'!$B$3=M$3,SUMIF('TL01'!$C$10:$C$224,$C335,'TL01'!$J$10:$J$224),0),
IF('TL01'!$B$229=M$3,SUMIF('TL01'!$C$238:$C$451,$C335,'TL01'!$J$238:$J$451),0),
IF('TL02'!$B$3=M$3,SUMIF('TL02'!$C$10:$C$224,$C335,'TL02'!$J$10:$J$224),0),
IF('TL02'!$B$229=M$3,SUMIF('TL02'!$C$238:$C$451,$C335,'TL02'!$J$238:$J$451),0),
IF('TL03'!$B$3=M$3,SUMIF('TL03'!$C$10:$C$224,$C335,'TL03'!$J$10:$J$224),0),
IF('TL03'!$B$229=M$3,SUMIF('TL03'!$C$238:$C$451,$C335,'TL03'!$J$238:$J$451),0),
IF('TL04'!$B$3=M$3,SUMIF('TL04'!$C$10:$C$224,$C335,'TL04'!$J$10:$J$224),0),
IF('TL04'!$B$229=M$3,SUMIF('TL04'!$C$238:$C$451,$C335,'TL04'!$J$238:$J$451),0),
IF('TL05'!$B$3=M$3,SUMIF('TL05'!$C$10:$C$224,$C335,'TL05'!$J$10:$J$224),0),
IF('TL05'!$B$229=M$3,SUMIF('TL05'!$C$238:$C$451,$C335,'TL05'!$J$238:$J$451),0),
IF('TL06'!$B$3=M$3,SUMIF('TL06'!$C$10:$C$224,$C335,'TL06'!$J$10:$J$224),0),
IF('TL06'!$B$229=M$3,SUMIF('TL06'!$C$238:$C$451,$C335,'TL06'!$J$238:$J$451),0),
IF('TL07'!$B$3=M$3,SUMIF('TL07'!$C$10:$C$224,$C335,'TL07'!$J$10:$J$224),0),
IF('TL07'!$B$229=M$3,SUMIF('TL07'!$C$238:$C$451,$C335,'TL07'!$J$238:$J$451),0),
IF('TL08'!$B$3=M$3,SUMIF('TL08'!$C$10:$C$224,$C335,'TL08'!$J$10:$J$224),0),
IF('TL08'!$B$229=M$3,SUMIF('TL08'!$C$238:$C$451,$C335,'TL08'!$J$238:$J$451),0),
IF('TL09'!$B$3=M$3,SUMIF('TL09'!$C$10:$C$224,$C335,'TL09'!$J$10:$J$224),0),
IF('TL09'!$B$229=M$3,SUMIF('TL09'!$C$238:$C$451,$C335,'TL09'!$J$238:$J$451),0),
IF('TL10'!$B$3=M$3,SUMIF('TL10'!$C$10:$C$224,$C335,'TL10'!$J$10:$J$224),0),
IF('TL10'!$B$229=M$3,SUMIF('TL10'!$C$238:$C$451,$C335,'TL10'!$J$238:$J$451),0),
IF('TL11'!$B$3=M$3,SUMIF('TL11'!$C$10:$C$224,$C335,'TL11'!$J$10:$J$224),0),
IF('TL11'!$B$229=M$3,SUMIF('TL11'!$C$238:$C$451,$C335,'TL11'!$J$238:$J$451),0),
IF('TL12'!$B$3=M$3,SUMIF('TL12'!$C$10:$C$224,$C335,'TL12'!$J$10:$J$224),0),
IF('TL12'!$B$229=M$3,SUMIF('TL12'!$C$238:$C$451,$C335,'TL12'!$J$238:$J$451),0),
IF('TL13'!$B$3=M$3,SUMIF('TL13'!$C$10:$C$224,$C335,'TL13'!$J$10:$J$224),0),
IF('TL13'!$B$229=M$3,SUMIF('TL13'!$C$238:$C$451,$C335,'TL13'!$J$238:$J$451),0),
IF('TL14'!$B$3=M$3,SUMIF('TL14'!$C$10:$C$224,$C335,'TL14'!$J$10:$J$224),0),
IF('TL14'!$B$229=M$3,SUMIF('TL14'!$C$238:$C$451,$C335,'TL14'!$J$238:$J$451),0),
IF('TL15'!$B$3=M$3,SUMIF('TL15'!$C$10:$C$224,$C335,'TL15'!$J$10:$J$224),0),
IF('TL15'!$B$229=M$3,SUMIF('TL15'!$C$238:$C$451,$C335,'TL15'!$J$238:$J$451),0),
IF('TL16'!$B$3=M$3,SUMIF('TL16'!$C$10:$C$224,$C335,'TL16'!$J$10:$J$224),0),
IF('TL16'!$B$229=M$3,SUMIF('TL16'!$C$238:$C$451,$C335,'TL16'!$J$238:$J$451),0),
IF('TL17'!$B$3=M$3,SUMIF('TL17'!$C$10:$C$224,$C335,'TL17'!$J$10:$J$224),0),
IF('TL17'!$B$229=M$3,SUMIF('TL17'!$C$238:$C$451,$C335,'TL17'!$J$238:$J$451),0),
IF('TL18'!$B$3=M$3,SUMIF('TL18'!$C$10:$C$224,$C335,'TL18'!$J$10:$J$224),0),
IF('TL18'!$B$229=M$3,SUMIF('TL18'!$C$238:$C$451,$C335,'TL18'!$J$238:$J$451),0),
IF('TL19'!$B$3=M$3,SUMIF('TL19'!$C$10:$C$224,$C335,'TL19'!$J$10:$J$224),0),
IF('TL19'!$B$229=M$3,SUMIF('TL19'!$C$238:$C$451,$C335,'TL19'!$J$238:$J$451),0)
),0)</f>
        <v/>
      </c>
      <c r="N335" s="9">
        <f>IFERROR(SUM(
IF('TL01'!$B$3=N$3,SUMIF('TL01'!$C$10:$C$224,$C335,'TL01'!$J$10:$J$224),0),
IF('TL01'!$B$229=N$3,SUMIF('TL01'!$C$238:$C$451,$C335,'TL01'!$J$238:$J$451),0),
IF('TL02'!$B$3=N$3,SUMIF('TL02'!$C$10:$C$224,$C335,'TL02'!$J$10:$J$224),0),
IF('TL02'!$B$229=N$3,SUMIF('TL02'!$C$238:$C$451,$C335,'TL02'!$J$238:$J$451),0),
IF('TL03'!$B$3=N$3,SUMIF('TL03'!$C$10:$C$224,$C335,'TL03'!$J$10:$J$224),0),
IF('TL03'!$B$229=N$3,SUMIF('TL03'!$C$238:$C$451,$C335,'TL03'!$J$238:$J$451),0),
IF('TL04'!$B$3=N$3,SUMIF('TL04'!$C$10:$C$224,$C335,'TL04'!$J$10:$J$224),0),
IF('TL04'!$B$229=N$3,SUMIF('TL04'!$C$238:$C$451,$C335,'TL04'!$J$238:$J$451),0),
IF('TL05'!$B$3=N$3,SUMIF('TL05'!$C$10:$C$224,$C335,'TL05'!$J$10:$J$224),0),
IF('TL05'!$B$229=N$3,SUMIF('TL05'!$C$238:$C$451,$C335,'TL05'!$J$238:$J$451),0),
IF('TL06'!$B$3=N$3,SUMIF('TL06'!$C$10:$C$224,$C335,'TL06'!$J$10:$J$224),0),
IF('TL06'!$B$229=N$3,SUMIF('TL06'!$C$238:$C$451,$C335,'TL06'!$J$238:$J$451),0),
IF('TL07'!$B$3=N$3,SUMIF('TL07'!$C$10:$C$224,$C335,'TL07'!$J$10:$J$224),0),
IF('TL07'!$B$229=N$3,SUMIF('TL07'!$C$238:$C$451,$C335,'TL07'!$J$238:$J$451),0),
IF('TL08'!$B$3=N$3,SUMIF('TL08'!$C$10:$C$224,$C335,'TL08'!$J$10:$J$224),0),
IF('TL08'!$B$229=N$3,SUMIF('TL08'!$C$238:$C$451,$C335,'TL08'!$J$238:$J$451),0),
IF('TL09'!$B$3=N$3,SUMIF('TL09'!$C$10:$C$224,$C335,'TL09'!$J$10:$J$224),0),
IF('TL09'!$B$229=N$3,SUMIF('TL09'!$C$238:$C$451,$C335,'TL09'!$J$238:$J$451),0),
IF('TL10'!$B$3=N$3,SUMIF('TL10'!$C$10:$C$224,$C335,'TL10'!$J$10:$J$224),0),
IF('TL10'!$B$229=N$3,SUMIF('TL10'!$C$238:$C$451,$C335,'TL10'!$J$238:$J$451),0),
IF('TL11'!$B$3=N$3,SUMIF('TL11'!$C$10:$C$224,$C335,'TL11'!$J$10:$J$224),0),
IF('TL11'!$B$229=N$3,SUMIF('TL11'!$C$238:$C$451,$C335,'TL11'!$J$238:$J$451),0),
IF('TL12'!$B$3=N$3,SUMIF('TL12'!$C$10:$C$224,$C335,'TL12'!$J$10:$J$224),0),
IF('TL12'!$B$229=N$3,SUMIF('TL12'!$C$238:$C$451,$C335,'TL12'!$J$238:$J$451),0),
IF('TL13'!$B$3=N$3,SUMIF('TL13'!$C$10:$C$224,$C335,'TL13'!$J$10:$J$224),0),
IF('TL13'!$B$229=N$3,SUMIF('TL13'!$C$238:$C$451,$C335,'TL13'!$J$238:$J$451),0),
IF('TL14'!$B$3=N$3,SUMIF('TL14'!$C$10:$C$224,$C335,'TL14'!$J$10:$J$224),0),
IF('TL14'!$B$229=N$3,SUMIF('TL14'!$C$238:$C$451,$C335,'TL14'!$J$238:$J$451),0),
IF('TL15'!$B$3=N$3,SUMIF('TL15'!$C$10:$C$224,$C335,'TL15'!$J$10:$J$224),0),
IF('TL15'!$B$229=N$3,SUMIF('TL15'!$C$238:$C$451,$C335,'TL15'!$J$238:$J$451),0),
IF('TL16'!$B$3=N$3,SUMIF('TL16'!$C$10:$C$224,$C335,'TL16'!$J$10:$J$224),0),
IF('TL16'!$B$229=N$3,SUMIF('TL16'!$C$238:$C$451,$C335,'TL16'!$J$238:$J$451),0),
IF('TL17'!$B$3=N$3,SUMIF('TL17'!$C$10:$C$224,$C335,'TL17'!$J$10:$J$224),0),
IF('TL17'!$B$229=N$3,SUMIF('TL17'!$C$238:$C$451,$C335,'TL17'!$J$238:$J$451),0),
IF('TL18'!$B$3=N$3,SUMIF('TL18'!$C$10:$C$224,$C335,'TL18'!$J$10:$J$224),0),
IF('TL18'!$B$229=N$3,SUMIF('TL18'!$C$238:$C$451,$C335,'TL18'!$J$238:$J$451),0),
IF('TL19'!$B$3=N$3,SUMIF('TL19'!$C$10:$C$224,$C335,'TL19'!$J$10:$J$224),0),
IF('TL19'!$B$229=N$3,SUMIF('TL19'!$C$238:$C$451,$C335,'TL19'!$J$238:$J$451),0)
),0)</f>
        <v/>
      </c>
      <c r="O335" s="9">
        <f>IFERROR(SUM(
IF('TL01'!$B$3=O$3,SUMIF('TL01'!$C$10:$C$224,$C335,'TL01'!$J$10:$J$224),0),
IF('TL01'!$B$229=O$3,SUMIF('TL01'!$C$238:$C$451,$C335,'TL01'!$J$238:$J$451),0),
IF('TL02'!$B$3=O$3,SUMIF('TL02'!$C$10:$C$224,$C335,'TL02'!$J$10:$J$224),0),
IF('TL02'!$B$229=O$3,SUMIF('TL02'!$C$238:$C$451,$C335,'TL02'!$J$238:$J$451),0),
IF('TL03'!$B$3=O$3,SUMIF('TL03'!$C$10:$C$224,$C335,'TL03'!$J$10:$J$224),0),
IF('TL03'!$B$229=O$3,SUMIF('TL03'!$C$238:$C$451,$C335,'TL03'!$J$238:$J$451),0),
IF('TL04'!$B$3=O$3,SUMIF('TL04'!$C$10:$C$224,$C335,'TL04'!$J$10:$J$224),0),
IF('TL04'!$B$229=O$3,SUMIF('TL04'!$C$238:$C$451,$C335,'TL04'!$J$238:$J$451),0),
IF('TL05'!$B$3=O$3,SUMIF('TL05'!$C$10:$C$224,$C335,'TL05'!$J$10:$J$224),0),
IF('TL05'!$B$229=O$3,SUMIF('TL05'!$C$238:$C$451,$C335,'TL05'!$J$238:$J$451),0),
IF('TL06'!$B$3=O$3,SUMIF('TL06'!$C$10:$C$224,$C335,'TL06'!$J$10:$J$224),0),
IF('TL06'!$B$229=O$3,SUMIF('TL06'!$C$238:$C$451,$C335,'TL06'!$J$238:$J$451),0),
IF('TL07'!$B$3=O$3,SUMIF('TL07'!$C$10:$C$224,$C335,'TL07'!$J$10:$J$224),0),
IF('TL07'!$B$229=O$3,SUMIF('TL07'!$C$238:$C$451,$C335,'TL07'!$J$238:$J$451),0),
IF('TL08'!$B$3=O$3,SUMIF('TL08'!$C$10:$C$224,$C335,'TL08'!$J$10:$J$224),0),
IF('TL08'!$B$229=O$3,SUMIF('TL08'!$C$238:$C$451,$C335,'TL08'!$J$238:$J$451),0),
IF('TL09'!$B$3=O$3,SUMIF('TL09'!$C$10:$C$224,$C335,'TL09'!$J$10:$J$224),0),
IF('TL09'!$B$229=O$3,SUMIF('TL09'!$C$238:$C$451,$C335,'TL09'!$J$238:$J$451),0),
IF('TL10'!$B$3=O$3,SUMIF('TL10'!$C$10:$C$224,$C335,'TL10'!$J$10:$J$224),0),
IF('TL10'!$B$229=O$3,SUMIF('TL10'!$C$238:$C$451,$C335,'TL10'!$J$238:$J$451),0),
IF('TL11'!$B$3=O$3,SUMIF('TL11'!$C$10:$C$224,$C335,'TL11'!$J$10:$J$224),0),
IF('TL11'!$B$229=O$3,SUMIF('TL11'!$C$238:$C$451,$C335,'TL11'!$J$238:$J$451),0),
IF('TL12'!$B$3=O$3,SUMIF('TL12'!$C$10:$C$224,$C335,'TL12'!$J$10:$J$224),0),
IF('TL12'!$B$229=O$3,SUMIF('TL12'!$C$238:$C$451,$C335,'TL12'!$J$238:$J$451),0),
IF('TL13'!$B$3=O$3,SUMIF('TL13'!$C$10:$C$224,$C335,'TL13'!$J$10:$J$224),0),
IF('TL13'!$B$229=O$3,SUMIF('TL13'!$C$238:$C$451,$C335,'TL13'!$J$238:$J$451),0),
IF('TL14'!$B$3=O$3,SUMIF('TL14'!$C$10:$C$224,$C335,'TL14'!$J$10:$J$224),0),
IF('TL14'!$B$229=O$3,SUMIF('TL14'!$C$238:$C$451,$C335,'TL14'!$J$238:$J$451),0),
IF('TL15'!$B$3=O$3,SUMIF('TL15'!$C$10:$C$224,$C335,'TL15'!$J$10:$J$224),0),
IF('TL15'!$B$229=O$3,SUMIF('TL15'!$C$238:$C$451,$C335,'TL15'!$J$238:$J$451),0),
IF('TL16'!$B$3=O$3,SUMIF('TL16'!$C$10:$C$224,$C335,'TL16'!$J$10:$J$224),0),
IF('TL16'!$B$229=O$3,SUMIF('TL16'!$C$238:$C$451,$C335,'TL16'!$J$238:$J$451),0),
IF('TL17'!$B$3=O$3,SUMIF('TL17'!$C$10:$C$224,$C335,'TL17'!$J$10:$J$224),0),
IF('TL17'!$B$229=O$3,SUMIF('TL17'!$C$238:$C$451,$C335,'TL17'!$J$238:$J$451),0),
IF('TL18'!$B$3=O$3,SUMIF('TL18'!$C$10:$C$224,$C335,'TL18'!$J$10:$J$224),0),
IF('TL18'!$B$229=O$3,SUMIF('TL18'!$C$238:$C$451,$C335,'TL18'!$J$238:$J$451),0),
IF('TL19'!$B$3=O$3,SUMIF('TL19'!$C$10:$C$224,$C335,'TL19'!$J$10:$J$224),0),
IF('TL19'!$B$229=O$3,SUMIF('TL19'!$C$238:$C$451,$C335,'TL19'!$J$238:$J$451),0)
),0)</f>
        <v/>
      </c>
      <c r="P335" s="9">
        <f>IFERROR(SUM(
IF('TL01'!$B$3=P$3,SUMIF('TL01'!$C$10:$C$224,$C335,'TL01'!$J$10:$J$224),0),
IF('TL01'!$B$229=P$3,SUMIF('TL01'!$C$238:$C$451,$C335,'TL01'!$J$238:$J$451),0),
IF('TL02'!$B$3=P$3,SUMIF('TL02'!$C$10:$C$224,$C335,'TL02'!$J$10:$J$224),0),
IF('TL02'!$B$229=P$3,SUMIF('TL02'!$C$238:$C$451,$C335,'TL02'!$J$238:$J$451),0),
IF('TL03'!$B$3=P$3,SUMIF('TL03'!$C$10:$C$224,$C335,'TL03'!$J$10:$J$224),0),
IF('TL03'!$B$229=P$3,SUMIF('TL03'!$C$238:$C$451,$C335,'TL03'!$J$238:$J$451),0),
IF('TL04'!$B$3=P$3,SUMIF('TL04'!$C$10:$C$224,$C335,'TL04'!$J$10:$J$224),0),
IF('TL04'!$B$229=P$3,SUMIF('TL04'!$C$238:$C$451,$C335,'TL04'!$J$238:$J$451),0),
IF('TL05'!$B$3=P$3,SUMIF('TL05'!$C$10:$C$224,$C335,'TL05'!$J$10:$J$224),0),
IF('TL05'!$B$229=P$3,SUMIF('TL05'!$C$238:$C$451,$C335,'TL05'!$J$238:$J$451),0),
IF('TL06'!$B$3=P$3,SUMIF('TL06'!$C$10:$C$224,$C335,'TL06'!$J$10:$J$224),0),
IF('TL06'!$B$229=P$3,SUMIF('TL06'!$C$238:$C$451,$C335,'TL06'!$J$238:$J$451),0),
IF('TL07'!$B$3=P$3,SUMIF('TL07'!$C$10:$C$224,$C335,'TL07'!$J$10:$J$224),0),
IF('TL07'!$B$229=P$3,SUMIF('TL07'!$C$238:$C$451,$C335,'TL07'!$J$238:$J$451),0),
IF('TL08'!$B$3=P$3,SUMIF('TL08'!$C$10:$C$224,$C335,'TL08'!$J$10:$J$224),0),
IF('TL08'!$B$229=P$3,SUMIF('TL08'!$C$238:$C$451,$C335,'TL08'!$J$238:$J$451),0),
IF('TL09'!$B$3=P$3,SUMIF('TL09'!$C$10:$C$224,$C335,'TL09'!$J$10:$J$224),0),
IF('TL09'!$B$229=P$3,SUMIF('TL09'!$C$238:$C$451,$C335,'TL09'!$J$238:$J$451),0),
IF('TL10'!$B$3=P$3,SUMIF('TL10'!$C$10:$C$224,$C335,'TL10'!$J$10:$J$224),0),
IF('TL10'!$B$229=P$3,SUMIF('TL10'!$C$238:$C$451,$C335,'TL10'!$J$238:$J$451),0),
IF('TL11'!$B$3=P$3,SUMIF('TL11'!$C$10:$C$224,$C335,'TL11'!$J$10:$J$224),0),
IF('TL11'!$B$229=P$3,SUMIF('TL11'!$C$238:$C$451,$C335,'TL11'!$J$238:$J$451),0),
IF('TL12'!$B$3=P$3,SUMIF('TL12'!$C$10:$C$224,$C335,'TL12'!$J$10:$J$224),0),
IF('TL12'!$B$229=P$3,SUMIF('TL12'!$C$238:$C$451,$C335,'TL12'!$J$238:$J$451),0),
IF('TL13'!$B$3=P$3,SUMIF('TL13'!$C$10:$C$224,$C335,'TL13'!$J$10:$J$224),0),
IF('TL13'!$B$229=P$3,SUMIF('TL13'!$C$238:$C$451,$C335,'TL13'!$J$238:$J$451),0),
IF('TL14'!$B$3=P$3,SUMIF('TL14'!$C$10:$C$224,$C335,'TL14'!$J$10:$J$224),0),
IF('TL14'!$B$229=P$3,SUMIF('TL14'!$C$238:$C$451,$C335,'TL14'!$J$238:$J$451),0),
IF('TL15'!$B$3=P$3,SUMIF('TL15'!$C$10:$C$224,$C335,'TL15'!$J$10:$J$224),0),
IF('TL15'!$B$229=P$3,SUMIF('TL15'!$C$238:$C$451,$C335,'TL15'!$J$238:$J$451),0),
IF('TL16'!$B$3=P$3,SUMIF('TL16'!$C$10:$C$224,$C335,'TL16'!$J$10:$J$224),0),
IF('TL16'!$B$229=P$3,SUMIF('TL16'!$C$238:$C$451,$C335,'TL16'!$J$238:$J$451),0),
IF('TL17'!$B$3=P$3,SUMIF('TL17'!$C$10:$C$224,$C335,'TL17'!$J$10:$J$224),0),
IF('TL17'!$B$229=P$3,SUMIF('TL17'!$C$238:$C$451,$C335,'TL17'!$J$238:$J$451),0),
IF('TL18'!$B$3=P$3,SUMIF('TL18'!$C$10:$C$224,$C335,'TL18'!$J$10:$J$224),0),
IF('TL18'!$B$229=P$3,SUMIF('TL18'!$C$238:$C$451,$C335,'TL18'!$J$238:$J$451),0),
IF('TL19'!$B$3=P$3,SUMIF('TL19'!$C$10:$C$224,$C335,'TL19'!$J$10:$J$224),0),
IF('TL19'!$B$229=P$3,SUMIF('TL19'!$C$238:$C$451,$C335,'TL19'!$J$238:$J$451),0)
),0)</f>
        <v/>
      </c>
      <c r="Q335" s="9">
        <f>IFERROR(SUM(
IF('TL01'!$B$3=Q$3,SUMIF('TL01'!$C$10:$C$224,$C335,'TL01'!$J$10:$J$224),0),
IF('TL01'!$B$229=Q$3,SUMIF('TL01'!$C$238:$C$451,$C335,'TL01'!$J$238:$J$451),0),
IF('TL02'!$B$3=Q$3,SUMIF('TL02'!$C$10:$C$224,$C335,'TL02'!$J$10:$J$224),0),
IF('TL02'!$B$229=Q$3,SUMIF('TL02'!$C$238:$C$451,$C335,'TL02'!$J$238:$J$451),0),
IF('TL03'!$B$3=Q$3,SUMIF('TL03'!$C$10:$C$224,$C335,'TL03'!$J$10:$J$224),0),
IF('TL03'!$B$229=Q$3,SUMIF('TL03'!$C$238:$C$451,$C335,'TL03'!$J$238:$J$451),0),
IF('TL04'!$B$3=Q$3,SUMIF('TL04'!$C$10:$C$224,$C335,'TL04'!$J$10:$J$224),0),
IF('TL04'!$B$229=Q$3,SUMIF('TL04'!$C$238:$C$451,$C335,'TL04'!$J$238:$J$451),0),
IF('TL05'!$B$3=Q$3,SUMIF('TL05'!$C$10:$C$224,$C335,'TL05'!$J$10:$J$224),0),
IF('TL05'!$B$229=Q$3,SUMIF('TL05'!$C$238:$C$451,$C335,'TL05'!$J$238:$J$451),0),
IF('TL06'!$B$3=Q$3,SUMIF('TL06'!$C$10:$C$224,$C335,'TL06'!$J$10:$J$224),0),
IF('TL06'!$B$229=Q$3,SUMIF('TL06'!$C$238:$C$451,$C335,'TL06'!$J$238:$J$451),0),
IF('TL07'!$B$3=Q$3,SUMIF('TL07'!$C$10:$C$224,$C335,'TL07'!$J$10:$J$224),0),
IF('TL07'!$B$229=Q$3,SUMIF('TL07'!$C$238:$C$451,$C335,'TL07'!$J$238:$J$451),0),
IF('TL08'!$B$3=Q$3,SUMIF('TL08'!$C$10:$C$224,$C335,'TL08'!$J$10:$J$224),0),
IF('TL08'!$B$229=Q$3,SUMIF('TL08'!$C$238:$C$451,$C335,'TL08'!$J$238:$J$451),0),
IF('TL09'!$B$3=Q$3,SUMIF('TL09'!$C$10:$C$224,$C335,'TL09'!$J$10:$J$224),0),
IF('TL09'!$B$229=Q$3,SUMIF('TL09'!$C$238:$C$451,$C335,'TL09'!$J$238:$J$451),0),
IF('TL10'!$B$3=Q$3,SUMIF('TL10'!$C$10:$C$224,$C335,'TL10'!$J$10:$J$224),0),
IF('TL10'!$B$229=Q$3,SUMIF('TL10'!$C$238:$C$451,$C335,'TL10'!$J$238:$J$451),0),
IF('TL11'!$B$3=Q$3,SUMIF('TL11'!$C$10:$C$224,$C335,'TL11'!$J$10:$J$224),0),
IF('TL11'!$B$229=Q$3,SUMIF('TL11'!$C$238:$C$451,$C335,'TL11'!$J$238:$J$451),0),
IF('TL12'!$B$3=Q$3,SUMIF('TL12'!$C$10:$C$224,$C335,'TL12'!$J$10:$J$224),0),
IF('TL12'!$B$229=Q$3,SUMIF('TL12'!$C$238:$C$451,$C335,'TL12'!$J$238:$J$451),0),
IF('TL13'!$B$3=Q$3,SUMIF('TL13'!$C$10:$C$224,$C335,'TL13'!$J$10:$J$224),0),
IF('TL13'!$B$229=Q$3,SUMIF('TL13'!$C$238:$C$451,$C335,'TL13'!$J$238:$J$451),0),
IF('TL14'!$B$3=Q$3,SUMIF('TL14'!$C$10:$C$224,$C335,'TL14'!$J$10:$J$224),0),
IF('TL14'!$B$229=Q$3,SUMIF('TL14'!$C$238:$C$451,$C335,'TL14'!$J$238:$J$451),0),
IF('TL15'!$B$3=Q$3,SUMIF('TL15'!$C$10:$C$224,$C335,'TL15'!$J$10:$J$224),0),
IF('TL15'!$B$229=Q$3,SUMIF('TL15'!$C$238:$C$451,$C335,'TL15'!$J$238:$J$451),0),
IF('TL16'!$B$3=Q$3,SUMIF('TL16'!$C$10:$C$224,$C335,'TL16'!$J$10:$J$224),0),
IF('TL16'!$B$229=Q$3,SUMIF('TL16'!$C$238:$C$451,$C335,'TL16'!$J$238:$J$451),0),
IF('TL17'!$B$3=Q$3,SUMIF('TL17'!$C$10:$C$224,$C335,'TL17'!$J$10:$J$224),0),
IF('TL17'!$B$229=Q$3,SUMIF('TL17'!$C$238:$C$451,$C335,'TL17'!$J$238:$J$451),0),
IF('TL18'!$B$3=Q$3,SUMIF('TL18'!$C$10:$C$224,$C335,'TL18'!$J$10:$J$224),0),
IF('TL18'!$B$229=Q$3,SUMIF('TL18'!$C$238:$C$451,$C335,'TL18'!$J$238:$J$451),0),
IF('TL19'!$B$3=Q$3,SUMIF('TL19'!$C$10:$C$224,$C335,'TL19'!$J$10:$J$224),0),
IF('TL19'!$B$229=Q$3,SUMIF('TL19'!$C$238:$C$451,$C335,'TL19'!$J$238:$J$451),0)
),0)</f>
        <v/>
      </c>
      <c r="R335" s="9">
        <f>IFERROR(
SUM(
SUMIF('TL01'!C:C,C335,'TL01'!J:J),
SUMIF('TL02'!C:C,C335,'TL02'!J:J),
SUMIF('TL03'!C:C,C335,'TL03'!J:J),
SUMIF('TL04'!C:C,C335,'TL04'!J:J),
SUMIF('TL05'!C:C,C335,'TL05'!J:J),
SUMIF('TL06'!C:C,C335,'TL06'!J:J),
SUMIF('TL07'!C:C,C335,'TL07'!J:J),
SUMIF('TL08'!C:C,C335,'TL08'!J:J),
SUMIF('TL09'!C:C,C335,'TL09'!J:J),
SUMIF('TL10'!C:C,C335,'TL10'!J:J),
SUMIF('TL11'!C:C,C335,'TL11'!J:J),
SUMIF('TL12'!C:C,C335,'TL12'!J:J),
SUMIF('TL13'!C:C,C335,'TL13'!J:J),
SUMIF('TL14'!C:C,C335,'TL14'!J:J),
SUMIF('TL15'!C:C,C335,'TL15'!J:J),
SUMIF('TL16'!C:C,C335,'TL16'!J:J),
SUMIF('TL17'!C:C,C335,'TL17'!J:J),
SUMIF('TL18'!C:C,C335,'TL18'!J:J),SUMIF('TL19'!C:C,C335,'TL19'!J:J))
,0)</f>
        <v/>
      </c>
      <c r="S335" s="17">
        <f>IFERROR(__xludf.DUMMYFUNCTION("IFERROR(VLOOKUP(C335,
IMPORTRANGE(""1wULbzX32WdYsx-lj2U3uUNBBe2INVIRDtcK0d-Dvl90"",
""26-27!C:G""),
5,
FALSE),
"""")"),"")</f>
        <v/>
      </c>
      <c r="T335" s="9" t="n"/>
      <c r="U335" s="92">
        <f>MAX(0,R335-T335)</f>
        <v/>
      </c>
      <c r="V335" s="93">
        <f>U335*S335</f>
        <v/>
      </c>
    </row>
    <row r="336" hidden="1" ht="15.75" customHeight="1" s="297">
      <c r="A336" s="4" t="n"/>
      <c r="B336" s="125" t="inlineStr">
        <is>
          <t>SEMENTE</t>
        </is>
      </c>
      <c r="C336" s="20" t="n"/>
      <c r="D336" s="20" t="n"/>
      <c r="E336" s="9" t="n"/>
      <c r="F336" s="4" t="n"/>
      <c r="G336" s="90">
        <f>HYPERLINK("https://www.google.com/search?q=" &amp; C336 &amp; "+bula+agrofit+pdf", "📄 Ver bula")</f>
        <v/>
      </c>
      <c r="H336" s="9" t="n"/>
      <c r="I336" s="1" t="n"/>
      <c r="J336" s="9">
        <f>IFERROR(SUM(
IF('TL01'!$B$3=J$3,SUMIF('TL01'!$C$10:$C$224,$C336,'TL01'!$J$10:$J$224),0),
IF('TL01'!$B$229=J$3,SUMIF('TL01'!$C$238:$C$451,$C336,'TL01'!$J$238:$J$451),0),
IF('TL02'!$B$3=J$3,SUMIF('TL02'!$C$10:$C$224,$C336,'TL02'!$J$10:$J$224),0),
IF('TL02'!$B$229=J$3,SUMIF('TL02'!$C$238:$C$451,$C336,'TL02'!$J$238:$J$451),0),
IF('TL03'!$B$3=J$3,SUMIF('TL03'!$C$10:$C$224,$C336,'TL03'!$J$10:$J$224),0),
IF('TL03'!$B$229=J$3,SUMIF('TL03'!$C$238:$C$451,$C336,'TL03'!$J$238:$J$451),0),
IF('TL04'!$B$3=J$3,SUMIF('TL04'!$C$10:$C$224,$C336,'TL04'!$J$10:$J$224),0),
IF('TL04'!$B$229=J$3,SUMIF('TL04'!$C$238:$C$451,$C336,'TL04'!$J$238:$J$451),0),
IF('TL05'!$B$3=J$3,SUMIF('TL05'!$C$10:$C$224,$C336,'TL05'!$J$10:$J$224),0),
IF('TL05'!$B$229=J$3,SUMIF('TL05'!$C$238:$C$451,$C336,'TL05'!$J$238:$J$451),0),
IF('TL06'!$B$3=J$3,SUMIF('TL06'!$C$10:$C$224,$C336,'TL06'!$J$10:$J$224),0),
IF('TL06'!$B$229=J$3,SUMIF('TL06'!$C$238:$C$451,$C336,'TL06'!$J$238:$J$451),0),
IF('TL07'!$B$3=J$3,SUMIF('TL07'!$C$10:$C$224,$C336,'TL07'!$J$10:$J$224),0),
IF('TL07'!$B$229=J$3,SUMIF('TL07'!$C$238:$C$451,$C336,'TL07'!$J$238:$J$451),0),
IF('TL08'!$B$3=J$3,SUMIF('TL08'!$C$10:$C$224,$C336,'TL08'!$J$10:$J$224),0),
IF('TL08'!$B$229=J$3,SUMIF('TL08'!$C$238:$C$451,$C336,'TL08'!$J$238:$J$451),0),
IF('TL09'!$B$3=J$3,SUMIF('TL09'!$C$10:$C$224,$C336,'TL09'!$J$10:$J$224),0),
IF('TL09'!$B$229=J$3,SUMIF('TL09'!$C$238:$C$451,$C336,'TL09'!$J$238:$J$451),0),
IF('TL10'!$B$3=J$3,SUMIF('TL10'!$C$10:$C$224,$C336,'TL10'!$J$10:$J$224),0),
IF('TL10'!$B$229=J$3,SUMIF('TL10'!$C$238:$C$451,$C336,'TL10'!$J$238:$J$451),0),
IF('TL11'!$B$3=J$3,SUMIF('TL11'!$C$10:$C$224,$C336,'TL11'!$J$10:$J$224),0),
IF('TL11'!$B$229=J$3,SUMIF('TL11'!$C$238:$C$451,$C336,'TL11'!$J$238:$J$451),0),
IF('TL12'!$B$3=J$3,SUMIF('TL12'!$C$10:$C$224,$C336,'TL12'!$J$10:$J$224),0),
IF('TL12'!$B$229=J$3,SUMIF('TL12'!$C$238:$C$451,$C336,'TL12'!$J$238:$J$451),0),
IF('TL13'!$B$3=J$3,SUMIF('TL13'!$C$10:$C$224,$C336,'TL13'!$J$10:$J$224),0),
IF('TL13'!$B$229=J$3,SUMIF('TL13'!$C$238:$C$451,$C336,'TL13'!$J$238:$J$451),0),
IF('TL14'!$B$3=J$3,SUMIF('TL14'!$C$10:$C$224,$C336,'TL14'!$J$10:$J$224),0),
IF('TL14'!$B$229=J$3,SUMIF('TL14'!$C$238:$C$451,$C336,'TL14'!$J$238:$J$451),0),
IF('TL15'!$B$3=J$3,SUMIF('TL15'!$C$10:$C$224,$C336,'TL15'!$J$10:$J$224),0),
IF('TL15'!$B$229=J$3,SUMIF('TL15'!$C$238:$C$451,$C336,'TL15'!$J$238:$J$451),0),
IF('TL16'!$B$3=J$3,SUMIF('TL16'!$C$10:$C$224,$C336,'TL16'!$J$10:$J$224),0),
IF('TL16'!$B$229=J$3,SUMIF('TL16'!$C$238:$C$451,$C336,'TL16'!$J$238:$J$451),0),
IF('TL17'!$B$3=J$3,SUMIF('TL17'!$C$10:$C$224,$C336,'TL17'!$J$10:$J$224),0),
IF('TL17'!$B$229=J$3,SUMIF('TL17'!$C$238:$C$451,$C336,'TL17'!$J$238:$J$451),0),
IF('TL18'!$B$3=J$3,SUMIF('TL18'!$C$10:$C$224,$C336,'TL18'!$J$10:$J$224),0),
IF('TL18'!$B$229=J$3,SUMIF('TL18'!$C$238:$C$451,$C336,'TL18'!$J$238:$J$451),0),
IF('TL19'!$B$3=J$3,SUMIF('TL19'!$C$10:$C$224,$C336,'TL19'!$J$10:$J$224),0),
IF('TL19'!$B$229=J$3,SUMIF('TL19'!$C$238:$C$451,$C336,'TL19'!$J$238:$J$451),0)
),0)</f>
        <v/>
      </c>
      <c r="K336" s="9">
        <f>IFERROR(SUM(
IF('TL01'!$B$3=K$3,SUMIF('TL01'!$C$10:$C$224,$C336,'TL01'!$J$10:$J$224),0),
IF('TL01'!$B$229=K$3,SUMIF('TL01'!$C$238:$C$451,$C336,'TL01'!$J$238:$J$451),0),
IF('TL02'!$B$3=K$3,SUMIF('TL02'!$C$10:$C$224,$C336,'TL02'!$J$10:$J$224),0),
IF('TL02'!$B$229=K$3,SUMIF('TL02'!$C$238:$C$451,$C336,'TL02'!$J$238:$J$451),0),
IF('TL03'!$B$3=K$3,SUMIF('TL03'!$C$10:$C$224,$C336,'TL03'!$J$10:$J$224),0),
IF('TL03'!$B$229=K$3,SUMIF('TL03'!$C$238:$C$451,$C336,'TL03'!$J$238:$J$451),0),
IF('TL04'!$B$3=K$3,SUMIF('TL04'!$C$10:$C$224,$C336,'TL04'!$J$10:$J$224),0),
IF('TL04'!$B$229=K$3,SUMIF('TL04'!$C$238:$C$451,$C336,'TL04'!$J$238:$J$451),0),
IF('TL05'!$B$3=K$3,SUMIF('TL05'!$C$10:$C$224,$C336,'TL05'!$J$10:$J$224),0),
IF('TL05'!$B$229=K$3,SUMIF('TL05'!$C$238:$C$451,$C336,'TL05'!$J$238:$J$451),0),
IF('TL06'!$B$3=K$3,SUMIF('TL06'!$C$10:$C$224,$C336,'TL06'!$J$10:$J$224),0),
IF('TL06'!$B$229=K$3,SUMIF('TL06'!$C$238:$C$451,$C336,'TL06'!$J$238:$J$451),0),
IF('TL07'!$B$3=K$3,SUMIF('TL07'!$C$10:$C$224,$C336,'TL07'!$J$10:$J$224),0),
IF('TL07'!$B$229=K$3,SUMIF('TL07'!$C$238:$C$451,$C336,'TL07'!$J$238:$J$451),0),
IF('TL08'!$B$3=K$3,SUMIF('TL08'!$C$10:$C$224,$C336,'TL08'!$J$10:$J$224),0),
IF('TL08'!$B$229=K$3,SUMIF('TL08'!$C$238:$C$451,$C336,'TL08'!$J$238:$J$451),0),
IF('TL09'!$B$3=K$3,SUMIF('TL09'!$C$10:$C$224,$C336,'TL09'!$J$10:$J$224),0),
IF('TL09'!$B$229=K$3,SUMIF('TL09'!$C$238:$C$451,$C336,'TL09'!$J$238:$J$451),0),
IF('TL10'!$B$3=K$3,SUMIF('TL10'!$C$10:$C$224,$C336,'TL10'!$J$10:$J$224),0),
IF('TL10'!$B$229=K$3,SUMIF('TL10'!$C$238:$C$451,$C336,'TL10'!$J$238:$J$451),0),
IF('TL11'!$B$3=K$3,SUMIF('TL11'!$C$10:$C$224,$C336,'TL11'!$J$10:$J$224),0),
IF('TL11'!$B$229=K$3,SUMIF('TL11'!$C$238:$C$451,$C336,'TL11'!$J$238:$J$451),0),
IF('TL12'!$B$3=K$3,SUMIF('TL12'!$C$10:$C$224,$C336,'TL12'!$J$10:$J$224),0),
IF('TL12'!$B$229=K$3,SUMIF('TL12'!$C$238:$C$451,$C336,'TL12'!$J$238:$J$451),0),
IF('TL13'!$B$3=K$3,SUMIF('TL13'!$C$10:$C$224,$C336,'TL13'!$J$10:$J$224),0),
IF('TL13'!$B$229=K$3,SUMIF('TL13'!$C$238:$C$451,$C336,'TL13'!$J$238:$J$451),0),
IF('TL14'!$B$3=K$3,SUMIF('TL14'!$C$10:$C$224,$C336,'TL14'!$J$10:$J$224),0),
IF('TL14'!$B$229=K$3,SUMIF('TL14'!$C$238:$C$451,$C336,'TL14'!$J$238:$J$451),0),
IF('TL15'!$B$3=K$3,SUMIF('TL15'!$C$10:$C$224,$C336,'TL15'!$J$10:$J$224),0),
IF('TL15'!$B$229=K$3,SUMIF('TL15'!$C$238:$C$451,$C336,'TL15'!$J$238:$J$451),0),
IF('TL16'!$B$3=K$3,SUMIF('TL16'!$C$10:$C$224,$C336,'TL16'!$J$10:$J$224),0),
IF('TL16'!$B$229=K$3,SUMIF('TL16'!$C$238:$C$451,$C336,'TL16'!$J$238:$J$451),0),
IF('TL17'!$B$3=K$3,SUMIF('TL17'!$C$10:$C$224,$C336,'TL17'!$J$10:$J$224),0),
IF('TL17'!$B$229=K$3,SUMIF('TL17'!$C$238:$C$451,$C336,'TL17'!$J$238:$J$451),0),
IF('TL18'!$B$3=K$3,SUMIF('TL18'!$C$10:$C$224,$C336,'TL18'!$J$10:$J$224),0),
IF('TL18'!$B$229=K$3,SUMIF('TL18'!$C$238:$C$451,$C336,'TL18'!$J$238:$J$451),0),
IF('TL19'!$B$3=K$3,SUMIF('TL19'!$C$10:$C$224,$C336,'TL19'!$J$10:$J$224),0),
IF('TL19'!$B$229=K$3,SUMIF('TL19'!$C$238:$C$451,$C336,'TL19'!$J$238:$J$451),0)
),0)</f>
        <v/>
      </c>
      <c r="L336" s="9">
        <f>IFERROR(SUM(
IF('TL01'!$B$3=L$3,SUMIF('TL01'!$C$10:$C$224,$C336,'TL01'!$J$10:$J$224),0),
IF('TL01'!$B$229=L$3,SUMIF('TL01'!$C$238:$C$451,$C336,'TL01'!$J$238:$J$451),0),
IF('TL02'!$B$3=L$3,SUMIF('TL02'!$C$10:$C$224,$C336,'TL02'!$J$10:$J$224),0),
IF('TL02'!$B$229=L$3,SUMIF('TL02'!$C$238:$C$451,$C336,'TL02'!$J$238:$J$451),0),
IF('TL03'!$B$3=L$3,SUMIF('TL03'!$C$10:$C$224,$C336,'TL03'!$J$10:$J$224),0),
IF('TL03'!$B$229=L$3,SUMIF('TL03'!$C$238:$C$451,$C336,'TL03'!$J$238:$J$451),0),
IF('TL04'!$B$3=L$3,SUMIF('TL04'!$C$10:$C$224,$C336,'TL04'!$J$10:$J$224),0),
IF('TL04'!$B$229=L$3,SUMIF('TL04'!$C$238:$C$451,$C336,'TL04'!$J$238:$J$451),0),
IF('TL05'!$B$3=L$3,SUMIF('TL05'!$C$10:$C$224,$C336,'TL05'!$J$10:$J$224),0),
IF('TL05'!$B$229=L$3,SUMIF('TL05'!$C$238:$C$451,$C336,'TL05'!$J$238:$J$451),0),
IF('TL06'!$B$3=L$3,SUMIF('TL06'!$C$10:$C$224,$C336,'TL06'!$J$10:$J$224),0),
IF('TL06'!$B$229=L$3,SUMIF('TL06'!$C$238:$C$451,$C336,'TL06'!$J$238:$J$451),0),
IF('TL07'!$B$3=L$3,SUMIF('TL07'!$C$10:$C$224,$C336,'TL07'!$J$10:$J$224),0),
IF('TL07'!$B$229=L$3,SUMIF('TL07'!$C$238:$C$451,$C336,'TL07'!$J$238:$J$451),0),
IF('TL08'!$B$3=L$3,SUMIF('TL08'!$C$10:$C$224,$C336,'TL08'!$J$10:$J$224),0),
IF('TL08'!$B$229=L$3,SUMIF('TL08'!$C$238:$C$451,$C336,'TL08'!$J$238:$J$451),0),
IF('TL09'!$B$3=L$3,SUMIF('TL09'!$C$10:$C$224,$C336,'TL09'!$J$10:$J$224),0),
IF('TL09'!$B$229=L$3,SUMIF('TL09'!$C$238:$C$451,$C336,'TL09'!$J$238:$J$451),0),
IF('TL10'!$B$3=L$3,SUMIF('TL10'!$C$10:$C$224,$C336,'TL10'!$J$10:$J$224),0),
IF('TL10'!$B$229=L$3,SUMIF('TL10'!$C$238:$C$451,$C336,'TL10'!$J$238:$J$451),0),
IF('TL11'!$B$3=L$3,SUMIF('TL11'!$C$10:$C$224,$C336,'TL11'!$J$10:$J$224),0),
IF('TL11'!$B$229=L$3,SUMIF('TL11'!$C$238:$C$451,$C336,'TL11'!$J$238:$J$451),0),
IF('TL12'!$B$3=L$3,SUMIF('TL12'!$C$10:$C$224,$C336,'TL12'!$J$10:$J$224),0),
IF('TL12'!$B$229=L$3,SUMIF('TL12'!$C$238:$C$451,$C336,'TL12'!$J$238:$J$451),0),
IF('TL13'!$B$3=L$3,SUMIF('TL13'!$C$10:$C$224,$C336,'TL13'!$J$10:$J$224),0),
IF('TL13'!$B$229=L$3,SUMIF('TL13'!$C$238:$C$451,$C336,'TL13'!$J$238:$J$451),0),
IF('TL14'!$B$3=L$3,SUMIF('TL14'!$C$10:$C$224,$C336,'TL14'!$J$10:$J$224),0),
IF('TL14'!$B$229=L$3,SUMIF('TL14'!$C$238:$C$451,$C336,'TL14'!$J$238:$J$451),0),
IF('TL15'!$B$3=L$3,SUMIF('TL15'!$C$10:$C$224,$C336,'TL15'!$J$10:$J$224),0),
IF('TL15'!$B$229=L$3,SUMIF('TL15'!$C$238:$C$451,$C336,'TL15'!$J$238:$J$451),0),
IF('TL16'!$B$3=L$3,SUMIF('TL16'!$C$10:$C$224,$C336,'TL16'!$J$10:$J$224),0),
IF('TL16'!$B$229=L$3,SUMIF('TL16'!$C$238:$C$451,$C336,'TL16'!$J$238:$J$451),0),
IF('TL17'!$B$3=L$3,SUMIF('TL17'!$C$10:$C$224,$C336,'TL17'!$J$10:$J$224),0),
IF('TL17'!$B$229=L$3,SUMIF('TL17'!$C$238:$C$451,$C336,'TL17'!$J$238:$J$451),0),
IF('TL18'!$B$3=L$3,SUMIF('TL18'!$C$10:$C$224,$C336,'TL18'!$J$10:$J$224),0),
IF('TL18'!$B$229=L$3,SUMIF('TL18'!$C$238:$C$451,$C336,'TL18'!$J$238:$J$451),0),
IF('TL19'!$B$3=L$3,SUMIF('TL19'!$C$10:$C$224,$C336,'TL19'!$J$10:$J$224),0),
IF('TL19'!$B$229=L$3,SUMIF('TL19'!$C$238:$C$451,$C336,'TL19'!$J$238:$J$451),0)
),0)</f>
        <v/>
      </c>
      <c r="M336" s="9">
        <f>IFERROR(SUM(
IF('TL01'!$B$3=M$3,SUMIF('TL01'!$C$10:$C$224,$C336,'TL01'!$J$10:$J$224),0),
IF('TL01'!$B$229=M$3,SUMIF('TL01'!$C$238:$C$451,$C336,'TL01'!$J$238:$J$451),0),
IF('TL02'!$B$3=M$3,SUMIF('TL02'!$C$10:$C$224,$C336,'TL02'!$J$10:$J$224),0),
IF('TL02'!$B$229=M$3,SUMIF('TL02'!$C$238:$C$451,$C336,'TL02'!$J$238:$J$451),0),
IF('TL03'!$B$3=M$3,SUMIF('TL03'!$C$10:$C$224,$C336,'TL03'!$J$10:$J$224),0),
IF('TL03'!$B$229=M$3,SUMIF('TL03'!$C$238:$C$451,$C336,'TL03'!$J$238:$J$451),0),
IF('TL04'!$B$3=M$3,SUMIF('TL04'!$C$10:$C$224,$C336,'TL04'!$J$10:$J$224),0),
IF('TL04'!$B$229=M$3,SUMIF('TL04'!$C$238:$C$451,$C336,'TL04'!$J$238:$J$451),0),
IF('TL05'!$B$3=M$3,SUMIF('TL05'!$C$10:$C$224,$C336,'TL05'!$J$10:$J$224),0),
IF('TL05'!$B$229=M$3,SUMIF('TL05'!$C$238:$C$451,$C336,'TL05'!$J$238:$J$451),0),
IF('TL06'!$B$3=M$3,SUMIF('TL06'!$C$10:$C$224,$C336,'TL06'!$J$10:$J$224),0),
IF('TL06'!$B$229=M$3,SUMIF('TL06'!$C$238:$C$451,$C336,'TL06'!$J$238:$J$451),0),
IF('TL07'!$B$3=M$3,SUMIF('TL07'!$C$10:$C$224,$C336,'TL07'!$J$10:$J$224),0),
IF('TL07'!$B$229=M$3,SUMIF('TL07'!$C$238:$C$451,$C336,'TL07'!$J$238:$J$451),0),
IF('TL08'!$B$3=M$3,SUMIF('TL08'!$C$10:$C$224,$C336,'TL08'!$J$10:$J$224),0),
IF('TL08'!$B$229=M$3,SUMIF('TL08'!$C$238:$C$451,$C336,'TL08'!$J$238:$J$451),0),
IF('TL09'!$B$3=M$3,SUMIF('TL09'!$C$10:$C$224,$C336,'TL09'!$J$10:$J$224),0),
IF('TL09'!$B$229=M$3,SUMIF('TL09'!$C$238:$C$451,$C336,'TL09'!$J$238:$J$451),0),
IF('TL10'!$B$3=M$3,SUMIF('TL10'!$C$10:$C$224,$C336,'TL10'!$J$10:$J$224),0),
IF('TL10'!$B$229=M$3,SUMIF('TL10'!$C$238:$C$451,$C336,'TL10'!$J$238:$J$451),0),
IF('TL11'!$B$3=M$3,SUMIF('TL11'!$C$10:$C$224,$C336,'TL11'!$J$10:$J$224),0),
IF('TL11'!$B$229=M$3,SUMIF('TL11'!$C$238:$C$451,$C336,'TL11'!$J$238:$J$451),0),
IF('TL12'!$B$3=M$3,SUMIF('TL12'!$C$10:$C$224,$C336,'TL12'!$J$10:$J$224),0),
IF('TL12'!$B$229=M$3,SUMIF('TL12'!$C$238:$C$451,$C336,'TL12'!$J$238:$J$451),0),
IF('TL13'!$B$3=M$3,SUMIF('TL13'!$C$10:$C$224,$C336,'TL13'!$J$10:$J$224),0),
IF('TL13'!$B$229=M$3,SUMIF('TL13'!$C$238:$C$451,$C336,'TL13'!$J$238:$J$451),0),
IF('TL14'!$B$3=M$3,SUMIF('TL14'!$C$10:$C$224,$C336,'TL14'!$J$10:$J$224),0),
IF('TL14'!$B$229=M$3,SUMIF('TL14'!$C$238:$C$451,$C336,'TL14'!$J$238:$J$451),0),
IF('TL15'!$B$3=M$3,SUMIF('TL15'!$C$10:$C$224,$C336,'TL15'!$J$10:$J$224),0),
IF('TL15'!$B$229=M$3,SUMIF('TL15'!$C$238:$C$451,$C336,'TL15'!$J$238:$J$451),0),
IF('TL16'!$B$3=M$3,SUMIF('TL16'!$C$10:$C$224,$C336,'TL16'!$J$10:$J$224),0),
IF('TL16'!$B$229=M$3,SUMIF('TL16'!$C$238:$C$451,$C336,'TL16'!$J$238:$J$451),0),
IF('TL17'!$B$3=M$3,SUMIF('TL17'!$C$10:$C$224,$C336,'TL17'!$J$10:$J$224),0),
IF('TL17'!$B$229=M$3,SUMIF('TL17'!$C$238:$C$451,$C336,'TL17'!$J$238:$J$451),0),
IF('TL18'!$B$3=M$3,SUMIF('TL18'!$C$10:$C$224,$C336,'TL18'!$J$10:$J$224),0),
IF('TL18'!$B$229=M$3,SUMIF('TL18'!$C$238:$C$451,$C336,'TL18'!$J$238:$J$451),0),
IF('TL19'!$B$3=M$3,SUMIF('TL19'!$C$10:$C$224,$C336,'TL19'!$J$10:$J$224),0),
IF('TL19'!$B$229=M$3,SUMIF('TL19'!$C$238:$C$451,$C336,'TL19'!$J$238:$J$451),0)
),0)</f>
        <v/>
      </c>
      <c r="N336" s="9">
        <f>IFERROR(SUM(
IF('TL01'!$B$3=N$3,SUMIF('TL01'!$C$10:$C$224,$C336,'TL01'!$J$10:$J$224),0),
IF('TL01'!$B$229=N$3,SUMIF('TL01'!$C$238:$C$451,$C336,'TL01'!$J$238:$J$451),0),
IF('TL02'!$B$3=N$3,SUMIF('TL02'!$C$10:$C$224,$C336,'TL02'!$J$10:$J$224),0),
IF('TL02'!$B$229=N$3,SUMIF('TL02'!$C$238:$C$451,$C336,'TL02'!$J$238:$J$451),0),
IF('TL03'!$B$3=N$3,SUMIF('TL03'!$C$10:$C$224,$C336,'TL03'!$J$10:$J$224),0),
IF('TL03'!$B$229=N$3,SUMIF('TL03'!$C$238:$C$451,$C336,'TL03'!$J$238:$J$451),0),
IF('TL04'!$B$3=N$3,SUMIF('TL04'!$C$10:$C$224,$C336,'TL04'!$J$10:$J$224),0),
IF('TL04'!$B$229=N$3,SUMIF('TL04'!$C$238:$C$451,$C336,'TL04'!$J$238:$J$451),0),
IF('TL05'!$B$3=N$3,SUMIF('TL05'!$C$10:$C$224,$C336,'TL05'!$J$10:$J$224),0),
IF('TL05'!$B$229=N$3,SUMIF('TL05'!$C$238:$C$451,$C336,'TL05'!$J$238:$J$451),0),
IF('TL06'!$B$3=N$3,SUMIF('TL06'!$C$10:$C$224,$C336,'TL06'!$J$10:$J$224),0),
IF('TL06'!$B$229=N$3,SUMIF('TL06'!$C$238:$C$451,$C336,'TL06'!$J$238:$J$451),0),
IF('TL07'!$B$3=N$3,SUMIF('TL07'!$C$10:$C$224,$C336,'TL07'!$J$10:$J$224),0),
IF('TL07'!$B$229=N$3,SUMIF('TL07'!$C$238:$C$451,$C336,'TL07'!$J$238:$J$451),0),
IF('TL08'!$B$3=N$3,SUMIF('TL08'!$C$10:$C$224,$C336,'TL08'!$J$10:$J$224),0),
IF('TL08'!$B$229=N$3,SUMIF('TL08'!$C$238:$C$451,$C336,'TL08'!$J$238:$J$451),0),
IF('TL09'!$B$3=N$3,SUMIF('TL09'!$C$10:$C$224,$C336,'TL09'!$J$10:$J$224),0),
IF('TL09'!$B$229=N$3,SUMIF('TL09'!$C$238:$C$451,$C336,'TL09'!$J$238:$J$451),0),
IF('TL10'!$B$3=N$3,SUMIF('TL10'!$C$10:$C$224,$C336,'TL10'!$J$10:$J$224),0),
IF('TL10'!$B$229=N$3,SUMIF('TL10'!$C$238:$C$451,$C336,'TL10'!$J$238:$J$451),0),
IF('TL11'!$B$3=N$3,SUMIF('TL11'!$C$10:$C$224,$C336,'TL11'!$J$10:$J$224),0),
IF('TL11'!$B$229=N$3,SUMIF('TL11'!$C$238:$C$451,$C336,'TL11'!$J$238:$J$451),0),
IF('TL12'!$B$3=N$3,SUMIF('TL12'!$C$10:$C$224,$C336,'TL12'!$J$10:$J$224),0),
IF('TL12'!$B$229=N$3,SUMIF('TL12'!$C$238:$C$451,$C336,'TL12'!$J$238:$J$451),0),
IF('TL13'!$B$3=N$3,SUMIF('TL13'!$C$10:$C$224,$C336,'TL13'!$J$10:$J$224),0),
IF('TL13'!$B$229=N$3,SUMIF('TL13'!$C$238:$C$451,$C336,'TL13'!$J$238:$J$451),0),
IF('TL14'!$B$3=N$3,SUMIF('TL14'!$C$10:$C$224,$C336,'TL14'!$J$10:$J$224),0),
IF('TL14'!$B$229=N$3,SUMIF('TL14'!$C$238:$C$451,$C336,'TL14'!$J$238:$J$451),0),
IF('TL15'!$B$3=N$3,SUMIF('TL15'!$C$10:$C$224,$C336,'TL15'!$J$10:$J$224),0),
IF('TL15'!$B$229=N$3,SUMIF('TL15'!$C$238:$C$451,$C336,'TL15'!$J$238:$J$451),0),
IF('TL16'!$B$3=N$3,SUMIF('TL16'!$C$10:$C$224,$C336,'TL16'!$J$10:$J$224),0),
IF('TL16'!$B$229=N$3,SUMIF('TL16'!$C$238:$C$451,$C336,'TL16'!$J$238:$J$451),0),
IF('TL17'!$B$3=N$3,SUMIF('TL17'!$C$10:$C$224,$C336,'TL17'!$J$10:$J$224),0),
IF('TL17'!$B$229=N$3,SUMIF('TL17'!$C$238:$C$451,$C336,'TL17'!$J$238:$J$451),0),
IF('TL18'!$B$3=N$3,SUMIF('TL18'!$C$10:$C$224,$C336,'TL18'!$J$10:$J$224),0),
IF('TL18'!$B$229=N$3,SUMIF('TL18'!$C$238:$C$451,$C336,'TL18'!$J$238:$J$451),0),
IF('TL19'!$B$3=N$3,SUMIF('TL19'!$C$10:$C$224,$C336,'TL19'!$J$10:$J$224),0),
IF('TL19'!$B$229=N$3,SUMIF('TL19'!$C$238:$C$451,$C336,'TL19'!$J$238:$J$451),0)
),0)</f>
        <v/>
      </c>
      <c r="O336" s="9">
        <f>IFERROR(SUM(
IF('TL01'!$B$3=O$3,SUMIF('TL01'!$C$10:$C$224,$C336,'TL01'!$J$10:$J$224),0),
IF('TL01'!$B$229=O$3,SUMIF('TL01'!$C$238:$C$451,$C336,'TL01'!$J$238:$J$451),0),
IF('TL02'!$B$3=O$3,SUMIF('TL02'!$C$10:$C$224,$C336,'TL02'!$J$10:$J$224),0),
IF('TL02'!$B$229=O$3,SUMIF('TL02'!$C$238:$C$451,$C336,'TL02'!$J$238:$J$451),0),
IF('TL03'!$B$3=O$3,SUMIF('TL03'!$C$10:$C$224,$C336,'TL03'!$J$10:$J$224),0),
IF('TL03'!$B$229=O$3,SUMIF('TL03'!$C$238:$C$451,$C336,'TL03'!$J$238:$J$451),0),
IF('TL04'!$B$3=O$3,SUMIF('TL04'!$C$10:$C$224,$C336,'TL04'!$J$10:$J$224),0),
IF('TL04'!$B$229=O$3,SUMIF('TL04'!$C$238:$C$451,$C336,'TL04'!$J$238:$J$451),0),
IF('TL05'!$B$3=O$3,SUMIF('TL05'!$C$10:$C$224,$C336,'TL05'!$J$10:$J$224),0),
IF('TL05'!$B$229=O$3,SUMIF('TL05'!$C$238:$C$451,$C336,'TL05'!$J$238:$J$451),0),
IF('TL06'!$B$3=O$3,SUMIF('TL06'!$C$10:$C$224,$C336,'TL06'!$J$10:$J$224),0),
IF('TL06'!$B$229=O$3,SUMIF('TL06'!$C$238:$C$451,$C336,'TL06'!$J$238:$J$451),0),
IF('TL07'!$B$3=O$3,SUMIF('TL07'!$C$10:$C$224,$C336,'TL07'!$J$10:$J$224),0),
IF('TL07'!$B$229=O$3,SUMIF('TL07'!$C$238:$C$451,$C336,'TL07'!$J$238:$J$451),0),
IF('TL08'!$B$3=O$3,SUMIF('TL08'!$C$10:$C$224,$C336,'TL08'!$J$10:$J$224),0),
IF('TL08'!$B$229=O$3,SUMIF('TL08'!$C$238:$C$451,$C336,'TL08'!$J$238:$J$451),0),
IF('TL09'!$B$3=O$3,SUMIF('TL09'!$C$10:$C$224,$C336,'TL09'!$J$10:$J$224),0),
IF('TL09'!$B$229=O$3,SUMIF('TL09'!$C$238:$C$451,$C336,'TL09'!$J$238:$J$451),0),
IF('TL10'!$B$3=O$3,SUMIF('TL10'!$C$10:$C$224,$C336,'TL10'!$J$10:$J$224),0),
IF('TL10'!$B$229=O$3,SUMIF('TL10'!$C$238:$C$451,$C336,'TL10'!$J$238:$J$451),0),
IF('TL11'!$B$3=O$3,SUMIF('TL11'!$C$10:$C$224,$C336,'TL11'!$J$10:$J$224),0),
IF('TL11'!$B$229=O$3,SUMIF('TL11'!$C$238:$C$451,$C336,'TL11'!$J$238:$J$451),0),
IF('TL12'!$B$3=O$3,SUMIF('TL12'!$C$10:$C$224,$C336,'TL12'!$J$10:$J$224),0),
IF('TL12'!$B$229=O$3,SUMIF('TL12'!$C$238:$C$451,$C336,'TL12'!$J$238:$J$451),0),
IF('TL13'!$B$3=O$3,SUMIF('TL13'!$C$10:$C$224,$C336,'TL13'!$J$10:$J$224),0),
IF('TL13'!$B$229=O$3,SUMIF('TL13'!$C$238:$C$451,$C336,'TL13'!$J$238:$J$451),0),
IF('TL14'!$B$3=O$3,SUMIF('TL14'!$C$10:$C$224,$C336,'TL14'!$J$10:$J$224),0),
IF('TL14'!$B$229=O$3,SUMIF('TL14'!$C$238:$C$451,$C336,'TL14'!$J$238:$J$451),0),
IF('TL15'!$B$3=O$3,SUMIF('TL15'!$C$10:$C$224,$C336,'TL15'!$J$10:$J$224),0),
IF('TL15'!$B$229=O$3,SUMIF('TL15'!$C$238:$C$451,$C336,'TL15'!$J$238:$J$451),0),
IF('TL16'!$B$3=O$3,SUMIF('TL16'!$C$10:$C$224,$C336,'TL16'!$J$10:$J$224),0),
IF('TL16'!$B$229=O$3,SUMIF('TL16'!$C$238:$C$451,$C336,'TL16'!$J$238:$J$451),0),
IF('TL17'!$B$3=O$3,SUMIF('TL17'!$C$10:$C$224,$C336,'TL17'!$J$10:$J$224),0),
IF('TL17'!$B$229=O$3,SUMIF('TL17'!$C$238:$C$451,$C336,'TL17'!$J$238:$J$451),0),
IF('TL18'!$B$3=O$3,SUMIF('TL18'!$C$10:$C$224,$C336,'TL18'!$J$10:$J$224),0),
IF('TL18'!$B$229=O$3,SUMIF('TL18'!$C$238:$C$451,$C336,'TL18'!$J$238:$J$451),0),
IF('TL19'!$B$3=O$3,SUMIF('TL19'!$C$10:$C$224,$C336,'TL19'!$J$10:$J$224),0),
IF('TL19'!$B$229=O$3,SUMIF('TL19'!$C$238:$C$451,$C336,'TL19'!$J$238:$J$451),0)
),0)</f>
        <v/>
      </c>
      <c r="P336" s="9">
        <f>IFERROR(SUM(
IF('TL01'!$B$3=P$3,SUMIF('TL01'!$C$10:$C$224,$C336,'TL01'!$J$10:$J$224),0),
IF('TL01'!$B$229=P$3,SUMIF('TL01'!$C$238:$C$451,$C336,'TL01'!$J$238:$J$451),0),
IF('TL02'!$B$3=P$3,SUMIF('TL02'!$C$10:$C$224,$C336,'TL02'!$J$10:$J$224),0),
IF('TL02'!$B$229=P$3,SUMIF('TL02'!$C$238:$C$451,$C336,'TL02'!$J$238:$J$451),0),
IF('TL03'!$B$3=P$3,SUMIF('TL03'!$C$10:$C$224,$C336,'TL03'!$J$10:$J$224),0),
IF('TL03'!$B$229=P$3,SUMIF('TL03'!$C$238:$C$451,$C336,'TL03'!$J$238:$J$451),0),
IF('TL04'!$B$3=P$3,SUMIF('TL04'!$C$10:$C$224,$C336,'TL04'!$J$10:$J$224),0),
IF('TL04'!$B$229=P$3,SUMIF('TL04'!$C$238:$C$451,$C336,'TL04'!$J$238:$J$451),0),
IF('TL05'!$B$3=P$3,SUMIF('TL05'!$C$10:$C$224,$C336,'TL05'!$J$10:$J$224),0),
IF('TL05'!$B$229=P$3,SUMIF('TL05'!$C$238:$C$451,$C336,'TL05'!$J$238:$J$451),0),
IF('TL06'!$B$3=P$3,SUMIF('TL06'!$C$10:$C$224,$C336,'TL06'!$J$10:$J$224),0),
IF('TL06'!$B$229=P$3,SUMIF('TL06'!$C$238:$C$451,$C336,'TL06'!$J$238:$J$451),0),
IF('TL07'!$B$3=P$3,SUMIF('TL07'!$C$10:$C$224,$C336,'TL07'!$J$10:$J$224),0),
IF('TL07'!$B$229=P$3,SUMIF('TL07'!$C$238:$C$451,$C336,'TL07'!$J$238:$J$451),0),
IF('TL08'!$B$3=P$3,SUMIF('TL08'!$C$10:$C$224,$C336,'TL08'!$J$10:$J$224),0),
IF('TL08'!$B$229=P$3,SUMIF('TL08'!$C$238:$C$451,$C336,'TL08'!$J$238:$J$451),0),
IF('TL09'!$B$3=P$3,SUMIF('TL09'!$C$10:$C$224,$C336,'TL09'!$J$10:$J$224),0),
IF('TL09'!$B$229=P$3,SUMIF('TL09'!$C$238:$C$451,$C336,'TL09'!$J$238:$J$451),0),
IF('TL10'!$B$3=P$3,SUMIF('TL10'!$C$10:$C$224,$C336,'TL10'!$J$10:$J$224),0),
IF('TL10'!$B$229=P$3,SUMIF('TL10'!$C$238:$C$451,$C336,'TL10'!$J$238:$J$451),0),
IF('TL11'!$B$3=P$3,SUMIF('TL11'!$C$10:$C$224,$C336,'TL11'!$J$10:$J$224),0),
IF('TL11'!$B$229=P$3,SUMIF('TL11'!$C$238:$C$451,$C336,'TL11'!$J$238:$J$451),0),
IF('TL12'!$B$3=P$3,SUMIF('TL12'!$C$10:$C$224,$C336,'TL12'!$J$10:$J$224),0),
IF('TL12'!$B$229=P$3,SUMIF('TL12'!$C$238:$C$451,$C336,'TL12'!$J$238:$J$451),0),
IF('TL13'!$B$3=P$3,SUMIF('TL13'!$C$10:$C$224,$C336,'TL13'!$J$10:$J$224),0),
IF('TL13'!$B$229=P$3,SUMIF('TL13'!$C$238:$C$451,$C336,'TL13'!$J$238:$J$451),0),
IF('TL14'!$B$3=P$3,SUMIF('TL14'!$C$10:$C$224,$C336,'TL14'!$J$10:$J$224),0),
IF('TL14'!$B$229=P$3,SUMIF('TL14'!$C$238:$C$451,$C336,'TL14'!$J$238:$J$451),0),
IF('TL15'!$B$3=P$3,SUMIF('TL15'!$C$10:$C$224,$C336,'TL15'!$J$10:$J$224),0),
IF('TL15'!$B$229=P$3,SUMIF('TL15'!$C$238:$C$451,$C336,'TL15'!$J$238:$J$451),0),
IF('TL16'!$B$3=P$3,SUMIF('TL16'!$C$10:$C$224,$C336,'TL16'!$J$10:$J$224),0),
IF('TL16'!$B$229=P$3,SUMIF('TL16'!$C$238:$C$451,$C336,'TL16'!$J$238:$J$451),0),
IF('TL17'!$B$3=P$3,SUMIF('TL17'!$C$10:$C$224,$C336,'TL17'!$J$10:$J$224),0),
IF('TL17'!$B$229=P$3,SUMIF('TL17'!$C$238:$C$451,$C336,'TL17'!$J$238:$J$451),0),
IF('TL18'!$B$3=P$3,SUMIF('TL18'!$C$10:$C$224,$C336,'TL18'!$J$10:$J$224),0),
IF('TL18'!$B$229=P$3,SUMIF('TL18'!$C$238:$C$451,$C336,'TL18'!$J$238:$J$451),0),
IF('TL19'!$B$3=P$3,SUMIF('TL19'!$C$10:$C$224,$C336,'TL19'!$J$10:$J$224),0),
IF('TL19'!$B$229=P$3,SUMIF('TL19'!$C$238:$C$451,$C336,'TL19'!$J$238:$J$451),0)
),0)</f>
        <v/>
      </c>
      <c r="Q336" s="9">
        <f>IFERROR(SUM(
IF('TL01'!$B$3=Q$3,SUMIF('TL01'!$C$10:$C$224,$C336,'TL01'!$J$10:$J$224),0),
IF('TL01'!$B$229=Q$3,SUMIF('TL01'!$C$238:$C$451,$C336,'TL01'!$J$238:$J$451),0),
IF('TL02'!$B$3=Q$3,SUMIF('TL02'!$C$10:$C$224,$C336,'TL02'!$J$10:$J$224),0),
IF('TL02'!$B$229=Q$3,SUMIF('TL02'!$C$238:$C$451,$C336,'TL02'!$J$238:$J$451),0),
IF('TL03'!$B$3=Q$3,SUMIF('TL03'!$C$10:$C$224,$C336,'TL03'!$J$10:$J$224),0),
IF('TL03'!$B$229=Q$3,SUMIF('TL03'!$C$238:$C$451,$C336,'TL03'!$J$238:$J$451),0),
IF('TL04'!$B$3=Q$3,SUMIF('TL04'!$C$10:$C$224,$C336,'TL04'!$J$10:$J$224),0),
IF('TL04'!$B$229=Q$3,SUMIF('TL04'!$C$238:$C$451,$C336,'TL04'!$J$238:$J$451),0),
IF('TL05'!$B$3=Q$3,SUMIF('TL05'!$C$10:$C$224,$C336,'TL05'!$J$10:$J$224),0),
IF('TL05'!$B$229=Q$3,SUMIF('TL05'!$C$238:$C$451,$C336,'TL05'!$J$238:$J$451),0),
IF('TL06'!$B$3=Q$3,SUMIF('TL06'!$C$10:$C$224,$C336,'TL06'!$J$10:$J$224),0),
IF('TL06'!$B$229=Q$3,SUMIF('TL06'!$C$238:$C$451,$C336,'TL06'!$J$238:$J$451),0),
IF('TL07'!$B$3=Q$3,SUMIF('TL07'!$C$10:$C$224,$C336,'TL07'!$J$10:$J$224),0),
IF('TL07'!$B$229=Q$3,SUMIF('TL07'!$C$238:$C$451,$C336,'TL07'!$J$238:$J$451),0),
IF('TL08'!$B$3=Q$3,SUMIF('TL08'!$C$10:$C$224,$C336,'TL08'!$J$10:$J$224),0),
IF('TL08'!$B$229=Q$3,SUMIF('TL08'!$C$238:$C$451,$C336,'TL08'!$J$238:$J$451),0),
IF('TL09'!$B$3=Q$3,SUMIF('TL09'!$C$10:$C$224,$C336,'TL09'!$J$10:$J$224),0),
IF('TL09'!$B$229=Q$3,SUMIF('TL09'!$C$238:$C$451,$C336,'TL09'!$J$238:$J$451),0),
IF('TL10'!$B$3=Q$3,SUMIF('TL10'!$C$10:$C$224,$C336,'TL10'!$J$10:$J$224),0),
IF('TL10'!$B$229=Q$3,SUMIF('TL10'!$C$238:$C$451,$C336,'TL10'!$J$238:$J$451),0),
IF('TL11'!$B$3=Q$3,SUMIF('TL11'!$C$10:$C$224,$C336,'TL11'!$J$10:$J$224),0),
IF('TL11'!$B$229=Q$3,SUMIF('TL11'!$C$238:$C$451,$C336,'TL11'!$J$238:$J$451),0),
IF('TL12'!$B$3=Q$3,SUMIF('TL12'!$C$10:$C$224,$C336,'TL12'!$J$10:$J$224),0),
IF('TL12'!$B$229=Q$3,SUMIF('TL12'!$C$238:$C$451,$C336,'TL12'!$J$238:$J$451),0),
IF('TL13'!$B$3=Q$3,SUMIF('TL13'!$C$10:$C$224,$C336,'TL13'!$J$10:$J$224),0),
IF('TL13'!$B$229=Q$3,SUMIF('TL13'!$C$238:$C$451,$C336,'TL13'!$J$238:$J$451),0),
IF('TL14'!$B$3=Q$3,SUMIF('TL14'!$C$10:$C$224,$C336,'TL14'!$J$10:$J$224),0),
IF('TL14'!$B$229=Q$3,SUMIF('TL14'!$C$238:$C$451,$C336,'TL14'!$J$238:$J$451),0),
IF('TL15'!$B$3=Q$3,SUMIF('TL15'!$C$10:$C$224,$C336,'TL15'!$J$10:$J$224),0),
IF('TL15'!$B$229=Q$3,SUMIF('TL15'!$C$238:$C$451,$C336,'TL15'!$J$238:$J$451),0),
IF('TL16'!$B$3=Q$3,SUMIF('TL16'!$C$10:$C$224,$C336,'TL16'!$J$10:$J$224),0),
IF('TL16'!$B$229=Q$3,SUMIF('TL16'!$C$238:$C$451,$C336,'TL16'!$J$238:$J$451),0),
IF('TL17'!$B$3=Q$3,SUMIF('TL17'!$C$10:$C$224,$C336,'TL17'!$J$10:$J$224),0),
IF('TL17'!$B$229=Q$3,SUMIF('TL17'!$C$238:$C$451,$C336,'TL17'!$J$238:$J$451),0),
IF('TL18'!$B$3=Q$3,SUMIF('TL18'!$C$10:$C$224,$C336,'TL18'!$J$10:$J$224),0),
IF('TL18'!$B$229=Q$3,SUMIF('TL18'!$C$238:$C$451,$C336,'TL18'!$J$238:$J$451),0),
IF('TL19'!$B$3=Q$3,SUMIF('TL19'!$C$10:$C$224,$C336,'TL19'!$J$10:$J$224),0),
IF('TL19'!$B$229=Q$3,SUMIF('TL19'!$C$238:$C$451,$C336,'TL19'!$J$238:$J$451),0)
),0)</f>
        <v/>
      </c>
      <c r="R336" s="9">
        <f>IFERROR(
SUM(
SUMIF('TL01'!C:C,C336,'TL01'!J:J),
SUMIF('TL02'!C:C,C336,'TL02'!J:J),
SUMIF('TL03'!C:C,C336,'TL03'!J:J),
SUMIF('TL04'!C:C,C336,'TL04'!J:J),
SUMIF('TL05'!C:C,C336,'TL05'!J:J),
SUMIF('TL06'!C:C,C336,'TL06'!J:J),
SUMIF('TL07'!C:C,C336,'TL07'!J:J),
SUMIF('TL08'!C:C,C336,'TL08'!J:J),
SUMIF('TL09'!C:C,C336,'TL09'!J:J),
SUMIF('TL10'!C:C,C336,'TL10'!J:J),
SUMIF('TL11'!C:C,C336,'TL11'!J:J),
SUMIF('TL12'!C:C,C336,'TL12'!J:J),
SUMIF('TL13'!C:C,C336,'TL13'!J:J),
SUMIF('TL14'!C:C,C336,'TL14'!J:J),
SUMIF('TL15'!C:C,C336,'TL15'!J:J),
SUMIF('TL16'!C:C,C336,'TL16'!J:J),
SUMIF('TL17'!C:C,C336,'TL17'!J:J),
SUMIF('TL18'!C:C,C336,'TL18'!J:J),SUMIF('TL19'!C:C,C336,'TL19'!J:J))
,0)</f>
        <v/>
      </c>
      <c r="S336" s="17">
        <f>IFERROR(__xludf.DUMMYFUNCTION("IFERROR(VLOOKUP(C336,
IMPORTRANGE(""1wULbzX32WdYsx-lj2U3uUNBBe2INVIRDtcK0d-Dvl90"",
""26-27!C:G""),
5,
FALSE),
"""")"),"")</f>
        <v/>
      </c>
      <c r="T336" s="9" t="n"/>
      <c r="U336" s="92">
        <f>MAX(0,R336-T336)</f>
        <v/>
      </c>
      <c r="V336" s="93">
        <f>U336*S336</f>
        <v/>
      </c>
    </row>
    <row r="337" hidden="1" ht="15.75" customHeight="1" s="297">
      <c r="A337" s="4" t="n"/>
      <c r="B337" s="125" t="inlineStr">
        <is>
          <t>SEMENTE</t>
        </is>
      </c>
      <c r="C337" s="20" t="n"/>
      <c r="D337" s="20" t="n"/>
      <c r="E337" s="9" t="n"/>
      <c r="F337" s="4" t="n"/>
      <c r="G337" s="90">
        <f>HYPERLINK("https://www.google.com/search?q=" &amp; C337 &amp; "+bula+agrofit+pdf", "📄 Ver bula")</f>
        <v/>
      </c>
      <c r="H337" s="9" t="n"/>
      <c r="I337" s="1" t="n"/>
      <c r="J337" s="9">
        <f>IFERROR(SUM(
IF('TL01'!$B$3=J$3,SUMIF('TL01'!$C$10:$C$224,$C337,'TL01'!$J$10:$J$224),0),
IF('TL01'!$B$229=J$3,SUMIF('TL01'!$C$238:$C$451,$C337,'TL01'!$J$238:$J$451),0),
IF('TL02'!$B$3=J$3,SUMIF('TL02'!$C$10:$C$224,$C337,'TL02'!$J$10:$J$224),0),
IF('TL02'!$B$229=J$3,SUMIF('TL02'!$C$238:$C$451,$C337,'TL02'!$J$238:$J$451),0),
IF('TL03'!$B$3=J$3,SUMIF('TL03'!$C$10:$C$224,$C337,'TL03'!$J$10:$J$224),0),
IF('TL03'!$B$229=J$3,SUMIF('TL03'!$C$238:$C$451,$C337,'TL03'!$J$238:$J$451),0),
IF('TL04'!$B$3=J$3,SUMIF('TL04'!$C$10:$C$224,$C337,'TL04'!$J$10:$J$224),0),
IF('TL04'!$B$229=J$3,SUMIF('TL04'!$C$238:$C$451,$C337,'TL04'!$J$238:$J$451),0),
IF('TL05'!$B$3=J$3,SUMIF('TL05'!$C$10:$C$224,$C337,'TL05'!$J$10:$J$224),0),
IF('TL05'!$B$229=J$3,SUMIF('TL05'!$C$238:$C$451,$C337,'TL05'!$J$238:$J$451),0),
IF('TL06'!$B$3=J$3,SUMIF('TL06'!$C$10:$C$224,$C337,'TL06'!$J$10:$J$224),0),
IF('TL06'!$B$229=J$3,SUMIF('TL06'!$C$238:$C$451,$C337,'TL06'!$J$238:$J$451),0),
IF('TL07'!$B$3=J$3,SUMIF('TL07'!$C$10:$C$224,$C337,'TL07'!$J$10:$J$224),0),
IF('TL07'!$B$229=J$3,SUMIF('TL07'!$C$238:$C$451,$C337,'TL07'!$J$238:$J$451),0),
IF('TL08'!$B$3=J$3,SUMIF('TL08'!$C$10:$C$224,$C337,'TL08'!$J$10:$J$224),0),
IF('TL08'!$B$229=J$3,SUMIF('TL08'!$C$238:$C$451,$C337,'TL08'!$J$238:$J$451),0),
IF('TL09'!$B$3=J$3,SUMIF('TL09'!$C$10:$C$224,$C337,'TL09'!$J$10:$J$224),0),
IF('TL09'!$B$229=J$3,SUMIF('TL09'!$C$238:$C$451,$C337,'TL09'!$J$238:$J$451),0),
IF('TL10'!$B$3=J$3,SUMIF('TL10'!$C$10:$C$224,$C337,'TL10'!$J$10:$J$224),0),
IF('TL10'!$B$229=J$3,SUMIF('TL10'!$C$238:$C$451,$C337,'TL10'!$J$238:$J$451),0),
IF('TL11'!$B$3=J$3,SUMIF('TL11'!$C$10:$C$224,$C337,'TL11'!$J$10:$J$224),0),
IF('TL11'!$B$229=J$3,SUMIF('TL11'!$C$238:$C$451,$C337,'TL11'!$J$238:$J$451),0),
IF('TL12'!$B$3=J$3,SUMIF('TL12'!$C$10:$C$224,$C337,'TL12'!$J$10:$J$224),0),
IF('TL12'!$B$229=J$3,SUMIF('TL12'!$C$238:$C$451,$C337,'TL12'!$J$238:$J$451),0),
IF('TL13'!$B$3=J$3,SUMIF('TL13'!$C$10:$C$224,$C337,'TL13'!$J$10:$J$224),0),
IF('TL13'!$B$229=J$3,SUMIF('TL13'!$C$238:$C$451,$C337,'TL13'!$J$238:$J$451),0),
IF('TL14'!$B$3=J$3,SUMIF('TL14'!$C$10:$C$224,$C337,'TL14'!$J$10:$J$224),0),
IF('TL14'!$B$229=J$3,SUMIF('TL14'!$C$238:$C$451,$C337,'TL14'!$J$238:$J$451),0),
IF('TL15'!$B$3=J$3,SUMIF('TL15'!$C$10:$C$224,$C337,'TL15'!$J$10:$J$224),0),
IF('TL15'!$B$229=J$3,SUMIF('TL15'!$C$238:$C$451,$C337,'TL15'!$J$238:$J$451),0),
IF('TL16'!$B$3=J$3,SUMIF('TL16'!$C$10:$C$224,$C337,'TL16'!$J$10:$J$224),0),
IF('TL16'!$B$229=J$3,SUMIF('TL16'!$C$238:$C$451,$C337,'TL16'!$J$238:$J$451),0),
IF('TL17'!$B$3=J$3,SUMIF('TL17'!$C$10:$C$224,$C337,'TL17'!$J$10:$J$224),0),
IF('TL17'!$B$229=J$3,SUMIF('TL17'!$C$238:$C$451,$C337,'TL17'!$J$238:$J$451),0),
IF('TL18'!$B$3=J$3,SUMIF('TL18'!$C$10:$C$224,$C337,'TL18'!$J$10:$J$224),0),
IF('TL18'!$B$229=J$3,SUMIF('TL18'!$C$238:$C$451,$C337,'TL18'!$J$238:$J$451),0),
IF('TL19'!$B$3=J$3,SUMIF('TL19'!$C$10:$C$224,$C337,'TL19'!$J$10:$J$224),0),
IF('TL19'!$B$229=J$3,SUMIF('TL19'!$C$238:$C$451,$C337,'TL19'!$J$238:$J$451),0)
),0)</f>
        <v/>
      </c>
      <c r="K337" s="9">
        <f>IFERROR(SUM(
IF('TL01'!$B$3=K$3,SUMIF('TL01'!$C$10:$C$224,$C337,'TL01'!$J$10:$J$224),0),
IF('TL01'!$B$229=K$3,SUMIF('TL01'!$C$238:$C$451,$C337,'TL01'!$J$238:$J$451),0),
IF('TL02'!$B$3=K$3,SUMIF('TL02'!$C$10:$C$224,$C337,'TL02'!$J$10:$J$224),0),
IF('TL02'!$B$229=K$3,SUMIF('TL02'!$C$238:$C$451,$C337,'TL02'!$J$238:$J$451),0),
IF('TL03'!$B$3=K$3,SUMIF('TL03'!$C$10:$C$224,$C337,'TL03'!$J$10:$J$224),0),
IF('TL03'!$B$229=K$3,SUMIF('TL03'!$C$238:$C$451,$C337,'TL03'!$J$238:$J$451),0),
IF('TL04'!$B$3=K$3,SUMIF('TL04'!$C$10:$C$224,$C337,'TL04'!$J$10:$J$224),0),
IF('TL04'!$B$229=K$3,SUMIF('TL04'!$C$238:$C$451,$C337,'TL04'!$J$238:$J$451),0),
IF('TL05'!$B$3=K$3,SUMIF('TL05'!$C$10:$C$224,$C337,'TL05'!$J$10:$J$224),0),
IF('TL05'!$B$229=K$3,SUMIF('TL05'!$C$238:$C$451,$C337,'TL05'!$J$238:$J$451),0),
IF('TL06'!$B$3=K$3,SUMIF('TL06'!$C$10:$C$224,$C337,'TL06'!$J$10:$J$224),0),
IF('TL06'!$B$229=K$3,SUMIF('TL06'!$C$238:$C$451,$C337,'TL06'!$J$238:$J$451),0),
IF('TL07'!$B$3=K$3,SUMIF('TL07'!$C$10:$C$224,$C337,'TL07'!$J$10:$J$224),0),
IF('TL07'!$B$229=K$3,SUMIF('TL07'!$C$238:$C$451,$C337,'TL07'!$J$238:$J$451),0),
IF('TL08'!$B$3=K$3,SUMIF('TL08'!$C$10:$C$224,$C337,'TL08'!$J$10:$J$224),0),
IF('TL08'!$B$229=K$3,SUMIF('TL08'!$C$238:$C$451,$C337,'TL08'!$J$238:$J$451),0),
IF('TL09'!$B$3=K$3,SUMIF('TL09'!$C$10:$C$224,$C337,'TL09'!$J$10:$J$224),0),
IF('TL09'!$B$229=K$3,SUMIF('TL09'!$C$238:$C$451,$C337,'TL09'!$J$238:$J$451),0),
IF('TL10'!$B$3=K$3,SUMIF('TL10'!$C$10:$C$224,$C337,'TL10'!$J$10:$J$224),0),
IF('TL10'!$B$229=K$3,SUMIF('TL10'!$C$238:$C$451,$C337,'TL10'!$J$238:$J$451),0),
IF('TL11'!$B$3=K$3,SUMIF('TL11'!$C$10:$C$224,$C337,'TL11'!$J$10:$J$224),0),
IF('TL11'!$B$229=K$3,SUMIF('TL11'!$C$238:$C$451,$C337,'TL11'!$J$238:$J$451),0),
IF('TL12'!$B$3=K$3,SUMIF('TL12'!$C$10:$C$224,$C337,'TL12'!$J$10:$J$224),0),
IF('TL12'!$B$229=K$3,SUMIF('TL12'!$C$238:$C$451,$C337,'TL12'!$J$238:$J$451),0),
IF('TL13'!$B$3=K$3,SUMIF('TL13'!$C$10:$C$224,$C337,'TL13'!$J$10:$J$224),0),
IF('TL13'!$B$229=K$3,SUMIF('TL13'!$C$238:$C$451,$C337,'TL13'!$J$238:$J$451),0),
IF('TL14'!$B$3=K$3,SUMIF('TL14'!$C$10:$C$224,$C337,'TL14'!$J$10:$J$224),0),
IF('TL14'!$B$229=K$3,SUMIF('TL14'!$C$238:$C$451,$C337,'TL14'!$J$238:$J$451),0),
IF('TL15'!$B$3=K$3,SUMIF('TL15'!$C$10:$C$224,$C337,'TL15'!$J$10:$J$224),0),
IF('TL15'!$B$229=K$3,SUMIF('TL15'!$C$238:$C$451,$C337,'TL15'!$J$238:$J$451),0),
IF('TL16'!$B$3=K$3,SUMIF('TL16'!$C$10:$C$224,$C337,'TL16'!$J$10:$J$224),0),
IF('TL16'!$B$229=K$3,SUMIF('TL16'!$C$238:$C$451,$C337,'TL16'!$J$238:$J$451),0),
IF('TL17'!$B$3=K$3,SUMIF('TL17'!$C$10:$C$224,$C337,'TL17'!$J$10:$J$224),0),
IF('TL17'!$B$229=K$3,SUMIF('TL17'!$C$238:$C$451,$C337,'TL17'!$J$238:$J$451),0),
IF('TL18'!$B$3=K$3,SUMIF('TL18'!$C$10:$C$224,$C337,'TL18'!$J$10:$J$224),0),
IF('TL18'!$B$229=K$3,SUMIF('TL18'!$C$238:$C$451,$C337,'TL18'!$J$238:$J$451),0),
IF('TL19'!$B$3=K$3,SUMIF('TL19'!$C$10:$C$224,$C337,'TL19'!$J$10:$J$224),0),
IF('TL19'!$B$229=K$3,SUMIF('TL19'!$C$238:$C$451,$C337,'TL19'!$J$238:$J$451),0)
),0)</f>
        <v/>
      </c>
      <c r="L337" s="9">
        <f>IFERROR(SUM(
IF('TL01'!$B$3=L$3,SUMIF('TL01'!$C$10:$C$224,$C337,'TL01'!$J$10:$J$224),0),
IF('TL01'!$B$229=L$3,SUMIF('TL01'!$C$238:$C$451,$C337,'TL01'!$J$238:$J$451),0),
IF('TL02'!$B$3=L$3,SUMIF('TL02'!$C$10:$C$224,$C337,'TL02'!$J$10:$J$224),0),
IF('TL02'!$B$229=L$3,SUMIF('TL02'!$C$238:$C$451,$C337,'TL02'!$J$238:$J$451),0),
IF('TL03'!$B$3=L$3,SUMIF('TL03'!$C$10:$C$224,$C337,'TL03'!$J$10:$J$224),0),
IF('TL03'!$B$229=L$3,SUMIF('TL03'!$C$238:$C$451,$C337,'TL03'!$J$238:$J$451),0),
IF('TL04'!$B$3=L$3,SUMIF('TL04'!$C$10:$C$224,$C337,'TL04'!$J$10:$J$224),0),
IF('TL04'!$B$229=L$3,SUMIF('TL04'!$C$238:$C$451,$C337,'TL04'!$J$238:$J$451),0),
IF('TL05'!$B$3=L$3,SUMIF('TL05'!$C$10:$C$224,$C337,'TL05'!$J$10:$J$224),0),
IF('TL05'!$B$229=L$3,SUMIF('TL05'!$C$238:$C$451,$C337,'TL05'!$J$238:$J$451),0),
IF('TL06'!$B$3=L$3,SUMIF('TL06'!$C$10:$C$224,$C337,'TL06'!$J$10:$J$224),0),
IF('TL06'!$B$229=L$3,SUMIF('TL06'!$C$238:$C$451,$C337,'TL06'!$J$238:$J$451),0),
IF('TL07'!$B$3=L$3,SUMIF('TL07'!$C$10:$C$224,$C337,'TL07'!$J$10:$J$224),0),
IF('TL07'!$B$229=L$3,SUMIF('TL07'!$C$238:$C$451,$C337,'TL07'!$J$238:$J$451),0),
IF('TL08'!$B$3=L$3,SUMIF('TL08'!$C$10:$C$224,$C337,'TL08'!$J$10:$J$224),0),
IF('TL08'!$B$229=L$3,SUMIF('TL08'!$C$238:$C$451,$C337,'TL08'!$J$238:$J$451),0),
IF('TL09'!$B$3=L$3,SUMIF('TL09'!$C$10:$C$224,$C337,'TL09'!$J$10:$J$224),0),
IF('TL09'!$B$229=L$3,SUMIF('TL09'!$C$238:$C$451,$C337,'TL09'!$J$238:$J$451),0),
IF('TL10'!$B$3=L$3,SUMIF('TL10'!$C$10:$C$224,$C337,'TL10'!$J$10:$J$224),0),
IF('TL10'!$B$229=L$3,SUMIF('TL10'!$C$238:$C$451,$C337,'TL10'!$J$238:$J$451),0),
IF('TL11'!$B$3=L$3,SUMIF('TL11'!$C$10:$C$224,$C337,'TL11'!$J$10:$J$224),0),
IF('TL11'!$B$229=L$3,SUMIF('TL11'!$C$238:$C$451,$C337,'TL11'!$J$238:$J$451),0),
IF('TL12'!$B$3=L$3,SUMIF('TL12'!$C$10:$C$224,$C337,'TL12'!$J$10:$J$224),0),
IF('TL12'!$B$229=L$3,SUMIF('TL12'!$C$238:$C$451,$C337,'TL12'!$J$238:$J$451),0),
IF('TL13'!$B$3=L$3,SUMIF('TL13'!$C$10:$C$224,$C337,'TL13'!$J$10:$J$224),0),
IF('TL13'!$B$229=L$3,SUMIF('TL13'!$C$238:$C$451,$C337,'TL13'!$J$238:$J$451),0),
IF('TL14'!$B$3=L$3,SUMIF('TL14'!$C$10:$C$224,$C337,'TL14'!$J$10:$J$224),0),
IF('TL14'!$B$229=L$3,SUMIF('TL14'!$C$238:$C$451,$C337,'TL14'!$J$238:$J$451),0),
IF('TL15'!$B$3=L$3,SUMIF('TL15'!$C$10:$C$224,$C337,'TL15'!$J$10:$J$224),0),
IF('TL15'!$B$229=L$3,SUMIF('TL15'!$C$238:$C$451,$C337,'TL15'!$J$238:$J$451),0),
IF('TL16'!$B$3=L$3,SUMIF('TL16'!$C$10:$C$224,$C337,'TL16'!$J$10:$J$224),0),
IF('TL16'!$B$229=L$3,SUMIF('TL16'!$C$238:$C$451,$C337,'TL16'!$J$238:$J$451),0),
IF('TL17'!$B$3=L$3,SUMIF('TL17'!$C$10:$C$224,$C337,'TL17'!$J$10:$J$224),0),
IF('TL17'!$B$229=L$3,SUMIF('TL17'!$C$238:$C$451,$C337,'TL17'!$J$238:$J$451),0),
IF('TL18'!$B$3=L$3,SUMIF('TL18'!$C$10:$C$224,$C337,'TL18'!$J$10:$J$224),0),
IF('TL18'!$B$229=L$3,SUMIF('TL18'!$C$238:$C$451,$C337,'TL18'!$J$238:$J$451),0),
IF('TL19'!$B$3=L$3,SUMIF('TL19'!$C$10:$C$224,$C337,'TL19'!$J$10:$J$224),0),
IF('TL19'!$B$229=L$3,SUMIF('TL19'!$C$238:$C$451,$C337,'TL19'!$J$238:$J$451),0)
),0)</f>
        <v/>
      </c>
      <c r="M337" s="9">
        <f>IFERROR(SUM(
IF('TL01'!$B$3=M$3,SUMIF('TL01'!$C$10:$C$224,$C337,'TL01'!$J$10:$J$224),0),
IF('TL01'!$B$229=M$3,SUMIF('TL01'!$C$238:$C$451,$C337,'TL01'!$J$238:$J$451),0),
IF('TL02'!$B$3=M$3,SUMIF('TL02'!$C$10:$C$224,$C337,'TL02'!$J$10:$J$224),0),
IF('TL02'!$B$229=M$3,SUMIF('TL02'!$C$238:$C$451,$C337,'TL02'!$J$238:$J$451),0),
IF('TL03'!$B$3=M$3,SUMIF('TL03'!$C$10:$C$224,$C337,'TL03'!$J$10:$J$224),0),
IF('TL03'!$B$229=M$3,SUMIF('TL03'!$C$238:$C$451,$C337,'TL03'!$J$238:$J$451),0),
IF('TL04'!$B$3=M$3,SUMIF('TL04'!$C$10:$C$224,$C337,'TL04'!$J$10:$J$224),0),
IF('TL04'!$B$229=M$3,SUMIF('TL04'!$C$238:$C$451,$C337,'TL04'!$J$238:$J$451),0),
IF('TL05'!$B$3=M$3,SUMIF('TL05'!$C$10:$C$224,$C337,'TL05'!$J$10:$J$224),0),
IF('TL05'!$B$229=M$3,SUMIF('TL05'!$C$238:$C$451,$C337,'TL05'!$J$238:$J$451),0),
IF('TL06'!$B$3=M$3,SUMIF('TL06'!$C$10:$C$224,$C337,'TL06'!$J$10:$J$224),0),
IF('TL06'!$B$229=M$3,SUMIF('TL06'!$C$238:$C$451,$C337,'TL06'!$J$238:$J$451),0),
IF('TL07'!$B$3=M$3,SUMIF('TL07'!$C$10:$C$224,$C337,'TL07'!$J$10:$J$224),0),
IF('TL07'!$B$229=M$3,SUMIF('TL07'!$C$238:$C$451,$C337,'TL07'!$J$238:$J$451),0),
IF('TL08'!$B$3=M$3,SUMIF('TL08'!$C$10:$C$224,$C337,'TL08'!$J$10:$J$224),0),
IF('TL08'!$B$229=M$3,SUMIF('TL08'!$C$238:$C$451,$C337,'TL08'!$J$238:$J$451),0),
IF('TL09'!$B$3=M$3,SUMIF('TL09'!$C$10:$C$224,$C337,'TL09'!$J$10:$J$224),0),
IF('TL09'!$B$229=M$3,SUMIF('TL09'!$C$238:$C$451,$C337,'TL09'!$J$238:$J$451),0),
IF('TL10'!$B$3=M$3,SUMIF('TL10'!$C$10:$C$224,$C337,'TL10'!$J$10:$J$224),0),
IF('TL10'!$B$229=M$3,SUMIF('TL10'!$C$238:$C$451,$C337,'TL10'!$J$238:$J$451),0),
IF('TL11'!$B$3=M$3,SUMIF('TL11'!$C$10:$C$224,$C337,'TL11'!$J$10:$J$224),0),
IF('TL11'!$B$229=M$3,SUMIF('TL11'!$C$238:$C$451,$C337,'TL11'!$J$238:$J$451),0),
IF('TL12'!$B$3=M$3,SUMIF('TL12'!$C$10:$C$224,$C337,'TL12'!$J$10:$J$224),0),
IF('TL12'!$B$229=M$3,SUMIF('TL12'!$C$238:$C$451,$C337,'TL12'!$J$238:$J$451),0),
IF('TL13'!$B$3=M$3,SUMIF('TL13'!$C$10:$C$224,$C337,'TL13'!$J$10:$J$224),0),
IF('TL13'!$B$229=M$3,SUMIF('TL13'!$C$238:$C$451,$C337,'TL13'!$J$238:$J$451),0),
IF('TL14'!$B$3=M$3,SUMIF('TL14'!$C$10:$C$224,$C337,'TL14'!$J$10:$J$224),0),
IF('TL14'!$B$229=M$3,SUMIF('TL14'!$C$238:$C$451,$C337,'TL14'!$J$238:$J$451),0),
IF('TL15'!$B$3=M$3,SUMIF('TL15'!$C$10:$C$224,$C337,'TL15'!$J$10:$J$224),0),
IF('TL15'!$B$229=M$3,SUMIF('TL15'!$C$238:$C$451,$C337,'TL15'!$J$238:$J$451),0),
IF('TL16'!$B$3=M$3,SUMIF('TL16'!$C$10:$C$224,$C337,'TL16'!$J$10:$J$224),0),
IF('TL16'!$B$229=M$3,SUMIF('TL16'!$C$238:$C$451,$C337,'TL16'!$J$238:$J$451),0),
IF('TL17'!$B$3=M$3,SUMIF('TL17'!$C$10:$C$224,$C337,'TL17'!$J$10:$J$224),0),
IF('TL17'!$B$229=M$3,SUMIF('TL17'!$C$238:$C$451,$C337,'TL17'!$J$238:$J$451),0),
IF('TL18'!$B$3=M$3,SUMIF('TL18'!$C$10:$C$224,$C337,'TL18'!$J$10:$J$224),0),
IF('TL18'!$B$229=M$3,SUMIF('TL18'!$C$238:$C$451,$C337,'TL18'!$J$238:$J$451),0),
IF('TL19'!$B$3=M$3,SUMIF('TL19'!$C$10:$C$224,$C337,'TL19'!$J$10:$J$224),0),
IF('TL19'!$B$229=M$3,SUMIF('TL19'!$C$238:$C$451,$C337,'TL19'!$J$238:$J$451),0)
),0)</f>
        <v/>
      </c>
      <c r="N337" s="9">
        <f>IFERROR(SUM(
IF('TL01'!$B$3=N$3,SUMIF('TL01'!$C$10:$C$224,$C337,'TL01'!$J$10:$J$224),0),
IF('TL01'!$B$229=N$3,SUMIF('TL01'!$C$238:$C$451,$C337,'TL01'!$J$238:$J$451),0),
IF('TL02'!$B$3=N$3,SUMIF('TL02'!$C$10:$C$224,$C337,'TL02'!$J$10:$J$224),0),
IF('TL02'!$B$229=N$3,SUMIF('TL02'!$C$238:$C$451,$C337,'TL02'!$J$238:$J$451),0),
IF('TL03'!$B$3=N$3,SUMIF('TL03'!$C$10:$C$224,$C337,'TL03'!$J$10:$J$224),0),
IF('TL03'!$B$229=N$3,SUMIF('TL03'!$C$238:$C$451,$C337,'TL03'!$J$238:$J$451),0),
IF('TL04'!$B$3=N$3,SUMIF('TL04'!$C$10:$C$224,$C337,'TL04'!$J$10:$J$224),0),
IF('TL04'!$B$229=N$3,SUMIF('TL04'!$C$238:$C$451,$C337,'TL04'!$J$238:$J$451),0),
IF('TL05'!$B$3=N$3,SUMIF('TL05'!$C$10:$C$224,$C337,'TL05'!$J$10:$J$224),0),
IF('TL05'!$B$229=N$3,SUMIF('TL05'!$C$238:$C$451,$C337,'TL05'!$J$238:$J$451),0),
IF('TL06'!$B$3=N$3,SUMIF('TL06'!$C$10:$C$224,$C337,'TL06'!$J$10:$J$224),0),
IF('TL06'!$B$229=N$3,SUMIF('TL06'!$C$238:$C$451,$C337,'TL06'!$J$238:$J$451),0),
IF('TL07'!$B$3=N$3,SUMIF('TL07'!$C$10:$C$224,$C337,'TL07'!$J$10:$J$224),0),
IF('TL07'!$B$229=N$3,SUMIF('TL07'!$C$238:$C$451,$C337,'TL07'!$J$238:$J$451),0),
IF('TL08'!$B$3=N$3,SUMIF('TL08'!$C$10:$C$224,$C337,'TL08'!$J$10:$J$224),0),
IF('TL08'!$B$229=N$3,SUMIF('TL08'!$C$238:$C$451,$C337,'TL08'!$J$238:$J$451),0),
IF('TL09'!$B$3=N$3,SUMIF('TL09'!$C$10:$C$224,$C337,'TL09'!$J$10:$J$224),0),
IF('TL09'!$B$229=N$3,SUMIF('TL09'!$C$238:$C$451,$C337,'TL09'!$J$238:$J$451),0),
IF('TL10'!$B$3=N$3,SUMIF('TL10'!$C$10:$C$224,$C337,'TL10'!$J$10:$J$224),0),
IF('TL10'!$B$229=N$3,SUMIF('TL10'!$C$238:$C$451,$C337,'TL10'!$J$238:$J$451),0),
IF('TL11'!$B$3=N$3,SUMIF('TL11'!$C$10:$C$224,$C337,'TL11'!$J$10:$J$224),0),
IF('TL11'!$B$229=N$3,SUMIF('TL11'!$C$238:$C$451,$C337,'TL11'!$J$238:$J$451),0),
IF('TL12'!$B$3=N$3,SUMIF('TL12'!$C$10:$C$224,$C337,'TL12'!$J$10:$J$224),0),
IF('TL12'!$B$229=N$3,SUMIF('TL12'!$C$238:$C$451,$C337,'TL12'!$J$238:$J$451),0),
IF('TL13'!$B$3=N$3,SUMIF('TL13'!$C$10:$C$224,$C337,'TL13'!$J$10:$J$224),0),
IF('TL13'!$B$229=N$3,SUMIF('TL13'!$C$238:$C$451,$C337,'TL13'!$J$238:$J$451),0),
IF('TL14'!$B$3=N$3,SUMIF('TL14'!$C$10:$C$224,$C337,'TL14'!$J$10:$J$224),0),
IF('TL14'!$B$229=N$3,SUMIF('TL14'!$C$238:$C$451,$C337,'TL14'!$J$238:$J$451),0),
IF('TL15'!$B$3=N$3,SUMIF('TL15'!$C$10:$C$224,$C337,'TL15'!$J$10:$J$224),0),
IF('TL15'!$B$229=N$3,SUMIF('TL15'!$C$238:$C$451,$C337,'TL15'!$J$238:$J$451),0),
IF('TL16'!$B$3=N$3,SUMIF('TL16'!$C$10:$C$224,$C337,'TL16'!$J$10:$J$224),0),
IF('TL16'!$B$229=N$3,SUMIF('TL16'!$C$238:$C$451,$C337,'TL16'!$J$238:$J$451),0),
IF('TL17'!$B$3=N$3,SUMIF('TL17'!$C$10:$C$224,$C337,'TL17'!$J$10:$J$224),0),
IF('TL17'!$B$229=N$3,SUMIF('TL17'!$C$238:$C$451,$C337,'TL17'!$J$238:$J$451),0),
IF('TL18'!$B$3=N$3,SUMIF('TL18'!$C$10:$C$224,$C337,'TL18'!$J$10:$J$224),0),
IF('TL18'!$B$229=N$3,SUMIF('TL18'!$C$238:$C$451,$C337,'TL18'!$J$238:$J$451),0),
IF('TL19'!$B$3=N$3,SUMIF('TL19'!$C$10:$C$224,$C337,'TL19'!$J$10:$J$224),0),
IF('TL19'!$B$229=N$3,SUMIF('TL19'!$C$238:$C$451,$C337,'TL19'!$J$238:$J$451),0)
),0)</f>
        <v/>
      </c>
      <c r="O337" s="9">
        <f>IFERROR(SUM(
IF('TL01'!$B$3=O$3,SUMIF('TL01'!$C$10:$C$224,$C337,'TL01'!$J$10:$J$224),0),
IF('TL01'!$B$229=O$3,SUMIF('TL01'!$C$238:$C$451,$C337,'TL01'!$J$238:$J$451),0),
IF('TL02'!$B$3=O$3,SUMIF('TL02'!$C$10:$C$224,$C337,'TL02'!$J$10:$J$224),0),
IF('TL02'!$B$229=O$3,SUMIF('TL02'!$C$238:$C$451,$C337,'TL02'!$J$238:$J$451),0),
IF('TL03'!$B$3=O$3,SUMIF('TL03'!$C$10:$C$224,$C337,'TL03'!$J$10:$J$224),0),
IF('TL03'!$B$229=O$3,SUMIF('TL03'!$C$238:$C$451,$C337,'TL03'!$J$238:$J$451),0),
IF('TL04'!$B$3=O$3,SUMIF('TL04'!$C$10:$C$224,$C337,'TL04'!$J$10:$J$224),0),
IF('TL04'!$B$229=O$3,SUMIF('TL04'!$C$238:$C$451,$C337,'TL04'!$J$238:$J$451),0),
IF('TL05'!$B$3=O$3,SUMIF('TL05'!$C$10:$C$224,$C337,'TL05'!$J$10:$J$224),0),
IF('TL05'!$B$229=O$3,SUMIF('TL05'!$C$238:$C$451,$C337,'TL05'!$J$238:$J$451),0),
IF('TL06'!$B$3=O$3,SUMIF('TL06'!$C$10:$C$224,$C337,'TL06'!$J$10:$J$224),0),
IF('TL06'!$B$229=O$3,SUMIF('TL06'!$C$238:$C$451,$C337,'TL06'!$J$238:$J$451),0),
IF('TL07'!$B$3=O$3,SUMIF('TL07'!$C$10:$C$224,$C337,'TL07'!$J$10:$J$224),0),
IF('TL07'!$B$229=O$3,SUMIF('TL07'!$C$238:$C$451,$C337,'TL07'!$J$238:$J$451),0),
IF('TL08'!$B$3=O$3,SUMIF('TL08'!$C$10:$C$224,$C337,'TL08'!$J$10:$J$224),0),
IF('TL08'!$B$229=O$3,SUMIF('TL08'!$C$238:$C$451,$C337,'TL08'!$J$238:$J$451),0),
IF('TL09'!$B$3=O$3,SUMIF('TL09'!$C$10:$C$224,$C337,'TL09'!$J$10:$J$224),0),
IF('TL09'!$B$229=O$3,SUMIF('TL09'!$C$238:$C$451,$C337,'TL09'!$J$238:$J$451),0),
IF('TL10'!$B$3=O$3,SUMIF('TL10'!$C$10:$C$224,$C337,'TL10'!$J$10:$J$224),0),
IF('TL10'!$B$229=O$3,SUMIF('TL10'!$C$238:$C$451,$C337,'TL10'!$J$238:$J$451),0),
IF('TL11'!$B$3=O$3,SUMIF('TL11'!$C$10:$C$224,$C337,'TL11'!$J$10:$J$224),0),
IF('TL11'!$B$229=O$3,SUMIF('TL11'!$C$238:$C$451,$C337,'TL11'!$J$238:$J$451),0),
IF('TL12'!$B$3=O$3,SUMIF('TL12'!$C$10:$C$224,$C337,'TL12'!$J$10:$J$224),0),
IF('TL12'!$B$229=O$3,SUMIF('TL12'!$C$238:$C$451,$C337,'TL12'!$J$238:$J$451),0),
IF('TL13'!$B$3=O$3,SUMIF('TL13'!$C$10:$C$224,$C337,'TL13'!$J$10:$J$224),0),
IF('TL13'!$B$229=O$3,SUMIF('TL13'!$C$238:$C$451,$C337,'TL13'!$J$238:$J$451),0),
IF('TL14'!$B$3=O$3,SUMIF('TL14'!$C$10:$C$224,$C337,'TL14'!$J$10:$J$224),0),
IF('TL14'!$B$229=O$3,SUMIF('TL14'!$C$238:$C$451,$C337,'TL14'!$J$238:$J$451),0),
IF('TL15'!$B$3=O$3,SUMIF('TL15'!$C$10:$C$224,$C337,'TL15'!$J$10:$J$224),0),
IF('TL15'!$B$229=O$3,SUMIF('TL15'!$C$238:$C$451,$C337,'TL15'!$J$238:$J$451),0),
IF('TL16'!$B$3=O$3,SUMIF('TL16'!$C$10:$C$224,$C337,'TL16'!$J$10:$J$224),0),
IF('TL16'!$B$229=O$3,SUMIF('TL16'!$C$238:$C$451,$C337,'TL16'!$J$238:$J$451),0),
IF('TL17'!$B$3=O$3,SUMIF('TL17'!$C$10:$C$224,$C337,'TL17'!$J$10:$J$224),0),
IF('TL17'!$B$229=O$3,SUMIF('TL17'!$C$238:$C$451,$C337,'TL17'!$J$238:$J$451),0),
IF('TL18'!$B$3=O$3,SUMIF('TL18'!$C$10:$C$224,$C337,'TL18'!$J$10:$J$224),0),
IF('TL18'!$B$229=O$3,SUMIF('TL18'!$C$238:$C$451,$C337,'TL18'!$J$238:$J$451),0),
IF('TL19'!$B$3=O$3,SUMIF('TL19'!$C$10:$C$224,$C337,'TL19'!$J$10:$J$224),0),
IF('TL19'!$B$229=O$3,SUMIF('TL19'!$C$238:$C$451,$C337,'TL19'!$J$238:$J$451),0)
),0)</f>
        <v/>
      </c>
      <c r="P337" s="9">
        <f>IFERROR(SUM(
IF('TL01'!$B$3=P$3,SUMIF('TL01'!$C$10:$C$224,$C337,'TL01'!$J$10:$J$224),0),
IF('TL01'!$B$229=P$3,SUMIF('TL01'!$C$238:$C$451,$C337,'TL01'!$J$238:$J$451),0),
IF('TL02'!$B$3=P$3,SUMIF('TL02'!$C$10:$C$224,$C337,'TL02'!$J$10:$J$224),0),
IF('TL02'!$B$229=P$3,SUMIF('TL02'!$C$238:$C$451,$C337,'TL02'!$J$238:$J$451),0),
IF('TL03'!$B$3=P$3,SUMIF('TL03'!$C$10:$C$224,$C337,'TL03'!$J$10:$J$224),0),
IF('TL03'!$B$229=P$3,SUMIF('TL03'!$C$238:$C$451,$C337,'TL03'!$J$238:$J$451),0),
IF('TL04'!$B$3=P$3,SUMIF('TL04'!$C$10:$C$224,$C337,'TL04'!$J$10:$J$224),0),
IF('TL04'!$B$229=P$3,SUMIF('TL04'!$C$238:$C$451,$C337,'TL04'!$J$238:$J$451),0),
IF('TL05'!$B$3=P$3,SUMIF('TL05'!$C$10:$C$224,$C337,'TL05'!$J$10:$J$224),0),
IF('TL05'!$B$229=P$3,SUMIF('TL05'!$C$238:$C$451,$C337,'TL05'!$J$238:$J$451),0),
IF('TL06'!$B$3=P$3,SUMIF('TL06'!$C$10:$C$224,$C337,'TL06'!$J$10:$J$224),0),
IF('TL06'!$B$229=P$3,SUMIF('TL06'!$C$238:$C$451,$C337,'TL06'!$J$238:$J$451),0),
IF('TL07'!$B$3=P$3,SUMIF('TL07'!$C$10:$C$224,$C337,'TL07'!$J$10:$J$224),0),
IF('TL07'!$B$229=P$3,SUMIF('TL07'!$C$238:$C$451,$C337,'TL07'!$J$238:$J$451),0),
IF('TL08'!$B$3=P$3,SUMIF('TL08'!$C$10:$C$224,$C337,'TL08'!$J$10:$J$224),0),
IF('TL08'!$B$229=P$3,SUMIF('TL08'!$C$238:$C$451,$C337,'TL08'!$J$238:$J$451),0),
IF('TL09'!$B$3=P$3,SUMIF('TL09'!$C$10:$C$224,$C337,'TL09'!$J$10:$J$224),0),
IF('TL09'!$B$229=P$3,SUMIF('TL09'!$C$238:$C$451,$C337,'TL09'!$J$238:$J$451),0),
IF('TL10'!$B$3=P$3,SUMIF('TL10'!$C$10:$C$224,$C337,'TL10'!$J$10:$J$224),0),
IF('TL10'!$B$229=P$3,SUMIF('TL10'!$C$238:$C$451,$C337,'TL10'!$J$238:$J$451),0),
IF('TL11'!$B$3=P$3,SUMIF('TL11'!$C$10:$C$224,$C337,'TL11'!$J$10:$J$224),0),
IF('TL11'!$B$229=P$3,SUMIF('TL11'!$C$238:$C$451,$C337,'TL11'!$J$238:$J$451),0),
IF('TL12'!$B$3=P$3,SUMIF('TL12'!$C$10:$C$224,$C337,'TL12'!$J$10:$J$224),0),
IF('TL12'!$B$229=P$3,SUMIF('TL12'!$C$238:$C$451,$C337,'TL12'!$J$238:$J$451),0),
IF('TL13'!$B$3=P$3,SUMIF('TL13'!$C$10:$C$224,$C337,'TL13'!$J$10:$J$224),0),
IF('TL13'!$B$229=P$3,SUMIF('TL13'!$C$238:$C$451,$C337,'TL13'!$J$238:$J$451),0),
IF('TL14'!$B$3=P$3,SUMIF('TL14'!$C$10:$C$224,$C337,'TL14'!$J$10:$J$224),0),
IF('TL14'!$B$229=P$3,SUMIF('TL14'!$C$238:$C$451,$C337,'TL14'!$J$238:$J$451),0),
IF('TL15'!$B$3=P$3,SUMIF('TL15'!$C$10:$C$224,$C337,'TL15'!$J$10:$J$224),0),
IF('TL15'!$B$229=P$3,SUMIF('TL15'!$C$238:$C$451,$C337,'TL15'!$J$238:$J$451),0),
IF('TL16'!$B$3=P$3,SUMIF('TL16'!$C$10:$C$224,$C337,'TL16'!$J$10:$J$224),0),
IF('TL16'!$B$229=P$3,SUMIF('TL16'!$C$238:$C$451,$C337,'TL16'!$J$238:$J$451),0),
IF('TL17'!$B$3=P$3,SUMIF('TL17'!$C$10:$C$224,$C337,'TL17'!$J$10:$J$224),0),
IF('TL17'!$B$229=P$3,SUMIF('TL17'!$C$238:$C$451,$C337,'TL17'!$J$238:$J$451),0),
IF('TL18'!$B$3=P$3,SUMIF('TL18'!$C$10:$C$224,$C337,'TL18'!$J$10:$J$224),0),
IF('TL18'!$B$229=P$3,SUMIF('TL18'!$C$238:$C$451,$C337,'TL18'!$J$238:$J$451),0),
IF('TL19'!$B$3=P$3,SUMIF('TL19'!$C$10:$C$224,$C337,'TL19'!$J$10:$J$224),0),
IF('TL19'!$B$229=P$3,SUMIF('TL19'!$C$238:$C$451,$C337,'TL19'!$J$238:$J$451),0)
),0)</f>
        <v/>
      </c>
      <c r="Q337" s="9">
        <f>IFERROR(SUM(
IF('TL01'!$B$3=Q$3,SUMIF('TL01'!$C$10:$C$224,$C337,'TL01'!$J$10:$J$224),0),
IF('TL01'!$B$229=Q$3,SUMIF('TL01'!$C$238:$C$451,$C337,'TL01'!$J$238:$J$451),0),
IF('TL02'!$B$3=Q$3,SUMIF('TL02'!$C$10:$C$224,$C337,'TL02'!$J$10:$J$224),0),
IF('TL02'!$B$229=Q$3,SUMIF('TL02'!$C$238:$C$451,$C337,'TL02'!$J$238:$J$451),0),
IF('TL03'!$B$3=Q$3,SUMIF('TL03'!$C$10:$C$224,$C337,'TL03'!$J$10:$J$224),0),
IF('TL03'!$B$229=Q$3,SUMIF('TL03'!$C$238:$C$451,$C337,'TL03'!$J$238:$J$451),0),
IF('TL04'!$B$3=Q$3,SUMIF('TL04'!$C$10:$C$224,$C337,'TL04'!$J$10:$J$224),0),
IF('TL04'!$B$229=Q$3,SUMIF('TL04'!$C$238:$C$451,$C337,'TL04'!$J$238:$J$451),0),
IF('TL05'!$B$3=Q$3,SUMIF('TL05'!$C$10:$C$224,$C337,'TL05'!$J$10:$J$224),0),
IF('TL05'!$B$229=Q$3,SUMIF('TL05'!$C$238:$C$451,$C337,'TL05'!$J$238:$J$451),0),
IF('TL06'!$B$3=Q$3,SUMIF('TL06'!$C$10:$C$224,$C337,'TL06'!$J$10:$J$224),0),
IF('TL06'!$B$229=Q$3,SUMIF('TL06'!$C$238:$C$451,$C337,'TL06'!$J$238:$J$451),0),
IF('TL07'!$B$3=Q$3,SUMIF('TL07'!$C$10:$C$224,$C337,'TL07'!$J$10:$J$224),0),
IF('TL07'!$B$229=Q$3,SUMIF('TL07'!$C$238:$C$451,$C337,'TL07'!$J$238:$J$451),0),
IF('TL08'!$B$3=Q$3,SUMIF('TL08'!$C$10:$C$224,$C337,'TL08'!$J$10:$J$224),0),
IF('TL08'!$B$229=Q$3,SUMIF('TL08'!$C$238:$C$451,$C337,'TL08'!$J$238:$J$451),0),
IF('TL09'!$B$3=Q$3,SUMIF('TL09'!$C$10:$C$224,$C337,'TL09'!$J$10:$J$224),0),
IF('TL09'!$B$229=Q$3,SUMIF('TL09'!$C$238:$C$451,$C337,'TL09'!$J$238:$J$451),0),
IF('TL10'!$B$3=Q$3,SUMIF('TL10'!$C$10:$C$224,$C337,'TL10'!$J$10:$J$224),0),
IF('TL10'!$B$229=Q$3,SUMIF('TL10'!$C$238:$C$451,$C337,'TL10'!$J$238:$J$451),0),
IF('TL11'!$B$3=Q$3,SUMIF('TL11'!$C$10:$C$224,$C337,'TL11'!$J$10:$J$224),0),
IF('TL11'!$B$229=Q$3,SUMIF('TL11'!$C$238:$C$451,$C337,'TL11'!$J$238:$J$451),0),
IF('TL12'!$B$3=Q$3,SUMIF('TL12'!$C$10:$C$224,$C337,'TL12'!$J$10:$J$224),0),
IF('TL12'!$B$229=Q$3,SUMIF('TL12'!$C$238:$C$451,$C337,'TL12'!$J$238:$J$451),0),
IF('TL13'!$B$3=Q$3,SUMIF('TL13'!$C$10:$C$224,$C337,'TL13'!$J$10:$J$224),0),
IF('TL13'!$B$229=Q$3,SUMIF('TL13'!$C$238:$C$451,$C337,'TL13'!$J$238:$J$451),0),
IF('TL14'!$B$3=Q$3,SUMIF('TL14'!$C$10:$C$224,$C337,'TL14'!$J$10:$J$224),0),
IF('TL14'!$B$229=Q$3,SUMIF('TL14'!$C$238:$C$451,$C337,'TL14'!$J$238:$J$451),0),
IF('TL15'!$B$3=Q$3,SUMIF('TL15'!$C$10:$C$224,$C337,'TL15'!$J$10:$J$224),0),
IF('TL15'!$B$229=Q$3,SUMIF('TL15'!$C$238:$C$451,$C337,'TL15'!$J$238:$J$451),0),
IF('TL16'!$B$3=Q$3,SUMIF('TL16'!$C$10:$C$224,$C337,'TL16'!$J$10:$J$224),0),
IF('TL16'!$B$229=Q$3,SUMIF('TL16'!$C$238:$C$451,$C337,'TL16'!$J$238:$J$451),0),
IF('TL17'!$B$3=Q$3,SUMIF('TL17'!$C$10:$C$224,$C337,'TL17'!$J$10:$J$224),0),
IF('TL17'!$B$229=Q$3,SUMIF('TL17'!$C$238:$C$451,$C337,'TL17'!$J$238:$J$451),0),
IF('TL18'!$B$3=Q$3,SUMIF('TL18'!$C$10:$C$224,$C337,'TL18'!$J$10:$J$224),0),
IF('TL18'!$B$229=Q$3,SUMIF('TL18'!$C$238:$C$451,$C337,'TL18'!$J$238:$J$451),0),
IF('TL19'!$B$3=Q$3,SUMIF('TL19'!$C$10:$C$224,$C337,'TL19'!$J$10:$J$224),0),
IF('TL19'!$B$229=Q$3,SUMIF('TL19'!$C$238:$C$451,$C337,'TL19'!$J$238:$J$451),0)
),0)</f>
        <v/>
      </c>
      <c r="R337" s="9">
        <f>IFERROR(
SUM(
SUMIF('TL01'!C:C,C337,'TL01'!J:J),
SUMIF('TL02'!C:C,C337,'TL02'!J:J),
SUMIF('TL03'!C:C,C337,'TL03'!J:J),
SUMIF('TL04'!C:C,C337,'TL04'!J:J),
SUMIF('TL05'!C:C,C337,'TL05'!J:J),
SUMIF('TL06'!C:C,C337,'TL06'!J:J),
SUMIF('TL07'!C:C,C337,'TL07'!J:J),
SUMIF('TL08'!C:C,C337,'TL08'!J:J),
SUMIF('TL09'!C:C,C337,'TL09'!J:J),
SUMIF('TL10'!C:C,C337,'TL10'!J:J),
SUMIF('TL11'!C:C,C337,'TL11'!J:J),
SUMIF('TL12'!C:C,C337,'TL12'!J:J),
SUMIF('TL13'!C:C,C337,'TL13'!J:J),
SUMIF('TL14'!C:C,C337,'TL14'!J:J),
SUMIF('TL15'!C:C,C337,'TL15'!J:J),
SUMIF('TL16'!C:C,C337,'TL16'!J:J),
SUMIF('TL17'!C:C,C337,'TL17'!J:J),
SUMIF('TL18'!C:C,C337,'TL18'!J:J),SUMIF('TL19'!C:C,C337,'TL19'!J:J))
,0)</f>
        <v/>
      </c>
      <c r="S337" s="17">
        <f>IFERROR(__xludf.DUMMYFUNCTION("IFERROR(VLOOKUP(C337,
IMPORTRANGE(""1wULbzX32WdYsx-lj2U3uUNBBe2INVIRDtcK0d-Dvl90"",
""26-27!C:G""),
5,
FALSE),
"""")"),"")</f>
        <v/>
      </c>
      <c r="T337" s="9" t="n"/>
      <c r="U337" s="92">
        <f>MAX(0,R337-T337)</f>
        <v/>
      </c>
      <c r="V337" s="93">
        <f>U337*S337</f>
        <v/>
      </c>
    </row>
    <row r="338" hidden="1" ht="15.75" customHeight="1" s="297">
      <c r="A338" s="4" t="n"/>
      <c r="B338" s="125" t="n"/>
      <c r="C338" s="20" t="n"/>
      <c r="D338" s="20" t="n"/>
      <c r="E338" s="9" t="n"/>
      <c r="F338" s="4" t="n"/>
      <c r="G338" s="90">
        <f>HYPERLINK("https://www.google.com/search?q=" &amp; C338 &amp; "+bula+agrofit+pdf", "📄 Ver bula")</f>
        <v/>
      </c>
      <c r="H338" s="9" t="n"/>
      <c r="I338" s="1" t="n"/>
      <c r="J338" s="9">
        <f>IFERROR(SUM(
IF('TL01'!$B$3=J$3,SUMIF('TL01'!$C$10:$C$224,$C338,'TL01'!$J$10:$J$224),0),
IF('TL01'!$B$229=J$3,SUMIF('TL01'!$C$238:$C$451,$C338,'TL01'!$J$238:$J$451),0),
IF('TL02'!$B$3=J$3,SUMIF('TL02'!$C$10:$C$224,$C338,'TL02'!$J$10:$J$224),0),
IF('TL02'!$B$229=J$3,SUMIF('TL02'!$C$238:$C$451,$C338,'TL02'!$J$238:$J$451),0),
IF('TL03'!$B$3=J$3,SUMIF('TL03'!$C$10:$C$224,$C338,'TL03'!$J$10:$J$224),0),
IF('TL03'!$B$229=J$3,SUMIF('TL03'!$C$238:$C$451,$C338,'TL03'!$J$238:$J$451),0),
IF('TL04'!$B$3=J$3,SUMIF('TL04'!$C$10:$C$224,$C338,'TL04'!$J$10:$J$224),0),
IF('TL04'!$B$229=J$3,SUMIF('TL04'!$C$238:$C$451,$C338,'TL04'!$J$238:$J$451),0),
IF('TL05'!$B$3=J$3,SUMIF('TL05'!$C$10:$C$224,$C338,'TL05'!$J$10:$J$224),0),
IF('TL05'!$B$229=J$3,SUMIF('TL05'!$C$238:$C$451,$C338,'TL05'!$J$238:$J$451),0),
IF('TL06'!$B$3=J$3,SUMIF('TL06'!$C$10:$C$224,$C338,'TL06'!$J$10:$J$224),0),
IF('TL06'!$B$229=J$3,SUMIF('TL06'!$C$238:$C$451,$C338,'TL06'!$J$238:$J$451),0),
IF('TL07'!$B$3=J$3,SUMIF('TL07'!$C$10:$C$224,$C338,'TL07'!$J$10:$J$224),0),
IF('TL07'!$B$229=J$3,SUMIF('TL07'!$C$238:$C$451,$C338,'TL07'!$J$238:$J$451),0),
IF('TL08'!$B$3=J$3,SUMIF('TL08'!$C$10:$C$224,$C338,'TL08'!$J$10:$J$224),0),
IF('TL08'!$B$229=J$3,SUMIF('TL08'!$C$238:$C$451,$C338,'TL08'!$J$238:$J$451),0),
IF('TL09'!$B$3=J$3,SUMIF('TL09'!$C$10:$C$224,$C338,'TL09'!$J$10:$J$224),0),
IF('TL09'!$B$229=J$3,SUMIF('TL09'!$C$238:$C$451,$C338,'TL09'!$J$238:$J$451),0),
IF('TL10'!$B$3=J$3,SUMIF('TL10'!$C$10:$C$224,$C338,'TL10'!$J$10:$J$224),0),
IF('TL10'!$B$229=J$3,SUMIF('TL10'!$C$238:$C$451,$C338,'TL10'!$J$238:$J$451),0),
IF('TL11'!$B$3=J$3,SUMIF('TL11'!$C$10:$C$224,$C338,'TL11'!$J$10:$J$224),0),
IF('TL11'!$B$229=J$3,SUMIF('TL11'!$C$238:$C$451,$C338,'TL11'!$J$238:$J$451),0),
IF('TL12'!$B$3=J$3,SUMIF('TL12'!$C$10:$C$224,$C338,'TL12'!$J$10:$J$224),0),
IF('TL12'!$B$229=J$3,SUMIF('TL12'!$C$238:$C$451,$C338,'TL12'!$J$238:$J$451),0),
IF('TL13'!$B$3=J$3,SUMIF('TL13'!$C$10:$C$224,$C338,'TL13'!$J$10:$J$224),0),
IF('TL13'!$B$229=J$3,SUMIF('TL13'!$C$238:$C$451,$C338,'TL13'!$J$238:$J$451),0),
IF('TL14'!$B$3=J$3,SUMIF('TL14'!$C$10:$C$224,$C338,'TL14'!$J$10:$J$224),0),
IF('TL14'!$B$229=J$3,SUMIF('TL14'!$C$238:$C$451,$C338,'TL14'!$J$238:$J$451),0),
IF('TL15'!$B$3=J$3,SUMIF('TL15'!$C$10:$C$224,$C338,'TL15'!$J$10:$J$224),0),
IF('TL15'!$B$229=J$3,SUMIF('TL15'!$C$238:$C$451,$C338,'TL15'!$J$238:$J$451),0),
IF('TL16'!$B$3=J$3,SUMIF('TL16'!$C$10:$C$224,$C338,'TL16'!$J$10:$J$224),0),
IF('TL16'!$B$229=J$3,SUMIF('TL16'!$C$238:$C$451,$C338,'TL16'!$J$238:$J$451),0),
IF('TL17'!$B$3=J$3,SUMIF('TL17'!$C$10:$C$224,$C338,'TL17'!$J$10:$J$224),0),
IF('TL17'!$B$229=J$3,SUMIF('TL17'!$C$238:$C$451,$C338,'TL17'!$J$238:$J$451),0),
IF('TL18'!$B$3=J$3,SUMIF('TL18'!$C$10:$C$224,$C338,'TL18'!$J$10:$J$224),0),
IF('TL18'!$B$229=J$3,SUMIF('TL18'!$C$238:$C$451,$C338,'TL18'!$J$238:$J$451),0),
IF('TL19'!$B$3=J$3,SUMIF('TL19'!$C$10:$C$224,$C338,'TL19'!$J$10:$J$224),0),
IF('TL19'!$B$229=J$3,SUMIF('TL19'!$C$238:$C$451,$C338,'TL19'!$J$238:$J$451),0)
),0)</f>
        <v/>
      </c>
      <c r="K338" s="9">
        <f>IFERROR(SUM(
IF('TL01'!$B$3=K$3,SUMIF('TL01'!$C$10:$C$224,$C338,'TL01'!$J$10:$J$224),0),
IF('TL01'!$B$229=K$3,SUMIF('TL01'!$C$238:$C$451,$C338,'TL01'!$J$238:$J$451),0),
IF('TL02'!$B$3=K$3,SUMIF('TL02'!$C$10:$C$224,$C338,'TL02'!$J$10:$J$224),0),
IF('TL02'!$B$229=K$3,SUMIF('TL02'!$C$238:$C$451,$C338,'TL02'!$J$238:$J$451),0),
IF('TL03'!$B$3=K$3,SUMIF('TL03'!$C$10:$C$224,$C338,'TL03'!$J$10:$J$224),0),
IF('TL03'!$B$229=K$3,SUMIF('TL03'!$C$238:$C$451,$C338,'TL03'!$J$238:$J$451),0),
IF('TL04'!$B$3=K$3,SUMIF('TL04'!$C$10:$C$224,$C338,'TL04'!$J$10:$J$224),0),
IF('TL04'!$B$229=K$3,SUMIF('TL04'!$C$238:$C$451,$C338,'TL04'!$J$238:$J$451),0),
IF('TL05'!$B$3=K$3,SUMIF('TL05'!$C$10:$C$224,$C338,'TL05'!$J$10:$J$224),0),
IF('TL05'!$B$229=K$3,SUMIF('TL05'!$C$238:$C$451,$C338,'TL05'!$J$238:$J$451),0),
IF('TL06'!$B$3=K$3,SUMIF('TL06'!$C$10:$C$224,$C338,'TL06'!$J$10:$J$224),0),
IF('TL06'!$B$229=K$3,SUMIF('TL06'!$C$238:$C$451,$C338,'TL06'!$J$238:$J$451),0),
IF('TL07'!$B$3=K$3,SUMIF('TL07'!$C$10:$C$224,$C338,'TL07'!$J$10:$J$224),0),
IF('TL07'!$B$229=K$3,SUMIF('TL07'!$C$238:$C$451,$C338,'TL07'!$J$238:$J$451),0),
IF('TL08'!$B$3=K$3,SUMIF('TL08'!$C$10:$C$224,$C338,'TL08'!$J$10:$J$224),0),
IF('TL08'!$B$229=K$3,SUMIF('TL08'!$C$238:$C$451,$C338,'TL08'!$J$238:$J$451),0),
IF('TL09'!$B$3=K$3,SUMIF('TL09'!$C$10:$C$224,$C338,'TL09'!$J$10:$J$224),0),
IF('TL09'!$B$229=K$3,SUMIF('TL09'!$C$238:$C$451,$C338,'TL09'!$J$238:$J$451),0),
IF('TL10'!$B$3=K$3,SUMIF('TL10'!$C$10:$C$224,$C338,'TL10'!$J$10:$J$224),0),
IF('TL10'!$B$229=K$3,SUMIF('TL10'!$C$238:$C$451,$C338,'TL10'!$J$238:$J$451),0),
IF('TL11'!$B$3=K$3,SUMIF('TL11'!$C$10:$C$224,$C338,'TL11'!$J$10:$J$224),0),
IF('TL11'!$B$229=K$3,SUMIF('TL11'!$C$238:$C$451,$C338,'TL11'!$J$238:$J$451),0),
IF('TL12'!$B$3=K$3,SUMIF('TL12'!$C$10:$C$224,$C338,'TL12'!$J$10:$J$224),0),
IF('TL12'!$B$229=K$3,SUMIF('TL12'!$C$238:$C$451,$C338,'TL12'!$J$238:$J$451),0),
IF('TL13'!$B$3=K$3,SUMIF('TL13'!$C$10:$C$224,$C338,'TL13'!$J$10:$J$224),0),
IF('TL13'!$B$229=K$3,SUMIF('TL13'!$C$238:$C$451,$C338,'TL13'!$J$238:$J$451),0),
IF('TL14'!$B$3=K$3,SUMIF('TL14'!$C$10:$C$224,$C338,'TL14'!$J$10:$J$224),0),
IF('TL14'!$B$229=K$3,SUMIF('TL14'!$C$238:$C$451,$C338,'TL14'!$J$238:$J$451),0),
IF('TL15'!$B$3=K$3,SUMIF('TL15'!$C$10:$C$224,$C338,'TL15'!$J$10:$J$224),0),
IF('TL15'!$B$229=K$3,SUMIF('TL15'!$C$238:$C$451,$C338,'TL15'!$J$238:$J$451),0),
IF('TL16'!$B$3=K$3,SUMIF('TL16'!$C$10:$C$224,$C338,'TL16'!$J$10:$J$224),0),
IF('TL16'!$B$229=K$3,SUMIF('TL16'!$C$238:$C$451,$C338,'TL16'!$J$238:$J$451),0),
IF('TL17'!$B$3=K$3,SUMIF('TL17'!$C$10:$C$224,$C338,'TL17'!$J$10:$J$224),0),
IF('TL17'!$B$229=K$3,SUMIF('TL17'!$C$238:$C$451,$C338,'TL17'!$J$238:$J$451),0),
IF('TL18'!$B$3=K$3,SUMIF('TL18'!$C$10:$C$224,$C338,'TL18'!$J$10:$J$224),0),
IF('TL18'!$B$229=K$3,SUMIF('TL18'!$C$238:$C$451,$C338,'TL18'!$J$238:$J$451),0),
IF('TL19'!$B$3=K$3,SUMIF('TL19'!$C$10:$C$224,$C338,'TL19'!$J$10:$J$224),0),
IF('TL19'!$B$229=K$3,SUMIF('TL19'!$C$238:$C$451,$C338,'TL19'!$J$238:$J$451),0)
),0)</f>
        <v/>
      </c>
      <c r="L338" s="9">
        <f>IFERROR(SUM(
IF('TL01'!$B$3=L$3,SUMIF('TL01'!$C$10:$C$224,$C338,'TL01'!$J$10:$J$224),0),
IF('TL01'!$B$229=L$3,SUMIF('TL01'!$C$238:$C$451,$C338,'TL01'!$J$238:$J$451),0),
IF('TL02'!$B$3=L$3,SUMIF('TL02'!$C$10:$C$224,$C338,'TL02'!$J$10:$J$224),0),
IF('TL02'!$B$229=L$3,SUMIF('TL02'!$C$238:$C$451,$C338,'TL02'!$J$238:$J$451),0),
IF('TL03'!$B$3=L$3,SUMIF('TL03'!$C$10:$C$224,$C338,'TL03'!$J$10:$J$224),0),
IF('TL03'!$B$229=L$3,SUMIF('TL03'!$C$238:$C$451,$C338,'TL03'!$J$238:$J$451),0),
IF('TL04'!$B$3=L$3,SUMIF('TL04'!$C$10:$C$224,$C338,'TL04'!$J$10:$J$224),0),
IF('TL04'!$B$229=L$3,SUMIF('TL04'!$C$238:$C$451,$C338,'TL04'!$J$238:$J$451),0),
IF('TL05'!$B$3=L$3,SUMIF('TL05'!$C$10:$C$224,$C338,'TL05'!$J$10:$J$224),0),
IF('TL05'!$B$229=L$3,SUMIF('TL05'!$C$238:$C$451,$C338,'TL05'!$J$238:$J$451),0),
IF('TL06'!$B$3=L$3,SUMIF('TL06'!$C$10:$C$224,$C338,'TL06'!$J$10:$J$224),0),
IF('TL06'!$B$229=L$3,SUMIF('TL06'!$C$238:$C$451,$C338,'TL06'!$J$238:$J$451),0),
IF('TL07'!$B$3=L$3,SUMIF('TL07'!$C$10:$C$224,$C338,'TL07'!$J$10:$J$224),0),
IF('TL07'!$B$229=L$3,SUMIF('TL07'!$C$238:$C$451,$C338,'TL07'!$J$238:$J$451),0),
IF('TL08'!$B$3=L$3,SUMIF('TL08'!$C$10:$C$224,$C338,'TL08'!$J$10:$J$224),0),
IF('TL08'!$B$229=L$3,SUMIF('TL08'!$C$238:$C$451,$C338,'TL08'!$J$238:$J$451),0),
IF('TL09'!$B$3=L$3,SUMIF('TL09'!$C$10:$C$224,$C338,'TL09'!$J$10:$J$224),0),
IF('TL09'!$B$229=L$3,SUMIF('TL09'!$C$238:$C$451,$C338,'TL09'!$J$238:$J$451),0),
IF('TL10'!$B$3=L$3,SUMIF('TL10'!$C$10:$C$224,$C338,'TL10'!$J$10:$J$224),0),
IF('TL10'!$B$229=L$3,SUMIF('TL10'!$C$238:$C$451,$C338,'TL10'!$J$238:$J$451),0),
IF('TL11'!$B$3=L$3,SUMIF('TL11'!$C$10:$C$224,$C338,'TL11'!$J$10:$J$224),0),
IF('TL11'!$B$229=L$3,SUMIF('TL11'!$C$238:$C$451,$C338,'TL11'!$J$238:$J$451),0),
IF('TL12'!$B$3=L$3,SUMIF('TL12'!$C$10:$C$224,$C338,'TL12'!$J$10:$J$224),0),
IF('TL12'!$B$229=L$3,SUMIF('TL12'!$C$238:$C$451,$C338,'TL12'!$J$238:$J$451),0),
IF('TL13'!$B$3=L$3,SUMIF('TL13'!$C$10:$C$224,$C338,'TL13'!$J$10:$J$224),0),
IF('TL13'!$B$229=L$3,SUMIF('TL13'!$C$238:$C$451,$C338,'TL13'!$J$238:$J$451),0),
IF('TL14'!$B$3=L$3,SUMIF('TL14'!$C$10:$C$224,$C338,'TL14'!$J$10:$J$224),0),
IF('TL14'!$B$229=L$3,SUMIF('TL14'!$C$238:$C$451,$C338,'TL14'!$J$238:$J$451),0),
IF('TL15'!$B$3=L$3,SUMIF('TL15'!$C$10:$C$224,$C338,'TL15'!$J$10:$J$224),0),
IF('TL15'!$B$229=L$3,SUMIF('TL15'!$C$238:$C$451,$C338,'TL15'!$J$238:$J$451),0),
IF('TL16'!$B$3=L$3,SUMIF('TL16'!$C$10:$C$224,$C338,'TL16'!$J$10:$J$224),0),
IF('TL16'!$B$229=L$3,SUMIF('TL16'!$C$238:$C$451,$C338,'TL16'!$J$238:$J$451),0),
IF('TL17'!$B$3=L$3,SUMIF('TL17'!$C$10:$C$224,$C338,'TL17'!$J$10:$J$224),0),
IF('TL17'!$B$229=L$3,SUMIF('TL17'!$C$238:$C$451,$C338,'TL17'!$J$238:$J$451),0),
IF('TL18'!$B$3=L$3,SUMIF('TL18'!$C$10:$C$224,$C338,'TL18'!$J$10:$J$224),0),
IF('TL18'!$B$229=L$3,SUMIF('TL18'!$C$238:$C$451,$C338,'TL18'!$J$238:$J$451),0),
IF('TL19'!$B$3=L$3,SUMIF('TL19'!$C$10:$C$224,$C338,'TL19'!$J$10:$J$224),0),
IF('TL19'!$B$229=L$3,SUMIF('TL19'!$C$238:$C$451,$C338,'TL19'!$J$238:$J$451),0)
),0)</f>
        <v/>
      </c>
      <c r="M338" s="9">
        <f>IFERROR(SUM(
IF('TL01'!$B$3=M$3,SUMIF('TL01'!$C$10:$C$224,$C338,'TL01'!$J$10:$J$224),0),
IF('TL01'!$B$229=M$3,SUMIF('TL01'!$C$238:$C$451,$C338,'TL01'!$J$238:$J$451),0),
IF('TL02'!$B$3=M$3,SUMIF('TL02'!$C$10:$C$224,$C338,'TL02'!$J$10:$J$224),0),
IF('TL02'!$B$229=M$3,SUMIF('TL02'!$C$238:$C$451,$C338,'TL02'!$J$238:$J$451),0),
IF('TL03'!$B$3=M$3,SUMIF('TL03'!$C$10:$C$224,$C338,'TL03'!$J$10:$J$224),0),
IF('TL03'!$B$229=M$3,SUMIF('TL03'!$C$238:$C$451,$C338,'TL03'!$J$238:$J$451),0),
IF('TL04'!$B$3=M$3,SUMIF('TL04'!$C$10:$C$224,$C338,'TL04'!$J$10:$J$224),0),
IF('TL04'!$B$229=M$3,SUMIF('TL04'!$C$238:$C$451,$C338,'TL04'!$J$238:$J$451),0),
IF('TL05'!$B$3=M$3,SUMIF('TL05'!$C$10:$C$224,$C338,'TL05'!$J$10:$J$224),0),
IF('TL05'!$B$229=M$3,SUMIF('TL05'!$C$238:$C$451,$C338,'TL05'!$J$238:$J$451),0),
IF('TL06'!$B$3=M$3,SUMIF('TL06'!$C$10:$C$224,$C338,'TL06'!$J$10:$J$224),0),
IF('TL06'!$B$229=M$3,SUMIF('TL06'!$C$238:$C$451,$C338,'TL06'!$J$238:$J$451),0),
IF('TL07'!$B$3=M$3,SUMIF('TL07'!$C$10:$C$224,$C338,'TL07'!$J$10:$J$224),0),
IF('TL07'!$B$229=M$3,SUMIF('TL07'!$C$238:$C$451,$C338,'TL07'!$J$238:$J$451),0),
IF('TL08'!$B$3=M$3,SUMIF('TL08'!$C$10:$C$224,$C338,'TL08'!$J$10:$J$224),0),
IF('TL08'!$B$229=M$3,SUMIF('TL08'!$C$238:$C$451,$C338,'TL08'!$J$238:$J$451),0),
IF('TL09'!$B$3=M$3,SUMIF('TL09'!$C$10:$C$224,$C338,'TL09'!$J$10:$J$224),0),
IF('TL09'!$B$229=M$3,SUMIF('TL09'!$C$238:$C$451,$C338,'TL09'!$J$238:$J$451),0),
IF('TL10'!$B$3=M$3,SUMIF('TL10'!$C$10:$C$224,$C338,'TL10'!$J$10:$J$224),0),
IF('TL10'!$B$229=M$3,SUMIF('TL10'!$C$238:$C$451,$C338,'TL10'!$J$238:$J$451),0),
IF('TL11'!$B$3=M$3,SUMIF('TL11'!$C$10:$C$224,$C338,'TL11'!$J$10:$J$224),0),
IF('TL11'!$B$229=M$3,SUMIF('TL11'!$C$238:$C$451,$C338,'TL11'!$J$238:$J$451),0),
IF('TL12'!$B$3=M$3,SUMIF('TL12'!$C$10:$C$224,$C338,'TL12'!$J$10:$J$224),0),
IF('TL12'!$B$229=M$3,SUMIF('TL12'!$C$238:$C$451,$C338,'TL12'!$J$238:$J$451),0),
IF('TL13'!$B$3=M$3,SUMIF('TL13'!$C$10:$C$224,$C338,'TL13'!$J$10:$J$224),0),
IF('TL13'!$B$229=M$3,SUMIF('TL13'!$C$238:$C$451,$C338,'TL13'!$J$238:$J$451),0),
IF('TL14'!$B$3=M$3,SUMIF('TL14'!$C$10:$C$224,$C338,'TL14'!$J$10:$J$224),0),
IF('TL14'!$B$229=M$3,SUMIF('TL14'!$C$238:$C$451,$C338,'TL14'!$J$238:$J$451),0),
IF('TL15'!$B$3=M$3,SUMIF('TL15'!$C$10:$C$224,$C338,'TL15'!$J$10:$J$224),0),
IF('TL15'!$B$229=M$3,SUMIF('TL15'!$C$238:$C$451,$C338,'TL15'!$J$238:$J$451),0),
IF('TL16'!$B$3=M$3,SUMIF('TL16'!$C$10:$C$224,$C338,'TL16'!$J$10:$J$224),0),
IF('TL16'!$B$229=M$3,SUMIF('TL16'!$C$238:$C$451,$C338,'TL16'!$J$238:$J$451),0),
IF('TL17'!$B$3=M$3,SUMIF('TL17'!$C$10:$C$224,$C338,'TL17'!$J$10:$J$224),0),
IF('TL17'!$B$229=M$3,SUMIF('TL17'!$C$238:$C$451,$C338,'TL17'!$J$238:$J$451),0),
IF('TL18'!$B$3=M$3,SUMIF('TL18'!$C$10:$C$224,$C338,'TL18'!$J$10:$J$224),0),
IF('TL18'!$B$229=M$3,SUMIF('TL18'!$C$238:$C$451,$C338,'TL18'!$J$238:$J$451),0),
IF('TL19'!$B$3=M$3,SUMIF('TL19'!$C$10:$C$224,$C338,'TL19'!$J$10:$J$224),0),
IF('TL19'!$B$229=M$3,SUMIF('TL19'!$C$238:$C$451,$C338,'TL19'!$J$238:$J$451),0)
),0)</f>
        <v/>
      </c>
      <c r="N338" s="9">
        <f>IFERROR(SUM(
IF('TL01'!$B$3=N$3,SUMIF('TL01'!$C$10:$C$224,$C338,'TL01'!$J$10:$J$224),0),
IF('TL01'!$B$229=N$3,SUMIF('TL01'!$C$238:$C$451,$C338,'TL01'!$J$238:$J$451),0),
IF('TL02'!$B$3=N$3,SUMIF('TL02'!$C$10:$C$224,$C338,'TL02'!$J$10:$J$224),0),
IF('TL02'!$B$229=N$3,SUMIF('TL02'!$C$238:$C$451,$C338,'TL02'!$J$238:$J$451),0),
IF('TL03'!$B$3=N$3,SUMIF('TL03'!$C$10:$C$224,$C338,'TL03'!$J$10:$J$224),0),
IF('TL03'!$B$229=N$3,SUMIF('TL03'!$C$238:$C$451,$C338,'TL03'!$J$238:$J$451),0),
IF('TL04'!$B$3=N$3,SUMIF('TL04'!$C$10:$C$224,$C338,'TL04'!$J$10:$J$224),0),
IF('TL04'!$B$229=N$3,SUMIF('TL04'!$C$238:$C$451,$C338,'TL04'!$J$238:$J$451),0),
IF('TL05'!$B$3=N$3,SUMIF('TL05'!$C$10:$C$224,$C338,'TL05'!$J$10:$J$224),0),
IF('TL05'!$B$229=N$3,SUMIF('TL05'!$C$238:$C$451,$C338,'TL05'!$J$238:$J$451),0),
IF('TL06'!$B$3=N$3,SUMIF('TL06'!$C$10:$C$224,$C338,'TL06'!$J$10:$J$224),0),
IF('TL06'!$B$229=N$3,SUMIF('TL06'!$C$238:$C$451,$C338,'TL06'!$J$238:$J$451),0),
IF('TL07'!$B$3=N$3,SUMIF('TL07'!$C$10:$C$224,$C338,'TL07'!$J$10:$J$224),0),
IF('TL07'!$B$229=N$3,SUMIF('TL07'!$C$238:$C$451,$C338,'TL07'!$J$238:$J$451),0),
IF('TL08'!$B$3=N$3,SUMIF('TL08'!$C$10:$C$224,$C338,'TL08'!$J$10:$J$224),0),
IF('TL08'!$B$229=N$3,SUMIF('TL08'!$C$238:$C$451,$C338,'TL08'!$J$238:$J$451),0),
IF('TL09'!$B$3=N$3,SUMIF('TL09'!$C$10:$C$224,$C338,'TL09'!$J$10:$J$224),0),
IF('TL09'!$B$229=N$3,SUMIF('TL09'!$C$238:$C$451,$C338,'TL09'!$J$238:$J$451),0),
IF('TL10'!$B$3=N$3,SUMIF('TL10'!$C$10:$C$224,$C338,'TL10'!$J$10:$J$224),0),
IF('TL10'!$B$229=N$3,SUMIF('TL10'!$C$238:$C$451,$C338,'TL10'!$J$238:$J$451),0),
IF('TL11'!$B$3=N$3,SUMIF('TL11'!$C$10:$C$224,$C338,'TL11'!$J$10:$J$224),0),
IF('TL11'!$B$229=N$3,SUMIF('TL11'!$C$238:$C$451,$C338,'TL11'!$J$238:$J$451),0),
IF('TL12'!$B$3=N$3,SUMIF('TL12'!$C$10:$C$224,$C338,'TL12'!$J$10:$J$224),0),
IF('TL12'!$B$229=N$3,SUMIF('TL12'!$C$238:$C$451,$C338,'TL12'!$J$238:$J$451),0),
IF('TL13'!$B$3=N$3,SUMIF('TL13'!$C$10:$C$224,$C338,'TL13'!$J$10:$J$224),0),
IF('TL13'!$B$229=N$3,SUMIF('TL13'!$C$238:$C$451,$C338,'TL13'!$J$238:$J$451),0),
IF('TL14'!$B$3=N$3,SUMIF('TL14'!$C$10:$C$224,$C338,'TL14'!$J$10:$J$224),0),
IF('TL14'!$B$229=N$3,SUMIF('TL14'!$C$238:$C$451,$C338,'TL14'!$J$238:$J$451),0),
IF('TL15'!$B$3=N$3,SUMIF('TL15'!$C$10:$C$224,$C338,'TL15'!$J$10:$J$224),0),
IF('TL15'!$B$229=N$3,SUMIF('TL15'!$C$238:$C$451,$C338,'TL15'!$J$238:$J$451),0),
IF('TL16'!$B$3=N$3,SUMIF('TL16'!$C$10:$C$224,$C338,'TL16'!$J$10:$J$224),0),
IF('TL16'!$B$229=N$3,SUMIF('TL16'!$C$238:$C$451,$C338,'TL16'!$J$238:$J$451),0),
IF('TL17'!$B$3=N$3,SUMIF('TL17'!$C$10:$C$224,$C338,'TL17'!$J$10:$J$224),0),
IF('TL17'!$B$229=N$3,SUMIF('TL17'!$C$238:$C$451,$C338,'TL17'!$J$238:$J$451),0),
IF('TL18'!$B$3=N$3,SUMIF('TL18'!$C$10:$C$224,$C338,'TL18'!$J$10:$J$224),0),
IF('TL18'!$B$229=N$3,SUMIF('TL18'!$C$238:$C$451,$C338,'TL18'!$J$238:$J$451),0),
IF('TL19'!$B$3=N$3,SUMIF('TL19'!$C$10:$C$224,$C338,'TL19'!$J$10:$J$224),0),
IF('TL19'!$B$229=N$3,SUMIF('TL19'!$C$238:$C$451,$C338,'TL19'!$J$238:$J$451),0)
),0)</f>
        <v/>
      </c>
      <c r="O338" s="9">
        <f>IFERROR(SUM(
IF('TL01'!$B$3=O$3,SUMIF('TL01'!$C$10:$C$224,$C338,'TL01'!$J$10:$J$224),0),
IF('TL01'!$B$229=O$3,SUMIF('TL01'!$C$238:$C$451,$C338,'TL01'!$J$238:$J$451),0),
IF('TL02'!$B$3=O$3,SUMIF('TL02'!$C$10:$C$224,$C338,'TL02'!$J$10:$J$224),0),
IF('TL02'!$B$229=O$3,SUMIF('TL02'!$C$238:$C$451,$C338,'TL02'!$J$238:$J$451),0),
IF('TL03'!$B$3=O$3,SUMIF('TL03'!$C$10:$C$224,$C338,'TL03'!$J$10:$J$224),0),
IF('TL03'!$B$229=O$3,SUMIF('TL03'!$C$238:$C$451,$C338,'TL03'!$J$238:$J$451),0),
IF('TL04'!$B$3=O$3,SUMIF('TL04'!$C$10:$C$224,$C338,'TL04'!$J$10:$J$224),0),
IF('TL04'!$B$229=O$3,SUMIF('TL04'!$C$238:$C$451,$C338,'TL04'!$J$238:$J$451),0),
IF('TL05'!$B$3=O$3,SUMIF('TL05'!$C$10:$C$224,$C338,'TL05'!$J$10:$J$224),0),
IF('TL05'!$B$229=O$3,SUMIF('TL05'!$C$238:$C$451,$C338,'TL05'!$J$238:$J$451),0),
IF('TL06'!$B$3=O$3,SUMIF('TL06'!$C$10:$C$224,$C338,'TL06'!$J$10:$J$224),0),
IF('TL06'!$B$229=O$3,SUMIF('TL06'!$C$238:$C$451,$C338,'TL06'!$J$238:$J$451),0),
IF('TL07'!$B$3=O$3,SUMIF('TL07'!$C$10:$C$224,$C338,'TL07'!$J$10:$J$224),0),
IF('TL07'!$B$229=O$3,SUMIF('TL07'!$C$238:$C$451,$C338,'TL07'!$J$238:$J$451),0),
IF('TL08'!$B$3=O$3,SUMIF('TL08'!$C$10:$C$224,$C338,'TL08'!$J$10:$J$224),0),
IF('TL08'!$B$229=O$3,SUMIF('TL08'!$C$238:$C$451,$C338,'TL08'!$J$238:$J$451),0),
IF('TL09'!$B$3=O$3,SUMIF('TL09'!$C$10:$C$224,$C338,'TL09'!$J$10:$J$224),0),
IF('TL09'!$B$229=O$3,SUMIF('TL09'!$C$238:$C$451,$C338,'TL09'!$J$238:$J$451),0),
IF('TL10'!$B$3=O$3,SUMIF('TL10'!$C$10:$C$224,$C338,'TL10'!$J$10:$J$224),0),
IF('TL10'!$B$229=O$3,SUMIF('TL10'!$C$238:$C$451,$C338,'TL10'!$J$238:$J$451),0),
IF('TL11'!$B$3=O$3,SUMIF('TL11'!$C$10:$C$224,$C338,'TL11'!$J$10:$J$224),0),
IF('TL11'!$B$229=O$3,SUMIF('TL11'!$C$238:$C$451,$C338,'TL11'!$J$238:$J$451),0),
IF('TL12'!$B$3=O$3,SUMIF('TL12'!$C$10:$C$224,$C338,'TL12'!$J$10:$J$224),0),
IF('TL12'!$B$229=O$3,SUMIF('TL12'!$C$238:$C$451,$C338,'TL12'!$J$238:$J$451),0),
IF('TL13'!$B$3=O$3,SUMIF('TL13'!$C$10:$C$224,$C338,'TL13'!$J$10:$J$224),0),
IF('TL13'!$B$229=O$3,SUMIF('TL13'!$C$238:$C$451,$C338,'TL13'!$J$238:$J$451),0),
IF('TL14'!$B$3=O$3,SUMIF('TL14'!$C$10:$C$224,$C338,'TL14'!$J$10:$J$224),0),
IF('TL14'!$B$229=O$3,SUMIF('TL14'!$C$238:$C$451,$C338,'TL14'!$J$238:$J$451),0),
IF('TL15'!$B$3=O$3,SUMIF('TL15'!$C$10:$C$224,$C338,'TL15'!$J$10:$J$224),0),
IF('TL15'!$B$229=O$3,SUMIF('TL15'!$C$238:$C$451,$C338,'TL15'!$J$238:$J$451),0),
IF('TL16'!$B$3=O$3,SUMIF('TL16'!$C$10:$C$224,$C338,'TL16'!$J$10:$J$224),0),
IF('TL16'!$B$229=O$3,SUMIF('TL16'!$C$238:$C$451,$C338,'TL16'!$J$238:$J$451),0),
IF('TL17'!$B$3=O$3,SUMIF('TL17'!$C$10:$C$224,$C338,'TL17'!$J$10:$J$224),0),
IF('TL17'!$B$229=O$3,SUMIF('TL17'!$C$238:$C$451,$C338,'TL17'!$J$238:$J$451),0),
IF('TL18'!$B$3=O$3,SUMIF('TL18'!$C$10:$C$224,$C338,'TL18'!$J$10:$J$224),0),
IF('TL18'!$B$229=O$3,SUMIF('TL18'!$C$238:$C$451,$C338,'TL18'!$J$238:$J$451),0),
IF('TL19'!$B$3=O$3,SUMIF('TL19'!$C$10:$C$224,$C338,'TL19'!$J$10:$J$224),0),
IF('TL19'!$B$229=O$3,SUMIF('TL19'!$C$238:$C$451,$C338,'TL19'!$J$238:$J$451),0)
),0)</f>
        <v/>
      </c>
      <c r="P338" s="9">
        <f>IFERROR(SUM(
IF('TL01'!$B$3=P$3,SUMIF('TL01'!$C$10:$C$224,$C338,'TL01'!$J$10:$J$224),0),
IF('TL01'!$B$229=P$3,SUMIF('TL01'!$C$238:$C$451,$C338,'TL01'!$J$238:$J$451),0),
IF('TL02'!$B$3=P$3,SUMIF('TL02'!$C$10:$C$224,$C338,'TL02'!$J$10:$J$224),0),
IF('TL02'!$B$229=P$3,SUMIF('TL02'!$C$238:$C$451,$C338,'TL02'!$J$238:$J$451),0),
IF('TL03'!$B$3=P$3,SUMIF('TL03'!$C$10:$C$224,$C338,'TL03'!$J$10:$J$224),0),
IF('TL03'!$B$229=P$3,SUMIF('TL03'!$C$238:$C$451,$C338,'TL03'!$J$238:$J$451),0),
IF('TL04'!$B$3=P$3,SUMIF('TL04'!$C$10:$C$224,$C338,'TL04'!$J$10:$J$224),0),
IF('TL04'!$B$229=P$3,SUMIF('TL04'!$C$238:$C$451,$C338,'TL04'!$J$238:$J$451),0),
IF('TL05'!$B$3=P$3,SUMIF('TL05'!$C$10:$C$224,$C338,'TL05'!$J$10:$J$224),0),
IF('TL05'!$B$229=P$3,SUMIF('TL05'!$C$238:$C$451,$C338,'TL05'!$J$238:$J$451),0),
IF('TL06'!$B$3=P$3,SUMIF('TL06'!$C$10:$C$224,$C338,'TL06'!$J$10:$J$224),0),
IF('TL06'!$B$229=P$3,SUMIF('TL06'!$C$238:$C$451,$C338,'TL06'!$J$238:$J$451),0),
IF('TL07'!$B$3=P$3,SUMIF('TL07'!$C$10:$C$224,$C338,'TL07'!$J$10:$J$224),0),
IF('TL07'!$B$229=P$3,SUMIF('TL07'!$C$238:$C$451,$C338,'TL07'!$J$238:$J$451),0),
IF('TL08'!$B$3=P$3,SUMIF('TL08'!$C$10:$C$224,$C338,'TL08'!$J$10:$J$224),0),
IF('TL08'!$B$229=P$3,SUMIF('TL08'!$C$238:$C$451,$C338,'TL08'!$J$238:$J$451),0),
IF('TL09'!$B$3=P$3,SUMIF('TL09'!$C$10:$C$224,$C338,'TL09'!$J$10:$J$224),0),
IF('TL09'!$B$229=P$3,SUMIF('TL09'!$C$238:$C$451,$C338,'TL09'!$J$238:$J$451),0),
IF('TL10'!$B$3=P$3,SUMIF('TL10'!$C$10:$C$224,$C338,'TL10'!$J$10:$J$224),0),
IF('TL10'!$B$229=P$3,SUMIF('TL10'!$C$238:$C$451,$C338,'TL10'!$J$238:$J$451),0),
IF('TL11'!$B$3=P$3,SUMIF('TL11'!$C$10:$C$224,$C338,'TL11'!$J$10:$J$224),0),
IF('TL11'!$B$229=P$3,SUMIF('TL11'!$C$238:$C$451,$C338,'TL11'!$J$238:$J$451),0),
IF('TL12'!$B$3=P$3,SUMIF('TL12'!$C$10:$C$224,$C338,'TL12'!$J$10:$J$224),0),
IF('TL12'!$B$229=P$3,SUMIF('TL12'!$C$238:$C$451,$C338,'TL12'!$J$238:$J$451),0),
IF('TL13'!$B$3=P$3,SUMIF('TL13'!$C$10:$C$224,$C338,'TL13'!$J$10:$J$224),0),
IF('TL13'!$B$229=P$3,SUMIF('TL13'!$C$238:$C$451,$C338,'TL13'!$J$238:$J$451),0),
IF('TL14'!$B$3=P$3,SUMIF('TL14'!$C$10:$C$224,$C338,'TL14'!$J$10:$J$224),0),
IF('TL14'!$B$229=P$3,SUMIF('TL14'!$C$238:$C$451,$C338,'TL14'!$J$238:$J$451),0),
IF('TL15'!$B$3=P$3,SUMIF('TL15'!$C$10:$C$224,$C338,'TL15'!$J$10:$J$224),0),
IF('TL15'!$B$229=P$3,SUMIF('TL15'!$C$238:$C$451,$C338,'TL15'!$J$238:$J$451),0),
IF('TL16'!$B$3=P$3,SUMIF('TL16'!$C$10:$C$224,$C338,'TL16'!$J$10:$J$224),0),
IF('TL16'!$B$229=P$3,SUMIF('TL16'!$C$238:$C$451,$C338,'TL16'!$J$238:$J$451),0),
IF('TL17'!$B$3=P$3,SUMIF('TL17'!$C$10:$C$224,$C338,'TL17'!$J$10:$J$224),0),
IF('TL17'!$B$229=P$3,SUMIF('TL17'!$C$238:$C$451,$C338,'TL17'!$J$238:$J$451),0),
IF('TL18'!$B$3=P$3,SUMIF('TL18'!$C$10:$C$224,$C338,'TL18'!$J$10:$J$224),0),
IF('TL18'!$B$229=P$3,SUMIF('TL18'!$C$238:$C$451,$C338,'TL18'!$J$238:$J$451),0),
IF('TL19'!$B$3=P$3,SUMIF('TL19'!$C$10:$C$224,$C338,'TL19'!$J$10:$J$224),0),
IF('TL19'!$B$229=P$3,SUMIF('TL19'!$C$238:$C$451,$C338,'TL19'!$J$238:$J$451),0)
),0)</f>
        <v/>
      </c>
      <c r="Q338" s="9">
        <f>IFERROR(SUM(
IF('TL01'!$B$3=Q$3,SUMIF('TL01'!$C$10:$C$224,$C338,'TL01'!$J$10:$J$224),0),
IF('TL01'!$B$229=Q$3,SUMIF('TL01'!$C$238:$C$451,$C338,'TL01'!$J$238:$J$451),0),
IF('TL02'!$B$3=Q$3,SUMIF('TL02'!$C$10:$C$224,$C338,'TL02'!$J$10:$J$224),0),
IF('TL02'!$B$229=Q$3,SUMIF('TL02'!$C$238:$C$451,$C338,'TL02'!$J$238:$J$451),0),
IF('TL03'!$B$3=Q$3,SUMIF('TL03'!$C$10:$C$224,$C338,'TL03'!$J$10:$J$224),0),
IF('TL03'!$B$229=Q$3,SUMIF('TL03'!$C$238:$C$451,$C338,'TL03'!$J$238:$J$451),0),
IF('TL04'!$B$3=Q$3,SUMIF('TL04'!$C$10:$C$224,$C338,'TL04'!$J$10:$J$224),0),
IF('TL04'!$B$229=Q$3,SUMIF('TL04'!$C$238:$C$451,$C338,'TL04'!$J$238:$J$451),0),
IF('TL05'!$B$3=Q$3,SUMIF('TL05'!$C$10:$C$224,$C338,'TL05'!$J$10:$J$224),0),
IF('TL05'!$B$229=Q$3,SUMIF('TL05'!$C$238:$C$451,$C338,'TL05'!$J$238:$J$451),0),
IF('TL06'!$B$3=Q$3,SUMIF('TL06'!$C$10:$C$224,$C338,'TL06'!$J$10:$J$224),0),
IF('TL06'!$B$229=Q$3,SUMIF('TL06'!$C$238:$C$451,$C338,'TL06'!$J$238:$J$451),0),
IF('TL07'!$B$3=Q$3,SUMIF('TL07'!$C$10:$C$224,$C338,'TL07'!$J$10:$J$224),0),
IF('TL07'!$B$229=Q$3,SUMIF('TL07'!$C$238:$C$451,$C338,'TL07'!$J$238:$J$451),0),
IF('TL08'!$B$3=Q$3,SUMIF('TL08'!$C$10:$C$224,$C338,'TL08'!$J$10:$J$224),0),
IF('TL08'!$B$229=Q$3,SUMIF('TL08'!$C$238:$C$451,$C338,'TL08'!$J$238:$J$451),0),
IF('TL09'!$B$3=Q$3,SUMIF('TL09'!$C$10:$C$224,$C338,'TL09'!$J$10:$J$224),0),
IF('TL09'!$B$229=Q$3,SUMIF('TL09'!$C$238:$C$451,$C338,'TL09'!$J$238:$J$451),0),
IF('TL10'!$B$3=Q$3,SUMIF('TL10'!$C$10:$C$224,$C338,'TL10'!$J$10:$J$224),0),
IF('TL10'!$B$229=Q$3,SUMIF('TL10'!$C$238:$C$451,$C338,'TL10'!$J$238:$J$451),0),
IF('TL11'!$B$3=Q$3,SUMIF('TL11'!$C$10:$C$224,$C338,'TL11'!$J$10:$J$224),0),
IF('TL11'!$B$229=Q$3,SUMIF('TL11'!$C$238:$C$451,$C338,'TL11'!$J$238:$J$451),0),
IF('TL12'!$B$3=Q$3,SUMIF('TL12'!$C$10:$C$224,$C338,'TL12'!$J$10:$J$224),0),
IF('TL12'!$B$229=Q$3,SUMIF('TL12'!$C$238:$C$451,$C338,'TL12'!$J$238:$J$451),0),
IF('TL13'!$B$3=Q$3,SUMIF('TL13'!$C$10:$C$224,$C338,'TL13'!$J$10:$J$224),0),
IF('TL13'!$B$229=Q$3,SUMIF('TL13'!$C$238:$C$451,$C338,'TL13'!$J$238:$J$451),0),
IF('TL14'!$B$3=Q$3,SUMIF('TL14'!$C$10:$C$224,$C338,'TL14'!$J$10:$J$224),0),
IF('TL14'!$B$229=Q$3,SUMIF('TL14'!$C$238:$C$451,$C338,'TL14'!$J$238:$J$451),0),
IF('TL15'!$B$3=Q$3,SUMIF('TL15'!$C$10:$C$224,$C338,'TL15'!$J$10:$J$224),0),
IF('TL15'!$B$229=Q$3,SUMIF('TL15'!$C$238:$C$451,$C338,'TL15'!$J$238:$J$451),0),
IF('TL16'!$B$3=Q$3,SUMIF('TL16'!$C$10:$C$224,$C338,'TL16'!$J$10:$J$224),0),
IF('TL16'!$B$229=Q$3,SUMIF('TL16'!$C$238:$C$451,$C338,'TL16'!$J$238:$J$451),0),
IF('TL17'!$B$3=Q$3,SUMIF('TL17'!$C$10:$C$224,$C338,'TL17'!$J$10:$J$224),0),
IF('TL17'!$B$229=Q$3,SUMIF('TL17'!$C$238:$C$451,$C338,'TL17'!$J$238:$J$451),0),
IF('TL18'!$B$3=Q$3,SUMIF('TL18'!$C$10:$C$224,$C338,'TL18'!$J$10:$J$224),0),
IF('TL18'!$B$229=Q$3,SUMIF('TL18'!$C$238:$C$451,$C338,'TL18'!$J$238:$J$451),0),
IF('TL19'!$B$3=Q$3,SUMIF('TL19'!$C$10:$C$224,$C338,'TL19'!$J$10:$J$224),0),
IF('TL19'!$B$229=Q$3,SUMIF('TL19'!$C$238:$C$451,$C338,'TL19'!$J$238:$J$451),0)
),0)</f>
        <v/>
      </c>
      <c r="R338" s="9">
        <f>IFERROR(
SUM(
SUMIF('TL01'!C:C,C338,'TL01'!J:J),
SUMIF('TL02'!C:C,C338,'TL02'!J:J),
SUMIF('TL03'!C:C,C338,'TL03'!J:J),
SUMIF('TL04'!C:C,C338,'TL04'!J:J),
SUMIF('TL05'!C:C,C338,'TL05'!J:J),
SUMIF('TL06'!C:C,C338,'TL06'!J:J),
SUMIF('TL07'!C:C,C338,'TL07'!J:J),
SUMIF('TL08'!C:C,C338,'TL08'!J:J),
SUMIF('TL09'!C:C,C338,'TL09'!J:J),
SUMIF('TL10'!C:C,C338,'TL10'!J:J),
SUMIF('TL11'!C:C,C338,'TL11'!J:J),
SUMIF('TL12'!C:C,C338,'TL12'!J:J),
SUMIF('TL13'!C:C,C338,'TL13'!J:J),
SUMIF('TL14'!C:C,C338,'TL14'!J:J),
SUMIF('TL15'!C:C,C338,'TL15'!J:J),
SUMIF('TL16'!C:C,C338,'TL16'!J:J),
SUMIF('TL17'!C:C,C338,'TL17'!J:J),
SUMIF('TL18'!C:C,C338,'TL18'!J:J),SUMIF('TL19'!C:C,C338,'TL19'!J:J))
,0)</f>
        <v/>
      </c>
      <c r="S338" s="17">
        <f>IFERROR(__xludf.DUMMYFUNCTION("IFERROR(VLOOKUP(C338,
IMPORTRANGE(""1wULbzX32WdYsx-lj2U3uUNBBe2INVIRDtcK0d-Dvl90"",
""26-27!C:G""),
5,
FALSE),
"""")"),"")</f>
        <v/>
      </c>
      <c r="T338" s="9" t="n"/>
      <c r="U338" s="92">
        <f>MAX(0,R338-T338)</f>
        <v/>
      </c>
      <c r="V338" s="93">
        <f>U338*S338</f>
        <v/>
      </c>
    </row>
    <row r="339" hidden="1" ht="15.75" customHeight="1" s="297">
      <c r="A339" s="4" t="n"/>
      <c r="B339" s="125" t="n"/>
      <c r="C339" s="20" t="n"/>
      <c r="D339" s="20" t="n"/>
      <c r="E339" s="9" t="n"/>
      <c r="F339" s="4" t="n"/>
      <c r="G339" s="90">
        <f>HYPERLINK("https://www.google.com/search?q=" &amp; C339 &amp; "+bula+agrofit+pdf", "📄 Ver bula")</f>
        <v/>
      </c>
      <c r="H339" s="9" t="n"/>
      <c r="I339" s="1" t="n"/>
      <c r="J339" s="9">
        <f>IFERROR(SUM(
IF('TL01'!$B$3=J$3,SUMIF('TL01'!$C$10:$C$224,$C339,'TL01'!$J$10:$J$224),0),
IF('TL01'!$B$229=J$3,SUMIF('TL01'!$C$238:$C$451,$C339,'TL01'!$J$238:$J$451),0),
IF('TL02'!$B$3=J$3,SUMIF('TL02'!$C$10:$C$224,$C339,'TL02'!$J$10:$J$224),0),
IF('TL02'!$B$229=J$3,SUMIF('TL02'!$C$238:$C$451,$C339,'TL02'!$J$238:$J$451),0),
IF('TL03'!$B$3=J$3,SUMIF('TL03'!$C$10:$C$224,$C339,'TL03'!$J$10:$J$224),0),
IF('TL03'!$B$229=J$3,SUMIF('TL03'!$C$238:$C$451,$C339,'TL03'!$J$238:$J$451),0),
IF('TL04'!$B$3=J$3,SUMIF('TL04'!$C$10:$C$224,$C339,'TL04'!$J$10:$J$224),0),
IF('TL04'!$B$229=J$3,SUMIF('TL04'!$C$238:$C$451,$C339,'TL04'!$J$238:$J$451),0),
IF('TL05'!$B$3=J$3,SUMIF('TL05'!$C$10:$C$224,$C339,'TL05'!$J$10:$J$224),0),
IF('TL05'!$B$229=J$3,SUMIF('TL05'!$C$238:$C$451,$C339,'TL05'!$J$238:$J$451),0),
IF('TL06'!$B$3=J$3,SUMIF('TL06'!$C$10:$C$224,$C339,'TL06'!$J$10:$J$224),0),
IF('TL06'!$B$229=J$3,SUMIF('TL06'!$C$238:$C$451,$C339,'TL06'!$J$238:$J$451),0),
IF('TL07'!$B$3=J$3,SUMIF('TL07'!$C$10:$C$224,$C339,'TL07'!$J$10:$J$224),0),
IF('TL07'!$B$229=J$3,SUMIF('TL07'!$C$238:$C$451,$C339,'TL07'!$J$238:$J$451),0),
IF('TL08'!$B$3=J$3,SUMIF('TL08'!$C$10:$C$224,$C339,'TL08'!$J$10:$J$224),0),
IF('TL08'!$B$229=J$3,SUMIF('TL08'!$C$238:$C$451,$C339,'TL08'!$J$238:$J$451),0),
IF('TL09'!$B$3=J$3,SUMIF('TL09'!$C$10:$C$224,$C339,'TL09'!$J$10:$J$224),0),
IF('TL09'!$B$229=J$3,SUMIF('TL09'!$C$238:$C$451,$C339,'TL09'!$J$238:$J$451),0),
IF('TL10'!$B$3=J$3,SUMIF('TL10'!$C$10:$C$224,$C339,'TL10'!$J$10:$J$224),0),
IF('TL10'!$B$229=J$3,SUMIF('TL10'!$C$238:$C$451,$C339,'TL10'!$J$238:$J$451),0),
IF('TL11'!$B$3=J$3,SUMIF('TL11'!$C$10:$C$224,$C339,'TL11'!$J$10:$J$224),0),
IF('TL11'!$B$229=J$3,SUMIF('TL11'!$C$238:$C$451,$C339,'TL11'!$J$238:$J$451),0),
IF('TL12'!$B$3=J$3,SUMIF('TL12'!$C$10:$C$224,$C339,'TL12'!$J$10:$J$224),0),
IF('TL12'!$B$229=J$3,SUMIF('TL12'!$C$238:$C$451,$C339,'TL12'!$J$238:$J$451),0),
IF('TL13'!$B$3=J$3,SUMIF('TL13'!$C$10:$C$224,$C339,'TL13'!$J$10:$J$224),0),
IF('TL13'!$B$229=J$3,SUMIF('TL13'!$C$238:$C$451,$C339,'TL13'!$J$238:$J$451),0),
IF('TL14'!$B$3=J$3,SUMIF('TL14'!$C$10:$C$224,$C339,'TL14'!$J$10:$J$224),0),
IF('TL14'!$B$229=J$3,SUMIF('TL14'!$C$238:$C$451,$C339,'TL14'!$J$238:$J$451),0),
IF('TL15'!$B$3=J$3,SUMIF('TL15'!$C$10:$C$224,$C339,'TL15'!$J$10:$J$224),0),
IF('TL15'!$B$229=J$3,SUMIF('TL15'!$C$238:$C$451,$C339,'TL15'!$J$238:$J$451),0),
IF('TL16'!$B$3=J$3,SUMIF('TL16'!$C$10:$C$224,$C339,'TL16'!$J$10:$J$224),0),
IF('TL16'!$B$229=J$3,SUMIF('TL16'!$C$238:$C$451,$C339,'TL16'!$J$238:$J$451),0),
IF('TL17'!$B$3=J$3,SUMIF('TL17'!$C$10:$C$224,$C339,'TL17'!$J$10:$J$224),0),
IF('TL17'!$B$229=J$3,SUMIF('TL17'!$C$238:$C$451,$C339,'TL17'!$J$238:$J$451),0),
IF('TL18'!$B$3=J$3,SUMIF('TL18'!$C$10:$C$224,$C339,'TL18'!$J$10:$J$224),0),
IF('TL18'!$B$229=J$3,SUMIF('TL18'!$C$238:$C$451,$C339,'TL18'!$J$238:$J$451),0),
IF('TL19'!$B$3=J$3,SUMIF('TL19'!$C$10:$C$224,$C339,'TL19'!$J$10:$J$224),0),
IF('TL19'!$B$229=J$3,SUMIF('TL19'!$C$238:$C$451,$C339,'TL19'!$J$238:$J$451),0)
),0)</f>
        <v/>
      </c>
      <c r="K339" s="9">
        <f>IFERROR(SUM(
IF('TL01'!$B$3=K$3,SUMIF('TL01'!$C$10:$C$224,$C339,'TL01'!$J$10:$J$224),0),
IF('TL01'!$B$229=K$3,SUMIF('TL01'!$C$238:$C$451,$C339,'TL01'!$J$238:$J$451),0),
IF('TL02'!$B$3=K$3,SUMIF('TL02'!$C$10:$C$224,$C339,'TL02'!$J$10:$J$224),0),
IF('TL02'!$B$229=K$3,SUMIF('TL02'!$C$238:$C$451,$C339,'TL02'!$J$238:$J$451),0),
IF('TL03'!$B$3=K$3,SUMIF('TL03'!$C$10:$C$224,$C339,'TL03'!$J$10:$J$224),0),
IF('TL03'!$B$229=K$3,SUMIF('TL03'!$C$238:$C$451,$C339,'TL03'!$J$238:$J$451),0),
IF('TL04'!$B$3=K$3,SUMIF('TL04'!$C$10:$C$224,$C339,'TL04'!$J$10:$J$224),0),
IF('TL04'!$B$229=K$3,SUMIF('TL04'!$C$238:$C$451,$C339,'TL04'!$J$238:$J$451),0),
IF('TL05'!$B$3=K$3,SUMIF('TL05'!$C$10:$C$224,$C339,'TL05'!$J$10:$J$224),0),
IF('TL05'!$B$229=K$3,SUMIF('TL05'!$C$238:$C$451,$C339,'TL05'!$J$238:$J$451),0),
IF('TL06'!$B$3=K$3,SUMIF('TL06'!$C$10:$C$224,$C339,'TL06'!$J$10:$J$224),0),
IF('TL06'!$B$229=K$3,SUMIF('TL06'!$C$238:$C$451,$C339,'TL06'!$J$238:$J$451),0),
IF('TL07'!$B$3=K$3,SUMIF('TL07'!$C$10:$C$224,$C339,'TL07'!$J$10:$J$224),0),
IF('TL07'!$B$229=K$3,SUMIF('TL07'!$C$238:$C$451,$C339,'TL07'!$J$238:$J$451),0),
IF('TL08'!$B$3=K$3,SUMIF('TL08'!$C$10:$C$224,$C339,'TL08'!$J$10:$J$224),0),
IF('TL08'!$B$229=K$3,SUMIF('TL08'!$C$238:$C$451,$C339,'TL08'!$J$238:$J$451),0),
IF('TL09'!$B$3=K$3,SUMIF('TL09'!$C$10:$C$224,$C339,'TL09'!$J$10:$J$224),0),
IF('TL09'!$B$229=K$3,SUMIF('TL09'!$C$238:$C$451,$C339,'TL09'!$J$238:$J$451),0),
IF('TL10'!$B$3=K$3,SUMIF('TL10'!$C$10:$C$224,$C339,'TL10'!$J$10:$J$224),0),
IF('TL10'!$B$229=K$3,SUMIF('TL10'!$C$238:$C$451,$C339,'TL10'!$J$238:$J$451),0),
IF('TL11'!$B$3=K$3,SUMIF('TL11'!$C$10:$C$224,$C339,'TL11'!$J$10:$J$224),0),
IF('TL11'!$B$229=K$3,SUMIF('TL11'!$C$238:$C$451,$C339,'TL11'!$J$238:$J$451),0),
IF('TL12'!$B$3=K$3,SUMIF('TL12'!$C$10:$C$224,$C339,'TL12'!$J$10:$J$224),0),
IF('TL12'!$B$229=K$3,SUMIF('TL12'!$C$238:$C$451,$C339,'TL12'!$J$238:$J$451),0),
IF('TL13'!$B$3=K$3,SUMIF('TL13'!$C$10:$C$224,$C339,'TL13'!$J$10:$J$224),0),
IF('TL13'!$B$229=K$3,SUMIF('TL13'!$C$238:$C$451,$C339,'TL13'!$J$238:$J$451),0),
IF('TL14'!$B$3=K$3,SUMIF('TL14'!$C$10:$C$224,$C339,'TL14'!$J$10:$J$224),0),
IF('TL14'!$B$229=K$3,SUMIF('TL14'!$C$238:$C$451,$C339,'TL14'!$J$238:$J$451),0),
IF('TL15'!$B$3=K$3,SUMIF('TL15'!$C$10:$C$224,$C339,'TL15'!$J$10:$J$224),0),
IF('TL15'!$B$229=K$3,SUMIF('TL15'!$C$238:$C$451,$C339,'TL15'!$J$238:$J$451),0),
IF('TL16'!$B$3=K$3,SUMIF('TL16'!$C$10:$C$224,$C339,'TL16'!$J$10:$J$224),0),
IF('TL16'!$B$229=K$3,SUMIF('TL16'!$C$238:$C$451,$C339,'TL16'!$J$238:$J$451),0),
IF('TL17'!$B$3=K$3,SUMIF('TL17'!$C$10:$C$224,$C339,'TL17'!$J$10:$J$224),0),
IF('TL17'!$B$229=K$3,SUMIF('TL17'!$C$238:$C$451,$C339,'TL17'!$J$238:$J$451),0),
IF('TL18'!$B$3=K$3,SUMIF('TL18'!$C$10:$C$224,$C339,'TL18'!$J$10:$J$224),0),
IF('TL18'!$B$229=K$3,SUMIF('TL18'!$C$238:$C$451,$C339,'TL18'!$J$238:$J$451),0),
IF('TL19'!$B$3=K$3,SUMIF('TL19'!$C$10:$C$224,$C339,'TL19'!$J$10:$J$224),0),
IF('TL19'!$B$229=K$3,SUMIF('TL19'!$C$238:$C$451,$C339,'TL19'!$J$238:$J$451),0)
),0)</f>
        <v/>
      </c>
      <c r="L339" s="9">
        <f>IFERROR(SUM(
IF('TL01'!$B$3=L$3,SUMIF('TL01'!$C$10:$C$224,$C339,'TL01'!$J$10:$J$224),0),
IF('TL01'!$B$229=L$3,SUMIF('TL01'!$C$238:$C$451,$C339,'TL01'!$J$238:$J$451),0),
IF('TL02'!$B$3=L$3,SUMIF('TL02'!$C$10:$C$224,$C339,'TL02'!$J$10:$J$224),0),
IF('TL02'!$B$229=L$3,SUMIF('TL02'!$C$238:$C$451,$C339,'TL02'!$J$238:$J$451),0),
IF('TL03'!$B$3=L$3,SUMIF('TL03'!$C$10:$C$224,$C339,'TL03'!$J$10:$J$224),0),
IF('TL03'!$B$229=L$3,SUMIF('TL03'!$C$238:$C$451,$C339,'TL03'!$J$238:$J$451),0),
IF('TL04'!$B$3=L$3,SUMIF('TL04'!$C$10:$C$224,$C339,'TL04'!$J$10:$J$224),0),
IF('TL04'!$B$229=L$3,SUMIF('TL04'!$C$238:$C$451,$C339,'TL04'!$J$238:$J$451),0),
IF('TL05'!$B$3=L$3,SUMIF('TL05'!$C$10:$C$224,$C339,'TL05'!$J$10:$J$224),0),
IF('TL05'!$B$229=L$3,SUMIF('TL05'!$C$238:$C$451,$C339,'TL05'!$J$238:$J$451),0),
IF('TL06'!$B$3=L$3,SUMIF('TL06'!$C$10:$C$224,$C339,'TL06'!$J$10:$J$224),0),
IF('TL06'!$B$229=L$3,SUMIF('TL06'!$C$238:$C$451,$C339,'TL06'!$J$238:$J$451),0),
IF('TL07'!$B$3=L$3,SUMIF('TL07'!$C$10:$C$224,$C339,'TL07'!$J$10:$J$224),0),
IF('TL07'!$B$229=L$3,SUMIF('TL07'!$C$238:$C$451,$C339,'TL07'!$J$238:$J$451),0),
IF('TL08'!$B$3=L$3,SUMIF('TL08'!$C$10:$C$224,$C339,'TL08'!$J$10:$J$224),0),
IF('TL08'!$B$229=L$3,SUMIF('TL08'!$C$238:$C$451,$C339,'TL08'!$J$238:$J$451),0),
IF('TL09'!$B$3=L$3,SUMIF('TL09'!$C$10:$C$224,$C339,'TL09'!$J$10:$J$224),0),
IF('TL09'!$B$229=L$3,SUMIF('TL09'!$C$238:$C$451,$C339,'TL09'!$J$238:$J$451),0),
IF('TL10'!$B$3=L$3,SUMIF('TL10'!$C$10:$C$224,$C339,'TL10'!$J$10:$J$224),0),
IF('TL10'!$B$229=L$3,SUMIF('TL10'!$C$238:$C$451,$C339,'TL10'!$J$238:$J$451),0),
IF('TL11'!$B$3=L$3,SUMIF('TL11'!$C$10:$C$224,$C339,'TL11'!$J$10:$J$224),0),
IF('TL11'!$B$229=L$3,SUMIF('TL11'!$C$238:$C$451,$C339,'TL11'!$J$238:$J$451),0),
IF('TL12'!$B$3=L$3,SUMIF('TL12'!$C$10:$C$224,$C339,'TL12'!$J$10:$J$224),0),
IF('TL12'!$B$229=L$3,SUMIF('TL12'!$C$238:$C$451,$C339,'TL12'!$J$238:$J$451),0),
IF('TL13'!$B$3=L$3,SUMIF('TL13'!$C$10:$C$224,$C339,'TL13'!$J$10:$J$224),0),
IF('TL13'!$B$229=L$3,SUMIF('TL13'!$C$238:$C$451,$C339,'TL13'!$J$238:$J$451),0),
IF('TL14'!$B$3=L$3,SUMIF('TL14'!$C$10:$C$224,$C339,'TL14'!$J$10:$J$224),0),
IF('TL14'!$B$229=L$3,SUMIF('TL14'!$C$238:$C$451,$C339,'TL14'!$J$238:$J$451),0),
IF('TL15'!$B$3=L$3,SUMIF('TL15'!$C$10:$C$224,$C339,'TL15'!$J$10:$J$224),0),
IF('TL15'!$B$229=L$3,SUMIF('TL15'!$C$238:$C$451,$C339,'TL15'!$J$238:$J$451),0),
IF('TL16'!$B$3=L$3,SUMIF('TL16'!$C$10:$C$224,$C339,'TL16'!$J$10:$J$224),0),
IF('TL16'!$B$229=L$3,SUMIF('TL16'!$C$238:$C$451,$C339,'TL16'!$J$238:$J$451),0),
IF('TL17'!$B$3=L$3,SUMIF('TL17'!$C$10:$C$224,$C339,'TL17'!$J$10:$J$224),0),
IF('TL17'!$B$229=L$3,SUMIF('TL17'!$C$238:$C$451,$C339,'TL17'!$J$238:$J$451),0),
IF('TL18'!$B$3=L$3,SUMIF('TL18'!$C$10:$C$224,$C339,'TL18'!$J$10:$J$224),0),
IF('TL18'!$B$229=L$3,SUMIF('TL18'!$C$238:$C$451,$C339,'TL18'!$J$238:$J$451),0),
IF('TL19'!$B$3=L$3,SUMIF('TL19'!$C$10:$C$224,$C339,'TL19'!$J$10:$J$224),0),
IF('TL19'!$B$229=L$3,SUMIF('TL19'!$C$238:$C$451,$C339,'TL19'!$J$238:$J$451),0)
),0)</f>
        <v/>
      </c>
      <c r="M339" s="9">
        <f>IFERROR(SUM(
IF('TL01'!$B$3=M$3,SUMIF('TL01'!$C$10:$C$224,$C339,'TL01'!$J$10:$J$224),0),
IF('TL01'!$B$229=M$3,SUMIF('TL01'!$C$238:$C$451,$C339,'TL01'!$J$238:$J$451),0),
IF('TL02'!$B$3=M$3,SUMIF('TL02'!$C$10:$C$224,$C339,'TL02'!$J$10:$J$224),0),
IF('TL02'!$B$229=M$3,SUMIF('TL02'!$C$238:$C$451,$C339,'TL02'!$J$238:$J$451),0),
IF('TL03'!$B$3=M$3,SUMIF('TL03'!$C$10:$C$224,$C339,'TL03'!$J$10:$J$224),0),
IF('TL03'!$B$229=M$3,SUMIF('TL03'!$C$238:$C$451,$C339,'TL03'!$J$238:$J$451),0),
IF('TL04'!$B$3=M$3,SUMIF('TL04'!$C$10:$C$224,$C339,'TL04'!$J$10:$J$224),0),
IF('TL04'!$B$229=M$3,SUMIF('TL04'!$C$238:$C$451,$C339,'TL04'!$J$238:$J$451),0),
IF('TL05'!$B$3=M$3,SUMIF('TL05'!$C$10:$C$224,$C339,'TL05'!$J$10:$J$224),0),
IF('TL05'!$B$229=M$3,SUMIF('TL05'!$C$238:$C$451,$C339,'TL05'!$J$238:$J$451),0),
IF('TL06'!$B$3=M$3,SUMIF('TL06'!$C$10:$C$224,$C339,'TL06'!$J$10:$J$224),0),
IF('TL06'!$B$229=M$3,SUMIF('TL06'!$C$238:$C$451,$C339,'TL06'!$J$238:$J$451),0),
IF('TL07'!$B$3=M$3,SUMIF('TL07'!$C$10:$C$224,$C339,'TL07'!$J$10:$J$224),0),
IF('TL07'!$B$229=M$3,SUMIF('TL07'!$C$238:$C$451,$C339,'TL07'!$J$238:$J$451),0),
IF('TL08'!$B$3=M$3,SUMIF('TL08'!$C$10:$C$224,$C339,'TL08'!$J$10:$J$224),0),
IF('TL08'!$B$229=M$3,SUMIF('TL08'!$C$238:$C$451,$C339,'TL08'!$J$238:$J$451),0),
IF('TL09'!$B$3=M$3,SUMIF('TL09'!$C$10:$C$224,$C339,'TL09'!$J$10:$J$224),0),
IF('TL09'!$B$229=M$3,SUMIF('TL09'!$C$238:$C$451,$C339,'TL09'!$J$238:$J$451),0),
IF('TL10'!$B$3=M$3,SUMIF('TL10'!$C$10:$C$224,$C339,'TL10'!$J$10:$J$224),0),
IF('TL10'!$B$229=M$3,SUMIF('TL10'!$C$238:$C$451,$C339,'TL10'!$J$238:$J$451),0),
IF('TL11'!$B$3=M$3,SUMIF('TL11'!$C$10:$C$224,$C339,'TL11'!$J$10:$J$224),0),
IF('TL11'!$B$229=M$3,SUMIF('TL11'!$C$238:$C$451,$C339,'TL11'!$J$238:$J$451),0),
IF('TL12'!$B$3=M$3,SUMIF('TL12'!$C$10:$C$224,$C339,'TL12'!$J$10:$J$224),0),
IF('TL12'!$B$229=M$3,SUMIF('TL12'!$C$238:$C$451,$C339,'TL12'!$J$238:$J$451),0),
IF('TL13'!$B$3=M$3,SUMIF('TL13'!$C$10:$C$224,$C339,'TL13'!$J$10:$J$224),0),
IF('TL13'!$B$229=M$3,SUMIF('TL13'!$C$238:$C$451,$C339,'TL13'!$J$238:$J$451),0),
IF('TL14'!$B$3=M$3,SUMIF('TL14'!$C$10:$C$224,$C339,'TL14'!$J$10:$J$224),0),
IF('TL14'!$B$229=M$3,SUMIF('TL14'!$C$238:$C$451,$C339,'TL14'!$J$238:$J$451),0),
IF('TL15'!$B$3=M$3,SUMIF('TL15'!$C$10:$C$224,$C339,'TL15'!$J$10:$J$224),0),
IF('TL15'!$B$229=M$3,SUMIF('TL15'!$C$238:$C$451,$C339,'TL15'!$J$238:$J$451),0),
IF('TL16'!$B$3=M$3,SUMIF('TL16'!$C$10:$C$224,$C339,'TL16'!$J$10:$J$224),0),
IF('TL16'!$B$229=M$3,SUMIF('TL16'!$C$238:$C$451,$C339,'TL16'!$J$238:$J$451),0),
IF('TL17'!$B$3=M$3,SUMIF('TL17'!$C$10:$C$224,$C339,'TL17'!$J$10:$J$224),0),
IF('TL17'!$B$229=M$3,SUMIF('TL17'!$C$238:$C$451,$C339,'TL17'!$J$238:$J$451),0),
IF('TL18'!$B$3=M$3,SUMIF('TL18'!$C$10:$C$224,$C339,'TL18'!$J$10:$J$224),0),
IF('TL18'!$B$229=M$3,SUMIF('TL18'!$C$238:$C$451,$C339,'TL18'!$J$238:$J$451),0),
IF('TL19'!$B$3=M$3,SUMIF('TL19'!$C$10:$C$224,$C339,'TL19'!$J$10:$J$224),0),
IF('TL19'!$B$229=M$3,SUMIF('TL19'!$C$238:$C$451,$C339,'TL19'!$J$238:$J$451),0)
),0)</f>
        <v/>
      </c>
      <c r="N339" s="9">
        <f>IFERROR(SUM(
IF('TL01'!$B$3=N$3,SUMIF('TL01'!$C$10:$C$224,$C339,'TL01'!$J$10:$J$224),0),
IF('TL01'!$B$229=N$3,SUMIF('TL01'!$C$238:$C$451,$C339,'TL01'!$J$238:$J$451),0),
IF('TL02'!$B$3=N$3,SUMIF('TL02'!$C$10:$C$224,$C339,'TL02'!$J$10:$J$224),0),
IF('TL02'!$B$229=N$3,SUMIF('TL02'!$C$238:$C$451,$C339,'TL02'!$J$238:$J$451),0),
IF('TL03'!$B$3=N$3,SUMIF('TL03'!$C$10:$C$224,$C339,'TL03'!$J$10:$J$224),0),
IF('TL03'!$B$229=N$3,SUMIF('TL03'!$C$238:$C$451,$C339,'TL03'!$J$238:$J$451),0),
IF('TL04'!$B$3=N$3,SUMIF('TL04'!$C$10:$C$224,$C339,'TL04'!$J$10:$J$224),0),
IF('TL04'!$B$229=N$3,SUMIF('TL04'!$C$238:$C$451,$C339,'TL04'!$J$238:$J$451),0),
IF('TL05'!$B$3=N$3,SUMIF('TL05'!$C$10:$C$224,$C339,'TL05'!$J$10:$J$224),0),
IF('TL05'!$B$229=N$3,SUMIF('TL05'!$C$238:$C$451,$C339,'TL05'!$J$238:$J$451),0),
IF('TL06'!$B$3=N$3,SUMIF('TL06'!$C$10:$C$224,$C339,'TL06'!$J$10:$J$224),0),
IF('TL06'!$B$229=N$3,SUMIF('TL06'!$C$238:$C$451,$C339,'TL06'!$J$238:$J$451),0),
IF('TL07'!$B$3=N$3,SUMIF('TL07'!$C$10:$C$224,$C339,'TL07'!$J$10:$J$224),0),
IF('TL07'!$B$229=N$3,SUMIF('TL07'!$C$238:$C$451,$C339,'TL07'!$J$238:$J$451),0),
IF('TL08'!$B$3=N$3,SUMIF('TL08'!$C$10:$C$224,$C339,'TL08'!$J$10:$J$224),0),
IF('TL08'!$B$229=N$3,SUMIF('TL08'!$C$238:$C$451,$C339,'TL08'!$J$238:$J$451),0),
IF('TL09'!$B$3=N$3,SUMIF('TL09'!$C$10:$C$224,$C339,'TL09'!$J$10:$J$224),0),
IF('TL09'!$B$229=N$3,SUMIF('TL09'!$C$238:$C$451,$C339,'TL09'!$J$238:$J$451),0),
IF('TL10'!$B$3=N$3,SUMIF('TL10'!$C$10:$C$224,$C339,'TL10'!$J$10:$J$224),0),
IF('TL10'!$B$229=N$3,SUMIF('TL10'!$C$238:$C$451,$C339,'TL10'!$J$238:$J$451),0),
IF('TL11'!$B$3=N$3,SUMIF('TL11'!$C$10:$C$224,$C339,'TL11'!$J$10:$J$224),0),
IF('TL11'!$B$229=N$3,SUMIF('TL11'!$C$238:$C$451,$C339,'TL11'!$J$238:$J$451),0),
IF('TL12'!$B$3=N$3,SUMIF('TL12'!$C$10:$C$224,$C339,'TL12'!$J$10:$J$224),0),
IF('TL12'!$B$229=N$3,SUMIF('TL12'!$C$238:$C$451,$C339,'TL12'!$J$238:$J$451),0),
IF('TL13'!$B$3=N$3,SUMIF('TL13'!$C$10:$C$224,$C339,'TL13'!$J$10:$J$224),0),
IF('TL13'!$B$229=N$3,SUMIF('TL13'!$C$238:$C$451,$C339,'TL13'!$J$238:$J$451),0),
IF('TL14'!$B$3=N$3,SUMIF('TL14'!$C$10:$C$224,$C339,'TL14'!$J$10:$J$224),0),
IF('TL14'!$B$229=N$3,SUMIF('TL14'!$C$238:$C$451,$C339,'TL14'!$J$238:$J$451),0),
IF('TL15'!$B$3=N$3,SUMIF('TL15'!$C$10:$C$224,$C339,'TL15'!$J$10:$J$224),0),
IF('TL15'!$B$229=N$3,SUMIF('TL15'!$C$238:$C$451,$C339,'TL15'!$J$238:$J$451),0),
IF('TL16'!$B$3=N$3,SUMIF('TL16'!$C$10:$C$224,$C339,'TL16'!$J$10:$J$224),0),
IF('TL16'!$B$229=N$3,SUMIF('TL16'!$C$238:$C$451,$C339,'TL16'!$J$238:$J$451),0),
IF('TL17'!$B$3=N$3,SUMIF('TL17'!$C$10:$C$224,$C339,'TL17'!$J$10:$J$224),0),
IF('TL17'!$B$229=N$3,SUMIF('TL17'!$C$238:$C$451,$C339,'TL17'!$J$238:$J$451),0),
IF('TL18'!$B$3=N$3,SUMIF('TL18'!$C$10:$C$224,$C339,'TL18'!$J$10:$J$224),0),
IF('TL18'!$B$229=N$3,SUMIF('TL18'!$C$238:$C$451,$C339,'TL18'!$J$238:$J$451),0),
IF('TL19'!$B$3=N$3,SUMIF('TL19'!$C$10:$C$224,$C339,'TL19'!$J$10:$J$224),0),
IF('TL19'!$B$229=N$3,SUMIF('TL19'!$C$238:$C$451,$C339,'TL19'!$J$238:$J$451),0)
),0)</f>
        <v/>
      </c>
      <c r="O339" s="9">
        <f>IFERROR(SUM(
IF('TL01'!$B$3=O$3,SUMIF('TL01'!$C$10:$C$224,$C339,'TL01'!$J$10:$J$224),0),
IF('TL01'!$B$229=O$3,SUMIF('TL01'!$C$238:$C$451,$C339,'TL01'!$J$238:$J$451),0),
IF('TL02'!$B$3=O$3,SUMIF('TL02'!$C$10:$C$224,$C339,'TL02'!$J$10:$J$224),0),
IF('TL02'!$B$229=O$3,SUMIF('TL02'!$C$238:$C$451,$C339,'TL02'!$J$238:$J$451),0),
IF('TL03'!$B$3=O$3,SUMIF('TL03'!$C$10:$C$224,$C339,'TL03'!$J$10:$J$224),0),
IF('TL03'!$B$229=O$3,SUMIF('TL03'!$C$238:$C$451,$C339,'TL03'!$J$238:$J$451),0),
IF('TL04'!$B$3=O$3,SUMIF('TL04'!$C$10:$C$224,$C339,'TL04'!$J$10:$J$224),0),
IF('TL04'!$B$229=O$3,SUMIF('TL04'!$C$238:$C$451,$C339,'TL04'!$J$238:$J$451),0),
IF('TL05'!$B$3=O$3,SUMIF('TL05'!$C$10:$C$224,$C339,'TL05'!$J$10:$J$224),0),
IF('TL05'!$B$229=O$3,SUMIF('TL05'!$C$238:$C$451,$C339,'TL05'!$J$238:$J$451),0),
IF('TL06'!$B$3=O$3,SUMIF('TL06'!$C$10:$C$224,$C339,'TL06'!$J$10:$J$224),0),
IF('TL06'!$B$229=O$3,SUMIF('TL06'!$C$238:$C$451,$C339,'TL06'!$J$238:$J$451),0),
IF('TL07'!$B$3=O$3,SUMIF('TL07'!$C$10:$C$224,$C339,'TL07'!$J$10:$J$224),0),
IF('TL07'!$B$229=O$3,SUMIF('TL07'!$C$238:$C$451,$C339,'TL07'!$J$238:$J$451),0),
IF('TL08'!$B$3=O$3,SUMIF('TL08'!$C$10:$C$224,$C339,'TL08'!$J$10:$J$224),0),
IF('TL08'!$B$229=O$3,SUMIF('TL08'!$C$238:$C$451,$C339,'TL08'!$J$238:$J$451),0),
IF('TL09'!$B$3=O$3,SUMIF('TL09'!$C$10:$C$224,$C339,'TL09'!$J$10:$J$224),0),
IF('TL09'!$B$229=O$3,SUMIF('TL09'!$C$238:$C$451,$C339,'TL09'!$J$238:$J$451),0),
IF('TL10'!$B$3=O$3,SUMIF('TL10'!$C$10:$C$224,$C339,'TL10'!$J$10:$J$224),0),
IF('TL10'!$B$229=O$3,SUMIF('TL10'!$C$238:$C$451,$C339,'TL10'!$J$238:$J$451),0),
IF('TL11'!$B$3=O$3,SUMIF('TL11'!$C$10:$C$224,$C339,'TL11'!$J$10:$J$224),0),
IF('TL11'!$B$229=O$3,SUMIF('TL11'!$C$238:$C$451,$C339,'TL11'!$J$238:$J$451),0),
IF('TL12'!$B$3=O$3,SUMIF('TL12'!$C$10:$C$224,$C339,'TL12'!$J$10:$J$224),0),
IF('TL12'!$B$229=O$3,SUMIF('TL12'!$C$238:$C$451,$C339,'TL12'!$J$238:$J$451),0),
IF('TL13'!$B$3=O$3,SUMIF('TL13'!$C$10:$C$224,$C339,'TL13'!$J$10:$J$224),0),
IF('TL13'!$B$229=O$3,SUMIF('TL13'!$C$238:$C$451,$C339,'TL13'!$J$238:$J$451),0),
IF('TL14'!$B$3=O$3,SUMIF('TL14'!$C$10:$C$224,$C339,'TL14'!$J$10:$J$224),0),
IF('TL14'!$B$229=O$3,SUMIF('TL14'!$C$238:$C$451,$C339,'TL14'!$J$238:$J$451),0),
IF('TL15'!$B$3=O$3,SUMIF('TL15'!$C$10:$C$224,$C339,'TL15'!$J$10:$J$224),0),
IF('TL15'!$B$229=O$3,SUMIF('TL15'!$C$238:$C$451,$C339,'TL15'!$J$238:$J$451),0),
IF('TL16'!$B$3=O$3,SUMIF('TL16'!$C$10:$C$224,$C339,'TL16'!$J$10:$J$224),0),
IF('TL16'!$B$229=O$3,SUMIF('TL16'!$C$238:$C$451,$C339,'TL16'!$J$238:$J$451),0),
IF('TL17'!$B$3=O$3,SUMIF('TL17'!$C$10:$C$224,$C339,'TL17'!$J$10:$J$224),0),
IF('TL17'!$B$229=O$3,SUMIF('TL17'!$C$238:$C$451,$C339,'TL17'!$J$238:$J$451),0),
IF('TL18'!$B$3=O$3,SUMIF('TL18'!$C$10:$C$224,$C339,'TL18'!$J$10:$J$224),0),
IF('TL18'!$B$229=O$3,SUMIF('TL18'!$C$238:$C$451,$C339,'TL18'!$J$238:$J$451),0),
IF('TL19'!$B$3=O$3,SUMIF('TL19'!$C$10:$C$224,$C339,'TL19'!$J$10:$J$224),0),
IF('TL19'!$B$229=O$3,SUMIF('TL19'!$C$238:$C$451,$C339,'TL19'!$J$238:$J$451),0)
),0)</f>
        <v/>
      </c>
      <c r="P339" s="9">
        <f>IFERROR(SUM(
IF('TL01'!$B$3=P$3,SUMIF('TL01'!$C$10:$C$224,$C339,'TL01'!$J$10:$J$224),0),
IF('TL01'!$B$229=P$3,SUMIF('TL01'!$C$238:$C$451,$C339,'TL01'!$J$238:$J$451),0),
IF('TL02'!$B$3=P$3,SUMIF('TL02'!$C$10:$C$224,$C339,'TL02'!$J$10:$J$224),0),
IF('TL02'!$B$229=P$3,SUMIF('TL02'!$C$238:$C$451,$C339,'TL02'!$J$238:$J$451),0),
IF('TL03'!$B$3=P$3,SUMIF('TL03'!$C$10:$C$224,$C339,'TL03'!$J$10:$J$224),0),
IF('TL03'!$B$229=P$3,SUMIF('TL03'!$C$238:$C$451,$C339,'TL03'!$J$238:$J$451),0),
IF('TL04'!$B$3=P$3,SUMIF('TL04'!$C$10:$C$224,$C339,'TL04'!$J$10:$J$224),0),
IF('TL04'!$B$229=P$3,SUMIF('TL04'!$C$238:$C$451,$C339,'TL04'!$J$238:$J$451),0),
IF('TL05'!$B$3=P$3,SUMIF('TL05'!$C$10:$C$224,$C339,'TL05'!$J$10:$J$224),0),
IF('TL05'!$B$229=P$3,SUMIF('TL05'!$C$238:$C$451,$C339,'TL05'!$J$238:$J$451),0),
IF('TL06'!$B$3=P$3,SUMIF('TL06'!$C$10:$C$224,$C339,'TL06'!$J$10:$J$224),0),
IF('TL06'!$B$229=P$3,SUMIF('TL06'!$C$238:$C$451,$C339,'TL06'!$J$238:$J$451),0),
IF('TL07'!$B$3=P$3,SUMIF('TL07'!$C$10:$C$224,$C339,'TL07'!$J$10:$J$224),0),
IF('TL07'!$B$229=P$3,SUMIF('TL07'!$C$238:$C$451,$C339,'TL07'!$J$238:$J$451),0),
IF('TL08'!$B$3=P$3,SUMIF('TL08'!$C$10:$C$224,$C339,'TL08'!$J$10:$J$224),0),
IF('TL08'!$B$229=P$3,SUMIF('TL08'!$C$238:$C$451,$C339,'TL08'!$J$238:$J$451),0),
IF('TL09'!$B$3=P$3,SUMIF('TL09'!$C$10:$C$224,$C339,'TL09'!$J$10:$J$224),0),
IF('TL09'!$B$229=P$3,SUMIF('TL09'!$C$238:$C$451,$C339,'TL09'!$J$238:$J$451),0),
IF('TL10'!$B$3=P$3,SUMIF('TL10'!$C$10:$C$224,$C339,'TL10'!$J$10:$J$224),0),
IF('TL10'!$B$229=P$3,SUMIF('TL10'!$C$238:$C$451,$C339,'TL10'!$J$238:$J$451),0),
IF('TL11'!$B$3=P$3,SUMIF('TL11'!$C$10:$C$224,$C339,'TL11'!$J$10:$J$224),0),
IF('TL11'!$B$229=P$3,SUMIF('TL11'!$C$238:$C$451,$C339,'TL11'!$J$238:$J$451),0),
IF('TL12'!$B$3=P$3,SUMIF('TL12'!$C$10:$C$224,$C339,'TL12'!$J$10:$J$224),0),
IF('TL12'!$B$229=P$3,SUMIF('TL12'!$C$238:$C$451,$C339,'TL12'!$J$238:$J$451),0),
IF('TL13'!$B$3=P$3,SUMIF('TL13'!$C$10:$C$224,$C339,'TL13'!$J$10:$J$224),0),
IF('TL13'!$B$229=P$3,SUMIF('TL13'!$C$238:$C$451,$C339,'TL13'!$J$238:$J$451),0),
IF('TL14'!$B$3=P$3,SUMIF('TL14'!$C$10:$C$224,$C339,'TL14'!$J$10:$J$224),0),
IF('TL14'!$B$229=P$3,SUMIF('TL14'!$C$238:$C$451,$C339,'TL14'!$J$238:$J$451),0),
IF('TL15'!$B$3=P$3,SUMIF('TL15'!$C$10:$C$224,$C339,'TL15'!$J$10:$J$224),0),
IF('TL15'!$B$229=P$3,SUMIF('TL15'!$C$238:$C$451,$C339,'TL15'!$J$238:$J$451),0),
IF('TL16'!$B$3=P$3,SUMIF('TL16'!$C$10:$C$224,$C339,'TL16'!$J$10:$J$224),0),
IF('TL16'!$B$229=P$3,SUMIF('TL16'!$C$238:$C$451,$C339,'TL16'!$J$238:$J$451),0),
IF('TL17'!$B$3=P$3,SUMIF('TL17'!$C$10:$C$224,$C339,'TL17'!$J$10:$J$224),0),
IF('TL17'!$B$229=P$3,SUMIF('TL17'!$C$238:$C$451,$C339,'TL17'!$J$238:$J$451),0),
IF('TL18'!$B$3=P$3,SUMIF('TL18'!$C$10:$C$224,$C339,'TL18'!$J$10:$J$224),0),
IF('TL18'!$B$229=P$3,SUMIF('TL18'!$C$238:$C$451,$C339,'TL18'!$J$238:$J$451),0),
IF('TL19'!$B$3=P$3,SUMIF('TL19'!$C$10:$C$224,$C339,'TL19'!$J$10:$J$224),0),
IF('TL19'!$B$229=P$3,SUMIF('TL19'!$C$238:$C$451,$C339,'TL19'!$J$238:$J$451),0)
),0)</f>
        <v/>
      </c>
      <c r="Q339" s="9">
        <f>IFERROR(SUM(
IF('TL01'!$B$3=Q$3,SUMIF('TL01'!$C$10:$C$224,$C339,'TL01'!$J$10:$J$224),0),
IF('TL01'!$B$229=Q$3,SUMIF('TL01'!$C$238:$C$451,$C339,'TL01'!$J$238:$J$451),0),
IF('TL02'!$B$3=Q$3,SUMIF('TL02'!$C$10:$C$224,$C339,'TL02'!$J$10:$J$224),0),
IF('TL02'!$B$229=Q$3,SUMIF('TL02'!$C$238:$C$451,$C339,'TL02'!$J$238:$J$451),0),
IF('TL03'!$B$3=Q$3,SUMIF('TL03'!$C$10:$C$224,$C339,'TL03'!$J$10:$J$224),0),
IF('TL03'!$B$229=Q$3,SUMIF('TL03'!$C$238:$C$451,$C339,'TL03'!$J$238:$J$451),0),
IF('TL04'!$B$3=Q$3,SUMIF('TL04'!$C$10:$C$224,$C339,'TL04'!$J$10:$J$224),0),
IF('TL04'!$B$229=Q$3,SUMIF('TL04'!$C$238:$C$451,$C339,'TL04'!$J$238:$J$451),0),
IF('TL05'!$B$3=Q$3,SUMIF('TL05'!$C$10:$C$224,$C339,'TL05'!$J$10:$J$224),0),
IF('TL05'!$B$229=Q$3,SUMIF('TL05'!$C$238:$C$451,$C339,'TL05'!$J$238:$J$451),0),
IF('TL06'!$B$3=Q$3,SUMIF('TL06'!$C$10:$C$224,$C339,'TL06'!$J$10:$J$224),0),
IF('TL06'!$B$229=Q$3,SUMIF('TL06'!$C$238:$C$451,$C339,'TL06'!$J$238:$J$451),0),
IF('TL07'!$B$3=Q$3,SUMIF('TL07'!$C$10:$C$224,$C339,'TL07'!$J$10:$J$224),0),
IF('TL07'!$B$229=Q$3,SUMIF('TL07'!$C$238:$C$451,$C339,'TL07'!$J$238:$J$451),0),
IF('TL08'!$B$3=Q$3,SUMIF('TL08'!$C$10:$C$224,$C339,'TL08'!$J$10:$J$224),0),
IF('TL08'!$B$229=Q$3,SUMIF('TL08'!$C$238:$C$451,$C339,'TL08'!$J$238:$J$451),0),
IF('TL09'!$B$3=Q$3,SUMIF('TL09'!$C$10:$C$224,$C339,'TL09'!$J$10:$J$224),0),
IF('TL09'!$B$229=Q$3,SUMIF('TL09'!$C$238:$C$451,$C339,'TL09'!$J$238:$J$451),0),
IF('TL10'!$B$3=Q$3,SUMIF('TL10'!$C$10:$C$224,$C339,'TL10'!$J$10:$J$224),0),
IF('TL10'!$B$229=Q$3,SUMIF('TL10'!$C$238:$C$451,$C339,'TL10'!$J$238:$J$451),0),
IF('TL11'!$B$3=Q$3,SUMIF('TL11'!$C$10:$C$224,$C339,'TL11'!$J$10:$J$224),0),
IF('TL11'!$B$229=Q$3,SUMIF('TL11'!$C$238:$C$451,$C339,'TL11'!$J$238:$J$451),0),
IF('TL12'!$B$3=Q$3,SUMIF('TL12'!$C$10:$C$224,$C339,'TL12'!$J$10:$J$224),0),
IF('TL12'!$B$229=Q$3,SUMIF('TL12'!$C$238:$C$451,$C339,'TL12'!$J$238:$J$451),0),
IF('TL13'!$B$3=Q$3,SUMIF('TL13'!$C$10:$C$224,$C339,'TL13'!$J$10:$J$224),0),
IF('TL13'!$B$229=Q$3,SUMIF('TL13'!$C$238:$C$451,$C339,'TL13'!$J$238:$J$451),0),
IF('TL14'!$B$3=Q$3,SUMIF('TL14'!$C$10:$C$224,$C339,'TL14'!$J$10:$J$224),0),
IF('TL14'!$B$229=Q$3,SUMIF('TL14'!$C$238:$C$451,$C339,'TL14'!$J$238:$J$451),0),
IF('TL15'!$B$3=Q$3,SUMIF('TL15'!$C$10:$C$224,$C339,'TL15'!$J$10:$J$224),0),
IF('TL15'!$B$229=Q$3,SUMIF('TL15'!$C$238:$C$451,$C339,'TL15'!$J$238:$J$451),0),
IF('TL16'!$B$3=Q$3,SUMIF('TL16'!$C$10:$C$224,$C339,'TL16'!$J$10:$J$224),0),
IF('TL16'!$B$229=Q$3,SUMIF('TL16'!$C$238:$C$451,$C339,'TL16'!$J$238:$J$451),0),
IF('TL17'!$B$3=Q$3,SUMIF('TL17'!$C$10:$C$224,$C339,'TL17'!$J$10:$J$224),0),
IF('TL17'!$B$229=Q$3,SUMIF('TL17'!$C$238:$C$451,$C339,'TL17'!$J$238:$J$451),0),
IF('TL18'!$B$3=Q$3,SUMIF('TL18'!$C$10:$C$224,$C339,'TL18'!$J$10:$J$224),0),
IF('TL18'!$B$229=Q$3,SUMIF('TL18'!$C$238:$C$451,$C339,'TL18'!$J$238:$J$451),0),
IF('TL19'!$B$3=Q$3,SUMIF('TL19'!$C$10:$C$224,$C339,'TL19'!$J$10:$J$224),0),
IF('TL19'!$B$229=Q$3,SUMIF('TL19'!$C$238:$C$451,$C339,'TL19'!$J$238:$J$451),0)
),0)</f>
        <v/>
      </c>
      <c r="R339" s="9">
        <f>IFERROR(
SUM(
SUMIF('TL01'!C:C,C339,'TL01'!J:J),
SUMIF('TL02'!C:C,C339,'TL02'!J:J),
SUMIF('TL03'!C:C,C339,'TL03'!J:J),
SUMIF('TL04'!C:C,C339,'TL04'!J:J),
SUMIF('TL05'!C:C,C339,'TL05'!J:J),
SUMIF('TL06'!C:C,C339,'TL06'!J:J),
SUMIF('TL07'!C:C,C339,'TL07'!J:J),
SUMIF('TL08'!C:C,C339,'TL08'!J:J),
SUMIF('TL09'!C:C,C339,'TL09'!J:J),
SUMIF('TL10'!C:C,C339,'TL10'!J:J),
SUMIF('TL11'!C:C,C339,'TL11'!J:J),
SUMIF('TL12'!C:C,C339,'TL12'!J:J),
SUMIF('TL13'!C:C,C339,'TL13'!J:J),
SUMIF('TL14'!C:C,C339,'TL14'!J:J),
SUMIF('TL15'!C:C,C339,'TL15'!J:J),
SUMIF('TL16'!C:C,C339,'TL16'!J:J),
SUMIF('TL17'!C:C,C339,'TL17'!J:J),
SUMIF('TL18'!C:C,C339,'TL18'!J:J),SUMIF('TL19'!C:C,C339,'TL19'!J:J))
,0)</f>
        <v/>
      </c>
      <c r="S339" s="17">
        <f>IFERROR(__xludf.DUMMYFUNCTION("IFERROR(VLOOKUP(C339,
IMPORTRANGE(""1wULbzX32WdYsx-lj2U3uUNBBe2INVIRDtcK0d-Dvl90"",
""26-27!C:G""),
5,
FALSE),
"""")"),"")</f>
        <v/>
      </c>
      <c r="T339" s="9" t="n"/>
      <c r="U339" s="92">
        <f>MAX(0,R339-T339)</f>
        <v/>
      </c>
      <c r="V339" s="93">
        <f>U339*S339</f>
        <v/>
      </c>
    </row>
    <row r="340" hidden="1" ht="15.75" customHeight="1" s="297">
      <c r="A340" s="4" t="n"/>
      <c r="B340" s="125" t="n"/>
      <c r="C340" s="20" t="n"/>
      <c r="D340" s="20" t="n"/>
      <c r="E340" s="9" t="n"/>
      <c r="F340" s="4" t="n"/>
      <c r="G340" s="90">
        <f>HYPERLINK("https://www.google.com/search?q=" &amp; C340 &amp; "+bula+agrofit+pdf", "📄 Ver bula")</f>
        <v/>
      </c>
      <c r="H340" s="9" t="n"/>
      <c r="I340" s="1" t="n"/>
      <c r="J340" s="9">
        <f>IFERROR(SUM(
IF('TL01'!$B$3=J$3,SUMIF('TL01'!$C$10:$C$224,$C340,'TL01'!$J$10:$J$224),0),
IF('TL01'!$B$229=J$3,SUMIF('TL01'!$C$238:$C$451,$C340,'TL01'!$J$238:$J$451),0),
IF('TL02'!$B$3=J$3,SUMIF('TL02'!$C$10:$C$224,$C340,'TL02'!$J$10:$J$224),0),
IF('TL02'!$B$229=J$3,SUMIF('TL02'!$C$238:$C$451,$C340,'TL02'!$J$238:$J$451),0),
IF('TL03'!$B$3=J$3,SUMIF('TL03'!$C$10:$C$224,$C340,'TL03'!$J$10:$J$224),0),
IF('TL03'!$B$229=J$3,SUMIF('TL03'!$C$238:$C$451,$C340,'TL03'!$J$238:$J$451),0),
IF('TL04'!$B$3=J$3,SUMIF('TL04'!$C$10:$C$224,$C340,'TL04'!$J$10:$J$224),0),
IF('TL04'!$B$229=J$3,SUMIF('TL04'!$C$238:$C$451,$C340,'TL04'!$J$238:$J$451),0),
IF('TL05'!$B$3=J$3,SUMIF('TL05'!$C$10:$C$224,$C340,'TL05'!$J$10:$J$224),0),
IF('TL05'!$B$229=J$3,SUMIF('TL05'!$C$238:$C$451,$C340,'TL05'!$J$238:$J$451),0),
IF('TL06'!$B$3=J$3,SUMIF('TL06'!$C$10:$C$224,$C340,'TL06'!$J$10:$J$224),0),
IF('TL06'!$B$229=J$3,SUMIF('TL06'!$C$238:$C$451,$C340,'TL06'!$J$238:$J$451),0),
IF('TL07'!$B$3=J$3,SUMIF('TL07'!$C$10:$C$224,$C340,'TL07'!$J$10:$J$224),0),
IF('TL07'!$B$229=J$3,SUMIF('TL07'!$C$238:$C$451,$C340,'TL07'!$J$238:$J$451),0),
IF('TL08'!$B$3=J$3,SUMIF('TL08'!$C$10:$C$224,$C340,'TL08'!$J$10:$J$224),0),
IF('TL08'!$B$229=J$3,SUMIF('TL08'!$C$238:$C$451,$C340,'TL08'!$J$238:$J$451),0),
IF('TL09'!$B$3=J$3,SUMIF('TL09'!$C$10:$C$224,$C340,'TL09'!$J$10:$J$224),0),
IF('TL09'!$B$229=J$3,SUMIF('TL09'!$C$238:$C$451,$C340,'TL09'!$J$238:$J$451),0),
IF('TL10'!$B$3=J$3,SUMIF('TL10'!$C$10:$C$224,$C340,'TL10'!$J$10:$J$224),0),
IF('TL10'!$B$229=J$3,SUMIF('TL10'!$C$238:$C$451,$C340,'TL10'!$J$238:$J$451),0),
IF('TL11'!$B$3=J$3,SUMIF('TL11'!$C$10:$C$224,$C340,'TL11'!$J$10:$J$224),0),
IF('TL11'!$B$229=J$3,SUMIF('TL11'!$C$238:$C$451,$C340,'TL11'!$J$238:$J$451),0),
IF('TL12'!$B$3=J$3,SUMIF('TL12'!$C$10:$C$224,$C340,'TL12'!$J$10:$J$224),0),
IF('TL12'!$B$229=J$3,SUMIF('TL12'!$C$238:$C$451,$C340,'TL12'!$J$238:$J$451),0),
IF('TL13'!$B$3=J$3,SUMIF('TL13'!$C$10:$C$224,$C340,'TL13'!$J$10:$J$224),0),
IF('TL13'!$B$229=J$3,SUMIF('TL13'!$C$238:$C$451,$C340,'TL13'!$J$238:$J$451),0),
IF('TL14'!$B$3=J$3,SUMIF('TL14'!$C$10:$C$224,$C340,'TL14'!$J$10:$J$224),0),
IF('TL14'!$B$229=J$3,SUMIF('TL14'!$C$238:$C$451,$C340,'TL14'!$J$238:$J$451),0),
IF('TL15'!$B$3=J$3,SUMIF('TL15'!$C$10:$C$224,$C340,'TL15'!$J$10:$J$224),0),
IF('TL15'!$B$229=J$3,SUMIF('TL15'!$C$238:$C$451,$C340,'TL15'!$J$238:$J$451),0),
IF('TL16'!$B$3=J$3,SUMIF('TL16'!$C$10:$C$224,$C340,'TL16'!$J$10:$J$224),0),
IF('TL16'!$B$229=J$3,SUMIF('TL16'!$C$238:$C$451,$C340,'TL16'!$J$238:$J$451),0),
IF('TL17'!$B$3=J$3,SUMIF('TL17'!$C$10:$C$224,$C340,'TL17'!$J$10:$J$224),0),
IF('TL17'!$B$229=J$3,SUMIF('TL17'!$C$238:$C$451,$C340,'TL17'!$J$238:$J$451),0),
IF('TL18'!$B$3=J$3,SUMIF('TL18'!$C$10:$C$224,$C340,'TL18'!$J$10:$J$224),0),
IF('TL18'!$B$229=J$3,SUMIF('TL18'!$C$238:$C$451,$C340,'TL18'!$J$238:$J$451),0),
IF('TL19'!$B$3=J$3,SUMIF('TL19'!$C$10:$C$224,$C340,'TL19'!$J$10:$J$224),0),
IF('TL19'!$B$229=J$3,SUMIF('TL19'!$C$238:$C$451,$C340,'TL19'!$J$238:$J$451),0)
),0)</f>
        <v/>
      </c>
      <c r="K340" s="9">
        <f>IFERROR(SUM(
IF('TL01'!$B$3=K$3,SUMIF('TL01'!$C$10:$C$224,$C340,'TL01'!$J$10:$J$224),0),
IF('TL01'!$B$229=K$3,SUMIF('TL01'!$C$238:$C$451,$C340,'TL01'!$J$238:$J$451),0),
IF('TL02'!$B$3=K$3,SUMIF('TL02'!$C$10:$C$224,$C340,'TL02'!$J$10:$J$224),0),
IF('TL02'!$B$229=K$3,SUMIF('TL02'!$C$238:$C$451,$C340,'TL02'!$J$238:$J$451),0),
IF('TL03'!$B$3=K$3,SUMIF('TL03'!$C$10:$C$224,$C340,'TL03'!$J$10:$J$224),0),
IF('TL03'!$B$229=K$3,SUMIF('TL03'!$C$238:$C$451,$C340,'TL03'!$J$238:$J$451),0),
IF('TL04'!$B$3=K$3,SUMIF('TL04'!$C$10:$C$224,$C340,'TL04'!$J$10:$J$224),0),
IF('TL04'!$B$229=K$3,SUMIF('TL04'!$C$238:$C$451,$C340,'TL04'!$J$238:$J$451),0),
IF('TL05'!$B$3=K$3,SUMIF('TL05'!$C$10:$C$224,$C340,'TL05'!$J$10:$J$224),0),
IF('TL05'!$B$229=K$3,SUMIF('TL05'!$C$238:$C$451,$C340,'TL05'!$J$238:$J$451),0),
IF('TL06'!$B$3=K$3,SUMIF('TL06'!$C$10:$C$224,$C340,'TL06'!$J$10:$J$224),0),
IF('TL06'!$B$229=K$3,SUMIF('TL06'!$C$238:$C$451,$C340,'TL06'!$J$238:$J$451),0),
IF('TL07'!$B$3=K$3,SUMIF('TL07'!$C$10:$C$224,$C340,'TL07'!$J$10:$J$224),0),
IF('TL07'!$B$229=K$3,SUMIF('TL07'!$C$238:$C$451,$C340,'TL07'!$J$238:$J$451),0),
IF('TL08'!$B$3=K$3,SUMIF('TL08'!$C$10:$C$224,$C340,'TL08'!$J$10:$J$224),0),
IF('TL08'!$B$229=K$3,SUMIF('TL08'!$C$238:$C$451,$C340,'TL08'!$J$238:$J$451),0),
IF('TL09'!$B$3=K$3,SUMIF('TL09'!$C$10:$C$224,$C340,'TL09'!$J$10:$J$224),0),
IF('TL09'!$B$229=K$3,SUMIF('TL09'!$C$238:$C$451,$C340,'TL09'!$J$238:$J$451),0),
IF('TL10'!$B$3=K$3,SUMIF('TL10'!$C$10:$C$224,$C340,'TL10'!$J$10:$J$224),0),
IF('TL10'!$B$229=K$3,SUMIF('TL10'!$C$238:$C$451,$C340,'TL10'!$J$238:$J$451),0),
IF('TL11'!$B$3=K$3,SUMIF('TL11'!$C$10:$C$224,$C340,'TL11'!$J$10:$J$224),0),
IF('TL11'!$B$229=K$3,SUMIF('TL11'!$C$238:$C$451,$C340,'TL11'!$J$238:$J$451),0),
IF('TL12'!$B$3=K$3,SUMIF('TL12'!$C$10:$C$224,$C340,'TL12'!$J$10:$J$224),0),
IF('TL12'!$B$229=K$3,SUMIF('TL12'!$C$238:$C$451,$C340,'TL12'!$J$238:$J$451),0),
IF('TL13'!$B$3=K$3,SUMIF('TL13'!$C$10:$C$224,$C340,'TL13'!$J$10:$J$224),0),
IF('TL13'!$B$229=K$3,SUMIF('TL13'!$C$238:$C$451,$C340,'TL13'!$J$238:$J$451),0),
IF('TL14'!$B$3=K$3,SUMIF('TL14'!$C$10:$C$224,$C340,'TL14'!$J$10:$J$224),0),
IF('TL14'!$B$229=K$3,SUMIF('TL14'!$C$238:$C$451,$C340,'TL14'!$J$238:$J$451),0),
IF('TL15'!$B$3=K$3,SUMIF('TL15'!$C$10:$C$224,$C340,'TL15'!$J$10:$J$224),0),
IF('TL15'!$B$229=K$3,SUMIF('TL15'!$C$238:$C$451,$C340,'TL15'!$J$238:$J$451),0),
IF('TL16'!$B$3=K$3,SUMIF('TL16'!$C$10:$C$224,$C340,'TL16'!$J$10:$J$224),0),
IF('TL16'!$B$229=K$3,SUMIF('TL16'!$C$238:$C$451,$C340,'TL16'!$J$238:$J$451),0),
IF('TL17'!$B$3=K$3,SUMIF('TL17'!$C$10:$C$224,$C340,'TL17'!$J$10:$J$224),0),
IF('TL17'!$B$229=K$3,SUMIF('TL17'!$C$238:$C$451,$C340,'TL17'!$J$238:$J$451),0),
IF('TL18'!$B$3=K$3,SUMIF('TL18'!$C$10:$C$224,$C340,'TL18'!$J$10:$J$224),0),
IF('TL18'!$B$229=K$3,SUMIF('TL18'!$C$238:$C$451,$C340,'TL18'!$J$238:$J$451),0),
IF('TL19'!$B$3=K$3,SUMIF('TL19'!$C$10:$C$224,$C340,'TL19'!$J$10:$J$224),0),
IF('TL19'!$B$229=K$3,SUMIF('TL19'!$C$238:$C$451,$C340,'TL19'!$J$238:$J$451),0)
),0)</f>
        <v/>
      </c>
      <c r="L340" s="9">
        <f>IFERROR(SUM(
IF('TL01'!$B$3=L$3,SUMIF('TL01'!$C$10:$C$224,$C340,'TL01'!$J$10:$J$224),0),
IF('TL01'!$B$229=L$3,SUMIF('TL01'!$C$238:$C$451,$C340,'TL01'!$J$238:$J$451),0),
IF('TL02'!$B$3=L$3,SUMIF('TL02'!$C$10:$C$224,$C340,'TL02'!$J$10:$J$224),0),
IF('TL02'!$B$229=L$3,SUMIF('TL02'!$C$238:$C$451,$C340,'TL02'!$J$238:$J$451),0),
IF('TL03'!$B$3=L$3,SUMIF('TL03'!$C$10:$C$224,$C340,'TL03'!$J$10:$J$224),0),
IF('TL03'!$B$229=L$3,SUMIF('TL03'!$C$238:$C$451,$C340,'TL03'!$J$238:$J$451),0),
IF('TL04'!$B$3=L$3,SUMIF('TL04'!$C$10:$C$224,$C340,'TL04'!$J$10:$J$224),0),
IF('TL04'!$B$229=L$3,SUMIF('TL04'!$C$238:$C$451,$C340,'TL04'!$J$238:$J$451),0),
IF('TL05'!$B$3=L$3,SUMIF('TL05'!$C$10:$C$224,$C340,'TL05'!$J$10:$J$224),0),
IF('TL05'!$B$229=L$3,SUMIF('TL05'!$C$238:$C$451,$C340,'TL05'!$J$238:$J$451),0),
IF('TL06'!$B$3=L$3,SUMIF('TL06'!$C$10:$C$224,$C340,'TL06'!$J$10:$J$224),0),
IF('TL06'!$B$229=L$3,SUMIF('TL06'!$C$238:$C$451,$C340,'TL06'!$J$238:$J$451),0),
IF('TL07'!$B$3=L$3,SUMIF('TL07'!$C$10:$C$224,$C340,'TL07'!$J$10:$J$224),0),
IF('TL07'!$B$229=L$3,SUMIF('TL07'!$C$238:$C$451,$C340,'TL07'!$J$238:$J$451),0),
IF('TL08'!$B$3=L$3,SUMIF('TL08'!$C$10:$C$224,$C340,'TL08'!$J$10:$J$224),0),
IF('TL08'!$B$229=L$3,SUMIF('TL08'!$C$238:$C$451,$C340,'TL08'!$J$238:$J$451),0),
IF('TL09'!$B$3=L$3,SUMIF('TL09'!$C$10:$C$224,$C340,'TL09'!$J$10:$J$224),0),
IF('TL09'!$B$229=L$3,SUMIF('TL09'!$C$238:$C$451,$C340,'TL09'!$J$238:$J$451),0),
IF('TL10'!$B$3=L$3,SUMIF('TL10'!$C$10:$C$224,$C340,'TL10'!$J$10:$J$224),0),
IF('TL10'!$B$229=L$3,SUMIF('TL10'!$C$238:$C$451,$C340,'TL10'!$J$238:$J$451),0),
IF('TL11'!$B$3=L$3,SUMIF('TL11'!$C$10:$C$224,$C340,'TL11'!$J$10:$J$224),0),
IF('TL11'!$B$229=L$3,SUMIF('TL11'!$C$238:$C$451,$C340,'TL11'!$J$238:$J$451),0),
IF('TL12'!$B$3=L$3,SUMIF('TL12'!$C$10:$C$224,$C340,'TL12'!$J$10:$J$224),0),
IF('TL12'!$B$229=L$3,SUMIF('TL12'!$C$238:$C$451,$C340,'TL12'!$J$238:$J$451),0),
IF('TL13'!$B$3=L$3,SUMIF('TL13'!$C$10:$C$224,$C340,'TL13'!$J$10:$J$224),0),
IF('TL13'!$B$229=L$3,SUMIF('TL13'!$C$238:$C$451,$C340,'TL13'!$J$238:$J$451),0),
IF('TL14'!$B$3=L$3,SUMIF('TL14'!$C$10:$C$224,$C340,'TL14'!$J$10:$J$224),0),
IF('TL14'!$B$229=L$3,SUMIF('TL14'!$C$238:$C$451,$C340,'TL14'!$J$238:$J$451),0),
IF('TL15'!$B$3=L$3,SUMIF('TL15'!$C$10:$C$224,$C340,'TL15'!$J$10:$J$224),0),
IF('TL15'!$B$229=L$3,SUMIF('TL15'!$C$238:$C$451,$C340,'TL15'!$J$238:$J$451),0),
IF('TL16'!$B$3=L$3,SUMIF('TL16'!$C$10:$C$224,$C340,'TL16'!$J$10:$J$224),0),
IF('TL16'!$B$229=L$3,SUMIF('TL16'!$C$238:$C$451,$C340,'TL16'!$J$238:$J$451),0),
IF('TL17'!$B$3=L$3,SUMIF('TL17'!$C$10:$C$224,$C340,'TL17'!$J$10:$J$224),0),
IF('TL17'!$B$229=L$3,SUMIF('TL17'!$C$238:$C$451,$C340,'TL17'!$J$238:$J$451),0),
IF('TL18'!$B$3=L$3,SUMIF('TL18'!$C$10:$C$224,$C340,'TL18'!$J$10:$J$224),0),
IF('TL18'!$B$229=L$3,SUMIF('TL18'!$C$238:$C$451,$C340,'TL18'!$J$238:$J$451),0),
IF('TL19'!$B$3=L$3,SUMIF('TL19'!$C$10:$C$224,$C340,'TL19'!$J$10:$J$224),0),
IF('TL19'!$B$229=L$3,SUMIF('TL19'!$C$238:$C$451,$C340,'TL19'!$J$238:$J$451),0)
),0)</f>
        <v/>
      </c>
      <c r="M340" s="9">
        <f>IFERROR(SUM(
IF('TL01'!$B$3=M$3,SUMIF('TL01'!$C$10:$C$224,$C340,'TL01'!$J$10:$J$224),0),
IF('TL01'!$B$229=M$3,SUMIF('TL01'!$C$238:$C$451,$C340,'TL01'!$J$238:$J$451),0),
IF('TL02'!$B$3=M$3,SUMIF('TL02'!$C$10:$C$224,$C340,'TL02'!$J$10:$J$224),0),
IF('TL02'!$B$229=M$3,SUMIF('TL02'!$C$238:$C$451,$C340,'TL02'!$J$238:$J$451),0),
IF('TL03'!$B$3=M$3,SUMIF('TL03'!$C$10:$C$224,$C340,'TL03'!$J$10:$J$224),0),
IF('TL03'!$B$229=M$3,SUMIF('TL03'!$C$238:$C$451,$C340,'TL03'!$J$238:$J$451),0),
IF('TL04'!$B$3=M$3,SUMIF('TL04'!$C$10:$C$224,$C340,'TL04'!$J$10:$J$224),0),
IF('TL04'!$B$229=M$3,SUMIF('TL04'!$C$238:$C$451,$C340,'TL04'!$J$238:$J$451),0),
IF('TL05'!$B$3=M$3,SUMIF('TL05'!$C$10:$C$224,$C340,'TL05'!$J$10:$J$224),0),
IF('TL05'!$B$229=M$3,SUMIF('TL05'!$C$238:$C$451,$C340,'TL05'!$J$238:$J$451),0),
IF('TL06'!$B$3=M$3,SUMIF('TL06'!$C$10:$C$224,$C340,'TL06'!$J$10:$J$224),0),
IF('TL06'!$B$229=M$3,SUMIF('TL06'!$C$238:$C$451,$C340,'TL06'!$J$238:$J$451),0),
IF('TL07'!$B$3=M$3,SUMIF('TL07'!$C$10:$C$224,$C340,'TL07'!$J$10:$J$224),0),
IF('TL07'!$B$229=M$3,SUMIF('TL07'!$C$238:$C$451,$C340,'TL07'!$J$238:$J$451),0),
IF('TL08'!$B$3=M$3,SUMIF('TL08'!$C$10:$C$224,$C340,'TL08'!$J$10:$J$224),0),
IF('TL08'!$B$229=M$3,SUMIF('TL08'!$C$238:$C$451,$C340,'TL08'!$J$238:$J$451),0),
IF('TL09'!$B$3=M$3,SUMIF('TL09'!$C$10:$C$224,$C340,'TL09'!$J$10:$J$224),0),
IF('TL09'!$B$229=M$3,SUMIF('TL09'!$C$238:$C$451,$C340,'TL09'!$J$238:$J$451),0),
IF('TL10'!$B$3=M$3,SUMIF('TL10'!$C$10:$C$224,$C340,'TL10'!$J$10:$J$224),0),
IF('TL10'!$B$229=M$3,SUMIF('TL10'!$C$238:$C$451,$C340,'TL10'!$J$238:$J$451),0),
IF('TL11'!$B$3=M$3,SUMIF('TL11'!$C$10:$C$224,$C340,'TL11'!$J$10:$J$224),0),
IF('TL11'!$B$229=M$3,SUMIF('TL11'!$C$238:$C$451,$C340,'TL11'!$J$238:$J$451),0),
IF('TL12'!$B$3=M$3,SUMIF('TL12'!$C$10:$C$224,$C340,'TL12'!$J$10:$J$224),0),
IF('TL12'!$B$229=M$3,SUMIF('TL12'!$C$238:$C$451,$C340,'TL12'!$J$238:$J$451),0),
IF('TL13'!$B$3=M$3,SUMIF('TL13'!$C$10:$C$224,$C340,'TL13'!$J$10:$J$224),0),
IF('TL13'!$B$229=M$3,SUMIF('TL13'!$C$238:$C$451,$C340,'TL13'!$J$238:$J$451),0),
IF('TL14'!$B$3=M$3,SUMIF('TL14'!$C$10:$C$224,$C340,'TL14'!$J$10:$J$224),0),
IF('TL14'!$B$229=M$3,SUMIF('TL14'!$C$238:$C$451,$C340,'TL14'!$J$238:$J$451),0),
IF('TL15'!$B$3=M$3,SUMIF('TL15'!$C$10:$C$224,$C340,'TL15'!$J$10:$J$224),0),
IF('TL15'!$B$229=M$3,SUMIF('TL15'!$C$238:$C$451,$C340,'TL15'!$J$238:$J$451),0),
IF('TL16'!$B$3=M$3,SUMIF('TL16'!$C$10:$C$224,$C340,'TL16'!$J$10:$J$224),0),
IF('TL16'!$B$229=M$3,SUMIF('TL16'!$C$238:$C$451,$C340,'TL16'!$J$238:$J$451),0),
IF('TL17'!$B$3=M$3,SUMIF('TL17'!$C$10:$C$224,$C340,'TL17'!$J$10:$J$224),0),
IF('TL17'!$B$229=M$3,SUMIF('TL17'!$C$238:$C$451,$C340,'TL17'!$J$238:$J$451),0),
IF('TL18'!$B$3=M$3,SUMIF('TL18'!$C$10:$C$224,$C340,'TL18'!$J$10:$J$224),0),
IF('TL18'!$B$229=M$3,SUMIF('TL18'!$C$238:$C$451,$C340,'TL18'!$J$238:$J$451),0),
IF('TL19'!$B$3=M$3,SUMIF('TL19'!$C$10:$C$224,$C340,'TL19'!$J$10:$J$224),0),
IF('TL19'!$B$229=M$3,SUMIF('TL19'!$C$238:$C$451,$C340,'TL19'!$J$238:$J$451),0)
),0)</f>
        <v/>
      </c>
      <c r="N340" s="9">
        <f>IFERROR(SUM(
IF('TL01'!$B$3=N$3,SUMIF('TL01'!$C$10:$C$224,$C340,'TL01'!$J$10:$J$224),0),
IF('TL01'!$B$229=N$3,SUMIF('TL01'!$C$238:$C$451,$C340,'TL01'!$J$238:$J$451),0),
IF('TL02'!$B$3=N$3,SUMIF('TL02'!$C$10:$C$224,$C340,'TL02'!$J$10:$J$224),0),
IF('TL02'!$B$229=N$3,SUMIF('TL02'!$C$238:$C$451,$C340,'TL02'!$J$238:$J$451),0),
IF('TL03'!$B$3=N$3,SUMIF('TL03'!$C$10:$C$224,$C340,'TL03'!$J$10:$J$224),0),
IF('TL03'!$B$229=N$3,SUMIF('TL03'!$C$238:$C$451,$C340,'TL03'!$J$238:$J$451),0),
IF('TL04'!$B$3=N$3,SUMIF('TL04'!$C$10:$C$224,$C340,'TL04'!$J$10:$J$224),0),
IF('TL04'!$B$229=N$3,SUMIF('TL04'!$C$238:$C$451,$C340,'TL04'!$J$238:$J$451),0),
IF('TL05'!$B$3=N$3,SUMIF('TL05'!$C$10:$C$224,$C340,'TL05'!$J$10:$J$224),0),
IF('TL05'!$B$229=N$3,SUMIF('TL05'!$C$238:$C$451,$C340,'TL05'!$J$238:$J$451),0),
IF('TL06'!$B$3=N$3,SUMIF('TL06'!$C$10:$C$224,$C340,'TL06'!$J$10:$J$224),0),
IF('TL06'!$B$229=N$3,SUMIF('TL06'!$C$238:$C$451,$C340,'TL06'!$J$238:$J$451),0),
IF('TL07'!$B$3=N$3,SUMIF('TL07'!$C$10:$C$224,$C340,'TL07'!$J$10:$J$224),0),
IF('TL07'!$B$229=N$3,SUMIF('TL07'!$C$238:$C$451,$C340,'TL07'!$J$238:$J$451),0),
IF('TL08'!$B$3=N$3,SUMIF('TL08'!$C$10:$C$224,$C340,'TL08'!$J$10:$J$224),0),
IF('TL08'!$B$229=N$3,SUMIF('TL08'!$C$238:$C$451,$C340,'TL08'!$J$238:$J$451),0),
IF('TL09'!$B$3=N$3,SUMIF('TL09'!$C$10:$C$224,$C340,'TL09'!$J$10:$J$224),0),
IF('TL09'!$B$229=N$3,SUMIF('TL09'!$C$238:$C$451,$C340,'TL09'!$J$238:$J$451),0),
IF('TL10'!$B$3=N$3,SUMIF('TL10'!$C$10:$C$224,$C340,'TL10'!$J$10:$J$224),0),
IF('TL10'!$B$229=N$3,SUMIF('TL10'!$C$238:$C$451,$C340,'TL10'!$J$238:$J$451),0),
IF('TL11'!$B$3=N$3,SUMIF('TL11'!$C$10:$C$224,$C340,'TL11'!$J$10:$J$224),0),
IF('TL11'!$B$229=N$3,SUMIF('TL11'!$C$238:$C$451,$C340,'TL11'!$J$238:$J$451),0),
IF('TL12'!$B$3=N$3,SUMIF('TL12'!$C$10:$C$224,$C340,'TL12'!$J$10:$J$224),0),
IF('TL12'!$B$229=N$3,SUMIF('TL12'!$C$238:$C$451,$C340,'TL12'!$J$238:$J$451),0),
IF('TL13'!$B$3=N$3,SUMIF('TL13'!$C$10:$C$224,$C340,'TL13'!$J$10:$J$224),0),
IF('TL13'!$B$229=N$3,SUMIF('TL13'!$C$238:$C$451,$C340,'TL13'!$J$238:$J$451),0),
IF('TL14'!$B$3=N$3,SUMIF('TL14'!$C$10:$C$224,$C340,'TL14'!$J$10:$J$224),0),
IF('TL14'!$B$229=N$3,SUMIF('TL14'!$C$238:$C$451,$C340,'TL14'!$J$238:$J$451),0),
IF('TL15'!$B$3=N$3,SUMIF('TL15'!$C$10:$C$224,$C340,'TL15'!$J$10:$J$224),0),
IF('TL15'!$B$229=N$3,SUMIF('TL15'!$C$238:$C$451,$C340,'TL15'!$J$238:$J$451),0),
IF('TL16'!$B$3=N$3,SUMIF('TL16'!$C$10:$C$224,$C340,'TL16'!$J$10:$J$224),0),
IF('TL16'!$B$229=N$3,SUMIF('TL16'!$C$238:$C$451,$C340,'TL16'!$J$238:$J$451),0),
IF('TL17'!$B$3=N$3,SUMIF('TL17'!$C$10:$C$224,$C340,'TL17'!$J$10:$J$224),0),
IF('TL17'!$B$229=N$3,SUMIF('TL17'!$C$238:$C$451,$C340,'TL17'!$J$238:$J$451),0),
IF('TL18'!$B$3=N$3,SUMIF('TL18'!$C$10:$C$224,$C340,'TL18'!$J$10:$J$224),0),
IF('TL18'!$B$229=N$3,SUMIF('TL18'!$C$238:$C$451,$C340,'TL18'!$J$238:$J$451),0),
IF('TL19'!$B$3=N$3,SUMIF('TL19'!$C$10:$C$224,$C340,'TL19'!$J$10:$J$224),0),
IF('TL19'!$B$229=N$3,SUMIF('TL19'!$C$238:$C$451,$C340,'TL19'!$J$238:$J$451),0)
),0)</f>
        <v/>
      </c>
      <c r="O340" s="9">
        <f>IFERROR(SUM(
IF('TL01'!$B$3=O$3,SUMIF('TL01'!$C$10:$C$224,$C340,'TL01'!$J$10:$J$224),0),
IF('TL01'!$B$229=O$3,SUMIF('TL01'!$C$238:$C$451,$C340,'TL01'!$J$238:$J$451),0),
IF('TL02'!$B$3=O$3,SUMIF('TL02'!$C$10:$C$224,$C340,'TL02'!$J$10:$J$224),0),
IF('TL02'!$B$229=O$3,SUMIF('TL02'!$C$238:$C$451,$C340,'TL02'!$J$238:$J$451),0),
IF('TL03'!$B$3=O$3,SUMIF('TL03'!$C$10:$C$224,$C340,'TL03'!$J$10:$J$224),0),
IF('TL03'!$B$229=O$3,SUMIF('TL03'!$C$238:$C$451,$C340,'TL03'!$J$238:$J$451),0),
IF('TL04'!$B$3=O$3,SUMIF('TL04'!$C$10:$C$224,$C340,'TL04'!$J$10:$J$224),0),
IF('TL04'!$B$229=O$3,SUMIF('TL04'!$C$238:$C$451,$C340,'TL04'!$J$238:$J$451),0),
IF('TL05'!$B$3=O$3,SUMIF('TL05'!$C$10:$C$224,$C340,'TL05'!$J$10:$J$224),0),
IF('TL05'!$B$229=O$3,SUMIF('TL05'!$C$238:$C$451,$C340,'TL05'!$J$238:$J$451),0),
IF('TL06'!$B$3=O$3,SUMIF('TL06'!$C$10:$C$224,$C340,'TL06'!$J$10:$J$224),0),
IF('TL06'!$B$229=O$3,SUMIF('TL06'!$C$238:$C$451,$C340,'TL06'!$J$238:$J$451),0),
IF('TL07'!$B$3=O$3,SUMIF('TL07'!$C$10:$C$224,$C340,'TL07'!$J$10:$J$224),0),
IF('TL07'!$B$229=O$3,SUMIF('TL07'!$C$238:$C$451,$C340,'TL07'!$J$238:$J$451),0),
IF('TL08'!$B$3=O$3,SUMIF('TL08'!$C$10:$C$224,$C340,'TL08'!$J$10:$J$224),0),
IF('TL08'!$B$229=O$3,SUMIF('TL08'!$C$238:$C$451,$C340,'TL08'!$J$238:$J$451),0),
IF('TL09'!$B$3=O$3,SUMIF('TL09'!$C$10:$C$224,$C340,'TL09'!$J$10:$J$224),0),
IF('TL09'!$B$229=O$3,SUMIF('TL09'!$C$238:$C$451,$C340,'TL09'!$J$238:$J$451),0),
IF('TL10'!$B$3=O$3,SUMIF('TL10'!$C$10:$C$224,$C340,'TL10'!$J$10:$J$224),0),
IF('TL10'!$B$229=O$3,SUMIF('TL10'!$C$238:$C$451,$C340,'TL10'!$J$238:$J$451),0),
IF('TL11'!$B$3=O$3,SUMIF('TL11'!$C$10:$C$224,$C340,'TL11'!$J$10:$J$224),0),
IF('TL11'!$B$229=O$3,SUMIF('TL11'!$C$238:$C$451,$C340,'TL11'!$J$238:$J$451),0),
IF('TL12'!$B$3=O$3,SUMIF('TL12'!$C$10:$C$224,$C340,'TL12'!$J$10:$J$224),0),
IF('TL12'!$B$229=O$3,SUMIF('TL12'!$C$238:$C$451,$C340,'TL12'!$J$238:$J$451),0),
IF('TL13'!$B$3=O$3,SUMIF('TL13'!$C$10:$C$224,$C340,'TL13'!$J$10:$J$224),0),
IF('TL13'!$B$229=O$3,SUMIF('TL13'!$C$238:$C$451,$C340,'TL13'!$J$238:$J$451),0),
IF('TL14'!$B$3=O$3,SUMIF('TL14'!$C$10:$C$224,$C340,'TL14'!$J$10:$J$224),0),
IF('TL14'!$B$229=O$3,SUMIF('TL14'!$C$238:$C$451,$C340,'TL14'!$J$238:$J$451),0),
IF('TL15'!$B$3=O$3,SUMIF('TL15'!$C$10:$C$224,$C340,'TL15'!$J$10:$J$224),0),
IF('TL15'!$B$229=O$3,SUMIF('TL15'!$C$238:$C$451,$C340,'TL15'!$J$238:$J$451),0),
IF('TL16'!$B$3=O$3,SUMIF('TL16'!$C$10:$C$224,$C340,'TL16'!$J$10:$J$224),0),
IF('TL16'!$B$229=O$3,SUMIF('TL16'!$C$238:$C$451,$C340,'TL16'!$J$238:$J$451),0),
IF('TL17'!$B$3=O$3,SUMIF('TL17'!$C$10:$C$224,$C340,'TL17'!$J$10:$J$224),0),
IF('TL17'!$B$229=O$3,SUMIF('TL17'!$C$238:$C$451,$C340,'TL17'!$J$238:$J$451),0),
IF('TL18'!$B$3=O$3,SUMIF('TL18'!$C$10:$C$224,$C340,'TL18'!$J$10:$J$224),0),
IF('TL18'!$B$229=O$3,SUMIF('TL18'!$C$238:$C$451,$C340,'TL18'!$J$238:$J$451),0),
IF('TL19'!$B$3=O$3,SUMIF('TL19'!$C$10:$C$224,$C340,'TL19'!$J$10:$J$224),0),
IF('TL19'!$B$229=O$3,SUMIF('TL19'!$C$238:$C$451,$C340,'TL19'!$J$238:$J$451),0)
),0)</f>
        <v/>
      </c>
      <c r="P340" s="9">
        <f>IFERROR(SUM(
IF('TL01'!$B$3=P$3,SUMIF('TL01'!$C$10:$C$224,$C340,'TL01'!$J$10:$J$224),0),
IF('TL01'!$B$229=P$3,SUMIF('TL01'!$C$238:$C$451,$C340,'TL01'!$J$238:$J$451),0),
IF('TL02'!$B$3=P$3,SUMIF('TL02'!$C$10:$C$224,$C340,'TL02'!$J$10:$J$224),0),
IF('TL02'!$B$229=P$3,SUMIF('TL02'!$C$238:$C$451,$C340,'TL02'!$J$238:$J$451),0),
IF('TL03'!$B$3=P$3,SUMIF('TL03'!$C$10:$C$224,$C340,'TL03'!$J$10:$J$224),0),
IF('TL03'!$B$229=P$3,SUMIF('TL03'!$C$238:$C$451,$C340,'TL03'!$J$238:$J$451),0),
IF('TL04'!$B$3=P$3,SUMIF('TL04'!$C$10:$C$224,$C340,'TL04'!$J$10:$J$224),0),
IF('TL04'!$B$229=P$3,SUMIF('TL04'!$C$238:$C$451,$C340,'TL04'!$J$238:$J$451),0),
IF('TL05'!$B$3=P$3,SUMIF('TL05'!$C$10:$C$224,$C340,'TL05'!$J$10:$J$224),0),
IF('TL05'!$B$229=P$3,SUMIF('TL05'!$C$238:$C$451,$C340,'TL05'!$J$238:$J$451),0),
IF('TL06'!$B$3=P$3,SUMIF('TL06'!$C$10:$C$224,$C340,'TL06'!$J$10:$J$224),0),
IF('TL06'!$B$229=P$3,SUMIF('TL06'!$C$238:$C$451,$C340,'TL06'!$J$238:$J$451),0),
IF('TL07'!$B$3=P$3,SUMIF('TL07'!$C$10:$C$224,$C340,'TL07'!$J$10:$J$224),0),
IF('TL07'!$B$229=P$3,SUMIF('TL07'!$C$238:$C$451,$C340,'TL07'!$J$238:$J$451),0),
IF('TL08'!$B$3=P$3,SUMIF('TL08'!$C$10:$C$224,$C340,'TL08'!$J$10:$J$224),0),
IF('TL08'!$B$229=P$3,SUMIF('TL08'!$C$238:$C$451,$C340,'TL08'!$J$238:$J$451),0),
IF('TL09'!$B$3=P$3,SUMIF('TL09'!$C$10:$C$224,$C340,'TL09'!$J$10:$J$224),0),
IF('TL09'!$B$229=P$3,SUMIF('TL09'!$C$238:$C$451,$C340,'TL09'!$J$238:$J$451),0),
IF('TL10'!$B$3=P$3,SUMIF('TL10'!$C$10:$C$224,$C340,'TL10'!$J$10:$J$224),0),
IF('TL10'!$B$229=P$3,SUMIF('TL10'!$C$238:$C$451,$C340,'TL10'!$J$238:$J$451),0),
IF('TL11'!$B$3=P$3,SUMIF('TL11'!$C$10:$C$224,$C340,'TL11'!$J$10:$J$224),0),
IF('TL11'!$B$229=P$3,SUMIF('TL11'!$C$238:$C$451,$C340,'TL11'!$J$238:$J$451),0),
IF('TL12'!$B$3=P$3,SUMIF('TL12'!$C$10:$C$224,$C340,'TL12'!$J$10:$J$224),0),
IF('TL12'!$B$229=P$3,SUMIF('TL12'!$C$238:$C$451,$C340,'TL12'!$J$238:$J$451),0),
IF('TL13'!$B$3=P$3,SUMIF('TL13'!$C$10:$C$224,$C340,'TL13'!$J$10:$J$224),0),
IF('TL13'!$B$229=P$3,SUMIF('TL13'!$C$238:$C$451,$C340,'TL13'!$J$238:$J$451),0),
IF('TL14'!$B$3=P$3,SUMIF('TL14'!$C$10:$C$224,$C340,'TL14'!$J$10:$J$224),0),
IF('TL14'!$B$229=P$3,SUMIF('TL14'!$C$238:$C$451,$C340,'TL14'!$J$238:$J$451),0),
IF('TL15'!$B$3=P$3,SUMIF('TL15'!$C$10:$C$224,$C340,'TL15'!$J$10:$J$224),0),
IF('TL15'!$B$229=P$3,SUMIF('TL15'!$C$238:$C$451,$C340,'TL15'!$J$238:$J$451),0),
IF('TL16'!$B$3=P$3,SUMIF('TL16'!$C$10:$C$224,$C340,'TL16'!$J$10:$J$224),0),
IF('TL16'!$B$229=P$3,SUMIF('TL16'!$C$238:$C$451,$C340,'TL16'!$J$238:$J$451),0),
IF('TL17'!$B$3=P$3,SUMIF('TL17'!$C$10:$C$224,$C340,'TL17'!$J$10:$J$224),0),
IF('TL17'!$B$229=P$3,SUMIF('TL17'!$C$238:$C$451,$C340,'TL17'!$J$238:$J$451),0),
IF('TL18'!$B$3=P$3,SUMIF('TL18'!$C$10:$C$224,$C340,'TL18'!$J$10:$J$224),0),
IF('TL18'!$B$229=P$3,SUMIF('TL18'!$C$238:$C$451,$C340,'TL18'!$J$238:$J$451),0),
IF('TL19'!$B$3=P$3,SUMIF('TL19'!$C$10:$C$224,$C340,'TL19'!$J$10:$J$224),0),
IF('TL19'!$B$229=P$3,SUMIF('TL19'!$C$238:$C$451,$C340,'TL19'!$J$238:$J$451),0)
),0)</f>
        <v/>
      </c>
      <c r="Q340" s="9">
        <f>IFERROR(SUM(
IF('TL01'!$B$3=Q$3,SUMIF('TL01'!$C$10:$C$224,$C340,'TL01'!$J$10:$J$224),0),
IF('TL01'!$B$229=Q$3,SUMIF('TL01'!$C$238:$C$451,$C340,'TL01'!$J$238:$J$451),0),
IF('TL02'!$B$3=Q$3,SUMIF('TL02'!$C$10:$C$224,$C340,'TL02'!$J$10:$J$224),0),
IF('TL02'!$B$229=Q$3,SUMIF('TL02'!$C$238:$C$451,$C340,'TL02'!$J$238:$J$451),0),
IF('TL03'!$B$3=Q$3,SUMIF('TL03'!$C$10:$C$224,$C340,'TL03'!$J$10:$J$224),0),
IF('TL03'!$B$229=Q$3,SUMIF('TL03'!$C$238:$C$451,$C340,'TL03'!$J$238:$J$451),0),
IF('TL04'!$B$3=Q$3,SUMIF('TL04'!$C$10:$C$224,$C340,'TL04'!$J$10:$J$224),0),
IF('TL04'!$B$229=Q$3,SUMIF('TL04'!$C$238:$C$451,$C340,'TL04'!$J$238:$J$451),0),
IF('TL05'!$B$3=Q$3,SUMIF('TL05'!$C$10:$C$224,$C340,'TL05'!$J$10:$J$224),0),
IF('TL05'!$B$229=Q$3,SUMIF('TL05'!$C$238:$C$451,$C340,'TL05'!$J$238:$J$451),0),
IF('TL06'!$B$3=Q$3,SUMIF('TL06'!$C$10:$C$224,$C340,'TL06'!$J$10:$J$224),0),
IF('TL06'!$B$229=Q$3,SUMIF('TL06'!$C$238:$C$451,$C340,'TL06'!$J$238:$J$451),0),
IF('TL07'!$B$3=Q$3,SUMIF('TL07'!$C$10:$C$224,$C340,'TL07'!$J$10:$J$224),0),
IF('TL07'!$B$229=Q$3,SUMIF('TL07'!$C$238:$C$451,$C340,'TL07'!$J$238:$J$451),0),
IF('TL08'!$B$3=Q$3,SUMIF('TL08'!$C$10:$C$224,$C340,'TL08'!$J$10:$J$224),0),
IF('TL08'!$B$229=Q$3,SUMIF('TL08'!$C$238:$C$451,$C340,'TL08'!$J$238:$J$451),0),
IF('TL09'!$B$3=Q$3,SUMIF('TL09'!$C$10:$C$224,$C340,'TL09'!$J$10:$J$224),0),
IF('TL09'!$B$229=Q$3,SUMIF('TL09'!$C$238:$C$451,$C340,'TL09'!$J$238:$J$451),0),
IF('TL10'!$B$3=Q$3,SUMIF('TL10'!$C$10:$C$224,$C340,'TL10'!$J$10:$J$224),0),
IF('TL10'!$B$229=Q$3,SUMIF('TL10'!$C$238:$C$451,$C340,'TL10'!$J$238:$J$451),0),
IF('TL11'!$B$3=Q$3,SUMIF('TL11'!$C$10:$C$224,$C340,'TL11'!$J$10:$J$224),0),
IF('TL11'!$B$229=Q$3,SUMIF('TL11'!$C$238:$C$451,$C340,'TL11'!$J$238:$J$451),0),
IF('TL12'!$B$3=Q$3,SUMIF('TL12'!$C$10:$C$224,$C340,'TL12'!$J$10:$J$224),0),
IF('TL12'!$B$229=Q$3,SUMIF('TL12'!$C$238:$C$451,$C340,'TL12'!$J$238:$J$451),0),
IF('TL13'!$B$3=Q$3,SUMIF('TL13'!$C$10:$C$224,$C340,'TL13'!$J$10:$J$224),0),
IF('TL13'!$B$229=Q$3,SUMIF('TL13'!$C$238:$C$451,$C340,'TL13'!$J$238:$J$451),0),
IF('TL14'!$B$3=Q$3,SUMIF('TL14'!$C$10:$C$224,$C340,'TL14'!$J$10:$J$224),0),
IF('TL14'!$B$229=Q$3,SUMIF('TL14'!$C$238:$C$451,$C340,'TL14'!$J$238:$J$451),0),
IF('TL15'!$B$3=Q$3,SUMIF('TL15'!$C$10:$C$224,$C340,'TL15'!$J$10:$J$224),0),
IF('TL15'!$B$229=Q$3,SUMIF('TL15'!$C$238:$C$451,$C340,'TL15'!$J$238:$J$451),0),
IF('TL16'!$B$3=Q$3,SUMIF('TL16'!$C$10:$C$224,$C340,'TL16'!$J$10:$J$224),0),
IF('TL16'!$B$229=Q$3,SUMIF('TL16'!$C$238:$C$451,$C340,'TL16'!$J$238:$J$451),0),
IF('TL17'!$B$3=Q$3,SUMIF('TL17'!$C$10:$C$224,$C340,'TL17'!$J$10:$J$224),0),
IF('TL17'!$B$229=Q$3,SUMIF('TL17'!$C$238:$C$451,$C340,'TL17'!$J$238:$J$451),0),
IF('TL18'!$B$3=Q$3,SUMIF('TL18'!$C$10:$C$224,$C340,'TL18'!$J$10:$J$224),0),
IF('TL18'!$B$229=Q$3,SUMIF('TL18'!$C$238:$C$451,$C340,'TL18'!$J$238:$J$451),0),
IF('TL19'!$B$3=Q$3,SUMIF('TL19'!$C$10:$C$224,$C340,'TL19'!$J$10:$J$224),0),
IF('TL19'!$B$229=Q$3,SUMIF('TL19'!$C$238:$C$451,$C340,'TL19'!$J$238:$J$451),0)
),0)</f>
        <v/>
      </c>
      <c r="R340" s="9">
        <f>IFERROR(
SUM(
SUMIF('TL01'!C:C,C340,'TL01'!J:J),
SUMIF('TL02'!C:C,C340,'TL02'!J:J),
SUMIF('TL03'!C:C,C340,'TL03'!J:J),
SUMIF('TL04'!C:C,C340,'TL04'!J:J),
SUMIF('TL05'!C:C,C340,'TL05'!J:J),
SUMIF('TL06'!C:C,C340,'TL06'!J:J),
SUMIF('TL07'!C:C,C340,'TL07'!J:J),
SUMIF('TL08'!C:C,C340,'TL08'!J:J),
SUMIF('TL09'!C:C,C340,'TL09'!J:J),
SUMIF('TL10'!C:C,C340,'TL10'!J:J),
SUMIF('TL11'!C:C,C340,'TL11'!J:J),
SUMIF('TL12'!C:C,C340,'TL12'!J:J),
SUMIF('TL13'!C:C,C340,'TL13'!J:J),
SUMIF('TL14'!C:C,C340,'TL14'!J:J),
SUMIF('TL15'!C:C,C340,'TL15'!J:J),
SUMIF('TL16'!C:C,C340,'TL16'!J:J),
SUMIF('TL17'!C:C,C340,'TL17'!J:J),
SUMIF('TL18'!C:C,C340,'TL18'!J:J),SUMIF('TL19'!C:C,C340,'TL19'!J:J))
,0)</f>
        <v/>
      </c>
      <c r="S340" s="17">
        <f>IFERROR(__xludf.DUMMYFUNCTION("IFERROR(VLOOKUP(C340,
IMPORTRANGE(""1wULbzX32WdYsx-lj2U3uUNBBe2INVIRDtcK0d-Dvl90"",
""26-27!C:G""),
5,
FALSE),
"""")"),"")</f>
        <v/>
      </c>
      <c r="T340" s="9" t="n"/>
      <c r="U340" s="92">
        <f>MAX(0,R340-T340)</f>
        <v/>
      </c>
      <c r="V340" s="93">
        <f>U340*S340</f>
        <v/>
      </c>
    </row>
    <row r="341" hidden="1" ht="15.75" customHeight="1" s="297">
      <c r="A341" s="4" t="n"/>
      <c r="B341" s="125" t="inlineStr">
        <is>
          <t>SEMENTE</t>
        </is>
      </c>
      <c r="C341" s="4" t="inlineStr">
        <is>
          <t>SEMENTE SOJA RR</t>
        </is>
      </c>
      <c r="D341" s="20" t="n"/>
      <c r="E341" s="9" t="n"/>
      <c r="F341" s="4" t="n"/>
      <c r="G341" s="90">
        <f>HYPERLINK("https://www.google.com/search?q=" &amp; C341 &amp; "+bula+agrofit+pdf", "📄 Ver bula")</f>
        <v/>
      </c>
      <c r="H341" s="9" t="n"/>
      <c r="I341" s="1" t="n"/>
      <c r="J341" s="9">
        <f>IFERROR(SUM(
IF('TL01'!$B$3=J$3,SUMIF('TL01'!$C$10:$C$224,$C341,'TL01'!$J$10:$J$224),0),
IF('TL01'!$B$229=J$3,SUMIF('TL01'!$C$238:$C$451,$C341,'TL01'!$J$238:$J$451),0),
IF('TL02'!$B$3=J$3,SUMIF('TL02'!$C$10:$C$224,$C341,'TL02'!$J$10:$J$224),0),
IF('TL02'!$B$229=J$3,SUMIF('TL02'!$C$238:$C$451,$C341,'TL02'!$J$238:$J$451),0),
IF('TL03'!$B$3=J$3,SUMIF('TL03'!$C$10:$C$224,$C341,'TL03'!$J$10:$J$224),0),
IF('TL03'!$B$229=J$3,SUMIF('TL03'!$C$238:$C$451,$C341,'TL03'!$J$238:$J$451),0),
IF('TL04'!$B$3=J$3,SUMIF('TL04'!$C$10:$C$224,$C341,'TL04'!$J$10:$J$224),0),
IF('TL04'!$B$229=J$3,SUMIF('TL04'!$C$238:$C$451,$C341,'TL04'!$J$238:$J$451),0),
IF('TL05'!$B$3=J$3,SUMIF('TL05'!$C$10:$C$224,$C341,'TL05'!$J$10:$J$224),0),
IF('TL05'!$B$229=J$3,SUMIF('TL05'!$C$238:$C$451,$C341,'TL05'!$J$238:$J$451),0),
IF('TL06'!$B$3=J$3,SUMIF('TL06'!$C$10:$C$224,$C341,'TL06'!$J$10:$J$224),0),
IF('TL06'!$B$229=J$3,SUMIF('TL06'!$C$238:$C$451,$C341,'TL06'!$J$238:$J$451),0),
IF('TL07'!$B$3=J$3,SUMIF('TL07'!$C$10:$C$224,$C341,'TL07'!$J$10:$J$224),0),
IF('TL07'!$B$229=J$3,SUMIF('TL07'!$C$238:$C$451,$C341,'TL07'!$J$238:$J$451),0),
IF('TL08'!$B$3=J$3,SUMIF('TL08'!$C$10:$C$224,$C341,'TL08'!$J$10:$J$224),0),
IF('TL08'!$B$229=J$3,SUMIF('TL08'!$C$238:$C$451,$C341,'TL08'!$J$238:$J$451),0),
IF('TL09'!$B$3=J$3,SUMIF('TL09'!$C$10:$C$224,$C341,'TL09'!$J$10:$J$224),0),
IF('TL09'!$B$229=J$3,SUMIF('TL09'!$C$238:$C$451,$C341,'TL09'!$J$238:$J$451),0),
IF('TL10'!$B$3=J$3,SUMIF('TL10'!$C$10:$C$224,$C341,'TL10'!$J$10:$J$224),0),
IF('TL10'!$B$229=J$3,SUMIF('TL10'!$C$238:$C$451,$C341,'TL10'!$J$238:$J$451),0),
IF('TL11'!$B$3=J$3,SUMIF('TL11'!$C$10:$C$224,$C341,'TL11'!$J$10:$J$224),0),
IF('TL11'!$B$229=J$3,SUMIF('TL11'!$C$238:$C$451,$C341,'TL11'!$J$238:$J$451),0),
IF('TL12'!$B$3=J$3,SUMIF('TL12'!$C$10:$C$224,$C341,'TL12'!$J$10:$J$224),0),
IF('TL12'!$B$229=J$3,SUMIF('TL12'!$C$238:$C$451,$C341,'TL12'!$J$238:$J$451),0),
IF('TL13'!$B$3=J$3,SUMIF('TL13'!$C$10:$C$224,$C341,'TL13'!$J$10:$J$224),0),
IF('TL13'!$B$229=J$3,SUMIF('TL13'!$C$238:$C$451,$C341,'TL13'!$J$238:$J$451),0),
IF('TL14'!$B$3=J$3,SUMIF('TL14'!$C$10:$C$224,$C341,'TL14'!$J$10:$J$224),0),
IF('TL14'!$B$229=J$3,SUMIF('TL14'!$C$238:$C$451,$C341,'TL14'!$J$238:$J$451),0),
IF('TL15'!$B$3=J$3,SUMIF('TL15'!$C$10:$C$224,$C341,'TL15'!$J$10:$J$224),0),
IF('TL15'!$B$229=J$3,SUMIF('TL15'!$C$238:$C$451,$C341,'TL15'!$J$238:$J$451),0),
IF('TL16'!$B$3=J$3,SUMIF('TL16'!$C$10:$C$224,$C341,'TL16'!$J$10:$J$224),0),
IF('TL16'!$B$229=J$3,SUMIF('TL16'!$C$238:$C$451,$C341,'TL16'!$J$238:$J$451),0),
IF('TL17'!$B$3=J$3,SUMIF('TL17'!$C$10:$C$224,$C341,'TL17'!$J$10:$J$224),0),
IF('TL17'!$B$229=J$3,SUMIF('TL17'!$C$238:$C$451,$C341,'TL17'!$J$238:$J$451),0),
IF('TL18'!$B$3=J$3,SUMIF('TL18'!$C$10:$C$224,$C341,'TL18'!$J$10:$J$224),0),
IF('TL18'!$B$229=J$3,SUMIF('TL18'!$C$238:$C$451,$C341,'TL18'!$J$238:$J$451),0),
IF('TL19'!$B$3=J$3,SUMIF('TL19'!$C$10:$C$224,$C341,'TL19'!$J$10:$J$224),0),
IF('TL19'!$B$229=J$3,SUMIF('TL19'!$C$238:$C$451,$C341,'TL19'!$J$238:$J$451),0)
),0)</f>
        <v/>
      </c>
      <c r="K341" s="9">
        <f>IFERROR(SUM(
IF('TL01'!$B$3=K$3,SUMIF('TL01'!$C$10:$C$224,$C341,'TL01'!$J$10:$J$224),0),
IF('TL01'!$B$229=K$3,SUMIF('TL01'!$C$238:$C$451,$C341,'TL01'!$J$238:$J$451),0),
IF('TL02'!$B$3=K$3,SUMIF('TL02'!$C$10:$C$224,$C341,'TL02'!$J$10:$J$224),0),
IF('TL02'!$B$229=K$3,SUMIF('TL02'!$C$238:$C$451,$C341,'TL02'!$J$238:$J$451),0),
IF('TL03'!$B$3=K$3,SUMIF('TL03'!$C$10:$C$224,$C341,'TL03'!$J$10:$J$224),0),
IF('TL03'!$B$229=K$3,SUMIF('TL03'!$C$238:$C$451,$C341,'TL03'!$J$238:$J$451),0),
IF('TL04'!$B$3=K$3,SUMIF('TL04'!$C$10:$C$224,$C341,'TL04'!$J$10:$J$224),0),
IF('TL04'!$B$229=K$3,SUMIF('TL04'!$C$238:$C$451,$C341,'TL04'!$J$238:$J$451),0),
IF('TL05'!$B$3=K$3,SUMIF('TL05'!$C$10:$C$224,$C341,'TL05'!$J$10:$J$224),0),
IF('TL05'!$B$229=K$3,SUMIF('TL05'!$C$238:$C$451,$C341,'TL05'!$J$238:$J$451),0),
IF('TL06'!$B$3=K$3,SUMIF('TL06'!$C$10:$C$224,$C341,'TL06'!$J$10:$J$224),0),
IF('TL06'!$B$229=K$3,SUMIF('TL06'!$C$238:$C$451,$C341,'TL06'!$J$238:$J$451),0),
IF('TL07'!$B$3=K$3,SUMIF('TL07'!$C$10:$C$224,$C341,'TL07'!$J$10:$J$224),0),
IF('TL07'!$B$229=K$3,SUMIF('TL07'!$C$238:$C$451,$C341,'TL07'!$J$238:$J$451),0),
IF('TL08'!$B$3=K$3,SUMIF('TL08'!$C$10:$C$224,$C341,'TL08'!$J$10:$J$224),0),
IF('TL08'!$B$229=K$3,SUMIF('TL08'!$C$238:$C$451,$C341,'TL08'!$J$238:$J$451),0),
IF('TL09'!$B$3=K$3,SUMIF('TL09'!$C$10:$C$224,$C341,'TL09'!$J$10:$J$224),0),
IF('TL09'!$B$229=K$3,SUMIF('TL09'!$C$238:$C$451,$C341,'TL09'!$J$238:$J$451),0),
IF('TL10'!$B$3=K$3,SUMIF('TL10'!$C$10:$C$224,$C341,'TL10'!$J$10:$J$224),0),
IF('TL10'!$B$229=K$3,SUMIF('TL10'!$C$238:$C$451,$C341,'TL10'!$J$238:$J$451),0),
IF('TL11'!$B$3=K$3,SUMIF('TL11'!$C$10:$C$224,$C341,'TL11'!$J$10:$J$224),0),
IF('TL11'!$B$229=K$3,SUMIF('TL11'!$C$238:$C$451,$C341,'TL11'!$J$238:$J$451),0),
IF('TL12'!$B$3=K$3,SUMIF('TL12'!$C$10:$C$224,$C341,'TL12'!$J$10:$J$224),0),
IF('TL12'!$B$229=K$3,SUMIF('TL12'!$C$238:$C$451,$C341,'TL12'!$J$238:$J$451),0),
IF('TL13'!$B$3=K$3,SUMIF('TL13'!$C$10:$C$224,$C341,'TL13'!$J$10:$J$224),0),
IF('TL13'!$B$229=K$3,SUMIF('TL13'!$C$238:$C$451,$C341,'TL13'!$J$238:$J$451),0),
IF('TL14'!$B$3=K$3,SUMIF('TL14'!$C$10:$C$224,$C341,'TL14'!$J$10:$J$224),0),
IF('TL14'!$B$229=K$3,SUMIF('TL14'!$C$238:$C$451,$C341,'TL14'!$J$238:$J$451),0),
IF('TL15'!$B$3=K$3,SUMIF('TL15'!$C$10:$C$224,$C341,'TL15'!$J$10:$J$224),0),
IF('TL15'!$B$229=K$3,SUMIF('TL15'!$C$238:$C$451,$C341,'TL15'!$J$238:$J$451),0),
IF('TL16'!$B$3=K$3,SUMIF('TL16'!$C$10:$C$224,$C341,'TL16'!$J$10:$J$224),0),
IF('TL16'!$B$229=K$3,SUMIF('TL16'!$C$238:$C$451,$C341,'TL16'!$J$238:$J$451),0),
IF('TL17'!$B$3=K$3,SUMIF('TL17'!$C$10:$C$224,$C341,'TL17'!$J$10:$J$224),0),
IF('TL17'!$B$229=K$3,SUMIF('TL17'!$C$238:$C$451,$C341,'TL17'!$J$238:$J$451),0),
IF('TL18'!$B$3=K$3,SUMIF('TL18'!$C$10:$C$224,$C341,'TL18'!$J$10:$J$224),0),
IF('TL18'!$B$229=K$3,SUMIF('TL18'!$C$238:$C$451,$C341,'TL18'!$J$238:$J$451),0),
IF('TL19'!$B$3=K$3,SUMIF('TL19'!$C$10:$C$224,$C341,'TL19'!$J$10:$J$224),0),
IF('TL19'!$B$229=K$3,SUMIF('TL19'!$C$238:$C$451,$C341,'TL19'!$J$238:$J$451),0)
),0)</f>
        <v/>
      </c>
      <c r="L341" s="9">
        <f>IFERROR(SUM(
IF('TL01'!$B$3=L$3,SUMIF('TL01'!$C$10:$C$224,$C341,'TL01'!$J$10:$J$224),0),
IF('TL01'!$B$229=L$3,SUMIF('TL01'!$C$238:$C$451,$C341,'TL01'!$J$238:$J$451),0),
IF('TL02'!$B$3=L$3,SUMIF('TL02'!$C$10:$C$224,$C341,'TL02'!$J$10:$J$224),0),
IF('TL02'!$B$229=L$3,SUMIF('TL02'!$C$238:$C$451,$C341,'TL02'!$J$238:$J$451),0),
IF('TL03'!$B$3=L$3,SUMIF('TL03'!$C$10:$C$224,$C341,'TL03'!$J$10:$J$224),0),
IF('TL03'!$B$229=L$3,SUMIF('TL03'!$C$238:$C$451,$C341,'TL03'!$J$238:$J$451),0),
IF('TL04'!$B$3=L$3,SUMIF('TL04'!$C$10:$C$224,$C341,'TL04'!$J$10:$J$224),0),
IF('TL04'!$B$229=L$3,SUMIF('TL04'!$C$238:$C$451,$C341,'TL04'!$J$238:$J$451),0),
IF('TL05'!$B$3=L$3,SUMIF('TL05'!$C$10:$C$224,$C341,'TL05'!$J$10:$J$224),0),
IF('TL05'!$B$229=L$3,SUMIF('TL05'!$C$238:$C$451,$C341,'TL05'!$J$238:$J$451),0),
IF('TL06'!$B$3=L$3,SUMIF('TL06'!$C$10:$C$224,$C341,'TL06'!$J$10:$J$224),0),
IF('TL06'!$B$229=L$3,SUMIF('TL06'!$C$238:$C$451,$C341,'TL06'!$J$238:$J$451),0),
IF('TL07'!$B$3=L$3,SUMIF('TL07'!$C$10:$C$224,$C341,'TL07'!$J$10:$J$224),0),
IF('TL07'!$B$229=L$3,SUMIF('TL07'!$C$238:$C$451,$C341,'TL07'!$J$238:$J$451),0),
IF('TL08'!$B$3=L$3,SUMIF('TL08'!$C$10:$C$224,$C341,'TL08'!$J$10:$J$224),0),
IF('TL08'!$B$229=L$3,SUMIF('TL08'!$C$238:$C$451,$C341,'TL08'!$J$238:$J$451),0),
IF('TL09'!$B$3=L$3,SUMIF('TL09'!$C$10:$C$224,$C341,'TL09'!$J$10:$J$224),0),
IF('TL09'!$B$229=L$3,SUMIF('TL09'!$C$238:$C$451,$C341,'TL09'!$J$238:$J$451),0),
IF('TL10'!$B$3=L$3,SUMIF('TL10'!$C$10:$C$224,$C341,'TL10'!$J$10:$J$224),0),
IF('TL10'!$B$229=L$3,SUMIF('TL10'!$C$238:$C$451,$C341,'TL10'!$J$238:$J$451),0),
IF('TL11'!$B$3=L$3,SUMIF('TL11'!$C$10:$C$224,$C341,'TL11'!$J$10:$J$224),0),
IF('TL11'!$B$229=L$3,SUMIF('TL11'!$C$238:$C$451,$C341,'TL11'!$J$238:$J$451),0),
IF('TL12'!$B$3=L$3,SUMIF('TL12'!$C$10:$C$224,$C341,'TL12'!$J$10:$J$224),0),
IF('TL12'!$B$229=L$3,SUMIF('TL12'!$C$238:$C$451,$C341,'TL12'!$J$238:$J$451),0),
IF('TL13'!$B$3=L$3,SUMIF('TL13'!$C$10:$C$224,$C341,'TL13'!$J$10:$J$224),0),
IF('TL13'!$B$229=L$3,SUMIF('TL13'!$C$238:$C$451,$C341,'TL13'!$J$238:$J$451),0),
IF('TL14'!$B$3=L$3,SUMIF('TL14'!$C$10:$C$224,$C341,'TL14'!$J$10:$J$224),0),
IF('TL14'!$B$229=L$3,SUMIF('TL14'!$C$238:$C$451,$C341,'TL14'!$J$238:$J$451),0),
IF('TL15'!$B$3=L$3,SUMIF('TL15'!$C$10:$C$224,$C341,'TL15'!$J$10:$J$224),0),
IF('TL15'!$B$229=L$3,SUMIF('TL15'!$C$238:$C$451,$C341,'TL15'!$J$238:$J$451),0),
IF('TL16'!$B$3=L$3,SUMIF('TL16'!$C$10:$C$224,$C341,'TL16'!$J$10:$J$224),0),
IF('TL16'!$B$229=L$3,SUMIF('TL16'!$C$238:$C$451,$C341,'TL16'!$J$238:$J$451),0),
IF('TL17'!$B$3=L$3,SUMIF('TL17'!$C$10:$C$224,$C341,'TL17'!$J$10:$J$224),0),
IF('TL17'!$B$229=L$3,SUMIF('TL17'!$C$238:$C$451,$C341,'TL17'!$J$238:$J$451),0),
IF('TL18'!$B$3=L$3,SUMIF('TL18'!$C$10:$C$224,$C341,'TL18'!$J$10:$J$224),0),
IF('TL18'!$B$229=L$3,SUMIF('TL18'!$C$238:$C$451,$C341,'TL18'!$J$238:$J$451),0),
IF('TL19'!$B$3=L$3,SUMIF('TL19'!$C$10:$C$224,$C341,'TL19'!$J$10:$J$224),0),
IF('TL19'!$B$229=L$3,SUMIF('TL19'!$C$238:$C$451,$C341,'TL19'!$J$238:$J$451),0)
),0)</f>
        <v/>
      </c>
      <c r="M341" s="9">
        <f>IFERROR(SUM(
IF('TL01'!$B$3=M$3,SUMIF('TL01'!$C$10:$C$224,$C341,'TL01'!$J$10:$J$224),0),
IF('TL01'!$B$229=M$3,SUMIF('TL01'!$C$238:$C$451,$C341,'TL01'!$J$238:$J$451),0),
IF('TL02'!$B$3=M$3,SUMIF('TL02'!$C$10:$C$224,$C341,'TL02'!$J$10:$J$224),0),
IF('TL02'!$B$229=M$3,SUMIF('TL02'!$C$238:$C$451,$C341,'TL02'!$J$238:$J$451),0),
IF('TL03'!$B$3=M$3,SUMIF('TL03'!$C$10:$C$224,$C341,'TL03'!$J$10:$J$224),0),
IF('TL03'!$B$229=M$3,SUMIF('TL03'!$C$238:$C$451,$C341,'TL03'!$J$238:$J$451),0),
IF('TL04'!$B$3=M$3,SUMIF('TL04'!$C$10:$C$224,$C341,'TL04'!$J$10:$J$224),0),
IF('TL04'!$B$229=M$3,SUMIF('TL04'!$C$238:$C$451,$C341,'TL04'!$J$238:$J$451),0),
IF('TL05'!$B$3=M$3,SUMIF('TL05'!$C$10:$C$224,$C341,'TL05'!$J$10:$J$224),0),
IF('TL05'!$B$229=M$3,SUMIF('TL05'!$C$238:$C$451,$C341,'TL05'!$J$238:$J$451),0),
IF('TL06'!$B$3=M$3,SUMIF('TL06'!$C$10:$C$224,$C341,'TL06'!$J$10:$J$224),0),
IF('TL06'!$B$229=M$3,SUMIF('TL06'!$C$238:$C$451,$C341,'TL06'!$J$238:$J$451),0),
IF('TL07'!$B$3=M$3,SUMIF('TL07'!$C$10:$C$224,$C341,'TL07'!$J$10:$J$224),0),
IF('TL07'!$B$229=M$3,SUMIF('TL07'!$C$238:$C$451,$C341,'TL07'!$J$238:$J$451),0),
IF('TL08'!$B$3=M$3,SUMIF('TL08'!$C$10:$C$224,$C341,'TL08'!$J$10:$J$224),0),
IF('TL08'!$B$229=M$3,SUMIF('TL08'!$C$238:$C$451,$C341,'TL08'!$J$238:$J$451),0),
IF('TL09'!$B$3=M$3,SUMIF('TL09'!$C$10:$C$224,$C341,'TL09'!$J$10:$J$224),0),
IF('TL09'!$B$229=M$3,SUMIF('TL09'!$C$238:$C$451,$C341,'TL09'!$J$238:$J$451),0),
IF('TL10'!$B$3=M$3,SUMIF('TL10'!$C$10:$C$224,$C341,'TL10'!$J$10:$J$224),0),
IF('TL10'!$B$229=M$3,SUMIF('TL10'!$C$238:$C$451,$C341,'TL10'!$J$238:$J$451),0),
IF('TL11'!$B$3=M$3,SUMIF('TL11'!$C$10:$C$224,$C341,'TL11'!$J$10:$J$224),0),
IF('TL11'!$B$229=M$3,SUMIF('TL11'!$C$238:$C$451,$C341,'TL11'!$J$238:$J$451),0),
IF('TL12'!$B$3=M$3,SUMIF('TL12'!$C$10:$C$224,$C341,'TL12'!$J$10:$J$224),0),
IF('TL12'!$B$229=M$3,SUMIF('TL12'!$C$238:$C$451,$C341,'TL12'!$J$238:$J$451),0),
IF('TL13'!$B$3=M$3,SUMIF('TL13'!$C$10:$C$224,$C341,'TL13'!$J$10:$J$224),0),
IF('TL13'!$B$229=M$3,SUMIF('TL13'!$C$238:$C$451,$C341,'TL13'!$J$238:$J$451),0),
IF('TL14'!$B$3=M$3,SUMIF('TL14'!$C$10:$C$224,$C341,'TL14'!$J$10:$J$224),0),
IF('TL14'!$B$229=M$3,SUMIF('TL14'!$C$238:$C$451,$C341,'TL14'!$J$238:$J$451),0),
IF('TL15'!$B$3=M$3,SUMIF('TL15'!$C$10:$C$224,$C341,'TL15'!$J$10:$J$224),0),
IF('TL15'!$B$229=M$3,SUMIF('TL15'!$C$238:$C$451,$C341,'TL15'!$J$238:$J$451),0),
IF('TL16'!$B$3=M$3,SUMIF('TL16'!$C$10:$C$224,$C341,'TL16'!$J$10:$J$224),0),
IF('TL16'!$B$229=M$3,SUMIF('TL16'!$C$238:$C$451,$C341,'TL16'!$J$238:$J$451),0),
IF('TL17'!$B$3=M$3,SUMIF('TL17'!$C$10:$C$224,$C341,'TL17'!$J$10:$J$224),0),
IF('TL17'!$B$229=M$3,SUMIF('TL17'!$C$238:$C$451,$C341,'TL17'!$J$238:$J$451),0),
IF('TL18'!$B$3=M$3,SUMIF('TL18'!$C$10:$C$224,$C341,'TL18'!$J$10:$J$224),0),
IF('TL18'!$B$229=M$3,SUMIF('TL18'!$C$238:$C$451,$C341,'TL18'!$J$238:$J$451),0),
IF('TL19'!$B$3=M$3,SUMIF('TL19'!$C$10:$C$224,$C341,'TL19'!$J$10:$J$224),0),
IF('TL19'!$B$229=M$3,SUMIF('TL19'!$C$238:$C$451,$C341,'TL19'!$J$238:$J$451),0)
),0)</f>
        <v/>
      </c>
      <c r="N341" s="9">
        <f>IFERROR(SUM(
IF('TL01'!$B$3=N$3,SUMIF('TL01'!$C$10:$C$224,$C341,'TL01'!$J$10:$J$224),0),
IF('TL01'!$B$229=N$3,SUMIF('TL01'!$C$238:$C$451,$C341,'TL01'!$J$238:$J$451),0),
IF('TL02'!$B$3=N$3,SUMIF('TL02'!$C$10:$C$224,$C341,'TL02'!$J$10:$J$224),0),
IF('TL02'!$B$229=N$3,SUMIF('TL02'!$C$238:$C$451,$C341,'TL02'!$J$238:$J$451),0),
IF('TL03'!$B$3=N$3,SUMIF('TL03'!$C$10:$C$224,$C341,'TL03'!$J$10:$J$224),0),
IF('TL03'!$B$229=N$3,SUMIF('TL03'!$C$238:$C$451,$C341,'TL03'!$J$238:$J$451),0),
IF('TL04'!$B$3=N$3,SUMIF('TL04'!$C$10:$C$224,$C341,'TL04'!$J$10:$J$224),0),
IF('TL04'!$B$229=N$3,SUMIF('TL04'!$C$238:$C$451,$C341,'TL04'!$J$238:$J$451),0),
IF('TL05'!$B$3=N$3,SUMIF('TL05'!$C$10:$C$224,$C341,'TL05'!$J$10:$J$224),0),
IF('TL05'!$B$229=N$3,SUMIF('TL05'!$C$238:$C$451,$C341,'TL05'!$J$238:$J$451),0),
IF('TL06'!$B$3=N$3,SUMIF('TL06'!$C$10:$C$224,$C341,'TL06'!$J$10:$J$224),0),
IF('TL06'!$B$229=N$3,SUMIF('TL06'!$C$238:$C$451,$C341,'TL06'!$J$238:$J$451),0),
IF('TL07'!$B$3=N$3,SUMIF('TL07'!$C$10:$C$224,$C341,'TL07'!$J$10:$J$224),0),
IF('TL07'!$B$229=N$3,SUMIF('TL07'!$C$238:$C$451,$C341,'TL07'!$J$238:$J$451),0),
IF('TL08'!$B$3=N$3,SUMIF('TL08'!$C$10:$C$224,$C341,'TL08'!$J$10:$J$224),0),
IF('TL08'!$B$229=N$3,SUMIF('TL08'!$C$238:$C$451,$C341,'TL08'!$J$238:$J$451),0),
IF('TL09'!$B$3=N$3,SUMIF('TL09'!$C$10:$C$224,$C341,'TL09'!$J$10:$J$224),0),
IF('TL09'!$B$229=N$3,SUMIF('TL09'!$C$238:$C$451,$C341,'TL09'!$J$238:$J$451),0),
IF('TL10'!$B$3=N$3,SUMIF('TL10'!$C$10:$C$224,$C341,'TL10'!$J$10:$J$224),0),
IF('TL10'!$B$229=N$3,SUMIF('TL10'!$C$238:$C$451,$C341,'TL10'!$J$238:$J$451),0),
IF('TL11'!$B$3=N$3,SUMIF('TL11'!$C$10:$C$224,$C341,'TL11'!$J$10:$J$224),0),
IF('TL11'!$B$229=N$3,SUMIF('TL11'!$C$238:$C$451,$C341,'TL11'!$J$238:$J$451),0),
IF('TL12'!$B$3=N$3,SUMIF('TL12'!$C$10:$C$224,$C341,'TL12'!$J$10:$J$224),0),
IF('TL12'!$B$229=N$3,SUMIF('TL12'!$C$238:$C$451,$C341,'TL12'!$J$238:$J$451),0),
IF('TL13'!$B$3=N$3,SUMIF('TL13'!$C$10:$C$224,$C341,'TL13'!$J$10:$J$224),0),
IF('TL13'!$B$229=N$3,SUMIF('TL13'!$C$238:$C$451,$C341,'TL13'!$J$238:$J$451),0),
IF('TL14'!$B$3=N$3,SUMIF('TL14'!$C$10:$C$224,$C341,'TL14'!$J$10:$J$224),0),
IF('TL14'!$B$229=N$3,SUMIF('TL14'!$C$238:$C$451,$C341,'TL14'!$J$238:$J$451),0),
IF('TL15'!$B$3=N$3,SUMIF('TL15'!$C$10:$C$224,$C341,'TL15'!$J$10:$J$224),0),
IF('TL15'!$B$229=N$3,SUMIF('TL15'!$C$238:$C$451,$C341,'TL15'!$J$238:$J$451),0),
IF('TL16'!$B$3=N$3,SUMIF('TL16'!$C$10:$C$224,$C341,'TL16'!$J$10:$J$224),0),
IF('TL16'!$B$229=N$3,SUMIF('TL16'!$C$238:$C$451,$C341,'TL16'!$J$238:$J$451),0),
IF('TL17'!$B$3=N$3,SUMIF('TL17'!$C$10:$C$224,$C341,'TL17'!$J$10:$J$224),0),
IF('TL17'!$B$229=N$3,SUMIF('TL17'!$C$238:$C$451,$C341,'TL17'!$J$238:$J$451),0),
IF('TL18'!$B$3=N$3,SUMIF('TL18'!$C$10:$C$224,$C341,'TL18'!$J$10:$J$224),0),
IF('TL18'!$B$229=N$3,SUMIF('TL18'!$C$238:$C$451,$C341,'TL18'!$J$238:$J$451),0),
IF('TL19'!$B$3=N$3,SUMIF('TL19'!$C$10:$C$224,$C341,'TL19'!$J$10:$J$224),0),
IF('TL19'!$B$229=N$3,SUMIF('TL19'!$C$238:$C$451,$C341,'TL19'!$J$238:$J$451),0)
),0)</f>
        <v/>
      </c>
      <c r="O341" s="9">
        <f>IFERROR(SUM(
IF('TL01'!$B$3=O$3,SUMIF('TL01'!$C$10:$C$224,$C341,'TL01'!$J$10:$J$224),0),
IF('TL01'!$B$229=O$3,SUMIF('TL01'!$C$238:$C$451,$C341,'TL01'!$J$238:$J$451),0),
IF('TL02'!$B$3=O$3,SUMIF('TL02'!$C$10:$C$224,$C341,'TL02'!$J$10:$J$224),0),
IF('TL02'!$B$229=O$3,SUMIF('TL02'!$C$238:$C$451,$C341,'TL02'!$J$238:$J$451),0),
IF('TL03'!$B$3=O$3,SUMIF('TL03'!$C$10:$C$224,$C341,'TL03'!$J$10:$J$224),0),
IF('TL03'!$B$229=O$3,SUMIF('TL03'!$C$238:$C$451,$C341,'TL03'!$J$238:$J$451),0),
IF('TL04'!$B$3=O$3,SUMIF('TL04'!$C$10:$C$224,$C341,'TL04'!$J$10:$J$224),0),
IF('TL04'!$B$229=O$3,SUMIF('TL04'!$C$238:$C$451,$C341,'TL04'!$J$238:$J$451),0),
IF('TL05'!$B$3=O$3,SUMIF('TL05'!$C$10:$C$224,$C341,'TL05'!$J$10:$J$224),0),
IF('TL05'!$B$229=O$3,SUMIF('TL05'!$C$238:$C$451,$C341,'TL05'!$J$238:$J$451),0),
IF('TL06'!$B$3=O$3,SUMIF('TL06'!$C$10:$C$224,$C341,'TL06'!$J$10:$J$224),0),
IF('TL06'!$B$229=O$3,SUMIF('TL06'!$C$238:$C$451,$C341,'TL06'!$J$238:$J$451),0),
IF('TL07'!$B$3=O$3,SUMIF('TL07'!$C$10:$C$224,$C341,'TL07'!$J$10:$J$224),0),
IF('TL07'!$B$229=O$3,SUMIF('TL07'!$C$238:$C$451,$C341,'TL07'!$J$238:$J$451),0),
IF('TL08'!$B$3=O$3,SUMIF('TL08'!$C$10:$C$224,$C341,'TL08'!$J$10:$J$224),0),
IF('TL08'!$B$229=O$3,SUMIF('TL08'!$C$238:$C$451,$C341,'TL08'!$J$238:$J$451),0),
IF('TL09'!$B$3=O$3,SUMIF('TL09'!$C$10:$C$224,$C341,'TL09'!$J$10:$J$224),0),
IF('TL09'!$B$229=O$3,SUMIF('TL09'!$C$238:$C$451,$C341,'TL09'!$J$238:$J$451),0),
IF('TL10'!$B$3=O$3,SUMIF('TL10'!$C$10:$C$224,$C341,'TL10'!$J$10:$J$224),0),
IF('TL10'!$B$229=O$3,SUMIF('TL10'!$C$238:$C$451,$C341,'TL10'!$J$238:$J$451),0),
IF('TL11'!$B$3=O$3,SUMIF('TL11'!$C$10:$C$224,$C341,'TL11'!$J$10:$J$224),0),
IF('TL11'!$B$229=O$3,SUMIF('TL11'!$C$238:$C$451,$C341,'TL11'!$J$238:$J$451),0),
IF('TL12'!$B$3=O$3,SUMIF('TL12'!$C$10:$C$224,$C341,'TL12'!$J$10:$J$224),0),
IF('TL12'!$B$229=O$3,SUMIF('TL12'!$C$238:$C$451,$C341,'TL12'!$J$238:$J$451),0),
IF('TL13'!$B$3=O$3,SUMIF('TL13'!$C$10:$C$224,$C341,'TL13'!$J$10:$J$224),0),
IF('TL13'!$B$229=O$3,SUMIF('TL13'!$C$238:$C$451,$C341,'TL13'!$J$238:$J$451),0),
IF('TL14'!$B$3=O$3,SUMIF('TL14'!$C$10:$C$224,$C341,'TL14'!$J$10:$J$224),0),
IF('TL14'!$B$229=O$3,SUMIF('TL14'!$C$238:$C$451,$C341,'TL14'!$J$238:$J$451),0),
IF('TL15'!$B$3=O$3,SUMIF('TL15'!$C$10:$C$224,$C341,'TL15'!$J$10:$J$224),0),
IF('TL15'!$B$229=O$3,SUMIF('TL15'!$C$238:$C$451,$C341,'TL15'!$J$238:$J$451),0),
IF('TL16'!$B$3=O$3,SUMIF('TL16'!$C$10:$C$224,$C341,'TL16'!$J$10:$J$224),0),
IF('TL16'!$B$229=O$3,SUMIF('TL16'!$C$238:$C$451,$C341,'TL16'!$J$238:$J$451),0),
IF('TL17'!$B$3=O$3,SUMIF('TL17'!$C$10:$C$224,$C341,'TL17'!$J$10:$J$224),0),
IF('TL17'!$B$229=O$3,SUMIF('TL17'!$C$238:$C$451,$C341,'TL17'!$J$238:$J$451),0),
IF('TL18'!$B$3=O$3,SUMIF('TL18'!$C$10:$C$224,$C341,'TL18'!$J$10:$J$224),0),
IF('TL18'!$B$229=O$3,SUMIF('TL18'!$C$238:$C$451,$C341,'TL18'!$J$238:$J$451),0),
IF('TL19'!$B$3=O$3,SUMIF('TL19'!$C$10:$C$224,$C341,'TL19'!$J$10:$J$224),0),
IF('TL19'!$B$229=O$3,SUMIF('TL19'!$C$238:$C$451,$C341,'TL19'!$J$238:$J$451),0)
),0)</f>
        <v/>
      </c>
      <c r="P341" s="9">
        <f>IFERROR(SUM(
IF('TL01'!$B$3=P$3,SUMIF('TL01'!$C$10:$C$224,$C341,'TL01'!$J$10:$J$224),0),
IF('TL01'!$B$229=P$3,SUMIF('TL01'!$C$238:$C$451,$C341,'TL01'!$J$238:$J$451),0),
IF('TL02'!$B$3=P$3,SUMIF('TL02'!$C$10:$C$224,$C341,'TL02'!$J$10:$J$224),0),
IF('TL02'!$B$229=P$3,SUMIF('TL02'!$C$238:$C$451,$C341,'TL02'!$J$238:$J$451),0),
IF('TL03'!$B$3=P$3,SUMIF('TL03'!$C$10:$C$224,$C341,'TL03'!$J$10:$J$224),0),
IF('TL03'!$B$229=P$3,SUMIF('TL03'!$C$238:$C$451,$C341,'TL03'!$J$238:$J$451),0),
IF('TL04'!$B$3=P$3,SUMIF('TL04'!$C$10:$C$224,$C341,'TL04'!$J$10:$J$224),0),
IF('TL04'!$B$229=P$3,SUMIF('TL04'!$C$238:$C$451,$C341,'TL04'!$J$238:$J$451),0),
IF('TL05'!$B$3=P$3,SUMIF('TL05'!$C$10:$C$224,$C341,'TL05'!$J$10:$J$224),0),
IF('TL05'!$B$229=P$3,SUMIF('TL05'!$C$238:$C$451,$C341,'TL05'!$J$238:$J$451),0),
IF('TL06'!$B$3=P$3,SUMIF('TL06'!$C$10:$C$224,$C341,'TL06'!$J$10:$J$224),0),
IF('TL06'!$B$229=P$3,SUMIF('TL06'!$C$238:$C$451,$C341,'TL06'!$J$238:$J$451),0),
IF('TL07'!$B$3=P$3,SUMIF('TL07'!$C$10:$C$224,$C341,'TL07'!$J$10:$J$224),0),
IF('TL07'!$B$229=P$3,SUMIF('TL07'!$C$238:$C$451,$C341,'TL07'!$J$238:$J$451),0),
IF('TL08'!$B$3=P$3,SUMIF('TL08'!$C$10:$C$224,$C341,'TL08'!$J$10:$J$224),0),
IF('TL08'!$B$229=P$3,SUMIF('TL08'!$C$238:$C$451,$C341,'TL08'!$J$238:$J$451),0),
IF('TL09'!$B$3=P$3,SUMIF('TL09'!$C$10:$C$224,$C341,'TL09'!$J$10:$J$224),0),
IF('TL09'!$B$229=P$3,SUMIF('TL09'!$C$238:$C$451,$C341,'TL09'!$J$238:$J$451),0),
IF('TL10'!$B$3=P$3,SUMIF('TL10'!$C$10:$C$224,$C341,'TL10'!$J$10:$J$224),0),
IF('TL10'!$B$229=P$3,SUMIF('TL10'!$C$238:$C$451,$C341,'TL10'!$J$238:$J$451),0),
IF('TL11'!$B$3=P$3,SUMIF('TL11'!$C$10:$C$224,$C341,'TL11'!$J$10:$J$224),0),
IF('TL11'!$B$229=P$3,SUMIF('TL11'!$C$238:$C$451,$C341,'TL11'!$J$238:$J$451),0),
IF('TL12'!$B$3=P$3,SUMIF('TL12'!$C$10:$C$224,$C341,'TL12'!$J$10:$J$224),0),
IF('TL12'!$B$229=P$3,SUMIF('TL12'!$C$238:$C$451,$C341,'TL12'!$J$238:$J$451),0),
IF('TL13'!$B$3=P$3,SUMIF('TL13'!$C$10:$C$224,$C341,'TL13'!$J$10:$J$224),0),
IF('TL13'!$B$229=P$3,SUMIF('TL13'!$C$238:$C$451,$C341,'TL13'!$J$238:$J$451),0),
IF('TL14'!$B$3=P$3,SUMIF('TL14'!$C$10:$C$224,$C341,'TL14'!$J$10:$J$224),0),
IF('TL14'!$B$229=P$3,SUMIF('TL14'!$C$238:$C$451,$C341,'TL14'!$J$238:$J$451),0),
IF('TL15'!$B$3=P$3,SUMIF('TL15'!$C$10:$C$224,$C341,'TL15'!$J$10:$J$224),0),
IF('TL15'!$B$229=P$3,SUMIF('TL15'!$C$238:$C$451,$C341,'TL15'!$J$238:$J$451),0),
IF('TL16'!$B$3=P$3,SUMIF('TL16'!$C$10:$C$224,$C341,'TL16'!$J$10:$J$224),0),
IF('TL16'!$B$229=P$3,SUMIF('TL16'!$C$238:$C$451,$C341,'TL16'!$J$238:$J$451),0),
IF('TL17'!$B$3=P$3,SUMIF('TL17'!$C$10:$C$224,$C341,'TL17'!$J$10:$J$224),0),
IF('TL17'!$B$229=P$3,SUMIF('TL17'!$C$238:$C$451,$C341,'TL17'!$J$238:$J$451),0),
IF('TL18'!$B$3=P$3,SUMIF('TL18'!$C$10:$C$224,$C341,'TL18'!$J$10:$J$224),0),
IF('TL18'!$B$229=P$3,SUMIF('TL18'!$C$238:$C$451,$C341,'TL18'!$J$238:$J$451),0),
IF('TL19'!$B$3=P$3,SUMIF('TL19'!$C$10:$C$224,$C341,'TL19'!$J$10:$J$224),0),
IF('TL19'!$B$229=P$3,SUMIF('TL19'!$C$238:$C$451,$C341,'TL19'!$J$238:$J$451),0)
),0)</f>
        <v/>
      </c>
      <c r="Q341" s="9">
        <f>IFERROR(SUM(
IF('TL01'!$B$3=Q$3,SUMIF('TL01'!$C$10:$C$224,$C341,'TL01'!$J$10:$J$224),0),
IF('TL01'!$B$229=Q$3,SUMIF('TL01'!$C$238:$C$451,$C341,'TL01'!$J$238:$J$451),0),
IF('TL02'!$B$3=Q$3,SUMIF('TL02'!$C$10:$C$224,$C341,'TL02'!$J$10:$J$224),0),
IF('TL02'!$B$229=Q$3,SUMIF('TL02'!$C$238:$C$451,$C341,'TL02'!$J$238:$J$451),0),
IF('TL03'!$B$3=Q$3,SUMIF('TL03'!$C$10:$C$224,$C341,'TL03'!$J$10:$J$224),0),
IF('TL03'!$B$229=Q$3,SUMIF('TL03'!$C$238:$C$451,$C341,'TL03'!$J$238:$J$451),0),
IF('TL04'!$B$3=Q$3,SUMIF('TL04'!$C$10:$C$224,$C341,'TL04'!$J$10:$J$224),0),
IF('TL04'!$B$229=Q$3,SUMIF('TL04'!$C$238:$C$451,$C341,'TL04'!$J$238:$J$451),0),
IF('TL05'!$B$3=Q$3,SUMIF('TL05'!$C$10:$C$224,$C341,'TL05'!$J$10:$J$224),0),
IF('TL05'!$B$229=Q$3,SUMIF('TL05'!$C$238:$C$451,$C341,'TL05'!$J$238:$J$451),0),
IF('TL06'!$B$3=Q$3,SUMIF('TL06'!$C$10:$C$224,$C341,'TL06'!$J$10:$J$224),0),
IF('TL06'!$B$229=Q$3,SUMIF('TL06'!$C$238:$C$451,$C341,'TL06'!$J$238:$J$451),0),
IF('TL07'!$B$3=Q$3,SUMIF('TL07'!$C$10:$C$224,$C341,'TL07'!$J$10:$J$224),0),
IF('TL07'!$B$229=Q$3,SUMIF('TL07'!$C$238:$C$451,$C341,'TL07'!$J$238:$J$451),0),
IF('TL08'!$B$3=Q$3,SUMIF('TL08'!$C$10:$C$224,$C341,'TL08'!$J$10:$J$224),0),
IF('TL08'!$B$229=Q$3,SUMIF('TL08'!$C$238:$C$451,$C341,'TL08'!$J$238:$J$451),0),
IF('TL09'!$B$3=Q$3,SUMIF('TL09'!$C$10:$C$224,$C341,'TL09'!$J$10:$J$224),0),
IF('TL09'!$B$229=Q$3,SUMIF('TL09'!$C$238:$C$451,$C341,'TL09'!$J$238:$J$451),0),
IF('TL10'!$B$3=Q$3,SUMIF('TL10'!$C$10:$C$224,$C341,'TL10'!$J$10:$J$224),0),
IF('TL10'!$B$229=Q$3,SUMIF('TL10'!$C$238:$C$451,$C341,'TL10'!$J$238:$J$451),0),
IF('TL11'!$B$3=Q$3,SUMIF('TL11'!$C$10:$C$224,$C341,'TL11'!$J$10:$J$224),0),
IF('TL11'!$B$229=Q$3,SUMIF('TL11'!$C$238:$C$451,$C341,'TL11'!$J$238:$J$451),0),
IF('TL12'!$B$3=Q$3,SUMIF('TL12'!$C$10:$C$224,$C341,'TL12'!$J$10:$J$224),0),
IF('TL12'!$B$229=Q$3,SUMIF('TL12'!$C$238:$C$451,$C341,'TL12'!$J$238:$J$451),0),
IF('TL13'!$B$3=Q$3,SUMIF('TL13'!$C$10:$C$224,$C341,'TL13'!$J$10:$J$224),0),
IF('TL13'!$B$229=Q$3,SUMIF('TL13'!$C$238:$C$451,$C341,'TL13'!$J$238:$J$451),0),
IF('TL14'!$B$3=Q$3,SUMIF('TL14'!$C$10:$C$224,$C341,'TL14'!$J$10:$J$224),0),
IF('TL14'!$B$229=Q$3,SUMIF('TL14'!$C$238:$C$451,$C341,'TL14'!$J$238:$J$451),0),
IF('TL15'!$B$3=Q$3,SUMIF('TL15'!$C$10:$C$224,$C341,'TL15'!$J$10:$J$224),0),
IF('TL15'!$B$229=Q$3,SUMIF('TL15'!$C$238:$C$451,$C341,'TL15'!$J$238:$J$451),0),
IF('TL16'!$B$3=Q$3,SUMIF('TL16'!$C$10:$C$224,$C341,'TL16'!$J$10:$J$224),0),
IF('TL16'!$B$229=Q$3,SUMIF('TL16'!$C$238:$C$451,$C341,'TL16'!$J$238:$J$451),0),
IF('TL17'!$B$3=Q$3,SUMIF('TL17'!$C$10:$C$224,$C341,'TL17'!$J$10:$J$224),0),
IF('TL17'!$B$229=Q$3,SUMIF('TL17'!$C$238:$C$451,$C341,'TL17'!$J$238:$J$451),0),
IF('TL18'!$B$3=Q$3,SUMIF('TL18'!$C$10:$C$224,$C341,'TL18'!$J$10:$J$224),0),
IF('TL18'!$B$229=Q$3,SUMIF('TL18'!$C$238:$C$451,$C341,'TL18'!$J$238:$J$451),0),
IF('TL19'!$B$3=Q$3,SUMIF('TL19'!$C$10:$C$224,$C341,'TL19'!$J$10:$J$224),0),
IF('TL19'!$B$229=Q$3,SUMIF('TL19'!$C$238:$C$451,$C341,'TL19'!$J$238:$J$451),0)
),0)</f>
        <v/>
      </c>
      <c r="R341" s="9">
        <f>IFERROR(
SUM(
SUMIF('TL01'!C:C,C341,'TL01'!J:J),
SUMIF('TL02'!C:C,C341,'TL02'!J:J),
SUMIF('TL03'!C:C,C341,'TL03'!J:J),
SUMIF('TL04'!C:C,C341,'TL04'!J:J),
SUMIF('TL05'!C:C,C341,'TL05'!J:J),
SUMIF('TL06'!C:C,C341,'TL06'!J:J),
SUMIF('TL07'!C:C,C341,'TL07'!J:J),
SUMIF('TL08'!C:C,C341,'TL08'!J:J),
SUMIF('TL09'!C:C,C341,'TL09'!J:J),
SUMIF('TL10'!C:C,C341,'TL10'!J:J),
SUMIF('TL11'!C:C,C341,'TL11'!J:J),
SUMIF('TL12'!C:C,C341,'TL12'!J:J),
SUMIF('TL13'!C:C,C341,'TL13'!J:J),
SUMIF('TL14'!C:C,C341,'TL14'!J:J),
SUMIF('TL15'!C:C,C341,'TL15'!J:J),
SUMIF('TL16'!C:C,C341,'TL16'!J:J),
SUMIF('TL17'!C:C,C341,'TL17'!J:J),
SUMIF('TL18'!C:C,C341,'TL18'!J:J),SUMIF('TL19'!C:C,C341,'TL19'!J:J))
,0)</f>
        <v/>
      </c>
      <c r="S341" s="17">
        <f>IFERROR(__xludf.DUMMYFUNCTION("IFERROR(VLOOKUP(C341,
IMPORTRANGE(""1wULbzX32WdYsx-lj2U3uUNBBe2INVIRDtcK0d-Dvl90"",
""26-27!C:G""),
5,
FALSE),
"""")"),"")</f>
        <v/>
      </c>
      <c r="T341" s="9" t="n"/>
      <c r="U341" s="92">
        <f>MAX(0,R341-T341)</f>
        <v/>
      </c>
      <c r="V341" s="93">
        <f>U341*S341</f>
        <v/>
      </c>
    </row>
    <row r="342" hidden="1" ht="15.75" customHeight="1" s="297">
      <c r="A342" s="4" t="n"/>
      <c r="B342" s="125" t="inlineStr">
        <is>
          <t>SEMENTE</t>
        </is>
      </c>
      <c r="C342" s="4" t="inlineStr">
        <is>
          <t>BRACHIARIA RUZIZIENCES</t>
        </is>
      </c>
      <c r="D342" s="20" t="n"/>
      <c r="E342" s="9" t="n"/>
      <c r="F342" s="4" t="inlineStr">
        <is>
          <t>KG</t>
        </is>
      </c>
      <c r="G342" s="90">
        <f>HYPERLINK("https://www.google.com/search?q=" &amp; C342 &amp; "+bula+agrofit+pdf", "📄 Ver bula")</f>
        <v/>
      </c>
      <c r="H342" s="9" t="n"/>
      <c r="I342" s="1" t="n"/>
      <c r="J342" s="9">
        <f>IFERROR(SUM(
IF('TL01'!$B$3=J$3,SUMIF('TL01'!$C$10:$C$224,$C342,'TL01'!$J$10:$J$224),0),
IF('TL01'!$B$229=J$3,SUMIF('TL01'!$C$238:$C$451,$C342,'TL01'!$J$238:$J$451),0),
IF('TL02'!$B$3=J$3,SUMIF('TL02'!$C$10:$C$224,$C342,'TL02'!$J$10:$J$224),0),
IF('TL02'!$B$229=J$3,SUMIF('TL02'!$C$238:$C$451,$C342,'TL02'!$J$238:$J$451),0),
IF('TL03'!$B$3=J$3,SUMIF('TL03'!$C$10:$C$224,$C342,'TL03'!$J$10:$J$224),0),
IF('TL03'!$B$229=J$3,SUMIF('TL03'!$C$238:$C$451,$C342,'TL03'!$J$238:$J$451),0),
IF('TL04'!$B$3=J$3,SUMIF('TL04'!$C$10:$C$224,$C342,'TL04'!$J$10:$J$224),0),
IF('TL04'!$B$229=J$3,SUMIF('TL04'!$C$238:$C$451,$C342,'TL04'!$J$238:$J$451),0),
IF('TL05'!$B$3=J$3,SUMIF('TL05'!$C$10:$C$224,$C342,'TL05'!$J$10:$J$224),0),
IF('TL05'!$B$229=J$3,SUMIF('TL05'!$C$238:$C$451,$C342,'TL05'!$J$238:$J$451),0),
IF('TL06'!$B$3=J$3,SUMIF('TL06'!$C$10:$C$224,$C342,'TL06'!$J$10:$J$224),0),
IF('TL06'!$B$229=J$3,SUMIF('TL06'!$C$238:$C$451,$C342,'TL06'!$J$238:$J$451),0),
IF('TL07'!$B$3=J$3,SUMIF('TL07'!$C$10:$C$224,$C342,'TL07'!$J$10:$J$224),0),
IF('TL07'!$B$229=J$3,SUMIF('TL07'!$C$238:$C$451,$C342,'TL07'!$J$238:$J$451),0),
IF('TL08'!$B$3=J$3,SUMIF('TL08'!$C$10:$C$224,$C342,'TL08'!$J$10:$J$224),0),
IF('TL08'!$B$229=J$3,SUMIF('TL08'!$C$238:$C$451,$C342,'TL08'!$J$238:$J$451),0),
IF('TL09'!$B$3=J$3,SUMIF('TL09'!$C$10:$C$224,$C342,'TL09'!$J$10:$J$224),0),
IF('TL09'!$B$229=J$3,SUMIF('TL09'!$C$238:$C$451,$C342,'TL09'!$J$238:$J$451),0),
IF('TL10'!$B$3=J$3,SUMIF('TL10'!$C$10:$C$224,$C342,'TL10'!$J$10:$J$224),0),
IF('TL10'!$B$229=J$3,SUMIF('TL10'!$C$238:$C$451,$C342,'TL10'!$J$238:$J$451),0),
IF('TL11'!$B$3=J$3,SUMIF('TL11'!$C$10:$C$224,$C342,'TL11'!$J$10:$J$224),0),
IF('TL11'!$B$229=J$3,SUMIF('TL11'!$C$238:$C$451,$C342,'TL11'!$J$238:$J$451),0),
IF('TL12'!$B$3=J$3,SUMIF('TL12'!$C$10:$C$224,$C342,'TL12'!$J$10:$J$224),0),
IF('TL12'!$B$229=J$3,SUMIF('TL12'!$C$238:$C$451,$C342,'TL12'!$J$238:$J$451),0),
IF('TL13'!$B$3=J$3,SUMIF('TL13'!$C$10:$C$224,$C342,'TL13'!$J$10:$J$224),0),
IF('TL13'!$B$229=J$3,SUMIF('TL13'!$C$238:$C$451,$C342,'TL13'!$J$238:$J$451),0),
IF('TL14'!$B$3=J$3,SUMIF('TL14'!$C$10:$C$224,$C342,'TL14'!$J$10:$J$224),0),
IF('TL14'!$B$229=J$3,SUMIF('TL14'!$C$238:$C$451,$C342,'TL14'!$J$238:$J$451),0),
IF('TL15'!$B$3=J$3,SUMIF('TL15'!$C$10:$C$224,$C342,'TL15'!$J$10:$J$224),0),
IF('TL15'!$B$229=J$3,SUMIF('TL15'!$C$238:$C$451,$C342,'TL15'!$J$238:$J$451),0),
IF('TL16'!$B$3=J$3,SUMIF('TL16'!$C$10:$C$224,$C342,'TL16'!$J$10:$J$224),0),
IF('TL16'!$B$229=J$3,SUMIF('TL16'!$C$238:$C$451,$C342,'TL16'!$J$238:$J$451),0),
IF('TL17'!$B$3=J$3,SUMIF('TL17'!$C$10:$C$224,$C342,'TL17'!$J$10:$J$224),0),
IF('TL17'!$B$229=J$3,SUMIF('TL17'!$C$238:$C$451,$C342,'TL17'!$J$238:$J$451),0),
IF('TL18'!$B$3=J$3,SUMIF('TL18'!$C$10:$C$224,$C342,'TL18'!$J$10:$J$224),0),
IF('TL18'!$B$229=J$3,SUMIF('TL18'!$C$238:$C$451,$C342,'TL18'!$J$238:$J$451),0),
IF('TL19'!$B$3=J$3,SUMIF('TL19'!$C$10:$C$224,$C342,'TL19'!$J$10:$J$224),0),
IF('TL19'!$B$229=J$3,SUMIF('TL19'!$C$238:$C$451,$C342,'TL19'!$J$238:$J$451),0)
),0)</f>
        <v/>
      </c>
      <c r="K342" s="9">
        <f>IFERROR(SUM(
IF('TL01'!$B$3=K$3,SUMIF('TL01'!$C$10:$C$224,$C342,'TL01'!$J$10:$J$224),0),
IF('TL01'!$B$229=K$3,SUMIF('TL01'!$C$238:$C$451,$C342,'TL01'!$J$238:$J$451),0),
IF('TL02'!$B$3=K$3,SUMIF('TL02'!$C$10:$C$224,$C342,'TL02'!$J$10:$J$224),0),
IF('TL02'!$B$229=K$3,SUMIF('TL02'!$C$238:$C$451,$C342,'TL02'!$J$238:$J$451),0),
IF('TL03'!$B$3=K$3,SUMIF('TL03'!$C$10:$C$224,$C342,'TL03'!$J$10:$J$224),0),
IF('TL03'!$B$229=K$3,SUMIF('TL03'!$C$238:$C$451,$C342,'TL03'!$J$238:$J$451),0),
IF('TL04'!$B$3=K$3,SUMIF('TL04'!$C$10:$C$224,$C342,'TL04'!$J$10:$J$224),0),
IF('TL04'!$B$229=K$3,SUMIF('TL04'!$C$238:$C$451,$C342,'TL04'!$J$238:$J$451),0),
IF('TL05'!$B$3=K$3,SUMIF('TL05'!$C$10:$C$224,$C342,'TL05'!$J$10:$J$224),0),
IF('TL05'!$B$229=K$3,SUMIF('TL05'!$C$238:$C$451,$C342,'TL05'!$J$238:$J$451),0),
IF('TL06'!$B$3=K$3,SUMIF('TL06'!$C$10:$C$224,$C342,'TL06'!$J$10:$J$224),0),
IF('TL06'!$B$229=K$3,SUMIF('TL06'!$C$238:$C$451,$C342,'TL06'!$J$238:$J$451),0),
IF('TL07'!$B$3=K$3,SUMIF('TL07'!$C$10:$C$224,$C342,'TL07'!$J$10:$J$224),0),
IF('TL07'!$B$229=K$3,SUMIF('TL07'!$C$238:$C$451,$C342,'TL07'!$J$238:$J$451),0),
IF('TL08'!$B$3=K$3,SUMIF('TL08'!$C$10:$C$224,$C342,'TL08'!$J$10:$J$224),0),
IF('TL08'!$B$229=K$3,SUMIF('TL08'!$C$238:$C$451,$C342,'TL08'!$J$238:$J$451),0),
IF('TL09'!$B$3=K$3,SUMIF('TL09'!$C$10:$C$224,$C342,'TL09'!$J$10:$J$224),0),
IF('TL09'!$B$229=K$3,SUMIF('TL09'!$C$238:$C$451,$C342,'TL09'!$J$238:$J$451),0),
IF('TL10'!$B$3=K$3,SUMIF('TL10'!$C$10:$C$224,$C342,'TL10'!$J$10:$J$224),0),
IF('TL10'!$B$229=K$3,SUMIF('TL10'!$C$238:$C$451,$C342,'TL10'!$J$238:$J$451),0),
IF('TL11'!$B$3=K$3,SUMIF('TL11'!$C$10:$C$224,$C342,'TL11'!$J$10:$J$224),0),
IF('TL11'!$B$229=K$3,SUMIF('TL11'!$C$238:$C$451,$C342,'TL11'!$J$238:$J$451),0),
IF('TL12'!$B$3=K$3,SUMIF('TL12'!$C$10:$C$224,$C342,'TL12'!$J$10:$J$224),0),
IF('TL12'!$B$229=K$3,SUMIF('TL12'!$C$238:$C$451,$C342,'TL12'!$J$238:$J$451),0),
IF('TL13'!$B$3=K$3,SUMIF('TL13'!$C$10:$C$224,$C342,'TL13'!$J$10:$J$224),0),
IF('TL13'!$B$229=K$3,SUMIF('TL13'!$C$238:$C$451,$C342,'TL13'!$J$238:$J$451),0),
IF('TL14'!$B$3=K$3,SUMIF('TL14'!$C$10:$C$224,$C342,'TL14'!$J$10:$J$224),0),
IF('TL14'!$B$229=K$3,SUMIF('TL14'!$C$238:$C$451,$C342,'TL14'!$J$238:$J$451),0),
IF('TL15'!$B$3=K$3,SUMIF('TL15'!$C$10:$C$224,$C342,'TL15'!$J$10:$J$224),0),
IF('TL15'!$B$229=K$3,SUMIF('TL15'!$C$238:$C$451,$C342,'TL15'!$J$238:$J$451),0),
IF('TL16'!$B$3=K$3,SUMIF('TL16'!$C$10:$C$224,$C342,'TL16'!$J$10:$J$224),0),
IF('TL16'!$B$229=K$3,SUMIF('TL16'!$C$238:$C$451,$C342,'TL16'!$J$238:$J$451),0),
IF('TL17'!$B$3=K$3,SUMIF('TL17'!$C$10:$C$224,$C342,'TL17'!$J$10:$J$224),0),
IF('TL17'!$B$229=K$3,SUMIF('TL17'!$C$238:$C$451,$C342,'TL17'!$J$238:$J$451),0),
IF('TL18'!$B$3=K$3,SUMIF('TL18'!$C$10:$C$224,$C342,'TL18'!$J$10:$J$224),0),
IF('TL18'!$B$229=K$3,SUMIF('TL18'!$C$238:$C$451,$C342,'TL18'!$J$238:$J$451),0),
IF('TL19'!$B$3=K$3,SUMIF('TL19'!$C$10:$C$224,$C342,'TL19'!$J$10:$J$224),0),
IF('TL19'!$B$229=K$3,SUMIF('TL19'!$C$238:$C$451,$C342,'TL19'!$J$238:$J$451),0)
),0)</f>
        <v/>
      </c>
      <c r="L342" s="9">
        <f>IFERROR(SUM(
IF('TL01'!$B$3=L$3,SUMIF('TL01'!$C$10:$C$224,$C342,'TL01'!$J$10:$J$224),0),
IF('TL01'!$B$229=L$3,SUMIF('TL01'!$C$238:$C$451,$C342,'TL01'!$J$238:$J$451),0),
IF('TL02'!$B$3=L$3,SUMIF('TL02'!$C$10:$C$224,$C342,'TL02'!$J$10:$J$224),0),
IF('TL02'!$B$229=L$3,SUMIF('TL02'!$C$238:$C$451,$C342,'TL02'!$J$238:$J$451),0),
IF('TL03'!$B$3=L$3,SUMIF('TL03'!$C$10:$C$224,$C342,'TL03'!$J$10:$J$224),0),
IF('TL03'!$B$229=L$3,SUMIF('TL03'!$C$238:$C$451,$C342,'TL03'!$J$238:$J$451),0),
IF('TL04'!$B$3=L$3,SUMIF('TL04'!$C$10:$C$224,$C342,'TL04'!$J$10:$J$224),0),
IF('TL04'!$B$229=L$3,SUMIF('TL04'!$C$238:$C$451,$C342,'TL04'!$J$238:$J$451),0),
IF('TL05'!$B$3=L$3,SUMIF('TL05'!$C$10:$C$224,$C342,'TL05'!$J$10:$J$224),0),
IF('TL05'!$B$229=L$3,SUMIF('TL05'!$C$238:$C$451,$C342,'TL05'!$J$238:$J$451),0),
IF('TL06'!$B$3=L$3,SUMIF('TL06'!$C$10:$C$224,$C342,'TL06'!$J$10:$J$224),0),
IF('TL06'!$B$229=L$3,SUMIF('TL06'!$C$238:$C$451,$C342,'TL06'!$J$238:$J$451),0),
IF('TL07'!$B$3=L$3,SUMIF('TL07'!$C$10:$C$224,$C342,'TL07'!$J$10:$J$224),0),
IF('TL07'!$B$229=L$3,SUMIF('TL07'!$C$238:$C$451,$C342,'TL07'!$J$238:$J$451),0),
IF('TL08'!$B$3=L$3,SUMIF('TL08'!$C$10:$C$224,$C342,'TL08'!$J$10:$J$224),0),
IF('TL08'!$B$229=L$3,SUMIF('TL08'!$C$238:$C$451,$C342,'TL08'!$J$238:$J$451),0),
IF('TL09'!$B$3=L$3,SUMIF('TL09'!$C$10:$C$224,$C342,'TL09'!$J$10:$J$224),0),
IF('TL09'!$B$229=L$3,SUMIF('TL09'!$C$238:$C$451,$C342,'TL09'!$J$238:$J$451),0),
IF('TL10'!$B$3=L$3,SUMIF('TL10'!$C$10:$C$224,$C342,'TL10'!$J$10:$J$224),0),
IF('TL10'!$B$229=L$3,SUMIF('TL10'!$C$238:$C$451,$C342,'TL10'!$J$238:$J$451),0),
IF('TL11'!$B$3=L$3,SUMIF('TL11'!$C$10:$C$224,$C342,'TL11'!$J$10:$J$224),0),
IF('TL11'!$B$229=L$3,SUMIF('TL11'!$C$238:$C$451,$C342,'TL11'!$J$238:$J$451),0),
IF('TL12'!$B$3=L$3,SUMIF('TL12'!$C$10:$C$224,$C342,'TL12'!$J$10:$J$224),0),
IF('TL12'!$B$229=L$3,SUMIF('TL12'!$C$238:$C$451,$C342,'TL12'!$J$238:$J$451),0),
IF('TL13'!$B$3=L$3,SUMIF('TL13'!$C$10:$C$224,$C342,'TL13'!$J$10:$J$224),0),
IF('TL13'!$B$229=L$3,SUMIF('TL13'!$C$238:$C$451,$C342,'TL13'!$J$238:$J$451),0),
IF('TL14'!$B$3=L$3,SUMIF('TL14'!$C$10:$C$224,$C342,'TL14'!$J$10:$J$224),0),
IF('TL14'!$B$229=L$3,SUMIF('TL14'!$C$238:$C$451,$C342,'TL14'!$J$238:$J$451),0),
IF('TL15'!$B$3=L$3,SUMIF('TL15'!$C$10:$C$224,$C342,'TL15'!$J$10:$J$224),0),
IF('TL15'!$B$229=L$3,SUMIF('TL15'!$C$238:$C$451,$C342,'TL15'!$J$238:$J$451),0),
IF('TL16'!$B$3=L$3,SUMIF('TL16'!$C$10:$C$224,$C342,'TL16'!$J$10:$J$224),0),
IF('TL16'!$B$229=L$3,SUMIF('TL16'!$C$238:$C$451,$C342,'TL16'!$J$238:$J$451),0),
IF('TL17'!$B$3=L$3,SUMIF('TL17'!$C$10:$C$224,$C342,'TL17'!$J$10:$J$224),0),
IF('TL17'!$B$229=L$3,SUMIF('TL17'!$C$238:$C$451,$C342,'TL17'!$J$238:$J$451),0),
IF('TL18'!$B$3=L$3,SUMIF('TL18'!$C$10:$C$224,$C342,'TL18'!$J$10:$J$224),0),
IF('TL18'!$B$229=L$3,SUMIF('TL18'!$C$238:$C$451,$C342,'TL18'!$J$238:$J$451),0),
IF('TL19'!$B$3=L$3,SUMIF('TL19'!$C$10:$C$224,$C342,'TL19'!$J$10:$J$224),0),
IF('TL19'!$B$229=L$3,SUMIF('TL19'!$C$238:$C$451,$C342,'TL19'!$J$238:$J$451),0)
),0)</f>
        <v/>
      </c>
      <c r="M342" s="9">
        <f>IFERROR(SUM(
IF('TL01'!$B$3=M$3,SUMIF('TL01'!$C$10:$C$224,$C342,'TL01'!$J$10:$J$224),0),
IF('TL01'!$B$229=M$3,SUMIF('TL01'!$C$238:$C$451,$C342,'TL01'!$J$238:$J$451),0),
IF('TL02'!$B$3=M$3,SUMIF('TL02'!$C$10:$C$224,$C342,'TL02'!$J$10:$J$224),0),
IF('TL02'!$B$229=M$3,SUMIF('TL02'!$C$238:$C$451,$C342,'TL02'!$J$238:$J$451),0),
IF('TL03'!$B$3=M$3,SUMIF('TL03'!$C$10:$C$224,$C342,'TL03'!$J$10:$J$224),0),
IF('TL03'!$B$229=M$3,SUMIF('TL03'!$C$238:$C$451,$C342,'TL03'!$J$238:$J$451),0),
IF('TL04'!$B$3=M$3,SUMIF('TL04'!$C$10:$C$224,$C342,'TL04'!$J$10:$J$224),0),
IF('TL04'!$B$229=M$3,SUMIF('TL04'!$C$238:$C$451,$C342,'TL04'!$J$238:$J$451),0),
IF('TL05'!$B$3=M$3,SUMIF('TL05'!$C$10:$C$224,$C342,'TL05'!$J$10:$J$224),0),
IF('TL05'!$B$229=M$3,SUMIF('TL05'!$C$238:$C$451,$C342,'TL05'!$J$238:$J$451),0),
IF('TL06'!$B$3=M$3,SUMIF('TL06'!$C$10:$C$224,$C342,'TL06'!$J$10:$J$224),0),
IF('TL06'!$B$229=M$3,SUMIF('TL06'!$C$238:$C$451,$C342,'TL06'!$J$238:$J$451),0),
IF('TL07'!$B$3=M$3,SUMIF('TL07'!$C$10:$C$224,$C342,'TL07'!$J$10:$J$224),0),
IF('TL07'!$B$229=M$3,SUMIF('TL07'!$C$238:$C$451,$C342,'TL07'!$J$238:$J$451),0),
IF('TL08'!$B$3=M$3,SUMIF('TL08'!$C$10:$C$224,$C342,'TL08'!$J$10:$J$224),0),
IF('TL08'!$B$229=M$3,SUMIF('TL08'!$C$238:$C$451,$C342,'TL08'!$J$238:$J$451),0),
IF('TL09'!$B$3=M$3,SUMIF('TL09'!$C$10:$C$224,$C342,'TL09'!$J$10:$J$224),0),
IF('TL09'!$B$229=M$3,SUMIF('TL09'!$C$238:$C$451,$C342,'TL09'!$J$238:$J$451),0),
IF('TL10'!$B$3=M$3,SUMIF('TL10'!$C$10:$C$224,$C342,'TL10'!$J$10:$J$224),0),
IF('TL10'!$B$229=M$3,SUMIF('TL10'!$C$238:$C$451,$C342,'TL10'!$J$238:$J$451),0),
IF('TL11'!$B$3=M$3,SUMIF('TL11'!$C$10:$C$224,$C342,'TL11'!$J$10:$J$224),0),
IF('TL11'!$B$229=M$3,SUMIF('TL11'!$C$238:$C$451,$C342,'TL11'!$J$238:$J$451),0),
IF('TL12'!$B$3=M$3,SUMIF('TL12'!$C$10:$C$224,$C342,'TL12'!$J$10:$J$224),0),
IF('TL12'!$B$229=M$3,SUMIF('TL12'!$C$238:$C$451,$C342,'TL12'!$J$238:$J$451),0),
IF('TL13'!$B$3=M$3,SUMIF('TL13'!$C$10:$C$224,$C342,'TL13'!$J$10:$J$224),0),
IF('TL13'!$B$229=M$3,SUMIF('TL13'!$C$238:$C$451,$C342,'TL13'!$J$238:$J$451),0),
IF('TL14'!$B$3=M$3,SUMIF('TL14'!$C$10:$C$224,$C342,'TL14'!$J$10:$J$224),0),
IF('TL14'!$B$229=M$3,SUMIF('TL14'!$C$238:$C$451,$C342,'TL14'!$J$238:$J$451),0),
IF('TL15'!$B$3=M$3,SUMIF('TL15'!$C$10:$C$224,$C342,'TL15'!$J$10:$J$224),0),
IF('TL15'!$B$229=M$3,SUMIF('TL15'!$C$238:$C$451,$C342,'TL15'!$J$238:$J$451),0),
IF('TL16'!$B$3=M$3,SUMIF('TL16'!$C$10:$C$224,$C342,'TL16'!$J$10:$J$224),0),
IF('TL16'!$B$229=M$3,SUMIF('TL16'!$C$238:$C$451,$C342,'TL16'!$J$238:$J$451),0),
IF('TL17'!$B$3=M$3,SUMIF('TL17'!$C$10:$C$224,$C342,'TL17'!$J$10:$J$224),0),
IF('TL17'!$B$229=M$3,SUMIF('TL17'!$C$238:$C$451,$C342,'TL17'!$J$238:$J$451),0),
IF('TL18'!$B$3=M$3,SUMIF('TL18'!$C$10:$C$224,$C342,'TL18'!$J$10:$J$224),0),
IF('TL18'!$B$229=M$3,SUMIF('TL18'!$C$238:$C$451,$C342,'TL18'!$J$238:$J$451),0),
IF('TL19'!$B$3=M$3,SUMIF('TL19'!$C$10:$C$224,$C342,'TL19'!$J$10:$J$224),0),
IF('TL19'!$B$229=M$3,SUMIF('TL19'!$C$238:$C$451,$C342,'TL19'!$J$238:$J$451),0)
),0)</f>
        <v/>
      </c>
      <c r="N342" s="9">
        <f>IFERROR(SUM(
IF('TL01'!$B$3=N$3,SUMIF('TL01'!$C$10:$C$224,$C342,'TL01'!$J$10:$J$224),0),
IF('TL01'!$B$229=N$3,SUMIF('TL01'!$C$238:$C$451,$C342,'TL01'!$J$238:$J$451),0),
IF('TL02'!$B$3=N$3,SUMIF('TL02'!$C$10:$C$224,$C342,'TL02'!$J$10:$J$224),0),
IF('TL02'!$B$229=N$3,SUMIF('TL02'!$C$238:$C$451,$C342,'TL02'!$J$238:$J$451),0),
IF('TL03'!$B$3=N$3,SUMIF('TL03'!$C$10:$C$224,$C342,'TL03'!$J$10:$J$224),0),
IF('TL03'!$B$229=N$3,SUMIF('TL03'!$C$238:$C$451,$C342,'TL03'!$J$238:$J$451),0),
IF('TL04'!$B$3=N$3,SUMIF('TL04'!$C$10:$C$224,$C342,'TL04'!$J$10:$J$224),0),
IF('TL04'!$B$229=N$3,SUMIF('TL04'!$C$238:$C$451,$C342,'TL04'!$J$238:$J$451),0),
IF('TL05'!$B$3=N$3,SUMIF('TL05'!$C$10:$C$224,$C342,'TL05'!$J$10:$J$224),0),
IF('TL05'!$B$229=N$3,SUMIF('TL05'!$C$238:$C$451,$C342,'TL05'!$J$238:$J$451),0),
IF('TL06'!$B$3=N$3,SUMIF('TL06'!$C$10:$C$224,$C342,'TL06'!$J$10:$J$224),0),
IF('TL06'!$B$229=N$3,SUMIF('TL06'!$C$238:$C$451,$C342,'TL06'!$J$238:$J$451),0),
IF('TL07'!$B$3=N$3,SUMIF('TL07'!$C$10:$C$224,$C342,'TL07'!$J$10:$J$224),0),
IF('TL07'!$B$229=N$3,SUMIF('TL07'!$C$238:$C$451,$C342,'TL07'!$J$238:$J$451),0),
IF('TL08'!$B$3=N$3,SUMIF('TL08'!$C$10:$C$224,$C342,'TL08'!$J$10:$J$224),0),
IF('TL08'!$B$229=N$3,SUMIF('TL08'!$C$238:$C$451,$C342,'TL08'!$J$238:$J$451),0),
IF('TL09'!$B$3=N$3,SUMIF('TL09'!$C$10:$C$224,$C342,'TL09'!$J$10:$J$224),0),
IF('TL09'!$B$229=N$3,SUMIF('TL09'!$C$238:$C$451,$C342,'TL09'!$J$238:$J$451),0),
IF('TL10'!$B$3=N$3,SUMIF('TL10'!$C$10:$C$224,$C342,'TL10'!$J$10:$J$224),0),
IF('TL10'!$B$229=N$3,SUMIF('TL10'!$C$238:$C$451,$C342,'TL10'!$J$238:$J$451),0),
IF('TL11'!$B$3=N$3,SUMIF('TL11'!$C$10:$C$224,$C342,'TL11'!$J$10:$J$224),0),
IF('TL11'!$B$229=N$3,SUMIF('TL11'!$C$238:$C$451,$C342,'TL11'!$J$238:$J$451),0),
IF('TL12'!$B$3=N$3,SUMIF('TL12'!$C$10:$C$224,$C342,'TL12'!$J$10:$J$224),0),
IF('TL12'!$B$229=N$3,SUMIF('TL12'!$C$238:$C$451,$C342,'TL12'!$J$238:$J$451),0),
IF('TL13'!$B$3=N$3,SUMIF('TL13'!$C$10:$C$224,$C342,'TL13'!$J$10:$J$224),0),
IF('TL13'!$B$229=N$3,SUMIF('TL13'!$C$238:$C$451,$C342,'TL13'!$J$238:$J$451),0),
IF('TL14'!$B$3=N$3,SUMIF('TL14'!$C$10:$C$224,$C342,'TL14'!$J$10:$J$224),0),
IF('TL14'!$B$229=N$3,SUMIF('TL14'!$C$238:$C$451,$C342,'TL14'!$J$238:$J$451),0),
IF('TL15'!$B$3=N$3,SUMIF('TL15'!$C$10:$C$224,$C342,'TL15'!$J$10:$J$224),0),
IF('TL15'!$B$229=N$3,SUMIF('TL15'!$C$238:$C$451,$C342,'TL15'!$J$238:$J$451),0),
IF('TL16'!$B$3=N$3,SUMIF('TL16'!$C$10:$C$224,$C342,'TL16'!$J$10:$J$224),0),
IF('TL16'!$B$229=N$3,SUMIF('TL16'!$C$238:$C$451,$C342,'TL16'!$J$238:$J$451),0),
IF('TL17'!$B$3=N$3,SUMIF('TL17'!$C$10:$C$224,$C342,'TL17'!$J$10:$J$224),0),
IF('TL17'!$B$229=N$3,SUMIF('TL17'!$C$238:$C$451,$C342,'TL17'!$J$238:$J$451),0),
IF('TL18'!$B$3=N$3,SUMIF('TL18'!$C$10:$C$224,$C342,'TL18'!$J$10:$J$224),0),
IF('TL18'!$B$229=N$3,SUMIF('TL18'!$C$238:$C$451,$C342,'TL18'!$J$238:$J$451),0),
IF('TL19'!$B$3=N$3,SUMIF('TL19'!$C$10:$C$224,$C342,'TL19'!$J$10:$J$224),0),
IF('TL19'!$B$229=N$3,SUMIF('TL19'!$C$238:$C$451,$C342,'TL19'!$J$238:$J$451),0)
),0)</f>
        <v/>
      </c>
      <c r="O342" s="9">
        <f>IFERROR(SUM(
IF('TL01'!$B$3=O$3,SUMIF('TL01'!$C$10:$C$224,$C342,'TL01'!$J$10:$J$224),0),
IF('TL01'!$B$229=O$3,SUMIF('TL01'!$C$238:$C$451,$C342,'TL01'!$J$238:$J$451),0),
IF('TL02'!$B$3=O$3,SUMIF('TL02'!$C$10:$C$224,$C342,'TL02'!$J$10:$J$224),0),
IF('TL02'!$B$229=O$3,SUMIF('TL02'!$C$238:$C$451,$C342,'TL02'!$J$238:$J$451),0),
IF('TL03'!$B$3=O$3,SUMIF('TL03'!$C$10:$C$224,$C342,'TL03'!$J$10:$J$224),0),
IF('TL03'!$B$229=O$3,SUMIF('TL03'!$C$238:$C$451,$C342,'TL03'!$J$238:$J$451),0),
IF('TL04'!$B$3=O$3,SUMIF('TL04'!$C$10:$C$224,$C342,'TL04'!$J$10:$J$224),0),
IF('TL04'!$B$229=O$3,SUMIF('TL04'!$C$238:$C$451,$C342,'TL04'!$J$238:$J$451),0),
IF('TL05'!$B$3=O$3,SUMIF('TL05'!$C$10:$C$224,$C342,'TL05'!$J$10:$J$224),0),
IF('TL05'!$B$229=O$3,SUMIF('TL05'!$C$238:$C$451,$C342,'TL05'!$J$238:$J$451),0),
IF('TL06'!$B$3=O$3,SUMIF('TL06'!$C$10:$C$224,$C342,'TL06'!$J$10:$J$224),0),
IF('TL06'!$B$229=O$3,SUMIF('TL06'!$C$238:$C$451,$C342,'TL06'!$J$238:$J$451),0),
IF('TL07'!$B$3=O$3,SUMIF('TL07'!$C$10:$C$224,$C342,'TL07'!$J$10:$J$224),0),
IF('TL07'!$B$229=O$3,SUMIF('TL07'!$C$238:$C$451,$C342,'TL07'!$J$238:$J$451),0),
IF('TL08'!$B$3=O$3,SUMIF('TL08'!$C$10:$C$224,$C342,'TL08'!$J$10:$J$224),0),
IF('TL08'!$B$229=O$3,SUMIF('TL08'!$C$238:$C$451,$C342,'TL08'!$J$238:$J$451),0),
IF('TL09'!$B$3=O$3,SUMIF('TL09'!$C$10:$C$224,$C342,'TL09'!$J$10:$J$224),0),
IF('TL09'!$B$229=O$3,SUMIF('TL09'!$C$238:$C$451,$C342,'TL09'!$J$238:$J$451),0),
IF('TL10'!$B$3=O$3,SUMIF('TL10'!$C$10:$C$224,$C342,'TL10'!$J$10:$J$224),0),
IF('TL10'!$B$229=O$3,SUMIF('TL10'!$C$238:$C$451,$C342,'TL10'!$J$238:$J$451),0),
IF('TL11'!$B$3=O$3,SUMIF('TL11'!$C$10:$C$224,$C342,'TL11'!$J$10:$J$224),0),
IF('TL11'!$B$229=O$3,SUMIF('TL11'!$C$238:$C$451,$C342,'TL11'!$J$238:$J$451),0),
IF('TL12'!$B$3=O$3,SUMIF('TL12'!$C$10:$C$224,$C342,'TL12'!$J$10:$J$224),0),
IF('TL12'!$B$229=O$3,SUMIF('TL12'!$C$238:$C$451,$C342,'TL12'!$J$238:$J$451),0),
IF('TL13'!$B$3=O$3,SUMIF('TL13'!$C$10:$C$224,$C342,'TL13'!$J$10:$J$224),0),
IF('TL13'!$B$229=O$3,SUMIF('TL13'!$C$238:$C$451,$C342,'TL13'!$J$238:$J$451),0),
IF('TL14'!$B$3=O$3,SUMIF('TL14'!$C$10:$C$224,$C342,'TL14'!$J$10:$J$224),0),
IF('TL14'!$B$229=O$3,SUMIF('TL14'!$C$238:$C$451,$C342,'TL14'!$J$238:$J$451),0),
IF('TL15'!$B$3=O$3,SUMIF('TL15'!$C$10:$C$224,$C342,'TL15'!$J$10:$J$224),0),
IF('TL15'!$B$229=O$3,SUMIF('TL15'!$C$238:$C$451,$C342,'TL15'!$J$238:$J$451),0),
IF('TL16'!$B$3=O$3,SUMIF('TL16'!$C$10:$C$224,$C342,'TL16'!$J$10:$J$224),0),
IF('TL16'!$B$229=O$3,SUMIF('TL16'!$C$238:$C$451,$C342,'TL16'!$J$238:$J$451),0),
IF('TL17'!$B$3=O$3,SUMIF('TL17'!$C$10:$C$224,$C342,'TL17'!$J$10:$J$224),0),
IF('TL17'!$B$229=O$3,SUMIF('TL17'!$C$238:$C$451,$C342,'TL17'!$J$238:$J$451),0),
IF('TL18'!$B$3=O$3,SUMIF('TL18'!$C$10:$C$224,$C342,'TL18'!$J$10:$J$224),0),
IF('TL18'!$B$229=O$3,SUMIF('TL18'!$C$238:$C$451,$C342,'TL18'!$J$238:$J$451),0),
IF('TL19'!$B$3=O$3,SUMIF('TL19'!$C$10:$C$224,$C342,'TL19'!$J$10:$J$224),0),
IF('TL19'!$B$229=O$3,SUMIF('TL19'!$C$238:$C$451,$C342,'TL19'!$J$238:$J$451),0)
),0)</f>
        <v/>
      </c>
      <c r="P342" s="9">
        <f>IFERROR(SUM(
IF('TL01'!$B$3=P$3,SUMIF('TL01'!$C$10:$C$224,$C342,'TL01'!$J$10:$J$224),0),
IF('TL01'!$B$229=P$3,SUMIF('TL01'!$C$238:$C$451,$C342,'TL01'!$J$238:$J$451),0),
IF('TL02'!$B$3=P$3,SUMIF('TL02'!$C$10:$C$224,$C342,'TL02'!$J$10:$J$224),0),
IF('TL02'!$B$229=P$3,SUMIF('TL02'!$C$238:$C$451,$C342,'TL02'!$J$238:$J$451),0),
IF('TL03'!$B$3=P$3,SUMIF('TL03'!$C$10:$C$224,$C342,'TL03'!$J$10:$J$224),0),
IF('TL03'!$B$229=P$3,SUMIF('TL03'!$C$238:$C$451,$C342,'TL03'!$J$238:$J$451),0),
IF('TL04'!$B$3=P$3,SUMIF('TL04'!$C$10:$C$224,$C342,'TL04'!$J$10:$J$224),0),
IF('TL04'!$B$229=P$3,SUMIF('TL04'!$C$238:$C$451,$C342,'TL04'!$J$238:$J$451),0),
IF('TL05'!$B$3=P$3,SUMIF('TL05'!$C$10:$C$224,$C342,'TL05'!$J$10:$J$224),0),
IF('TL05'!$B$229=P$3,SUMIF('TL05'!$C$238:$C$451,$C342,'TL05'!$J$238:$J$451),0),
IF('TL06'!$B$3=P$3,SUMIF('TL06'!$C$10:$C$224,$C342,'TL06'!$J$10:$J$224),0),
IF('TL06'!$B$229=P$3,SUMIF('TL06'!$C$238:$C$451,$C342,'TL06'!$J$238:$J$451),0),
IF('TL07'!$B$3=P$3,SUMIF('TL07'!$C$10:$C$224,$C342,'TL07'!$J$10:$J$224),0),
IF('TL07'!$B$229=P$3,SUMIF('TL07'!$C$238:$C$451,$C342,'TL07'!$J$238:$J$451),0),
IF('TL08'!$B$3=P$3,SUMIF('TL08'!$C$10:$C$224,$C342,'TL08'!$J$10:$J$224),0),
IF('TL08'!$B$229=P$3,SUMIF('TL08'!$C$238:$C$451,$C342,'TL08'!$J$238:$J$451),0),
IF('TL09'!$B$3=P$3,SUMIF('TL09'!$C$10:$C$224,$C342,'TL09'!$J$10:$J$224),0),
IF('TL09'!$B$229=P$3,SUMIF('TL09'!$C$238:$C$451,$C342,'TL09'!$J$238:$J$451),0),
IF('TL10'!$B$3=P$3,SUMIF('TL10'!$C$10:$C$224,$C342,'TL10'!$J$10:$J$224),0),
IF('TL10'!$B$229=P$3,SUMIF('TL10'!$C$238:$C$451,$C342,'TL10'!$J$238:$J$451),0),
IF('TL11'!$B$3=P$3,SUMIF('TL11'!$C$10:$C$224,$C342,'TL11'!$J$10:$J$224),0),
IF('TL11'!$B$229=P$3,SUMIF('TL11'!$C$238:$C$451,$C342,'TL11'!$J$238:$J$451),0),
IF('TL12'!$B$3=P$3,SUMIF('TL12'!$C$10:$C$224,$C342,'TL12'!$J$10:$J$224),0),
IF('TL12'!$B$229=P$3,SUMIF('TL12'!$C$238:$C$451,$C342,'TL12'!$J$238:$J$451),0),
IF('TL13'!$B$3=P$3,SUMIF('TL13'!$C$10:$C$224,$C342,'TL13'!$J$10:$J$224),0),
IF('TL13'!$B$229=P$3,SUMIF('TL13'!$C$238:$C$451,$C342,'TL13'!$J$238:$J$451),0),
IF('TL14'!$B$3=P$3,SUMIF('TL14'!$C$10:$C$224,$C342,'TL14'!$J$10:$J$224),0),
IF('TL14'!$B$229=P$3,SUMIF('TL14'!$C$238:$C$451,$C342,'TL14'!$J$238:$J$451),0),
IF('TL15'!$B$3=P$3,SUMIF('TL15'!$C$10:$C$224,$C342,'TL15'!$J$10:$J$224),0),
IF('TL15'!$B$229=P$3,SUMIF('TL15'!$C$238:$C$451,$C342,'TL15'!$J$238:$J$451),0),
IF('TL16'!$B$3=P$3,SUMIF('TL16'!$C$10:$C$224,$C342,'TL16'!$J$10:$J$224),0),
IF('TL16'!$B$229=P$3,SUMIF('TL16'!$C$238:$C$451,$C342,'TL16'!$J$238:$J$451),0),
IF('TL17'!$B$3=P$3,SUMIF('TL17'!$C$10:$C$224,$C342,'TL17'!$J$10:$J$224),0),
IF('TL17'!$B$229=P$3,SUMIF('TL17'!$C$238:$C$451,$C342,'TL17'!$J$238:$J$451),0),
IF('TL18'!$B$3=P$3,SUMIF('TL18'!$C$10:$C$224,$C342,'TL18'!$J$10:$J$224),0),
IF('TL18'!$B$229=P$3,SUMIF('TL18'!$C$238:$C$451,$C342,'TL18'!$J$238:$J$451),0),
IF('TL19'!$B$3=P$3,SUMIF('TL19'!$C$10:$C$224,$C342,'TL19'!$J$10:$J$224),0),
IF('TL19'!$B$229=P$3,SUMIF('TL19'!$C$238:$C$451,$C342,'TL19'!$J$238:$J$451),0)
),0)</f>
        <v/>
      </c>
      <c r="Q342" s="9">
        <f>IFERROR(SUM(
IF('TL01'!$B$3=Q$3,SUMIF('TL01'!$C$10:$C$224,$C342,'TL01'!$J$10:$J$224),0),
IF('TL01'!$B$229=Q$3,SUMIF('TL01'!$C$238:$C$451,$C342,'TL01'!$J$238:$J$451),0),
IF('TL02'!$B$3=Q$3,SUMIF('TL02'!$C$10:$C$224,$C342,'TL02'!$J$10:$J$224),0),
IF('TL02'!$B$229=Q$3,SUMIF('TL02'!$C$238:$C$451,$C342,'TL02'!$J$238:$J$451),0),
IF('TL03'!$B$3=Q$3,SUMIF('TL03'!$C$10:$C$224,$C342,'TL03'!$J$10:$J$224),0),
IF('TL03'!$B$229=Q$3,SUMIF('TL03'!$C$238:$C$451,$C342,'TL03'!$J$238:$J$451),0),
IF('TL04'!$B$3=Q$3,SUMIF('TL04'!$C$10:$C$224,$C342,'TL04'!$J$10:$J$224),0),
IF('TL04'!$B$229=Q$3,SUMIF('TL04'!$C$238:$C$451,$C342,'TL04'!$J$238:$J$451),0),
IF('TL05'!$B$3=Q$3,SUMIF('TL05'!$C$10:$C$224,$C342,'TL05'!$J$10:$J$224),0),
IF('TL05'!$B$229=Q$3,SUMIF('TL05'!$C$238:$C$451,$C342,'TL05'!$J$238:$J$451),0),
IF('TL06'!$B$3=Q$3,SUMIF('TL06'!$C$10:$C$224,$C342,'TL06'!$J$10:$J$224),0),
IF('TL06'!$B$229=Q$3,SUMIF('TL06'!$C$238:$C$451,$C342,'TL06'!$J$238:$J$451),0),
IF('TL07'!$B$3=Q$3,SUMIF('TL07'!$C$10:$C$224,$C342,'TL07'!$J$10:$J$224),0),
IF('TL07'!$B$229=Q$3,SUMIF('TL07'!$C$238:$C$451,$C342,'TL07'!$J$238:$J$451),0),
IF('TL08'!$B$3=Q$3,SUMIF('TL08'!$C$10:$C$224,$C342,'TL08'!$J$10:$J$224),0),
IF('TL08'!$B$229=Q$3,SUMIF('TL08'!$C$238:$C$451,$C342,'TL08'!$J$238:$J$451),0),
IF('TL09'!$B$3=Q$3,SUMIF('TL09'!$C$10:$C$224,$C342,'TL09'!$J$10:$J$224),0),
IF('TL09'!$B$229=Q$3,SUMIF('TL09'!$C$238:$C$451,$C342,'TL09'!$J$238:$J$451),0),
IF('TL10'!$B$3=Q$3,SUMIF('TL10'!$C$10:$C$224,$C342,'TL10'!$J$10:$J$224),0),
IF('TL10'!$B$229=Q$3,SUMIF('TL10'!$C$238:$C$451,$C342,'TL10'!$J$238:$J$451),0),
IF('TL11'!$B$3=Q$3,SUMIF('TL11'!$C$10:$C$224,$C342,'TL11'!$J$10:$J$224),0),
IF('TL11'!$B$229=Q$3,SUMIF('TL11'!$C$238:$C$451,$C342,'TL11'!$J$238:$J$451),0),
IF('TL12'!$B$3=Q$3,SUMIF('TL12'!$C$10:$C$224,$C342,'TL12'!$J$10:$J$224),0),
IF('TL12'!$B$229=Q$3,SUMIF('TL12'!$C$238:$C$451,$C342,'TL12'!$J$238:$J$451),0),
IF('TL13'!$B$3=Q$3,SUMIF('TL13'!$C$10:$C$224,$C342,'TL13'!$J$10:$J$224),0),
IF('TL13'!$B$229=Q$3,SUMIF('TL13'!$C$238:$C$451,$C342,'TL13'!$J$238:$J$451),0),
IF('TL14'!$B$3=Q$3,SUMIF('TL14'!$C$10:$C$224,$C342,'TL14'!$J$10:$J$224),0),
IF('TL14'!$B$229=Q$3,SUMIF('TL14'!$C$238:$C$451,$C342,'TL14'!$J$238:$J$451),0),
IF('TL15'!$B$3=Q$3,SUMIF('TL15'!$C$10:$C$224,$C342,'TL15'!$J$10:$J$224),0),
IF('TL15'!$B$229=Q$3,SUMIF('TL15'!$C$238:$C$451,$C342,'TL15'!$J$238:$J$451),0),
IF('TL16'!$B$3=Q$3,SUMIF('TL16'!$C$10:$C$224,$C342,'TL16'!$J$10:$J$224),0),
IF('TL16'!$B$229=Q$3,SUMIF('TL16'!$C$238:$C$451,$C342,'TL16'!$J$238:$J$451),0),
IF('TL17'!$B$3=Q$3,SUMIF('TL17'!$C$10:$C$224,$C342,'TL17'!$J$10:$J$224),0),
IF('TL17'!$B$229=Q$3,SUMIF('TL17'!$C$238:$C$451,$C342,'TL17'!$J$238:$J$451),0),
IF('TL18'!$B$3=Q$3,SUMIF('TL18'!$C$10:$C$224,$C342,'TL18'!$J$10:$J$224),0),
IF('TL18'!$B$229=Q$3,SUMIF('TL18'!$C$238:$C$451,$C342,'TL18'!$J$238:$J$451),0),
IF('TL19'!$B$3=Q$3,SUMIF('TL19'!$C$10:$C$224,$C342,'TL19'!$J$10:$J$224),0),
IF('TL19'!$B$229=Q$3,SUMIF('TL19'!$C$238:$C$451,$C342,'TL19'!$J$238:$J$451),0)
),0)</f>
        <v/>
      </c>
      <c r="R342" s="9">
        <f>IFERROR(
SUM(
SUMIF('TL01'!C:C,C342,'TL01'!J:J),
SUMIF('TL02'!C:C,C342,'TL02'!J:J),
SUMIF('TL03'!C:C,C342,'TL03'!J:J),
SUMIF('TL04'!C:C,C342,'TL04'!J:J),
SUMIF('TL05'!C:C,C342,'TL05'!J:J),
SUMIF('TL06'!C:C,C342,'TL06'!J:J),
SUMIF('TL07'!C:C,C342,'TL07'!J:J),
SUMIF('TL08'!C:C,C342,'TL08'!J:J),
SUMIF('TL09'!C:C,C342,'TL09'!J:J),
SUMIF('TL10'!C:C,C342,'TL10'!J:J),
SUMIF('TL11'!C:C,C342,'TL11'!J:J),
SUMIF('TL12'!C:C,C342,'TL12'!J:J),
SUMIF('TL13'!C:C,C342,'TL13'!J:J),
SUMIF('TL14'!C:C,C342,'TL14'!J:J),
SUMIF('TL15'!C:C,C342,'TL15'!J:J),
SUMIF('TL16'!C:C,C342,'TL16'!J:J),
SUMIF('TL17'!C:C,C342,'TL17'!J:J),
SUMIF('TL18'!C:C,C342,'TL18'!J:J),SUMIF('TL19'!C:C,C342,'TL19'!J:J))
,0)</f>
        <v/>
      </c>
      <c r="S342" s="17">
        <f>IFERROR(__xludf.DUMMYFUNCTION("IFERROR(VLOOKUP(C342,
IMPORTRANGE(""1wULbzX32WdYsx-lj2U3uUNBBe2INVIRDtcK0d-Dvl90"",
""26-27!C:G""),
5,
FALSE),
"""")"),"")</f>
        <v/>
      </c>
      <c r="T342" s="9" t="n"/>
      <c r="U342" s="92">
        <f>MAX(0,R342-T342)</f>
        <v/>
      </c>
      <c r="V342" s="93">
        <f>U342*S342</f>
        <v/>
      </c>
    </row>
    <row r="343" hidden="1" ht="15.75" customHeight="1" s="297">
      <c r="A343" s="4" t="n"/>
      <c r="B343" s="125" t="inlineStr">
        <is>
          <t>SEMENTE</t>
        </is>
      </c>
      <c r="C343" s="4" t="inlineStr">
        <is>
          <t>CAPIM MIAGE</t>
        </is>
      </c>
      <c r="D343" s="20" t="n"/>
      <c r="E343" s="9" t="n"/>
      <c r="F343" s="4" t="inlineStr">
        <is>
          <t>KG</t>
        </is>
      </c>
      <c r="G343" s="90">
        <f>HYPERLINK("https://www.google.com/search?q=" &amp; C343 &amp; "+bula+agrofit+pdf", "📄 Ver bula")</f>
        <v/>
      </c>
      <c r="H343" s="9" t="n"/>
      <c r="I343" s="1" t="n"/>
      <c r="J343" s="9">
        <f>IFERROR(SUM(
IF('TL01'!$B$3=J$3,SUMIF('TL01'!$C$10:$C$224,$C343,'TL01'!$J$10:$J$224),0),
IF('TL01'!$B$229=J$3,SUMIF('TL01'!$C$238:$C$451,$C343,'TL01'!$J$238:$J$451),0),
IF('TL02'!$B$3=J$3,SUMIF('TL02'!$C$10:$C$224,$C343,'TL02'!$J$10:$J$224),0),
IF('TL02'!$B$229=J$3,SUMIF('TL02'!$C$238:$C$451,$C343,'TL02'!$J$238:$J$451),0),
IF('TL03'!$B$3=J$3,SUMIF('TL03'!$C$10:$C$224,$C343,'TL03'!$J$10:$J$224),0),
IF('TL03'!$B$229=J$3,SUMIF('TL03'!$C$238:$C$451,$C343,'TL03'!$J$238:$J$451),0),
IF('TL04'!$B$3=J$3,SUMIF('TL04'!$C$10:$C$224,$C343,'TL04'!$J$10:$J$224),0),
IF('TL04'!$B$229=J$3,SUMIF('TL04'!$C$238:$C$451,$C343,'TL04'!$J$238:$J$451),0),
IF('TL05'!$B$3=J$3,SUMIF('TL05'!$C$10:$C$224,$C343,'TL05'!$J$10:$J$224),0),
IF('TL05'!$B$229=J$3,SUMIF('TL05'!$C$238:$C$451,$C343,'TL05'!$J$238:$J$451),0),
IF('TL06'!$B$3=J$3,SUMIF('TL06'!$C$10:$C$224,$C343,'TL06'!$J$10:$J$224),0),
IF('TL06'!$B$229=J$3,SUMIF('TL06'!$C$238:$C$451,$C343,'TL06'!$J$238:$J$451),0),
IF('TL07'!$B$3=J$3,SUMIF('TL07'!$C$10:$C$224,$C343,'TL07'!$J$10:$J$224),0),
IF('TL07'!$B$229=J$3,SUMIF('TL07'!$C$238:$C$451,$C343,'TL07'!$J$238:$J$451),0),
IF('TL08'!$B$3=J$3,SUMIF('TL08'!$C$10:$C$224,$C343,'TL08'!$J$10:$J$224),0),
IF('TL08'!$B$229=J$3,SUMIF('TL08'!$C$238:$C$451,$C343,'TL08'!$J$238:$J$451),0),
IF('TL09'!$B$3=J$3,SUMIF('TL09'!$C$10:$C$224,$C343,'TL09'!$J$10:$J$224),0),
IF('TL09'!$B$229=J$3,SUMIF('TL09'!$C$238:$C$451,$C343,'TL09'!$J$238:$J$451),0),
IF('TL10'!$B$3=J$3,SUMIF('TL10'!$C$10:$C$224,$C343,'TL10'!$J$10:$J$224),0),
IF('TL10'!$B$229=J$3,SUMIF('TL10'!$C$238:$C$451,$C343,'TL10'!$J$238:$J$451),0),
IF('TL11'!$B$3=J$3,SUMIF('TL11'!$C$10:$C$224,$C343,'TL11'!$J$10:$J$224),0),
IF('TL11'!$B$229=J$3,SUMIF('TL11'!$C$238:$C$451,$C343,'TL11'!$J$238:$J$451),0),
IF('TL12'!$B$3=J$3,SUMIF('TL12'!$C$10:$C$224,$C343,'TL12'!$J$10:$J$224),0),
IF('TL12'!$B$229=J$3,SUMIF('TL12'!$C$238:$C$451,$C343,'TL12'!$J$238:$J$451),0),
IF('TL13'!$B$3=J$3,SUMIF('TL13'!$C$10:$C$224,$C343,'TL13'!$J$10:$J$224),0),
IF('TL13'!$B$229=J$3,SUMIF('TL13'!$C$238:$C$451,$C343,'TL13'!$J$238:$J$451),0),
IF('TL14'!$B$3=J$3,SUMIF('TL14'!$C$10:$C$224,$C343,'TL14'!$J$10:$J$224),0),
IF('TL14'!$B$229=J$3,SUMIF('TL14'!$C$238:$C$451,$C343,'TL14'!$J$238:$J$451),0),
IF('TL15'!$B$3=J$3,SUMIF('TL15'!$C$10:$C$224,$C343,'TL15'!$J$10:$J$224),0),
IF('TL15'!$B$229=J$3,SUMIF('TL15'!$C$238:$C$451,$C343,'TL15'!$J$238:$J$451),0),
IF('TL16'!$B$3=J$3,SUMIF('TL16'!$C$10:$C$224,$C343,'TL16'!$J$10:$J$224),0),
IF('TL16'!$B$229=J$3,SUMIF('TL16'!$C$238:$C$451,$C343,'TL16'!$J$238:$J$451),0),
IF('TL17'!$B$3=J$3,SUMIF('TL17'!$C$10:$C$224,$C343,'TL17'!$J$10:$J$224),0),
IF('TL17'!$B$229=J$3,SUMIF('TL17'!$C$238:$C$451,$C343,'TL17'!$J$238:$J$451),0),
IF('TL18'!$B$3=J$3,SUMIF('TL18'!$C$10:$C$224,$C343,'TL18'!$J$10:$J$224),0),
IF('TL18'!$B$229=J$3,SUMIF('TL18'!$C$238:$C$451,$C343,'TL18'!$J$238:$J$451),0),
IF('TL19'!$B$3=J$3,SUMIF('TL19'!$C$10:$C$224,$C343,'TL19'!$J$10:$J$224),0),
IF('TL19'!$B$229=J$3,SUMIF('TL19'!$C$238:$C$451,$C343,'TL19'!$J$238:$J$451),0)
),0)</f>
        <v/>
      </c>
      <c r="K343" s="9">
        <f>IFERROR(SUM(
IF('TL01'!$B$3=K$3,SUMIF('TL01'!$C$10:$C$224,$C343,'TL01'!$J$10:$J$224),0),
IF('TL01'!$B$229=K$3,SUMIF('TL01'!$C$238:$C$451,$C343,'TL01'!$J$238:$J$451),0),
IF('TL02'!$B$3=K$3,SUMIF('TL02'!$C$10:$C$224,$C343,'TL02'!$J$10:$J$224),0),
IF('TL02'!$B$229=K$3,SUMIF('TL02'!$C$238:$C$451,$C343,'TL02'!$J$238:$J$451),0),
IF('TL03'!$B$3=K$3,SUMIF('TL03'!$C$10:$C$224,$C343,'TL03'!$J$10:$J$224),0),
IF('TL03'!$B$229=K$3,SUMIF('TL03'!$C$238:$C$451,$C343,'TL03'!$J$238:$J$451),0),
IF('TL04'!$B$3=K$3,SUMIF('TL04'!$C$10:$C$224,$C343,'TL04'!$J$10:$J$224),0),
IF('TL04'!$B$229=K$3,SUMIF('TL04'!$C$238:$C$451,$C343,'TL04'!$J$238:$J$451),0),
IF('TL05'!$B$3=K$3,SUMIF('TL05'!$C$10:$C$224,$C343,'TL05'!$J$10:$J$224),0),
IF('TL05'!$B$229=K$3,SUMIF('TL05'!$C$238:$C$451,$C343,'TL05'!$J$238:$J$451),0),
IF('TL06'!$B$3=K$3,SUMIF('TL06'!$C$10:$C$224,$C343,'TL06'!$J$10:$J$224),0),
IF('TL06'!$B$229=K$3,SUMIF('TL06'!$C$238:$C$451,$C343,'TL06'!$J$238:$J$451),0),
IF('TL07'!$B$3=K$3,SUMIF('TL07'!$C$10:$C$224,$C343,'TL07'!$J$10:$J$224),0),
IF('TL07'!$B$229=K$3,SUMIF('TL07'!$C$238:$C$451,$C343,'TL07'!$J$238:$J$451),0),
IF('TL08'!$B$3=K$3,SUMIF('TL08'!$C$10:$C$224,$C343,'TL08'!$J$10:$J$224),0),
IF('TL08'!$B$229=K$3,SUMIF('TL08'!$C$238:$C$451,$C343,'TL08'!$J$238:$J$451),0),
IF('TL09'!$B$3=K$3,SUMIF('TL09'!$C$10:$C$224,$C343,'TL09'!$J$10:$J$224),0),
IF('TL09'!$B$229=K$3,SUMIF('TL09'!$C$238:$C$451,$C343,'TL09'!$J$238:$J$451),0),
IF('TL10'!$B$3=K$3,SUMIF('TL10'!$C$10:$C$224,$C343,'TL10'!$J$10:$J$224),0),
IF('TL10'!$B$229=K$3,SUMIF('TL10'!$C$238:$C$451,$C343,'TL10'!$J$238:$J$451),0),
IF('TL11'!$B$3=K$3,SUMIF('TL11'!$C$10:$C$224,$C343,'TL11'!$J$10:$J$224),0),
IF('TL11'!$B$229=K$3,SUMIF('TL11'!$C$238:$C$451,$C343,'TL11'!$J$238:$J$451),0),
IF('TL12'!$B$3=K$3,SUMIF('TL12'!$C$10:$C$224,$C343,'TL12'!$J$10:$J$224),0),
IF('TL12'!$B$229=K$3,SUMIF('TL12'!$C$238:$C$451,$C343,'TL12'!$J$238:$J$451),0),
IF('TL13'!$B$3=K$3,SUMIF('TL13'!$C$10:$C$224,$C343,'TL13'!$J$10:$J$224),0),
IF('TL13'!$B$229=K$3,SUMIF('TL13'!$C$238:$C$451,$C343,'TL13'!$J$238:$J$451),0),
IF('TL14'!$B$3=K$3,SUMIF('TL14'!$C$10:$C$224,$C343,'TL14'!$J$10:$J$224),0),
IF('TL14'!$B$229=K$3,SUMIF('TL14'!$C$238:$C$451,$C343,'TL14'!$J$238:$J$451),0),
IF('TL15'!$B$3=K$3,SUMIF('TL15'!$C$10:$C$224,$C343,'TL15'!$J$10:$J$224),0),
IF('TL15'!$B$229=K$3,SUMIF('TL15'!$C$238:$C$451,$C343,'TL15'!$J$238:$J$451),0),
IF('TL16'!$B$3=K$3,SUMIF('TL16'!$C$10:$C$224,$C343,'TL16'!$J$10:$J$224),0),
IF('TL16'!$B$229=K$3,SUMIF('TL16'!$C$238:$C$451,$C343,'TL16'!$J$238:$J$451),0),
IF('TL17'!$B$3=K$3,SUMIF('TL17'!$C$10:$C$224,$C343,'TL17'!$J$10:$J$224),0),
IF('TL17'!$B$229=K$3,SUMIF('TL17'!$C$238:$C$451,$C343,'TL17'!$J$238:$J$451),0),
IF('TL18'!$B$3=K$3,SUMIF('TL18'!$C$10:$C$224,$C343,'TL18'!$J$10:$J$224),0),
IF('TL18'!$B$229=K$3,SUMIF('TL18'!$C$238:$C$451,$C343,'TL18'!$J$238:$J$451),0),
IF('TL19'!$B$3=K$3,SUMIF('TL19'!$C$10:$C$224,$C343,'TL19'!$J$10:$J$224),0),
IF('TL19'!$B$229=K$3,SUMIF('TL19'!$C$238:$C$451,$C343,'TL19'!$J$238:$J$451),0)
),0)</f>
        <v/>
      </c>
      <c r="L343" s="9">
        <f>IFERROR(SUM(
IF('TL01'!$B$3=L$3,SUMIF('TL01'!$C$10:$C$224,$C343,'TL01'!$J$10:$J$224),0),
IF('TL01'!$B$229=L$3,SUMIF('TL01'!$C$238:$C$451,$C343,'TL01'!$J$238:$J$451),0),
IF('TL02'!$B$3=L$3,SUMIF('TL02'!$C$10:$C$224,$C343,'TL02'!$J$10:$J$224),0),
IF('TL02'!$B$229=L$3,SUMIF('TL02'!$C$238:$C$451,$C343,'TL02'!$J$238:$J$451),0),
IF('TL03'!$B$3=L$3,SUMIF('TL03'!$C$10:$C$224,$C343,'TL03'!$J$10:$J$224),0),
IF('TL03'!$B$229=L$3,SUMIF('TL03'!$C$238:$C$451,$C343,'TL03'!$J$238:$J$451),0),
IF('TL04'!$B$3=L$3,SUMIF('TL04'!$C$10:$C$224,$C343,'TL04'!$J$10:$J$224),0),
IF('TL04'!$B$229=L$3,SUMIF('TL04'!$C$238:$C$451,$C343,'TL04'!$J$238:$J$451),0),
IF('TL05'!$B$3=L$3,SUMIF('TL05'!$C$10:$C$224,$C343,'TL05'!$J$10:$J$224),0),
IF('TL05'!$B$229=L$3,SUMIF('TL05'!$C$238:$C$451,$C343,'TL05'!$J$238:$J$451),0),
IF('TL06'!$B$3=L$3,SUMIF('TL06'!$C$10:$C$224,$C343,'TL06'!$J$10:$J$224),0),
IF('TL06'!$B$229=L$3,SUMIF('TL06'!$C$238:$C$451,$C343,'TL06'!$J$238:$J$451),0),
IF('TL07'!$B$3=L$3,SUMIF('TL07'!$C$10:$C$224,$C343,'TL07'!$J$10:$J$224),0),
IF('TL07'!$B$229=L$3,SUMIF('TL07'!$C$238:$C$451,$C343,'TL07'!$J$238:$J$451),0),
IF('TL08'!$B$3=L$3,SUMIF('TL08'!$C$10:$C$224,$C343,'TL08'!$J$10:$J$224),0),
IF('TL08'!$B$229=L$3,SUMIF('TL08'!$C$238:$C$451,$C343,'TL08'!$J$238:$J$451),0),
IF('TL09'!$B$3=L$3,SUMIF('TL09'!$C$10:$C$224,$C343,'TL09'!$J$10:$J$224),0),
IF('TL09'!$B$229=L$3,SUMIF('TL09'!$C$238:$C$451,$C343,'TL09'!$J$238:$J$451),0),
IF('TL10'!$B$3=L$3,SUMIF('TL10'!$C$10:$C$224,$C343,'TL10'!$J$10:$J$224),0),
IF('TL10'!$B$229=L$3,SUMIF('TL10'!$C$238:$C$451,$C343,'TL10'!$J$238:$J$451),0),
IF('TL11'!$B$3=L$3,SUMIF('TL11'!$C$10:$C$224,$C343,'TL11'!$J$10:$J$224),0),
IF('TL11'!$B$229=L$3,SUMIF('TL11'!$C$238:$C$451,$C343,'TL11'!$J$238:$J$451),0),
IF('TL12'!$B$3=L$3,SUMIF('TL12'!$C$10:$C$224,$C343,'TL12'!$J$10:$J$224),0),
IF('TL12'!$B$229=L$3,SUMIF('TL12'!$C$238:$C$451,$C343,'TL12'!$J$238:$J$451),0),
IF('TL13'!$B$3=L$3,SUMIF('TL13'!$C$10:$C$224,$C343,'TL13'!$J$10:$J$224),0),
IF('TL13'!$B$229=L$3,SUMIF('TL13'!$C$238:$C$451,$C343,'TL13'!$J$238:$J$451),0),
IF('TL14'!$B$3=L$3,SUMIF('TL14'!$C$10:$C$224,$C343,'TL14'!$J$10:$J$224),0),
IF('TL14'!$B$229=L$3,SUMIF('TL14'!$C$238:$C$451,$C343,'TL14'!$J$238:$J$451),0),
IF('TL15'!$B$3=L$3,SUMIF('TL15'!$C$10:$C$224,$C343,'TL15'!$J$10:$J$224),0),
IF('TL15'!$B$229=L$3,SUMIF('TL15'!$C$238:$C$451,$C343,'TL15'!$J$238:$J$451),0),
IF('TL16'!$B$3=L$3,SUMIF('TL16'!$C$10:$C$224,$C343,'TL16'!$J$10:$J$224),0),
IF('TL16'!$B$229=L$3,SUMIF('TL16'!$C$238:$C$451,$C343,'TL16'!$J$238:$J$451),0),
IF('TL17'!$B$3=L$3,SUMIF('TL17'!$C$10:$C$224,$C343,'TL17'!$J$10:$J$224),0),
IF('TL17'!$B$229=L$3,SUMIF('TL17'!$C$238:$C$451,$C343,'TL17'!$J$238:$J$451),0),
IF('TL18'!$B$3=L$3,SUMIF('TL18'!$C$10:$C$224,$C343,'TL18'!$J$10:$J$224),0),
IF('TL18'!$B$229=L$3,SUMIF('TL18'!$C$238:$C$451,$C343,'TL18'!$J$238:$J$451),0),
IF('TL19'!$B$3=L$3,SUMIF('TL19'!$C$10:$C$224,$C343,'TL19'!$J$10:$J$224),0),
IF('TL19'!$B$229=L$3,SUMIF('TL19'!$C$238:$C$451,$C343,'TL19'!$J$238:$J$451),0)
),0)</f>
        <v/>
      </c>
      <c r="M343" s="9">
        <f>IFERROR(SUM(
IF('TL01'!$B$3=M$3,SUMIF('TL01'!$C$10:$C$224,$C343,'TL01'!$J$10:$J$224),0),
IF('TL01'!$B$229=M$3,SUMIF('TL01'!$C$238:$C$451,$C343,'TL01'!$J$238:$J$451),0),
IF('TL02'!$B$3=M$3,SUMIF('TL02'!$C$10:$C$224,$C343,'TL02'!$J$10:$J$224),0),
IF('TL02'!$B$229=M$3,SUMIF('TL02'!$C$238:$C$451,$C343,'TL02'!$J$238:$J$451),0),
IF('TL03'!$B$3=M$3,SUMIF('TL03'!$C$10:$C$224,$C343,'TL03'!$J$10:$J$224),0),
IF('TL03'!$B$229=M$3,SUMIF('TL03'!$C$238:$C$451,$C343,'TL03'!$J$238:$J$451),0),
IF('TL04'!$B$3=M$3,SUMIF('TL04'!$C$10:$C$224,$C343,'TL04'!$J$10:$J$224),0),
IF('TL04'!$B$229=M$3,SUMIF('TL04'!$C$238:$C$451,$C343,'TL04'!$J$238:$J$451),0),
IF('TL05'!$B$3=M$3,SUMIF('TL05'!$C$10:$C$224,$C343,'TL05'!$J$10:$J$224),0),
IF('TL05'!$B$229=M$3,SUMIF('TL05'!$C$238:$C$451,$C343,'TL05'!$J$238:$J$451),0),
IF('TL06'!$B$3=M$3,SUMIF('TL06'!$C$10:$C$224,$C343,'TL06'!$J$10:$J$224),0),
IF('TL06'!$B$229=M$3,SUMIF('TL06'!$C$238:$C$451,$C343,'TL06'!$J$238:$J$451),0),
IF('TL07'!$B$3=M$3,SUMIF('TL07'!$C$10:$C$224,$C343,'TL07'!$J$10:$J$224),0),
IF('TL07'!$B$229=M$3,SUMIF('TL07'!$C$238:$C$451,$C343,'TL07'!$J$238:$J$451),0),
IF('TL08'!$B$3=M$3,SUMIF('TL08'!$C$10:$C$224,$C343,'TL08'!$J$10:$J$224),0),
IF('TL08'!$B$229=M$3,SUMIF('TL08'!$C$238:$C$451,$C343,'TL08'!$J$238:$J$451),0),
IF('TL09'!$B$3=M$3,SUMIF('TL09'!$C$10:$C$224,$C343,'TL09'!$J$10:$J$224),0),
IF('TL09'!$B$229=M$3,SUMIF('TL09'!$C$238:$C$451,$C343,'TL09'!$J$238:$J$451),0),
IF('TL10'!$B$3=M$3,SUMIF('TL10'!$C$10:$C$224,$C343,'TL10'!$J$10:$J$224),0),
IF('TL10'!$B$229=M$3,SUMIF('TL10'!$C$238:$C$451,$C343,'TL10'!$J$238:$J$451),0),
IF('TL11'!$B$3=M$3,SUMIF('TL11'!$C$10:$C$224,$C343,'TL11'!$J$10:$J$224),0),
IF('TL11'!$B$229=M$3,SUMIF('TL11'!$C$238:$C$451,$C343,'TL11'!$J$238:$J$451),0),
IF('TL12'!$B$3=M$3,SUMIF('TL12'!$C$10:$C$224,$C343,'TL12'!$J$10:$J$224),0),
IF('TL12'!$B$229=M$3,SUMIF('TL12'!$C$238:$C$451,$C343,'TL12'!$J$238:$J$451),0),
IF('TL13'!$B$3=M$3,SUMIF('TL13'!$C$10:$C$224,$C343,'TL13'!$J$10:$J$224),0),
IF('TL13'!$B$229=M$3,SUMIF('TL13'!$C$238:$C$451,$C343,'TL13'!$J$238:$J$451),0),
IF('TL14'!$B$3=M$3,SUMIF('TL14'!$C$10:$C$224,$C343,'TL14'!$J$10:$J$224),0),
IF('TL14'!$B$229=M$3,SUMIF('TL14'!$C$238:$C$451,$C343,'TL14'!$J$238:$J$451),0),
IF('TL15'!$B$3=M$3,SUMIF('TL15'!$C$10:$C$224,$C343,'TL15'!$J$10:$J$224),0),
IF('TL15'!$B$229=M$3,SUMIF('TL15'!$C$238:$C$451,$C343,'TL15'!$J$238:$J$451),0),
IF('TL16'!$B$3=M$3,SUMIF('TL16'!$C$10:$C$224,$C343,'TL16'!$J$10:$J$224),0),
IF('TL16'!$B$229=M$3,SUMIF('TL16'!$C$238:$C$451,$C343,'TL16'!$J$238:$J$451),0),
IF('TL17'!$B$3=M$3,SUMIF('TL17'!$C$10:$C$224,$C343,'TL17'!$J$10:$J$224),0),
IF('TL17'!$B$229=M$3,SUMIF('TL17'!$C$238:$C$451,$C343,'TL17'!$J$238:$J$451),0),
IF('TL18'!$B$3=M$3,SUMIF('TL18'!$C$10:$C$224,$C343,'TL18'!$J$10:$J$224),0),
IF('TL18'!$B$229=M$3,SUMIF('TL18'!$C$238:$C$451,$C343,'TL18'!$J$238:$J$451),0),
IF('TL19'!$B$3=M$3,SUMIF('TL19'!$C$10:$C$224,$C343,'TL19'!$J$10:$J$224),0),
IF('TL19'!$B$229=M$3,SUMIF('TL19'!$C$238:$C$451,$C343,'TL19'!$J$238:$J$451),0)
),0)</f>
        <v/>
      </c>
      <c r="N343" s="9">
        <f>IFERROR(SUM(
IF('TL01'!$B$3=N$3,SUMIF('TL01'!$C$10:$C$224,$C343,'TL01'!$J$10:$J$224),0),
IF('TL01'!$B$229=N$3,SUMIF('TL01'!$C$238:$C$451,$C343,'TL01'!$J$238:$J$451),0),
IF('TL02'!$B$3=N$3,SUMIF('TL02'!$C$10:$C$224,$C343,'TL02'!$J$10:$J$224),0),
IF('TL02'!$B$229=N$3,SUMIF('TL02'!$C$238:$C$451,$C343,'TL02'!$J$238:$J$451),0),
IF('TL03'!$B$3=N$3,SUMIF('TL03'!$C$10:$C$224,$C343,'TL03'!$J$10:$J$224),0),
IF('TL03'!$B$229=N$3,SUMIF('TL03'!$C$238:$C$451,$C343,'TL03'!$J$238:$J$451),0),
IF('TL04'!$B$3=N$3,SUMIF('TL04'!$C$10:$C$224,$C343,'TL04'!$J$10:$J$224),0),
IF('TL04'!$B$229=N$3,SUMIF('TL04'!$C$238:$C$451,$C343,'TL04'!$J$238:$J$451),0),
IF('TL05'!$B$3=N$3,SUMIF('TL05'!$C$10:$C$224,$C343,'TL05'!$J$10:$J$224),0),
IF('TL05'!$B$229=N$3,SUMIF('TL05'!$C$238:$C$451,$C343,'TL05'!$J$238:$J$451),0),
IF('TL06'!$B$3=N$3,SUMIF('TL06'!$C$10:$C$224,$C343,'TL06'!$J$10:$J$224),0),
IF('TL06'!$B$229=N$3,SUMIF('TL06'!$C$238:$C$451,$C343,'TL06'!$J$238:$J$451),0),
IF('TL07'!$B$3=N$3,SUMIF('TL07'!$C$10:$C$224,$C343,'TL07'!$J$10:$J$224),0),
IF('TL07'!$B$229=N$3,SUMIF('TL07'!$C$238:$C$451,$C343,'TL07'!$J$238:$J$451),0),
IF('TL08'!$B$3=N$3,SUMIF('TL08'!$C$10:$C$224,$C343,'TL08'!$J$10:$J$224),0),
IF('TL08'!$B$229=N$3,SUMIF('TL08'!$C$238:$C$451,$C343,'TL08'!$J$238:$J$451),0),
IF('TL09'!$B$3=N$3,SUMIF('TL09'!$C$10:$C$224,$C343,'TL09'!$J$10:$J$224),0),
IF('TL09'!$B$229=N$3,SUMIF('TL09'!$C$238:$C$451,$C343,'TL09'!$J$238:$J$451),0),
IF('TL10'!$B$3=N$3,SUMIF('TL10'!$C$10:$C$224,$C343,'TL10'!$J$10:$J$224),0),
IF('TL10'!$B$229=N$3,SUMIF('TL10'!$C$238:$C$451,$C343,'TL10'!$J$238:$J$451),0),
IF('TL11'!$B$3=N$3,SUMIF('TL11'!$C$10:$C$224,$C343,'TL11'!$J$10:$J$224),0),
IF('TL11'!$B$229=N$3,SUMIF('TL11'!$C$238:$C$451,$C343,'TL11'!$J$238:$J$451),0),
IF('TL12'!$B$3=N$3,SUMIF('TL12'!$C$10:$C$224,$C343,'TL12'!$J$10:$J$224),0),
IF('TL12'!$B$229=N$3,SUMIF('TL12'!$C$238:$C$451,$C343,'TL12'!$J$238:$J$451),0),
IF('TL13'!$B$3=N$3,SUMIF('TL13'!$C$10:$C$224,$C343,'TL13'!$J$10:$J$224),0),
IF('TL13'!$B$229=N$3,SUMIF('TL13'!$C$238:$C$451,$C343,'TL13'!$J$238:$J$451),0),
IF('TL14'!$B$3=N$3,SUMIF('TL14'!$C$10:$C$224,$C343,'TL14'!$J$10:$J$224),0),
IF('TL14'!$B$229=N$3,SUMIF('TL14'!$C$238:$C$451,$C343,'TL14'!$J$238:$J$451),0),
IF('TL15'!$B$3=N$3,SUMIF('TL15'!$C$10:$C$224,$C343,'TL15'!$J$10:$J$224),0),
IF('TL15'!$B$229=N$3,SUMIF('TL15'!$C$238:$C$451,$C343,'TL15'!$J$238:$J$451),0),
IF('TL16'!$B$3=N$3,SUMIF('TL16'!$C$10:$C$224,$C343,'TL16'!$J$10:$J$224),0),
IF('TL16'!$B$229=N$3,SUMIF('TL16'!$C$238:$C$451,$C343,'TL16'!$J$238:$J$451),0),
IF('TL17'!$B$3=N$3,SUMIF('TL17'!$C$10:$C$224,$C343,'TL17'!$J$10:$J$224),0),
IF('TL17'!$B$229=N$3,SUMIF('TL17'!$C$238:$C$451,$C343,'TL17'!$J$238:$J$451),0),
IF('TL18'!$B$3=N$3,SUMIF('TL18'!$C$10:$C$224,$C343,'TL18'!$J$10:$J$224),0),
IF('TL18'!$B$229=N$3,SUMIF('TL18'!$C$238:$C$451,$C343,'TL18'!$J$238:$J$451),0),
IF('TL19'!$B$3=N$3,SUMIF('TL19'!$C$10:$C$224,$C343,'TL19'!$J$10:$J$224),0),
IF('TL19'!$B$229=N$3,SUMIF('TL19'!$C$238:$C$451,$C343,'TL19'!$J$238:$J$451),0)
),0)</f>
        <v/>
      </c>
      <c r="O343" s="9">
        <f>IFERROR(SUM(
IF('TL01'!$B$3=O$3,SUMIF('TL01'!$C$10:$C$224,$C343,'TL01'!$J$10:$J$224),0),
IF('TL01'!$B$229=O$3,SUMIF('TL01'!$C$238:$C$451,$C343,'TL01'!$J$238:$J$451),0),
IF('TL02'!$B$3=O$3,SUMIF('TL02'!$C$10:$C$224,$C343,'TL02'!$J$10:$J$224),0),
IF('TL02'!$B$229=O$3,SUMIF('TL02'!$C$238:$C$451,$C343,'TL02'!$J$238:$J$451),0),
IF('TL03'!$B$3=O$3,SUMIF('TL03'!$C$10:$C$224,$C343,'TL03'!$J$10:$J$224),0),
IF('TL03'!$B$229=O$3,SUMIF('TL03'!$C$238:$C$451,$C343,'TL03'!$J$238:$J$451),0),
IF('TL04'!$B$3=O$3,SUMIF('TL04'!$C$10:$C$224,$C343,'TL04'!$J$10:$J$224),0),
IF('TL04'!$B$229=O$3,SUMIF('TL04'!$C$238:$C$451,$C343,'TL04'!$J$238:$J$451),0),
IF('TL05'!$B$3=O$3,SUMIF('TL05'!$C$10:$C$224,$C343,'TL05'!$J$10:$J$224),0),
IF('TL05'!$B$229=O$3,SUMIF('TL05'!$C$238:$C$451,$C343,'TL05'!$J$238:$J$451),0),
IF('TL06'!$B$3=O$3,SUMIF('TL06'!$C$10:$C$224,$C343,'TL06'!$J$10:$J$224),0),
IF('TL06'!$B$229=O$3,SUMIF('TL06'!$C$238:$C$451,$C343,'TL06'!$J$238:$J$451),0),
IF('TL07'!$B$3=O$3,SUMIF('TL07'!$C$10:$C$224,$C343,'TL07'!$J$10:$J$224),0),
IF('TL07'!$B$229=O$3,SUMIF('TL07'!$C$238:$C$451,$C343,'TL07'!$J$238:$J$451),0),
IF('TL08'!$B$3=O$3,SUMIF('TL08'!$C$10:$C$224,$C343,'TL08'!$J$10:$J$224),0),
IF('TL08'!$B$229=O$3,SUMIF('TL08'!$C$238:$C$451,$C343,'TL08'!$J$238:$J$451),0),
IF('TL09'!$B$3=O$3,SUMIF('TL09'!$C$10:$C$224,$C343,'TL09'!$J$10:$J$224),0),
IF('TL09'!$B$229=O$3,SUMIF('TL09'!$C$238:$C$451,$C343,'TL09'!$J$238:$J$451),0),
IF('TL10'!$B$3=O$3,SUMIF('TL10'!$C$10:$C$224,$C343,'TL10'!$J$10:$J$224),0),
IF('TL10'!$B$229=O$3,SUMIF('TL10'!$C$238:$C$451,$C343,'TL10'!$J$238:$J$451),0),
IF('TL11'!$B$3=O$3,SUMIF('TL11'!$C$10:$C$224,$C343,'TL11'!$J$10:$J$224),0),
IF('TL11'!$B$229=O$3,SUMIF('TL11'!$C$238:$C$451,$C343,'TL11'!$J$238:$J$451),0),
IF('TL12'!$B$3=O$3,SUMIF('TL12'!$C$10:$C$224,$C343,'TL12'!$J$10:$J$224),0),
IF('TL12'!$B$229=O$3,SUMIF('TL12'!$C$238:$C$451,$C343,'TL12'!$J$238:$J$451),0),
IF('TL13'!$B$3=O$3,SUMIF('TL13'!$C$10:$C$224,$C343,'TL13'!$J$10:$J$224),0),
IF('TL13'!$B$229=O$3,SUMIF('TL13'!$C$238:$C$451,$C343,'TL13'!$J$238:$J$451),0),
IF('TL14'!$B$3=O$3,SUMIF('TL14'!$C$10:$C$224,$C343,'TL14'!$J$10:$J$224),0),
IF('TL14'!$B$229=O$3,SUMIF('TL14'!$C$238:$C$451,$C343,'TL14'!$J$238:$J$451),0),
IF('TL15'!$B$3=O$3,SUMIF('TL15'!$C$10:$C$224,$C343,'TL15'!$J$10:$J$224),0),
IF('TL15'!$B$229=O$3,SUMIF('TL15'!$C$238:$C$451,$C343,'TL15'!$J$238:$J$451),0),
IF('TL16'!$B$3=O$3,SUMIF('TL16'!$C$10:$C$224,$C343,'TL16'!$J$10:$J$224),0),
IF('TL16'!$B$229=O$3,SUMIF('TL16'!$C$238:$C$451,$C343,'TL16'!$J$238:$J$451),0),
IF('TL17'!$B$3=O$3,SUMIF('TL17'!$C$10:$C$224,$C343,'TL17'!$J$10:$J$224),0),
IF('TL17'!$B$229=O$3,SUMIF('TL17'!$C$238:$C$451,$C343,'TL17'!$J$238:$J$451),0),
IF('TL18'!$B$3=O$3,SUMIF('TL18'!$C$10:$C$224,$C343,'TL18'!$J$10:$J$224),0),
IF('TL18'!$B$229=O$3,SUMIF('TL18'!$C$238:$C$451,$C343,'TL18'!$J$238:$J$451),0),
IF('TL19'!$B$3=O$3,SUMIF('TL19'!$C$10:$C$224,$C343,'TL19'!$J$10:$J$224),0),
IF('TL19'!$B$229=O$3,SUMIF('TL19'!$C$238:$C$451,$C343,'TL19'!$J$238:$J$451),0)
),0)</f>
        <v/>
      </c>
      <c r="P343" s="9">
        <f>IFERROR(SUM(
IF('TL01'!$B$3=P$3,SUMIF('TL01'!$C$10:$C$224,$C343,'TL01'!$J$10:$J$224),0),
IF('TL01'!$B$229=P$3,SUMIF('TL01'!$C$238:$C$451,$C343,'TL01'!$J$238:$J$451),0),
IF('TL02'!$B$3=P$3,SUMIF('TL02'!$C$10:$C$224,$C343,'TL02'!$J$10:$J$224),0),
IF('TL02'!$B$229=P$3,SUMIF('TL02'!$C$238:$C$451,$C343,'TL02'!$J$238:$J$451),0),
IF('TL03'!$B$3=P$3,SUMIF('TL03'!$C$10:$C$224,$C343,'TL03'!$J$10:$J$224),0),
IF('TL03'!$B$229=P$3,SUMIF('TL03'!$C$238:$C$451,$C343,'TL03'!$J$238:$J$451),0),
IF('TL04'!$B$3=P$3,SUMIF('TL04'!$C$10:$C$224,$C343,'TL04'!$J$10:$J$224),0),
IF('TL04'!$B$229=P$3,SUMIF('TL04'!$C$238:$C$451,$C343,'TL04'!$J$238:$J$451),0),
IF('TL05'!$B$3=P$3,SUMIF('TL05'!$C$10:$C$224,$C343,'TL05'!$J$10:$J$224),0),
IF('TL05'!$B$229=P$3,SUMIF('TL05'!$C$238:$C$451,$C343,'TL05'!$J$238:$J$451),0),
IF('TL06'!$B$3=P$3,SUMIF('TL06'!$C$10:$C$224,$C343,'TL06'!$J$10:$J$224),0),
IF('TL06'!$B$229=P$3,SUMIF('TL06'!$C$238:$C$451,$C343,'TL06'!$J$238:$J$451),0),
IF('TL07'!$B$3=P$3,SUMIF('TL07'!$C$10:$C$224,$C343,'TL07'!$J$10:$J$224),0),
IF('TL07'!$B$229=P$3,SUMIF('TL07'!$C$238:$C$451,$C343,'TL07'!$J$238:$J$451),0),
IF('TL08'!$B$3=P$3,SUMIF('TL08'!$C$10:$C$224,$C343,'TL08'!$J$10:$J$224),0),
IF('TL08'!$B$229=P$3,SUMIF('TL08'!$C$238:$C$451,$C343,'TL08'!$J$238:$J$451),0),
IF('TL09'!$B$3=P$3,SUMIF('TL09'!$C$10:$C$224,$C343,'TL09'!$J$10:$J$224),0),
IF('TL09'!$B$229=P$3,SUMIF('TL09'!$C$238:$C$451,$C343,'TL09'!$J$238:$J$451),0),
IF('TL10'!$B$3=P$3,SUMIF('TL10'!$C$10:$C$224,$C343,'TL10'!$J$10:$J$224),0),
IF('TL10'!$B$229=P$3,SUMIF('TL10'!$C$238:$C$451,$C343,'TL10'!$J$238:$J$451),0),
IF('TL11'!$B$3=P$3,SUMIF('TL11'!$C$10:$C$224,$C343,'TL11'!$J$10:$J$224),0),
IF('TL11'!$B$229=P$3,SUMIF('TL11'!$C$238:$C$451,$C343,'TL11'!$J$238:$J$451),0),
IF('TL12'!$B$3=P$3,SUMIF('TL12'!$C$10:$C$224,$C343,'TL12'!$J$10:$J$224),0),
IF('TL12'!$B$229=P$3,SUMIF('TL12'!$C$238:$C$451,$C343,'TL12'!$J$238:$J$451),0),
IF('TL13'!$B$3=P$3,SUMIF('TL13'!$C$10:$C$224,$C343,'TL13'!$J$10:$J$224),0),
IF('TL13'!$B$229=P$3,SUMIF('TL13'!$C$238:$C$451,$C343,'TL13'!$J$238:$J$451),0),
IF('TL14'!$B$3=P$3,SUMIF('TL14'!$C$10:$C$224,$C343,'TL14'!$J$10:$J$224),0),
IF('TL14'!$B$229=P$3,SUMIF('TL14'!$C$238:$C$451,$C343,'TL14'!$J$238:$J$451),0),
IF('TL15'!$B$3=P$3,SUMIF('TL15'!$C$10:$C$224,$C343,'TL15'!$J$10:$J$224),0),
IF('TL15'!$B$229=P$3,SUMIF('TL15'!$C$238:$C$451,$C343,'TL15'!$J$238:$J$451),0),
IF('TL16'!$B$3=P$3,SUMIF('TL16'!$C$10:$C$224,$C343,'TL16'!$J$10:$J$224),0),
IF('TL16'!$B$229=P$3,SUMIF('TL16'!$C$238:$C$451,$C343,'TL16'!$J$238:$J$451),0),
IF('TL17'!$B$3=P$3,SUMIF('TL17'!$C$10:$C$224,$C343,'TL17'!$J$10:$J$224),0),
IF('TL17'!$B$229=P$3,SUMIF('TL17'!$C$238:$C$451,$C343,'TL17'!$J$238:$J$451),0),
IF('TL18'!$B$3=P$3,SUMIF('TL18'!$C$10:$C$224,$C343,'TL18'!$J$10:$J$224),0),
IF('TL18'!$B$229=P$3,SUMIF('TL18'!$C$238:$C$451,$C343,'TL18'!$J$238:$J$451),0),
IF('TL19'!$B$3=P$3,SUMIF('TL19'!$C$10:$C$224,$C343,'TL19'!$J$10:$J$224),0),
IF('TL19'!$B$229=P$3,SUMIF('TL19'!$C$238:$C$451,$C343,'TL19'!$J$238:$J$451),0)
),0)</f>
        <v/>
      </c>
      <c r="Q343" s="9">
        <f>IFERROR(SUM(
IF('TL01'!$B$3=Q$3,SUMIF('TL01'!$C$10:$C$224,$C343,'TL01'!$J$10:$J$224),0),
IF('TL01'!$B$229=Q$3,SUMIF('TL01'!$C$238:$C$451,$C343,'TL01'!$J$238:$J$451),0),
IF('TL02'!$B$3=Q$3,SUMIF('TL02'!$C$10:$C$224,$C343,'TL02'!$J$10:$J$224),0),
IF('TL02'!$B$229=Q$3,SUMIF('TL02'!$C$238:$C$451,$C343,'TL02'!$J$238:$J$451),0),
IF('TL03'!$B$3=Q$3,SUMIF('TL03'!$C$10:$C$224,$C343,'TL03'!$J$10:$J$224),0),
IF('TL03'!$B$229=Q$3,SUMIF('TL03'!$C$238:$C$451,$C343,'TL03'!$J$238:$J$451),0),
IF('TL04'!$B$3=Q$3,SUMIF('TL04'!$C$10:$C$224,$C343,'TL04'!$J$10:$J$224),0),
IF('TL04'!$B$229=Q$3,SUMIF('TL04'!$C$238:$C$451,$C343,'TL04'!$J$238:$J$451),0),
IF('TL05'!$B$3=Q$3,SUMIF('TL05'!$C$10:$C$224,$C343,'TL05'!$J$10:$J$224),0),
IF('TL05'!$B$229=Q$3,SUMIF('TL05'!$C$238:$C$451,$C343,'TL05'!$J$238:$J$451),0),
IF('TL06'!$B$3=Q$3,SUMIF('TL06'!$C$10:$C$224,$C343,'TL06'!$J$10:$J$224),0),
IF('TL06'!$B$229=Q$3,SUMIF('TL06'!$C$238:$C$451,$C343,'TL06'!$J$238:$J$451),0),
IF('TL07'!$B$3=Q$3,SUMIF('TL07'!$C$10:$C$224,$C343,'TL07'!$J$10:$J$224),0),
IF('TL07'!$B$229=Q$3,SUMIF('TL07'!$C$238:$C$451,$C343,'TL07'!$J$238:$J$451),0),
IF('TL08'!$B$3=Q$3,SUMIF('TL08'!$C$10:$C$224,$C343,'TL08'!$J$10:$J$224),0),
IF('TL08'!$B$229=Q$3,SUMIF('TL08'!$C$238:$C$451,$C343,'TL08'!$J$238:$J$451),0),
IF('TL09'!$B$3=Q$3,SUMIF('TL09'!$C$10:$C$224,$C343,'TL09'!$J$10:$J$224),0),
IF('TL09'!$B$229=Q$3,SUMIF('TL09'!$C$238:$C$451,$C343,'TL09'!$J$238:$J$451),0),
IF('TL10'!$B$3=Q$3,SUMIF('TL10'!$C$10:$C$224,$C343,'TL10'!$J$10:$J$224),0),
IF('TL10'!$B$229=Q$3,SUMIF('TL10'!$C$238:$C$451,$C343,'TL10'!$J$238:$J$451),0),
IF('TL11'!$B$3=Q$3,SUMIF('TL11'!$C$10:$C$224,$C343,'TL11'!$J$10:$J$224),0),
IF('TL11'!$B$229=Q$3,SUMIF('TL11'!$C$238:$C$451,$C343,'TL11'!$J$238:$J$451),0),
IF('TL12'!$B$3=Q$3,SUMIF('TL12'!$C$10:$C$224,$C343,'TL12'!$J$10:$J$224),0),
IF('TL12'!$B$229=Q$3,SUMIF('TL12'!$C$238:$C$451,$C343,'TL12'!$J$238:$J$451),0),
IF('TL13'!$B$3=Q$3,SUMIF('TL13'!$C$10:$C$224,$C343,'TL13'!$J$10:$J$224),0),
IF('TL13'!$B$229=Q$3,SUMIF('TL13'!$C$238:$C$451,$C343,'TL13'!$J$238:$J$451),0),
IF('TL14'!$B$3=Q$3,SUMIF('TL14'!$C$10:$C$224,$C343,'TL14'!$J$10:$J$224),0),
IF('TL14'!$B$229=Q$3,SUMIF('TL14'!$C$238:$C$451,$C343,'TL14'!$J$238:$J$451),0),
IF('TL15'!$B$3=Q$3,SUMIF('TL15'!$C$10:$C$224,$C343,'TL15'!$J$10:$J$224),0),
IF('TL15'!$B$229=Q$3,SUMIF('TL15'!$C$238:$C$451,$C343,'TL15'!$J$238:$J$451),0),
IF('TL16'!$B$3=Q$3,SUMIF('TL16'!$C$10:$C$224,$C343,'TL16'!$J$10:$J$224),0),
IF('TL16'!$B$229=Q$3,SUMIF('TL16'!$C$238:$C$451,$C343,'TL16'!$J$238:$J$451),0),
IF('TL17'!$B$3=Q$3,SUMIF('TL17'!$C$10:$C$224,$C343,'TL17'!$J$10:$J$224),0),
IF('TL17'!$B$229=Q$3,SUMIF('TL17'!$C$238:$C$451,$C343,'TL17'!$J$238:$J$451),0),
IF('TL18'!$B$3=Q$3,SUMIF('TL18'!$C$10:$C$224,$C343,'TL18'!$J$10:$J$224),0),
IF('TL18'!$B$229=Q$3,SUMIF('TL18'!$C$238:$C$451,$C343,'TL18'!$J$238:$J$451),0),
IF('TL19'!$B$3=Q$3,SUMIF('TL19'!$C$10:$C$224,$C343,'TL19'!$J$10:$J$224),0),
IF('TL19'!$B$229=Q$3,SUMIF('TL19'!$C$238:$C$451,$C343,'TL19'!$J$238:$J$451),0)
),0)</f>
        <v/>
      </c>
      <c r="R343" s="9">
        <f>IFERROR(
SUM(
SUMIF('TL01'!C:C,C343,'TL01'!J:J),
SUMIF('TL02'!C:C,C343,'TL02'!J:J),
SUMIF('TL03'!C:C,C343,'TL03'!J:J),
SUMIF('TL04'!C:C,C343,'TL04'!J:J),
SUMIF('TL05'!C:C,C343,'TL05'!J:J),
SUMIF('TL06'!C:C,C343,'TL06'!J:J),
SUMIF('TL07'!C:C,C343,'TL07'!J:J),
SUMIF('TL08'!C:C,C343,'TL08'!J:J),
SUMIF('TL09'!C:C,C343,'TL09'!J:J),
SUMIF('TL10'!C:C,C343,'TL10'!J:J),
SUMIF('TL11'!C:C,C343,'TL11'!J:J),
SUMIF('TL12'!C:C,C343,'TL12'!J:J),
SUMIF('TL13'!C:C,C343,'TL13'!J:J),
SUMIF('TL14'!C:C,C343,'TL14'!J:J),
SUMIF('TL15'!C:C,C343,'TL15'!J:J),
SUMIF('TL16'!C:C,C343,'TL16'!J:J),
SUMIF('TL17'!C:C,C343,'TL17'!J:J),
SUMIF('TL18'!C:C,C343,'TL18'!J:J),SUMIF('TL19'!C:C,C343,'TL19'!J:J))
,0)</f>
        <v/>
      </c>
      <c r="S343" s="17">
        <f>IFERROR(__xludf.DUMMYFUNCTION("IFERROR(VLOOKUP(C343,
IMPORTRANGE(""1wULbzX32WdYsx-lj2U3uUNBBe2INVIRDtcK0d-Dvl90"",
""26-27!C:G""),
5,
FALSE),
"""")"),"")</f>
        <v/>
      </c>
      <c r="T343" s="9" t="n"/>
      <c r="U343" s="92">
        <f>MAX(0,R343-T343)</f>
        <v/>
      </c>
      <c r="V343" s="93">
        <f>U343*S343</f>
        <v/>
      </c>
    </row>
    <row r="344" hidden="1" ht="15.75" customHeight="1" s="297">
      <c r="A344" s="4" t="n"/>
      <c r="B344" s="125" t="inlineStr">
        <is>
          <t>SEMENTE</t>
        </is>
      </c>
      <c r="C344" s="4" t="inlineStr">
        <is>
          <t>TMG INGÁ I2X 6.9</t>
        </is>
      </c>
      <c r="D344" s="20" t="n"/>
      <c r="E344" s="9" t="n"/>
      <c r="F344" s="4" t="inlineStr">
        <is>
          <t>5MM</t>
        </is>
      </c>
      <c r="G344" s="90">
        <f>HYPERLINK("https://www.google.com/search?q=" &amp; C344 &amp; "+bula+agrofit+pdf", "📄 Ver bula")</f>
        <v/>
      </c>
      <c r="H344" s="9" t="n"/>
      <c r="I344" s="1" t="inlineStr">
        <is>
          <t>BAG</t>
        </is>
      </c>
      <c r="J344" s="9">
        <f>IFERROR(SUM(
IF('TL01'!$B$3=J$3,SUMIF('TL01'!$C$10:$C$224,$C344,'TL01'!$J$10:$J$224),0),
IF('TL01'!$B$229=J$3,SUMIF('TL01'!$C$238:$C$451,$C344,'TL01'!$J$238:$J$451),0),
IF('TL02'!$B$3=J$3,SUMIF('TL02'!$C$10:$C$224,$C344,'TL02'!$J$10:$J$224),0),
IF('TL02'!$B$229=J$3,SUMIF('TL02'!$C$238:$C$451,$C344,'TL02'!$J$238:$J$451),0),
IF('TL03'!$B$3=J$3,SUMIF('TL03'!$C$10:$C$224,$C344,'TL03'!$J$10:$J$224),0),
IF('TL03'!$B$229=J$3,SUMIF('TL03'!$C$238:$C$451,$C344,'TL03'!$J$238:$J$451),0),
IF('TL04'!$B$3=J$3,SUMIF('TL04'!$C$10:$C$224,$C344,'TL04'!$J$10:$J$224),0),
IF('TL04'!$B$229=J$3,SUMIF('TL04'!$C$238:$C$451,$C344,'TL04'!$J$238:$J$451),0),
IF('TL05'!$B$3=J$3,SUMIF('TL05'!$C$10:$C$224,$C344,'TL05'!$J$10:$J$224),0),
IF('TL05'!$B$229=J$3,SUMIF('TL05'!$C$238:$C$451,$C344,'TL05'!$J$238:$J$451),0),
IF('TL06'!$B$3=J$3,SUMIF('TL06'!$C$10:$C$224,$C344,'TL06'!$J$10:$J$224),0),
IF('TL06'!$B$229=J$3,SUMIF('TL06'!$C$238:$C$451,$C344,'TL06'!$J$238:$J$451),0),
IF('TL07'!$B$3=J$3,SUMIF('TL07'!$C$10:$C$224,$C344,'TL07'!$J$10:$J$224),0),
IF('TL07'!$B$229=J$3,SUMIF('TL07'!$C$238:$C$451,$C344,'TL07'!$J$238:$J$451),0),
IF('TL08'!$B$3=J$3,SUMIF('TL08'!$C$10:$C$224,$C344,'TL08'!$J$10:$J$224),0),
IF('TL08'!$B$229=J$3,SUMIF('TL08'!$C$238:$C$451,$C344,'TL08'!$J$238:$J$451),0),
IF('TL09'!$B$3=J$3,SUMIF('TL09'!$C$10:$C$224,$C344,'TL09'!$J$10:$J$224),0),
IF('TL09'!$B$229=J$3,SUMIF('TL09'!$C$238:$C$451,$C344,'TL09'!$J$238:$J$451),0),
IF('TL10'!$B$3=J$3,SUMIF('TL10'!$C$10:$C$224,$C344,'TL10'!$J$10:$J$224),0),
IF('TL10'!$B$229=J$3,SUMIF('TL10'!$C$238:$C$451,$C344,'TL10'!$J$238:$J$451),0),
IF('TL11'!$B$3=J$3,SUMIF('TL11'!$C$10:$C$224,$C344,'TL11'!$J$10:$J$224),0),
IF('TL11'!$B$229=J$3,SUMIF('TL11'!$C$238:$C$451,$C344,'TL11'!$J$238:$J$451),0),
IF('TL12'!$B$3=J$3,SUMIF('TL12'!$C$10:$C$224,$C344,'TL12'!$J$10:$J$224),0),
IF('TL12'!$B$229=J$3,SUMIF('TL12'!$C$238:$C$451,$C344,'TL12'!$J$238:$J$451),0),
IF('TL13'!$B$3=J$3,SUMIF('TL13'!$C$10:$C$224,$C344,'TL13'!$J$10:$J$224),0),
IF('TL13'!$B$229=J$3,SUMIF('TL13'!$C$238:$C$451,$C344,'TL13'!$J$238:$J$451),0),
IF('TL14'!$B$3=J$3,SUMIF('TL14'!$C$10:$C$224,$C344,'TL14'!$J$10:$J$224),0),
IF('TL14'!$B$229=J$3,SUMIF('TL14'!$C$238:$C$451,$C344,'TL14'!$J$238:$J$451),0),
IF('TL15'!$B$3=J$3,SUMIF('TL15'!$C$10:$C$224,$C344,'TL15'!$J$10:$J$224),0),
IF('TL15'!$B$229=J$3,SUMIF('TL15'!$C$238:$C$451,$C344,'TL15'!$J$238:$J$451),0),
IF('TL16'!$B$3=J$3,SUMIF('TL16'!$C$10:$C$224,$C344,'TL16'!$J$10:$J$224),0),
IF('TL16'!$B$229=J$3,SUMIF('TL16'!$C$238:$C$451,$C344,'TL16'!$J$238:$J$451),0),
IF('TL17'!$B$3=J$3,SUMIF('TL17'!$C$10:$C$224,$C344,'TL17'!$J$10:$J$224),0),
IF('TL17'!$B$229=J$3,SUMIF('TL17'!$C$238:$C$451,$C344,'TL17'!$J$238:$J$451),0),
IF('TL18'!$B$3=J$3,SUMIF('TL18'!$C$10:$C$224,$C344,'TL18'!$J$10:$J$224),0),
IF('TL18'!$B$229=J$3,SUMIF('TL18'!$C$238:$C$451,$C344,'TL18'!$J$238:$J$451),0),
IF('TL19'!$B$3=J$3,SUMIF('TL19'!$C$10:$C$224,$C344,'TL19'!$J$10:$J$224),0),
IF('TL19'!$B$229=J$3,SUMIF('TL19'!$C$238:$C$451,$C344,'TL19'!$J$238:$J$451),0)
),0)</f>
        <v/>
      </c>
      <c r="K344" s="9">
        <f>IFERROR(SUM(
IF('TL01'!$B$3=K$3,SUMIF('TL01'!$C$10:$C$224,$C344,'TL01'!$J$10:$J$224),0),
IF('TL01'!$B$229=K$3,SUMIF('TL01'!$C$238:$C$451,$C344,'TL01'!$J$238:$J$451),0),
IF('TL02'!$B$3=K$3,SUMIF('TL02'!$C$10:$C$224,$C344,'TL02'!$J$10:$J$224),0),
IF('TL02'!$B$229=K$3,SUMIF('TL02'!$C$238:$C$451,$C344,'TL02'!$J$238:$J$451),0),
IF('TL03'!$B$3=K$3,SUMIF('TL03'!$C$10:$C$224,$C344,'TL03'!$J$10:$J$224),0),
IF('TL03'!$B$229=K$3,SUMIF('TL03'!$C$238:$C$451,$C344,'TL03'!$J$238:$J$451),0),
IF('TL04'!$B$3=K$3,SUMIF('TL04'!$C$10:$C$224,$C344,'TL04'!$J$10:$J$224),0),
IF('TL04'!$B$229=K$3,SUMIF('TL04'!$C$238:$C$451,$C344,'TL04'!$J$238:$J$451),0),
IF('TL05'!$B$3=K$3,SUMIF('TL05'!$C$10:$C$224,$C344,'TL05'!$J$10:$J$224),0),
IF('TL05'!$B$229=K$3,SUMIF('TL05'!$C$238:$C$451,$C344,'TL05'!$J$238:$J$451),0),
IF('TL06'!$B$3=K$3,SUMIF('TL06'!$C$10:$C$224,$C344,'TL06'!$J$10:$J$224),0),
IF('TL06'!$B$229=K$3,SUMIF('TL06'!$C$238:$C$451,$C344,'TL06'!$J$238:$J$451),0),
IF('TL07'!$B$3=K$3,SUMIF('TL07'!$C$10:$C$224,$C344,'TL07'!$J$10:$J$224),0),
IF('TL07'!$B$229=K$3,SUMIF('TL07'!$C$238:$C$451,$C344,'TL07'!$J$238:$J$451),0),
IF('TL08'!$B$3=K$3,SUMIF('TL08'!$C$10:$C$224,$C344,'TL08'!$J$10:$J$224),0),
IF('TL08'!$B$229=K$3,SUMIF('TL08'!$C$238:$C$451,$C344,'TL08'!$J$238:$J$451),0),
IF('TL09'!$B$3=K$3,SUMIF('TL09'!$C$10:$C$224,$C344,'TL09'!$J$10:$J$224),0),
IF('TL09'!$B$229=K$3,SUMIF('TL09'!$C$238:$C$451,$C344,'TL09'!$J$238:$J$451),0),
IF('TL10'!$B$3=K$3,SUMIF('TL10'!$C$10:$C$224,$C344,'TL10'!$J$10:$J$224),0),
IF('TL10'!$B$229=K$3,SUMIF('TL10'!$C$238:$C$451,$C344,'TL10'!$J$238:$J$451),0),
IF('TL11'!$B$3=K$3,SUMIF('TL11'!$C$10:$C$224,$C344,'TL11'!$J$10:$J$224),0),
IF('TL11'!$B$229=K$3,SUMIF('TL11'!$C$238:$C$451,$C344,'TL11'!$J$238:$J$451),0),
IF('TL12'!$B$3=K$3,SUMIF('TL12'!$C$10:$C$224,$C344,'TL12'!$J$10:$J$224),0),
IF('TL12'!$B$229=K$3,SUMIF('TL12'!$C$238:$C$451,$C344,'TL12'!$J$238:$J$451),0),
IF('TL13'!$B$3=K$3,SUMIF('TL13'!$C$10:$C$224,$C344,'TL13'!$J$10:$J$224),0),
IF('TL13'!$B$229=K$3,SUMIF('TL13'!$C$238:$C$451,$C344,'TL13'!$J$238:$J$451),0),
IF('TL14'!$B$3=K$3,SUMIF('TL14'!$C$10:$C$224,$C344,'TL14'!$J$10:$J$224),0),
IF('TL14'!$B$229=K$3,SUMIF('TL14'!$C$238:$C$451,$C344,'TL14'!$J$238:$J$451),0),
IF('TL15'!$B$3=K$3,SUMIF('TL15'!$C$10:$C$224,$C344,'TL15'!$J$10:$J$224),0),
IF('TL15'!$B$229=K$3,SUMIF('TL15'!$C$238:$C$451,$C344,'TL15'!$J$238:$J$451),0),
IF('TL16'!$B$3=K$3,SUMIF('TL16'!$C$10:$C$224,$C344,'TL16'!$J$10:$J$224),0),
IF('TL16'!$B$229=K$3,SUMIF('TL16'!$C$238:$C$451,$C344,'TL16'!$J$238:$J$451),0),
IF('TL17'!$B$3=K$3,SUMIF('TL17'!$C$10:$C$224,$C344,'TL17'!$J$10:$J$224),0),
IF('TL17'!$B$229=K$3,SUMIF('TL17'!$C$238:$C$451,$C344,'TL17'!$J$238:$J$451),0),
IF('TL18'!$B$3=K$3,SUMIF('TL18'!$C$10:$C$224,$C344,'TL18'!$J$10:$J$224),0),
IF('TL18'!$B$229=K$3,SUMIF('TL18'!$C$238:$C$451,$C344,'TL18'!$J$238:$J$451),0),
IF('TL19'!$B$3=K$3,SUMIF('TL19'!$C$10:$C$224,$C344,'TL19'!$J$10:$J$224),0),
IF('TL19'!$B$229=K$3,SUMIF('TL19'!$C$238:$C$451,$C344,'TL19'!$J$238:$J$451),0)
),0)</f>
        <v/>
      </c>
      <c r="L344" s="9">
        <f>IFERROR(SUM(
IF('TL01'!$B$3=L$3,SUMIF('TL01'!$C$10:$C$224,$C344,'TL01'!$J$10:$J$224),0),
IF('TL01'!$B$229=L$3,SUMIF('TL01'!$C$238:$C$451,$C344,'TL01'!$J$238:$J$451),0),
IF('TL02'!$B$3=L$3,SUMIF('TL02'!$C$10:$C$224,$C344,'TL02'!$J$10:$J$224),0),
IF('TL02'!$B$229=L$3,SUMIF('TL02'!$C$238:$C$451,$C344,'TL02'!$J$238:$J$451),0),
IF('TL03'!$B$3=L$3,SUMIF('TL03'!$C$10:$C$224,$C344,'TL03'!$J$10:$J$224),0),
IF('TL03'!$B$229=L$3,SUMIF('TL03'!$C$238:$C$451,$C344,'TL03'!$J$238:$J$451),0),
IF('TL04'!$B$3=L$3,SUMIF('TL04'!$C$10:$C$224,$C344,'TL04'!$J$10:$J$224),0),
IF('TL04'!$B$229=L$3,SUMIF('TL04'!$C$238:$C$451,$C344,'TL04'!$J$238:$J$451),0),
IF('TL05'!$B$3=L$3,SUMIF('TL05'!$C$10:$C$224,$C344,'TL05'!$J$10:$J$224),0),
IF('TL05'!$B$229=L$3,SUMIF('TL05'!$C$238:$C$451,$C344,'TL05'!$J$238:$J$451),0),
IF('TL06'!$B$3=L$3,SUMIF('TL06'!$C$10:$C$224,$C344,'TL06'!$J$10:$J$224),0),
IF('TL06'!$B$229=L$3,SUMIF('TL06'!$C$238:$C$451,$C344,'TL06'!$J$238:$J$451),0),
IF('TL07'!$B$3=L$3,SUMIF('TL07'!$C$10:$C$224,$C344,'TL07'!$J$10:$J$224),0),
IF('TL07'!$B$229=L$3,SUMIF('TL07'!$C$238:$C$451,$C344,'TL07'!$J$238:$J$451),0),
IF('TL08'!$B$3=L$3,SUMIF('TL08'!$C$10:$C$224,$C344,'TL08'!$J$10:$J$224),0),
IF('TL08'!$B$229=L$3,SUMIF('TL08'!$C$238:$C$451,$C344,'TL08'!$J$238:$J$451),0),
IF('TL09'!$B$3=L$3,SUMIF('TL09'!$C$10:$C$224,$C344,'TL09'!$J$10:$J$224),0),
IF('TL09'!$B$229=L$3,SUMIF('TL09'!$C$238:$C$451,$C344,'TL09'!$J$238:$J$451),0),
IF('TL10'!$B$3=L$3,SUMIF('TL10'!$C$10:$C$224,$C344,'TL10'!$J$10:$J$224),0),
IF('TL10'!$B$229=L$3,SUMIF('TL10'!$C$238:$C$451,$C344,'TL10'!$J$238:$J$451),0),
IF('TL11'!$B$3=L$3,SUMIF('TL11'!$C$10:$C$224,$C344,'TL11'!$J$10:$J$224),0),
IF('TL11'!$B$229=L$3,SUMIF('TL11'!$C$238:$C$451,$C344,'TL11'!$J$238:$J$451),0),
IF('TL12'!$B$3=L$3,SUMIF('TL12'!$C$10:$C$224,$C344,'TL12'!$J$10:$J$224),0),
IF('TL12'!$B$229=L$3,SUMIF('TL12'!$C$238:$C$451,$C344,'TL12'!$J$238:$J$451),0),
IF('TL13'!$B$3=L$3,SUMIF('TL13'!$C$10:$C$224,$C344,'TL13'!$J$10:$J$224),0),
IF('TL13'!$B$229=L$3,SUMIF('TL13'!$C$238:$C$451,$C344,'TL13'!$J$238:$J$451),0),
IF('TL14'!$B$3=L$3,SUMIF('TL14'!$C$10:$C$224,$C344,'TL14'!$J$10:$J$224),0),
IF('TL14'!$B$229=L$3,SUMIF('TL14'!$C$238:$C$451,$C344,'TL14'!$J$238:$J$451),0),
IF('TL15'!$B$3=L$3,SUMIF('TL15'!$C$10:$C$224,$C344,'TL15'!$J$10:$J$224),0),
IF('TL15'!$B$229=L$3,SUMIF('TL15'!$C$238:$C$451,$C344,'TL15'!$J$238:$J$451),0),
IF('TL16'!$B$3=L$3,SUMIF('TL16'!$C$10:$C$224,$C344,'TL16'!$J$10:$J$224),0),
IF('TL16'!$B$229=L$3,SUMIF('TL16'!$C$238:$C$451,$C344,'TL16'!$J$238:$J$451),0),
IF('TL17'!$B$3=L$3,SUMIF('TL17'!$C$10:$C$224,$C344,'TL17'!$J$10:$J$224),0),
IF('TL17'!$B$229=L$3,SUMIF('TL17'!$C$238:$C$451,$C344,'TL17'!$J$238:$J$451),0),
IF('TL18'!$B$3=L$3,SUMIF('TL18'!$C$10:$C$224,$C344,'TL18'!$J$10:$J$224),0),
IF('TL18'!$B$229=L$3,SUMIF('TL18'!$C$238:$C$451,$C344,'TL18'!$J$238:$J$451),0),
IF('TL19'!$B$3=L$3,SUMIF('TL19'!$C$10:$C$224,$C344,'TL19'!$J$10:$J$224),0),
IF('TL19'!$B$229=L$3,SUMIF('TL19'!$C$238:$C$451,$C344,'TL19'!$J$238:$J$451),0)
),0)</f>
        <v/>
      </c>
      <c r="M344" s="9">
        <f>IFERROR(SUM(
IF('TL01'!$B$3=M$3,SUMIF('TL01'!$C$10:$C$224,$C344,'TL01'!$J$10:$J$224),0),
IF('TL01'!$B$229=M$3,SUMIF('TL01'!$C$238:$C$451,$C344,'TL01'!$J$238:$J$451),0),
IF('TL02'!$B$3=M$3,SUMIF('TL02'!$C$10:$C$224,$C344,'TL02'!$J$10:$J$224),0),
IF('TL02'!$B$229=M$3,SUMIF('TL02'!$C$238:$C$451,$C344,'TL02'!$J$238:$J$451),0),
IF('TL03'!$B$3=M$3,SUMIF('TL03'!$C$10:$C$224,$C344,'TL03'!$J$10:$J$224),0),
IF('TL03'!$B$229=M$3,SUMIF('TL03'!$C$238:$C$451,$C344,'TL03'!$J$238:$J$451),0),
IF('TL04'!$B$3=M$3,SUMIF('TL04'!$C$10:$C$224,$C344,'TL04'!$J$10:$J$224),0),
IF('TL04'!$B$229=M$3,SUMIF('TL04'!$C$238:$C$451,$C344,'TL04'!$J$238:$J$451),0),
IF('TL05'!$B$3=M$3,SUMIF('TL05'!$C$10:$C$224,$C344,'TL05'!$J$10:$J$224),0),
IF('TL05'!$B$229=M$3,SUMIF('TL05'!$C$238:$C$451,$C344,'TL05'!$J$238:$J$451),0),
IF('TL06'!$B$3=M$3,SUMIF('TL06'!$C$10:$C$224,$C344,'TL06'!$J$10:$J$224),0),
IF('TL06'!$B$229=M$3,SUMIF('TL06'!$C$238:$C$451,$C344,'TL06'!$J$238:$J$451),0),
IF('TL07'!$B$3=M$3,SUMIF('TL07'!$C$10:$C$224,$C344,'TL07'!$J$10:$J$224),0),
IF('TL07'!$B$229=M$3,SUMIF('TL07'!$C$238:$C$451,$C344,'TL07'!$J$238:$J$451),0),
IF('TL08'!$B$3=M$3,SUMIF('TL08'!$C$10:$C$224,$C344,'TL08'!$J$10:$J$224),0),
IF('TL08'!$B$229=M$3,SUMIF('TL08'!$C$238:$C$451,$C344,'TL08'!$J$238:$J$451),0),
IF('TL09'!$B$3=M$3,SUMIF('TL09'!$C$10:$C$224,$C344,'TL09'!$J$10:$J$224),0),
IF('TL09'!$B$229=M$3,SUMIF('TL09'!$C$238:$C$451,$C344,'TL09'!$J$238:$J$451),0),
IF('TL10'!$B$3=M$3,SUMIF('TL10'!$C$10:$C$224,$C344,'TL10'!$J$10:$J$224),0),
IF('TL10'!$B$229=M$3,SUMIF('TL10'!$C$238:$C$451,$C344,'TL10'!$J$238:$J$451),0),
IF('TL11'!$B$3=M$3,SUMIF('TL11'!$C$10:$C$224,$C344,'TL11'!$J$10:$J$224),0),
IF('TL11'!$B$229=M$3,SUMIF('TL11'!$C$238:$C$451,$C344,'TL11'!$J$238:$J$451),0),
IF('TL12'!$B$3=M$3,SUMIF('TL12'!$C$10:$C$224,$C344,'TL12'!$J$10:$J$224),0),
IF('TL12'!$B$229=M$3,SUMIF('TL12'!$C$238:$C$451,$C344,'TL12'!$J$238:$J$451),0),
IF('TL13'!$B$3=M$3,SUMIF('TL13'!$C$10:$C$224,$C344,'TL13'!$J$10:$J$224),0),
IF('TL13'!$B$229=M$3,SUMIF('TL13'!$C$238:$C$451,$C344,'TL13'!$J$238:$J$451),0),
IF('TL14'!$B$3=M$3,SUMIF('TL14'!$C$10:$C$224,$C344,'TL14'!$J$10:$J$224),0),
IF('TL14'!$B$229=M$3,SUMIF('TL14'!$C$238:$C$451,$C344,'TL14'!$J$238:$J$451),0),
IF('TL15'!$B$3=M$3,SUMIF('TL15'!$C$10:$C$224,$C344,'TL15'!$J$10:$J$224),0),
IF('TL15'!$B$229=M$3,SUMIF('TL15'!$C$238:$C$451,$C344,'TL15'!$J$238:$J$451),0),
IF('TL16'!$B$3=M$3,SUMIF('TL16'!$C$10:$C$224,$C344,'TL16'!$J$10:$J$224),0),
IF('TL16'!$B$229=M$3,SUMIF('TL16'!$C$238:$C$451,$C344,'TL16'!$J$238:$J$451),0),
IF('TL17'!$B$3=M$3,SUMIF('TL17'!$C$10:$C$224,$C344,'TL17'!$J$10:$J$224),0),
IF('TL17'!$B$229=M$3,SUMIF('TL17'!$C$238:$C$451,$C344,'TL17'!$J$238:$J$451),0),
IF('TL18'!$B$3=M$3,SUMIF('TL18'!$C$10:$C$224,$C344,'TL18'!$J$10:$J$224),0),
IF('TL18'!$B$229=M$3,SUMIF('TL18'!$C$238:$C$451,$C344,'TL18'!$J$238:$J$451),0),
IF('TL19'!$B$3=M$3,SUMIF('TL19'!$C$10:$C$224,$C344,'TL19'!$J$10:$J$224),0),
IF('TL19'!$B$229=M$3,SUMIF('TL19'!$C$238:$C$451,$C344,'TL19'!$J$238:$J$451),0)
),0)</f>
        <v/>
      </c>
      <c r="N344" s="9">
        <f>IFERROR(SUM(
IF('TL01'!$B$3=N$3,SUMIF('TL01'!$C$10:$C$224,$C344,'TL01'!$J$10:$J$224),0),
IF('TL01'!$B$229=N$3,SUMIF('TL01'!$C$238:$C$451,$C344,'TL01'!$J$238:$J$451),0),
IF('TL02'!$B$3=N$3,SUMIF('TL02'!$C$10:$C$224,$C344,'TL02'!$J$10:$J$224),0),
IF('TL02'!$B$229=N$3,SUMIF('TL02'!$C$238:$C$451,$C344,'TL02'!$J$238:$J$451),0),
IF('TL03'!$B$3=N$3,SUMIF('TL03'!$C$10:$C$224,$C344,'TL03'!$J$10:$J$224),0),
IF('TL03'!$B$229=N$3,SUMIF('TL03'!$C$238:$C$451,$C344,'TL03'!$J$238:$J$451),0),
IF('TL04'!$B$3=N$3,SUMIF('TL04'!$C$10:$C$224,$C344,'TL04'!$J$10:$J$224),0),
IF('TL04'!$B$229=N$3,SUMIF('TL04'!$C$238:$C$451,$C344,'TL04'!$J$238:$J$451),0),
IF('TL05'!$B$3=N$3,SUMIF('TL05'!$C$10:$C$224,$C344,'TL05'!$J$10:$J$224),0),
IF('TL05'!$B$229=N$3,SUMIF('TL05'!$C$238:$C$451,$C344,'TL05'!$J$238:$J$451),0),
IF('TL06'!$B$3=N$3,SUMIF('TL06'!$C$10:$C$224,$C344,'TL06'!$J$10:$J$224),0),
IF('TL06'!$B$229=N$3,SUMIF('TL06'!$C$238:$C$451,$C344,'TL06'!$J$238:$J$451),0),
IF('TL07'!$B$3=N$3,SUMIF('TL07'!$C$10:$C$224,$C344,'TL07'!$J$10:$J$224),0),
IF('TL07'!$B$229=N$3,SUMIF('TL07'!$C$238:$C$451,$C344,'TL07'!$J$238:$J$451),0),
IF('TL08'!$B$3=N$3,SUMIF('TL08'!$C$10:$C$224,$C344,'TL08'!$J$10:$J$224),0),
IF('TL08'!$B$229=N$3,SUMIF('TL08'!$C$238:$C$451,$C344,'TL08'!$J$238:$J$451),0),
IF('TL09'!$B$3=N$3,SUMIF('TL09'!$C$10:$C$224,$C344,'TL09'!$J$10:$J$224),0),
IF('TL09'!$B$229=N$3,SUMIF('TL09'!$C$238:$C$451,$C344,'TL09'!$J$238:$J$451),0),
IF('TL10'!$B$3=N$3,SUMIF('TL10'!$C$10:$C$224,$C344,'TL10'!$J$10:$J$224),0),
IF('TL10'!$B$229=N$3,SUMIF('TL10'!$C$238:$C$451,$C344,'TL10'!$J$238:$J$451),0),
IF('TL11'!$B$3=N$3,SUMIF('TL11'!$C$10:$C$224,$C344,'TL11'!$J$10:$J$224),0),
IF('TL11'!$B$229=N$3,SUMIF('TL11'!$C$238:$C$451,$C344,'TL11'!$J$238:$J$451),0),
IF('TL12'!$B$3=N$3,SUMIF('TL12'!$C$10:$C$224,$C344,'TL12'!$J$10:$J$224),0),
IF('TL12'!$B$229=N$3,SUMIF('TL12'!$C$238:$C$451,$C344,'TL12'!$J$238:$J$451),0),
IF('TL13'!$B$3=N$3,SUMIF('TL13'!$C$10:$C$224,$C344,'TL13'!$J$10:$J$224),0),
IF('TL13'!$B$229=N$3,SUMIF('TL13'!$C$238:$C$451,$C344,'TL13'!$J$238:$J$451),0),
IF('TL14'!$B$3=N$3,SUMIF('TL14'!$C$10:$C$224,$C344,'TL14'!$J$10:$J$224),0),
IF('TL14'!$B$229=N$3,SUMIF('TL14'!$C$238:$C$451,$C344,'TL14'!$J$238:$J$451),0),
IF('TL15'!$B$3=N$3,SUMIF('TL15'!$C$10:$C$224,$C344,'TL15'!$J$10:$J$224),0),
IF('TL15'!$B$229=N$3,SUMIF('TL15'!$C$238:$C$451,$C344,'TL15'!$J$238:$J$451),0),
IF('TL16'!$B$3=N$3,SUMIF('TL16'!$C$10:$C$224,$C344,'TL16'!$J$10:$J$224),0),
IF('TL16'!$B$229=N$3,SUMIF('TL16'!$C$238:$C$451,$C344,'TL16'!$J$238:$J$451),0),
IF('TL17'!$B$3=N$3,SUMIF('TL17'!$C$10:$C$224,$C344,'TL17'!$J$10:$J$224),0),
IF('TL17'!$B$229=N$3,SUMIF('TL17'!$C$238:$C$451,$C344,'TL17'!$J$238:$J$451),0),
IF('TL18'!$B$3=N$3,SUMIF('TL18'!$C$10:$C$224,$C344,'TL18'!$J$10:$J$224),0),
IF('TL18'!$B$229=N$3,SUMIF('TL18'!$C$238:$C$451,$C344,'TL18'!$J$238:$J$451),0),
IF('TL19'!$B$3=N$3,SUMIF('TL19'!$C$10:$C$224,$C344,'TL19'!$J$10:$J$224),0),
IF('TL19'!$B$229=N$3,SUMIF('TL19'!$C$238:$C$451,$C344,'TL19'!$J$238:$J$451),0)
),0)</f>
        <v/>
      </c>
      <c r="O344" s="9">
        <f>IFERROR(SUM(
IF('TL01'!$B$3=O$3,SUMIF('TL01'!$C$10:$C$224,$C344,'TL01'!$J$10:$J$224),0),
IF('TL01'!$B$229=O$3,SUMIF('TL01'!$C$238:$C$451,$C344,'TL01'!$J$238:$J$451),0),
IF('TL02'!$B$3=O$3,SUMIF('TL02'!$C$10:$C$224,$C344,'TL02'!$J$10:$J$224),0),
IF('TL02'!$B$229=O$3,SUMIF('TL02'!$C$238:$C$451,$C344,'TL02'!$J$238:$J$451),0),
IF('TL03'!$B$3=O$3,SUMIF('TL03'!$C$10:$C$224,$C344,'TL03'!$J$10:$J$224),0),
IF('TL03'!$B$229=O$3,SUMIF('TL03'!$C$238:$C$451,$C344,'TL03'!$J$238:$J$451),0),
IF('TL04'!$B$3=O$3,SUMIF('TL04'!$C$10:$C$224,$C344,'TL04'!$J$10:$J$224),0),
IF('TL04'!$B$229=O$3,SUMIF('TL04'!$C$238:$C$451,$C344,'TL04'!$J$238:$J$451),0),
IF('TL05'!$B$3=O$3,SUMIF('TL05'!$C$10:$C$224,$C344,'TL05'!$J$10:$J$224),0),
IF('TL05'!$B$229=O$3,SUMIF('TL05'!$C$238:$C$451,$C344,'TL05'!$J$238:$J$451),0),
IF('TL06'!$B$3=O$3,SUMIF('TL06'!$C$10:$C$224,$C344,'TL06'!$J$10:$J$224),0),
IF('TL06'!$B$229=O$3,SUMIF('TL06'!$C$238:$C$451,$C344,'TL06'!$J$238:$J$451),0),
IF('TL07'!$B$3=O$3,SUMIF('TL07'!$C$10:$C$224,$C344,'TL07'!$J$10:$J$224),0),
IF('TL07'!$B$229=O$3,SUMIF('TL07'!$C$238:$C$451,$C344,'TL07'!$J$238:$J$451),0),
IF('TL08'!$B$3=O$3,SUMIF('TL08'!$C$10:$C$224,$C344,'TL08'!$J$10:$J$224),0),
IF('TL08'!$B$229=O$3,SUMIF('TL08'!$C$238:$C$451,$C344,'TL08'!$J$238:$J$451),0),
IF('TL09'!$B$3=O$3,SUMIF('TL09'!$C$10:$C$224,$C344,'TL09'!$J$10:$J$224),0),
IF('TL09'!$B$229=O$3,SUMIF('TL09'!$C$238:$C$451,$C344,'TL09'!$J$238:$J$451),0),
IF('TL10'!$B$3=O$3,SUMIF('TL10'!$C$10:$C$224,$C344,'TL10'!$J$10:$J$224),0),
IF('TL10'!$B$229=O$3,SUMIF('TL10'!$C$238:$C$451,$C344,'TL10'!$J$238:$J$451),0),
IF('TL11'!$B$3=O$3,SUMIF('TL11'!$C$10:$C$224,$C344,'TL11'!$J$10:$J$224),0),
IF('TL11'!$B$229=O$3,SUMIF('TL11'!$C$238:$C$451,$C344,'TL11'!$J$238:$J$451),0),
IF('TL12'!$B$3=O$3,SUMIF('TL12'!$C$10:$C$224,$C344,'TL12'!$J$10:$J$224),0),
IF('TL12'!$B$229=O$3,SUMIF('TL12'!$C$238:$C$451,$C344,'TL12'!$J$238:$J$451),0),
IF('TL13'!$B$3=O$3,SUMIF('TL13'!$C$10:$C$224,$C344,'TL13'!$J$10:$J$224),0),
IF('TL13'!$B$229=O$3,SUMIF('TL13'!$C$238:$C$451,$C344,'TL13'!$J$238:$J$451),0),
IF('TL14'!$B$3=O$3,SUMIF('TL14'!$C$10:$C$224,$C344,'TL14'!$J$10:$J$224),0),
IF('TL14'!$B$229=O$3,SUMIF('TL14'!$C$238:$C$451,$C344,'TL14'!$J$238:$J$451),0),
IF('TL15'!$B$3=O$3,SUMIF('TL15'!$C$10:$C$224,$C344,'TL15'!$J$10:$J$224),0),
IF('TL15'!$B$229=O$3,SUMIF('TL15'!$C$238:$C$451,$C344,'TL15'!$J$238:$J$451),0),
IF('TL16'!$B$3=O$3,SUMIF('TL16'!$C$10:$C$224,$C344,'TL16'!$J$10:$J$224),0),
IF('TL16'!$B$229=O$3,SUMIF('TL16'!$C$238:$C$451,$C344,'TL16'!$J$238:$J$451),0),
IF('TL17'!$B$3=O$3,SUMIF('TL17'!$C$10:$C$224,$C344,'TL17'!$J$10:$J$224),0),
IF('TL17'!$B$229=O$3,SUMIF('TL17'!$C$238:$C$451,$C344,'TL17'!$J$238:$J$451),0),
IF('TL18'!$B$3=O$3,SUMIF('TL18'!$C$10:$C$224,$C344,'TL18'!$J$10:$J$224),0),
IF('TL18'!$B$229=O$3,SUMIF('TL18'!$C$238:$C$451,$C344,'TL18'!$J$238:$J$451),0),
IF('TL19'!$B$3=O$3,SUMIF('TL19'!$C$10:$C$224,$C344,'TL19'!$J$10:$J$224),0),
IF('TL19'!$B$229=O$3,SUMIF('TL19'!$C$238:$C$451,$C344,'TL19'!$J$238:$J$451),0)
),0)</f>
        <v/>
      </c>
      <c r="P344" s="9">
        <f>IFERROR(SUM(
IF('TL01'!$B$3=P$3,SUMIF('TL01'!$C$10:$C$224,$C344,'TL01'!$J$10:$J$224),0),
IF('TL01'!$B$229=P$3,SUMIF('TL01'!$C$238:$C$451,$C344,'TL01'!$J$238:$J$451),0),
IF('TL02'!$B$3=P$3,SUMIF('TL02'!$C$10:$C$224,$C344,'TL02'!$J$10:$J$224),0),
IF('TL02'!$B$229=P$3,SUMIF('TL02'!$C$238:$C$451,$C344,'TL02'!$J$238:$J$451),0),
IF('TL03'!$B$3=P$3,SUMIF('TL03'!$C$10:$C$224,$C344,'TL03'!$J$10:$J$224),0),
IF('TL03'!$B$229=P$3,SUMIF('TL03'!$C$238:$C$451,$C344,'TL03'!$J$238:$J$451),0),
IF('TL04'!$B$3=P$3,SUMIF('TL04'!$C$10:$C$224,$C344,'TL04'!$J$10:$J$224),0),
IF('TL04'!$B$229=P$3,SUMIF('TL04'!$C$238:$C$451,$C344,'TL04'!$J$238:$J$451),0),
IF('TL05'!$B$3=P$3,SUMIF('TL05'!$C$10:$C$224,$C344,'TL05'!$J$10:$J$224),0),
IF('TL05'!$B$229=P$3,SUMIF('TL05'!$C$238:$C$451,$C344,'TL05'!$J$238:$J$451),0),
IF('TL06'!$B$3=P$3,SUMIF('TL06'!$C$10:$C$224,$C344,'TL06'!$J$10:$J$224),0),
IF('TL06'!$B$229=P$3,SUMIF('TL06'!$C$238:$C$451,$C344,'TL06'!$J$238:$J$451),0),
IF('TL07'!$B$3=P$3,SUMIF('TL07'!$C$10:$C$224,$C344,'TL07'!$J$10:$J$224),0),
IF('TL07'!$B$229=P$3,SUMIF('TL07'!$C$238:$C$451,$C344,'TL07'!$J$238:$J$451),0),
IF('TL08'!$B$3=P$3,SUMIF('TL08'!$C$10:$C$224,$C344,'TL08'!$J$10:$J$224),0),
IF('TL08'!$B$229=P$3,SUMIF('TL08'!$C$238:$C$451,$C344,'TL08'!$J$238:$J$451),0),
IF('TL09'!$B$3=P$3,SUMIF('TL09'!$C$10:$C$224,$C344,'TL09'!$J$10:$J$224),0),
IF('TL09'!$B$229=P$3,SUMIF('TL09'!$C$238:$C$451,$C344,'TL09'!$J$238:$J$451),0),
IF('TL10'!$B$3=P$3,SUMIF('TL10'!$C$10:$C$224,$C344,'TL10'!$J$10:$J$224),0),
IF('TL10'!$B$229=P$3,SUMIF('TL10'!$C$238:$C$451,$C344,'TL10'!$J$238:$J$451),0),
IF('TL11'!$B$3=P$3,SUMIF('TL11'!$C$10:$C$224,$C344,'TL11'!$J$10:$J$224),0),
IF('TL11'!$B$229=P$3,SUMIF('TL11'!$C$238:$C$451,$C344,'TL11'!$J$238:$J$451),0),
IF('TL12'!$B$3=P$3,SUMIF('TL12'!$C$10:$C$224,$C344,'TL12'!$J$10:$J$224),0),
IF('TL12'!$B$229=P$3,SUMIF('TL12'!$C$238:$C$451,$C344,'TL12'!$J$238:$J$451),0),
IF('TL13'!$B$3=P$3,SUMIF('TL13'!$C$10:$C$224,$C344,'TL13'!$J$10:$J$224),0),
IF('TL13'!$B$229=P$3,SUMIF('TL13'!$C$238:$C$451,$C344,'TL13'!$J$238:$J$451),0),
IF('TL14'!$B$3=P$3,SUMIF('TL14'!$C$10:$C$224,$C344,'TL14'!$J$10:$J$224),0),
IF('TL14'!$B$229=P$3,SUMIF('TL14'!$C$238:$C$451,$C344,'TL14'!$J$238:$J$451),0),
IF('TL15'!$B$3=P$3,SUMIF('TL15'!$C$10:$C$224,$C344,'TL15'!$J$10:$J$224),0),
IF('TL15'!$B$229=P$3,SUMIF('TL15'!$C$238:$C$451,$C344,'TL15'!$J$238:$J$451),0),
IF('TL16'!$B$3=P$3,SUMIF('TL16'!$C$10:$C$224,$C344,'TL16'!$J$10:$J$224),0),
IF('TL16'!$B$229=P$3,SUMIF('TL16'!$C$238:$C$451,$C344,'TL16'!$J$238:$J$451),0),
IF('TL17'!$B$3=P$3,SUMIF('TL17'!$C$10:$C$224,$C344,'TL17'!$J$10:$J$224),0),
IF('TL17'!$B$229=P$3,SUMIF('TL17'!$C$238:$C$451,$C344,'TL17'!$J$238:$J$451),0),
IF('TL18'!$B$3=P$3,SUMIF('TL18'!$C$10:$C$224,$C344,'TL18'!$J$10:$J$224),0),
IF('TL18'!$B$229=P$3,SUMIF('TL18'!$C$238:$C$451,$C344,'TL18'!$J$238:$J$451),0),
IF('TL19'!$B$3=P$3,SUMIF('TL19'!$C$10:$C$224,$C344,'TL19'!$J$10:$J$224),0),
IF('TL19'!$B$229=P$3,SUMIF('TL19'!$C$238:$C$451,$C344,'TL19'!$J$238:$J$451),0)
),0)</f>
        <v/>
      </c>
      <c r="Q344" s="9">
        <f>IFERROR(SUM(
IF('TL01'!$B$3=Q$3,SUMIF('TL01'!$C$10:$C$224,$C344,'TL01'!$J$10:$J$224),0),
IF('TL01'!$B$229=Q$3,SUMIF('TL01'!$C$238:$C$451,$C344,'TL01'!$J$238:$J$451),0),
IF('TL02'!$B$3=Q$3,SUMIF('TL02'!$C$10:$C$224,$C344,'TL02'!$J$10:$J$224),0),
IF('TL02'!$B$229=Q$3,SUMIF('TL02'!$C$238:$C$451,$C344,'TL02'!$J$238:$J$451),0),
IF('TL03'!$B$3=Q$3,SUMIF('TL03'!$C$10:$C$224,$C344,'TL03'!$J$10:$J$224),0),
IF('TL03'!$B$229=Q$3,SUMIF('TL03'!$C$238:$C$451,$C344,'TL03'!$J$238:$J$451),0),
IF('TL04'!$B$3=Q$3,SUMIF('TL04'!$C$10:$C$224,$C344,'TL04'!$J$10:$J$224),0),
IF('TL04'!$B$229=Q$3,SUMIF('TL04'!$C$238:$C$451,$C344,'TL04'!$J$238:$J$451),0),
IF('TL05'!$B$3=Q$3,SUMIF('TL05'!$C$10:$C$224,$C344,'TL05'!$J$10:$J$224),0),
IF('TL05'!$B$229=Q$3,SUMIF('TL05'!$C$238:$C$451,$C344,'TL05'!$J$238:$J$451),0),
IF('TL06'!$B$3=Q$3,SUMIF('TL06'!$C$10:$C$224,$C344,'TL06'!$J$10:$J$224),0),
IF('TL06'!$B$229=Q$3,SUMIF('TL06'!$C$238:$C$451,$C344,'TL06'!$J$238:$J$451),0),
IF('TL07'!$B$3=Q$3,SUMIF('TL07'!$C$10:$C$224,$C344,'TL07'!$J$10:$J$224),0),
IF('TL07'!$B$229=Q$3,SUMIF('TL07'!$C$238:$C$451,$C344,'TL07'!$J$238:$J$451),0),
IF('TL08'!$B$3=Q$3,SUMIF('TL08'!$C$10:$C$224,$C344,'TL08'!$J$10:$J$224),0),
IF('TL08'!$B$229=Q$3,SUMIF('TL08'!$C$238:$C$451,$C344,'TL08'!$J$238:$J$451),0),
IF('TL09'!$B$3=Q$3,SUMIF('TL09'!$C$10:$C$224,$C344,'TL09'!$J$10:$J$224),0),
IF('TL09'!$B$229=Q$3,SUMIF('TL09'!$C$238:$C$451,$C344,'TL09'!$J$238:$J$451),0),
IF('TL10'!$B$3=Q$3,SUMIF('TL10'!$C$10:$C$224,$C344,'TL10'!$J$10:$J$224),0),
IF('TL10'!$B$229=Q$3,SUMIF('TL10'!$C$238:$C$451,$C344,'TL10'!$J$238:$J$451),0),
IF('TL11'!$B$3=Q$3,SUMIF('TL11'!$C$10:$C$224,$C344,'TL11'!$J$10:$J$224),0),
IF('TL11'!$B$229=Q$3,SUMIF('TL11'!$C$238:$C$451,$C344,'TL11'!$J$238:$J$451),0),
IF('TL12'!$B$3=Q$3,SUMIF('TL12'!$C$10:$C$224,$C344,'TL12'!$J$10:$J$224),0),
IF('TL12'!$B$229=Q$3,SUMIF('TL12'!$C$238:$C$451,$C344,'TL12'!$J$238:$J$451),0),
IF('TL13'!$B$3=Q$3,SUMIF('TL13'!$C$10:$C$224,$C344,'TL13'!$J$10:$J$224),0),
IF('TL13'!$B$229=Q$3,SUMIF('TL13'!$C$238:$C$451,$C344,'TL13'!$J$238:$J$451),0),
IF('TL14'!$B$3=Q$3,SUMIF('TL14'!$C$10:$C$224,$C344,'TL14'!$J$10:$J$224),0),
IF('TL14'!$B$229=Q$3,SUMIF('TL14'!$C$238:$C$451,$C344,'TL14'!$J$238:$J$451),0),
IF('TL15'!$B$3=Q$3,SUMIF('TL15'!$C$10:$C$224,$C344,'TL15'!$J$10:$J$224),0),
IF('TL15'!$B$229=Q$3,SUMIF('TL15'!$C$238:$C$451,$C344,'TL15'!$J$238:$J$451),0),
IF('TL16'!$B$3=Q$3,SUMIF('TL16'!$C$10:$C$224,$C344,'TL16'!$J$10:$J$224),0),
IF('TL16'!$B$229=Q$3,SUMIF('TL16'!$C$238:$C$451,$C344,'TL16'!$J$238:$J$451),0),
IF('TL17'!$B$3=Q$3,SUMIF('TL17'!$C$10:$C$224,$C344,'TL17'!$J$10:$J$224),0),
IF('TL17'!$B$229=Q$3,SUMIF('TL17'!$C$238:$C$451,$C344,'TL17'!$J$238:$J$451),0),
IF('TL18'!$B$3=Q$3,SUMIF('TL18'!$C$10:$C$224,$C344,'TL18'!$J$10:$J$224),0),
IF('TL18'!$B$229=Q$3,SUMIF('TL18'!$C$238:$C$451,$C344,'TL18'!$J$238:$J$451),0),
IF('TL19'!$B$3=Q$3,SUMIF('TL19'!$C$10:$C$224,$C344,'TL19'!$J$10:$J$224),0),
IF('TL19'!$B$229=Q$3,SUMIF('TL19'!$C$238:$C$451,$C344,'TL19'!$J$238:$J$451),0)
),0)</f>
        <v/>
      </c>
      <c r="R344" s="9">
        <f>IFERROR(
SUM(
SUMIF('TL01'!C:C,C344,'TL01'!J:J),
SUMIF('TL02'!C:C,C344,'TL02'!J:J),
SUMIF('TL03'!C:C,C344,'TL03'!J:J),
SUMIF('TL04'!C:C,C344,'TL04'!J:J),
SUMIF('TL05'!C:C,C344,'TL05'!J:J),
SUMIF('TL06'!C:C,C344,'TL06'!J:J),
SUMIF('TL07'!C:C,C344,'TL07'!J:J),
SUMIF('TL08'!C:C,C344,'TL08'!J:J),
SUMIF('TL09'!C:C,C344,'TL09'!J:J),
SUMIF('TL10'!C:C,C344,'TL10'!J:J),
SUMIF('TL11'!C:C,C344,'TL11'!J:J),
SUMIF('TL12'!C:C,C344,'TL12'!J:J),
SUMIF('TL13'!C:C,C344,'TL13'!J:J),
SUMIF('TL14'!C:C,C344,'TL14'!J:J),
SUMIF('TL15'!C:C,C344,'TL15'!J:J),
SUMIF('TL16'!C:C,C344,'TL16'!J:J),
SUMIF('TL17'!C:C,C344,'TL17'!J:J),
SUMIF('TL18'!C:C,C344,'TL18'!J:J),SUMIF('TL19'!C:C,C344,'TL19'!J:J))
,0)</f>
        <v/>
      </c>
      <c r="S344" s="17">
        <f>IFERROR(__xludf.DUMMYFUNCTION("IFERROR(VLOOKUP(C344,
IMPORTRANGE(""1wULbzX32WdYsx-lj2U3uUNBBe2INVIRDtcK0d-Dvl90"",
""26-27!C:G""),
5,
FALSE),
"""")"),"")</f>
        <v/>
      </c>
      <c r="T344" s="9" t="n"/>
      <c r="U344" s="92">
        <f>MAX(0,R344-T344)</f>
        <v/>
      </c>
      <c r="V344" s="93">
        <f>U344*S344</f>
        <v/>
      </c>
    </row>
    <row r="345" hidden="1" ht="15.75" customHeight="1" s="297">
      <c r="A345" s="4" t="n"/>
      <c r="B345" s="125" t="inlineStr">
        <is>
          <t>SEMENTE</t>
        </is>
      </c>
      <c r="C345" s="4" t="inlineStr">
        <is>
          <t>TMG 2383 IPRO 8.3</t>
        </is>
      </c>
      <c r="D345" s="20" t="n"/>
      <c r="E345" s="9" t="n"/>
      <c r="F345" s="4" t="inlineStr">
        <is>
          <t>5MM</t>
        </is>
      </c>
      <c r="G345" s="90">
        <f>HYPERLINK("https://www.google.com/search?q=" &amp; C345 &amp; "+bula+agrofit+pdf", "📄 Ver bula")</f>
        <v/>
      </c>
      <c r="H345" s="9" t="n"/>
      <c r="I345" s="1" t="inlineStr">
        <is>
          <t>BAG</t>
        </is>
      </c>
      <c r="J345" s="9">
        <f>IFERROR(SUM(
IF('TL01'!$B$3=J$3,SUMIF('TL01'!$C$10:$C$224,$C345,'TL01'!$J$10:$J$224),0),
IF('TL01'!$B$229=J$3,SUMIF('TL01'!$C$238:$C$451,$C345,'TL01'!$J$238:$J$451),0),
IF('TL02'!$B$3=J$3,SUMIF('TL02'!$C$10:$C$224,$C345,'TL02'!$J$10:$J$224),0),
IF('TL02'!$B$229=J$3,SUMIF('TL02'!$C$238:$C$451,$C345,'TL02'!$J$238:$J$451),0),
IF('TL03'!$B$3=J$3,SUMIF('TL03'!$C$10:$C$224,$C345,'TL03'!$J$10:$J$224),0),
IF('TL03'!$B$229=J$3,SUMIF('TL03'!$C$238:$C$451,$C345,'TL03'!$J$238:$J$451),0),
IF('TL04'!$B$3=J$3,SUMIF('TL04'!$C$10:$C$224,$C345,'TL04'!$J$10:$J$224),0),
IF('TL04'!$B$229=J$3,SUMIF('TL04'!$C$238:$C$451,$C345,'TL04'!$J$238:$J$451),0),
IF('TL05'!$B$3=J$3,SUMIF('TL05'!$C$10:$C$224,$C345,'TL05'!$J$10:$J$224),0),
IF('TL05'!$B$229=J$3,SUMIF('TL05'!$C$238:$C$451,$C345,'TL05'!$J$238:$J$451),0),
IF('TL06'!$B$3=J$3,SUMIF('TL06'!$C$10:$C$224,$C345,'TL06'!$J$10:$J$224),0),
IF('TL06'!$B$229=J$3,SUMIF('TL06'!$C$238:$C$451,$C345,'TL06'!$J$238:$J$451),0),
IF('TL07'!$B$3=J$3,SUMIF('TL07'!$C$10:$C$224,$C345,'TL07'!$J$10:$J$224),0),
IF('TL07'!$B$229=J$3,SUMIF('TL07'!$C$238:$C$451,$C345,'TL07'!$J$238:$J$451),0),
IF('TL08'!$B$3=J$3,SUMIF('TL08'!$C$10:$C$224,$C345,'TL08'!$J$10:$J$224),0),
IF('TL08'!$B$229=J$3,SUMIF('TL08'!$C$238:$C$451,$C345,'TL08'!$J$238:$J$451),0),
IF('TL09'!$B$3=J$3,SUMIF('TL09'!$C$10:$C$224,$C345,'TL09'!$J$10:$J$224),0),
IF('TL09'!$B$229=J$3,SUMIF('TL09'!$C$238:$C$451,$C345,'TL09'!$J$238:$J$451),0),
IF('TL10'!$B$3=J$3,SUMIF('TL10'!$C$10:$C$224,$C345,'TL10'!$J$10:$J$224),0),
IF('TL10'!$B$229=J$3,SUMIF('TL10'!$C$238:$C$451,$C345,'TL10'!$J$238:$J$451),0),
IF('TL11'!$B$3=J$3,SUMIF('TL11'!$C$10:$C$224,$C345,'TL11'!$J$10:$J$224),0),
IF('TL11'!$B$229=J$3,SUMIF('TL11'!$C$238:$C$451,$C345,'TL11'!$J$238:$J$451),0),
IF('TL12'!$B$3=J$3,SUMIF('TL12'!$C$10:$C$224,$C345,'TL12'!$J$10:$J$224),0),
IF('TL12'!$B$229=J$3,SUMIF('TL12'!$C$238:$C$451,$C345,'TL12'!$J$238:$J$451),0),
IF('TL13'!$B$3=J$3,SUMIF('TL13'!$C$10:$C$224,$C345,'TL13'!$J$10:$J$224),0),
IF('TL13'!$B$229=J$3,SUMIF('TL13'!$C$238:$C$451,$C345,'TL13'!$J$238:$J$451),0),
IF('TL14'!$B$3=J$3,SUMIF('TL14'!$C$10:$C$224,$C345,'TL14'!$J$10:$J$224),0),
IF('TL14'!$B$229=J$3,SUMIF('TL14'!$C$238:$C$451,$C345,'TL14'!$J$238:$J$451),0),
IF('TL15'!$B$3=J$3,SUMIF('TL15'!$C$10:$C$224,$C345,'TL15'!$J$10:$J$224),0),
IF('TL15'!$B$229=J$3,SUMIF('TL15'!$C$238:$C$451,$C345,'TL15'!$J$238:$J$451),0),
IF('TL16'!$B$3=J$3,SUMIF('TL16'!$C$10:$C$224,$C345,'TL16'!$J$10:$J$224),0),
IF('TL16'!$B$229=J$3,SUMIF('TL16'!$C$238:$C$451,$C345,'TL16'!$J$238:$J$451),0),
IF('TL17'!$B$3=J$3,SUMIF('TL17'!$C$10:$C$224,$C345,'TL17'!$J$10:$J$224),0),
IF('TL17'!$B$229=J$3,SUMIF('TL17'!$C$238:$C$451,$C345,'TL17'!$J$238:$J$451),0),
IF('TL18'!$B$3=J$3,SUMIF('TL18'!$C$10:$C$224,$C345,'TL18'!$J$10:$J$224),0),
IF('TL18'!$B$229=J$3,SUMIF('TL18'!$C$238:$C$451,$C345,'TL18'!$J$238:$J$451),0),
IF('TL19'!$B$3=J$3,SUMIF('TL19'!$C$10:$C$224,$C345,'TL19'!$J$10:$J$224),0),
IF('TL19'!$B$229=J$3,SUMIF('TL19'!$C$238:$C$451,$C345,'TL19'!$J$238:$J$451),0)
),0)</f>
        <v/>
      </c>
      <c r="K345" s="9">
        <f>IFERROR(SUM(
IF('TL01'!$B$3=K$3,SUMIF('TL01'!$C$10:$C$224,$C345,'TL01'!$J$10:$J$224),0),
IF('TL01'!$B$229=K$3,SUMIF('TL01'!$C$238:$C$451,$C345,'TL01'!$J$238:$J$451),0),
IF('TL02'!$B$3=K$3,SUMIF('TL02'!$C$10:$C$224,$C345,'TL02'!$J$10:$J$224),0),
IF('TL02'!$B$229=K$3,SUMIF('TL02'!$C$238:$C$451,$C345,'TL02'!$J$238:$J$451),0),
IF('TL03'!$B$3=K$3,SUMIF('TL03'!$C$10:$C$224,$C345,'TL03'!$J$10:$J$224),0),
IF('TL03'!$B$229=K$3,SUMIF('TL03'!$C$238:$C$451,$C345,'TL03'!$J$238:$J$451),0),
IF('TL04'!$B$3=K$3,SUMIF('TL04'!$C$10:$C$224,$C345,'TL04'!$J$10:$J$224),0),
IF('TL04'!$B$229=K$3,SUMIF('TL04'!$C$238:$C$451,$C345,'TL04'!$J$238:$J$451),0),
IF('TL05'!$B$3=K$3,SUMIF('TL05'!$C$10:$C$224,$C345,'TL05'!$J$10:$J$224),0),
IF('TL05'!$B$229=K$3,SUMIF('TL05'!$C$238:$C$451,$C345,'TL05'!$J$238:$J$451),0),
IF('TL06'!$B$3=K$3,SUMIF('TL06'!$C$10:$C$224,$C345,'TL06'!$J$10:$J$224),0),
IF('TL06'!$B$229=K$3,SUMIF('TL06'!$C$238:$C$451,$C345,'TL06'!$J$238:$J$451),0),
IF('TL07'!$B$3=K$3,SUMIF('TL07'!$C$10:$C$224,$C345,'TL07'!$J$10:$J$224),0),
IF('TL07'!$B$229=K$3,SUMIF('TL07'!$C$238:$C$451,$C345,'TL07'!$J$238:$J$451),0),
IF('TL08'!$B$3=K$3,SUMIF('TL08'!$C$10:$C$224,$C345,'TL08'!$J$10:$J$224),0),
IF('TL08'!$B$229=K$3,SUMIF('TL08'!$C$238:$C$451,$C345,'TL08'!$J$238:$J$451),0),
IF('TL09'!$B$3=K$3,SUMIF('TL09'!$C$10:$C$224,$C345,'TL09'!$J$10:$J$224),0),
IF('TL09'!$B$229=K$3,SUMIF('TL09'!$C$238:$C$451,$C345,'TL09'!$J$238:$J$451),0),
IF('TL10'!$B$3=K$3,SUMIF('TL10'!$C$10:$C$224,$C345,'TL10'!$J$10:$J$224),0),
IF('TL10'!$B$229=K$3,SUMIF('TL10'!$C$238:$C$451,$C345,'TL10'!$J$238:$J$451),0),
IF('TL11'!$B$3=K$3,SUMIF('TL11'!$C$10:$C$224,$C345,'TL11'!$J$10:$J$224),0),
IF('TL11'!$B$229=K$3,SUMIF('TL11'!$C$238:$C$451,$C345,'TL11'!$J$238:$J$451),0),
IF('TL12'!$B$3=K$3,SUMIF('TL12'!$C$10:$C$224,$C345,'TL12'!$J$10:$J$224),0),
IF('TL12'!$B$229=K$3,SUMIF('TL12'!$C$238:$C$451,$C345,'TL12'!$J$238:$J$451),0),
IF('TL13'!$B$3=K$3,SUMIF('TL13'!$C$10:$C$224,$C345,'TL13'!$J$10:$J$224),0),
IF('TL13'!$B$229=K$3,SUMIF('TL13'!$C$238:$C$451,$C345,'TL13'!$J$238:$J$451),0),
IF('TL14'!$B$3=K$3,SUMIF('TL14'!$C$10:$C$224,$C345,'TL14'!$J$10:$J$224),0),
IF('TL14'!$B$229=K$3,SUMIF('TL14'!$C$238:$C$451,$C345,'TL14'!$J$238:$J$451),0),
IF('TL15'!$B$3=K$3,SUMIF('TL15'!$C$10:$C$224,$C345,'TL15'!$J$10:$J$224),0),
IF('TL15'!$B$229=K$3,SUMIF('TL15'!$C$238:$C$451,$C345,'TL15'!$J$238:$J$451),0),
IF('TL16'!$B$3=K$3,SUMIF('TL16'!$C$10:$C$224,$C345,'TL16'!$J$10:$J$224),0),
IF('TL16'!$B$229=K$3,SUMIF('TL16'!$C$238:$C$451,$C345,'TL16'!$J$238:$J$451),0),
IF('TL17'!$B$3=K$3,SUMIF('TL17'!$C$10:$C$224,$C345,'TL17'!$J$10:$J$224),0),
IF('TL17'!$B$229=K$3,SUMIF('TL17'!$C$238:$C$451,$C345,'TL17'!$J$238:$J$451),0),
IF('TL18'!$B$3=K$3,SUMIF('TL18'!$C$10:$C$224,$C345,'TL18'!$J$10:$J$224),0),
IF('TL18'!$B$229=K$3,SUMIF('TL18'!$C$238:$C$451,$C345,'TL18'!$J$238:$J$451),0),
IF('TL19'!$B$3=K$3,SUMIF('TL19'!$C$10:$C$224,$C345,'TL19'!$J$10:$J$224),0),
IF('TL19'!$B$229=K$3,SUMIF('TL19'!$C$238:$C$451,$C345,'TL19'!$J$238:$J$451),0)
),0)</f>
        <v/>
      </c>
      <c r="L345" s="9">
        <f>IFERROR(SUM(
IF('TL01'!$B$3=L$3,SUMIF('TL01'!$C$10:$C$224,$C345,'TL01'!$J$10:$J$224),0),
IF('TL01'!$B$229=L$3,SUMIF('TL01'!$C$238:$C$451,$C345,'TL01'!$J$238:$J$451),0),
IF('TL02'!$B$3=L$3,SUMIF('TL02'!$C$10:$C$224,$C345,'TL02'!$J$10:$J$224),0),
IF('TL02'!$B$229=L$3,SUMIF('TL02'!$C$238:$C$451,$C345,'TL02'!$J$238:$J$451),0),
IF('TL03'!$B$3=L$3,SUMIF('TL03'!$C$10:$C$224,$C345,'TL03'!$J$10:$J$224),0),
IF('TL03'!$B$229=L$3,SUMIF('TL03'!$C$238:$C$451,$C345,'TL03'!$J$238:$J$451),0),
IF('TL04'!$B$3=L$3,SUMIF('TL04'!$C$10:$C$224,$C345,'TL04'!$J$10:$J$224),0),
IF('TL04'!$B$229=L$3,SUMIF('TL04'!$C$238:$C$451,$C345,'TL04'!$J$238:$J$451),0),
IF('TL05'!$B$3=L$3,SUMIF('TL05'!$C$10:$C$224,$C345,'TL05'!$J$10:$J$224),0),
IF('TL05'!$B$229=L$3,SUMIF('TL05'!$C$238:$C$451,$C345,'TL05'!$J$238:$J$451),0),
IF('TL06'!$B$3=L$3,SUMIF('TL06'!$C$10:$C$224,$C345,'TL06'!$J$10:$J$224),0),
IF('TL06'!$B$229=L$3,SUMIF('TL06'!$C$238:$C$451,$C345,'TL06'!$J$238:$J$451),0),
IF('TL07'!$B$3=L$3,SUMIF('TL07'!$C$10:$C$224,$C345,'TL07'!$J$10:$J$224),0),
IF('TL07'!$B$229=L$3,SUMIF('TL07'!$C$238:$C$451,$C345,'TL07'!$J$238:$J$451),0),
IF('TL08'!$B$3=L$3,SUMIF('TL08'!$C$10:$C$224,$C345,'TL08'!$J$10:$J$224),0),
IF('TL08'!$B$229=L$3,SUMIF('TL08'!$C$238:$C$451,$C345,'TL08'!$J$238:$J$451),0),
IF('TL09'!$B$3=L$3,SUMIF('TL09'!$C$10:$C$224,$C345,'TL09'!$J$10:$J$224),0),
IF('TL09'!$B$229=L$3,SUMIF('TL09'!$C$238:$C$451,$C345,'TL09'!$J$238:$J$451),0),
IF('TL10'!$B$3=L$3,SUMIF('TL10'!$C$10:$C$224,$C345,'TL10'!$J$10:$J$224),0),
IF('TL10'!$B$229=L$3,SUMIF('TL10'!$C$238:$C$451,$C345,'TL10'!$J$238:$J$451),0),
IF('TL11'!$B$3=L$3,SUMIF('TL11'!$C$10:$C$224,$C345,'TL11'!$J$10:$J$224),0),
IF('TL11'!$B$229=L$3,SUMIF('TL11'!$C$238:$C$451,$C345,'TL11'!$J$238:$J$451),0),
IF('TL12'!$B$3=L$3,SUMIF('TL12'!$C$10:$C$224,$C345,'TL12'!$J$10:$J$224),0),
IF('TL12'!$B$229=L$3,SUMIF('TL12'!$C$238:$C$451,$C345,'TL12'!$J$238:$J$451),0),
IF('TL13'!$B$3=L$3,SUMIF('TL13'!$C$10:$C$224,$C345,'TL13'!$J$10:$J$224),0),
IF('TL13'!$B$229=L$3,SUMIF('TL13'!$C$238:$C$451,$C345,'TL13'!$J$238:$J$451),0),
IF('TL14'!$B$3=L$3,SUMIF('TL14'!$C$10:$C$224,$C345,'TL14'!$J$10:$J$224),0),
IF('TL14'!$B$229=L$3,SUMIF('TL14'!$C$238:$C$451,$C345,'TL14'!$J$238:$J$451),0),
IF('TL15'!$B$3=L$3,SUMIF('TL15'!$C$10:$C$224,$C345,'TL15'!$J$10:$J$224),0),
IF('TL15'!$B$229=L$3,SUMIF('TL15'!$C$238:$C$451,$C345,'TL15'!$J$238:$J$451),0),
IF('TL16'!$B$3=L$3,SUMIF('TL16'!$C$10:$C$224,$C345,'TL16'!$J$10:$J$224),0),
IF('TL16'!$B$229=L$3,SUMIF('TL16'!$C$238:$C$451,$C345,'TL16'!$J$238:$J$451),0),
IF('TL17'!$B$3=L$3,SUMIF('TL17'!$C$10:$C$224,$C345,'TL17'!$J$10:$J$224),0),
IF('TL17'!$B$229=L$3,SUMIF('TL17'!$C$238:$C$451,$C345,'TL17'!$J$238:$J$451),0),
IF('TL18'!$B$3=L$3,SUMIF('TL18'!$C$10:$C$224,$C345,'TL18'!$J$10:$J$224),0),
IF('TL18'!$B$229=L$3,SUMIF('TL18'!$C$238:$C$451,$C345,'TL18'!$J$238:$J$451),0),
IF('TL19'!$B$3=L$3,SUMIF('TL19'!$C$10:$C$224,$C345,'TL19'!$J$10:$J$224),0),
IF('TL19'!$B$229=L$3,SUMIF('TL19'!$C$238:$C$451,$C345,'TL19'!$J$238:$J$451),0)
),0)</f>
        <v/>
      </c>
      <c r="M345" s="9">
        <f>IFERROR(SUM(
IF('TL01'!$B$3=M$3,SUMIF('TL01'!$C$10:$C$224,$C345,'TL01'!$J$10:$J$224),0),
IF('TL01'!$B$229=M$3,SUMIF('TL01'!$C$238:$C$451,$C345,'TL01'!$J$238:$J$451),0),
IF('TL02'!$B$3=M$3,SUMIF('TL02'!$C$10:$C$224,$C345,'TL02'!$J$10:$J$224),0),
IF('TL02'!$B$229=M$3,SUMIF('TL02'!$C$238:$C$451,$C345,'TL02'!$J$238:$J$451),0),
IF('TL03'!$B$3=M$3,SUMIF('TL03'!$C$10:$C$224,$C345,'TL03'!$J$10:$J$224),0),
IF('TL03'!$B$229=M$3,SUMIF('TL03'!$C$238:$C$451,$C345,'TL03'!$J$238:$J$451),0),
IF('TL04'!$B$3=M$3,SUMIF('TL04'!$C$10:$C$224,$C345,'TL04'!$J$10:$J$224),0),
IF('TL04'!$B$229=M$3,SUMIF('TL04'!$C$238:$C$451,$C345,'TL04'!$J$238:$J$451),0),
IF('TL05'!$B$3=M$3,SUMIF('TL05'!$C$10:$C$224,$C345,'TL05'!$J$10:$J$224),0),
IF('TL05'!$B$229=M$3,SUMIF('TL05'!$C$238:$C$451,$C345,'TL05'!$J$238:$J$451),0),
IF('TL06'!$B$3=M$3,SUMIF('TL06'!$C$10:$C$224,$C345,'TL06'!$J$10:$J$224),0),
IF('TL06'!$B$229=M$3,SUMIF('TL06'!$C$238:$C$451,$C345,'TL06'!$J$238:$J$451),0),
IF('TL07'!$B$3=M$3,SUMIF('TL07'!$C$10:$C$224,$C345,'TL07'!$J$10:$J$224),0),
IF('TL07'!$B$229=M$3,SUMIF('TL07'!$C$238:$C$451,$C345,'TL07'!$J$238:$J$451),0),
IF('TL08'!$B$3=M$3,SUMIF('TL08'!$C$10:$C$224,$C345,'TL08'!$J$10:$J$224),0),
IF('TL08'!$B$229=M$3,SUMIF('TL08'!$C$238:$C$451,$C345,'TL08'!$J$238:$J$451),0),
IF('TL09'!$B$3=M$3,SUMIF('TL09'!$C$10:$C$224,$C345,'TL09'!$J$10:$J$224),0),
IF('TL09'!$B$229=M$3,SUMIF('TL09'!$C$238:$C$451,$C345,'TL09'!$J$238:$J$451),0),
IF('TL10'!$B$3=M$3,SUMIF('TL10'!$C$10:$C$224,$C345,'TL10'!$J$10:$J$224),0),
IF('TL10'!$B$229=M$3,SUMIF('TL10'!$C$238:$C$451,$C345,'TL10'!$J$238:$J$451),0),
IF('TL11'!$B$3=M$3,SUMIF('TL11'!$C$10:$C$224,$C345,'TL11'!$J$10:$J$224),0),
IF('TL11'!$B$229=M$3,SUMIF('TL11'!$C$238:$C$451,$C345,'TL11'!$J$238:$J$451),0),
IF('TL12'!$B$3=M$3,SUMIF('TL12'!$C$10:$C$224,$C345,'TL12'!$J$10:$J$224),0),
IF('TL12'!$B$229=M$3,SUMIF('TL12'!$C$238:$C$451,$C345,'TL12'!$J$238:$J$451),0),
IF('TL13'!$B$3=M$3,SUMIF('TL13'!$C$10:$C$224,$C345,'TL13'!$J$10:$J$224),0),
IF('TL13'!$B$229=M$3,SUMIF('TL13'!$C$238:$C$451,$C345,'TL13'!$J$238:$J$451),0),
IF('TL14'!$B$3=M$3,SUMIF('TL14'!$C$10:$C$224,$C345,'TL14'!$J$10:$J$224),0),
IF('TL14'!$B$229=M$3,SUMIF('TL14'!$C$238:$C$451,$C345,'TL14'!$J$238:$J$451),0),
IF('TL15'!$B$3=M$3,SUMIF('TL15'!$C$10:$C$224,$C345,'TL15'!$J$10:$J$224),0),
IF('TL15'!$B$229=M$3,SUMIF('TL15'!$C$238:$C$451,$C345,'TL15'!$J$238:$J$451),0),
IF('TL16'!$B$3=M$3,SUMIF('TL16'!$C$10:$C$224,$C345,'TL16'!$J$10:$J$224),0),
IF('TL16'!$B$229=M$3,SUMIF('TL16'!$C$238:$C$451,$C345,'TL16'!$J$238:$J$451),0),
IF('TL17'!$B$3=M$3,SUMIF('TL17'!$C$10:$C$224,$C345,'TL17'!$J$10:$J$224),0),
IF('TL17'!$B$229=M$3,SUMIF('TL17'!$C$238:$C$451,$C345,'TL17'!$J$238:$J$451),0),
IF('TL18'!$B$3=M$3,SUMIF('TL18'!$C$10:$C$224,$C345,'TL18'!$J$10:$J$224),0),
IF('TL18'!$B$229=M$3,SUMIF('TL18'!$C$238:$C$451,$C345,'TL18'!$J$238:$J$451),0),
IF('TL19'!$B$3=M$3,SUMIF('TL19'!$C$10:$C$224,$C345,'TL19'!$J$10:$J$224),0),
IF('TL19'!$B$229=M$3,SUMIF('TL19'!$C$238:$C$451,$C345,'TL19'!$J$238:$J$451),0)
),0)</f>
        <v/>
      </c>
      <c r="N345" s="9">
        <f>IFERROR(SUM(
IF('TL01'!$B$3=N$3,SUMIF('TL01'!$C$10:$C$224,$C345,'TL01'!$J$10:$J$224),0),
IF('TL01'!$B$229=N$3,SUMIF('TL01'!$C$238:$C$451,$C345,'TL01'!$J$238:$J$451),0),
IF('TL02'!$B$3=N$3,SUMIF('TL02'!$C$10:$C$224,$C345,'TL02'!$J$10:$J$224),0),
IF('TL02'!$B$229=N$3,SUMIF('TL02'!$C$238:$C$451,$C345,'TL02'!$J$238:$J$451),0),
IF('TL03'!$B$3=N$3,SUMIF('TL03'!$C$10:$C$224,$C345,'TL03'!$J$10:$J$224),0),
IF('TL03'!$B$229=N$3,SUMIF('TL03'!$C$238:$C$451,$C345,'TL03'!$J$238:$J$451),0),
IF('TL04'!$B$3=N$3,SUMIF('TL04'!$C$10:$C$224,$C345,'TL04'!$J$10:$J$224),0),
IF('TL04'!$B$229=N$3,SUMIF('TL04'!$C$238:$C$451,$C345,'TL04'!$J$238:$J$451),0),
IF('TL05'!$B$3=N$3,SUMIF('TL05'!$C$10:$C$224,$C345,'TL05'!$J$10:$J$224),0),
IF('TL05'!$B$229=N$3,SUMIF('TL05'!$C$238:$C$451,$C345,'TL05'!$J$238:$J$451),0),
IF('TL06'!$B$3=N$3,SUMIF('TL06'!$C$10:$C$224,$C345,'TL06'!$J$10:$J$224),0),
IF('TL06'!$B$229=N$3,SUMIF('TL06'!$C$238:$C$451,$C345,'TL06'!$J$238:$J$451),0),
IF('TL07'!$B$3=N$3,SUMIF('TL07'!$C$10:$C$224,$C345,'TL07'!$J$10:$J$224),0),
IF('TL07'!$B$229=N$3,SUMIF('TL07'!$C$238:$C$451,$C345,'TL07'!$J$238:$J$451),0),
IF('TL08'!$B$3=N$3,SUMIF('TL08'!$C$10:$C$224,$C345,'TL08'!$J$10:$J$224),0),
IF('TL08'!$B$229=N$3,SUMIF('TL08'!$C$238:$C$451,$C345,'TL08'!$J$238:$J$451),0),
IF('TL09'!$B$3=N$3,SUMIF('TL09'!$C$10:$C$224,$C345,'TL09'!$J$10:$J$224),0),
IF('TL09'!$B$229=N$3,SUMIF('TL09'!$C$238:$C$451,$C345,'TL09'!$J$238:$J$451),0),
IF('TL10'!$B$3=N$3,SUMIF('TL10'!$C$10:$C$224,$C345,'TL10'!$J$10:$J$224),0),
IF('TL10'!$B$229=N$3,SUMIF('TL10'!$C$238:$C$451,$C345,'TL10'!$J$238:$J$451),0),
IF('TL11'!$B$3=N$3,SUMIF('TL11'!$C$10:$C$224,$C345,'TL11'!$J$10:$J$224),0),
IF('TL11'!$B$229=N$3,SUMIF('TL11'!$C$238:$C$451,$C345,'TL11'!$J$238:$J$451),0),
IF('TL12'!$B$3=N$3,SUMIF('TL12'!$C$10:$C$224,$C345,'TL12'!$J$10:$J$224),0),
IF('TL12'!$B$229=N$3,SUMIF('TL12'!$C$238:$C$451,$C345,'TL12'!$J$238:$J$451),0),
IF('TL13'!$B$3=N$3,SUMIF('TL13'!$C$10:$C$224,$C345,'TL13'!$J$10:$J$224),0),
IF('TL13'!$B$229=N$3,SUMIF('TL13'!$C$238:$C$451,$C345,'TL13'!$J$238:$J$451),0),
IF('TL14'!$B$3=N$3,SUMIF('TL14'!$C$10:$C$224,$C345,'TL14'!$J$10:$J$224),0),
IF('TL14'!$B$229=N$3,SUMIF('TL14'!$C$238:$C$451,$C345,'TL14'!$J$238:$J$451),0),
IF('TL15'!$B$3=N$3,SUMIF('TL15'!$C$10:$C$224,$C345,'TL15'!$J$10:$J$224),0),
IF('TL15'!$B$229=N$3,SUMIF('TL15'!$C$238:$C$451,$C345,'TL15'!$J$238:$J$451),0),
IF('TL16'!$B$3=N$3,SUMIF('TL16'!$C$10:$C$224,$C345,'TL16'!$J$10:$J$224),0),
IF('TL16'!$B$229=N$3,SUMIF('TL16'!$C$238:$C$451,$C345,'TL16'!$J$238:$J$451),0),
IF('TL17'!$B$3=N$3,SUMIF('TL17'!$C$10:$C$224,$C345,'TL17'!$J$10:$J$224),0),
IF('TL17'!$B$229=N$3,SUMIF('TL17'!$C$238:$C$451,$C345,'TL17'!$J$238:$J$451),0),
IF('TL18'!$B$3=N$3,SUMIF('TL18'!$C$10:$C$224,$C345,'TL18'!$J$10:$J$224),0),
IF('TL18'!$B$229=N$3,SUMIF('TL18'!$C$238:$C$451,$C345,'TL18'!$J$238:$J$451),0),
IF('TL19'!$B$3=N$3,SUMIF('TL19'!$C$10:$C$224,$C345,'TL19'!$J$10:$J$224),0),
IF('TL19'!$B$229=N$3,SUMIF('TL19'!$C$238:$C$451,$C345,'TL19'!$J$238:$J$451),0)
),0)</f>
        <v/>
      </c>
      <c r="O345" s="9">
        <f>IFERROR(SUM(
IF('TL01'!$B$3=O$3,SUMIF('TL01'!$C$10:$C$224,$C345,'TL01'!$J$10:$J$224),0),
IF('TL01'!$B$229=O$3,SUMIF('TL01'!$C$238:$C$451,$C345,'TL01'!$J$238:$J$451),0),
IF('TL02'!$B$3=O$3,SUMIF('TL02'!$C$10:$C$224,$C345,'TL02'!$J$10:$J$224),0),
IF('TL02'!$B$229=O$3,SUMIF('TL02'!$C$238:$C$451,$C345,'TL02'!$J$238:$J$451),0),
IF('TL03'!$B$3=O$3,SUMIF('TL03'!$C$10:$C$224,$C345,'TL03'!$J$10:$J$224),0),
IF('TL03'!$B$229=O$3,SUMIF('TL03'!$C$238:$C$451,$C345,'TL03'!$J$238:$J$451),0),
IF('TL04'!$B$3=O$3,SUMIF('TL04'!$C$10:$C$224,$C345,'TL04'!$J$10:$J$224),0),
IF('TL04'!$B$229=O$3,SUMIF('TL04'!$C$238:$C$451,$C345,'TL04'!$J$238:$J$451),0),
IF('TL05'!$B$3=O$3,SUMIF('TL05'!$C$10:$C$224,$C345,'TL05'!$J$10:$J$224),0),
IF('TL05'!$B$229=O$3,SUMIF('TL05'!$C$238:$C$451,$C345,'TL05'!$J$238:$J$451),0),
IF('TL06'!$B$3=O$3,SUMIF('TL06'!$C$10:$C$224,$C345,'TL06'!$J$10:$J$224),0),
IF('TL06'!$B$229=O$3,SUMIF('TL06'!$C$238:$C$451,$C345,'TL06'!$J$238:$J$451),0),
IF('TL07'!$B$3=O$3,SUMIF('TL07'!$C$10:$C$224,$C345,'TL07'!$J$10:$J$224),0),
IF('TL07'!$B$229=O$3,SUMIF('TL07'!$C$238:$C$451,$C345,'TL07'!$J$238:$J$451),0),
IF('TL08'!$B$3=O$3,SUMIF('TL08'!$C$10:$C$224,$C345,'TL08'!$J$10:$J$224),0),
IF('TL08'!$B$229=O$3,SUMIF('TL08'!$C$238:$C$451,$C345,'TL08'!$J$238:$J$451),0),
IF('TL09'!$B$3=O$3,SUMIF('TL09'!$C$10:$C$224,$C345,'TL09'!$J$10:$J$224),0),
IF('TL09'!$B$229=O$3,SUMIF('TL09'!$C$238:$C$451,$C345,'TL09'!$J$238:$J$451),0),
IF('TL10'!$B$3=O$3,SUMIF('TL10'!$C$10:$C$224,$C345,'TL10'!$J$10:$J$224),0),
IF('TL10'!$B$229=O$3,SUMIF('TL10'!$C$238:$C$451,$C345,'TL10'!$J$238:$J$451),0),
IF('TL11'!$B$3=O$3,SUMIF('TL11'!$C$10:$C$224,$C345,'TL11'!$J$10:$J$224),0),
IF('TL11'!$B$229=O$3,SUMIF('TL11'!$C$238:$C$451,$C345,'TL11'!$J$238:$J$451),0),
IF('TL12'!$B$3=O$3,SUMIF('TL12'!$C$10:$C$224,$C345,'TL12'!$J$10:$J$224),0),
IF('TL12'!$B$229=O$3,SUMIF('TL12'!$C$238:$C$451,$C345,'TL12'!$J$238:$J$451),0),
IF('TL13'!$B$3=O$3,SUMIF('TL13'!$C$10:$C$224,$C345,'TL13'!$J$10:$J$224),0),
IF('TL13'!$B$229=O$3,SUMIF('TL13'!$C$238:$C$451,$C345,'TL13'!$J$238:$J$451),0),
IF('TL14'!$B$3=O$3,SUMIF('TL14'!$C$10:$C$224,$C345,'TL14'!$J$10:$J$224),0),
IF('TL14'!$B$229=O$3,SUMIF('TL14'!$C$238:$C$451,$C345,'TL14'!$J$238:$J$451),0),
IF('TL15'!$B$3=O$3,SUMIF('TL15'!$C$10:$C$224,$C345,'TL15'!$J$10:$J$224),0),
IF('TL15'!$B$229=O$3,SUMIF('TL15'!$C$238:$C$451,$C345,'TL15'!$J$238:$J$451),0),
IF('TL16'!$B$3=O$3,SUMIF('TL16'!$C$10:$C$224,$C345,'TL16'!$J$10:$J$224),0),
IF('TL16'!$B$229=O$3,SUMIF('TL16'!$C$238:$C$451,$C345,'TL16'!$J$238:$J$451),0),
IF('TL17'!$B$3=O$3,SUMIF('TL17'!$C$10:$C$224,$C345,'TL17'!$J$10:$J$224),0),
IF('TL17'!$B$229=O$3,SUMIF('TL17'!$C$238:$C$451,$C345,'TL17'!$J$238:$J$451),0),
IF('TL18'!$B$3=O$3,SUMIF('TL18'!$C$10:$C$224,$C345,'TL18'!$J$10:$J$224),0),
IF('TL18'!$B$229=O$3,SUMIF('TL18'!$C$238:$C$451,$C345,'TL18'!$J$238:$J$451),0),
IF('TL19'!$B$3=O$3,SUMIF('TL19'!$C$10:$C$224,$C345,'TL19'!$J$10:$J$224),0),
IF('TL19'!$B$229=O$3,SUMIF('TL19'!$C$238:$C$451,$C345,'TL19'!$J$238:$J$451),0)
),0)</f>
        <v/>
      </c>
      <c r="P345" s="9">
        <f>IFERROR(SUM(
IF('TL01'!$B$3=P$3,SUMIF('TL01'!$C$10:$C$224,$C345,'TL01'!$J$10:$J$224),0),
IF('TL01'!$B$229=P$3,SUMIF('TL01'!$C$238:$C$451,$C345,'TL01'!$J$238:$J$451),0),
IF('TL02'!$B$3=P$3,SUMIF('TL02'!$C$10:$C$224,$C345,'TL02'!$J$10:$J$224),0),
IF('TL02'!$B$229=P$3,SUMIF('TL02'!$C$238:$C$451,$C345,'TL02'!$J$238:$J$451),0),
IF('TL03'!$B$3=P$3,SUMIF('TL03'!$C$10:$C$224,$C345,'TL03'!$J$10:$J$224),0),
IF('TL03'!$B$229=P$3,SUMIF('TL03'!$C$238:$C$451,$C345,'TL03'!$J$238:$J$451),0),
IF('TL04'!$B$3=P$3,SUMIF('TL04'!$C$10:$C$224,$C345,'TL04'!$J$10:$J$224),0),
IF('TL04'!$B$229=P$3,SUMIF('TL04'!$C$238:$C$451,$C345,'TL04'!$J$238:$J$451),0),
IF('TL05'!$B$3=P$3,SUMIF('TL05'!$C$10:$C$224,$C345,'TL05'!$J$10:$J$224),0),
IF('TL05'!$B$229=P$3,SUMIF('TL05'!$C$238:$C$451,$C345,'TL05'!$J$238:$J$451),0),
IF('TL06'!$B$3=P$3,SUMIF('TL06'!$C$10:$C$224,$C345,'TL06'!$J$10:$J$224),0),
IF('TL06'!$B$229=P$3,SUMIF('TL06'!$C$238:$C$451,$C345,'TL06'!$J$238:$J$451),0),
IF('TL07'!$B$3=P$3,SUMIF('TL07'!$C$10:$C$224,$C345,'TL07'!$J$10:$J$224),0),
IF('TL07'!$B$229=P$3,SUMIF('TL07'!$C$238:$C$451,$C345,'TL07'!$J$238:$J$451),0),
IF('TL08'!$B$3=P$3,SUMIF('TL08'!$C$10:$C$224,$C345,'TL08'!$J$10:$J$224),0),
IF('TL08'!$B$229=P$3,SUMIF('TL08'!$C$238:$C$451,$C345,'TL08'!$J$238:$J$451),0),
IF('TL09'!$B$3=P$3,SUMIF('TL09'!$C$10:$C$224,$C345,'TL09'!$J$10:$J$224),0),
IF('TL09'!$B$229=P$3,SUMIF('TL09'!$C$238:$C$451,$C345,'TL09'!$J$238:$J$451),0),
IF('TL10'!$B$3=P$3,SUMIF('TL10'!$C$10:$C$224,$C345,'TL10'!$J$10:$J$224),0),
IF('TL10'!$B$229=P$3,SUMIF('TL10'!$C$238:$C$451,$C345,'TL10'!$J$238:$J$451),0),
IF('TL11'!$B$3=P$3,SUMIF('TL11'!$C$10:$C$224,$C345,'TL11'!$J$10:$J$224),0),
IF('TL11'!$B$229=P$3,SUMIF('TL11'!$C$238:$C$451,$C345,'TL11'!$J$238:$J$451),0),
IF('TL12'!$B$3=P$3,SUMIF('TL12'!$C$10:$C$224,$C345,'TL12'!$J$10:$J$224),0),
IF('TL12'!$B$229=P$3,SUMIF('TL12'!$C$238:$C$451,$C345,'TL12'!$J$238:$J$451),0),
IF('TL13'!$B$3=P$3,SUMIF('TL13'!$C$10:$C$224,$C345,'TL13'!$J$10:$J$224),0),
IF('TL13'!$B$229=P$3,SUMIF('TL13'!$C$238:$C$451,$C345,'TL13'!$J$238:$J$451),0),
IF('TL14'!$B$3=P$3,SUMIF('TL14'!$C$10:$C$224,$C345,'TL14'!$J$10:$J$224),0),
IF('TL14'!$B$229=P$3,SUMIF('TL14'!$C$238:$C$451,$C345,'TL14'!$J$238:$J$451),0),
IF('TL15'!$B$3=P$3,SUMIF('TL15'!$C$10:$C$224,$C345,'TL15'!$J$10:$J$224),0),
IF('TL15'!$B$229=P$3,SUMIF('TL15'!$C$238:$C$451,$C345,'TL15'!$J$238:$J$451),0),
IF('TL16'!$B$3=P$3,SUMIF('TL16'!$C$10:$C$224,$C345,'TL16'!$J$10:$J$224),0),
IF('TL16'!$B$229=P$3,SUMIF('TL16'!$C$238:$C$451,$C345,'TL16'!$J$238:$J$451),0),
IF('TL17'!$B$3=P$3,SUMIF('TL17'!$C$10:$C$224,$C345,'TL17'!$J$10:$J$224),0),
IF('TL17'!$B$229=P$3,SUMIF('TL17'!$C$238:$C$451,$C345,'TL17'!$J$238:$J$451),0),
IF('TL18'!$B$3=P$3,SUMIF('TL18'!$C$10:$C$224,$C345,'TL18'!$J$10:$J$224),0),
IF('TL18'!$B$229=P$3,SUMIF('TL18'!$C$238:$C$451,$C345,'TL18'!$J$238:$J$451),0),
IF('TL19'!$B$3=P$3,SUMIF('TL19'!$C$10:$C$224,$C345,'TL19'!$J$10:$J$224),0),
IF('TL19'!$B$229=P$3,SUMIF('TL19'!$C$238:$C$451,$C345,'TL19'!$J$238:$J$451),0)
),0)</f>
        <v/>
      </c>
      <c r="Q345" s="9">
        <f>IFERROR(SUM(
IF('TL01'!$B$3=Q$3,SUMIF('TL01'!$C$10:$C$224,$C345,'TL01'!$J$10:$J$224),0),
IF('TL01'!$B$229=Q$3,SUMIF('TL01'!$C$238:$C$451,$C345,'TL01'!$J$238:$J$451),0),
IF('TL02'!$B$3=Q$3,SUMIF('TL02'!$C$10:$C$224,$C345,'TL02'!$J$10:$J$224),0),
IF('TL02'!$B$229=Q$3,SUMIF('TL02'!$C$238:$C$451,$C345,'TL02'!$J$238:$J$451),0),
IF('TL03'!$B$3=Q$3,SUMIF('TL03'!$C$10:$C$224,$C345,'TL03'!$J$10:$J$224),0),
IF('TL03'!$B$229=Q$3,SUMIF('TL03'!$C$238:$C$451,$C345,'TL03'!$J$238:$J$451),0),
IF('TL04'!$B$3=Q$3,SUMIF('TL04'!$C$10:$C$224,$C345,'TL04'!$J$10:$J$224),0),
IF('TL04'!$B$229=Q$3,SUMIF('TL04'!$C$238:$C$451,$C345,'TL04'!$J$238:$J$451),0),
IF('TL05'!$B$3=Q$3,SUMIF('TL05'!$C$10:$C$224,$C345,'TL05'!$J$10:$J$224),0),
IF('TL05'!$B$229=Q$3,SUMIF('TL05'!$C$238:$C$451,$C345,'TL05'!$J$238:$J$451),0),
IF('TL06'!$B$3=Q$3,SUMIF('TL06'!$C$10:$C$224,$C345,'TL06'!$J$10:$J$224),0),
IF('TL06'!$B$229=Q$3,SUMIF('TL06'!$C$238:$C$451,$C345,'TL06'!$J$238:$J$451),0),
IF('TL07'!$B$3=Q$3,SUMIF('TL07'!$C$10:$C$224,$C345,'TL07'!$J$10:$J$224),0),
IF('TL07'!$B$229=Q$3,SUMIF('TL07'!$C$238:$C$451,$C345,'TL07'!$J$238:$J$451),0),
IF('TL08'!$B$3=Q$3,SUMIF('TL08'!$C$10:$C$224,$C345,'TL08'!$J$10:$J$224),0),
IF('TL08'!$B$229=Q$3,SUMIF('TL08'!$C$238:$C$451,$C345,'TL08'!$J$238:$J$451),0),
IF('TL09'!$B$3=Q$3,SUMIF('TL09'!$C$10:$C$224,$C345,'TL09'!$J$10:$J$224),0),
IF('TL09'!$B$229=Q$3,SUMIF('TL09'!$C$238:$C$451,$C345,'TL09'!$J$238:$J$451),0),
IF('TL10'!$B$3=Q$3,SUMIF('TL10'!$C$10:$C$224,$C345,'TL10'!$J$10:$J$224),0),
IF('TL10'!$B$229=Q$3,SUMIF('TL10'!$C$238:$C$451,$C345,'TL10'!$J$238:$J$451),0),
IF('TL11'!$B$3=Q$3,SUMIF('TL11'!$C$10:$C$224,$C345,'TL11'!$J$10:$J$224),0),
IF('TL11'!$B$229=Q$3,SUMIF('TL11'!$C$238:$C$451,$C345,'TL11'!$J$238:$J$451),0),
IF('TL12'!$B$3=Q$3,SUMIF('TL12'!$C$10:$C$224,$C345,'TL12'!$J$10:$J$224),0),
IF('TL12'!$B$229=Q$3,SUMIF('TL12'!$C$238:$C$451,$C345,'TL12'!$J$238:$J$451),0),
IF('TL13'!$B$3=Q$3,SUMIF('TL13'!$C$10:$C$224,$C345,'TL13'!$J$10:$J$224),0),
IF('TL13'!$B$229=Q$3,SUMIF('TL13'!$C$238:$C$451,$C345,'TL13'!$J$238:$J$451),0),
IF('TL14'!$B$3=Q$3,SUMIF('TL14'!$C$10:$C$224,$C345,'TL14'!$J$10:$J$224),0),
IF('TL14'!$B$229=Q$3,SUMIF('TL14'!$C$238:$C$451,$C345,'TL14'!$J$238:$J$451),0),
IF('TL15'!$B$3=Q$3,SUMIF('TL15'!$C$10:$C$224,$C345,'TL15'!$J$10:$J$224),0),
IF('TL15'!$B$229=Q$3,SUMIF('TL15'!$C$238:$C$451,$C345,'TL15'!$J$238:$J$451),0),
IF('TL16'!$B$3=Q$3,SUMIF('TL16'!$C$10:$C$224,$C345,'TL16'!$J$10:$J$224),0),
IF('TL16'!$B$229=Q$3,SUMIF('TL16'!$C$238:$C$451,$C345,'TL16'!$J$238:$J$451),0),
IF('TL17'!$B$3=Q$3,SUMIF('TL17'!$C$10:$C$224,$C345,'TL17'!$J$10:$J$224),0),
IF('TL17'!$B$229=Q$3,SUMIF('TL17'!$C$238:$C$451,$C345,'TL17'!$J$238:$J$451),0),
IF('TL18'!$B$3=Q$3,SUMIF('TL18'!$C$10:$C$224,$C345,'TL18'!$J$10:$J$224),0),
IF('TL18'!$B$229=Q$3,SUMIF('TL18'!$C$238:$C$451,$C345,'TL18'!$J$238:$J$451),0),
IF('TL19'!$B$3=Q$3,SUMIF('TL19'!$C$10:$C$224,$C345,'TL19'!$J$10:$J$224),0),
IF('TL19'!$B$229=Q$3,SUMIF('TL19'!$C$238:$C$451,$C345,'TL19'!$J$238:$J$451),0)
),0)</f>
        <v/>
      </c>
      <c r="R345" s="9">
        <f>IFERROR(
SUM(
SUMIF('TL01'!C:C,C345,'TL01'!J:J),
SUMIF('TL02'!C:C,C345,'TL02'!J:J),
SUMIF('TL03'!C:C,C345,'TL03'!J:J),
SUMIF('TL04'!C:C,C345,'TL04'!J:J),
SUMIF('TL05'!C:C,C345,'TL05'!J:J),
SUMIF('TL06'!C:C,C345,'TL06'!J:J),
SUMIF('TL07'!C:C,C345,'TL07'!J:J),
SUMIF('TL08'!C:C,C345,'TL08'!J:J),
SUMIF('TL09'!C:C,C345,'TL09'!J:J),
SUMIF('TL10'!C:C,C345,'TL10'!J:J),
SUMIF('TL11'!C:C,C345,'TL11'!J:J),
SUMIF('TL12'!C:C,C345,'TL12'!J:J),
SUMIF('TL13'!C:C,C345,'TL13'!J:J),
SUMIF('TL14'!C:C,C345,'TL14'!J:J),
SUMIF('TL15'!C:C,C345,'TL15'!J:J),
SUMIF('TL16'!C:C,C345,'TL16'!J:J),
SUMIF('TL17'!C:C,C345,'TL17'!J:J),
SUMIF('TL18'!C:C,C345,'TL18'!J:J),SUMIF('TL19'!C:C,C345,'TL19'!J:J))
,0)</f>
        <v/>
      </c>
      <c r="S345" s="17">
        <f>IFERROR(__xludf.DUMMYFUNCTION("IFERROR(VLOOKUP(C345,
IMPORTRANGE(""1wULbzX32WdYsx-lj2U3uUNBBe2INVIRDtcK0d-Dvl90"",
""26-27!C:G""),
5,
FALSE),
"""")"),"")</f>
        <v/>
      </c>
      <c r="T345" s="9" t="n"/>
      <c r="U345" s="92">
        <f>MAX(0,R345-T345)</f>
        <v/>
      </c>
      <c r="V345" s="93">
        <f>U345*S345</f>
        <v/>
      </c>
    </row>
    <row r="346" hidden="1" ht="15.75" customHeight="1" s="297">
      <c r="A346" s="4" t="n"/>
      <c r="B346" s="125" t="inlineStr">
        <is>
          <t>SEMENTE</t>
        </is>
      </c>
      <c r="C346" s="4" t="inlineStr">
        <is>
          <t>BRACHIARIA BASICA</t>
        </is>
      </c>
      <c r="D346" s="20" t="n"/>
      <c r="E346" s="9" t="n"/>
      <c r="F346" s="4" t="inlineStr">
        <is>
          <t>KG</t>
        </is>
      </c>
      <c r="G346" s="90">
        <f>HYPERLINK("https://www.google.com/search?q=" &amp; C346 &amp; "+bula+agrofit+pdf", "📄 Ver bula")</f>
        <v/>
      </c>
      <c r="H346" s="9" t="n"/>
      <c r="I346" s="1" t="inlineStr">
        <is>
          <t>BAG</t>
        </is>
      </c>
      <c r="J346" s="9">
        <f>IFERROR(SUM(
IF('TL01'!$B$3=J$3,SUMIF('TL01'!$C$10:$C$224,$C346,'TL01'!$J$10:$J$224),0),
IF('TL01'!$B$229=J$3,SUMIF('TL01'!$C$238:$C$451,$C346,'TL01'!$J$238:$J$451),0),
IF('TL02'!$B$3=J$3,SUMIF('TL02'!$C$10:$C$224,$C346,'TL02'!$J$10:$J$224),0),
IF('TL02'!$B$229=J$3,SUMIF('TL02'!$C$238:$C$451,$C346,'TL02'!$J$238:$J$451),0),
IF('TL03'!$B$3=J$3,SUMIF('TL03'!$C$10:$C$224,$C346,'TL03'!$J$10:$J$224),0),
IF('TL03'!$B$229=J$3,SUMIF('TL03'!$C$238:$C$451,$C346,'TL03'!$J$238:$J$451),0),
IF('TL04'!$B$3=J$3,SUMIF('TL04'!$C$10:$C$224,$C346,'TL04'!$J$10:$J$224),0),
IF('TL04'!$B$229=J$3,SUMIF('TL04'!$C$238:$C$451,$C346,'TL04'!$J$238:$J$451),0),
IF('TL05'!$B$3=J$3,SUMIF('TL05'!$C$10:$C$224,$C346,'TL05'!$J$10:$J$224),0),
IF('TL05'!$B$229=J$3,SUMIF('TL05'!$C$238:$C$451,$C346,'TL05'!$J$238:$J$451),0),
IF('TL06'!$B$3=J$3,SUMIF('TL06'!$C$10:$C$224,$C346,'TL06'!$J$10:$J$224),0),
IF('TL06'!$B$229=J$3,SUMIF('TL06'!$C$238:$C$451,$C346,'TL06'!$J$238:$J$451),0),
IF('TL07'!$B$3=J$3,SUMIF('TL07'!$C$10:$C$224,$C346,'TL07'!$J$10:$J$224),0),
IF('TL07'!$B$229=J$3,SUMIF('TL07'!$C$238:$C$451,$C346,'TL07'!$J$238:$J$451),0),
IF('TL08'!$B$3=J$3,SUMIF('TL08'!$C$10:$C$224,$C346,'TL08'!$J$10:$J$224),0),
IF('TL08'!$B$229=J$3,SUMIF('TL08'!$C$238:$C$451,$C346,'TL08'!$J$238:$J$451),0),
IF('TL09'!$B$3=J$3,SUMIF('TL09'!$C$10:$C$224,$C346,'TL09'!$J$10:$J$224),0),
IF('TL09'!$B$229=J$3,SUMIF('TL09'!$C$238:$C$451,$C346,'TL09'!$J$238:$J$451),0),
IF('TL10'!$B$3=J$3,SUMIF('TL10'!$C$10:$C$224,$C346,'TL10'!$J$10:$J$224),0),
IF('TL10'!$B$229=J$3,SUMIF('TL10'!$C$238:$C$451,$C346,'TL10'!$J$238:$J$451),0),
IF('TL11'!$B$3=J$3,SUMIF('TL11'!$C$10:$C$224,$C346,'TL11'!$J$10:$J$224),0),
IF('TL11'!$B$229=J$3,SUMIF('TL11'!$C$238:$C$451,$C346,'TL11'!$J$238:$J$451),0),
IF('TL12'!$B$3=J$3,SUMIF('TL12'!$C$10:$C$224,$C346,'TL12'!$J$10:$J$224),0),
IF('TL12'!$B$229=J$3,SUMIF('TL12'!$C$238:$C$451,$C346,'TL12'!$J$238:$J$451),0),
IF('TL13'!$B$3=J$3,SUMIF('TL13'!$C$10:$C$224,$C346,'TL13'!$J$10:$J$224),0),
IF('TL13'!$B$229=J$3,SUMIF('TL13'!$C$238:$C$451,$C346,'TL13'!$J$238:$J$451),0),
IF('TL14'!$B$3=J$3,SUMIF('TL14'!$C$10:$C$224,$C346,'TL14'!$J$10:$J$224),0),
IF('TL14'!$B$229=J$3,SUMIF('TL14'!$C$238:$C$451,$C346,'TL14'!$J$238:$J$451),0),
IF('TL15'!$B$3=J$3,SUMIF('TL15'!$C$10:$C$224,$C346,'TL15'!$J$10:$J$224),0),
IF('TL15'!$B$229=J$3,SUMIF('TL15'!$C$238:$C$451,$C346,'TL15'!$J$238:$J$451),0),
IF('TL16'!$B$3=J$3,SUMIF('TL16'!$C$10:$C$224,$C346,'TL16'!$J$10:$J$224),0),
IF('TL16'!$B$229=J$3,SUMIF('TL16'!$C$238:$C$451,$C346,'TL16'!$J$238:$J$451),0),
IF('TL17'!$B$3=J$3,SUMIF('TL17'!$C$10:$C$224,$C346,'TL17'!$J$10:$J$224),0),
IF('TL17'!$B$229=J$3,SUMIF('TL17'!$C$238:$C$451,$C346,'TL17'!$J$238:$J$451),0),
IF('TL18'!$B$3=J$3,SUMIF('TL18'!$C$10:$C$224,$C346,'TL18'!$J$10:$J$224),0),
IF('TL18'!$B$229=J$3,SUMIF('TL18'!$C$238:$C$451,$C346,'TL18'!$J$238:$J$451),0),
IF('TL19'!$B$3=J$3,SUMIF('TL19'!$C$10:$C$224,$C346,'TL19'!$J$10:$J$224),0),
IF('TL19'!$B$229=J$3,SUMIF('TL19'!$C$238:$C$451,$C346,'TL19'!$J$238:$J$451),0)
),0)</f>
        <v/>
      </c>
      <c r="K346" s="9">
        <f>IFERROR(SUM(
IF('TL01'!$B$3=K$3,SUMIF('TL01'!$C$10:$C$224,$C346,'TL01'!$J$10:$J$224),0),
IF('TL01'!$B$229=K$3,SUMIF('TL01'!$C$238:$C$451,$C346,'TL01'!$J$238:$J$451),0),
IF('TL02'!$B$3=K$3,SUMIF('TL02'!$C$10:$C$224,$C346,'TL02'!$J$10:$J$224),0),
IF('TL02'!$B$229=K$3,SUMIF('TL02'!$C$238:$C$451,$C346,'TL02'!$J$238:$J$451),0),
IF('TL03'!$B$3=K$3,SUMIF('TL03'!$C$10:$C$224,$C346,'TL03'!$J$10:$J$224),0),
IF('TL03'!$B$229=K$3,SUMIF('TL03'!$C$238:$C$451,$C346,'TL03'!$J$238:$J$451),0),
IF('TL04'!$B$3=K$3,SUMIF('TL04'!$C$10:$C$224,$C346,'TL04'!$J$10:$J$224),0),
IF('TL04'!$B$229=K$3,SUMIF('TL04'!$C$238:$C$451,$C346,'TL04'!$J$238:$J$451),0),
IF('TL05'!$B$3=K$3,SUMIF('TL05'!$C$10:$C$224,$C346,'TL05'!$J$10:$J$224),0),
IF('TL05'!$B$229=K$3,SUMIF('TL05'!$C$238:$C$451,$C346,'TL05'!$J$238:$J$451),0),
IF('TL06'!$B$3=K$3,SUMIF('TL06'!$C$10:$C$224,$C346,'TL06'!$J$10:$J$224),0),
IF('TL06'!$B$229=K$3,SUMIF('TL06'!$C$238:$C$451,$C346,'TL06'!$J$238:$J$451),0),
IF('TL07'!$B$3=K$3,SUMIF('TL07'!$C$10:$C$224,$C346,'TL07'!$J$10:$J$224),0),
IF('TL07'!$B$229=K$3,SUMIF('TL07'!$C$238:$C$451,$C346,'TL07'!$J$238:$J$451),0),
IF('TL08'!$B$3=K$3,SUMIF('TL08'!$C$10:$C$224,$C346,'TL08'!$J$10:$J$224),0),
IF('TL08'!$B$229=K$3,SUMIF('TL08'!$C$238:$C$451,$C346,'TL08'!$J$238:$J$451),0),
IF('TL09'!$B$3=K$3,SUMIF('TL09'!$C$10:$C$224,$C346,'TL09'!$J$10:$J$224),0),
IF('TL09'!$B$229=K$3,SUMIF('TL09'!$C$238:$C$451,$C346,'TL09'!$J$238:$J$451),0),
IF('TL10'!$B$3=K$3,SUMIF('TL10'!$C$10:$C$224,$C346,'TL10'!$J$10:$J$224),0),
IF('TL10'!$B$229=K$3,SUMIF('TL10'!$C$238:$C$451,$C346,'TL10'!$J$238:$J$451),0),
IF('TL11'!$B$3=K$3,SUMIF('TL11'!$C$10:$C$224,$C346,'TL11'!$J$10:$J$224),0),
IF('TL11'!$B$229=K$3,SUMIF('TL11'!$C$238:$C$451,$C346,'TL11'!$J$238:$J$451),0),
IF('TL12'!$B$3=K$3,SUMIF('TL12'!$C$10:$C$224,$C346,'TL12'!$J$10:$J$224),0),
IF('TL12'!$B$229=K$3,SUMIF('TL12'!$C$238:$C$451,$C346,'TL12'!$J$238:$J$451),0),
IF('TL13'!$B$3=K$3,SUMIF('TL13'!$C$10:$C$224,$C346,'TL13'!$J$10:$J$224),0),
IF('TL13'!$B$229=K$3,SUMIF('TL13'!$C$238:$C$451,$C346,'TL13'!$J$238:$J$451),0),
IF('TL14'!$B$3=K$3,SUMIF('TL14'!$C$10:$C$224,$C346,'TL14'!$J$10:$J$224),0),
IF('TL14'!$B$229=K$3,SUMIF('TL14'!$C$238:$C$451,$C346,'TL14'!$J$238:$J$451),0),
IF('TL15'!$B$3=K$3,SUMIF('TL15'!$C$10:$C$224,$C346,'TL15'!$J$10:$J$224),0),
IF('TL15'!$B$229=K$3,SUMIF('TL15'!$C$238:$C$451,$C346,'TL15'!$J$238:$J$451),0),
IF('TL16'!$B$3=K$3,SUMIF('TL16'!$C$10:$C$224,$C346,'TL16'!$J$10:$J$224),0),
IF('TL16'!$B$229=K$3,SUMIF('TL16'!$C$238:$C$451,$C346,'TL16'!$J$238:$J$451),0),
IF('TL17'!$B$3=K$3,SUMIF('TL17'!$C$10:$C$224,$C346,'TL17'!$J$10:$J$224),0),
IF('TL17'!$B$229=K$3,SUMIF('TL17'!$C$238:$C$451,$C346,'TL17'!$J$238:$J$451),0),
IF('TL18'!$B$3=K$3,SUMIF('TL18'!$C$10:$C$224,$C346,'TL18'!$J$10:$J$224),0),
IF('TL18'!$B$229=K$3,SUMIF('TL18'!$C$238:$C$451,$C346,'TL18'!$J$238:$J$451),0),
IF('TL19'!$B$3=K$3,SUMIF('TL19'!$C$10:$C$224,$C346,'TL19'!$J$10:$J$224),0),
IF('TL19'!$B$229=K$3,SUMIF('TL19'!$C$238:$C$451,$C346,'TL19'!$J$238:$J$451),0)
),0)</f>
        <v/>
      </c>
      <c r="L346" s="9">
        <f>IFERROR(SUM(
IF('TL01'!$B$3=L$3,SUMIF('TL01'!$C$10:$C$224,$C346,'TL01'!$J$10:$J$224),0),
IF('TL01'!$B$229=L$3,SUMIF('TL01'!$C$238:$C$451,$C346,'TL01'!$J$238:$J$451),0),
IF('TL02'!$B$3=L$3,SUMIF('TL02'!$C$10:$C$224,$C346,'TL02'!$J$10:$J$224),0),
IF('TL02'!$B$229=L$3,SUMIF('TL02'!$C$238:$C$451,$C346,'TL02'!$J$238:$J$451),0),
IF('TL03'!$B$3=L$3,SUMIF('TL03'!$C$10:$C$224,$C346,'TL03'!$J$10:$J$224),0),
IF('TL03'!$B$229=L$3,SUMIF('TL03'!$C$238:$C$451,$C346,'TL03'!$J$238:$J$451),0),
IF('TL04'!$B$3=L$3,SUMIF('TL04'!$C$10:$C$224,$C346,'TL04'!$J$10:$J$224),0),
IF('TL04'!$B$229=L$3,SUMIF('TL04'!$C$238:$C$451,$C346,'TL04'!$J$238:$J$451),0),
IF('TL05'!$B$3=L$3,SUMIF('TL05'!$C$10:$C$224,$C346,'TL05'!$J$10:$J$224),0),
IF('TL05'!$B$229=L$3,SUMIF('TL05'!$C$238:$C$451,$C346,'TL05'!$J$238:$J$451),0),
IF('TL06'!$B$3=L$3,SUMIF('TL06'!$C$10:$C$224,$C346,'TL06'!$J$10:$J$224),0),
IF('TL06'!$B$229=L$3,SUMIF('TL06'!$C$238:$C$451,$C346,'TL06'!$J$238:$J$451),0),
IF('TL07'!$B$3=L$3,SUMIF('TL07'!$C$10:$C$224,$C346,'TL07'!$J$10:$J$224),0),
IF('TL07'!$B$229=L$3,SUMIF('TL07'!$C$238:$C$451,$C346,'TL07'!$J$238:$J$451),0),
IF('TL08'!$B$3=L$3,SUMIF('TL08'!$C$10:$C$224,$C346,'TL08'!$J$10:$J$224),0),
IF('TL08'!$B$229=L$3,SUMIF('TL08'!$C$238:$C$451,$C346,'TL08'!$J$238:$J$451),0),
IF('TL09'!$B$3=L$3,SUMIF('TL09'!$C$10:$C$224,$C346,'TL09'!$J$10:$J$224),0),
IF('TL09'!$B$229=L$3,SUMIF('TL09'!$C$238:$C$451,$C346,'TL09'!$J$238:$J$451),0),
IF('TL10'!$B$3=L$3,SUMIF('TL10'!$C$10:$C$224,$C346,'TL10'!$J$10:$J$224),0),
IF('TL10'!$B$229=L$3,SUMIF('TL10'!$C$238:$C$451,$C346,'TL10'!$J$238:$J$451),0),
IF('TL11'!$B$3=L$3,SUMIF('TL11'!$C$10:$C$224,$C346,'TL11'!$J$10:$J$224),0),
IF('TL11'!$B$229=L$3,SUMIF('TL11'!$C$238:$C$451,$C346,'TL11'!$J$238:$J$451),0),
IF('TL12'!$B$3=L$3,SUMIF('TL12'!$C$10:$C$224,$C346,'TL12'!$J$10:$J$224),0),
IF('TL12'!$B$229=L$3,SUMIF('TL12'!$C$238:$C$451,$C346,'TL12'!$J$238:$J$451),0),
IF('TL13'!$B$3=L$3,SUMIF('TL13'!$C$10:$C$224,$C346,'TL13'!$J$10:$J$224),0),
IF('TL13'!$B$229=L$3,SUMIF('TL13'!$C$238:$C$451,$C346,'TL13'!$J$238:$J$451),0),
IF('TL14'!$B$3=L$3,SUMIF('TL14'!$C$10:$C$224,$C346,'TL14'!$J$10:$J$224),0),
IF('TL14'!$B$229=L$3,SUMIF('TL14'!$C$238:$C$451,$C346,'TL14'!$J$238:$J$451),0),
IF('TL15'!$B$3=L$3,SUMIF('TL15'!$C$10:$C$224,$C346,'TL15'!$J$10:$J$224),0),
IF('TL15'!$B$229=L$3,SUMIF('TL15'!$C$238:$C$451,$C346,'TL15'!$J$238:$J$451),0),
IF('TL16'!$B$3=L$3,SUMIF('TL16'!$C$10:$C$224,$C346,'TL16'!$J$10:$J$224),0),
IF('TL16'!$B$229=L$3,SUMIF('TL16'!$C$238:$C$451,$C346,'TL16'!$J$238:$J$451),0),
IF('TL17'!$B$3=L$3,SUMIF('TL17'!$C$10:$C$224,$C346,'TL17'!$J$10:$J$224),0),
IF('TL17'!$B$229=L$3,SUMIF('TL17'!$C$238:$C$451,$C346,'TL17'!$J$238:$J$451),0),
IF('TL18'!$B$3=L$3,SUMIF('TL18'!$C$10:$C$224,$C346,'TL18'!$J$10:$J$224),0),
IF('TL18'!$B$229=L$3,SUMIF('TL18'!$C$238:$C$451,$C346,'TL18'!$J$238:$J$451),0),
IF('TL19'!$B$3=L$3,SUMIF('TL19'!$C$10:$C$224,$C346,'TL19'!$J$10:$J$224),0),
IF('TL19'!$B$229=L$3,SUMIF('TL19'!$C$238:$C$451,$C346,'TL19'!$J$238:$J$451),0)
),0)</f>
        <v/>
      </c>
      <c r="M346" s="9">
        <f>IFERROR(SUM(
IF('TL01'!$B$3=M$3,SUMIF('TL01'!$C$10:$C$224,$C346,'TL01'!$J$10:$J$224),0),
IF('TL01'!$B$229=M$3,SUMIF('TL01'!$C$238:$C$451,$C346,'TL01'!$J$238:$J$451),0),
IF('TL02'!$B$3=M$3,SUMIF('TL02'!$C$10:$C$224,$C346,'TL02'!$J$10:$J$224),0),
IF('TL02'!$B$229=M$3,SUMIF('TL02'!$C$238:$C$451,$C346,'TL02'!$J$238:$J$451),0),
IF('TL03'!$B$3=M$3,SUMIF('TL03'!$C$10:$C$224,$C346,'TL03'!$J$10:$J$224),0),
IF('TL03'!$B$229=M$3,SUMIF('TL03'!$C$238:$C$451,$C346,'TL03'!$J$238:$J$451),0),
IF('TL04'!$B$3=M$3,SUMIF('TL04'!$C$10:$C$224,$C346,'TL04'!$J$10:$J$224),0),
IF('TL04'!$B$229=M$3,SUMIF('TL04'!$C$238:$C$451,$C346,'TL04'!$J$238:$J$451),0),
IF('TL05'!$B$3=M$3,SUMIF('TL05'!$C$10:$C$224,$C346,'TL05'!$J$10:$J$224),0),
IF('TL05'!$B$229=M$3,SUMIF('TL05'!$C$238:$C$451,$C346,'TL05'!$J$238:$J$451),0),
IF('TL06'!$B$3=M$3,SUMIF('TL06'!$C$10:$C$224,$C346,'TL06'!$J$10:$J$224),0),
IF('TL06'!$B$229=M$3,SUMIF('TL06'!$C$238:$C$451,$C346,'TL06'!$J$238:$J$451),0),
IF('TL07'!$B$3=M$3,SUMIF('TL07'!$C$10:$C$224,$C346,'TL07'!$J$10:$J$224),0),
IF('TL07'!$B$229=M$3,SUMIF('TL07'!$C$238:$C$451,$C346,'TL07'!$J$238:$J$451),0),
IF('TL08'!$B$3=M$3,SUMIF('TL08'!$C$10:$C$224,$C346,'TL08'!$J$10:$J$224),0),
IF('TL08'!$B$229=M$3,SUMIF('TL08'!$C$238:$C$451,$C346,'TL08'!$J$238:$J$451),0),
IF('TL09'!$B$3=M$3,SUMIF('TL09'!$C$10:$C$224,$C346,'TL09'!$J$10:$J$224),0),
IF('TL09'!$B$229=M$3,SUMIF('TL09'!$C$238:$C$451,$C346,'TL09'!$J$238:$J$451),0),
IF('TL10'!$B$3=M$3,SUMIF('TL10'!$C$10:$C$224,$C346,'TL10'!$J$10:$J$224),0),
IF('TL10'!$B$229=M$3,SUMIF('TL10'!$C$238:$C$451,$C346,'TL10'!$J$238:$J$451),0),
IF('TL11'!$B$3=M$3,SUMIF('TL11'!$C$10:$C$224,$C346,'TL11'!$J$10:$J$224),0),
IF('TL11'!$B$229=M$3,SUMIF('TL11'!$C$238:$C$451,$C346,'TL11'!$J$238:$J$451),0),
IF('TL12'!$B$3=M$3,SUMIF('TL12'!$C$10:$C$224,$C346,'TL12'!$J$10:$J$224),0),
IF('TL12'!$B$229=M$3,SUMIF('TL12'!$C$238:$C$451,$C346,'TL12'!$J$238:$J$451),0),
IF('TL13'!$B$3=M$3,SUMIF('TL13'!$C$10:$C$224,$C346,'TL13'!$J$10:$J$224),0),
IF('TL13'!$B$229=M$3,SUMIF('TL13'!$C$238:$C$451,$C346,'TL13'!$J$238:$J$451),0),
IF('TL14'!$B$3=M$3,SUMIF('TL14'!$C$10:$C$224,$C346,'TL14'!$J$10:$J$224),0),
IF('TL14'!$B$229=M$3,SUMIF('TL14'!$C$238:$C$451,$C346,'TL14'!$J$238:$J$451),0),
IF('TL15'!$B$3=M$3,SUMIF('TL15'!$C$10:$C$224,$C346,'TL15'!$J$10:$J$224),0),
IF('TL15'!$B$229=M$3,SUMIF('TL15'!$C$238:$C$451,$C346,'TL15'!$J$238:$J$451),0),
IF('TL16'!$B$3=M$3,SUMIF('TL16'!$C$10:$C$224,$C346,'TL16'!$J$10:$J$224),0),
IF('TL16'!$B$229=M$3,SUMIF('TL16'!$C$238:$C$451,$C346,'TL16'!$J$238:$J$451),0),
IF('TL17'!$B$3=M$3,SUMIF('TL17'!$C$10:$C$224,$C346,'TL17'!$J$10:$J$224),0),
IF('TL17'!$B$229=M$3,SUMIF('TL17'!$C$238:$C$451,$C346,'TL17'!$J$238:$J$451),0),
IF('TL18'!$B$3=M$3,SUMIF('TL18'!$C$10:$C$224,$C346,'TL18'!$J$10:$J$224),0),
IF('TL18'!$B$229=M$3,SUMIF('TL18'!$C$238:$C$451,$C346,'TL18'!$J$238:$J$451),0),
IF('TL19'!$B$3=M$3,SUMIF('TL19'!$C$10:$C$224,$C346,'TL19'!$J$10:$J$224),0),
IF('TL19'!$B$229=M$3,SUMIF('TL19'!$C$238:$C$451,$C346,'TL19'!$J$238:$J$451),0)
),0)</f>
        <v/>
      </c>
      <c r="N346" s="9">
        <f>IFERROR(SUM(
IF('TL01'!$B$3=N$3,SUMIF('TL01'!$C$10:$C$224,$C346,'TL01'!$J$10:$J$224),0),
IF('TL01'!$B$229=N$3,SUMIF('TL01'!$C$238:$C$451,$C346,'TL01'!$J$238:$J$451),0),
IF('TL02'!$B$3=N$3,SUMIF('TL02'!$C$10:$C$224,$C346,'TL02'!$J$10:$J$224),0),
IF('TL02'!$B$229=N$3,SUMIF('TL02'!$C$238:$C$451,$C346,'TL02'!$J$238:$J$451),0),
IF('TL03'!$B$3=N$3,SUMIF('TL03'!$C$10:$C$224,$C346,'TL03'!$J$10:$J$224),0),
IF('TL03'!$B$229=N$3,SUMIF('TL03'!$C$238:$C$451,$C346,'TL03'!$J$238:$J$451),0),
IF('TL04'!$B$3=N$3,SUMIF('TL04'!$C$10:$C$224,$C346,'TL04'!$J$10:$J$224),0),
IF('TL04'!$B$229=N$3,SUMIF('TL04'!$C$238:$C$451,$C346,'TL04'!$J$238:$J$451),0),
IF('TL05'!$B$3=N$3,SUMIF('TL05'!$C$10:$C$224,$C346,'TL05'!$J$10:$J$224),0),
IF('TL05'!$B$229=N$3,SUMIF('TL05'!$C$238:$C$451,$C346,'TL05'!$J$238:$J$451),0),
IF('TL06'!$B$3=N$3,SUMIF('TL06'!$C$10:$C$224,$C346,'TL06'!$J$10:$J$224),0),
IF('TL06'!$B$229=N$3,SUMIF('TL06'!$C$238:$C$451,$C346,'TL06'!$J$238:$J$451),0),
IF('TL07'!$B$3=N$3,SUMIF('TL07'!$C$10:$C$224,$C346,'TL07'!$J$10:$J$224),0),
IF('TL07'!$B$229=N$3,SUMIF('TL07'!$C$238:$C$451,$C346,'TL07'!$J$238:$J$451),0),
IF('TL08'!$B$3=N$3,SUMIF('TL08'!$C$10:$C$224,$C346,'TL08'!$J$10:$J$224),0),
IF('TL08'!$B$229=N$3,SUMIF('TL08'!$C$238:$C$451,$C346,'TL08'!$J$238:$J$451),0),
IF('TL09'!$B$3=N$3,SUMIF('TL09'!$C$10:$C$224,$C346,'TL09'!$J$10:$J$224),0),
IF('TL09'!$B$229=N$3,SUMIF('TL09'!$C$238:$C$451,$C346,'TL09'!$J$238:$J$451),0),
IF('TL10'!$B$3=N$3,SUMIF('TL10'!$C$10:$C$224,$C346,'TL10'!$J$10:$J$224),0),
IF('TL10'!$B$229=N$3,SUMIF('TL10'!$C$238:$C$451,$C346,'TL10'!$J$238:$J$451),0),
IF('TL11'!$B$3=N$3,SUMIF('TL11'!$C$10:$C$224,$C346,'TL11'!$J$10:$J$224),0),
IF('TL11'!$B$229=N$3,SUMIF('TL11'!$C$238:$C$451,$C346,'TL11'!$J$238:$J$451),0),
IF('TL12'!$B$3=N$3,SUMIF('TL12'!$C$10:$C$224,$C346,'TL12'!$J$10:$J$224),0),
IF('TL12'!$B$229=N$3,SUMIF('TL12'!$C$238:$C$451,$C346,'TL12'!$J$238:$J$451),0),
IF('TL13'!$B$3=N$3,SUMIF('TL13'!$C$10:$C$224,$C346,'TL13'!$J$10:$J$224),0),
IF('TL13'!$B$229=N$3,SUMIF('TL13'!$C$238:$C$451,$C346,'TL13'!$J$238:$J$451),0),
IF('TL14'!$B$3=N$3,SUMIF('TL14'!$C$10:$C$224,$C346,'TL14'!$J$10:$J$224),0),
IF('TL14'!$B$229=N$3,SUMIF('TL14'!$C$238:$C$451,$C346,'TL14'!$J$238:$J$451),0),
IF('TL15'!$B$3=N$3,SUMIF('TL15'!$C$10:$C$224,$C346,'TL15'!$J$10:$J$224),0),
IF('TL15'!$B$229=N$3,SUMIF('TL15'!$C$238:$C$451,$C346,'TL15'!$J$238:$J$451),0),
IF('TL16'!$B$3=N$3,SUMIF('TL16'!$C$10:$C$224,$C346,'TL16'!$J$10:$J$224),0),
IF('TL16'!$B$229=N$3,SUMIF('TL16'!$C$238:$C$451,$C346,'TL16'!$J$238:$J$451),0),
IF('TL17'!$B$3=N$3,SUMIF('TL17'!$C$10:$C$224,$C346,'TL17'!$J$10:$J$224),0),
IF('TL17'!$B$229=N$3,SUMIF('TL17'!$C$238:$C$451,$C346,'TL17'!$J$238:$J$451),0),
IF('TL18'!$B$3=N$3,SUMIF('TL18'!$C$10:$C$224,$C346,'TL18'!$J$10:$J$224),0),
IF('TL18'!$B$229=N$3,SUMIF('TL18'!$C$238:$C$451,$C346,'TL18'!$J$238:$J$451),0),
IF('TL19'!$B$3=N$3,SUMIF('TL19'!$C$10:$C$224,$C346,'TL19'!$J$10:$J$224),0),
IF('TL19'!$B$229=N$3,SUMIF('TL19'!$C$238:$C$451,$C346,'TL19'!$J$238:$J$451),0)
),0)</f>
        <v/>
      </c>
      <c r="O346" s="9">
        <f>IFERROR(SUM(
IF('TL01'!$B$3=O$3,SUMIF('TL01'!$C$10:$C$224,$C346,'TL01'!$J$10:$J$224),0),
IF('TL01'!$B$229=O$3,SUMIF('TL01'!$C$238:$C$451,$C346,'TL01'!$J$238:$J$451),0),
IF('TL02'!$B$3=O$3,SUMIF('TL02'!$C$10:$C$224,$C346,'TL02'!$J$10:$J$224),0),
IF('TL02'!$B$229=O$3,SUMIF('TL02'!$C$238:$C$451,$C346,'TL02'!$J$238:$J$451),0),
IF('TL03'!$B$3=O$3,SUMIF('TL03'!$C$10:$C$224,$C346,'TL03'!$J$10:$J$224),0),
IF('TL03'!$B$229=O$3,SUMIF('TL03'!$C$238:$C$451,$C346,'TL03'!$J$238:$J$451),0),
IF('TL04'!$B$3=O$3,SUMIF('TL04'!$C$10:$C$224,$C346,'TL04'!$J$10:$J$224),0),
IF('TL04'!$B$229=O$3,SUMIF('TL04'!$C$238:$C$451,$C346,'TL04'!$J$238:$J$451),0),
IF('TL05'!$B$3=O$3,SUMIF('TL05'!$C$10:$C$224,$C346,'TL05'!$J$10:$J$224),0),
IF('TL05'!$B$229=O$3,SUMIF('TL05'!$C$238:$C$451,$C346,'TL05'!$J$238:$J$451),0),
IF('TL06'!$B$3=O$3,SUMIF('TL06'!$C$10:$C$224,$C346,'TL06'!$J$10:$J$224),0),
IF('TL06'!$B$229=O$3,SUMIF('TL06'!$C$238:$C$451,$C346,'TL06'!$J$238:$J$451),0),
IF('TL07'!$B$3=O$3,SUMIF('TL07'!$C$10:$C$224,$C346,'TL07'!$J$10:$J$224),0),
IF('TL07'!$B$229=O$3,SUMIF('TL07'!$C$238:$C$451,$C346,'TL07'!$J$238:$J$451),0),
IF('TL08'!$B$3=O$3,SUMIF('TL08'!$C$10:$C$224,$C346,'TL08'!$J$10:$J$224),0),
IF('TL08'!$B$229=O$3,SUMIF('TL08'!$C$238:$C$451,$C346,'TL08'!$J$238:$J$451),0),
IF('TL09'!$B$3=O$3,SUMIF('TL09'!$C$10:$C$224,$C346,'TL09'!$J$10:$J$224),0),
IF('TL09'!$B$229=O$3,SUMIF('TL09'!$C$238:$C$451,$C346,'TL09'!$J$238:$J$451),0),
IF('TL10'!$B$3=O$3,SUMIF('TL10'!$C$10:$C$224,$C346,'TL10'!$J$10:$J$224),0),
IF('TL10'!$B$229=O$3,SUMIF('TL10'!$C$238:$C$451,$C346,'TL10'!$J$238:$J$451),0),
IF('TL11'!$B$3=O$3,SUMIF('TL11'!$C$10:$C$224,$C346,'TL11'!$J$10:$J$224),0),
IF('TL11'!$B$229=O$3,SUMIF('TL11'!$C$238:$C$451,$C346,'TL11'!$J$238:$J$451),0),
IF('TL12'!$B$3=O$3,SUMIF('TL12'!$C$10:$C$224,$C346,'TL12'!$J$10:$J$224),0),
IF('TL12'!$B$229=O$3,SUMIF('TL12'!$C$238:$C$451,$C346,'TL12'!$J$238:$J$451),0),
IF('TL13'!$B$3=O$3,SUMIF('TL13'!$C$10:$C$224,$C346,'TL13'!$J$10:$J$224),0),
IF('TL13'!$B$229=O$3,SUMIF('TL13'!$C$238:$C$451,$C346,'TL13'!$J$238:$J$451),0),
IF('TL14'!$B$3=O$3,SUMIF('TL14'!$C$10:$C$224,$C346,'TL14'!$J$10:$J$224),0),
IF('TL14'!$B$229=O$3,SUMIF('TL14'!$C$238:$C$451,$C346,'TL14'!$J$238:$J$451),0),
IF('TL15'!$B$3=O$3,SUMIF('TL15'!$C$10:$C$224,$C346,'TL15'!$J$10:$J$224),0),
IF('TL15'!$B$229=O$3,SUMIF('TL15'!$C$238:$C$451,$C346,'TL15'!$J$238:$J$451),0),
IF('TL16'!$B$3=O$3,SUMIF('TL16'!$C$10:$C$224,$C346,'TL16'!$J$10:$J$224),0),
IF('TL16'!$B$229=O$3,SUMIF('TL16'!$C$238:$C$451,$C346,'TL16'!$J$238:$J$451),0),
IF('TL17'!$B$3=O$3,SUMIF('TL17'!$C$10:$C$224,$C346,'TL17'!$J$10:$J$224),0),
IF('TL17'!$B$229=O$3,SUMIF('TL17'!$C$238:$C$451,$C346,'TL17'!$J$238:$J$451),0),
IF('TL18'!$B$3=O$3,SUMIF('TL18'!$C$10:$C$224,$C346,'TL18'!$J$10:$J$224),0),
IF('TL18'!$B$229=O$3,SUMIF('TL18'!$C$238:$C$451,$C346,'TL18'!$J$238:$J$451),0),
IF('TL19'!$B$3=O$3,SUMIF('TL19'!$C$10:$C$224,$C346,'TL19'!$J$10:$J$224),0),
IF('TL19'!$B$229=O$3,SUMIF('TL19'!$C$238:$C$451,$C346,'TL19'!$J$238:$J$451),0)
),0)</f>
        <v/>
      </c>
      <c r="P346" s="9">
        <f>IFERROR(SUM(
IF('TL01'!$B$3=P$3,SUMIF('TL01'!$C$10:$C$224,$C346,'TL01'!$J$10:$J$224),0),
IF('TL01'!$B$229=P$3,SUMIF('TL01'!$C$238:$C$451,$C346,'TL01'!$J$238:$J$451),0),
IF('TL02'!$B$3=P$3,SUMIF('TL02'!$C$10:$C$224,$C346,'TL02'!$J$10:$J$224),0),
IF('TL02'!$B$229=P$3,SUMIF('TL02'!$C$238:$C$451,$C346,'TL02'!$J$238:$J$451),0),
IF('TL03'!$B$3=P$3,SUMIF('TL03'!$C$10:$C$224,$C346,'TL03'!$J$10:$J$224),0),
IF('TL03'!$B$229=P$3,SUMIF('TL03'!$C$238:$C$451,$C346,'TL03'!$J$238:$J$451),0),
IF('TL04'!$B$3=P$3,SUMIF('TL04'!$C$10:$C$224,$C346,'TL04'!$J$10:$J$224),0),
IF('TL04'!$B$229=P$3,SUMIF('TL04'!$C$238:$C$451,$C346,'TL04'!$J$238:$J$451),0),
IF('TL05'!$B$3=P$3,SUMIF('TL05'!$C$10:$C$224,$C346,'TL05'!$J$10:$J$224),0),
IF('TL05'!$B$229=P$3,SUMIF('TL05'!$C$238:$C$451,$C346,'TL05'!$J$238:$J$451),0),
IF('TL06'!$B$3=P$3,SUMIF('TL06'!$C$10:$C$224,$C346,'TL06'!$J$10:$J$224),0),
IF('TL06'!$B$229=P$3,SUMIF('TL06'!$C$238:$C$451,$C346,'TL06'!$J$238:$J$451),0),
IF('TL07'!$B$3=P$3,SUMIF('TL07'!$C$10:$C$224,$C346,'TL07'!$J$10:$J$224),0),
IF('TL07'!$B$229=P$3,SUMIF('TL07'!$C$238:$C$451,$C346,'TL07'!$J$238:$J$451),0),
IF('TL08'!$B$3=P$3,SUMIF('TL08'!$C$10:$C$224,$C346,'TL08'!$J$10:$J$224),0),
IF('TL08'!$B$229=P$3,SUMIF('TL08'!$C$238:$C$451,$C346,'TL08'!$J$238:$J$451),0),
IF('TL09'!$B$3=P$3,SUMIF('TL09'!$C$10:$C$224,$C346,'TL09'!$J$10:$J$224),0),
IF('TL09'!$B$229=P$3,SUMIF('TL09'!$C$238:$C$451,$C346,'TL09'!$J$238:$J$451),0),
IF('TL10'!$B$3=P$3,SUMIF('TL10'!$C$10:$C$224,$C346,'TL10'!$J$10:$J$224),0),
IF('TL10'!$B$229=P$3,SUMIF('TL10'!$C$238:$C$451,$C346,'TL10'!$J$238:$J$451),0),
IF('TL11'!$B$3=P$3,SUMIF('TL11'!$C$10:$C$224,$C346,'TL11'!$J$10:$J$224),0),
IF('TL11'!$B$229=P$3,SUMIF('TL11'!$C$238:$C$451,$C346,'TL11'!$J$238:$J$451),0),
IF('TL12'!$B$3=P$3,SUMIF('TL12'!$C$10:$C$224,$C346,'TL12'!$J$10:$J$224),0),
IF('TL12'!$B$229=P$3,SUMIF('TL12'!$C$238:$C$451,$C346,'TL12'!$J$238:$J$451),0),
IF('TL13'!$B$3=P$3,SUMIF('TL13'!$C$10:$C$224,$C346,'TL13'!$J$10:$J$224),0),
IF('TL13'!$B$229=P$3,SUMIF('TL13'!$C$238:$C$451,$C346,'TL13'!$J$238:$J$451),0),
IF('TL14'!$B$3=P$3,SUMIF('TL14'!$C$10:$C$224,$C346,'TL14'!$J$10:$J$224),0),
IF('TL14'!$B$229=P$3,SUMIF('TL14'!$C$238:$C$451,$C346,'TL14'!$J$238:$J$451),0),
IF('TL15'!$B$3=P$3,SUMIF('TL15'!$C$10:$C$224,$C346,'TL15'!$J$10:$J$224),0),
IF('TL15'!$B$229=P$3,SUMIF('TL15'!$C$238:$C$451,$C346,'TL15'!$J$238:$J$451),0),
IF('TL16'!$B$3=P$3,SUMIF('TL16'!$C$10:$C$224,$C346,'TL16'!$J$10:$J$224),0),
IF('TL16'!$B$229=P$3,SUMIF('TL16'!$C$238:$C$451,$C346,'TL16'!$J$238:$J$451),0),
IF('TL17'!$B$3=P$3,SUMIF('TL17'!$C$10:$C$224,$C346,'TL17'!$J$10:$J$224),0),
IF('TL17'!$B$229=P$3,SUMIF('TL17'!$C$238:$C$451,$C346,'TL17'!$J$238:$J$451),0),
IF('TL18'!$B$3=P$3,SUMIF('TL18'!$C$10:$C$224,$C346,'TL18'!$J$10:$J$224),0),
IF('TL18'!$B$229=P$3,SUMIF('TL18'!$C$238:$C$451,$C346,'TL18'!$J$238:$J$451),0),
IF('TL19'!$B$3=P$3,SUMIF('TL19'!$C$10:$C$224,$C346,'TL19'!$J$10:$J$224),0),
IF('TL19'!$B$229=P$3,SUMIF('TL19'!$C$238:$C$451,$C346,'TL19'!$J$238:$J$451),0)
),0)</f>
        <v/>
      </c>
      <c r="Q346" s="9">
        <f>IFERROR(SUM(
IF('TL01'!$B$3=Q$3,SUMIF('TL01'!$C$10:$C$224,$C346,'TL01'!$J$10:$J$224),0),
IF('TL01'!$B$229=Q$3,SUMIF('TL01'!$C$238:$C$451,$C346,'TL01'!$J$238:$J$451),0),
IF('TL02'!$B$3=Q$3,SUMIF('TL02'!$C$10:$C$224,$C346,'TL02'!$J$10:$J$224),0),
IF('TL02'!$B$229=Q$3,SUMIF('TL02'!$C$238:$C$451,$C346,'TL02'!$J$238:$J$451),0),
IF('TL03'!$B$3=Q$3,SUMIF('TL03'!$C$10:$C$224,$C346,'TL03'!$J$10:$J$224),0),
IF('TL03'!$B$229=Q$3,SUMIF('TL03'!$C$238:$C$451,$C346,'TL03'!$J$238:$J$451),0),
IF('TL04'!$B$3=Q$3,SUMIF('TL04'!$C$10:$C$224,$C346,'TL04'!$J$10:$J$224),0),
IF('TL04'!$B$229=Q$3,SUMIF('TL04'!$C$238:$C$451,$C346,'TL04'!$J$238:$J$451),0),
IF('TL05'!$B$3=Q$3,SUMIF('TL05'!$C$10:$C$224,$C346,'TL05'!$J$10:$J$224),0),
IF('TL05'!$B$229=Q$3,SUMIF('TL05'!$C$238:$C$451,$C346,'TL05'!$J$238:$J$451),0),
IF('TL06'!$B$3=Q$3,SUMIF('TL06'!$C$10:$C$224,$C346,'TL06'!$J$10:$J$224),0),
IF('TL06'!$B$229=Q$3,SUMIF('TL06'!$C$238:$C$451,$C346,'TL06'!$J$238:$J$451),0),
IF('TL07'!$B$3=Q$3,SUMIF('TL07'!$C$10:$C$224,$C346,'TL07'!$J$10:$J$224),0),
IF('TL07'!$B$229=Q$3,SUMIF('TL07'!$C$238:$C$451,$C346,'TL07'!$J$238:$J$451),0),
IF('TL08'!$B$3=Q$3,SUMIF('TL08'!$C$10:$C$224,$C346,'TL08'!$J$10:$J$224),0),
IF('TL08'!$B$229=Q$3,SUMIF('TL08'!$C$238:$C$451,$C346,'TL08'!$J$238:$J$451),0),
IF('TL09'!$B$3=Q$3,SUMIF('TL09'!$C$10:$C$224,$C346,'TL09'!$J$10:$J$224),0),
IF('TL09'!$B$229=Q$3,SUMIF('TL09'!$C$238:$C$451,$C346,'TL09'!$J$238:$J$451),0),
IF('TL10'!$B$3=Q$3,SUMIF('TL10'!$C$10:$C$224,$C346,'TL10'!$J$10:$J$224),0),
IF('TL10'!$B$229=Q$3,SUMIF('TL10'!$C$238:$C$451,$C346,'TL10'!$J$238:$J$451),0),
IF('TL11'!$B$3=Q$3,SUMIF('TL11'!$C$10:$C$224,$C346,'TL11'!$J$10:$J$224),0),
IF('TL11'!$B$229=Q$3,SUMIF('TL11'!$C$238:$C$451,$C346,'TL11'!$J$238:$J$451),0),
IF('TL12'!$B$3=Q$3,SUMIF('TL12'!$C$10:$C$224,$C346,'TL12'!$J$10:$J$224),0),
IF('TL12'!$B$229=Q$3,SUMIF('TL12'!$C$238:$C$451,$C346,'TL12'!$J$238:$J$451),0),
IF('TL13'!$B$3=Q$3,SUMIF('TL13'!$C$10:$C$224,$C346,'TL13'!$J$10:$J$224),0),
IF('TL13'!$B$229=Q$3,SUMIF('TL13'!$C$238:$C$451,$C346,'TL13'!$J$238:$J$451),0),
IF('TL14'!$B$3=Q$3,SUMIF('TL14'!$C$10:$C$224,$C346,'TL14'!$J$10:$J$224),0),
IF('TL14'!$B$229=Q$3,SUMIF('TL14'!$C$238:$C$451,$C346,'TL14'!$J$238:$J$451),0),
IF('TL15'!$B$3=Q$3,SUMIF('TL15'!$C$10:$C$224,$C346,'TL15'!$J$10:$J$224),0),
IF('TL15'!$B$229=Q$3,SUMIF('TL15'!$C$238:$C$451,$C346,'TL15'!$J$238:$J$451),0),
IF('TL16'!$B$3=Q$3,SUMIF('TL16'!$C$10:$C$224,$C346,'TL16'!$J$10:$J$224),0),
IF('TL16'!$B$229=Q$3,SUMIF('TL16'!$C$238:$C$451,$C346,'TL16'!$J$238:$J$451),0),
IF('TL17'!$B$3=Q$3,SUMIF('TL17'!$C$10:$C$224,$C346,'TL17'!$J$10:$J$224),0),
IF('TL17'!$B$229=Q$3,SUMIF('TL17'!$C$238:$C$451,$C346,'TL17'!$J$238:$J$451),0),
IF('TL18'!$B$3=Q$3,SUMIF('TL18'!$C$10:$C$224,$C346,'TL18'!$J$10:$J$224),0),
IF('TL18'!$B$229=Q$3,SUMIF('TL18'!$C$238:$C$451,$C346,'TL18'!$J$238:$J$451),0),
IF('TL19'!$B$3=Q$3,SUMIF('TL19'!$C$10:$C$224,$C346,'TL19'!$J$10:$J$224),0),
IF('TL19'!$B$229=Q$3,SUMIF('TL19'!$C$238:$C$451,$C346,'TL19'!$J$238:$J$451),0)
),0)</f>
        <v/>
      </c>
      <c r="R346" s="9">
        <f>IFERROR(
SUM(
SUMIF('TL01'!C:C,C346,'TL01'!J:J),
SUMIF('TL02'!C:C,C346,'TL02'!J:J),
SUMIF('TL03'!C:C,C346,'TL03'!J:J),
SUMIF('TL04'!C:C,C346,'TL04'!J:J),
SUMIF('TL05'!C:C,C346,'TL05'!J:J),
SUMIF('TL06'!C:C,C346,'TL06'!J:J),
SUMIF('TL07'!C:C,C346,'TL07'!J:J),
SUMIF('TL08'!C:C,C346,'TL08'!J:J),
SUMIF('TL09'!C:C,C346,'TL09'!J:J),
SUMIF('TL10'!C:C,C346,'TL10'!J:J),
SUMIF('TL11'!C:C,C346,'TL11'!J:J),
SUMIF('TL12'!C:C,C346,'TL12'!J:J),
SUMIF('TL13'!C:C,C346,'TL13'!J:J),
SUMIF('TL14'!C:C,C346,'TL14'!J:J),
SUMIF('TL15'!C:C,C346,'TL15'!J:J),
SUMIF('TL16'!C:C,C346,'TL16'!J:J),
SUMIF('TL17'!C:C,C346,'TL17'!J:J),
SUMIF('TL18'!C:C,C346,'TL18'!J:J),SUMIF('TL19'!C:C,C346,'TL19'!J:J))
,0)</f>
        <v/>
      </c>
      <c r="S346" s="17">
        <f>IFERROR(__xludf.DUMMYFUNCTION("IFERROR(VLOOKUP(C346,
IMPORTRANGE(""1wULbzX32WdYsx-lj2U3uUNBBe2INVIRDtcK0d-Dvl90"",
""26-27!C:G""),
5,
FALSE),
"""")"),"")</f>
        <v/>
      </c>
      <c r="T346" s="9" t="n"/>
      <c r="U346" s="92">
        <f>MAX(0,R346-T346)</f>
        <v/>
      </c>
      <c r="V346" s="93">
        <f>U346*S346</f>
        <v/>
      </c>
    </row>
    <row r="347" hidden="1" ht="15.75" customHeight="1" s="297">
      <c r="A347" s="4" t="n"/>
      <c r="B347" s="125" t="inlineStr">
        <is>
          <t>SEMENTE</t>
        </is>
      </c>
      <c r="C347" s="4" t="inlineStr">
        <is>
          <t>GH 2478 IPRO 8.1</t>
        </is>
      </c>
      <c r="D347" s="20" t="n"/>
      <c r="E347" s="9" t="n"/>
      <c r="F347" s="4" t="inlineStr">
        <is>
          <t>5MM</t>
        </is>
      </c>
      <c r="G347" s="90">
        <f>HYPERLINK("https://www.google.com/search?q=" &amp; C347 &amp; "+bula+agrofit+pdf", "📄 Ver bula")</f>
        <v/>
      </c>
      <c r="H347" s="9" t="n"/>
      <c r="I347" s="1" t="inlineStr">
        <is>
          <t>BAG</t>
        </is>
      </c>
      <c r="J347" s="9">
        <f>IFERROR(SUM(
IF('TL01'!$B$3=J$3,SUMIF('TL01'!$C$10:$C$224,$C347,'TL01'!$J$10:$J$224),0),
IF('TL01'!$B$229=J$3,SUMIF('TL01'!$C$238:$C$451,$C347,'TL01'!$J$238:$J$451),0),
IF('TL02'!$B$3=J$3,SUMIF('TL02'!$C$10:$C$224,$C347,'TL02'!$J$10:$J$224),0),
IF('TL02'!$B$229=J$3,SUMIF('TL02'!$C$238:$C$451,$C347,'TL02'!$J$238:$J$451),0),
IF('TL03'!$B$3=J$3,SUMIF('TL03'!$C$10:$C$224,$C347,'TL03'!$J$10:$J$224),0),
IF('TL03'!$B$229=J$3,SUMIF('TL03'!$C$238:$C$451,$C347,'TL03'!$J$238:$J$451),0),
IF('TL04'!$B$3=J$3,SUMIF('TL04'!$C$10:$C$224,$C347,'TL04'!$J$10:$J$224),0),
IF('TL04'!$B$229=J$3,SUMIF('TL04'!$C$238:$C$451,$C347,'TL04'!$J$238:$J$451),0),
IF('TL05'!$B$3=J$3,SUMIF('TL05'!$C$10:$C$224,$C347,'TL05'!$J$10:$J$224),0),
IF('TL05'!$B$229=J$3,SUMIF('TL05'!$C$238:$C$451,$C347,'TL05'!$J$238:$J$451),0),
IF('TL06'!$B$3=J$3,SUMIF('TL06'!$C$10:$C$224,$C347,'TL06'!$J$10:$J$224),0),
IF('TL06'!$B$229=J$3,SUMIF('TL06'!$C$238:$C$451,$C347,'TL06'!$J$238:$J$451),0),
IF('TL07'!$B$3=J$3,SUMIF('TL07'!$C$10:$C$224,$C347,'TL07'!$J$10:$J$224),0),
IF('TL07'!$B$229=J$3,SUMIF('TL07'!$C$238:$C$451,$C347,'TL07'!$J$238:$J$451),0),
IF('TL08'!$B$3=J$3,SUMIF('TL08'!$C$10:$C$224,$C347,'TL08'!$J$10:$J$224),0),
IF('TL08'!$B$229=J$3,SUMIF('TL08'!$C$238:$C$451,$C347,'TL08'!$J$238:$J$451),0),
IF('TL09'!$B$3=J$3,SUMIF('TL09'!$C$10:$C$224,$C347,'TL09'!$J$10:$J$224),0),
IF('TL09'!$B$229=J$3,SUMIF('TL09'!$C$238:$C$451,$C347,'TL09'!$J$238:$J$451),0),
IF('TL10'!$B$3=J$3,SUMIF('TL10'!$C$10:$C$224,$C347,'TL10'!$J$10:$J$224),0),
IF('TL10'!$B$229=J$3,SUMIF('TL10'!$C$238:$C$451,$C347,'TL10'!$J$238:$J$451),0),
IF('TL11'!$B$3=J$3,SUMIF('TL11'!$C$10:$C$224,$C347,'TL11'!$J$10:$J$224),0),
IF('TL11'!$B$229=J$3,SUMIF('TL11'!$C$238:$C$451,$C347,'TL11'!$J$238:$J$451),0),
IF('TL12'!$B$3=J$3,SUMIF('TL12'!$C$10:$C$224,$C347,'TL12'!$J$10:$J$224),0),
IF('TL12'!$B$229=J$3,SUMIF('TL12'!$C$238:$C$451,$C347,'TL12'!$J$238:$J$451),0),
IF('TL13'!$B$3=J$3,SUMIF('TL13'!$C$10:$C$224,$C347,'TL13'!$J$10:$J$224),0),
IF('TL13'!$B$229=J$3,SUMIF('TL13'!$C$238:$C$451,$C347,'TL13'!$J$238:$J$451),0),
IF('TL14'!$B$3=J$3,SUMIF('TL14'!$C$10:$C$224,$C347,'TL14'!$J$10:$J$224),0),
IF('TL14'!$B$229=J$3,SUMIF('TL14'!$C$238:$C$451,$C347,'TL14'!$J$238:$J$451),0),
IF('TL15'!$B$3=J$3,SUMIF('TL15'!$C$10:$C$224,$C347,'TL15'!$J$10:$J$224),0),
IF('TL15'!$B$229=J$3,SUMIF('TL15'!$C$238:$C$451,$C347,'TL15'!$J$238:$J$451),0),
IF('TL16'!$B$3=J$3,SUMIF('TL16'!$C$10:$C$224,$C347,'TL16'!$J$10:$J$224),0),
IF('TL16'!$B$229=J$3,SUMIF('TL16'!$C$238:$C$451,$C347,'TL16'!$J$238:$J$451),0),
IF('TL17'!$B$3=J$3,SUMIF('TL17'!$C$10:$C$224,$C347,'TL17'!$J$10:$J$224),0),
IF('TL17'!$B$229=J$3,SUMIF('TL17'!$C$238:$C$451,$C347,'TL17'!$J$238:$J$451),0),
IF('TL18'!$B$3=J$3,SUMIF('TL18'!$C$10:$C$224,$C347,'TL18'!$J$10:$J$224),0),
IF('TL18'!$B$229=J$3,SUMIF('TL18'!$C$238:$C$451,$C347,'TL18'!$J$238:$J$451),0),
IF('TL19'!$B$3=J$3,SUMIF('TL19'!$C$10:$C$224,$C347,'TL19'!$J$10:$J$224),0),
IF('TL19'!$B$229=J$3,SUMIF('TL19'!$C$238:$C$451,$C347,'TL19'!$J$238:$J$451),0)
),0)</f>
        <v/>
      </c>
      <c r="K347" s="9">
        <f>IFERROR(SUM(
IF('TL01'!$B$3=K$3,SUMIF('TL01'!$C$10:$C$224,$C347,'TL01'!$J$10:$J$224),0),
IF('TL01'!$B$229=K$3,SUMIF('TL01'!$C$238:$C$451,$C347,'TL01'!$J$238:$J$451),0),
IF('TL02'!$B$3=K$3,SUMIF('TL02'!$C$10:$C$224,$C347,'TL02'!$J$10:$J$224),0),
IF('TL02'!$B$229=K$3,SUMIF('TL02'!$C$238:$C$451,$C347,'TL02'!$J$238:$J$451),0),
IF('TL03'!$B$3=K$3,SUMIF('TL03'!$C$10:$C$224,$C347,'TL03'!$J$10:$J$224),0),
IF('TL03'!$B$229=K$3,SUMIF('TL03'!$C$238:$C$451,$C347,'TL03'!$J$238:$J$451),0),
IF('TL04'!$B$3=K$3,SUMIF('TL04'!$C$10:$C$224,$C347,'TL04'!$J$10:$J$224),0),
IF('TL04'!$B$229=K$3,SUMIF('TL04'!$C$238:$C$451,$C347,'TL04'!$J$238:$J$451),0),
IF('TL05'!$B$3=K$3,SUMIF('TL05'!$C$10:$C$224,$C347,'TL05'!$J$10:$J$224),0),
IF('TL05'!$B$229=K$3,SUMIF('TL05'!$C$238:$C$451,$C347,'TL05'!$J$238:$J$451),0),
IF('TL06'!$B$3=K$3,SUMIF('TL06'!$C$10:$C$224,$C347,'TL06'!$J$10:$J$224),0),
IF('TL06'!$B$229=K$3,SUMIF('TL06'!$C$238:$C$451,$C347,'TL06'!$J$238:$J$451),0),
IF('TL07'!$B$3=K$3,SUMIF('TL07'!$C$10:$C$224,$C347,'TL07'!$J$10:$J$224),0),
IF('TL07'!$B$229=K$3,SUMIF('TL07'!$C$238:$C$451,$C347,'TL07'!$J$238:$J$451),0),
IF('TL08'!$B$3=K$3,SUMIF('TL08'!$C$10:$C$224,$C347,'TL08'!$J$10:$J$224),0),
IF('TL08'!$B$229=K$3,SUMIF('TL08'!$C$238:$C$451,$C347,'TL08'!$J$238:$J$451),0),
IF('TL09'!$B$3=K$3,SUMIF('TL09'!$C$10:$C$224,$C347,'TL09'!$J$10:$J$224),0),
IF('TL09'!$B$229=K$3,SUMIF('TL09'!$C$238:$C$451,$C347,'TL09'!$J$238:$J$451),0),
IF('TL10'!$B$3=K$3,SUMIF('TL10'!$C$10:$C$224,$C347,'TL10'!$J$10:$J$224),0),
IF('TL10'!$B$229=K$3,SUMIF('TL10'!$C$238:$C$451,$C347,'TL10'!$J$238:$J$451),0),
IF('TL11'!$B$3=K$3,SUMIF('TL11'!$C$10:$C$224,$C347,'TL11'!$J$10:$J$224),0),
IF('TL11'!$B$229=K$3,SUMIF('TL11'!$C$238:$C$451,$C347,'TL11'!$J$238:$J$451),0),
IF('TL12'!$B$3=K$3,SUMIF('TL12'!$C$10:$C$224,$C347,'TL12'!$J$10:$J$224),0),
IF('TL12'!$B$229=K$3,SUMIF('TL12'!$C$238:$C$451,$C347,'TL12'!$J$238:$J$451),0),
IF('TL13'!$B$3=K$3,SUMIF('TL13'!$C$10:$C$224,$C347,'TL13'!$J$10:$J$224),0),
IF('TL13'!$B$229=K$3,SUMIF('TL13'!$C$238:$C$451,$C347,'TL13'!$J$238:$J$451),0),
IF('TL14'!$B$3=K$3,SUMIF('TL14'!$C$10:$C$224,$C347,'TL14'!$J$10:$J$224),0),
IF('TL14'!$B$229=K$3,SUMIF('TL14'!$C$238:$C$451,$C347,'TL14'!$J$238:$J$451),0),
IF('TL15'!$B$3=K$3,SUMIF('TL15'!$C$10:$C$224,$C347,'TL15'!$J$10:$J$224),0),
IF('TL15'!$B$229=K$3,SUMIF('TL15'!$C$238:$C$451,$C347,'TL15'!$J$238:$J$451),0),
IF('TL16'!$B$3=K$3,SUMIF('TL16'!$C$10:$C$224,$C347,'TL16'!$J$10:$J$224),0),
IF('TL16'!$B$229=K$3,SUMIF('TL16'!$C$238:$C$451,$C347,'TL16'!$J$238:$J$451),0),
IF('TL17'!$B$3=K$3,SUMIF('TL17'!$C$10:$C$224,$C347,'TL17'!$J$10:$J$224),0),
IF('TL17'!$B$229=K$3,SUMIF('TL17'!$C$238:$C$451,$C347,'TL17'!$J$238:$J$451),0),
IF('TL18'!$B$3=K$3,SUMIF('TL18'!$C$10:$C$224,$C347,'TL18'!$J$10:$J$224),0),
IF('TL18'!$B$229=K$3,SUMIF('TL18'!$C$238:$C$451,$C347,'TL18'!$J$238:$J$451),0),
IF('TL19'!$B$3=K$3,SUMIF('TL19'!$C$10:$C$224,$C347,'TL19'!$J$10:$J$224),0),
IF('TL19'!$B$229=K$3,SUMIF('TL19'!$C$238:$C$451,$C347,'TL19'!$J$238:$J$451),0)
),0)</f>
        <v/>
      </c>
      <c r="L347" s="9">
        <f>IFERROR(SUM(
IF('TL01'!$B$3=L$3,SUMIF('TL01'!$C$10:$C$224,$C347,'TL01'!$J$10:$J$224),0),
IF('TL01'!$B$229=L$3,SUMIF('TL01'!$C$238:$C$451,$C347,'TL01'!$J$238:$J$451),0),
IF('TL02'!$B$3=L$3,SUMIF('TL02'!$C$10:$C$224,$C347,'TL02'!$J$10:$J$224),0),
IF('TL02'!$B$229=L$3,SUMIF('TL02'!$C$238:$C$451,$C347,'TL02'!$J$238:$J$451),0),
IF('TL03'!$B$3=L$3,SUMIF('TL03'!$C$10:$C$224,$C347,'TL03'!$J$10:$J$224),0),
IF('TL03'!$B$229=L$3,SUMIF('TL03'!$C$238:$C$451,$C347,'TL03'!$J$238:$J$451),0),
IF('TL04'!$B$3=L$3,SUMIF('TL04'!$C$10:$C$224,$C347,'TL04'!$J$10:$J$224),0),
IF('TL04'!$B$229=L$3,SUMIF('TL04'!$C$238:$C$451,$C347,'TL04'!$J$238:$J$451),0),
IF('TL05'!$B$3=L$3,SUMIF('TL05'!$C$10:$C$224,$C347,'TL05'!$J$10:$J$224),0),
IF('TL05'!$B$229=L$3,SUMIF('TL05'!$C$238:$C$451,$C347,'TL05'!$J$238:$J$451),0),
IF('TL06'!$B$3=L$3,SUMIF('TL06'!$C$10:$C$224,$C347,'TL06'!$J$10:$J$224),0),
IF('TL06'!$B$229=L$3,SUMIF('TL06'!$C$238:$C$451,$C347,'TL06'!$J$238:$J$451),0),
IF('TL07'!$B$3=L$3,SUMIF('TL07'!$C$10:$C$224,$C347,'TL07'!$J$10:$J$224),0),
IF('TL07'!$B$229=L$3,SUMIF('TL07'!$C$238:$C$451,$C347,'TL07'!$J$238:$J$451),0),
IF('TL08'!$B$3=L$3,SUMIF('TL08'!$C$10:$C$224,$C347,'TL08'!$J$10:$J$224),0),
IF('TL08'!$B$229=L$3,SUMIF('TL08'!$C$238:$C$451,$C347,'TL08'!$J$238:$J$451),0),
IF('TL09'!$B$3=L$3,SUMIF('TL09'!$C$10:$C$224,$C347,'TL09'!$J$10:$J$224),0),
IF('TL09'!$B$229=L$3,SUMIF('TL09'!$C$238:$C$451,$C347,'TL09'!$J$238:$J$451),0),
IF('TL10'!$B$3=L$3,SUMIF('TL10'!$C$10:$C$224,$C347,'TL10'!$J$10:$J$224),0),
IF('TL10'!$B$229=L$3,SUMIF('TL10'!$C$238:$C$451,$C347,'TL10'!$J$238:$J$451),0),
IF('TL11'!$B$3=L$3,SUMIF('TL11'!$C$10:$C$224,$C347,'TL11'!$J$10:$J$224),0),
IF('TL11'!$B$229=L$3,SUMIF('TL11'!$C$238:$C$451,$C347,'TL11'!$J$238:$J$451),0),
IF('TL12'!$B$3=L$3,SUMIF('TL12'!$C$10:$C$224,$C347,'TL12'!$J$10:$J$224),0),
IF('TL12'!$B$229=L$3,SUMIF('TL12'!$C$238:$C$451,$C347,'TL12'!$J$238:$J$451),0),
IF('TL13'!$B$3=L$3,SUMIF('TL13'!$C$10:$C$224,$C347,'TL13'!$J$10:$J$224),0),
IF('TL13'!$B$229=L$3,SUMIF('TL13'!$C$238:$C$451,$C347,'TL13'!$J$238:$J$451),0),
IF('TL14'!$B$3=L$3,SUMIF('TL14'!$C$10:$C$224,$C347,'TL14'!$J$10:$J$224),0),
IF('TL14'!$B$229=L$3,SUMIF('TL14'!$C$238:$C$451,$C347,'TL14'!$J$238:$J$451),0),
IF('TL15'!$B$3=L$3,SUMIF('TL15'!$C$10:$C$224,$C347,'TL15'!$J$10:$J$224),0),
IF('TL15'!$B$229=L$3,SUMIF('TL15'!$C$238:$C$451,$C347,'TL15'!$J$238:$J$451),0),
IF('TL16'!$B$3=L$3,SUMIF('TL16'!$C$10:$C$224,$C347,'TL16'!$J$10:$J$224),0),
IF('TL16'!$B$229=L$3,SUMIF('TL16'!$C$238:$C$451,$C347,'TL16'!$J$238:$J$451),0),
IF('TL17'!$B$3=L$3,SUMIF('TL17'!$C$10:$C$224,$C347,'TL17'!$J$10:$J$224),0),
IF('TL17'!$B$229=L$3,SUMIF('TL17'!$C$238:$C$451,$C347,'TL17'!$J$238:$J$451),0),
IF('TL18'!$B$3=L$3,SUMIF('TL18'!$C$10:$C$224,$C347,'TL18'!$J$10:$J$224),0),
IF('TL18'!$B$229=L$3,SUMIF('TL18'!$C$238:$C$451,$C347,'TL18'!$J$238:$J$451),0),
IF('TL19'!$B$3=L$3,SUMIF('TL19'!$C$10:$C$224,$C347,'TL19'!$J$10:$J$224),0),
IF('TL19'!$B$229=L$3,SUMIF('TL19'!$C$238:$C$451,$C347,'TL19'!$J$238:$J$451),0)
),0)</f>
        <v/>
      </c>
      <c r="M347" s="9">
        <f>IFERROR(SUM(
IF('TL01'!$B$3=M$3,SUMIF('TL01'!$C$10:$C$224,$C347,'TL01'!$J$10:$J$224),0),
IF('TL01'!$B$229=M$3,SUMIF('TL01'!$C$238:$C$451,$C347,'TL01'!$J$238:$J$451),0),
IF('TL02'!$B$3=M$3,SUMIF('TL02'!$C$10:$C$224,$C347,'TL02'!$J$10:$J$224),0),
IF('TL02'!$B$229=M$3,SUMIF('TL02'!$C$238:$C$451,$C347,'TL02'!$J$238:$J$451),0),
IF('TL03'!$B$3=M$3,SUMIF('TL03'!$C$10:$C$224,$C347,'TL03'!$J$10:$J$224),0),
IF('TL03'!$B$229=M$3,SUMIF('TL03'!$C$238:$C$451,$C347,'TL03'!$J$238:$J$451),0),
IF('TL04'!$B$3=M$3,SUMIF('TL04'!$C$10:$C$224,$C347,'TL04'!$J$10:$J$224),0),
IF('TL04'!$B$229=M$3,SUMIF('TL04'!$C$238:$C$451,$C347,'TL04'!$J$238:$J$451),0),
IF('TL05'!$B$3=M$3,SUMIF('TL05'!$C$10:$C$224,$C347,'TL05'!$J$10:$J$224),0),
IF('TL05'!$B$229=M$3,SUMIF('TL05'!$C$238:$C$451,$C347,'TL05'!$J$238:$J$451),0),
IF('TL06'!$B$3=M$3,SUMIF('TL06'!$C$10:$C$224,$C347,'TL06'!$J$10:$J$224),0),
IF('TL06'!$B$229=M$3,SUMIF('TL06'!$C$238:$C$451,$C347,'TL06'!$J$238:$J$451),0),
IF('TL07'!$B$3=M$3,SUMIF('TL07'!$C$10:$C$224,$C347,'TL07'!$J$10:$J$224),0),
IF('TL07'!$B$229=M$3,SUMIF('TL07'!$C$238:$C$451,$C347,'TL07'!$J$238:$J$451),0),
IF('TL08'!$B$3=M$3,SUMIF('TL08'!$C$10:$C$224,$C347,'TL08'!$J$10:$J$224),0),
IF('TL08'!$B$229=M$3,SUMIF('TL08'!$C$238:$C$451,$C347,'TL08'!$J$238:$J$451),0),
IF('TL09'!$B$3=M$3,SUMIF('TL09'!$C$10:$C$224,$C347,'TL09'!$J$10:$J$224),0),
IF('TL09'!$B$229=M$3,SUMIF('TL09'!$C$238:$C$451,$C347,'TL09'!$J$238:$J$451),0),
IF('TL10'!$B$3=M$3,SUMIF('TL10'!$C$10:$C$224,$C347,'TL10'!$J$10:$J$224),0),
IF('TL10'!$B$229=M$3,SUMIF('TL10'!$C$238:$C$451,$C347,'TL10'!$J$238:$J$451),0),
IF('TL11'!$B$3=M$3,SUMIF('TL11'!$C$10:$C$224,$C347,'TL11'!$J$10:$J$224),0),
IF('TL11'!$B$229=M$3,SUMIF('TL11'!$C$238:$C$451,$C347,'TL11'!$J$238:$J$451),0),
IF('TL12'!$B$3=M$3,SUMIF('TL12'!$C$10:$C$224,$C347,'TL12'!$J$10:$J$224),0),
IF('TL12'!$B$229=M$3,SUMIF('TL12'!$C$238:$C$451,$C347,'TL12'!$J$238:$J$451),0),
IF('TL13'!$B$3=M$3,SUMIF('TL13'!$C$10:$C$224,$C347,'TL13'!$J$10:$J$224),0),
IF('TL13'!$B$229=M$3,SUMIF('TL13'!$C$238:$C$451,$C347,'TL13'!$J$238:$J$451),0),
IF('TL14'!$B$3=M$3,SUMIF('TL14'!$C$10:$C$224,$C347,'TL14'!$J$10:$J$224),0),
IF('TL14'!$B$229=M$3,SUMIF('TL14'!$C$238:$C$451,$C347,'TL14'!$J$238:$J$451),0),
IF('TL15'!$B$3=M$3,SUMIF('TL15'!$C$10:$C$224,$C347,'TL15'!$J$10:$J$224),0),
IF('TL15'!$B$229=M$3,SUMIF('TL15'!$C$238:$C$451,$C347,'TL15'!$J$238:$J$451),0),
IF('TL16'!$B$3=M$3,SUMIF('TL16'!$C$10:$C$224,$C347,'TL16'!$J$10:$J$224),0),
IF('TL16'!$B$229=M$3,SUMIF('TL16'!$C$238:$C$451,$C347,'TL16'!$J$238:$J$451),0),
IF('TL17'!$B$3=M$3,SUMIF('TL17'!$C$10:$C$224,$C347,'TL17'!$J$10:$J$224),0),
IF('TL17'!$B$229=M$3,SUMIF('TL17'!$C$238:$C$451,$C347,'TL17'!$J$238:$J$451),0),
IF('TL18'!$B$3=M$3,SUMIF('TL18'!$C$10:$C$224,$C347,'TL18'!$J$10:$J$224),0),
IF('TL18'!$B$229=M$3,SUMIF('TL18'!$C$238:$C$451,$C347,'TL18'!$J$238:$J$451),0),
IF('TL19'!$B$3=M$3,SUMIF('TL19'!$C$10:$C$224,$C347,'TL19'!$J$10:$J$224),0),
IF('TL19'!$B$229=M$3,SUMIF('TL19'!$C$238:$C$451,$C347,'TL19'!$J$238:$J$451),0)
),0)</f>
        <v/>
      </c>
      <c r="N347" s="9">
        <f>IFERROR(SUM(
IF('TL01'!$B$3=N$3,SUMIF('TL01'!$C$10:$C$224,$C347,'TL01'!$J$10:$J$224),0),
IF('TL01'!$B$229=N$3,SUMIF('TL01'!$C$238:$C$451,$C347,'TL01'!$J$238:$J$451),0),
IF('TL02'!$B$3=N$3,SUMIF('TL02'!$C$10:$C$224,$C347,'TL02'!$J$10:$J$224),0),
IF('TL02'!$B$229=N$3,SUMIF('TL02'!$C$238:$C$451,$C347,'TL02'!$J$238:$J$451),0),
IF('TL03'!$B$3=N$3,SUMIF('TL03'!$C$10:$C$224,$C347,'TL03'!$J$10:$J$224),0),
IF('TL03'!$B$229=N$3,SUMIF('TL03'!$C$238:$C$451,$C347,'TL03'!$J$238:$J$451),0),
IF('TL04'!$B$3=N$3,SUMIF('TL04'!$C$10:$C$224,$C347,'TL04'!$J$10:$J$224),0),
IF('TL04'!$B$229=N$3,SUMIF('TL04'!$C$238:$C$451,$C347,'TL04'!$J$238:$J$451),0),
IF('TL05'!$B$3=N$3,SUMIF('TL05'!$C$10:$C$224,$C347,'TL05'!$J$10:$J$224),0),
IF('TL05'!$B$229=N$3,SUMIF('TL05'!$C$238:$C$451,$C347,'TL05'!$J$238:$J$451),0),
IF('TL06'!$B$3=N$3,SUMIF('TL06'!$C$10:$C$224,$C347,'TL06'!$J$10:$J$224),0),
IF('TL06'!$B$229=N$3,SUMIF('TL06'!$C$238:$C$451,$C347,'TL06'!$J$238:$J$451),0),
IF('TL07'!$B$3=N$3,SUMIF('TL07'!$C$10:$C$224,$C347,'TL07'!$J$10:$J$224),0),
IF('TL07'!$B$229=N$3,SUMIF('TL07'!$C$238:$C$451,$C347,'TL07'!$J$238:$J$451),0),
IF('TL08'!$B$3=N$3,SUMIF('TL08'!$C$10:$C$224,$C347,'TL08'!$J$10:$J$224),0),
IF('TL08'!$B$229=N$3,SUMIF('TL08'!$C$238:$C$451,$C347,'TL08'!$J$238:$J$451),0),
IF('TL09'!$B$3=N$3,SUMIF('TL09'!$C$10:$C$224,$C347,'TL09'!$J$10:$J$224),0),
IF('TL09'!$B$229=N$3,SUMIF('TL09'!$C$238:$C$451,$C347,'TL09'!$J$238:$J$451),0),
IF('TL10'!$B$3=N$3,SUMIF('TL10'!$C$10:$C$224,$C347,'TL10'!$J$10:$J$224),0),
IF('TL10'!$B$229=N$3,SUMIF('TL10'!$C$238:$C$451,$C347,'TL10'!$J$238:$J$451),0),
IF('TL11'!$B$3=N$3,SUMIF('TL11'!$C$10:$C$224,$C347,'TL11'!$J$10:$J$224),0),
IF('TL11'!$B$229=N$3,SUMIF('TL11'!$C$238:$C$451,$C347,'TL11'!$J$238:$J$451),0),
IF('TL12'!$B$3=N$3,SUMIF('TL12'!$C$10:$C$224,$C347,'TL12'!$J$10:$J$224),0),
IF('TL12'!$B$229=N$3,SUMIF('TL12'!$C$238:$C$451,$C347,'TL12'!$J$238:$J$451),0),
IF('TL13'!$B$3=N$3,SUMIF('TL13'!$C$10:$C$224,$C347,'TL13'!$J$10:$J$224),0),
IF('TL13'!$B$229=N$3,SUMIF('TL13'!$C$238:$C$451,$C347,'TL13'!$J$238:$J$451),0),
IF('TL14'!$B$3=N$3,SUMIF('TL14'!$C$10:$C$224,$C347,'TL14'!$J$10:$J$224),0),
IF('TL14'!$B$229=N$3,SUMIF('TL14'!$C$238:$C$451,$C347,'TL14'!$J$238:$J$451),0),
IF('TL15'!$B$3=N$3,SUMIF('TL15'!$C$10:$C$224,$C347,'TL15'!$J$10:$J$224),0),
IF('TL15'!$B$229=N$3,SUMIF('TL15'!$C$238:$C$451,$C347,'TL15'!$J$238:$J$451),0),
IF('TL16'!$B$3=N$3,SUMIF('TL16'!$C$10:$C$224,$C347,'TL16'!$J$10:$J$224),0),
IF('TL16'!$B$229=N$3,SUMIF('TL16'!$C$238:$C$451,$C347,'TL16'!$J$238:$J$451),0),
IF('TL17'!$B$3=N$3,SUMIF('TL17'!$C$10:$C$224,$C347,'TL17'!$J$10:$J$224),0),
IF('TL17'!$B$229=N$3,SUMIF('TL17'!$C$238:$C$451,$C347,'TL17'!$J$238:$J$451),0),
IF('TL18'!$B$3=N$3,SUMIF('TL18'!$C$10:$C$224,$C347,'TL18'!$J$10:$J$224),0),
IF('TL18'!$B$229=N$3,SUMIF('TL18'!$C$238:$C$451,$C347,'TL18'!$J$238:$J$451),0),
IF('TL19'!$B$3=N$3,SUMIF('TL19'!$C$10:$C$224,$C347,'TL19'!$J$10:$J$224),0),
IF('TL19'!$B$229=N$3,SUMIF('TL19'!$C$238:$C$451,$C347,'TL19'!$J$238:$J$451),0)
),0)</f>
        <v/>
      </c>
      <c r="O347" s="9">
        <f>IFERROR(SUM(
IF('TL01'!$B$3=O$3,SUMIF('TL01'!$C$10:$C$224,$C347,'TL01'!$J$10:$J$224),0),
IF('TL01'!$B$229=O$3,SUMIF('TL01'!$C$238:$C$451,$C347,'TL01'!$J$238:$J$451),0),
IF('TL02'!$B$3=O$3,SUMIF('TL02'!$C$10:$C$224,$C347,'TL02'!$J$10:$J$224),0),
IF('TL02'!$B$229=O$3,SUMIF('TL02'!$C$238:$C$451,$C347,'TL02'!$J$238:$J$451),0),
IF('TL03'!$B$3=O$3,SUMIF('TL03'!$C$10:$C$224,$C347,'TL03'!$J$10:$J$224),0),
IF('TL03'!$B$229=O$3,SUMIF('TL03'!$C$238:$C$451,$C347,'TL03'!$J$238:$J$451),0),
IF('TL04'!$B$3=O$3,SUMIF('TL04'!$C$10:$C$224,$C347,'TL04'!$J$10:$J$224),0),
IF('TL04'!$B$229=O$3,SUMIF('TL04'!$C$238:$C$451,$C347,'TL04'!$J$238:$J$451),0),
IF('TL05'!$B$3=O$3,SUMIF('TL05'!$C$10:$C$224,$C347,'TL05'!$J$10:$J$224),0),
IF('TL05'!$B$229=O$3,SUMIF('TL05'!$C$238:$C$451,$C347,'TL05'!$J$238:$J$451),0),
IF('TL06'!$B$3=O$3,SUMIF('TL06'!$C$10:$C$224,$C347,'TL06'!$J$10:$J$224),0),
IF('TL06'!$B$229=O$3,SUMIF('TL06'!$C$238:$C$451,$C347,'TL06'!$J$238:$J$451),0),
IF('TL07'!$B$3=O$3,SUMIF('TL07'!$C$10:$C$224,$C347,'TL07'!$J$10:$J$224),0),
IF('TL07'!$B$229=O$3,SUMIF('TL07'!$C$238:$C$451,$C347,'TL07'!$J$238:$J$451),0),
IF('TL08'!$B$3=O$3,SUMIF('TL08'!$C$10:$C$224,$C347,'TL08'!$J$10:$J$224),0),
IF('TL08'!$B$229=O$3,SUMIF('TL08'!$C$238:$C$451,$C347,'TL08'!$J$238:$J$451),0),
IF('TL09'!$B$3=O$3,SUMIF('TL09'!$C$10:$C$224,$C347,'TL09'!$J$10:$J$224),0),
IF('TL09'!$B$229=O$3,SUMIF('TL09'!$C$238:$C$451,$C347,'TL09'!$J$238:$J$451),0),
IF('TL10'!$B$3=O$3,SUMIF('TL10'!$C$10:$C$224,$C347,'TL10'!$J$10:$J$224),0),
IF('TL10'!$B$229=O$3,SUMIF('TL10'!$C$238:$C$451,$C347,'TL10'!$J$238:$J$451),0),
IF('TL11'!$B$3=O$3,SUMIF('TL11'!$C$10:$C$224,$C347,'TL11'!$J$10:$J$224),0),
IF('TL11'!$B$229=O$3,SUMIF('TL11'!$C$238:$C$451,$C347,'TL11'!$J$238:$J$451),0),
IF('TL12'!$B$3=O$3,SUMIF('TL12'!$C$10:$C$224,$C347,'TL12'!$J$10:$J$224),0),
IF('TL12'!$B$229=O$3,SUMIF('TL12'!$C$238:$C$451,$C347,'TL12'!$J$238:$J$451),0),
IF('TL13'!$B$3=O$3,SUMIF('TL13'!$C$10:$C$224,$C347,'TL13'!$J$10:$J$224),0),
IF('TL13'!$B$229=O$3,SUMIF('TL13'!$C$238:$C$451,$C347,'TL13'!$J$238:$J$451),0),
IF('TL14'!$B$3=O$3,SUMIF('TL14'!$C$10:$C$224,$C347,'TL14'!$J$10:$J$224),0),
IF('TL14'!$B$229=O$3,SUMIF('TL14'!$C$238:$C$451,$C347,'TL14'!$J$238:$J$451),0),
IF('TL15'!$B$3=O$3,SUMIF('TL15'!$C$10:$C$224,$C347,'TL15'!$J$10:$J$224),0),
IF('TL15'!$B$229=O$3,SUMIF('TL15'!$C$238:$C$451,$C347,'TL15'!$J$238:$J$451),0),
IF('TL16'!$B$3=O$3,SUMIF('TL16'!$C$10:$C$224,$C347,'TL16'!$J$10:$J$224),0),
IF('TL16'!$B$229=O$3,SUMIF('TL16'!$C$238:$C$451,$C347,'TL16'!$J$238:$J$451),0),
IF('TL17'!$B$3=O$3,SUMIF('TL17'!$C$10:$C$224,$C347,'TL17'!$J$10:$J$224),0),
IF('TL17'!$B$229=O$3,SUMIF('TL17'!$C$238:$C$451,$C347,'TL17'!$J$238:$J$451),0),
IF('TL18'!$B$3=O$3,SUMIF('TL18'!$C$10:$C$224,$C347,'TL18'!$J$10:$J$224),0),
IF('TL18'!$B$229=O$3,SUMIF('TL18'!$C$238:$C$451,$C347,'TL18'!$J$238:$J$451),0),
IF('TL19'!$B$3=O$3,SUMIF('TL19'!$C$10:$C$224,$C347,'TL19'!$J$10:$J$224),0),
IF('TL19'!$B$229=O$3,SUMIF('TL19'!$C$238:$C$451,$C347,'TL19'!$J$238:$J$451),0)
),0)</f>
        <v/>
      </c>
      <c r="P347" s="9">
        <f>IFERROR(SUM(
IF('TL01'!$B$3=P$3,SUMIF('TL01'!$C$10:$C$224,$C347,'TL01'!$J$10:$J$224),0),
IF('TL01'!$B$229=P$3,SUMIF('TL01'!$C$238:$C$451,$C347,'TL01'!$J$238:$J$451),0),
IF('TL02'!$B$3=P$3,SUMIF('TL02'!$C$10:$C$224,$C347,'TL02'!$J$10:$J$224),0),
IF('TL02'!$B$229=P$3,SUMIF('TL02'!$C$238:$C$451,$C347,'TL02'!$J$238:$J$451),0),
IF('TL03'!$B$3=P$3,SUMIF('TL03'!$C$10:$C$224,$C347,'TL03'!$J$10:$J$224),0),
IF('TL03'!$B$229=P$3,SUMIF('TL03'!$C$238:$C$451,$C347,'TL03'!$J$238:$J$451),0),
IF('TL04'!$B$3=P$3,SUMIF('TL04'!$C$10:$C$224,$C347,'TL04'!$J$10:$J$224),0),
IF('TL04'!$B$229=P$3,SUMIF('TL04'!$C$238:$C$451,$C347,'TL04'!$J$238:$J$451),0),
IF('TL05'!$B$3=P$3,SUMIF('TL05'!$C$10:$C$224,$C347,'TL05'!$J$10:$J$224),0),
IF('TL05'!$B$229=P$3,SUMIF('TL05'!$C$238:$C$451,$C347,'TL05'!$J$238:$J$451),0),
IF('TL06'!$B$3=P$3,SUMIF('TL06'!$C$10:$C$224,$C347,'TL06'!$J$10:$J$224),0),
IF('TL06'!$B$229=P$3,SUMIF('TL06'!$C$238:$C$451,$C347,'TL06'!$J$238:$J$451),0),
IF('TL07'!$B$3=P$3,SUMIF('TL07'!$C$10:$C$224,$C347,'TL07'!$J$10:$J$224),0),
IF('TL07'!$B$229=P$3,SUMIF('TL07'!$C$238:$C$451,$C347,'TL07'!$J$238:$J$451),0),
IF('TL08'!$B$3=P$3,SUMIF('TL08'!$C$10:$C$224,$C347,'TL08'!$J$10:$J$224),0),
IF('TL08'!$B$229=P$3,SUMIF('TL08'!$C$238:$C$451,$C347,'TL08'!$J$238:$J$451),0),
IF('TL09'!$B$3=P$3,SUMIF('TL09'!$C$10:$C$224,$C347,'TL09'!$J$10:$J$224),0),
IF('TL09'!$B$229=P$3,SUMIF('TL09'!$C$238:$C$451,$C347,'TL09'!$J$238:$J$451),0),
IF('TL10'!$B$3=P$3,SUMIF('TL10'!$C$10:$C$224,$C347,'TL10'!$J$10:$J$224),0),
IF('TL10'!$B$229=P$3,SUMIF('TL10'!$C$238:$C$451,$C347,'TL10'!$J$238:$J$451),0),
IF('TL11'!$B$3=P$3,SUMIF('TL11'!$C$10:$C$224,$C347,'TL11'!$J$10:$J$224),0),
IF('TL11'!$B$229=P$3,SUMIF('TL11'!$C$238:$C$451,$C347,'TL11'!$J$238:$J$451),0),
IF('TL12'!$B$3=P$3,SUMIF('TL12'!$C$10:$C$224,$C347,'TL12'!$J$10:$J$224),0),
IF('TL12'!$B$229=P$3,SUMIF('TL12'!$C$238:$C$451,$C347,'TL12'!$J$238:$J$451),0),
IF('TL13'!$B$3=P$3,SUMIF('TL13'!$C$10:$C$224,$C347,'TL13'!$J$10:$J$224),0),
IF('TL13'!$B$229=P$3,SUMIF('TL13'!$C$238:$C$451,$C347,'TL13'!$J$238:$J$451),0),
IF('TL14'!$B$3=P$3,SUMIF('TL14'!$C$10:$C$224,$C347,'TL14'!$J$10:$J$224),0),
IF('TL14'!$B$229=P$3,SUMIF('TL14'!$C$238:$C$451,$C347,'TL14'!$J$238:$J$451),0),
IF('TL15'!$B$3=P$3,SUMIF('TL15'!$C$10:$C$224,$C347,'TL15'!$J$10:$J$224),0),
IF('TL15'!$B$229=P$3,SUMIF('TL15'!$C$238:$C$451,$C347,'TL15'!$J$238:$J$451),0),
IF('TL16'!$B$3=P$3,SUMIF('TL16'!$C$10:$C$224,$C347,'TL16'!$J$10:$J$224),0),
IF('TL16'!$B$229=P$3,SUMIF('TL16'!$C$238:$C$451,$C347,'TL16'!$J$238:$J$451),0),
IF('TL17'!$B$3=P$3,SUMIF('TL17'!$C$10:$C$224,$C347,'TL17'!$J$10:$J$224),0),
IF('TL17'!$B$229=P$3,SUMIF('TL17'!$C$238:$C$451,$C347,'TL17'!$J$238:$J$451),0),
IF('TL18'!$B$3=P$3,SUMIF('TL18'!$C$10:$C$224,$C347,'TL18'!$J$10:$J$224),0),
IF('TL18'!$B$229=P$3,SUMIF('TL18'!$C$238:$C$451,$C347,'TL18'!$J$238:$J$451),0),
IF('TL19'!$B$3=P$3,SUMIF('TL19'!$C$10:$C$224,$C347,'TL19'!$J$10:$J$224),0),
IF('TL19'!$B$229=P$3,SUMIF('TL19'!$C$238:$C$451,$C347,'TL19'!$J$238:$J$451),0)
),0)</f>
        <v/>
      </c>
      <c r="Q347" s="9">
        <f>IFERROR(SUM(
IF('TL01'!$B$3=Q$3,SUMIF('TL01'!$C$10:$C$224,$C347,'TL01'!$J$10:$J$224),0),
IF('TL01'!$B$229=Q$3,SUMIF('TL01'!$C$238:$C$451,$C347,'TL01'!$J$238:$J$451),0),
IF('TL02'!$B$3=Q$3,SUMIF('TL02'!$C$10:$C$224,$C347,'TL02'!$J$10:$J$224),0),
IF('TL02'!$B$229=Q$3,SUMIF('TL02'!$C$238:$C$451,$C347,'TL02'!$J$238:$J$451),0),
IF('TL03'!$B$3=Q$3,SUMIF('TL03'!$C$10:$C$224,$C347,'TL03'!$J$10:$J$224),0),
IF('TL03'!$B$229=Q$3,SUMIF('TL03'!$C$238:$C$451,$C347,'TL03'!$J$238:$J$451),0),
IF('TL04'!$B$3=Q$3,SUMIF('TL04'!$C$10:$C$224,$C347,'TL04'!$J$10:$J$224),0),
IF('TL04'!$B$229=Q$3,SUMIF('TL04'!$C$238:$C$451,$C347,'TL04'!$J$238:$J$451),0),
IF('TL05'!$B$3=Q$3,SUMIF('TL05'!$C$10:$C$224,$C347,'TL05'!$J$10:$J$224),0),
IF('TL05'!$B$229=Q$3,SUMIF('TL05'!$C$238:$C$451,$C347,'TL05'!$J$238:$J$451),0),
IF('TL06'!$B$3=Q$3,SUMIF('TL06'!$C$10:$C$224,$C347,'TL06'!$J$10:$J$224),0),
IF('TL06'!$B$229=Q$3,SUMIF('TL06'!$C$238:$C$451,$C347,'TL06'!$J$238:$J$451),0),
IF('TL07'!$B$3=Q$3,SUMIF('TL07'!$C$10:$C$224,$C347,'TL07'!$J$10:$J$224),0),
IF('TL07'!$B$229=Q$3,SUMIF('TL07'!$C$238:$C$451,$C347,'TL07'!$J$238:$J$451),0),
IF('TL08'!$B$3=Q$3,SUMIF('TL08'!$C$10:$C$224,$C347,'TL08'!$J$10:$J$224),0),
IF('TL08'!$B$229=Q$3,SUMIF('TL08'!$C$238:$C$451,$C347,'TL08'!$J$238:$J$451),0),
IF('TL09'!$B$3=Q$3,SUMIF('TL09'!$C$10:$C$224,$C347,'TL09'!$J$10:$J$224),0),
IF('TL09'!$B$229=Q$3,SUMIF('TL09'!$C$238:$C$451,$C347,'TL09'!$J$238:$J$451),0),
IF('TL10'!$B$3=Q$3,SUMIF('TL10'!$C$10:$C$224,$C347,'TL10'!$J$10:$J$224),0),
IF('TL10'!$B$229=Q$3,SUMIF('TL10'!$C$238:$C$451,$C347,'TL10'!$J$238:$J$451),0),
IF('TL11'!$B$3=Q$3,SUMIF('TL11'!$C$10:$C$224,$C347,'TL11'!$J$10:$J$224),0),
IF('TL11'!$B$229=Q$3,SUMIF('TL11'!$C$238:$C$451,$C347,'TL11'!$J$238:$J$451),0),
IF('TL12'!$B$3=Q$3,SUMIF('TL12'!$C$10:$C$224,$C347,'TL12'!$J$10:$J$224),0),
IF('TL12'!$B$229=Q$3,SUMIF('TL12'!$C$238:$C$451,$C347,'TL12'!$J$238:$J$451),0),
IF('TL13'!$B$3=Q$3,SUMIF('TL13'!$C$10:$C$224,$C347,'TL13'!$J$10:$J$224),0),
IF('TL13'!$B$229=Q$3,SUMIF('TL13'!$C$238:$C$451,$C347,'TL13'!$J$238:$J$451),0),
IF('TL14'!$B$3=Q$3,SUMIF('TL14'!$C$10:$C$224,$C347,'TL14'!$J$10:$J$224),0),
IF('TL14'!$B$229=Q$3,SUMIF('TL14'!$C$238:$C$451,$C347,'TL14'!$J$238:$J$451),0),
IF('TL15'!$B$3=Q$3,SUMIF('TL15'!$C$10:$C$224,$C347,'TL15'!$J$10:$J$224),0),
IF('TL15'!$B$229=Q$3,SUMIF('TL15'!$C$238:$C$451,$C347,'TL15'!$J$238:$J$451),0),
IF('TL16'!$B$3=Q$3,SUMIF('TL16'!$C$10:$C$224,$C347,'TL16'!$J$10:$J$224),0),
IF('TL16'!$B$229=Q$3,SUMIF('TL16'!$C$238:$C$451,$C347,'TL16'!$J$238:$J$451),0),
IF('TL17'!$B$3=Q$3,SUMIF('TL17'!$C$10:$C$224,$C347,'TL17'!$J$10:$J$224),0),
IF('TL17'!$B$229=Q$3,SUMIF('TL17'!$C$238:$C$451,$C347,'TL17'!$J$238:$J$451),0),
IF('TL18'!$B$3=Q$3,SUMIF('TL18'!$C$10:$C$224,$C347,'TL18'!$J$10:$J$224),0),
IF('TL18'!$B$229=Q$3,SUMIF('TL18'!$C$238:$C$451,$C347,'TL18'!$J$238:$J$451),0),
IF('TL19'!$B$3=Q$3,SUMIF('TL19'!$C$10:$C$224,$C347,'TL19'!$J$10:$J$224),0),
IF('TL19'!$B$229=Q$3,SUMIF('TL19'!$C$238:$C$451,$C347,'TL19'!$J$238:$J$451),0)
),0)</f>
        <v/>
      </c>
      <c r="R347" s="9">
        <f>IFERROR(
SUM(
SUMIF('TL01'!C:C,C347,'TL01'!J:J),
SUMIF('TL02'!C:C,C347,'TL02'!J:J),
SUMIF('TL03'!C:C,C347,'TL03'!J:J),
SUMIF('TL04'!C:C,C347,'TL04'!J:J),
SUMIF('TL05'!C:C,C347,'TL05'!J:J),
SUMIF('TL06'!C:C,C347,'TL06'!J:J),
SUMIF('TL07'!C:C,C347,'TL07'!J:J),
SUMIF('TL08'!C:C,C347,'TL08'!J:J),
SUMIF('TL09'!C:C,C347,'TL09'!J:J),
SUMIF('TL10'!C:C,C347,'TL10'!J:J),
SUMIF('TL11'!C:C,C347,'TL11'!J:J),
SUMIF('TL12'!C:C,C347,'TL12'!J:J),
SUMIF('TL13'!C:C,C347,'TL13'!J:J),
SUMIF('TL14'!C:C,C347,'TL14'!J:J),
SUMIF('TL15'!C:C,C347,'TL15'!J:J),
SUMIF('TL16'!C:C,C347,'TL16'!J:J),
SUMIF('TL17'!C:C,C347,'TL17'!J:J),
SUMIF('TL18'!C:C,C347,'TL18'!J:J),SUMIF('TL19'!C:C,C347,'TL19'!J:J))
,0)</f>
        <v/>
      </c>
      <c r="S347" s="17">
        <f>IFERROR(__xludf.DUMMYFUNCTION("IFERROR(VLOOKUP(C347,
IMPORTRANGE(""1wULbzX32WdYsx-lj2U3uUNBBe2INVIRDtcK0d-Dvl90"",
""26-27!C:G""),
5,
FALSE),
"""")"),"")</f>
        <v/>
      </c>
      <c r="T347" s="9" t="n"/>
      <c r="U347" s="92">
        <f>MAX(0,R347-T347)</f>
        <v/>
      </c>
      <c r="V347" s="93">
        <f>U347*S347</f>
        <v/>
      </c>
    </row>
    <row r="348" hidden="1" ht="15.75" customHeight="1" s="297">
      <c r="A348" s="4" t="n"/>
      <c r="B348" s="125" t="inlineStr">
        <is>
          <t>SEMENTE</t>
        </is>
      </c>
      <c r="C348" s="4" t="inlineStr">
        <is>
          <t>HO COCARI I2X 8.2</t>
        </is>
      </c>
      <c r="D348" s="20" t="n"/>
      <c r="E348" s="9" t="n"/>
      <c r="F348" s="4" t="inlineStr">
        <is>
          <t>KG</t>
        </is>
      </c>
      <c r="G348" s="90">
        <f>HYPERLINK("https://www.google.com/search?q=" &amp; C348 &amp; "+bula+agrofit+pdf", "📄 Ver bula")</f>
        <v/>
      </c>
      <c r="H348" s="9" t="n"/>
      <c r="I348" s="1" t="inlineStr">
        <is>
          <t>BAG</t>
        </is>
      </c>
      <c r="J348" s="9">
        <f>IFERROR(SUM(
IF('TL01'!$B$3=J$3,SUMIF('TL01'!$C$10:$C$224,$C348,'TL01'!$J$10:$J$224),0),
IF('TL01'!$B$229=J$3,SUMIF('TL01'!$C$238:$C$451,$C348,'TL01'!$J$238:$J$451),0),
IF('TL02'!$B$3=J$3,SUMIF('TL02'!$C$10:$C$224,$C348,'TL02'!$J$10:$J$224),0),
IF('TL02'!$B$229=J$3,SUMIF('TL02'!$C$238:$C$451,$C348,'TL02'!$J$238:$J$451),0),
IF('TL03'!$B$3=J$3,SUMIF('TL03'!$C$10:$C$224,$C348,'TL03'!$J$10:$J$224),0),
IF('TL03'!$B$229=J$3,SUMIF('TL03'!$C$238:$C$451,$C348,'TL03'!$J$238:$J$451),0),
IF('TL04'!$B$3=J$3,SUMIF('TL04'!$C$10:$C$224,$C348,'TL04'!$J$10:$J$224),0),
IF('TL04'!$B$229=J$3,SUMIF('TL04'!$C$238:$C$451,$C348,'TL04'!$J$238:$J$451),0),
IF('TL05'!$B$3=J$3,SUMIF('TL05'!$C$10:$C$224,$C348,'TL05'!$J$10:$J$224),0),
IF('TL05'!$B$229=J$3,SUMIF('TL05'!$C$238:$C$451,$C348,'TL05'!$J$238:$J$451),0),
IF('TL06'!$B$3=J$3,SUMIF('TL06'!$C$10:$C$224,$C348,'TL06'!$J$10:$J$224),0),
IF('TL06'!$B$229=J$3,SUMIF('TL06'!$C$238:$C$451,$C348,'TL06'!$J$238:$J$451),0),
IF('TL07'!$B$3=J$3,SUMIF('TL07'!$C$10:$C$224,$C348,'TL07'!$J$10:$J$224),0),
IF('TL07'!$B$229=J$3,SUMIF('TL07'!$C$238:$C$451,$C348,'TL07'!$J$238:$J$451),0),
IF('TL08'!$B$3=J$3,SUMIF('TL08'!$C$10:$C$224,$C348,'TL08'!$J$10:$J$224),0),
IF('TL08'!$B$229=J$3,SUMIF('TL08'!$C$238:$C$451,$C348,'TL08'!$J$238:$J$451),0),
IF('TL09'!$B$3=J$3,SUMIF('TL09'!$C$10:$C$224,$C348,'TL09'!$J$10:$J$224),0),
IF('TL09'!$B$229=J$3,SUMIF('TL09'!$C$238:$C$451,$C348,'TL09'!$J$238:$J$451),0),
IF('TL10'!$B$3=J$3,SUMIF('TL10'!$C$10:$C$224,$C348,'TL10'!$J$10:$J$224),0),
IF('TL10'!$B$229=J$3,SUMIF('TL10'!$C$238:$C$451,$C348,'TL10'!$J$238:$J$451),0),
IF('TL11'!$B$3=J$3,SUMIF('TL11'!$C$10:$C$224,$C348,'TL11'!$J$10:$J$224),0),
IF('TL11'!$B$229=J$3,SUMIF('TL11'!$C$238:$C$451,$C348,'TL11'!$J$238:$J$451),0),
IF('TL12'!$B$3=J$3,SUMIF('TL12'!$C$10:$C$224,$C348,'TL12'!$J$10:$J$224),0),
IF('TL12'!$B$229=J$3,SUMIF('TL12'!$C$238:$C$451,$C348,'TL12'!$J$238:$J$451),0),
IF('TL13'!$B$3=J$3,SUMIF('TL13'!$C$10:$C$224,$C348,'TL13'!$J$10:$J$224),0),
IF('TL13'!$B$229=J$3,SUMIF('TL13'!$C$238:$C$451,$C348,'TL13'!$J$238:$J$451),0),
IF('TL14'!$B$3=J$3,SUMIF('TL14'!$C$10:$C$224,$C348,'TL14'!$J$10:$J$224),0),
IF('TL14'!$B$229=J$3,SUMIF('TL14'!$C$238:$C$451,$C348,'TL14'!$J$238:$J$451),0),
IF('TL15'!$B$3=J$3,SUMIF('TL15'!$C$10:$C$224,$C348,'TL15'!$J$10:$J$224),0),
IF('TL15'!$B$229=J$3,SUMIF('TL15'!$C$238:$C$451,$C348,'TL15'!$J$238:$J$451),0),
IF('TL16'!$B$3=J$3,SUMIF('TL16'!$C$10:$C$224,$C348,'TL16'!$J$10:$J$224),0),
IF('TL16'!$B$229=J$3,SUMIF('TL16'!$C$238:$C$451,$C348,'TL16'!$J$238:$J$451),0),
IF('TL17'!$B$3=J$3,SUMIF('TL17'!$C$10:$C$224,$C348,'TL17'!$J$10:$J$224),0),
IF('TL17'!$B$229=J$3,SUMIF('TL17'!$C$238:$C$451,$C348,'TL17'!$J$238:$J$451),0),
IF('TL18'!$B$3=J$3,SUMIF('TL18'!$C$10:$C$224,$C348,'TL18'!$J$10:$J$224),0),
IF('TL18'!$B$229=J$3,SUMIF('TL18'!$C$238:$C$451,$C348,'TL18'!$J$238:$J$451),0),
IF('TL19'!$B$3=J$3,SUMIF('TL19'!$C$10:$C$224,$C348,'TL19'!$J$10:$J$224),0),
IF('TL19'!$B$229=J$3,SUMIF('TL19'!$C$238:$C$451,$C348,'TL19'!$J$238:$J$451),0)
),0)</f>
        <v/>
      </c>
      <c r="K348" s="9">
        <f>IFERROR(SUM(
IF('TL01'!$B$3=K$3,SUMIF('TL01'!$C$10:$C$224,$C348,'TL01'!$J$10:$J$224),0),
IF('TL01'!$B$229=K$3,SUMIF('TL01'!$C$238:$C$451,$C348,'TL01'!$J$238:$J$451),0),
IF('TL02'!$B$3=K$3,SUMIF('TL02'!$C$10:$C$224,$C348,'TL02'!$J$10:$J$224),0),
IF('TL02'!$B$229=K$3,SUMIF('TL02'!$C$238:$C$451,$C348,'TL02'!$J$238:$J$451),0),
IF('TL03'!$B$3=K$3,SUMIF('TL03'!$C$10:$C$224,$C348,'TL03'!$J$10:$J$224),0),
IF('TL03'!$B$229=K$3,SUMIF('TL03'!$C$238:$C$451,$C348,'TL03'!$J$238:$J$451),0),
IF('TL04'!$B$3=K$3,SUMIF('TL04'!$C$10:$C$224,$C348,'TL04'!$J$10:$J$224),0),
IF('TL04'!$B$229=K$3,SUMIF('TL04'!$C$238:$C$451,$C348,'TL04'!$J$238:$J$451),0),
IF('TL05'!$B$3=K$3,SUMIF('TL05'!$C$10:$C$224,$C348,'TL05'!$J$10:$J$224),0),
IF('TL05'!$B$229=K$3,SUMIF('TL05'!$C$238:$C$451,$C348,'TL05'!$J$238:$J$451),0),
IF('TL06'!$B$3=K$3,SUMIF('TL06'!$C$10:$C$224,$C348,'TL06'!$J$10:$J$224),0),
IF('TL06'!$B$229=K$3,SUMIF('TL06'!$C$238:$C$451,$C348,'TL06'!$J$238:$J$451),0),
IF('TL07'!$B$3=K$3,SUMIF('TL07'!$C$10:$C$224,$C348,'TL07'!$J$10:$J$224),0),
IF('TL07'!$B$229=K$3,SUMIF('TL07'!$C$238:$C$451,$C348,'TL07'!$J$238:$J$451),0),
IF('TL08'!$B$3=K$3,SUMIF('TL08'!$C$10:$C$224,$C348,'TL08'!$J$10:$J$224),0),
IF('TL08'!$B$229=K$3,SUMIF('TL08'!$C$238:$C$451,$C348,'TL08'!$J$238:$J$451),0),
IF('TL09'!$B$3=K$3,SUMIF('TL09'!$C$10:$C$224,$C348,'TL09'!$J$10:$J$224),0),
IF('TL09'!$B$229=K$3,SUMIF('TL09'!$C$238:$C$451,$C348,'TL09'!$J$238:$J$451),0),
IF('TL10'!$B$3=K$3,SUMIF('TL10'!$C$10:$C$224,$C348,'TL10'!$J$10:$J$224),0),
IF('TL10'!$B$229=K$3,SUMIF('TL10'!$C$238:$C$451,$C348,'TL10'!$J$238:$J$451),0),
IF('TL11'!$B$3=K$3,SUMIF('TL11'!$C$10:$C$224,$C348,'TL11'!$J$10:$J$224),0),
IF('TL11'!$B$229=K$3,SUMIF('TL11'!$C$238:$C$451,$C348,'TL11'!$J$238:$J$451),0),
IF('TL12'!$B$3=K$3,SUMIF('TL12'!$C$10:$C$224,$C348,'TL12'!$J$10:$J$224),0),
IF('TL12'!$B$229=K$3,SUMIF('TL12'!$C$238:$C$451,$C348,'TL12'!$J$238:$J$451),0),
IF('TL13'!$B$3=K$3,SUMIF('TL13'!$C$10:$C$224,$C348,'TL13'!$J$10:$J$224),0),
IF('TL13'!$B$229=K$3,SUMIF('TL13'!$C$238:$C$451,$C348,'TL13'!$J$238:$J$451),0),
IF('TL14'!$B$3=K$3,SUMIF('TL14'!$C$10:$C$224,$C348,'TL14'!$J$10:$J$224),0),
IF('TL14'!$B$229=K$3,SUMIF('TL14'!$C$238:$C$451,$C348,'TL14'!$J$238:$J$451),0),
IF('TL15'!$B$3=K$3,SUMIF('TL15'!$C$10:$C$224,$C348,'TL15'!$J$10:$J$224),0),
IF('TL15'!$B$229=K$3,SUMIF('TL15'!$C$238:$C$451,$C348,'TL15'!$J$238:$J$451),0),
IF('TL16'!$B$3=K$3,SUMIF('TL16'!$C$10:$C$224,$C348,'TL16'!$J$10:$J$224),0),
IF('TL16'!$B$229=K$3,SUMIF('TL16'!$C$238:$C$451,$C348,'TL16'!$J$238:$J$451),0),
IF('TL17'!$B$3=K$3,SUMIF('TL17'!$C$10:$C$224,$C348,'TL17'!$J$10:$J$224),0),
IF('TL17'!$B$229=K$3,SUMIF('TL17'!$C$238:$C$451,$C348,'TL17'!$J$238:$J$451),0),
IF('TL18'!$B$3=K$3,SUMIF('TL18'!$C$10:$C$224,$C348,'TL18'!$J$10:$J$224),0),
IF('TL18'!$B$229=K$3,SUMIF('TL18'!$C$238:$C$451,$C348,'TL18'!$J$238:$J$451),0),
IF('TL19'!$B$3=K$3,SUMIF('TL19'!$C$10:$C$224,$C348,'TL19'!$J$10:$J$224),0),
IF('TL19'!$B$229=K$3,SUMIF('TL19'!$C$238:$C$451,$C348,'TL19'!$J$238:$J$451),0)
),0)</f>
        <v/>
      </c>
      <c r="L348" s="9">
        <f>IFERROR(SUM(
IF('TL01'!$B$3=L$3,SUMIF('TL01'!$C$10:$C$224,$C348,'TL01'!$J$10:$J$224),0),
IF('TL01'!$B$229=L$3,SUMIF('TL01'!$C$238:$C$451,$C348,'TL01'!$J$238:$J$451),0),
IF('TL02'!$B$3=L$3,SUMIF('TL02'!$C$10:$C$224,$C348,'TL02'!$J$10:$J$224),0),
IF('TL02'!$B$229=L$3,SUMIF('TL02'!$C$238:$C$451,$C348,'TL02'!$J$238:$J$451),0),
IF('TL03'!$B$3=L$3,SUMIF('TL03'!$C$10:$C$224,$C348,'TL03'!$J$10:$J$224),0),
IF('TL03'!$B$229=L$3,SUMIF('TL03'!$C$238:$C$451,$C348,'TL03'!$J$238:$J$451),0),
IF('TL04'!$B$3=L$3,SUMIF('TL04'!$C$10:$C$224,$C348,'TL04'!$J$10:$J$224),0),
IF('TL04'!$B$229=L$3,SUMIF('TL04'!$C$238:$C$451,$C348,'TL04'!$J$238:$J$451),0),
IF('TL05'!$B$3=L$3,SUMIF('TL05'!$C$10:$C$224,$C348,'TL05'!$J$10:$J$224),0),
IF('TL05'!$B$229=L$3,SUMIF('TL05'!$C$238:$C$451,$C348,'TL05'!$J$238:$J$451),0),
IF('TL06'!$B$3=L$3,SUMIF('TL06'!$C$10:$C$224,$C348,'TL06'!$J$10:$J$224),0),
IF('TL06'!$B$229=L$3,SUMIF('TL06'!$C$238:$C$451,$C348,'TL06'!$J$238:$J$451),0),
IF('TL07'!$B$3=L$3,SUMIF('TL07'!$C$10:$C$224,$C348,'TL07'!$J$10:$J$224),0),
IF('TL07'!$B$229=L$3,SUMIF('TL07'!$C$238:$C$451,$C348,'TL07'!$J$238:$J$451),0),
IF('TL08'!$B$3=L$3,SUMIF('TL08'!$C$10:$C$224,$C348,'TL08'!$J$10:$J$224),0),
IF('TL08'!$B$229=L$3,SUMIF('TL08'!$C$238:$C$451,$C348,'TL08'!$J$238:$J$451),0),
IF('TL09'!$B$3=L$3,SUMIF('TL09'!$C$10:$C$224,$C348,'TL09'!$J$10:$J$224),0),
IF('TL09'!$B$229=L$3,SUMIF('TL09'!$C$238:$C$451,$C348,'TL09'!$J$238:$J$451),0),
IF('TL10'!$B$3=L$3,SUMIF('TL10'!$C$10:$C$224,$C348,'TL10'!$J$10:$J$224),0),
IF('TL10'!$B$229=L$3,SUMIF('TL10'!$C$238:$C$451,$C348,'TL10'!$J$238:$J$451),0),
IF('TL11'!$B$3=L$3,SUMIF('TL11'!$C$10:$C$224,$C348,'TL11'!$J$10:$J$224),0),
IF('TL11'!$B$229=L$3,SUMIF('TL11'!$C$238:$C$451,$C348,'TL11'!$J$238:$J$451),0),
IF('TL12'!$B$3=L$3,SUMIF('TL12'!$C$10:$C$224,$C348,'TL12'!$J$10:$J$224),0),
IF('TL12'!$B$229=L$3,SUMIF('TL12'!$C$238:$C$451,$C348,'TL12'!$J$238:$J$451),0),
IF('TL13'!$B$3=L$3,SUMIF('TL13'!$C$10:$C$224,$C348,'TL13'!$J$10:$J$224),0),
IF('TL13'!$B$229=L$3,SUMIF('TL13'!$C$238:$C$451,$C348,'TL13'!$J$238:$J$451),0),
IF('TL14'!$B$3=L$3,SUMIF('TL14'!$C$10:$C$224,$C348,'TL14'!$J$10:$J$224),0),
IF('TL14'!$B$229=L$3,SUMIF('TL14'!$C$238:$C$451,$C348,'TL14'!$J$238:$J$451),0),
IF('TL15'!$B$3=L$3,SUMIF('TL15'!$C$10:$C$224,$C348,'TL15'!$J$10:$J$224),0),
IF('TL15'!$B$229=L$3,SUMIF('TL15'!$C$238:$C$451,$C348,'TL15'!$J$238:$J$451),0),
IF('TL16'!$B$3=L$3,SUMIF('TL16'!$C$10:$C$224,$C348,'TL16'!$J$10:$J$224),0),
IF('TL16'!$B$229=L$3,SUMIF('TL16'!$C$238:$C$451,$C348,'TL16'!$J$238:$J$451),0),
IF('TL17'!$B$3=L$3,SUMIF('TL17'!$C$10:$C$224,$C348,'TL17'!$J$10:$J$224),0),
IF('TL17'!$B$229=L$3,SUMIF('TL17'!$C$238:$C$451,$C348,'TL17'!$J$238:$J$451),0),
IF('TL18'!$B$3=L$3,SUMIF('TL18'!$C$10:$C$224,$C348,'TL18'!$J$10:$J$224),0),
IF('TL18'!$B$229=L$3,SUMIF('TL18'!$C$238:$C$451,$C348,'TL18'!$J$238:$J$451),0),
IF('TL19'!$B$3=L$3,SUMIF('TL19'!$C$10:$C$224,$C348,'TL19'!$J$10:$J$224),0),
IF('TL19'!$B$229=L$3,SUMIF('TL19'!$C$238:$C$451,$C348,'TL19'!$J$238:$J$451),0)
),0)</f>
        <v/>
      </c>
      <c r="M348" s="9">
        <f>IFERROR(SUM(
IF('TL01'!$B$3=M$3,SUMIF('TL01'!$C$10:$C$224,$C348,'TL01'!$J$10:$J$224),0),
IF('TL01'!$B$229=M$3,SUMIF('TL01'!$C$238:$C$451,$C348,'TL01'!$J$238:$J$451),0),
IF('TL02'!$B$3=M$3,SUMIF('TL02'!$C$10:$C$224,$C348,'TL02'!$J$10:$J$224),0),
IF('TL02'!$B$229=M$3,SUMIF('TL02'!$C$238:$C$451,$C348,'TL02'!$J$238:$J$451),0),
IF('TL03'!$B$3=M$3,SUMIF('TL03'!$C$10:$C$224,$C348,'TL03'!$J$10:$J$224),0),
IF('TL03'!$B$229=M$3,SUMIF('TL03'!$C$238:$C$451,$C348,'TL03'!$J$238:$J$451),0),
IF('TL04'!$B$3=M$3,SUMIF('TL04'!$C$10:$C$224,$C348,'TL04'!$J$10:$J$224),0),
IF('TL04'!$B$229=M$3,SUMIF('TL04'!$C$238:$C$451,$C348,'TL04'!$J$238:$J$451),0),
IF('TL05'!$B$3=M$3,SUMIF('TL05'!$C$10:$C$224,$C348,'TL05'!$J$10:$J$224),0),
IF('TL05'!$B$229=M$3,SUMIF('TL05'!$C$238:$C$451,$C348,'TL05'!$J$238:$J$451),0),
IF('TL06'!$B$3=M$3,SUMIF('TL06'!$C$10:$C$224,$C348,'TL06'!$J$10:$J$224),0),
IF('TL06'!$B$229=M$3,SUMIF('TL06'!$C$238:$C$451,$C348,'TL06'!$J$238:$J$451),0),
IF('TL07'!$B$3=M$3,SUMIF('TL07'!$C$10:$C$224,$C348,'TL07'!$J$10:$J$224),0),
IF('TL07'!$B$229=M$3,SUMIF('TL07'!$C$238:$C$451,$C348,'TL07'!$J$238:$J$451),0),
IF('TL08'!$B$3=M$3,SUMIF('TL08'!$C$10:$C$224,$C348,'TL08'!$J$10:$J$224),0),
IF('TL08'!$B$229=M$3,SUMIF('TL08'!$C$238:$C$451,$C348,'TL08'!$J$238:$J$451),0),
IF('TL09'!$B$3=M$3,SUMIF('TL09'!$C$10:$C$224,$C348,'TL09'!$J$10:$J$224),0),
IF('TL09'!$B$229=M$3,SUMIF('TL09'!$C$238:$C$451,$C348,'TL09'!$J$238:$J$451),0),
IF('TL10'!$B$3=M$3,SUMIF('TL10'!$C$10:$C$224,$C348,'TL10'!$J$10:$J$224),0),
IF('TL10'!$B$229=M$3,SUMIF('TL10'!$C$238:$C$451,$C348,'TL10'!$J$238:$J$451),0),
IF('TL11'!$B$3=M$3,SUMIF('TL11'!$C$10:$C$224,$C348,'TL11'!$J$10:$J$224),0),
IF('TL11'!$B$229=M$3,SUMIF('TL11'!$C$238:$C$451,$C348,'TL11'!$J$238:$J$451),0),
IF('TL12'!$B$3=M$3,SUMIF('TL12'!$C$10:$C$224,$C348,'TL12'!$J$10:$J$224),0),
IF('TL12'!$B$229=M$3,SUMIF('TL12'!$C$238:$C$451,$C348,'TL12'!$J$238:$J$451),0),
IF('TL13'!$B$3=M$3,SUMIF('TL13'!$C$10:$C$224,$C348,'TL13'!$J$10:$J$224),0),
IF('TL13'!$B$229=M$3,SUMIF('TL13'!$C$238:$C$451,$C348,'TL13'!$J$238:$J$451),0),
IF('TL14'!$B$3=M$3,SUMIF('TL14'!$C$10:$C$224,$C348,'TL14'!$J$10:$J$224),0),
IF('TL14'!$B$229=M$3,SUMIF('TL14'!$C$238:$C$451,$C348,'TL14'!$J$238:$J$451),0),
IF('TL15'!$B$3=M$3,SUMIF('TL15'!$C$10:$C$224,$C348,'TL15'!$J$10:$J$224),0),
IF('TL15'!$B$229=M$3,SUMIF('TL15'!$C$238:$C$451,$C348,'TL15'!$J$238:$J$451),0),
IF('TL16'!$B$3=M$3,SUMIF('TL16'!$C$10:$C$224,$C348,'TL16'!$J$10:$J$224),0),
IF('TL16'!$B$229=M$3,SUMIF('TL16'!$C$238:$C$451,$C348,'TL16'!$J$238:$J$451),0),
IF('TL17'!$B$3=M$3,SUMIF('TL17'!$C$10:$C$224,$C348,'TL17'!$J$10:$J$224),0),
IF('TL17'!$B$229=M$3,SUMIF('TL17'!$C$238:$C$451,$C348,'TL17'!$J$238:$J$451),0),
IF('TL18'!$B$3=M$3,SUMIF('TL18'!$C$10:$C$224,$C348,'TL18'!$J$10:$J$224),0),
IF('TL18'!$B$229=M$3,SUMIF('TL18'!$C$238:$C$451,$C348,'TL18'!$J$238:$J$451),0),
IF('TL19'!$B$3=M$3,SUMIF('TL19'!$C$10:$C$224,$C348,'TL19'!$J$10:$J$224),0),
IF('TL19'!$B$229=M$3,SUMIF('TL19'!$C$238:$C$451,$C348,'TL19'!$J$238:$J$451),0)
),0)</f>
        <v/>
      </c>
      <c r="N348" s="9">
        <f>IFERROR(SUM(
IF('TL01'!$B$3=N$3,SUMIF('TL01'!$C$10:$C$224,$C348,'TL01'!$J$10:$J$224),0),
IF('TL01'!$B$229=N$3,SUMIF('TL01'!$C$238:$C$451,$C348,'TL01'!$J$238:$J$451),0),
IF('TL02'!$B$3=N$3,SUMIF('TL02'!$C$10:$C$224,$C348,'TL02'!$J$10:$J$224),0),
IF('TL02'!$B$229=N$3,SUMIF('TL02'!$C$238:$C$451,$C348,'TL02'!$J$238:$J$451),0),
IF('TL03'!$B$3=N$3,SUMIF('TL03'!$C$10:$C$224,$C348,'TL03'!$J$10:$J$224),0),
IF('TL03'!$B$229=N$3,SUMIF('TL03'!$C$238:$C$451,$C348,'TL03'!$J$238:$J$451),0),
IF('TL04'!$B$3=N$3,SUMIF('TL04'!$C$10:$C$224,$C348,'TL04'!$J$10:$J$224),0),
IF('TL04'!$B$229=N$3,SUMIF('TL04'!$C$238:$C$451,$C348,'TL04'!$J$238:$J$451),0),
IF('TL05'!$B$3=N$3,SUMIF('TL05'!$C$10:$C$224,$C348,'TL05'!$J$10:$J$224),0),
IF('TL05'!$B$229=N$3,SUMIF('TL05'!$C$238:$C$451,$C348,'TL05'!$J$238:$J$451),0),
IF('TL06'!$B$3=N$3,SUMIF('TL06'!$C$10:$C$224,$C348,'TL06'!$J$10:$J$224),0),
IF('TL06'!$B$229=N$3,SUMIF('TL06'!$C$238:$C$451,$C348,'TL06'!$J$238:$J$451),0),
IF('TL07'!$B$3=N$3,SUMIF('TL07'!$C$10:$C$224,$C348,'TL07'!$J$10:$J$224),0),
IF('TL07'!$B$229=N$3,SUMIF('TL07'!$C$238:$C$451,$C348,'TL07'!$J$238:$J$451),0),
IF('TL08'!$B$3=N$3,SUMIF('TL08'!$C$10:$C$224,$C348,'TL08'!$J$10:$J$224),0),
IF('TL08'!$B$229=N$3,SUMIF('TL08'!$C$238:$C$451,$C348,'TL08'!$J$238:$J$451),0),
IF('TL09'!$B$3=N$3,SUMIF('TL09'!$C$10:$C$224,$C348,'TL09'!$J$10:$J$224),0),
IF('TL09'!$B$229=N$3,SUMIF('TL09'!$C$238:$C$451,$C348,'TL09'!$J$238:$J$451),0),
IF('TL10'!$B$3=N$3,SUMIF('TL10'!$C$10:$C$224,$C348,'TL10'!$J$10:$J$224),0),
IF('TL10'!$B$229=N$3,SUMIF('TL10'!$C$238:$C$451,$C348,'TL10'!$J$238:$J$451),0),
IF('TL11'!$B$3=N$3,SUMIF('TL11'!$C$10:$C$224,$C348,'TL11'!$J$10:$J$224),0),
IF('TL11'!$B$229=N$3,SUMIF('TL11'!$C$238:$C$451,$C348,'TL11'!$J$238:$J$451),0),
IF('TL12'!$B$3=N$3,SUMIF('TL12'!$C$10:$C$224,$C348,'TL12'!$J$10:$J$224),0),
IF('TL12'!$B$229=N$3,SUMIF('TL12'!$C$238:$C$451,$C348,'TL12'!$J$238:$J$451),0),
IF('TL13'!$B$3=N$3,SUMIF('TL13'!$C$10:$C$224,$C348,'TL13'!$J$10:$J$224),0),
IF('TL13'!$B$229=N$3,SUMIF('TL13'!$C$238:$C$451,$C348,'TL13'!$J$238:$J$451),0),
IF('TL14'!$B$3=N$3,SUMIF('TL14'!$C$10:$C$224,$C348,'TL14'!$J$10:$J$224),0),
IF('TL14'!$B$229=N$3,SUMIF('TL14'!$C$238:$C$451,$C348,'TL14'!$J$238:$J$451),0),
IF('TL15'!$B$3=N$3,SUMIF('TL15'!$C$10:$C$224,$C348,'TL15'!$J$10:$J$224),0),
IF('TL15'!$B$229=N$3,SUMIF('TL15'!$C$238:$C$451,$C348,'TL15'!$J$238:$J$451),0),
IF('TL16'!$B$3=N$3,SUMIF('TL16'!$C$10:$C$224,$C348,'TL16'!$J$10:$J$224),0),
IF('TL16'!$B$229=N$3,SUMIF('TL16'!$C$238:$C$451,$C348,'TL16'!$J$238:$J$451),0),
IF('TL17'!$B$3=N$3,SUMIF('TL17'!$C$10:$C$224,$C348,'TL17'!$J$10:$J$224),0),
IF('TL17'!$B$229=N$3,SUMIF('TL17'!$C$238:$C$451,$C348,'TL17'!$J$238:$J$451),0),
IF('TL18'!$B$3=N$3,SUMIF('TL18'!$C$10:$C$224,$C348,'TL18'!$J$10:$J$224),0),
IF('TL18'!$B$229=N$3,SUMIF('TL18'!$C$238:$C$451,$C348,'TL18'!$J$238:$J$451),0),
IF('TL19'!$B$3=N$3,SUMIF('TL19'!$C$10:$C$224,$C348,'TL19'!$J$10:$J$224),0),
IF('TL19'!$B$229=N$3,SUMIF('TL19'!$C$238:$C$451,$C348,'TL19'!$J$238:$J$451),0)
),0)</f>
        <v/>
      </c>
      <c r="O348" s="9">
        <f>IFERROR(SUM(
IF('TL01'!$B$3=O$3,SUMIF('TL01'!$C$10:$C$224,$C348,'TL01'!$J$10:$J$224),0),
IF('TL01'!$B$229=O$3,SUMIF('TL01'!$C$238:$C$451,$C348,'TL01'!$J$238:$J$451),0),
IF('TL02'!$B$3=O$3,SUMIF('TL02'!$C$10:$C$224,$C348,'TL02'!$J$10:$J$224),0),
IF('TL02'!$B$229=O$3,SUMIF('TL02'!$C$238:$C$451,$C348,'TL02'!$J$238:$J$451),0),
IF('TL03'!$B$3=O$3,SUMIF('TL03'!$C$10:$C$224,$C348,'TL03'!$J$10:$J$224),0),
IF('TL03'!$B$229=O$3,SUMIF('TL03'!$C$238:$C$451,$C348,'TL03'!$J$238:$J$451),0),
IF('TL04'!$B$3=O$3,SUMIF('TL04'!$C$10:$C$224,$C348,'TL04'!$J$10:$J$224),0),
IF('TL04'!$B$229=O$3,SUMIF('TL04'!$C$238:$C$451,$C348,'TL04'!$J$238:$J$451),0),
IF('TL05'!$B$3=O$3,SUMIF('TL05'!$C$10:$C$224,$C348,'TL05'!$J$10:$J$224),0),
IF('TL05'!$B$229=O$3,SUMIF('TL05'!$C$238:$C$451,$C348,'TL05'!$J$238:$J$451),0),
IF('TL06'!$B$3=O$3,SUMIF('TL06'!$C$10:$C$224,$C348,'TL06'!$J$10:$J$224),0),
IF('TL06'!$B$229=O$3,SUMIF('TL06'!$C$238:$C$451,$C348,'TL06'!$J$238:$J$451),0),
IF('TL07'!$B$3=O$3,SUMIF('TL07'!$C$10:$C$224,$C348,'TL07'!$J$10:$J$224),0),
IF('TL07'!$B$229=O$3,SUMIF('TL07'!$C$238:$C$451,$C348,'TL07'!$J$238:$J$451),0),
IF('TL08'!$B$3=O$3,SUMIF('TL08'!$C$10:$C$224,$C348,'TL08'!$J$10:$J$224),0),
IF('TL08'!$B$229=O$3,SUMIF('TL08'!$C$238:$C$451,$C348,'TL08'!$J$238:$J$451),0),
IF('TL09'!$B$3=O$3,SUMIF('TL09'!$C$10:$C$224,$C348,'TL09'!$J$10:$J$224),0),
IF('TL09'!$B$229=O$3,SUMIF('TL09'!$C$238:$C$451,$C348,'TL09'!$J$238:$J$451),0),
IF('TL10'!$B$3=O$3,SUMIF('TL10'!$C$10:$C$224,$C348,'TL10'!$J$10:$J$224),0),
IF('TL10'!$B$229=O$3,SUMIF('TL10'!$C$238:$C$451,$C348,'TL10'!$J$238:$J$451),0),
IF('TL11'!$B$3=O$3,SUMIF('TL11'!$C$10:$C$224,$C348,'TL11'!$J$10:$J$224),0),
IF('TL11'!$B$229=O$3,SUMIF('TL11'!$C$238:$C$451,$C348,'TL11'!$J$238:$J$451),0),
IF('TL12'!$B$3=O$3,SUMIF('TL12'!$C$10:$C$224,$C348,'TL12'!$J$10:$J$224),0),
IF('TL12'!$B$229=O$3,SUMIF('TL12'!$C$238:$C$451,$C348,'TL12'!$J$238:$J$451),0),
IF('TL13'!$B$3=O$3,SUMIF('TL13'!$C$10:$C$224,$C348,'TL13'!$J$10:$J$224),0),
IF('TL13'!$B$229=O$3,SUMIF('TL13'!$C$238:$C$451,$C348,'TL13'!$J$238:$J$451),0),
IF('TL14'!$B$3=O$3,SUMIF('TL14'!$C$10:$C$224,$C348,'TL14'!$J$10:$J$224),0),
IF('TL14'!$B$229=O$3,SUMIF('TL14'!$C$238:$C$451,$C348,'TL14'!$J$238:$J$451),0),
IF('TL15'!$B$3=O$3,SUMIF('TL15'!$C$10:$C$224,$C348,'TL15'!$J$10:$J$224),0),
IF('TL15'!$B$229=O$3,SUMIF('TL15'!$C$238:$C$451,$C348,'TL15'!$J$238:$J$451),0),
IF('TL16'!$B$3=O$3,SUMIF('TL16'!$C$10:$C$224,$C348,'TL16'!$J$10:$J$224),0),
IF('TL16'!$B$229=O$3,SUMIF('TL16'!$C$238:$C$451,$C348,'TL16'!$J$238:$J$451),0),
IF('TL17'!$B$3=O$3,SUMIF('TL17'!$C$10:$C$224,$C348,'TL17'!$J$10:$J$224),0),
IF('TL17'!$B$229=O$3,SUMIF('TL17'!$C$238:$C$451,$C348,'TL17'!$J$238:$J$451),0),
IF('TL18'!$B$3=O$3,SUMIF('TL18'!$C$10:$C$224,$C348,'TL18'!$J$10:$J$224),0),
IF('TL18'!$B$229=O$3,SUMIF('TL18'!$C$238:$C$451,$C348,'TL18'!$J$238:$J$451),0),
IF('TL19'!$B$3=O$3,SUMIF('TL19'!$C$10:$C$224,$C348,'TL19'!$J$10:$J$224),0),
IF('TL19'!$B$229=O$3,SUMIF('TL19'!$C$238:$C$451,$C348,'TL19'!$J$238:$J$451),0)
),0)</f>
        <v/>
      </c>
      <c r="P348" s="9">
        <f>IFERROR(SUM(
IF('TL01'!$B$3=P$3,SUMIF('TL01'!$C$10:$C$224,$C348,'TL01'!$J$10:$J$224),0),
IF('TL01'!$B$229=P$3,SUMIF('TL01'!$C$238:$C$451,$C348,'TL01'!$J$238:$J$451),0),
IF('TL02'!$B$3=P$3,SUMIF('TL02'!$C$10:$C$224,$C348,'TL02'!$J$10:$J$224),0),
IF('TL02'!$B$229=P$3,SUMIF('TL02'!$C$238:$C$451,$C348,'TL02'!$J$238:$J$451),0),
IF('TL03'!$B$3=P$3,SUMIF('TL03'!$C$10:$C$224,$C348,'TL03'!$J$10:$J$224),0),
IF('TL03'!$B$229=P$3,SUMIF('TL03'!$C$238:$C$451,$C348,'TL03'!$J$238:$J$451),0),
IF('TL04'!$B$3=P$3,SUMIF('TL04'!$C$10:$C$224,$C348,'TL04'!$J$10:$J$224),0),
IF('TL04'!$B$229=P$3,SUMIF('TL04'!$C$238:$C$451,$C348,'TL04'!$J$238:$J$451),0),
IF('TL05'!$B$3=P$3,SUMIF('TL05'!$C$10:$C$224,$C348,'TL05'!$J$10:$J$224),0),
IF('TL05'!$B$229=P$3,SUMIF('TL05'!$C$238:$C$451,$C348,'TL05'!$J$238:$J$451),0),
IF('TL06'!$B$3=P$3,SUMIF('TL06'!$C$10:$C$224,$C348,'TL06'!$J$10:$J$224),0),
IF('TL06'!$B$229=P$3,SUMIF('TL06'!$C$238:$C$451,$C348,'TL06'!$J$238:$J$451),0),
IF('TL07'!$B$3=P$3,SUMIF('TL07'!$C$10:$C$224,$C348,'TL07'!$J$10:$J$224),0),
IF('TL07'!$B$229=P$3,SUMIF('TL07'!$C$238:$C$451,$C348,'TL07'!$J$238:$J$451),0),
IF('TL08'!$B$3=P$3,SUMIF('TL08'!$C$10:$C$224,$C348,'TL08'!$J$10:$J$224),0),
IF('TL08'!$B$229=P$3,SUMIF('TL08'!$C$238:$C$451,$C348,'TL08'!$J$238:$J$451),0),
IF('TL09'!$B$3=P$3,SUMIF('TL09'!$C$10:$C$224,$C348,'TL09'!$J$10:$J$224),0),
IF('TL09'!$B$229=P$3,SUMIF('TL09'!$C$238:$C$451,$C348,'TL09'!$J$238:$J$451),0),
IF('TL10'!$B$3=P$3,SUMIF('TL10'!$C$10:$C$224,$C348,'TL10'!$J$10:$J$224),0),
IF('TL10'!$B$229=P$3,SUMIF('TL10'!$C$238:$C$451,$C348,'TL10'!$J$238:$J$451),0),
IF('TL11'!$B$3=P$3,SUMIF('TL11'!$C$10:$C$224,$C348,'TL11'!$J$10:$J$224),0),
IF('TL11'!$B$229=P$3,SUMIF('TL11'!$C$238:$C$451,$C348,'TL11'!$J$238:$J$451),0),
IF('TL12'!$B$3=P$3,SUMIF('TL12'!$C$10:$C$224,$C348,'TL12'!$J$10:$J$224),0),
IF('TL12'!$B$229=P$3,SUMIF('TL12'!$C$238:$C$451,$C348,'TL12'!$J$238:$J$451),0),
IF('TL13'!$B$3=P$3,SUMIF('TL13'!$C$10:$C$224,$C348,'TL13'!$J$10:$J$224),0),
IF('TL13'!$B$229=P$3,SUMIF('TL13'!$C$238:$C$451,$C348,'TL13'!$J$238:$J$451),0),
IF('TL14'!$B$3=P$3,SUMIF('TL14'!$C$10:$C$224,$C348,'TL14'!$J$10:$J$224),0),
IF('TL14'!$B$229=P$3,SUMIF('TL14'!$C$238:$C$451,$C348,'TL14'!$J$238:$J$451),0),
IF('TL15'!$B$3=P$3,SUMIF('TL15'!$C$10:$C$224,$C348,'TL15'!$J$10:$J$224),0),
IF('TL15'!$B$229=P$3,SUMIF('TL15'!$C$238:$C$451,$C348,'TL15'!$J$238:$J$451),0),
IF('TL16'!$B$3=P$3,SUMIF('TL16'!$C$10:$C$224,$C348,'TL16'!$J$10:$J$224),0),
IF('TL16'!$B$229=P$3,SUMIF('TL16'!$C$238:$C$451,$C348,'TL16'!$J$238:$J$451),0),
IF('TL17'!$B$3=P$3,SUMIF('TL17'!$C$10:$C$224,$C348,'TL17'!$J$10:$J$224),0),
IF('TL17'!$B$229=P$3,SUMIF('TL17'!$C$238:$C$451,$C348,'TL17'!$J$238:$J$451),0),
IF('TL18'!$B$3=P$3,SUMIF('TL18'!$C$10:$C$224,$C348,'TL18'!$J$10:$J$224),0),
IF('TL18'!$B$229=P$3,SUMIF('TL18'!$C$238:$C$451,$C348,'TL18'!$J$238:$J$451),0),
IF('TL19'!$B$3=P$3,SUMIF('TL19'!$C$10:$C$224,$C348,'TL19'!$J$10:$J$224),0),
IF('TL19'!$B$229=P$3,SUMIF('TL19'!$C$238:$C$451,$C348,'TL19'!$J$238:$J$451),0)
),0)</f>
        <v/>
      </c>
      <c r="Q348" s="9">
        <f>IFERROR(SUM(
IF('TL01'!$B$3=Q$3,SUMIF('TL01'!$C$10:$C$224,$C348,'TL01'!$J$10:$J$224),0),
IF('TL01'!$B$229=Q$3,SUMIF('TL01'!$C$238:$C$451,$C348,'TL01'!$J$238:$J$451),0),
IF('TL02'!$B$3=Q$3,SUMIF('TL02'!$C$10:$C$224,$C348,'TL02'!$J$10:$J$224),0),
IF('TL02'!$B$229=Q$3,SUMIF('TL02'!$C$238:$C$451,$C348,'TL02'!$J$238:$J$451),0),
IF('TL03'!$B$3=Q$3,SUMIF('TL03'!$C$10:$C$224,$C348,'TL03'!$J$10:$J$224),0),
IF('TL03'!$B$229=Q$3,SUMIF('TL03'!$C$238:$C$451,$C348,'TL03'!$J$238:$J$451),0),
IF('TL04'!$B$3=Q$3,SUMIF('TL04'!$C$10:$C$224,$C348,'TL04'!$J$10:$J$224),0),
IF('TL04'!$B$229=Q$3,SUMIF('TL04'!$C$238:$C$451,$C348,'TL04'!$J$238:$J$451),0),
IF('TL05'!$B$3=Q$3,SUMIF('TL05'!$C$10:$C$224,$C348,'TL05'!$J$10:$J$224),0),
IF('TL05'!$B$229=Q$3,SUMIF('TL05'!$C$238:$C$451,$C348,'TL05'!$J$238:$J$451),0),
IF('TL06'!$B$3=Q$3,SUMIF('TL06'!$C$10:$C$224,$C348,'TL06'!$J$10:$J$224),0),
IF('TL06'!$B$229=Q$3,SUMIF('TL06'!$C$238:$C$451,$C348,'TL06'!$J$238:$J$451),0),
IF('TL07'!$B$3=Q$3,SUMIF('TL07'!$C$10:$C$224,$C348,'TL07'!$J$10:$J$224),0),
IF('TL07'!$B$229=Q$3,SUMIF('TL07'!$C$238:$C$451,$C348,'TL07'!$J$238:$J$451),0),
IF('TL08'!$B$3=Q$3,SUMIF('TL08'!$C$10:$C$224,$C348,'TL08'!$J$10:$J$224),0),
IF('TL08'!$B$229=Q$3,SUMIF('TL08'!$C$238:$C$451,$C348,'TL08'!$J$238:$J$451),0),
IF('TL09'!$B$3=Q$3,SUMIF('TL09'!$C$10:$C$224,$C348,'TL09'!$J$10:$J$224),0),
IF('TL09'!$B$229=Q$3,SUMIF('TL09'!$C$238:$C$451,$C348,'TL09'!$J$238:$J$451),0),
IF('TL10'!$B$3=Q$3,SUMIF('TL10'!$C$10:$C$224,$C348,'TL10'!$J$10:$J$224),0),
IF('TL10'!$B$229=Q$3,SUMIF('TL10'!$C$238:$C$451,$C348,'TL10'!$J$238:$J$451),0),
IF('TL11'!$B$3=Q$3,SUMIF('TL11'!$C$10:$C$224,$C348,'TL11'!$J$10:$J$224),0),
IF('TL11'!$B$229=Q$3,SUMIF('TL11'!$C$238:$C$451,$C348,'TL11'!$J$238:$J$451),0),
IF('TL12'!$B$3=Q$3,SUMIF('TL12'!$C$10:$C$224,$C348,'TL12'!$J$10:$J$224),0),
IF('TL12'!$B$229=Q$3,SUMIF('TL12'!$C$238:$C$451,$C348,'TL12'!$J$238:$J$451),0),
IF('TL13'!$B$3=Q$3,SUMIF('TL13'!$C$10:$C$224,$C348,'TL13'!$J$10:$J$224),0),
IF('TL13'!$B$229=Q$3,SUMIF('TL13'!$C$238:$C$451,$C348,'TL13'!$J$238:$J$451),0),
IF('TL14'!$B$3=Q$3,SUMIF('TL14'!$C$10:$C$224,$C348,'TL14'!$J$10:$J$224),0),
IF('TL14'!$B$229=Q$3,SUMIF('TL14'!$C$238:$C$451,$C348,'TL14'!$J$238:$J$451),0),
IF('TL15'!$B$3=Q$3,SUMIF('TL15'!$C$10:$C$224,$C348,'TL15'!$J$10:$J$224),0),
IF('TL15'!$B$229=Q$3,SUMIF('TL15'!$C$238:$C$451,$C348,'TL15'!$J$238:$J$451),0),
IF('TL16'!$B$3=Q$3,SUMIF('TL16'!$C$10:$C$224,$C348,'TL16'!$J$10:$J$224),0),
IF('TL16'!$B$229=Q$3,SUMIF('TL16'!$C$238:$C$451,$C348,'TL16'!$J$238:$J$451),0),
IF('TL17'!$B$3=Q$3,SUMIF('TL17'!$C$10:$C$224,$C348,'TL17'!$J$10:$J$224),0),
IF('TL17'!$B$229=Q$3,SUMIF('TL17'!$C$238:$C$451,$C348,'TL17'!$J$238:$J$451),0),
IF('TL18'!$B$3=Q$3,SUMIF('TL18'!$C$10:$C$224,$C348,'TL18'!$J$10:$J$224),0),
IF('TL18'!$B$229=Q$3,SUMIF('TL18'!$C$238:$C$451,$C348,'TL18'!$J$238:$J$451),0),
IF('TL19'!$B$3=Q$3,SUMIF('TL19'!$C$10:$C$224,$C348,'TL19'!$J$10:$J$224),0),
IF('TL19'!$B$229=Q$3,SUMIF('TL19'!$C$238:$C$451,$C348,'TL19'!$J$238:$J$451),0)
),0)</f>
        <v/>
      </c>
      <c r="R348" s="9">
        <f>IFERROR(
SUM(
SUMIF('TL01'!C:C,C348,'TL01'!J:J),
SUMIF('TL02'!C:C,C348,'TL02'!J:J),
SUMIF('TL03'!C:C,C348,'TL03'!J:J),
SUMIF('TL04'!C:C,C348,'TL04'!J:J),
SUMIF('TL05'!C:C,C348,'TL05'!J:J),
SUMIF('TL06'!C:C,C348,'TL06'!J:J),
SUMIF('TL07'!C:C,C348,'TL07'!J:J),
SUMIF('TL08'!C:C,C348,'TL08'!J:J),
SUMIF('TL09'!C:C,C348,'TL09'!J:J),
SUMIF('TL10'!C:C,C348,'TL10'!J:J),
SUMIF('TL11'!C:C,C348,'TL11'!J:J),
SUMIF('TL12'!C:C,C348,'TL12'!J:J),
SUMIF('TL13'!C:C,C348,'TL13'!J:J),
SUMIF('TL14'!C:C,C348,'TL14'!J:J),
SUMIF('TL15'!C:C,C348,'TL15'!J:J),
SUMIF('TL16'!C:C,C348,'TL16'!J:J),
SUMIF('TL17'!C:C,C348,'TL17'!J:J),
SUMIF('TL18'!C:C,C348,'TL18'!J:J),SUMIF('TL19'!C:C,C348,'TL19'!J:J))
,0)</f>
        <v/>
      </c>
      <c r="S348" s="17">
        <f>IFERROR(__xludf.DUMMYFUNCTION("IFERROR(VLOOKUP(C348,
IMPORTRANGE(""1wULbzX32WdYsx-lj2U3uUNBBe2INVIRDtcK0d-Dvl90"",
""26-27!C:G""),
5,
FALSE),
"""")"),"")</f>
        <v/>
      </c>
      <c r="T348" s="9" t="n"/>
      <c r="U348" s="92">
        <f>MAX(0,R348-T348)</f>
        <v/>
      </c>
      <c r="V348" s="93">
        <f>U348*S348</f>
        <v/>
      </c>
    </row>
    <row r="349" hidden="1" ht="15.75" customHeight="1" s="297">
      <c r="A349" s="4" t="n"/>
      <c r="B349" s="125" t="inlineStr">
        <is>
          <t>SEMENTE</t>
        </is>
      </c>
      <c r="C349" s="4" t="inlineStr">
        <is>
          <t>SEMENTE DE SORGO</t>
        </is>
      </c>
      <c r="D349" s="20" t="n"/>
      <c r="E349" s="9" t="n"/>
      <c r="F349" s="4" t="n"/>
      <c r="G349" s="90">
        <f>HYPERLINK("https://www.google.com/search?q=" &amp; C349 &amp; "+bula+agrofit+pdf", "📄 Ver bula")</f>
        <v/>
      </c>
      <c r="H349" s="9" t="n"/>
      <c r="I349" s="1" t="n"/>
      <c r="J349" s="9">
        <f>IFERROR(SUM(
IF('TL01'!$B$3=J$3,SUMIF('TL01'!$C$10:$C$224,$C349,'TL01'!$J$10:$J$224),0),
IF('TL01'!$B$229=J$3,SUMIF('TL01'!$C$238:$C$451,$C349,'TL01'!$J$238:$J$451),0),
IF('TL02'!$B$3=J$3,SUMIF('TL02'!$C$10:$C$224,$C349,'TL02'!$J$10:$J$224),0),
IF('TL02'!$B$229=J$3,SUMIF('TL02'!$C$238:$C$451,$C349,'TL02'!$J$238:$J$451),0),
IF('TL03'!$B$3=J$3,SUMIF('TL03'!$C$10:$C$224,$C349,'TL03'!$J$10:$J$224),0),
IF('TL03'!$B$229=J$3,SUMIF('TL03'!$C$238:$C$451,$C349,'TL03'!$J$238:$J$451),0),
IF('TL04'!$B$3=J$3,SUMIF('TL04'!$C$10:$C$224,$C349,'TL04'!$J$10:$J$224),0),
IF('TL04'!$B$229=J$3,SUMIF('TL04'!$C$238:$C$451,$C349,'TL04'!$J$238:$J$451),0),
IF('TL05'!$B$3=J$3,SUMIF('TL05'!$C$10:$C$224,$C349,'TL05'!$J$10:$J$224),0),
IF('TL05'!$B$229=J$3,SUMIF('TL05'!$C$238:$C$451,$C349,'TL05'!$J$238:$J$451),0),
IF('TL06'!$B$3=J$3,SUMIF('TL06'!$C$10:$C$224,$C349,'TL06'!$J$10:$J$224),0),
IF('TL06'!$B$229=J$3,SUMIF('TL06'!$C$238:$C$451,$C349,'TL06'!$J$238:$J$451),0),
IF('TL07'!$B$3=J$3,SUMIF('TL07'!$C$10:$C$224,$C349,'TL07'!$J$10:$J$224),0),
IF('TL07'!$B$229=J$3,SUMIF('TL07'!$C$238:$C$451,$C349,'TL07'!$J$238:$J$451),0),
IF('TL08'!$B$3=J$3,SUMIF('TL08'!$C$10:$C$224,$C349,'TL08'!$J$10:$J$224),0),
IF('TL08'!$B$229=J$3,SUMIF('TL08'!$C$238:$C$451,$C349,'TL08'!$J$238:$J$451),0),
IF('TL09'!$B$3=J$3,SUMIF('TL09'!$C$10:$C$224,$C349,'TL09'!$J$10:$J$224),0),
IF('TL09'!$B$229=J$3,SUMIF('TL09'!$C$238:$C$451,$C349,'TL09'!$J$238:$J$451),0),
IF('TL10'!$B$3=J$3,SUMIF('TL10'!$C$10:$C$224,$C349,'TL10'!$J$10:$J$224),0),
IF('TL10'!$B$229=J$3,SUMIF('TL10'!$C$238:$C$451,$C349,'TL10'!$J$238:$J$451),0),
IF('TL11'!$B$3=J$3,SUMIF('TL11'!$C$10:$C$224,$C349,'TL11'!$J$10:$J$224),0),
IF('TL11'!$B$229=J$3,SUMIF('TL11'!$C$238:$C$451,$C349,'TL11'!$J$238:$J$451),0),
IF('TL12'!$B$3=J$3,SUMIF('TL12'!$C$10:$C$224,$C349,'TL12'!$J$10:$J$224),0),
IF('TL12'!$B$229=J$3,SUMIF('TL12'!$C$238:$C$451,$C349,'TL12'!$J$238:$J$451),0),
IF('TL13'!$B$3=J$3,SUMIF('TL13'!$C$10:$C$224,$C349,'TL13'!$J$10:$J$224),0),
IF('TL13'!$B$229=J$3,SUMIF('TL13'!$C$238:$C$451,$C349,'TL13'!$J$238:$J$451),0),
IF('TL14'!$B$3=J$3,SUMIF('TL14'!$C$10:$C$224,$C349,'TL14'!$J$10:$J$224),0),
IF('TL14'!$B$229=J$3,SUMIF('TL14'!$C$238:$C$451,$C349,'TL14'!$J$238:$J$451),0),
IF('TL15'!$B$3=J$3,SUMIF('TL15'!$C$10:$C$224,$C349,'TL15'!$J$10:$J$224),0),
IF('TL15'!$B$229=J$3,SUMIF('TL15'!$C$238:$C$451,$C349,'TL15'!$J$238:$J$451),0),
IF('TL16'!$B$3=J$3,SUMIF('TL16'!$C$10:$C$224,$C349,'TL16'!$J$10:$J$224),0),
IF('TL16'!$B$229=J$3,SUMIF('TL16'!$C$238:$C$451,$C349,'TL16'!$J$238:$J$451),0),
IF('TL17'!$B$3=J$3,SUMIF('TL17'!$C$10:$C$224,$C349,'TL17'!$J$10:$J$224),0),
IF('TL17'!$B$229=J$3,SUMIF('TL17'!$C$238:$C$451,$C349,'TL17'!$J$238:$J$451),0),
IF('TL18'!$B$3=J$3,SUMIF('TL18'!$C$10:$C$224,$C349,'TL18'!$J$10:$J$224),0),
IF('TL18'!$B$229=J$3,SUMIF('TL18'!$C$238:$C$451,$C349,'TL18'!$J$238:$J$451),0),
IF('TL19'!$B$3=J$3,SUMIF('TL19'!$C$10:$C$224,$C349,'TL19'!$J$10:$J$224),0),
IF('TL19'!$B$229=J$3,SUMIF('TL19'!$C$238:$C$451,$C349,'TL19'!$J$238:$J$451),0)
),0)</f>
        <v/>
      </c>
      <c r="K349" s="9">
        <f>IFERROR(SUM(
IF('TL01'!$B$3=K$3,SUMIF('TL01'!$C$10:$C$224,$C349,'TL01'!$J$10:$J$224),0),
IF('TL01'!$B$229=K$3,SUMIF('TL01'!$C$238:$C$451,$C349,'TL01'!$J$238:$J$451),0),
IF('TL02'!$B$3=K$3,SUMIF('TL02'!$C$10:$C$224,$C349,'TL02'!$J$10:$J$224),0),
IF('TL02'!$B$229=K$3,SUMIF('TL02'!$C$238:$C$451,$C349,'TL02'!$J$238:$J$451),0),
IF('TL03'!$B$3=K$3,SUMIF('TL03'!$C$10:$C$224,$C349,'TL03'!$J$10:$J$224),0),
IF('TL03'!$B$229=K$3,SUMIF('TL03'!$C$238:$C$451,$C349,'TL03'!$J$238:$J$451),0),
IF('TL04'!$B$3=K$3,SUMIF('TL04'!$C$10:$C$224,$C349,'TL04'!$J$10:$J$224),0),
IF('TL04'!$B$229=K$3,SUMIF('TL04'!$C$238:$C$451,$C349,'TL04'!$J$238:$J$451),0),
IF('TL05'!$B$3=K$3,SUMIF('TL05'!$C$10:$C$224,$C349,'TL05'!$J$10:$J$224),0),
IF('TL05'!$B$229=K$3,SUMIF('TL05'!$C$238:$C$451,$C349,'TL05'!$J$238:$J$451),0),
IF('TL06'!$B$3=K$3,SUMIF('TL06'!$C$10:$C$224,$C349,'TL06'!$J$10:$J$224),0),
IF('TL06'!$B$229=K$3,SUMIF('TL06'!$C$238:$C$451,$C349,'TL06'!$J$238:$J$451),0),
IF('TL07'!$B$3=K$3,SUMIF('TL07'!$C$10:$C$224,$C349,'TL07'!$J$10:$J$224),0),
IF('TL07'!$B$229=K$3,SUMIF('TL07'!$C$238:$C$451,$C349,'TL07'!$J$238:$J$451),0),
IF('TL08'!$B$3=K$3,SUMIF('TL08'!$C$10:$C$224,$C349,'TL08'!$J$10:$J$224),0),
IF('TL08'!$B$229=K$3,SUMIF('TL08'!$C$238:$C$451,$C349,'TL08'!$J$238:$J$451),0),
IF('TL09'!$B$3=K$3,SUMIF('TL09'!$C$10:$C$224,$C349,'TL09'!$J$10:$J$224),0),
IF('TL09'!$B$229=K$3,SUMIF('TL09'!$C$238:$C$451,$C349,'TL09'!$J$238:$J$451),0),
IF('TL10'!$B$3=K$3,SUMIF('TL10'!$C$10:$C$224,$C349,'TL10'!$J$10:$J$224),0),
IF('TL10'!$B$229=K$3,SUMIF('TL10'!$C$238:$C$451,$C349,'TL10'!$J$238:$J$451),0),
IF('TL11'!$B$3=K$3,SUMIF('TL11'!$C$10:$C$224,$C349,'TL11'!$J$10:$J$224),0),
IF('TL11'!$B$229=K$3,SUMIF('TL11'!$C$238:$C$451,$C349,'TL11'!$J$238:$J$451),0),
IF('TL12'!$B$3=K$3,SUMIF('TL12'!$C$10:$C$224,$C349,'TL12'!$J$10:$J$224),0),
IF('TL12'!$B$229=K$3,SUMIF('TL12'!$C$238:$C$451,$C349,'TL12'!$J$238:$J$451),0),
IF('TL13'!$B$3=K$3,SUMIF('TL13'!$C$10:$C$224,$C349,'TL13'!$J$10:$J$224),0),
IF('TL13'!$B$229=K$3,SUMIF('TL13'!$C$238:$C$451,$C349,'TL13'!$J$238:$J$451),0),
IF('TL14'!$B$3=K$3,SUMIF('TL14'!$C$10:$C$224,$C349,'TL14'!$J$10:$J$224),0),
IF('TL14'!$B$229=K$3,SUMIF('TL14'!$C$238:$C$451,$C349,'TL14'!$J$238:$J$451),0),
IF('TL15'!$B$3=K$3,SUMIF('TL15'!$C$10:$C$224,$C349,'TL15'!$J$10:$J$224),0),
IF('TL15'!$B$229=K$3,SUMIF('TL15'!$C$238:$C$451,$C349,'TL15'!$J$238:$J$451),0),
IF('TL16'!$B$3=K$3,SUMIF('TL16'!$C$10:$C$224,$C349,'TL16'!$J$10:$J$224),0),
IF('TL16'!$B$229=K$3,SUMIF('TL16'!$C$238:$C$451,$C349,'TL16'!$J$238:$J$451),0),
IF('TL17'!$B$3=K$3,SUMIF('TL17'!$C$10:$C$224,$C349,'TL17'!$J$10:$J$224),0),
IF('TL17'!$B$229=K$3,SUMIF('TL17'!$C$238:$C$451,$C349,'TL17'!$J$238:$J$451),0),
IF('TL18'!$B$3=K$3,SUMIF('TL18'!$C$10:$C$224,$C349,'TL18'!$J$10:$J$224),0),
IF('TL18'!$B$229=K$3,SUMIF('TL18'!$C$238:$C$451,$C349,'TL18'!$J$238:$J$451),0),
IF('TL19'!$B$3=K$3,SUMIF('TL19'!$C$10:$C$224,$C349,'TL19'!$J$10:$J$224),0),
IF('TL19'!$B$229=K$3,SUMIF('TL19'!$C$238:$C$451,$C349,'TL19'!$J$238:$J$451),0)
),0)</f>
        <v/>
      </c>
      <c r="L349" s="9">
        <f>IFERROR(SUM(
IF('TL01'!$B$3=L$3,SUMIF('TL01'!$C$10:$C$224,$C349,'TL01'!$J$10:$J$224),0),
IF('TL01'!$B$229=L$3,SUMIF('TL01'!$C$238:$C$451,$C349,'TL01'!$J$238:$J$451),0),
IF('TL02'!$B$3=L$3,SUMIF('TL02'!$C$10:$C$224,$C349,'TL02'!$J$10:$J$224),0),
IF('TL02'!$B$229=L$3,SUMIF('TL02'!$C$238:$C$451,$C349,'TL02'!$J$238:$J$451),0),
IF('TL03'!$B$3=L$3,SUMIF('TL03'!$C$10:$C$224,$C349,'TL03'!$J$10:$J$224),0),
IF('TL03'!$B$229=L$3,SUMIF('TL03'!$C$238:$C$451,$C349,'TL03'!$J$238:$J$451),0),
IF('TL04'!$B$3=L$3,SUMIF('TL04'!$C$10:$C$224,$C349,'TL04'!$J$10:$J$224),0),
IF('TL04'!$B$229=L$3,SUMIF('TL04'!$C$238:$C$451,$C349,'TL04'!$J$238:$J$451),0),
IF('TL05'!$B$3=L$3,SUMIF('TL05'!$C$10:$C$224,$C349,'TL05'!$J$10:$J$224),0),
IF('TL05'!$B$229=L$3,SUMIF('TL05'!$C$238:$C$451,$C349,'TL05'!$J$238:$J$451),0),
IF('TL06'!$B$3=L$3,SUMIF('TL06'!$C$10:$C$224,$C349,'TL06'!$J$10:$J$224),0),
IF('TL06'!$B$229=L$3,SUMIF('TL06'!$C$238:$C$451,$C349,'TL06'!$J$238:$J$451),0),
IF('TL07'!$B$3=L$3,SUMIF('TL07'!$C$10:$C$224,$C349,'TL07'!$J$10:$J$224),0),
IF('TL07'!$B$229=L$3,SUMIF('TL07'!$C$238:$C$451,$C349,'TL07'!$J$238:$J$451),0),
IF('TL08'!$B$3=L$3,SUMIF('TL08'!$C$10:$C$224,$C349,'TL08'!$J$10:$J$224),0),
IF('TL08'!$B$229=L$3,SUMIF('TL08'!$C$238:$C$451,$C349,'TL08'!$J$238:$J$451),0),
IF('TL09'!$B$3=L$3,SUMIF('TL09'!$C$10:$C$224,$C349,'TL09'!$J$10:$J$224),0),
IF('TL09'!$B$229=L$3,SUMIF('TL09'!$C$238:$C$451,$C349,'TL09'!$J$238:$J$451),0),
IF('TL10'!$B$3=L$3,SUMIF('TL10'!$C$10:$C$224,$C349,'TL10'!$J$10:$J$224),0),
IF('TL10'!$B$229=L$3,SUMIF('TL10'!$C$238:$C$451,$C349,'TL10'!$J$238:$J$451),0),
IF('TL11'!$B$3=L$3,SUMIF('TL11'!$C$10:$C$224,$C349,'TL11'!$J$10:$J$224),0),
IF('TL11'!$B$229=L$3,SUMIF('TL11'!$C$238:$C$451,$C349,'TL11'!$J$238:$J$451),0),
IF('TL12'!$B$3=L$3,SUMIF('TL12'!$C$10:$C$224,$C349,'TL12'!$J$10:$J$224),0),
IF('TL12'!$B$229=L$3,SUMIF('TL12'!$C$238:$C$451,$C349,'TL12'!$J$238:$J$451),0),
IF('TL13'!$B$3=L$3,SUMIF('TL13'!$C$10:$C$224,$C349,'TL13'!$J$10:$J$224),0),
IF('TL13'!$B$229=L$3,SUMIF('TL13'!$C$238:$C$451,$C349,'TL13'!$J$238:$J$451),0),
IF('TL14'!$B$3=L$3,SUMIF('TL14'!$C$10:$C$224,$C349,'TL14'!$J$10:$J$224),0),
IF('TL14'!$B$229=L$3,SUMIF('TL14'!$C$238:$C$451,$C349,'TL14'!$J$238:$J$451),0),
IF('TL15'!$B$3=L$3,SUMIF('TL15'!$C$10:$C$224,$C349,'TL15'!$J$10:$J$224),0),
IF('TL15'!$B$229=L$3,SUMIF('TL15'!$C$238:$C$451,$C349,'TL15'!$J$238:$J$451),0),
IF('TL16'!$B$3=L$3,SUMIF('TL16'!$C$10:$C$224,$C349,'TL16'!$J$10:$J$224),0),
IF('TL16'!$B$229=L$3,SUMIF('TL16'!$C$238:$C$451,$C349,'TL16'!$J$238:$J$451),0),
IF('TL17'!$B$3=L$3,SUMIF('TL17'!$C$10:$C$224,$C349,'TL17'!$J$10:$J$224),0),
IF('TL17'!$B$229=L$3,SUMIF('TL17'!$C$238:$C$451,$C349,'TL17'!$J$238:$J$451),0),
IF('TL18'!$B$3=L$3,SUMIF('TL18'!$C$10:$C$224,$C349,'TL18'!$J$10:$J$224),0),
IF('TL18'!$B$229=L$3,SUMIF('TL18'!$C$238:$C$451,$C349,'TL18'!$J$238:$J$451),0),
IF('TL19'!$B$3=L$3,SUMIF('TL19'!$C$10:$C$224,$C349,'TL19'!$J$10:$J$224),0),
IF('TL19'!$B$229=L$3,SUMIF('TL19'!$C$238:$C$451,$C349,'TL19'!$J$238:$J$451),0)
),0)</f>
        <v/>
      </c>
      <c r="M349" s="9">
        <f>IFERROR(SUM(
IF('TL01'!$B$3=M$3,SUMIF('TL01'!$C$10:$C$224,$C349,'TL01'!$J$10:$J$224),0),
IF('TL01'!$B$229=M$3,SUMIF('TL01'!$C$238:$C$451,$C349,'TL01'!$J$238:$J$451),0),
IF('TL02'!$B$3=M$3,SUMIF('TL02'!$C$10:$C$224,$C349,'TL02'!$J$10:$J$224),0),
IF('TL02'!$B$229=M$3,SUMIF('TL02'!$C$238:$C$451,$C349,'TL02'!$J$238:$J$451),0),
IF('TL03'!$B$3=M$3,SUMIF('TL03'!$C$10:$C$224,$C349,'TL03'!$J$10:$J$224),0),
IF('TL03'!$B$229=M$3,SUMIF('TL03'!$C$238:$C$451,$C349,'TL03'!$J$238:$J$451),0),
IF('TL04'!$B$3=M$3,SUMIF('TL04'!$C$10:$C$224,$C349,'TL04'!$J$10:$J$224),0),
IF('TL04'!$B$229=M$3,SUMIF('TL04'!$C$238:$C$451,$C349,'TL04'!$J$238:$J$451),0),
IF('TL05'!$B$3=M$3,SUMIF('TL05'!$C$10:$C$224,$C349,'TL05'!$J$10:$J$224),0),
IF('TL05'!$B$229=M$3,SUMIF('TL05'!$C$238:$C$451,$C349,'TL05'!$J$238:$J$451),0),
IF('TL06'!$B$3=M$3,SUMIF('TL06'!$C$10:$C$224,$C349,'TL06'!$J$10:$J$224),0),
IF('TL06'!$B$229=M$3,SUMIF('TL06'!$C$238:$C$451,$C349,'TL06'!$J$238:$J$451),0),
IF('TL07'!$B$3=M$3,SUMIF('TL07'!$C$10:$C$224,$C349,'TL07'!$J$10:$J$224),0),
IF('TL07'!$B$229=M$3,SUMIF('TL07'!$C$238:$C$451,$C349,'TL07'!$J$238:$J$451),0),
IF('TL08'!$B$3=M$3,SUMIF('TL08'!$C$10:$C$224,$C349,'TL08'!$J$10:$J$224),0),
IF('TL08'!$B$229=M$3,SUMIF('TL08'!$C$238:$C$451,$C349,'TL08'!$J$238:$J$451),0),
IF('TL09'!$B$3=M$3,SUMIF('TL09'!$C$10:$C$224,$C349,'TL09'!$J$10:$J$224),0),
IF('TL09'!$B$229=M$3,SUMIF('TL09'!$C$238:$C$451,$C349,'TL09'!$J$238:$J$451),0),
IF('TL10'!$B$3=M$3,SUMIF('TL10'!$C$10:$C$224,$C349,'TL10'!$J$10:$J$224),0),
IF('TL10'!$B$229=M$3,SUMIF('TL10'!$C$238:$C$451,$C349,'TL10'!$J$238:$J$451),0),
IF('TL11'!$B$3=M$3,SUMIF('TL11'!$C$10:$C$224,$C349,'TL11'!$J$10:$J$224),0),
IF('TL11'!$B$229=M$3,SUMIF('TL11'!$C$238:$C$451,$C349,'TL11'!$J$238:$J$451),0),
IF('TL12'!$B$3=M$3,SUMIF('TL12'!$C$10:$C$224,$C349,'TL12'!$J$10:$J$224),0),
IF('TL12'!$B$229=M$3,SUMIF('TL12'!$C$238:$C$451,$C349,'TL12'!$J$238:$J$451),0),
IF('TL13'!$B$3=M$3,SUMIF('TL13'!$C$10:$C$224,$C349,'TL13'!$J$10:$J$224),0),
IF('TL13'!$B$229=M$3,SUMIF('TL13'!$C$238:$C$451,$C349,'TL13'!$J$238:$J$451),0),
IF('TL14'!$B$3=M$3,SUMIF('TL14'!$C$10:$C$224,$C349,'TL14'!$J$10:$J$224),0),
IF('TL14'!$B$229=M$3,SUMIF('TL14'!$C$238:$C$451,$C349,'TL14'!$J$238:$J$451),0),
IF('TL15'!$B$3=M$3,SUMIF('TL15'!$C$10:$C$224,$C349,'TL15'!$J$10:$J$224),0),
IF('TL15'!$B$229=M$3,SUMIF('TL15'!$C$238:$C$451,$C349,'TL15'!$J$238:$J$451),0),
IF('TL16'!$B$3=M$3,SUMIF('TL16'!$C$10:$C$224,$C349,'TL16'!$J$10:$J$224),0),
IF('TL16'!$B$229=M$3,SUMIF('TL16'!$C$238:$C$451,$C349,'TL16'!$J$238:$J$451),0),
IF('TL17'!$B$3=M$3,SUMIF('TL17'!$C$10:$C$224,$C349,'TL17'!$J$10:$J$224),0),
IF('TL17'!$B$229=M$3,SUMIF('TL17'!$C$238:$C$451,$C349,'TL17'!$J$238:$J$451),0),
IF('TL18'!$B$3=M$3,SUMIF('TL18'!$C$10:$C$224,$C349,'TL18'!$J$10:$J$224),0),
IF('TL18'!$B$229=M$3,SUMIF('TL18'!$C$238:$C$451,$C349,'TL18'!$J$238:$J$451),0),
IF('TL19'!$B$3=M$3,SUMIF('TL19'!$C$10:$C$224,$C349,'TL19'!$J$10:$J$224),0),
IF('TL19'!$B$229=M$3,SUMIF('TL19'!$C$238:$C$451,$C349,'TL19'!$J$238:$J$451),0)
),0)</f>
        <v/>
      </c>
      <c r="N349" s="9">
        <f>IFERROR(SUM(
IF('TL01'!$B$3=N$3,SUMIF('TL01'!$C$10:$C$224,$C349,'TL01'!$J$10:$J$224),0),
IF('TL01'!$B$229=N$3,SUMIF('TL01'!$C$238:$C$451,$C349,'TL01'!$J$238:$J$451),0),
IF('TL02'!$B$3=N$3,SUMIF('TL02'!$C$10:$C$224,$C349,'TL02'!$J$10:$J$224),0),
IF('TL02'!$B$229=N$3,SUMIF('TL02'!$C$238:$C$451,$C349,'TL02'!$J$238:$J$451),0),
IF('TL03'!$B$3=N$3,SUMIF('TL03'!$C$10:$C$224,$C349,'TL03'!$J$10:$J$224),0),
IF('TL03'!$B$229=N$3,SUMIF('TL03'!$C$238:$C$451,$C349,'TL03'!$J$238:$J$451),0),
IF('TL04'!$B$3=N$3,SUMIF('TL04'!$C$10:$C$224,$C349,'TL04'!$J$10:$J$224),0),
IF('TL04'!$B$229=N$3,SUMIF('TL04'!$C$238:$C$451,$C349,'TL04'!$J$238:$J$451),0),
IF('TL05'!$B$3=N$3,SUMIF('TL05'!$C$10:$C$224,$C349,'TL05'!$J$10:$J$224),0),
IF('TL05'!$B$229=N$3,SUMIF('TL05'!$C$238:$C$451,$C349,'TL05'!$J$238:$J$451),0),
IF('TL06'!$B$3=N$3,SUMIF('TL06'!$C$10:$C$224,$C349,'TL06'!$J$10:$J$224),0),
IF('TL06'!$B$229=N$3,SUMIF('TL06'!$C$238:$C$451,$C349,'TL06'!$J$238:$J$451),0),
IF('TL07'!$B$3=N$3,SUMIF('TL07'!$C$10:$C$224,$C349,'TL07'!$J$10:$J$224),0),
IF('TL07'!$B$229=N$3,SUMIF('TL07'!$C$238:$C$451,$C349,'TL07'!$J$238:$J$451),0),
IF('TL08'!$B$3=N$3,SUMIF('TL08'!$C$10:$C$224,$C349,'TL08'!$J$10:$J$224),0),
IF('TL08'!$B$229=N$3,SUMIF('TL08'!$C$238:$C$451,$C349,'TL08'!$J$238:$J$451),0),
IF('TL09'!$B$3=N$3,SUMIF('TL09'!$C$10:$C$224,$C349,'TL09'!$J$10:$J$224),0),
IF('TL09'!$B$229=N$3,SUMIF('TL09'!$C$238:$C$451,$C349,'TL09'!$J$238:$J$451),0),
IF('TL10'!$B$3=N$3,SUMIF('TL10'!$C$10:$C$224,$C349,'TL10'!$J$10:$J$224),0),
IF('TL10'!$B$229=N$3,SUMIF('TL10'!$C$238:$C$451,$C349,'TL10'!$J$238:$J$451),0),
IF('TL11'!$B$3=N$3,SUMIF('TL11'!$C$10:$C$224,$C349,'TL11'!$J$10:$J$224),0),
IF('TL11'!$B$229=N$3,SUMIF('TL11'!$C$238:$C$451,$C349,'TL11'!$J$238:$J$451),0),
IF('TL12'!$B$3=N$3,SUMIF('TL12'!$C$10:$C$224,$C349,'TL12'!$J$10:$J$224),0),
IF('TL12'!$B$229=N$3,SUMIF('TL12'!$C$238:$C$451,$C349,'TL12'!$J$238:$J$451),0),
IF('TL13'!$B$3=N$3,SUMIF('TL13'!$C$10:$C$224,$C349,'TL13'!$J$10:$J$224),0),
IF('TL13'!$B$229=N$3,SUMIF('TL13'!$C$238:$C$451,$C349,'TL13'!$J$238:$J$451),0),
IF('TL14'!$B$3=N$3,SUMIF('TL14'!$C$10:$C$224,$C349,'TL14'!$J$10:$J$224),0),
IF('TL14'!$B$229=N$3,SUMIF('TL14'!$C$238:$C$451,$C349,'TL14'!$J$238:$J$451),0),
IF('TL15'!$B$3=N$3,SUMIF('TL15'!$C$10:$C$224,$C349,'TL15'!$J$10:$J$224),0),
IF('TL15'!$B$229=N$3,SUMIF('TL15'!$C$238:$C$451,$C349,'TL15'!$J$238:$J$451),0),
IF('TL16'!$B$3=N$3,SUMIF('TL16'!$C$10:$C$224,$C349,'TL16'!$J$10:$J$224),0),
IF('TL16'!$B$229=N$3,SUMIF('TL16'!$C$238:$C$451,$C349,'TL16'!$J$238:$J$451),0),
IF('TL17'!$B$3=N$3,SUMIF('TL17'!$C$10:$C$224,$C349,'TL17'!$J$10:$J$224),0),
IF('TL17'!$B$229=N$3,SUMIF('TL17'!$C$238:$C$451,$C349,'TL17'!$J$238:$J$451),0),
IF('TL18'!$B$3=N$3,SUMIF('TL18'!$C$10:$C$224,$C349,'TL18'!$J$10:$J$224),0),
IF('TL18'!$B$229=N$3,SUMIF('TL18'!$C$238:$C$451,$C349,'TL18'!$J$238:$J$451),0),
IF('TL19'!$B$3=N$3,SUMIF('TL19'!$C$10:$C$224,$C349,'TL19'!$J$10:$J$224),0),
IF('TL19'!$B$229=N$3,SUMIF('TL19'!$C$238:$C$451,$C349,'TL19'!$J$238:$J$451),0)
),0)</f>
        <v/>
      </c>
      <c r="O349" s="9">
        <f>IFERROR(SUM(
IF('TL01'!$B$3=O$3,SUMIF('TL01'!$C$10:$C$224,$C349,'TL01'!$J$10:$J$224),0),
IF('TL01'!$B$229=O$3,SUMIF('TL01'!$C$238:$C$451,$C349,'TL01'!$J$238:$J$451),0),
IF('TL02'!$B$3=O$3,SUMIF('TL02'!$C$10:$C$224,$C349,'TL02'!$J$10:$J$224),0),
IF('TL02'!$B$229=O$3,SUMIF('TL02'!$C$238:$C$451,$C349,'TL02'!$J$238:$J$451),0),
IF('TL03'!$B$3=O$3,SUMIF('TL03'!$C$10:$C$224,$C349,'TL03'!$J$10:$J$224),0),
IF('TL03'!$B$229=O$3,SUMIF('TL03'!$C$238:$C$451,$C349,'TL03'!$J$238:$J$451),0),
IF('TL04'!$B$3=O$3,SUMIF('TL04'!$C$10:$C$224,$C349,'TL04'!$J$10:$J$224),0),
IF('TL04'!$B$229=O$3,SUMIF('TL04'!$C$238:$C$451,$C349,'TL04'!$J$238:$J$451),0),
IF('TL05'!$B$3=O$3,SUMIF('TL05'!$C$10:$C$224,$C349,'TL05'!$J$10:$J$224),0),
IF('TL05'!$B$229=O$3,SUMIF('TL05'!$C$238:$C$451,$C349,'TL05'!$J$238:$J$451),0),
IF('TL06'!$B$3=O$3,SUMIF('TL06'!$C$10:$C$224,$C349,'TL06'!$J$10:$J$224),0),
IF('TL06'!$B$229=O$3,SUMIF('TL06'!$C$238:$C$451,$C349,'TL06'!$J$238:$J$451),0),
IF('TL07'!$B$3=O$3,SUMIF('TL07'!$C$10:$C$224,$C349,'TL07'!$J$10:$J$224),0),
IF('TL07'!$B$229=O$3,SUMIF('TL07'!$C$238:$C$451,$C349,'TL07'!$J$238:$J$451),0),
IF('TL08'!$B$3=O$3,SUMIF('TL08'!$C$10:$C$224,$C349,'TL08'!$J$10:$J$224),0),
IF('TL08'!$B$229=O$3,SUMIF('TL08'!$C$238:$C$451,$C349,'TL08'!$J$238:$J$451),0),
IF('TL09'!$B$3=O$3,SUMIF('TL09'!$C$10:$C$224,$C349,'TL09'!$J$10:$J$224),0),
IF('TL09'!$B$229=O$3,SUMIF('TL09'!$C$238:$C$451,$C349,'TL09'!$J$238:$J$451),0),
IF('TL10'!$B$3=O$3,SUMIF('TL10'!$C$10:$C$224,$C349,'TL10'!$J$10:$J$224),0),
IF('TL10'!$B$229=O$3,SUMIF('TL10'!$C$238:$C$451,$C349,'TL10'!$J$238:$J$451),0),
IF('TL11'!$B$3=O$3,SUMIF('TL11'!$C$10:$C$224,$C349,'TL11'!$J$10:$J$224),0),
IF('TL11'!$B$229=O$3,SUMIF('TL11'!$C$238:$C$451,$C349,'TL11'!$J$238:$J$451),0),
IF('TL12'!$B$3=O$3,SUMIF('TL12'!$C$10:$C$224,$C349,'TL12'!$J$10:$J$224),0),
IF('TL12'!$B$229=O$3,SUMIF('TL12'!$C$238:$C$451,$C349,'TL12'!$J$238:$J$451),0),
IF('TL13'!$B$3=O$3,SUMIF('TL13'!$C$10:$C$224,$C349,'TL13'!$J$10:$J$224),0),
IF('TL13'!$B$229=O$3,SUMIF('TL13'!$C$238:$C$451,$C349,'TL13'!$J$238:$J$451),0),
IF('TL14'!$B$3=O$3,SUMIF('TL14'!$C$10:$C$224,$C349,'TL14'!$J$10:$J$224),0),
IF('TL14'!$B$229=O$3,SUMIF('TL14'!$C$238:$C$451,$C349,'TL14'!$J$238:$J$451),0),
IF('TL15'!$B$3=O$3,SUMIF('TL15'!$C$10:$C$224,$C349,'TL15'!$J$10:$J$224),0),
IF('TL15'!$B$229=O$3,SUMIF('TL15'!$C$238:$C$451,$C349,'TL15'!$J$238:$J$451),0),
IF('TL16'!$B$3=O$3,SUMIF('TL16'!$C$10:$C$224,$C349,'TL16'!$J$10:$J$224),0),
IF('TL16'!$B$229=O$3,SUMIF('TL16'!$C$238:$C$451,$C349,'TL16'!$J$238:$J$451),0),
IF('TL17'!$B$3=O$3,SUMIF('TL17'!$C$10:$C$224,$C349,'TL17'!$J$10:$J$224),0),
IF('TL17'!$B$229=O$3,SUMIF('TL17'!$C$238:$C$451,$C349,'TL17'!$J$238:$J$451),0),
IF('TL18'!$B$3=O$3,SUMIF('TL18'!$C$10:$C$224,$C349,'TL18'!$J$10:$J$224),0),
IF('TL18'!$B$229=O$3,SUMIF('TL18'!$C$238:$C$451,$C349,'TL18'!$J$238:$J$451),0),
IF('TL19'!$B$3=O$3,SUMIF('TL19'!$C$10:$C$224,$C349,'TL19'!$J$10:$J$224),0),
IF('TL19'!$B$229=O$3,SUMIF('TL19'!$C$238:$C$451,$C349,'TL19'!$J$238:$J$451),0)
),0)</f>
        <v/>
      </c>
      <c r="P349" s="9">
        <f>IFERROR(SUM(
IF('TL01'!$B$3=P$3,SUMIF('TL01'!$C$10:$C$224,$C349,'TL01'!$J$10:$J$224),0),
IF('TL01'!$B$229=P$3,SUMIF('TL01'!$C$238:$C$451,$C349,'TL01'!$J$238:$J$451),0),
IF('TL02'!$B$3=P$3,SUMIF('TL02'!$C$10:$C$224,$C349,'TL02'!$J$10:$J$224),0),
IF('TL02'!$B$229=P$3,SUMIF('TL02'!$C$238:$C$451,$C349,'TL02'!$J$238:$J$451),0),
IF('TL03'!$B$3=P$3,SUMIF('TL03'!$C$10:$C$224,$C349,'TL03'!$J$10:$J$224),0),
IF('TL03'!$B$229=P$3,SUMIF('TL03'!$C$238:$C$451,$C349,'TL03'!$J$238:$J$451),0),
IF('TL04'!$B$3=P$3,SUMIF('TL04'!$C$10:$C$224,$C349,'TL04'!$J$10:$J$224),0),
IF('TL04'!$B$229=P$3,SUMIF('TL04'!$C$238:$C$451,$C349,'TL04'!$J$238:$J$451),0),
IF('TL05'!$B$3=P$3,SUMIF('TL05'!$C$10:$C$224,$C349,'TL05'!$J$10:$J$224),0),
IF('TL05'!$B$229=P$3,SUMIF('TL05'!$C$238:$C$451,$C349,'TL05'!$J$238:$J$451),0),
IF('TL06'!$B$3=P$3,SUMIF('TL06'!$C$10:$C$224,$C349,'TL06'!$J$10:$J$224),0),
IF('TL06'!$B$229=P$3,SUMIF('TL06'!$C$238:$C$451,$C349,'TL06'!$J$238:$J$451),0),
IF('TL07'!$B$3=P$3,SUMIF('TL07'!$C$10:$C$224,$C349,'TL07'!$J$10:$J$224),0),
IF('TL07'!$B$229=P$3,SUMIF('TL07'!$C$238:$C$451,$C349,'TL07'!$J$238:$J$451),0),
IF('TL08'!$B$3=P$3,SUMIF('TL08'!$C$10:$C$224,$C349,'TL08'!$J$10:$J$224),0),
IF('TL08'!$B$229=P$3,SUMIF('TL08'!$C$238:$C$451,$C349,'TL08'!$J$238:$J$451),0),
IF('TL09'!$B$3=P$3,SUMIF('TL09'!$C$10:$C$224,$C349,'TL09'!$J$10:$J$224),0),
IF('TL09'!$B$229=P$3,SUMIF('TL09'!$C$238:$C$451,$C349,'TL09'!$J$238:$J$451),0),
IF('TL10'!$B$3=P$3,SUMIF('TL10'!$C$10:$C$224,$C349,'TL10'!$J$10:$J$224),0),
IF('TL10'!$B$229=P$3,SUMIF('TL10'!$C$238:$C$451,$C349,'TL10'!$J$238:$J$451),0),
IF('TL11'!$B$3=P$3,SUMIF('TL11'!$C$10:$C$224,$C349,'TL11'!$J$10:$J$224),0),
IF('TL11'!$B$229=P$3,SUMIF('TL11'!$C$238:$C$451,$C349,'TL11'!$J$238:$J$451),0),
IF('TL12'!$B$3=P$3,SUMIF('TL12'!$C$10:$C$224,$C349,'TL12'!$J$10:$J$224),0),
IF('TL12'!$B$229=P$3,SUMIF('TL12'!$C$238:$C$451,$C349,'TL12'!$J$238:$J$451),0),
IF('TL13'!$B$3=P$3,SUMIF('TL13'!$C$10:$C$224,$C349,'TL13'!$J$10:$J$224),0),
IF('TL13'!$B$229=P$3,SUMIF('TL13'!$C$238:$C$451,$C349,'TL13'!$J$238:$J$451),0),
IF('TL14'!$B$3=P$3,SUMIF('TL14'!$C$10:$C$224,$C349,'TL14'!$J$10:$J$224),0),
IF('TL14'!$B$229=P$3,SUMIF('TL14'!$C$238:$C$451,$C349,'TL14'!$J$238:$J$451),0),
IF('TL15'!$B$3=P$3,SUMIF('TL15'!$C$10:$C$224,$C349,'TL15'!$J$10:$J$224),0),
IF('TL15'!$B$229=P$3,SUMIF('TL15'!$C$238:$C$451,$C349,'TL15'!$J$238:$J$451),0),
IF('TL16'!$B$3=P$3,SUMIF('TL16'!$C$10:$C$224,$C349,'TL16'!$J$10:$J$224),0),
IF('TL16'!$B$229=P$3,SUMIF('TL16'!$C$238:$C$451,$C349,'TL16'!$J$238:$J$451),0),
IF('TL17'!$B$3=P$3,SUMIF('TL17'!$C$10:$C$224,$C349,'TL17'!$J$10:$J$224),0),
IF('TL17'!$B$229=P$3,SUMIF('TL17'!$C$238:$C$451,$C349,'TL17'!$J$238:$J$451),0),
IF('TL18'!$B$3=P$3,SUMIF('TL18'!$C$10:$C$224,$C349,'TL18'!$J$10:$J$224),0),
IF('TL18'!$B$229=P$3,SUMIF('TL18'!$C$238:$C$451,$C349,'TL18'!$J$238:$J$451),0),
IF('TL19'!$B$3=P$3,SUMIF('TL19'!$C$10:$C$224,$C349,'TL19'!$J$10:$J$224),0),
IF('TL19'!$B$229=P$3,SUMIF('TL19'!$C$238:$C$451,$C349,'TL19'!$J$238:$J$451),0)
),0)</f>
        <v/>
      </c>
      <c r="Q349" s="9">
        <f>IFERROR(SUM(
IF('TL01'!$B$3=Q$3,SUMIF('TL01'!$C$10:$C$224,$C349,'TL01'!$J$10:$J$224),0),
IF('TL01'!$B$229=Q$3,SUMIF('TL01'!$C$238:$C$451,$C349,'TL01'!$J$238:$J$451),0),
IF('TL02'!$B$3=Q$3,SUMIF('TL02'!$C$10:$C$224,$C349,'TL02'!$J$10:$J$224),0),
IF('TL02'!$B$229=Q$3,SUMIF('TL02'!$C$238:$C$451,$C349,'TL02'!$J$238:$J$451),0),
IF('TL03'!$B$3=Q$3,SUMIF('TL03'!$C$10:$C$224,$C349,'TL03'!$J$10:$J$224),0),
IF('TL03'!$B$229=Q$3,SUMIF('TL03'!$C$238:$C$451,$C349,'TL03'!$J$238:$J$451),0),
IF('TL04'!$B$3=Q$3,SUMIF('TL04'!$C$10:$C$224,$C349,'TL04'!$J$10:$J$224),0),
IF('TL04'!$B$229=Q$3,SUMIF('TL04'!$C$238:$C$451,$C349,'TL04'!$J$238:$J$451),0),
IF('TL05'!$B$3=Q$3,SUMIF('TL05'!$C$10:$C$224,$C349,'TL05'!$J$10:$J$224),0),
IF('TL05'!$B$229=Q$3,SUMIF('TL05'!$C$238:$C$451,$C349,'TL05'!$J$238:$J$451),0),
IF('TL06'!$B$3=Q$3,SUMIF('TL06'!$C$10:$C$224,$C349,'TL06'!$J$10:$J$224),0),
IF('TL06'!$B$229=Q$3,SUMIF('TL06'!$C$238:$C$451,$C349,'TL06'!$J$238:$J$451),0),
IF('TL07'!$B$3=Q$3,SUMIF('TL07'!$C$10:$C$224,$C349,'TL07'!$J$10:$J$224),0),
IF('TL07'!$B$229=Q$3,SUMIF('TL07'!$C$238:$C$451,$C349,'TL07'!$J$238:$J$451),0),
IF('TL08'!$B$3=Q$3,SUMIF('TL08'!$C$10:$C$224,$C349,'TL08'!$J$10:$J$224),0),
IF('TL08'!$B$229=Q$3,SUMIF('TL08'!$C$238:$C$451,$C349,'TL08'!$J$238:$J$451),0),
IF('TL09'!$B$3=Q$3,SUMIF('TL09'!$C$10:$C$224,$C349,'TL09'!$J$10:$J$224),0),
IF('TL09'!$B$229=Q$3,SUMIF('TL09'!$C$238:$C$451,$C349,'TL09'!$J$238:$J$451),0),
IF('TL10'!$B$3=Q$3,SUMIF('TL10'!$C$10:$C$224,$C349,'TL10'!$J$10:$J$224),0),
IF('TL10'!$B$229=Q$3,SUMIF('TL10'!$C$238:$C$451,$C349,'TL10'!$J$238:$J$451),0),
IF('TL11'!$B$3=Q$3,SUMIF('TL11'!$C$10:$C$224,$C349,'TL11'!$J$10:$J$224),0),
IF('TL11'!$B$229=Q$3,SUMIF('TL11'!$C$238:$C$451,$C349,'TL11'!$J$238:$J$451),0),
IF('TL12'!$B$3=Q$3,SUMIF('TL12'!$C$10:$C$224,$C349,'TL12'!$J$10:$J$224),0),
IF('TL12'!$B$229=Q$3,SUMIF('TL12'!$C$238:$C$451,$C349,'TL12'!$J$238:$J$451),0),
IF('TL13'!$B$3=Q$3,SUMIF('TL13'!$C$10:$C$224,$C349,'TL13'!$J$10:$J$224),0),
IF('TL13'!$B$229=Q$3,SUMIF('TL13'!$C$238:$C$451,$C349,'TL13'!$J$238:$J$451),0),
IF('TL14'!$B$3=Q$3,SUMIF('TL14'!$C$10:$C$224,$C349,'TL14'!$J$10:$J$224),0),
IF('TL14'!$B$229=Q$3,SUMIF('TL14'!$C$238:$C$451,$C349,'TL14'!$J$238:$J$451),0),
IF('TL15'!$B$3=Q$3,SUMIF('TL15'!$C$10:$C$224,$C349,'TL15'!$J$10:$J$224),0),
IF('TL15'!$B$229=Q$3,SUMIF('TL15'!$C$238:$C$451,$C349,'TL15'!$J$238:$J$451),0),
IF('TL16'!$B$3=Q$3,SUMIF('TL16'!$C$10:$C$224,$C349,'TL16'!$J$10:$J$224),0),
IF('TL16'!$B$229=Q$3,SUMIF('TL16'!$C$238:$C$451,$C349,'TL16'!$J$238:$J$451),0),
IF('TL17'!$B$3=Q$3,SUMIF('TL17'!$C$10:$C$224,$C349,'TL17'!$J$10:$J$224),0),
IF('TL17'!$B$229=Q$3,SUMIF('TL17'!$C$238:$C$451,$C349,'TL17'!$J$238:$J$451),0),
IF('TL18'!$B$3=Q$3,SUMIF('TL18'!$C$10:$C$224,$C349,'TL18'!$J$10:$J$224),0),
IF('TL18'!$B$229=Q$3,SUMIF('TL18'!$C$238:$C$451,$C349,'TL18'!$J$238:$J$451),0),
IF('TL19'!$B$3=Q$3,SUMIF('TL19'!$C$10:$C$224,$C349,'TL19'!$J$10:$J$224),0),
IF('TL19'!$B$229=Q$3,SUMIF('TL19'!$C$238:$C$451,$C349,'TL19'!$J$238:$J$451),0)
),0)</f>
        <v/>
      </c>
      <c r="R349" s="9">
        <f>IFERROR(
SUM(
SUMIF('TL01'!C:C,C349,'TL01'!J:J),
SUMIF('TL02'!C:C,C349,'TL02'!J:J),
SUMIF('TL03'!C:C,C349,'TL03'!J:J),
SUMIF('TL04'!C:C,C349,'TL04'!J:J),
SUMIF('TL05'!C:C,C349,'TL05'!J:J),
SUMIF('TL06'!C:C,C349,'TL06'!J:J),
SUMIF('TL07'!C:C,C349,'TL07'!J:J),
SUMIF('TL08'!C:C,C349,'TL08'!J:J),
SUMIF('TL09'!C:C,C349,'TL09'!J:J),
SUMIF('TL10'!C:C,C349,'TL10'!J:J),
SUMIF('TL11'!C:C,C349,'TL11'!J:J),
SUMIF('TL12'!C:C,C349,'TL12'!J:J),
SUMIF('TL13'!C:C,C349,'TL13'!J:J),
SUMIF('TL14'!C:C,C349,'TL14'!J:J),
SUMIF('TL15'!C:C,C349,'TL15'!J:J),
SUMIF('TL16'!C:C,C349,'TL16'!J:J),
SUMIF('TL17'!C:C,C349,'TL17'!J:J),
SUMIF('TL18'!C:C,C349,'TL18'!J:J),SUMIF('TL19'!C:C,C349,'TL19'!J:J))
,0)</f>
        <v/>
      </c>
      <c r="S349" s="17">
        <f>IFERROR(__xludf.DUMMYFUNCTION("IFERROR(VLOOKUP(C349,
IMPORTRANGE(""1wULbzX32WdYsx-lj2U3uUNBBe2INVIRDtcK0d-Dvl90"",
""26-27!C:G""),
5,
FALSE),
"""")"),"")</f>
        <v/>
      </c>
      <c r="T349" s="9" t="n"/>
      <c r="U349" s="92">
        <f>MAX(0,R349-T349)</f>
        <v/>
      </c>
      <c r="V349" s="93">
        <f>U349*S349</f>
        <v/>
      </c>
    </row>
    <row r="350" hidden="1" ht="15.75" customHeight="1" s="297">
      <c r="A350" s="4" t="inlineStr">
        <is>
          <t>SOLUBIO</t>
        </is>
      </c>
      <c r="B350" s="4" t="inlineStr">
        <is>
          <t>BIOLÓGICOS</t>
        </is>
      </c>
      <c r="C350" s="126" t="inlineStr">
        <is>
          <t>Now Lock</t>
        </is>
      </c>
      <c r="D350" s="127" t="inlineStr">
        <is>
          <t>Bacillus amyloliquefaciens</t>
        </is>
      </c>
      <c r="E350" s="20" t="n"/>
      <c r="F350" s="4" t="n"/>
      <c r="G350" s="90">
        <f>HYPERLINK("https://www.google.com/search?q=" &amp; C350 &amp; "+bula+agrofit+pdf", "📄 Ver bula")</f>
        <v/>
      </c>
      <c r="H350" s="9" t="n">
        <v>4</v>
      </c>
      <c r="I350" s="121" t="inlineStr">
        <is>
          <t>4X5</t>
        </is>
      </c>
      <c r="J350" s="9">
        <f>IFERROR(SUM(
IF('TL01'!$B$3=J$3,SUMIF('TL01'!$C$10:$C$224,$C350,'TL01'!$J$10:$J$224),0),
IF('TL01'!$B$229=J$3,SUMIF('TL01'!$C$238:$C$451,$C350,'TL01'!$J$238:$J$451),0),
IF('TL02'!$B$3=J$3,SUMIF('TL02'!$C$10:$C$224,$C350,'TL02'!$J$10:$J$224),0),
IF('TL02'!$B$229=J$3,SUMIF('TL02'!$C$238:$C$451,$C350,'TL02'!$J$238:$J$451),0),
IF('TL03'!$B$3=J$3,SUMIF('TL03'!$C$10:$C$224,$C350,'TL03'!$J$10:$J$224),0),
IF('TL03'!$B$229=J$3,SUMIF('TL03'!$C$238:$C$451,$C350,'TL03'!$J$238:$J$451),0),
IF('TL04'!$B$3=J$3,SUMIF('TL04'!$C$10:$C$224,$C350,'TL04'!$J$10:$J$224),0),
IF('TL04'!$B$229=J$3,SUMIF('TL04'!$C$238:$C$451,$C350,'TL04'!$J$238:$J$451),0),
IF('TL05'!$B$3=J$3,SUMIF('TL05'!$C$10:$C$224,$C350,'TL05'!$J$10:$J$224),0),
IF('TL05'!$B$229=J$3,SUMIF('TL05'!$C$238:$C$451,$C350,'TL05'!$J$238:$J$451),0),
IF('TL06'!$B$3=J$3,SUMIF('TL06'!$C$10:$C$224,$C350,'TL06'!$J$10:$J$224),0),
IF('TL06'!$B$229=J$3,SUMIF('TL06'!$C$238:$C$451,$C350,'TL06'!$J$238:$J$451),0),
IF('TL07'!$B$3=J$3,SUMIF('TL07'!$C$10:$C$224,$C350,'TL07'!$J$10:$J$224),0),
IF('TL07'!$B$229=J$3,SUMIF('TL07'!$C$238:$C$451,$C350,'TL07'!$J$238:$J$451),0),
IF('TL08'!$B$3=J$3,SUMIF('TL08'!$C$10:$C$224,$C350,'TL08'!$J$10:$J$224),0),
IF('TL08'!$B$229=J$3,SUMIF('TL08'!$C$238:$C$451,$C350,'TL08'!$J$238:$J$451),0),
IF('TL09'!$B$3=J$3,SUMIF('TL09'!$C$10:$C$224,$C350,'TL09'!$J$10:$J$224),0),
IF('TL09'!$B$229=J$3,SUMIF('TL09'!$C$238:$C$451,$C350,'TL09'!$J$238:$J$451),0),
IF('TL10'!$B$3=J$3,SUMIF('TL10'!$C$10:$C$224,$C350,'TL10'!$J$10:$J$224),0),
IF('TL10'!$B$229=J$3,SUMIF('TL10'!$C$238:$C$451,$C350,'TL10'!$J$238:$J$451),0),
IF('TL11'!$B$3=J$3,SUMIF('TL11'!$C$10:$C$224,$C350,'TL11'!$J$10:$J$224),0),
IF('TL11'!$B$229=J$3,SUMIF('TL11'!$C$238:$C$451,$C350,'TL11'!$J$238:$J$451),0),
IF('TL12'!$B$3=J$3,SUMIF('TL12'!$C$10:$C$224,$C350,'TL12'!$J$10:$J$224),0),
IF('TL12'!$B$229=J$3,SUMIF('TL12'!$C$238:$C$451,$C350,'TL12'!$J$238:$J$451),0),
IF('TL13'!$B$3=J$3,SUMIF('TL13'!$C$10:$C$224,$C350,'TL13'!$J$10:$J$224),0),
IF('TL13'!$B$229=J$3,SUMIF('TL13'!$C$238:$C$451,$C350,'TL13'!$J$238:$J$451),0),
IF('TL14'!$B$3=J$3,SUMIF('TL14'!$C$10:$C$224,$C350,'TL14'!$J$10:$J$224),0),
IF('TL14'!$B$229=J$3,SUMIF('TL14'!$C$238:$C$451,$C350,'TL14'!$J$238:$J$451),0),
IF('TL15'!$B$3=J$3,SUMIF('TL15'!$C$10:$C$224,$C350,'TL15'!$J$10:$J$224),0),
IF('TL15'!$B$229=J$3,SUMIF('TL15'!$C$238:$C$451,$C350,'TL15'!$J$238:$J$451),0),
IF('TL16'!$B$3=J$3,SUMIF('TL16'!$C$10:$C$224,$C350,'TL16'!$J$10:$J$224),0),
IF('TL16'!$B$229=J$3,SUMIF('TL16'!$C$238:$C$451,$C350,'TL16'!$J$238:$J$451),0),
IF('TL17'!$B$3=J$3,SUMIF('TL17'!$C$10:$C$224,$C350,'TL17'!$J$10:$J$224),0),
IF('TL17'!$B$229=J$3,SUMIF('TL17'!$C$238:$C$451,$C350,'TL17'!$J$238:$J$451),0),
IF('TL18'!$B$3=J$3,SUMIF('TL18'!$C$10:$C$224,$C350,'TL18'!$J$10:$J$224),0),
IF('TL18'!$B$229=J$3,SUMIF('TL18'!$C$238:$C$451,$C350,'TL18'!$J$238:$J$451),0),
IF('TL19'!$B$3=J$3,SUMIF('TL19'!$C$10:$C$224,$C350,'TL19'!$J$10:$J$224),0),
IF('TL19'!$B$229=J$3,SUMIF('TL19'!$C$238:$C$451,$C350,'TL19'!$J$238:$J$451),0)
),0)</f>
        <v/>
      </c>
      <c r="K350" s="9">
        <f>IFERROR(SUM(
IF('TL01'!$B$3=K$3,SUMIF('TL01'!$C$10:$C$224,$C350,'TL01'!$J$10:$J$224),0),
IF('TL01'!$B$229=K$3,SUMIF('TL01'!$C$238:$C$451,$C350,'TL01'!$J$238:$J$451),0),
IF('TL02'!$B$3=K$3,SUMIF('TL02'!$C$10:$C$224,$C350,'TL02'!$J$10:$J$224),0),
IF('TL02'!$B$229=K$3,SUMIF('TL02'!$C$238:$C$451,$C350,'TL02'!$J$238:$J$451),0),
IF('TL03'!$B$3=K$3,SUMIF('TL03'!$C$10:$C$224,$C350,'TL03'!$J$10:$J$224),0),
IF('TL03'!$B$229=K$3,SUMIF('TL03'!$C$238:$C$451,$C350,'TL03'!$J$238:$J$451),0),
IF('TL04'!$B$3=K$3,SUMIF('TL04'!$C$10:$C$224,$C350,'TL04'!$J$10:$J$224),0),
IF('TL04'!$B$229=K$3,SUMIF('TL04'!$C$238:$C$451,$C350,'TL04'!$J$238:$J$451),0),
IF('TL05'!$B$3=K$3,SUMIF('TL05'!$C$10:$C$224,$C350,'TL05'!$J$10:$J$224),0),
IF('TL05'!$B$229=K$3,SUMIF('TL05'!$C$238:$C$451,$C350,'TL05'!$J$238:$J$451),0),
IF('TL06'!$B$3=K$3,SUMIF('TL06'!$C$10:$C$224,$C350,'TL06'!$J$10:$J$224),0),
IF('TL06'!$B$229=K$3,SUMIF('TL06'!$C$238:$C$451,$C350,'TL06'!$J$238:$J$451),0),
IF('TL07'!$B$3=K$3,SUMIF('TL07'!$C$10:$C$224,$C350,'TL07'!$J$10:$J$224),0),
IF('TL07'!$B$229=K$3,SUMIF('TL07'!$C$238:$C$451,$C350,'TL07'!$J$238:$J$451),0),
IF('TL08'!$B$3=K$3,SUMIF('TL08'!$C$10:$C$224,$C350,'TL08'!$J$10:$J$224),0),
IF('TL08'!$B$229=K$3,SUMIF('TL08'!$C$238:$C$451,$C350,'TL08'!$J$238:$J$451),0),
IF('TL09'!$B$3=K$3,SUMIF('TL09'!$C$10:$C$224,$C350,'TL09'!$J$10:$J$224),0),
IF('TL09'!$B$229=K$3,SUMIF('TL09'!$C$238:$C$451,$C350,'TL09'!$J$238:$J$451),0),
IF('TL10'!$B$3=K$3,SUMIF('TL10'!$C$10:$C$224,$C350,'TL10'!$J$10:$J$224),0),
IF('TL10'!$B$229=K$3,SUMIF('TL10'!$C$238:$C$451,$C350,'TL10'!$J$238:$J$451),0),
IF('TL11'!$B$3=K$3,SUMIF('TL11'!$C$10:$C$224,$C350,'TL11'!$J$10:$J$224),0),
IF('TL11'!$B$229=K$3,SUMIF('TL11'!$C$238:$C$451,$C350,'TL11'!$J$238:$J$451),0),
IF('TL12'!$B$3=K$3,SUMIF('TL12'!$C$10:$C$224,$C350,'TL12'!$J$10:$J$224),0),
IF('TL12'!$B$229=K$3,SUMIF('TL12'!$C$238:$C$451,$C350,'TL12'!$J$238:$J$451),0),
IF('TL13'!$B$3=K$3,SUMIF('TL13'!$C$10:$C$224,$C350,'TL13'!$J$10:$J$224),0),
IF('TL13'!$B$229=K$3,SUMIF('TL13'!$C$238:$C$451,$C350,'TL13'!$J$238:$J$451),0),
IF('TL14'!$B$3=K$3,SUMIF('TL14'!$C$10:$C$224,$C350,'TL14'!$J$10:$J$224),0),
IF('TL14'!$B$229=K$3,SUMIF('TL14'!$C$238:$C$451,$C350,'TL14'!$J$238:$J$451),0),
IF('TL15'!$B$3=K$3,SUMIF('TL15'!$C$10:$C$224,$C350,'TL15'!$J$10:$J$224),0),
IF('TL15'!$B$229=K$3,SUMIF('TL15'!$C$238:$C$451,$C350,'TL15'!$J$238:$J$451),0),
IF('TL16'!$B$3=K$3,SUMIF('TL16'!$C$10:$C$224,$C350,'TL16'!$J$10:$J$224),0),
IF('TL16'!$B$229=K$3,SUMIF('TL16'!$C$238:$C$451,$C350,'TL16'!$J$238:$J$451),0),
IF('TL17'!$B$3=K$3,SUMIF('TL17'!$C$10:$C$224,$C350,'TL17'!$J$10:$J$224),0),
IF('TL17'!$B$229=K$3,SUMIF('TL17'!$C$238:$C$451,$C350,'TL17'!$J$238:$J$451),0),
IF('TL18'!$B$3=K$3,SUMIF('TL18'!$C$10:$C$224,$C350,'TL18'!$J$10:$J$224),0),
IF('TL18'!$B$229=K$3,SUMIF('TL18'!$C$238:$C$451,$C350,'TL18'!$J$238:$J$451),0),
IF('TL19'!$B$3=K$3,SUMIF('TL19'!$C$10:$C$224,$C350,'TL19'!$J$10:$J$224),0),
IF('TL19'!$B$229=K$3,SUMIF('TL19'!$C$238:$C$451,$C350,'TL19'!$J$238:$J$451),0)
),0)</f>
        <v/>
      </c>
      <c r="L350" s="9">
        <f>IFERROR(SUM(
IF('TL01'!$B$3=L$3,SUMIF('TL01'!$C$10:$C$224,$C350,'TL01'!$J$10:$J$224),0),
IF('TL01'!$B$229=L$3,SUMIF('TL01'!$C$238:$C$451,$C350,'TL01'!$J$238:$J$451),0),
IF('TL02'!$B$3=L$3,SUMIF('TL02'!$C$10:$C$224,$C350,'TL02'!$J$10:$J$224),0),
IF('TL02'!$B$229=L$3,SUMIF('TL02'!$C$238:$C$451,$C350,'TL02'!$J$238:$J$451),0),
IF('TL03'!$B$3=L$3,SUMIF('TL03'!$C$10:$C$224,$C350,'TL03'!$J$10:$J$224),0),
IF('TL03'!$B$229=L$3,SUMIF('TL03'!$C$238:$C$451,$C350,'TL03'!$J$238:$J$451),0),
IF('TL04'!$B$3=L$3,SUMIF('TL04'!$C$10:$C$224,$C350,'TL04'!$J$10:$J$224),0),
IF('TL04'!$B$229=L$3,SUMIF('TL04'!$C$238:$C$451,$C350,'TL04'!$J$238:$J$451),0),
IF('TL05'!$B$3=L$3,SUMIF('TL05'!$C$10:$C$224,$C350,'TL05'!$J$10:$J$224),0),
IF('TL05'!$B$229=L$3,SUMIF('TL05'!$C$238:$C$451,$C350,'TL05'!$J$238:$J$451),0),
IF('TL06'!$B$3=L$3,SUMIF('TL06'!$C$10:$C$224,$C350,'TL06'!$J$10:$J$224),0),
IF('TL06'!$B$229=L$3,SUMIF('TL06'!$C$238:$C$451,$C350,'TL06'!$J$238:$J$451),0),
IF('TL07'!$B$3=L$3,SUMIF('TL07'!$C$10:$C$224,$C350,'TL07'!$J$10:$J$224),0),
IF('TL07'!$B$229=L$3,SUMIF('TL07'!$C$238:$C$451,$C350,'TL07'!$J$238:$J$451),0),
IF('TL08'!$B$3=L$3,SUMIF('TL08'!$C$10:$C$224,$C350,'TL08'!$J$10:$J$224),0),
IF('TL08'!$B$229=L$3,SUMIF('TL08'!$C$238:$C$451,$C350,'TL08'!$J$238:$J$451),0),
IF('TL09'!$B$3=L$3,SUMIF('TL09'!$C$10:$C$224,$C350,'TL09'!$J$10:$J$224),0),
IF('TL09'!$B$229=L$3,SUMIF('TL09'!$C$238:$C$451,$C350,'TL09'!$J$238:$J$451),0),
IF('TL10'!$B$3=L$3,SUMIF('TL10'!$C$10:$C$224,$C350,'TL10'!$J$10:$J$224),0),
IF('TL10'!$B$229=L$3,SUMIF('TL10'!$C$238:$C$451,$C350,'TL10'!$J$238:$J$451),0),
IF('TL11'!$B$3=L$3,SUMIF('TL11'!$C$10:$C$224,$C350,'TL11'!$J$10:$J$224),0),
IF('TL11'!$B$229=L$3,SUMIF('TL11'!$C$238:$C$451,$C350,'TL11'!$J$238:$J$451),0),
IF('TL12'!$B$3=L$3,SUMIF('TL12'!$C$10:$C$224,$C350,'TL12'!$J$10:$J$224),0),
IF('TL12'!$B$229=L$3,SUMIF('TL12'!$C$238:$C$451,$C350,'TL12'!$J$238:$J$451),0),
IF('TL13'!$B$3=L$3,SUMIF('TL13'!$C$10:$C$224,$C350,'TL13'!$J$10:$J$224),0),
IF('TL13'!$B$229=L$3,SUMIF('TL13'!$C$238:$C$451,$C350,'TL13'!$J$238:$J$451),0),
IF('TL14'!$B$3=L$3,SUMIF('TL14'!$C$10:$C$224,$C350,'TL14'!$J$10:$J$224),0),
IF('TL14'!$B$229=L$3,SUMIF('TL14'!$C$238:$C$451,$C350,'TL14'!$J$238:$J$451),0),
IF('TL15'!$B$3=L$3,SUMIF('TL15'!$C$10:$C$224,$C350,'TL15'!$J$10:$J$224),0),
IF('TL15'!$B$229=L$3,SUMIF('TL15'!$C$238:$C$451,$C350,'TL15'!$J$238:$J$451),0),
IF('TL16'!$B$3=L$3,SUMIF('TL16'!$C$10:$C$224,$C350,'TL16'!$J$10:$J$224),0),
IF('TL16'!$B$229=L$3,SUMIF('TL16'!$C$238:$C$451,$C350,'TL16'!$J$238:$J$451),0),
IF('TL17'!$B$3=L$3,SUMIF('TL17'!$C$10:$C$224,$C350,'TL17'!$J$10:$J$224),0),
IF('TL17'!$B$229=L$3,SUMIF('TL17'!$C$238:$C$451,$C350,'TL17'!$J$238:$J$451),0),
IF('TL18'!$B$3=L$3,SUMIF('TL18'!$C$10:$C$224,$C350,'TL18'!$J$10:$J$224),0),
IF('TL18'!$B$229=L$3,SUMIF('TL18'!$C$238:$C$451,$C350,'TL18'!$J$238:$J$451),0),
IF('TL19'!$B$3=L$3,SUMIF('TL19'!$C$10:$C$224,$C350,'TL19'!$J$10:$J$224),0),
IF('TL19'!$B$229=L$3,SUMIF('TL19'!$C$238:$C$451,$C350,'TL19'!$J$238:$J$451),0)
),0)</f>
        <v/>
      </c>
      <c r="M350" s="9">
        <f>IFERROR(SUM(
IF('TL01'!$B$3=M$3,SUMIF('TL01'!$C$10:$C$224,$C350,'TL01'!$J$10:$J$224),0),
IF('TL01'!$B$229=M$3,SUMIF('TL01'!$C$238:$C$451,$C350,'TL01'!$J$238:$J$451),0),
IF('TL02'!$B$3=M$3,SUMIF('TL02'!$C$10:$C$224,$C350,'TL02'!$J$10:$J$224),0),
IF('TL02'!$B$229=M$3,SUMIF('TL02'!$C$238:$C$451,$C350,'TL02'!$J$238:$J$451),0),
IF('TL03'!$B$3=M$3,SUMIF('TL03'!$C$10:$C$224,$C350,'TL03'!$J$10:$J$224),0),
IF('TL03'!$B$229=M$3,SUMIF('TL03'!$C$238:$C$451,$C350,'TL03'!$J$238:$J$451),0),
IF('TL04'!$B$3=M$3,SUMIF('TL04'!$C$10:$C$224,$C350,'TL04'!$J$10:$J$224),0),
IF('TL04'!$B$229=M$3,SUMIF('TL04'!$C$238:$C$451,$C350,'TL04'!$J$238:$J$451),0),
IF('TL05'!$B$3=M$3,SUMIF('TL05'!$C$10:$C$224,$C350,'TL05'!$J$10:$J$224),0),
IF('TL05'!$B$229=M$3,SUMIF('TL05'!$C$238:$C$451,$C350,'TL05'!$J$238:$J$451),0),
IF('TL06'!$B$3=M$3,SUMIF('TL06'!$C$10:$C$224,$C350,'TL06'!$J$10:$J$224),0),
IF('TL06'!$B$229=M$3,SUMIF('TL06'!$C$238:$C$451,$C350,'TL06'!$J$238:$J$451),0),
IF('TL07'!$B$3=M$3,SUMIF('TL07'!$C$10:$C$224,$C350,'TL07'!$J$10:$J$224),0),
IF('TL07'!$B$229=M$3,SUMIF('TL07'!$C$238:$C$451,$C350,'TL07'!$J$238:$J$451),0),
IF('TL08'!$B$3=M$3,SUMIF('TL08'!$C$10:$C$224,$C350,'TL08'!$J$10:$J$224),0),
IF('TL08'!$B$229=M$3,SUMIF('TL08'!$C$238:$C$451,$C350,'TL08'!$J$238:$J$451),0),
IF('TL09'!$B$3=M$3,SUMIF('TL09'!$C$10:$C$224,$C350,'TL09'!$J$10:$J$224),0),
IF('TL09'!$B$229=M$3,SUMIF('TL09'!$C$238:$C$451,$C350,'TL09'!$J$238:$J$451),0),
IF('TL10'!$B$3=M$3,SUMIF('TL10'!$C$10:$C$224,$C350,'TL10'!$J$10:$J$224),0),
IF('TL10'!$B$229=M$3,SUMIF('TL10'!$C$238:$C$451,$C350,'TL10'!$J$238:$J$451),0),
IF('TL11'!$B$3=M$3,SUMIF('TL11'!$C$10:$C$224,$C350,'TL11'!$J$10:$J$224),0),
IF('TL11'!$B$229=M$3,SUMIF('TL11'!$C$238:$C$451,$C350,'TL11'!$J$238:$J$451),0),
IF('TL12'!$B$3=M$3,SUMIF('TL12'!$C$10:$C$224,$C350,'TL12'!$J$10:$J$224),0),
IF('TL12'!$B$229=M$3,SUMIF('TL12'!$C$238:$C$451,$C350,'TL12'!$J$238:$J$451),0),
IF('TL13'!$B$3=M$3,SUMIF('TL13'!$C$10:$C$224,$C350,'TL13'!$J$10:$J$224),0),
IF('TL13'!$B$229=M$3,SUMIF('TL13'!$C$238:$C$451,$C350,'TL13'!$J$238:$J$451),0),
IF('TL14'!$B$3=M$3,SUMIF('TL14'!$C$10:$C$224,$C350,'TL14'!$J$10:$J$224),0),
IF('TL14'!$B$229=M$3,SUMIF('TL14'!$C$238:$C$451,$C350,'TL14'!$J$238:$J$451),0),
IF('TL15'!$B$3=M$3,SUMIF('TL15'!$C$10:$C$224,$C350,'TL15'!$J$10:$J$224),0),
IF('TL15'!$B$229=M$3,SUMIF('TL15'!$C$238:$C$451,$C350,'TL15'!$J$238:$J$451),0),
IF('TL16'!$B$3=M$3,SUMIF('TL16'!$C$10:$C$224,$C350,'TL16'!$J$10:$J$224),0),
IF('TL16'!$B$229=M$3,SUMIF('TL16'!$C$238:$C$451,$C350,'TL16'!$J$238:$J$451),0),
IF('TL17'!$B$3=M$3,SUMIF('TL17'!$C$10:$C$224,$C350,'TL17'!$J$10:$J$224),0),
IF('TL17'!$B$229=M$3,SUMIF('TL17'!$C$238:$C$451,$C350,'TL17'!$J$238:$J$451),0),
IF('TL18'!$B$3=M$3,SUMIF('TL18'!$C$10:$C$224,$C350,'TL18'!$J$10:$J$224),0),
IF('TL18'!$B$229=M$3,SUMIF('TL18'!$C$238:$C$451,$C350,'TL18'!$J$238:$J$451),0),
IF('TL19'!$B$3=M$3,SUMIF('TL19'!$C$10:$C$224,$C350,'TL19'!$J$10:$J$224),0),
IF('TL19'!$B$229=M$3,SUMIF('TL19'!$C$238:$C$451,$C350,'TL19'!$J$238:$J$451),0)
),0)</f>
        <v/>
      </c>
      <c r="N350" s="9">
        <f>IFERROR(SUM(
IF('TL01'!$B$3=N$3,SUMIF('TL01'!$C$10:$C$224,$C350,'TL01'!$J$10:$J$224),0),
IF('TL01'!$B$229=N$3,SUMIF('TL01'!$C$238:$C$451,$C350,'TL01'!$J$238:$J$451),0),
IF('TL02'!$B$3=N$3,SUMIF('TL02'!$C$10:$C$224,$C350,'TL02'!$J$10:$J$224),0),
IF('TL02'!$B$229=N$3,SUMIF('TL02'!$C$238:$C$451,$C350,'TL02'!$J$238:$J$451),0),
IF('TL03'!$B$3=N$3,SUMIF('TL03'!$C$10:$C$224,$C350,'TL03'!$J$10:$J$224),0),
IF('TL03'!$B$229=N$3,SUMIF('TL03'!$C$238:$C$451,$C350,'TL03'!$J$238:$J$451),0),
IF('TL04'!$B$3=N$3,SUMIF('TL04'!$C$10:$C$224,$C350,'TL04'!$J$10:$J$224),0),
IF('TL04'!$B$229=N$3,SUMIF('TL04'!$C$238:$C$451,$C350,'TL04'!$J$238:$J$451),0),
IF('TL05'!$B$3=N$3,SUMIF('TL05'!$C$10:$C$224,$C350,'TL05'!$J$10:$J$224),0),
IF('TL05'!$B$229=N$3,SUMIF('TL05'!$C$238:$C$451,$C350,'TL05'!$J$238:$J$451),0),
IF('TL06'!$B$3=N$3,SUMIF('TL06'!$C$10:$C$224,$C350,'TL06'!$J$10:$J$224),0),
IF('TL06'!$B$229=N$3,SUMIF('TL06'!$C$238:$C$451,$C350,'TL06'!$J$238:$J$451),0),
IF('TL07'!$B$3=N$3,SUMIF('TL07'!$C$10:$C$224,$C350,'TL07'!$J$10:$J$224),0),
IF('TL07'!$B$229=N$3,SUMIF('TL07'!$C$238:$C$451,$C350,'TL07'!$J$238:$J$451),0),
IF('TL08'!$B$3=N$3,SUMIF('TL08'!$C$10:$C$224,$C350,'TL08'!$J$10:$J$224),0),
IF('TL08'!$B$229=N$3,SUMIF('TL08'!$C$238:$C$451,$C350,'TL08'!$J$238:$J$451),0),
IF('TL09'!$B$3=N$3,SUMIF('TL09'!$C$10:$C$224,$C350,'TL09'!$J$10:$J$224),0),
IF('TL09'!$B$229=N$3,SUMIF('TL09'!$C$238:$C$451,$C350,'TL09'!$J$238:$J$451),0),
IF('TL10'!$B$3=N$3,SUMIF('TL10'!$C$10:$C$224,$C350,'TL10'!$J$10:$J$224),0),
IF('TL10'!$B$229=N$3,SUMIF('TL10'!$C$238:$C$451,$C350,'TL10'!$J$238:$J$451),0),
IF('TL11'!$B$3=N$3,SUMIF('TL11'!$C$10:$C$224,$C350,'TL11'!$J$10:$J$224),0),
IF('TL11'!$B$229=N$3,SUMIF('TL11'!$C$238:$C$451,$C350,'TL11'!$J$238:$J$451),0),
IF('TL12'!$B$3=N$3,SUMIF('TL12'!$C$10:$C$224,$C350,'TL12'!$J$10:$J$224),0),
IF('TL12'!$B$229=N$3,SUMIF('TL12'!$C$238:$C$451,$C350,'TL12'!$J$238:$J$451),0),
IF('TL13'!$B$3=N$3,SUMIF('TL13'!$C$10:$C$224,$C350,'TL13'!$J$10:$J$224),0),
IF('TL13'!$B$229=N$3,SUMIF('TL13'!$C$238:$C$451,$C350,'TL13'!$J$238:$J$451),0),
IF('TL14'!$B$3=N$3,SUMIF('TL14'!$C$10:$C$224,$C350,'TL14'!$J$10:$J$224),0),
IF('TL14'!$B$229=N$3,SUMIF('TL14'!$C$238:$C$451,$C350,'TL14'!$J$238:$J$451),0),
IF('TL15'!$B$3=N$3,SUMIF('TL15'!$C$10:$C$224,$C350,'TL15'!$J$10:$J$224),0),
IF('TL15'!$B$229=N$3,SUMIF('TL15'!$C$238:$C$451,$C350,'TL15'!$J$238:$J$451),0),
IF('TL16'!$B$3=N$3,SUMIF('TL16'!$C$10:$C$224,$C350,'TL16'!$J$10:$J$224),0),
IF('TL16'!$B$229=N$3,SUMIF('TL16'!$C$238:$C$451,$C350,'TL16'!$J$238:$J$451),0),
IF('TL17'!$B$3=N$3,SUMIF('TL17'!$C$10:$C$224,$C350,'TL17'!$J$10:$J$224),0),
IF('TL17'!$B$229=N$3,SUMIF('TL17'!$C$238:$C$451,$C350,'TL17'!$J$238:$J$451),0),
IF('TL18'!$B$3=N$3,SUMIF('TL18'!$C$10:$C$224,$C350,'TL18'!$J$10:$J$224),0),
IF('TL18'!$B$229=N$3,SUMIF('TL18'!$C$238:$C$451,$C350,'TL18'!$J$238:$J$451),0),
IF('TL19'!$B$3=N$3,SUMIF('TL19'!$C$10:$C$224,$C350,'TL19'!$J$10:$J$224),0),
IF('TL19'!$B$229=N$3,SUMIF('TL19'!$C$238:$C$451,$C350,'TL19'!$J$238:$J$451),0)
),0)</f>
        <v/>
      </c>
      <c r="O350" s="9">
        <f>IFERROR(SUM(
IF('TL01'!$B$3=O$3,SUMIF('TL01'!$C$10:$C$224,$C350,'TL01'!$J$10:$J$224),0),
IF('TL01'!$B$229=O$3,SUMIF('TL01'!$C$238:$C$451,$C350,'TL01'!$J$238:$J$451),0),
IF('TL02'!$B$3=O$3,SUMIF('TL02'!$C$10:$C$224,$C350,'TL02'!$J$10:$J$224),0),
IF('TL02'!$B$229=O$3,SUMIF('TL02'!$C$238:$C$451,$C350,'TL02'!$J$238:$J$451),0),
IF('TL03'!$B$3=O$3,SUMIF('TL03'!$C$10:$C$224,$C350,'TL03'!$J$10:$J$224),0),
IF('TL03'!$B$229=O$3,SUMIF('TL03'!$C$238:$C$451,$C350,'TL03'!$J$238:$J$451),0),
IF('TL04'!$B$3=O$3,SUMIF('TL04'!$C$10:$C$224,$C350,'TL04'!$J$10:$J$224),0),
IF('TL04'!$B$229=O$3,SUMIF('TL04'!$C$238:$C$451,$C350,'TL04'!$J$238:$J$451),0),
IF('TL05'!$B$3=O$3,SUMIF('TL05'!$C$10:$C$224,$C350,'TL05'!$J$10:$J$224),0),
IF('TL05'!$B$229=O$3,SUMIF('TL05'!$C$238:$C$451,$C350,'TL05'!$J$238:$J$451),0),
IF('TL06'!$B$3=O$3,SUMIF('TL06'!$C$10:$C$224,$C350,'TL06'!$J$10:$J$224),0),
IF('TL06'!$B$229=O$3,SUMIF('TL06'!$C$238:$C$451,$C350,'TL06'!$J$238:$J$451),0),
IF('TL07'!$B$3=O$3,SUMIF('TL07'!$C$10:$C$224,$C350,'TL07'!$J$10:$J$224),0),
IF('TL07'!$B$229=O$3,SUMIF('TL07'!$C$238:$C$451,$C350,'TL07'!$J$238:$J$451),0),
IF('TL08'!$B$3=O$3,SUMIF('TL08'!$C$10:$C$224,$C350,'TL08'!$J$10:$J$224),0),
IF('TL08'!$B$229=O$3,SUMIF('TL08'!$C$238:$C$451,$C350,'TL08'!$J$238:$J$451),0),
IF('TL09'!$B$3=O$3,SUMIF('TL09'!$C$10:$C$224,$C350,'TL09'!$J$10:$J$224),0),
IF('TL09'!$B$229=O$3,SUMIF('TL09'!$C$238:$C$451,$C350,'TL09'!$J$238:$J$451),0),
IF('TL10'!$B$3=O$3,SUMIF('TL10'!$C$10:$C$224,$C350,'TL10'!$J$10:$J$224),0),
IF('TL10'!$B$229=O$3,SUMIF('TL10'!$C$238:$C$451,$C350,'TL10'!$J$238:$J$451),0),
IF('TL11'!$B$3=O$3,SUMIF('TL11'!$C$10:$C$224,$C350,'TL11'!$J$10:$J$224),0),
IF('TL11'!$B$229=O$3,SUMIF('TL11'!$C$238:$C$451,$C350,'TL11'!$J$238:$J$451),0),
IF('TL12'!$B$3=O$3,SUMIF('TL12'!$C$10:$C$224,$C350,'TL12'!$J$10:$J$224),0),
IF('TL12'!$B$229=O$3,SUMIF('TL12'!$C$238:$C$451,$C350,'TL12'!$J$238:$J$451),0),
IF('TL13'!$B$3=O$3,SUMIF('TL13'!$C$10:$C$224,$C350,'TL13'!$J$10:$J$224),0),
IF('TL13'!$B$229=O$3,SUMIF('TL13'!$C$238:$C$451,$C350,'TL13'!$J$238:$J$451),0),
IF('TL14'!$B$3=O$3,SUMIF('TL14'!$C$10:$C$224,$C350,'TL14'!$J$10:$J$224),0),
IF('TL14'!$B$229=O$3,SUMIF('TL14'!$C$238:$C$451,$C350,'TL14'!$J$238:$J$451),0),
IF('TL15'!$B$3=O$3,SUMIF('TL15'!$C$10:$C$224,$C350,'TL15'!$J$10:$J$224),0),
IF('TL15'!$B$229=O$3,SUMIF('TL15'!$C$238:$C$451,$C350,'TL15'!$J$238:$J$451),0),
IF('TL16'!$B$3=O$3,SUMIF('TL16'!$C$10:$C$224,$C350,'TL16'!$J$10:$J$224),0),
IF('TL16'!$B$229=O$3,SUMIF('TL16'!$C$238:$C$451,$C350,'TL16'!$J$238:$J$451),0),
IF('TL17'!$B$3=O$3,SUMIF('TL17'!$C$10:$C$224,$C350,'TL17'!$J$10:$J$224),0),
IF('TL17'!$B$229=O$3,SUMIF('TL17'!$C$238:$C$451,$C350,'TL17'!$J$238:$J$451),0),
IF('TL18'!$B$3=O$3,SUMIF('TL18'!$C$10:$C$224,$C350,'TL18'!$J$10:$J$224),0),
IF('TL18'!$B$229=O$3,SUMIF('TL18'!$C$238:$C$451,$C350,'TL18'!$J$238:$J$451),0),
IF('TL19'!$B$3=O$3,SUMIF('TL19'!$C$10:$C$224,$C350,'TL19'!$J$10:$J$224),0),
IF('TL19'!$B$229=O$3,SUMIF('TL19'!$C$238:$C$451,$C350,'TL19'!$J$238:$J$451),0)
),0)</f>
        <v/>
      </c>
      <c r="P350" s="9">
        <f>IFERROR(SUM(
IF('TL01'!$B$3=P$3,SUMIF('TL01'!$C$10:$C$224,$C350,'TL01'!$J$10:$J$224),0),
IF('TL01'!$B$229=P$3,SUMIF('TL01'!$C$238:$C$451,$C350,'TL01'!$J$238:$J$451),0),
IF('TL02'!$B$3=P$3,SUMIF('TL02'!$C$10:$C$224,$C350,'TL02'!$J$10:$J$224),0),
IF('TL02'!$B$229=P$3,SUMIF('TL02'!$C$238:$C$451,$C350,'TL02'!$J$238:$J$451),0),
IF('TL03'!$B$3=P$3,SUMIF('TL03'!$C$10:$C$224,$C350,'TL03'!$J$10:$J$224),0),
IF('TL03'!$B$229=P$3,SUMIF('TL03'!$C$238:$C$451,$C350,'TL03'!$J$238:$J$451),0),
IF('TL04'!$B$3=P$3,SUMIF('TL04'!$C$10:$C$224,$C350,'TL04'!$J$10:$J$224),0),
IF('TL04'!$B$229=P$3,SUMIF('TL04'!$C$238:$C$451,$C350,'TL04'!$J$238:$J$451),0),
IF('TL05'!$B$3=P$3,SUMIF('TL05'!$C$10:$C$224,$C350,'TL05'!$J$10:$J$224),0),
IF('TL05'!$B$229=P$3,SUMIF('TL05'!$C$238:$C$451,$C350,'TL05'!$J$238:$J$451),0),
IF('TL06'!$B$3=P$3,SUMIF('TL06'!$C$10:$C$224,$C350,'TL06'!$J$10:$J$224),0),
IF('TL06'!$B$229=P$3,SUMIF('TL06'!$C$238:$C$451,$C350,'TL06'!$J$238:$J$451),0),
IF('TL07'!$B$3=P$3,SUMIF('TL07'!$C$10:$C$224,$C350,'TL07'!$J$10:$J$224),0),
IF('TL07'!$B$229=P$3,SUMIF('TL07'!$C$238:$C$451,$C350,'TL07'!$J$238:$J$451),0),
IF('TL08'!$B$3=P$3,SUMIF('TL08'!$C$10:$C$224,$C350,'TL08'!$J$10:$J$224),0),
IF('TL08'!$B$229=P$3,SUMIF('TL08'!$C$238:$C$451,$C350,'TL08'!$J$238:$J$451),0),
IF('TL09'!$B$3=P$3,SUMIF('TL09'!$C$10:$C$224,$C350,'TL09'!$J$10:$J$224),0),
IF('TL09'!$B$229=P$3,SUMIF('TL09'!$C$238:$C$451,$C350,'TL09'!$J$238:$J$451),0),
IF('TL10'!$B$3=P$3,SUMIF('TL10'!$C$10:$C$224,$C350,'TL10'!$J$10:$J$224),0),
IF('TL10'!$B$229=P$3,SUMIF('TL10'!$C$238:$C$451,$C350,'TL10'!$J$238:$J$451),0),
IF('TL11'!$B$3=P$3,SUMIF('TL11'!$C$10:$C$224,$C350,'TL11'!$J$10:$J$224),0),
IF('TL11'!$B$229=P$3,SUMIF('TL11'!$C$238:$C$451,$C350,'TL11'!$J$238:$J$451),0),
IF('TL12'!$B$3=P$3,SUMIF('TL12'!$C$10:$C$224,$C350,'TL12'!$J$10:$J$224),0),
IF('TL12'!$B$229=P$3,SUMIF('TL12'!$C$238:$C$451,$C350,'TL12'!$J$238:$J$451),0),
IF('TL13'!$B$3=P$3,SUMIF('TL13'!$C$10:$C$224,$C350,'TL13'!$J$10:$J$224),0),
IF('TL13'!$B$229=P$3,SUMIF('TL13'!$C$238:$C$451,$C350,'TL13'!$J$238:$J$451),0),
IF('TL14'!$B$3=P$3,SUMIF('TL14'!$C$10:$C$224,$C350,'TL14'!$J$10:$J$224),0),
IF('TL14'!$B$229=P$3,SUMIF('TL14'!$C$238:$C$451,$C350,'TL14'!$J$238:$J$451),0),
IF('TL15'!$B$3=P$3,SUMIF('TL15'!$C$10:$C$224,$C350,'TL15'!$J$10:$J$224),0),
IF('TL15'!$B$229=P$3,SUMIF('TL15'!$C$238:$C$451,$C350,'TL15'!$J$238:$J$451),0),
IF('TL16'!$B$3=P$3,SUMIF('TL16'!$C$10:$C$224,$C350,'TL16'!$J$10:$J$224),0),
IF('TL16'!$B$229=P$3,SUMIF('TL16'!$C$238:$C$451,$C350,'TL16'!$J$238:$J$451),0),
IF('TL17'!$B$3=P$3,SUMIF('TL17'!$C$10:$C$224,$C350,'TL17'!$J$10:$J$224),0),
IF('TL17'!$B$229=P$3,SUMIF('TL17'!$C$238:$C$451,$C350,'TL17'!$J$238:$J$451),0),
IF('TL18'!$B$3=P$3,SUMIF('TL18'!$C$10:$C$224,$C350,'TL18'!$J$10:$J$224),0),
IF('TL18'!$B$229=P$3,SUMIF('TL18'!$C$238:$C$451,$C350,'TL18'!$J$238:$J$451),0),
IF('TL19'!$B$3=P$3,SUMIF('TL19'!$C$10:$C$224,$C350,'TL19'!$J$10:$J$224),0),
IF('TL19'!$B$229=P$3,SUMIF('TL19'!$C$238:$C$451,$C350,'TL19'!$J$238:$J$451),0)
),0)</f>
        <v/>
      </c>
      <c r="Q350" s="9">
        <f>IFERROR(SUM(
IF('TL01'!$B$3=Q$3,SUMIF('TL01'!$C$10:$C$224,$C350,'TL01'!$J$10:$J$224),0),
IF('TL01'!$B$229=Q$3,SUMIF('TL01'!$C$238:$C$451,$C350,'TL01'!$J$238:$J$451),0),
IF('TL02'!$B$3=Q$3,SUMIF('TL02'!$C$10:$C$224,$C350,'TL02'!$J$10:$J$224),0),
IF('TL02'!$B$229=Q$3,SUMIF('TL02'!$C$238:$C$451,$C350,'TL02'!$J$238:$J$451),0),
IF('TL03'!$B$3=Q$3,SUMIF('TL03'!$C$10:$C$224,$C350,'TL03'!$J$10:$J$224),0),
IF('TL03'!$B$229=Q$3,SUMIF('TL03'!$C$238:$C$451,$C350,'TL03'!$J$238:$J$451),0),
IF('TL04'!$B$3=Q$3,SUMIF('TL04'!$C$10:$C$224,$C350,'TL04'!$J$10:$J$224),0),
IF('TL04'!$B$229=Q$3,SUMIF('TL04'!$C$238:$C$451,$C350,'TL04'!$J$238:$J$451),0),
IF('TL05'!$B$3=Q$3,SUMIF('TL05'!$C$10:$C$224,$C350,'TL05'!$J$10:$J$224),0),
IF('TL05'!$B$229=Q$3,SUMIF('TL05'!$C$238:$C$451,$C350,'TL05'!$J$238:$J$451),0),
IF('TL06'!$B$3=Q$3,SUMIF('TL06'!$C$10:$C$224,$C350,'TL06'!$J$10:$J$224),0),
IF('TL06'!$B$229=Q$3,SUMIF('TL06'!$C$238:$C$451,$C350,'TL06'!$J$238:$J$451),0),
IF('TL07'!$B$3=Q$3,SUMIF('TL07'!$C$10:$C$224,$C350,'TL07'!$J$10:$J$224),0),
IF('TL07'!$B$229=Q$3,SUMIF('TL07'!$C$238:$C$451,$C350,'TL07'!$J$238:$J$451),0),
IF('TL08'!$B$3=Q$3,SUMIF('TL08'!$C$10:$C$224,$C350,'TL08'!$J$10:$J$224),0),
IF('TL08'!$B$229=Q$3,SUMIF('TL08'!$C$238:$C$451,$C350,'TL08'!$J$238:$J$451),0),
IF('TL09'!$B$3=Q$3,SUMIF('TL09'!$C$10:$C$224,$C350,'TL09'!$J$10:$J$224),0),
IF('TL09'!$B$229=Q$3,SUMIF('TL09'!$C$238:$C$451,$C350,'TL09'!$J$238:$J$451),0),
IF('TL10'!$B$3=Q$3,SUMIF('TL10'!$C$10:$C$224,$C350,'TL10'!$J$10:$J$224),0),
IF('TL10'!$B$229=Q$3,SUMIF('TL10'!$C$238:$C$451,$C350,'TL10'!$J$238:$J$451),0),
IF('TL11'!$B$3=Q$3,SUMIF('TL11'!$C$10:$C$224,$C350,'TL11'!$J$10:$J$224),0),
IF('TL11'!$B$229=Q$3,SUMIF('TL11'!$C$238:$C$451,$C350,'TL11'!$J$238:$J$451),0),
IF('TL12'!$B$3=Q$3,SUMIF('TL12'!$C$10:$C$224,$C350,'TL12'!$J$10:$J$224),0),
IF('TL12'!$B$229=Q$3,SUMIF('TL12'!$C$238:$C$451,$C350,'TL12'!$J$238:$J$451),0),
IF('TL13'!$B$3=Q$3,SUMIF('TL13'!$C$10:$C$224,$C350,'TL13'!$J$10:$J$224),0),
IF('TL13'!$B$229=Q$3,SUMIF('TL13'!$C$238:$C$451,$C350,'TL13'!$J$238:$J$451),0),
IF('TL14'!$B$3=Q$3,SUMIF('TL14'!$C$10:$C$224,$C350,'TL14'!$J$10:$J$224),0),
IF('TL14'!$B$229=Q$3,SUMIF('TL14'!$C$238:$C$451,$C350,'TL14'!$J$238:$J$451),0),
IF('TL15'!$B$3=Q$3,SUMIF('TL15'!$C$10:$C$224,$C350,'TL15'!$J$10:$J$224),0),
IF('TL15'!$B$229=Q$3,SUMIF('TL15'!$C$238:$C$451,$C350,'TL15'!$J$238:$J$451),0),
IF('TL16'!$B$3=Q$3,SUMIF('TL16'!$C$10:$C$224,$C350,'TL16'!$J$10:$J$224),0),
IF('TL16'!$B$229=Q$3,SUMIF('TL16'!$C$238:$C$451,$C350,'TL16'!$J$238:$J$451),0),
IF('TL17'!$B$3=Q$3,SUMIF('TL17'!$C$10:$C$224,$C350,'TL17'!$J$10:$J$224),0),
IF('TL17'!$B$229=Q$3,SUMIF('TL17'!$C$238:$C$451,$C350,'TL17'!$J$238:$J$451),0),
IF('TL18'!$B$3=Q$3,SUMIF('TL18'!$C$10:$C$224,$C350,'TL18'!$J$10:$J$224),0),
IF('TL18'!$B$229=Q$3,SUMIF('TL18'!$C$238:$C$451,$C350,'TL18'!$J$238:$J$451),0),
IF('TL19'!$B$3=Q$3,SUMIF('TL19'!$C$10:$C$224,$C350,'TL19'!$J$10:$J$224),0),
IF('TL19'!$B$229=Q$3,SUMIF('TL19'!$C$238:$C$451,$C350,'TL19'!$J$238:$J$451),0)
),0)</f>
        <v/>
      </c>
      <c r="R350" s="9">
        <f>IFERROR(
SUM(
SUMIF('TL01'!C:C,C350,'TL01'!J:J),
SUMIF('TL02'!C:C,C350,'TL02'!J:J),
SUMIF('TL03'!C:C,C350,'TL03'!J:J),
SUMIF('TL04'!C:C,C350,'TL04'!J:J),
SUMIF('TL05'!C:C,C350,'TL05'!J:J),
SUMIF('TL06'!C:C,C350,'TL06'!J:J),
SUMIF('TL07'!C:C,C350,'TL07'!J:J),
SUMIF('TL08'!C:C,C350,'TL08'!J:J),
SUMIF('TL09'!C:C,C350,'TL09'!J:J),
SUMIF('TL10'!C:C,C350,'TL10'!J:J),
SUMIF('TL11'!C:C,C350,'TL11'!J:J),
SUMIF('TL12'!C:C,C350,'TL12'!J:J),
SUMIF('TL13'!C:C,C350,'TL13'!J:J),
SUMIF('TL14'!C:C,C350,'TL14'!J:J),
SUMIF('TL15'!C:C,C350,'TL15'!J:J),
SUMIF('TL16'!C:C,C350,'TL16'!J:J),
SUMIF('TL17'!C:C,C350,'TL17'!J:J),
SUMIF('TL18'!C:C,C350,'TL18'!J:J),SUMIF('TL19'!C:C,C350,'TL19'!J:J))
,0)</f>
        <v/>
      </c>
      <c r="S350" s="17">
        <f>IFERROR(__xludf.DUMMYFUNCTION("IFERROR(VLOOKUP(C350,
IMPORTRANGE(""1wULbzX32WdYsx-lj2U3uUNBBe2INVIRDtcK0d-Dvl90"",
""26-27!C:G""),
5,
FALSE),
"""")"),56.16)</f>
        <v/>
      </c>
      <c r="T350" s="9" t="n"/>
      <c r="U350" s="92">
        <f>MAX(0,R350-T350)</f>
        <v/>
      </c>
      <c r="V350" s="93">
        <f>U350*S350</f>
        <v/>
      </c>
    </row>
    <row r="351" hidden="1" ht="15.75" customHeight="1" s="297">
      <c r="A351" s="4" t="inlineStr">
        <is>
          <t>SOLUBIO</t>
        </is>
      </c>
      <c r="B351" s="4" t="inlineStr">
        <is>
          <t>BIOLÓGICOS</t>
        </is>
      </c>
      <c r="C351" s="128" t="inlineStr">
        <is>
          <t>Now Guard</t>
        </is>
      </c>
      <c r="D351" s="129" t="inlineStr">
        <is>
          <t>Bacillus subtilis</t>
        </is>
      </c>
      <c r="E351" s="20" t="n"/>
      <c r="F351" s="4" t="n"/>
      <c r="G351" s="90">
        <f>HYPERLINK("https://www.google.com/search?q=" &amp; C351 &amp; "+bula+agrofit+pdf", "📄 Ver bula")</f>
        <v/>
      </c>
      <c r="H351" s="9" t="n">
        <v>1</v>
      </c>
      <c r="I351" s="123" t="inlineStr">
        <is>
          <t>1x20</t>
        </is>
      </c>
      <c r="J351" s="9">
        <f>IFERROR(SUM(
IF('TL01'!$B$3=J$3,SUMIF('TL01'!$C$10:$C$224,$C351,'TL01'!$J$10:$J$224),0),
IF('TL01'!$B$229=J$3,SUMIF('TL01'!$C$238:$C$451,$C351,'TL01'!$J$238:$J$451),0),
IF('TL02'!$B$3=J$3,SUMIF('TL02'!$C$10:$C$224,$C351,'TL02'!$J$10:$J$224),0),
IF('TL02'!$B$229=J$3,SUMIF('TL02'!$C$238:$C$451,$C351,'TL02'!$J$238:$J$451),0),
IF('TL03'!$B$3=J$3,SUMIF('TL03'!$C$10:$C$224,$C351,'TL03'!$J$10:$J$224),0),
IF('TL03'!$B$229=J$3,SUMIF('TL03'!$C$238:$C$451,$C351,'TL03'!$J$238:$J$451),0),
IF('TL04'!$B$3=J$3,SUMIF('TL04'!$C$10:$C$224,$C351,'TL04'!$J$10:$J$224),0),
IF('TL04'!$B$229=J$3,SUMIF('TL04'!$C$238:$C$451,$C351,'TL04'!$J$238:$J$451),0),
IF('TL05'!$B$3=J$3,SUMIF('TL05'!$C$10:$C$224,$C351,'TL05'!$J$10:$J$224),0),
IF('TL05'!$B$229=J$3,SUMIF('TL05'!$C$238:$C$451,$C351,'TL05'!$J$238:$J$451),0),
IF('TL06'!$B$3=J$3,SUMIF('TL06'!$C$10:$C$224,$C351,'TL06'!$J$10:$J$224),0),
IF('TL06'!$B$229=J$3,SUMIF('TL06'!$C$238:$C$451,$C351,'TL06'!$J$238:$J$451),0),
IF('TL07'!$B$3=J$3,SUMIF('TL07'!$C$10:$C$224,$C351,'TL07'!$J$10:$J$224),0),
IF('TL07'!$B$229=J$3,SUMIF('TL07'!$C$238:$C$451,$C351,'TL07'!$J$238:$J$451),0),
IF('TL08'!$B$3=J$3,SUMIF('TL08'!$C$10:$C$224,$C351,'TL08'!$J$10:$J$224),0),
IF('TL08'!$B$229=J$3,SUMIF('TL08'!$C$238:$C$451,$C351,'TL08'!$J$238:$J$451),0),
IF('TL09'!$B$3=J$3,SUMIF('TL09'!$C$10:$C$224,$C351,'TL09'!$J$10:$J$224),0),
IF('TL09'!$B$229=J$3,SUMIF('TL09'!$C$238:$C$451,$C351,'TL09'!$J$238:$J$451),0),
IF('TL10'!$B$3=J$3,SUMIF('TL10'!$C$10:$C$224,$C351,'TL10'!$J$10:$J$224),0),
IF('TL10'!$B$229=J$3,SUMIF('TL10'!$C$238:$C$451,$C351,'TL10'!$J$238:$J$451),0),
IF('TL11'!$B$3=J$3,SUMIF('TL11'!$C$10:$C$224,$C351,'TL11'!$J$10:$J$224),0),
IF('TL11'!$B$229=J$3,SUMIF('TL11'!$C$238:$C$451,$C351,'TL11'!$J$238:$J$451),0),
IF('TL12'!$B$3=J$3,SUMIF('TL12'!$C$10:$C$224,$C351,'TL12'!$J$10:$J$224),0),
IF('TL12'!$B$229=J$3,SUMIF('TL12'!$C$238:$C$451,$C351,'TL12'!$J$238:$J$451),0),
IF('TL13'!$B$3=J$3,SUMIF('TL13'!$C$10:$C$224,$C351,'TL13'!$J$10:$J$224),0),
IF('TL13'!$B$229=J$3,SUMIF('TL13'!$C$238:$C$451,$C351,'TL13'!$J$238:$J$451),0),
IF('TL14'!$B$3=J$3,SUMIF('TL14'!$C$10:$C$224,$C351,'TL14'!$J$10:$J$224),0),
IF('TL14'!$B$229=J$3,SUMIF('TL14'!$C$238:$C$451,$C351,'TL14'!$J$238:$J$451),0),
IF('TL15'!$B$3=J$3,SUMIF('TL15'!$C$10:$C$224,$C351,'TL15'!$J$10:$J$224),0),
IF('TL15'!$B$229=J$3,SUMIF('TL15'!$C$238:$C$451,$C351,'TL15'!$J$238:$J$451),0),
IF('TL16'!$B$3=J$3,SUMIF('TL16'!$C$10:$C$224,$C351,'TL16'!$J$10:$J$224),0),
IF('TL16'!$B$229=J$3,SUMIF('TL16'!$C$238:$C$451,$C351,'TL16'!$J$238:$J$451),0),
IF('TL17'!$B$3=J$3,SUMIF('TL17'!$C$10:$C$224,$C351,'TL17'!$J$10:$J$224),0),
IF('TL17'!$B$229=J$3,SUMIF('TL17'!$C$238:$C$451,$C351,'TL17'!$J$238:$J$451),0),
IF('TL18'!$B$3=J$3,SUMIF('TL18'!$C$10:$C$224,$C351,'TL18'!$J$10:$J$224),0),
IF('TL18'!$B$229=J$3,SUMIF('TL18'!$C$238:$C$451,$C351,'TL18'!$J$238:$J$451),0),
IF('TL19'!$B$3=J$3,SUMIF('TL19'!$C$10:$C$224,$C351,'TL19'!$J$10:$J$224),0),
IF('TL19'!$B$229=J$3,SUMIF('TL19'!$C$238:$C$451,$C351,'TL19'!$J$238:$J$451),0)
),0)</f>
        <v/>
      </c>
      <c r="K351" s="9">
        <f>IFERROR(SUM(
IF('TL01'!$B$3=K$3,SUMIF('TL01'!$C$10:$C$224,$C351,'TL01'!$J$10:$J$224),0),
IF('TL01'!$B$229=K$3,SUMIF('TL01'!$C$238:$C$451,$C351,'TL01'!$J$238:$J$451),0),
IF('TL02'!$B$3=K$3,SUMIF('TL02'!$C$10:$C$224,$C351,'TL02'!$J$10:$J$224),0),
IF('TL02'!$B$229=K$3,SUMIF('TL02'!$C$238:$C$451,$C351,'TL02'!$J$238:$J$451),0),
IF('TL03'!$B$3=K$3,SUMIF('TL03'!$C$10:$C$224,$C351,'TL03'!$J$10:$J$224),0),
IF('TL03'!$B$229=K$3,SUMIF('TL03'!$C$238:$C$451,$C351,'TL03'!$J$238:$J$451),0),
IF('TL04'!$B$3=K$3,SUMIF('TL04'!$C$10:$C$224,$C351,'TL04'!$J$10:$J$224),0),
IF('TL04'!$B$229=K$3,SUMIF('TL04'!$C$238:$C$451,$C351,'TL04'!$J$238:$J$451),0),
IF('TL05'!$B$3=K$3,SUMIF('TL05'!$C$10:$C$224,$C351,'TL05'!$J$10:$J$224),0),
IF('TL05'!$B$229=K$3,SUMIF('TL05'!$C$238:$C$451,$C351,'TL05'!$J$238:$J$451),0),
IF('TL06'!$B$3=K$3,SUMIF('TL06'!$C$10:$C$224,$C351,'TL06'!$J$10:$J$224),0),
IF('TL06'!$B$229=K$3,SUMIF('TL06'!$C$238:$C$451,$C351,'TL06'!$J$238:$J$451),0),
IF('TL07'!$B$3=K$3,SUMIF('TL07'!$C$10:$C$224,$C351,'TL07'!$J$10:$J$224),0),
IF('TL07'!$B$229=K$3,SUMIF('TL07'!$C$238:$C$451,$C351,'TL07'!$J$238:$J$451),0),
IF('TL08'!$B$3=K$3,SUMIF('TL08'!$C$10:$C$224,$C351,'TL08'!$J$10:$J$224),0),
IF('TL08'!$B$229=K$3,SUMIF('TL08'!$C$238:$C$451,$C351,'TL08'!$J$238:$J$451),0),
IF('TL09'!$B$3=K$3,SUMIF('TL09'!$C$10:$C$224,$C351,'TL09'!$J$10:$J$224),0),
IF('TL09'!$B$229=K$3,SUMIF('TL09'!$C$238:$C$451,$C351,'TL09'!$J$238:$J$451),0),
IF('TL10'!$B$3=K$3,SUMIF('TL10'!$C$10:$C$224,$C351,'TL10'!$J$10:$J$224),0),
IF('TL10'!$B$229=K$3,SUMIF('TL10'!$C$238:$C$451,$C351,'TL10'!$J$238:$J$451),0),
IF('TL11'!$B$3=K$3,SUMIF('TL11'!$C$10:$C$224,$C351,'TL11'!$J$10:$J$224),0),
IF('TL11'!$B$229=K$3,SUMIF('TL11'!$C$238:$C$451,$C351,'TL11'!$J$238:$J$451),0),
IF('TL12'!$B$3=K$3,SUMIF('TL12'!$C$10:$C$224,$C351,'TL12'!$J$10:$J$224),0),
IF('TL12'!$B$229=K$3,SUMIF('TL12'!$C$238:$C$451,$C351,'TL12'!$J$238:$J$451),0),
IF('TL13'!$B$3=K$3,SUMIF('TL13'!$C$10:$C$224,$C351,'TL13'!$J$10:$J$224),0),
IF('TL13'!$B$229=K$3,SUMIF('TL13'!$C$238:$C$451,$C351,'TL13'!$J$238:$J$451),0),
IF('TL14'!$B$3=K$3,SUMIF('TL14'!$C$10:$C$224,$C351,'TL14'!$J$10:$J$224),0),
IF('TL14'!$B$229=K$3,SUMIF('TL14'!$C$238:$C$451,$C351,'TL14'!$J$238:$J$451),0),
IF('TL15'!$B$3=K$3,SUMIF('TL15'!$C$10:$C$224,$C351,'TL15'!$J$10:$J$224),0),
IF('TL15'!$B$229=K$3,SUMIF('TL15'!$C$238:$C$451,$C351,'TL15'!$J$238:$J$451),0),
IF('TL16'!$B$3=K$3,SUMIF('TL16'!$C$10:$C$224,$C351,'TL16'!$J$10:$J$224),0),
IF('TL16'!$B$229=K$3,SUMIF('TL16'!$C$238:$C$451,$C351,'TL16'!$J$238:$J$451),0),
IF('TL17'!$B$3=K$3,SUMIF('TL17'!$C$10:$C$224,$C351,'TL17'!$J$10:$J$224),0),
IF('TL17'!$B$229=K$3,SUMIF('TL17'!$C$238:$C$451,$C351,'TL17'!$J$238:$J$451),0),
IF('TL18'!$B$3=K$3,SUMIF('TL18'!$C$10:$C$224,$C351,'TL18'!$J$10:$J$224),0),
IF('TL18'!$B$229=K$3,SUMIF('TL18'!$C$238:$C$451,$C351,'TL18'!$J$238:$J$451),0),
IF('TL19'!$B$3=K$3,SUMIF('TL19'!$C$10:$C$224,$C351,'TL19'!$J$10:$J$224),0),
IF('TL19'!$B$229=K$3,SUMIF('TL19'!$C$238:$C$451,$C351,'TL19'!$J$238:$J$451),0)
),0)</f>
        <v/>
      </c>
      <c r="L351" s="9">
        <f>IFERROR(SUM(
IF('TL01'!$B$3=L$3,SUMIF('TL01'!$C$10:$C$224,$C351,'TL01'!$J$10:$J$224),0),
IF('TL01'!$B$229=L$3,SUMIF('TL01'!$C$238:$C$451,$C351,'TL01'!$J$238:$J$451),0),
IF('TL02'!$B$3=L$3,SUMIF('TL02'!$C$10:$C$224,$C351,'TL02'!$J$10:$J$224),0),
IF('TL02'!$B$229=L$3,SUMIF('TL02'!$C$238:$C$451,$C351,'TL02'!$J$238:$J$451),0),
IF('TL03'!$B$3=L$3,SUMIF('TL03'!$C$10:$C$224,$C351,'TL03'!$J$10:$J$224),0),
IF('TL03'!$B$229=L$3,SUMIF('TL03'!$C$238:$C$451,$C351,'TL03'!$J$238:$J$451),0),
IF('TL04'!$B$3=L$3,SUMIF('TL04'!$C$10:$C$224,$C351,'TL04'!$J$10:$J$224),0),
IF('TL04'!$B$229=L$3,SUMIF('TL04'!$C$238:$C$451,$C351,'TL04'!$J$238:$J$451),0),
IF('TL05'!$B$3=L$3,SUMIF('TL05'!$C$10:$C$224,$C351,'TL05'!$J$10:$J$224),0),
IF('TL05'!$B$229=L$3,SUMIF('TL05'!$C$238:$C$451,$C351,'TL05'!$J$238:$J$451),0),
IF('TL06'!$B$3=L$3,SUMIF('TL06'!$C$10:$C$224,$C351,'TL06'!$J$10:$J$224),0),
IF('TL06'!$B$229=L$3,SUMIF('TL06'!$C$238:$C$451,$C351,'TL06'!$J$238:$J$451),0),
IF('TL07'!$B$3=L$3,SUMIF('TL07'!$C$10:$C$224,$C351,'TL07'!$J$10:$J$224),0),
IF('TL07'!$B$229=L$3,SUMIF('TL07'!$C$238:$C$451,$C351,'TL07'!$J$238:$J$451),0),
IF('TL08'!$B$3=L$3,SUMIF('TL08'!$C$10:$C$224,$C351,'TL08'!$J$10:$J$224),0),
IF('TL08'!$B$229=L$3,SUMIF('TL08'!$C$238:$C$451,$C351,'TL08'!$J$238:$J$451),0),
IF('TL09'!$B$3=L$3,SUMIF('TL09'!$C$10:$C$224,$C351,'TL09'!$J$10:$J$224),0),
IF('TL09'!$B$229=L$3,SUMIF('TL09'!$C$238:$C$451,$C351,'TL09'!$J$238:$J$451),0),
IF('TL10'!$B$3=L$3,SUMIF('TL10'!$C$10:$C$224,$C351,'TL10'!$J$10:$J$224),0),
IF('TL10'!$B$229=L$3,SUMIF('TL10'!$C$238:$C$451,$C351,'TL10'!$J$238:$J$451),0),
IF('TL11'!$B$3=L$3,SUMIF('TL11'!$C$10:$C$224,$C351,'TL11'!$J$10:$J$224),0),
IF('TL11'!$B$229=L$3,SUMIF('TL11'!$C$238:$C$451,$C351,'TL11'!$J$238:$J$451),0),
IF('TL12'!$B$3=L$3,SUMIF('TL12'!$C$10:$C$224,$C351,'TL12'!$J$10:$J$224),0),
IF('TL12'!$B$229=L$3,SUMIF('TL12'!$C$238:$C$451,$C351,'TL12'!$J$238:$J$451),0),
IF('TL13'!$B$3=L$3,SUMIF('TL13'!$C$10:$C$224,$C351,'TL13'!$J$10:$J$224),0),
IF('TL13'!$B$229=L$3,SUMIF('TL13'!$C$238:$C$451,$C351,'TL13'!$J$238:$J$451),0),
IF('TL14'!$B$3=L$3,SUMIF('TL14'!$C$10:$C$224,$C351,'TL14'!$J$10:$J$224),0),
IF('TL14'!$B$229=L$3,SUMIF('TL14'!$C$238:$C$451,$C351,'TL14'!$J$238:$J$451),0),
IF('TL15'!$B$3=L$3,SUMIF('TL15'!$C$10:$C$224,$C351,'TL15'!$J$10:$J$224),0),
IF('TL15'!$B$229=L$3,SUMIF('TL15'!$C$238:$C$451,$C351,'TL15'!$J$238:$J$451),0),
IF('TL16'!$B$3=L$3,SUMIF('TL16'!$C$10:$C$224,$C351,'TL16'!$J$10:$J$224),0),
IF('TL16'!$B$229=L$3,SUMIF('TL16'!$C$238:$C$451,$C351,'TL16'!$J$238:$J$451),0),
IF('TL17'!$B$3=L$3,SUMIF('TL17'!$C$10:$C$224,$C351,'TL17'!$J$10:$J$224),0),
IF('TL17'!$B$229=L$3,SUMIF('TL17'!$C$238:$C$451,$C351,'TL17'!$J$238:$J$451),0),
IF('TL18'!$B$3=L$3,SUMIF('TL18'!$C$10:$C$224,$C351,'TL18'!$J$10:$J$224),0),
IF('TL18'!$B$229=L$3,SUMIF('TL18'!$C$238:$C$451,$C351,'TL18'!$J$238:$J$451),0),
IF('TL19'!$B$3=L$3,SUMIF('TL19'!$C$10:$C$224,$C351,'TL19'!$J$10:$J$224),0),
IF('TL19'!$B$229=L$3,SUMIF('TL19'!$C$238:$C$451,$C351,'TL19'!$J$238:$J$451),0)
),0)</f>
        <v/>
      </c>
      <c r="M351" s="9">
        <f>IFERROR(SUM(
IF('TL01'!$B$3=M$3,SUMIF('TL01'!$C$10:$C$224,$C351,'TL01'!$J$10:$J$224),0),
IF('TL01'!$B$229=M$3,SUMIF('TL01'!$C$238:$C$451,$C351,'TL01'!$J$238:$J$451),0),
IF('TL02'!$B$3=M$3,SUMIF('TL02'!$C$10:$C$224,$C351,'TL02'!$J$10:$J$224),0),
IF('TL02'!$B$229=M$3,SUMIF('TL02'!$C$238:$C$451,$C351,'TL02'!$J$238:$J$451),0),
IF('TL03'!$B$3=M$3,SUMIF('TL03'!$C$10:$C$224,$C351,'TL03'!$J$10:$J$224),0),
IF('TL03'!$B$229=M$3,SUMIF('TL03'!$C$238:$C$451,$C351,'TL03'!$J$238:$J$451),0),
IF('TL04'!$B$3=M$3,SUMIF('TL04'!$C$10:$C$224,$C351,'TL04'!$J$10:$J$224),0),
IF('TL04'!$B$229=M$3,SUMIF('TL04'!$C$238:$C$451,$C351,'TL04'!$J$238:$J$451),0),
IF('TL05'!$B$3=M$3,SUMIF('TL05'!$C$10:$C$224,$C351,'TL05'!$J$10:$J$224),0),
IF('TL05'!$B$229=M$3,SUMIF('TL05'!$C$238:$C$451,$C351,'TL05'!$J$238:$J$451),0),
IF('TL06'!$B$3=M$3,SUMIF('TL06'!$C$10:$C$224,$C351,'TL06'!$J$10:$J$224),0),
IF('TL06'!$B$229=M$3,SUMIF('TL06'!$C$238:$C$451,$C351,'TL06'!$J$238:$J$451),0),
IF('TL07'!$B$3=M$3,SUMIF('TL07'!$C$10:$C$224,$C351,'TL07'!$J$10:$J$224),0),
IF('TL07'!$B$229=M$3,SUMIF('TL07'!$C$238:$C$451,$C351,'TL07'!$J$238:$J$451),0),
IF('TL08'!$B$3=M$3,SUMIF('TL08'!$C$10:$C$224,$C351,'TL08'!$J$10:$J$224),0),
IF('TL08'!$B$229=M$3,SUMIF('TL08'!$C$238:$C$451,$C351,'TL08'!$J$238:$J$451),0),
IF('TL09'!$B$3=M$3,SUMIF('TL09'!$C$10:$C$224,$C351,'TL09'!$J$10:$J$224),0),
IF('TL09'!$B$229=M$3,SUMIF('TL09'!$C$238:$C$451,$C351,'TL09'!$J$238:$J$451),0),
IF('TL10'!$B$3=M$3,SUMIF('TL10'!$C$10:$C$224,$C351,'TL10'!$J$10:$J$224),0),
IF('TL10'!$B$229=M$3,SUMIF('TL10'!$C$238:$C$451,$C351,'TL10'!$J$238:$J$451),0),
IF('TL11'!$B$3=M$3,SUMIF('TL11'!$C$10:$C$224,$C351,'TL11'!$J$10:$J$224),0),
IF('TL11'!$B$229=M$3,SUMIF('TL11'!$C$238:$C$451,$C351,'TL11'!$J$238:$J$451),0),
IF('TL12'!$B$3=M$3,SUMIF('TL12'!$C$10:$C$224,$C351,'TL12'!$J$10:$J$224),0),
IF('TL12'!$B$229=M$3,SUMIF('TL12'!$C$238:$C$451,$C351,'TL12'!$J$238:$J$451),0),
IF('TL13'!$B$3=M$3,SUMIF('TL13'!$C$10:$C$224,$C351,'TL13'!$J$10:$J$224),0),
IF('TL13'!$B$229=M$3,SUMIF('TL13'!$C$238:$C$451,$C351,'TL13'!$J$238:$J$451),0),
IF('TL14'!$B$3=M$3,SUMIF('TL14'!$C$10:$C$224,$C351,'TL14'!$J$10:$J$224),0),
IF('TL14'!$B$229=M$3,SUMIF('TL14'!$C$238:$C$451,$C351,'TL14'!$J$238:$J$451),0),
IF('TL15'!$B$3=M$3,SUMIF('TL15'!$C$10:$C$224,$C351,'TL15'!$J$10:$J$224),0),
IF('TL15'!$B$229=M$3,SUMIF('TL15'!$C$238:$C$451,$C351,'TL15'!$J$238:$J$451),0),
IF('TL16'!$B$3=M$3,SUMIF('TL16'!$C$10:$C$224,$C351,'TL16'!$J$10:$J$224),0),
IF('TL16'!$B$229=M$3,SUMIF('TL16'!$C$238:$C$451,$C351,'TL16'!$J$238:$J$451),0),
IF('TL17'!$B$3=M$3,SUMIF('TL17'!$C$10:$C$224,$C351,'TL17'!$J$10:$J$224),0),
IF('TL17'!$B$229=M$3,SUMIF('TL17'!$C$238:$C$451,$C351,'TL17'!$J$238:$J$451),0),
IF('TL18'!$B$3=M$3,SUMIF('TL18'!$C$10:$C$224,$C351,'TL18'!$J$10:$J$224),0),
IF('TL18'!$B$229=M$3,SUMIF('TL18'!$C$238:$C$451,$C351,'TL18'!$J$238:$J$451),0),
IF('TL19'!$B$3=M$3,SUMIF('TL19'!$C$10:$C$224,$C351,'TL19'!$J$10:$J$224),0),
IF('TL19'!$B$229=M$3,SUMIF('TL19'!$C$238:$C$451,$C351,'TL19'!$J$238:$J$451),0)
),0)</f>
        <v/>
      </c>
      <c r="N351" s="9">
        <f>IFERROR(SUM(
IF('TL01'!$B$3=N$3,SUMIF('TL01'!$C$10:$C$224,$C351,'TL01'!$J$10:$J$224),0),
IF('TL01'!$B$229=N$3,SUMIF('TL01'!$C$238:$C$451,$C351,'TL01'!$J$238:$J$451),0),
IF('TL02'!$B$3=N$3,SUMIF('TL02'!$C$10:$C$224,$C351,'TL02'!$J$10:$J$224),0),
IF('TL02'!$B$229=N$3,SUMIF('TL02'!$C$238:$C$451,$C351,'TL02'!$J$238:$J$451),0),
IF('TL03'!$B$3=N$3,SUMIF('TL03'!$C$10:$C$224,$C351,'TL03'!$J$10:$J$224),0),
IF('TL03'!$B$229=N$3,SUMIF('TL03'!$C$238:$C$451,$C351,'TL03'!$J$238:$J$451),0),
IF('TL04'!$B$3=N$3,SUMIF('TL04'!$C$10:$C$224,$C351,'TL04'!$J$10:$J$224),0),
IF('TL04'!$B$229=N$3,SUMIF('TL04'!$C$238:$C$451,$C351,'TL04'!$J$238:$J$451),0),
IF('TL05'!$B$3=N$3,SUMIF('TL05'!$C$10:$C$224,$C351,'TL05'!$J$10:$J$224),0),
IF('TL05'!$B$229=N$3,SUMIF('TL05'!$C$238:$C$451,$C351,'TL05'!$J$238:$J$451),0),
IF('TL06'!$B$3=N$3,SUMIF('TL06'!$C$10:$C$224,$C351,'TL06'!$J$10:$J$224),0),
IF('TL06'!$B$229=N$3,SUMIF('TL06'!$C$238:$C$451,$C351,'TL06'!$J$238:$J$451),0),
IF('TL07'!$B$3=N$3,SUMIF('TL07'!$C$10:$C$224,$C351,'TL07'!$J$10:$J$224),0),
IF('TL07'!$B$229=N$3,SUMIF('TL07'!$C$238:$C$451,$C351,'TL07'!$J$238:$J$451),0),
IF('TL08'!$B$3=N$3,SUMIF('TL08'!$C$10:$C$224,$C351,'TL08'!$J$10:$J$224),0),
IF('TL08'!$B$229=N$3,SUMIF('TL08'!$C$238:$C$451,$C351,'TL08'!$J$238:$J$451),0),
IF('TL09'!$B$3=N$3,SUMIF('TL09'!$C$10:$C$224,$C351,'TL09'!$J$10:$J$224),0),
IF('TL09'!$B$229=N$3,SUMIF('TL09'!$C$238:$C$451,$C351,'TL09'!$J$238:$J$451),0),
IF('TL10'!$B$3=N$3,SUMIF('TL10'!$C$10:$C$224,$C351,'TL10'!$J$10:$J$224),0),
IF('TL10'!$B$229=N$3,SUMIF('TL10'!$C$238:$C$451,$C351,'TL10'!$J$238:$J$451),0),
IF('TL11'!$B$3=N$3,SUMIF('TL11'!$C$10:$C$224,$C351,'TL11'!$J$10:$J$224),0),
IF('TL11'!$B$229=N$3,SUMIF('TL11'!$C$238:$C$451,$C351,'TL11'!$J$238:$J$451),0),
IF('TL12'!$B$3=N$3,SUMIF('TL12'!$C$10:$C$224,$C351,'TL12'!$J$10:$J$224),0),
IF('TL12'!$B$229=N$3,SUMIF('TL12'!$C$238:$C$451,$C351,'TL12'!$J$238:$J$451),0),
IF('TL13'!$B$3=N$3,SUMIF('TL13'!$C$10:$C$224,$C351,'TL13'!$J$10:$J$224),0),
IF('TL13'!$B$229=N$3,SUMIF('TL13'!$C$238:$C$451,$C351,'TL13'!$J$238:$J$451),0),
IF('TL14'!$B$3=N$3,SUMIF('TL14'!$C$10:$C$224,$C351,'TL14'!$J$10:$J$224),0),
IF('TL14'!$B$229=N$3,SUMIF('TL14'!$C$238:$C$451,$C351,'TL14'!$J$238:$J$451),0),
IF('TL15'!$B$3=N$3,SUMIF('TL15'!$C$10:$C$224,$C351,'TL15'!$J$10:$J$224),0),
IF('TL15'!$B$229=N$3,SUMIF('TL15'!$C$238:$C$451,$C351,'TL15'!$J$238:$J$451),0),
IF('TL16'!$B$3=N$3,SUMIF('TL16'!$C$10:$C$224,$C351,'TL16'!$J$10:$J$224),0),
IF('TL16'!$B$229=N$3,SUMIF('TL16'!$C$238:$C$451,$C351,'TL16'!$J$238:$J$451),0),
IF('TL17'!$B$3=N$3,SUMIF('TL17'!$C$10:$C$224,$C351,'TL17'!$J$10:$J$224),0),
IF('TL17'!$B$229=N$3,SUMIF('TL17'!$C$238:$C$451,$C351,'TL17'!$J$238:$J$451),0),
IF('TL18'!$B$3=N$3,SUMIF('TL18'!$C$10:$C$224,$C351,'TL18'!$J$10:$J$224),0),
IF('TL18'!$B$229=N$3,SUMIF('TL18'!$C$238:$C$451,$C351,'TL18'!$J$238:$J$451),0),
IF('TL19'!$B$3=N$3,SUMIF('TL19'!$C$10:$C$224,$C351,'TL19'!$J$10:$J$224),0),
IF('TL19'!$B$229=N$3,SUMIF('TL19'!$C$238:$C$451,$C351,'TL19'!$J$238:$J$451),0)
),0)</f>
        <v/>
      </c>
      <c r="O351" s="9">
        <f>IFERROR(SUM(
IF('TL01'!$B$3=O$3,SUMIF('TL01'!$C$10:$C$224,$C351,'TL01'!$J$10:$J$224),0),
IF('TL01'!$B$229=O$3,SUMIF('TL01'!$C$238:$C$451,$C351,'TL01'!$J$238:$J$451),0),
IF('TL02'!$B$3=O$3,SUMIF('TL02'!$C$10:$C$224,$C351,'TL02'!$J$10:$J$224),0),
IF('TL02'!$B$229=O$3,SUMIF('TL02'!$C$238:$C$451,$C351,'TL02'!$J$238:$J$451),0),
IF('TL03'!$B$3=O$3,SUMIF('TL03'!$C$10:$C$224,$C351,'TL03'!$J$10:$J$224),0),
IF('TL03'!$B$229=O$3,SUMIF('TL03'!$C$238:$C$451,$C351,'TL03'!$J$238:$J$451),0),
IF('TL04'!$B$3=O$3,SUMIF('TL04'!$C$10:$C$224,$C351,'TL04'!$J$10:$J$224),0),
IF('TL04'!$B$229=O$3,SUMIF('TL04'!$C$238:$C$451,$C351,'TL04'!$J$238:$J$451),0),
IF('TL05'!$B$3=O$3,SUMIF('TL05'!$C$10:$C$224,$C351,'TL05'!$J$10:$J$224),0),
IF('TL05'!$B$229=O$3,SUMIF('TL05'!$C$238:$C$451,$C351,'TL05'!$J$238:$J$451),0),
IF('TL06'!$B$3=O$3,SUMIF('TL06'!$C$10:$C$224,$C351,'TL06'!$J$10:$J$224),0),
IF('TL06'!$B$229=O$3,SUMIF('TL06'!$C$238:$C$451,$C351,'TL06'!$J$238:$J$451),0),
IF('TL07'!$B$3=O$3,SUMIF('TL07'!$C$10:$C$224,$C351,'TL07'!$J$10:$J$224),0),
IF('TL07'!$B$229=O$3,SUMIF('TL07'!$C$238:$C$451,$C351,'TL07'!$J$238:$J$451),0),
IF('TL08'!$B$3=O$3,SUMIF('TL08'!$C$10:$C$224,$C351,'TL08'!$J$10:$J$224),0),
IF('TL08'!$B$229=O$3,SUMIF('TL08'!$C$238:$C$451,$C351,'TL08'!$J$238:$J$451),0),
IF('TL09'!$B$3=O$3,SUMIF('TL09'!$C$10:$C$224,$C351,'TL09'!$J$10:$J$224),0),
IF('TL09'!$B$229=O$3,SUMIF('TL09'!$C$238:$C$451,$C351,'TL09'!$J$238:$J$451),0),
IF('TL10'!$B$3=O$3,SUMIF('TL10'!$C$10:$C$224,$C351,'TL10'!$J$10:$J$224),0),
IF('TL10'!$B$229=O$3,SUMIF('TL10'!$C$238:$C$451,$C351,'TL10'!$J$238:$J$451),0),
IF('TL11'!$B$3=O$3,SUMIF('TL11'!$C$10:$C$224,$C351,'TL11'!$J$10:$J$224),0),
IF('TL11'!$B$229=O$3,SUMIF('TL11'!$C$238:$C$451,$C351,'TL11'!$J$238:$J$451),0),
IF('TL12'!$B$3=O$3,SUMIF('TL12'!$C$10:$C$224,$C351,'TL12'!$J$10:$J$224),0),
IF('TL12'!$B$229=O$3,SUMIF('TL12'!$C$238:$C$451,$C351,'TL12'!$J$238:$J$451),0),
IF('TL13'!$B$3=O$3,SUMIF('TL13'!$C$10:$C$224,$C351,'TL13'!$J$10:$J$224),0),
IF('TL13'!$B$229=O$3,SUMIF('TL13'!$C$238:$C$451,$C351,'TL13'!$J$238:$J$451),0),
IF('TL14'!$B$3=O$3,SUMIF('TL14'!$C$10:$C$224,$C351,'TL14'!$J$10:$J$224),0),
IF('TL14'!$B$229=O$3,SUMIF('TL14'!$C$238:$C$451,$C351,'TL14'!$J$238:$J$451),0),
IF('TL15'!$B$3=O$3,SUMIF('TL15'!$C$10:$C$224,$C351,'TL15'!$J$10:$J$224),0),
IF('TL15'!$B$229=O$3,SUMIF('TL15'!$C$238:$C$451,$C351,'TL15'!$J$238:$J$451),0),
IF('TL16'!$B$3=O$3,SUMIF('TL16'!$C$10:$C$224,$C351,'TL16'!$J$10:$J$224),0),
IF('TL16'!$B$229=O$3,SUMIF('TL16'!$C$238:$C$451,$C351,'TL16'!$J$238:$J$451),0),
IF('TL17'!$B$3=O$3,SUMIF('TL17'!$C$10:$C$224,$C351,'TL17'!$J$10:$J$224),0),
IF('TL17'!$B$229=O$3,SUMIF('TL17'!$C$238:$C$451,$C351,'TL17'!$J$238:$J$451),0),
IF('TL18'!$B$3=O$3,SUMIF('TL18'!$C$10:$C$224,$C351,'TL18'!$J$10:$J$224),0),
IF('TL18'!$B$229=O$3,SUMIF('TL18'!$C$238:$C$451,$C351,'TL18'!$J$238:$J$451),0),
IF('TL19'!$B$3=O$3,SUMIF('TL19'!$C$10:$C$224,$C351,'TL19'!$J$10:$J$224),0),
IF('TL19'!$B$229=O$3,SUMIF('TL19'!$C$238:$C$451,$C351,'TL19'!$J$238:$J$451),0)
),0)</f>
        <v/>
      </c>
      <c r="P351" s="9">
        <f>IFERROR(SUM(
IF('TL01'!$B$3=P$3,SUMIF('TL01'!$C$10:$C$224,$C351,'TL01'!$J$10:$J$224),0),
IF('TL01'!$B$229=P$3,SUMIF('TL01'!$C$238:$C$451,$C351,'TL01'!$J$238:$J$451),0),
IF('TL02'!$B$3=P$3,SUMIF('TL02'!$C$10:$C$224,$C351,'TL02'!$J$10:$J$224),0),
IF('TL02'!$B$229=P$3,SUMIF('TL02'!$C$238:$C$451,$C351,'TL02'!$J$238:$J$451),0),
IF('TL03'!$B$3=P$3,SUMIF('TL03'!$C$10:$C$224,$C351,'TL03'!$J$10:$J$224),0),
IF('TL03'!$B$229=P$3,SUMIF('TL03'!$C$238:$C$451,$C351,'TL03'!$J$238:$J$451),0),
IF('TL04'!$B$3=P$3,SUMIF('TL04'!$C$10:$C$224,$C351,'TL04'!$J$10:$J$224),0),
IF('TL04'!$B$229=P$3,SUMIF('TL04'!$C$238:$C$451,$C351,'TL04'!$J$238:$J$451),0),
IF('TL05'!$B$3=P$3,SUMIF('TL05'!$C$10:$C$224,$C351,'TL05'!$J$10:$J$224),0),
IF('TL05'!$B$229=P$3,SUMIF('TL05'!$C$238:$C$451,$C351,'TL05'!$J$238:$J$451),0),
IF('TL06'!$B$3=P$3,SUMIF('TL06'!$C$10:$C$224,$C351,'TL06'!$J$10:$J$224),0),
IF('TL06'!$B$229=P$3,SUMIF('TL06'!$C$238:$C$451,$C351,'TL06'!$J$238:$J$451),0),
IF('TL07'!$B$3=P$3,SUMIF('TL07'!$C$10:$C$224,$C351,'TL07'!$J$10:$J$224),0),
IF('TL07'!$B$229=P$3,SUMIF('TL07'!$C$238:$C$451,$C351,'TL07'!$J$238:$J$451),0),
IF('TL08'!$B$3=P$3,SUMIF('TL08'!$C$10:$C$224,$C351,'TL08'!$J$10:$J$224),0),
IF('TL08'!$B$229=P$3,SUMIF('TL08'!$C$238:$C$451,$C351,'TL08'!$J$238:$J$451),0),
IF('TL09'!$B$3=P$3,SUMIF('TL09'!$C$10:$C$224,$C351,'TL09'!$J$10:$J$224),0),
IF('TL09'!$B$229=P$3,SUMIF('TL09'!$C$238:$C$451,$C351,'TL09'!$J$238:$J$451),0),
IF('TL10'!$B$3=P$3,SUMIF('TL10'!$C$10:$C$224,$C351,'TL10'!$J$10:$J$224),0),
IF('TL10'!$B$229=P$3,SUMIF('TL10'!$C$238:$C$451,$C351,'TL10'!$J$238:$J$451),0),
IF('TL11'!$B$3=P$3,SUMIF('TL11'!$C$10:$C$224,$C351,'TL11'!$J$10:$J$224),0),
IF('TL11'!$B$229=P$3,SUMIF('TL11'!$C$238:$C$451,$C351,'TL11'!$J$238:$J$451),0),
IF('TL12'!$B$3=P$3,SUMIF('TL12'!$C$10:$C$224,$C351,'TL12'!$J$10:$J$224),0),
IF('TL12'!$B$229=P$3,SUMIF('TL12'!$C$238:$C$451,$C351,'TL12'!$J$238:$J$451),0),
IF('TL13'!$B$3=P$3,SUMIF('TL13'!$C$10:$C$224,$C351,'TL13'!$J$10:$J$224),0),
IF('TL13'!$B$229=P$3,SUMIF('TL13'!$C$238:$C$451,$C351,'TL13'!$J$238:$J$451),0),
IF('TL14'!$B$3=P$3,SUMIF('TL14'!$C$10:$C$224,$C351,'TL14'!$J$10:$J$224),0),
IF('TL14'!$B$229=P$3,SUMIF('TL14'!$C$238:$C$451,$C351,'TL14'!$J$238:$J$451),0),
IF('TL15'!$B$3=P$3,SUMIF('TL15'!$C$10:$C$224,$C351,'TL15'!$J$10:$J$224),0),
IF('TL15'!$B$229=P$3,SUMIF('TL15'!$C$238:$C$451,$C351,'TL15'!$J$238:$J$451),0),
IF('TL16'!$B$3=P$3,SUMIF('TL16'!$C$10:$C$224,$C351,'TL16'!$J$10:$J$224),0),
IF('TL16'!$B$229=P$3,SUMIF('TL16'!$C$238:$C$451,$C351,'TL16'!$J$238:$J$451),0),
IF('TL17'!$B$3=P$3,SUMIF('TL17'!$C$10:$C$224,$C351,'TL17'!$J$10:$J$224),0),
IF('TL17'!$B$229=P$3,SUMIF('TL17'!$C$238:$C$451,$C351,'TL17'!$J$238:$J$451),0),
IF('TL18'!$B$3=P$3,SUMIF('TL18'!$C$10:$C$224,$C351,'TL18'!$J$10:$J$224),0),
IF('TL18'!$B$229=P$3,SUMIF('TL18'!$C$238:$C$451,$C351,'TL18'!$J$238:$J$451),0),
IF('TL19'!$B$3=P$3,SUMIF('TL19'!$C$10:$C$224,$C351,'TL19'!$J$10:$J$224),0),
IF('TL19'!$B$229=P$3,SUMIF('TL19'!$C$238:$C$451,$C351,'TL19'!$J$238:$J$451),0)
),0)</f>
        <v/>
      </c>
      <c r="Q351" s="9">
        <f>IFERROR(SUM(
IF('TL01'!$B$3=Q$3,SUMIF('TL01'!$C$10:$C$224,$C351,'TL01'!$J$10:$J$224),0),
IF('TL01'!$B$229=Q$3,SUMIF('TL01'!$C$238:$C$451,$C351,'TL01'!$J$238:$J$451),0),
IF('TL02'!$B$3=Q$3,SUMIF('TL02'!$C$10:$C$224,$C351,'TL02'!$J$10:$J$224),0),
IF('TL02'!$B$229=Q$3,SUMIF('TL02'!$C$238:$C$451,$C351,'TL02'!$J$238:$J$451),0),
IF('TL03'!$B$3=Q$3,SUMIF('TL03'!$C$10:$C$224,$C351,'TL03'!$J$10:$J$224),0),
IF('TL03'!$B$229=Q$3,SUMIF('TL03'!$C$238:$C$451,$C351,'TL03'!$J$238:$J$451),0),
IF('TL04'!$B$3=Q$3,SUMIF('TL04'!$C$10:$C$224,$C351,'TL04'!$J$10:$J$224),0),
IF('TL04'!$B$229=Q$3,SUMIF('TL04'!$C$238:$C$451,$C351,'TL04'!$J$238:$J$451),0),
IF('TL05'!$B$3=Q$3,SUMIF('TL05'!$C$10:$C$224,$C351,'TL05'!$J$10:$J$224),0),
IF('TL05'!$B$229=Q$3,SUMIF('TL05'!$C$238:$C$451,$C351,'TL05'!$J$238:$J$451),0),
IF('TL06'!$B$3=Q$3,SUMIF('TL06'!$C$10:$C$224,$C351,'TL06'!$J$10:$J$224),0),
IF('TL06'!$B$229=Q$3,SUMIF('TL06'!$C$238:$C$451,$C351,'TL06'!$J$238:$J$451),0),
IF('TL07'!$B$3=Q$3,SUMIF('TL07'!$C$10:$C$224,$C351,'TL07'!$J$10:$J$224),0),
IF('TL07'!$B$229=Q$3,SUMIF('TL07'!$C$238:$C$451,$C351,'TL07'!$J$238:$J$451),0),
IF('TL08'!$B$3=Q$3,SUMIF('TL08'!$C$10:$C$224,$C351,'TL08'!$J$10:$J$224),0),
IF('TL08'!$B$229=Q$3,SUMIF('TL08'!$C$238:$C$451,$C351,'TL08'!$J$238:$J$451),0),
IF('TL09'!$B$3=Q$3,SUMIF('TL09'!$C$10:$C$224,$C351,'TL09'!$J$10:$J$224),0),
IF('TL09'!$B$229=Q$3,SUMIF('TL09'!$C$238:$C$451,$C351,'TL09'!$J$238:$J$451),0),
IF('TL10'!$B$3=Q$3,SUMIF('TL10'!$C$10:$C$224,$C351,'TL10'!$J$10:$J$224),0),
IF('TL10'!$B$229=Q$3,SUMIF('TL10'!$C$238:$C$451,$C351,'TL10'!$J$238:$J$451),0),
IF('TL11'!$B$3=Q$3,SUMIF('TL11'!$C$10:$C$224,$C351,'TL11'!$J$10:$J$224),0),
IF('TL11'!$B$229=Q$3,SUMIF('TL11'!$C$238:$C$451,$C351,'TL11'!$J$238:$J$451),0),
IF('TL12'!$B$3=Q$3,SUMIF('TL12'!$C$10:$C$224,$C351,'TL12'!$J$10:$J$224),0),
IF('TL12'!$B$229=Q$3,SUMIF('TL12'!$C$238:$C$451,$C351,'TL12'!$J$238:$J$451),0),
IF('TL13'!$B$3=Q$3,SUMIF('TL13'!$C$10:$C$224,$C351,'TL13'!$J$10:$J$224),0),
IF('TL13'!$B$229=Q$3,SUMIF('TL13'!$C$238:$C$451,$C351,'TL13'!$J$238:$J$451),0),
IF('TL14'!$B$3=Q$3,SUMIF('TL14'!$C$10:$C$224,$C351,'TL14'!$J$10:$J$224),0),
IF('TL14'!$B$229=Q$3,SUMIF('TL14'!$C$238:$C$451,$C351,'TL14'!$J$238:$J$451),0),
IF('TL15'!$B$3=Q$3,SUMIF('TL15'!$C$10:$C$224,$C351,'TL15'!$J$10:$J$224),0),
IF('TL15'!$B$229=Q$3,SUMIF('TL15'!$C$238:$C$451,$C351,'TL15'!$J$238:$J$451),0),
IF('TL16'!$B$3=Q$3,SUMIF('TL16'!$C$10:$C$224,$C351,'TL16'!$J$10:$J$224),0),
IF('TL16'!$B$229=Q$3,SUMIF('TL16'!$C$238:$C$451,$C351,'TL16'!$J$238:$J$451),0),
IF('TL17'!$B$3=Q$3,SUMIF('TL17'!$C$10:$C$224,$C351,'TL17'!$J$10:$J$224),0),
IF('TL17'!$B$229=Q$3,SUMIF('TL17'!$C$238:$C$451,$C351,'TL17'!$J$238:$J$451),0),
IF('TL18'!$B$3=Q$3,SUMIF('TL18'!$C$10:$C$224,$C351,'TL18'!$J$10:$J$224),0),
IF('TL18'!$B$229=Q$3,SUMIF('TL18'!$C$238:$C$451,$C351,'TL18'!$J$238:$J$451),0),
IF('TL19'!$B$3=Q$3,SUMIF('TL19'!$C$10:$C$224,$C351,'TL19'!$J$10:$J$224),0),
IF('TL19'!$B$229=Q$3,SUMIF('TL19'!$C$238:$C$451,$C351,'TL19'!$J$238:$J$451),0)
),0)</f>
        <v/>
      </c>
      <c r="R351" s="9">
        <f>IFERROR(
SUM(
SUMIF('TL01'!C:C,C351,'TL01'!J:J),
SUMIF('TL02'!C:C,C351,'TL02'!J:J),
SUMIF('TL03'!C:C,C351,'TL03'!J:J),
SUMIF('TL04'!C:C,C351,'TL04'!J:J),
SUMIF('TL05'!C:C,C351,'TL05'!J:J),
SUMIF('TL06'!C:C,C351,'TL06'!J:J),
SUMIF('TL07'!C:C,C351,'TL07'!J:J),
SUMIF('TL08'!C:C,C351,'TL08'!J:J),
SUMIF('TL09'!C:C,C351,'TL09'!J:J),
SUMIF('TL10'!C:C,C351,'TL10'!J:J),
SUMIF('TL11'!C:C,C351,'TL11'!J:J),
SUMIF('TL12'!C:C,C351,'TL12'!J:J),
SUMIF('TL13'!C:C,C351,'TL13'!J:J),
SUMIF('TL14'!C:C,C351,'TL14'!J:J),
SUMIF('TL15'!C:C,C351,'TL15'!J:J),
SUMIF('TL16'!C:C,C351,'TL16'!J:J),
SUMIF('TL17'!C:C,C351,'TL17'!J:J),
SUMIF('TL18'!C:C,C351,'TL18'!J:J),SUMIF('TL19'!C:C,C351,'TL19'!J:J))
,0)</f>
        <v/>
      </c>
      <c r="S351" s="17">
        <f>IFERROR(__xludf.DUMMYFUNCTION("IFERROR(VLOOKUP(C351,
IMPORTRANGE(""1wULbzX32WdYsx-lj2U3uUNBBe2INVIRDtcK0d-Dvl90"",
""26-27!C:G""),
5,
FALSE),
"""")"),42.12)</f>
        <v/>
      </c>
      <c r="T351" s="9" t="n"/>
      <c r="U351" s="92">
        <f>MAX(0,R351-T351)</f>
        <v/>
      </c>
      <c r="V351" s="93">
        <f>U351*S351</f>
        <v/>
      </c>
    </row>
    <row r="352" hidden="1" ht="15.75" customHeight="1" s="297">
      <c r="A352" s="4" t="inlineStr">
        <is>
          <t>SOLUBIO</t>
        </is>
      </c>
      <c r="B352" s="4" t="inlineStr">
        <is>
          <t>BIOLÓGICOS</t>
        </is>
      </c>
      <c r="C352" s="126" t="inlineStr">
        <is>
          <t>Now Force</t>
        </is>
      </c>
      <c r="D352" s="127" t="inlineStr">
        <is>
          <t>Beauveria bassiana</t>
        </is>
      </c>
      <c r="E352" s="20" t="n"/>
      <c r="F352" s="4" t="n"/>
      <c r="G352" s="90">
        <f>HYPERLINK("https://www.google.com/search?q=" &amp; C352 &amp; "+bula+agrofit+pdf", "📄 Ver bula")</f>
        <v/>
      </c>
      <c r="H352" s="4" t="n">
        <v>2</v>
      </c>
      <c r="I352" s="121" t="inlineStr">
        <is>
          <t>1x20</t>
        </is>
      </c>
      <c r="J352" s="9">
        <f>IFERROR(SUM(
IF('TL01'!$B$3=J$3,SUMIF('TL01'!$C$10:$C$224,$C352,'TL01'!$J$10:$J$224),0),
IF('TL01'!$B$229=J$3,SUMIF('TL01'!$C$238:$C$451,$C352,'TL01'!$J$238:$J$451),0),
IF('TL02'!$B$3=J$3,SUMIF('TL02'!$C$10:$C$224,$C352,'TL02'!$J$10:$J$224),0),
IF('TL02'!$B$229=J$3,SUMIF('TL02'!$C$238:$C$451,$C352,'TL02'!$J$238:$J$451),0),
IF('TL03'!$B$3=J$3,SUMIF('TL03'!$C$10:$C$224,$C352,'TL03'!$J$10:$J$224),0),
IF('TL03'!$B$229=J$3,SUMIF('TL03'!$C$238:$C$451,$C352,'TL03'!$J$238:$J$451),0),
IF('TL04'!$B$3=J$3,SUMIF('TL04'!$C$10:$C$224,$C352,'TL04'!$J$10:$J$224),0),
IF('TL04'!$B$229=J$3,SUMIF('TL04'!$C$238:$C$451,$C352,'TL04'!$J$238:$J$451),0),
IF('TL05'!$B$3=J$3,SUMIF('TL05'!$C$10:$C$224,$C352,'TL05'!$J$10:$J$224),0),
IF('TL05'!$B$229=J$3,SUMIF('TL05'!$C$238:$C$451,$C352,'TL05'!$J$238:$J$451),0),
IF('TL06'!$B$3=J$3,SUMIF('TL06'!$C$10:$C$224,$C352,'TL06'!$J$10:$J$224),0),
IF('TL06'!$B$229=J$3,SUMIF('TL06'!$C$238:$C$451,$C352,'TL06'!$J$238:$J$451),0),
IF('TL07'!$B$3=J$3,SUMIF('TL07'!$C$10:$C$224,$C352,'TL07'!$J$10:$J$224),0),
IF('TL07'!$B$229=J$3,SUMIF('TL07'!$C$238:$C$451,$C352,'TL07'!$J$238:$J$451),0),
IF('TL08'!$B$3=J$3,SUMIF('TL08'!$C$10:$C$224,$C352,'TL08'!$J$10:$J$224),0),
IF('TL08'!$B$229=J$3,SUMIF('TL08'!$C$238:$C$451,$C352,'TL08'!$J$238:$J$451),0),
IF('TL09'!$B$3=J$3,SUMIF('TL09'!$C$10:$C$224,$C352,'TL09'!$J$10:$J$224),0),
IF('TL09'!$B$229=J$3,SUMIF('TL09'!$C$238:$C$451,$C352,'TL09'!$J$238:$J$451),0),
IF('TL10'!$B$3=J$3,SUMIF('TL10'!$C$10:$C$224,$C352,'TL10'!$J$10:$J$224),0),
IF('TL10'!$B$229=J$3,SUMIF('TL10'!$C$238:$C$451,$C352,'TL10'!$J$238:$J$451),0),
IF('TL11'!$B$3=J$3,SUMIF('TL11'!$C$10:$C$224,$C352,'TL11'!$J$10:$J$224),0),
IF('TL11'!$B$229=J$3,SUMIF('TL11'!$C$238:$C$451,$C352,'TL11'!$J$238:$J$451),0),
IF('TL12'!$B$3=J$3,SUMIF('TL12'!$C$10:$C$224,$C352,'TL12'!$J$10:$J$224),0),
IF('TL12'!$B$229=J$3,SUMIF('TL12'!$C$238:$C$451,$C352,'TL12'!$J$238:$J$451),0),
IF('TL13'!$B$3=J$3,SUMIF('TL13'!$C$10:$C$224,$C352,'TL13'!$J$10:$J$224),0),
IF('TL13'!$B$229=J$3,SUMIF('TL13'!$C$238:$C$451,$C352,'TL13'!$J$238:$J$451),0),
IF('TL14'!$B$3=J$3,SUMIF('TL14'!$C$10:$C$224,$C352,'TL14'!$J$10:$J$224),0),
IF('TL14'!$B$229=J$3,SUMIF('TL14'!$C$238:$C$451,$C352,'TL14'!$J$238:$J$451),0),
IF('TL15'!$B$3=J$3,SUMIF('TL15'!$C$10:$C$224,$C352,'TL15'!$J$10:$J$224),0),
IF('TL15'!$B$229=J$3,SUMIF('TL15'!$C$238:$C$451,$C352,'TL15'!$J$238:$J$451),0),
IF('TL16'!$B$3=J$3,SUMIF('TL16'!$C$10:$C$224,$C352,'TL16'!$J$10:$J$224),0),
IF('TL16'!$B$229=J$3,SUMIF('TL16'!$C$238:$C$451,$C352,'TL16'!$J$238:$J$451),0),
IF('TL17'!$B$3=J$3,SUMIF('TL17'!$C$10:$C$224,$C352,'TL17'!$J$10:$J$224),0),
IF('TL17'!$B$229=J$3,SUMIF('TL17'!$C$238:$C$451,$C352,'TL17'!$J$238:$J$451),0),
IF('TL18'!$B$3=J$3,SUMIF('TL18'!$C$10:$C$224,$C352,'TL18'!$J$10:$J$224),0),
IF('TL18'!$B$229=J$3,SUMIF('TL18'!$C$238:$C$451,$C352,'TL18'!$J$238:$J$451),0),
IF('TL19'!$B$3=J$3,SUMIF('TL19'!$C$10:$C$224,$C352,'TL19'!$J$10:$J$224),0),
IF('TL19'!$B$229=J$3,SUMIF('TL19'!$C$238:$C$451,$C352,'TL19'!$J$238:$J$451),0)
),0)</f>
        <v/>
      </c>
      <c r="K352" s="9">
        <f>IFERROR(SUM(
IF('TL01'!$B$3=K$3,SUMIF('TL01'!$C$10:$C$224,$C352,'TL01'!$J$10:$J$224),0),
IF('TL01'!$B$229=K$3,SUMIF('TL01'!$C$238:$C$451,$C352,'TL01'!$J$238:$J$451),0),
IF('TL02'!$B$3=K$3,SUMIF('TL02'!$C$10:$C$224,$C352,'TL02'!$J$10:$J$224),0),
IF('TL02'!$B$229=K$3,SUMIF('TL02'!$C$238:$C$451,$C352,'TL02'!$J$238:$J$451),0),
IF('TL03'!$B$3=K$3,SUMIF('TL03'!$C$10:$C$224,$C352,'TL03'!$J$10:$J$224),0),
IF('TL03'!$B$229=K$3,SUMIF('TL03'!$C$238:$C$451,$C352,'TL03'!$J$238:$J$451),0),
IF('TL04'!$B$3=K$3,SUMIF('TL04'!$C$10:$C$224,$C352,'TL04'!$J$10:$J$224),0),
IF('TL04'!$B$229=K$3,SUMIF('TL04'!$C$238:$C$451,$C352,'TL04'!$J$238:$J$451),0),
IF('TL05'!$B$3=K$3,SUMIF('TL05'!$C$10:$C$224,$C352,'TL05'!$J$10:$J$224),0),
IF('TL05'!$B$229=K$3,SUMIF('TL05'!$C$238:$C$451,$C352,'TL05'!$J$238:$J$451),0),
IF('TL06'!$B$3=K$3,SUMIF('TL06'!$C$10:$C$224,$C352,'TL06'!$J$10:$J$224),0),
IF('TL06'!$B$229=K$3,SUMIF('TL06'!$C$238:$C$451,$C352,'TL06'!$J$238:$J$451),0),
IF('TL07'!$B$3=K$3,SUMIF('TL07'!$C$10:$C$224,$C352,'TL07'!$J$10:$J$224),0),
IF('TL07'!$B$229=K$3,SUMIF('TL07'!$C$238:$C$451,$C352,'TL07'!$J$238:$J$451),0),
IF('TL08'!$B$3=K$3,SUMIF('TL08'!$C$10:$C$224,$C352,'TL08'!$J$10:$J$224),0),
IF('TL08'!$B$229=K$3,SUMIF('TL08'!$C$238:$C$451,$C352,'TL08'!$J$238:$J$451),0),
IF('TL09'!$B$3=K$3,SUMIF('TL09'!$C$10:$C$224,$C352,'TL09'!$J$10:$J$224),0),
IF('TL09'!$B$229=K$3,SUMIF('TL09'!$C$238:$C$451,$C352,'TL09'!$J$238:$J$451),0),
IF('TL10'!$B$3=K$3,SUMIF('TL10'!$C$10:$C$224,$C352,'TL10'!$J$10:$J$224),0),
IF('TL10'!$B$229=K$3,SUMIF('TL10'!$C$238:$C$451,$C352,'TL10'!$J$238:$J$451),0),
IF('TL11'!$B$3=K$3,SUMIF('TL11'!$C$10:$C$224,$C352,'TL11'!$J$10:$J$224),0),
IF('TL11'!$B$229=K$3,SUMIF('TL11'!$C$238:$C$451,$C352,'TL11'!$J$238:$J$451),0),
IF('TL12'!$B$3=K$3,SUMIF('TL12'!$C$10:$C$224,$C352,'TL12'!$J$10:$J$224),0),
IF('TL12'!$B$229=K$3,SUMIF('TL12'!$C$238:$C$451,$C352,'TL12'!$J$238:$J$451),0),
IF('TL13'!$B$3=K$3,SUMIF('TL13'!$C$10:$C$224,$C352,'TL13'!$J$10:$J$224),0),
IF('TL13'!$B$229=K$3,SUMIF('TL13'!$C$238:$C$451,$C352,'TL13'!$J$238:$J$451),0),
IF('TL14'!$B$3=K$3,SUMIF('TL14'!$C$10:$C$224,$C352,'TL14'!$J$10:$J$224),0),
IF('TL14'!$B$229=K$3,SUMIF('TL14'!$C$238:$C$451,$C352,'TL14'!$J$238:$J$451),0),
IF('TL15'!$B$3=K$3,SUMIF('TL15'!$C$10:$C$224,$C352,'TL15'!$J$10:$J$224),0),
IF('TL15'!$B$229=K$3,SUMIF('TL15'!$C$238:$C$451,$C352,'TL15'!$J$238:$J$451),0),
IF('TL16'!$B$3=K$3,SUMIF('TL16'!$C$10:$C$224,$C352,'TL16'!$J$10:$J$224),0),
IF('TL16'!$B$229=K$3,SUMIF('TL16'!$C$238:$C$451,$C352,'TL16'!$J$238:$J$451),0),
IF('TL17'!$B$3=K$3,SUMIF('TL17'!$C$10:$C$224,$C352,'TL17'!$J$10:$J$224),0),
IF('TL17'!$B$229=K$3,SUMIF('TL17'!$C$238:$C$451,$C352,'TL17'!$J$238:$J$451),0),
IF('TL18'!$B$3=K$3,SUMIF('TL18'!$C$10:$C$224,$C352,'TL18'!$J$10:$J$224),0),
IF('TL18'!$B$229=K$3,SUMIF('TL18'!$C$238:$C$451,$C352,'TL18'!$J$238:$J$451),0),
IF('TL19'!$B$3=K$3,SUMIF('TL19'!$C$10:$C$224,$C352,'TL19'!$J$10:$J$224),0),
IF('TL19'!$B$229=K$3,SUMIF('TL19'!$C$238:$C$451,$C352,'TL19'!$J$238:$J$451),0)
),0)</f>
        <v/>
      </c>
      <c r="L352" s="9">
        <f>IFERROR(SUM(
IF('TL01'!$B$3=L$3,SUMIF('TL01'!$C$10:$C$224,$C352,'TL01'!$J$10:$J$224),0),
IF('TL01'!$B$229=L$3,SUMIF('TL01'!$C$238:$C$451,$C352,'TL01'!$J$238:$J$451),0),
IF('TL02'!$B$3=L$3,SUMIF('TL02'!$C$10:$C$224,$C352,'TL02'!$J$10:$J$224),0),
IF('TL02'!$B$229=L$3,SUMIF('TL02'!$C$238:$C$451,$C352,'TL02'!$J$238:$J$451),0),
IF('TL03'!$B$3=L$3,SUMIF('TL03'!$C$10:$C$224,$C352,'TL03'!$J$10:$J$224),0),
IF('TL03'!$B$229=L$3,SUMIF('TL03'!$C$238:$C$451,$C352,'TL03'!$J$238:$J$451),0),
IF('TL04'!$B$3=L$3,SUMIF('TL04'!$C$10:$C$224,$C352,'TL04'!$J$10:$J$224),0),
IF('TL04'!$B$229=L$3,SUMIF('TL04'!$C$238:$C$451,$C352,'TL04'!$J$238:$J$451),0),
IF('TL05'!$B$3=L$3,SUMIF('TL05'!$C$10:$C$224,$C352,'TL05'!$J$10:$J$224),0),
IF('TL05'!$B$229=L$3,SUMIF('TL05'!$C$238:$C$451,$C352,'TL05'!$J$238:$J$451),0),
IF('TL06'!$B$3=L$3,SUMIF('TL06'!$C$10:$C$224,$C352,'TL06'!$J$10:$J$224),0),
IF('TL06'!$B$229=L$3,SUMIF('TL06'!$C$238:$C$451,$C352,'TL06'!$J$238:$J$451),0),
IF('TL07'!$B$3=L$3,SUMIF('TL07'!$C$10:$C$224,$C352,'TL07'!$J$10:$J$224),0),
IF('TL07'!$B$229=L$3,SUMIF('TL07'!$C$238:$C$451,$C352,'TL07'!$J$238:$J$451),0),
IF('TL08'!$B$3=L$3,SUMIF('TL08'!$C$10:$C$224,$C352,'TL08'!$J$10:$J$224),0),
IF('TL08'!$B$229=L$3,SUMIF('TL08'!$C$238:$C$451,$C352,'TL08'!$J$238:$J$451),0),
IF('TL09'!$B$3=L$3,SUMIF('TL09'!$C$10:$C$224,$C352,'TL09'!$J$10:$J$224),0),
IF('TL09'!$B$229=L$3,SUMIF('TL09'!$C$238:$C$451,$C352,'TL09'!$J$238:$J$451),0),
IF('TL10'!$B$3=L$3,SUMIF('TL10'!$C$10:$C$224,$C352,'TL10'!$J$10:$J$224),0),
IF('TL10'!$B$229=L$3,SUMIF('TL10'!$C$238:$C$451,$C352,'TL10'!$J$238:$J$451),0),
IF('TL11'!$B$3=L$3,SUMIF('TL11'!$C$10:$C$224,$C352,'TL11'!$J$10:$J$224),0),
IF('TL11'!$B$229=L$3,SUMIF('TL11'!$C$238:$C$451,$C352,'TL11'!$J$238:$J$451),0),
IF('TL12'!$B$3=L$3,SUMIF('TL12'!$C$10:$C$224,$C352,'TL12'!$J$10:$J$224),0),
IF('TL12'!$B$229=L$3,SUMIF('TL12'!$C$238:$C$451,$C352,'TL12'!$J$238:$J$451),0),
IF('TL13'!$B$3=L$3,SUMIF('TL13'!$C$10:$C$224,$C352,'TL13'!$J$10:$J$224),0),
IF('TL13'!$B$229=L$3,SUMIF('TL13'!$C$238:$C$451,$C352,'TL13'!$J$238:$J$451),0),
IF('TL14'!$B$3=L$3,SUMIF('TL14'!$C$10:$C$224,$C352,'TL14'!$J$10:$J$224),0),
IF('TL14'!$B$229=L$3,SUMIF('TL14'!$C$238:$C$451,$C352,'TL14'!$J$238:$J$451),0),
IF('TL15'!$B$3=L$3,SUMIF('TL15'!$C$10:$C$224,$C352,'TL15'!$J$10:$J$224),0),
IF('TL15'!$B$229=L$3,SUMIF('TL15'!$C$238:$C$451,$C352,'TL15'!$J$238:$J$451),0),
IF('TL16'!$B$3=L$3,SUMIF('TL16'!$C$10:$C$224,$C352,'TL16'!$J$10:$J$224),0),
IF('TL16'!$B$229=L$3,SUMIF('TL16'!$C$238:$C$451,$C352,'TL16'!$J$238:$J$451),0),
IF('TL17'!$B$3=L$3,SUMIF('TL17'!$C$10:$C$224,$C352,'TL17'!$J$10:$J$224),0),
IF('TL17'!$B$229=L$3,SUMIF('TL17'!$C$238:$C$451,$C352,'TL17'!$J$238:$J$451),0),
IF('TL18'!$B$3=L$3,SUMIF('TL18'!$C$10:$C$224,$C352,'TL18'!$J$10:$J$224),0),
IF('TL18'!$B$229=L$3,SUMIF('TL18'!$C$238:$C$451,$C352,'TL18'!$J$238:$J$451),0),
IF('TL19'!$B$3=L$3,SUMIF('TL19'!$C$10:$C$224,$C352,'TL19'!$J$10:$J$224),0),
IF('TL19'!$B$229=L$3,SUMIF('TL19'!$C$238:$C$451,$C352,'TL19'!$J$238:$J$451),0)
),0)</f>
        <v/>
      </c>
      <c r="M352" s="9">
        <f>IFERROR(SUM(
IF('TL01'!$B$3=M$3,SUMIF('TL01'!$C$10:$C$224,$C352,'TL01'!$J$10:$J$224),0),
IF('TL01'!$B$229=M$3,SUMIF('TL01'!$C$238:$C$451,$C352,'TL01'!$J$238:$J$451),0),
IF('TL02'!$B$3=M$3,SUMIF('TL02'!$C$10:$C$224,$C352,'TL02'!$J$10:$J$224),0),
IF('TL02'!$B$229=M$3,SUMIF('TL02'!$C$238:$C$451,$C352,'TL02'!$J$238:$J$451),0),
IF('TL03'!$B$3=M$3,SUMIF('TL03'!$C$10:$C$224,$C352,'TL03'!$J$10:$J$224),0),
IF('TL03'!$B$229=M$3,SUMIF('TL03'!$C$238:$C$451,$C352,'TL03'!$J$238:$J$451),0),
IF('TL04'!$B$3=M$3,SUMIF('TL04'!$C$10:$C$224,$C352,'TL04'!$J$10:$J$224),0),
IF('TL04'!$B$229=M$3,SUMIF('TL04'!$C$238:$C$451,$C352,'TL04'!$J$238:$J$451),0),
IF('TL05'!$B$3=M$3,SUMIF('TL05'!$C$10:$C$224,$C352,'TL05'!$J$10:$J$224),0),
IF('TL05'!$B$229=M$3,SUMIF('TL05'!$C$238:$C$451,$C352,'TL05'!$J$238:$J$451),0),
IF('TL06'!$B$3=M$3,SUMIF('TL06'!$C$10:$C$224,$C352,'TL06'!$J$10:$J$224),0),
IF('TL06'!$B$229=M$3,SUMIF('TL06'!$C$238:$C$451,$C352,'TL06'!$J$238:$J$451),0),
IF('TL07'!$B$3=M$3,SUMIF('TL07'!$C$10:$C$224,$C352,'TL07'!$J$10:$J$224),0),
IF('TL07'!$B$229=M$3,SUMIF('TL07'!$C$238:$C$451,$C352,'TL07'!$J$238:$J$451),0),
IF('TL08'!$B$3=M$3,SUMIF('TL08'!$C$10:$C$224,$C352,'TL08'!$J$10:$J$224),0),
IF('TL08'!$B$229=M$3,SUMIF('TL08'!$C$238:$C$451,$C352,'TL08'!$J$238:$J$451),0),
IF('TL09'!$B$3=M$3,SUMIF('TL09'!$C$10:$C$224,$C352,'TL09'!$J$10:$J$224),0),
IF('TL09'!$B$229=M$3,SUMIF('TL09'!$C$238:$C$451,$C352,'TL09'!$J$238:$J$451),0),
IF('TL10'!$B$3=M$3,SUMIF('TL10'!$C$10:$C$224,$C352,'TL10'!$J$10:$J$224),0),
IF('TL10'!$B$229=M$3,SUMIF('TL10'!$C$238:$C$451,$C352,'TL10'!$J$238:$J$451),0),
IF('TL11'!$B$3=M$3,SUMIF('TL11'!$C$10:$C$224,$C352,'TL11'!$J$10:$J$224),0),
IF('TL11'!$B$229=M$3,SUMIF('TL11'!$C$238:$C$451,$C352,'TL11'!$J$238:$J$451),0),
IF('TL12'!$B$3=M$3,SUMIF('TL12'!$C$10:$C$224,$C352,'TL12'!$J$10:$J$224),0),
IF('TL12'!$B$229=M$3,SUMIF('TL12'!$C$238:$C$451,$C352,'TL12'!$J$238:$J$451),0),
IF('TL13'!$B$3=M$3,SUMIF('TL13'!$C$10:$C$224,$C352,'TL13'!$J$10:$J$224),0),
IF('TL13'!$B$229=M$3,SUMIF('TL13'!$C$238:$C$451,$C352,'TL13'!$J$238:$J$451),0),
IF('TL14'!$B$3=M$3,SUMIF('TL14'!$C$10:$C$224,$C352,'TL14'!$J$10:$J$224),0),
IF('TL14'!$B$229=M$3,SUMIF('TL14'!$C$238:$C$451,$C352,'TL14'!$J$238:$J$451),0),
IF('TL15'!$B$3=M$3,SUMIF('TL15'!$C$10:$C$224,$C352,'TL15'!$J$10:$J$224),0),
IF('TL15'!$B$229=M$3,SUMIF('TL15'!$C$238:$C$451,$C352,'TL15'!$J$238:$J$451),0),
IF('TL16'!$B$3=M$3,SUMIF('TL16'!$C$10:$C$224,$C352,'TL16'!$J$10:$J$224),0),
IF('TL16'!$B$229=M$3,SUMIF('TL16'!$C$238:$C$451,$C352,'TL16'!$J$238:$J$451),0),
IF('TL17'!$B$3=M$3,SUMIF('TL17'!$C$10:$C$224,$C352,'TL17'!$J$10:$J$224),0),
IF('TL17'!$B$229=M$3,SUMIF('TL17'!$C$238:$C$451,$C352,'TL17'!$J$238:$J$451),0),
IF('TL18'!$B$3=M$3,SUMIF('TL18'!$C$10:$C$224,$C352,'TL18'!$J$10:$J$224),0),
IF('TL18'!$B$229=M$3,SUMIF('TL18'!$C$238:$C$451,$C352,'TL18'!$J$238:$J$451),0),
IF('TL19'!$B$3=M$3,SUMIF('TL19'!$C$10:$C$224,$C352,'TL19'!$J$10:$J$224),0),
IF('TL19'!$B$229=M$3,SUMIF('TL19'!$C$238:$C$451,$C352,'TL19'!$J$238:$J$451),0)
),0)</f>
        <v/>
      </c>
      <c r="N352" s="9">
        <f>IFERROR(SUM(
IF('TL01'!$B$3=N$3,SUMIF('TL01'!$C$10:$C$224,$C352,'TL01'!$J$10:$J$224),0),
IF('TL01'!$B$229=N$3,SUMIF('TL01'!$C$238:$C$451,$C352,'TL01'!$J$238:$J$451),0),
IF('TL02'!$B$3=N$3,SUMIF('TL02'!$C$10:$C$224,$C352,'TL02'!$J$10:$J$224),0),
IF('TL02'!$B$229=N$3,SUMIF('TL02'!$C$238:$C$451,$C352,'TL02'!$J$238:$J$451),0),
IF('TL03'!$B$3=N$3,SUMIF('TL03'!$C$10:$C$224,$C352,'TL03'!$J$10:$J$224),0),
IF('TL03'!$B$229=N$3,SUMIF('TL03'!$C$238:$C$451,$C352,'TL03'!$J$238:$J$451),0),
IF('TL04'!$B$3=N$3,SUMIF('TL04'!$C$10:$C$224,$C352,'TL04'!$J$10:$J$224),0),
IF('TL04'!$B$229=N$3,SUMIF('TL04'!$C$238:$C$451,$C352,'TL04'!$J$238:$J$451),0),
IF('TL05'!$B$3=N$3,SUMIF('TL05'!$C$10:$C$224,$C352,'TL05'!$J$10:$J$224),0),
IF('TL05'!$B$229=N$3,SUMIF('TL05'!$C$238:$C$451,$C352,'TL05'!$J$238:$J$451),0),
IF('TL06'!$B$3=N$3,SUMIF('TL06'!$C$10:$C$224,$C352,'TL06'!$J$10:$J$224),0),
IF('TL06'!$B$229=N$3,SUMIF('TL06'!$C$238:$C$451,$C352,'TL06'!$J$238:$J$451),0),
IF('TL07'!$B$3=N$3,SUMIF('TL07'!$C$10:$C$224,$C352,'TL07'!$J$10:$J$224),0),
IF('TL07'!$B$229=N$3,SUMIF('TL07'!$C$238:$C$451,$C352,'TL07'!$J$238:$J$451),0),
IF('TL08'!$B$3=N$3,SUMIF('TL08'!$C$10:$C$224,$C352,'TL08'!$J$10:$J$224),0),
IF('TL08'!$B$229=N$3,SUMIF('TL08'!$C$238:$C$451,$C352,'TL08'!$J$238:$J$451),0),
IF('TL09'!$B$3=N$3,SUMIF('TL09'!$C$10:$C$224,$C352,'TL09'!$J$10:$J$224),0),
IF('TL09'!$B$229=N$3,SUMIF('TL09'!$C$238:$C$451,$C352,'TL09'!$J$238:$J$451),0),
IF('TL10'!$B$3=N$3,SUMIF('TL10'!$C$10:$C$224,$C352,'TL10'!$J$10:$J$224),0),
IF('TL10'!$B$229=N$3,SUMIF('TL10'!$C$238:$C$451,$C352,'TL10'!$J$238:$J$451),0),
IF('TL11'!$B$3=N$3,SUMIF('TL11'!$C$10:$C$224,$C352,'TL11'!$J$10:$J$224),0),
IF('TL11'!$B$229=N$3,SUMIF('TL11'!$C$238:$C$451,$C352,'TL11'!$J$238:$J$451),0),
IF('TL12'!$B$3=N$3,SUMIF('TL12'!$C$10:$C$224,$C352,'TL12'!$J$10:$J$224),0),
IF('TL12'!$B$229=N$3,SUMIF('TL12'!$C$238:$C$451,$C352,'TL12'!$J$238:$J$451),0),
IF('TL13'!$B$3=N$3,SUMIF('TL13'!$C$10:$C$224,$C352,'TL13'!$J$10:$J$224),0),
IF('TL13'!$B$229=N$3,SUMIF('TL13'!$C$238:$C$451,$C352,'TL13'!$J$238:$J$451),0),
IF('TL14'!$B$3=N$3,SUMIF('TL14'!$C$10:$C$224,$C352,'TL14'!$J$10:$J$224),0),
IF('TL14'!$B$229=N$3,SUMIF('TL14'!$C$238:$C$451,$C352,'TL14'!$J$238:$J$451),0),
IF('TL15'!$B$3=N$3,SUMIF('TL15'!$C$10:$C$224,$C352,'TL15'!$J$10:$J$224),0),
IF('TL15'!$B$229=N$3,SUMIF('TL15'!$C$238:$C$451,$C352,'TL15'!$J$238:$J$451),0),
IF('TL16'!$B$3=N$3,SUMIF('TL16'!$C$10:$C$224,$C352,'TL16'!$J$10:$J$224),0),
IF('TL16'!$B$229=N$3,SUMIF('TL16'!$C$238:$C$451,$C352,'TL16'!$J$238:$J$451),0),
IF('TL17'!$B$3=N$3,SUMIF('TL17'!$C$10:$C$224,$C352,'TL17'!$J$10:$J$224),0),
IF('TL17'!$B$229=N$3,SUMIF('TL17'!$C$238:$C$451,$C352,'TL17'!$J$238:$J$451),0),
IF('TL18'!$B$3=N$3,SUMIF('TL18'!$C$10:$C$224,$C352,'TL18'!$J$10:$J$224),0),
IF('TL18'!$B$229=N$3,SUMIF('TL18'!$C$238:$C$451,$C352,'TL18'!$J$238:$J$451),0),
IF('TL19'!$B$3=N$3,SUMIF('TL19'!$C$10:$C$224,$C352,'TL19'!$J$10:$J$224),0),
IF('TL19'!$B$229=N$3,SUMIF('TL19'!$C$238:$C$451,$C352,'TL19'!$J$238:$J$451),0)
),0)</f>
        <v/>
      </c>
      <c r="O352" s="9">
        <f>IFERROR(SUM(
IF('TL01'!$B$3=O$3,SUMIF('TL01'!$C$10:$C$224,$C352,'TL01'!$J$10:$J$224),0),
IF('TL01'!$B$229=O$3,SUMIF('TL01'!$C$238:$C$451,$C352,'TL01'!$J$238:$J$451),0),
IF('TL02'!$B$3=O$3,SUMIF('TL02'!$C$10:$C$224,$C352,'TL02'!$J$10:$J$224),0),
IF('TL02'!$B$229=O$3,SUMIF('TL02'!$C$238:$C$451,$C352,'TL02'!$J$238:$J$451),0),
IF('TL03'!$B$3=O$3,SUMIF('TL03'!$C$10:$C$224,$C352,'TL03'!$J$10:$J$224),0),
IF('TL03'!$B$229=O$3,SUMIF('TL03'!$C$238:$C$451,$C352,'TL03'!$J$238:$J$451),0),
IF('TL04'!$B$3=O$3,SUMIF('TL04'!$C$10:$C$224,$C352,'TL04'!$J$10:$J$224),0),
IF('TL04'!$B$229=O$3,SUMIF('TL04'!$C$238:$C$451,$C352,'TL04'!$J$238:$J$451),0),
IF('TL05'!$B$3=O$3,SUMIF('TL05'!$C$10:$C$224,$C352,'TL05'!$J$10:$J$224),0),
IF('TL05'!$B$229=O$3,SUMIF('TL05'!$C$238:$C$451,$C352,'TL05'!$J$238:$J$451),0),
IF('TL06'!$B$3=O$3,SUMIF('TL06'!$C$10:$C$224,$C352,'TL06'!$J$10:$J$224),0),
IF('TL06'!$B$229=O$3,SUMIF('TL06'!$C$238:$C$451,$C352,'TL06'!$J$238:$J$451),0),
IF('TL07'!$B$3=O$3,SUMIF('TL07'!$C$10:$C$224,$C352,'TL07'!$J$10:$J$224),0),
IF('TL07'!$B$229=O$3,SUMIF('TL07'!$C$238:$C$451,$C352,'TL07'!$J$238:$J$451),0),
IF('TL08'!$B$3=O$3,SUMIF('TL08'!$C$10:$C$224,$C352,'TL08'!$J$10:$J$224),0),
IF('TL08'!$B$229=O$3,SUMIF('TL08'!$C$238:$C$451,$C352,'TL08'!$J$238:$J$451),0),
IF('TL09'!$B$3=O$3,SUMIF('TL09'!$C$10:$C$224,$C352,'TL09'!$J$10:$J$224),0),
IF('TL09'!$B$229=O$3,SUMIF('TL09'!$C$238:$C$451,$C352,'TL09'!$J$238:$J$451),0),
IF('TL10'!$B$3=O$3,SUMIF('TL10'!$C$10:$C$224,$C352,'TL10'!$J$10:$J$224),0),
IF('TL10'!$B$229=O$3,SUMIF('TL10'!$C$238:$C$451,$C352,'TL10'!$J$238:$J$451),0),
IF('TL11'!$B$3=O$3,SUMIF('TL11'!$C$10:$C$224,$C352,'TL11'!$J$10:$J$224),0),
IF('TL11'!$B$229=O$3,SUMIF('TL11'!$C$238:$C$451,$C352,'TL11'!$J$238:$J$451),0),
IF('TL12'!$B$3=O$3,SUMIF('TL12'!$C$10:$C$224,$C352,'TL12'!$J$10:$J$224),0),
IF('TL12'!$B$229=O$3,SUMIF('TL12'!$C$238:$C$451,$C352,'TL12'!$J$238:$J$451),0),
IF('TL13'!$B$3=O$3,SUMIF('TL13'!$C$10:$C$224,$C352,'TL13'!$J$10:$J$224),0),
IF('TL13'!$B$229=O$3,SUMIF('TL13'!$C$238:$C$451,$C352,'TL13'!$J$238:$J$451),0),
IF('TL14'!$B$3=O$3,SUMIF('TL14'!$C$10:$C$224,$C352,'TL14'!$J$10:$J$224),0),
IF('TL14'!$B$229=O$3,SUMIF('TL14'!$C$238:$C$451,$C352,'TL14'!$J$238:$J$451),0),
IF('TL15'!$B$3=O$3,SUMIF('TL15'!$C$10:$C$224,$C352,'TL15'!$J$10:$J$224),0),
IF('TL15'!$B$229=O$3,SUMIF('TL15'!$C$238:$C$451,$C352,'TL15'!$J$238:$J$451),0),
IF('TL16'!$B$3=O$3,SUMIF('TL16'!$C$10:$C$224,$C352,'TL16'!$J$10:$J$224),0),
IF('TL16'!$B$229=O$3,SUMIF('TL16'!$C$238:$C$451,$C352,'TL16'!$J$238:$J$451),0),
IF('TL17'!$B$3=O$3,SUMIF('TL17'!$C$10:$C$224,$C352,'TL17'!$J$10:$J$224),0),
IF('TL17'!$B$229=O$3,SUMIF('TL17'!$C$238:$C$451,$C352,'TL17'!$J$238:$J$451),0),
IF('TL18'!$B$3=O$3,SUMIF('TL18'!$C$10:$C$224,$C352,'TL18'!$J$10:$J$224),0),
IF('TL18'!$B$229=O$3,SUMIF('TL18'!$C$238:$C$451,$C352,'TL18'!$J$238:$J$451),0),
IF('TL19'!$B$3=O$3,SUMIF('TL19'!$C$10:$C$224,$C352,'TL19'!$J$10:$J$224),0),
IF('TL19'!$B$229=O$3,SUMIF('TL19'!$C$238:$C$451,$C352,'TL19'!$J$238:$J$451),0)
),0)</f>
        <v/>
      </c>
      <c r="P352" s="9">
        <f>IFERROR(SUM(
IF('TL01'!$B$3=P$3,SUMIF('TL01'!$C$10:$C$224,$C352,'TL01'!$J$10:$J$224),0),
IF('TL01'!$B$229=P$3,SUMIF('TL01'!$C$238:$C$451,$C352,'TL01'!$J$238:$J$451),0),
IF('TL02'!$B$3=P$3,SUMIF('TL02'!$C$10:$C$224,$C352,'TL02'!$J$10:$J$224),0),
IF('TL02'!$B$229=P$3,SUMIF('TL02'!$C$238:$C$451,$C352,'TL02'!$J$238:$J$451),0),
IF('TL03'!$B$3=P$3,SUMIF('TL03'!$C$10:$C$224,$C352,'TL03'!$J$10:$J$224),0),
IF('TL03'!$B$229=P$3,SUMIF('TL03'!$C$238:$C$451,$C352,'TL03'!$J$238:$J$451),0),
IF('TL04'!$B$3=P$3,SUMIF('TL04'!$C$10:$C$224,$C352,'TL04'!$J$10:$J$224),0),
IF('TL04'!$B$229=P$3,SUMIF('TL04'!$C$238:$C$451,$C352,'TL04'!$J$238:$J$451),0),
IF('TL05'!$B$3=P$3,SUMIF('TL05'!$C$10:$C$224,$C352,'TL05'!$J$10:$J$224),0),
IF('TL05'!$B$229=P$3,SUMIF('TL05'!$C$238:$C$451,$C352,'TL05'!$J$238:$J$451),0),
IF('TL06'!$B$3=P$3,SUMIF('TL06'!$C$10:$C$224,$C352,'TL06'!$J$10:$J$224),0),
IF('TL06'!$B$229=P$3,SUMIF('TL06'!$C$238:$C$451,$C352,'TL06'!$J$238:$J$451),0),
IF('TL07'!$B$3=P$3,SUMIF('TL07'!$C$10:$C$224,$C352,'TL07'!$J$10:$J$224),0),
IF('TL07'!$B$229=P$3,SUMIF('TL07'!$C$238:$C$451,$C352,'TL07'!$J$238:$J$451),0),
IF('TL08'!$B$3=P$3,SUMIF('TL08'!$C$10:$C$224,$C352,'TL08'!$J$10:$J$224),0),
IF('TL08'!$B$229=P$3,SUMIF('TL08'!$C$238:$C$451,$C352,'TL08'!$J$238:$J$451),0),
IF('TL09'!$B$3=P$3,SUMIF('TL09'!$C$10:$C$224,$C352,'TL09'!$J$10:$J$224),0),
IF('TL09'!$B$229=P$3,SUMIF('TL09'!$C$238:$C$451,$C352,'TL09'!$J$238:$J$451),0),
IF('TL10'!$B$3=P$3,SUMIF('TL10'!$C$10:$C$224,$C352,'TL10'!$J$10:$J$224),0),
IF('TL10'!$B$229=P$3,SUMIF('TL10'!$C$238:$C$451,$C352,'TL10'!$J$238:$J$451),0),
IF('TL11'!$B$3=P$3,SUMIF('TL11'!$C$10:$C$224,$C352,'TL11'!$J$10:$J$224),0),
IF('TL11'!$B$229=P$3,SUMIF('TL11'!$C$238:$C$451,$C352,'TL11'!$J$238:$J$451),0),
IF('TL12'!$B$3=P$3,SUMIF('TL12'!$C$10:$C$224,$C352,'TL12'!$J$10:$J$224),0),
IF('TL12'!$B$229=P$3,SUMIF('TL12'!$C$238:$C$451,$C352,'TL12'!$J$238:$J$451),0),
IF('TL13'!$B$3=P$3,SUMIF('TL13'!$C$10:$C$224,$C352,'TL13'!$J$10:$J$224),0),
IF('TL13'!$B$229=P$3,SUMIF('TL13'!$C$238:$C$451,$C352,'TL13'!$J$238:$J$451),0),
IF('TL14'!$B$3=P$3,SUMIF('TL14'!$C$10:$C$224,$C352,'TL14'!$J$10:$J$224),0),
IF('TL14'!$B$229=P$3,SUMIF('TL14'!$C$238:$C$451,$C352,'TL14'!$J$238:$J$451),0),
IF('TL15'!$B$3=P$3,SUMIF('TL15'!$C$10:$C$224,$C352,'TL15'!$J$10:$J$224),0),
IF('TL15'!$B$229=P$3,SUMIF('TL15'!$C$238:$C$451,$C352,'TL15'!$J$238:$J$451),0),
IF('TL16'!$B$3=P$3,SUMIF('TL16'!$C$10:$C$224,$C352,'TL16'!$J$10:$J$224),0),
IF('TL16'!$B$229=P$3,SUMIF('TL16'!$C$238:$C$451,$C352,'TL16'!$J$238:$J$451),0),
IF('TL17'!$B$3=P$3,SUMIF('TL17'!$C$10:$C$224,$C352,'TL17'!$J$10:$J$224),0),
IF('TL17'!$B$229=P$3,SUMIF('TL17'!$C$238:$C$451,$C352,'TL17'!$J$238:$J$451),0),
IF('TL18'!$B$3=P$3,SUMIF('TL18'!$C$10:$C$224,$C352,'TL18'!$J$10:$J$224),0),
IF('TL18'!$B$229=P$3,SUMIF('TL18'!$C$238:$C$451,$C352,'TL18'!$J$238:$J$451),0),
IF('TL19'!$B$3=P$3,SUMIF('TL19'!$C$10:$C$224,$C352,'TL19'!$J$10:$J$224),0),
IF('TL19'!$B$229=P$3,SUMIF('TL19'!$C$238:$C$451,$C352,'TL19'!$J$238:$J$451),0)
),0)</f>
        <v/>
      </c>
      <c r="Q352" s="9">
        <f>IFERROR(SUM(
IF('TL01'!$B$3=Q$3,SUMIF('TL01'!$C$10:$C$224,$C352,'TL01'!$J$10:$J$224),0),
IF('TL01'!$B$229=Q$3,SUMIF('TL01'!$C$238:$C$451,$C352,'TL01'!$J$238:$J$451),0),
IF('TL02'!$B$3=Q$3,SUMIF('TL02'!$C$10:$C$224,$C352,'TL02'!$J$10:$J$224),0),
IF('TL02'!$B$229=Q$3,SUMIF('TL02'!$C$238:$C$451,$C352,'TL02'!$J$238:$J$451),0),
IF('TL03'!$B$3=Q$3,SUMIF('TL03'!$C$10:$C$224,$C352,'TL03'!$J$10:$J$224),0),
IF('TL03'!$B$229=Q$3,SUMIF('TL03'!$C$238:$C$451,$C352,'TL03'!$J$238:$J$451),0),
IF('TL04'!$B$3=Q$3,SUMIF('TL04'!$C$10:$C$224,$C352,'TL04'!$J$10:$J$224),0),
IF('TL04'!$B$229=Q$3,SUMIF('TL04'!$C$238:$C$451,$C352,'TL04'!$J$238:$J$451),0),
IF('TL05'!$B$3=Q$3,SUMIF('TL05'!$C$10:$C$224,$C352,'TL05'!$J$10:$J$224),0),
IF('TL05'!$B$229=Q$3,SUMIF('TL05'!$C$238:$C$451,$C352,'TL05'!$J$238:$J$451),0),
IF('TL06'!$B$3=Q$3,SUMIF('TL06'!$C$10:$C$224,$C352,'TL06'!$J$10:$J$224),0),
IF('TL06'!$B$229=Q$3,SUMIF('TL06'!$C$238:$C$451,$C352,'TL06'!$J$238:$J$451),0),
IF('TL07'!$B$3=Q$3,SUMIF('TL07'!$C$10:$C$224,$C352,'TL07'!$J$10:$J$224),0),
IF('TL07'!$B$229=Q$3,SUMIF('TL07'!$C$238:$C$451,$C352,'TL07'!$J$238:$J$451),0),
IF('TL08'!$B$3=Q$3,SUMIF('TL08'!$C$10:$C$224,$C352,'TL08'!$J$10:$J$224),0),
IF('TL08'!$B$229=Q$3,SUMIF('TL08'!$C$238:$C$451,$C352,'TL08'!$J$238:$J$451),0),
IF('TL09'!$B$3=Q$3,SUMIF('TL09'!$C$10:$C$224,$C352,'TL09'!$J$10:$J$224),0),
IF('TL09'!$B$229=Q$3,SUMIF('TL09'!$C$238:$C$451,$C352,'TL09'!$J$238:$J$451),0),
IF('TL10'!$B$3=Q$3,SUMIF('TL10'!$C$10:$C$224,$C352,'TL10'!$J$10:$J$224),0),
IF('TL10'!$B$229=Q$3,SUMIF('TL10'!$C$238:$C$451,$C352,'TL10'!$J$238:$J$451),0),
IF('TL11'!$B$3=Q$3,SUMIF('TL11'!$C$10:$C$224,$C352,'TL11'!$J$10:$J$224),0),
IF('TL11'!$B$229=Q$3,SUMIF('TL11'!$C$238:$C$451,$C352,'TL11'!$J$238:$J$451),0),
IF('TL12'!$B$3=Q$3,SUMIF('TL12'!$C$10:$C$224,$C352,'TL12'!$J$10:$J$224),0),
IF('TL12'!$B$229=Q$3,SUMIF('TL12'!$C$238:$C$451,$C352,'TL12'!$J$238:$J$451),0),
IF('TL13'!$B$3=Q$3,SUMIF('TL13'!$C$10:$C$224,$C352,'TL13'!$J$10:$J$224),0),
IF('TL13'!$B$229=Q$3,SUMIF('TL13'!$C$238:$C$451,$C352,'TL13'!$J$238:$J$451),0),
IF('TL14'!$B$3=Q$3,SUMIF('TL14'!$C$10:$C$224,$C352,'TL14'!$J$10:$J$224),0),
IF('TL14'!$B$229=Q$3,SUMIF('TL14'!$C$238:$C$451,$C352,'TL14'!$J$238:$J$451),0),
IF('TL15'!$B$3=Q$3,SUMIF('TL15'!$C$10:$C$224,$C352,'TL15'!$J$10:$J$224),0),
IF('TL15'!$B$229=Q$3,SUMIF('TL15'!$C$238:$C$451,$C352,'TL15'!$J$238:$J$451),0),
IF('TL16'!$B$3=Q$3,SUMIF('TL16'!$C$10:$C$224,$C352,'TL16'!$J$10:$J$224),0),
IF('TL16'!$B$229=Q$3,SUMIF('TL16'!$C$238:$C$451,$C352,'TL16'!$J$238:$J$451),0),
IF('TL17'!$B$3=Q$3,SUMIF('TL17'!$C$10:$C$224,$C352,'TL17'!$J$10:$J$224),0),
IF('TL17'!$B$229=Q$3,SUMIF('TL17'!$C$238:$C$451,$C352,'TL17'!$J$238:$J$451),0),
IF('TL18'!$B$3=Q$3,SUMIF('TL18'!$C$10:$C$224,$C352,'TL18'!$J$10:$J$224),0),
IF('TL18'!$B$229=Q$3,SUMIF('TL18'!$C$238:$C$451,$C352,'TL18'!$J$238:$J$451),0),
IF('TL19'!$B$3=Q$3,SUMIF('TL19'!$C$10:$C$224,$C352,'TL19'!$J$10:$J$224),0),
IF('TL19'!$B$229=Q$3,SUMIF('TL19'!$C$238:$C$451,$C352,'TL19'!$J$238:$J$451),0)
),0)</f>
        <v/>
      </c>
      <c r="R352" s="9">
        <f>IFERROR(
SUM(
SUMIF('TL01'!C:C,C352,'TL01'!J:J),
SUMIF('TL02'!C:C,C352,'TL02'!J:J),
SUMIF('TL03'!C:C,C352,'TL03'!J:J),
SUMIF('TL04'!C:C,C352,'TL04'!J:J),
SUMIF('TL05'!C:C,C352,'TL05'!J:J),
SUMIF('TL06'!C:C,C352,'TL06'!J:J),
SUMIF('TL07'!C:C,C352,'TL07'!J:J),
SUMIF('TL08'!C:C,C352,'TL08'!J:J),
SUMIF('TL09'!C:C,C352,'TL09'!J:J),
SUMIF('TL10'!C:C,C352,'TL10'!J:J),
SUMIF('TL11'!C:C,C352,'TL11'!J:J),
SUMIF('TL12'!C:C,C352,'TL12'!J:J),
SUMIF('TL13'!C:C,C352,'TL13'!J:J),
SUMIF('TL14'!C:C,C352,'TL14'!J:J),
SUMIF('TL15'!C:C,C352,'TL15'!J:J),
SUMIF('TL16'!C:C,C352,'TL16'!J:J),
SUMIF('TL17'!C:C,C352,'TL17'!J:J),
SUMIF('TL18'!C:C,C352,'TL18'!J:J),SUMIF('TL19'!C:C,C352,'TL19'!J:J))
,0)</f>
        <v/>
      </c>
      <c r="S352" s="17">
        <f>IFERROR(__xludf.DUMMYFUNCTION("IFERROR(VLOOKUP(C352,
IMPORTRANGE(""1wULbzX32WdYsx-lj2U3uUNBBe2INVIRDtcK0d-Dvl90"",
""26-27!C:G""),
5,
FALSE),
"""")"),81.64)</f>
        <v/>
      </c>
      <c r="T352" s="9" t="n"/>
      <c r="U352" s="92">
        <f>MAX(0,R352-T352)</f>
        <v/>
      </c>
      <c r="V352" s="93">
        <f>U352*S352</f>
        <v/>
      </c>
    </row>
    <row r="353" hidden="1" ht="15.75" customHeight="1" s="297">
      <c r="A353" s="4" t="inlineStr">
        <is>
          <t>SOLUBIO</t>
        </is>
      </c>
      <c r="B353" s="4" t="inlineStr">
        <is>
          <t>BIOLÓGICOS</t>
        </is>
      </c>
      <c r="C353" s="128" t="inlineStr">
        <is>
          <t>Now Raze</t>
        </is>
      </c>
      <c r="D353" s="129" t="inlineStr">
        <is>
          <t>Cordyceps fumosorosea (Isaria)</t>
        </is>
      </c>
      <c r="E353" s="20" t="n"/>
      <c r="F353" s="4" t="n"/>
      <c r="G353" s="90">
        <f>HYPERLINK("https://www.google.com/search?q=" &amp; C353 &amp; "+bula+agrofit+pdf", "📄 Ver bula")</f>
        <v/>
      </c>
      <c r="H353" s="4" t="n">
        <v>2</v>
      </c>
      <c r="I353" s="123" t="inlineStr">
        <is>
          <t>1x20</t>
        </is>
      </c>
      <c r="J353" s="9">
        <f>IFERROR(SUM(
IF('TL01'!$B$3=J$3,SUMIF('TL01'!$C$10:$C$224,$C353,'TL01'!$J$10:$J$224),0),
IF('TL01'!$B$229=J$3,SUMIF('TL01'!$C$238:$C$451,$C353,'TL01'!$J$238:$J$451),0),
IF('TL02'!$B$3=J$3,SUMIF('TL02'!$C$10:$C$224,$C353,'TL02'!$J$10:$J$224),0),
IF('TL02'!$B$229=J$3,SUMIF('TL02'!$C$238:$C$451,$C353,'TL02'!$J$238:$J$451),0),
IF('TL03'!$B$3=J$3,SUMIF('TL03'!$C$10:$C$224,$C353,'TL03'!$J$10:$J$224),0),
IF('TL03'!$B$229=J$3,SUMIF('TL03'!$C$238:$C$451,$C353,'TL03'!$J$238:$J$451),0),
IF('TL04'!$B$3=J$3,SUMIF('TL04'!$C$10:$C$224,$C353,'TL04'!$J$10:$J$224),0),
IF('TL04'!$B$229=J$3,SUMIF('TL04'!$C$238:$C$451,$C353,'TL04'!$J$238:$J$451),0),
IF('TL05'!$B$3=J$3,SUMIF('TL05'!$C$10:$C$224,$C353,'TL05'!$J$10:$J$224),0),
IF('TL05'!$B$229=J$3,SUMIF('TL05'!$C$238:$C$451,$C353,'TL05'!$J$238:$J$451),0),
IF('TL06'!$B$3=J$3,SUMIF('TL06'!$C$10:$C$224,$C353,'TL06'!$J$10:$J$224),0),
IF('TL06'!$B$229=J$3,SUMIF('TL06'!$C$238:$C$451,$C353,'TL06'!$J$238:$J$451),0),
IF('TL07'!$B$3=J$3,SUMIF('TL07'!$C$10:$C$224,$C353,'TL07'!$J$10:$J$224),0),
IF('TL07'!$B$229=J$3,SUMIF('TL07'!$C$238:$C$451,$C353,'TL07'!$J$238:$J$451),0),
IF('TL08'!$B$3=J$3,SUMIF('TL08'!$C$10:$C$224,$C353,'TL08'!$J$10:$J$224),0),
IF('TL08'!$B$229=J$3,SUMIF('TL08'!$C$238:$C$451,$C353,'TL08'!$J$238:$J$451),0),
IF('TL09'!$B$3=J$3,SUMIF('TL09'!$C$10:$C$224,$C353,'TL09'!$J$10:$J$224),0),
IF('TL09'!$B$229=J$3,SUMIF('TL09'!$C$238:$C$451,$C353,'TL09'!$J$238:$J$451),0),
IF('TL10'!$B$3=J$3,SUMIF('TL10'!$C$10:$C$224,$C353,'TL10'!$J$10:$J$224),0),
IF('TL10'!$B$229=J$3,SUMIF('TL10'!$C$238:$C$451,$C353,'TL10'!$J$238:$J$451),0),
IF('TL11'!$B$3=J$3,SUMIF('TL11'!$C$10:$C$224,$C353,'TL11'!$J$10:$J$224),0),
IF('TL11'!$B$229=J$3,SUMIF('TL11'!$C$238:$C$451,$C353,'TL11'!$J$238:$J$451),0),
IF('TL12'!$B$3=J$3,SUMIF('TL12'!$C$10:$C$224,$C353,'TL12'!$J$10:$J$224),0),
IF('TL12'!$B$229=J$3,SUMIF('TL12'!$C$238:$C$451,$C353,'TL12'!$J$238:$J$451),0),
IF('TL13'!$B$3=J$3,SUMIF('TL13'!$C$10:$C$224,$C353,'TL13'!$J$10:$J$224),0),
IF('TL13'!$B$229=J$3,SUMIF('TL13'!$C$238:$C$451,$C353,'TL13'!$J$238:$J$451),0),
IF('TL14'!$B$3=J$3,SUMIF('TL14'!$C$10:$C$224,$C353,'TL14'!$J$10:$J$224),0),
IF('TL14'!$B$229=J$3,SUMIF('TL14'!$C$238:$C$451,$C353,'TL14'!$J$238:$J$451),0),
IF('TL15'!$B$3=J$3,SUMIF('TL15'!$C$10:$C$224,$C353,'TL15'!$J$10:$J$224),0),
IF('TL15'!$B$229=J$3,SUMIF('TL15'!$C$238:$C$451,$C353,'TL15'!$J$238:$J$451),0),
IF('TL16'!$B$3=J$3,SUMIF('TL16'!$C$10:$C$224,$C353,'TL16'!$J$10:$J$224),0),
IF('TL16'!$B$229=J$3,SUMIF('TL16'!$C$238:$C$451,$C353,'TL16'!$J$238:$J$451),0),
IF('TL17'!$B$3=J$3,SUMIF('TL17'!$C$10:$C$224,$C353,'TL17'!$J$10:$J$224),0),
IF('TL17'!$B$229=J$3,SUMIF('TL17'!$C$238:$C$451,$C353,'TL17'!$J$238:$J$451),0),
IF('TL18'!$B$3=J$3,SUMIF('TL18'!$C$10:$C$224,$C353,'TL18'!$J$10:$J$224),0),
IF('TL18'!$B$229=J$3,SUMIF('TL18'!$C$238:$C$451,$C353,'TL18'!$J$238:$J$451),0),
IF('TL19'!$B$3=J$3,SUMIF('TL19'!$C$10:$C$224,$C353,'TL19'!$J$10:$J$224),0),
IF('TL19'!$B$229=J$3,SUMIF('TL19'!$C$238:$C$451,$C353,'TL19'!$J$238:$J$451),0)
),0)</f>
        <v/>
      </c>
      <c r="K353" s="9">
        <f>IFERROR(SUM(
IF('TL01'!$B$3=K$3,SUMIF('TL01'!$C$10:$C$224,$C353,'TL01'!$J$10:$J$224),0),
IF('TL01'!$B$229=K$3,SUMIF('TL01'!$C$238:$C$451,$C353,'TL01'!$J$238:$J$451),0),
IF('TL02'!$B$3=K$3,SUMIF('TL02'!$C$10:$C$224,$C353,'TL02'!$J$10:$J$224),0),
IF('TL02'!$B$229=K$3,SUMIF('TL02'!$C$238:$C$451,$C353,'TL02'!$J$238:$J$451),0),
IF('TL03'!$B$3=K$3,SUMIF('TL03'!$C$10:$C$224,$C353,'TL03'!$J$10:$J$224),0),
IF('TL03'!$B$229=K$3,SUMIF('TL03'!$C$238:$C$451,$C353,'TL03'!$J$238:$J$451),0),
IF('TL04'!$B$3=K$3,SUMIF('TL04'!$C$10:$C$224,$C353,'TL04'!$J$10:$J$224),0),
IF('TL04'!$B$229=K$3,SUMIF('TL04'!$C$238:$C$451,$C353,'TL04'!$J$238:$J$451),0),
IF('TL05'!$B$3=K$3,SUMIF('TL05'!$C$10:$C$224,$C353,'TL05'!$J$10:$J$224),0),
IF('TL05'!$B$229=K$3,SUMIF('TL05'!$C$238:$C$451,$C353,'TL05'!$J$238:$J$451),0),
IF('TL06'!$B$3=K$3,SUMIF('TL06'!$C$10:$C$224,$C353,'TL06'!$J$10:$J$224),0),
IF('TL06'!$B$229=K$3,SUMIF('TL06'!$C$238:$C$451,$C353,'TL06'!$J$238:$J$451),0),
IF('TL07'!$B$3=K$3,SUMIF('TL07'!$C$10:$C$224,$C353,'TL07'!$J$10:$J$224),0),
IF('TL07'!$B$229=K$3,SUMIF('TL07'!$C$238:$C$451,$C353,'TL07'!$J$238:$J$451),0),
IF('TL08'!$B$3=K$3,SUMIF('TL08'!$C$10:$C$224,$C353,'TL08'!$J$10:$J$224),0),
IF('TL08'!$B$229=K$3,SUMIF('TL08'!$C$238:$C$451,$C353,'TL08'!$J$238:$J$451),0),
IF('TL09'!$B$3=K$3,SUMIF('TL09'!$C$10:$C$224,$C353,'TL09'!$J$10:$J$224),0),
IF('TL09'!$B$229=K$3,SUMIF('TL09'!$C$238:$C$451,$C353,'TL09'!$J$238:$J$451),0),
IF('TL10'!$B$3=K$3,SUMIF('TL10'!$C$10:$C$224,$C353,'TL10'!$J$10:$J$224),0),
IF('TL10'!$B$229=K$3,SUMIF('TL10'!$C$238:$C$451,$C353,'TL10'!$J$238:$J$451),0),
IF('TL11'!$B$3=K$3,SUMIF('TL11'!$C$10:$C$224,$C353,'TL11'!$J$10:$J$224),0),
IF('TL11'!$B$229=K$3,SUMIF('TL11'!$C$238:$C$451,$C353,'TL11'!$J$238:$J$451),0),
IF('TL12'!$B$3=K$3,SUMIF('TL12'!$C$10:$C$224,$C353,'TL12'!$J$10:$J$224),0),
IF('TL12'!$B$229=K$3,SUMIF('TL12'!$C$238:$C$451,$C353,'TL12'!$J$238:$J$451),0),
IF('TL13'!$B$3=K$3,SUMIF('TL13'!$C$10:$C$224,$C353,'TL13'!$J$10:$J$224),0),
IF('TL13'!$B$229=K$3,SUMIF('TL13'!$C$238:$C$451,$C353,'TL13'!$J$238:$J$451),0),
IF('TL14'!$B$3=K$3,SUMIF('TL14'!$C$10:$C$224,$C353,'TL14'!$J$10:$J$224),0),
IF('TL14'!$B$229=K$3,SUMIF('TL14'!$C$238:$C$451,$C353,'TL14'!$J$238:$J$451),0),
IF('TL15'!$B$3=K$3,SUMIF('TL15'!$C$10:$C$224,$C353,'TL15'!$J$10:$J$224),0),
IF('TL15'!$B$229=K$3,SUMIF('TL15'!$C$238:$C$451,$C353,'TL15'!$J$238:$J$451),0),
IF('TL16'!$B$3=K$3,SUMIF('TL16'!$C$10:$C$224,$C353,'TL16'!$J$10:$J$224),0),
IF('TL16'!$B$229=K$3,SUMIF('TL16'!$C$238:$C$451,$C353,'TL16'!$J$238:$J$451),0),
IF('TL17'!$B$3=K$3,SUMIF('TL17'!$C$10:$C$224,$C353,'TL17'!$J$10:$J$224),0),
IF('TL17'!$B$229=K$3,SUMIF('TL17'!$C$238:$C$451,$C353,'TL17'!$J$238:$J$451),0),
IF('TL18'!$B$3=K$3,SUMIF('TL18'!$C$10:$C$224,$C353,'TL18'!$J$10:$J$224),0),
IF('TL18'!$B$229=K$3,SUMIF('TL18'!$C$238:$C$451,$C353,'TL18'!$J$238:$J$451),0),
IF('TL19'!$B$3=K$3,SUMIF('TL19'!$C$10:$C$224,$C353,'TL19'!$J$10:$J$224),0),
IF('TL19'!$B$229=K$3,SUMIF('TL19'!$C$238:$C$451,$C353,'TL19'!$J$238:$J$451),0)
),0)</f>
        <v/>
      </c>
      <c r="L353" s="9">
        <f>IFERROR(SUM(
IF('TL01'!$B$3=L$3,SUMIF('TL01'!$C$10:$C$224,$C353,'TL01'!$J$10:$J$224),0),
IF('TL01'!$B$229=L$3,SUMIF('TL01'!$C$238:$C$451,$C353,'TL01'!$J$238:$J$451),0),
IF('TL02'!$B$3=L$3,SUMIF('TL02'!$C$10:$C$224,$C353,'TL02'!$J$10:$J$224),0),
IF('TL02'!$B$229=L$3,SUMIF('TL02'!$C$238:$C$451,$C353,'TL02'!$J$238:$J$451),0),
IF('TL03'!$B$3=L$3,SUMIF('TL03'!$C$10:$C$224,$C353,'TL03'!$J$10:$J$224),0),
IF('TL03'!$B$229=L$3,SUMIF('TL03'!$C$238:$C$451,$C353,'TL03'!$J$238:$J$451),0),
IF('TL04'!$B$3=L$3,SUMIF('TL04'!$C$10:$C$224,$C353,'TL04'!$J$10:$J$224),0),
IF('TL04'!$B$229=L$3,SUMIF('TL04'!$C$238:$C$451,$C353,'TL04'!$J$238:$J$451),0),
IF('TL05'!$B$3=L$3,SUMIF('TL05'!$C$10:$C$224,$C353,'TL05'!$J$10:$J$224),0),
IF('TL05'!$B$229=L$3,SUMIF('TL05'!$C$238:$C$451,$C353,'TL05'!$J$238:$J$451),0),
IF('TL06'!$B$3=L$3,SUMIF('TL06'!$C$10:$C$224,$C353,'TL06'!$J$10:$J$224),0),
IF('TL06'!$B$229=L$3,SUMIF('TL06'!$C$238:$C$451,$C353,'TL06'!$J$238:$J$451),0),
IF('TL07'!$B$3=L$3,SUMIF('TL07'!$C$10:$C$224,$C353,'TL07'!$J$10:$J$224),0),
IF('TL07'!$B$229=L$3,SUMIF('TL07'!$C$238:$C$451,$C353,'TL07'!$J$238:$J$451),0),
IF('TL08'!$B$3=L$3,SUMIF('TL08'!$C$10:$C$224,$C353,'TL08'!$J$10:$J$224),0),
IF('TL08'!$B$229=L$3,SUMIF('TL08'!$C$238:$C$451,$C353,'TL08'!$J$238:$J$451),0),
IF('TL09'!$B$3=L$3,SUMIF('TL09'!$C$10:$C$224,$C353,'TL09'!$J$10:$J$224),0),
IF('TL09'!$B$229=L$3,SUMIF('TL09'!$C$238:$C$451,$C353,'TL09'!$J$238:$J$451),0),
IF('TL10'!$B$3=L$3,SUMIF('TL10'!$C$10:$C$224,$C353,'TL10'!$J$10:$J$224),0),
IF('TL10'!$B$229=L$3,SUMIF('TL10'!$C$238:$C$451,$C353,'TL10'!$J$238:$J$451),0),
IF('TL11'!$B$3=L$3,SUMIF('TL11'!$C$10:$C$224,$C353,'TL11'!$J$10:$J$224),0),
IF('TL11'!$B$229=L$3,SUMIF('TL11'!$C$238:$C$451,$C353,'TL11'!$J$238:$J$451),0),
IF('TL12'!$B$3=L$3,SUMIF('TL12'!$C$10:$C$224,$C353,'TL12'!$J$10:$J$224),0),
IF('TL12'!$B$229=L$3,SUMIF('TL12'!$C$238:$C$451,$C353,'TL12'!$J$238:$J$451),0),
IF('TL13'!$B$3=L$3,SUMIF('TL13'!$C$10:$C$224,$C353,'TL13'!$J$10:$J$224),0),
IF('TL13'!$B$229=L$3,SUMIF('TL13'!$C$238:$C$451,$C353,'TL13'!$J$238:$J$451),0),
IF('TL14'!$B$3=L$3,SUMIF('TL14'!$C$10:$C$224,$C353,'TL14'!$J$10:$J$224),0),
IF('TL14'!$B$229=L$3,SUMIF('TL14'!$C$238:$C$451,$C353,'TL14'!$J$238:$J$451),0),
IF('TL15'!$B$3=L$3,SUMIF('TL15'!$C$10:$C$224,$C353,'TL15'!$J$10:$J$224),0),
IF('TL15'!$B$229=L$3,SUMIF('TL15'!$C$238:$C$451,$C353,'TL15'!$J$238:$J$451),0),
IF('TL16'!$B$3=L$3,SUMIF('TL16'!$C$10:$C$224,$C353,'TL16'!$J$10:$J$224),0),
IF('TL16'!$B$229=L$3,SUMIF('TL16'!$C$238:$C$451,$C353,'TL16'!$J$238:$J$451),0),
IF('TL17'!$B$3=L$3,SUMIF('TL17'!$C$10:$C$224,$C353,'TL17'!$J$10:$J$224),0),
IF('TL17'!$B$229=L$3,SUMIF('TL17'!$C$238:$C$451,$C353,'TL17'!$J$238:$J$451),0),
IF('TL18'!$B$3=L$3,SUMIF('TL18'!$C$10:$C$224,$C353,'TL18'!$J$10:$J$224),0),
IF('TL18'!$B$229=L$3,SUMIF('TL18'!$C$238:$C$451,$C353,'TL18'!$J$238:$J$451),0),
IF('TL19'!$B$3=L$3,SUMIF('TL19'!$C$10:$C$224,$C353,'TL19'!$J$10:$J$224),0),
IF('TL19'!$B$229=L$3,SUMIF('TL19'!$C$238:$C$451,$C353,'TL19'!$J$238:$J$451),0)
),0)</f>
        <v/>
      </c>
      <c r="M353" s="9">
        <f>IFERROR(SUM(
IF('TL01'!$B$3=M$3,SUMIF('TL01'!$C$10:$C$224,$C353,'TL01'!$J$10:$J$224),0),
IF('TL01'!$B$229=M$3,SUMIF('TL01'!$C$238:$C$451,$C353,'TL01'!$J$238:$J$451),0),
IF('TL02'!$B$3=M$3,SUMIF('TL02'!$C$10:$C$224,$C353,'TL02'!$J$10:$J$224),0),
IF('TL02'!$B$229=M$3,SUMIF('TL02'!$C$238:$C$451,$C353,'TL02'!$J$238:$J$451),0),
IF('TL03'!$B$3=M$3,SUMIF('TL03'!$C$10:$C$224,$C353,'TL03'!$J$10:$J$224),0),
IF('TL03'!$B$229=M$3,SUMIF('TL03'!$C$238:$C$451,$C353,'TL03'!$J$238:$J$451),0),
IF('TL04'!$B$3=M$3,SUMIF('TL04'!$C$10:$C$224,$C353,'TL04'!$J$10:$J$224),0),
IF('TL04'!$B$229=M$3,SUMIF('TL04'!$C$238:$C$451,$C353,'TL04'!$J$238:$J$451),0),
IF('TL05'!$B$3=M$3,SUMIF('TL05'!$C$10:$C$224,$C353,'TL05'!$J$10:$J$224),0),
IF('TL05'!$B$229=M$3,SUMIF('TL05'!$C$238:$C$451,$C353,'TL05'!$J$238:$J$451),0),
IF('TL06'!$B$3=M$3,SUMIF('TL06'!$C$10:$C$224,$C353,'TL06'!$J$10:$J$224),0),
IF('TL06'!$B$229=M$3,SUMIF('TL06'!$C$238:$C$451,$C353,'TL06'!$J$238:$J$451),0),
IF('TL07'!$B$3=M$3,SUMIF('TL07'!$C$10:$C$224,$C353,'TL07'!$J$10:$J$224),0),
IF('TL07'!$B$229=M$3,SUMIF('TL07'!$C$238:$C$451,$C353,'TL07'!$J$238:$J$451),0),
IF('TL08'!$B$3=M$3,SUMIF('TL08'!$C$10:$C$224,$C353,'TL08'!$J$10:$J$224),0),
IF('TL08'!$B$229=M$3,SUMIF('TL08'!$C$238:$C$451,$C353,'TL08'!$J$238:$J$451),0),
IF('TL09'!$B$3=M$3,SUMIF('TL09'!$C$10:$C$224,$C353,'TL09'!$J$10:$J$224),0),
IF('TL09'!$B$229=M$3,SUMIF('TL09'!$C$238:$C$451,$C353,'TL09'!$J$238:$J$451),0),
IF('TL10'!$B$3=M$3,SUMIF('TL10'!$C$10:$C$224,$C353,'TL10'!$J$10:$J$224),0),
IF('TL10'!$B$229=M$3,SUMIF('TL10'!$C$238:$C$451,$C353,'TL10'!$J$238:$J$451),0),
IF('TL11'!$B$3=M$3,SUMIF('TL11'!$C$10:$C$224,$C353,'TL11'!$J$10:$J$224),0),
IF('TL11'!$B$229=M$3,SUMIF('TL11'!$C$238:$C$451,$C353,'TL11'!$J$238:$J$451),0),
IF('TL12'!$B$3=M$3,SUMIF('TL12'!$C$10:$C$224,$C353,'TL12'!$J$10:$J$224),0),
IF('TL12'!$B$229=M$3,SUMIF('TL12'!$C$238:$C$451,$C353,'TL12'!$J$238:$J$451),0),
IF('TL13'!$B$3=M$3,SUMIF('TL13'!$C$10:$C$224,$C353,'TL13'!$J$10:$J$224),0),
IF('TL13'!$B$229=M$3,SUMIF('TL13'!$C$238:$C$451,$C353,'TL13'!$J$238:$J$451),0),
IF('TL14'!$B$3=M$3,SUMIF('TL14'!$C$10:$C$224,$C353,'TL14'!$J$10:$J$224),0),
IF('TL14'!$B$229=M$3,SUMIF('TL14'!$C$238:$C$451,$C353,'TL14'!$J$238:$J$451),0),
IF('TL15'!$B$3=M$3,SUMIF('TL15'!$C$10:$C$224,$C353,'TL15'!$J$10:$J$224),0),
IF('TL15'!$B$229=M$3,SUMIF('TL15'!$C$238:$C$451,$C353,'TL15'!$J$238:$J$451),0),
IF('TL16'!$B$3=M$3,SUMIF('TL16'!$C$10:$C$224,$C353,'TL16'!$J$10:$J$224),0),
IF('TL16'!$B$229=M$3,SUMIF('TL16'!$C$238:$C$451,$C353,'TL16'!$J$238:$J$451),0),
IF('TL17'!$B$3=M$3,SUMIF('TL17'!$C$10:$C$224,$C353,'TL17'!$J$10:$J$224),0),
IF('TL17'!$B$229=M$3,SUMIF('TL17'!$C$238:$C$451,$C353,'TL17'!$J$238:$J$451),0),
IF('TL18'!$B$3=M$3,SUMIF('TL18'!$C$10:$C$224,$C353,'TL18'!$J$10:$J$224),0),
IF('TL18'!$B$229=M$3,SUMIF('TL18'!$C$238:$C$451,$C353,'TL18'!$J$238:$J$451),0),
IF('TL19'!$B$3=M$3,SUMIF('TL19'!$C$10:$C$224,$C353,'TL19'!$J$10:$J$224),0),
IF('TL19'!$B$229=M$3,SUMIF('TL19'!$C$238:$C$451,$C353,'TL19'!$J$238:$J$451),0)
),0)</f>
        <v/>
      </c>
      <c r="N353" s="9">
        <f>IFERROR(SUM(
IF('TL01'!$B$3=N$3,SUMIF('TL01'!$C$10:$C$224,$C353,'TL01'!$J$10:$J$224),0),
IF('TL01'!$B$229=N$3,SUMIF('TL01'!$C$238:$C$451,$C353,'TL01'!$J$238:$J$451),0),
IF('TL02'!$B$3=N$3,SUMIF('TL02'!$C$10:$C$224,$C353,'TL02'!$J$10:$J$224),0),
IF('TL02'!$B$229=N$3,SUMIF('TL02'!$C$238:$C$451,$C353,'TL02'!$J$238:$J$451),0),
IF('TL03'!$B$3=N$3,SUMIF('TL03'!$C$10:$C$224,$C353,'TL03'!$J$10:$J$224),0),
IF('TL03'!$B$229=N$3,SUMIF('TL03'!$C$238:$C$451,$C353,'TL03'!$J$238:$J$451),0),
IF('TL04'!$B$3=N$3,SUMIF('TL04'!$C$10:$C$224,$C353,'TL04'!$J$10:$J$224),0),
IF('TL04'!$B$229=N$3,SUMIF('TL04'!$C$238:$C$451,$C353,'TL04'!$J$238:$J$451),0),
IF('TL05'!$B$3=N$3,SUMIF('TL05'!$C$10:$C$224,$C353,'TL05'!$J$10:$J$224),0),
IF('TL05'!$B$229=N$3,SUMIF('TL05'!$C$238:$C$451,$C353,'TL05'!$J$238:$J$451),0),
IF('TL06'!$B$3=N$3,SUMIF('TL06'!$C$10:$C$224,$C353,'TL06'!$J$10:$J$224),0),
IF('TL06'!$B$229=N$3,SUMIF('TL06'!$C$238:$C$451,$C353,'TL06'!$J$238:$J$451),0),
IF('TL07'!$B$3=N$3,SUMIF('TL07'!$C$10:$C$224,$C353,'TL07'!$J$10:$J$224),0),
IF('TL07'!$B$229=N$3,SUMIF('TL07'!$C$238:$C$451,$C353,'TL07'!$J$238:$J$451),0),
IF('TL08'!$B$3=N$3,SUMIF('TL08'!$C$10:$C$224,$C353,'TL08'!$J$10:$J$224),0),
IF('TL08'!$B$229=N$3,SUMIF('TL08'!$C$238:$C$451,$C353,'TL08'!$J$238:$J$451),0),
IF('TL09'!$B$3=N$3,SUMIF('TL09'!$C$10:$C$224,$C353,'TL09'!$J$10:$J$224),0),
IF('TL09'!$B$229=N$3,SUMIF('TL09'!$C$238:$C$451,$C353,'TL09'!$J$238:$J$451),0),
IF('TL10'!$B$3=N$3,SUMIF('TL10'!$C$10:$C$224,$C353,'TL10'!$J$10:$J$224),0),
IF('TL10'!$B$229=N$3,SUMIF('TL10'!$C$238:$C$451,$C353,'TL10'!$J$238:$J$451),0),
IF('TL11'!$B$3=N$3,SUMIF('TL11'!$C$10:$C$224,$C353,'TL11'!$J$10:$J$224),0),
IF('TL11'!$B$229=N$3,SUMIF('TL11'!$C$238:$C$451,$C353,'TL11'!$J$238:$J$451),0),
IF('TL12'!$B$3=N$3,SUMIF('TL12'!$C$10:$C$224,$C353,'TL12'!$J$10:$J$224),0),
IF('TL12'!$B$229=N$3,SUMIF('TL12'!$C$238:$C$451,$C353,'TL12'!$J$238:$J$451),0),
IF('TL13'!$B$3=N$3,SUMIF('TL13'!$C$10:$C$224,$C353,'TL13'!$J$10:$J$224),0),
IF('TL13'!$B$229=N$3,SUMIF('TL13'!$C$238:$C$451,$C353,'TL13'!$J$238:$J$451),0),
IF('TL14'!$B$3=N$3,SUMIF('TL14'!$C$10:$C$224,$C353,'TL14'!$J$10:$J$224),0),
IF('TL14'!$B$229=N$3,SUMIF('TL14'!$C$238:$C$451,$C353,'TL14'!$J$238:$J$451),0),
IF('TL15'!$B$3=N$3,SUMIF('TL15'!$C$10:$C$224,$C353,'TL15'!$J$10:$J$224),0),
IF('TL15'!$B$229=N$3,SUMIF('TL15'!$C$238:$C$451,$C353,'TL15'!$J$238:$J$451),0),
IF('TL16'!$B$3=N$3,SUMIF('TL16'!$C$10:$C$224,$C353,'TL16'!$J$10:$J$224),0),
IF('TL16'!$B$229=N$3,SUMIF('TL16'!$C$238:$C$451,$C353,'TL16'!$J$238:$J$451),0),
IF('TL17'!$B$3=N$3,SUMIF('TL17'!$C$10:$C$224,$C353,'TL17'!$J$10:$J$224),0),
IF('TL17'!$B$229=N$3,SUMIF('TL17'!$C$238:$C$451,$C353,'TL17'!$J$238:$J$451),0),
IF('TL18'!$B$3=N$3,SUMIF('TL18'!$C$10:$C$224,$C353,'TL18'!$J$10:$J$224),0),
IF('TL18'!$B$229=N$3,SUMIF('TL18'!$C$238:$C$451,$C353,'TL18'!$J$238:$J$451),0),
IF('TL19'!$B$3=N$3,SUMIF('TL19'!$C$10:$C$224,$C353,'TL19'!$J$10:$J$224),0),
IF('TL19'!$B$229=N$3,SUMIF('TL19'!$C$238:$C$451,$C353,'TL19'!$J$238:$J$451),0)
),0)</f>
        <v/>
      </c>
      <c r="O353" s="9">
        <f>IFERROR(SUM(
IF('TL01'!$B$3=O$3,SUMIF('TL01'!$C$10:$C$224,$C353,'TL01'!$J$10:$J$224),0),
IF('TL01'!$B$229=O$3,SUMIF('TL01'!$C$238:$C$451,$C353,'TL01'!$J$238:$J$451),0),
IF('TL02'!$B$3=O$3,SUMIF('TL02'!$C$10:$C$224,$C353,'TL02'!$J$10:$J$224),0),
IF('TL02'!$B$229=O$3,SUMIF('TL02'!$C$238:$C$451,$C353,'TL02'!$J$238:$J$451),0),
IF('TL03'!$B$3=O$3,SUMIF('TL03'!$C$10:$C$224,$C353,'TL03'!$J$10:$J$224),0),
IF('TL03'!$B$229=O$3,SUMIF('TL03'!$C$238:$C$451,$C353,'TL03'!$J$238:$J$451),0),
IF('TL04'!$B$3=O$3,SUMIF('TL04'!$C$10:$C$224,$C353,'TL04'!$J$10:$J$224),0),
IF('TL04'!$B$229=O$3,SUMIF('TL04'!$C$238:$C$451,$C353,'TL04'!$J$238:$J$451),0),
IF('TL05'!$B$3=O$3,SUMIF('TL05'!$C$10:$C$224,$C353,'TL05'!$J$10:$J$224),0),
IF('TL05'!$B$229=O$3,SUMIF('TL05'!$C$238:$C$451,$C353,'TL05'!$J$238:$J$451),0),
IF('TL06'!$B$3=O$3,SUMIF('TL06'!$C$10:$C$224,$C353,'TL06'!$J$10:$J$224),0),
IF('TL06'!$B$229=O$3,SUMIF('TL06'!$C$238:$C$451,$C353,'TL06'!$J$238:$J$451),0),
IF('TL07'!$B$3=O$3,SUMIF('TL07'!$C$10:$C$224,$C353,'TL07'!$J$10:$J$224),0),
IF('TL07'!$B$229=O$3,SUMIF('TL07'!$C$238:$C$451,$C353,'TL07'!$J$238:$J$451),0),
IF('TL08'!$B$3=O$3,SUMIF('TL08'!$C$10:$C$224,$C353,'TL08'!$J$10:$J$224),0),
IF('TL08'!$B$229=O$3,SUMIF('TL08'!$C$238:$C$451,$C353,'TL08'!$J$238:$J$451),0),
IF('TL09'!$B$3=O$3,SUMIF('TL09'!$C$10:$C$224,$C353,'TL09'!$J$10:$J$224),0),
IF('TL09'!$B$229=O$3,SUMIF('TL09'!$C$238:$C$451,$C353,'TL09'!$J$238:$J$451),0),
IF('TL10'!$B$3=O$3,SUMIF('TL10'!$C$10:$C$224,$C353,'TL10'!$J$10:$J$224),0),
IF('TL10'!$B$229=O$3,SUMIF('TL10'!$C$238:$C$451,$C353,'TL10'!$J$238:$J$451),0),
IF('TL11'!$B$3=O$3,SUMIF('TL11'!$C$10:$C$224,$C353,'TL11'!$J$10:$J$224),0),
IF('TL11'!$B$229=O$3,SUMIF('TL11'!$C$238:$C$451,$C353,'TL11'!$J$238:$J$451),0),
IF('TL12'!$B$3=O$3,SUMIF('TL12'!$C$10:$C$224,$C353,'TL12'!$J$10:$J$224),0),
IF('TL12'!$B$229=O$3,SUMIF('TL12'!$C$238:$C$451,$C353,'TL12'!$J$238:$J$451),0),
IF('TL13'!$B$3=O$3,SUMIF('TL13'!$C$10:$C$224,$C353,'TL13'!$J$10:$J$224),0),
IF('TL13'!$B$229=O$3,SUMIF('TL13'!$C$238:$C$451,$C353,'TL13'!$J$238:$J$451),0),
IF('TL14'!$B$3=O$3,SUMIF('TL14'!$C$10:$C$224,$C353,'TL14'!$J$10:$J$224),0),
IF('TL14'!$B$229=O$3,SUMIF('TL14'!$C$238:$C$451,$C353,'TL14'!$J$238:$J$451),0),
IF('TL15'!$B$3=O$3,SUMIF('TL15'!$C$10:$C$224,$C353,'TL15'!$J$10:$J$224),0),
IF('TL15'!$B$229=O$3,SUMIF('TL15'!$C$238:$C$451,$C353,'TL15'!$J$238:$J$451),0),
IF('TL16'!$B$3=O$3,SUMIF('TL16'!$C$10:$C$224,$C353,'TL16'!$J$10:$J$224),0),
IF('TL16'!$B$229=O$3,SUMIF('TL16'!$C$238:$C$451,$C353,'TL16'!$J$238:$J$451),0),
IF('TL17'!$B$3=O$3,SUMIF('TL17'!$C$10:$C$224,$C353,'TL17'!$J$10:$J$224),0),
IF('TL17'!$B$229=O$3,SUMIF('TL17'!$C$238:$C$451,$C353,'TL17'!$J$238:$J$451),0),
IF('TL18'!$B$3=O$3,SUMIF('TL18'!$C$10:$C$224,$C353,'TL18'!$J$10:$J$224),0),
IF('TL18'!$B$229=O$3,SUMIF('TL18'!$C$238:$C$451,$C353,'TL18'!$J$238:$J$451),0),
IF('TL19'!$B$3=O$3,SUMIF('TL19'!$C$10:$C$224,$C353,'TL19'!$J$10:$J$224),0),
IF('TL19'!$B$229=O$3,SUMIF('TL19'!$C$238:$C$451,$C353,'TL19'!$J$238:$J$451),0)
),0)</f>
        <v/>
      </c>
      <c r="P353" s="9">
        <f>IFERROR(SUM(
IF('TL01'!$B$3=P$3,SUMIF('TL01'!$C$10:$C$224,$C353,'TL01'!$J$10:$J$224),0),
IF('TL01'!$B$229=P$3,SUMIF('TL01'!$C$238:$C$451,$C353,'TL01'!$J$238:$J$451),0),
IF('TL02'!$B$3=P$3,SUMIF('TL02'!$C$10:$C$224,$C353,'TL02'!$J$10:$J$224),0),
IF('TL02'!$B$229=P$3,SUMIF('TL02'!$C$238:$C$451,$C353,'TL02'!$J$238:$J$451),0),
IF('TL03'!$B$3=P$3,SUMIF('TL03'!$C$10:$C$224,$C353,'TL03'!$J$10:$J$224),0),
IF('TL03'!$B$229=P$3,SUMIF('TL03'!$C$238:$C$451,$C353,'TL03'!$J$238:$J$451),0),
IF('TL04'!$B$3=P$3,SUMIF('TL04'!$C$10:$C$224,$C353,'TL04'!$J$10:$J$224),0),
IF('TL04'!$B$229=P$3,SUMIF('TL04'!$C$238:$C$451,$C353,'TL04'!$J$238:$J$451),0),
IF('TL05'!$B$3=P$3,SUMIF('TL05'!$C$10:$C$224,$C353,'TL05'!$J$10:$J$224),0),
IF('TL05'!$B$229=P$3,SUMIF('TL05'!$C$238:$C$451,$C353,'TL05'!$J$238:$J$451),0),
IF('TL06'!$B$3=P$3,SUMIF('TL06'!$C$10:$C$224,$C353,'TL06'!$J$10:$J$224),0),
IF('TL06'!$B$229=P$3,SUMIF('TL06'!$C$238:$C$451,$C353,'TL06'!$J$238:$J$451),0),
IF('TL07'!$B$3=P$3,SUMIF('TL07'!$C$10:$C$224,$C353,'TL07'!$J$10:$J$224),0),
IF('TL07'!$B$229=P$3,SUMIF('TL07'!$C$238:$C$451,$C353,'TL07'!$J$238:$J$451),0),
IF('TL08'!$B$3=P$3,SUMIF('TL08'!$C$10:$C$224,$C353,'TL08'!$J$10:$J$224),0),
IF('TL08'!$B$229=P$3,SUMIF('TL08'!$C$238:$C$451,$C353,'TL08'!$J$238:$J$451),0),
IF('TL09'!$B$3=P$3,SUMIF('TL09'!$C$10:$C$224,$C353,'TL09'!$J$10:$J$224),0),
IF('TL09'!$B$229=P$3,SUMIF('TL09'!$C$238:$C$451,$C353,'TL09'!$J$238:$J$451),0),
IF('TL10'!$B$3=P$3,SUMIF('TL10'!$C$10:$C$224,$C353,'TL10'!$J$10:$J$224),0),
IF('TL10'!$B$229=P$3,SUMIF('TL10'!$C$238:$C$451,$C353,'TL10'!$J$238:$J$451),0),
IF('TL11'!$B$3=P$3,SUMIF('TL11'!$C$10:$C$224,$C353,'TL11'!$J$10:$J$224),0),
IF('TL11'!$B$229=P$3,SUMIF('TL11'!$C$238:$C$451,$C353,'TL11'!$J$238:$J$451),0),
IF('TL12'!$B$3=P$3,SUMIF('TL12'!$C$10:$C$224,$C353,'TL12'!$J$10:$J$224),0),
IF('TL12'!$B$229=P$3,SUMIF('TL12'!$C$238:$C$451,$C353,'TL12'!$J$238:$J$451),0),
IF('TL13'!$B$3=P$3,SUMIF('TL13'!$C$10:$C$224,$C353,'TL13'!$J$10:$J$224),0),
IF('TL13'!$B$229=P$3,SUMIF('TL13'!$C$238:$C$451,$C353,'TL13'!$J$238:$J$451),0),
IF('TL14'!$B$3=P$3,SUMIF('TL14'!$C$10:$C$224,$C353,'TL14'!$J$10:$J$224),0),
IF('TL14'!$B$229=P$3,SUMIF('TL14'!$C$238:$C$451,$C353,'TL14'!$J$238:$J$451),0),
IF('TL15'!$B$3=P$3,SUMIF('TL15'!$C$10:$C$224,$C353,'TL15'!$J$10:$J$224),0),
IF('TL15'!$B$229=P$3,SUMIF('TL15'!$C$238:$C$451,$C353,'TL15'!$J$238:$J$451),0),
IF('TL16'!$B$3=P$3,SUMIF('TL16'!$C$10:$C$224,$C353,'TL16'!$J$10:$J$224),0),
IF('TL16'!$B$229=P$3,SUMIF('TL16'!$C$238:$C$451,$C353,'TL16'!$J$238:$J$451),0),
IF('TL17'!$B$3=P$3,SUMIF('TL17'!$C$10:$C$224,$C353,'TL17'!$J$10:$J$224),0),
IF('TL17'!$B$229=P$3,SUMIF('TL17'!$C$238:$C$451,$C353,'TL17'!$J$238:$J$451),0),
IF('TL18'!$B$3=P$3,SUMIF('TL18'!$C$10:$C$224,$C353,'TL18'!$J$10:$J$224),0),
IF('TL18'!$B$229=P$3,SUMIF('TL18'!$C$238:$C$451,$C353,'TL18'!$J$238:$J$451),0),
IF('TL19'!$B$3=P$3,SUMIF('TL19'!$C$10:$C$224,$C353,'TL19'!$J$10:$J$224),0),
IF('TL19'!$B$229=P$3,SUMIF('TL19'!$C$238:$C$451,$C353,'TL19'!$J$238:$J$451),0)
),0)</f>
        <v/>
      </c>
      <c r="Q353" s="9">
        <f>IFERROR(SUM(
IF('TL01'!$B$3=Q$3,SUMIF('TL01'!$C$10:$C$224,$C353,'TL01'!$J$10:$J$224),0),
IF('TL01'!$B$229=Q$3,SUMIF('TL01'!$C$238:$C$451,$C353,'TL01'!$J$238:$J$451),0),
IF('TL02'!$B$3=Q$3,SUMIF('TL02'!$C$10:$C$224,$C353,'TL02'!$J$10:$J$224),0),
IF('TL02'!$B$229=Q$3,SUMIF('TL02'!$C$238:$C$451,$C353,'TL02'!$J$238:$J$451),0),
IF('TL03'!$B$3=Q$3,SUMIF('TL03'!$C$10:$C$224,$C353,'TL03'!$J$10:$J$224),0),
IF('TL03'!$B$229=Q$3,SUMIF('TL03'!$C$238:$C$451,$C353,'TL03'!$J$238:$J$451),0),
IF('TL04'!$B$3=Q$3,SUMIF('TL04'!$C$10:$C$224,$C353,'TL04'!$J$10:$J$224),0),
IF('TL04'!$B$229=Q$3,SUMIF('TL04'!$C$238:$C$451,$C353,'TL04'!$J$238:$J$451),0),
IF('TL05'!$B$3=Q$3,SUMIF('TL05'!$C$10:$C$224,$C353,'TL05'!$J$10:$J$224),0),
IF('TL05'!$B$229=Q$3,SUMIF('TL05'!$C$238:$C$451,$C353,'TL05'!$J$238:$J$451),0),
IF('TL06'!$B$3=Q$3,SUMIF('TL06'!$C$10:$C$224,$C353,'TL06'!$J$10:$J$224),0),
IF('TL06'!$B$229=Q$3,SUMIF('TL06'!$C$238:$C$451,$C353,'TL06'!$J$238:$J$451),0),
IF('TL07'!$B$3=Q$3,SUMIF('TL07'!$C$10:$C$224,$C353,'TL07'!$J$10:$J$224),0),
IF('TL07'!$B$229=Q$3,SUMIF('TL07'!$C$238:$C$451,$C353,'TL07'!$J$238:$J$451),0),
IF('TL08'!$B$3=Q$3,SUMIF('TL08'!$C$10:$C$224,$C353,'TL08'!$J$10:$J$224),0),
IF('TL08'!$B$229=Q$3,SUMIF('TL08'!$C$238:$C$451,$C353,'TL08'!$J$238:$J$451),0),
IF('TL09'!$B$3=Q$3,SUMIF('TL09'!$C$10:$C$224,$C353,'TL09'!$J$10:$J$224),0),
IF('TL09'!$B$229=Q$3,SUMIF('TL09'!$C$238:$C$451,$C353,'TL09'!$J$238:$J$451),0),
IF('TL10'!$B$3=Q$3,SUMIF('TL10'!$C$10:$C$224,$C353,'TL10'!$J$10:$J$224),0),
IF('TL10'!$B$229=Q$3,SUMIF('TL10'!$C$238:$C$451,$C353,'TL10'!$J$238:$J$451),0),
IF('TL11'!$B$3=Q$3,SUMIF('TL11'!$C$10:$C$224,$C353,'TL11'!$J$10:$J$224),0),
IF('TL11'!$B$229=Q$3,SUMIF('TL11'!$C$238:$C$451,$C353,'TL11'!$J$238:$J$451),0),
IF('TL12'!$B$3=Q$3,SUMIF('TL12'!$C$10:$C$224,$C353,'TL12'!$J$10:$J$224),0),
IF('TL12'!$B$229=Q$3,SUMIF('TL12'!$C$238:$C$451,$C353,'TL12'!$J$238:$J$451),0),
IF('TL13'!$B$3=Q$3,SUMIF('TL13'!$C$10:$C$224,$C353,'TL13'!$J$10:$J$224),0),
IF('TL13'!$B$229=Q$3,SUMIF('TL13'!$C$238:$C$451,$C353,'TL13'!$J$238:$J$451),0),
IF('TL14'!$B$3=Q$3,SUMIF('TL14'!$C$10:$C$224,$C353,'TL14'!$J$10:$J$224),0),
IF('TL14'!$B$229=Q$3,SUMIF('TL14'!$C$238:$C$451,$C353,'TL14'!$J$238:$J$451),0),
IF('TL15'!$B$3=Q$3,SUMIF('TL15'!$C$10:$C$224,$C353,'TL15'!$J$10:$J$224),0),
IF('TL15'!$B$229=Q$3,SUMIF('TL15'!$C$238:$C$451,$C353,'TL15'!$J$238:$J$451),0),
IF('TL16'!$B$3=Q$3,SUMIF('TL16'!$C$10:$C$224,$C353,'TL16'!$J$10:$J$224),0),
IF('TL16'!$B$229=Q$3,SUMIF('TL16'!$C$238:$C$451,$C353,'TL16'!$J$238:$J$451),0),
IF('TL17'!$B$3=Q$3,SUMIF('TL17'!$C$10:$C$224,$C353,'TL17'!$J$10:$J$224),0),
IF('TL17'!$B$229=Q$3,SUMIF('TL17'!$C$238:$C$451,$C353,'TL17'!$J$238:$J$451),0),
IF('TL18'!$B$3=Q$3,SUMIF('TL18'!$C$10:$C$224,$C353,'TL18'!$J$10:$J$224),0),
IF('TL18'!$B$229=Q$3,SUMIF('TL18'!$C$238:$C$451,$C353,'TL18'!$J$238:$J$451),0),
IF('TL19'!$B$3=Q$3,SUMIF('TL19'!$C$10:$C$224,$C353,'TL19'!$J$10:$J$224),0),
IF('TL19'!$B$229=Q$3,SUMIF('TL19'!$C$238:$C$451,$C353,'TL19'!$J$238:$J$451),0)
),0)</f>
        <v/>
      </c>
      <c r="R353" s="9">
        <f>IFERROR(
SUM(
SUMIF('TL01'!C:C,C353,'TL01'!J:J),
SUMIF('TL02'!C:C,C353,'TL02'!J:J),
SUMIF('TL03'!C:C,C353,'TL03'!J:J),
SUMIF('TL04'!C:C,C353,'TL04'!J:J),
SUMIF('TL05'!C:C,C353,'TL05'!J:J),
SUMIF('TL06'!C:C,C353,'TL06'!J:J),
SUMIF('TL07'!C:C,C353,'TL07'!J:J),
SUMIF('TL08'!C:C,C353,'TL08'!J:J),
SUMIF('TL09'!C:C,C353,'TL09'!J:J),
SUMIF('TL10'!C:C,C353,'TL10'!J:J),
SUMIF('TL11'!C:C,C353,'TL11'!J:J),
SUMIF('TL12'!C:C,C353,'TL12'!J:J),
SUMIF('TL13'!C:C,C353,'TL13'!J:J),
SUMIF('TL14'!C:C,C353,'TL14'!J:J),
SUMIF('TL15'!C:C,C353,'TL15'!J:J),
SUMIF('TL16'!C:C,C353,'TL16'!J:J),
SUMIF('TL17'!C:C,C353,'TL17'!J:J),
SUMIF('TL18'!C:C,C353,'TL18'!J:J),SUMIF('TL19'!C:C,C353,'TL19'!J:J))
,0)</f>
        <v/>
      </c>
      <c r="S353" s="17">
        <f>IFERROR(__xludf.DUMMYFUNCTION("IFERROR(VLOOKUP(C353,
IMPORTRANGE(""1wULbzX32WdYsx-lj2U3uUNBBe2INVIRDtcK0d-Dvl90"",
""26-27!C:G""),
5,
FALSE),
"""")"),91.31)</f>
        <v/>
      </c>
      <c r="T353" s="9" t="n"/>
      <c r="U353" s="92">
        <f>MAX(0,R353-T353)</f>
        <v/>
      </c>
      <c r="V353" s="93">
        <f>U353*S353</f>
        <v/>
      </c>
    </row>
    <row r="354" hidden="1" ht="15.75" customHeight="1" s="297">
      <c r="A354" s="4" t="inlineStr">
        <is>
          <t>SOLUBIO</t>
        </is>
      </c>
      <c r="B354" s="4" t="inlineStr">
        <is>
          <t>BIOLÓGICOS</t>
        </is>
      </c>
      <c r="C354" s="126" t="inlineStr">
        <is>
          <t>Now Bolt</t>
        </is>
      </c>
      <c r="D354" s="127" t="inlineStr">
        <is>
          <t>Metarhizium anisopliae</t>
        </is>
      </c>
      <c r="E354" s="20" t="n"/>
      <c r="F354" s="4" t="n"/>
      <c r="G354" s="90">
        <f>HYPERLINK("https://www.google.com/search?q=" &amp; C354 &amp; "+bula+agrofit+pdf", "📄 Ver bula")</f>
        <v/>
      </c>
      <c r="H354" s="4" t="n">
        <v>2</v>
      </c>
      <c r="I354" s="121" t="inlineStr">
        <is>
          <t>1x20</t>
        </is>
      </c>
      <c r="J354" s="9">
        <f>IFERROR(SUM(
IF('TL01'!$B$3=J$3,SUMIF('TL01'!$C$10:$C$224,$C354,'TL01'!$J$10:$J$224),0),
IF('TL01'!$B$229=J$3,SUMIF('TL01'!$C$238:$C$451,$C354,'TL01'!$J$238:$J$451),0),
IF('TL02'!$B$3=J$3,SUMIF('TL02'!$C$10:$C$224,$C354,'TL02'!$J$10:$J$224),0),
IF('TL02'!$B$229=J$3,SUMIF('TL02'!$C$238:$C$451,$C354,'TL02'!$J$238:$J$451),0),
IF('TL03'!$B$3=J$3,SUMIF('TL03'!$C$10:$C$224,$C354,'TL03'!$J$10:$J$224),0),
IF('TL03'!$B$229=J$3,SUMIF('TL03'!$C$238:$C$451,$C354,'TL03'!$J$238:$J$451),0),
IF('TL04'!$B$3=J$3,SUMIF('TL04'!$C$10:$C$224,$C354,'TL04'!$J$10:$J$224),0),
IF('TL04'!$B$229=J$3,SUMIF('TL04'!$C$238:$C$451,$C354,'TL04'!$J$238:$J$451),0),
IF('TL05'!$B$3=J$3,SUMIF('TL05'!$C$10:$C$224,$C354,'TL05'!$J$10:$J$224),0),
IF('TL05'!$B$229=J$3,SUMIF('TL05'!$C$238:$C$451,$C354,'TL05'!$J$238:$J$451),0),
IF('TL06'!$B$3=J$3,SUMIF('TL06'!$C$10:$C$224,$C354,'TL06'!$J$10:$J$224),0),
IF('TL06'!$B$229=J$3,SUMIF('TL06'!$C$238:$C$451,$C354,'TL06'!$J$238:$J$451),0),
IF('TL07'!$B$3=J$3,SUMIF('TL07'!$C$10:$C$224,$C354,'TL07'!$J$10:$J$224),0),
IF('TL07'!$B$229=J$3,SUMIF('TL07'!$C$238:$C$451,$C354,'TL07'!$J$238:$J$451),0),
IF('TL08'!$B$3=J$3,SUMIF('TL08'!$C$10:$C$224,$C354,'TL08'!$J$10:$J$224),0),
IF('TL08'!$B$229=J$3,SUMIF('TL08'!$C$238:$C$451,$C354,'TL08'!$J$238:$J$451),0),
IF('TL09'!$B$3=J$3,SUMIF('TL09'!$C$10:$C$224,$C354,'TL09'!$J$10:$J$224),0),
IF('TL09'!$B$229=J$3,SUMIF('TL09'!$C$238:$C$451,$C354,'TL09'!$J$238:$J$451),0),
IF('TL10'!$B$3=J$3,SUMIF('TL10'!$C$10:$C$224,$C354,'TL10'!$J$10:$J$224),0),
IF('TL10'!$B$229=J$3,SUMIF('TL10'!$C$238:$C$451,$C354,'TL10'!$J$238:$J$451),0),
IF('TL11'!$B$3=J$3,SUMIF('TL11'!$C$10:$C$224,$C354,'TL11'!$J$10:$J$224),0),
IF('TL11'!$B$229=J$3,SUMIF('TL11'!$C$238:$C$451,$C354,'TL11'!$J$238:$J$451),0),
IF('TL12'!$B$3=J$3,SUMIF('TL12'!$C$10:$C$224,$C354,'TL12'!$J$10:$J$224),0),
IF('TL12'!$B$229=J$3,SUMIF('TL12'!$C$238:$C$451,$C354,'TL12'!$J$238:$J$451),0),
IF('TL13'!$B$3=J$3,SUMIF('TL13'!$C$10:$C$224,$C354,'TL13'!$J$10:$J$224),0),
IF('TL13'!$B$229=J$3,SUMIF('TL13'!$C$238:$C$451,$C354,'TL13'!$J$238:$J$451),0),
IF('TL14'!$B$3=J$3,SUMIF('TL14'!$C$10:$C$224,$C354,'TL14'!$J$10:$J$224),0),
IF('TL14'!$B$229=J$3,SUMIF('TL14'!$C$238:$C$451,$C354,'TL14'!$J$238:$J$451),0),
IF('TL15'!$B$3=J$3,SUMIF('TL15'!$C$10:$C$224,$C354,'TL15'!$J$10:$J$224),0),
IF('TL15'!$B$229=J$3,SUMIF('TL15'!$C$238:$C$451,$C354,'TL15'!$J$238:$J$451),0),
IF('TL16'!$B$3=J$3,SUMIF('TL16'!$C$10:$C$224,$C354,'TL16'!$J$10:$J$224),0),
IF('TL16'!$B$229=J$3,SUMIF('TL16'!$C$238:$C$451,$C354,'TL16'!$J$238:$J$451),0),
IF('TL17'!$B$3=J$3,SUMIF('TL17'!$C$10:$C$224,$C354,'TL17'!$J$10:$J$224),0),
IF('TL17'!$B$229=J$3,SUMIF('TL17'!$C$238:$C$451,$C354,'TL17'!$J$238:$J$451),0),
IF('TL18'!$B$3=J$3,SUMIF('TL18'!$C$10:$C$224,$C354,'TL18'!$J$10:$J$224),0),
IF('TL18'!$B$229=J$3,SUMIF('TL18'!$C$238:$C$451,$C354,'TL18'!$J$238:$J$451),0),
IF('TL19'!$B$3=J$3,SUMIF('TL19'!$C$10:$C$224,$C354,'TL19'!$J$10:$J$224),0),
IF('TL19'!$B$229=J$3,SUMIF('TL19'!$C$238:$C$451,$C354,'TL19'!$J$238:$J$451),0)
),0)</f>
        <v/>
      </c>
      <c r="K354" s="9">
        <f>IFERROR(SUM(
IF('TL01'!$B$3=K$3,SUMIF('TL01'!$C$10:$C$224,$C354,'TL01'!$J$10:$J$224),0),
IF('TL01'!$B$229=K$3,SUMIF('TL01'!$C$238:$C$451,$C354,'TL01'!$J$238:$J$451),0),
IF('TL02'!$B$3=K$3,SUMIF('TL02'!$C$10:$C$224,$C354,'TL02'!$J$10:$J$224),0),
IF('TL02'!$B$229=K$3,SUMIF('TL02'!$C$238:$C$451,$C354,'TL02'!$J$238:$J$451),0),
IF('TL03'!$B$3=K$3,SUMIF('TL03'!$C$10:$C$224,$C354,'TL03'!$J$10:$J$224),0),
IF('TL03'!$B$229=K$3,SUMIF('TL03'!$C$238:$C$451,$C354,'TL03'!$J$238:$J$451),0),
IF('TL04'!$B$3=K$3,SUMIF('TL04'!$C$10:$C$224,$C354,'TL04'!$J$10:$J$224),0),
IF('TL04'!$B$229=K$3,SUMIF('TL04'!$C$238:$C$451,$C354,'TL04'!$J$238:$J$451),0),
IF('TL05'!$B$3=K$3,SUMIF('TL05'!$C$10:$C$224,$C354,'TL05'!$J$10:$J$224),0),
IF('TL05'!$B$229=K$3,SUMIF('TL05'!$C$238:$C$451,$C354,'TL05'!$J$238:$J$451),0),
IF('TL06'!$B$3=K$3,SUMIF('TL06'!$C$10:$C$224,$C354,'TL06'!$J$10:$J$224),0),
IF('TL06'!$B$229=K$3,SUMIF('TL06'!$C$238:$C$451,$C354,'TL06'!$J$238:$J$451),0),
IF('TL07'!$B$3=K$3,SUMIF('TL07'!$C$10:$C$224,$C354,'TL07'!$J$10:$J$224),0),
IF('TL07'!$B$229=K$3,SUMIF('TL07'!$C$238:$C$451,$C354,'TL07'!$J$238:$J$451),0),
IF('TL08'!$B$3=K$3,SUMIF('TL08'!$C$10:$C$224,$C354,'TL08'!$J$10:$J$224),0),
IF('TL08'!$B$229=K$3,SUMIF('TL08'!$C$238:$C$451,$C354,'TL08'!$J$238:$J$451),0),
IF('TL09'!$B$3=K$3,SUMIF('TL09'!$C$10:$C$224,$C354,'TL09'!$J$10:$J$224),0),
IF('TL09'!$B$229=K$3,SUMIF('TL09'!$C$238:$C$451,$C354,'TL09'!$J$238:$J$451),0),
IF('TL10'!$B$3=K$3,SUMIF('TL10'!$C$10:$C$224,$C354,'TL10'!$J$10:$J$224),0),
IF('TL10'!$B$229=K$3,SUMIF('TL10'!$C$238:$C$451,$C354,'TL10'!$J$238:$J$451),0),
IF('TL11'!$B$3=K$3,SUMIF('TL11'!$C$10:$C$224,$C354,'TL11'!$J$10:$J$224),0),
IF('TL11'!$B$229=K$3,SUMIF('TL11'!$C$238:$C$451,$C354,'TL11'!$J$238:$J$451),0),
IF('TL12'!$B$3=K$3,SUMIF('TL12'!$C$10:$C$224,$C354,'TL12'!$J$10:$J$224),0),
IF('TL12'!$B$229=K$3,SUMIF('TL12'!$C$238:$C$451,$C354,'TL12'!$J$238:$J$451),0),
IF('TL13'!$B$3=K$3,SUMIF('TL13'!$C$10:$C$224,$C354,'TL13'!$J$10:$J$224),0),
IF('TL13'!$B$229=K$3,SUMIF('TL13'!$C$238:$C$451,$C354,'TL13'!$J$238:$J$451),0),
IF('TL14'!$B$3=K$3,SUMIF('TL14'!$C$10:$C$224,$C354,'TL14'!$J$10:$J$224),0),
IF('TL14'!$B$229=K$3,SUMIF('TL14'!$C$238:$C$451,$C354,'TL14'!$J$238:$J$451),0),
IF('TL15'!$B$3=K$3,SUMIF('TL15'!$C$10:$C$224,$C354,'TL15'!$J$10:$J$224),0),
IF('TL15'!$B$229=K$3,SUMIF('TL15'!$C$238:$C$451,$C354,'TL15'!$J$238:$J$451),0),
IF('TL16'!$B$3=K$3,SUMIF('TL16'!$C$10:$C$224,$C354,'TL16'!$J$10:$J$224),0),
IF('TL16'!$B$229=K$3,SUMIF('TL16'!$C$238:$C$451,$C354,'TL16'!$J$238:$J$451),0),
IF('TL17'!$B$3=K$3,SUMIF('TL17'!$C$10:$C$224,$C354,'TL17'!$J$10:$J$224),0),
IF('TL17'!$B$229=K$3,SUMIF('TL17'!$C$238:$C$451,$C354,'TL17'!$J$238:$J$451),0),
IF('TL18'!$B$3=K$3,SUMIF('TL18'!$C$10:$C$224,$C354,'TL18'!$J$10:$J$224),0),
IF('TL18'!$B$229=K$3,SUMIF('TL18'!$C$238:$C$451,$C354,'TL18'!$J$238:$J$451),0),
IF('TL19'!$B$3=K$3,SUMIF('TL19'!$C$10:$C$224,$C354,'TL19'!$J$10:$J$224),0),
IF('TL19'!$B$229=K$3,SUMIF('TL19'!$C$238:$C$451,$C354,'TL19'!$J$238:$J$451),0)
),0)</f>
        <v/>
      </c>
      <c r="L354" s="9">
        <f>IFERROR(SUM(
IF('TL01'!$B$3=L$3,SUMIF('TL01'!$C$10:$C$224,$C354,'TL01'!$J$10:$J$224),0),
IF('TL01'!$B$229=L$3,SUMIF('TL01'!$C$238:$C$451,$C354,'TL01'!$J$238:$J$451),0),
IF('TL02'!$B$3=L$3,SUMIF('TL02'!$C$10:$C$224,$C354,'TL02'!$J$10:$J$224),0),
IF('TL02'!$B$229=L$3,SUMIF('TL02'!$C$238:$C$451,$C354,'TL02'!$J$238:$J$451),0),
IF('TL03'!$B$3=L$3,SUMIF('TL03'!$C$10:$C$224,$C354,'TL03'!$J$10:$J$224),0),
IF('TL03'!$B$229=L$3,SUMIF('TL03'!$C$238:$C$451,$C354,'TL03'!$J$238:$J$451),0),
IF('TL04'!$B$3=L$3,SUMIF('TL04'!$C$10:$C$224,$C354,'TL04'!$J$10:$J$224),0),
IF('TL04'!$B$229=L$3,SUMIF('TL04'!$C$238:$C$451,$C354,'TL04'!$J$238:$J$451),0),
IF('TL05'!$B$3=L$3,SUMIF('TL05'!$C$10:$C$224,$C354,'TL05'!$J$10:$J$224),0),
IF('TL05'!$B$229=L$3,SUMIF('TL05'!$C$238:$C$451,$C354,'TL05'!$J$238:$J$451),0),
IF('TL06'!$B$3=L$3,SUMIF('TL06'!$C$10:$C$224,$C354,'TL06'!$J$10:$J$224),0),
IF('TL06'!$B$229=L$3,SUMIF('TL06'!$C$238:$C$451,$C354,'TL06'!$J$238:$J$451),0),
IF('TL07'!$B$3=L$3,SUMIF('TL07'!$C$10:$C$224,$C354,'TL07'!$J$10:$J$224),0),
IF('TL07'!$B$229=L$3,SUMIF('TL07'!$C$238:$C$451,$C354,'TL07'!$J$238:$J$451),0),
IF('TL08'!$B$3=L$3,SUMIF('TL08'!$C$10:$C$224,$C354,'TL08'!$J$10:$J$224),0),
IF('TL08'!$B$229=L$3,SUMIF('TL08'!$C$238:$C$451,$C354,'TL08'!$J$238:$J$451),0),
IF('TL09'!$B$3=L$3,SUMIF('TL09'!$C$10:$C$224,$C354,'TL09'!$J$10:$J$224),0),
IF('TL09'!$B$229=L$3,SUMIF('TL09'!$C$238:$C$451,$C354,'TL09'!$J$238:$J$451),0),
IF('TL10'!$B$3=L$3,SUMIF('TL10'!$C$10:$C$224,$C354,'TL10'!$J$10:$J$224),0),
IF('TL10'!$B$229=L$3,SUMIF('TL10'!$C$238:$C$451,$C354,'TL10'!$J$238:$J$451),0),
IF('TL11'!$B$3=L$3,SUMIF('TL11'!$C$10:$C$224,$C354,'TL11'!$J$10:$J$224),0),
IF('TL11'!$B$229=L$3,SUMIF('TL11'!$C$238:$C$451,$C354,'TL11'!$J$238:$J$451),0),
IF('TL12'!$B$3=L$3,SUMIF('TL12'!$C$10:$C$224,$C354,'TL12'!$J$10:$J$224),0),
IF('TL12'!$B$229=L$3,SUMIF('TL12'!$C$238:$C$451,$C354,'TL12'!$J$238:$J$451),0),
IF('TL13'!$B$3=L$3,SUMIF('TL13'!$C$10:$C$224,$C354,'TL13'!$J$10:$J$224),0),
IF('TL13'!$B$229=L$3,SUMIF('TL13'!$C$238:$C$451,$C354,'TL13'!$J$238:$J$451),0),
IF('TL14'!$B$3=L$3,SUMIF('TL14'!$C$10:$C$224,$C354,'TL14'!$J$10:$J$224),0),
IF('TL14'!$B$229=L$3,SUMIF('TL14'!$C$238:$C$451,$C354,'TL14'!$J$238:$J$451),0),
IF('TL15'!$B$3=L$3,SUMIF('TL15'!$C$10:$C$224,$C354,'TL15'!$J$10:$J$224),0),
IF('TL15'!$B$229=L$3,SUMIF('TL15'!$C$238:$C$451,$C354,'TL15'!$J$238:$J$451),0),
IF('TL16'!$B$3=L$3,SUMIF('TL16'!$C$10:$C$224,$C354,'TL16'!$J$10:$J$224),0),
IF('TL16'!$B$229=L$3,SUMIF('TL16'!$C$238:$C$451,$C354,'TL16'!$J$238:$J$451),0),
IF('TL17'!$B$3=L$3,SUMIF('TL17'!$C$10:$C$224,$C354,'TL17'!$J$10:$J$224),0),
IF('TL17'!$B$229=L$3,SUMIF('TL17'!$C$238:$C$451,$C354,'TL17'!$J$238:$J$451),0),
IF('TL18'!$B$3=L$3,SUMIF('TL18'!$C$10:$C$224,$C354,'TL18'!$J$10:$J$224),0),
IF('TL18'!$B$229=L$3,SUMIF('TL18'!$C$238:$C$451,$C354,'TL18'!$J$238:$J$451),0),
IF('TL19'!$B$3=L$3,SUMIF('TL19'!$C$10:$C$224,$C354,'TL19'!$J$10:$J$224),0),
IF('TL19'!$B$229=L$3,SUMIF('TL19'!$C$238:$C$451,$C354,'TL19'!$J$238:$J$451),0)
),0)</f>
        <v/>
      </c>
      <c r="M354" s="9">
        <f>IFERROR(SUM(
IF('TL01'!$B$3=M$3,SUMIF('TL01'!$C$10:$C$224,$C354,'TL01'!$J$10:$J$224),0),
IF('TL01'!$B$229=M$3,SUMIF('TL01'!$C$238:$C$451,$C354,'TL01'!$J$238:$J$451),0),
IF('TL02'!$B$3=M$3,SUMIF('TL02'!$C$10:$C$224,$C354,'TL02'!$J$10:$J$224),0),
IF('TL02'!$B$229=M$3,SUMIF('TL02'!$C$238:$C$451,$C354,'TL02'!$J$238:$J$451),0),
IF('TL03'!$B$3=M$3,SUMIF('TL03'!$C$10:$C$224,$C354,'TL03'!$J$10:$J$224),0),
IF('TL03'!$B$229=M$3,SUMIF('TL03'!$C$238:$C$451,$C354,'TL03'!$J$238:$J$451),0),
IF('TL04'!$B$3=M$3,SUMIF('TL04'!$C$10:$C$224,$C354,'TL04'!$J$10:$J$224),0),
IF('TL04'!$B$229=M$3,SUMIF('TL04'!$C$238:$C$451,$C354,'TL04'!$J$238:$J$451),0),
IF('TL05'!$B$3=M$3,SUMIF('TL05'!$C$10:$C$224,$C354,'TL05'!$J$10:$J$224),0),
IF('TL05'!$B$229=M$3,SUMIF('TL05'!$C$238:$C$451,$C354,'TL05'!$J$238:$J$451),0),
IF('TL06'!$B$3=M$3,SUMIF('TL06'!$C$10:$C$224,$C354,'TL06'!$J$10:$J$224),0),
IF('TL06'!$B$229=M$3,SUMIF('TL06'!$C$238:$C$451,$C354,'TL06'!$J$238:$J$451),0),
IF('TL07'!$B$3=M$3,SUMIF('TL07'!$C$10:$C$224,$C354,'TL07'!$J$10:$J$224),0),
IF('TL07'!$B$229=M$3,SUMIF('TL07'!$C$238:$C$451,$C354,'TL07'!$J$238:$J$451),0),
IF('TL08'!$B$3=M$3,SUMIF('TL08'!$C$10:$C$224,$C354,'TL08'!$J$10:$J$224),0),
IF('TL08'!$B$229=M$3,SUMIF('TL08'!$C$238:$C$451,$C354,'TL08'!$J$238:$J$451),0),
IF('TL09'!$B$3=M$3,SUMIF('TL09'!$C$10:$C$224,$C354,'TL09'!$J$10:$J$224),0),
IF('TL09'!$B$229=M$3,SUMIF('TL09'!$C$238:$C$451,$C354,'TL09'!$J$238:$J$451),0),
IF('TL10'!$B$3=M$3,SUMIF('TL10'!$C$10:$C$224,$C354,'TL10'!$J$10:$J$224),0),
IF('TL10'!$B$229=M$3,SUMIF('TL10'!$C$238:$C$451,$C354,'TL10'!$J$238:$J$451),0),
IF('TL11'!$B$3=M$3,SUMIF('TL11'!$C$10:$C$224,$C354,'TL11'!$J$10:$J$224),0),
IF('TL11'!$B$229=M$3,SUMIF('TL11'!$C$238:$C$451,$C354,'TL11'!$J$238:$J$451),0),
IF('TL12'!$B$3=M$3,SUMIF('TL12'!$C$10:$C$224,$C354,'TL12'!$J$10:$J$224),0),
IF('TL12'!$B$229=M$3,SUMIF('TL12'!$C$238:$C$451,$C354,'TL12'!$J$238:$J$451),0),
IF('TL13'!$B$3=M$3,SUMIF('TL13'!$C$10:$C$224,$C354,'TL13'!$J$10:$J$224),0),
IF('TL13'!$B$229=M$3,SUMIF('TL13'!$C$238:$C$451,$C354,'TL13'!$J$238:$J$451),0),
IF('TL14'!$B$3=M$3,SUMIF('TL14'!$C$10:$C$224,$C354,'TL14'!$J$10:$J$224),0),
IF('TL14'!$B$229=M$3,SUMIF('TL14'!$C$238:$C$451,$C354,'TL14'!$J$238:$J$451),0),
IF('TL15'!$B$3=M$3,SUMIF('TL15'!$C$10:$C$224,$C354,'TL15'!$J$10:$J$224),0),
IF('TL15'!$B$229=M$3,SUMIF('TL15'!$C$238:$C$451,$C354,'TL15'!$J$238:$J$451),0),
IF('TL16'!$B$3=M$3,SUMIF('TL16'!$C$10:$C$224,$C354,'TL16'!$J$10:$J$224),0),
IF('TL16'!$B$229=M$3,SUMIF('TL16'!$C$238:$C$451,$C354,'TL16'!$J$238:$J$451),0),
IF('TL17'!$B$3=M$3,SUMIF('TL17'!$C$10:$C$224,$C354,'TL17'!$J$10:$J$224),0),
IF('TL17'!$B$229=M$3,SUMIF('TL17'!$C$238:$C$451,$C354,'TL17'!$J$238:$J$451),0),
IF('TL18'!$B$3=M$3,SUMIF('TL18'!$C$10:$C$224,$C354,'TL18'!$J$10:$J$224),0),
IF('TL18'!$B$229=M$3,SUMIF('TL18'!$C$238:$C$451,$C354,'TL18'!$J$238:$J$451),0),
IF('TL19'!$B$3=M$3,SUMIF('TL19'!$C$10:$C$224,$C354,'TL19'!$J$10:$J$224),0),
IF('TL19'!$B$229=M$3,SUMIF('TL19'!$C$238:$C$451,$C354,'TL19'!$J$238:$J$451),0)
),0)</f>
        <v/>
      </c>
      <c r="N354" s="9">
        <f>IFERROR(SUM(
IF('TL01'!$B$3=N$3,SUMIF('TL01'!$C$10:$C$224,$C354,'TL01'!$J$10:$J$224),0),
IF('TL01'!$B$229=N$3,SUMIF('TL01'!$C$238:$C$451,$C354,'TL01'!$J$238:$J$451),0),
IF('TL02'!$B$3=N$3,SUMIF('TL02'!$C$10:$C$224,$C354,'TL02'!$J$10:$J$224),0),
IF('TL02'!$B$229=N$3,SUMIF('TL02'!$C$238:$C$451,$C354,'TL02'!$J$238:$J$451),0),
IF('TL03'!$B$3=N$3,SUMIF('TL03'!$C$10:$C$224,$C354,'TL03'!$J$10:$J$224),0),
IF('TL03'!$B$229=N$3,SUMIF('TL03'!$C$238:$C$451,$C354,'TL03'!$J$238:$J$451),0),
IF('TL04'!$B$3=N$3,SUMIF('TL04'!$C$10:$C$224,$C354,'TL04'!$J$10:$J$224),0),
IF('TL04'!$B$229=N$3,SUMIF('TL04'!$C$238:$C$451,$C354,'TL04'!$J$238:$J$451),0),
IF('TL05'!$B$3=N$3,SUMIF('TL05'!$C$10:$C$224,$C354,'TL05'!$J$10:$J$224),0),
IF('TL05'!$B$229=N$3,SUMIF('TL05'!$C$238:$C$451,$C354,'TL05'!$J$238:$J$451),0),
IF('TL06'!$B$3=N$3,SUMIF('TL06'!$C$10:$C$224,$C354,'TL06'!$J$10:$J$224),0),
IF('TL06'!$B$229=N$3,SUMIF('TL06'!$C$238:$C$451,$C354,'TL06'!$J$238:$J$451),0),
IF('TL07'!$B$3=N$3,SUMIF('TL07'!$C$10:$C$224,$C354,'TL07'!$J$10:$J$224),0),
IF('TL07'!$B$229=N$3,SUMIF('TL07'!$C$238:$C$451,$C354,'TL07'!$J$238:$J$451),0),
IF('TL08'!$B$3=N$3,SUMIF('TL08'!$C$10:$C$224,$C354,'TL08'!$J$10:$J$224),0),
IF('TL08'!$B$229=N$3,SUMIF('TL08'!$C$238:$C$451,$C354,'TL08'!$J$238:$J$451),0),
IF('TL09'!$B$3=N$3,SUMIF('TL09'!$C$10:$C$224,$C354,'TL09'!$J$10:$J$224),0),
IF('TL09'!$B$229=N$3,SUMIF('TL09'!$C$238:$C$451,$C354,'TL09'!$J$238:$J$451),0),
IF('TL10'!$B$3=N$3,SUMIF('TL10'!$C$10:$C$224,$C354,'TL10'!$J$10:$J$224),0),
IF('TL10'!$B$229=N$3,SUMIF('TL10'!$C$238:$C$451,$C354,'TL10'!$J$238:$J$451),0),
IF('TL11'!$B$3=N$3,SUMIF('TL11'!$C$10:$C$224,$C354,'TL11'!$J$10:$J$224),0),
IF('TL11'!$B$229=N$3,SUMIF('TL11'!$C$238:$C$451,$C354,'TL11'!$J$238:$J$451),0),
IF('TL12'!$B$3=N$3,SUMIF('TL12'!$C$10:$C$224,$C354,'TL12'!$J$10:$J$224),0),
IF('TL12'!$B$229=N$3,SUMIF('TL12'!$C$238:$C$451,$C354,'TL12'!$J$238:$J$451),0),
IF('TL13'!$B$3=N$3,SUMIF('TL13'!$C$10:$C$224,$C354,'TL13'!$J$10:$J$224),0),
IF('TL13'!$B$229=N$3,SUMIF('TL13'!$C$238:$C$451,$C354,'TL13'!$J$238:$J$451),0),
IF('TL14'!$B$3=N$3,SUMIF('TL14'!$C$10:$C$224,$C354,'TL14'!$J$10:$J$224),0),
IF('TL14'!$B$229=N$3,SUMIF('TL14'!$C$238:$C$451,$C354,'TL14'!$J$238:$J$451),0),
IF('TL15'!$B$3=N$3,SUMIF('TL15'!$C$10:$C$224,$C354,'TL15'!$J$10:$J$224),0),
IF('TL15'!$B$229=N$3,SUMIF('TL15'!$C$238:$C$451,$C354,'TL15'!$J$238:$J$451),0),
IF('TL16'!$B$3=N$3,SUMIF('TL16'!$C$10:$C$224,$C354,'TL16'!$J$10:$J$224),0),
IF('TL16'!$B$229=N$3,SUMIF('TL16'!$C$238:$C$451,$C354,'TL16'!$J$238:$J$451),0),
IF('TL17'!$B$3=N$3,SUMIF('TL17'!$C$10:$C$224,$C354,'TL17'!$J$10:$J$224),0),
IF('TL17'!$B$229=N$3,SUMIF('TL17'!$C$238:$C$451,$C354,'TL17'!$J$238:$J$451),0),
IF('TL18'!$B$3=N$3,SUMIF('TL18'!$C$10:$C$224,$C354,'TL18'!$J$10:$J$224),0),
IF('TL18'!$B$229=N$3,SUMIF('TL18'!$C$238:$C$451,$C354,'TL18'!$J$238:$J$451),0),
IF('TL19'!$B$3=N$3,SUMIF('TL19'!$C$10:$C$224,$C354,'TL19'!$J$10:$J$224),0),
IF('TL19'!$B$229=N$3,SUMIF('TL19'!$C$238:$C$451,$C354,'TL19'!$J$238:$J$451),0)
),0)</f>
        <v/>
      </c>
      <c r="O354" s="9">
        <f>IFERROR(SUM(
IF('TL01'!$B$3=O$3,SUMIF('TL01'!$C$10:$C$224,$C354,'TL01'!$J$10:$J$224),0),
IF('TL01'!$B$229=O$3,SUMIF('TL01'!$C$238:$C$451,$C354,'TL01'!$J$238:$J$451),0),
IF('TL02'!$B$3=O$3,SUMIF('TL02'!$C$10:$C$224,$C354,'TL02'!$J$10:$J$224),0),
IF('TL02'!$B$229=O$3,SUMIF('TL02'!$C$238:$C$451,$C354,'TL02'!$J$238:$J$451),0),
IF('TL03'!$B$3=O$3,SUMIF('TL03'!$C$10:$C$224,$C354,'TL03'!$J$10:$J$224),0),
IF('TL03'!$B$229=O$3,SUMIF('TL03'!$C$238:$C$451,$C354,'TL03'!$J$238:$J$451),0),
IF('TL04'!$B$3=O$3,SUMIF('TL04'!$C$10:$C$224,$C354,'TL04'!$J$10:$J$224),0),
IF('TL04'!$B$229=O$3,SUMIF('TL04'!$C$238:$C$451,$C354,'TL04'!$J$238:$J$451),0),
IF('TL05'!$B$3=O$3,SUMIF('TL05'!$C$10:$C$224,$C354,'TL05'!$J$10:$J$224),0),
IF('TL05'!$B$229=O$3,SUMIF('TL05'!$C$238:$C$451,$C354,'TL05'!$J$238:$J$451),0),
IF('TL06'!$B$3=O$3,SUMIF('TL06'!$C$10:$C$224,$C354,'TL06'!$J$10:$J$224),0),
IF('TL06'!$B$229=O$3,SUMIF('TL06'!$C$238:$C$451,$C354,'TL06'!$J$238:$J$451),0),
IF('TL07'!$B$3=O$3,SUMIF('TL07'!$C$10:$C$224,$C354,'TL07'!$J$10:$J$224),0),
IF('TL07'!$B$229=O$3,SUMIF('TL07'!$C$238:$C$451,$C354,'TL07'!$J$238:$J$451),0),
IF('TL08'!$B$3=O$3,SUMIF('TL08'!$C$10:$C$224,$C354,'TL08'!$J$10:$J$224),0),
IF('TL08'!$B$229=O$3,SUMIF('TL08'!$C$238:$C$451,$C354,'TL08'!$J$238:$J$451),0),
IF('TL09'!$B$3=O$3,SUMIF('TL09'!$C$10:$C$224,$C354,'TL09'!$J$10:$J$224),0),
IF('TL09'!$B$229=O$3,SUMIF('TL09'!$C$238:$C$451,$C354,'TL09'!$J$238:$J$451),0),
IF('TL10'!$B$3=O$3,SUMIF('TL10'!$C$10:$C$224,$C354,'TL10'!$J$10:$J$224),0),
IF('TL10'!$B$229=O$3,SUMIF('TL10'!$C$238:$C$451,$C354,'TL10'!$J$238:$J$451),0),
IF('TL11'!$B$3=O$3,SUMIF('TL11'!$C$10:$C$224,$C354,'TL11'!$J$10:$J$224),0),
IF('TL11'!$B$229=O$3,SUMIF('TL11'!$C$238:$C$451,$C354,'TL11'!$J$238:$J$451),0),
IF('TL12'!$B$3=O$3,SUMIF('TL12'!$C$10:$C$224,$C354,'TL12'!$J$10:$J$224),0),
IF('TL12'!$B$229=O$3,SUMIF('TL12'!$C$238:$C$451,$C354,'TL12'!$J$238:$J$451),0),
IF('TL13'!$B$3=O$3,SUMIF('TL13'!$C$10:$C$224,$C354,'TL13'!$J$10:$J$224),0),
IF('TL13'!$B$229=O$3,SUMIF('TL13'!$C$238:$C$451,$C354,'TL13'!$J$238:$J$451),0),
IF('TL14'!$B$3=O$3,SUMIF('TL14'!$C$10:$C$224,$C354,'TL14'!$J$10:$J$224),0),
IF('TL14'!$B$229=O$3,SUMIF('TL14'!$C$238:$C$451,$C354,'TL14'!$J$238:$J$451),0),
IF('TL15'!$B$3=O$3,SUMIF('TL15'!$C$10:$C$224,$C354,'TL15'!$J$10:$J$224),0),
IF('TL15'!$B$229=O$3,SUMIF('TL15'!$C$238:$C$451,$C354,'TL15'!$J$238:$J$451),0),
IF('TL16'!$B$3=O$3,SUMIF('TL16'!$C$10:$C$224,$C354,'TL16'!$J$10:$J$224),0),
IF('TL16'!$B$229=O$3,SUMIF('TL16'!$C$238:$C$451,$C354,'TL16'!$J$238:$J$451),0),
IF('TL17'!$B$3=O$3,SUMIF('TL17'!$C$10:$C$224,$C354,'TL17'!$J$10:$J$224),0),
IF('TL17'!$B$229=O$3,SUMIF('TL17'!$C$238:$C$451,$C354,'TL17'!$J$238:$J$451),0),
IF('TL18'!$B$3=O$3,SUMIF('TL18'!$C$10:$C$224,$C354,'TL18'!$J$10:$J$224),0),
IF('TL18'!$B$229=O$3,SUMIF('TL18'!$C$238:$C$451,$C354,'TL18'!$J$238:$J$451),0),
IF('TL19'!$B$3=O$3,SUMIF('TL19'!$C$10:$C$224,$C354,'TL19'!$J$10:$J$224),0),
IF('TL19'!$B$229=O$3,SUMIF('TL19'!$C$238:$C$451,$C354,'TL19'!$J$238:$J$451),0)
),0)</f>
        <v/>
      </c>
      <c r="P354" s="9">
        <f>IFERROR(SUM(
IF('TL01'!$B$3=P$3,SUMIF('TL01'!$C$10:$C$224,$C354,'TL01'!$J$10:$J$224),0),
IF('TL01'!$B$229=P$3,SUMIF('TL01'!$C$238:$C$451,$C354,'TL01'!$J$238:$J$451),0),
IF('TL02'!$B$3=P$3,SUMIF('TL02'!$C$10:$C$224,$C354,'TL02'!$J$10:$J$224),0),
IF('TL02'!$B$229=P$3,SUMIF('TL02'!$C$238:$C$451,$C354,'TL02'!$J$238:$J$451),0),
IF('TL03'!$B$3=P$3,SUMIF('TL03'!$C$10:$C$224,$C354,'TL03'!$J$10:$J$224),0),
IF('TL03'!$B$229=P$3,SUMIF('TL03'!$C$238:$C$451,$C354,'TL03'!$J$238:$J$451),0),
IF('TL04'!$B$3=P$3,SUMIF('TL04'!$C$10:$C$224,$C354,'TL04'!$J$10:$J$224),0),
IF('TL04'!$B$229=P$3,SUMIF('TL04'!$C$238:$C$451,$C354,'TL04'!$J$238:$J$451),0),
IF('TL05'!$B$3=P$3,SUMIF('TL05'!$C$10:$C$224,$C354,'TL05'!$J$10:$J$224),0),
IF('TL05'!$B$229=P$3,SUMIF('TL05'!$C$238:$C$451,$C354,'TL05'!$J$238:$J$451),0),
IF('TL06'!$B$3=P$3,SUMIF('TL06'!$C$10:$C$224,$C354,'TL06'!$J$10:$J$224),0),
IF('TL06'!$B$229=P$3,SUMIF('TL06'!$C$238:$C$451,$C354,'TL06'!$J$238:$J$451),0),
IF('TL07'!$B$3=P$3,SUMIF('TL07'!$C$10:$C$224,$C354,'TL07'!$J$10:$J$224),0),
IF('TL07'!$B$229=P$3,SUMIF('TL07'!$C$238:$C$451,$C354,'TL07'!$J$238:$J$451),0),
IF('TL08'!$B$3=P$3,SUMIF('TL08'!$C$10:$C$224,$C354,'TL08'!$J$10:$J$224),0),
IF('TL08'!$B$229=P$3,SUMIF('TL08'!$C$238:$C$451,$C354,'TL08'!$J$238:$J$451),0),
IF('TL09'!$B$3=P$3,SUMIF('TL09'!$C$10:$C$224,$C354,'TL09'!$J$10:$J$224),0),
IF('TL09'!$B$229=P$3,SUMIF('TL09'!$C$238:$C$451,$C354,'TL09'!$J$238:$J$451),0),
IF('TL10'!$B$3=P$3,SUMIF('TL10'!$C$10:$C$224,$C354,'TL10'!$J$10:$J$224),0),
IF('TL10'!$B$229=P$3,SUMIF('TL10'!$C$238:$C$451,$C354,'TL10'!$J$238:$J$451),0),
IF('TL11'!$B$3=P$3,SUMIF('TL11'!$C$10:$C$224,$C354,'TL11'!$J$10:$J$224),0),
IF('TL11'!$B$229=P$3,SUMIF('TL11'!$C$238:$C$451,$C354,'TL11'!$J$238:$J$451),0),
IF('TL12'!$B$3=P$3,SUMIF('TL12'!$C$10:$C$224,$C354,'TL12'!$J$10:$J$224),0),
IF('TL12'!$B$229=P$3,SUMIF('TL12'!$C$238:$C$451,$C354,'TL12'!$J$238:$J$451),0),
IF('TL13'!$B$3=P$3,SUMIF('TL13'!$C$10:$C$224,$C354,'TL13'!$J$10:$J$224),0),
IF('TL13'!$B$229=P$3,SUMIF('TL13'!$C$238:$C$451,$C354,'TL13'!$J$238:$J$451),0),
IF('TL14'!$B$3=P$3,SUMIF('TL14'!$C$10:$C$224,$C354,'TL14'!$J$10:$J$224),0),
IF('TL14'!$B$229=P$3,SUMIF('TL14'!$C$238:$C$451,$C354,'TL14'!$J$238:$J$451),0),
IF('TL15'!$B$3=P$3,SUMIF('TL15'!$C$10:$C$224,$C354,'TL15'!$J$10:$J$224),0),
IF('TL15'!$B$229=P$3,SUMIF('TL15'!$C$238:$C$451,$C354,'TL15'!$J$238:$J$451),0),
IF('TL16'!$B$3=P$3,SUMIF('TL16'!$C$10:$C$224,$C354,'TL16'!$J$10:$J$224),0),
IF('TL16'!$B$229=P$3,SUMIF('TL16'!$C$238:$C$451,$C354,'TL16'!$J$238:$J$451),0),
IF('TL17'!$B$3=P$3,SUMIF('TL17'!$C$10:$C$224,$C354,'TL17'!$J$10:$J$224),0),
IF('TL17'!$B$229=P$3,SUMIF('TL17'!$C$238:$C$451,$C354,'TL17'!$J$238:$J$451),0),
IF('TL18'!$B$3=P$3,SUMIF('TL18'!$C$10:$C$224,$C354,'TL18'!$J$10:$J$224),0),
IF('TL18'!$B$229=P$3,SUMIF('TL18'!$C$238:$C$451,$C354,'TL18'!$J$238:$J$451),0),
IF('TL19'!$B$3=P$3,SUMIF('TL19'!$C$10:$C$224,$C354,'TL19'!$J$10:$J$224),0),
IF('TL19'!$B$229=P$3,SUMIF('TL19'!$C$238:$C$451,$C354,'TL19'!$J$238:$J$451),0)
),0)</f>
        <v/>
      </c>
      <c r="Q354" s="9">
        <f>IFERROR(SUM(
IF('TL01'!$B$3=Q$3,SUMIF('TL01'!$C$10:$C$224,$C354,'TL01'!$J$10:$J$224),0),
IF('TL01'!$B$229=Q$3,SUMIF('TL01'!$C$238:$C$451,$C354,'TL01'!$J$238:$J$451),0),
IF('TL02'!$B$3=Q$3,SUMIF('TL02'!$C$10:$C$224,$C354,'TL02'!$J$10:$J$224),0),
IF('TL02'!$B$229=Q$3,SUMIF('TL02'!$C$238:$C$451,$C354,'TL02'!$J$238:$J$451),0),
IF('TL03'!$B$3=Q$3,SUMIF('TL03'!$C$10:$C$224,$C354,'TL03'!$J$10:$J$224),0),
IF('TL03'!$B$229=Q$3,SUMIF('TL03'!$C$238:$C$451,$C354,'TL03'!$J$238:$J$451),0),
IF('TL04'!$B$3=Q$3,SUMIF('TL04'!$C$10:$C$224,$C354,'TL04'!$J$10:$J$224),0),
IF('TL04'!$B$229=Q$3,SUMIF('TL04'!$C$238:$C$451,$C354,'TL04'!$J$238:$J$451),0),
IF('TL05'!$B$3=Q$3,SUMIF('TL05'!$C$10:$C$224,$C354,'TL05'!$J$10:$J$224),0),
IF('TL05'!$B$229=Q$3,SUMIF('TL05'!$C$238:$C$451,$C354,'TL05'!$J$238:$J$451),0),
IF('TL06'!$B$3=Q$3,SUMIF('TL06'!$C$10:$C$224,$C354,'TL06'!$J$10:$J$224),0),
IF('TL06'!$B$229=Q$3,SUMIF('TL06'!$C$238:$C$451,$C354,'TL06'!$J$238:$J$451),0),
IF('TL07'!$B$3=Q$3,SUMIF('TL07'!$C$10:$C$224,$C354,'TL07'!$J$10:$J$224),0),
IF('TL07'!$B$229=Q$3,SUMIF('TL07'!$C$238:$C$451,$C354,'TL07'!$J$238:$J$451),0),
IF('TL08'!$B$3=Q$3,SUMIF('TL08'!$C$10:$C$224,$C354,'TL08'!$J$10:$J$224),0),
IF('TL08'!$B$229=Q$3,SUMIF('TL08'!$C$238:$C$451,$C354,'TL08'!$J$238:$J$451),0),
IF('TL09'!$B$3=Q$3,SUMIF('TL09'!$C$10:$C$224,$C354,'TL09'!$J$10:$J$224),0),
IF('TL09'!$B$229=Q$3,SUMIF('TL09'!$C$238:$C$451,$C354,'TL09'!$J$238:$J$451),0),
IF('TL10'!$B$3=Q$3,SUMIF('TL10'!$C$10:$C$224,$C354,'TL10'!$J$10:$J$224),0),
IF('TL10'!$B$229=Q$3,SUMIF('TL10'!$C$238:$C$451,$C354,'TL10'!$J$238:$J$451),0),
IF('TL11'!$B$3=Q$3,SUMIF('TL11'!$C$10:$C$224,$C354,'TL11'!$J$10:$J$224),0),
IF('TL11'!$B$229=Q$3,SUMIF('TL11'!$C$238:$C$451,$C354,'TL11'!$J$238:$J$451),0),
IF('TL12'!$B$3=Q$3,SUMIF('TL12'!$C$10:$C$224,$C354,'TL12'!$J$10:$J$224),0),
IF('TL12'!$B$229=Q$3,SUMIF('TL12'!$C$238:$C$451,$C354,'TL12'!$J$238:$J$451),0),
IF('TL13'!$B$3=Q$3,SUMIF('TL13'!$C$10:$C$224,$C354,'TL13'!$J$10:$J$224),0),
IF('TL13'!$B$229=Q$3,SUMIF('TL13'!$C$238:$C$451,$C354,'TL13'!$J$238:$J$451),0),
IF('TL14'!$B$3=Q$3,SUMIF('TL14'!$C$10:$C$224,$C354,'TL14'!$J$10:$J$224),0),
IF('TL14'!$B$229=Q$3,SUMIF('TL14'!$C$238:$C$451,$C354,'TL14'!$J$238:$J$451),0),
IF('TL15'!$B$3=Q$3,SUMIF('TL15'!$C$10:$C$224,$C354,'TL15'!$J$10:$J$224),0),
IF('TL15'!$B$229=Q$3,SUMIF('TL15'!$C$238:$C$451,$C354,'TL15'!$J$238:$J$451),0),
IF('TL16'!$B$3=Q$3,SUMIF('TL16'!$C$10:$C$224,$C354,'TL16'!$J$10:$J$224),0),
IF('TL16'!$B$229=Q$3,SUMIF('TL16'!$C$238:$C$451,$C354,'TL16'!$J$238:$J$451),0),
IF('TL17'!$B$3=Q$3,SUMIF('TL17'!$C$10:$C$224,$C354,'TL17'!$J$10:$J$224),0),
IF('TL17'!$B$229=Q$3,SUMIF('TL17'!$C$238:$C$451,$C354,'TL17'!$J$238:$J$451),0),
IF('TL18'!$B$3=Q$3,SUMIF('TL18'!$C$10:$C$224,$C354,'TL18'!$J$10:$J$224),0),
IF('TL18'!$B$229=Q$3,SUMIF('TL18'!$C$238:$C$451,$C354,'TL18'!$J$238:$J$451),0),
IF('TL19'!$B$3=Q$3,SUMIF('TL19'!$C$10:$C$224,$C354,'TL19'!$J$10:$J$224),0),
IF('TL19'!$B$229=Q$3,SUMIF('TL19'!$C$238:$C$451,$C354,'TL19'!$J$238:$J$451),0)
),0)</f>
        <v/>
      </c>
      <c r="R354" s="9">
        <f>IFERROR(
SUM(
SUMIF('TL01'!C:C,C354,'TL01'!J:J),
SUMIF('TL02'!C:C,C354,'TL02'!J:J),
SUMIF('TL03'!C:C,C354,'TL03'!J:J),
SUMIF('TL04'!C:C,C354,'TL04'!J:J),
SUMIF('TL05'!C:C,C354,'TL05'!J:J),
SUMIF('TL06'!C:C,C354,'TL06'!J:J),
SUMIF('TL07'!C:C,C354,'TL07'!J:J),
SUMIF('TL08'!C:C,C354,'TL08'!J:J),
SUMIF('TL09'!C:C,C354,'TL09'!J:J),
SUMIF('TL10'!C:C,C354,'TL10'!J:J),
SUMIF('TL11'!C:C,C354,'TL11'!J:J),
SUMIF('TL12'!C:C,C354,'TL12'!J:J),
SUMIF('TL13'!C:C,C354,'TL13'!J:J),
SUMIF('TL14'!C:C,C354,'TL14'!J:J),
SUMIF('TL15'!C:C,C354,'TL15'!J:J),
SUMIF('TL16'!C:C,C354,'TL16'!J:J),
SUMIF('TL17'!C:C,C354,'TL17'!J:J),
SUMIF('TL18'!C:C,C354,'TL18'!J:J),SUMIF('TL19'!C:C,C354,'TL19'!J:J))
,0)</f>
        <v/>
      </c>
      <c r="S354" s="17">
        <f>IFERROR(__xludf.DUMMYFUNCTION("IFERROR(VLOOKUP(C354,
IMPORTRANGE(""1wULbzX32WdYsx-lj2U3uUNBBe2INVIRDtcK0d-Dvl90"",
""26-27!C:G""),
5,
FALSE),
"""")"),166.4)</f>
        <v/>
      </c>
      <c r="T354" s="9" t="n"/>
      <c r="U354" s="92">
        <f>MAX(0,R354-T354)</f>
        <v/>
      </c>
      <c r="V354" s="93">
        <f>U354*S354</f>
        <v/>
      </c>
    </row>
    <row r="355" hidden="1" ht="15.75" customHeight="1" s="297">
      <c r="A355" s="4" t="inlineStr">
        <is>
          <t>SOLUBIO</t>
        </is>
      </c>
      <c r="B355" s="4" t="inlineStr">
        <is>
          <t>BIOLÓGICOS</t>
        </is>
      </c>
      <c r="C355" s="128" t="inlineStr">
        <is>
          <t>Now Active</t>
        </is>
      </c>
      <c r="D355" s="129" t="inlineStr">
        <is>
          <t>Priestia megaterium</t>
        </is>
      </c>
      <c r="E355" s="20" t="n"/>
      <c r="F355" s="4" t="inlineStr">
        <is>
          <t>L</t>
        </is>
      </c>
      <c r="G355" s="90">
        <f>HYPERLINK("https://www.google.com/search?q=" &amp; C355 &amp; "+bula+agrofit+pdf", "📄 Ver bula")</f>
        <v/>
      </c>
      <c r="H355" s="4" t="n">
        <v>2</v>
      </c>
      <c r="I355" s="123" t="inlineStr">
        <is>
          <t>4X5</t>
        </is>
      </c>
      <c r="J355" s="9">
        <f>IFERROR(SUM(
IF('TL01'!$B$3=J$3,SUMIF('TL01'!$C$10:$C$224,$C355,'TL01'!$J$10:$J$224),0),
IF('TL01'!$B$229=J$3,SUMIF('TL01'!$C$238:$C$451,$C355,'TL01'!$J$238:$J$451),0),
IF('TL02'!$B$3=J$3,SUMIF('TL02'!$C$10:$C$224,$C355,'TL02'!$J$10:$J$224),0),
IF('TL02'!$B$229=J$3,SUMIF('TL02'!$C$238:$C$451,$C355,'TL02'!$J$238:$J$451),0),
IF('TL03'!$B$3=J$3,SUMIF('TL03'!$C$10:$C$224,$C355,'TL03'!$J$10:$J$224),0),
IF('TL03'!$B$229=J$3,SUMIF('TL03'!$C$238:$C$451,$C355,'TL03'!$J$238:$J$451),0),
IF('TL04'!$B$3=J$3,SUMIF('TL04'!$C$10:$C$224,$C355,'TL04'!$J$10:$J$224),0),
IF('TL04'!$B$229=J$3,SUMIF('TL04'!$C$238:$C$451,$C355,'TL04'!$J$238:$J$451),0),
IF('TL05'!$B$3=J$3,SUMIF('TL05'!$C$10:$C$224,$C355,'TL05'!$J$10:$J$224),0),
IF('TL05'!$B$229=J$3,SUMIF('TL05'!$C$238:$C$451,$C355,'TL05'!$J$238:$J$451),0),
IF('TL06'!$B$3=J$3,SUMIF('TL06'!$C$10:$C$224,$C355,'TL06'!$J$10:$J$224),0),
IF('TL06'!$B$229=J$3,SUMIF('TL06'!$C$238:$C$451,$C355,'TL06'!$J$238:$J$451),0),
IF('TL07'!$B$3=J$3,SUMIF('TL07'!$C$10:$C$224,$C355,'TL07'!$J$10:$J$224),0),
IF('TL07'!$B$229=J$3,SUMIF('TL07'!$C$238:$C$451,$C355,'TL07'!$J$238:$J$451),0),
IF('TL08'!$B$3=J$3,SUMIF('TL08'!$C$10:$C$224,$C355,'TL08'!$J$10:$J$224),0),
IF('TL08'!$B$229=J$3,SUMIF('TL08'!$C$238:$C$451,$C355,'TL08'!$J$238:$J$451),0),
IF('TL09'!$B$3=J$3,SUMIF('TL09'!$C$10:$C$224,$C355,'TL09'!$J$10:$J$224),0),
IF('TL09'!$B$229=J$3,SUMIF('TL09'!$C$238:$C$451,$C355,'TL09'!$J$238:$J$451),0),
IF('TL10'!$B$3=J$3,SUMIF('TL10'!$C$10:$C$224,$C355,'TL10'!$J$10:$J$224),0),
IF('TL10'!$B$229=J$3,SUMIF('TL10'!$C$238:$C$451,$C355,'TL10'!$J$238:$J$451),0),
IF('TL11'!$B$3=J$3,SUMIF('TL11'!$C$10:$C$224,$C355,'TL11'!$J$10:$J$224),0),
IF('TL11'!$B$229=J$3,SUMIF('TL11'!$C$238:$C$451,$C355,'TL11'!$J$238:$J$451),0),
IF('TL12'!$B$3=J$3,SUMIF('TL12'!$C$10:$C$224,$C355,'TL12'!$J$10:$J$224),0),
IF('TL12'!$B$229=J$3,SUMIF('TL12'!$C$238:$C$451,$C355,'TL12'!$J$238:$J$451),0),
IF('TL13'!$B$3=J$3,SUMIF('TL13'!$C$10:$C$224,$C355,'TL13'!$J$10:$J$224),0),
IF('TL13'!$B$229=J$3,SUMIF('TL13'!$C$238:$C$451,$C355,'TL13'!$J$238:$J$451),0),
IF('TL14'!$B$3=J$3,SUMIF('TL14'!$C$10:$C$224,$C355,'TL14'!$J$10:$J$224),0),
IF('TL14'!$B$229=J$3,SUMIF('TL14'!$C$238:$C$451,$C355,'TL14'!$J$238:$J$451),0),
IF('TL15'!$B$3=J$3,SUMIF('TL15'!$C$10:$C$224,$C355,'TL15'!$J$10:$J$224),0),
IF('TL15'!$B$229=J$3,SUMIF('TL15'!$C$238:$C$451,$C355,'TL15'!$J$238:$J$451),0),
IF('TL16'!$B$3=J$3,SUMIF('TL16'!$C$10:$C$224,$C355,'TL16'!$J$10:$J$224),0),
IF('TL16'!$B$229=J$3,SUMIF('TL16'!$C$238:$C$451,$C355,'TL16'!$J$238:$J$451),0),
IF('TL17'!$B$3=J$3,SUMIF('TL17'!$C$10:$C$224,$C355,'TL17'!$J$10:$J$224),0),
IF('TL17'!$B$229=J$3,SUMIF('TL17'!$C$238:$C$451,$C355,'TL17'!$J$238:$J$451),0),
IF('TL18'!$B$3=J$3,SUMIF('TL18'!$C$10:$C$224,$C355,'TL18'!$J$10:$J$224),0),
IF('TL18'!$B$229=J$3,SUMIF('TL18'!$C$238:$C$451,$C355,'TL18'!$J$238:$J$451),0),
IF('TL19'!$B$3=J$3,SUMIF('TL19'!$C$10:$C$224,$C355,'TL19'!$J$10:$J$224),0),
IF('TL19'!$B$229=J$3,SUMIF('TL19'!$C$238:$C$451,$C355,'TL19'!$J$238:$J$451),0)
),0)</f>
        <v/>
      </c>
      <c r="K355" s="9">
        <f>IFERROR(SUM(
IF('TL01'!$B$3=K$3,SUMIF('TL01'!$C$10:$C$224,$C355,'TL01'!$J$10:$J$224),0),
IF('TL01'!$B$229=K$3,SUMIF('TL01'!$C$238:$C$451,$C355,'TL01'!$J$238:$J$451),0),
IF('TL02'!$B$3=K$3,SUMIF('TL02'!$C$10:$C$224,$C355,'TL02'!$J$10:$J$224),0),
IF('TL02'!$B$229=K$3,SUMIF('TL02'!$C$238:$C$451,$C355,'TL02'!$J$238:$J$451),0),
IF('TL03'!$B$3=K$3,SUMIF('TL03'!$C$10:$C$224,$C355,'TL03'!$J$10:$J$224),0),
IF('TL03'!$B$229=K$3,SUMIF('TL03'!$C$238:$C$451,$C355,'TL03'!$J$238:$J$451),0),
IF('TL04'!$B$3=K$3,SUMIF('TL04'!$C$10:$C$224,$C355,'TL04'!$J$10:$J$224),0),
IF('TL04'!$B$229=K$3,SUMIF('TL04'!$C$238:$C$451,$C355,'TL04'!$J$238:$J$451),0),
IF('TL05'!$B$3=K$3,SUMIF('TL05'!$C$10:$C$224,$C355,'TL05'!$J$10:$J$224),0),
IF('TL05'!$B$229=K$3,SUMIF('TL05'!$C$238:$C$451,$C355,'TL05'!$J$238:$J$451),0),
IF('TL06'!$B$3=K$3,SUMIF('TL06'!$C$10:$C$224,$C355,'TL06'!$J$10:$J$224),0),
IF('TL06'!$B$229=K$3,SUMIF('TL06'!$C$238:$C$451,$C355,'TL06'!$J$238:$J$451),0),
IF('TL07'!$B$3=K$3,SUMIF('TL07'!$C$10:$C$224,$C355,'TL07'!$J$10:$J$224),0),
IF('TL07'!$B$229=K$3,SUMIF('TL07'!$C$238:$C$451,$C355,'TL07'!$J$238:$J$451),0),
IF('TL08'!$B$3=K$3,SUMIF('TL08'!$C$10:$C$224,$C355,'TL08'!$J$10:$J$224),0),
IF('TL08'!$B$229=K$3,SUMIF('TL08'!$C$238:$C$451,$C355,'TL08'!$J$238:$J$451),0),
IF('TL09'!$B$3=K$3,SUMIF('TL09'!$C$10:$C$224,$C355,'TL09'!$J$10:$J$224),0),
IF('TL09'!$B$229=K$3,SUMIF('TL09'!$C$238:$C$451,$C355,'TL09'!$J$238:$J$451),0),
IF('TL10'!$B$3=K$3,SUMIF('TL10'!$C$10:$C$224,$C355,'TL10'!$J$10:$J$224),0),
IF('TL10'!$B$229=K$3,SUMIF('TL10'!$C$238:$C$451,$C355,'TL10'!$J$238:$J$451),0),
IF('TL11'!$B$3=K$3,SUMIF('TL11'!$C$10:$C$224,$C355,'TL11'!$J$10:$J$224),0),
IF('TL11'!$B$229=K$3,SUMIF('TL11'!$C$238:$C$451,$C355,'TL11'!$J$238:$J$451),0),
IF('TL12'!$B$3=K$3,SUMIF('TL12'!$C$10:$C$224,$C355,'TL12'!$J$10:$J$224),0),
IF('TL12'!$B$229=K$3,SUMIF('TL12'!$C$238:$C$451,$C355,'TL12'!$J$238:$J$451),0),
IF('TL13'!$B$3=K$3,SUMIF('TL13'!$C$10:$C$224,$C355,'TL13'!$J$10:$J$224),0),
IF('TL13'!$B$229=K$3,SUMIF('TL13'!$C$238:$C$451,$C355,'TL13'!$J$238:$J$451),0),
IF('TL14'!$B$3=K$3,SUMIF('TL14'!$C$10:$C$224,$C355,'TL14'!$J$10:$J$224),0),
IF('TL14'!$B$229=K$3,SUMIF('TL14'!$C$238:$C$451,$C355,'TL14'!$J$238:$J$451),0),
IF('TL15'!$B$3=K$3,SUMIF('TL15'!$C$10:$C$224,$C355,'TL15'!$J$10:$J$224),0),
IF('TL15'!$B$229=K$3,SUMIF('TL15'!$C$238:$C$451,$C355,'TL15'!$J$238:$J$451),0),
IF('TL16'!$B$3=K$3,SUMIF('TL16'!$C$10:$C$224,$C355,'TL16'!$J$10:$J$224),0),
IF('TL16'!$B$229=K$3,SUMIF('TL16'!$C$238:$C$451,$C355,'TL16'!$J$238:$J$451),0),
IF('TL17'!$B$3=K$3,SUMIF('TL17'!$C$10:$C$224,$C355,'TL17'!$J$10:$J$224),0),
IF('TL17'!$B$229=K$3,SUMIF('TL17'!$C$238:$C$451,$C355,'TL17'!$J$238:$J$451),0),
IF('TL18'!$B$3=K$3,SUMIF('TL18'!$C$10:$C$224,$C355,'TL18'!$J$10:$J$224),0),
IF('TL18'!$B$229=K$3,SUMIF('TL18'!$C$238:$C$451,$C355,'TL18'!$J$238:$J$451),0),
IF('TL19'!$B$3=K$3,SUMIF('TL19'!$C$10:$C$224,$C355,'TL19'!$J$10:$J$224),0),
IF('TL19'!$B$229=K$3,SUMIF('TL19'!$C$238:$C$451,$C355,'TL19'!$J$238:$J$451),0)
),0)</f>
        <v/>
      </c>
      <c r="L355" s="9">
        <f>IFERROR(SUM(
IF('TL01'!$B$3=L$3,SUMIF('TL01'!$C$10:$C$224,$C355,'TL01'!$J$10:$J$224),0),
IF('TL01'!$B$229=L$3,SUMIF('TL01'!$C$238:$C$451,$C355,'TL01'!$J$238:$J$451),0),
IF('TL02'!$B$3=L$3,SUMIF('TL02'!$C$10:$C$224,$C355,'TL02'!$J$10:$J$224),0),
IF('TL02'!$B$229=L$3,SUMIF('TL02'!$C$238:$C$451,$C355,'TL02'!$J$238:$J$451),0),
IF('TL03'!$B$3=L$3,SUMIF('TL03'!$C$10:$C$224,$C355,'TL03'!$J$10:$J$224),0),
IF('TL03'!$B$229=L$3,SUMIF('TL03'!$C$238:$C$451,$C355,'TL03'!$J$238:$J$451),0),
IF('TL04'!$B$3=L$3,SUMIF('TL04'!$C$10:$C$224,$C355,'TL04'!$J$10:$J$224),0),
IF('TL04'!$B$229=L$3,SUMIF('TL04'!$C$238:$C$451,$C355,'TL04'!$J$238:$J$451),0),
IF('TL05'!$B$3=L$3,SUMIF('TL05'!$C$10:$C$224,$C355,'TL05'!$J$10:$J$224),0),
IF('TL05'!$B$229=L$3,SUMIF('TL05'!$C$238:$C$451,$C355,'TL05'!$J$238:$J$451),0),
IF('TL06'!$B$3=L$3,SUMIF('TL06'!$C$10:$C$224,$C355,'TL06'!$J$10:$J$224),0),
IF('TL06'!$B$229=L$3,SUMIF('TL06'!$C$238:$C$451,$C355,'TL06'!$J$238:$J$451),0),
IF('TL07'!$B$3=L$3,SUMIF('TL07'!$C$10:$C$224,$C355,'TL07'!$J$10:$J$224),0),
IF('TL07'!$B$229=L$3,SUMIF('TL07'!$C$238:$C$451,$C355,'TL07'!$J$238:$J$451),0),
IF('TL08'!$B$3=L$3,SUMIF('TL08'!$C$10:$C$224,$C355,'TL08'!$J$10:$J$224),0),
IF('TL08'!$B$229=L$3,SUMIF('TL08'!$C$238:$C$451,$C355,'TL08'!$J$238:$J$451),0),
IF('TL09'!$B$3=L$3,SUMIF('TL09'!$C$10:$C$224,$C355,'TL09'!$J$10:$J$224),0),
IF('TL09'!$B$229=L$3,SUMIF('TL09'!$C$238:$C$451,$C355,'TL09'!$J$238:$J$451),0),
IF('TL10'!$B$3=L$3,SUMIF('TL10'!$C$10:$C$224,$C355,'TL10'!$J$10:$J$224),0),
IF('TL10'!$B$229=L$3,SUMIF('TL10'!$C$238:$C$451,$C355,'TL10'!$J$238:$J$451),0),
IF('TL11'!$B$3=L$3,SUMIF('TL11'!$C$10:$C$224,$C355,'TL11'!$J$10:$J$224),0),
IF('TL11'!$B$229=L$3,SUMIF('TL11'!$C$238:$C$451,$C355,'TL11'!$J$238:$J$451),0),
IF('TL12'!$B$3=L$3,SUMIF('TL12'!$C$10:$C$224,$C355,'TL12'!$J$10:$J$224),0),
IF('TL12'!$B$229=L$3,SUMIF('TL12'!$C$238:$C$451,$C355,'TL12'!$J$238:$J$451),0),
IF('TL13'!$B$3=L$3,SUMIF('TL13'!$C$10:$C$224,$C355,'TL13'!$J$10:$J$224),0),
IF('TL13'!$B$229=L$3,SUMIF('TL13'!$C$238:$C$451,$C355,'TL13'!$J$238:$J$451),0),
IF('TL14'!$B$3=L$3,SUMIF('TL14'!$C$10:$C$224,$C355,'TL14'!$J$10:$J$224),0),
IF('TL14'!$B$229=L$3,SUMIF('TL14'!$C$238:$C$451,$C355,'TL14'!$J$238:$J$451),0),
IF('TL15'!$B$3=L$3,SUMIF('TL15'!$C$10:$C$224,$C355,'TL15'!$J$10:$J$224),0),
IF('TL15'!$B$229=L$3,SUMIF('TL15'!$C$238:$C$451,$C355,'TL15'!$J$238:$J$451),0),
IF('TL16'!$B$3=L$3,SUMIF('TL16'!$C$10:$C$224,$C355,'TL16'!$J$10:$J$224),0),
IF('TL16'!$B$229=L$3,SUMIF('TL16'!$C$238:$C$451,$C355,'TL16'!$J$238:$J$451),0),
IF('TL17'!$B$3=L$3,SUMIF('TL17'!$C$10:$C$224,$C355,'TL17'!$J$10:$J$224),0),
IF('TL17'!$B$229=L$3,SUMIF('TL17'!$C$238:$C$451,$C355,'TL17'!$J$238:$J$451),0),
IF('TL18'!$B$3=L$3,SUMIF('TL18'!$C$10:$C$224,$C355,'TL18'!$J$10:$J$224),0),
IF('TL18'!$B$229=L$3,SUMIF('TL18'!$C$238:$C$451,$C355,'TL18'!$J$238:$J$451),0),
IF('TL19'!$B$3=L$3,SUMIF('TL19'!$C$10:$C$224,$C355,'TL19'!$J$10:$J$224),0),
IF('TL19'!$B$229=L$3,SUMIF('TL19'!$C$238:$C$451,$C355,'TL19'!$J$238:$J$451),0)
),0)</f>
        <v/>
      </c>
      <c r="M355" s="9">
        <f>IFERROR(SUM(
IF('TL01'!$B$3=M$3,SUMIF('TL01'!$C$10:$C$224,$C355,'TL01'!$J$10:$J$224),0),
IF('TL01'!$B$229=M$3,SUMIF('TL01'!$C$238:$C$451,$C355,'TL01'!$J$238:$J$451),0),
IF('TL02'!$B$3=M$3,SUMIF('TL02'!$C$10:$C$224,$C355,'TL02'!$J$10:$J$224),0),
IF('TL02'!$B$229=M$3,SUMIF('TL02'!$C$238:$C$451,$C355,'TL02'!$J$238:$J$451),0),
IF('TL03'!$B$3=M$3,SUMIF('TL03'!$C$10:$C$224,$C355,'TL03'!$J$10:$J$224),0),
IF('TL03'!$B$229=M$3,SUMIF('TL03'!$C$238:$C$451,$C355,'TL03'!$J$238:$J$451),0),
IF('TL04'!$B$3=M$3,SUMIF('TL04'!$C$10:$C$224,$C355,'TL04'!$J$10:$J$224),0),
IF('TL04'!$B$229=M$3,SUMIF('TL04'!$C$238:$C$451,$C355,'TL04'!$J$238:$J$451),0),
IF('TL05'!$B$3=M$3,SUMIF('TL05'!$C$10:$C$224,$C355,'TL05'!$J$10:$J$224),0),
IF('TL05'!$B$229=M$3,SUMIF('TL05'!$C$238:$C$451,$C355,'TL05'!$J$238:$J$451),0),
IF('TL06'!$B$3=M$3,SUMIF('TL06'!$C$10:$C$224,$C355,'TL06'!$J$10:$J$224),0),
IF('TL06'!$B$229=M$3,SUMIF('TL06'!$C$238:$C$451,$C355,'TL06'!$J$238:$J$451),0),
IF('TL07'!$B$3=M$3,SUMIF('TL07'!$C$10:$C$224,$C355,'TL07'!$J$10:$J$224),0),
IF('TL07'!$B$229=M$3,SUMIF('TL07'!$C$238:$C$451,$C355,'TL07'!$J$238:$J$451),0),
IF('TL08'!$B$3=M$3,SUMIF('TL08'!$C$10:$C$224,$C355,'TL08'!$J$10:$J$224),0),
IF('TL08'!$B$229=M$3,SUMIF('TL08'!$C$238:$C$451,$C355,'TL08'!$J$238:$J$451),0),
IF('TL09'!$B$3=M$3,SUMIF('TL09'!$C$10:$C$224,$C355,'TL09'!$J$10:$J$224),0),
IF('TL09'!$B$229=M$3,SUMIF('TL09'!$C$238:$C$451,$C355,'TL09'!$J$238:$J$451),0),
IF('TL10'!$B$3=M$3,SUMIF('TL10'!$C$10:$C$224,$C355,'TL10'!$J$10:$J$224),0),
IF('TL10'!$B$229=M$3,SUMIF('TL10'!$C$238:$C$451,$C355,'TL10'!$J$238:$J$451),0),
IF('TL11'!$B$3=M$3,SUMIF('TL11'!$C$10:$C$224,$C355,'TL11'!$J$10:$J$224),0),
IF('TL11'!$B$229=M$3,SUMIF('TL11'!$C$238:$C$451,$C355,'TL11'!$J$238:$J$451),0),
IF('TL12'!$B$3=M$3,SUMIF('TL12'!$C$10:$C$224,$C355,'TL12'!$J$10:$J$224),0),
IF('TL12'!$B$229=M$3,SUMIF('TL12'!$C$238:$C$451,$C355,'TL12'!$J$238:$J$451),0),
IF('TL13'!$B$3=M$3,SUMIF('TL13'!$C$10:$C$224,$C355,'TL13'!$J$10:$J$224),0),
IF('TL13'!$B$229=M$3,SUMIF('TL13'!$C$238:$C$451,$C355,'TL13'!$J$238:$J$451),0),
IF('TL14'!$B$3=M$3,SUMIF('TL14'!$C$10:$C$224,$C355,'TL14'!$J$10:$J$224),0),
IF('TL14'!$B$229=M$3,SUMIF('TL14'!$C$238:$C$451,$C355,'TL14'!$J$238:$J$451),0),
IF('TL15'!$B$3=M$3,SUMIF('TL15'!$C$10:$C$224,$C355,'TL15'!$J$10:$J$224),0),
IF('TL15'!$B$229=M$3,SUMIF('TL15'!$C$238:$C$451,$C355,'TL15'!$J$238:$J$451),0),
IF('TL16'!$B$3=M$3,SUMIF('TL16'!$C$10:$C$224,$C355,'TL16'!$J$10:$J$224),0),
IF('TL16'!$B$229=M$3,SUMIF('TL16'!$C$238:$C$451,$C355,'TL16'!$J$238:$J$451),0),
IF('TL17'!$B$3=M$3,SUMIF('TL17'!$C$10:$C$224,$C355,'TL17'!$J$10:$J$224),0),
IF('TL17'!$B$229=M$3,SUMIF('TL17'!$C$238:$C$451,$C355,'TL17'!$J$238:$J$451),0),
IF('TL18'!$B$3=M$3,SUMIF('TL18'!$C$10:$C$224,$C355,'TL18'!$J$10:$J$224),0),
IF('TL18'!$B$229=M$3,SUMIF('TL18'!$C$238:$C$451,$C355,'TL18'!$J$238:$J$451),0),
IF('TL19'!$B$3=M$3,SUMIF('TL19'!$C$10:$C$224,$C355,'TL19'!$J$10:$J$224),0),
IF('TL19'!$B$229=M$3,SUMIF('TL19'!$C$238:$C$451,$C355,'TL19'!$J$238:$J$451),0)
),0)</f>
        <v/>
      </c>
      <c r="N355" s="9">
        <f>IFERROR(SUM(
IF('TL01'!$B$3=N$3,SUMIF('TL01'!$C$10:$C$224,$C355,'TL01'!$J$10:$J$224),0),
IF('TL01'!$B$229=N$3,SUMIF('TL01'!$C$238:$C$451,$C355,'TL01'!$J$238:$J$451),0),
IF('TL02'!$B$3=N$3,SUMIF('TL02'!$C$10:$C$224,$C355,'TL02'!$J$10:$J$224),0),
IF('TL02'!$B$229=N$3,SUMIF('TL02'!$C$238:$C$451,$C355,'TL02'!$J$238:$J$451),0),
IF('TL03'!$B$3=N$3,SUMIF('TL03'!$C$10:$C$224,$C355,'TL03'!$J$10:$J$224),0),
IF('TL03'!$B$229=N$3,SUMIF('TL03'!$C$238:$C$451,$C355,'TL03'!$J$238:$J$451),0),
IF('TL04'!$B$3=N$3,SUMIF('TL04'!$C$10:$C$224,$C355,'TL04'!$J$10:$J$224),0),
IF('TL04'!$B$229=N$3,SUMIF('TL04'!$C$238:$C$451,$C355,'TL04'!$J$238:$J$451),0),
IF('TL05'!$B$3=N$3,SUMIF('TL05'!$C$10:$C$224,$C355,'TL05'!$J$10:$J$224),0),
IF('TL05'!$B$229=N$3,SUMIF('TL05'!$C$238:$C$451,$C355,'TL05'!$J$238:$J$451),0),
IF('TL06'!$B$3=N$3,SUMIF('TL06'!$C$10:$C$224,$C355,'TL06'!$J$10:$J$224),0),
IF('TL06'!$B$229=N$3,SUMIF('TL06'!$C$238:$C$451,$C355,'TL06'!$J$238:$J$451),0),
IF('TL07'!$B$3=N$3,SUMIF('TL07'!$C$10:$C$224,$C355,'TL07'!$J$10:$J$224),0),
IF('TL07'!$B$229=N$3,SUMIF('TL07'!$C$238:$C$451,$C355,'TL07'!$J$238:$J$451),0),
IF('TL08'!$B$3=N$3,SUMIF('TL08'!$C$10:$C$224,$C355,'TL08'!$J$10:$J$224),0),
IF('TL08'!$B$229=N$3,SUMIF('TL08'!$C$238:$C$451,$C355,'TL08'!$J$238:$J$451),0),
IF('TL09'!$B$3=N$3,SUMIF('TL09'!$C$10:$C$224,$C355,'TL09'!$J$10:$J$224),0),
IF('TL09'!$B$229=N$3,SUMIF('TL09'!$C$238:$C$451,$C355,'TL09'!$J$238:$J$451),0),
IF('TL10'!$B$3=N$3,SUMIF('TL10'!$C$10:$C$224,$C355,'TL10'!$J$10:$J$224),0),
IF('TL10'!$B$229=N$3,SUMIF('TL10'!$C$238:$C$451,$C355,'TL10'!$J$238:$J$451),0),
IF('TL11'!$B$3=N$3,SUMIF('TL11'!$C$10:$C$224,$C355,'TL11'!$J$10:$J$224),0),
IF('TL11'!$B$229=N$3,SUMIF('TL11'!$C$238:$C$451,$C355,'TL11'!$J$238:$J$451),0),
IF('TL12'!$B$3=N$3,SUMIF('TL12'!$C$10:$C$224,$C355,'TL12'!$J$10:$J$224),0),
IF('TL12'!$B$229=N$3,SUMIF('TL12'!$C$238:$C$451,$C355,'TL12'!$J$238:$J$451),0),
IF('TL13'!$B$3=N$3,SUMIF('TL13'!$C$10:$C$224,$C355,'TL13'!$J$10:$J$224),0),
IF('TL13'!$B$229=N$3,SUMIF('TL13'!$C$238:$C$451,$C355,'TL13'!$J$238:$J$451),0),
IF('TL14'!$B$3=N$3,SUMIF('TL14'!$C$10:$C$224,$C355,'TL14'!$J$10:$J$224),0),
IF('TL14'!$B$229=N$3,SUMIF('TL14'!$C$238:$C$451,$C355,'TL14'!$J$238:$J$451),0),
IF('TL15'!$B$3=N$3,SUMIF('TL15'!$C$10:$C$224,$C355,'TL15'!$J$10:$J$224),0),
IF('TL15'!$B$229=N$3,SUMIF('TL15'!$C$238:$C$451,$C355,'TL15'!$J$238:$J$451),0),
IF('TL16'!$B$3=N$3,SUMIF('TL16'!$C$10:$C$224,$C355,'TL16'!$J$10:$J$224),0),
IF('TL16'!$B$229=N$3,SUMIF('TL16'!$C$238:$C$451,$C355,'TL16'!$J$238:$J$451),0),
IF('TL17'!$B$3=N$3,SUMIF('TL17'!$C$10:$C$224,$C355,'TL17'!$J$10:$J$224),0),
IF('TL17'!$B$229=N$3,SUMIF('TL17'!$C$238:$C$451,$C355,'TL17'!$J$238:$J$451),0),
IF('TL18'!$B$3=N$3,SUMIF('TL18'!$C$10:$C$224,$C355,'TL18'!$J$10:$J$224),0),
IF('TL18'!$B$229=N$3,SUMIF('TL18'!$C$238:$C$451,$C355,'TL18'!$J$238:$J$451),0),
IF('TL19'!$B$3=N$3,SUMIF('TL19'!$C$10:$C$224,$C355,'TL19'!$J$10:$J$224),0),
IF('TL19'!$B$229=N$3,SUMIF('TL19'!$C$238:$C$451,$C355,'TL19'!$J$238:$J$451),0)
),0)</f>
        <v/>
      </c>
      <c r="O355" s="9">
        <f>IFERROR(SUM(
IF('TL01'!$B$3=O$3,SUMIF('TL01'!$C$10:$C$224,$C355,'TL01'!$J$10:$J$224),0),
IF('TL01'!$B$229=O$3,SUMIF('TL01'!$C$238:$C$451,$C355,'TL01'!$J$238:$J$451),0),
IF('TL02'!$B$3=O$3,SUMIF('TL02'!$C$10:$C$224,$C355,'TL02'!$J$10:$J$224),0),
IF('TL02'!$B$229=O$3,SUMIF('TL02'!$C$238:$C$451,$C355,'TL02'!$J$238:$J$451),0),
IF('TL03'!$B$3=O$3,SUMIF('TL03'!$C$10:$C$224,$C355,'TL03'!$J$10:$J$224),0),
IF('TL03'!$B$229=O$3,SUMIF('TL03'!$C$238:$C$451,$C355,'TL03'!$J$238:$J$451),0),
IF('TL04'!$B$3=O$3,SUMIF('TL04'!$C$10:$C$224,$C355,'TL04'!$J$10:$J$224),0),
IF('TL04'!$B$229=O$3,SUMIF('TL04'!$C$238:$C$451,$C355,'TL04'!$J$238:$J$451),0),
IF('TL05'!$B$3=O$3,SUMIF('TL05'!$C$10:$C$224,$C355,'TL05'!$J$10:$J$224),0),
IF('TL05'!$B$229=O$3,SUMIF('TL05'!$C$238:$C$451,$C355,'TL05'!$J$238:$J$451),0),
IF('TL06'!$B$3=O$3,SUMIF('TL06'!$C$10:$C$224,$C355,'TL06'!$J$10:$J$224),0),
IF('TL06'!$B$229=O$3,SUMIF('TL06'!$C$238:$C$451,$C355,'TL06'!$J$238:$J$451),0),
IF('TL07'!$B$3=O$3,SUMIF('TL07'!$C$10:$C$224,$C355,'TL07'!$J$10:$J$224),0),
IF('TL07'!$B$229=O$3,SUMIF('TL07'!$C$238:$C$451,$C355,'TL07'!$J$238:$J$451),0),
IF('TL08'!$B$3=O$3,SUMIF('TL08'!$C$10:$C$224,$C355,'TL08'!$J$10:$J$224),0),
IF('TL08'!$B$229=O$3,SUMIF('TL08'!$C$238:$C$451,$C355,'TL08'!$J$238:$J$451),0),
IF('TL09'!$B$3=O$3,SUMIF('TL09'!$C$10:$C$224,$C355,'TL09'!$J$10:$J$224),0),
IF('TL09'!$B$229=O$3,SUMIF('TL09'!$C$238:$C$451,$C355,'TL09'!$J$238:$J$451),0),
IF('TL10'!$B$3=O$3,SUMIF('TL10'!$C$10:$C$224,$C355,'TL10'!$J$10:$J$224),0),
IF('TL10'!$B$229=O$3,SUMIF('TL10'!$C$238:$C$451,$C355,'TL10'!$J$238:$J$451),0),
IF('TL11'!$B$3=O$3,SUMIF('TL11'!$C$10:$C$224,$C355,'TL11'!$J$10:$J$224),0),
IF('TL11'!$B$229=O$3,SUMIF('TL11'!$C$238:$C$451,$C355,'TL11'!$J$238:$J$451),0),
IF('TL12'!$B$3=O$3,SUMIF('TL12'!$C$10:$C$224,$C355,'TL12'!$J$10:$J$224),0),
IF('TL12'!$B$229=O$3,SUMIF('TL12'!$C$238:$C$451,$C355,'TL12'!$J$238:$J$451),0),
IF('TL13'!$B$3=O$3,SUMIF('TL13'!$C$10:$C$224,$C355,'TL13'!$J$10:$J$224),0),
IF('TL13'!$B$229=O$3,SUMIF('TL13'!$C$238:$C$451,$C355,'TL13'!$J$238:$J$451),0),
IF('TL14'!$B$3=O$3,SUMIF('TL14'!$C$10:$C$224,$C355,'TL14'!$J$10:$J$224),0),
IF('TL14'!$B$229=O$3,SUMIF('TL14'!$C$238:$C$451,$C355,'TL14'!$J$238:$J$451),0),
IF('TL15'!$B$3=O$3,SUMIF('TL15'!$C$10:$C$224,$C355,'TL15'!$J$10:$J$224),0),
IF('TL15'!$B$229=O$3,SUMIF('TL15'!$C$238:$C$451,$C355,'TL15'!$J$238:$J$451),0),
IF('TL16'!$B$3=O$3,SUMIF('TL16'!$C$10:$C$224,$C355,'TL16'!$J$10:$J$224),0),
IF('TL16'!$B$229=O$3,SUMIF('TL16'!$C$238:$C$451,$C355,'TL16'!$J$238:$J$451),0),
IF('TL17'!$B$3=O$3,SUMIF('TL17'!$C$10:$C$224,$C355,'TL17'!$J$10:$J$224),0),
IF('TL17'!$B$229=O$3,SUMIF('TL17'!$C$238:$C$451,$C355,'TL17'!$J$238:$J$451),0),
IF('TL18'!$B$3=O$3,SUMIF('TL18'!$C$10:$C$224,$C355,'TL18'!$J$10:$J$224),0),
IF('TL18'!$B$229=O$3,SUMIF('TL18'!$C$238:$C$451,$C355,'TL18'!$J$238:$J$451),0),
IF('TL19'!$B$3=O$3,SUMIF('TL19'!$C$10:$C$224,$C355,'TL19'!$J$10:$J$224),0),
IF('TL19'!$B$229=O$3,SUMIF('TL19'!$C$238:$C$451,$C355,'TL19'!$J$238:$J$451),0)
),0)</f>
        <v/>
      </c>
      <c r="P355" s="9">
        <f>IFERROR(SUM(
IF('TL01'!$B$3=P$3,SUMIF('TL01'!$C$10:$C$224,$C355,'TL01'!$J$10:$J$224),0),
IF('TL01'!$B$229=P$3,SUMIF('TL01'!$C$238:$C$451,$C355,'TL01'!$J$238:$J$451),0),
IF('TL02'!$B$3=P$3,SUMIF('TL02'!$C$10:$C$224,$C355,'TL02'!$J$10:$J$224),0),
IF('TL02'!$B$229=P$3,SUMIF('TL02'!$C$238:$C$451,$C355,'TL02'!$J$238:$J$451),0),
IF('TL03'!$B$3=P$3,SUMIF('TL03'!$C$10:$C$224,$C355,'TL03'!$J$10:$J$224),0),
IF('TL03'!$B$229=P$3,SUMIF('TL03'!$C$238:$C$451,$C355,'TL03'!$J$238:$J$451),0),
IF('TL04'!$B$3=P$3,SUMIF('TL04'!$C$10:$C$224,$C355,'TL04'!$J$10:$J$224),0),
IF('TL04'!$B$229=P$3,SUMIF('TL04'!$C$238:$C$451,$C355,'TL04'!$J$238:$J$451),0),
IF('TL05'!$B$3=P$3,SUMIF('TL05'!$C$10:$C$224,$C355,'TL05'!$J$10:$J$224),0),
IF('TL05'!$B$229=P$3,SUMIF('TL05'!$C$238:$C$451,$C355,'TL05'!$J$238:$J$451),0),
IF('TL06'!$B$3=P$3,SUMIF('TL06'!$C$10:$C$224,$C355,'TL06'!$J$10:$J$224),0),
IF('TL06'!$B$229=P$3,SUMIF('TL06'!$C$238:$C$451,$C355,'TL06'!$J$238:$J$451),0),
IF('TL07'!$B$3=P$3,SUMIF('TL07'!$C$10:$C$224,$C355,'TL07'!$J$10:$J$224),0),
IF('TL07'!$B$229=P$3,SUMIF('TL07'!$C$238:$C$451,$C355,'TL07'!$J$238:$J$451),0),
IF('TL08'!$B$3=P$3,SUMIF('TL08'!$C$10:$C$224,$C355,'TL08'!$J$10:$J$224),0),
IF('TL08'!$B$229=P$3,SUMIF('TL08'!$C$238:$C$451,$C355,'TL08'!$J$238:$J$451),0),
IF('TL09'!$B$3=P$3,SUMIF('TL09'!$C$10:$C$224,$C355,'TL09'!$J$10:$J$224),0),
IF('TL09'!$B$229=P$3,SUMIF('TL09'!$C$238:$C$451,$C355,'TL09'!$J$238:$J$451),0),
IF('TL10'!$B$3=P$3,SUMIF('TL10'!$C$10:$C$224,$C355,'TL10'!$J$10:$J$224),0),
IF('TL10'!$B$229=P$3,SUMIF('TL10'!$C$238:$C$451,$C355,'TL10'!$J$238:$J$451),0),
IF('TL11'!$B$3=P$3,SUMIF('TL11'!$C$10:$C$224,$C355,'TL11'!$J$10:$J$224),0),
IF('TL11'!$B$229=P$3,SUMIF('TL11'!$C$238:$C$451,$C355,'TL11'!$J$238:$J$451),0),
IF('TL12'!$B$3=P$3,SUMIF('TL12'!$C$10:$C$224,$C355,'TL12'!$J$10:$J$224),0),
IF('TL12'!$B$229=P$3,SUMIF('TL12'!$C$238:$C$451,$C355,'TL12'!$J$238:$J$451),0),
IF('TL13'!$B$3=P$3,SUMIF('TL13'!$C$10:$C$224,$C355,'TL13'!$J$10:$J$224),0),
IF('TL13'!$B$229=P$3,SUMIF('TL13'!$C$238:$C$451,$C355,'TL13'!$J$238:$J$451),0),
IF('TL14'!$B$3=P$3,SUMIF('TL14'!$C$10:$C$224,$C355,'TL14'!$J$10:$J$224),0),
IF('TL14'!$B$229=P$3,SUMIF('TL14'!$C$238:$C$451,$C355,'TL14'!$J$238:$J$451),0),
IF('TL15'!$B$3=P$3,SUMIF('TL15'!$C$10:$C$224,$C355,'TL15'!$J$10:$J$224),0),
IF('TL15'!$B$229=P$3,SUMIF('TL15'!$C$238:$C$451,$C355,'TL15'!$J$238:$J$451),0),
IF('TL16'!$B$3=P$3,SUMIF('TL16'!$C$10:$C$224,$C355,'TL16'!$J$10:$J$224),0),
IF('TL16'!$B$229=P$3,SUMIF('TL16'!$C$238:$C$451,$C355,'TL16'!$J$238:$J$451),0),
IF('TL17'!$B$3=P$3,SUMIF('TL17'!$C$10:$C$224,$C355,'TL17'!$J$10:$J$224),0),
IF('TL17'!$B$229=P$3,SUMIF('TL17'!$C$238:$C$451,$C355,'TL17'!$J$238:$J$451),0),
IF('TL18'!$B$3=P$3,SUMIF('TL18'!$C$10:$C$224,$C355,'TL18'!$J$10:$J$224),0),
IF('TL18'!$B$229=P$3,SUMIF('TL18'!$C$238:$C$451,$C355,'TL18'!$J$238:$J$451),0),
IF('TL19'!$B$3=P$3,SUMIF('TL19'!$C$10:$C$224,$C355,'TL19'!$J$10:$J$224),0),
IF('TL19'!$B$229=P$3,SUMIF('TL19'!$C$238:$C$451,$C355,'TL19'!$J$238:$J$451),0)
),0)</f>
        <v/>
      </c>
      <c r="Q355" s="9">
        <f>IFERROR(SUM(
IF('TL01'!$B$3=Q$3,SUMIF('TL01'!$C$10:$C$224,$C355,'TL01'!$J$10:$J$224),0),
IF('TL01'!$B$229=Q$3,SUMIF('TL01'!$C$238:$C$451,$C355,'TL01'!$J$238:$J$451),0),
IF('TL02'!$B$3=Q$3,SUMIF('TL02'!$C$10:$C$224,$C355,'TL02'!$J$10:$J$224),0),
IF('TL02'!$B$229=Q$3,SUMIF('TL02'!$C$238:$C$451,$C355,'TL02'!$J$238:$J$451),0),
IF('TL03'!$B$3=Q$3,SUMIF('TL03'!$C$10:$C$224,$C355,'TL03'!$J$10:$J$224),0),
IF('TL03'!$B$229=Q$3,SUMIF('TL03'!$C$238:$C$451,$C355,'TL03'!$J$238:$J$451),0),
IF('TL04'!$B$3=Q$3,SUMIF('TL04'!$C$10:$C$224,$C355,'TL04'!$J$10:$J$224),0),
IF('TL04'!$B$229=Q$3,SUMIF('TL04'!$C$238:$C$451,$C355,'TL04'!$J$238:$J$451),0),
IF('TL05'!$B$3=Q$3,SUMIF('TL05'!$C$10:$C$224,$C355,'TL05'!$J$10:$J$224),0),
IF('TL05'!$B$229=Q$3,SUMIF('TL05'!$C$238:$C$451,$C355,'TL05'!$J$238:$J$451),0),
IF('TL06'!$B$3=Q$3,SUMIF('TL06'!$C$10:$C$224,$C355,'TL06'!$J$10:$J$224),0),
IF('TL06'!$B$229=Q$3,SUMIF('TL06'!$C$238:$C$451,$C355,'TL06'!$J$238:$J$451),0),
IF('TL07'!$B$3=Q$3,SUMIF('TL07'!$C$10:$C$224,$C355,'TL07'!$J$10:$J$224),0),
IF('TL07'!$B$229=Q$3,SUMIF('TL07'!$C$238:$C$451,$C355,'TL07'!$J$238:$J$451),0),
IF('TL08'!$B$3=Q$3,SUMIF('TL08'!$C$10:$C$224,$C355,'TL08'!$J$10:$J$224),0),
IF('TL08'!$B$229=Q$3,SUMIF('TL08'!$C$238:$C$451,$C355,'TL08'!$J$238:$J$451),0),
IF('TL09'!$B$3=Q$3,SUMIF('TL09'!$C$10:$C$224,$C355,'TL09'!$J$10:$J$224),0),
IF('TL09'!$B$229=Q$3,SUMIF('TL09'!$C$238:$C$451,$C355,'TL09'!$J$238:$J$451),0),
IF('TL10'!$B$3=Q$3,SUMIF('TL10'!$C$10:$C$224,$C355,'TL10'!$J$10:$J$224),0),
IF('TL10'!$B$229=Q$3,SUMIF('TL10'!$C$238:$C$451,$C355,'TL10'!$J$238:$J$451),0),
IF('TL11'!$B$3=Q$3,SUMIF('TL11'!$C$10:$C$224,$C355,'TL11'!$J$10:$J$224),0),
IF('TL11'!$B$229=Q$3,SUMIF('TL11'!$C$238:$C$451,$C355,'TL11'!$J$238:$J$451),0),
IF('TL12'!$B$3=Q$3,SUMIF('TL12'!$C$10:$C$224,$C355,'TL12'!$J$10:$J$224),0),
IF('TL12'!$B$229=Q$3,SUMIF('TL12'!$C$238:$C$451,$C355,'TL12'!$J$238:$J$451),0),
IF('TL13'!$B$3=Q$3,SUMIF('TL13'!$C$10:$C$224,$C355,'TL13'!$J$10:$J$224),0),
IF('TL13'!$B$229=Q$3,SUMIF('TL13'!$C$238:$C$451,$C355,'TL13'!$J$238:$J$451),0),
IF('TL14'!$B$3=Q$3,SUMIF('TL14'!$C$10:$C$224,$C355,'TL14'!$J$10:$J$224),0),
IF('TL14'!$B$229=Q$3,SUMIF('TL14'!$C$238:$C$451,$C355,'TL14'!$J$238:$J$451),0),
IF('TL15'!$B$3=Q$3,SUMIF('TL15'!$C$10:$C$224,$C355,'TL15'!$J$10:$J$224),0),
IF('TL15'!$B$229=Q$3,SUMIF('TL15'!$C$238:$C$451,$C355,'TL15'!$J$238:$J$451),0),
IF('TL16'!$B$3=Q$3,SUMIF('TL16'!$C$10:$C$224,$C355,'TL16'!$J$10:$J$224),0),
IF('TL16'!$B$229=Q$3,SUMIF('TL16'!$C$238:$C$451,$C355,'TL16'!$J$238:$J$451),0),
IF('TL17'!$B$3=Q$3,SUMIF('TL17'!$C$10:$C$224,$C355,'TL17'!$J$10:$J$224),0),
IF('TL17'!$B$229=Q$3,SUMIF('TL17'!$C$238:$C$451,$C355,'TL17'!$J$238:$J$451),0),
IF('TL18'!$B$3=Q$3,SUMIF('TL18'!$C$10:$C$224,$C355,'TL18'!$J$10:$J$224),0),
IF('TL18'!$B$229=Q$3,SUMIF('TL18'!$C$238:$C$451,$C355,'TL18'!$J$238:$J$451),0),
IF('TL19'!$B$3=Q$3,SUMIF('TL19'!$C$10:$C$224,$C355,'TL19'!$J$10:$J$224),0),
IF('TL19'!$B$229=Q$3,SUMIF('TL19'!$C$238:$C$451,$C355,'TL19'!$J$238:$J$451),0)
),0)</f>
        <v/>
      </c>
      <c r="R355" s="9">
        <f>IFERROR(
SUM(
SUMIF('TL01'!C:C,C355,'TL01'!J:J),
SUMIF('TL02'!C:C,C355,'TL02'!J:J),
SUMIF('TL03'!C:C,C355,'TL03'!J:J),
SUMIF('TL04'!C:C,C355,'TL04'!J:J),
SUMIF('TL05'!C:C,C355,'TL05'!J:J),
SUMIF('TL06'!C:C,C355,'TL06'!J:J),
SUMIF('TL07'!C:C,C355,'TL07'!J:J),
SUMIF('TL08'!C:C,C355,'TL08'!J:J),
SUMIF('TL09'!C:C,C355,'TL09'!J:J),
SUMIF('TL10'!C:C,C355,'TL10'!J:J),
SUMIF('TL11'!C:C,C355,'TL11'!J:J),
SUMIF('TL12'!C:C,C355,'TL12'!J:J),
SUMIF('TL13'!C:C,C355,'TL13'!J:J),
SUMIF('TL14'!C:C,C355,'TL14'!J:J),
SUMIF('TL15'!C:C,C355,'TL15'!J:J),
SUMIF('TL16'!C:C,C355,'TL16'!J:J),
SUMIF('TL17'!C:C,C355,'TL17'!J:J),
SUMIF('TL18'!C:C,C355,'TL18'!J:J),SUMIF('TL19'!C:C,C355,'TL19'!J:J))
,0)</f>
        <v/>
      </c>
      <c r="S355" s="17">
        <f>IFERROR(__xludf.DUMMYFUNCTION("IFERROR(VLOOKUP(C355,
IMPORTRANGE(""1wULbzX32WdYsx-lj2U3uUNBBe2INVIRDtcK0d-Dvl90"",
""26-27!C:G""),
5,
FALSE),
"""")"),72.8)</f>
        <v/>
      </c>
      <c r="T355" s="9" t="n"/>
      <c r="U355" s="92">
        <f>MAX(0,R355-T355)</f>
        <v/>
      </c>
      <c r="V355" s="93">
        <f>U355*S355</f>
        <v/>
      </c>
    </row>
    <row r="356" hidden="1" ht="15.75" customHeight="1" s="297">
      <c r="A356" s="4" t="inlineStr">
        <is>
          <t>SOLUBIO</t>
        </is>
      </c>
      <c r="B356" s="4" t="inlineStr">
        <is>
          <t>BIOLÓGICOS</t>
        </is>
      </c>
      <c r="C356" s="126" t="inlineStr">
        <is>
          <t>Now React</t>
        </is>
      </c>
      <c r="D356" s="127" t="inlineStr">
        <is>
          <t>Pseudomonas fluorescens</t>
        </is>
      </c>
      <c r="E356" s="20" t="n"/>
      <c r="F356" s="4" t="inlineStr">
        <is>
          <t>L</t>
        </is>
      </c>
      <c r="G356" s="90">
        <f>HYPERLINK("https://www.google.com/search?q=" &amp; C356 &amp; "+bula+agrofit+pdf", "📄 Ver bula")</f>
        <v/>
      </c>
      <c r="H356" s="4" t="n">
        <v>2</v>
      </c>
      <c r="I356" s="121" t="inlineStr">
        <is>
          <t>1x20</t>
        </is>
      </c>
      <c r="J356" s="9">
        <f>IFERROR(SUM(
IF('TL01'!$B$3=J$3,SUMIF('TL01'!$C$10:$C$224,$C356,'TL01'!$J$10:$J$224),0),
IF('TL01'!$B$229=J$3,SUMIF('TL01'!$C$238:$C$451,$C356,'TL01'!$J$238:$J$451),0),
IF('TL02'!$B$3=J$3,SUMIF('TL02'!$C$10:$C$224,$C356,'TL02'!$J$10:$J$224),0),
IF('TL02'!$B$229=J$3,SUMIF('TL02'!$C$238:$C$451,$C356,'TL02'!$J$238:$J$451),0),
IF('TL03'!$B$3=J$3,SUMIF('TL03'!$C$10:$C$224,$C356,'TL03'!$J$10:$J$224),0),
IF('TL03'!$B$229=J$3,SUMIF('TL03'!$C$238:$C$451,$C356,'TL03'!$J$238:$J$451),0),
IF('TL04'!$B$3=J$3,SUMIF('TL04'!$C$10:$C$224,$C356,'TL04'!$J$10:$J$224),0),
IF('TL04'!$B$229=J$3,SUMIF('TL04'!$C$238:$C$451,$C356,'TL04'!$J$238:$J$451),0),
IF('TL05'!$B$3=J$3,SUMIF('TL05'!$C$10:$C$224,$C356,'TL05'!$J$10:$J$224),0),
IF('TL05'!$B$229=J$3,SUMIF('TL05'!$C$238:$C$451,$C356,'TL05'!$J$238:$J$451),0),
IF('TL06'!$B$3=J$3,SUMIF('TL06'!$C$10:$C$224,$C356,'TL06'!$J$10:$J$224),0),
IF('TL06'!$B$229=J$3,SUMIF('TL06'!$C$238:$C$451,$C356,'TL06'!$J$238:$J$451),0),
IF('TL07'!$B$3=J$3,SUMIF('TL07'!$C$10:$C$224,$C356,'TL07'!$J$10:$J$224),0),
IF('TL07'!$B$229=J$3,SUMIF('TL07'!$C$238:$C$451,$C356,'TL07'!$J$238:$J$451),0),
IF('TL08'!$B$3=J$3,SUMIF('TL08'!$C$10:$C$224,$C356,'TL08'!$J$10:$J$224),0),
IF('TL08'!$B$229=J$3,SUMIF('TL08'!$C$238:$C$451,$C356,'TL08'!$J$238:$J$451),0),
IF('TL09'!$B$3=J$3,SUMIF('TL09'!$C$10:$C$224,$C356,'TL09'!$J$10:$J$224),0),
IF('TL09'!$B$229=J$3,SUMIF('TL09'!$C$238:$C$451,$C356,'TL09'!$J$238:$J$451),0),
IF('TL10'!$B$3=J$3,SUMIF('TL10'!$C$10:$C$224,$C356,'TL10'!$J$10:$J$224),0),
IF('TL10'!$B$229=J$3,SUMIF('TL10'!$C$238:$C$451,$C356,'TL10'!$J$238:$J$451),0),
IF('TL11'!$B$3=J$3,SUMIF('TL11'!$C$10:$C$224,$C356,'TL11'!$J$10:$J$224),0),
IF('TL11'!$B$229=J$3,SUMIF('TL11'!$C$238:$C$451,$C356,'TL11'!$J$238:$J$451),0),
IF('TL12'!$B$3=J$3,SUMIF('TL12'!$C$10:$C$224,$C356,'TL12'!$J$10:$J$224),0),
IF('TL12'!$B$229=J$3,SUMIF('TL12'!$C$238:$C$451,$C356,'TL12'!$J$238:$J$451),0),
IF('TL13'!$B$3=J$3,SUMIF('TL13'!$C$10:$C$224,$C356,'TL13'!$J$10:$J$224),0),
IF('TL13'!$B$229=J$3,SUMIF('TL13'!$C$238:$C$451,$C356,'TL13'!$J$238:$J$451),0),
IF('TL14'!$B$3=J$3,SUMIF('TL14'!$C$10:$C$224,$C356,'TL14'!$J$10:$J$224),0),
IF('TL14'!$B$229=J$3,SUMIF('TL14'!$C$238:$C$451,$C356,'TL14'!$J$238:$J$451),0),
IF('TL15'!$B$3=J$3,SUMIF('TL15'!$C$10:$C$224,$C356,'TL15'!$J$10:$J$224),0),
IF('TL15'!$B$229=J$3,SUMIF('TL15'!$C$238:$C$451,$C356,'TL15'!$J$238:$J$451),0),
IF('TL16'!$B$3=J$3,SUMIF('TL16'!$C$10:$C$224,$C356,'TL16'!$J$10:$J$224),0),
IF('TL16'!$B$229=J$3,SUMIF('TL16'!$C$238:$C$451,$C356,'TL16'!$J$238:$J$451),0),
IF('TL17'!$B$3=J$3,SUMIF('TL17'!$C$10:$C$224,$C356,'TL17'!$J$10:$J$224),0),
IF('TL17'!$B$229=J$3,SUMIF('TL17'!$C$238:$C$451,$C356,'TL17'!$J$238:$J$451),0),
IF('TL18'!$B$3=J$3,SUMIF('TL18'!$C$10:$C$224,$C356,'TL18'!$J$10:$J$224),0),
IF('TL18'!$B$229=J$3,SUMIF('TL18'!$C$238:$C$451,$C356,'TL18'!$J$238:$J$451),0),
IF('TL19'!$B$3=J$3,SUMIF('TL19'!$C$10:$C$224,$C356,'TL19'!$J$10:$J$224),0),
IF('TL19'!$B$229=J$3,SUMIF('TL19'!$C$238:$C$451,$C356,'TL19'!$J$238:$J$451),0)
),0)</f>
        <v/>
      </c>
      <c r="K356" s="9">
        <f>IFERROR(SUM(
IF('TL01'!$B$3=K$3,SUMIF('TL01'!$C$10:$C$224,$C356,'TL01'!$J$10:$J$224),0),
IF('TL01'!$B$229=K$3,SUMIF('TL01'!$C$238:$C$451,$C356,'TL01'!$J$238:$J$451),0),
IF('TL02'!$B$3=K$3,SUMIF('TL02'!$C$10:$C$224,$C356,'TL02'!$J$10:$J$224),0),
IF('TL02'!$B$229=K$3,SUMIF('TL02'!$C$238:$C$451,$C356,'TL02'!$J$238:$J$451),0),
IF('TL03'!$B$3=K$3,SUMIF('TL03'!$C$10:$C$224,$C356,'TL03'!$J$10:$J$224),0),
IF('TL03'!$B$229=K$3,SUMIF('TL03'!$C$238:$C$451,$C356,'TL03'!$J$238:$J$451),0),
IF('TL04'!$B$3=K$3,SUMIF('TL04'!$C$10:$C$224,$C356,'TL04'!$J$10:$J$224),0),
IF('TL04'!$B$229=K$3,SUMIF('TL04'!$C$238:$C$451,$C356,'TL04'!$J$238:$J$451),0),
IF('TL05'!$B$3=K$3,SUMIF('TL05'!$C$10:$C$224,$C356,'TL05'!$J$10:$J$224),0),
IF('TL05'!$B$229=K$3,SUMIF('TL05'!$C$238:$C$451,$C356,'TL05'!$J$238:$J$451),0),
IF('TL06'!$B$3=K$3,SUMIF('TL06'!$C$10:$C$224,$C356,'TL06'!$J$10:$J$224),0),
IF('TL06'!$B$229=K$3,SUMIF('TL06'!$C$238:$C$451,$C356,'TL06'!$J$238:$J$451),0),
IF('TL07'!$B$3=K$3,SUMIF('TL07'!$C$10:$C$224,$C356,'TL07'!$J$10:$J$224),0),
IF('TL07'!$B$229=K$3,SUMIF('TL07'!$C$238:$C$451,$C356,'TL07'!$J$238:$J$451),0),
IF('TL08'!$B$3=K$3,SUMIF('TL08'!$C$10:$C$224,$C356,'TL08'!$J$10:$J$224),0),
IF('TL08'!$B$229=K$3,SUMIF('TL08'!$C$238:$C$451,$C356,'TL08'!$J$238:$J$451),0),
IF('TL09'!$B$3=K$3,SUMIF('TL09'!$C$10:$C$224,$C356,'TL09'!$J$10:$J$224),0),
IF('TL09'!$B$229=K$3,SUMIF('TL09'!$C$238:$C$451,$C356,'TL09'!$J$238:$J$451),0),
IF('TL10'!$B$3=K$3,SUMIF('TL10'!$C$10:$C$224,$C356,'TL10'!$J$10:$J$224),0),
IF('TL10'!$B$229=K$3,SUMIF('TL10'!$C$238:$C$451,$C356,'TL10'!$J$238:$J$451),0),
IF('TL11'!$B$3=K$3,SUMIF('TL11'!$C$10:$C$224,$C356,'TL11'!$J$10:$J$224),0),
IF('TL11'!$B$229=K$3,SUMIF('TL11'!$C$238:$C$451,$C356,'TL11'!$J$238:$J$451),0),
IF('TL12'!$B$3=K$3,SUMIF('TL12'!$C$10:$C$224,$C356,'TL12'!$J$10:$J$224),0),
IF('TL12'!$B$229=K$3,SUMIF('TL12'!$C$238:$C$451,$C356,'TL12'!$J$238:$J$451),0),
IF('TL13'!$B$3=K$3,SUMIF('TL13'!$C$10:$C$224,$C356,'TL13'!$J$10:$J$224),0),
IF('TL13'!$B$229=K$3,SUMIF('TL13'!$C$238:$C$451,$C356,'TL13'!$J$238:$J$451),0),
IF('TL14'!$B$3=K$3,SUMIF('TL14'!$C$10:$C$224,$C356,'TL14'!$J$10:$J$224),0),
IF('TL14'!$B$229=K$3,SUMIF('TL14'!$C$238:$C$451,$C356,'TL14'!$J$238:$J$451),0),
IF('TL15'!$B$3=K$3,SUMIF('TL15'!$C$10:$C$224,$C356,'TL15'!$J$10:$J$224),0),
IF('TL15'!$B$229=K$3,SUMIF('TL15'!$C$238:$C$451,$C356,'TL15'!$J$238:$J$451),0),
IF('TL16'!$B$3=K$3,SUMIF('TL16'!$C$10:$C$224,$C356,'TL16'!$J$10:$J$224),0),
IF('TL16'!$B$229=K$3,SUMIF('TL16'!$C$238:$C$451,$C356,'TL16'!$J$238:$J$451),0),
IF('TL17'!$B$3=K$3,SUMIF('TL17'!$C$10:$C$224,$C356,'TL17'!$J$10:$J$224),0),
IF('TL17'!$B$229=K$3,SUMIF('TL17'!$C$238:$C$451,$C356,'TL17'!$J$238:$J$451),0),
IF('TL18'!$B$3=K$3,SUMIF('TL18'!$C$10:$C$224,$C356,'TL18'!$J$10:$J$224),0),
IF('TL18'!$B$229=K$3,SUMIF('TL18'!$C$238:$C$451,$C356,'TL18'!$J$238:$J$451),0),
IF('TL19'!$B$3=K$3,SUMIF('TL19'!$C$10:$C$224,$C356,'TL19'!$J$10:$J$224),0),
IF('TL19'!$B$229=K$3,SUMIF('TL19'!$C$238:$C$451,$C356,'TL19'!$J$238:$J$451),0)
),0)</f>
        <v/>
      </c>
      <c r="L356" s="9">
        <f>IFERROR(SUM(
IF('TL01'!$B$3=L$3,SUMIF('TL01'!$C$10:$C$224,$C356,'TL01'!$J$10:$J$224),0),
IF('TL01'!$B$229=L$3,SUMIF('TL01'!$C$238:$C$451,$C356,'TL01'!$J$238:$J$451),0),
IF('TL02'!$B$3=L$3,SUMIF('TL02'!$C$10:$C$224,$C356,'TL02'!$J$10:$J$224),0),
IF('TL02'!$B$229=L$3,SUMIF('TL02'!$C$238:$C$451,$C356,'TL02'!$J$238:$J$451),0),
IF('TL03'!$B$3=L$3,SUMIF('TL03'!$C$10:$C$224,$C356,'TL03'!$J$10:$J$224),0),
IF('TL03'!$B$229=L$3,SUMIF('TL03'!$C$238:$C$451,$C356,'TL03'!$J$238:$J$451),0),
IF('TL04'!$B$3=L$3,SUMIF('TL04'!$C$10:$C$224,$C356,'TL04'!$J$10:$J$224),0),
IF('TL04'!$B$229=L$3,SUMIF('TL04'!$C$238:$C$451,$C356,'TL04'!$J$238:$J$451),0),
IF('TL05'!$B$3=L$3,SUMIF('TL05'!$C$10:$C$224,$C356,'TL05'!$J$10:$J$224),0),
IF('TL05'!$B$229=L$3,SUMIF('TL05'!$C$238:$C$451,$C356,'TL05'!$J$238:$J$451),0),
IF('TL06'!$B$3=L$3,SUMIF('TL06'!$C$10:$C$224,$C356,'TL06'!$J$10:$J$224),0),
IF('TL06'!$B$229=L$3,SUMIF('TL06'!$C$238:$C$451,$C356,'TL06'!$J$238:$J$451),0),
IF('TL07'!$B$3=L$3,SUMIF('TL07'!$C$10:$C$224,$C356,'TL07'!$J$10:$J$224),0),
IF('TL07'!$B$229=L$3,SUMIF('TL07'!$C$238:$C$451,$C356,'TL07'!$J$238:$J$451),0),
IF('TL08'!$B$3=L$3,SUMIF('TL08'!$C$10:$C$224,$C356,'TL08'!$J$10:$J$224),0),
IF('TL08'!$B$229=L$3,SUMIF('TL08'!$C$238:$C$451,$C356,'TL08'!$J$238:$J$451),0),
IF('TL09'!$B$3=L$3,SUMIF('TL09'!$C$10:$C$224,$C356,'TL09'!$J$10:$J$224),0),
IF('TL09'!$B$229=L$3,SUMIF('TL09'!$C$238:$C$451,$C356,'TL09'!$J$238:$J$451),0),
IF('TL10'!$B$3=L$3,SUMIF('TL10'!$C$10:$C$224,$C356,'TL10'!$J$10:$J$224),0),
IF('TL10'!$B$229=L$3,SUMIF('TL10'!$C$238:$C$451,$C356,'TL10'!$J$238:$J$451),0),
IF('TL11'!$B$3=L$3,SUMIF('TL11'!$C$10:$C$224,$C356,'TL11'!$J$10:$J$224),0),
IF('TL11'!$B$229=L$3,SUMIF('TL11'!$C$238:$C$451,$C356,'TL11'!$J$238:$J$451),0),
IF('TL12'!$B$3=L$3,SUMIF('TL12'!$C$10:$C$224,$C356,'TL12'!$J$10:$J$224),0),
IF('TL12'!$B$229=L$3,SUMIF('TL12'!$C$238:$C$451,$C356,'TL12'!$J$238:$J$451),0),
IF('TL13'!$B$3=L$3,SUMIF('TL13'!$C$10:$C$224,$C356,'TL13'!$J$10:$J$224),0),
IF('TL13'!$B$229=L$3,SUMIF('TL13'!$C$238:$C$451,$C356,'TL13'!$J$238:$J$451),0),
IF('TL14'!$B$3=L$3,SUMIF('TL14'!$C$10:$C$224,$C356,'TL14'!$J$10:$J$224),0),
IF('TL14'!$B$229=L$3,SUMIF('TL14'!$C$238:$C$451,$C356,'TL14'!$J$238:$J$451),0),
IF('TL15'!$B$3=L$3,SUMIF('TL15'!$C$10:$C$224,$C356,'TL15'!$J$10:$J$224),0),
IF('TL15'!$B$229=L$3,SUMIF('TL15'!$C$238:$C$451,$C356,'TL15'!$J$238:$J$451),0),
IF('TL16'!$B$3=L$3,SUMIF('TL16'!$C$10:$C$224,$C356,'TL16'!$J$10:$J$224),0),
IF('TL16'!$B$229=L$3,SUMIF('TL16'!$C$238:$C$451,$C356,'TL16'!$J$238:$J$451),0),
IF('TL17'!$B$3=L$3,SUMIF('TL17'!$C$10:$C$224,$C356,'TL17'!$J$10:$J$224),0),
IF('TL17'!$B$229=L$3,SUMIF('TL17'!$C$238:$C$451,$C356,'TL17'!$J$238:$J$451),0),
IF('TL18'!$B$3=L$3,SUMIF('TL18'!$C$10:$C$224,$C356,'TL18'!$J$10:$J$224),0),
IF('TL18'!$B$229=L$3,SUMIF('TL18'!$C$238:$C$451,$C356,'TL18'!$J$238:$J$451),0),
IF('TL19'!$B$3=L$3,SUMIF('TL19'!$C$10:$C$224,$C356,'TL19'!$J$10:$J$224),0),
IF('TL19'!$B$229=L$3,SUMIF('TL19'!$C$238:$C$451,$C356,'TL19'!$J$238:$J$451),0)
),0)</f>
        <v/>
      </c>
      <c r="M356" s="9">
        <f>IFERROR(SUM(
IF('TL01'!$B$3=M$3,SUMIF('TL01'!$C$10:$C$224,$C356,'TL01'!$J$10:$J$224),0),
IF('TL01'!$B$229=M$3,SUMIF('TL01'!$C$238:$C$451,$C356,'TL01'!$J$238:$J$451),0),
IF('TL02'!$B$3=M$3,SUMIF('TL02'!$C$10:$C$224,$C356,'TL02'!$J$10:$J$224),0),
IF('TL02'!$B$229=M$3,SUMIF('TL02'!$C$238:$C$451,$C356,'TL02'!$J$238:$J$451),0),
IF('TL03'!$B$3=M$3,SUMIF('TL03'!$C$10:$C$224,$C356,'TL03'!$J$10:$J$224),0),
IF('TL03'!$B$229=M$3,SUMIF('TL03'!$C$238:$C$451,$C356,'TL03'!$J$238:$J$451),0),
IF('TL04'!$B$3=M$3,SUMIF('TL04'!$C$10:$C$224,$C356,'TL04'!$J$10:$J$224),0),
IF('TL04'!$B$229=M$3,SUMIF('TL04'!$C$238:$C$451,$C356,'TL04'!$J$238:$J$451),0),
IF('TL05'!$B$3=M$3,SUMIF('TL05'!$C$10:$C$224,$C356,'TL05'!$J$10:$J$224),0),
IF('TL05'!$B$229=M$3,SUMIF('TL05'!$C$238:$C$451,$C356,'TL05'!$J$238:$J$451),0),
IF('TL06'!$B$3=M$3,SUMIF('TL06'!$C$10:$C$224,$C356,'TL06'!$J$10:$J$224),0),
IF('TL06'!$B$229=M$3,SUMIF('TL06'!$C$238:$C$451,$C356,'TL06'!$J$238:$J$451),0),
IF('TL07'!$B$3=M$3,SUMIF('TL07'!$C$10:$C$224,$C356,'TL07'!$J$10:$J$224),0),
IF('TL07'!$B$229=M$3,SUMIF('TL07'!$C$238:$C$451,$C356,'TL07'!$J$238:$J$451),0),
IF('TL08'!$B$3=M$3,SUMIF('TL08'!$C$10:$C$224,$C356,'TL08'!$J$10:$J$224),0),
IF('TL08'!$B$229=M$3,SUMIF('TL08'!$C$238:$C$451,$C356,'TL08'!$J$238:$J$451),0),
IF('TL09'!$B$3=M$3,SUMIF('TL09'!$C$10:$C$224,$C356,'TL09'!$J$10:$J$224),0),
IF('TL09'!$B$229=M$3,SUMIF('TL09'!$C$238:$C$451,$C356,'TL09'!$J$238:$J$451),0),
IF('TL10'!$B$3=M$3,SUMIF('TL10'!$C$10:$C$224,$C356,'TL10'!$J$10:$J$224),0),
IF('TL10'!$B$229=M$3,SUMIF('TL10'!$C$238:$C$451,$C356,'TL10'!$J$238:$J$451),0),
IF('TL11'!$B$3=M$3,SUMIF('TL11'!$C$10:$C$224,$C356,'TL11'!$J$10:$J$224),0),
IF('TL11'!$B$229=M$3,SUMIF('TL11'!$C$238:$C$451,$C356,'TL11'!$J$238:$J$451),0),
IF('TL12'!$B$3=M$3,SUMIF('TL12'!$C$10:$C$224,$C356,'TL12'!$J$10:$J$224),0),
IF('TL12'!$B$229=M$3,SUMIF('TL12'!$C$238:$C$451,$C356,'TL12'!$J$238:$J$451),0),
IF('TL13'!$B$3=M$3,SUMIF('TL13'!$C$10:$C$224,$C356,'TL13'!$J$10:$J$224),0),
IF('TL13'!$B$229=M$3,SUMIF('TL13'!$C$238:$C$451,$C356,'TL13'!$J$238:$J$451),0),
IF('TL14'!$B$3=M$3,SUMIF('TL14'!$C$10:$C$224,$C356,'TL14'!$J$10:$J$224),0),
IF('TL14'!$B$229=M$3,SUMIF('TL14'!$C$238:$C$451,$C356,'TL14'!$J$238:$J$451),0),
IF('TL15'!$B$3=M$3,SUMIF('TL15'!$C$10:$C$224,$C356,'TL15'!$J$10:$J$224),0),
IF('TL15'!$B$229=M$3,SUMIF('TL15'!$C$238:$C$451,$C356,'TL15'!$J$238:$J$451),0),
IF('TL16'!$B$3=M$3,SUMIF('TL16'!$C$10:$C$224,$C356,'TL16'!$J$10:$J$224),0),
IF('TL16'!$B$229=M$3,SUMIF('TL16'!$C$238:$C$451,$C356,'TL16'!$J$238:$J$451),0),
IF('TL17'!$B$3=M$3,SUMIF('TL17'!$C$10:$C$224,$C356,'TL17'!$J$10:$J$224),0),
IF('TL17'!$B$229=M$3,SUMIF('TL17'!$C$238:$C$451,$C356,'TL17'!$J$238:$J$451),0),
IF('TL18'!$B$3=M$3,SUMIF('TL18'!$C$10:$C$224,$C356,'TL18'!$J$10:$J$224),0),
IF('TL18'!$B$229=M$3,SUMIF('TL18'!$C$238:$C$451,$C356,'TL18'!$J$238:$J$451),0),
IF('TL19'!$B$3=M$3,SUMIF('TL19'!$C$10:$C$224,$C356,'TL19'!$J$10:$J$224),0),
IF('TL19'!$B$229=M$3,SUMIF('TL19'!$C$238:$C$451,$C356,'TL19'!$J$238:$J$451),0)
),0)</f>
        <v/>
      </c>
      <c r="N356" s="9">
        <f>IFERROR(SUM(
IF('TL01'!$B$3=N$3,SUMIF('TL01'!$C$10:$C$224,$C356,'TL01'!$J$10:$J$224),0),
IF('TL01'!$B$229=N$3,SUMIF('TL01'!$C$238:$C$451,$C356,'TL01'!$J$238:$J$451),0),
IF('TL02'!$B$3=N$3,SUMIF('TL02'!$C$10:$C$224,$C356,'TL02'!$J$10:$J$224),0),
IF('TL02'!$B$229=N$3,SUMIF('TL02'!$C$238:$C$451,$C356,'TL02'!$J$238:$J$451),0),
IF('TL03'!$B$3=N$3,SUMIF('TL03'!$C$10:$C$224,$C356,'TL03'!$J$10:$J$224),0),
IF('TL03'!$B$229=N$3,SUMIF('TL03'!$C$238:$C$451,$C356,'TL03'!$J$238:$J$451),0),
IF('TL04'!$B$3=N$3,SUMIF('TL04'!$C$10:$C$224,$C356,'TL04'!$J$10:$J$224),0),
IF('TL04'!$B$229=N$3,SUMIF('TL04'!$C$238:$C$451,$C356,'TL04'!$J$238:$J$451),0),
IF('TL05'!$B$3=N$3,SUMIF('TL05'!$C$10:$C$224,$C356,'TL05'!$J$10:$J$224),0),
IF('TL05'!$B$229=N$3,SUMIF('TL05'!$C$238:$C$451,$C356,'TL05'!$J$238:$J$451),0),
IF('TL06'!$B$3=N$3,SUMIF('TL06'!$C$10:$C$224,$C356,'TL06'!$J$10:$J$224),0),
IF('TL06'!$B$229=N$3,SUMIF('TL06'!$C$238:$C$451,$C356,'TL06'!$J$238:$J$451),0),
IF('TL07'!$B$3=N$3,SUMIF('TL07'!$C$10:$C$224,$C356,'TL07'!$J$10:$J$224),0),
IF('TL07'!$B$229=N$3,SUMIF('TL07'!$C$238:$C$451,$C356,'TL07'!$J$238:$J$451),0),
IF('TL08'!$B$3=N$3,SUMIF('TL08'!$C$10:$C$224,$C356,'TL08'!$J$10:$J$224),0),
IF('TL08'!$B$229=N$3,SUMIF('TL08'!$C$238:$C$451,$C356,'TL08'!$J$238:$J$451),0),
IF('TL09'!$B$3=N$3,SUMIF('TL09'!$C$10:$C$224,$C356,'TL09'!$J$10:$J$224),0),
IF('TL09'!$B$229=N$3,SUMIF('TL09'!$C$238:$C$451,$C356,'TL09'!$J$238:$J$451),0),
IF('TL10'!$B$3=N$3,SUMIF('TL10'!$C$10:$C$224,$C356,'TL10'!$J$10:$J$224),0),
IF('TL10'!$B$229=N$3,SUMIF('TL10'!$C$238:$C$451,$C356,'TL10'!$J$238:$J$451),0),
IF('TL11'!$B$3=N$3,SUMIF('TL11'!$C$10:$C$224,$C356,'TL11'!$J$10:$J$224),0),
IF('TL11'!$B$229=N$3,SUMIF('TL11'!$C$238:$C$451,$C356,'TL11'!$J$238:$J$451),0),
IF('TL12'!$B$3=N$3,SUMIF('TL12'!$C$10:$C$224,$C356,'TL12'!$J$10:$J$224),0),
IF('TL12'!$B$229=N$3,SUMIF('TL12'!$C$238:$C$451,$C356,'TL12'!$J$238:$J$451),0),
IF('TL13'!$B$3=N$3,SUMIF('TL13'!$C$10:$C$224,$C356,'TL13'!$J$10:$J$224),0),
IF('TL13'!$B$229=N$3,SUMIF('TL13'!$C$238:$C$451,$C356,'TL13'!$J$238:$J$451),0),
IF('TL14'!$B$3=N$3,SUMIF('TL14'!$C$10:$C$224,$C356,'TL14'!$J$10:$J$224),0),
IF('TL14'!$B$229=N$3,SUMIF('TL14'!$C$238:$C$451,$C356,'TL14'!$J$238:$J$451),0),
IF('TL15'!$B$3=N$3,SUMIF('TL15'!$C$10:$C$224,$C356,'TL15'!$J$10:$J$224),0),
IF('TL15'!$B$229=N$3,SUMIF('TL15'!$C$238:$C$451,$C356,'TL15'!$J$238:$J$451),0),
IF('TL16'!$B$3=N$3,SUMIF('TL16'!$C$10:$C$224,$C356,'TL16'!$J$10:$J$224),0),
IF('TL16'!$B$229=N$3,SUMIF('TL16'!$C$238:$C$451,$C356,'TL16'!$J$238:$J$451),0),
IF('TL17'!$B$3=N$3,SUMIF('TL17'!$C$10:$C$224,$C356,'TL17'!$J$10:$J$224),0),
IF('TL17'!$B$229=N$3,SUMIF('TL17'!$C$238:$C$451,$C356,'TL17'!$J$238:$J$451),0),
IF('TL18'!$B$3=N$3,SUMIF('TL18'!$C$10:$C$224,$C356,'TL18'!$J$10:$J$224),0),
IF('TL18'!$B$229=N$3,SUMIF('TL18'!$C$238:$C$451,$C356,'TL18'!$J$238:$J$451),0),
IF('TL19'!$B$3=N$3,SUMIF('TL19'!$C$10:$C$224,$C356,'TL19'!$J$10:$J$224),0),
IF('TL19'!$B$229=N$3,SUMIF('TL19'!$C$238:$C$451,$C356,'TL19'!$J$238:$J$451),0)
),0)</f>
        <v/>
      </c>
      <c r="O356" s="9">
        <f>IFERROR(SUM(
IF('TL01'!$B$3=O$3,SUMIF('TL01'!$C$10:$C$224,$C356,'TL01'!$J$10:$J$224),0),
IF('TL01'!$B$229=O$3,SUMIF('TL01'!$C$238:$C$451,$C356,'TL01'!$J$238:$J$451),0),
IF('TL02'!$B$3=O$3,SUMIF('TL02'!$C$10:$C$224,$C356,'TL02'!$J$10:$J$224),0),
IF('TL02'!$B$229=O$3,SUMIF('TL02'!$C$238:$C$451,$C356,'TL02'!$J$238:$J$451),0),
IF('TL03'!$B$3=O$3,SUMIF('TL03'!$C$10:$C$224,$C356,'TL03'!$J$10:$J$224),0),
IF('TL03'!$B$229=O$3,SUMIF('TL03'!$C$238:$C$451,$C356,'TL03'!$J$238:$J$451),0),
IF('TL04'!$B$3=O$3,SUMIF('TL04'!$C$10:$C$224,$C356,'TL04'!$J$10:$J$224),0),
IF('TL04'!$B$229=O$3,SUMIF('TL04'!$C$238:$C$451,$C356,'TL04'!$J$238:$J$451),0),
IF('TL05'!$B$3=O$3,SUMIF('TL05'!$C$10:$C$224,$C356,'TL05'!$J$10:$J$224),0),
IF('TL05'!$B$229=O$3,SUMIF('TL05'!$C$238:$C$451,$C356,'TL05'!$J$238:$J$451),0),
IF('TL06'!$B$3=O$3,SUMIF('TL06'!$C$10:$C$224,$C356,'TL06'!$J$10:$J$224),0),
IF('TL06'!$B$229=O$3,SUMIF('TL06'!$C$238:$C$451,$C356,'TL06'!$J$238:$J$451),0),
IF('TL07'!$B$3=O$3,SUMIF('TL07'!$C$10:$C$224,$C356,'TL07'!$J$10:$J$224),0),
IF('TL07'!$B$229=O$3,SUMIF('TL07'!$C$238:$C$451,$C356,'TL07'!$J$238:$J$451),0),
IF('TL08'!$B$3=O$3,SUMIF('TL08'!$C$10:$C$224,$C356,'TL08'!$J$10:$J$224),0),
IF('TL08'!$B$229=O$3,SUMIF('TL08'!$C$238:$C$451,$C356,'TL08'!$J$238:$J$451),0),
IF('TL09'!$B$3=O$3,SUMIF('TL09'!$C$10:$C$224,$C356,'TL09'!$J$10:$J$224),0),
IF('TL09'!$B$229=O$3,SUMIF('TL09'!$C$238:$C$451,$C356,'TL09'!$J$238:$J$451),0),
IF('TL10'!$B$3=O$3,SUMIF('TL10'!$C$10:$C$224,$C356,'TL10'!$J$10:$J$224),0),
IF('TL10'!$B$229=O$3,SUMIF('TL10'!$C$238:$C$451,$C356,'TL10'!$J$238:$J$451),0),
IF('TL11'!$B$3=O$3,SUMIF('TL11'!$C$10:$C$224,$C356,'TL11'!$J$10:$J$224),0),
IF('TL11'!$B$229=O$3,SUMIF('TL11'!$C$238:$C$451,$C356,'TL11'!$J$238:$J$451),0),
IF('TL12'!$B$3=O$3,SUMIF('TL12'!$C$10:$C$224,$C356,'TL12'!$J$10:$J$224),0),
IF('TL12'!$B$229=O$3,SUMIF('TL12'!$C$238:$C$451,$C356,'TL12'!$J$238:$J$451),0),
IF('TL13'!$B$3=O$3,SUMIF('TL13'!$C$10:$C$224,$C356,'TL13'!$J$10:$J$224),0),
IF('TL13'!$B$229=O$3,SUMIF('TL13'!$C$238:$C$451,$C356,'TL13'!$J$238:$J$451),0),
IF('TL14'!$B$3=O$3,SUMIF('TL14'!$C$10:$C$224,$C356,'TL14'!$J$10:$J$224),0),
IF('TL14'!$B$229=O$3,SUMIF('TL14'!$C$238:$C$451,$C356,'TL14'!$J$238:$J$451),0),
IF('TL15'!$B$3=O$3,SUMIF('TL15'!$C$10:$C$224,$C356,'TL15'!$J$10:$J$224),0),
IF('TL15'!$B$229=O$3,SUMIF('TL15'!$C$238:$C$451,$C356,'TL15'!$J$238:$J$451),0),
IF('TL16'!$B$3=O$3,SUMIF('TL16'!$C$10:$C$224,$C356,'TL16'!$J$10:$J$224),0),
IF('TL16'!$B$229=O$3,SUMIF('TL16'!$C$238:$C$451,$C356,'TL16'!$J$238:$J$451),0),
IF('TL17'!$B$3=O$3,SUMIF('TL17'!$C$10:$C$224,$C356,'TL17'!$J$10:$J$224),0),
IF('TL17'!$B$229=O$3,SUMIF('TL17'!$C$238:$C$451,$C356,'TL17'!$J$238:$J$451),0),
IF('TL18'!$B$3=O$3,SUMIF('TL18'!$C$10:$C$224,$C356,'TL18'!$J$10:$J$224),0),
IF('TL18'!$B$229=O$3,SUMIF('TL18'!$C$238:$C$451,$C356,'TL18'!$J$238:$J$451),0),
IF('TL19'!$B$3=O$3,SUMIF('TL19'!$C$10:$C$224,$C356,'TL19'!$J$10:$J$224),0),
IF('TL19'!$B$229=O$3,SUMIF('TL19'!$C$238:$C$451,$C356,'TL19'!$J$238:$J$451),0)
),0)</f>
        <v/>
      </c>
      <c r="P356" s="9">
        <f>IFERROR(SUM(
IF('TL01'!$B$3=P$3,SUMIF('TL01'!$C$10:$C$224,$C356,'TL01'!$J$10:$J$224),0),
IF('TL01'!$B$229=P$3,SUMIF('TL01'!$C$238:$C$451,$C356,'TL01'!$J$238:$J$451),0),
IF('TL02'!$B$3=P$3,SUMIF('TL02'!$C$10:$C$224,$C356,'TL02'!$J$10:$J$224),0),
IF('TL02'!$B$229=P$3,SUMIF('TL02'!$C$238:$C$451,$C356,'TL02'!$J$238:$J$451),0),
IF('TL03'!$B$3=P$3,SUMIF('TL03'!$C$10:$C$224,$C356,'TL03'!$J$10:$J$224),0),
IF('TL03'!$B$229=P$3,SUMIF('TL03'!$C$238:$C$451,$C356,'TL03'!$J$238:$J$451),0),
IF('TL04'!$B$3=P$3,SUMIF('TL04'!$C$10:$C$224,$C356,'TL04'!$J$10:$J$224),0),
IF('TL04'!$B$229=P$3,SUMIF('TL04'!$C$238:$C$451,$C356,'TL04'!$J$238:$J$451),0),
IF('TL05'!$B$3=P$3,SUMIF('TL05'!$C$10:$C$224,$C356,'TL05'!$J$10:$J$224),0),
IF('TL05'!$B$229=P$3,SUMIF('TL05'!$C$238:$C$451,$C356,'TL05'!$J$238:$J$451),0),
IF('TL06'!$B$3=P$3,SUMIF('TL06'!$C$10:$C$224,$C356,'TL06'!$J$10:$J$224),0),
IF('TL06'!$B$229=P$3,SUMIF('TL06'!$C$238:$C$451,$C356,'TL06'!$J$238:$J$451),0),
IF('TL07'!$B$3=P$3,SUMIF('TL07'!$C$10:$C$224,$C356,'TL07'!$J$10:$J$224),0),
IF('TL07'!$B$229=P$3,SUMIF('TL07'!$C$238:$C$451,$C356,'TL07'!$J$238:$J$451),0),
IF('TL08'!$B$3=P$3,SUMIF('TL08'!$C$10:$C$224,$C356,'TL08'!$J$10:$J$224),0),
IF('TL08'!$B$229=P$3,SUMIF('TL08'!$C$238:$C$451,$C356,'TL08'!$J$238:$J$451),0),
IF('TL09'!$B$3=P$3,SUMIF('TL09'!$C$10:$C$224,$C356,'TL09'!$J$10:$J$224),0),
IF('TL09'!$B$229=P$3,SUMIF('TL09'!$C$238:$C$451,$C356,'TL09'!$J$238:$J$451),0),
IF('TL10'!$B$3=P$3,SUMIF('TL10'!$C$10:$C$224,$C356,'TL10'!$J$10:$J$224),0),
IF('TL10'!$B$229=P$3,SUMIF('TL10'!$C$238:$C$451,$C356,'TL10'!$J$238:$J$451),0),
IF('TL11'!$B$3=P$3,SUMIF('TL11'!$C$10:$C$224,$C356,'TL11'!$J$10:$J$224),0),
IF('TL11'!$B$229=P$3,SUMIF('TL11'!$C$238:$C$451,$C356,'TL11'!$J$238:$J$451),0),
IF('TL12'!$B$3=P$3,SUMIF('TL12'!$C$10:$C$224,$C356,'TL12'!$J$10:$J$224),0),
IF('TL12'!$B$229=P$3,SUMIF('TL12'!$C$238:$C$451,$C356,'TL12'!$J$238:$J$451),0),
IF('TL13'!$B$3=P$3,SUMIF('TL13'!$C$10:$C$224,$C356,'TL13'!$J$10:$J$224),0),
IF('TL13'!$B$229=P$3,SUMIF('TL13'!$C$238:$C$451,$C356,'TL13'!$J$238:$J$451),0),
IF('TL14'!$B$3=P$3,SUMIF('TL14'!$C$10:$C$224,$C356,'TL14'!$J$10:$J$224),0),
IF('TL14'!$B$229=P$3,SUMIF('TL14'!$C$238:$C$451,$C356,'TL14'!$J$238:$J$451),0),
IF('TL15'!$B$3=P$3,SUMIF('TL15'!$C$10:$C$224,$C356,'TL15'!$J$10:$J$224),0),
IF('TL15'!$B$229=P$3,SUMIF('TL15'!$C$238:$C$451,$C356,'TL15'!$J$238:$J$451),0),
IF('TL16'!$B$3=P$3,SUMIF('TL16'!$C$10:$C$224,$C356,'TL16'!$J$10:$J$224),0),
IF('TL16'!$B$229=P$3,SUMIF('TL16'!$C$238:$C$451,$C356,'TL16'!$J$238:$J$451),0),
IF('TL17'!$B$3=P$3,SUMIF('TL17'!$C$10:$C$224,$C356,'TL17'!$J$10:$J$224),0),
IF('TL17'!$B$229=P$3,SUMIF('TL17'!$C$238:$C$451,$C356,'TL17'!$J$238:$J$451),0),
IF('TL18'!$B$3=P$3,SUMIF('TL18'!$C$10:$C$224,$C356,'TL18'!$J$10:$J$224),0),
IF('TL18'!$B$229=P$3,SUMIF('TL18'!$C$238:$C$451,$C356,'TL18'!$J$238:$J$451),0),
IF('TL19'!$B$3=P$3,SUMIF('TL19'!$C$10:$C$224,$C356,'TL19'!$J$10:$J$224),0),
IF('TL19'!$B$229=P$3,SUMIF('TL19'!$C$238:$C$451,$C356,'TL19'!$J$238:$J$451),0)
),0)</f>
        <v/>
      </c>
      <c r="Q356" s="9">
        <f>IFERROR(SUM(
IF('TL01'!$B$3=Q$3,SUMIF('TL01'!$C$10:$C$224,$C356,'TL01'!$J$10:$J$224),0),
IF('TL01'!$B$229=Q$3,SUMIF('TL01'!$C$238:$C$451,$C356,'TL01'!$J$238:$J$451),0),
IF('TL02'!$B$3=Q$3,SUMIF('TL02'!$C$10:$C$224,$C356,'TL02'!$J$10:$J$224),0),
IF('TL02'!$B$229=Q$3,SUMIF('TL02'!$C$238:$C$451,$C356,'TL02'!$J$238:$J$451),0),
IF('TL03'!$B$3=Q$3,SUMIF('TL03'!$C$10:$C$224,$C356,'TL03'!$J$10:$J$224),0),
IF('TL03'!$B$229=Q$3,SUMIF('TL03'!$C$238:$C$451,$C356,'TL03'!$J$238:$J$451),0),
IF('TL04'!$B$3=Q$3,SUMIF('TL04'!$C$10:$C$224,$C356,'TL04'!$J$10:$J$224),0),
IF('TL04'!$B$229=Q$3,SUMIF('TL04'!$C$238:$C$451,$C356,'TL04'!$J$238:$J$451),0),
IF('TL05'!$B$3=Q$3,SUMIF('TL05'!$C$10:$C$224,$C356,'TL05'!$J$10:$J$224),0),
IF('TL05'!$B$229=Q$3,SUMIF('TL05'!$C$238:$C$451,$C356,'TL05'!$J$238:$J$451),0),
IF('TL06'!$B$3=Q$3,SUMIF('TL06'!$C$10:$C$224,$C356,'TL06'!$J$10:$J$224),0),
IF('TL06'!$B$229=Q$3,SUMIF('TL06'!$C$238:$C$451,$C356,'TL06'!$J$238:$J$451),0),
IF('TL07'!$B$3=Q$3,SUMIF('TL07'!$C$10:$C$224,$C356,'TL07'!$J$10:$J$224),0),
IF('TL07'!$B$229=Q$3,SUMIF('TL07'!$C$238:$C$451,$C356,'TL07'!$J$238:$J$451),0),
IF('TL08'!$B$3=Q$3,SUMIF('TL08'!$C$10:$C$224,$C356,'TL08'!$J$10:$J$224),0),
IF('TL08'!$B$229=Q$3,SUMIF('TL08'!$C$238:$C$451,$C356,'TL08'!$J$238:$J$451),0),
IF('TL09'!$B$3=Q$3,SUMIF('TL09'!$C$10:$C$224,$C356,'TL09'!$J$10:$J$224),0),
IF('TL09'!$B$229=Q$3,SUMIF('TL09'!$C$238:$C$451,$C356,'TL09'!$J$238:$J$451),0),
IF('TL10'!$B$3=Q$3,SUMIF('TL10'!$C$10:$C$224,$C356,'TL10'!$J$10:$J$224),0),
IF('TL10'!$B$229=Q$3,SUMIF('TL10'!$C$238:$C$451,$C356,'TL10'!$J$238:$J$451),0),
IF('TL11'!$B$3=Q$3,SUMIF('TL11'!$C$10:$C$224,$C356,'TL11'!$J$10:$J$224),0),
IF('TL11'!$B$229=Q$3,SUMIF('TL11'!$C$238:$C$451,$C356,'TL11'!$J$238:$J$451),0),
IF('TL12'!$B$3=Q$3,SUMIF('TL12'!$C$10:$C$224,$C356,'TL12'!$J$10:$J$224),0),
IF('TL12'!$B$229=Q$3,SUMIF('TL12'!$C$238:$C$451,$C356,'TL12'!$J$238:$J$451),0),
IF('TL13'!$B$3=Q$3,SUMIF('TL13'!$C$10:$C$224,$C356,'TL13'!$J$10:$J$224),0),
IF('TL13'!$B$229=Q$3,SUMIF('TL13'!$C$238:$C$451,$C356,'TL13'!$J$238:$J$451),0),
IF('TL14'!$B$3=Q$3,SUMIF('TL14'!$C$10:$C$224,$C356,'TL14'!$J$10:$J$224),0),
IF('TL14'!$B$229=Q$3,SUMIF('TL14'!$C$238:$C$451,$C356,'TL14'!$J$238:$J$451),0),
IF('TL15'!$B$3=Q$3,SUMIF('TL15'!$C$10:$C$224,$C356,'TL15'!$J$10:$J$224),0),
IF('TL15'!$B$229=Q$3,SUMIF('TL15'!$C$238:$C$451,$C356,'TL15'!$J$238:$J$451),0),
IF('TL16'!$B$3=Q$3,SUMIF('TL16'!$C$10:$C$224,$C356,'TL16'!$J$10:$J$224),0),
IF('TL16'!$B$229=Q$3,SUMIF('TL16'!$C$238:$C$451,$C356,'TL16'!$J$238:$J$451),0),
IF('TL17'!$B$3=Q$3,SUMIF('TL17'!$C$10:$C$224,$C356,'TL17'!$J$10:$J$224),0),
IF('TL17'!$B$229=Q$3,SUMIF('TL17'!$C$238:$C$451,$C356,'TL17'!$J$238:$J$451),0),
IF('TL18'!$B$3=Q$3,SUMIF('TL18'!$C$10:$C$224,$C356,'TL18'!$J$10:$J$224),0),
IF('TL18'!$B$229=Q$3,SUMIF('TL18'!$C$238:$C$451,$C356,'TL18'!$J$238:$J$451),0),
IF('TL19'!$B$3=Q$3,SUMIF('TL19'!$C$10:$C$224,$C356,'TL19'!$J$10:$J$224),0),
IF('TL19'!$B$229=Q$3,SUMIF('TL19'!$C$238:$C$451,$C356,'TL19'!$J$238:$J$451),0)
),0)</f>
        <v/>
      </c>
      <c r="R356" s="9">
        <f>IFERROR(
SUM(
SUMIF('TL01'!C:C,C356,'TL01'!J:J),
SUMIF('TL02'!C:C,C356,'TL02'!J:J),
SUMIF('TL03'!C:C,C356,'TL03'!J:J),
SUMIF('TL04'!C:C,C356,'TL04'!J:J),
SUMIF('TL05'!C:C,C356,'TL05'!J:J),
SUMIF('TL06'!C:C,C356,'TL06'!J:J),
SUMIF('TL07'!C:C,C356,'TL07'!J:J),
SUMIF('TL08'!C:C,C356,'TL08'!J:J),
SUMIF('TL09'!C:C,C356,'TL09'!J:J),
SUMIF('TL10'!C:C,C356,'TL10'!J:J),
SUMIF('TL11'!C:C,C356,'TL11'!J:J),
SUMIF('TL12'!C:C,C356,'TL12'!J:J),
SUMIF('TL13'!C:C,C356,'TL13'!J:J),
SUMIF('TL14'!C:C,C356,'TL14'!J:J),
SUMIF('TL15'!C:C,C356,'TL15'!J:J),
SUMIF('TL16'!C:C,C356,'TL16'!J:J),
SUMIF('TL17'!C:C,C356,'TL17'!J:J),
SUMIF('TL18'!C:C,C356,'TL18'!J:J),SUMIF('TL19'!C:C,C356,'TL19'!J:J))
,0)</f>
        <v/>
      </c>
      <c r="S356" s="17">
        <f>IFERROR(__xludf.DUMMYFUNCTION("IFERROR(VLOOKUP(C356,
IMPORTRANGE(""1wULbzX32WdYsx-lj2U3uUNBBe2INVIRDtcK0d-Dvl90"",
""26-27!C:G""),
5,
FALSE),
"""")"),42.64)</f>
        <v/>
      </c>
      <c r="T356" s="9" t="n"/>
      <c r="U356" s="92">
        <f>MAX(0,R356-T356)</f>
        <v/>
      </c>
      <c r="V356" s="93">
        <f>U356*S356</f>
        <v/>
      </c>
    </row>
    <row r="357" hidden="1" ht="15.75" customHeight="1" s="297">
      <c r="A357" s="4" t="inlineStr">
        <is>
          <t>SOLUBIO</t>
        </is>
      </c>
      <c r="B357" s="4" t="inlineStr">
        <is>
          <t>BIOLÓGICOS</t>
        </is>
      </c>
      <c r="C357" s="128" t="inlineStr">
        <is>
          <t>Now Cover</t>
        </is>
      </c>
      <c r="D357" s="129" t="inlineStr">
        <is>
          <t>Purpureocillium lilacinum</t>
        </is>
      </c>
      <c r="E357" s="20" t="n"/>
      <c r="F357" s="4" t="inlineStr">
        <is>
          <t>L</t>
        </is>
      </c>
      <c r="G357" s="90">
        <f>HYPERLINK("https://www.google.com/search?q=" &amp; C357 &amp; "+bula+agrofit+pdf", "📄 Ver bula")</f>
        <v/>
      </c>
      <c r="H357" s="4" t="n">
        <v>2</v>
      </c>
      <c r="I357" s="123" t="inlineStr">
        <is>
          <t>4X5</t>
        </is>
      </c>
      <c r="J357" s="9">
        <f>IFERROR(SUM(
IF('TL01'!$B$3=J$3,SUMIF('TL01'!$C$10:$C$224,$C357,'TL01'!$J$10:$J$224),0),
IF('TL01'!$B$229=J$3,SUMIF('TL01'!$C$238:$C$451,$C357,'TL01'!$J$238:$J$451),0),
IF('TL02'!$B$3=J$3,SUMIF('TL02'!$C$10:$C$224,$C357,'TL02'!$J$10:$J$224),0),
IF('TL02'!$B$229=J$3,SUMIF('TL02'!$C$238:$C$451,$C357,'TL02'!$J$238:$J$451),0),
IF('TL03'!$B$3=J$3,SUMIF('TL03'!$C$10:$C$224,$C357,'TL03'!$J$10:$J$224),0),
IF('TL03'!$B$229=J$3,SUMIF('TL03'!$C$238:$C$451,$C357,'TL03'!$J$238:$J$451),0),
IF('TL04'!$B$3=J$3,SUMIF('TL04'!$C$10:$C$224,$C357,'TL04'!$J$10:$J$224),0),
IF('TL04'!$B$229=J$3,SUMIF('TL04'!$C$238:$C$451,$C357,'TL04'!$J$238:$J$451),0),
IF('TL05'!$B$3=J$3,SUMIF('TL05'!$C$10:$C$224,$C357,'TL05'!$J$10:$J$224),0),
IF('TL05'!$B$229=J$3,SUMIF('TL05'!$C$238:$C$451,$C357,'TL05'!$J$238:$J$451),0),
IF('TL06'!$B$3=J$3,SUMIF('TL06'!$C$10:$C$224,$C357,'TL06'!$J$10:$J$224),0),
IF('TL06'!$B$229=J$3,SUMIF('TL06'!$C$238:$C$451,$C357,'TL06'!$J$238:$J$451),0),
IF('TL07'!$B$3=J$3,SUMIF('TL07'!$C$10:$C$224,$C357,'TL07'!$J$10:$J$224),0),
IF('TL07'!$B$229=J$3,SUMIF('TL07'!$C$238:$C$451,$C357,'TL07'!$J$238:$J$451),0),
IF('TL08'!$B$3=J$3,SUMIF('TL08'!$C$10:$C$224,$C357,'TL08'!$J$10:$J$224),0),
IF('TL08'!$B$229=J$3,SUMIF('TL08'!$C$238:$C$451,$C357,'TL08'!$J$238:$J$451),0),
IF('TL09'!$B$3=J$3,SUMIF('TL09'!$C$10:$C$224,$C357,'TL09'!$J$10:$J$224),0),
IF('TL09'!$B$229=J$3,SUMIF('TL09'!$C$238:$C$451,$C357,'TL09'!$J$238:$J$451),0),
IF('TL10'!$B$3=J$3,SUMIF('TL10'!$C$10:$C$224,$C357,'TL10'!$J$10:$J$224),0),
IF('TL10'!$B$229=J$3,SUMIF('TL10'!$C$238:$C$451,$C357,'TL10'!$J$238:$J$451),0),
IF('TL11'!$B$3=J$3,SUMIF('TL11'!$C$10:$C$224,$C357,'TL11'!$J$10:$J$224),0),
IF('TL11'!$B$229=J$3,SUMIF('TL11'!$C$238:$C$451,$C357,'TL11'!$J$238:$J$451),0),
IF('TL12'!$B$3=J$3,SUMIF('TL12'!$C$10:$C$224,$C357,'TL12'!$J$10:$J$224),0),
IF('TL12'!$B$229=J$3,SUMIF('TL12'!$C$238:$C$451,$C357,'TL12'!$J$238:$J$451),0),
IF('TL13'!$B$3=J$3,SUMIF('TL13'!$C$10:$C$224,$C357,'TL13'!$J$10:$J$224),0),
IF('TL13'!$B$229=J$3,SUMIF('TL13'!$C$238:$C$451,$C357,'TL13'!$J$238:$J$451),0),
IF('TL14'!$B$3=J$3,SUMIF('TL14'!$C$10:$C$224,$C357,'TL14'!$J$10:$J$224),0),
IF('TL14'!$B$229=J$3,SUMIF('TL14'!$C$238:$C$451,$C357,'TL14'!$J$238:$J$451),0),
IF('TL15'!$B$3=J$3,SUMIF('TL15'!$C$10:$C$224,$C357,'TL15'!$J$10:$J$224),0),
IF('TL15'!$B$229=J$3,SUMIF('TL15'!$C$238:$C$451,$C357,'TL15'!$J$238:$J$451),0),
IF('TL16'!$B$3=J$3,SUMIF('TL16'!$C$10:$C$224,$C357,'TL16'!$J$10:$J$224),0),
IF('TL16'!$B$229=J$3,SUMIF('TL16'!$C$238:$C$451,$C357,'TL16'!$J$238:$J$451),0),
IF('TL17'!$B$3=J$3,SUMIF('TL17'!$C$10:$C$224,$C357,'TL17'!$J$10:$J$224),0),
IF('TL17'!$B$229=J$3,SUMIF('TL17'!$C$238:$C$451,$C357,'TL17'!$J$238:$J$451),0),
IF('TL18'!$B$3=J$3,SUMIF('TL18'!$C$10:$C$224,$C357,'TL18'!$J$10:$J$224),0),
IF('TL18'!$B$229=J$3,SUMIF('TL18'!$C$238:$C$451,$C357,'TL18'!$J$238:$J$451),0),
IF('TL19'!$B$3=J$3,SUMIF('TL19'!$C$10:$C$224,$C357,'TL19'!$J$10:$J$224),0),
IF('TL19'!$B$229=J$3,SUMIF('TL19'!$C$238:$C$451,$C357,'TL19'!$J$238:$J$451),0)
),0)</f>
        <v/>
      </c>
      <c r="K357" s="9">
        <f>IFERROR(SUM(
IF('TL01'!$B$3=K$3,SUMIF('TL01'!$C$10:$C$224,$C357,'TL01'!$J$10:$J$224),0),
IF('TL01'!$B$229=K$3,SUMIF('TL01'!$C$238:$C$451,$C357,'TL01'!$J$238:$J$451),0),
IF('TL02'!$B$3=K$3,SUMIF('TL02'!$C$10:$C$224,$C357,'TL02'!$J$10:$J$224),0),
IF('TL02'!$B$229=K$3,SUMIF('TL02'!$C$238:$C$451,$C357,'TL02'!$J$238:$J$451),0),
IF('TL03'!$B$3=K$3,SUMIF('TL03'!$C$10:$C$224,$C357,'TL03'!$J$10:$J$224),0),
IF('TL03'!$B$229=K$3,SUMIF('TL03'!$C$238:$C$451,$C357,'TL03'!$J$238:$J$451),0),
IF('TL04'!$B$3=K$3,SUMIF('TL04'!$C$10:$C$224,$C357,'TL04'!$J$10:$J$224),0),
IF('TL04'!$B$229=K$3,SUMIF('TL04'!$C$238:$C$451,$C357,'TL04'!$J$238:$J$451),0),
IF('TL05'!$B$3=K$3,SUMIF('TL05'!$C$10:$C$224,$C357,'TL05'!$J$10:$J$224),0),
IF('TL05'!$B$229=K$3,SUMIF('TL05'!$C$238:$C$451,$C357,'TL05'!$J$238:$J$451),0),
IF('TL06'!$B$3=K$3,SUMIF('TL06'!$C$10:$C$224,$C357,'TL06'!$J$10:$J$224),0),
IF('TL06'!$B$229=K$3,SUMIF('TL06'!$C$238:$C$451,$C357,'TL06'!$J$238:$J$451),0),
IF('TL07'!$B$3=K$3,SUMIF('TL07'!$C$10:$C$224,$C357,'TL07'!$J$10:$J$224),0),
IF('TL07'!$B$229=K$3,SUMIF('TL07'!$C$238:$C$451,$C357,'TL07'!$J$238:$J$451),0),
IF('TL08'!$B$3=K$3,SUMIF('TL08'!$C$10:$C$224,$C357,'TL08'!$J$10:$J$224),0),
IF('TL08'!$B$229=K$3,SUMIF('TL08'!$C$238:$C$451,$C357,'TL08'!$J$238:$J$451),0),
IF('TL09'!$B$3=K$3,SUMIF('TL09'!$C$10:$C$224,$C357,'TL09'!$J$10:$J$224),0),
IF('TL09'!$B$229=K$3,SUMIF('TL09'!$C$238:$C$451,$C357,'TL09'!$J$238:$J$451),0),
IF('TL10'!$B$3=K$3,SUMIF('TL10'!$C$10:$C$224,$C357,'TL10'!$J$10:$J$224),0),
IF('TL10'!$B$229=K$3,SUMIF('TL10'!$C$238:$C$451,$C357,'TL10'!$J$238:$J$451),0),
IF('TL11'!$B$3=K$3,SUMIF('TL11'!$C$10:$C$224,$C357,'TL11'!$J$10:$J$224),0),
IF('TL11'!$B$229=K$3,SUMIF('TL11'!$C$238:$C$451,$C357,'TL11'!$J$238:$J$451),0),
IF('TL12'!$B$3=K$3,SUMIF('TL12'!$C$10:$C$224,$C357,'TL12'!$J$10:$J$224),0),
IF('TL12'!$B$229=K$3,SUMIF('TL12'!$C$238:$C$451,$C357,'TL12'!$J$238:$J$451),0),
IF('TL13'!$B$3=K$3,SUMIF('TL13'!$C$10:$C$224,$C357,'TL13'!$J$10:$J$224),0),
IF('TL13'!$B$229=K$3,SUMIF('TL13'!$C$238:$C$451,$C357,'TL13'!$J$238:$J$451),0),
IF('TL14'!$B$3=K$3,SUMIF('TL14'!$C$10:$C$224,$C357,'TL14'!$J$10:$J$224),0),
IF('TL14'!$B$229=K$3,SUMIF('TL14'!$C$238:$C$451,$C357,'TL14'!$J$238:$J$451),0),
IF('TL15'!$B$3=K$3,SUMIF('TL15'!$C$10:$C$224,$C357,'TL15'!$J$10:$J$224),0),
IF('TL15'!$B$229=K$3,SUMIF('TL15'!$C$238:$C$451,$C357,'TL15'!$J$238:$J$451),0),
IF('TL16'!$B$3=K$3,SUMIF('TL16'!$C$10:$C$224,$C357,'TL16'!$J$10:$J$224),0),
IF('TL16'!$B$229=K$3,SUMIF('TL16'!$C$238:$C$451,$C357,'TL16'!$J$238:$J$451),0),
IF('TL17'!$B$3=K$3,SUMIF('TL17'!$C$10:$C$224,$C357,'TL17'!$J$10:$J$224),0),
IF('TL17'!$B$229=K$3,SUMIF('TL17'!$C$238:$C$451,$C357,'TL17'!$J$238:$J$451),0),
IF('TL18'!$B$3=K$3,SUMIF('TL18'!$C$10:$C$224,$C357,'TL18'!$J$10:$J$224),0),
IF('TL18'!$B$229=K$3,SUMIF('TL18'!$C$238:$C$451,$C357,'TL18'!$J$238:$J$451),0),
IF('TL19'!$B$3=K$3,SUMIF('TL19'!$C$10:$C$224,$C357,'TL19'!$J$10:$J$224),0),
IF('TL19'!$B$229=K$3,SUMIF('TL19'!$C$238:$C$451,$C357,'TL19'!$J$238:$J$451),0)
),0)</f>
        <v/>
      </c>
      <c r="L357" s="9">
        <f>IFERROR(SUM(
IF('TL01'!$B$3=L$3,SUMIF('TL01'!$C$10:$C$224,$C357,'TL01'!$J$10:$J$224),0),
IF('TL01'!$B$229=L$3,SUMIF('TL01'!$C$238:$C$451,$C357,'TL01'!$J$238:$J$451),0),
IF('TL02'!$B$3=L$3,SUMIF('TL02'!$C$10:$C$224,$C357,'TL02'!$J$10:$J$224),0),
IF('TL02'!$B$229=L$3,SUMIF('TL02'!$C$238:$C$451,$C357,'TL02'!$J$238:$J$451),0),
IF('TL03'!$B$3=L$3,SUMIF('TL03'!$C$10:$C$224,$C357,'TL03'!$J$10:$J$224),0),
IF('TL03'!$B$229=L$3,SUMIF('TL03'!$C$238:$C$451,$C357,'TL03'!$J$238:$J$451),0),
IF('TL04'!$B$3=L$3,SUMIF('TL04'!$C$10:$C$224,$C357,'TL04'!$J$10:$J$224),0),
IF('TL04'!$B$229=L$3,SUMIF('TL04'!$C$238:$C$451,$C357,'TL04'!$J$238:$J$451),0),
IF('TL05'!$B$3=L$3,SUMIF('TL05'!$C$10:$C$224,$C357,'TL05'!$J$10:$J$224),0),
IF('TL05'!$B$229=L$3,SUMIF('TL05'!$C$238:$C$451,$C357,'TL05'!$J$238:$J$451),0),
IF('TL06'!$B$3=L$3,SUMIF('TL06'!$C$10:$C$224,$C357,'TL06'!$J$10:$J$224),0),
IF('TL06'!$B$229=L$3,SUMIF('TL06'!$C$238:$C$451,$C357,'TL06'!$J$238:$J$451),0),
IF('TL07'!$B$3=L$3,SUMIF('TL07'!$C$10:$C$224,$C357,'TL07'!$J$10:$J$224),0),
IF('TL07'!$B$229=L$3,SUMIF('TL07'!$C$238:$C$451,$C357,'TL07'!$J$238:$J$451),0),
IF('TL08'!$B$3=L$3,SUMIF('TL08'!$C$10:$C$224,$C357,'TL08'!$J$10:$J$224),0),
IF('TL08'!$B$229=L$3,SUMIF('TL08'!$C$238:$C$451,$C357,'TL08'!$J$238:$J$451),0),
IF('TL09'!$B$3=L$3,SUMIF('TL09'!$C$10:$C$224,$C357,'TL09'!$J$10:$J$224),0),
IF('TL09'!$B$229=L$3,SUMIF('TL09'!$C$238:$C$451,$C357,'TL09'!$J$238:$J$451),0),
IF('TL10'!$B$3=L$3,SUMIF('TL10'!$C$10:$C$224,$C357,'TL10'!$J$10:$J$224),0),
IF('TL10'!$B$229=L$3,SUMIF('TL10'!$C$238:$C$451,$C357,'TL10'!$J$238:$J$451),0),
IF('TL11'!$B$3=L$3,SUMIF('TL11'!$C$10:$C$224,$C357,'TL11'!$J$10:$J$224),0),
IF('TL11'!$B$229=L$3,SUMIF('TL11'!$C$238:$C$451,$C357,'TL11'!$J$238:$J$451),0),
IF('TL12'!$B$3=L$3,SUMIF('TL12'!$C$10:$C$224,$C357,'TL12'!$J$10:$J$224),0),
IF('TL12'!$B$229=L$3,SUMIF('TL12'!$C$238:$C$451,$C357,'TL12'!$J$238:$J$451),0),
IF('TL13'!$B$3=L$3,SUMIF('TL13'!$C$10:$C$224,$C357,'TL13'!$J$10:$J$224),0),
IF('TL13'!$B$229=L$3,SUMIF('TL13'!$C$238:$C$451,$C357,'TL13'!$J$238:$J$451),0),
IF('TL14'!$B$3=L$3,SUMIF('TL14'!$C$10:$C$224,$C357,'TL14'!$J$10:$J$224),0),
IF('TL14'!$B$229=L$3,SUMIF('TL14'!$C$238:$C$451,$C357,'TL14'!$J$238:$J$451),0),
IF('TL15'!$B$3=L$3,SUMIF('TL15'!$C$10:$C$224,$C357,'TL15'!$J$10:$J$224),0),
IF('TL15'!$B$229=L$3,SUMIF('TL15'!$C$238:$C$451,$C357,'TL15'!$J$238:$J$451),0),
IF('TL16'!$B$3=L$3,SUMIF('TL16'!$C$10:$C$224,$C357,'TL16'!$J$10:$J$224),0),
IF('TL16'!$B$229=L$3,SUMIF('TL16'!$C$238:$C$451,$C357,'TL16'!$J$238:$J$451),0),
IF('TL17'!$B$3=L$3,SUMIF('TL17'!$C$10:$C$224,$C357,'TL17'!$J$10:$J$224),0),
IF('TL17'!$B$229=L$3,SUMIF('TL17'!$C$238:$C$451,$C357,'TL17'!$J$238:$J$451),0),
IF('TL18'!$B$3=L$3,SUMIF('TL18'!$C$10:$C$224,$C357,'TL18'!$J$10:$J$224),0),
IF('TL18'!$B$229=L$3,SUMIF('TL18'!$C$238:$C$451,$C357,'TL18'!$J$238:$J$451),0),
IF('TL19'!$B$3=L$3,SUMIF('TL19'!$C$10:$C$224,$C357,'TL19'!$J$10:$J$224),0),
IF('TL19'!$B$229=L$3,SUMIF('TL19'!$C$238:$C$451,$C357,'TL19'!$J$238:$J$451),0)
),0)</f>
        <v/>
      </c>
      <c r="M357" s="9">
        <f>IFERROR(SUM(
IF('TL01'!$B$3=M$3,SUMIF('TL01'!$C$10:$C$224,$C357,'TL01'!$J$10:$J$224),0),
IF('TL01'!$B$229=M$3,SUMIF('TL01'!$C$238:$C$451,$C357,'TL01'!$J$238:$J$451),0),
IF('TL02'!$B$3=M$3,SUMIF('TL02'!$C$10:$C$224,$C357,'TL02'!$J$10:$J$224),0),
IF('TL02'!$B$229=M$3,SUMIF('TL02'!$C$238:$C$451,$C357,'TL02'!$J$238:$J$451),0),
IF('TL03'!$B$3=M$3,SUMIF('TL03'!$C$10:$C$224,$C357,'TL03'!$J$10:$J$224),0),
IF('TL03'!$B$229=M$3,SUMIF('TL03'!$C$238:$C$451,$C357,'TL03'!$J$238:$J$451),0),
IF('TL04'!$B$3=M$3,SUMIF('TL04'!$C$10:$C$224,$C357,'TL04'!$J$10:$J$224),0),
IF('TL04'!$B$229=M$3,SUMIF('TL04'!$C$238:$C$451,$C357,'TL04'!$J$238:$J$451),0),
IF('TL05'!$B$3=M$3,SUMIF('TL05'!$C$10:$C$224,$C357,'TL05'!$J$10:$J$224),0),
IF('TL05'!$B$229=M$3,SUMIF('TL05'!$C$238:$C$451,$C357,'TL05'!$J$238:$J$451),0),
IF('TL06'!$B$3=M$3,SUMIF('TL06'!$C$10:$C$224,$C357,'TL06'!$J$10:$J$224),0),
IF('TL06'!$B$229=M$3,SUMIF('TL06'!$C$238:$C$451,$C357,'TL06'!$J$238:$J$451),0),
IF('TL07'!$B$3=M$3,SUMIF('TL07'!$C$10:$C$224,$C357,'TL07'!$J$10:$J$224),0),
IF('TL07'!$B$229=M$3,SUMIF('TL07'!$C$238:$C$451,$C357,'TL07'!$J$238:$J$451),0),
IF('TL08'!$B$3=M$3,SUMIF('TL08'!$C$10:$C$224,$C357,'TL08'!$J$10:$J$224),0),
IF('TL08'!$B$229=M$3,SUMIF('TL08'!$C$238:$C$451,$C357,'TL08'!$J$238:$J$451),0),
IF('TL09'!$B$3=M$3,SUMIF('TL09'!$C$10:$C$224,$C357,'TL09'!$J$10:$J$224),0),
IF('TL09'!$B$229=M$3,SUMIF('TL09'!$C$238:$C$451,$C357,'TL09'!$J$238:$J$451),0),
IF('TL10'!$B$3=M$3,SUMIF('TL10'!$C$10:$C$224,$C357,'TL10'!$J$10:$J$224),0),
IF('TL10'!$B$229=M$3,SUMIF('TL10'!$C$238:$C$451,$C357,'TL10'!$J$238:$J$451),0),
IF('TL11'!$B$3=M$3,SUMIF('TL11'!$C$10:$C$224,$C357,'TL11'!$J$10:$J$224),0),
IF('TL11'!$B$229=M$3,SUMIF('TL11'!$C$238:$C$451,$C357,'TL11'!$J$238:$J$451),0),
IF('TL12'!$B$3=M$3,SUMIF('TL12'!$C$10:$C$224,$C357,'TL12'!$J$10:$J$224),0),
IF('TL12'!$B$229=M$3,SUMIF('TL12'!$C$238:$C$451,$C357,'TL12'!$J$238:$J$451),0),
IF('TL13'!$B$3=M$3,SUMIF('TL13'!$C$10:$C$224,$C357,'TL13'!$J$10:$J$224),0),
IF('TL13'!$B$229=M$3,SUMIF('TL13'!$C$238:$C$451,$C357,'TL13'!$J$238:$J$451),0),
IF('TL14'!$B$3=M$3,SUMIF('TL14'!$C$10:$C$224,$C357,'TL14'!$J$10:$J$224),0),
IF('TL14'!$B$229=M$3,SUMIF('TL14'!$C$238:$C$451,$C357,'TL14'!$J$238:$J$451),0),
IF('TL15'!$B$3=M$3,SUMIF('TL15'!$C$10:$C$224,$C357,'TL15'!$J$10:$J$224),0),
IF('TL15'!$B$229=M$3,SUMIF('TL15'!$C$238:$C$451,$C357,'TL15'!$J$238:$J$451),0),
IF('TL16'!$B$3=M$3,SUMIF('TL16'!$C$10:$C$224,$C357,'TL16'!$J$10:$J$224),0),
IF('TL16'!$B$229=M$3,SUMIF('TL16'!$C$238:$C$451,$C357,'TL16'!$J$238:$J$451),0),
IF('TL17'!$B$3=M$3,SUMIF('TL17'!$C$10:$C$224,$C357,'TL17'!$J$10:$J$224),0),
IF('TL17'!$B$229=M$3,SUMIF('TL17'!$C$238:$C$451,$C357,'TL17'!$J$238:$J$451),0),
IF('TL18'!$B$3=M$3,SUMIF('TL18'!$C$10:$C$224,$C357,'TL18'!$J$10:$J$224),0),
IF('TL18'!$B$229=M$3,SUMIF('TL18'!$C$238:$C$451,$C357,'TL18'!$J$238:$J$451),0),
IF('TL19'!$B$3=M$3,SUMIF('TL19'!$C$10:$C$224,$C357,'TL19'!$J$10:$J$224),0),
IF('TL19'!$B$229=M$3,SUMIF('TL19'!$C$238:$C$451,$C357,'TL19'!$J$238:$J$451),0)
),0)</f>
        <v/>
      </c>
      <c r="N357" s="9">
        <f>IFERROR(SUM(
IF('TL01'!$B$3=N$3,SUMIF('TL01'!$C$10:$C$224,$C357,'TL01'!$J$10:$J$224),0),
IF('TL01'!$B$229=N$3,SUMIF('TL01'!$C$238:$C$451,$C357,'TL01'!$J$238:$J$451),0),
IF('TL02'!$B$3=N$3,SUMIF('TL02'!$C$10:$C$224,$C357,'TL02'!$J$10:$J$224),0),
IF('TL02'!$B$229=N$3,SUMIF('TL02'!$C$238:$C$451,$C357,'TL02'!$J$238:$J$451),0),
IF('TL03'!$B$3=N$3,SUMIF('TL03'!$C$10:$C$224,$C357,'TL03'!$J$10:$J$224),0),
IF('TL03'!$B$229=N$3,SUMIF('TL03'!$C$238:$C$451,$C357,'TL03'!$J$238:$J$451),0),
IF('TL04'!$B$3=N$3,SUMIF('TL04'!$C$10:$C$224,$C357,'TL04'!$J$10:$J$224),0),
IF('TL04'!$B$229=N$3,SUMIF('TL04'!$C$238:$C$451,$C357,'TL04'!$J$238:$J$451),0),
IF('TL05'!$B$3=N$3,SUMIF('TL05'!$C$10:$C$224,$C357,'TL05'!$J$10:$J$224),0),
IF('TL05'!$B$229=N$3,SUMIF('TL05'!$C$238:$C$451,$C357,'TL05'!$J$238:$J$451),0),
IF('TL06'!$B$3=N$3,SUMIF('TL06'!$C$10:$C$224,$C357,'TL06'!$J$10:$J$224),0),
IF('TL06'!$B$229=N$3,SUMIF('TL06'!$C$238:$C$451,$C357,'TL06'!$J$238:$J$451),0),
IF('TL07'!$B$3=N$3,SUMIF('TL07'!$C$10:$C$224,$C357,'TL07'!$J$10:$J$224),0),
IF('TL07'!$B$229=N$3,SUMIF('TL07'!$C$238:$C$451,$C357,'TL07'!$J$238:$J$451),0),
IF('TL08'!$B$3=N$3,SUMIF('TL08'!$C$10:$C$224,$C357,'TL08'!$J$10:$J$224),0),
IF('TL08'!$B$229=N$3,SUMIF('TL08'!$C$238:$C$451,$C357,'TL08'!$J$238:$J$451),0),
IF('TL09'!$B$3=N$3,SUMIF('TL09'!$C$10:$C$224,$C357,'TL09'!$J$10:$J$224),0),
IF('TL09'!$B$229=N$3,SUMIF('TL09'!$C$238:$C$451,$C357,'TL09'!$J$238:$J$451),0),
IF('TL10'!$B$3=N$3,SUMIF('TL10'!$C$10:$C$224,$C357,'TL10'!$J$10:$J$224),0),
IF('TL10'!$B$229=N$3,SUMIF('TL10'!$C$238:$C$451,$C357,'TL10'!$J$238:$J$451),0),
IF('TL11'!$B$3=N$3,SUMIF('TL11'!$C$10:$C$224,$C357,'TL11'!$J$10:$J$224),0),
IF('TL11'!$B$229=N$3,SUMIF('TL11'!$C$238:$C$451,$C357,'TL11'!$J$238:$J$451),0),
IF('TL12'!$B$3=N$3,SUMIF('TL12'!$C$10:$C$224,$C357,'TL12'!$J$10:$J$224),0),
IF('TL12'!$B$229=N$3,SUMIF('TL12'!$C$238:$C$451,$C357,'TL12'!$J$238:$J$451),0),
IF('TL13'!$B$3=N$3,SUMIF('TL13'!$C$10:$C$224,$C357,'TL13'!$J$10:$J$224),0),
IF('TL13'!$B$229=N$3,SUMIF('TL13'!$C$238:$C$451,$C357,'TL13'!$J$238:$J$451),0),
IF('TL14'!$B$3=N$3,SUMIF('TL14'!$C$10:$C$224,$C357,'TL14'!$J$10:$J$224),0),
IF('TL14'!$B$229=N$3,SUMIF('TL14'!$C$238:$C$451,$C357,'TL14'!$J$238:$J$451),0),
IF('TL15'!$B$3=N$3,SUMIF('TL15'!$C$10:$C$224,$C357,'TL15'!$J$10:$J$224),0),
IF('TL15'!$B$229=N$3,SUMIF('TL15'!$C$238:$C$451,$C357,'TL15'!$J$238:$J$451),0),
IF('TL16'!$B$3=N$3,SUMIF('TL16'!$C$10:$C$224,$C357,'TL16'!$J$10:$J$224),0),
IF('TL16'!$B$229=N$3,SUMIF('TL16'!$C$238:$C$451,$C357,'TL16'!$J$238:$J$451),0),
IF('TL17'!$B$3=N$3,SUMIF('TL17'!$C$10:$C$224,$C357,'TL17'!$J$10:$J$224),0),
IF('TL17'!$B$229=N$3,SUMIF('TL17'!$C$238:$C$451,$C357,'TL17'!$J$238:$J$451),0),
IF('TL18'!$B$3=N$3,SUMIF('TL18'!$C$10:$C$224,$C357,'TL18'!$J$10:$J$224),0),
IF('TL18'!$B$229=N$3,SUMIF('TL18'!$C$238:$C$451,$C357,'TL18'!$J$238:$J$451),0),
IF('TL19'!$B$3=N$3,SUMIF('TL19'!$C$10:$C$224,$C357,'TL19'!$J$10:$J$224),0),
IF('TL19'!$B$229=N$3,SUMIF('TL19'!$C$238:$C$451,$C357,'TL19'!$J$238:$J$451),0)
),0)</f>
        <v/>
      </c>
      <c r="O357" s="9">
        <f>IFERROR(SUM(
IF('TL01'!$B$3=O$3,SUMIF('TL01'!$C$10:$C$224,$C357,'TL01'!$J$10:$J$224),0),
IF('TL01'!$B$229=O$3,SUMIF('TL01'!$C$238:$C$451,$C357,'TL01'!$J$238:$J$451),0),
IF('TL02'!$B$3=O$3,SUMIF('TL02'!$C$10:$C$224,$C357,'TL02'!$J$10:$J$224),0),
IF('TL02'!$B$229=O$3,SUMIF('TL02'!$C$238:$C$451,$C357,'TL02'!$J$238:$J$451),0),
IF('TL03'!$B$3=O$3,SUMIF('TL03'!$C$10:$C$224,$C357,'TL03'!$J$10:$J$224),0),
IF('TL03'!$B$229=O$3,SUMIF('TL03'!$C$238:$C$451,$C357,'TL03'!$J$238:$J$451),0),
IF('TL04'!$B$3=O$3,SUMIF('TL04'!$C$10:$C$224,$C357,'TL04'!$J$10:$J$224),0),
IF('TL04'!$B$229=O$3,SUMIF('TL04'!$C$238:$C$451,$C357,'TL04'!$J$238:$J$451),0),
IF('TL05'!$B$3=O$3,SUMIF('TL05'!$C$10:$C$224,$C357,'TL05'!$J$10:$J$224),0),
IF('TL05'!$B$229=O$3,SUMIF('TL05'!$C$238:$C$451,$C357,'TL05'!$J$238:$J$451),0),
IF('TL06'!$B$3=O$3,SUMIF('TL06'!$C$10:$C$224,$C357,'TL06'!$J$10:$J$224),0),
IF('TL06'!$B$229=O$3,SUMIF('TL06'!$C$238:$C$451,$C357,'TL06'!$J$238:$J$451),0),
IF('TL07'!$B$3=O$3,SUMIF('TL07'!$C$10:$C$224,$C357,'TL07'!$J$10:$J$224),0),
IF('TL07'!$B$229=O$3,SUMIF('TL07'!$C$238:$C$451,$C357,'TL07'!$J$238:$J$451),0),
IF('TL08'!$B$3=O$3,SUMIF('TL08'!$C$10:$C$224,$C357,'TL08'!$J$10:$J$224),0),
IF('TL08'!$B$229=O$3,SUMIF('TL08'!$C$238:$C$451,$C357,'TL08'!$J$238:$J$451),0),
IF('TL09'!$B$3=O$3,SUMIF('TL09'!$C$10:$C$224,$C357,'TL09'!$J$10:$J$224),0),
IF('TL09'!$B$229=O$3,SUMIF('TL09'!$C$238:$C$451,$C357,'TL09'!$J$238:$J$451),0),
IF('TL10'!$B$3=O$3,SUMIF('TL10'!$C$10:$C$224,$C357,'TL10'!$J$10:$J$224),0),
IF('TL10'!$B$229=O$3,SUMIF('TL10'!$C$238:$C$451,$C357,'TL10'!$J$238:$J$451),0),
IF('TL11'!$B$3=O$3,SUMIF('TL11'!$C$10:$C$224,$C357,'TL11'!$J$10:$J$224),0),
IF('TL11'!$B$229=O$3,SUMIF('TL11'!$C$238:$C$451,$C357,'TL11'!$J$238:$J$451),0),
IF('TL12'!$B$3=O$3,SUMIF('TL12'!$C$10:$C$224,$C357,'TL12'!$J$10:$J$224),0),
IF('TL12'!$B$229=O$3,SUMIF('TL12'!$C$238:$C$451,$C357,'TL12'!$J$238:$J$451),0),
IF('TL13'!$B$3=O$3,SUMIF('TL13'!$C$10:$C$224,$C357,'TL13'!$J$10:$J$224),0),
IF('TL13'!$B$229=O$3,SUMIF('TL13'!$C$238:$C$451,$C357,'TL13'!$J$238:$J$451),0),
IF('TL14'!$B$3=O$3,SUMIF('TL14'!$C$10:$C$224,$C357,'TL14'!$J$10:$J$224),0),
IF('TL14'!$B$229=O$3,SUMIF('TL14'!$C$238:$C$451,$C357,'TL14'!$J$238:$J$451),0),
IF('TL15'!$B$3=O$3,SUMIF('TL15'!$C$10:$C$224,$C357,'TL15'!$J$10:$J$224),0),
IF('TL15'!$B$229=O$3,SUMIF('TL15'!$C$238:$C$451,$C357,'TL15'!$J$238:$J$451),0),
IF('TL16'!$B$3=O$3,SUMIF('TL16'!$C$10:$C$224,$C357,'TL16'!$J$10:$J$224),0),
IF('TL16'!$B$229=O$3,SUMIF('TL16'!$C$238:$C$451,$C357,'TL16'!$J$238:$J$451),0),
IF('TL17'!$B$3=O$3,SUMIF('TL17'!$C$10:$C$224,$C357,'TL17'!$J$10:$J$224),0),
IF('TL17'!$B$229=O$3,SUMIF('TL17'!$C$238:$C$451,$C357,'TL17'!$J$238:$J$451),0),
IF('TL18'!$B$3=O$3,SUMIF('TL18'!$C$10:$C$224,$C357,'TL18'!$J$10:$J$224),0),
IF('TL18'!$B$229=O$3,SUMIF('TL18'!$C$238:$C$451,$C357,'TL18'!$J$238:$J$451),0),
IF('TL19'!$B$3=O$3,SUMIF('TL19'!$C$10:$C$224,$C357,'TL19'!$J$10:$J$224),0),
IF('TL19'!$B$229=O$3,SUMIF('TL19'!$C$238:$C$451,$C357,'TL19'!$J$238:$J$451),0)
),0)</f>
        <v/>
      </c>
      <c r="P357" s="9">
        <f>IFERROR(SUM(
IF('TL01'!$B$3=P$3,SUMIF('TL01'!$C$10:$C$224,$C357,'TL01'!$J$10:$J$224),0),
IF('TL01'!$B$229=P$3,SUMIF('TL01'!$C$238:$C$451,$C357,'TL01'!$J$238:$J$451),0),
IF('TL02'!$B$3=P$3,SUMIF('TL02'!$C$10:$C$224,$C357,'TL02'!$J$10:$J$224),0),
IF('TL02'!$B$229=P$3,SUMIF('TL02'!$C$238:$C$451,$C357,'TL02'!$J$238:$J$451),0),
IF('TL03'!$B$3=P$3,SUMIF('TL03'!$C$10:$C$224,$C357,'TL03'!$J$10:$J$224),0),
IF('TL03'!$B$229=P$3,SUMIF('TL03'!$C$238:$C$451,$C357,'TL03'!$J$238:$J$451),0),
IF('TL04'!$B$3=P$3,SUMIF('TL04'!$C$10:$C$224,$C357,'TL04'!$J$10:$J$224),0),
IF('TL04'!$B$229=P$3,SUMIF('TL04'!$C$238:$C$451,$C357,'TL04'!$J$238:$J$451),0),
IF('TL05'!$B$3=P$3,SUMIF('TL05'!$C$10:$C$224,$C357,'TL05'!$J$10:$J$224),0),
IF('TL05'!$B$229=P$3,SUMIF('TL05'!$C$238:$C$451,$C357,'TL05'!$J$238:$J$451),0),
IF('TL06'!$B$3=P$3,SUMIF('TL06'!$C$10:$C$224,$C357,'TL06'!$J$10:$J$224),0),
IF('TL06'!$B$229=P$3,SUMIF('TL06'!$C$238:$C$451,$C357,'TL06'!$J$238:$J$451),0),
IF('TL07'!$B$3=P$3,SUMIF('TL07'!$C$10:$C$224,$C357,'TL07'!$J$10:$J$224),0),
IF('TL07'!$B$229=P$3,SUMIF('TL07'!$C$238:$C$451,$C357,'TL07'!$J$238:$J$451),0),
IF('TL08'!$B$3=P$3,SUMIF('TL08'!$C$10:$C$224,$C357,'TL08'!$J$10:$J$224),0),
IF('TL08'!$B$229=P$3,SUMIF('TL08'!$C$238:$C$451,$C357,'TL08'!$J$238:$J$451),0),
IF('TL09'!$B$3=P$3,SUMIF('TL09'!$C$10:$C$224,$C357,'TL09'!$J$10:$J$224),0),
IF('TL09'!$B$229=P$3,SUMIF('TL09'!$C$238:$C$451,$C357,'TL09'!$J$238:$J$451),0),
IF('TL10'!$B$3=P$3,SUMIF('TL10'!$C$10:$C$224,$C357,'TL10'!$J$10:$J$224),0),
IF('TL10'!$B$229=P$3,SUMIF('TL10'!$C$238:$C$451,$C357,'TL10'!$J$238:$J$451),0),
IF('TL11'!$B$3=P$3,SUMIF('TL11'!$C$10:$C$224,$C357,'TL11'!$J$10:$J$224),0),
IF('TL11'!$B$229=P$3,SUMIF('TL11'!$C$238:$C$451,$C357,'TL11'!$J$238:$J$451),0),
IF('TL12'!$B$3=P$3,SUMIF('TL12'!$C$10:$C$224,$C357,'TL12'!$J$10:$J$224),0),
IF('TL12'!$B$229=P$3,SUMIF('TL12'!$C$238:$C$451,$C357,'TL12'!$J$238:$J$451),0),
IF('TL13'!$B$3=P$3,SUMIF('TL13'!$C$10:$C$224,$C357,'TL13'!$J$10:$J$224),0),
IF('TL13'!$B$229=P$3,SUMIF('TL13'!$C$238:$C$451,$C357,'TL13'!$J$238:$J$451),0),
IF('TL14'!$B$3=P$3,SUMIF('TL14'!$C$10:$C$224,$C357,'TL14'!$J$10:$J$224),0),
IF('TL14'!$B$229=P$3,SUMIF('TL14'!$C$238:$C$451,$C357,'TL14'!$J$238:$J$451),0),
IF('TL15'!$B$3=P$3,SUMIF('TL15'!$C$10:$C$224,$C357,'TL15'!$J$10:$J$224),0),
IF('TL15'!$B$229=P$3,SUMIF('TL15'!$C$238:$C$451,$C357,'TL15'!$J$238:$J$451),0),
IF('TL16'!$B$3=P$3,SUMIF('TL16'!$C$10:$C$224,$C357,'TL16'!$J$10:$J$224),0),
IF('TL16'!$B$229=P$3,SUMIF('TL16'!$C$238:$C$451,$C357,'TL16'!$J$238:$J$451),0),
IF('TL17'!$B$3=P$3,SUMIF('TL17'!$C$10:$C$224,$C357,'TL17'!$J$10:$J$224),0),
IF('TL17'!$B$229=P$3,SUMIF('TL17'!$C$238:$C$451,$C357,'TL17'!$J$238:$J$451),0),
IF('TL18'!$B$3=P$3,SUMIF('TL18'!$C$10:$C$224,$C357,'TL18'!$J$10:$J$224),0),
IF('TL18'!$B$229=P$3,SUMIF('TL18'!$C$238:$C$451,$C357,'TL18'!$J$238:$J$451),0),
IF('TL19'!$B$3=P$3,SUMIF('TL19'!$C$10:$C$224,$C357,'TL19'!$J$10:$J$224),0),
IF('TL19'!$B$229=P$3,SUMIF('TL19'!$C$238:$C$451,$C357,'TL19'!$J$238:$J$451),0)
),0)</f>
        <v/>
      </c>
      <c r="Q357" s="9">
        <f>IFERROR(SUM(
IF('TL01'!$B$3=Q$3,SUMIF('TL01'!$C$10:$C$224,$C357,'TL01'!$J$10:$J$224),0),
IF('TL01'!$B$229=Q$3,SUMIF('TL01'!$C$238:$C$451,$C357,'TL01'!$J$238:$J$451),0),
IF('TL02'!$B$3=Q$3,SUMIF('TL02'!$C$10:$C$224,$C357,'TL02'!$J$10:$J$224),0),
IF('TL02'!$B$229=Q$3,SUMIF('TL02'!$C$238:$C$451,$C357,'TL02'!$J$238:$J$451),0),
IF('TL03'!$B$3=Q$3,SUMIF('TL03'!$C$10:$C$224,$C357,'TL03'!$J$10:$J$224),0),
IF('TL03'!$B$229=Q$3,SUMIF('TL03'!$C$238:$C$451,$C357,'TL03'!$J$238:$J$451),0),
IF('TL04'!$B$3=Q$3,SUMIF('TL04'!$C$10:$C$224,$C357,'TL04'!$J$10:$J$224),0),
IF('TL04'!$B$229=Q$3,SUMIF('TL04'!$C$238:$C$451,$C357,'TL04'!$J$238:$J$451),0),
IF('TL05'!$B$3=Q$3,SUMIF('TL05'!$C$10:$C$224,$C357,'TL05'!$J$10:$J$224),0),
IF('TL05'!$B$229=Q$3,SUMIF('TL05'!$C$238:$C$451,$C357,'TL05'!$J$238:$J$451),0),
IF('TL06'!$B$3=Q$3,SUMIF('TL06'!$C$10:$C$224,$C357,'TL06'!$J$10:$J$224),0),
IF('TL06'!$B$229=Q$3,SUMIF('TL06'!$C$238:$C$451,$C357,'TL06'!$J$238:$J$451),0),
IF('TL07'!$B$3=Q$3,SUMIF('TL07'!$C$10:$C$224,$C357,'TL07'!$J$10:$J$224),0),
IF('TL07'!$B$229=Q$3,SUMIF('TL07'!$C$238:$C$451,$C357,'TL07'!$J$238:$J$451),0),
IF('TL08'!$B$3=Q$3,SUMIF('TL08'!$C$10:$C$224,$C357,'TL08'!$J$10:$J$224),0),
IF('TL08'!$B$229=Q$3,SUMIF('TL08'!$C$238:$C$451,$C357,'TL08'!$J$238:$J$451),0),
IF('TL09'!$B$3=Q$3,SUMIF('TL09'!$C$10:$C$224,$C357,'TL09'!$J$10:$J$224),0),
IF('TL09'!$B$229=Q$3,SUMIF('TL09'!$C$238:$C$451,$C357,'TL09'!$J$238:$J$451),0),
IF('TL10'!$B$3=Q$3,SUMIF('TL10'!$C$10:$C$224,$C357,'TL10'!$J$10:$J$224),0),
IF('TL10'!$B$229=Q$3,SUMIF('TL10'!$C$238:$C$451,$C357,'TL10'!$J$238:$J$451),0),
IF('TL11'!$B$3=Q$3,SUMIF('TL11'!$C$10:$C$224,$C357,'TL11'!$J$10:$J$224),0),
IF('TL11'!$B$229=Q$3,SUMIF('TL11'!$C$238:$C$451,$C357,'TL11'!$J$238:$J$451),0),
IF('TL12'!$B$3=Q$3,SUMIF('TL12'!$C$10:$C$224,$C357,'TL12'!$J$10:$J$224),0),
IF('TL12'!$B$229=Q$3,SUMIF('TL12'!$C$238:$C$451,$C357,'TL12'!$J$238:$J$451),0),
IF('TL13'!$B$3=Q$3,SUMIF('TL13'!$C$10:$C$224,$C357,'TL13'!$J$10:$J$224),0),
IF('TL13'!$B$229=Q$3,SUMIF('TL13'!$C$238:$C$451,$C357,'TL13'!$J$238:$J$451),0),
IF('TL14'!$B$3=Q$3,SUMIF('TL14'!$C$10:$C$224,$C357,'TL14'!$J$10:$J$224),0),
IF('TL14'!$B$229=Q$3,SUMIF('TL14'!$C$238:$C$451,$C357,'TL14'!$J$238:$J$451),0),
IF('TL15'!$B$3=Q$3,SUMIF('TL15'!$C$10:$C$224,$C357,'TL15'!$J$10:$J$224),0),
IF('TL15'!$B$229=Q$3,SUMIF('TL15'!$C$238:$C$451,$C357,'TL15'!$J$238:$J$451),0),
IF('TL16'!$B$3=Q$3,SUMIF('TL16'!$C$10:$C$224,$C357,'TL16'!$J$10:$J$224),0),
IF('TL16'!$B$229=Q$3,SUMIF('TL16'!$C$238:$C$451,$C357,'TL16'!$J$238:$J$451),0),
IF('TL17'!$B$3=Q$3,SUMIF('TL17'!$C$10:$C$224,$C357,'TL17'!$J$10:$J$224),0),
IF('TL17'!$B$229=Q$3,SUMIF('TL17'!$C$238:$C$451,$C357,'TL17'!$J$238:$J$451),0),
IF('TL18'!$B$3=Q$3,SUMIF('TL18'!$C$10:$C$224,$C357,'TL18'!$J$10:$J$224),0),
IF('TL18'!$B$229=Q$3,SUMIF('TL18'!$C$238:$C$451,$C357,'TL18'!$J$238:$J$451),0),
IF('TL19'!$B$3=Q$3,SUMIF('TL19'!$C$10:$C$224,$C357,'TL19'!$J$10:$J$224),0),
IF('TL19'!$B$229=Q$3,SUMIF('TL19'!$C$238:$C$451,$C357,'TL19'!$J$238:$J$451),0)
),0)</f>
        <v/>
      </c>
      <c r="R357" s="9">
        <f>IFERROR(
SUM(
SUMIF('TL01'!C:C,C357,'TL01'!J:J),
SUMIF('TL02'!C:C,C357,'TL02'!J:J),
SUMIF('TL03'!C:C,C357,'TL03'!J:J),
SUMIF('TL04'!C:C,C357,'TL04'!J:J),
SUMIF('TL05'!C:C,C357,'TL05'!J:J),
SUMIF('TL06'!C:C,C357,'TL06'!J:J),
SUMIF('TL07'!C:C,C357,'TL07'!J:J),
SUMIF('TL08'!C:C,C357,'TL08'!J:J),
SUMIF('TL09'!C:C,C357,'TL09'!J:J),
SUMIF('TL10'!C:C,C357,'TL10'!J:J),
SUMIF('TL11'!C:C,C357,'TL11'!J:J),
SUMIF('TL12'!C:C,C357,'TL12'!J:J),
SUMIF('TL13'!C:C,C357,'TL13'!J:J),
SUMIF('TL14'!C:C,C357,'TL14'!J:J),
SUMIF('TL15'!C:C,C357,'TL15'!J:J),
SUMIF('TL16'!C:C,C357,'TL16'!J:J),
SUMIF('TL17'!C:C,C357,'TL17'!J:J),
SUMIF('TL18'!C:C,C357,'TL18'!J:J),SUMIF('TL19'!C:C,C357,'TL19'!J:J))
,0)</f>
        <v/>
      </c>
      <c r="S357" s="17">
        <f>IFERROR(__xludf.DUMMYFUNCTION("IFERROR(VLOOKUP(C357,
IMPORTRANGE(""1wULbzX32WdYsx-lj2U3uUNBBe2INVIRDtcK0d-Dvl90"",
""26-27!C:G""),
5,
FALSE),
"""")"),309.92)</f>
        <v/>
      </c>
      <c r="T357" s="9" t="n"/>
      <c r="U357" s="92">
        <f>MAX(0,R357-T357)</f>
        <v/>
      </c>
      <c r="V357" s="93">
        <f>U357*S357</f>
        <v/>
      </c>
    </row>
    <row r="358" hidden="1" ht="15.75" customHeight="1" s="297">
      <c r="A358" s="4" t="inlineStr">
        <is>
          <t>SOLUBIO</t>
        </is>
      </c>
      <c r="B358" s="4" t="inlineStr">
        <is>
          <t>BIOLÓGICOS</t>
        </is>
      </c>
      <c r="C358" s="126" t="inlineStr">
        <is>
          <t>Now Pulse</t>
        </is>
      </c>
      <c r="D358" s="127" t="inlineStr">
        <is>
          <t>Trichoderma harzianum</t>
        </is>
      </c>
      <c r="E358" s="20" t="n"/>
      <c r="F358" s="4" t="inlineStr">
        <is>
          <t>L</t>
        </is>
      </c>
      <c r="G358" s="90">
        <f>HYPERLINK("https://www.google.com/search?q=" &amp; C358 &amp; "+bula+agrofit+pdf", "📄 Ver bula")</f>
        <v/>
      </c>
      <c r="H358" s="4" t="n">
        <v>2</v>
      </c>
      <c r="I358" s="121" t="inlineStr">
        <is>
          <t>4x5</t>
        </is>
      </c>
      <c r="J358" s="9">
        <f>IFERROR(SUM(
IF('TL01'!$B$3=J$3,SUMIF('TL01'!$C$10:$C$224,$C358,'TL01'!$J$10:$J$224),0),
IF('TL01'!$B$229=J$3,SUMIF('TL01'!$C$238:$C$451,$C358,'TL01'!$J$238:$J$451),0),
IF('TL02'!$B$3=J$3,SUMIF('TL02'!$C$10:$C$224,$C358,'TL02'!$J$10:$J$224),0),
IF('TL02'!$B$229=J$3,SUMIF('TL02'!$C$238:$C$451,$C358,'TL02'!$J$238:$J$451),0),
IF('TL03'!$B$3=J$3,SUMIF('TL03'!$C$10:$C$224,$C358,'TL03'!$J$10:$J$224),0),
IF('TL03'!$B$229=J$3,SUMIF('TL03'!$C$238:$C$451,$C358,'TL03'!$J$238:$J$451),0),
IF('TL04'!$B$3=J$3,SUMIF('TL04'!$C$10:$C$224,$C358,'TL04'!$J$10:$J$224),0),
IF('TL04'!$B$229=J$3,SUMIF('TL04'!$C$238:$C$451,$C358,'TL04'!$J$238:$J$451),0),
IF('TL05'!$B$3=J$3,SUMIF('TL05'!$C$10:$C$224,$C358,'TL05'!$J$10:$J$224),0),
IF('TL05'!$B$229=J$3,SUMIF('TL05'!$C$238:$C$451,$C358,'TL05'!$J$238:$J$451),0),
IF('TL06'!$B$3=J$3,SUMIF('TL06'!$C$10:$C$224,$C358,'TL06'!$J$10:$J$224),0),
IF('TL06'!$B$229=J$3,SUMIF('TL06'!$C$238:$C$451,$C358,'TL06'!$J$238:$J$451),0),
IF('TL07'!$B$3=J$3,SUMIF('TL07'!$C$10:$C$224,$C358,'TL07'!$J$10:$J$224),0),
IF('TL07'!$B$229=J$3,SUMIF('TL07'!$C$238:$C$451,$C358,'TL07'!$J$238:$J$451),0),
IF('TL08'!$B$3=J$3,SUMIF('TL08'!$C$10:$C$224,$C358,'TL08'!$J$10:$J$224),0),
IF('TL08'!$B$229=J$3,SUMIF('TL08'!$C$238:$C$451,$C358,'TL08'!$J$238:$J$451),0),
IF('TL09'!$B$3=J$3,SUMIF('TL09'!$C$10:$C$224,$C358,'TL09'!$J$10:$J$224),0),
IF('TL09'!$B$229=J$3,SUMIF('TL09'!$C$238:$C$451,$C358,'TL09'!$J$238:$J$451),0),
IF('TL10'!$B$3=J$3,SUMIF('TL10'!$C$10:$C$224,$C358,'TL10'!$J$10:$J$224),0),
IF('TL10'!$B$229=J$3,SUMIF('TL10'!$C$238:$C$451,$C358,'TL10'!$J$238:$J$451),0),
IF('TL11'!$B$3=J$3,SUMIF('TL11'!$C$10:$C$224,$C358,'TL11'!$J$10:$J$224),0),
IF('TL11'!$B$229=J$3,SUMIF('TL11'!$C$238:$C$451,$C358,'TL11'!$J$238:$J$451),0),
IF('TL12'!$B$3=J$3,SUMIF('TL12'!$C$10:$C$224,$C358,'TL12'!$J$10:$J$224),0),
IF('TL12'!$B$229=J$3,SUMIF('TL12'!$C$238:$C$451,$C358,'TL12'!$J$238:$J$451),0),
IF('TL13'!$B$3=J$3,SUMIF('TL13'!$C$10:$C$224,$C358,'TL13'!$J$10:$J$224),0),
IF('TL13'!$B$229=J$3,SUMIF('TL13'!$C$238:$C$451,$C358,'TL13'!$J$238:$J$451),0),
IF('TL14'!$B$3=J$3,SUMIF('TL14'!$C$10:$C$224,$C358,'TL14'!$J$10:$J$224),0),
IF('TL14'!$B$229=J$3,SUMIF('TL14'!$C$238:$C$451,$C358,'TL14'!$J$238:$J$451),0),
IF('TL15'!$B$3=J$3,SUMIF('TL15'!$C$10:$C$224,$C358,'TL15'!$J$10:$J$224),0),
IF('TL15'!$B$229=J$3,SUMIF('TL15'!$C$238:$C$451,$C358,'TL15'!$J$238:$J$451),0),
IF('TL16'!$B$3=J$3,SUMIF('TL16'!$C$10:$C$224,$C358,'TL16'!$J$10:$J$224),0),
IF('TL16'!$B$229=J$3,SUMIF('TL16'!$C$238:$C$451,$C358,'TL16'!$J$238:$J$451),0),
IF('TL17'!$B$3=J$3,SUMIF('TL17'!$C$10:$C$224,$C358,'TL17'!$J$10:$J$224),0),
IF('TL17'!$B$229=J$3,SUMIF('TL17'!$C$238:$C$451,$C358,'TL17'!$J$238:$J$451),0),
IF('TL18'!$B$3=J$3,SUMIF('TL18'!$C$10:$C$224,$C358,'TL18'!$J$10:$J$224),0),
IF('TL18'!$B$229=J$3,SUMIF('TL18'!$C$238:$C$451,$C358,'TL18'!$J$238:$J$451),0),
IF('TL19'!$B$3=J$3,SUMIF('TL19'!$C$10:$C$224,$C358,'TL19'!$J$10:$J$224),0),
IF('TL19'!$B$229=J$3,SUMIF('TL19'!$C$238:$C$451,$C358,'TL19'!$J$238:$J$451),0)
),0)</f>
        <v/>
      </c>
      <c r="K358" s="9">
        <f>IFERROR(SUM(
IF('TL01'!$B$3=K$3,SUMIF('TL01'!$C$10:$C$224,$C358,'TL01'!$J$10:$J$224),0),
IF('TL01'!$B$229=K$3,SUMIF('TL01'!$C$238:$C$451,$C358,'TL01'!$J$238:$J$451),0),
IF('TL02'!$B$3=K$3,SUMIF('TL02'!$C$10:$C$224,$C358,'TL02'!$J$10:$J$224),0),
IF('TL02'!$B$229=K$3,SUMIF('TL02'!$C$238:$C$451,$C358,'TL02'!$J$238:$J$451),0),
IF('TL03'!$B$3=K$3,SUMIF('TL03'!$C$10:$C$224,$C358,'TL03'!$J$10:$J$224),0),
IF('TL03'!$B$229=K$3,SUMIF('TL03'!$C$238:$C$451,$C358,'TL03'!$J$238:$J$451),0),
IF('TL04'!$B$3=K$3,SUMIF('TL04'!$C$10:$C$224,$C358,'TL04'!$J$10:$J$224),0),
IF('TL04'!$B$229=K$3,SUMIF('TL04'!$C$238:$C$451,$C358,'TL04'!$J$238:$J$451),0),
IF('TL05'!$B$3=K$3,SUMIF('TL05'!$C$10:$C$224,$C358,'TL05'!$J$10:$J$224),0),
IF('TL05'!$B$229=K$3,SUMIF('TL05'!$C$238:$C$451,$C358,'TL05'!$J$238:$J$451),0),
IF('TL06'!$B$3=K$3,SUMIF('TL06'!$C$10:$C$224,$C358,'TL06'!$J$10:$J$224),0),
IF('TL06'!$B$229=K$3,SUMIF('TL06'!$C$238:$C$451,$C358,'TL06'!$J$238:$J$451),0),
IF('TL07'!$B$3=K$3,SUMIF('TL07'!$C$10:$C$224,$C358,'TL07'!$J$10:$J$224),0),
IF('TL07'!$B$229=K$3,SUMIF('TL07'!$C$238:$C$451,$C358,'TL07'!$J$238:$J$451),0),
IF('TL08'!$B$3=K$3,SUMIF('TL08'!$C$10:$C$224,$C358,'TL08'!$J$10:$J$224),0),
IF('TL08'!$B$229=K$3,SUMIF('TL08'!$C$238:$C$451,$C358,'TL08'!$J$238:$J$451),0),
IF('TL09'!$B$3=K$3,SUMIF('TL09'!$C$10:$C$224,$C358,'TL09'!$J$10:$J$224),0),
IF('TL09'!$B$229=K$3,SUMIF('TL09'!$C$238:$C$451,$C358,'TL09'!$J$238:$J$451),0),
IF('TL10'!$B$3=K$3,SUMIF('TL10'!$C$10:$C$224,$C358,'TL10'!$J$10:$J$224),0),
IF('TL10'!$B$229=K$3,SUMIF('TL10'!$C$238:$C$451,$C358,'TL10'!$J$238:$J$451),0),
IF('TL11'!$B$3=K$3,SUMIF('TL11'!$C$10:$C$224,$C358,'TL11'!$J$10:$J$224),0),
IF('TL11'!$B$229=K$3,SUMIF('TL11'!$C$238:$C$451,$C358,'TL11'!$J$238:$J$451),0),
IF('TL12'!$B$3=K$3,SUMIF('TL12'!$C$10:$C$224,$C358,'TL12'!$J$10:$J$224),0),
IF('TL12'!$B$229=K$3,SUMIF('TL12'!$C$238:$C$451,$C358,'TL12'!$J$238:$J$451),0),
IF('TL13'!$B$3=K$3,SUMIF('TL13'!$C$10:$C$224,$C358,'TL13'!$J$10:$J$224),0),
IF('TL13'!$B$229=K$3,SUMIF('TL13'!$C$238:$C$451,$C358,'TL13'!$J$238:$J$451),0),
IF('TL14'!$B$3=K$3,SUMIF('TL14'!$C$10:$C$224,$C358,'TL14'!$J$10:$J$224),0),
IF('TL14'!$B$229=K$3,SUMIF('TL14'!$C$238:$C$451,$C358,'TL14'!$J$238:$J$451),0),
IF('TL15'!$B$3=K$3,SUMIF('TL15'!$C$10:$C$224,$C358,'TL15'!$J$10:$J$224),0),
IF('TL15'!$B$229=K$3,SUMIF('TL15'!$C$238:$C$451,$C358,'TL15'!$J$238:$J$451),0),
IF('TL16'!$B$3=K$3,SUMIF('TL16'!$C$10:$C$224,$C358,'TL16'!$J$10:$J$224),0),
IF('TL16'!$B$229=K$3,SUMIF('TL16'!$C$238:$C$451,$C358,'TL16'!$J$238:$J$451),0),
IF('TL17'!$B$3=K$3,SUMIF('TL17'!$C$10:$C$224,$C358,'TL17'!$J$10:$J$224),0),
IF('TL17'!$B$229=K$3,SUMIF('TL17'!$C$238:$C$451,$C358,'TL17'!$J$238:$J$451),0),
IF('TL18'!$B$3=K$3,SUMIF('TL18'!$C$10:$C$224,$C358,'TL18'!$J$10:$J$224),0),
IF('TL18'!$B$229=K$3,SUMIF('TL18'!$C$238:$C$451,$C358,'TL18'!$J$238:$J$451),0),
IF('TL19'!$B$3=K$3,SUMIF('TL19'!$C$10:$C$224,$C358,'TL19'!$J$10:$J$224),0),
IF('TL19'!$B$229=K$3,SUMIF('TL19'!$C$238:$C$451,$C358,'TL19'!$J$238:$J$451),0)
),0)</f>
        <v/>
      </c>
      <c r="L358" s="9">
        <f>IFERROR(SUM(
IF('TL01'!$B$3=L$3,SUMIF('TL01'!$C$10:$C$224,$C358,'TL01'!$J$10:$J$224),0),
IF('TL01'!$B$229=L$3,SUMIF('TL01'!$C$238:$C$451,$C358,'TL01'!$J$238:$J$451),0),
IF('TL02'!$B$3=L$3,SUMIF('TL02'!$C$10:$C$224,$C358,'TL02'!$J$10:$J$224),0),
IF('TL02'!$B$229=L$3,SUMIF('TL02'!$C$238:$C$451,$C358,'TL02'!$J$238:$J$451),0),
IF('TL03'!$B$3=L$3,SUMIF('TL03'!$C$10:$C$224,$C358,'TL03'!$J$10:$J$224),0),
IF('TL03'!$B$229=L$3,SUMIF('TL03'!$C$238:$C$451,$C358,'TL03'!$J$238:$J$451),0),
IF('TL04'!$B$3=L$3,SUMIF('TL04'!$C$10:$C$224,$C358,'TL04'!$J$10:$J$224),0),
IF('TL04'!$B$229=L$3,SUMIF('TL04'!$C$238:$C$451,$C358,'TL04'!$J$238:$J$451),0),
IF('TL05'!$B$3=L$3,SUMIF('TL05'!$C$10:$C$224,$C358,'TL05'!$J$10:$J$224),0),
IF('TL05'!$B$229=L$3,SUMIF('TL05'!$C$238:$C$451,$C358,'TL05'!$J$238:$J$451),0),
IF('TL06'!$B$3=L$3,SUMIF('TL06'!$C$10:$C$224,$C358,'TL06'!$J$10:$J$224),0),
IF('TL06'!$B$229=L$3,SUMIF('TL06'!$C$238:$C$451,$C358,'TL06'!$J$238:$J$451),0),
IF('TL07'!$B$3=L$3,SUMIF('TL07'!$C$10:$C$224,$C358,'TL07'!$J$10:$J$224),0),
IF('TL07'!$B$229=L$3,SUMIF('TL07'!$C$238:$C$451,$C358,'TL07'!$J$238:$J$451),0),
IF('TL08'!$B$3=L$3,SUMIF('TL08'!$C$10:$C$224,$C358,'TL08'!$J$10:$J$224),0),
IF('TL08'!$B$229=L$3,SUMIF('TL08'!$C$238:$C$451,$C358,'TL08'!$J$238:$J$451),0),
IF('TL09'!$B$3=L$3,SUMIF('TL09'!$C$10:$C$224,$C358,'TL09'!$J$10:$J$224),0),
IF('TL09'!$B$229=L$3,SUMIF('TL09'!$C$238:$C$451,$C358,'TL09'!$J$238:$J$451),0),
IF('TL10'!$B$3=L$3,SUMIF('TL10'!$C$10:$C$224,$C358,'TL10'!$J$10:$J$224),0),
IF('TL10'!$B$229=L$3,SUMIF('TL10'!$C$238:$C$451,$C358,'TL10'!$J$238:$J$451),0),
IF('TL11'!$B$3=L$3,SUMIF('TL11'!$C$10:$C$224,$C358,'TL11'!$J$10:$J$224),0),
IF('TL11'!$B$229=L$3,SUMIF('TL11'!$C$238:$C$451,$C358,'TL11'!$J$238:$J$451),0),
IF('TL12'!$B$3=L$3,SUMIF('TL12'!$C$10:$C$224,$C358,'TL12'!$J$10:$J$224),0),
IF('TL12'!$B$229=L$3,SUMIF('TL12'!$C$238:$C$451,$C358,'TL12'!$J$238:$J$451),0),
IF('TL13'!$B$3=L$3,SUMIF('TL13'!$C$10:$C$224,$C358,'TL13'!$J$10:$J$224),0),
IF('TL13'!$B$229=L$3,SUMIF('TL13'!$C$238:$C$451,$C358,'TL13'!$J$238:$J$451),0),
IF('TL14'!$B$3=L$3,SUMIF('TL14'!$C$10:$C$224,$C358,'TL14'!$J$10:$J$224),0),
IF('TL14'!$B$229=L$3,SUMIF('TL14'!$C$238:$C$451,$C358,'TL14'!$J$238:$J$451),0),
IF('TL15'!$B$3=L$3,SUMIF('TL15'!$C$10:$C$224,$C358,'TL15'!$J$10:$J$224),0),
IF('TL15'!$B$229=L$3,SUMIF('TL15'!$C$238:$C$451,$C358,'TL15'!$J$238:$J$451),0),
IF('TL16'!$B$3=L$3,SUMIF('TL16'!$C$10:$C$224,$C358,'TL16'!$J$10:$J$224),0),
IF('TL16'!$B$229=L$3,SUMIF('TL16'!$C$238:$C$451,$C358,'TL16'!$J$238:$J$451),0),
IF('TL17'!$B$3=L$3,SUMIF('TL17'!$C$10:$C$224,$C358,'TL17'!$J$10:$J$224),0),
IF('TL17'!$B$229=L$3,SUMIF('TL17'!$C$238:$C$451,$C358,'TL17'!$J$238:$J$451),0),
IF('TL18'!$B$3=L$3,SUMIF('TL18'!$C$10:$C$224,$C358,'TL18'!$J$10:$J$224),0),
IF('TL18'!$B$229=L$3,SUMIF('TL18'!$C$238:$C$451,$C358,'TL18'!$J$238:$J$451),0),
IF('TL19'!$B$3=L$3,SUMIF('TL19'!$C$10:$C$224,$C358,'TL19'!$J$10:$J$224),0),
IF('TL19'!$B$229=L$3,SUMIF('TL19'!$C$238:$C$451,$C358,'TL19'!$J$238:$J$451),0)
),0)</f>
        <v/>
      </c>
      <c r="M358" s="9">
        <f>IFERROR(SUM(
IF('TL01'!$B$3=M$3,SUMIF('TL01'!$C$10:$C$224,$C358,'TL01'!$J$10:$J$224),0),
IF('TL01'!$B$229=M$3,SUMIF('TL01'!$C$238:$C$451,$C358,'TL01'!$J$238:$J$451),0),
IF('TL02'!$B$3=M$3,SUMIF('TL02'!$C$10:$C$224,$C358,'TL02'!$J$10:$J$224),0),
IF('TL02'!$B$229=M$3,SUMIF('TL02'!$C$238:$C$451,$C358,'TL02'!$J$238:$J$451),0),
IF('TL03'!$B$3=M$3,SUMIF('TL03'!$C$10:$C$224,$C358,'TL03'!$J$10:$J$224),0),
IF('TL03'!$B$229=M$3,SUMIF('TL03'!$C$238:$C$451,$C358,'TL03'!$J$238:$J$451),0),
IF('TL04'!$B$3=M$3,SUMIF('TL04'!$C$10:$C$224,$C358,'TL04'!$J$10:$J$224),0),
IF('TL04'!$B$229=M$3,SUMIF('TL04'!$C$238:$C$451,$C358,'TL04'!$J$238:$J$451),0),
IF('TL05'!$B$3=M$3,SUMIF('TL05'!$C$10:$C$224,$C358,'TL05'!$J$10:$J$224),0),
IF('TL05'!$B$229=M$3,SUMIF('TL05'!$C$238:$C$451,$C358,'TL05'!$J$238:$J$451),0),
IF('TL06'!$B$3=M$3,SUMIF('TL06'!$C$10:$C$224,$C358,'TL06'!$J$10:$J$224),0),
IF('TL06'!$B$229=M$3,SUMIF('TL06'!$C$238:$C$451,$C358,'TL06'!$J$238:$J$451),0),
IF('TL07'!$B$3=M$3,SUMIF('TL07'!$C$10:$C$224,$C358,'TL07'!$J$10:$J$224),0),
IF('TL07'!$B$229=M$3,SUMIF('TL07'!$C$238:$C$451,$C358,'TL07'!$J$238:$J$451),0),
IF('TL08'!$B$3=M$3,SUMIF('TL08'!$C$10:$C$224,$C358,'TL08'!$J$10:$J$224),0),
IF('TL08'!$B$229=M$3,SUMIF('TL08'!$C$238:$C$451,$C358,'TL08'!$J$238:$J$451),0),
IF('TL09'!$B$3=M$3,SUMIF('TL09'!$C$10:$C$224,$C358,'TL09'!$J$10:$J$224),0),
IF('TL09'!$B$229=M$3,SUMIF('TL09'!$C$238:$C$451,$C358,'TL09'!$J$238:$J$451),0),
IF('TL10'!$B$3=M$3,SUMIF('TL10'!$C$10:$C$224,$C358,'TL10'!$J$10:$J$224),0),
IF('TL10'!$B$229=M$3,SUMIF('TL10'!$C$238:$C$451,$C358,'TL10'!$J$238:$J$451),0),
IF('TL11'!$B$3=M$3,SUMIF('TL11'!$C$10:$C$224,$C358,'TL11'!$J$10:$J$224),0),
IF('TL11'!$B$229=M$3,SUMIF('TL11'!$C$238:$C$451,$C358,'TL11'!$J$238:$J$451),0),
IF('TL12'!$B$3=M$3,SUMIF('TL12'!$C$10:$C$224,$C358,'TL12'!$J$10:$J$224),0),
IF('TL12'!$B$229=M$3,SUMIF('TL12'!$C$238:$C$451,$C358,'TL12'!$J$238:$J$451),0),
IF('TL13'!$B$3=M$3,SUMIF('TL13'!$C$10:$C$224,$C358,'TL13'!$J$10:$J$224),0),
IF('TL13'!$B$229=M$3,SUMIF('TL13'!$C$238:$C$451,$C358,'TL13'!$J$238:$J$451),0),
IF('TL14'!$B$3=M$3,SUMIF('TL14'!$C$10:$C$224,$C358,'TL14'!$J$10:$J$224),0),
IF('TL14'!$B$229=M$3,SUMIF('TL14'!$C$238:$C$451,$C358,'TL14'!$J$238:$J$451),0),
IF('TL15'!$B$3=M$3,SUMIF('TL15'!$C$10:$C$224,$C358,'TL15'!$J$10:$J$224),0),
IF('TL15'!$B$229=M$3,SUMIF('TL15'!$C$238:$C$451,$C358,'TL15'!$J$238:$J$451),0),
IF('TL16'!$B$3=M$3,SUMIF('TL16'!$C$10:$C$224,$C358,'TL16'!$J$10:$J$224),0),
IF('TL16'!$B$229=M$3,SUMIF('TL16'!$C$238:$C$451,$C358,'TL16'!$J$238:$J$451),0),
IF('TL17'!$B$3=M$3,SUMIF('TL17'!$C$10:$C$224,$C358,'TL17'!$J$10:$J$224),0),
IF('TL17'!$B$229=M$3,SUMIF('TL17'!$C$238:$C$451,$C358,'TL17'!$J$238:$J$451),0),
IF('TL18'!$B$3=M$3,SUMIF('TL18'!$C$10:$C$224,$C358,'TL18'!$J$10:$J$224),0),
IF('TL18'!$B$229=M$3,SUMIF('TL18'!$C$238:$C$451,$C358,'TL18'!$J$238:$J$451),0),
IF('TL19'!$B$3=M$3,SUMIF('TL19'!$C$10:$C$224,$C358,'TL19'!$J$10:$J$224),0),
IF('TL19'!$B$229=M$3,SUMIF('TL19'!$C$238:$C$451,$C358,'TL19'!$J$238:$J$451),0)
),0)</f>
        <v/>
      </c>
      <c r="N358" s="9">
        <f>IFERROR(SUM(
IF('TL01'!$B$3=N$3,SUMIF('TL01'!$C$10:$C$224,$C358,'TL01'!$J$10:$J$224),0),
IF('TL01'!$B$229=N$3,SUMIF('TL01'!$C$238:$C$451,$C358,'TL01'!$J$238:$J$451),0),
IF('TL02'!$B$3=N$3,SUMIF('TL02'!$C$10:$C$224,$C358,'TL02'!$J$10:$J$224),0),
IF('TL02'!$B$229=N$3,SUMIF('TL02'!$C$238:$C$451,$C358,'TL02'!$J$238:$J$451),0),
IF('TL03'!$B$3=N$3,SUMIF('TL03'!$C$10:$C$224,$C358,'TL03'!$J$10:$J$224),0),
IF('TL03'!$B$229=N$3,SUMIF('TL03'!$C$238:$C$451,$C358,'TL03'!$J$238:$J$451),0),
IF('TL04'!$B$3=N$3,SUMIF('TL04'!$C$10:$C$224,$C358,'TL04'!$J$10:$J$224),0),
IF('TL04'!$B$229=N$3,SUMIF('TL04'!$C$238:$C$451,$C358,'TL04'!$J$238:$J$451),0),
IF('TL05'!$B$3=N$3,SUMIF('TL05'!$C$10:$C$224,$C358,'TL05'!$J$10:$J$224),0),
IF('TL05'!$B$229=N$3,SUMIF('TL05'!$C$238:$C$451,$C358,'TL05'!$J$238:$J$451),0),
IF('TL06'!$B$3=N$3,SUMIF('TL06'!$C$10:$C$224,$C358,'TL06'!$J$10:$J$224),0),
IF('TL06'!$B$229=N$3,SUMIF('TL06'!$C$238:$C$451,$C358,'TL06'!$J$238:$J$451),0),
IF('TL07'!$B$3=N$3,SUMIF('TL07'!$C$10:$C$224,$C358,'TL07'!$J$10:$J$224),0),
IF('TL07'!$B$229=N$3,SUMIF('TL07'!$C$238:$C$451,$C358,'TL07'!$J$238:$J$451),0),
IF('TL08'!$B$3=N$3,SUMIF('TL08'!$C$10:$C$224,$C358,'TL08'!$J$10:$J$224),0),
IF('TL08'!$B$229=N$3,SUMIF('TL08'!$C$238:$C$451,$C358,'TL08'!$J$238:$J$451),0),
IF('TL09'!$B$3=N$3,SUMIF('TL09'!$C$10:$C$224,$C358,'TL09'!$J$10:$J$224),0),
IF('TL09'!$B$229=N$3,SUMIF('TL09'!$C$238:$C$451,$C358,'TL09'!$J$238:$J$451),0),
IF('TL10'!$B$3=N$3,SUMIF('TL10'!$C$10:$C$224,$C358,'TL10'!$J$10:$J$224),0),
IF('TL10'!$B$229=N$3,SUMIF('TL10'!$C$238:$C$451,$C358,'TL10'!$J$238:$J$451),0),
IF('TL11'!$B$3=N$3,SUMIF('TL11'!$C$10:$C$224,$C358,'TL11'!$J$10:$J$224),0),
IF('TL11'!$B$229=N$3,SUMIF('TL11'!$C$238:$C$451,$C358,'TL11'!$J$238:$J$451),0),
IF('TL12'!$B$3=N$3,SUMIF('TL12'!$C$10:$C$224,$C358,'TL12'!$J$10:$J$224),0),
IF('TL12'!$B$229=N$3,SUMIF('TL12'!$C$238:$C$451,$C358,'TL12'!$J$238:$J$451),0),
IF('TL13'!$B$3=N$3,SUMIF('TL13'!$C$10:$C$224,$C358,'TL13'!$J$10:$J$224),0),
IF('TL13'!$B$229=N$3,SUMIF('TL13'!$C$238:$C$451,$C358,'TL13'!$J$238:$J$451),0),
IF('TL14'!$B$3=N$3,SUMIF('TL14'!$C$10:$C$224,$C358,'TL14'!$J$10:$J$224),0),
IF('TL14'!$B$229=N$3,SUMIF('TL14'!$C$238:$C$451,$C358,'TL14'!$J$238:$J$451),0),
IF('TL15'!$B$3=N$3,SUMIF('TL15'!$C$10:$C$224,$C358,'TL15'!$J$10:$J$224),0),
IF('TL15'!$B$229=N$3,SUMIF('TL15'!$C$238:$C$451,$C358,'TL15'!$J$238:$J$451),0),
IF('TL16'!$B$3=N$3,SUMIF('TL16'!$C$10:$C$224,$C358,'TL16'!$J$10:$J$224),0),
IF('TL16'!$B$229=N$3,SUMIF('TL16'!$C$238:$C$451,$C358,'TL16'!$J$238:$J$451),0),
IF('TL17'!$B$3=N$3,SUMIF('TL17'!$C$10:$C$224,$C358,'TL17'!$J$10:$J$224),0),
IF('TL17'!$B$229=N$3,SUMIF('TL17'!$C$238:$C$451,$C358,'TL17'!$J$238:$J$451),0),
IF('TL18'!$B$3=N$3,SUMIF('TL18'!$C$10:$C$224,$C358,'TL18'!$J$10:$J$224),0),
IF('TL18'!$B$229=N$3,SUMIF('TL18'!$C$238:$C$451,$C358,'TL18'!$J$238:$J$451),0),
IF('TL19'!$B$3=N$3,SUMIF('TL19'!$C$10:$C$224,$C358,'TL19'!$J$10:$J$224),0),
IF('TL19'!$B$229=N$3,SUMIF('TL19'!$C$238:$C$451,$C358,'TL19'!$J$238:$J$451),0)
),0)</f>
        <v/>
      </c>
      <c r="O358" s="9">
        <f>IFERROR(SUM(
IF('TL01'!$B$3=O$3,SUMIF('TL01'!$C$10:$C$224,$C358,'TL01'!$J$10:$J$224),0),
IF('TL01'!$B$229=O$3,SUMIF('TL01'!$C$238:$C$451,$C358,'TL01'!$J$238:$J$451),0),
IF('TL02'!$B$3=O$3,SUMIF('TL02'!$C$10:$C$224,$C358,'TL02'!$J$10:$J$224),0),
IF('TL02'!$B$229=O$3,SUMIF('TL02'!$C$238:$C$451,$C358,'TL02'!$J$238:$J$451),0),
IF('TL03'!$B$3=O$3,SUMIF('TL03'!$C$10:$C$224,$C358,'TL03'!$J$10:$J$224),0),
IF('TL03'!$B$229=O$3,SUMIF('TL03'!$C$238:$C$451,$C358,'TL03'!$J$238:$J$451),0),
IF('TL04'!$B$3=O$3,SUMIF('TL04'!$C$10:$C$224,$C358,'TL04'!$J$10:$J$224),0),
IF('TL04'!$B$229=O$3,SUMIF('TL04'!$C$238:$C$451,$C358,'TL04'!$J$238:$J$451),0),
IF('TL05'!$B$3=O$3,SUMIF('TL05'!$C$10:$C$224,$C358,'TL05'!$J$10:$J$224),0),
IF('TL05'!$B$229=O$3,SUMIF('TL05'!$C$238:$C$451,$C358,'TL05'!$J$238:$J$451),0),
IF('TL06'!$B$3=O$3,SUMIF('TL06'!$C$10:$C$224,$C358,'TL06'!$J$10:$J$224),0),
IF('TL06'!$B$229=O$3,SUMIF('TL06'!$C$238:$C$451,$C358,'TL06'!$J$238:$J$451),0),
IF('TL07'!$B$3=O$3,SUMIF('TL07'!$C$10:$C$224,$C358,'TL07'!$J$10:$J$224),0),
IF('TL07'!$B$229=O$3,SUMIF('TL07'!$C$238:$C$451,$C358,'TL07'!$J$238:$J$451),0),
IF('TL08'!$B$3=O$3,SUMIF('TL08'!$C$10:$C$224,$C358,'TL08'!$J$10:$J$224),0),
IF('TL08'!$B$229=O$3,SUMIF('TL08'!$C$238:$C$451,$C358,'TL08'!$J$238:$J$451),0),
IF('TL09'!$B$3=O$3,SUMIF('TL09'!$C$10:$C$224,$C358,'TL09'!$J$10:$J$224),0),
IF('TL09'!$B$229=O$3,SUMIF('TL09'!$C$238:$C$451,$C358,'TL09'!$J$238:$J$451),0),
IF('TL10'!$B$3=O$3,SUMIF('TL10'!$C$10:$C$224,$C358,'TL10'!$J$10:$J$224),0),
IF('TL10'!$B$229=O$3,SUMIF('TL10'!$C$238:$C$451,$C358,'TL10'!$J$238:$J$451),0),
IF('TL11'!$B$3=O$3,SUMIF('TL11'!$C$10:$C$224,$C358,'TL11'!$J$10:$J$224),0),
IF('TL11'!$B$229=O$3,SUMIF('TL11'!$C$238:$C$451,$C358,'TL11'!$J$238:$J$451),0),
IF('TL12'!$B$3=O$3,SUMIF('TL12'!$C$10:$C$224,$C358,'TL12'!$J$10:$J$224),0),
IF('TL12'!$B$229=O$3,SUMIF('TL12'!$C$238:$C$451,$C358,'TL12'!$J$238:$J$451),0),
IF('TL13'!$B$3=O$3,SUMIF('TL13'!$C$10:$C$224,$C358,'TL13'!$J$10:$J$224),0),
IF('TL13'!$B$229=O$3,SUMIF('TL13'!$C$238:$C$451,$C358,'TL13'!$J$238:$J$451),0),
IF('TL14'!$B$3=O$3,SUMIF('TL14'!$C$10:$C$224,$C358,'TL14'!$J$10:$J$224),0),
IF('TL14'!$B$229=O$3,SUMIF('TL14'!$C$238:$C$451,$C358,'TL14'!$J$238:$J$451),0),
IF('TL15'!$B$3=O$3,SUMIF('TL15'!$C$10:$C$224,$C358,'TL15'!$J$10:$J$224),0),
IF('TL15'!$B$229=O$3,SUMIF('TL15'!$C$238:$C$451,$C358,'TL15'!$J$238:$J$451),0),
IF('TL16'!$B$3=O$3,SUMIF('TL16'!$C$10:$C$224,$C358,'TL16'!$J$10:$J$224),0),
IF('TL16'!$B$229=O$3,SUMIF('TL16'!$C$238:$C$451,$C358,'TL16'!$J$238:$J$451),0),
IF('TL17'!$B$3=O$3,SUMIF('TL17'!$C$10:$C$224,$C358,'TL17'!$J$10:$J$224),0),
IF('TL17'!$B$229=O$3,SUMIF('TL17'!$C$238:$C$451,$C358,'TL17'!$J$238:$J$451),0),
IF('TL18'!$B$3=O$3,SUMIF('TL18'!$C$10:$C$224,$C358,'TL18'!$J$10:$J$224),0),
IF('TL18'!$B$229=O$3,SUMIF('TL18'!$C$238:$C$451,$C358,'TL18'!$J$238:$J$451),0),
IF('TL19'!$B$3=O$3,SUMIF('TL19'!$C$10:$C$224,$C358,'TL19'!$J$10:$J$224),0),
IF('TL19'!$B$229=O$3,SUMIF('TL19'!$C$238:$C$451,$C358,'TL19'!$J$238:$J$451),0)
),0)</f>
        <v/>
      </c>
      <c r="P358" s="9">
        <f>IFERROR(SUM(
IF('TL01'!$B$3=P$3,SUMIF('TL01'!$C$10:$C$224,$C358,'TL01'!$J$10:$J$224),0),
IF('TL01'!$B$229=P$3,SUMIF('TL01'!$C$238:$C$451,$C358,'TL01'!$J$238:$J$451),0),
IF('TL02'!$B$3=P$3,SUMIF('TL02'!$C$10:$C$224,$C358,'TL02'!$J$10:$J$224),0),
IF('TL02'!$B$229=P$3,SUMIF('TL02'!$C$238:$C$451,$C358,'TL02'!$J$238:$J$451),0),
IF('TL03'!$B$3=P$3,SUMIF('TL03'!$C$10:$C$224,$C358,'TL03'!$J$10:$J$224),0),
IF('TL03'!$B$229=P$3,SUMIF('TL03'!$C$238:$C$451,$C358,'TL03'!$J$238:$J$451),0),
IF('TL04'!$B$3=P$3,SUMIF('TL04'!$C$10:$C$224,$C358,'TL04'!$J$10:$J$224),0),
IF('TL04'!$B$229=P$3,SUMIF('TL04'!$C$238:$C$451,$C358,'TL04'!$J$238:$J$451),0),
IF('TL05'!$B$3=P$3,SUMIF('TL05'!$C$10:$C$224,$C358,'TL05'!$J$10:$J$224),0),
IF('TL05'!$B$229=P$3,SUMIF('TL05'!$C$238:$C$451,$C358,'TL05'!$J$238:$J$451),0),
IF('TL06'!$B$3=P$3,SUMIF('TL06'!$C$10:$C$224,$C358,'TL06'!$J$10:$J$224),0),
IF('TL06'!$B$229=P$3,SUMIF('TL06'!$C$238:$C$451,$C358,'TL06'!$J$238:$J$451),0),
IF('TL07'!$B$3=P$3,SUMIF('TL07'!$C$10:$C$224,$C358,'TL07'!$J$10:$J$224),0),
IF('TL07'!$B$229=P$3,SUMIF('TL07'!$C$238:$C$451,$C358,'TL07'!$J$238:$J$451),0),
IF('TL08'!$B$3=P$3,SUMIF('TL08'!$C$10:$C$224,$C358,'TL08'!$J$10:$J$224),0),
IF('TL08'!$B$229=P$3,SUMIF('TL08'!$C$238:$C$451,$C358,'TL08'!$J$238:$J$451),0),
IF('TL09'!$B$3=P$3,SUMIF('TL09'!$C$10:$C$224,$C358,'TL09'!$J$10:$J$224),0),
IF('TL09'!$B$229=P$3,SUMIF('TL09'!$C$238:$C$451,$C358,'TL09'!$J$238:$J$451),0),
IF('TL10'!$B$3=P$3,SUMIF('TL10'!$C$10:$C$224,$C358,'TL10'!$J$10:$J$224),0),
IF('TL10'!$B$229=P$3,SUMIF('TL10'!$C$238:$C$451,$C358,'TL10'!$J$238:$J$451),0),
IF('TL11'!$B$3=P$3,SUMIF('TL11'!$C$10:$C$224,$C358,'TL11'!$J$10:$J$224),0),
IF('TL11'!$B$229=P$3,SUMIF('TL11'!$C$238:$C$451,$C358,'TL11'!$J$238:$J$451),0),
IF('TL12'!$B$3=P$3,SUMIF('TL12'!$C$10:$C$224,$C358,'TL12'!$J$10:$J$224),0),
IF('TL12'!$B$229=P$3,SUMIF('TL12'!$C$238:$C$451,$C358,'TL12'!$J$238:$J$451),0),
IF('TL13'!$B$3=P$3,SUMIF('TL13'!$C$10:$C$224,$C358,'TL13'!$J$10:$J$224),0),
IF('TL13'!$B$229=P$3,SUMIF('TL13'!$C$238:$C$451,$C358,'TL13'!$J$238:$J$451),0),
IF('TL14'!$B$3=P$3,SUMIF('TL14'!$C$10:$C$224,$C358,'TL14'!$J$10:$J$224),0),
IF('TL14'!$B$229=P$3,SUMIF('TL14'!$C$238:$C$451,$C358,'TL14'!$J$238:$J$451),0),
IF('TL15'!$B$3=P$3,SUMIF('TL15'!$C$10:$C$224,$C358,'TL15'!$J$10:$J$224),0),
IF('TL15'!$B$229=P$3,SUMIF('TL15'!$C$238:$C$451,$C358,'TL15'!$J$238:$J$451),0),
IF('TL16'!$B$3=P$3,SUMIF('TL16'!$C$10:$C$224,$C358,'TL16'!$J$10:$J$224),0),
IF('TL16'!$B$229=P$3,SUMIF('TL16'!$C$238:$C$451,$C358,'TL16'!$J$238:$J$451),0),
IF('TL17'!$B$3=P$3,SUMIF('TL17'!$C$10:$C$224,$C358,'TL17'!$J$10:$J$224),0),
IF('TL17'!$B$229=P$3,SUMIF('TL17'!$C$238:$C$451,$C358,'TL17'!$J$238:$J$451),0),
IF('TL18'!$B$3=P$3,SUMIF('TL18'!$C$10:$C$224,$C358,'TL18'!$J$10:$J$224),0),
IF('TL18'!$B$229=P$3,SUMIF('TL18'!$C$238:$C$451,$C358,'TL18'!$J$238:$J$451),0),
IF('TL19'!$B$3=P$3,SUMIF('TL19'!$C$10:$C$224,$C358,'TL19'!$J$10:$J$224),0),
IF('TL19'!$B$229=P$3,SUMIF('TL19'!$C$238:$C$451,$C358,'TL19'!$J$238:$J$451),0)
),0)</f>
        <v/>
      </c>
      <c r="Q358" s="9">
        <f>IFERROR(SUM(
IF('TL01'!$B$3=Q$3,SUMIF('TL01'!$C$10:$C$224,$C358,'TL01'!$J$10:$J$224),0),
IF('TL01'!$B$229=Q$3,SUMIF('TL01'!$C$238:$C$451,$C358,'TL01'!$J$238:$J$451),0),
IF('TL02'!$B$3=Q$3,SUMIF('TL02'!$C$10:$C$224,$C358,'TL02'!$J$10:$J$224),0),
IF('TL02'!$B$229=Q$3,SUMIF('TL02'!$C$238:$C$451,$C358,'TL02'!$J$238:$J$451),0),
IF('TL03'!$B$3=Q$3,SUMIF('TL03'!$C$10:$C$224,$C358,'TL03'!$J$10:$J$224),0),
IF('TL03'!$B$229=Q$3,SUMIF('TL03'!$C$238:$C$451,$C358,'TL03'!$J$238:$J$451),0),
IF('TL04'!$B$3=Q$3,SUMIF('TL04'!$C$10:$C$224,$C358,'TL04'!$J$10:$J$224),0),
IF('TL04'!$B$229=Q$3,SUMIF('TL04'!$C$238:$C$451,$C358,'TL04'!$J$238:$J$451),0),
IF('TL05'!$B$3=Q$3,SUMIF('TL05'!$C$10:$C$224,$C358,'TL05'!$J$10:$J$224),0),
IF('TL05'!$B$229=Q$3,SUMIF('TL05'!$C$238:$C$451,$C358,'TL05'!$J$238:$J$451),0),
IF('TL06'!$B$3=Q$3,SUMIF('TL06'!$C$10:$C$224,$C358,'TL06'!$J$10:$J$224),0),
IF('TL06'!$B$229=Q$3,SUMIF('TL06'!$C$238:$C$451,$C358,'TL06'!$J$238:$J$451),0),
IF('TL07'!$B$3=Q$3,SUMIF('TL07'!$C$10:$C$224,$C358,'TL07'!$J$10:$J$224),0),
IF('TL07'!$B$229=Q$3,SUMIF('TL07'!$C$238:$C$451,$C358,'TL07'!$J$238:$J$451),0),
IF('TL08'!$B$3=Q$3,SUMIF('TL08'!$C$10:$C$224,$C358,'TL08'!$J$10:$J$224),0),
IF('TL08'!$B$229=Q$3,SUMIF('TL08'!$C$238:$C$451,$C358,'TL08'!$J$238:$J$451),0),
IF('TL09'!$B$3=Q$3,SUMIF('TL09'!$C$10:$C$224,$C358,'TL09'!$J$10:$J$224),0),
IF('TL09'!$B$229=Q$3,SUMIF('TL09'!$C$238:$C$451,$C358,'TL09'!$J$238:$J$451),0),
IF('TL10'!$B$3=Q$3,SUMIF('TL10'!$C$10:$C$224,$C358,'TL10'!$J$10:$J$224),0),
IF('TL10'!$B$229=Q$3,SUMIF('TL10'!$C$238:$C$451,$C358,'TL10'!$J$238:$J$451),0),
IF('TL11'!$B$3=Q$3,SUMIF('TL11'!$C$10:$C$224,$C358,'TL11'!$J$10:$J$224),0),
IF('TL11'!$B$229=Q$3,SUMIF('TL11'!$C$238:$C$451,$C358,'TL11'!$J$238:$J$451),0),
IF('TL12'!$B$3=Q$3,SUMIF('TL12'!$C$10:$C$224,$C358,'TL12'!$J$10:$J$224),0),
IF('TL12'!$B$229=Q$3,SUMIF('TL12'!$C$238:$C$451,$C358,'TL12'!$J$238:$J$451),0),
IF('TL13'!$B$3=Q$3,SUMIF('TL13'!$C$10:$C$224,$C358,'TL13'!$J$10:$J$224),0),
IF('TL13'!$B$229=Q$3,SUMIF('TL13'!$C$238:$C$451,$C358,'TL13'!$J$238:$J$451),0),
IF('TL14'!$B$3=Q$3,SUMIF('TL14'!$C$10:$C$224,$C358,'TL14'!$J$10:$J$224),0),
IF('TL14'!$B$229=Q$3,SUMIF('TL14'!$C$238:$C$451,$C358,'TL14'!$J$238:$J$451),0),
IF('TL15'!$B$3=Q$3,SUMIF('TL15'!$C$10:$C$224,$C358,'TL15'!$J$10:$J$224),0),
IF('TL15'!$B$229=Q$3,SUMIF('TL15'!$C$238:$C$451,$C358,'TL15'!$J$238:$J$451),0),
IF('TL16'!$B$3=Q$3,SUMIF('TL16'!$C$10:$C$224,$C358,'TL16'!$J$10:$J$224),0),
IF('TL16'!$B$229=Q$3,SUMIF('TL16'!$C$238:$C$451,$C358,'TL16'!$J$238:$J$451),0),
IF('TL17'!$B$3=Q$3,SUMIF('TL17'!$C$10:$C$224,$C358,'TL17'!$J$10:$J$224),0),
IF('TL17'!$B$229=Q$3,SUMIF('TL17'!$C$238:$C$451,$C358,'TL17'!$J$238:$J$451),0),
IF('TL18'!$B$3=Q$3,SUMIF('TL18'!$C$10:$C$224,$C358,'TL18'!$J$10:$J$224),0),
IF('TL18'!$B$229=Q$3,SUMIF('TL18'!$C$238:$C$451,$C358,'TL18'!$J$238:$J$451),0),
IF('TL19'!$B$3=Q$3,SUMIF('TL19'!$C$10:$C$224,$C358,'TL19'!$J$10:$J$224),0),
IF('TL19'!$B$229=Q$3,SUMIF('TL19'!$C$238:$C$451,$C358,'TL19'!$J$238:$J$451),0)
),0)</f>
        <v/>
      </c>
      <c r="R358" s="9">
        <f>IFERROR(
SUM(
SUMIF('TL01'!C:C,C358,'TL01'!J:J),
SUMIF('TL02'!C:C,C358,'TL02'!J:J),
SUMIF('TL03'!C:C,C358,'TL03'!J:J),
SUMIF('TL04'!C:C,C358,'TL04'!J:J),
SUMIF('TL05'!C:C,C358,'TL05'!J:J),
SUMIF('TL06'!C:C,C358,'TL06'!J:J),
SUMIF('TL07'!C:C,C358,'TL07'!J:J),
SUMIF('TL08'!C:C,C358,'TL08'!J:J),
SUMIF('TL09'!C:C,C358,'TL09'!J:J),
SUMIF('TL10'!C:C,C358,'TL10'!J:J),
SUMIF('TL11'!C:C,C358,'TL11'!J:J),
SUMIF('TL12'!C:C,C358,'TL12'!J:J),
SUMIF('TL13'!C:C,C358,'TL13'!J:J),
SUMIF('TL14'!C:C,C358,'TL14'!J:J),
SUMIF('TL15'!C:C,C358,'TL15'!J:J),
SUMIF('TL16'!C:C,C358,'TL16'!J:J),
SUMIF('TL17'!C:C,C358,'TL17'!J:J),
SUMIF('TL18'!C:C,C358,'TL18'!J:J),SUMIF('TL19'!C:C,C358,'TL19'!J:J))
,0)</f>
        <v/>
      </c>
      <c r="S358" s="17">
        <f>IFERROR(__xludf.DUMMYFUNCTION("IFERROR(VLOOKUP(C358,
IMPORTRANGE(""1wULbzX32WdYsx-lj2U3uUNBBe2INVIRDtcK0d-Dvl90"",
""26-27!C:G""),
5,
FALSE),
"""")"),94.43)</f>
        <v/>
      </c>
      <c r="T358" s="9" t="n"/>
      <c r="U358" s="92">
        <f>MAX(0,R358-T358)</f>
        <v/>
      </c>
      <c r="V358" s="93">
        <f>U358*S358</f>
        <v/>
      </c>
    </row>
    <row r="359" hidden="1" ht="15.75" customHeight="1" s="297">
      <c r="A359" s="4" t="inlineStr">
        <is>
          <t>SOLUBIO</t>
        </is>
      </c>
      <c r="B359" s="4" t="inlineStr">
        <is>
          <t>BIOLÓGICOS</t>
        </is>
      </c>
      <c r="C359" s="128" t="inlineStr">
        <is>
          <t>Now Sprint</t>
        </is>
      </c>
      <c r="D359" s="129" t="inlineStr">
        <is>
          <t>Trichoderma harzianum + Grafite</t>
        </is>
      </c>
      <c r="E359" s="20" t="n"/>
      <c r="F359" s="4" t="inlineStr">
        <is>
          <t>L</t>
        </is>
      </c>
      <c r="G359" s="90">
        <f>HYPERLINK("https://www.google.com/search?q=" &amp; C359 &amp; "+bula+agrofit+pdf", "📄 Ver bula")</f>
        <v/>
      </c>
      <c r="H359" s="4" t="n">
        <v>2</v>
      </c>
      <c r="I359" s="123" t="inlineStr">
        <is>
          <t>4x5</t>
        </is>
      </c>
      <c r="J359" s="9">
        <f>IFERROR(SUM(
IF('TL01'!$B$3=J$3,SUMIF('TL01'!$C$10:$C$224,$C359,'TL01'!$J$10:$J$224),0),
IF('TL01'!$B$229=J$3,SUMIF('TL01'!$C$238:$C$451,$C359,'TL01'!$J$238:$J$451),0),
IF('TL02'!$B$3=J$3,SUMIF('TL02'!$C$10:$C$224,$C359,'TL02'!$J$10:$J$224),0),
IF('TL02'!$B$229=J$3,SUMIF('TL02'!$C$238:$C$451,$C359,'TL02'!$J$238:$J$451),0),
IF('TL03'!$B$3=J$3,SUMIF('TL03'!$C$10:$C$224,$C359,'TL03'!$J$10:$J$224),0),
IF('TL03'!$B$229=J$3,SUMIF('TL03'!$C$238:$C$451,$C359,'TL03'!$J$238:$J$451),0),
IF('TL04'!$B$3=J$3,SUMIF('TL04'!$C$10:$C$224,$C359,'TL04'!$J$10:$J$224),0),
IF('TL04'!$B$229=J$3,SUMIF('TL04'!$C$238:$C$451,$C359,'TL04'!$J$238:$J$451),0),
IF('TL05'!$B$3=J$3,SUMIF('TL05'!$C$10:$C$224,$C359,'TL05'!$J$10:$J$224),0),
IF('TL05'!$B$229=J$3,SUMIF('TL05'!$C$238:$C$451,$C359,'TL05'!$J$238:$J$451),0),
IF('TL06'!$B$3=J$3,SUMIF('TL06'!$C$10:$C$224,$C359,'TL06'!$J$10:$J$224),0),
IF('TL06'!$B$229=J$3,SUMIF('TL06'!$C$238:$C$451,$C359,'TL06'!$J$238:$J$451),0),
IF('TL07'!$B$3=J$3,SUMIF('TL07'!$C$10:$C$224,$C359,'TL07'!$J$10:$J$224),0),
IF('TL07'!$B$229=J$3,SUMIF('TL07'!$C$238:$C$451,$C359,'TL07'!$J$238:$J$451),0),
IF('TL08'!$B$3=J$3,SUMIF('TL08'!$C$10:$C$224,$C359,'TL08'!$J$10:$J$224),0),
IF('TL08'!$B$229=J$3,SUMIF('TL08'!$C$238:$C$451,$C359,'TL08'!$J$238:$J$451),0),
IF('TL09'!$B$3=J$3,SUMIF('TL09'!$C$10:$C$224,$C359,'TL09'!$J$10:$J$224),0),
IF('TL09'!$B$229=J$3,SUMIF('TL09'!$C$238:$C$451,$C359,'TL09'!$J$238:$J$451),0),
IF('TL10'!$B$3=J$3,SUMIF('TL10'!$C$10:$C$224,$C359,'TL10'!$J$10:$J$224),0),
IF('TL10'!$B$229=J$3,SUMIF('TL10'!$C$238:$C$451,$C359,'TL10'!$J$238:$J$451),0),
IF('TL11'!$B$3=J$3,SUMIF('TL11'!$C$10:$C$224,$C359,'TL11'!$J$10:$J$224),0),
IF('TL11'!$B$229=J$3,SUMIF('TL11'!$C$238:$C$451,$C359,'TL11'!$J$238:$J$451),0),
IF('TL12'!$B$3=J$3,SUMIF('TL12'!$C$10:$C$224,$C359,'TL12'!$J$10:$J$224),0),
IF('TL12'!$B$229=J$3,SUMIF('TL12'!$C$238:$C$451,$C359,'TL12'!$J$238:$J$451),0),
IF('TL13'!$B$3=J$3,SUMIF('TL13'!$C$10:$C$224,$C359,'TL13'!$J$10:$J$224),0),
IF('TL13'!$B$229=J$3,SUMIF('TL13'!$C$238:$C$451,$C359,'TL13'!$J$238:$J$451),0),
IF('TL14'!$B$3=J$3,SUMIF('TL14'!$C$10:$C$224,$C359,'TL14'!$J$10:$J$224),0),
IF('TL14'!$B$229=J$3,SUMIF('TL14'!$C$238:$C$451,$C359,'TL14'!$J$238:$J$451),0),
IF('TL15'!$B$3=J$3,SUMIF('TL15'!$C$10:$C$224,$C359,'TL15'!$J$10:$J$224),0),
IF('TL15'!$B$229=J$3,SUMIF('TL15'!$C$238:$C$451,$C359,'TL15'!$J$238:$J$451),0),
IF('TL16'!$B$3=J$3,SUMIF('TL16'!$C$10:$C$224,$C359,'TL16'!$J$10:$J$224),0),
IF('TL16'!$B$229=J$3,SUMIF('TL16'!$C$238:$C$451,$C359,'TL16'!$J$238:$J$451),0),
IF('TL17'!$B$3=J$3,SUMIF('TL17'!$C$10:$C$224,$C359,'TL17'!$J$10:$J$224),0),
IF('TL17'!$B$229=J$3,SUMIF('TL17'!$C$238:$C$451,$C359,'TL17'!$J$238:$J$451),0),
IF('TL18'!$B$3=J$3,SUMIF('TL18'!$C$10:$C$224,$C359,'TL18'!$J$10:$J$224),0),
IF('TL18'!$B$229=J$3,SUMIF('TL18'!$C$238:$C$451,$C359,'TL18'!$J$238:$J$451),0),
IF('TL19'!$B$3=J$3,SUMIF('TL19'!$C$10:$C$224,$C359,'TL19'!$J$10:$J$224),0),
IF('TL19'!$B$229=J$3,SUMIF('TL19'!$C$238:$C$451,$C359,'TL19'!$J$238:$J$451),0)
),0)</f>
        <v/>
      </c>
      <c r="K359" s="9">
        <f>IFERROR(SUM(
IF('TL01'!$B$3=K$3,SUMIF('TL01'!$C$10:$C$224,$C359,'TL01'!$J$10:$J$224),0),
IF('TL01'!$B$229=K$3,SUMIF('TL01'!$C$238:$C$451,$C359,'TL01'!$J$238:$J$451),0),
IF('TL02'!$B$3=K$3,SUMIF('TL02'!$C$10:$C$224,$C359,'TL02'!$J$10:$J$224),0),
IF('TL02'!$B$229=K$3,SUMIF('TL02'!$C$238:$C$451,$C359,'TL02'!$J$238:$J$451),0),
IF('TL03'!$B$3=K$3,SUMIF('TL03'!$C$10:$C$224,$C359,'TL03'!$J$10:$J$224),0),
IF('TL03'!$B$229=K$3,SUMIF('TL03'!$C$238:$C$451,$C359,'TL03'!$J$238:$J$451),0),
IF('TL04'!$B$3=K$3,SUMIF('TL04'!$C$10:$C$224,$C359,'TL04'!$J$10:$J$224),0),
IF('TL04'!$B$229=K$3,SUMIF('TL04'!$C$238:$C$451,$C359,'TL04'!$J$238:$J$451),0),
IF('TL05'!$B$3=K$3,SUMIF('TL05'!$C$10:$C$224,$C359,'TL05'!$J$10:$J$224),0),
IF('TL05'!$B$229=K$3,SUMIF('TL05'!$C$238:$C$451,$C359,'TL05'!$J$238:$J$451),0),
IF('TL06'!$B$3=K$3,SUMIF('TL06'!$C$10:$C$224,$C359,'TL06'!$J$10:$J$224),0),
IF('TL06'!$B$229=K$3,SUMIF('TL06'!$C$238:$C$451,$C359,'TL06'!$J$238:$J$451),0),
IF('TL07'!$B$3=K$3,SUMIF('TL07'!$C$10:$C$224,$C359,'TL07'!$J$10:$J$224),0),
IF('TL07'!$B$229=K$3,SUMIF('TL07'!$C$238:$C$451,$C359,'TL07'!$J$238:$J$451),0),
IF('TL08'!$B$3=K$3,SUMIF('TL08'!$C$10:$C$224,$C359,'TL08'!$J$10:$J$224),0),
IF('TL08'!$B$229=K$3,SUMIF('TL08'!$C$238:$C$451,$C359,'TL08'!$J$238:$J$451),0),
IF('TL09'!$B$3=K$3,SUMIF('TL09'!$C$10:$C$224,$C359,'TL09'!$J$10:$J$224),0),
IF('TL09'!$B$229=K$3,SUMIF('TL09'!$C$238:$C$451,$C359,'TL09'!$J$238:$J$451),0),
IF('TL10'!$B$3=K$3,SUMIF('TL10'!$C$10:$C$224,$C359,'TL10'!$J$10:$J$224),0),
IF('TL10'!$B$229=K$3,SUMIF('TL10'!$C$238:$C$451,$C359,'TL10'!$J$238:$J$451),0),
IF('TL11'!$B$3=K$3,SUMIF('TL11'!$C$10:$C$224,$C359,'TL11'!$J$10:$J$224),0),
IF('TL11'!$B$229=K$3,SUMIF('TL11'!$C$238:$C$451,$C359,'TL11'!$J$238:$J$451),0),
IF('TL12'!$B$3=K$3,SUMIF('TL12'!$C$10:$C$224,$C359,'TL12'!$J$10:$J$224),0),
IF('TL12'!$B$229=K$3,SUMIF('TL12'!$C$238:$C$451,$C359,'TL12'!$J$238:$J$451),0),
IF('TL13'!$B$3=K$3,SUMIF('TL13'!$C$10:$C$224,$C359,'TL13'!$J$10:$J$224),0),
IF('TL13'!$B$229=K$3,SUMIF('TL13'!$C$238:$C$451,$C359,'TL13'!$J$238:$J$451),0),
IF('TL14'!$B$3=K$3,SUMIF('TL14'!$C$10:$C$224,$C359,'TL14'!$J$10:$J$224),0),
IF('TL14'!$B$229=K$3,SUMIF('TL14'!$C$238:$C$451,$C359,'TL14'!$J$238:$J$451),0),
IF('TL15'!$B$3=K$3,SUMIF('TL15'!$C$10:$C$224,$C359,'TL15'!$J$10:$J$224),0),
IF('TL15'!$B$229=K$3,SUMIF('TL15'!$C$238:$C$451,$C359,'TL15'!$J$238:$J$451),0),
IF('TL16'!$B$3=K$3,SUMIF('TL16'!$C$10:$C$224,$C359,'TL16'!$J$10:$J$224),0),
IF('TL16'!$B$229=K$3,SUMIF('TL16'!$C$238:$C$451,$C359,'TL16'!$J$238:$J$451),0),
IF('TL17'!$B$3=K$3,SUMIF('TL17'!$C$10:$C$224,$C359,'TL17'!$J$10:$J$224),0),
IF('TL17'!$B$229=K$3,SUMIF('TL17'!$C$238:$C$451,$C359,'TL17'!$J$238:$J$451),0),
IF('TL18'!$B$3=K$3,SUMIF('TL18'!$C$10:$C$224,$C359,'TL18'!$J$10:$J$224),0),
IF('TL18'!$B$229=K$3,SUMIF('TL18'!$C$238:$C$451,$C359,'TL18'!$J$238:$J$451),0),
IF('TL19'!$B$3=K$3,SUMIF('TL19'!$C$10:$C$224,$C359,'TL19'!$J$10:$J$224),0),
IF('TL19'!$B$229=K$3,SUMIF('TL19'!$C$238:$C$451,$C359,'TL19'!$J$238:$J$451),0)
),0)</f>
        <v/>
      </c>
      <c r="L359" s="9">
        <f>IFERROR(SUM(
IF('TL01'!$B$3=L$3,SUMIF('TL01'!$C$10:$C$224,$C359,'TL01'!$J$10:$J$224),0),
IF('TL01'!$B$229=L$3,SUMIF('TL01'!$C$238:$C$451,$C359,'TL01'!$J$238:$J$451),0),
IF('TL02'!$B$3=L$3,SUMIF('TL02'!$C$10:$C$224,$C359,'TL02'!$J$10:$J$224),0),
IF('TL02'!$B$229=L$3,SUMIF('TL02'!$C$238:$C$451,$C359,'TL02'!$J$238:$J$451),0),
IF('TL03'!$B$3=L$3,SUMIF('TL03'!$C$10:$C$224,$C359,'TL03'!$J$10:$J$224),0),
IF('TL03'!$B$229=L$3,SUMIF('TL03'!$C$238:$C$451,$C359,'TL03'!$J$238:$J$451),0),
IF('TL04'!$B$3=L$3,SUMIF('TL04'!$C$10:$C$224,$C359,'TL04'!$J$10:$J$224),0),
IF('TL04'!$B$229=L$3,SUMIF('TL04'!$C$238:$C$451,$C359,'TL04'!$J$238:$J$451),0),
IF('TL05'!$B$3=L$3,SUMIF('TL05'!$C$10:$C$224,$C359,'TL05'!$J$10:$J$224),0),
IF('TL05'!$B$229=L$3,SUMIF('TL05'!$C$238:$C$451,$C359,'TL05'!$J$238:$J$451),0),
IF('TL06'!$B$3=L$3,SUMIF('TL06'!$C$10:$C$224,$C359,'TL06'!$J$10:$J$224),0),
IF('TL06'!$B$229=L$3,SUMIF('TL06'!$C$238:$C$451,$C359,'TL06'!$J$238:$J$451),0),
IF('TL07'!$B$3=L$3,SUMIF('TL07'!$C$10:$C$224,$C359,'TL07'!$J$10:$J$224),0),
IF('TL07'!$B$229=L$3,SUMIF('TL07'!$C$238:$C$451,$C359,'TL07'!$J$238:$J$451),0),
IF('TL08'!$B$3=L$3,SUMIF('TL08'!$C$10:$C$224,$C359,'TL08'!$J$10:$J$224),0),
IF('TL08'!$B$229=L$3,SUMIF('TL08'!$C$238:$C$451,$C359,'TL08'!$J$238:$J$451),0),
IF('TL09'!$B$3=L$3,SUMIF('TL09'!$C$10:$C$224,$C359,'TL09'!$J$10:$J$224),0),
IF('TL09'!$B$229=L$3,SUMIF('TL09'!$C$238:$C$451,$C359,'TL09'!$J$238:$J$451),0),
IF('TL10'!$B$3=L$3,SUMIF('TL10'!$C$10:$C$224,$C359,'TL10'!$J$10:$J$224),0),
IF('TL10'!$B$229=L$3,SUMIF('TL10'!$C$238:$C$451,$C359,'TL10'!$J$238:$J$451),0),
IF('TL11'!$B$3=L$3,SUMIF('TL11'!$C$10:$C$224,$C359,'TL11'!$J$10:$J$224),0),
IF('TL11'!$B$229=L$3,SUMIF('TL11'!$C$238:$C$451,$C359,'TL11'!$J$238:$J$451),0),
IF('TL12'!$B$3=L$3,SUMIF('TL12'!$C$10:$C$224,$C359,'TL12'!$J$10:$J$224),0),
IF('TL12'!$B$229=L$3,SUMIF('TL12'!$C$238:$C$451,$C359,'TL12'!$J$238:$J$451),0),
IF('TL13'!$B$3=L$3,SUMIF('TL13'!$C$10:$C$224,$C359,'TL13'!$J$10:$J$224),0),
IF('TL13'!$B$229=L$3,SUMIF('TL13'!$C$238:$C$451,$C359,'TL13'!$J$238:$J$451),0),
IF('TL14'!$B$3=L$3,SUMIF('TL14'!$C$10:$C$224,$C359,'TL14'!$J$10:$J$224),0),
IF('TL14'!$B$229=L$3,SUMIF('TL14'!$C$238:$C$451,$C359,'TL14'!$J$238:$J$451),0),
IF('TL15'!$B$3=L$3,SUMIF('TL15'!$C$10:$C$224,$C359,'TL15'!$J$10:$J$224),0),
IF('TL15'!$B$229=L$3,SUMIF('TL15'!$C$238:$C$451,$C359,'TL15'!$J$238:$J$451),0),
IF('TL16'!$B$3=L$3,SUMIF('TL16'!$C$10:$C$224,$C359,'TL16'!$J$10:$J$224),0),
IF('TL16'!$B$229=L$3,SUMIF('TL16'!$C$238:$C$451,$C359,'TL16'!$J$238:$J$451),0),
IF('TL17'!$B$3=L$3,SUMIF('TL17'!$C$10:$C$224,$C359,'TL17'!$J$10:$J$224),0),
IF('TL17'!$B$229=L$3,SUMIF('TL17'!$C$238:$C$451,$C359,'TL17'!$J$238:$J$451),0),
IF('TL18'!$B$3=L$3,SUMIF('TL18'!$C$10:$C$224,$C359,'TL18'!$J$10:$J$224),0),
IF('TL18'!$B$229=L$3,SUMIF('TL18'!$C$238:$C$451,$C359,'TL18'!$J$238:$J$451),0),
IF('TL19'!$B$3=L$3,SUMIF('TL19'!$C$10:$C$224,$C359,'TL19'!$J$10:$J$224),0),
IF('TL19'!$B$229=L$3,SUMIF('TL19'!$C$238:$C$451,$C359,'TL19'!$J$238:$J$451),0)
),0)</f>
        <v/>
      </c>
      <c r="M359" s="9">
        <f>IFERROR(SUM(
IF('TL01'!$B$3=M$3,SUMIF('TL01'!$C$10:$C$224,$C359,'TL01'!$J$10:$J$224),0),
IF('TL01'!$B$229=M$3,SUMIF('TL01'!$C$238:$C$451,$C359,'TL01'!$J$238:$J$451),0),
IF('TL02'!$B$3=M$3,SUMIF('TL02'!$C$10:$C$224,$C359,'TL02'!$J$10:$J$224),0),
IF('TL02'!$B$229=M$3,SUMIF('TL02'!$C$238:$C$451,$C359,'TL02'!$J$238:$J$451),0),
IF('TL03'!$B$3=M$3,SUMIF('TL03'!$C$10:$C$224,$C359,'TL03'!$J$10:$J$224),0),
IF('TL03'!$B$229=M$3,SUMIF('TL03'!$C$238:$C$451,$C359,'TL03'!$J$238:$J$451),0),
IF('TL04'!$B$3=M$3,SUMIF('TL04'!$C$10:$C$224,$C359,'TL04'!$J$10:$J$224),0),
IF('TL04'!$B$229=M$3,SUMIF('TL04'!$C$238:$C$451,$C359,'TL04'!$J$238:$J$451),0),
IF('TL05'!$B$3=M$3,SUMIF('TL05'!$C$10:$C$224,$C359,'TL05'!$J$10:$J$224),0),
IF('TL05'!$B$229=M$3,SUMIF('TL05'!$C$238:$C$451,$C359,'TL05'!$J$238:$J$451),0),
IF('TL06'!$B$3=M$3,SUMIF('TL06'!$C$10:$C$224,$C359,'TL06'!$J$10:$J$224),0),
IF('TL06'!$B$229=M$3,SUMIF('TL06'!$C$238:$C$451,$C359,'TL06'!$J$238:$J$451),0),
IF('TL07'!$B$3=M$3,SUMIF('TL07'!$C$10:$C$224,$C359,'TL07'!$J$10:$J$224),0),
IF('TL07'!$B$229=M$3,SUMIF('TL07'!$C$238:$C$451,$C359,'TL07'!$J$238:$J$451),0),
IF('TL08'!$B$3=M$3,SUMIF('TL08'!$C$10:$C$224,$C359,'TL08'!$J$10:$J$224),0),
IF('TL08'!$B$229=M$3,SUMIF('TL08'!$C$238:$C$451,$C359,'TL08'!$J$238:$J$451),0),
IF('TL09'!$B$3=M$3,SUMIF('TL09'!$C$10:$C$224,$C359,'TL09'!$J$10:$J$224),0),
IF('TL09'!$B$229=M$3,SUMIF('TL09'!$C$238:$C$451,$C359,'TL09'!$J$238:$J$451),0),
IF('TL10'!$B$3=M$3,SUMIF('TL10'!$C$10:$C$224,$C359,'TL10'!$J$10:$J$224),0),
IF('TL10'!$B$229=M$3,SUMIF('TL10'!$C$238:$C$451,$C359,'TL10'!$J$238:$J$451),0),
IF('TL11'!$B$3=M$3,SUMIF('TL11'!$C$10:$C$224,$C359,'TL11'!$J$10:$J$224),0),
IF('TL11'!$B$229=M$3,SUMIF('TL11'!$C$238:$C$451,$C359,'TL11'!$J$238:$J$451),0),
IF('TL12'!$B$3=M$3,SUMIF('TL12'!$C$10:$C$224,$C359,'TL12'!$J$10:$J$224),0),
IF('TL12'!$B$229=M$3,SUMIF('TL12'!$C$238:$C$451,$C359,'TL12'!$J$238:$J$451),0),
IF('TL13'!$B$3=M$3,SUMIF('TL13'!$C$10:$C$224,$C359,'TL13'!$J$10:$J$224),0),
IF('TL13'!$B$229=M$3,SUMIF('TL13'!$C$238:$C$451,$C359,'TL13'!$J$238:$J$451),0),
IF('TL14'!$B$3=M$3,SUMIF('TL14'!$C$10:$C$224,$C359,'TL14'!$J$10:$J$224),0),
IF('TL14'!$B$229=M$3,SUMIF('TL14'!$C$238:$C$451,$C359,'TL14'!$J$238:$J$451),0),
IF('TL15'!$B$3=M$3,SUMIF('TL15'!$C$10:$C$224,$C359,'TL15'!$J$10:$J$224),0),
IF('TL15'!$B$229=M$3,SUMIF('TL15'!$C$238:$C$451,$C359,'TL15'!$J$238:$J$451),0),
IF('TL16'!$B$3=M$3,SUMIF('TL16'!$C$10:$C$224,$C359,'TL16'!$J$10:$J$224),0),
IF('TL16'!$B$229=M$3,SUMIF('TL16'!$C$238:$C$451,$C359,'TL16'!$J$238:$J$451),0),
IF('TL17'!$B$3=M$3,SUMIF('TL17'!$C$10:$C$224,$C359,'TL17'!$J$10:$J$224),0),
IF('TL17'!$B$229=M$3,SUMIF('TL17'!$C$238:$C$451,$C359,'TL17'!$J$238:$J$451),0),
IF('TL18'!$B$3=M$3,SUMIF('TL18'!$C$10:$C$224,$C359,'TL18'!$J$10:$J$224),0),
IF('TL18'!$B$229=M$3,SUMIF('TL18'!$C$238:$C$451,$C359,'TL18'!$J$238:$J$451),0),
IF('TL19'!$B$3=M$3,SUMIF('TL19'!$C$10:$C$224,$C359,'TL19'!$J$10:$J$224),0),
IF('TL19'!$B$229=M$3,SUMIF('TL19'!$C$238:$C$451,$C359,'TL19'!$J$238:$J$451),0)
),0)</f>
        <v/>
      </c>
      <c r="N359" s="9">
        <f>IFERROR(SUM(
IF('TL01'!$B$3=N$3,SUMIF('TL01'!$C$10:$C$224,$C359,'TL01'!$J$10:$J$224),0),
IF('TL01'!$B$229=N$3,SUMIF('TL01'!$C$238:$C$451,$C359,'TL01'!$J$238:$J$451),0),
IF('TL02'!$B$3=N$3,SUMIF('TL02'!$C$10:$C$224,$C359,'TL02'!$J$10:$J$224),0),
IF('TL02'!$B$229=N$3,SUMIF('TL02'!$C$238:$C$451,$C359,'TL02'!$J$238:$J$451),0),
IF('TL03'!$B$3=N$3,SUMIF('TL03'!$C$10:$C$224,$C359,'TL03'!$J$10:$J$224),0),
IF('TL03'!$B$229=N$3,SUMIF('TL03'!$C$238:$C$451,$C359,'TL03'!$J$238:$J$451),0),
IF('TL04'!$B$3=N$3,SUMIF('TL04'!$C$10:$C$224,$C359,'TL04'!$J$10:$J$224),0),
IF('TL04'!$B$229=N$3,SUMIF('TL04'!$C$238:$C$451,$C359,'TL04'!$J$238:$J$451),0),
IF('TL05'!$B$3=N$3,SUMIF('TL05'!$C$10:$C$224,$C359,'TL05'!$J$10:$J$224),0),
IF('TL05'!$B$229=N$3,SUMIF('TL05'!$C$238:$C$451,$C359,'TL05'!$J$238:$J$451),0),
IF('TL06'!$B$3=N$3,SUMIF('TL06'!$C$10:$C$224,$C359,'TL06'!$J$10:$J$224),0),
IF('TL06'!$B$229=N$3,SUMIF('TL06'!$C$238:$C$451,$C359,'TL06'!$J$238:$J$451),0),
IF('TL07'!$B$3=N$3,SUMIF('TL07'!$C$10:$C$224,$C359,'TL07'!$J$10:$J$224),0),
IF('TL07'!$B$229=N$3,SUMIF('TL07'!$C$238:$C$451,$C359,'TL07'!$J$238:$J$451),0),
IF('TL08'!$B$3=N$3,SUMIF('TL08'!$C$10:$C$224,$C359,'TL08'!$J$10:$J$224),0),
IF('TL08'!$B$229=N$3,SUMIF('TL08'!$C$238:$C$451,$C359,'TL08'!$J$238:$J$451),0),
IF('TL09'!$B$3=N$3,SUMIF('TL09'!$C$10:$C$224,$C359,'TL09'!$J$10:$J$224),0),
IF('TL09'!$B$229=N$3,SUMIF('TL09'!$C$238:$C$451,$C359,'TL09'!$J$238:$J$451),0),
IF('TL10'!$B$3=N$3,SUMIF('TL10'!$C$10:$C$224,$C359,'TL10'!$J$10:$J$224),0),
IF('TL10'!$B$229=N$3,SUMIF('TL10'!$C$238:$C$451,$C359,'TL10'!$J$238:$J$451),0),
IF('TL11'!$B$3=N$3,SUMIF('TL11'!$C$10:$C$224,$C359,'TL11'!$J$10:$J$224),0),
IF('TL11'!$B$229=N$3,SUMIF('TL11'!$C$238:$C$451,$C359,'TL11'!$J$238:$J$451),0),
IF('TL12'!$B$3=N$3,SUMIF('TL12'!$C$10:$C$224,$C359,'TL12'!$J$10:$J$224),0),
IF('TL12'!$B$229=N$3,SUMIF('TL12'!$C$238:$C$451,$C359,'TL12'!$J$238:$J$451),0),
IF('TL13'!$B$3=N$3,SUMIF('TL13'!$C$10:$C$224,$C359,'TL13'!$J$10:$J$224),0),
IF('TL13'!$B$229=N$3,SUMIF('TL13'!$C$238:$C$451,$C359,'TL13'!$J$238:$J$451),0),
IF('TL14'!$B$3=N$3,SUMIF('TL14'!$C$10:$C$224,$C359,'TL14'!$J$10:$J$224),0),
IF('TL14'!$B$229=N$3,SUMIF('TL14'!$C$238:$C$451,$C359,'TL14'!$J$238:$J$451),0),
IF('TL15'!$B$3=N$3,SUMIF('TL15'!$C$10:$C$224,$C359,'TL15'!$J$10:$J$224),0),
IF('TL15'!$B$229=N$3,SUMIF('TL15'!$C$238:$C$451,$C359,'TL15'!$J$238:$J$451),0),
IF('TL16'!$B$3=N$3,SUMIF('TL16'!$C$10:$C$224,$C359,'TL16'!$J$10:$J$224),0),
IF('TL16'!$B$229=N$3,SUMIF('TL16'!$C$238:$C$451,$C359,'TL16'!$J$238:$J$451),0),
IF('TL17'!$B$3=N$3,SUMIF('TL17'!$C$10:$C$224,$C359,'TL17'!$J$10:$J$224),0),
IF('TL17'!$B$229=N$3,SUMIF('TL17'!$C$238:$C$451,$C359,'TL17'!$J$238:$J$451),0),
IF('TL18'!$B$3=N$3,SUMIF('TL18'!$C$10:$C$224,$C359,'TL18'!$J$10:$J$224),0),
IF('TL18'!$B$229=N$3,SUMIF('TL18'!$C$238:$C$451,$C359,'TL18'!$J$238:$J$451),0),
IF('TL19'!$B$3=N$3,SUMIF('TL19'!$C$10:$C$224,$C359,'TL19'!$J$10:$J$224),0),
IF('TL19'!$B$229=N$3,SUMIF('TL19'!$C$238:$C$451,$C359,'TL19'!$J$238:$J$451),0)
),0)</f>
        <v/>
      </c>
      <c r="O359" s="9">
        <f>IFERROR(SUM(
IF('TL01'!$B$3=O$3,SUMIF('TL01'!$C$10:$C$224,$C359,'TL01'!$J$10:$J$224),0),
IF('TL01'!$B$229=O$3,SUMIF('TL01'!$C$238:$C$451,$C359,'TL01'!$J$238:$J$451),0),
IF('TL02'!$B$3=O$3,SUMIF('TL02'!$C$10:$C$224,$C359,'TL02'!$J$10:$J$224),0),
IF('TL02'!$B$229=O$3,SUMIF('TL02'!$C$238:$C$451,$C359,'TL02'!$J$238:$J$451),0),
IF('TL03'!$B$3=O$3,SUMIF('TL03'!$C$10:$C$224,$C359,'TL03'!$J$10:$J$224),0),
IF('TL03'!$B$229=O$3,SUMIF('TL03'!$C$238:$C$451,$C359,'TL03'!$J$238:$J$451),0),
IF('TL04'!$B$3=O$3,SUMIF('TL04'!$C$10:$C$224,$C359,'TL04'!$J$10:$J$224),0),
IF('TL04'!$B$229=O$3,SUMIF('TL04'!$C$238:$C$451,$C359,'TL04'!$J$238:$J$451),0),
IF('TL05'!$B$3=O$3,SUMIF('TL05'!$C$10:$C$224,$C359,'TL05'!$J$10:$J$224),0),
IF('TL05'!$B$229=O$3,SUMIF('TL05'!$C$238:$C$451,$C359,'TL05'!$J$238:$J$451),0),
IF('TL06'!$B$3=O$3,SUMIF('TL06'!$C$10:$C$224,$C359,'TL06'!$J$10:$J$224),0),
IF('TL06'!$B$229=O$3,SUMIF('TL06'!$C$238:$C$451,$C359,'TL06'!$J$238:$J$451),0),
IF('TL07'!$B$3=O$3,SUMIF('TL07'!$C$10:$C$224,$C359,'TL07'!$J$10:$J$224),0),
IF('TL07'!$B$229=O$3,SUMIF('TL07'!$C$238:$C$451,$C359,'TL07'!$J$238:$J$451),0),
IF('TL08'!$B$3=O$3,SUMIF('TL08'!$C$10:$C$224,$C359,'TL08'!$J$10:$J$224),0),
IF('TL08'!$B$229=O$3,SUMIF('TL08'!$C$238:$C$451,$C359,'TL08'!$J$238:$J$451),0),
IF('TL09'!$B$3=O$3,SUMIF('TL09'!$C$10:$C$224,$C359,'TL09'!$J$10:$J$224),0),
IF('TL09'!$B$229=O$3,SUMIF('TL09'!$C$238:$C$451,$C359,'TL09'!$J$238:$J$451),0),
IF('TL10'!$B$3=O$3,SUMIF('TL10'!$C$10:$C$224,$C359,'TL10'!$J$10:$J$224),0),
IF('TL10'!$B$229=O$3,SUMIF('TL10'!$C$238:$C$451,$C359,'TL10'!$J$238:$J$451),0),
IF('TL11'!$B$3=O$3,SUMIF('TL11'!$C$10:$C$224,$C359,'TL11'!$J$10:$J$224),0),
IF('TL11'!$B$229=O$3,SUMIF('TL11'!$C$238:$C$451,$C359,'TL11'!$J$238:$J$451),0),
IF('TL12'!$B$3=O$3,SUMIF('TL12'!$C$10:$C$224,$C359,'TL12'!$J$10:$J$224),0),
IF('TL12'!$B$229=O$3,SUMIF('TL12'!$C$238:$C$451,$C359,'TL12'!$J$238:$J$451),0),
IF('TL13'!$B$3=O$3,SUMIF('TL13'!$C$10:$C$224,$C359,'TL13'!$J$10:$J$224),0),
IF('TL13'!$B$229=O$3,SUMIF('TL13'!$C$238:$C$451,$C359,'TL13'!$J$238:$J$451),0),
IF('TL14'!$B$3=O$3,SUMIF('TL14'!$C$10:$C$224,$C359,'TL14'!$J$10:$J$224),0),
IF('TL14'!$B$229=O$3,SUMIF('TL14'!$C$238:$C$451,$C359,'TL14'!$J$238:$J$451),0),
IF('TL15'!$B$3=O$3,SUMIF('TL15'!$C$10:$C$224,$C359,'TL15'!$J$10:$J$224),0),
IF('TL15'!$B$229=O$3,SUMIF('TL15'!$C$238:$C$451,$C359,'TL15'!$J$238:$J$451),0),
IF('TL16'!$B$3=O$3,SUMIF('TL16'!$C$10:$C$224,$C359,'TL16'!$J$10:$J$224),0),
IF('TL16'!$B$229=O$3,SUMIF('TL16'!$C$238:$C$451,$C359,'TL16'!$J$238:$J$451),0),
IF('TL17'!$B$3=O$3,SUMIF('TL17'!$C$10:$C$224,$C359,'TL17'!$J$10:$J$224),0),
IF('TL17'!$B$229=O$3,SUMIF('TL17'!$C$238:$C$451,$C359,'TL17'!$J$238:$J$451),0),
IF('TL18'!$B$3=O$3,SUMIF('TL18'!$C$10:$C$224,$C359,'TL18'!$J$10:$J$224),0),
IF('TL18'!$B$229=O$3,SUMIF('TL18'!$C$238:$C$451,$C359,'TL18'!$J$238:$J$451),0),
IF('TL19'!$B$3=O$3,SUMIF('TL19'!$C$10:$C$224,$C359,'TL19'!$J$10:$J$224),0),
IF('TL19'!$B$229=O$3,SUMIF('TL19'!$C$238:$C$451,$C359,'TL19'!$J$238:$J$451),0)
),0)</f>
        <v/>
      </c>
      <c r="P359" s="9">
        <f>IFERROR(SUM(
IF('TL01'!$B$3=P$3,SUMIF('TL01'!$C$10:$C$224,$C359,'TL01'!$J$10:$J$224),0),
IF('TL01'!$B$229=P$3,SUMIF('TL01'!$C$238:$C$451,$C359,'TL01'!$J$238:$J$451),0),
IF('TL02'!$B$3=P$3,SUMIF('TL02'!$C$10:$C$224,$C359,'TL02'!$J$10:$J$224),0),
IF('TL02'!$B$229=P$3,SUMIF('TL02'!$C$238:$C$451,$C359,'TL02'!$J$238:$J$451),0),
IF('TL03'!$B$3=P$3,SUMIF('TL03'!$C$10:$C$224,$C359,'TL03'!$J$10:$J$224),0),
IF('TL03'!$B$229=P$3,SUMIF('TL03'!$C$238:$C$451,$C359,'TL03'!$J$238:$J$451),0),
IF('TL04'!$B$3=P$3,SUMIF('TL04'!$C$10:$C$224,$C359,'TL04'!$J$10:$J$224),0),
IF('TL04'!$B$229=P$3,SUMIF('TL04'!$C$238:$C$451,$C359,'TL04'!$J$238:$J$451),0),
IF('TL05'!$B$3=P$3,SUMIF('TL05'!$C$10:$C$224,$C359,'TL05'!$J$10:$J$224),0),
IF('TL05'!$B$229=P$3,SUMIF('TL05'!$C$238:$C$451,$C359,'TL05'!$J$238:$J$451),0),
IF('TL06'!$B$3=P$3,SUMIF('TL06'!$C$10:$C$224,$C359,'TL06'!$J$10:$J$224),0),
IF('TL06'!$B$229=P$3,SUMIF('TL06'!$C$238:$C$451,$C359,'TL06'!$J$238:$J$451),0),
IF('TL07'!$B$3=P$3,SUMIF('TL07'!$C$10:$C$224,$C359,'TL07'!$J$10:$J$224),0),
IF('TL07'!$B$229=P$3,SUMIF('TL07'!$C$238:$C$451,$C359,'TL07'!$J$238:$J$451),0),
IF('TL08'!$B$3=P$3,SUMIF('TL08'!$C$10:$C$224,$C359,'TL08'!$J$10:$J$224),0),
IF('TL08'!$B$229=P$3,SUMIF('TL08'!$C$238:$C$451,$C359,'TL08'!$J$238:$J$451),0),
IF('TL09'!$B$3=P$3,SUMIF('TL09'!$C$10:$C$224,$C359,'TL09'!$J$10:$J$224),0),
IF('TL09'!$B$229=P$3,SUMIF('TL09'!$C$238:$C$451,$C359,'TL09'!$J$238:$J$451),0),
IF('TL10'!$B$3=P$3,SUMIF('TL10'!$C$10:$C$224,$C359,'TL10'!$J$10:$J$224),0),
IF('TL10'!$B$229=P$3,SUMIF('TL10'!$C$238:$C$451,$C359,'TL10'!$J$238:$J$451),0),
IF('TL11'!$B$3=P$3,SUMIF('TL11'!$C$10:$C$224,$C359,'TL11'!$J$10:$J$224),0),
IF('TL11'!$B$229=P$3,SUMIF('TL11'!$C$238:$C$451,$C359,'TL11'!$J$238:$J$451),0),
IF('TL12'!$B$3=P$3,SUMIF('TL12'!$C$10:$C$224,$C359,'TL12'!$J$10:$J$224),0),
IF('TL12'!$B$229=P$3,SUMIF('TL12'!$C$238:$C$451,$C359,'TL12'!$J$238:$J$451),0),
IF('TL13'!$B$3=P$3,SUMIF('TL13'!$C$10:$C$224,$C359,'TL13'!$J$10:$J$224),0),
IF('TL13'!$B$229=P$3,SUMIF('TL13'!$C$238:$C$451,$C359,'TL13'!$J$238:$J$451),0),
IF('TL14'!$B$3=P$3,SUMIF('TL14'!$C$10:$C$224,$C359,'TL14'!$J$10:$J$224),0),
IF('TL14'!$B$229=P$3,SUMIF('TL14'!$C$238:$C$451,$C359,'TL14'!$J$238:$J$451),0),
IF('TL15'!$B$3=P$3,SUMIF('TL15'!$C$10:$C$224,$C359,'TL15'!$J$10:$J$224),0),
IF('TL15'!$B$229=P$3,SUMIF('TL15'!$C$238:$C$451,$C359,'TL15'!$J$238:$J$451),0),
IF('TL16'!$B$3=P$3,SUMIF('TL16'!$C$10:$C$224,$C359,'TL16'!$J$10:$J$224),0),
IF('TL16'!$B$229=P$3,SUMIF('TL16'!$C$238:$C$451,$C359,'TL16'!$J$238:$J$451),0),
IF('TL17'!$B$3=P$3,SUMIF('TL17'!$C$10:$C$224,$C359,'TL17'!$J$10:$J$224),0),
IF('TL17'!$B$229=P$3,SUMIF('TL17'!$C$238:$C$451,$C359,'TL17'!$J$238:$J$451),0),
IF('TL18'!$B$3=P$3,SUMIF('TL18'!$C$10:$C$224,$C359,'TL18'!$J$10:$J$224),0),
IF('TL18'!$B$229=P$3,SUMIF('TL18'!$C$238:$C$451,$C359,'TL18'!$J$238:$J$451),0),
IF('TL19'!$B$3=P$3,SUMIF('TL19'!$C$10:$C$224,$C359,'TL19'!$J$10:$J$224),0),
IF('TL19'!$B$229=P$3,SUMIF('TL19'!$C$238:$C$451,$C359,'TL19'!$J$238:$J$451),0)
),0)</f>
        <v/>
      </c>
      <c r="Q359" s="9">
        <f>IFERROR(SUM(
IF('TL01'!$B$3=Q$3,SUMIF('TL01'!$C$10:$C$224,$C359,'TL01'!$J$10:$J$224),0),
IF('TL01'!$B$229=Q$3,SUMIF('TL01'!$C$238:$C$451,$C359,'TL01'!$J$238:$J$451),0),
IF('TL02'!$B$3=Q$3,SUMIF('TL02'!$C$10:$C$224,$C359,'TL02'!$J$10:$J$224),0),
IF('TL02'!$B$229=Q$3,SUMIF('TL02'!$C$238:$C$451,$C359,'TL02'!$J$238:$J$451),0),
IF('TL03'!$B$3=Q$3,SUMIF('TL03'!$C$10:$C$224,$C359,'TL03'!$J$10:$J$224),0),
IF('TL03'!$B$229=Q$3,SUMIF('TL03'!$C$238:$C$451,$C359,'TL03'!$J$238:$J$451),0),
IF('TL04'!$B$3=Q$3,SUMIF('TL04'!$C$10:$C$224,$C359,'TL04'!$J$10:$J$224),0),
IF('TL04'!$B$229=Q$3,SUMIF('TL04'!$C$238:$C$451,$C359,'TL04'!$J$238:$J$451),0),
IF('TL05'!$B$3=Q$3,SUMIF('TL05'!$C$10:$C$224,$C359,'TL05'!$J$10:$J$224),0),
IF('TL05'!$B$229=Q$3,SUMIF('TL05'!$C$238:$C$451,$C359,'TL05'!$J$238:$J$451),0),
IF('TL06'!$B$3=Q$3,SUMIF('TL06'!$C$10:$C$224,$C359,'TL06'!$J$10:$J$224),0),
IF('TL06'!$B$229=Q$3,SUMIF('TL06'!$C$238:$C$451,$C359,'TL06'!$J$238:$J$451),0),
IF('TL07'!$B$3=Q$3,SUMIF('TL07'!$C$10:$C$224,$C359,'TL07'!$J$10:$J$224),0),
IF('TL07'!$B$229=Q$3,SUMIF('TL07'!$C$238:$C$451,$C359,'TL07'!$J$238:$J$451),0),
IF('TL08'!$B$3=Q$3,SUMIF('TL08'!$C$10:$C$224,$C359,'TL08'!$J$10:$J$224),0),
IF('TL08'!$B$229=Q$3,SUMIF('TL08'!$C$238:$C$451,$C359,'TL08'!$J$238:$J$451),0),
IF('TL09'!$B$3=Q$3,SUMIF('TL09'!$C$10:$C$224,$C359,'TL09'!$J$10:$J$224),0),
IF('TL09'!$B$229=Q$3,SUMIF('TL09'!$C$238:$C$451,$C359,'TL09'!$J$238:$J$451),0),
IF('TL10'!$B$3=Q$3,SUMIF('TL10'!$C$10:$C$224,$C359,'TL10'!$J$10:$J$224),0),
IF('TL10'!$B$229=Q$3,SUMIF('TL10'!$C$238:$C$451,$C359,'TL10'!$J$238:$J$451),0),
IF('TL11'!$B$3=Q$3,SUMIF('TL11'!$C$10:$C$224,$C359,'TL11'!$J$10:$J$224),0),
IF('TL11'!$B$229=Q$3,SUMIF('TL11'!$C$238:$C$451,$C359,'TL11'!$J$238:$J$451),0),
IF('TL12'!$B$3=Q$3,SUMIF('TL12'!$C$10:$C$224,$C359,'TL12'!$J$10:$J$224),0),
IF('TL12'!$B$229=Q$3,SUMIF('TL12'!$C$238:$C$451,$C359,'TL12'!$J$238:$J$451),0),
IF('TL13'!$B$3=Q$3,SUMIF('TL13'!$C$10:$C$224,$C359,'TL13'!$J$10:$J$224),0),
IF('TL13'!$B$229=Q$3,SUMIF('TL13'!$C$238:$C$451,$C359,'TL13'!$J$238:$J$451),0),
IF('TL14'!$B$3=Q$3,SUMIF('TL14'!$C$10:$C$224,$C359,'TL14'!$J$10:$J$224),0),
IF('TL14'!$B$229=Q$3,SUMIF('TL14'!$C$238:$C$451,$C359,'TL14'!$J$238:$J$451),0),
IF('TL15'!$B$3=Q$3,SUMIF('TL15'!$C$10:$C$224,$C359,'TL15'!$J$10:$J$224),0),
IF('TL15'!$B$229=Q$3,SUMIF('TL15'!$C$238:$C$451,$C359,'TL15'!$J$238:$J$451),0),
IF('TL16'!$B$3=Q$3,SUMIF('TL16'!$C$10:$C$224,$C359,'TL16'!$J$10:$J$224),0),
IF('TL16'!$B$229=Q$3,SUMIF('TL16'!$C$238:$C$451,$C359,'TL16'!$J$238:$J$451),0),
IF('TL17'!$B$3=Q$3,SUMIF('TL17'!$C$10:$C$224,$C359,'TL17'!$J$10:$J$224),0),
IF('TL17'!$B$229=Q$3,SUMIF('TL17'!$C$238:$C$451,$C359,'TL17'!$J$238:$J$451),0),
IF('TL18'!$B$3=Q$3,SUMIF('TL18'!$C$10:$C$224,$C359,'TL18'!$J$10:$J$224),0),
IF('TL18'!$B$229=Q$3,SUMIF('TL18'!$C$238:$C$451,$C359,'TL18'!$J$238:$J$451),0),
IF('TL19'!$B$3=Q$3,SUMIF('TL19'!$C$10:$C$224,$C359,'TL19'!$J$10:$J$224),0),
IF('TL19'!$B$229=Q$3,SUMIF('TL19'!$C$238:$C$451,$C359,'TL19'!$J$238:$J$451),0)
),0)</f>
        <v/>
      </c>
      <c r="R359" s="9">
        <f>IFERROR(
SUM(
SUMIF('TL01'!C:C,C359,'TL01'!J:J),
SUMIF('TL02'!C:C,C359,'TL02'!J:J),
SUMIF('TL03'!C:C,C359,'TL03'!J:J),
SUMIF('TL04'!C:C,C359,'TL04'!J:J),
SUMIF('TL05'!C:C,C359,'TL05'!J:J),
SUMIF('TL06'!C:C,C359,'TL06'!J:J),
SUMIF('TL07'!C:C,C359,'TL07'!J:J),
SUMIF('TL08'!C:C,C359,'TL08'!J:J),
SUMIF('TL09'!C:C,C359,'TL09'!J:J),
SUMIF('TL10'!C:C,C359,'TL10'!J:J),
SUMIF('TL11'!C:C,C359,'TL11'!J:J),
SUMIF('TL12'!C:C,C359,'TL12'!J:J),
SUMIF('TL13'!C:C,C359,'TL13'!J:J),
SUMIF('TL14'!C:C,C359,'TL14'!J:J),
SUMIF('TL15'!C:C,C359,'TL15'!J:J),
SUMIF('TL16'!C:C,C359,'TL16'!J:J),
SUMIF('TL17'!C:C,C359,'TL17'!J:J),
SUMIF('TL18'!C:C,C359,'TL18'!J:J),SUMIF('TL19'!C:C,C359,'TL19'!J:J))
,0)</f>
        <v/>
      </c>
      <c r="S359" s="17">
        <f>IFERROR(__xludf.DUMMYFUNCTION("IFERROR(VLOOKUP(C359,
IMPORTRANGE(""1wULbzX32WdYsx-lj2U3uUNBBe2INVIRDtcK0d-Dvl90"",
""26-27!C:G""),
5,
FALSE),
"""")"),62.4)</f>
        <v/>
      </c>
      <c r="T359" s="9" t="n"/>
      <c r="U359" s="92">
        <f>MAX(0,R359-T359)</f>
        <v/>
      </c>
      <c r="V359" s="93">
        <f>U359*S359</f>
        <v/>
      </c>
    </row>
    <row r="360" hidden="1" ht="15.75" customHeight="1" s="297">
      <c r="A360" s="4" t="inlineStr">
        <is>
          <t>SOLUBIO</t>
        </is>
      </c>
      <c r="B360" s="4" t="inlineStr">
        <is>
          <t>BIOLÓGICOS</t>
        </is>
      </c>
      <c r="C360" s="126" t="inlineStr">
        <is>
          <t>Bio Az</t>
        </is>
      </c>
      <c r="D360" s="127" t="inlineStr">
        <is>
          <t>Azospirillum brasiliense</t>
        </is>
      </c>
      <c r="E360" s="20" t="n"/>
      <c r="F360" s="4" t="inlineStr">
        <is>
          <t>L</t>
        </is>
      </c>
      <c r="G360" s="90">
        <f>HYPERLINK("https://www.google.com/search?q=" &amp; C360 &amp; "+bula+agrofit+pdf", "📄 Ver bula")</f>
        <v/>
      </c>
      <c r="H360" s="4" t="n">
        <v>2</v>
      </c>
      <c r="I360" s="121" t="inlineStr">
        <is>
          <t>4X5</t>
        </is>
      </c>
      <c r="J360" s="9">
        <f>IFERROR(SUM(
IF('TL01'!$B$3=J$3,SUMIF('TL01'!$C$10:$C$224,$C360,'TL01'!$J$10:$J$224),0),
IF('TL01'!$B$229=J$3,SUMIF('TL01'!$C$238:$C$451,$C360,'TL01'!$J$238:$J$451),0),
IF('TL02'!$B$3=J$3,SUMIF('TL02'!$C$10:$C$224,$C360,'TL02'!$J$10:$J$224),0),
IF('TL02'!$B$229=J$3,SUMIF('TL02'!$C$238:$C$451,$C360,'TL02'!$J$238:$J$451),0),
IF('TL03'!$B$3=J$3,SUMIF('TL03'!$C$10:$C$224,$C360,'TL03'!$J$10:$J$224),0),
IF('TL03'!$B$229=J$3,SUMIF('TL03'!$C$238:$C$451,$C360,'TL03'!$J$238:$J$451),0),
IF('TL04'!$B$3=J$3,SUMIF('TL04'!$C$10:$C$224,$C360,'TL04'!$J$10:$J$224),0),
IF('TL04'!$B$229=J$3,SUMIF('TL04'!$C$238:$C$451,$C360,'TL04'!$J$238:$J$451),0),
IF('TL05'!$B$3=J$3,SUMIF('TL05'!$C$10:$C$224,$C360,'TL05'!$J$10:$J$224),0),
IF('TL05'!$B$229=J$3,SUMIF('TL05'!$C$238:$C$451,$C360,'TL05'!$J$238:$J$451),0),
IF('TL06'!$B$3=J$3,SUMIF('TL06'!$C$10:$C$224,$C360,'TL06'!$J$10:$J$224),0),
IF('TL06'!$B$229=J$3,SUMIF('TL06'!$C$238:$C$451,$C360,'TL06'!$J$238:$J$451),0),
IF('TL07'!$B$3=J$3,SUMIF('TL07'!$C$10:$C$224,$C360,'TL07'!$J$10:$J$224),0),
IF('TL07'!$B$229=J$3,SUMIF('TL07'!$C$238:$C$451,$C360,'TL07'!$J$238:$J$451),0),
IF('TL08'!$B$3=J$3,SUMIF('TL08'!$C$10:$C$224,$C360,'TL08'!$J$10:$J$224),0),
IF('TL08'!$B$229=J$3,SUMIF('TL08'!$C$238:$C$451,$C360,'TL08'!$J$238:$J$451),0),
IF('TL09'!$B$3=J$3,SUMIF('TL09'!$C$10:$C$224,$C360,'TL09'!$J$10:$J$224),0),
IF('TL09'!$B$229=J$3,SUMIF('TL09'!$C$238:$C$451,$C360,'TL09'!$J$238:$J$451),0),
IF('TL10'!$B$3=J$3,SUMIF('TL10'!$C$10:$C$224,$C360,'TL10'!$J$10:$J$224),0),
IF('TL10'!$B$229=J$3,SUMIF('TL10'!$C$238:$C$451,$C360,'TL10'!$J$238:$J$451),0),
IF('TL11'!$B$3=J$3,SUMIF('TL11'!$C$10:$C$224,$C360,'TL11'!$J$10:$J$224),0),
IF('TL11'!$B$229=J$3,SUMIF('TL11'!$C$238:$C$451,$C360,'TL11'!$J$238:$J$451),0),
IF('TL12'!$B$3=J$3,SUMIF('TL12'!$C$10:$C$224,$C360,'TL12'!$J$10:$J$224),0),
IF('TL12'!$B$229=J$3,SUMIF('TL12'!$C$238:$C$451,$C360,'TL12'!$J$238:$J$451),0),
IF('TL13'!$B$3=J$3,SUMIF('TL13'!$C$10:$C$224,$C360,'TL13'!$J$10:$J$224),0),
IF('TL13'!$B$229=J$3,SUMIF('TL13'!$C$238:$C$451,$C360,'TL13'!$J$238:$J$451),0),
IF('TL14'!$B$3=J$3,SUMIF('TL14'!$C$10:$C$224,$C360,'TL14'!$J$10:$J$224),0),
IF('TL14'!$B$229=J$3,SUMIF('TL14'!$C$238:$C$451,$C360,'TL14'!$J$238:$J$451),0),
IF('TL15'!$B$3=J$3,SUMIF('TL15'!$C$10:$C$224,$C360,'TL15'!$J$10:$J$224),0),
IF('TL15'!$B$229=J$3,SUMIF('TL15'!$C$238:$C$451,$C360,'TL15'!$J$238:$J$451),0),
IF('TL16'!$B$3=J$3,SUMIF('TL16'!$C$10:$C$224,$C360,'TL16'!$J$10:$J$224),0),
IF('TL16'!$B$229=J$3,SUMIF('TL16'!$C$238:$C$451,$C360,'TL16'!$J$238:$J$451),0),
IF('TL17'!$B$3=J$3,SUMIF('TL17'!$C$10:$C$224,$C360,'TL17'!$J$10:$J$224),0),
IF('TL17'!$B$229=J$3,SUMIF('TL17'!$C$238:$C$451,$C360,'TL17'!$J$238:$J$451),0),
IF('TL18'!$B$3=J$3,SUMIF('TL18'!$C$10:$C$224,$C360,'TL18'!$J$10:$J$224),0),
IF('TL18'!$B$229=J$3,SUMIF('TL18'!$C$238:$C$451,$C360,'TL18'!$J$238:$J$451),0),
IF('TL19'!$B$3=J$3,SUMIF('TL19'!$C$10:$C$224,$C360,'TL19'!$J$10:$J$224),0),
IF('TL19'!$B$229=J$3,SUMIF('TL19'!$C$238:$C$451,$C360,'TL19'!$J$238:$J$451),0)
),0)</f>
        <v/>
      </c>
      <c r="K360" s="9">
        <f>IFERROR(SUM(
IF('TL01'!$B$3=K$3,SUMIF('TL01'!$C$10:$C$224,$C360,'TL01'!$J$10:$J$224),0),
IF('TL01'!$B$229=K$3,SUMIF('TL01'!$C$238:$C$451,$C360,'TL01'!$J$238:$J$451),0),
IF('TL02'!$B$3=K$3,SUMIF('TL02'!$C$10:$C$224,$C360,'TL02'!$J$10:$J$224),0),
IF('TL02'!$B$229=K$3,SUMIF('TL02'!$C$238:$C$451,$C360,'TL02'!$J$238:$J$451),0),
IF('TL03'!$B$3=K$3,SUMIF('TL03'!$C$10:$C$224,$C360,'TL03'!$J$10:$J$224),0),
IF('TL03'!$B$229=K$3,SUMIF('TL03'!$C$238:$C$451,$C360,'TL03'!$J$238:$J$451),0),
IF('TL04'!$B$3=K$3,SUMIF('TL04'!$C$10:$C$224,$C360,'TL04'!$J$10:$J$224),0),
IF('TL04'!$B$229=K$3,SUMIF('TL04'!$C$238:$C$451,$C360,'TL04'!$J$238:$J$451),0),
IF('TL05'!$B$3=K$3,SUMIF('TL05'!$C$10:$C$224,$C360,'TL05'!$J$10:$J$224),0),
IF('TL05'!$B$229=K$3,SUMIF('TL05'!$C$238:$C$451,$C360,'TL05'!$J$238:$J$451),0),
IF('TL06'!$B$3=K$3,SUMIF('TL06'!$C$10:$C$224,$C360,'TL06'!$J$10:$J$224),0),
IF('TL06'!$B$229=K$3,SUMIF('TL06'!$C$238:$C$451,$C360,'TL06'!$J$238:$J$451),0),
IF('TL07'!$B$3=K$3,SUMIF('TL07'!$C$10:$C$224,$C360,'TL07'!$J$10:$J$224),0),
IF('TL07'!$B$229=K$3,SUMIF('TL07'!$C$238:$C$451,$C360,'TL07'!$J$238:$J$451),0),
IF('TL08'!$B$3=K$3,SUMIF('TL08'!$C$10:$C$224,$C360,'TL08'!$J$10:$J$224),0),
IF('TL08'!$B$229=K$3,SUMIF('TL08'!$C$238:$C$451,$C360,'TL08'!$J$238:$J$451),0),
IF('TL09'!$B$3=K$3,SUMIF('TL09'!$C$10:$C$224,$C360,'TL09'!$J$10:$J$224),0),
IF('TL09'!$B$229=K$3,SUMIF('TL09'!$C$238:$C$451,$C360,'TL09'!$J$238:$J$451),0),
IF('TL10'!$B$3=K$3,SUMIF('TL10'!$C$10:$C$224,$C360,'TL10'!$J$10:$J$224),0),
IF('TL10'!$B$229=K$3,SUMIF('TL10'!$C$238:$C$451,$C360,'TL10'!$J$238:$J$451),0),
IF('TL11'!$B$3=K$3,SUMIF('TL11'!$C$10:$C$224,$C360,'TL11'!$J$10:$J$224),0),
IF('TL11'!$B$229=K$3,SUMIF('TL11'!$C$238:$C$451,$C360,'TL11'!$J$238:$J$451),0),
IF('TL12'!$B$3=K$3,SUMIF('TL12'!$C$10:$C$224,$C360,'TL12'!$J$10:$J$224),0),
IF('TL12'!$B$229=K$3,SUMIF('TL12'!$C$238:$C$451,$C360,'TL12'!$J$238:$J$451),0),
IF('TL13'!$B$3=K$3,SUMIF('TL13'!$C$10:$C$224,$C360,'TL13'!$J$10:$J$224),0),
IF('TL13'!$B$229=K$3,SUMIF('TL13'!$C$238:$C$451,$C360,'TL13'!$J$238:$J$451),0),
IF('TL14'!$B$3=K$3,SUMIF('TL14'!$C$10:$C$224,$C360,'TL14'!$J$10:$J$224),0),
IF('TL14'!$B$229=K$3,SUMIF('TL14'!$C$238:$C$451,$C360,'TL14'!$J$238:$J$451),0),
IF('TL15'!$B$3=K$3,SUMIF('TL15'!$C$10:$C$224,$C360,'TL15'!$J$10:$J$224),0),
IF('TL15'!$B$229=K$3,SUMIF('TL15'!$C$238:$C$451,$C360,'TL15'!$J$238:$J$451),0),
IF('TL16'!$B$3=K$3,SUMIF('TL16'!$C$10:$C$224,$C360,'TL16'!$J$10:$J$224),0),
IF('TL16'!$B$229=K$3,SUMIF('TL16'!$C$238:$C$451,$C360,'TL16'!$J$238:$J$451),0),
IF('TL17'!$B$3=K$3,SUMIF('TL17'!$C$10:$C$224,$C360,'TL17'!$J$10:$J$224),0),
IF('TL17'!$B$229=K$3,SUMIF('TL17'!$C$238:$C$451,$C360,'TL17'!$J$238:$J$451),0),
IF('TL18'!$B$3=K$3,SUMIF('TL18'!$C$10:$C$224,$C360,'TL18'!$J$10:$J$224),0),
IF('TL18'!$B$229=K$3,SUMIF('TL18'!$C$238:$C$451,$C360,'TL18'!$J$238:$J$451),0),
IF('TL19'!$B$3=K$3,SUMIF('TL19'!$C$10:$C$224,$C360,'TL19'!$J$10:$J$224),0),
IF('TL19'!$B$229=K$3,SUMIF('TL19'!$C$238:$C$451,$C360,'TL19'!$J$238:$J$451),0)
),0)</f>
        <v/>
      </c>
      <c r="L360" s="9">
        <f>IFERROR(SUM(
IF('TL01'!$B$3=L$3,SUMIF('TL01'!$C$10:$C$224,$C360,'TL01'!$J$10:$J$224),0),
IF('TL01'!$B$229=L$3,SUMIF('TL01'!$C$238:$C$451,$C360,'TL01'!$J$238:$J$451),0),
IF('TL02'!$B$3=L$3,SUMIF('TL02'!$C$10:$C$224,$C360,'TL02'!$J$10:$J$224),0),
IF('TL02'!$B$229=L$3,SUMIF('TL02'!$C$238:$C$451,$C360,'TL02'!$J$238:$J$451),0),
IF('TL03'!$B$3=L$3,SUMIF('TL03'!$C$10:$C$224,$C360,'TL03'!$J$10:$J$224),0),
IF('TL03'!$B$229=L$3,SUMIF('TL03'!$C$238:$C$451,$C360,'TL03'!$J$238:$J$451),0),
IF('TL04'!$B$3=L$3,SUMIF('TL04'!$C$10:$C$224,$C360,'TL04'!$J$10:$J$224),0),
IF('TL04'!$B$229=L$3,SUMIF('TL04'!$C$238:$C$451,$C360,'TL04'!$J$238:$J$451),0),
IF('TL05'!$B$3=L$3,SUMIF('TL05'!$C$10:$C$224,$C360,'TL05'!$J$10:$J$224),0),
IF('TL05'!$B$229=L$3,SUMIF('TL05'!$C$238:$C$451,$C360,'TL05'!$J$238:$J$451),0),
IF('TL06'!$B$3=L$3,SUMIF('TL06'!$C$10:$C$224,$C360,'TL06'!$J$10:$J$224),0),
IF('TL06'!$B$229=L$3,SUMIF('TL06'!$C$238:$C$451,$C360,'TL06'!$J$238:$J$451),0),
IF('TL07'!$B$3=L$3,SUMIF('TL07'!$C$10:$C$224,$C360,'TL07'!$J$10:$J$224),0),
IF('TL07'!$B$229=L$3,SUMIF('TL07'!$C$238:$C$451,$C360,'TL07'!$J$238:$J$451),0),
IF('TL08'!$B$3=L$3,SUMIF('TL08'!$C$10:$C$224,$C360,'TL08'!$J$10:$J$224),0),
IF('TL08'!$B$229=L$3,SUMIF('TL08'!$C$238:$C$451,$C360,'TL08'!$J$238:$J$451),0),
IF('TL09'!$B$3=L$3,SUMIF('TL09'!$C$10:$C$224,$C360,'TL09'!$J$10:$J$224),0),
IF('TL09'!$B$229=L$3,SUMIF('TL09'!$C$238:$C$451,$C360,'TL09'!$J$238:$J$451),0),
IF('TL10'!$B$3=L$3,SUMIF('TL10'!$C$10:$C$224,$C360,'TL10'!$J$10:$J$224),0),
IF('TL10'!$B$229=L$3,SUMIF('TL10'!$C$238:$C$451,$C360,'TL10'!$J$238:$J$451),0),
IF('TL11'!$B$3=L$3,SUMIF('TL11'!$C$10:$C$224,$C360,'TL11'!$J$10:$J$224),0),
IF('TL11'!$B$229=L$3,SUMIF('TL11'!$C$238:$C$451,$C360,'TL11'!$J$238:$J$451),0),
IF('TL12'!$B$3=L$3,SUMIF('TL12'!$C$10:$C$224,$C360,'TL12'!$J$10:$J$224),0),
IF('TL12'!$B$229=L$3,SUMIF('TL12'!$C$238:$C$451,$C360,'TL12'!$J$238:$J$451),0),
IF('TL13'!$B$3=L$3,SUMIF('TL13'!$C$10:$C$224,$C360,'TL13'!$J$10:$J$224),0),
IF('TL13'!$B$229=L$3,SUMIF('TL13'!$C$238:$C$451,$C360,'TL13'!$J$238:$J$451),0),
IF('TL14'!$B$3=L$3,SUMIF('TL14'!$C$10:$C$224,$C360,'TL14'!$J$10:$J$224),0),
IF('TL14'!$B$229=L$3,SUMIF('TL14'!$C$238:$C$451,$C360,'TL14'!$J$238:$J$451),0),
IF('TL15'!$B$3=L$3,SUMIF('TL15'!$C$10:$C$224,$C360,'TL15'!$J$10:$J$224),0),
IF('TL15'!$B$229=L$3,SUMIF('TL15'!$C$238:$C$451,$C360,'TL15'!$J$238:$J$451),0),
IF('TL16'!$B$3=L$3,SUMIF('TL16'!$C$10:$C$224,$C360,'TL16'!$J$10:$J$224),0),
IF('TL16'!$B$229=L$3,SUMIF('TL16'!$C$238:$C$451,$C360,'TL16'!$J$238:$J$451),0),
IF('TL17'!$B$3=L$3,SUMIF('TL17'!$C$10:$C$224,$C360,'TL17'!$J$10:$J$224),0),
IF('TL17'!$B$229=L$3,SUMIF('TL17'!$C$238:$C$451,$C360,'TL17'!$J$238:$J$451),0),
IF('TL18'!$B$3=L$3,SUMIF('TL18'!$C$10:$C$224,$C360,'TL18'!$J$10:$J$224),0),
IF('TL18'!$B$229=L$3,SUMIF('TL18'!$C$238:$C$451,$C360,'TL18'!$J$238:$J$451),0),
IF('TL19'!$B$3=L$3,SUMIF('TL19'!$C$10:$C$224,$C360,'TL19'!$J$10:$J$224),0),
IF('TL19'!$B$229=L$3,SUMIF('TL19'!$C$238:$C$451,$C360,'TL19'!$J$238:$J$451),0)
),0)</f>
        <v/>
      </c>
      <c r="M360" s="9">
        <f>IFERROR(SUM(
IF('TL01'!$B$3=M$3,SUMIF('TL01'!$C$10:$C$224,$C360,'TL01'!$J$10:$J$224),0),
IF('TL01'!$B$229=M$3,SUMIF('TL01'!$C$238:$C$451,$C360,'TL01'!$J$238:$J$451),0),
IF('TL02'!$B$3=M$3,SUMIF('TL02'!$C$10:$C$224,$C360,'TL02'!$J$10:$J$224),0),
IF('TL02'!$B$229=M$3,SUMIF('TL02'!$C$238:$C$451,$C360,'TL02'!$J$238:$J$451),0),
IF('TL03'!$B$3=M$3,SUMIF('TL03'!$C$10:$C$224,$C360,'TL03'!$J$10:$J$224),0),
IF('TL03'!$B$229=M$3,SUMIF('TL03'!$C$238:$C$451,$C360,'TL03'!$J$238:$J$451),0),
IF('TL04'!$B$3=M$3,SUMIF('TL04'!$C$10:$C$224,$C360,'TL04'!$J$10:$J$224),0),
IF('TL04'!$B$229=M$3,SUMIF('TL04'!$C$238:$C$451,$C360,'TL04'!$J$238:$J$451),0),
IF('TL05'!$B$3=M$3,SUMIF('TL05'!$C$10:$C$224,$C360,'TL05'!$J$10:$J$224),0),
IF('TL05'!$B$229=M$3,SUMIF('TL05'!$C$238:$C$451,$C360,'TL05'!$J$238:$J$451),0),
IF('TL06'!$B$3=M$3,SUMIF('TL06'!$C$10:$C$224,$C360,'TL06'!$J$10:$J$224),0),
IF('TL06'!$B$229=M$3,SUMIF('TL06'!$C$238:$C$451,$C360,'TL06'!$J$238:$J$451),0),
IF('TL07'!$B$3=M$3,SUMIF('TL07'!$C$10:$C$224,$C360,'TL07'!$J$10:$J$224),0),
IF('TL07'!$B$229=M$3,SUMIF('TL07'!$C$238:$C$451,$C360,'TL07'!$J$238:$J$451),0),
IF('TL08'!$B$3=M$3,SUMIF('TL08'!$C$10:$C$224,$C360,'TL08'!$J$10:$J$224),0),
IF('TL08'!$B$229=M$3,SUMIF('TL08'!$C$238:$C$451,$C360,'TL08'!$J$238:$J$451),0),
IF('TL09'!$B$3=M$3,SUMIF('TL09'!$C$10:$C$224,$C360,'TL09'!$J$10:$J$224),0),
IF('TL09'!$B$229=M$3,SUMIF('TL09'!$C$238:$C$451,$C360,'TL09'!$J$238:$J$451),0),
IF('TL10'!$B$3=M$3,SUMIF('TL10'!$C$10:$C$224,$C360,'TL10'!$J$10:$J$224),0),
IF('TL10'!$B$229=M$3,SUMIF('TL10'!$C$238:$C$451,$C360,'TL10'!$J$238:$J$451),0),
IF('TL11'!$B$3=M$3,SUMIF('TL11'!$C$10:$C$224,$C360,'TL11'!$J$10:$J$224),0),
IF('TL11'!$B$229=M$3,SUMIF('TL11'!$C$238:$C$451,$C360,'TL11'!$J$238:$J$451),0),
IF('TL12'!$B$3=M$3,SUMIF('TL12'!$C$10:$C$224,$C360,'TL12'!$J$10:$J$224),0),
IF('TL12'!$B$229=M$3,SUMIF('TL12'!$C$238:$C$451,$C360,'TL12'!$J$238:$J$451),0),
IF('TL13'!$B$3=M$3,SUMIF('TL13'!$C$10:$C$224,$C360,'TL13'!$J$10:$J$224),0),
IF('TL13'!$B$229=M$3,SUMIF('TL13'!$C$238:$C$451,$C360,'TL13'!$J$238:$J$451),0),
IF('TL14'!$B$3=M$3,SUMIF('TL14'!$C$10:$C$224,$C360,'TL14'!$J$10:$J$224),0),
IF('TL14'!$B$229=M$3,SUMIF('TL14'!$C$238:$C$451,$C360,'TL14'!$J$238:$J$451),0),
IF('TL15'!$B$3=M$3,SUMIF('TL15'!$C$10:$C$224,$C360,'TL15'!$J$10:$J$224),0),
IF('TL15'!$B$229=M$3,SUMIF('TL15'!$C$238:$C$451,$C360,'TL15'!$J$238:$J$451),0),
IF('TL16'!$B$3=M$3,SUMIF('TL16'!$C$10:$C$224,$C360,'TL16'!$J$10:$J$224),0),
IF('TL16'!$B$229=M$3,SUMIF('TL16'!$C$238:$C$451,$C360,'TL16'!$J$238:$J$451),0),
IF('TL17'!$B$3=M$3,SUMIF('TL17'!$C$10:$C$224,$C360,'TL17'!$J$10:$J$224),0),
IF('TL17'!$B$229=M$3,SUMIF('TL17'!$C$238:$C$451,$C360,'TL17'!$J$238:$J$451),0),
IF('TL18'!$B$3=M$3,SUMIF('TL18'!$C$10:$C$224,$C360,'TL18'!$J$10:$J$224),0),
IF('TL18'!$B$229=M$3,SUMIF('TL18'!$C$238:$C$451,$C360,'TL18'!$J$238:$J$451),0),
IF('TL19'!$B$3=M$3,SUMIF('TL19'!$C$10:$C$224,$C360,'TL19'!$J$10:$J$224),0),
IF('TL19'!$B$229=M$3,SUMIF('TL19'!$C$238:$C$451,$C360,'TL19'!$J$238:$J$451),0)
),0)</f>
        <v/>
      </c>
      <c r="N360" s="9">
        <f>IFERROR(SUM(
IF('TL01'!$B$3=N$3,SUMIF('TL01'!$C$10:$C$224,$C360,'TL01'!$J$10:$J$224),0),
IF('TL01'!$B$229=N$3,SUMIF('TL01'!$C$238:$C$451,$C360,'TL01'!$J$238:$J$451),0),
IF('TL02'!$B$3=N$3,SUMIF('TL02'!$C$10:$C$224,$C360,'TL02'!$J$10:$J$224),0),
IF('TL02'!$B$229=N$3,SUMIF('TL02'!$C$238:$C$451,$C360,'TL02'!$J$238:$J$451),0),
IF('TL03'!$B$3=N$3,SUMIF('TL03'!$C$10:$C$224,$C360,'TL03'!$J$10:$J$224),0),
IF('TL03'!$B$229=N$3,SUMIF('TL03'!$C$238:$C$451,$C360,'TL03'!$J$238:$J$451),0),
IF('TL04'!$B$3=N$3,SUMIF('TL04'!$C$10:$C$224,$C360,'TL04'!$J$10:$J$224),0),
IF('TL04'!$B$229=N$3,SUMIF('TL04'!$C$238:$C$451,$C360,'TL04'!$J$238:$J$451),0),
IF('TL05'!$B$3=N$3,SUMIF('TL05'!$C$10:$C$224,$C360,'TL05'!$J$10:$J$224),0),
IF('TL05'!$B$229=N$3,SUMIF('TL05'!$C$238:$C$451,$C360,'TL05'!$J$238:$J$451),0),
IF('TL06'!$B$3=N$3,SUMIF('TL06'!$C$10:$C$224,$C360,'TL06'!$J$10:$J$224),0),
IF('TL06'!$B$229=N$3,SUMIF('TL06'!$C$238:$C$451,$C360,'TL06'!$J$238:$J$451),0),
IF('TL07'!$B$3=N$3,SUMIF('TL07'!$C$10:$C$224,$C360,'TL07'!$J$10:$J$224),0),
IF('TL07'!$B$229=N$3,SUMIF('TL07'!$C$238:$C$451,$C360,'TL07'!$J$238:$J$451),0),
IF('TL08'!$B$3=N$3,SUMIF('TL08'!$C$10:$C$224,$C360,'TL08'!$J$10:$J$224),0),
IF('TL08'!$B$229=N$3,SUMIF('TL08'!$C$238:$C$451,$C360,'TL08'!$J$238:$J$451),0),
IF('TL09'!$B$3=N$3,SUMIF('TL09'!$C$10:$C$224,$C360,'TL09'!$J$10:$J$224),0),
IF('TL09'!$B$229=N$3,SUMIF('TL09'!$C$238:$C$451,$C360,'TL09'!$J$238:$J$451),0),
IF('TL10'!$B$3=N$3,SUMIF('TL10'!$C$10:$C$224,$C360,'TL10'!$J$10:$J$224),0),
IF('TL10'!$B$229=N$3,SUMIF('TL10'!$C$238:$C$451,$C360,'TL10'!$J$238:$J$451),0),
IF('TL11'!$B$3=N$3,SUMIF('TL11'!$C$10:$C$224,$C360,'TL11'!$J$10:$J$224),0),
IF('TL11'!$B$229=N$3,SUMIF('TL11'!$C$238:$C$451,$C360,'TL11'!$J$238:$J$451),0),
IF('TL12'!$B$3=N$3,SUMIF('TL12'!$C$10:$C$224,$C360,'TL12'!$J$10:$J$224),0),
IF('TL12'!$B$229=N$3,SUMIF('TL12'!$C$238:$C$451,$C360,'TL12'!$J$238:$J$451),0),
IF('TL13'!$B$3=N$3,SUMIF('TL13'!$C$10:$C$224,$C360,'TL13'!$J$10:$J$224),0),
IF('TL13'!$B$229=N$3,SUMIF('TL13'!$C$238:$C$451,$C360,'TL13'!$J$238:$J$451),0),
IF('TL14'!$B$3=N$3,SUMIF('TL14'!$C$10:$C$224,$C360,'TL14'!$J$10:$J$224),0),
IF('TL14'!$B$229=N$3,SUMIF('TL14'!$C$238:$C$451,$C360,'TL14'!$J$238:$J$451),0),
IF('TL15'!$B$3=N$3,SUMIF('TL15'!$C$10:$C$224,$C360,'TL15'!$J$10:$J$224),0),
IF('TL15'!$B$229=N$3,SUMIF('TL15'!$C$238:$C$451,$C360,'TL15'!$J$238:$J$451),0),
IF('TL16'!$B$3=N$3,SUMIF('TL16'!$C$10:$C$224,$C360,'TL16'!$J$10:$J$224),0),
IF('TL16'!$B$229=N$3,SUMIF('TL16'!$C$238:$C$451,$C360,'TL16'!$J$238:$J$451),0),
IF('TL17'!$B$3=N$3,SUMIF('TL17'!$C$10:$C$224,$C360,'TL17'!$J$10:$J$224),0),
IF('TL17'!$B$229=N$3,SUMIF('TL17'!$C$238:$C$451,$C360,'TL17'!$J$238:$J$451),0),
IF('TL18'!$B$3=N$3,SUMIF('TL18'!$C$10:$C$224,$C360,'TL18'!$J$10:$J$224),0),
IF('TL18'!$B$229=N$3,SUMIF('TL18'!$C$238:$C$451,$C360,'TL18'!$J$238:$J$451),0),
IF('TL19'!$B$3=N$3,SUMIF('TL19'!$C$10:$C$224,$C360,'TL19'!$J$10:$J$224),0),
IF('TL19'!$B$229=N$3,SUMIF('TL19'!$C$238:$C$451,$C360,'TL19'!$J$238:$J$451),0)
),0)</f>
        <v/>
      </c>
      <c r="O360" s="9">
        <f>IFERROR(SUM(
IF('TL01'!$B$3=O$3,SUMIF('TL01'!$C$10:$C$224,$C360,'TL01'!$J$10:$J$224),0),
IF('TL01'!$B$229=O$3,SUMIF('TL01'!$C$238:$C$451,$C360,'TL01'!$J$238:$J$451),0),
IF('TL02'!$B$3=O$3,SUMIF('TL02'!$C$10:$C$224,$C360,'TL02'!$J$10:$J$224),0),
IF('TL02'!$B$229=O$3,SUMIF('TL02'!$C$238:$C$451,$C360,'TL02'!$J$238:$J$451),0),
IF('TL03'!$B$3=O$3,SUMIF('TL03'!$C$10:$C$224,$C360,'TL03'!$J$10:$J$224),0),
IF('TL03'!$B$229=O$3,SUMIF('TL03'!$C$238:$C$451,$C360,'TL03'!$J$238:$J$451),0),
IF('TL04'!$B$3=O$3,SUMIF('TL04'!$C$10:$C$224,$C360,'TL04'!$J$10:$J$224),0),
IF('TL04'!$B$229=O$3,SUMIF('TL04'!$C$238:$C$451,$C360,'TL04'!$J$238:$J$451),0),
IF('TL05'!$B$3=O$3,SUMIF('TL05'!$C$10:$C$224,$C360,'TL05'!$J$10:$J$224),0),
IF('TL05'!$B$229=O$3,SUMIF('TL05'!$C$238:$C$451,$C360,'TL05'!$J$238:$J$451),0),
IF('TL06'!$B$3=O$3,SUMIF('TL06'!$C$10:$C$224,$C360,'TL06'!$J$10:$J$224),0),
IF('TL06'!$B$229=O$3,SUMIF('TL06'!$C$238:$C$451,$C360,'TL06'!$J$238:$J$451),0),
IF('TL07'!$B$3=O$3,SUMIF('TL07'!$C$10:$C$224,$C360,'TL07'!$J$10:$J$224),0),
IF('TL07'!$B$229=O$3,SUMIF('TL07'!$C$238:$C$451,$C360,'TL07'!$J$238:$J$451),0),
IF('TL08'!$B$3=O$3,SUMIF('TL08'!$C$10:$C$224,$C360,'TL08'!$J$10:$J$224),0),
IF('TL08'!$B$229=O$3,SUMIF('TL08'!$C$238:$C$451,$C360,'TL08'!$J$238:$J$451),0),
IF('TL09'!$B$3=O$3,SUMIF('TL09'!$C$10:$C$224,$C360,'TL09'!$J$10:$J$224),0),
IF('TL09'!$B$229=O$3,SUMIF('TL09'!$C$238:$C$451,$C360,'TL09'!$J$238:$J$451),0),
IF('TL10'!$B$3=O$3,SUMIF('TL10'!$C$10:$C$224,$C360,'TL10'!$J$10:$J$224),0),
IF('TL10'!$B$229=O$3,SUMIF('TL10'!$C$238:$C$451,$C360,'TL10'!$J$238:$J$451),0),
IF('TL11'!$B$3=O$3,SUMIF('TL11'!$C$10:$C$224,$C360,'TL11'!$J$10:$J$224),0),
IF('TL11'!$B$229=O$3,SUMIF('TL11'!$C$238:$C$451,$C360,'TL11'!$J$238:$J$451),0),
IF('TL12'!$B$3=O$3,SUMIF('TL12'!$C$10:$C$224,$C360,'TL12'!$J$10:$J$224),0),
IF('TL12'!$B$229=O$3,SUMIF('TL12'!$C$238:$C$451,$C360,'TL12'!$J$238:$J$451),0),
IF('TL13'!$B$3=O$3,SUMIF('TL13'!$C$10:$C$224,$C360,'TL13'!$J$10:$J$224),0),
IF('TL13'!$B$229=O$3,SUMIF('TL13'!$C$238:$C$451,$C360,'TL13'!$J$238:$J$451),0),
IF('TL14'!$B$3=O$3,SUMIF('TL14'!$C$10:$C$224,$C360,'TL14'!$J$10:$J$224),0),
IF('TL14'!$B$229=O$3,SUMIF('TL14'!$C$238:$C$451,$C360,'TL14'!$J$238:$J$451),0),
IF('TL15'!$B$3=O$3,SUMIF('TL15'!$C$10:$C$224,$C360,'TL15'!$J$10:$J$224),0),
IF('TL15'!$B$229=O$3,SUMIF('TL15'!$C$238:$C$451,$C360,'TL15'!$J$238:$J$451),0),
IF('TL16'!$B$3=O$3,SUMIF('TL16'!$C$10:$C$224,$C360,'TL16'!$J$10:$J$224),0),
IF('TL16'!$B$229=O$3,SUMIF('TL16'!$C$238:$C$451,$C360,'TL16'!$J$238:$J$451),0),
IF('TL17'!$B$3=O$3,SUMIF('TL17'!$C$10:$C$224,$C360,'TL17'!$J$10:$J$224),0),
IF('TL17'!$B$229=O$3,SUMIF('TL17'!$C$238:$C$451,$C360,'TL17'!$J$238:$J$451),0),
IF('TL18'!$B$3=O$3,SUMIF('TL18'!$C$10:$C$224,$C360,'TL18'!$J$10:$J$224),0),
IF('TL18'!$B$229=O$3,SUMIF('TL18'!$C$238:$C$451,$C360,'TL18'!$J$238:$J$451),0),
IF('TL19'!$B$3=O$3,SUMIF('TL19'!$C$10:$C$224,$C360,'TL19'!$J$10:$J$224),0),
IF('TL19'!$B$229=O$3,SUMIF('TL19'!$C$238:$C$451,$C360,'TL19'!$J$238:$J$451),0)
),0)</f>
        <v/>
      </c>
      <c r="P360" s="9">
        <f>IFERROR(SUM(
IF('TL01'!$B$3=P$3,SUMIF('TL01'!$C$10:$C$224,$C360,'TL01'!$J$10:$J$224),0),
IF('TL01'!$B$229=P$3,SUMIF('TL01'!$C$238:$C$451,$C360,'TL01'!$J$238:$J$451),0),
IF('TL02'!$B$3=P$3,SUMIF('TL02'!$C$10:$C$224,$C360,'TL02'!$J$10:$J$224),0),
IF('TL02'!$B$229=P$3,SUMIF('TL02'!$C$238:$C$451,$C360,'TL02'!$J$238:$J$451),0),
IF('TL03'!$B$3=P$3,SUMIF('TL03'!$C$10:$C$224,$C360,'TL03'!$J$10:$J$224),0),
IF('TL03'!$B$229=P$3,SUMIF('TL03'!$C$238:$C$451,$C360,'TL03'!$J$238:$J$451),0),
IF('TL04'!$B$3=P$3,SUMIF('TL04'!$C$10:$C$224,$C360,'TL04'!$J$10:$J$224),0),
IF('TL04'!$B$229=P$3,SUMIF('TL04'!$C$238:$C$451,$C360,'TL04'!$J$238:$J$451),0),
IF('TL05'!$B$3=P$3,SUMIF('TL05'!$C$10:$C$224,$C360,'TL05'!$J$10:$J$224),0),
IF('TL05'!$B$229=P$3,SUMIF('TL05'!$C$238:$C$451,$C360,'TL05'!$J$238:$J$451),0),
IF('TL06'!$B$3=P$3,SUMIF('TL06'!$C$10:$C$224,$C360,'TL06'!$J$10:$J$224),0),
IF('TL06'!$B$229=P$3,SUMIF('TL06'!$C$238:$C$451,$C360,'TL06'!$J$238:$J$451),0),
IF('TL07'!$B$3=P$3,SUMIF('TL07'!$C$10:$C$224,$C360,'TL07'!$J$10:$J$224),0),
IF('TL07'!$B$229=P$3,SUMIF('TL07'!$C$238:$C$451,$C360,'TL07'!$J$238:$J$451),0),
IF('TL08'!$B$3=P$3,SUMIF('TL08'!$C$10:$C$224,$C360,'TL08'!$J$10:$J$224),0),
IF('TL08'!$B$229=P$3,SUMIF('TL08'!$C$238:$C$451,$C360,'TL08'!$J$238:$J$451),0),
IF('TL09'!$B$3=P$3,SUMIF('TL09'!$C$10:$C$224,$C360,'TL09'!$J$10:$J$224),0),
IF('TL09'!$B$229=P$3,SUMIF('TL09'!$C$238:$C$451,$C360,'TL09'!$J$238:$J$451),0),
IF('TL10'!$B$3=P$3,SUMIF('TL10'!$C$10:$C$224,$C360,'TL10'!$J$10:$J$224),0),
IF('TL10'!$B$229=P$3,SUMIF('TL10'!$C$238:$C$451,$C360,'TL10'!$J$238:$J$451),0),
IF('TL11'!$B$3=P$3,SUMIF('TL11'!$C$10:$C$224,$C360,'TL11'!$J$10:$J$224),0),
IF('TL11'!$B$229=P$3,SUMIF('TL11'!$C$238:$C$451,$C360,'TL11'!$J$238:$J$451),0),
IF('TL12'!$B$3=P$3,SUMIF('TL12'!$C$10:$C$224,$C360,'TL12'!$J$10:$J$224),0),
IF('TL12'!$B$229=P$3,SUMIF('TL12'!$C$238:$C$451,$C360,'TL12'!$J$238:$J$451),0),
IF('TL13'!$B$3=P$3,SUMIF('TL13'!$C$10:$C$224,$C360,'TL13'!$J$10:$J$224),0),
IF('TL13'!$B$229=P$3,SUMIF('TL13'!$C$238:$C$451,$C360,'TL13'!$J$238:$J$451),0),
IF('TL14'!$B$3=P$3,SUMIF('TL14'!$C$10:$C$224,$C360,'TL14'!$J$10:$J$224),0),
IF('TL14'!$B$229=P$3,SUMIF('TL14'!$C$238:$C$451,$C360,'TL14'!$J$238:$J$451),0),
IF('TL15'!$B$3=P$3,SUMIF('TL15'!$C$10:$C$224,$C360,'TL15'!$J$10:$J$224),0),
IF('TL15'!$B$229=P$3,SUMIF('TL15'!$C$238:$C$451,$C360,'TL15'!$J$238:$J$451),0),
IF('TL16'!$B$3=P$3,SUMIF('TL16'!$C$10:$C$224,$C360,'TL16'!$J$10:$J$224),0),
IF('TL16'!$B$229=P$3,SUMIF('TL16'!$C$238:$C$451,$C360,'TL16'!$J$238:$J$451),0),
IF('TL17'!$B$3=P$3,SUMIF('TL17'!$C$10:$C$224,$C360,'TL17'!$J$10:$J$224),0),
IF('TL17'!$B$229=P$3,SUMIF('TL17'!$C$238:$C$451,$C360,'TL17'!$J$238:$J$451),0),
IF('TL18'!$B$3=P$3,SUMIF('TL18'!$C$10:$C$224,$C360,'TL18'!$J$10:$J$224),0),
IF('TL18'!$B$229=P$3,SUMIF('TL18'!$C$238:$C$451,$C360,'TL18'!$J$238:$J$451),0),
IF('TL19'!$B$3=P$3,SUMIF('TL19'!$C$10:$C$224,$C360,'TL19'!$J$10:$J$224),0),
IF('TL19'!$B$229=P$3,SUMIF('TL19'!$C$238:$C$451,$C360,'TL19'!$J$238:$J$451),0)
),0)</f>
        <v/>
      </c>
      <c r="Q360" s="9">
        <f>IFERROR(SUM(
IF('TL01'!$B$3=Q$3,SUMIF('TL01'!$C$10:$C$224,$C360,'TL01'!$J$10:$J$224),0),
IF('TL01'!$B$229=Q$3,SUMIF('TL01'!$C$238:$C$451,$C360,'TL01'!$J$238:$J$451),0),
IF('TL02'!$B$3=Q$3,SUMIF('TL02'!$C$10:$C$224,$C360,'TL02'!$J$10:$J$224),0),
IF('TL02'!$B$229=Q$3,SUMIF('TL02'!$C$238:$C$451,$C360,'TL02'!$J$238:$J$451),0),
IF('TL03'!$B$3=Q$3,SUMIF('TL03'!$C$10:$C$224,$C360,'TL03'!$J$10:$J$224),0),
IF('TL03'!$B$229=Q$3,SUMIF('TL03'!$C$238:$C$451,$C360,'TL03'!$J$238:$J$451),0),
IF('TL04'!$B$3=Q$3,SUMIF('TL04'!$C$10:$C$224,$C360,'TL04'!$J$10:$J$224),0),
IF('TL04'!$B$229=Q$3,SUMIF('TL04'!$C$238:$C$451,$C360,'TL04'!$J$238:$J$451),0),
IF('TL05'!$B$3=Q$3,SUMIF('TL05'!$C$10:$C$224,$C360,'TL05'!$J$10:$J$224),0),
IF('TL05'!$B$229=Q$3,SUMIF('TL05'!$C$238:$C$451,$C360,'TL05'!$J$238:$J$451),0),
IF('TL06'!$B$3=Q$3,SUMIF('TL06'!$C$10:$C$224,$C360,'TL06'!$J$10:$J$224),0),
IF('TL06'!$B$229=Q$3,SUMIF('TL06'!$C$238:$C$451,$C360,'TL06'!$J$238:$J$451),0),
IF('TL07'!$B$3=Q$3,SUMIF('TL07'!$C$10:$C$224,$C360,'TL07'!$J$10:$J$224),0),
IF('TL07'!$B$229=Q$3,SUMIF('TL07'!$C$238:$C$451,$C360,'TL07'!$J$238:$J$451),0),
IF('TL08'!$B$3=Q$3,SUMIF('TL08'!$C$10:$C$224,$C360,'TL08'!$J$10:$J$224),0),
IF('TL08'!$B$229=Q$3,SUMIF('TL08'!$C$238:$C$451,$C360,'TL08'!$J$238:$J$451),0),
IF('TL09'!$B$3=Q$3,SUMIF('TL09'!$C$10:$C$224,$C360,'TL09'!$J$10:$J$224),0),
IF('TL09'!$B$229=Q$3,SUMIF('TL09'!$C$238:$C$451,$C360,'TL09'!$J$238:$J$451),0),
IF('TL10'!$B$3=Q$3,SUMIF('TL10'!$C$10:$C$224,$C360,'TL10'!$J$10:$J$224),0),
IF('TL10'!$B$229=Q$3,SUMIF('TL10'!$C$238:$C$451,$C360,'TL10'!$J$238:$J$451),0),
IF('TL11'!$B$3=Q$3,SUMIF('TL11'!$C$10:$C$224,$C360,'TL11'!$J$10:$J$224),0),
IF('TL11'!$B$229=Q$3,SUMIF('TL11'!$C$238:$C$451,$C360,'TL11'!$J$238:$J$451),0),
IF('TL12'!$B$3=Q$3,SUMIF('TL12'!$C$10:$C$224,$C360,'TL12'!$J$10:$J$224),0),
IF('TL12'!$B$229=Q$3,SUMIF('TL12'!$C$238:$C$451,$C360,'TL12'!$J$238:$J$451),0),
IF('TL13'!$B$3=Q$3,SUMIF('TL13'!$C$10:$C$224,$C360,'TL13'!$J$10:$J$224),0),
IF('TL13'!$B$229=Q$3,SUMIF('TL13'!$C$238:$C$451,$C360,'TL13'!$J$238:$J$451),0),
IF('TL14'!$B$3=Q$3,SUMIF('TL14'!$C$10:$C$224,$C360,'TL14'!$J$10:$J$224),0),
IF('TL14'!$B$229=Q$3,SUMIF('TL14'!$C$238:$C$451,$C360,'TL14'!$J$238:$J$451),0),
IF('TL15'!$B$3=Q$3,SUMIF('TL15'!$C$10:$C$224,$C360,'TL15'!$J$10:$J$224),0),
IF('TL15'!$B$229=Q$3,SUMIF('TL15'!$C$238:$C$451,$C360,'TL15'!$J$238:$J$451),0),
IF('TL16'!$B$3=Q$3,SUMIF('TL16'!$C$10:$C$224,$C360,'TL16'!$J$10:$J$224),0),
IF('TL16'!$B$229=Q$3,SUMIF('TL16'!$C$238:$C$451,$C360,'TL16'!$J$238:$J$451),0),
IF('TL17'!$B$3=Q$3,SUMIF('TL17'!$C$10:$C$224,$C360,'TL17'!$J$10:$J$224),0),
IF('TL17'!$B$229=Q$3,SUMIF('TL17'!$C$238:$C$451,$C360,'TL17'!$J$238:$J$451),0),
IF('TL18'!$B$3=Q$3,SUMIF('TL18'!$C$10:$C$224,$C360,'TL18'!$J$10:$J$224),0),
IF('TL18'!$B$229=Q$3,SUMIF('TL18'!$C$238:$C$451,$C360,'TL18'!$J$238:$J$451),0),
IF('TL19'!$B$3=Q$3,SUMIF('TL19'!$C$10:$C$224,$C360,'TL19'!$J$10:$J$224),0),
IF('TL19'!$B$229=Q$3,SUMIF('TL19'!$C$238:$C$451,$C360,'TL19'!$J$238:$J$451),0)
),0)</f>
        <v/>
      </c>
      <c r="R360" s="9">
        <f>IFERROR(
SUM(
SUMIF('TL01'!C:C,C360,'TL01'!J:J),
SUMIF('TL02'!C:C,C360,'TL02'!J:J),
SUMIF('TL03'!C:C,C360,'TL03'!J:J),
SUMIF('TL04'!C:C,C360,'TL04'!J:J),
SUMIF('TL05'!C:C,C360,'TL05'!J:J),
SUMIF('TL06'!C:C,C360,'TL06'!J:J),
SUMIF('TL07'!C:C,C360,'TL07'!J:J),
SUMIF('TL08'!C:C,C360,'TL08'!J:J),
SUMIF('TL09'!C:C,C360,'TL09'!J:J),
SUMIF('TL10'!C:C,C360,'TL10'!J:J),
SUMIF('TL11'!C:C,C360,'TL11'!J:J),
SUMIF('TL12'!C:C,C360,'TL12'!J:J),
SUMIF('TL13'!C:C,C360,'TL13'!J:J),
SUMIF('TL14'!C:C,C360,'TL14'!J:J),
SUMIF('TL15'!C:C,C360,'TL15'!J:J),
SUMIF('TL16'!C:C,C360,'TL16'!J:J),
SUMIF('TL17'!C:C,C360,'TL17'!J:J),
SUMIF('TL18'!C:C,C360,'TL18'!J:J),SUMIF('TL19'!C:C,C360,'TL19'!J:J))
,0)</f>
        <v/>
      </c>
      <c r="S360" s="17">
        <f>IFERROR(__xludf.DUMMYFUNCTION("IFERROR(VLOOKUP(C360,
IMPORTRANGE(""1wULbzX32WdYsx-lj2U3uUNBBe2INVIRDtcK0d-Dvl90"",
""26-27!C:G""),
5,
FALSE),
"""")"),36.4)</f>
        <v/>
      </c>
      <c r="T360" s="9" t="n"/>
      <c r="U360" s="92">
        <f>MAX(0,R360-T360)</f>
        <v/>
      </c>
      <c r="V360" s="93">
        <f>U360*S360</f>
        <v/>
      </c>
    </row>
    <row r="361" hidden="1" ht="15.75" customHeight="1" s="297">
      <c r="A361" s="4" t="inlineStr">
        <is>
          <t>SOLUBIO</t>
        </is>
      </c>
      <c r="B361" s="4" t="inlineStr">
        <is>
          <t>BIOLÓGICOS</t>
        </is>
      </c>
      <c r="C361" s="128" t="inlineStr">
        <is>
          <t>Bio ND</t>
        </is>
      </c>
      <c r="D361" s="129" t="inlineStr">
        <is>
          <t>Bradyrhizobium sp.</t>
        </is>
      </c>
      <c r="E361" s="20" t="n"/>
      <c r="F361" s="4" t="inlineStr">
        <is>
          <t>L</t>
        </is>
      </c>
      <c r="G361" s="90">
        <f>HYPERLINK("https://www.google.com/search?q=" &amp; C361 &amp; "+bula+agrofit+pdf", "📄 Ver bula")</f>
        <v/>
      </c>
      <c r="H361" s="4" t="n">
        <v>2</v>
      </c>
      <c r="I361" s="123" t="inlineStr">
        <is>
          <t>4X5</t>
        </is>
      </c>
      <c r="J361" s="9">
        <f>IFERROR(SUM(
IF('TL01'!$B$3=J$3,SUMIF('TL01'!$C$10:$C$224,$C361,'TL01'!$J$10:$J$224),0),
IF('TL01'!$B$229=J$3,SUMIF('TL01'!$C$238:$C$451,$C361,'TL01'!$J$238:$J$451),0),
IF('TL02'!$B$3=J$3,SUMIF('TL02'!$C$10:$C$224,$C361,'TL02'!$J$10:$J$224),0),
IF('TL02'!$B$229=J$3,SUMIF('TL02'!$C$238:$C$451,$C361,'TL02'!$J$238:$J$451),0),
IF('TL03'!$B$3=J$3,SUMIF('TL03'!$C$10:$C$224,$C361,'TL03'!$J$10:$J$224),0),
IF('TL03'!$B$229=J$3,SUMIF('TL03'!$C$238:$C$451,$C361,'TL03'!$J$238:$J$451),0),
IF('TL04'!$B$3=J$3,SUMIF('TL04'!$C$10:$C$224,$C361,'TL04'!$J$10:$J$224),0),
IF('TL04'!$B$229=J$3,SUMIF('TL04'!$C$238:$C$451,$C361,'TL04'!$J$238:$J$451),0),
IF('TL05'!$B$3=J$3,SUMIF('TL05'!$C$10:$C$224,$C361,'TL05'!$J$10:$J$224),0),
IF('TL05'!$B$229=J$3,SUMIF('TL05'!$C$238:$C$451,$C361,'TL05'!$J$238:$J$451),0),
IF('TL06'!$B$3=J$3,SUMIF('TL06'!$C$10:$C$224,$C361,'TL06'!$J$10:$J$224),0),
IF('TL06'!$B$229=J$3,SUMIF('TL06'!$C$238:$C$451,$C361,'TL06'!$J$238:$J$451),0),
IF('TL07'!$B$3=J$3,SUMIF('TL07'!$C$10:$C$224,$C361,'TL07'!$J$10:$J$224),0),
IF('TL07'!$B$229=J$3,SUMIF('TL07'!$C$238:$C$451,$C361,'TL07'!$J$238:$J$451),0),
IF('TL08'!$B$3=J$3,SUMIF('TL08'!$C$10:$C$224,$C361,'TL08'!$J$10:$J$224),0),
IF('TL08'!$B$229=J$3,SUMIF('TL08'!$C$238:$C$451,$C361,'TL08'!$J$238:$J$451),0),
IF('TL09'!$B$3=J$3,SUMIF('TL09'!$C$10:$C$224,$C361,'TL09'!$J$10:$J$224),0),
IF('TL09'!$B$229=J$3,SUMIF('TL09'!$C$238:$C$451,$C361,'TL09'!$J$238:$J$451),0),
IF('TL10'!$B$3=J$3,SUMIF('TL10'!$C$10:$C$224,$C361,'TL10'!$J$10:$J$224),0),
IF('TL10'!$B$229=J$3,SUMIF('TL10'!$C$238:$C$451,$C361,'TL10'!$J$238:$J$451),0),
IF('TL11'!$B$3=J$3,SUMIF('TL11'!$C$10:$C$224,$C361,'TL11'!$J$10:$J$224),0),
IF('TL11'!$B$229=J$3,SUMIF('TL11'!$C$238:$C$451,$C361,'TL11'!$J$238:$J$451),0),
IF('TL12'!$B$3=J$3,SUMIF('TL12'!$C$10:$C$224,$C361,'TL12'!$J$10:$J$224),0),
IF('TL12'!$B$229=J$3,SUMIF('TL12'!$C$238:$C$451,$C361,'TL12'!$J$238:$J$451),0),
IF('TL13'!$B$3=J$3,SUMIF('TL13'!$C$10:$C$224,$C361,'TL13'!$J$10:$J$224),0),
IF('TL13'!$B$229=J$3,SUMIF('TL13'!$C$238:$C$451,$C361,'TL13'!$J$238:$J$451),0),
IF('TL14'!$B$3=J$3,SUMIF('TL14'!$C$10:$C$224,$C361,'TL14'!$J$10:$J$224),0),
IF('TL14'!$B$229=J$3,SUMIF('TL14'!$C$238:$C$451,$C361,'TL14'!$J$238:$J$451),0),
IF('TL15'!$B$3=J$3,SUMIF('TL15'!$C$10:$C$224,$C361,'TL15'!$J$10:$J$224),0),
IF('TL15'!$B$229=J$3,SUMIF('TL15'!$C$238:$C$451,$C361,'TL15'!$J$238:$J$451),0),
IF('TL16'!$B$3=J$3,SUMIF('TL16'!$C$10:$C$224,$C361,'TL16'!$J$10:$J$224),0),
IF('TL16'!$B$229=J$3,SUMIF('TL16'!$C$238:$C$451,$C361,'TL16'!$J$238:$J$451),0),
IF('TL17'!$B$3=J$3,SUMIF('TL17'!$C$10:$C$224,$C361,'TL17'!$J$10:$J$224),0),
IF('TL17'!$B$229=J$3,SUMIF('TL17'!$C$238:$C$451,$C361,'TL17'!$J$238:$J$451),0),
IF('TL18'!$B$3=J$3,SUMIF('TL18'!$C$10:$C$224,$C361,'TL18'!$J$10:$J$224),0),
IF('TL18'!$B$229=J$3,SUMIF('TL18'!$C$238:$C$451,$C361,'TL18'!$J$238:$J$451),0),
IF('TL19'!$B$3=J$3,SUMIF('TL19'!$C$10:$C$224,$C361,'TL19'!$J$10:$J$224),0),
IF('TL19'!$B$229=J$3,SUMIF('TL19'!$C$238:$C$451,$C361,'TL19'!$J$238:$J$451),0)
),0)</f>
        <v/>
      </c>
      <c r="K361" s="9">
        <f>IFERROR(SUM(
IF('TL01'!$B$3=K$3,SUMIF('TL01'!$C$10:$C$224,$C361,'TL01'!$J$10:$J$224),0),
IF('TL01'!$B$229=K$3,SUMIF('TL01'!$C$238:$C$451,$C361,'TL01'!$J$238:$J$451),0),
IF('TL02'!$B$3=K$3,SUMIF('TL02'!$C$10:$C$224,$C361,'TL02'!$J$10:$J$224),0),
IF('TL02'!$B$229=K$3,SUMIF('TL02'!$C$238:$C$451,$C361,'TL02'!$J$238:$J$451),0),
IF('TL03'!$B$3=K$3,SUMIF('TL03'!$C$10:$C$224,$C361,'TL03'!$J$10:$J$224),0),
IF('TL03'!$B$229=K$3,SUMIF('TL03'!$C$238:$C$451,$C361,'TL03'!$J$238:$J$451),0),
IF('TL04'!$B$3=K$3,SUMIF('TL04'!$C$10:$C$224,$C361,'TL04'!$J$10:$J$224),0),
IF('TL04'!$B$229=K$3,SUMIF('TL04'!$C$238:$C$451,$C361,'TL04'!$J$238:$J$451),0),
IF('TL05'!$B$3=K$3,SUMIF('TL05'!$C$10:$C$224,$C361,'TL05'!$J$10:$J$224),0),
IF('TL05'!$B$229=K$3,SUMIF('TL05'!$C$238:$C$451,$C361,'TL05'!$J$238:$J$451),0),
IF('TL06'!$B$3=K$3,SUMIF('TL06'!$C$10:$C$224,$C361,'TL06'!$J$10:$J$224),0),
IF('TL06'!$B$229=K$3,SUMIF('TL06'!$C$238:$C$451,$C361,'TL06'!$J$238:$J$451),0),
IF('TL07'!$B$3=K$3,SUMIF('TL07'!$C$10:$C$224,$C361,'TL07'!$J$10:$J$224),0),
IF('TL07'!$B$229=K$3,SUMIF('TL07'!$C$238:$C$451,$C361,'TL07'!$J$238:$J$451),0),
IF('TL08'!$B$3=K$3,SUMIF('TL08'!$C$10:$C$224,$C361,'TL08'!$J$10:$J$224),0),
IF('TL08'!$B$229=K$3,SUMIF('TL08'!$C$238:$C$451,$C361,'TL08'!$J$238:$J$451),0),
IF('TL09'!$B$3=K$3,SUMIF('TL09'!$C$10:$C$224,$C361,'TL09'!$J$10:$J$224),0),
IF('TL09'!$B$229=K$3,SUMIF('TL09'!$C$238:$C$451,$C361,'TL09'!$J$238:$J$451),0),
IF('TL10'!$B$3=K$3,SUMIF('TL10'!$C$10:$C$224,$C361,'TL10'!$J$10:$J$224),0),
IF('TL10'!$B$229=K$3,SUMIF('TL10'!$C$238:$C$451,$C361,'TL10'!$J$238:$J$451),0),
IF('TL11'!$B$3=K$3,SUMIF('TL11'!$C$10:$C$224,$C361,'TL11'!$J$10:$J$224),0),
IF('TL11'!$B$229=K$3,SUMIF('TL11'!$C$238:$C$451,$C361,'TL11'!$J$238:$J$451),0),
IF('TL12'!$B$3=K$3,SUMIF('TL12'!$C$10:$C$224,$C361,'TL12'!$J$10:$J$224),0),
IF('TL12'!$B$229=K$3,SUMIF('TL12'!$C$238:$C$451,$C361,'TL12'!$J$238:$J$451),0),
IF('TL13'!$B$3=K$3,SUMIF('TL13'!$C$10:$C$224,$C361,'TL13'!$J$10:$J$224),0),
IF('TL13'!$B$229=K$3,SUMIF('TL13'!$C$238:$C$451,$C361,'TL13'!$J$238:$J$451),0),
IF('TL14'!$B$3=K$3,SUMIF('TL14'!$C$10:$C$224,$C361,'TL14'!$J$10:$J$224),0),
IF('TL14'!$B$229=K$3,SUMIF('TL14'!$C$238:$C$451,$C361,'TL14'!$J$238:$J$451),0),
IF('TL15'!$B$3=K$3,SUMIF('TL15'!$C$10:$C$224,$C361,'TL15'!$J$10:$J$224),0),
IF('TL15'!$B$229=K$3,SUMIF('TL15'!$C$238:$C$451,$C361,'TL15'!$J$238:$J$451),0),
IF('TL16'!$B$3=K$3,SUMIF('TL16'!$C$10:$C$224,$C361,'TL16'!$J$10:$J$224),0),
IF('TL16'!$B$229=K$3,SUMIF('TL16'!$C$238:$C$451,$C361,'TL16'!$J$238:$J$451),0),
IF('TL17'!$B$3=K$3,SUMIF('TL17'!$C$10:$C$224,$C361,'TL17'!$J$10:$J$224),0),
IF('TL17'!$B$229=K$3,SUMIF('TL17'!$C$238:$C$451,$C361,'TL17'!$J$238:$J$451),0),
IF('TL18'!$B$3=K$3,SUMIF('TL18'!$C$10:$C$224,$C361,'TL18'!$J$10:$J$224),0),
IF('TL18'!$B$229=K$3,SUMIF('TL18'!$C$238:$C$451,$C361,'TL18'!$J$238:$J$451),0),
IF('TL19'!$B$3=K$3,SUMIF('TL19'!$C$10:$C$224,$C361,'TL19'!$J$10:$J$224),0),
IF('TL19'!$B$229=K$3,SUMIF('TL19'!$C$238:$C$451,$C361,'TL19'!$J$238:$J$451),0)
),0)</f>
        <v/>
      </c>
      <c r="L361" s="9">
        <f>IFERROR(SUM(
IF('TL01'!$B$3=L$3,SUMIF('TL01'!$C$10:$C$224,$C361,'TL01'!$J$10:$J$224),0),
IF('TL01'!$B$229=L$3,SUMIF('TL01'!$C$238:$C$451,$C361,'TL01'!$J$238:$J$451),0),
IF('TL02'!$B$3=L$3,SUMIF('TL02'!$C$10:$C$224,$C361,'TL02'!$J$10:$J$224),0),
IF('TL02'!$B$229=L$3,SUMIF('TL02'!$C$238:$C$451,$C361,'TL02'!$J$238:$J$451),0),
IF('TL03'!$B$3=L$3,SUMIF('TL03'!$C$10:$C$224,$C361,'TL03'!$J$10:$J$224),0),
IF('TL03'!$B$229=L$3,SUMIF('TL03'!$C$238:$C$451,$C361,'TL03'!$J$238:$J$451),0),
IF('TL04'!$B$3=L$3,SUMIF('TL04'!$C$10:$C$224,$C361,'TL04'!$J$10:$J$224),0),
IF('TL04'!$B$229=L$3,SUMIF('TL04'!$C$238:$C$451,$C361,'TL04'!$J$238:$J$451),0),
IF('TL05'!$B$3=L$3,SUMIF('TL05'!$C$10:$C$224,$C361,'TL05'!$J$10:$J$224),0),
IF('TL05'!$B$229=L$3,SUMIF('TL05'!$C$238:$C$451,$C361,'TL05'!$J$238:$J$451),0),
IF('TL06'!$B$3=L$3,SUMIF('TL06'!$C$10:$C$224,$C361,'TL06'!$J$10:$J$224),0),
IF('TL06'!$B$229=L$3,SUMIF('TL06'!$C$238:$C$451,$C361,'TL06'!$J$238:$J$451),0),
IF('TL07'!$B$3=L$3,SUMIF('TL07'!$C$10:$C$224,$C361,'TL07'!$J$10:$J$224),0),
IF('TL07'!$B$229=L$3,SUMIF('TL07'!$C$238:$C$451,$C361,'TL07'!$J$238:$J$451),0),
IF('TL08'!$B$3=L$3,SUMIF('TL08'!$C$10:$C$224,$C361,'TL08'!$J$10:$J$224),0),
IF('TL08'!$B$229=L$3,SUMIF('TL08'!$C$238:$C$451,$C361,'TL08'!$J$238:$J$451),0),
IF('TL09'!$B$3=L$3,SUMIF('TL09'!$C$10:$C$224,$C361,'TL09'!$J$10:$J$224),0),
IF('TL09'!$B$229=L$3,SUMIF('TL09'!$C$238:$C$451,$C361,'TL09'!$J$238:$J$451),0),
IF('TL10'!$B$3=L$3,SUMIF('TL10'!$C$10:$C$224,$C361,'TL10'!$J$10:$J$224),0),
IF('TL10'!$B$229=L$3,SUMIF('TL10'!$C$238:$C$451,$C361,'TL10'!$J$238:$J$451),0),
IF('TL11'!$B$3=L$3,SUMIF('TL11'!$C$10:$C$224,$C361,'TL11'!$J$10:$J$224),0),
IF('TL11'!$B$229=L$3,SUMIF('TL11'!$C$238:$C$451,$C361,'TL11'!$J$238:$J$451),0),
IF('TL12'!$B$3=L$3,SUMIF('TL12'!$C$10:$C$224,$C361,'TL12'!$J$10:$J$224),0),
IF('TL12'!$B$229=L$3,SUMIF('TL12'!$C$238:$C$451,$C361,'TL12'!$J$238:$J$451),0),
IF('TL13'!$B$3=L$3,SUMIF('TL13'!$C$10:$C$224,$C361,'TL13'!$J$10:$J$224),0),
IF('TL13'!$B$229=L$3,SUMIF('TL13'!$C$238:$C$451,$C361,'TL13'!$J$238:$J$451),0),
IF('TL14'!$B$3=L$3,SUMIF('TL14'!$C$10:$C$224,$C361,'TL14'!$J$10:$J$224),0),
IF('TL14'!$B$229=L$3,SUMIF('TL14'!$C$238:$C$451,$C361,'TL14'!$J$238:$J$451),0),
IF('TL15'!$B$3=L$3,SUMIF('TL15'!$C$10:$C$224,$C361,'TL15'!$J$10:$J$224),0),
IF('TL15'!$B$229=L$3,SUMIF('TL15'!$C$238:$C$451,$C361,'TL15'!$J$238:$J$451),0),
IF('TL16'!$B$3=L$3,SUMIF('TL16'!$C$10:$C$224,$C361,'TL16'!$J$10:$J$224),0),
IF('TL16'!$B$229=L$3,SUMIF('TL16'!$C$238:$C$451,$C361,'TL16'!$J$238:$J$451),0),
IF('TL17'!$B$3=L$3,SUMIF('TL17'!$C$10:$C$224,$C361,'TL17'!$J$10:$J$224),0),
IF('TL17'!$B$229=L$3,SUMIF('TL17'!$C$238:$C$451,$C361,'TL17'!$J$238:$J$451),0),
IF('TL18'!$B$3=L$3,SUMIF('TL18'!$C$10:$C$224,$C361,'TL18'!$J$10:$J$224),0),
IF('TL18'!$B$229=L$3,SUMIF('TL18'!$C$238:$C$451,$C361,'TL18'!$J$238:$J$451),0),
IF('TL19'!$B$3=L$3,SUMIF('TL19'!$C$10:$C$224,$C361,'TL19'!$J$10:$J$224),0),
IF('TL19'!$B$229=L$3,SUMIF('TL19'!$C$238:$C$451,$C361,'TL19'!$J$238:$J$451),0)
),0)</f>
        <v/>
      </c>
      <c r="M361" s="9">
        <f>IFERROR(SUM(
IF('TL01'!$B$3=M$3,SUMIF('TL01'!$C$10:$C$224,$C361,'TL01'!$J$10:$J$224),0),
IF('TL01'!$B$229=M$3,SUMIF('TL01'!$C$238:$C$451,$C361,'TL01'!$J$238:$J$451),0),
IF('TL02'!$B$3=M$3,SUMIF('TL02'!$C$10:$C$224,$C361,'TL02'!$J$10:$J$224),0),
IF('TL02'!$B$229=M$3,SUMIF('TL02'!$C$238:$C$451,$C361,'TL02'!$J$238:$J$451),0),
IF('TL03'!$B$3=M$3,SUMIF('TL03'!$C$10:$C$224,$C361,'TL03'!$J$10:$J$224),0),
IF('TL03'!$B$229=M$3,SUMIF('TL03'!$C$238:$C$451,$C361,'TL03'!$J$238:$J$451),0),
IF('TL04'!$B$3=M$3,SUMIF('TL04'!$C$10:$C$224,$C361,'TL04'!$J$10:$J$224),0),
IF('TL04'!$B$229=M$3,SUMIF('TL04'!$C$238:$C$451,$C361,'TL04'!$J$238:$J$451),0),
IF('TL05'!$B$3=M$3,SUMIF('TL05'!$C$10:$C$224,$C361,'TL05'!$J$10:$J$224),0),
IF('TL05'!$B$229=M$3,SUMIF('TL05'!$C$238:$C$451,$C361,'TL05'!$J$238:$J$451),0),
IF('TL06'!$B$3=M$3,SUMIF('TL06'!$C$10:$C$224,$C361,'TL06'!$J$10:$J$224),0),
IF('TL06'!$B$229=M$3,SUMIF('TL06'!$C$238:$C$451,$C361,'TL06'!$J$238:$J$451),0),
IF('TL07'!$B$3=M$3,SUMIF('TL07'!$C$10:$C$224,$C361,'TL07'!$J$10:$J$224),0),
IF('TL07'!$B$229=M$3,SUMIF('TL07'!$C$238:$C$451,$C361,'TL07'!$J$238:$J$451),0),
IF('TL08'!$B$3=M$3,SUMIF('TL08'!$C$10:$C$224,$C361,'TL08'!$J$10:$J$224),0),
IF('TL08'!$B$229=M$3,SUMIF('TL08'!$C$238:$C$451,$C361,'TL08'!$J$238:$J$451),0),
IF('TL09'!$B$3=M$3,SUMIF('TL09'!$C$10:$C$224,$C361,'TL09'!$J$10:$J$224),0),
IF('TL09'!$B$229=M$3,SUMIF('TL09'!$C$238:$C$451,$C361,'TL09'!$J$238:$J$451),0),
IF('TL10'!$B$3=M$3,SUMIF('TL10'!$C$10:$C$224,$C361,'TL10'!$J$10:$J$224),0),
IF('TL10'!$B$229=M$3,SUMIF('TL10'!$C$238:$C$451,$C361,'TL10'!$J$238:$J$451),0),
IF('TL11'!$B$3=M$3,SUMIF('TL11'!$C$10:$C$224,$C361,'TL11'!$J$10:$J$224),0),
IF('TL11'!$B$229=M$3,SUMIF('TL11'!$C$238:$C$451,$C361,'TL11'!$J$238:$J$451),0),
IF('TL12'!$B$3=M$3,SUMIF('TL12'!$C$10:$C$224,$C361,'TL12'!$J$10:$J$224),0),
IF('TL12'!$B$229=M$3,SUMIF('TL12'!$C$238:$C$451,$C361,'TL12'!$J$238:$J$451),0),
IF('TL13'!$B$3=M$3,SUMIF('TL13'!$C$10:$C$224,$C361,'TL13'!$J$10:$J$224),0),
IF('TL13'!$B$229=M$3,SUMIF('TL13'!$C$238:$C$451,$C361,'TL13'!$J$238:$J$451),0),
IF('TL14'!$B$3=M$3,SUMIF('TL14'!$C$10:$C$224,$C361,'TL14'!$J$10:$J$224),0),
IF('TL14'!$B$229=M$3,SUMIF('TL14'!$C$238:$C$451,$C361,'TL14'!$J$238:$J$451),0),
IF('TL15'!$B$3=M$3,SUMIF('TL15'!$C$10:$C$224,$C361,'TL15'!$J$10:$J$224),0),
IF('TL15'!$B$229=M$3,SUMIF('TL15'!$C$238:$C$451,$C361,'TL15'!$J$238:$J$451),0),
IF('TL16'!$B$3=M$3,SUMIF('TL16'!$C$10:$C$224,$C361,'TL16'!$J$10:$J$224),0),
IF('TL16'!$B$229=M$3,SUMIF('TL16'!$C$238:$C$451,$C361,'TL16'!$J$238:$J$451),0),
IF('TL17'!$B$3=M$3,SUMIF('TL17'!$C$10:$C$224,$C361,'TL17'!$J$10:$J$224),0),
IF('TL17'!$B$229=M$3,SUMIF('TL17'!$C$238:$C$451,$C361,'TL17'!$J$238:$J$451),0),
IF('TL18'!$B$3=M$3,SUMIF('TL18'!$C$10:$C$224,$C361,'TL18'!$J$10:$J$224),0),
IF('TL18'!$B$229=M$3,SUMIF('TL18'!$C$238:$C$451,$C361,'TL18'!$J$238:$J$451),0),
IF('TL19'!$B$3=M$3,SUMIF('TL19'!$C$10:$C$224,$C361,'TL19'!$J$10:$J$224),0),
IF('TL19'!$B$229=M$3,SUMIF('TL19'!$C$238:$C$451,$C361,'TL19'!$J$238:$J$451),0)
),0)</f>
        <v/>
      </c>
      <c r="N361" s="9">
        <f>IFERROR(SUM(
IF('TL01'!$B$3=N$3,SUMIF('TL01'!$C$10:$C$224,$C361,'TL01'!$J$10:$J$224),0),
IF('TL01'!$B$229=N$3,SUMIF('TL01'!$C$238:$C$451,$C361,'TL01'!$J$238:$J$451),0),
IF('TL02'!$B$3=N$3,SUMIF('TL02'!$C$10:$C$224,$C361,'TL02'!$J$10:$J$224),0),
IF('TL02'!$B$229=N$3,SUMIF('TL02'!$C$238:$C$451,$C361,'TL02'!$J$238:$J$451),0),
IF('TL03'!$B$3=N$3,SUMIF('TL03'!$C$10:$C$224,$C361,'TL03'!$J$10:$J$224),0),
IF('TL03'!$B$229=N$3,SUMIF('TL03'!$C$238:$C$451,$C361,'TL03'!$J$238:$J$451),0),
IF('TL04'!$B$3=N$3,SUMIF('TL04'!$C$10:$C$224,$C361,'TL04'!$J$10:$J$224),0),
IF('TL04'!$B$229=N$3,SUMIF('TL04'!$C$238:$C$451,$C361,'TL04'!$J$238:$J$451),0),
IF('TL05'!$B$3=N$3,SUMIF('TL05'!$C$10:$C$224,$C361,'TL05'!$J$10:$J$224),0),
IF('TL05'!$B$229=N$3,SUMIF('TL05'!$C$238:$C$451,$C361,'TL05'!$J$238:$J$451),0),
IF('TL06'!$B$3=N$3,SUMIF('TL06'!$C$10:$C$224,$C361,'TL06'!$J$10:$J$224),0),
IF('TL06'!$B$229=N$3,SUMIF('TL06'!$C$238:$C$451,$C361,'TL06'!$J$238:$J$451),0),
IF('TL07'!$B$3=N$3,SUMIF('TL07'!$C$10:$C$224,$C361,'TL07'!$J$10:$J$224),0),
IF('TL07'!$B$229=N$3,SUMIF('TL07'!$C$238:$C$451,$C361,'TL07'!$J$238:$J$451),0),
IF('TL08'!$B$3=N$3,SUMIF('TL08'!$C$10:$C$224,$C361,'TL08'!$J$10:$J$224),0),
IF('TL08'!$B$229=N$3,SUMIF('TL08'!$C$238:$C$451,$C361,'TL08'!$J$238:$J$451),0),
IF('TL09'!$B$3=N$3,SUMIF('TL09'!$C$10:$C$224,$C361,'TL09'!$J$10:$J$224),0),
IF('TL09'!$B$229=N$3,SUMIF('TL09'!$C$238:$C$451,$C361,'TL09'!$J$238:$J$451),0),
IF('TL10'!$B$3=N$3,SUMIF('TL10'!$C$10:$C$224,$C361,'TL10'!$J$10:$J$224),0),
IF('TL10'!$B$229=N$3,SUMIF('TL10'!$C$238:$C$451,$C361,'TL10'!$J$238:$J$451),0),
IF('TL11'!$B$3=N$3,SUMIF('TL11'!$C$10:$C$224,$C361,'TL11'!$J$10:$J$224),0),
IF('TL11'!$B$229=N$3,SUMIF('TL11'!$C$238:$C$451,$C361,'TL11'!$J$238:$J$451),0),
IF('TL12'!$B$3=N$3,SUMIF('TL12'!$C$10:$C$224,$C361,'TL12'!$J$10:$J$224),0),
IF('TL12'!$B$229=N$3,SUMIF('TL12'!$C$238:$C$451,$C361,'TL12'!$J$238:$J$451),0),
IF('TL13'!$B$3=N$3,SUMIF('TL13'!$C$10:$C$224,$C361,'TL13'!$J$10:$J$224),0),
IF('TL13'!$B$229=N$3,SUMIF('TL13'!$C$238:$C$451,$C361,'TL13'!$J$238:$J$451),0),
IF('TL14'!$B$3=N$3,SUMIF('TL14'!$C$10:$C$224,$C361,'TL14'!$J$10:$J$224),0),
IF('TL14'!$B$229=N$3,SUMIF('TL14'!$C$238:$C$451,$C361,'TL14'!$J$238:$J$451),0),
IF('TL15'!$B$3=N$3,SUMIF('TL15'!$C$10:$C$224,$C361,'TL15'!$J$10:$J$224),0),
IF('TL15'!$B$229=N$3,SUMIF('TL15'!$C$238:$C$451,$C361,'TL15'!$J$238:$J$451),0),
IF('TL16'!$B$3=N$3,SUMIF('TL16'!$C$10:$C$224,$C361,'TL16'!$J$10:$J$224),0),
IF('TL16'!$B$229=N$3,SUMIF('TL16'!$C$238:$C$451,$C361,'TL16'!$J$238:$J$451),0),
IF('TL17'!$B$3=N$3,SUMIF('TL17'!$C$10:$C$224,$C361,'TL17'!$J$10:$J$224),0),
IF('TL17'!$B$229=N$3,SUMIF('TL17'!$C$238:$C$451,$C361,'TL17'!$J$238:$J$451),0),
IF('TL18'!$B$3=N$3,SUMIF('TL18'!$C$10:$C$224,$C361,'TL18'!$J$10:$J$224),0),
IF('TL18'!$B$229=N$3,SUMIF('TL18'!$C$238:$C$451,$C361,'TL18'!$J$238:$J$451),0),
IF('TL19'!$B$3=N$3,SUMIF('TL19'!$C$10:$C$224,$C361,'TL19'!$J$10:$J$224),0),
IF('TL19'!$B$229=N$3,SUMIF('TL19'!$C$238:$C$451,$C361,'TL19'!$J$238:$J$451),0)
),0)</f>
        <v/>
      </c>
      <c r="O361" s="9">
        <f>IFERROR(SUM(
IF('TL01'!$B$3=O$3,SUMIF('TL01'!$C$10:$C$224,$C361,'TL01'!$J$10:$J$224),0),
IF('TL01'!$B$229=O$3,SUMIF('TL01'!$C$238:$C$451,$C361,'TL01'!$J$238:$J$451),0),
IF('TL02'!$B$3=O$3,SUMIF('TL02'!$C$10:$C$224,$C361,'TL02'!$J$10:$J$224),0),
IF('TL02'!$B$229=O$3,SUMIF('TL02'!$C$238:$C$451,$C361,'TL02'!$J$238:$J$451),0),
IF('TL03'!$B$3=O$3,SUMIF('TL03'!$C$10:$C$224,$C361,'TL03'!$J$10:$J$224),0),
IF('TL03'!$B$229=O$3,SUMIF('TL03'!$C$238:$C$451,$C361,'TL03'!$J$238:$J$451),0),
IF('TL04'!$B$3=O$3,SUMIF('TL04'!$C$10:$C$224,$C361,'TL04'!$J$10:$J$224),0),
IF('TL04'!$B$229=O$3,SUMIF('TL04'!$C$238:$C$451,$C361,'TL04'!$J$238:$J$451),0),
IF('TL05'!$B$3=O$3,SUMIF('TL05'!$C$10:$C$224,$C361,'TL05'!$J$10:$J$224),0),
IF('TL05'!$B$229=O$3,SUMIF('TL05'!$C$238:$C$451,$C361,'TL05'!$J$238:$J$451),0),
IF('TL06'!$B$3=O$3,SUMIF('TL06'!$C$10:$C$224,$C361,'TL06'!$J$10:$J$224),0),
IF('TL06'!$B$229=O$3,SUMIF('TL06'!$C$238:$C$451,$C361,'TL06'!$J$238:$J$451),0),
IF('TL07'!$B$3=O$3,SUMIF('TL07'!$C$10:$C$224,$C361,'TL07'!$J$10:$J$224),0),
IF('TL07'!$B$229=O$3,SUMIF('TL07'!$C$238:$C$451,$C361,'TL07'!$J$238:$J$451),0),
IF('TL08'!$B$3=O$3,SUMIF('TL08'!$C$10:$C$224,$C361,'TL08'!$J$10:$J$224),0),
IF('TL08'!$B$229=O$3,SUMIF('TL08'!$C$238:$C$451,$C361,'TL08'!$J$238:$J$451),0),
IF('TL09'!$B$3=O$3,SUMIF('TL09'!$C$10:$C$224,$C361,'TL09'!$J$10:$J$224),0),
IF('TL09'!$B$229=O$3,SUMIF('TL09'!$C$238:$C$451,$C361,'TL09'!$J$238:$J$451),0),
IF('TL10'!$B$3=O$3,SUMIF('TL10'!$C$10:$C$224,$C361,'TL10'!$J$10:$J$224),0),
IF('TL10'!$B$229=O$3,SUMIF('TL10'!$C$238:$C$451,$C361,'TL10'!$J$238:$J$451),0),
IF('TL11'!$B$3=O$3,SUMIF('TL11'!$C$10:$C$224,$C361,'TL11'!$J$10:$J$224),0),
IF('TL11'!$B$229=O$3,SUMIF('TL11'!$C$238:$C$451,$C361,'TL11'!$J$238:$J$451),0),
IF('TL12'!$B$3=O$3,SUMIF('TL12'!$C$10:$C$224,$C361,'TL12'!$J$10:$J$224),0),
IF('TL12'!$B$229=O$3,SUMIF('TL12'!$C$238:$C$451,$C361,'TL12'!$J$238:$J$451),0),
IF('TL13'!$B$3=O$3,SUMIF('TL13'!$C$10:$C$224,$C361,'TL13'!$J$10:$J$224),0),
IF('TL13'!$B$229=O$3,SUMIF('TL13'!$C$238:$C$451,$C361,'TL13'!$J$238:$J$451),0),
IF('TL14'!$B$3=O$3,SUMIF('TL14'!$C$10:$C$224,$C361,'TL14'!$J$10:$J$224),0),
IF('TL14'!$B$229=O$3,SUMIF('TL14'!$C$238:$C$451,$C361,'TL14'!$J$238:$J$451),0),
IF('TL15'!$B$3=O$3,SUMIF('TL15'!$C$10:$C$224,$C361,'TL15'!$J$10:$J$224),0),
IF('TL15'!$B$229=O$3,SUMIF('TL15'!$C$238:$C$451,$C361,'TL15'!$J$238:$J$451),0),
IF('TL16'!$B$3=O$3,SUMIF('TL16'!$C$10:$C$224,$C361,'TL16'!$J$10:$J$224),0),
IF('TL16'!$B$229=O$3,SUMIF('TL16'!$C$238:$C$451,$C361,'TL16'!$J$238:$J$451),0),
IF('TL17'!$B$3=O$3,SUMIF('TL17'!$C$10:$C$224,$C361,'TL17'!$J$10:$J$224),0),
IF('TL17'!$B$229=O$3,SUMIF('TL17'!$C$238:$C$451,$C361,'TL17'!$J$238:$J$451),0),
IF('TL18'!$B$3=O$3,SUMIF('TL18'!$C$10:$C$224,$C361,'TL18'!$J$10:$J$224),0),
IF('TL18'!$B$229=O$3,SUMIF('TL18'!$C$238:$C$451,$C361,'TL18'!$J$238:$J$451),0),
IF('TL19'!$B$3=O$3,SUMIF('TL19'!$C$10:$C$224,$C361,'TL19'!$J$10:$J$224),0),
IF('TL19'!$B$229=O$3,SUMIF('TL19'!$C$238:$C$451,$C361,'TL19'!$J$238:$J$451),0)
),0)</f>
        <v/>
      </c>
      <c r="P361" s="9">
        <f>IFERROR(SUM(
IF('TL01'!$B$3=P$3,SUMIF('TL01'!$C$10:$C$224,$C361,'TL01'!$J$10:$J$224),0),
IF('TL01'!$B$229=P$3,SUMIF('TL01'!$C$238:$C$451,$C361,'TL01'!$J$238:$J$451),0),
IF('TL02'!$B$3=P$3,SUMIF('TL02'!$C$10:$C$224,$C361,'TL02'!$J$10:$J$224),0),
IF('TL02'!$B$229=P$3,SUMIF('TL02'!$C$238:$C$451,$C361,'TL02'!$J$238:$J$451),0),
IF('TL03'!$B$3=P$3,SUMIF('TL03'!$C$10:$C$224,$C361,'TL03'!$J$10:$J$224),0),
IF('TL03'!$B$229=P$3,SUMIF('TL03'!$C$238:$C$451,$C361,'TL03'!$J$238:$J$451),0),
IF('TL04'!$B$3=P$3,SUMIF('TL04'!$C$10:$C$224,$C361,'TL04'!$J$10:$J$224),0),
IF('TL04'!$B$229=P$3,SUMIF('TL04'!$C$238:$C$451,$C361,'TL04'!$J$238:$J$451),0),
IF('TL05'!$B$3=P$3,SUMIF('TL05'!$C$10:$C$224,$C361,'TL05'!$J$10:$J$224),0),
IF('TL05'!$B$229=P$3,SUMIF('TL05'!$C$238:$C$451,$C361,'TL05'!$J$238:$J$451),0),
IF('TL06'!$B$3=P$3,SUMIF('TL06'!$C$10:$C$224,$C361,'TL06'!$J$10:$J$224),0),
IF('TL06'!$B$229=P$3,SUMIF('TL06'!$C$238:$C$451,$C361,'TL06'!$J$238:$J$451),0),
IF('TL07'!$B$3=P$3,SUMIF('TL07'!$C$10:$C$224,$C361,'TL07'!$J$10:$J$224),0),
IF('TL07'!$B$229=P$3,SUMIF('TL07'!$C$238:$C$451,$C361,'TL07'!$J$238:$J$451),0),
IF('TL08'!$B$3=P$3,SUMIF('TL08'!$C$10:$C$224,$C361,'TL08'!$J$10:$J$224),0),
IF('TL08'!$B$229=P$3,SUMIF('TL08'!$C$238:$C$451,$C361,'TL08'!$J$238:$J$451),0),
IF('TL09'!$B$3=P$3,SUMIF('TL09'!$C$10:$C$224,$C361,'TL09'!$J$10:$J$224),0),
IF('TL09'!$B$229=P$3,SUMIF('TL09'!$C$238:$C$451,$C361,'TL09'!$J$238:$J$451),0),
IF('TL10'!$B$3=P$3,SUMIF('TL10'!$C$10:$C$224,$C361,'TL10'!$J$10:$J$224),0),
IF('TL10'!$B$229=P$3,SUMIF('TL10'!$C$238:$C$451,$C361,'TL10'!$J$238:$J$451),0),
IF('TL11'!$B$3=P$3,SUMIF('TL11'!$C$10:$C$224,$C361,'TL11'!$J$10:$J$224),0),
IF('TL11'!$B$229=P$3,SUMIF('TL11'!$C$238:$C$451,$C361,'TL11'!$J$238:$J$451),0),
IF('TL12'!$B$3=P$3,SUMIF('TL12'!$C$10:$C$224,$C361,'TL12'!$J$10:$J$224),0),
IF('TL12'!$B$229=P$3,SUMIF('TL12'!$C$238:$C$451,$C361,'TL12'!$J$238:$J$451),0),
IF('TL13'!$B$3=P$3,SUMIF('TL13'!$C$10:$C$224,$C361,'TL13'!$J$10:$J$224),0),
IF('TL13'!$B$229=P$3,SUMIF('TL13'!$C$238:$C$451,$C361,'TL13'!$J$238:$J$451),0),
IF('TL14'!$B$3=P$3,SUMIF('TL14'!$C$10:$C$224,$C361,'TL14'!$J$10:$J$224),0),
IF('TL14'!$B$229=P$3,SUMIF('TL14'!$C$238:$C$451,$C361,'TL14'!$J$238:$J$451),0),
IF('TL15'!$B$3=P$3,SUMIF('TL15'!$C$10:$C$224,$C361,'TL15'!$J$10:$J$224),0),
IF('TL15'!$B$229=P$3,SUMIF('TL15'!$C$238:$C$451,$C361,'TL15'!$J$238:$J$451),0),
IF('TL16'!$B$3=P$3,SUMIF('TL16'!$C$10:$C$224,$C361,'TL16'!$J$10:$J$224),0),
IF('TL16'!$B$229=P$3,SUMIF('TL16'!$C$238:$C$451,$C361,'TL16'!$J$238:$J$451),0),
IF('TL17'!$B$3=P$3,SUMIF('TL17'!$C$10:$C$224,$C361,'TL17'!$J$10:$J$224),0),
IF('TL17'!$B$229=P$3,SUMIF('TL17'!$C$238:$C$451,$C361,'TL17'!$J$238:$J$451),0),
IF('TL18'!$B$3=P$3,SUMIF('TL18'!$C$10:$C$224,$C361,'TL18'!$J$10:$J$224),0),
IF('TL18'!$B$229=P$3,SUMIF('TL18'!$C$238:$C$451,$C361,'TL18'!$J$238:$J$451),0),
IF('TL19'!$B$3=P$3,SUMIF('TL19'!$C$10:$C$224,$C361,'TL19'!$J$10:$J$224),0),
IF('TL19'!$B$229=P$3,SUMIF('TL19'!$C$238:$C$451,$C361,'TL19'!$J$238:$J$451),0)
),0)</f>
        <v/>
      </c>
      <c r="Q361" s="9">
        <f>IFERROR(SUM(
IF('TL01'!$B$3=Q$3,SUMIF('TL01'!$C$10:$C$224,$C361,'TL01'!$J$10:$J$224),0),
IF('TL01'!$B$229=Q$3,SUMIF('TL01'!$C$238:$C$451,$C361,'TL01'!$J$238:$J$451),0),
IF('TL02'!$B$3=Q$3,SUMIF('TL02'!$C$10:$C$224,$C361,'TL02'!$J$10:$J$224),0),
IF('TL02'!$B$229=Q$3,SUMIF('TL02'!$C$238:$C$451,$C361,'TL02'!$J$238:$J$451),0),
IF('TL03'!$B$3=Q$3,SUMIF('TL03'!$C$10:$C$224,$C361,'TL03'!$J$10:$J$224),0),
IF('TL03'!$B$229=Q$3,SUMIF('TL03'!$C$238:$C$451,$C361,'TL03'!$J$238:$J$451),0),
IF('TL04'!$B$3=Q$3,SUMIF('TL04'!$C$10:$C$224,$C361,'TL04'!$J$10:$J$224),0),
IF('TL04'!$B$229=Q$3,SUMIF('TL04'!$C$238:$C$451,$C361,'TL04'!$J$238:$J$451),0),
IF('TL05'!$B$3=Q$3,SUMIF('TL05'!$C$10:$C$224,$C361,'TL05'!$J$10:$J$224),0),
IF('TL05'!$B$229=Q$3,SUMIF('TL05'!$C$238:$C$451,$C361,'TL05'!$J$238:$J$451),0),
IF('TL06'!$B$3=Q$3,SUMIF('TL06'!$C$10:$C$224,$C361,'TL06'!$J$10:$J$224),0),
IF('TL06'!$B$229=Q$3,SUMIF('TL06'!$C$238:$C$451,$C361,'TL06'!$J$238:$J$451),0),
IF('TL07'!$B$3=Q$3,SUMIF('TL07'!$C$10:$C$224,$C361,'TL07'!$J$10:$J$224),0),
IF('TL07'!$B$229=Q$3,SUMIF('TL07'!$C$238:$C$451,$C361,'TL07'!$J$238:$J$451),0),
IF('TL08'!$B$3=Q$3,SUMIF('TL08'!$C$10:$C$224,$C361,'TL08'!$J$10:$J$224),0),
IF('TL08'!$B$229=Q$3,SUMIF('TL08'!$C$238:$C$451,$C361,'TL08'!$J$238:$J$451),0),
IF('TL09'!$B$3=Q$3,SUMIF('TL09'!$C$10:$C$224,$C361,'TL09'!$J$10:$J$224),0),
IF('TL09'!$B$229=Q$3,SUMIF('TL09'!$C$238:$C$451,$C361,'TL09'!$J$238:$J$451),0),
IF('TL10'!$B$3=Q$3,SUMIF('TL10'!$C$10:$C$224,$C361,'TL10'!$J$10:$J$224),0),
IF('TL10'!$B$229=Q$3,SUMIF('TL10'!$C$238:$C$451,$C361,'TL10'!$J$238:$J$451),0),
IF('TL11'!$B$3=Q$3,SUMIF('TL11'!$C$10:$C$224,$C361,'TL11'!$J$10:$J$224),0),
IF('TL11'!$B$229=Q$3,SUMIF('TL11'!$C$238:$C$451,$C361,'TL11'!$J$238:$J$451),0),
IF('TL12'!$B$3=Q$3,SUMIF('TL12'!$C$10:$C$224,$C361,'TL12'!$J$10:$J$224),0),
IF('TL12'!$B$229=Q$3,SUMIF('TL12'!$C$238:$C$451,$C361,'TL12'!$J$238:$J$451),0),
IF('TL13'!$B$3=Q$3,SUMIF('TL13'!$C$10:$C$224,$C361,'TL13'!$J$10:$J$224),0),
IF('TL13'!$B$229=Q$3,SUMIF('TL13'!$C$238:$C$451,$C361,'TL13'!$J$238:$J$451),0),
IF('TL14'!$B$3=Q$3,SUMIF('TL14'!$C$10:$C$224,$C361,'TL14'!$J$10:$J$224),0),
IF('TL14'!$B$229=Q$3,SUMIF('TL14'!$C$238:$C$451,$C361,'TL14'!$J$238:$J$451),0),
IF('TL15'!$B$3=Q$3,SUMIF('TL15'!$C$10:$C$224,$C361,'TL15'!$J$10:$J$224),0),
IF('TL15'!$B$229=Q$3,SUMIF('TL15'!$C$238:$C$451,$C361,'TL15'!$J$238:$J$451),0),
IF('TL16'!$B$3=Q$3,SUMIF('TL16'!$C$10:$C$224,$C361,'TL16'!$J$10:$J$224),0),
IF('TL16'!$B$229=Q$3,SUMIF('TL16'!$C$238:$C$451,$C361,'TL16'!$J$238:$J$451),0),
IF('TL17'!$B$3=Q$3,SUMIF('TL17'!$C$10:$C$224,$C361,'TL17'!$J$10:$J$224),0),
IF('TL17'!$B$229=Q$3,SUMIF('TL17'!$C$238:$C$451,$C361,'TL17'!$J$238:$J$451),0),
IF('TL18'!$B$3=Q$3,SUMIF('TL18'!$C$10:$C$224,$C361,'TL18'!$J$10:$J$224),0),
IF('TL18'!$B$229=Q$3,SUMIF('TL18'!$C$238:$C$451,$C361,'TL18'!$J$238:$J$451),0),
IF('TL19'!$B$3=Q$3,SUMIF('TL19'!$C$10:$C$224,$C361,'TL19'!$J$10:$J$224),0),
IF('TL19'!$B$229=Q$3,SUMIF('TL19'!$C$238:$C$451,$C361,'TL19'!$J$238:$J$451),0)
),0)</f>
        <v/>
      </c>
      <c r="R361" s="9">
        <f>IFERROR(
SUM(
SUMIF('TL01'!C:C,C361,'TL01'!J:J),
SUMIF('TL02'!C:C,C361,'TL02'!J:J),
SUMIF('TL03'!C:C,C361,'TL03'!J:J),
SUMIF('TL04'!C:C,C361,'TL04'!J:J),
SUMIF('TL05'!C:C,C361,'TL05'!J:J),
SUMIF('TL06'!C:C,C361,'TL06'!J:J),
SUMIF('TL07'!C:C,C361,'TL07'!J:J),
SUMIF('TL08'!C:C,C361,'TL08'!J:J),
SUMIF('TL09'!C:C,C361,'TL09'!J:J),
SUMIF('TL10'!C:C,C361,'TL10'!J:J),
SUMIF('TL11'!C:C,C361,'TL11'!J:J),
SUMIF('TL12'!C:C,C361,'TL12'!J:J),
SUMIF('TL13'!C:C,C361,'TL13'!J:J),
SUMIF('TL14'!C:C,C361,'TL14'!J:J),
SUMIF('TL15'!C:C,C361,'TL15'!J:J),
SUMIF('TL16'!C:C,C361,'TL16'!J:J),
SUMIF('TL17'!C:C,C361,'TL17'!J:J),
SUMIF('TL18'!C:C,C361,'TL18'!J:J),SUMIF('TL19'!C:C,C361,'TL19'!J:J))
,0)</f>
        <v/>
      </c>
      <c r="S361" s="17">
        <f>IFERROR(__xludf.DUMMYFUNCTION("IFERROR(VLOOKUP(C361,
IMPORTRANGE(""1wULbzX32WdYsx-lj2U3uUNBBe2INVIRDtcK0d-Dvl90"",
""26-27!C:G""),
5,
FALSE),
"""")"),26.0)</f>
        <v/>
      </c>
      <c r="T361" s="9" t="n"/>
      <c r="U361" s="92">
        <f>MAX(0,R361-T361)</f>
        <v/>
      </c>
      <c r="V361" s="93">
        <f>U361*S361</f>
        <v/>
      </c>
    </row>
    <row r="362" hidden="1" ht="15.75" customHeight="1" s="297">
      <c r="A362" s="4" t="inlineStr">
        <is>
          <t>SOLUBIO</t>
        </is>
      </c>
      <c r="B362" s="4" t="inlineStr">
        <is>
          <t>BIOLÓGICOS</t>
        </is>
      </c>
      <c r="C362" s="126" t="inlineStr">
        <is>
          <t>Tec Catp Pro</t>
        </is>
      </c>
      <c r="D362" s="127" t="inlineStr">
        <is>
          <t>Bacillus thuringiensis kurstaki</t>
        </is>
      </c>
      <c r="E362" s="20" t="n"/>
      <c r="F362" s="4" t="inlineStr">
        <is>
          <t>L</t>
        </is>
      </c>
      <c r="G362" s="90">
        <f>HYPERLINK("https://www.google.com/search?q=" &amp; C362 &amp; "+bula+agrofit+pdf", "📄 Ver bula")</f>
        <v/>
      </c>
      <c r="H362" s="4" t="n">
        <v>2</v>
      </c>
      <c r="I362" s="121" t="inlineStr">
        <is>
          <t>4x5</t>
        </is>
      </c>
      <c r="J362" s="9">
        <f>IFERROR(SUM(
IF('TL01'!$B$3=J$3,SUMIF('TL01'!$C$10:$C$224,$C362,'TL01'!$J$10:$J$224),0),
IF('TL01'!$B$229=J$3,SUMIF('TL01'!$C$238:$C$451,$C362,'TL01'!$J$238:$J$451),0),
IF('TL02'!$B$3=J$3,SUMIF('TL02'!$C$10:$C$224,$C362,'TL02'!$J$10:$J$224),0),
IF('TL02'!$B$229=J$3,SUMIF('TL02'!$C$238:$C$451,$C362,'TL02'!$J$238:$J$451),0),
IF('TL03'!$B$3=J$3,SUMIF('TL03'!$C$10:$C$224,$C362,'TL03'!$J$10:$J$224),0),
IF('TL03'!$B$229=J$3,SUMIF('TL03'!$C$238:$C$451,$C362,'TL03'!$J$238:$J$451),0),
IF('TL04'!$B$3=J$3,SUMIF('TL04'!$C$10:$C$224,$C362,'TL04'!$J$10:$J$224),0),
IF('TL04'!$B$229=J$3,SUMIF('TL04'!$C$238:$C$451,$C362,'TL04'!$J$238:$J$451),0),
IF('TL05'!$B$3=J$3,SUMIF('TL05'!$C$10:$C$224,$C362,'TL05'!$J$10:$J$224),0),
IF('TL05'!$B$229=J$3,SUMIF('TL05'!$C$238:$C$451,$C362,'TL05'!$J$238:$J$451),0),
IF('TL06'!$B$3=J$3,SUMIF('TL06'!$C$10:$C$224,$C362,'TL06'!$J$10:$J$224),0),
IF('TL06'!$B$229=J$3,SUMIF('TL06'!$C$238:$C$451,$C362,'TL06'!$J$238:$J$451),0),
IF('TL07'!$B$3=J$3,SUMIF('TL07'!$C$10:$C$224,$C362,'TL07'!$J$10:$J$224),0),
IF('TL07'!$B$229=J$3,SUMIF('TL07'!$C$238:$C$451,$C362,'TL07'!$J$238:$J$451),0),
IF('TL08'!$B$3=J$3,SUMIF('TL08'!$C$10:$C$224,$C362,'TL08'!$J$10:$J$224),0),
IF('TL08'!$B$229=J$3,SUMIF('TL08'!$C$238:$C$451,$C362,'TL08'!$J$238:$J$451),0),
IF('TL09'!$B$3=J$3,SUMIF('TL09'!$C$10:$C$224,$C362,'TL09'!$J$10:$J$224),0),
IF('TL09'!$B$229=J$3,SUMIF('TL09'!$C$238:$C$451,$C362,'TL09'!$J$238:$J$451),0),
IF('TL10'!$B$3=J$3,SUMIF('TL10'!$C$10:$C$224,$C362,'TL10'!$J$10:$J$224),0),
IF('TL10'!$B$229=J$3,SUMIF('TL10'!$C$238:$C$451,$C362,'TL10'!$J$238:$J$451),0),
IF('TL11'!$B$3=J$3,SUMIF('TL11'!$C$10:$C$224,$C362,'TL11'!$J$10:$J$224),0),
IF('TL11'!$B$229=J$3,SUMIF('TL11'!$C$238:$C$451,$C362,'TL11'!$J$238:$J$451),0),
IF('TL12'!$B$3=J$3,SUMIF('TL12'!$C$10:$C$224,$C362,'TL12'!$J$10:$J$224),0),
IF('TL12'!$B$229=J$3,SUMIF('TL12'!$C$238:$C$451,$C362,'TL12'!$J$238:$J$451),0),
IF('TL13'!$B$3=J$3,SUMIF('TL13'!$C$10:$C$224,$C362,'TL13'!$J$10:$J$224),0),
IF('TL13'!$B$229=J$3,SUMIF('TL13'!$C$238:$C$451,$C362,'TL13'!$J$238:$J$451),0),
IF('TL14'!$B$3=J$3,SUMIF('TL14'!$C$10:$C$224,$C362,'TL14'!$J$10:$J$224),0),
IF('TL14'!$B$229=J$3,SUMIF('TL14'!$C$238:$C$451,$C362,'TL14'!$J$238:$J$451),0),
IF('TL15'!$B$3=J$3,SUMIF('TL15'!$C$10:$C$224,$C362,'TL15'!$J$10:$J$224),0),
IF('TL15'!$B$229=J$3,SUMIF('TL15'!$C$238:$C$451,$C362,'TL15'!$J$238:$J$451),0),
IF('TL16'!$B$3=J$3,SUMIF('TL16'!$C$10:$C$224,$C362,'TL16'!$J$10:$J$224),0),
IF('TL16'!$B$229=J$3,SUMIF('TL16'!$C$238:$C$451,$C362,'TL16'!$J$238:$J$451),0),
IF('TL17'!$B$3=J$3,SUMIF('TL17'!$C$10:$C$224,$C362,'TL17'!$J$10:$J$224),0),
IF('TL17'!$B$229=J$3,SUMIF('TL17'!$C$238:$C$451,$C362,'TL17'!$J$238:$J$451),0),
IF('TL18'!$B$3=J$3,SUMIF('TL18'!$C$10:$C$224,$C362,'TL18'!$J$10:$J$224),0),
IF('TL18'!$B$229=J$3,SUMIF('TL18'!$C$238:$C$451,$C362,'TL18'!$J$238:$J$451),0),
IF('TL19'!$B$3=J$3,SUMIF('TL19'!$C$10:$C$224,$C362,'TL19'!$J$10:$J$224),0),
IF('TL19'!$B$229=J$3,SUMIF('TL19'!$C$238:$C$451,$C362,'TL19'!$J$238:$J$451),0)
),0)</f>
        <v/>
      </c>
      <c r="K362" s="9">
        <f>IFERROR(SUM(
IF('TL01'!$B$3=K$3,SUMIF('TL01'!$C$10:$C$224,$C362,'TL01'!$J$10:$J$224),0),
IF('TL01'!$B$229=K$3,SUMIF('TL01'!$C$238:$C$451,$C362,'TL01'!$J$238:$J$451),0),
IF('TL02'!$B$3=K$3,SUMIF('TL02'!$C$10:$C$224,$C362,'TL02'!$J$10:$J$224),0),
IF('TL02'!$B$229=K$3,SUMIF('TL02'!$C$238:$C$451,$C362,'TL02'!$J$238:$J$451),0),
IF('TL03'!$B$3=K$3,SUMIF('TL03'!$C$10:$C$224,$C362,'TL03'!$J$10:$J$224),0),
IF('TL03'!$B$229=K$3,SUMIF('TL03'!$C$238:$C$451,$C362,'TL03'!$J$238:$J$451),0),
IF('TL04'!$B$3=K$3,SUMIF('TL04'!$C$10:$C$224,$C362,'TL04'!$J$10:$J$224),0),
IF('TL04'!$B$229=K$3,SUMIF('TL04'!$C$238:$C$451,$C362,'TL04'!$J$238:$J$451),0),
IF('TL05'!$B$3=K$3,SUMIF('TL05'!$C$10:$C$224,$C362,'TL05'!$J$10:$J$224),0),
IF('TL05'!$B$229=K$3,SUMIF('TL05'!$C$238:$C$451,$C362,'TL05'!$J$238:$J$451),0),
IF('TL06'!$B$3=K$3,SUMIF('TL06'!$C$10:$C$224,$C362,'TL06'!$J$10:$J$224),0),
IF('TL06'!$B$229=K$3,SUMIF('TL06'!$C$238:$C$451,$C362,'TL06'!$J$238:$J$451),0),
IF('TL07'!$B$3=K$3,SUMIF('TL07'!$C$10:$C$224,$C362,'TL07'!$J$10:$J$224),0),
IF('TL07'!$B$229=K$3,SUMIF('TL07'!$C$238:$C$451,$C362,'TL07'!$J$238:$J$451),0),
IF('TL08'!$B$3=K$3,SUMIF('TL08'!$C$10:$C$224,$C362,'TL08'!$J$10:$J$224),0),
IF('TL08'!$B$229=K$3,SUMIF('TL08'!$C$238:$C$451,$C362,'TL08'!$J$238:$J$451),0),
IF('TL09'!$B$3=K$3,SUMIF('TL09'!$C$10:$C$224,$C362,'TL09'!$J$10:$J$224),0),
IF('TL09'!$B$229=K$3,SUMIF('TL09'!$C$238:$C$451,$C362,'TL09'!$J$238:$J$451),0),
IF('TL10'!$B$3=K$3,SUMIF('TL10'!$C$10:$C$224,$C362,'TL10'!$J$10:$J$224),0),
IF('TL10'!$B$229=K$3,SUMIF('TL10'!$C$238:$C$451,$C362,'TL10'!$J$238:$J$451),0),
IF('TL11'!$B$3=K$3,SUMIF('TL11'!$C$10:$C$224,$C362,'TL11'!$J$10:$J$224),0),
IF('TL11'!$B$229=K$3,SUMIF('TL11'!$C$238:$C$451,$C362,'TL11'!$J$238:$J$451),0),
IF('TL12'!$B$3=K$3,SUMIF('TL12'!$C$10:$C$224,$C362,'TL12'!$J$10:$J$224),0),
IF('TL12'!$B$229=K$3,SUMIF('TL12'!$C$238:$C$451,$C362,'TL12'!$J$238:$J$451),0),
IF('TL13'!$B$3=K$3,SUMIF('TL13'!$C$10:$C$224,$C362,'TL13'!$J$10:$J$224),0),
IF('TL13'!$B$229=K$3,SUMIF('TL13'!$C$238:$C$451,$C362,'TL13'!$J$238:$J$451),0),
IF('TL14'!$B$3=K$3,SUMIF('TL14'!$C$10:$C$224,$C362,'TL14'!$J$10:$J$224),0),
IF('TL14'!$B$229=K$3,SUMIF('TL14'!$C$238:$C$451,$C362,'TL14'!$J$238:$J$451),0),
IF('TL15'!$B$3=K$3,SUMIF('TL15'!$C$10:$C$224,$C362,'TL15'!$J$10:$J$224),0),
IF('TL15'!$B$229=K$3,SUMIF('TL15'!$C$238:$C$451,$C362,'TL15'!$J$238:$J$451),0),
IF('TL16'!$B$3=K$3,SUMIF('TL16'!$C$10:$C$224,$C362,'TL16'!$J$10:$J$224),0),
IF('TL16'!$B$229=K$3,SUMIF('TL16'!$C$238:$C$451,$C362,'TL16'!$J$238:$J$451),0),
IF('TL17'!$B$3=K$3,SUMIF('TL17'!$C$10:$C$224,$C362,'TL17'!$J$10:$J$224),0),
IF('TL17'!$B$229=K$3,SUMIF('TL17'!$C$238:$C$451,$C362,'TL17'!$J$238:$J$451),0),
IF('TL18'!$B$3=K$3,SUMIF('TL18'!$C$10:$C$224,$C362,'TL18'!$J$10:$J$224),0),
IF('TL18'!$B$229=K$3,SUMIF('TL18'!$C$238:$C$451,$C362,'TL18'!$J$238:$J$451),0),
IF('TL19'!$B$3=K$3,SUMIF('TL19'!$C$10:$C$224,$C362,'TL19'!$J$10:$J$224),0),
IF('TL19'!$B$229=K$3,SUMIF('TL19'!$C$238:$C$451,$C362,'TL19'!$J$238:$J$451),0)
),0)</f>
        <v/>
      </c>
      <c r="L362" s="9">
        <f>IFERROR(SUM(
IF('TL01'!$B$3=L$3,SUMIF('TL01'!$C$10:$C$224,$C362,'TL01'!$J$10:$J$224),0),
IF('TL01'!$B$229=L$3,SUMIF('TL01'!$C$238:$C$451,$C362,'TL01'!$J$238:$J$451),0),
IF('TL02'!$B$3=L$3,SUMIF('TL02'!$C$10:$C$224,$C362,'TL02'!$J$10:$J$224),0),
IF('TL02'!$B$229=L$3,SUMIF('TL02'!$C$238:$C$451,$C362,'TL02'!$J$238:$J$451),0),
IF('TL03'!$B$3=L$3,SUMIF('TL03'!$C$10:$C$224,$C362,'TL03'!$J$10:$J$224),0),
IF('TL03'!$B$229=L$3,SUMIF('TL03'!$C$238:$C$451,$C362,'TL03'!$J$238:$J$451),0),
IF('TL04'!$B$3=L$3,SUMIF('TL04'!$C$10:$C$224,$C362,'TL04'!$J$10:$J$224),0),
IF('TL04'!$B$229=L$3,SUMIF('TL04'!$C$238:$C$451,$C362,'TL04'!$J$238:$J$451),0),
IF('TL05'!$B$3=L$3,SUMIF('TL05'!$C$10:$C$224,$C362,'TL05'!$J$10:$J$224),0),
IF('TL05'!$B$229=L$3,SUMIF('TL05'!$C$238:$C$451,$C362,'TL05'!$J$238:$J$451),0),
IF('TL06'!$B$3=L$3,SUMIF('TL06'!$C$10:$C$224,$C362,'TL06'!$J$10:$J$224),0),
IF('TL06'!$B$229=L$3,SUMIF('TL06'!$C$238:$C$451,$C362,'TL06'!$J$238:$J$451),0),
IF('TL07'!$B$3=L$3,SUMIF('TL07'!$C$10:$C$224,$C362,'TL07'!$J$10:$J$224),0),
IF('TL07'!$B$229=L$3,SUMIF('TL07'!$C$238:$C$451,$C362,'TL07'!$J$238:$J$451),0),
IF('TL08'!$B$3=L$3,SUMIF('TL08'!$C$10:$C$224,$C362,'TL08'!$J$10:$J$224),0),
IF('TL08'!$B$229=L$3,SUMIF('TL08'!$C$238:$C$451,$C362,'TL08'!$J$238:$J$451),0),
IF('TL09'!$B$3=L$3,SUMIF('TL09'!$C$10:$C$224,$C362,'TL09'!$J$10:$J$224),0),
IF('TL09'!$B$229=L$3,SUMIF('TL09'!$C$238:$C$451,$C362,'TL09'!$J$238:$J$451),0),
IF('TL10'!$B$3=L$3,SUMIF('TL10'!$C$10:$C$224,$C362,'TL10'!$J$10:$J$224),0),
IF('TL10'!$B$229=L$3,SUMIF('TL10'!$C$238:$C$451,$C362,'TL10'!$J$238:$J$451),0),
IF('TL11'!$B$3=L$3,SUMIF('TL11'!$C$10:$C$224,$C362,'TL11'!$J$10:$J$224),0),
IF('TL11'!$B$229=L$3,SUMIF('TL11'!$C$238:$C$451,$C362,'TL11'!$J$238:$J$451),0),
IF('TL12'!$B$3=L$3,SUMIF('TL12'!$C$10:$C$224,$C362,'TL12'!$J$10:$J$224),0),
IF('TL12'!$B$229=L$3,SUMIF('TL12'!$C$238:$C$451,$C362,'TL12'!$J$238:$J$451),0),
IF('TL13'!$B$3=L$3,SUMIF('TL13'!$C$10:$C$224,$C362,'TL13'!$J$10:$J$224),0),
IF('TL13'!$B$229=L$3,SUMIF('TL13'!$C$238:$C$451,$C362,'TL13'!$J$238:$J$451),0),
IF('TL14'!$B$3=L$3,SUMIF('TL14'!$C$10:$C$224,$C362,'TL14'!$J$10:$J$224),0),
IF('TL14'!$B$229=L$3,SUMIF('TL14'!$C$238:$C$451,$C362,'TL14'!$J$238:$J$451),0),
IF('TL15'!$B$3=L$3,SUMIF('TL15'!$C$10:$C$224,$C362,'TL15'!$J$10:$J$224),0),
IF('TL15'!$B$229=L$3,SUMIF('TL15'!$C$238:$C$451,$C362,'TL15'!$J$238:$J$451),0),
IF('TL16'!$B$3=L$3,SUMIF('TL16'!$C$10:$C$224,$C362,'TL16'!$J$10:$J$224),0),
IF('TL16'!$B$229=L$3,SUMIF('TL16'!$C$238:$C$451,$C362,'TL16'!$J$238:$J$451),0),
IF('TL17'!$B$3=L$3,SUMIF('TL17'!$C$10:$C$224,$C362,'TL17'!$J$10:$J$224),0),
IF('TL17'!$B$229=L$3,SUMIF('TL17'!$C$238:$C$451,$C362,'TL17'!$J$238:$J$451),0),
IF('TL18'!$B$3=L$3,SUMIF('TL18'!$C$10:$C$224,$C362,'TL18'!$J$10:$J$224),0),
IF('TL18'!$B$229=L$3,SUMIF('TL18'!$C$238:$C$451,$C362,'TL18'!$J$238:$J$451),0),
IF('TL19'!$B$3=L$3,SUMIF('TL19'!$C$10:$C$224,$C362,'TL19'!$J$10:$J$224),0),
IF('TL19'!$B$229=L$3,SUMIF('TL19'!$C$238:$C$451,$C362,'TL19'!$J$238:$J$451),0)
),0)</f>
        <v/>
      </c>
      <c r="M362" s="9">
        <f>IFERROR(SUM(
IF('TL01'!$B$3=M$3,SUMIF('TL01'!$C$10:$C$224,$C362,'TL01'!$J$10:$J$224),0),
IF('TL01'!$B$229=M$3,SUMIF('TL01'!$C$238:$C$451,$C362,'TL01'!$J$238:$J$451),0),
IF('TL02'!$B$3=M$3,SUMIF('TL02'!$C$10:$C$224,$C362,'TL02'!$J$10:$J$224),0),
IF('TL02'!$B$229=M$3,SUMIF('TL02'!$C$238:$C$451,$C362,'TL02'!$J$238:$J$451),0),
IF('TL03'!$B$3=M$3,SUMIF('TL03'!$C$10:$C$224,$C362,'TL03'!$J$10:$J$224),0),
IF('TL03'!$B$229=M$3,SUMIF('TL03'!$C$238:$C$451,$C362,'TL03'!$J$238:$J$451),0),
IF('TL04'!$B$3=M$3,SUMIF('TL04'!$C$10:$C$224,$C362,'TL04'!$J$10:$J$224),0),
IF('TL04'!$B$229=M$3,SUMIF('TL04'!$C$238:$C$451,$C362,'TL04'!$J$238:$J$451),0),
IF('TL05'!$B$3=M$3,SUMIF('TL05'!$C$10:$C$224,$C362,'TL05'!$J$10:$J$224),0),
IF('TL05'!$B$229=M$3,SUMIF('TL05'!$C$238:$C$451,$C362,'TL05'!$J$238:$J$451),0),
IF('TL06'!$B$3=M$3,SUMIF('TL06'!$C$10:$C$224,$C362,'TL06'!$J$10:$J$224),0),
IF('TL06'!$B$229=M$3,SUMIF('TL06'!$C$238:$C$451,$C362,'TL06'!$J$238:$J$451),0),
IF('TL07'!$B$3=M$3,SUMIF('TL07'!$C$10:$C$224,$C362,'TL07'!$J$10:$J$224),0),
IF('TL07'!$B$229=M$3,SUMIF('TL07'!$C$238:$C$451,$C362,'TL07'!$J$238:$J$451),0),
IF('TL08'!$B$3=M$3,SUMIF('TL08'!$C$10:$C$224,$C362,'TL08'!$J$10:$J$224),0),
IF('TL08'!$B$229=M$3,SUMIF('TL08'!$C$238:$C$451,$C362,'TL08'!$J$238:$J$451),0),
IF('TL09'!$B$3=M$3,SUMIF('TL09'!$C$10:$C$224,$C362,'TL09'!$J$10:$J$224),0),
IF('TL09'!$B$229=M$3,SUMIF('TL09'!$C$238:$C$451,$C362,'TL09'!$J$238:$J$451),0),
IF('TL10'!$B$3=M$3,SUMIF('TL10'!$C$10:$C$224,$C362,'TL10'!$J$10:$J$224),0),
IF('TL10'!$B$229=M$3,SUMIF('TL10'!$C$238:$C$451,$C362,'TL10'!$J$238:$J$451),0),
IF('TL11'!$B$3=M$3,SUMIF('TL11'!$C$10:$C$224,$C362,'TL11'!$J$10:$J$224),0),
IF('TL11'!$B$229=M$3,SUMIF('TL11'!$C$238:$C$451,$C362,'TL11'!$J$238:$J$451),0),
IF('TL12'!$B$3=M$3,SUMIF('TL12'!$C$10:$C$224,$C362,'TL12'!$J$10:$J$224),0),
IF('TL12'!$B$229=M$3,SUMIF('TL12'!$C$238:$C$451,$C362,'TL12'!$J$238:$J$451),0),
IF('TL13'!$B$3=M$3,SUMIF('TL13'!$C$10:$C$224,$C362,'TL13'!$J$10:$J$224),0),
IF('TL13'!$B$229=M$3,SUMIF('TL13'!$C$238:$C$451,$C362,'TL13'!$J$238:$J$451),0),
IF('TL14'!$B$3=M$3,SUMIF('TL14'!$C$10:$C$224,$C362,'TL14'!$J$10:$J$224),0),
IF('TL14'!$B$229=M$3,SUMIF('TL14'!$C$238:$C$451,$C362,'TL14'!$J$238:$J$451),0),
IF('TL15'!$B$3=M$3,SUMIF('TL15'!$C$10:$C$224,$C362,'TL15'!$J$10:$J$224),0),
IF('TL15'!$B$229=M$3,SUMIF('TL15'!$C$238:$C$451,$C362,'TL15'!$J$238:$J$451),0),
IF('TL16'!$B$3=M$3,SUMIF('TL16'!$C$10:$C$224,$C362,'TL16'!$J$10:$J$224),0),
IF('TL16'!$B$229=M$3,SUMIF('TL16'!$C$238:$C$451,$C362,'TL16'!$J$238:$J$451),0),
IF('TL17'!$B$3=M$3,SUMIF('TL17'!$C$10:$C$224,$C362,'TL17'!$J$10:$J$224),0),
IF('TL17'!$B$229=M$3,SUMIF('TL17'!$C$238:$C$451,$C362,'TL17'!$J$238:$J$451),0),
IF('TL18'!$B$3=M$3,SUMIF('TL18'!$C$10:$C$224,$C362,'TL18'!$J$10:$J$224),0),
IF('TL18'!$B$229=M$3,SUMIF('TL18'!$C$238:$C$451,$C362,'TL18'!$J$238:$J$451),0),
IF('TL19'!$B$3=M$3,SUMIF('TL19'!$C$10:$C$224,$C362,'TL19'!$J$10:$J$224),0),
IF('TL19'!$B$229=M$3,SUMIF('TL19'!$C$238:$C$451,$C362,'TL19'!$J$238:$J$451),0)
),0)</f>
        <v/>
      </c>
      <c r="N362" s="9">
        <f>IFERROR(SUM(
IF('TL01'!$B$3=N$3,SUMIF('TL01'!$C$10:$C$224,$C362,'TL01'!$J$10:$J$224),0),
IF('TL01'!$B$229=N$3,SUMIF('TL01'!$C$238:$C$451,$C362,'TL01'!$J$238:$J$451),0),
IF('TL02'!$B$3=N$3,SUMIF('TL02'!$C$10:$C$224,$C362,'TL02'!$J$10:$J$224),0),
IF('TL02'!$B$229=N$3,SUMIF('TL02'!$C$238:$C$451,$C362,'TL02'!$J$238:$J$451),0),
IF('TL03'!$B$3=N$3,SUMIF('TL03'!$C$10:$C$224,$C362,'TL03'!$J$10:$J$224),0),
IF('TL03'!$B$229=N$3,SUMIF('TL03'!$C$238:$C$451,$C362,'TL03'!$J$238:$J$451),0),
IF('TL04'!$B$3=N$3,SUMIF('TL04'!$C$10:$C$224,$C362,'TL04'!$J$10:$J$224),0),
IF('TL04'!$B$229=N$3,SUMIF('TL04'!$C$238:$C$451,$C362,'TL04'!$J$238:$J$451),0),
IF('TL05'!$B$3=N$3,SUMIF('TL05'!$C$10:$C$224,$C362,'TL05'!$J$10:$J$224),0),
IF('TL05'!$B$229=N$3,SUMIF('TL05'!$C$238:$C$451,$C362,'TL05'!$J$238:$J$451),0),
IF('TL06'!$B$3=N$3,SUMIF('TL06'!$C$10:$C$224,$C362,'TL06'!$J$10:$J$224),0),
IF('TL06'!$B$229=N$3,SUMIF('TL06'!$C$238:$C$451,$C362,'TL06'!$J$238:$J$451),0),
IF('TL07'!$B$3=N$3,SUMIF('TL07'!$C$10:$C$224,$C362,'TL07'!$J$10:$J$224),0),
IF('TL07'!$B$229=N$3,SUMIF('TL07'!$C$238:$C$451,$C362,'TL07'!$J$238:$J$451),0),
IF('TL08'!$B$3=N$3,SUMIF('TL08'!$C$10:$C$224,$C362,'TL08'!$J$10:$J$224),0),
IF('TL08'!$B$229=N$3,SUMIF('TL08'!$C$238:$C$451,$C362,'TL08'!$J$238:$J$451),0),
IF('TL09'!$B$3=N$3,SUMIF('TL09'!$C$10:$C$224,$C362,'TL09'!$J$10:$J$224),0),
IF('TL09'!$B$229=N$3,SUMIF('TL09'!$C$238:$C$451,$C362,'TL09'!$J$238:$J$451),0),
IF('TL10'!$B$3=N$3,SUMIF('TL10'!$C$10:$C$224,$C362,'TL10'!$J$10:$J$224),0),
IF('TL10'!$B$229=N$3,SUMIF('TL10'!$C$238:$C$451,$C362,'TL10'!$J$238:$J$451),0),
IF('TL11'!$B$3=N$3,SUMIF('TL11'!$C$10:$C$224,$C362,'TL11'!$J$10:$J$224),0),
IF('TL11'!$B$229=N$3,SUMIF('TL11'!$C$238:$C$451,$C362,'TL11'!$J$238:$J$451),0),
IF('TL12'!$B$3=N$3,SUMIF('TL12'!$C$10:$C$224,$C362,'TL12'!$J$10:$J$224),0),
IF('TL12'!$B$229=N$3,SUMIF('TL12'!$C$238:$C$451,$C362,'TL12'!$J$238:$J$451),0),
IF('TL13'!$B$3=N$3,SUMIF('TL13'!$C$10:$C$224,$C362,'TL13'!$J$10:$J$224),0),
IF('TL13'!$B$229=N$3,SUMIF('TL13'!$C$238:$C$451,$C362,'TL13'!$J$238:$J$451),0),
IF('TL14'!$B$3=N$3,SUMIF('TL14'!$C$10:$C$224,$C362,'TL14'!$J$10:$J$224),0),
IF('TL14'!$B$229=N$3,SUMIF('TL14'!$C$238:$C$451,$C362,'TL14'!$J$238:$J$451),0),
IF('TL15'!$B$3=N$3,SUMIF('TL15'!$C$10:$C$224,$C362,'TL15'!$J$10:$J$224),0),
IF('TL15'!$B$229=N$3,SUMIF('TL15'!$C$238:$C$451,$C362,'TL15'!$J$238:$J$451),0),
IF('TL16'!$B$3=N$3,SUMIF('TL16'!$C$10:$C$224,$C362,'TL16'!$J$10:$J$224),0),
IF('TL16'!$B$229=N$3,SUMIF('TL16'!$C$238:$C$451,$C362,'TL16'!$J$238:$J$451),0),
IF('TL17'!$B$3=N$3,SUMIF('TL17'!$C$10:$C$224,$C362,'TL17'!$J$10:$J$224),0),
IF('TL17'!$B$229=N$3,SUMIF('TL17'!$C$238:$C$451,$C362,'TL17'!$J$238:$J$451),0),
IF('TL18'!$B$3=N$3,SUMIF('TL18'!$C$10:$C$224,$C362,'TL18'!$J$10:$J$224),0),
IF('TL18'!$B$229=N$3,SUMIF('TL18'!$C$238:$C$451,$C362,'TL18'!$J$238:$J$451),0),
IF('TL19'!$B$3=N$3,SUMIF('TL19'!$C$10:$C$224,$C362,'TL19'!$J$10:$J$224),0),
IF('TL19'!$B$229=N$3,SUMIF('TL19'!$C$238:$C$451,$C362,'TL19'!$J$238:$J$451),0)
),0)</f>
        <v/>
      </c>
      <c r="O362" s="9">
        <f>IFERROR(SUM(
IF('TL01'!$B$3=O$3,SUMIF('TL01'!$C$10:$C$224,$C362,'TL01'!$J$10:$J$224),0),
IF('TL01'!$B$229=O$3,SUMIF('TL01'!$C$238:$C$451,$C362,'TL01'!$J$238:$J$451),0),
IF('TL02'!$B$3=O$3,SUMIF('TL02'!$C$10:$C$224,$C362,'TL02'!$J$10:$J$224),0),
IF('TL02'!$B$229=O$3,SUMIF('TL02'!$C$238:$C$451,$C362,'TL02'!$J$238:$J$451),0),
IF('TL03'!$B$3=O$3,SUMIF('TL03'!$C$10:$C$224,$C362,'TL03'!$J$10:$J$224),0),
IF('TL03'!$B$229=O$3,SUMIF('TL03'!$C$238:$C$451,$C362,'TL03'!$J$238:$J$451),0),
IF('TL04'!$B$3=O$3,SUMIF('TL04'!$C$10:$C$224,$C362,'TL04'!$J$10:$J$224),0),
IF('TL04'!$B$229=O$3,SUMIF('TL04'!$C$238:$C$451,$C362,'TL04'!$J$238:$J$451),0),
IF('TL05'!$B$3=O$3,SUMIF('TL05'!$C$10:$C$224,$C362,'TL05'!$J$10:$J$224),0),
IF('TL05'!$B$229=O$3,SUMIF('TL05'!$C$238:$C$451,$C362,'TL05'!$J$238:$J$451),0),
IF('TL06'!$B$3=O$3,SUMIF('TL06'!$C$10:$C$224,$C362,'TL06'!$J$10:$J$224),0),
IF('TL06'!$B$229=O$3,SUMIF('TL06'!$C$238:$C$451,$C362,'TL06'!$J$238:$J$451),0),
IF('TL07'!$B$3=O$3,SUMIF('TL07'!$C$10:$C$224,$C362,'TL07'!$J$10:$J$224),0),
IF('TL07'!$B$229=O$3,SUMIF('TL07'!$C$238:$C$451,$C362,'TL07'!$J$238:$J$451),0),
IF('TL08'!$B$3=O$3,SUMIF('TL08'!$C$10:$C$224,$C362,'TL08'!$J$10:$J$224),0),
IF('TL08'!$B$229=O$3,SUMIF('TL08'!$C$238:$C$451,$C362,'TL08'!$J$238:$J$451),0),
IF('TL09'!$B$3=O$3,SUMIF('TL09'!$C$10:$C$224,$C362,'TL09'!$J$10:$J$224),0),
IF('TL09'!$B$229=O$3,SUMIF('TL09'!$C$238:$C$451,$C362,'TL09'!$J$238:$J$451),0),
IF('TL10'!$B$3=O$3,SUMIF('TL10'!$C$10:$C$224,$C362,'TL10'!$J$10:$J$224),0),
IF('TL10'!$B$229=O$3,SUMIF('TL10'!$C$238:$C$451,$C362,'TL10'!$J$238:$J$451),0),
IF('TL11'!$B$3=O$3,SUMIF('TL11'!$C$10:$C$224,$C362,'TL11'!$J$10:$J$224),0),
IF('TL11'!$B$229=O$3,SUMIF('TL11'!$C$238:$C$451,$C362,'TL11'!$J$238:$J$451),0),
IF('TL12'!$B$3=O$3,SUMIF('TL12'!$C$10:$C$224,$C362,'TL12'!$J$10:$J$224),0),
IF('TL12'!$B$229=O$3,SUMIF('TL12'!$C$238:$C$451,$C362,'TL12'!$J$238:$J$451),0),
IF('TL13'!$B$3=O$3,SUMIF('TL13'!$C$10:$C$224,$C362,'TL13'!$J$10:$J$224),0),
IF('TL13'!$B$229=O$3,SUMIF('TL13'!$C$238:$C$451,$C362,'TL13'!$J$238:$J$451),0),
IF('TL14'!$B$3=O$3,SUMIF('TL14'!$C$10:$C$224,$C362,'TL14'!$J$10:$J$224),0),
IF('TL14'!$B$229=O$3,SUMIF('TL14'!$C$238:$C$451,$C362,'TL14'!$J$238:$J$451),0),
IF('TL15'!$B$3=O$3,SUMIF('TL15'!$C$10:$C$224,$C362,'TL15'!$J$10:$J$224),0),
IF('TL15'!$B$229=O$3,SUMIF('TL15'!$C$238:$C$451,$C362,'TL15'!$J$238:$J$451),0),
IF('TL16'!$B$3=O$3,SUMIF('TL16'!$C$10:$C$224,$C362,'TL16'!$J$10:$J$224),0),
IF('TL16'!$B$229=O$3,SUMIF('TL16'!$C$238:$C$451,$C362,'TL16'!$J$238:$J$451),0),
IF('TL17'!$B$3=O$3,SUMIF('TL17'!$C$10:$C$224,$C362,'TL17'!$J$10:$J$224),0),
IF('TL17'!$B$229=O$3,SUMIF('TL17'!$C$238:$C$451,$C362,'TL17'!$J$238:$J$451),0),
IF('TL18'!$B$3=O$3,SUMIF('TL18'!$C$10:$C$224,$C362,'TL18'!$J$10:$J$224),0),
IF('TL18'!$B$229=O$3,SUMIF('TL18'!$C$238:$C$451,$C362,'TL18'!$J$238:$J$451),0),
IF('TL19'!$B$3=O$3,SUMIF('TL19'!$C$10:$C$224,$C362,'TL19'!$J$10:$J$224),0),
IF('TL19'!$B$229=O$3,SUMIF('TL19'!$C$238:$C$451,$C362,'TL19'!$J$238:$J$451),0)
),0)</f>
        <v/>
      </c>
      <c r="P362" s="9">
        <f>IFERROR(SUM(
IF('TL01'!$B$3=P$3,SUMIF('TL01'!$C$10:$C$224,$C362,'TL01'!$J$10:$J$224),0),
IF('TL01'!$B$229=P$3,SUMIF('TL01'!$C$238:$C$451,$C362,'TL01'!$J$238:$J$451),0),
IF('TL02'!$B$3=P$3,SUMIF('TL02'!$C$10:$C$224,$C362,'TL02'!$J$10:$J$224),0),
IF('TL02'!$B$229=P$3,SUMIF('TL02'!$C$238:$C$451,$C362,'TL02'!$J$238:$J$451),0),
IF('TL03'!$B$3=P$3,SUMIF('TL03'!$C$10:$C$224,$C362,'TL03'!$J$10:$J$224),0),
IF('TL03'!$B$229=P$3,SUMIF('TL03'!$C$238:$C$451,$C362,'TL03'!$J$238:$J$451),0),
IF('TL04'!$B$3=P$3,SUMIF('TL04'!$C$10:$C$224,$C362,'TL04'!$J$10:$J$224),0),
IF('TL04'!$B$229=P$3,SUMIF('TL04'!$C$238:$C$451,$C362,'TL04'!$J$238:$J$451),0),
IF('TL05'!$B$3=P$3,SUMIF('TL05'!$C$10:$C$224,$C362,'TL05'!$J$10:$J$224),0),
IF('TL05'!$B$229=P$3,SUMIF('TL05'!$C$238:$C$451,$C362,'TL05'!$J$238:$J$451),0),
IF('TL06'!$B$3=P$3,SUMIF('TL06'!$C$10:$C$224,$C362,'TL06'!$J$10:$J$224),0),
IF('TL06'!$B$229=P$3,SUMIF('TL06'!$C$238:$C$451,$C362,'TL06'!$J$238:$J$451),0),
IF('TL07'!$B$3=P$3,SUMIF('TL07'!$C$10:$C$224,$C362,'TL07'!$J$10:$J$224),0),
IF('TL07'!$B$229=P$3,SUMIF('TL07'!$C$238:$C$451,$C362,'TL07'!$J$238:$J$451),0),
IF('TL08'!$B$3=P$3,SUMIF('TL08'!$C$10:$C$224,$C362,'TL08'!$J$10:$J$224),0),
IF('TL08'!$B$229=P$3,SUMIF('TL08'!$C$238:$C$451,$C362,'TL08'!$J$238:$J$451),0),
IF('TL09'!$B$3=P$3,SUMIF('TL09'!$C$10:$C$224,$C362,'TL09'!$J$10:$J$224),0),
IF('TL09'!$B$229=P$3,SUMIF('TL09'!$C$238:$C$451,$C362,'TL09'!$J$238:$J$451),0),
IF('TL10'!$B$3=P$3,SUMIF('TL10'!$C$10:$C$224,$C362,'TL10'!$J$10:$J$224),0),
IF('TL10'!$B$229=P$3,SUMIF('TL10'!$C$238:$C$451,$C362,'TL10'!$J$238:$J$451),0),
IF('TL11'!$B$3=P$3,SUMIF('TL11'!$C$10:$C$224,$C362,'TL11'!$J$10:$J$224),0),
IF('TL11'!$B$229=P$3,SUMIF('TL11'!$C$238:$C$451,$C362,'TL11'!$J$238:$J$451),0),
IF('TL12'!$B$3=P$3,SUMIF('TL12'!$C$10:$C$224,$C362,'TL12'!$J$10:$J$224),0),
IF('TL12'!$B$229=P$3,SUMIF('TL12'!$C$238:$C$451,$C362,'TL12'!$J$238:$J$451),0),
IF('TL13'!$B$3=P$3,SUMIF('TL13'!$C$10:$C$224,$C362,'TL13'!$J$10:$J$224),0),
IF('TL13'!$B$229=P$3,SUMIF('TL13'!$C$238:$C$451,$C362,'TL13'!$J$238:$J$451),0),
IF('TL14'!$B$3=P$3,SUMIF('TL14'!$C$10:$C$224,$C362,'TL14'!$J$10:$J$224),0),
IF('TL14'!$B$229=P$3,SUMIF('TL14'!$C$238:$C$451,$C362,'TL14'!$J$238:$J$451),0),
IF('TL15'!$B$3=P$3,SUMIF('TL15'!$C$10:$C$224,$C362,'TL15'!$J$10:$J$224),0),
IF('TL15'!$B$229=P$3,SUMIF('TL15'!$C$238:$C$451,$C362,'TL15'!$J$238:$J$451),0),
IF('TL16'!$B$3=P$3,SUMIF('TL16'!$C$10:$C$224,$C362,'TL16'!$J$10:$J$224),0),
IF('TL16'!$B$229=P$3,SUMIF('TL16'!$C$238:$C$451,$C362,'TL16'!$J$238:$J$451),0),
IF('TL17'!$B$3=P$3,SUMIF('TL17'!$C$10:$C$224,$C362,'TL17'!$J$10:$J$224),0),
IF('TL17'!$B$229=P$3,SUMIF('TL17'!$C$238:$C$451,$C362,'TL17'!$J$238:$J$451),0),
IF('TL18'!$B$3=P$3,SUMIF('TL18'!$C$10:$C$224,$C362,'TL18'!$J$10:$J$224),0),
IF('TL18'!$B$229=P$3,SUMIF('TL18'!$C$238:$C$451,$C362,'TL18'!$J$238:$J$451),0),
IF('TL19'!$B$3=P$3,SUMIF('TL19'!$C$10:$C$224,$C362,'TL19'!$J$10:$J$224),0),
IF('TL19'!$B$229=P$3,SUMIF('TL19'!$C$238:$C$451,$C362,'TL19'!$J$238:$J$451),0)
),0)</f>
        <v/>
      </c>
      <c r="Q362" s="9">
        <f>IFERROR(SUM(
IF('TL01'!$B$3=Q$3,SUMIF('TL01'!$C$10:$C$224,$C362,'TL01'!$J$10:$J$224),0),
IF('TL01'!$B$229=Q$3,SUMIF('TL01'!$C$238:$C$451,$C362,'TL01'!$J$238:$J$451),0),
IF('TL02'!$B$3=Q$3,SUMIF('TL02'!$C$10:$C$224,$C362,'TL02'!$J$10:$J$224),0),
IF('TL02'!$B$229=Q$3,SUMIF('TL02'!$C$238:$C$451,$C362,'TL02'!$J$238:$J$451),0),
IF('TL03'!$B$3=Q$3,SUMIF('TL03'!$C$10:$C$224,$C362,'TL03'!$J$10:$J$224),0),
IF('TL03'!$B$229=Q$3,SUMIF('TL03'!$C$238:$C$451,$C362,'TL03'!$J$238:$J$451),0),
IF('TL04'!$B$3=Q$3,SUMIF('TL04'!$C$10:$C$224,$C362,'TL04'!$J$10:$J$224),0),
IF('TL04'!$B$229=Q$3,SUMIF('TL04'!$C$238:$C$451,$C362,'TL04'!$J$238:$J$451),0),
IF('TL05'!$B$3=Q$3,SUMIF('TL05'!$C$10:$C$224,$C362,'TL05'!$J$10:$J$224),0),
IF('TL05'!$B$229=Q$3,SUMIF('TL05'!$C$238:$C$451,$C362,'TL05'!$J$238:$J$451),0),
IF('TL06'!$B$3=Q$3,SUMIF('TL06'!$C$10:$C$224,$C362,'TL06'!$J$10:$J$224),0),
IF('TL06'!$B$229=Q$3,SUMIF('TL06'!$C$238:$C$451,$C362,'TL06'!$J$238:$J$451),0),
IF('TL07'!$B$3=Q$3,SUMIF('TL07'!$C$10:$C$224,$C362,'TL07'!$J$10:$J$224),0),
IF('TL07'!$B$229=Q$3,SUMIF('TL07'!$C$238:$C$451,$C362,'TL07'!$J$238:$J$451),0),
IF('TL08'!$B$3=Q$3,SUMIF('TL08'!$C$10:$C$224,$C362,'TL08'!$J$10:$J$224),0),
IF('TL08'!$B$229=Q$3,SUMIF('TL08'!$C$238:$C$451,$C362,'TL08'!$J$238:$J$451),0),
IF('TL09'!$B$3=Q$3,SUMIF('TL09'!$C$10:$C$224,$C362,'TL09'!$J$10:$J$224),0),
IF('TL09'!$B$229=Q$3,SUMIF('TL09'!$C$238:$C$451,$C362,'TL09'!$J$238:$J$451),0),
IF('TL10'!$B$3=Q$3,SUMIF('TL10'!$C$10:$C$224,$C362,'TL10'!$J$10:$J$224),0),
IF('TL10'!$B$229=Q$3,SUMIF('TL10'!$C$238:$C$451,$C362,'TL10'!$J$238:$J$451),0),
IF('TL11'!$B$3=Q$3,SUMIF('TL11'!$C$10:$C$224,$C362,'TL11'!$J$10:$J$224),0),
IF('TL11'!$B$229=Q$3,SUMIF('TL11'!$C$238:$C$451,$C362,'TL11'!$J$238:$J$451),0),
IF('TL12'!$B$3=Q$3,SUMIF('TL12'!$C$10:$C$224,$C362,'TL12'!$J$10:$J$224),0),
IF('TL12'!$B$229=Q$3,SUMIF('TL12'!$C$238:$C$451,$C362,'TL12'!$J$238:$J$451),0),
IF('TL13'!$B$3=Q$3,SUMIF('TL13'!$C$10:$C$224,$C362,'TL13'!$J$10:$J$224),0),
IF('TL13'!$B$229=Q$3,SUMIF('TL13'!$C$238:$C$451,$C362,'TL13'!$J$238:$J$451),0),
IF('TL14'!$B$3=Q$3,SUMIF('TL14'!$C$10:$C$224,$C362,'TL14'!$J$10:$J$224),0),
IF('TL14'!$B$229=Q$3,SUMIF('TL14'!$C$238:$C$451,$C362,'TL14'!$J$238:$J$451),0),
IF('TL15'!$B$3=Q$3,SUMIF('TL15'!$C$10:$C$224,$C362,'TL15'!$J$10:$J$224),0),
IF('TL15'!$B$229=Q$3,SUMIF('TL15'!$C$238:$C$451,$C362,'TL15'!$J$238:$J$451),0),
IF('TL16'!$B$3=Q$3,SUMIF('TL16'!$C$10:$C$224,$C362,'TL16'!$J$10:$J$224),0),
IF('TL16'!$B$229=Q$3,SUMIF('TL16'!$C$238:$C$451,$C362,'TL16'!$J$238:$J$451),0),
IF('TL17'!$B$3=Q$3,SUMIF('TL17'!$C$10:$C$224,$C362,'TL17'!$J$10:$J$224),0),
IF('TL17'!$B$229=Q$3,SUMIF('TL17'!$C$238:$C$451,$C362,'TL17'!$J$238:$J$451),0),
IF('TL18'!$B$3=Q$3,SUMIF('TL18'!$C$10:$C$224,$C362,'TL18'!$J$10:$J$224),0),
IF('TL18'!$B$229=Q$3,SUMIF('TL18'!$C$238:$C$451,$C362,'TL18'!$J$238:$J$451),0),
IF('TL19'!$B$3=Q$3,SUMIF('TL19'!$C$10:$C$224,$C362,'TL19'!$J$10:$J$224),0),
IF('TL19'!$B$229=Q$3,SUMIF('TL19'!$C$238:$C$451,$C362,'TL19'!$J$238:$J$451),0)
),0)</f>
        <v/>
      </c>
      <c r="R362" s="9">
        <f>IFERROR(
SUM(
SUMIF('TL01'!C:C,C362,'TL01'!J:J),
SUMIF('TL02'!C:C,C362,'TL02'!J:J),
SUMIF('TL03'!C:C,C362,'TL03'!J:J),
SUMIF('TL04'!C:C,C362,'TL04'!J:J),
SUMIF('TL05'!C:C,C362,'TL05'!J:J),
SUMIF('TL06'!C:C,C362,'TL06'!J:J),
SUMIF('TL07'!C:C,C362,'TL07'!J:J),
SUMIF('TL08'!C:C,C362,'TL08'!J:J),
SUMIF('TL09'!C:C,C362,'TL09'!J:J),
SUMIF('TL10'!C:C,C362,'TL10'!J:J),
SUMIF('TL11'!C:C,C362,'TL11'!J:J),
SUMIF('TL12'!C:C,C362,'TL12'!J:J),
SUMIF('TL13'!C:C,C362,'TL13'!J:J),
SUMIF('TL14'!C:C,C362,'TL14'!J:J),
SUMIF('TL15'!C:C,C362,'TL15'!J:J),
SUMIF('TL16'!C:C,C362,'TL16'!J:J),
SUMIF('TL17'!C:C,C362,'TL17'!J:J),
SUMIF('TL18'!C:C,C362,'TL18'!J:J),SUMIF('TL19'!C:C,C362,'TL19'!J:J))
,0)</f>
        <v/>
      </c>
      <c r="S362" s="17">
        <f>IFERROR(__xludf.DUMMYFUNCTION("IFERROR(VLOOKUP(C362,
IMPORTRANGE(""1wULbzX32WdYsx-lj2U3uUNBBe2INVIRDtcK0d-Dvl90"",
""26-27!C:G""),
5,
FALSE),
"""")"),55.13)</f>
        <v/>
      </c>
      <c r="T362" s="9" t="n"/>
      <c r="U362" s="92">
        <f>MAX(0,R362-T362)</f>
        <v/>
      </c>
      <c r="V362" s="93">
        <f>U362*S362</f>
        <v/>
      </c>
    </row>
    <row r="363" hidden="1" ht="15.75" customHeight="1" s="297">
      <c r="A363" s="4" t="inlineStr">
        <is>
          <t>SOLUBIO</t>
        </is>
      </c>
      <c r="B363" s="4" t="inlineStr">
        <is>
          <t>BIOLÓGICOS</t>
        </is>
      </c>
      <c r="C363" s="128" t="inlineStr">
        <is>
          <t>Bio Elipso</t>
        </is>
      </c>
      <c r="D363" s="129" t="inlineStr">
        <is>
          <t>Bacilus licheniformis</t>
        </is>
      </c>
      <c r="E363" s="20" t="n"/>
      <c r="F363" s="4" t="inlineStr">
        <is>
          <t>L</t>
        </is>
      </c>
      <c r="G363" s="90">
        <f>HYPERLINK("https://www.google.com/search?q=" &amp; C363 &amp; "+bula+agrofit+pdf", "📄 Ver bula")</f>
        <v/>
      </c>
      <c r="H363" s="4" t="n">
        <v>2</v>
      </c>
      <c r="I363" s="123" t="inlineStr">
        <is>
          <t>1x20</t>
        </is>
      </c>
      <c r="J363" s="9">
        <f>IFERROR(SUM(
IF('TL01'!$B$3=J$3,SUMIF('TL01'!$C$10:$C$224,$C363,'TL01'!$J$10:$J$224),0),
IF('TL01'!$B$229=J$3,SUMIF('TL01'!$C$238:$C$451,$C363,'TL01'!$J$238:$J$451),0),
IF('TL02'!$B$3=J$3,SUMIF('TL02'!$C$10:$C$224,$C363,'TL02'!$J$10:$J$224),0),
IF('TL02'!$B$229=J$3,SUMIF('TL02'!$C$238:$C$451,$C363,'TL02'!$J$238:$J$451),0),
IF('TL03'!$B$3=J$3,SUMIF('TL03'!$C$10:$C$224,$C363,'TL03'!$J$10:$J$224),0),
IF('TL03'!$B$229=J$3,SUMIF('TL03'!$C$238:$C$451,$C363,'TL03'!$J$238:$J$451),0),
IF('TL04'!$B$3=J$3,SUMIF('TL04'!$C$10:$C$224,$C363,'TL04'!$J$10:$J$224),0),
IF('TL04'!$B$229=J$3,SUMIF('TL04'!$C$238:$C$451,$C363,'TL04'!$J$238:$J$451),0),
IF('TL05'!$B$3=J$3,SUMIF('TL05'!$C$10:$C$224,$C363,'TL05'!$J$10:$J$224),0),
IF('TL05'!$B$229=J$3,SUMIF('TL05'!$C$238:$C$451,$C363,'TL05'!$J$238:$J$451),0),
IF('TL06'!$B$3=J$3,SUMIF('TL06'!$C$10:$C$224,$C363,'TL06'!$J$10:$J$224),0),
IF('TL06'!$B$229=J$3,SUMIF('TL06'!$C$238:$C$451,$C363,'TL06'!$J$238:$J$451),0),
IF('TL07'!$B$3=J$3,SUMIF('TL07'!$C$10:$C$224,$C363,'TL07'!$J$10:$J$224),0),
IF('TL07'!$B$229=J$3,SUMIF('TL07'!$C$238:$C$451,$C363,'TL07'!$J$238:$J$451),0),
IF('TL08'!$B$3=J$3,SUMIF('TL08'!$C$10:$C$224,$C363,'TL08'!$J$10:$J$224),0),
IF('TL08'!$B$229=J$3,SUMIF('TL08'!$C$238:$C$451,$C363,'TL08'!$J$238:$J$451),0),
IF('TL09'!$B$3=J$3,SUMIF('TL09'!$C$10:$C$224,$C363,'TL09'!$J$10:$J$224),0),
IF('TL09'!$B$229=J$3,SUMIF('TL09'!$C$238:$C$451,$C363,'TL09'!$J$238:$J$451),0),
IF('TL10'!$B$3=J$3,SUMIF('TL10'!$C$10:$C$224,$C363,'TL10'!$J$10:$J$224),0),
IF('TL10'!$B$229=J$3,SUMIF('TL10'!$C$238:$C$451,$C363,'TL10'!$J$238:$J$451),0),
IF('TL11'!$B$3=J$3,SUMIF('TL11'!$C$10:$C$224,$C363,'TL11'!$J$10:$J$224),0),
IF('TL11'!$B$229=J$3,SUMIF('TL11'!$C$238:$C$451,$C363,'TL11'!$J$238:$J$451),0),
IF('TL12'!$B$3=J$3,SUMIF('TL12'!$C$10:$C$224,$C363,'TL12'!$J$10:$J$224),0),
IF('TL12'!$B$229=J$3,SUMIF('TL12'!$C$238:$C$451,$C363,'TL12'!$J$238:$J$451),0),
IF('TL13'!$B$3=J$3,SUMIF('TL13'!$C$10:$C$224,$C363,'TL13'!$J$10:$J$224),0),
IF('TL13'!$B$229=J$3,SUMIF('TL13'!$C$238:$C$451,$C363,'TL13'!$J$238:$J$451),0),
IF('TL14'!$B$3=J$3,SUMIF('TL14'!$C$10:$C$224,$C363,'TL14'!$J$10:$J$224),0),
IF('TL14'!$B$229=J$3,SUMIF('TL14'!$C$238:$C$451,$C363,'TL14'!$J$238:$J$451),0),
IF('TL15'!$B$3=J$3,SUMIF('TL15'!$C$10:$C$224,$C363,'TL15'!$J$10:$J$224),0),
IF('TL15'!$B$229=J$3,SUMIF('TL15'!$C$238:$C$451,$C363,'TL15'!$J$238:$J$451),0),
IF('TL16'!$B$3=J$3,SUMIF('TL16'!$C$10:$C$224,$C363,'TL16'!$J$10:$J$224),0),
IF('TL16'!$B$229=J$3,SUMIF('TL16'!$C$238:$C$451,$C363,'TL16'!$J$238:$J$451),0),
IF('TL17'!$B$3=J$3,SUMIF('TL17'!$C$10:$C$224,$C363,'TL17'!$J$10:$J$224),0),
IF('TL17'!$B$229=J$3,SUMIF('TL17'!$C$238:$C$451,$C363,'TL17'!$J$238:$J$451),0),
IF('TL18'!$B$3=J$3,SUMIF('TL18'!$C$10:$C$224,$C363,'TL18'!$J$10:$J$224),0),
IF('TL18'!$B$229=J$3,SUMIF('TL18'!$C$238:$C$451,$C363,'TL18'!$J$238:$J$451),0),
IF('TL19'!$B$3=J$3,SUMIF('TL19'!$C$10:$C$224,$C363,'TL19'!$J$10:$J$224),0),
IF('TL19'!$B$229=J$3,SUMIF('TL19'!$C$238:$C$451,$C363,'TL19'!$J$238:$J$451),0)
),0)</f>
        <v/>
      </c>
      <c r="K363" s="9">
        <f>IFERROR(SUM(
IF('TL01'!$B$3=K$3,SUMIF('TL01'!$C$10:$C$224,$C363,'TL01'!$J$10:$J$224),0),
IF('TL01'!$B$229=K$3,SUMIF('TL01'!$C$238:$C$451,$C363,'TL01'!$J$238:$J$451),0),
IF('TL02'!$B$3=K$3,SUMIF('TL02'!$C$10:$C$224,$C363,'TL02'!$J$10:$J$224),0),
IF('TL02'!$B$229=K$3,SUMIF('TL02'!$C$238:$C$451,$C363,'TL02'!$J$238:$J$451),0),
IF('TL03'!$B$3=K$3,SUMIF('TL03'!$C$10:$C$224,$C363,'TL03'!$J$10:$J$224),0),
IF('TL03'!$B$229=K$3,SUMIF('TL03'!$C$238:$C$451,$C363,'TL03'!$J$238:$J$451),0),
IF('TL04'!$B$3=K$3,SUMIF('TL04'!$C$10:$C$224,$C363,'TL04'!$J$10:$J$224),0),
IF('TL04'!$B$229=K$3,SUMIF('TL04'!$C$238:$C$451,$C363,'TL04'!$J$238:$J$451),0),
IF('TL05'!$B$3=K$3,SUMIF('TL05'!$C$10:$C$224,$C363,'TL05'!$J$10:$J$224),0),
IF('TL05'!$B$229=K$3,SUMIF('TL05'!$C$238:$C$451,$C363,'TL05'!$J$238:$J$451),0),
IF('TL06'!$B$3=K$3,SUMIF('TL06'!$C$10:$C$224,$C363,'TL06'!$J$10:$J$224),0),
IF('TL06'!$B$229=K$3,SUMIF('TL06'!$C$238:$C$451,$C363,'TL06'!$J$238:$J$451),0),
IF('TL07'!$B$3=K$3,SUMIF('TL07'!$C$10:$C$224,$C363,'TL07'!$J$10:$J$224),0),
IF('TL07'!$B$229=K$3,SUMIF('TL07'!$C$238:$C$451,$C363,'TL07'!$J$238:$J$451),0),
IF('TL08'!$B$3=K$3,SUMIF('TL08'!$C$10:$C$224,$C363,'TL08'!$J$10:$J$224),0),
IF('TL08'!$B$229=K$3,SUMIF('TL08'!$C$238:$C$451,$C363,'TL08'!$J$238:$J$451),0),
IF('TL09'!$B$3=K$3,SUMIF('TL09'!$C$10:$C$224,$C363,'TL09'!$J$10:$J$224),0),
IF('TL09'!$B$229=K$3,SUMIF('TL09'!$C$238:$C$451,$C363,'TL09'!$J$238:$J$451),0),
IF('TL10'!$B$3=K$3,SUMIF('TL10'!$C$10:$C$224,$C363,'TL10'!$J$10:$J$224),0),
IF('TL10'!$B$229=K$3,SUMIF('TL10'!$C$238:$C$451,$C363,'TL10'!$J$238:$J$451),0),
IF('TL11'!$B$3=K$3,SUMIF('TL11'!$C$10:$C$224,$C363,'TL11'!$J$10:$J$224),0),
IF('TL11'!$B$229=K$3,SUMIF('TL11'!$C$238:$C$451,$C363,'TL11'!$J$238:$J$451),0),
IF('TL12'!$B$3=K$3,SUMIF('TL12'!$C$10:$C$224,$C363,'TL12'!$J$10:$J$224),0),
IF('TL12'!$B$229=K$3,SUMIF('TL12'!$C$238:$C$451,$C363,'TL12'!$J$238:$J$451),0),
IF('TL13'!$B$3=K$3,SUMIF('TL13'!$C$10:$C$224,$C363,'TL13'!$J$10:$J$224),0),
IF('TL13'!$B$229=K$3,SUMIF('TL13'!$C$238:$C$451,$C363,'TL13'!$J$238:$J$451),0),
IF('TL14'!$B$3=K$3,SUMIF('TL14'!$C$10:$C$224,$C363,'TL14'!$J$10:$J$224),0),
IF('TL14'!$B$229=K$3,SUMIF('TL14'!$C$238:$C$451,$C363,'TL14'!$J$238:$J$451),0),
IF('TL15'!$B$3=K$3,SUMIF('TL15'!$C$10:$C$224,$C363,'TL15'!$J$10:$J$224),0),
IF('TL15'!$B$229=K$3,SUMIF('TL15'!$C$238:$C$451,$C363,'TL15'!$J$238:$J$451),0),
IF('TL16'!$B$3=K$3,SUMIF('TL16'!$C$10:$C$224,$C363,'TL16'!$J$10:$J$224),0),
IF('TL16'!$B$229=K$3,SUMIF('TL16'!$C$238:$C$451,$C363,'TL16'!$J$238:$J$451),0),
IF('TL17'!$B$3=K$3,SUMIF('TL17'!$C$10:$C$224,$C363,'TL17'!$J$10:$J$224),0),
IF('TL17'!$B$229=K$3,SUMIF('TL17'!$C$238:$C$451,$C363,'TL17'!$J$238:$J$451),0),
IF('TL18'!$B$3=K$3,SUMIF('TL18'!$C$10:$C$224,$C363,'TL18'!$J$10:$J$224),0),
IF('TL18'!$B$229=K$3,SUMIF('TL18'!$C$238:$C$451,$C363,'TL18'!$J$238:$J$451),0),
IF('TL19'!$B$3=K$3,SUMIF('TL19'!$C$10:$C$224,$C363,'TL19'!$J$10:$J$224),0),
IF('TL19'!$B$229=K$3,SUMIF('TL19'!$C$238:$C$451,$C363,'TL19'!$J$238:$J$451),0)
),0)</f>
        <v/>
      </c>
      <c r="L363" s="9">
        <f>IFERROR(SUM(
IF('TL01'!$B$3=L$3,SUMIF('TL01'!$C$10:$C$224,$C363,'TL01'!$J$10:$J$224),0),
IF('TL01'!$B$229=L$3,SUMIF('TL01'!$C$238:$C$451,$C363,'TL01'!$J$238:$J$451),0),
IF('TL02'!$B$3=L$3,SUMIF('TL02'!$C$10:$C$224,$C363,'TL02'!$J$10:$J$224),0),
IF('TL02'!$B$229=L$3,SUMIF('TL02'!$C$238:$C$451,$C363,'TL02'!$J$238:$J$451),0),
IF('TL03'!$B$3=L$3,SUMIF('TL03'!$C$10:$C$224,$C363,'TL03'!$J$10:$J$224),0),
IF('TL03'!$B$229=L$3,SUMIF('TL03'!$C$238:$C$451,$C363,'TL03'!$J$238:$J$451),0),
IF('TL04'!$B$3=L$3,SUMIF('TL04'!$C$10:$C$224,$C363,'TL04'!$J$10:$J$224),0),
IF('TL04'!$B$229=L$3,SUMIF('TL04'!$C$238:$C$451,$C363,'TL04'!$J$238:$J$451),0),
IF('TL05'!$B$3=L$3,SUMIF('TL05'!$C$10:$C$224,$C363,'TL05'!$J$10:$J$224),0),
IF('TL05'!$B$229=L$3,SUMIF('TL05'!$C$238:$C$451,$C363,'TL05'!$J$238:$J$451),0),
IF('TL06'!$B$3=L$3,SUMIF('TL06'!$C$10:$C$224,$C363,'TL06'!$J$10:$J$224),0),
IF('TL06'!$B$229=L$3,SUMIF('TL06'!$C$238:$C$451,$C363,'TL06'!$J$238:$J$451),0),
IF('TL07'!$B$3=L$3,SUMIF('TL07'!$C$10:$C$224,$C363,'TL07'!$J$10:$J$224),0),
IF('TL07'!$B$229=L$3,SUMIF('TL07'!$C$238:$C$451,$C363,'TL07'!$J$238:$J$451),0),
IF('TL08'!$B$3=L$3,SUMIF('TL08'!$C$10:$C$224,$C363,'TL08'!$J$10:$J$224),0),
IF('TL08'!$B$229=L$3,SUMIF('TL08'!$C$238:$C$451,$C363,'TL08'!$J$238:$J$451),0),
IF('TL09'!$B$3=L$3,SUMIF('TL09'!$C$10:$C$224,$C363,'TL09'!$J$10:$J$224),0),
IF('TL09'!$B$229=L$3,SUMIF('TL09'!$C$238:$C$451,$C363,'TL09'!$J$238:$J$451),0),
IF('TL10'!$B$3=L$3,SUMIF('TL10'!$C$10:$C$224,$C363,'TL10'!$J$10:$J$224),0),
IF('TL10'!$B$229=L$3,SUMIF('TL10'!$C$238:$C$451,$C363,'TL10'!$J$238:$J$451),0),
IF('TL11'!$B$3=L$3,SUMIF('TL11'!$C$10:$C$224,$C363,'TL11'!$J$10:$J$224),0),
IF('TL11'!$B$229=L$3,SUMIF('TL11'!$C$238:$C$451,$C363,'TL11'!$J$238:$J$451),0),
IF('TL12'!$B$3=L$3,SUMIF('TL12'!$C$10:$C$224,$C363,'TL12'!$J$10:$J$224),0),
IF('TL12'!$B$229=L$3,SUMIF('TL12'!$C$238:$C$451,$C363,'TL12'!$J$238:$J$451),0),
IF('TL13'!$B$3=L$3,SUMIF('TL13'!$C$10:$C$224,$C363,'TL13'!$J$10:$J$224),0),
IF('TL13'!$B$229=L$3,SUMIF('TL13'!$C$238:$C$451,$C363,'TL13'!$J$238:$J$451),0),
IF('TL14'!$B$3=L$3,SUMIF('TL14'!$C$10:$C$224,$C363,'TL14'!$J$10:$J$224),0),
IF('TL14'!$B$229=L$3,SUMIF('TL14'!$C$238:$C$451,$C363,'TL14'!$J$238:$J$451),0),
IF('TL15'!$B$3=L$3,SUMIF('TL15'!$C$10:$C$224,$C363,'TL15'!$J$10:$J$224),0),
IF('TL15'!$B$229=L$3,SUMIF('TL15'!$C$238:$C$451,$C363,'TL15'!$J$238:$J$451),0),
IF('TL16'!$B$3=L$3,SUMIF('TL16'!$C$10:$C$224,$C363,'TL16'!$J$10:$J$224),0),
IF('TL16'!$B$229=L$3,SUMIF('TL16'!$C$238:$C$451,$C363,'TL16'!$J$238:$J$451),0),
IF('TL17'!$B$3=L$3,SUMIF('TL17'!$C$10:$C$224,$C363,'TL17'!$J$10:$J$224),0),
IF('TL17'!$B$229=L$3,SUMIF('TL17'!$C$238:$C$451,$C363,'TL17'!$J$238:$J$451),0),
IF('TL18'!$B$3=L$3,SUMIF('TL18'!$C$10:$C$224,$C363,'TL18'!$J$10:$J$224),0),
IF('TL18'!$B$229=L$3,SUMIF('TL18'!$C$238:$C$451,$C363,'TL18'!$J$238:$J$451),0),
IF('TL19'!$B$3=L$3,SUMIF('TL19'!$C$10:$C$224,$C363,'TL19'!$J$10:$J$224),0),
IF('TL19'!$B$229=L$3,SUMIF('TL19'!$C$238:$C$451,$C363,'TL19'!$J$238:$J$451),0)
),0)</f>
        <v/>
      </c>
      <c r="M363" s="9">
        <f>IFERROR(SUM(
IF('TL01'!$B$3=M$3,SUMIF('TL01'!$C$10:$C$224,$C363,'TL01'!$J$10:$J$224),0),
IF('TL01'!$B$229=M$3,SUMIF('TL01'!$C$238:$C$451,$C363,'TL01'!$J$238:$J$451),0),
IF('TL02'!$B$3=M$3,SUMIF('TL02'!$C$10:$C$224,$C363,'TL02'!$J$10:$J$224),0),
IF('TL02'!$B$229=M$3,SUMIF('TL02'!$C$238:$C$451,$C363,'TL02'!$J$238:$J$451),0),
IF('TL03'!$B$3=M$3,SUMIF('TL03'!$C$10:$C$224,$C363,'TL03'!$J$10:$J$224),0),
IF('TL03'!$B$229=M$3,SUMIF('TL03'!$C$238:$C$451,$C363,'TL03'!$J$238:$J$451),0),
IF('TL04'!$B$3=M$3,SUMIF('TL04'!$C$10:$C$224,$C363,'TL04'!$J$10:$J$224),0),
IF('TL04'!$B$229=M$3,SUMIF('TL04'!$C$238:$C$451,$C363,'TL04'!$J$238:$J$451),0),
IF('TL05'!$B$3=M$3,SUMIF('TL05'!$C$10:$C$224,$C363,'TL05'!$J$10:$J$224),0),
IF('TL05'!$B$229=M$3,SUMIF('TL05'!$C$238:$C$451,$C363,'TL05'!$J$238:$J$451),0),
IF('TL06'!$B$3=M$3,SUMIF('TL06'!$C$10:$C$224,$C363,'TL06'!$J$10:$J$224),0),
IF('TL06'!$B$229=M$3,SUMIF('TL06'!$C$238:$C$451,$C363,'TL06'!$J$238:$J$451),0),
IF('TL07'!$B$3=M$3,SUMIF('TL07'!$C$10:$C$224,$C363,'TL07'!$J$10:$J$224),0),
IF('TL07'!$B$229=M$3,SUMIF('TL07'!$C$238:$C$451,$C363,'TL07'!$J$238:$J$451),0),
IF('TL08'!$B$3=M$3,SUMIF('TL08'!$C$10:$C$224,$C363,'TL08'!$J$10:$J$224),0),
IF('TL08'!$B$229=M$3,SUMIF('TL08'!$C$238:$C$451,$C363,'TL08'!$J$238:$J$451),0),
IF('TL09'!$B$3=M$3,SUMIF('TL09'!$C$10:$C$224,$C363,'TL09'!$J$10:$J$224),0),
IF('TL09'!$B$229=M$3,SUMIF('TL09'!$C$238:$C$451,$C363,'TL09'!$J$238:$J$451),0),
IF('TL10'!$B$3=M$3,SUMIF('TL10'!$C$10:$C$224,$C363,'TL10'!$J$10:$J$224),0),
IF('TL10'!$B$229=M$3,SUMIF('TL10'!$C$238:$C$451,$C363,'TL10'!$J$238:$J$451),0),
IF('TL11'!$B$3=M$3,SUMIF('TL11'!$C$10:$C$224,$C363,'TL11'!$J$10:$J$224),0),
IF('TL11'!$B$229=M$3,SUMIF('TL11'!$C$238:$C$451,$C363,'TL11'!$J$238:$J$451),0),
IF('TL12'!$B$3=M$3,SUMIF('TL12'!$C$10:$C$224,$C363,'TL12'!$J$10:$J$224),0),
IF('TL12'!$B$229=M$3,SUMIF('TL12'!$C$238:$C$451,$C363,'TL12'!$J$238:$J$451),0),
IF('TL13'!$B$3=M$3,SUMIF('TL13'!$C$10:$C$224,$C363,'TL13'!$J$10:$J$224),0),
IF('TL13'!$B$229=M$3,SUMIF('TL13'!$C$238:$C$451,$C363,'TL13'!$J$238:$J$451),0),
IF('TL14'!$B$3=M$3,SUMIF('TL14'!$C$10:$C$224,$C363,'TL14'!$J$10:$J$224),0),
IF('TL14'!$B$229=M$3,SUMIF('TL14'!$C$238:$C$451,$C363,'TL14'!$J$238:$J$451),0),
IF('TL15'!$B$3=M$3,SUMIF('TL15'!$C$10:$C$224,$C363,'TL15'!$J$10:$J$224),0),
IF('TL15'!$B$229=M$3,SUMIF('TL15'!$C$238:$C$451,$C363,'TL15'!$J$238:$J$451),0),
IF('TL16'!$B$3=M$3,SUMIF('TL16'!$C$10:$C$224,$C363,'TL16'!$J$10:$J$224),0),
IF('TL16'!$B$229=M$3,SUMIF('TL16'!$C$238:$C$451,$C363,'TL16'!$J$238:$J$451),0),
IF('TL17'!$B$3=M$3,SUMIF('TL17'!$C$10:$C$224,$C363,'TL17'!$J$10:$J$224),0),
IF('TL17'!$B$229=M$3,SUMIF('TL17'!$C$238:$C$451,$C363,'TL17'!$J$238:$J$451),0),
IF('TL18'!$B$3=M$3,SUMIF('TL18'!$C$10:$C$224,$C363,'TL18'!$J$10:$J$224),0),
IF('TL18'!$B$229=M$3,SUMIF('TL18'!$C$238:$C$451,$C363,'TL18'!$J$238:$J$451),0),
IF('TL19'!$B$3=M$3,SUMIF('TL19'!$C$10:$C$224,$C363,'TL19'!$J$10:$J$224),0),
IF('TL19'!$B$229=M$3,SUMIF('TL19'!$C$238:$C$451,$C363,'TL19'!$J$238:$J$451),0)
),0)</f>
        <v/>
      </c>
      <c r="N363" s="9">
        <f>IFERROR(SUM(
IF('TL01'!$B$3=N$3,SUMIF('TL01'!$C$10:$C$224,$C363,'TL01'!$J$10:$J$224),0),
IF('TL01'!$B$229=N$3,SUMIF('TL01'!$C$238:$C$451,$C363,'TL01'!$J$238:$J$451),0),
IF('TL02'!$B$3=N$3,SUMIF('TL02'!$C$10:$C$224,$C363,'TL02'!$J$10:$J$224),0),
IF('TL02'!$B$229=N$3,SUMIF('TL02'!$C$238:$C$451,$C363,'TL02'!$J$238:$J$451),0),
IF('TL03'!$B$3=N$3,SUMIF('TL03'!$C$10:$C$224,$C363,'TL03'!$J$10:$J$224),0),
IF('TL03'!$B$229=N$3,SUMIF('TL03'!$C$238:$C$451,$C363,'TL03'!$J$238:$J$451),0),
IF('TL04'!$B$3=N$3,SUMIF('TL04'!$C$10:$C$224,$C363,'TL04'!$J$10:$J$224),0),
IF('TL04'!$B$229=N$3,SUMIF('TL04'!$C$238:$C$451,$C363,'TL04'!$J$238:$J$451),0),
IF('TL05'!$B$3=N$3,SUMIF('TL05'!$C$10:$C$224,$C363,'TL05'!$J$10:$J$224),0),
IF('TL05'!$B$229=N$3,SUMIF('TL05'!$C$238:$C$451,$C363,'TL05'!$J$238:$J$451),0),
IF('TL06'!$B$3=N$3,SUMIF('TL06'!$C$10:$C$224,$C363,'TL06'!$J$10:$J$224),0),
IF('TL06'!$B$229=N$3,SUMIF('TL06'!$C$238:$C$451,$C363,'TL06'!$J$238:$J$451),0),
IF('TL07'!$B$3=N$3,SUMIF('TL07'!$C$10:$C$224,$C363,'TL07'!$J$10:$J$224),0),
IF('TL07'!$B$229=N$3,SUMIF('TL07'!$C$238:$C$451,$C363,'TL07'!$J$238:$J$451),0),
IF('TL08'!$B$3=N$3,SUMIF('TL08'!$C$10:$C$224,$C363,'TL08'!$J$10:$J$224),0),
IF('TL08'!$B$229=N$3,SUMIF('TL08'!$C$238:$C$451,$C363,'TL08'!$J$238:$J$451),0),
IF('TL09'!$B$3=N$3,SUMIF('TL09'!$C$10:$C$224,$C363,'TL09'!$J$10:$J$224),0),
IF('TL09'!$B$229=N$3,SUMIF('TL09'!$C$238:$C$451,$C363,'TL09'!$J$238:$J$451),0),
IF('TL10'!$B$3=N$3,SUMIF('TL10'!$C$10:$C$224,$C363,'TL10'!$J$10:$J$224),0),
IF('TL10'!$B$229=N$3,SUMIF('TL10'!$C$238:$C$451,$C363,'TL10'!$J$238:$J$451),0),
IF('TL11'!$B$3=N$3,SUMIF('TL11'!$C$10:$C$224,$C363,'TL11'!$J$10:$J$224),0),
IF('TL11'!$B$229=N$3,SUMIF('TL11'!$C$238:$C$451,$C363,'TL11'!$J$238:$J$451),0),
IF('TL12'!$B$3=N$3,SUMIF('TL12'!$C$10:$C$224,$C363,'TL12'!$J$10:$J$224),0),
IF('TL12'!$B$229=N$3,SUMIF('TL12'!$C$238:$C$451,$C363,'TL12'!$J$238:$J$451),0),
IF('TL13'!$B$3=N$3,SUMIF('TL13'!$C$10:$C$224,$C363,'TL13'!$J$10:$J$224),0),
IF('TL13'!$B$229=N$3,SUMIF('TL13'!$C$238:$C$451,$C363,'TL13'!$J$238:$J$451),0),
IF('TL14'!$B$3=N$3,SUMIF('TL14'!$C$10:$C$224,$C363,'TL14'!$J$10:$J$224),0),
IF('TL14'!$B$229=N$3,SUMIF('TL14'!$C$238:$C$451,$C363,'TL14'!$J$238:$J$451),0),
IF('TL15'!$B$3=N$3,SUMIF('TL15'!$C$10:$C$224,$C363,'TL15'!$J$10:$J$224),0),
IF('TL15'!$B$229=N$3,SUMIF('TL15'!$C$238:$C$451,$C363,'TL15'!$J$238:$J$451),0),
IF('TL16'!$B$3=N$3,SUMIF('TL16'!$C$10:$C$224,$C363,'TL16'!$J$10:$J$224),0),
IF('TL16'!$B$229=N$3,SUMIF('TL16'!$C$238:$C$451,$C363,'TL16'!$J$238:$J$451),0),
IF('TL17'!$B$3=N$3,SUMIF('TL17'!$C$10:$C$224,$C363,'TL17'!$J$10:$J$224),0),
IF('TL17'!$B$229=N$3,SUMIF('TL17'!$C$238:$C$451,$C363,'TL17'!$J$238:$J$451),0),
IF('TL18'!$B$3=N$3,SUMIF('TL18'!$C$10:$C$224,$C363,'TL18'!$J$10:$J$224),0),
IF('TL18'!$B$229=N$3,SUMIF('TL18'!$C$238:$C$451,$C363,'TL18'!$J$238:$J$451),0),
IF('TL19'!$B$3=N$3,SUMIF('TL19'!$C$10:$C$224,$C363,'TL19'!$J$10:$J$224),0),
IF('TL19'!$B$229=N$3,SUMIF('TL19'!$C$238:$C$451,$C363,'TL19'!$J$238:$J$451),0)
),0)</f>
        <v/>
      </c>
      <c r="O363" s="9">
        <f>IFERROR(SUM(
IF('TL01'!$B$3=O$3,SUMIF('TL01'!$C$10:$C$224,$C363,'TL01'!$J$10:$J$224),0),
IF('TL01'!$B$229=O$3,SUMIF('TL01'!$C$238:$C$451,$C363,'TL01'!$J$238:$J$451),0),
IF('TL02'!$B$3=O$3,SUMIF('TL02'!$C$10:$C$224,$C363,'TL02'!$J$10:$J$224),0),
IF('TL02'!$B$229=O$3,SUMIF('TL02'!$C$238:$C$451,$C363,'TL02'!$J$238:$J$451),0),
IF('TL03'!$B$3=O$3,SUMIF('TL03'!$C$10:$C$224,$C363,'TL03'!$J$10:$J$224),0),
IF('TL03'!$B$229=O$3,SUMIF('TL03'!$C$238:$C$451,$C363,'TL03'!$J$238:$J$451),0),
IF('TL04'!$B$3=O$3,SUMIF('TL04'!$C$10:$C$224,$C363,'TL04'!$J$10:$J$224),0),
IF('TL04'!$B$229=O$3,SUMIF('TL04'!$C$238:$C$451,$C363,'TL04'!$J$238:$J$451),0),
IF('TL05'!$B$3=O$3,SUMIF('TL05'!$C$10:$C$224,$C363,'TL05'!$J$10:$J$224),0),
IF('TL05'!$B$229=O$3,SUMIF('TL05'!$C$238:$C$451,$C363,'TL05'!$J$238:$J$451),0),
IF('TL06'!$B$3=O$3,SUMIF('TL06'!$C$10:$C$224,$C363,'TL06'!$J$10:$J$224),0),
IF('TL06'!$B$229=O$3,SUMIF('TL06'!$C$238:$C$451,$C363,'TL06'!$J$238:$J$451),0),
IF('TL07'!$B$3=O$3,SUMIF('TL07'!$C$10:$C$224,$C363,'TL07'!$J$10:$J$224),0),
IF('TL07'!$B$229=O$3,SUMIF('TL07'!$C$238:$C$451,$C363,'TL07'!$J$238:$J$451),0),
IF('TL08'!$B$3=O$3,SUMIF('TL08'!$C$10:$C$224,$C363,'TL08'!$J$10:$J$224),0),
IF('TL08'!$B$229=O$3,SUMIF('TL08'!$C$238:$C$451,$C363,'TL08'!$J$238:$J$451),0),
IF('TL09'!$B$3=O$3,SUMIF('TL09'!$C$10:$C$224,$C363,'TL09'!$J$10:$J$224),0),
IF('TL09'!$B$229=O$3,SUMIF('TL09'!$C$238:$C$451,$C363,'TL09'!$J$238:$J$451),0),
IF('TL10'!$B$3=O$3,SUMIF('TL10'!$C$10:$C$224,$C363,'TL10'!$J$10:$J$224),0),
IF('TL10'!$B$229=O$3,SUMIF('TL10'!$C$238:$C$451,$C363,'TL10'!$J$238:$J$451),0),
IF('TL11'!$B$3=O$3,SUMIF('TL11'!$C$10:$C$224,$C363,'TL11'!$J$10:$J$224),0),
IF('TL11'!$B$229=O$3,SUMIF('TL11'!$C$238:$C$451,$C363,'TL11'!$J$238:$J$451),0),
IF('TL12'!$B$3=O$3,SUMIF('TL12'!$C$10:$C$224,$C363,'TL12'!$J$10:$J$224),0),
IF('TL12'!$B$229=O$3,SUMIF('TL12'!$C$238:$C$451,$C363,'TL12'!$J$238:$J$451),0),
IF('TL13'!$B$3=O$3,SUMIF('TL13'!$C$10:$C$224,$C363,'TL13'!$J$10:$J$224),0),
IF('TL13'!$B$229=O$3,SUMIF('TL13'!$C$238:$C$451,$C363,'TL13'!$J$238:$J$451),0),
IF('TL14'!$B$3=O$3,SUMIF('TL14'!$C$10:$C$224,$C363,'TL14'!$J$10:$J$224),0),
IF('TL14'!$B$229=O$3,SUMIF('TL14'!$C$238:$C$451,$C363,'TL14'!$J$238:$J$451),0),
IF('TL15'!$B$3=O$3,SUMIF('TL15'!$C$10:$C$224,$C363,'TL15'!$J$10:$J$224),0),
IF('TL15'!$B$229=O$3,SUMIF('TL15'!$C$238:$C$451,$C363,'TL15'!$J$238:$J$451),0),
IF('TL16'!$B$3=O$3,SUMIF('TL16'!$C$10:$C$224,$C363,'TL16'!$J$10:$J$224),0),
IF('TL16'!$B$229=O$3,SUMIF('TL16'!$C$238:$C$451,$C363,'TL16'!$J$238:$J$451),0),
IF('TL17'!$B$3=O$3,SUMIF('TL17'!$C$10:$C$224,$C363,'TL17'!$J$10:$J$224),0),
IF('TL17'!$B$229=O$3,SUMIF('TL17'!$C$238:$C$451,$C363,'TL17'!$J$238:$J$451),0),
IF('TL18'!$B$3=O$3,SUMIF('TL18'!$C$10:$C$224,$C363,'TL18'!$J$10:$J$224),0),
IF('TL18'!$B$229=O$3,SUMIF('TL18'!$C$238:$C$451,$C363,'TL18'!$J$238:$J$451),0),
IF('TL19'!$B$3=O$3,SUMIF('TL19'!$C$10:$C$224,$C363,'TL19'!$J$10:$J$224),0),
IF('TL19'!$B$229=O$3,SUMIF('TL19'!$C$238:$C$451,$C363,'TL19'!$J$238:$J$451),0)
),0)</f>
        <v/>
      </c>
      <c r="P363" s="9">
        <f>IFERROR(SUM(
IF('TL01'!$B$3=P$3,SUMIF('TL01'!$C$10:$C$224,$C363,'TL01'!$J$10:$J$224),0),
IF('TL01'!$B$229=P$3,SUMIF('TL01'!$C$238:$C$451,$C363,'TL01'!$J$238:$J$451),0),
IF('TL02'!$B$3=P$3,SUMIF('TL02'!$C$10:$C$224,$C363,'TL02'!$J$10:$J$224),0),
IF('TL02'!$B$229=P$3,SUMIF('TL02'!$C$238:$C$451,$C363,'TL02'!$J$238:$J$451),0),
IF('TL03'!$B$3=P$3,SUMIF('TL03'!$C$10:$C$224,$C363,'TL03'!$J$10:$J$224),0),
IF('TL03'!$B$229=P$3,SUMIF('TL03'!$C$238:$C$451,$C363,'TL03'!$J$238:$J$451),0),
IF('TL04'!$B$3=P$3,SUMIF('TL04'!$C$10:$C$224,$C363,'TL04'!$J$10:$J$224),0),
IF('TL04'!$B$229=P$3,SUMIF('TL04'!$C$238:$C$451,$C363,'TL04'!$J$238:$J$451),0),
IF('TL05'!$B$3=P$3,SUMIF('TL05'!$C$10:$C$224,$C363,'TL05'!$J$10:$J$224),0),
IF('TL05'!$B$229=P$3,SUMIF('TL05'!$C$238:$C$451,$C363,'TL05'!$J$238:$J$451),0),
IF('TL06'!$B$3=P$3,SUMIF('TL06'!$C$10:$C$224,$C363,'TL06'!$J$10:$J$224),0),
IF('TL06'!$B$229=P$3,SUMIF('TL06'!$C$238:$C$451,$C363,'TL06'!$J$238:$J$451),0),
IF('TL07'!$B$3=P$3,SUMIF('TL07'!$C$10:$C$224,$C363,'TL07'!$J$10:$J$224),0),
IF('TL07'!$B$229=P$3,SUMIF('TL07'!$C$238:$C$451,$C363,'TL07'!$J$238:$J$451),0),
IF('TL08'!$B$3=P$3,SUMIF('TL08'!$C$10:$C$224,$C363,'TL08'!$J$10:$J$224),0),
IF('TL08'!$B$229=P$3,SUMIF('TL08'!$C$238:$C$451,$C363,'TL08'!$J$238:$J$451),0),
IF('TL09'!$B$3=P$3,SUMIF('TL09'!$C$10:$C$224,$C363,'TL09'!$J$10:$J$224),0),
IF('TL09'!$B$229=P$3,SUMIF('TL09'!$C$238:$C$451,$C363,'TL09'!$J$238:$J$451),0),
IF('TL10'!$B$3=P$3,SUMIF('TL10'!$C$10:$C$224,$C363,'TL10'!$J$10:$J$224),0),
IF('TL10'!$B$229=P$3,SUMIF('TL10'!$C$238:$C$451,$C363,'TL10'!$J$238:$J$451),0),
IF('TL11'!$B$3=P$3,SUMIF('TL11'!$C$10:$C$224,$C363,'TL11'!$J$10:$J$224),0),
IF('TL11'!$B$229=P$3,SUMIF('TL11'!$C$238:$C$451,$C363,'TL11'!$J$238:$J$451),0),
IF('TL12'!$B$3=P$3,SUMIF('TL12'!$C$10:$C$224,$C363,'TL12'!$J$10:$J$224),0),
IF('TL12'!$B$229=P$3,SUMIF('TL12'!$C$238:$C$451,$C363,'TL12'!$J$238:$J$451),0),
IF('TL13'!$B$3=P$3,SUMIF('TL13'!$C$10:$C$224,$C363,'TL13'!$J$10:$J$224),0),
IF('TL13'!$B$229=P$3,SUMIF('TL13'!$C$238:$C$451,$C363,'TL13'!$J$238:$J$451),0),
IF('TL14'!$B$3=P$3,SUMIF('TL14'!$C$10:$C$224,$C363,'TL14'!$J$10:$J$224),0),
IF('TL14'!$B$229=P$3,SUMIF('TL14'!$C$238:$C$451,$C363,'TL14'!$J$238:$J$451),0),
IF('TL15'!$B$3=P$3,SUMIF('TL15'!$C$10:$C$224,$C363,'TL15'!$J$10:$J$224),0),
IF('TL15'!$B$229=P$3,SUMIF('TL15'!$C$238:$C$451,$C363,'TL15'!$J$238:$J$451),0),
IF('TL16'!$B$3=P$3,SUMIF('TL16'!$C$10:$C$224,$C363,'TL16'!$J$10:$J$224),0),
IF('TL16'!$B$229=P$3,SUMIF('TL16'!$C$238:$C$451,$C363,'TL16'!$J$238:$J$451),0),
IF('TL17'!$B$3=P$3,SUMIF('TL17'!$C$10:$C$224,$C363,'TL17'!$J$10:$J$224),0),
IF('TL17'!$B$229=P$3,SUMIF('TL17'!$C$238:$C$451,$C363,'TL17'!$J$238:$J$451),0),
IF('TL18'!$B$3=P$3,SUMIF('TL18'!$C$10:$C$224,$C363,'TL18'!$J$10:$J$224),0),
IF('TL18'!$B$229=P$3,SUMIF('TL18'!$C$238:$C$451,$C363,'TL18'!$J$238:$J$451),0),
IF('TL19'!$B$3=P$3,SUMIF('TL19'!$C$10:$C$224,$C363,'TL19'!$J$10:$J$224),0),
IF('TL19'!$B$229=P$3,SUMIF('TL19'!$C$238:$C$451,$C363,'TL19'!$J$238:$J$451),0)
),0)</f>
        <v/>
      </c>
      <c r="Q363" s="9">
        <f>IFERROR(SUM(
IF('TL01'!$B$3=Q$3,SUMIF('TL01'!$C$10:$C$224,$C363,'TL01'!$J$10:$J$224),0),
IF('TL01'!$B$229=Q$3,SUMIF('TL01'!$C$238:$C$451,$C363,'TL01'!$J$238:$J$451),0),
IF('TL02'!$B$3=Q$3,SUMIF('TL02'!$C$10:$C$224,$C363,'TL02'!$J$10:$J$224),0),
IF('TL02'!$B$229=Q$3,SUMIF('TL02'!$C$238:$C$451,$C363,'TL02'!$J$238:$J$451),0),
IF('TL03'!$B$3=Q$3,SUMIF('TL03'!$C$10:$C$224,$C363,'TL03'!$J$10:$J$224),0),
IF('TL03'!$B$229=Q$3,SUMIF('TL03'!$C$238:$C$451,$C363,'TL03'!$J$238:$J$451),0),
IF('TL04'!$B$3=Q$3,SUMIF('TL04'!$C$10:$C$224,$C363,'TL04'!$J$10:$J$224),0),
IF('TL04'!$B$229=Q$3,SUMIF('TL04'!$C$238:$C$451,$C363,'TL04'!$J$238:$J$451),0),
IF('TL05'!$B$3=Q$3,SUMIF('TL05'!$C$10:$C$224,$C363,'TL05'!$J$10:$J$224),0),
IF('TL05'!$B$229=Q$3,SUMIF('TL05'!$C$238:$C$451,$C363,'TL05'!$J$238:$J$451),0),
IF('TL06'!$B$3=Q$3,SUMIF('TL06'!$C$10:$C$224,$C363,'TL06'!$J$10:$J$224),0),
IF('TL06'!$B$229=Q$3,SUMIF('TL06'!$C$238:$C$451,$C363,'TL06'!$J$238:$J$451),0),
IF('TL07'!$B$3=Q$3,SUMIF('TL07'!$C$10:$C$224,$C363,'TL07'!$J$10:$J$224),0),
IF('TL07'!$B$229=Q$3,SUMIF('TL07'!$C$238:$C$451,$C363,'TL07'!$J$238:$J$451),0),
IF('TL08'!$B$3=Q$3,SUMIF('TL08'!$C$10:$C$224,$C363,'TL08'!$J$10:$J$224),0),
IF('TL08'!$B$229=Q$3,SUMIF('TL08'!$C$238:$C$451,$C363,'TL08'!$J$238:$J$451),0),
IF('TL09'!$B$3=Q$3,SUMIF('TL09'!$C$10:$C$224,$C363,'TL09'!$J$10:$J$224),0),
IF('TL09'!$B$229=Q$3,SUMIF('TL09'!$C$238:$C$451,$C363,'TL09'!$J$238:$J$451),0),
IF('TL10'!$B$3=Q$3,SUMIF('TL10'!$C$10:$C$224,$C363,'TL10'!$J$10:$J$224),0),
IF('TL10'!$B$229=Q$3,SUMIF('TL10'!$C$238:$C$451,$C363,'TL10'!$J$238:$J$451),0),
IF('TL11'!$B$3=Q$3,SUMIF('TL11'!$C$10:$C$224,$C363,'TL11'!$J$10:$J$224),0),
IF('TL11'!$B$229=Q$3,SUMIF('TL11'!$C$238:$C$451,$C363,'TL11'!$J$238:$J$451),0),
IF('TL12'!$B$3=Q$3,SUMIF('TL12'!$C$10:$C$224,$C363,'TL12'!$J$10:$J$224),0),
IF('TL12'!$B$229=Q$3,SUMIF('TL12'!$C$238:$C$451,$C363,'TL12'!$J$238:$J$451),0),
IF('TL13'!$B$3=Q$3,SUMIF('TL13'!$C$10:$C$224,$C363,'TL13'!$J$10:$J$224),0),
IF('TL13'!$B$229=Q$3,SUMIF('TL13'!$C$238:$C$451,$C363,'TL13'!$J$238:$J$451),0),
IF('TL14'!$B$3=Q$3,SUMIF('TL14'!$C$10:$C$224,$C363,'TL14'!$J$10:$J$224),0),
IF('TL14'!$B$229=Q$3,SUMIF('TL14'!$C$238:$C$451,$C363,'TL14'!$J$238:$J$451),0),
IF('TL15'!$B$3=Q$3,SUMIF('TL15'!$C$10:$C$224,$C363,'TL15'!$J$10:$J$224),0),
IF('TL15'!$B$229=Q$3,SUMIF('TL15'!$C$238:$C$451,$C363,'TL15'!$J$238:$J$451),0),
IF('TL16'!$B$3=Q$3,SUMIF('TL16'!$C$10:$C$224,$C363,'TL16'!$J$10:$J$224),0),
IF('TL16'!$B$229=Q$3,SUMIF('TL16'!$C$238:$C$451,$C363,'TL16'!$J$238:$J$451),0),
IF('TL17'!$B$3=Q$3,SUMIF('TL17'!$C$10:$C$224,$C363,'TL17'!$J$10:$J$224),0),
IF('TL17'!$B$229=Q$3,SUMIF('TL17'!$C$238:$C$451,$C363,'TL17'!$J$238:$J$451),0),
IF('TL18'!$B$3=Q$3,SUMIF('TL18'!$C$10:$C$224,$C363,'TL18'!$J$10:$J$224),0),
IF('TL18'!$B$229=Q$3,SUMIF('TL18'!$C$238:$C$451,$C363,'TL18'!$J$238:$J$451),0),
IF('TL19'!$B$3=Q$3,SUMIF('TL19'!$C$10:$C$224,$C363,'TL19'!$J$10:$J$224),0),
IF('TL19'!$B$229=Q$3,SUMIF('TL19'!$C$238:$C$451,$C363,'TL19'!$J$238:$J$451),0)
),0)</f>
        <v/>
      </c>
      <c r="R363" s="9">
        <f>IFERROR(
SUM(
SUMIF('TL01'!C:C,C363,'TL01'!J:J),
SUMIF('TL02'!C:C,C363,'TL02'!J:J),
SUMIF('TL03'!C:C,C363,'TL03'!J:J),
SUMIF('TL04'!C:C,C363,'TL04'!J:J),
SUMIF('TL05'!C:C,C363,'TL05'!J:J),
SUMIF('TL06'!C:C,C363,'TL06'!J:J),
SUMIF('TL07'!C:C,C363,'TL07'!J:J),
SUMIF('TL08'!C:C,C363,'TL08'!J:J),
SUMIF('TL09'!C:C,C363,'TL09'!J:J),
SUMIF('TL10'!C:C,C363,'TL10'!J:J),
SUMIF('TL11'!C:C,C363,'TL11'!J:J),
SUMIF('TL12'!C:C,C363,'TL12'!J:J),
SUMIF('TL13'!C:C,C363,'TL13'!J:J),
SUMIF('TL14'!C:C,C363,'TL14'!J:J),
SUMIF('TL15'!C:C,C363,'TL15'!J:J),
SUMIF('TL16'!C:C,C363,'TL16'!J:J),
SUMIF('TL17'!C:C,C363,'TL17'!J:J),
SUMIF('TL18'!C:C,C363,'TL18'!J:J),SUMIF('TL19'!C:C,C363,'TL19'!J:J))
,0)</f>
        <v/>
      </c>
      <c r="S363" s="17">
        <f>IFERROR(__xludf.DUMMYFUNCTION("IFERROR(VLOOKUP(C363,
IMPORTRANGE(""1wULbzX32WdYsx-lj2U3uUNBBe2INVIRDtcK0d-Dvl90"",
""26-27!C:G""),
5,
FALSE),
"""")"),56.16)</f>
        <v/>
      </c>
      <c r="T363" s="9" t="n"/>
      <c r="U363" s="92">
        <f>MAX(0,R363-T363)</f>
        <v/>
      </c>
      <c r="V363" s="93">
        <f>U363*S363</f>
        <v/>
      </c>
    </row>
    <row r="364" hidden="1" ht="15.75" customHeight="1" s="297">
      <c r="A364" s="4" t="inlineStr">
        <is>
          <t>SOLUBIO</t>
        </is>
      </c>
      <c r="B364" s="4" t="inlineStr">
        <is>
          <t>BIOLÓGICOS</t>
        </is>
      </c>
      <c r="C364" s="126" t="inlineStr">
        <is>
          <t>Tec Bug</t>
        </is>
      </c>
      <c r="D364" s="127" t="inlineStr">
        <is>
          <t>Chromobacterium subtsugae</t>
        </is>
      </c>
      <c r="E364" s="20" t="n"/>
      <c r="F364" s="4" t="inlineStr">
        <is>
          <t>L</t>
        </is>
      </c>
      <c r="G364" s="90">
        <f>HYPERLINK("https://www.google.com/search?q=" &amp; C364 &amp; "+bula+agrofit+pdf", "📄 Ver bula")</f>
        <v/>
      </c>
      <c r="H364" s="4" t="n">
        <v>2</v>
      </c>
      <c r="I364" s="121" t="inlineStr">
        <is>
          <t>1x20</t>
        </is>
      </c>
      <c r="J364" s="9">
        <f>IFERROR(SUM(
IF('TL01'!$B$3=J$3,SUMIF('TL01'!$C$10:$C$224,$C364,'TL01'!$J$10:$J$224),0),
IF('TL01'!$B$229=J$3,SUMIF('TL01'!$C$238:$C$451,$C364,'TL01'!$J$238:$J$451),0),
IF('TL02'!$B$3=J$3,SUMIF('TL02'!$C$10:$C$224,$C364,'TL02'!$J$10:$J$224),0),
IF('TL02'!$B$229=J$3,SUMIF('TL02'!$C$238:$C$451,$C364,'TL02'!$J$238:$J$451),0),
IF('TL03'!$B$3=J$3,SUMIF('TL03'!$C$10:$C$224,$C364,'TL03'!$J$10:$J$224),0),
IF('TL03'!$B$229=J$3,SUMIF('TL03'!$C$238:$C$451,$C364,'TL03'!$J$238:$J$451),0),
IF('TL04'!$B$3=J$3,SUMIF('TL04'!$C$10:$C$224,$C364,'TL04'!$J$10:$J$224),0),
IF('TL04'!$B$229=J$3,SUMIF('TL04'!$C$238:$C$451,$C364,'TL04'!$J$238:$J$451),0),
IF('TL05'!$B$3=J$3,SUMIF('TL05'!$C$10:$C$224,$C364,'TL05'!$J$10:$J$224),0),
IF('TL05'!$B$229=J$3,SUMIF('TL05'!$C$238:$C$451,$C364,'TL05'!$J$238:$J$451),0),
IF('TL06'!$B$3=J$3,SUMIF('TL06'!$C$10:$C$224,$C364,'TL06'!$J$10:$J$224),0),
IF('TL06'!$B$229=J$3,SUMIF('TL06'!$C$238:$C$451,$C364,'TL06'!$J$238:$J$451),0),
IF('TL07'!$B$3=J$3,SUMIF('TL07'!$C$10:$C$224,$C364,'TL07'!$J$10:$J$224),0),
IF('TL07'!$B$229=J$3,SUMIF('TL07'!$C$238:$C$451,$C364,'TL07'!$J$238:$J$451),0),
IF('TL08'!$B$3=J$3,SUMIF('TL08'!$C$10:$C$224,$C364,'TL08'!$J$10:$J$224),0),
IF('TL08'!$B$229=J$3,SUMIF('TL08'!$C$238:$C$451,$C364,'TL08'!$J$238:$J$451),0),
IF('TL09'!$B$3=J$3,SUMIF('TL09'!$C$10:$C$224,$C364,'TL09'!$J$10:$J$224),0),
IF('TL09'!$B$229=J$3,SUMIF('TL09'!$C$238:$C$451,$C364,'TL09'!$J$238:$J$451),0),
IF('TL10'!$B$3=J$3,SUMIF('TL10'!$C$10:$C$224,$C364,'TL10'!$J$10:$J$224),0),
IF('TL10'!$B$229=J$3,SUMIF('TL10'!$C$238:$C$451,$C364,'TL10'!$J$238:$J$451),0),
IF('TL11'!$B$3=J$3,SUMIF('TL11'!$C$10:$C$224,$C364,'TL11'!$J$10:$J$224),0),
IF('TL11'!$B$229=J$3,SUMIF('TL11'!$C$238:$C$451,$C364,'TL11'!$J$238:$J$451),0),
IF('TL12'!$B$3=J$3,SUMIF('TL12'!$C$10:$C$224,$C364,'TL12'!$J$10:$J$224),0),
IF('TL12'!$B$229=J$3,SUMIF('TL12'!$C$238:$C$451,$C364,'TL12'!$J$238:$J$451),0),
IF('TL13'!$B$3=J$3,SUMIF('TL13'!$C$10:$C$224,$C364,'TL13'!$J$10:$J$224),0),
IF('TL13'!$B$229=J$3,SUMIF('TL13'!$C$238:$C$451,$C364,'TL13'!$J$238:$J$451),0),
IF('TL14'!$B$3=J$3,SUMIF('TL14'!$C$10:$C$224,$C364,'TL14'!$J$10:$J$224),0),
IF('TL14'!$B$229=J$3,SUMIF('TL14'!$C$238:$C$451,$C364,'TL14'!$J$238:$J$451),0),
IF('TL15'!$B$3=J$3,SUMIF('TL15'!$C$10:$C$224,$C364,'TL15'!$J$10:$J$224),0),
IF('TL15'!$B$229=J$3,SUMIF('TL15'!$C$238:$C$451,$C364,'TL15'!$J$238:$J$451),0),
IF('TL16'!$B$3=J$3,SUMIF('TL16'!$C$10:$C$224,$C364,'TL16'!$J$10:$J$224),0),
IF('TL16'!$B$229=J$3,SUMIF('TL16'!$C$238:$C$451,$C364,'TL16'!$J$238:$J$451),0),
IF('TL17'!$B$3=J$3,SUMIF('TL17'!$C$10:$C$224,$C364,'TL17'!$J$10:$J$224),0),
IF('TL17'!$B$229=J$3,SUMIF('TL17'!$C$238:$C$451,$C364,'TL17'!$J$238:$J$451),0),
IF('TL18'!$B$3=J$3,SUMIF('TL18'!$C$10:$C$224,$C364,'TL18'!$J$10:$J$224),0),
IF('TL18'!$B$229=J$3,SUMIF('TL18'!$C$238:$C$451,$C364,'TL18'!$J$238:$J$451),0),
IF('TL19'!$B$3=J$3,SUMIF('TL19'!$C$10:$C$224,$C364,'TL19'!$J$10:$J$224),0),
IF('TL19'!$B$229=J$3,SUMIF('TL19'!$C$238:$C$451,$C364,'TL19'!$J$238:$J$451),0)
),0)</f>
        <v/>
      </c>
      <c r="K364" s="9">
        <f>IFERROR(SUM(
IF('TL01'!$B$3=K$3,SUMIF('TL01'!$C$10:$C$224,$C364,'TL01'!$J$10:$J$224),0),
IF('TL01'!$B$229=K$3,SUMIF('TL01'!$C$238:$C$451,$C364,'TL01'!$J$238:$J$451),0),
IF('TL02'!$B$3=K$3,SUMIF('TL02'!$C$10:$C$224,$C364,'TL02'!$J$10:$J$224),0),
IF('TL02'!$B$229=K$3,SUMIF('TL02'!$C$238:$C$451,$C364,'TL02'!$J$238:$J$451),0),
IF('TL03'!$B$3=K$3,SUMIF('TL03'!$C$10:$C$224,$C364,'TL03'!$J$10:$J$224),0),
IF('TL03'!$B$229=K$3,SUMIF('TL03'!$C$238:$C$451,$C364,'TL03'!$J$238:$J$451),0),
IF('TL04'!$B$3=K$3,SUMIF('TL04'!$C$10:$C$224,$C364,'TL04'!$J$10:$J$224),0),
IF('TL04'!$B$229=K$3,SUMIF('TL04'!$C$238:$C$451,$C364,'TL04'!$J$238:$J$451),0),
IF('TL05'!$B$3=K$3,SUMIF('TL05'!$C$10:$C$224,$C364,'TL05'!$J$10:$J$224),0),
IF('TL05'!$B$229=K$3,SUMIF('TL05'!$C$238:$C$451,$C364,'TL05'!$J$238:$J$451),0),
IF('TL06'!$B$3=K$3,SUMIF('TL06'!$C$10:$C$224,$C364,'TL06'!$J$10:$J$224),0),
IF('TL06'!$B$229=K$3,SUMIF('TL06'!$C$238:$C$451,$C364,'TL06'!$J$238:$J$451),0),
IF('TL07'!$B$3=K$3,SUMIF('TL07'!$C$10:$C$224,$C364,'TL07'!$J$10:$J$224),0),
IF('TL07'!$B$229=K$3,SUMIF('TL07'!$C$238:$C$451,$C364,'TL07'!$J$238:$J$451),0),
IF('TL08'!$B$3=K$3,SUMIF('TL08'!$C$10:$C$224,$C364,'TL08'!$J$10:$J$224),0),
IF('TL08'!$B$229=K$3,SUMIF('TL08'!$C$238:$C$451,$C364,'TL08'!$J$238:$J$451),0),
IF('TL09'!$B$3=K$3,SUMIF('TL09'!$C$10:$C$224,$C364,'TL09'!$J$10:$J$224),0),
IF('TL09'!$B$229=K$3,SUMIF('TL09'!$C$238:$C$451,$C364,'TL09'!$J$238:$J$451),0),
IF('TL10'!$B$3=K$3,SUMIF('TL10'!$C$10:$C$224,$C364,'TL10'!$J$10:$J$224),0),
IF('TL10'!$B$229=K$3,SUMIF('TL10'!$C$238:$C$451,$C364,'TL10'!$J$238:$J$451),0),
IF('TL11'!$B$3=K$3,SUMIF('TL11'!$C$10:$C$224,$C364,'TL11'!$J$10:$J$224),0),
IF('TL11'!$B$229=K$3,SUMIF('TL11'!$C$238:$C$451,$C364,'TL11'!$J$238:$J$451),0),
IF('TL12'!$B$3=K$3,SUMIF('TL12'!$C$10:$C$224,$C364,'TL12'!$J$10:$J$224),0),
IF('TL12'!$B$229=K$3,SUMIF('TL12'!$C$238:$C$451,$C364,'TL12'!$J$238:$J$451),0),
IF('TL13'!$B$3=K$3,SUMIF('TL13'!$C$10:$C$224,$C364,'TL13'!$J$10:$J$224),0),
IF('TL13'!$B$229=K$3,SUMIF('TL13'!$C$238:$C$451,$C364,'TL13'!$J$238:$J$451),0),
IF('TL14'!$B$3=K$3,SUMIF('TL14'!$C$10:$C$224,$C364,'TL14'!$J$10:$J$224),0),
IF('TL14'!$B$229=K$3,SUMIF('TL14'!$C$238:$C$451,$C364,'TL14'!$J$238:$J$451),0),
IF('TL15'!$B$3=K$3,SUMIF('TL15'!$C$10:$C$224,$C364,'TL15'!$J$10:$J$224),0),
IF('TL15'!$B$229=K$3,SUMIF('TL15'!$C$238:$C$451,$C364,'TL15'!$J$238:$J$451),0),
IF('TL16'!$B$3=K$3,SUMIF('TL16'!$C$10:$C$224,$C364,'TL16'!$J$10:$J$224),0),
IF('TL16'!$B$229=K$3,SUMIF('TL16'!$C$238:$C$451,$C364,'TL16'!$J$238:$J$451),0),
IF('TL17'!$B$3=K$3,SUMIF('TL17'!$C$10:$C$224,$C364,'TL17'!$J$10:$J$224),0),
IF('TL17'!$B$229=K$3,SUMIF('TL17'!$C$238:$C$451,$C364,'TL17'!$J$238:$J$451),0),
IF('TL18'!$B$3=K$3,SUMIF('TL18'!$C$10:$C$224,$C364,'TL18'!$J$10:$J$224),0),
IF('TL18'!$B$229=K$3,SUMIF('TL18'!$C$238:$C$451,$C364,'TL18'!$J$238:$J$451),0),
IF('TL19'!$B$3=K$3,SUMIF('TL19'!$C$10:$C$224,$C364,'TL19'!$J$10:$J$224),0),
IF('TL19'!$B$229=K$3,SUMIF('TL19'!$C$238:$C$451,$C364,'TL19'!$J$238:$J$451),0)
),0)</f>
        <v/>
      </c>
      <c r="L364" s="9">
        <f>IFERROR(SUM(
IF('TL01'!$B$3=L$3,SUMIF('TL01'!$C$10:$C$224,$C364,'TL01'!$J$10:$J$224),0),
IF('TL01'!$B$229=L$3,SUMIF('TL01'!$C$238:$C$451,$C364,'TL01'!$J$238:$J$451),0),
IF('TL02'!$B$3=L$3,SUMIF('TL02'!$C$10:$C$224,$C364,'TL02'!$J$10:$J$224),0),
IF('TL02'!$B$229=L$3,SUMIF('TL02'!$C$238:$C$451,$C364,'TL02'!$J$238:$J$451),0),
IF('TL03'!$B$3=L$3,SUMIF('TL03'!$C$10:$C$224,$C364,'TL03'!$J$10:$J$224),0),
IF('TL03'!$B$229=L$3,SUMIF('TL03'!$C$238:$C$451,$C364,'TL03'!$J$238:$J$451),0),
IF('TL04'!$B$3=L$3,SUMIF('TL04'!$C$10:$C$224,$C364,'TL04'!$J$10:$J$224),0),
IF('TL04'!$B$229=L$3,SUMIF('TL04'!$C$238:$C$451,$C364,'TL04'!$J$238:$J$451),0),
IF('TL05'!$B$3=L$3,SUMIF('TL05'!$C$10:$C$224,$C364,'TL05'!$J$10:$J$224),0),
IF('TL05'!$B$229=L$3,SUMIF('TL05'!$C$238:$C$451,$C364,'TL05'!$J$238:$J$451),0),
IF('TL06'!$B$3=L$3,SUMIF('TL06'!$C$10:$C$224,$C364,'TL06'!$J$10:$J$224),0),
IF('TL06'!$B$229=L$3,SUMIF('TL06'!$C$238:$C$451,$C364,'TL06'!$J$238:$J$451),0),
IF('TL07'!$B$3=L$3,SUMIF('TL07'!$C$10:$C$224,$C364,'TL07'!$J$10:$J$224),0),
IF('TL07'!$B$229=L$3,SUMIF('TL07'!$C$238:$C$451,$C364,'TL07'!$J$238:$J$451),0),
IF('TL08'!$B$3=L$3,SUMIF('TL08'!$C$10:$C$224,$C364,'TL08'!$J$10:$J$224),0),
IF('TL08'!$B$229=L$3,SUMIF('TL08'!$C$238:$C$451,$C364,'TL08'!$J$238:$J$451),0),
IF('TL09'!$B$3=L$3,SUMIF('TL09'!$C$10:$C$224,$C364,'TL09'!$J$10:$J$224),0),
IF('TL09'!$B$229=L$3,SUMIF('TL09'!$C$238:$C$451,$C364,'TL09'!$J$238:$J$451),0),
IF('TL10'!$B$3=L$3,SUMIF('TL10'!$C$10:$C$224,$C364,'TL10'!$J$10:$J$224),0),
IF('TL10'!$B$229=L$3,SUMIF('TL10'!$C$238:$C$451,$C364,'TL10'!$J$238:$J$451),0),
IF('TL11'!$B$3=L$3,SUMIF('TL11'!$C$10:$C$224,$C364,'TL11'!$J$10:$J$224),0),
IF('TL11'!$B$229=L$3,SUMIF('TL11'!$C$238:$C$451,$C364,'TL11'!$J$238:$J$451),0),
IF('TL12'!$B$3=L$3,SUMIF('TL12'!$C$10:$C$224,$C364,'TL12'!$J$10:$J$224),0),
IF('TL12'!$B$229=L$3,SUMIF('TL12'!$C$238:$C$451,$C364,'TL12'!$J$238:$J$451),0),
IF('TL13'!$B$3=L$3,SUMIF('TL13'!$C$10:$C$224,$C364,'TL13'!$J$10:$J$224),0),
IF('TL13'!$B$229=L$3,SUMIF('TL13'!$C$238:$C$451,$C364,'TL13'!$J$238:$J$451),0),
IF('TL14'!$B$3=L$3,SUMIF('TL14'!$C$10:$C$224,$C364,'TL14'!$J$10:$J$224),0),
IF('TL14'!$B$229=L$3,SUMIF('TL14'!$C$238:$C$451,$C364,'TL14'!$J$238:$J$451),0),
IF('TL15'!$B$3=L$3,SUMIF('TL15'!$C$10:$C$224,$C364,'TL15'!$J$10:$J$224),0),
IF('TL15'!$B$229=L$3,SUMIF('TL15'!$C$238:$C$451,$C364,'TL15'!$J$238:$J$451),0),
IF('TL16'!$B$3=L$3,SUMIF('TL16'!$C$10:$C$224,$C364,'TL16'!$J$10:$J$224),0),
IF('TL16'!$B$229=L$3,SUMIF('TL16'!$C$238:$C$451,$C364,'TL16'!$J$238:$J$451),0),
IF('TL17'!$B$3=L$3,SUMIF('TL17'!$C$10:$C$224,$C364,'TL17'!$J$10:$J$224),0),
IF('TL17'!$B$229=L$3,SUMIF('TL17'!$C$238:$C$451,$C364,'TL17'!$J$238:$J$451),0),
IF('TL18'!$B$3=L$3,SUMIF('TL18'!$C$10:$C$224,$C364,'TL18'!$J$10:$J$224),0),
IF('TL18'!$B$229=L$3,SUMIF('TL18'!$C$238:$C$451,$C364,'TL18'!$J$238:$J$451),0),
IF('TL19'!$B$3=L$3,SUMIF('TL19'!$C$10:$C$224,$C364,'TL19'!$J$10:$J$224),0),
IF('TL19'!$B$229=L$3,SUMIF('TL19'!$C$238:$C$451,$C364,'TL19'!$J$238:$J$451),0)
),0)</f>
        <v/>
      </c>
      <c r="M364" s="9">
        <f>IFERROR(SUM(
IF('TL01'!$B$3=M$3,SUMIF('TL01'!$C$10:$C$224,$C364,'TL01'!$J$10:$J$224),0),
IF('TL01'!$B$229=M$3,SUMIF('TL01'!$C$238:$C$451,$C364,'TL01'!$J$238:$J$451),0),
IF('TL02'!$B$3=M$3,SUMIF('TL02'!$C$10:$C$224,$C364,'TL02'!$J$10:$J$224),0),
IF('TL02'!$B$229=M$3,SUMIF('TL02'!$C$238:$C$451,$C364,'TL02'!$J$238:$J$451),0),
IF('TL03'!$B$3=M$3,SUMIF('TL03'!$C$10:$C$224,$C364,'TL03'!$J$10:$J$224),0),
IF('TL03'!$B$229=M$3,SUMIF('TL03'!$C$238:$C$451,$C364,'TL03'!$J$238:$J$451),0),
IF('TL04'!$B$3=M$3,SUMIF('TL04'!$C$10:$C$224,$C364,'TL04'!$J$10:$J$224),0),
IF('TL04'!$B$229=M$3,SUMIF('TL04'!$C$238:$C$451,$C364,'TL04'!$J$238:$J$451),0),
IF('TL05'!$B$3=M$3,SUMIF('TL05'!$C$10:$C$224,$C364,'TL05'!$J$10:$J$224),0),
IF('TL05'!$B$229=M$3,SUMIF('TL05'!$C$238:$C$451,$C364,'TL05'!$J$238:$J$451),0),
IF('TL06'!$B$3=M$3,SUMIF('TL06'!$C$10:$C$224,$C364,'TL06'!$J$10:$J$224),0),
IF('TL06'!$B$229=M$3,SUMIF('TL06'!$C$238:$C$451,$C364,'TL06'!$J$238:$J$451),0),
IF('TL07'!$B$3=M$3,SUMIF('TL07'!$C$10:$C$224,$C364,'TL07'!$J$10:$J$224),0),
IF('TL07'!$B$229=M$3,SUMIF('TL07'!$C$238:$C$451,$C364,'TL07'!$J$238:$J$451),0),
IF('TL08'!$B$3=M$3,SUMIF('TL08'!$C$10:$C$224,$C364,'TL08'!$J$10:$J$224),0),
IF('TL08'!$B$229=M$3,SUMIF('TL08'!$C$238:$C$451,$C364,'TL08'!$J$238:$J$451),0),
IF('TL09'!$B$3=M$3,SUMIF('TL09'!$C$10:$C$224,$C364,'TL09'!$J$10:$J$224),0),
IF('TL09'!$B$229=M$3,SUMIF('TL09'!$C$238:$C$451,$C364,'TL09'!$J$238:$J$451),0),
IF('TL10'!$B$3=M$3,SUMIF('TL10'!$C$10:$C$224,$C364,'TL10'!$J$10:$J$224),0),
IF('TL10'!$B$229=M$3,SUMIF('TL10'!$C$238:$C$451,$C364,'TL10'!$J$238:$J$451),0),
IF('TL11'!$B$3=M$3,SUMIF('TL11'!$C$10:$C$224,$C364,'TL11'!$J$10:$J$224),0),
IF('TL11'!$B$229=M$3,SUMIF('TL11'!$C$238:$C$451,$C364,'TL11'!$J$238:$J$451),0),
IF('TL12'!$B$3=M$3,SUMIF('TL12'!$C$10:$C$224,$C364,'TL12'!$J$10:$J$224),0),
IF('TL12'!$B$229=M$3,SUMIF('TL12'!$C$238:$C$451,$C364,'TL12'!$J$238:$J$451),0),
IF('TL13'!$B$3=M$3,SUMIF('TL13'!$C$10:$C$224,$C364,'TL13'!$J$10:$J$224),0),
IF('TL13'!$B$229=M$3,SUMIF('TL13'!$C$238:$C$451,$C364,'TL13'!$J$238:$J$451),0),
IF('TL14'!$B$3=M$3,SUMIF('TL14'!$C$10:$C$224,$C364,'TL14'!$J$10:$J$224),0),
IF('TL14'!$B$229=M$3,SUMIF('TL14'!$C$238:$C$451,$C364,'TL14'!$J$238:$J$451),0),
IF('TL15'!$B$3=M$3,SUMIF('TL15'!$C$10:$C$224,$C364,'TL15'!$J$10:$J$224),0),
IF('TL15'!$B$229=M$3,SUMIF('TL15'!$C$238:$C$451,$C364,'TL15'!$J$238:$J$451),0),
IF('TL16'!$B$3=M$3,SUMIF('TL16'!$C$10:$C$224,$C364,'TL16'!$J$10:$J$224),0),
IF('TL16'!$B$229=M$3,SUMIF('TL16'!$C$238:$C$451,$C364,'TL16'!$J$238:$J$451),0),
IF('TL17'!$B$3=M$3,SUMIF('TL17'!$C$10:$C$224,$C364,'TL17'!$J$10:$J$224),0),
IF('TL17'!$B$229=M$3,SUMIF('TL17'!$C$238:$C$451,$C364,'TL17'!$J$238:$J$451),0),
IF('TL18'!$B$3=M$3,SUMIF('TL18'!$C$10:$C$224,$C364,'TL18'!$J$10:$J$224),0),
IF('TL18'!$B$229=M$3,SUMIF('TL18'!$C$238:$C$451,$C364,'TL18'!$J$238:$J$451),0),
IF('TL19'!$B$3=M$3,SUMIF('TL19'!$C$10:$C$224,$C364,'TL19'!$J$10:$J$224),0),
IF('TL19'!$B$229=M$3,SUMIF('TL19'!$C$238:$C$451,$C364,'TL19'!$J$238:$J$451),0)
),0)</f>
        <v/>
      </c>
      <c r="N364" s="9">
        <f>IFERROR(SUM(
IF('TL01'!$B$3=N$3,SUMIF('TL01'!$C$10:$C$224,$C364,'TL01'!$J$10:$J$224),0),
IF('TL01'!$B$229=N$3,SUMIF('TL01'!$C$238:$C$451,$C364,'TL01'!$J$238:$J$451),0),
IF('TL02'!$B$3=N$3,SUMIF('TL02'!$C$10:$C$224,$C364,'TL02'!$J$10:$J$224),0),
IF('TL02'!$B$229=N$3,SUMIF('TL02'!$C$238:$C$451,$C364,'TL02'!$J$238:$J$451),0),
IF('TL03'!$B$3=N$3,SUMIF('TL03'!$C$10:$C$224,$C364,'TL03'!$J$10:$J$224),0),
IF('TL03'!$B$229=N$3,SUMIF('TL03'!$C$238:$C$451,$C364,'TL03'!$J$238:$J$451),0),
IF('TL04'!$B$3=N$3,SUMIF('TL04'!$C$10:$C$224,$C364,'TL04'!$J$10:$J$224),0),
IF('TL04'!$B$229=N$3,SUMIF('TL04'!$C$238:$C$451,$C364,'TL04'!$J$238:$J$451),0),
IF('TL05'!$B$3=N$3,SUMIF('TL05'!$C$10:$C$224,$C364,'TL05'!$J$10:$J$224),0),
IF('TL05'!$B$229=N$3,SUMIF('TL05'!$C$238:$C$451,$C364,'TL05'!$J$238:$J$451),0),
IF('TL06'!$B$3=N$3,SUMIF('TL06'!$C$10:$C$224,$C364,'TL06'!$J$10:$J$224),0),
IF('TL06'!$B$229=N$3,SUMIF('TL06'!$C$238:$C$451,$C364,'TL06'!$J$238:$J$451),0),
IF('TL07'!$B$3=N$3,SUMIF('TL07'!$C$10:$C$224,$C364,'TL07'!$J$10:$J$224),0),
IF('TL07'!$B$229=N$3,SUMIF('TL07'!$C$238:$C$451,$C364,'TL07'!$J$238:$J$451),0),
IF('TL08'!$B$3=N$3,SUMIF('TL08'!$C$10:$C$224,$C364,'TL08'!$J$10:$J$224),0),
IF('TL08'!$B$229=N$3,SUMIF('TL08'!$C$238:$C$451,$C364,'TL08'!$J$238:$J$451),0),
IF('TL09'!$B$3=N$3,SUMIF('TL09'!$C$10:$C$224,$C364,'TL09'!$J$10:$J$224),0),
IF('TL09'!$B$229=N$3,SUMIF('TL09'!$C$238:$C$451,$C364,'TL09'!$J$238:$J$451),0),
IF('TL10'!$B$3=N$3,SUMIF('TL10'!$C$10:$C$224,$C364,'TL10'!$J$10:$J$224),0),
IF('TL10'!$B$229=N$3,SUMIF('TL10'!$C$238:$C$451,$C364,'TL10'!$J$238:$J$451),0),
IF('TL11'!$B$3=N$3,SUMIF('TL11'!$C$10:$C$224,$C364,'TL11'!$J$10:$J$224),0),
IF('TL11'!$B$229=N$3,SUMIF('TL11'!$C$238:$C$451,$C364,'TL11'!$J$238:$J$451),0),
IF('TL12'!$B$3=N$3,SUMIF('TL12'!$C$10:$C$224,$C364,'TL12'!$J$10:$J$224),0),
IF('TL12'!$B$229=N$3,SUMIF('TL12'!$C$238:$C$451,$C364,'TL12'!$J$238:$J$451),0),
IF('TL13'!$B$3=N$3,SUMIF('TL13'!$C$10:$C$224,$C364,'TL13'!$J$10:$J$224),0),
IF('TL13'!$B$229=N$3,SUMIF('TL13'!$C$238:$C$451,$C364,'TL13'!$J$238:$J$451),0),
IF('TL14'!$B$3=N$3,SUMIF('TL14'!$C$10:$C$224,$C364,'TL14'!$J$10:$J$224),0),
IF('TL14'!$B$229=N$3,SUMIF('TL14'!$C$238:$C$451,$C364,'TL14'!$J$238:$J$451),0),
IF('TL15'!$B$3=N$3,SUMIF('TL15'!$C$10:$C$224,$C364,'TL15'!$J$10:$J$224),0),
IF('TL15'!$B$229=N$3,SUMIF('TL15'!$C$238:$C$451,$C364,'TL15'!$J$238:$J$451),0),
IF('TL16'!$B$3=N$3,SUMIF('TL16'!$C$10:$C$224,$C364,'TL16'!$J$10:$J$224),0),
IF('TL16'!$B$229=N$3,SUMIF('TL16'!$C$238:$C$451,$C364,'TL16'!$J$238:$J$451),0),
IF('TL17'!$B$3=N$3,SUMIF('TL17'!$C$10:$C$224,$C364,'TL17'!$J$10:$J$224),0),
IF('TL17'!$B$229=N$3,SUMIF('TL17'!$C$238:$C$451,$C364,'TL17'!$J$238:$J$451),0),
IF('TL18'!$B$3=N$3,SUMIF('TL18'!$C$10:$C$224,$C364,'TL18'!$J$10:$J$224),0),
IF('TL18'!$B$229=N$3,SUMIF('TL18'!$C$238:$C$451,$C364,'TL18'!$J$238:$J$451),0),
IF('TL19'!$B$3=N$3,SUMIF('TL19'!$C$10:$C$224,$C364,'TL19'!$J$10:$J$224),0),
IF('TL19'!$B$229=N$3,SUMIF('TL19'!$C$238:$C$451,$C364,'TL19'!$J$238:$J$451),0)
),0)</f>
        <v/>
      </c>
      <c r="O364" s="9">
        <f>IFERROR(SUM(
IF('TL01'!$B$3=O$3,SUMIF('TL01'!$C$10:$C$224,$C364,'TL01'!$J$10:$J$224),0),
IF('TL01'!$B$229=O$3,SUMIF('TL01'!$C$238:$C$451,$C364,'TL01'!$J$238:$J$451),0),
IF('TL02'!$B$3=O$3,SUMIF('TL02'!$C$10:$C$224,$C364,'TL02'!$J$10:$J$224),0),
IF('TL02'!$B$229=O$3,SUMIF('TL02'!$C$238:$C$451,$C364,'TL02'!$J$238:$J$451),0),
IF('TL03'!$B$3=O$3,SUMIF('TL03'!$C$10:$C$224,$C364,'TL03'!$J$10:$J$224),0),
IF('TL03'!$B$229=O$3,SUMIF('TL03'!$C$238:$C$451,$C364,'TL03'!$J$238:$J$451),0),
IF('TL04'!$B$3=O$3,SUMIF('TL04'!$C$10:$C$224,$C364,'TL04'!$J$10:$J$224),0),
IF('TL04'!$B$229=O$3,SUMIF('TL04'!$C$238:$C$451,$C364,'TL04'!$J$238:$J$451),0),
IF('TL05'!$B$3=O$3,SUMIF('TL05'!$C$10:$C$224,$C364,'TL05'!$J$10:$J$224),0),
IF('TL05'!$B$229=O$3,SUMIF('TL05'!$C$238:$C$451,$C364,'TL05'!$J$238:$J$451),0),
IF('TL06'!$B$3=O$3,SUMIF('TL06'!$C$10:$C$224,$C364,'TL06'!$J$10:$J$224),0),
IF('TL06'!$B$229=O$3,SUMIF('TL06'!$C$238:$C$451,$C364,'TL06'!$J$238:$J$451),0),
IF('TL07'!$B$3=O$3,SUMIF('TL07'!$C$10:$C$224,$C364,'TL07'!$J$10:$J$224),0),
IF('TL07'!$B$229=O$3,SUMIF('TL07'!$C$238:$C$451,$C364,'TL07'!$J$238:$J$451),0),
IF('TL08'!$B$3=O$3,SUMIF('TL08'!$C$10:$C$224,$C364,'TL08'!$J$10:$J$224),0),
IF('TL08'!$B$229=O$3,SUMIF('TL08'!$C$238:$C$451,$C364,'TL08'!$J$238:$J$451),0),
IF('TL09'!$B$3=O$3,SUMIF('TL09'!$C$10:$C$224,$C364,'TL09'!$J$10:$J$224),0),
IF('TL09'!$B$229=O$3,SUMIF('TL09'!$C$238:$C$451,$C364,'TL09'!$J$238:$J$451),0),
IF('TL10'!$B$3=O$3,SUMIF('TL10'!$C$10:$C$224,$C364,'TL10'!$J$10:$J$224),0),
IF('TL10'!$B$229=O$3,SUMIF('TL10'!$C$238:$C$451,$C364,'TL10'!$J$238:$J$451),0),
IF('TL11'!$B$3=O$3,SUMIF('TL11'!$C$10:$C$224,$C364,'TL11'!$J$10:$J$224),0),
IF('TL11'!$B$229=O$3,SUMIF('TL11'!$C$238:$C$451,$C364,'TL11'!$J$238:$J$451),0),
IF('TL12'!$B$3=O$3,SUMIF('TL12'!$C$10:$C$224,$C364,'TL12'!$J$10:$J$224),0),
IF('TL12'!$B$229=O$3,SUMIF('TL12'!$C$238:$C$451,$C364,'TL12'!$J$238:$J$451),0),
IF('TL13'!$B$3=O$3,SUMIF('TL13'!$C$10:$C$224,$C364,'TL13'!$J$10:$J$224),0),
IF('TL13'!$B$229=O$3,SUMIF('TL13'!$C$238:$C$451,$C364,'TL13'!$J$238:$J$451),0),
IF('TL14'!$B$3=O$3,SUMIF('TL14'!$C$10:$C$224,$C364,'TL14'!$J$10:$J$224),0),
IF('TL14'!$B$229=O$3,SUMIF('TL14'!$C$238:$C$451,$C364,'TL14'!$J$238:$J$451),0),
IF('TL15'!$B$3=O$3,SUMIF('TL15'!$C$10:$C$224,$C364,'TL15'!$J$10:$J$224),0),
IF('TL15'!$B$229=O$3,SUMIF('TL15'!$C$238:$C$451,$C364,'TL15'!$J$238:$J$451),0),
IF('TL16'!$B$3=O$3,SUMIF('TL16'!$C$10:$C$224,$C364,'TL16'!$J$10:$J$224),0),
IF('TL16'!$B$229=O$3,SUMIF('TL16'!$C$238:$C$451,$C364,'TL16'!$J$238:$J$451),0),
IF('TL17'!$B$3=O$3,SUMIF('TL17'!$C$10:$C$224,$C364,'TL17'!$J$10:$J$224),0),
IF('TL17'!$B$229=O$3,SUMIF('TL17'!$C$238:$C$451,$C364,'TL17'!$J$238:$J$451),0),
IF('TL18'!$B$3=O$3,SUMIF('TL18'!$C$10:$C$224,$C364,'TL18'!$J$10:$J$224),0),
IF('TL18'!$B$229=O$3,SUMIF('TL18'!$C$238:$C$451,$C364,'TL18'!$J$238:$J$451),0),
IF('TL19'!$B$3=O$3,SUMIF('TL19'!$C$10:$C$224,$C364,'TL19'!$J$10:$J$224),0),
IF('TL19'!$B$229=O$3,SUMIF('TL19'!$C$238:$C$451,$C364,'TL19'!$J$238:$J$451),0)
),0)</f>
        <v/>
      </c>
      <c r="P364" s="9">
        <f>IFERROR(SUM(
IF('TL01'!$B$3=P$3,SUMIF('TL01'!$C$10:$C$224,$C364,'TL01'!$J$10:$J$224),0),
IF('TL01'!$B$229=P$3,SUMIF('TL01'!$C$238:$C$451,$C364,'TL01'!$J$238:$J$451),0),
IF('TL02'!$B$3=P$3,SUMIF('TL02'!$C$10:$C$224,$C364,'TL02'!$J$10:$J$224),0),
IF('TL02'!$B$229=P$3,SUMIF('TL02'!$C$238:$C$451,$C364,'TL02'!$J$238:$J$451),0),
IF('TL03'!$B$3=P$3,SUMIF('TL03'!$C$10:$C$224,$C364,'TL03'!$J$10:$J$224),0),
IF('TL03'!$B$229=P$3,SUMIF('TL03'!$C$238:$C$451,$C364,'TL03'!$J$238:$J$451),0),
IF('TL04'!$B$3=P$3,SUMIF('TL04'!$C$10:$C$224,$C364,'TL04'!$J$10:$J$224),0),
IF('TL04'!$B$229=P$3,SUMIF('TL04'!$C$238:$C$451,$C364,'TL04'!$J$238:$J$451),0),
IF('TL05'!$B$3=P$3,SUMIF('TL05'!$C$10:$C$224,$C364,'TL05'!$J$10:$J$224),0),
IF('TL05'!$B$229=P$3,SUMIF('TL05'!$C$238:$C$451,$C364,'TL05'!$J$238:$J$451),0),
IF('TL06'!$B$3=P$3,SUMIF('TL06'!$C$10:$C$224,$C364,'TL06'!$J$10:$J$224),0),
IF('TL06'!$B$229=P$3,SUMIF('TL06'!$C$238:$C$451,$C364,'TL06'!$J$238:$J$451),0),
IF('TL07'!$B$3=P$3,SUMIF('TL07'!$C$10:$C$224,$C364,'TL07'!$J$10:$J$224),0),
IF('TL07'!$B$229=P$3,SUMIF('TL07'!$C$238:$C$451,$C364,'TL07'!$J$238:$J$451),0),
IF('TL08'!$B$3=P$3,SUMIF('TL08'!$C$10:$C$224,$C364,'TL08'!$J$10:$J$224),0),
IF('TL08'!$B$229=P$3,SUMIF('TL08'!$C$238:$C$451,$C364,'TL08'!$J$238:$J$451),0),
IF('TL09'!$B$3=P$3,SUMIF('TL09'!$C$10:$C$224,$C364,'TL09'!$J$10:$J$224),0),
IF('TL09'!$B$229=P$3,SUMIF('TL09'!$C$238:$C$451,$C364,'TL09'!$J$238:$J$451),0),
IF('TL10'!$B$3=P$3,SUMIF('TL10'!$C$10:$C$224,$C364,'TL10'!$J$10:$J$224),0),
IF('TL10'!$B$229=P$3,SUMIF('TL10'!$C$238:$C$451,$C364,'TL10'!$J$238:$J$451),0),
IF('TL11'!$B$3=P$3,SUMIF('TL11'!$C$10:$C$224,$C364,'TL11'!$J$10:$J$224),0),
IF('TL11'!$B$229=P$3,SUMIF('TL11'!$C$238:$C$451,$C364,'TL11'!$J$238:$J$451),0),
IF('TL12'!$B$3=P$3,SUMIF('TL12'!$C$10:$C$224,$C364,'TL12'!$J$10:$J$224),0),
IF('TL12'!$B$229=P$3,SUMIF('TL12'!$C$238:$C$451,$C364,'TL12'!$J$238:$J$451),0),
IF('TL13'!$B$3=P$3,SUMIF('TL13'!$C$10:$C$224,$C364,'TL13'!$J$10:$J$224),0),
IF('TL13'!$B$229=P$3,SUMIF('TL13'!$C$238:$C$451,$C364,'TL13'!$J$238:$J$451),0),
IF('TL14'!$B$3=P$3,SUMIF('TL14'!$C$10:$C$224,$C364,'TL14'!$J$10:$J$224),0),
IF('TL14'!$B$229=P$3,SUMIF('TL14'!$C$238:$C$451,$C364,'TL14'!$J$238:$J$451),0),
IF('TL15'!$B$3=P$3,SUMIF('TL15'!$C$10:$C$224,$C364,'TL15'!$J$10:$J$224),0),
IF('TL15'!$B$229=P$3,SUMIF('TL15'!$C$238:$C$451,$C364,'TL15'!$J$238:$J$451),0),
IF('TL16'!$B$3=P$3,SUMIF('TL16'!$C$10:$C$224,$C364,'TL16'!$J$10:$J$224),0),
IF('TL16'!$B$229=P$3,SUMIF('TL16'!$C$238:$C$451,$C364,'TL16'!$J$238:$J$451),0),
IF('TL17'!$B$3=P$3,SUMIF('TL17'!$C$10:$C$224,$C364,'TL17'!$J$10:$J$224),0),
IF('TL17'!$B$229=P$3,SUMIF('TL17'!$C$238:$C$451,$C364,'TL17'!$J$238:$J$451),0),
IF('TL18'!$B$3=P$3,SUMIF('TL18'!$C$10:$C$224,$C364,'TL18'!$J$10:$J$224),0),
IF('TL18'!$B$229=P$3,SUMIF('TL18'!$C$238:$C$451,$C364,'TL18'!$J$238:$J$451),0),
IF('TL19'!$B$3=P$3,SUMIF('TL19'!$C$10:$C$224,$C364,'TL19'!$J$10:$J$224),0),
IF('TL19'!$B$229=P$3,SUMIF('TL19'!$C$238:$C$451,$C364,'TL19'!$J$238:$J$451),0)
),0)</f>
        <v/>
      </c>
      <c r="Q364" s="9">
        <f>IFERROR(SUM(
IF('TL01'!$B$3=Q$3,SUMIF('TL01'!$C$10:$C$224,$C364,'TL01'!$J$10:$J$224),0),
IF('TL01'!$B$229=Q$3,SUMIF('TL01'!$C$238:$C$451,$C364,'TL01'!$J$238:$J$451),0),
IF('TL02'!$B$3=Q$3,SUMIF('TL02'!$C$10:$C$224,$C364,'TL02'!$J$10:$J$224),0),
IF('TL02'!$B$229=Q$3,SUMIF('TL02'!$C$238:$C$451,$C364,'TL02'!$J$238:$J$451),0),
IF('TL03'!$B$3=Q$3,SUMIF('TL03'!$C$10:$C$224,$C364,'TL03'!$J$10:$J$224),0),
IF('TL03'!$B$229=Q$3,SUMIF('TL03'!$C$238:$C$451,$C364,'TL03'!$J$238:$J$451),0),
IF('TL04'!$B$3=Q$3,SUMIF('TL04'!$C$10:$C$224,$C364,'TL04'!$J$10:$J$224),0),
IF('TL04'!$B$229=Q$3,SUMIF('TL04'!$C$238:$C$451,$C364,'TL04'!$J$238:$J$451),0),
IF('TL05'!$B$3=Q$3,SUMIF('TL05'!$C$10:$C$224,$C364,'TL05'!$J$10:$J$224),0),
IF('TL05'!$B$229=Q$3,SUMIF('TL05'!$C$238:$C$451,$C364,'TL05'!$J$238:$J$451),0),
IF('TL06'!$B$3=Q$3,SUMIF('TL06'!$C$10:$C$224,$C364,'TL06'!$J$10:$J$224),0),
IF('TL06'!$B$229=Q$3,SUMIF('TL06'!$C$238:$C$451,$C364,'TL06'!$J$238:$J$451),0),
IF('TL07'!$B$3=Q$3,SUMIF('TL07'!$C$10:$C$224,$C364,'TL07'!$J$10:$J$224),0),
IF('TL07'!$B$229=Q$3,SUMIF('TL07'!$C$238:$C$451,$C364,'TL07'!$J$238:$J$451),0),
IF('TL08'!$B$3=Q$3,SUMIF('TL08'!$C$10:$C$224,$C364,'TL08'!$J$10:$J$224),0),
IF('TL08'!$B$229=Q$3,SUMIF('TL08'!$C$238:$C$451,$C364,'TL08'!$J$238:$J$451),0),
IF('TL09'!$B$3=Q$3,SUMIF('TL09'!$C$10:$C$224,$C364,'TL09'!$J$10:$J$224),0),
IF('TL09'!$B$229=Q$3,SUMIF('TL09'!$C$238:$C$451,$C364,'TL09'!$J$238:$J$451),0),
IF('TL10'!$B$3=Q$3,SUMIF('TL10'!$C$10:$C$224,$C364,'TL10'!$J$10:$J$224),0),
IF('TL10'!$B$229=Q$3,SUMIF('TL10'!$C$238:$C$451,$C364,'TL10'!$J$238:$J$451),0),
IF('TL11'!$B$3=Q$3,SUMIF('TL11'!$C$10:$C$224,$C364,'TL11'!$J$10:$J$224),0),
IF('TL11'!$B$229=Q$3,SUMIF('TL11'!$C$238:$C$451,$C364,'TL11'!$J$238:$J$451),0),
IF('TL12'!$B$3=Q$3,SUMIF('TL12'!$C$10:$C$224,$C364,'TL12'!$J$10:$J$224),0),
IF('TL12'!$B$229=Q$3,SUMIF('TL12'!$C$238:$C$451,$C364,'TL12'!$J$238:$J$451),0),
IF('TL13'!$B$3=Q$3,SUMIF('TL13'!$C$10:$C$224,$C364,'TL13'!$J$10:$J$224),0),
IF('TL13'!$B$229=Q$3,SUMIF('TL13'!$C$238:$C$451,$C364,'TL13'!$J$238:$J$451),0),
IF('TL14'!$B$3=Q$3,SUMIF('TL14'!$C$10:$C$224,$C364,'TL14'!$J$10:$J$224),0),
IF('TL14'!$B$229=Q$3,SUMIF('TL14'!$C$238:$C$451,$C364,'TL14'!$J$238:$J$451),0),
IF('TL15'!$B$3=Q$3,SUMIF('TL15'!$C$10:$C$224,$C364,'TL15'!$J$10:$J$224),0),
IF('TL15'!$B$229=Q$3,SUMIF('TL15'!$C$238:$C$451,$C364,'TL15'!$J$238:$J$451),0),
IF('TL16'!$B$3=Q$3,SUMIF('TL16'!$C$10:$C$224,$C364,'TL16'!$J$10:$J$224),0),
IF('TL16'!$B$229=Q$3,SUMIF('TL16'!$C$238:$C$451,$C364,'TL16'!$J$238:$J$451),0),
IF('TL17'!$B$3=Q$3,SUMIF('TL17'!$C$10:$C$224,$C364,'TL17'!$J$10:$J$224),0),
IF('TL17'!$B$229=Q$3,SUMIF('TL17'!$C$238:$C$451,$C364,'TL17'!$J$238:$J$451),0),
IF('TL18'!$B$3=Q$3,SUMIF('TL18'!$C$10:$C$224,$C364,'TL18'!$J$10:$J$224),0),
IF('TL18'!$B$229=Q$3,SUMIF('TL18'!$C$238:$C$451,$C364,'TL18'!$J$238:$J$451),0),
IF('TL19'!$B$3=Q$3,SUMIF('TL19'!$C$10:$C$224,$C364,'TL19'!$J$10:$J$224),0),
IF('TL19'!$B$229=Q$3,SUMIF('TL19'!$C$238:$C$451,$C364,'TL19'!$J$238:$J$451),0)
),0)</f>
        <v/>
      </c>
      <c r="R364" s="9">
        <f>IFERROR(
SUM(
SUMIF('TL01'!C:C,C364,'TL01'!J:J),
SUMIF('TL02'!C:C,C364,'TL02'!J:J),
SUMIF('TL03'!C:C,C364,'TL03'!J:J),
SUMIF('TL04'!C:C,C364,'TL04'!J:J),
SUMIF('TL05'!C:C,C364,'TL05'!J:J),
SUMIF('TL06'!C:C,C364,'TL06'!J:J),
SUMIF('TL07'!C:C,C364,'TL07'!J:J),
SUMIF('TL08'!C:C,C364,'TL08'!J:J),
SUMIF('TL09'!C:C,C364,'TL09'!J:J),
SUMIF('TL10'!C:C,C364,'TL10'!J:J),
SUMIF('TL11'!C:C,C364,'TL11'!J:J),
SUMIF('TL12'!C:C,C364,'TL12'!J:J),
SUMIF('TL13'!C:C,C364,'TL13'!J:J),
SUMIF('TL14'!C:C,C364,'TL14'!J:J),
SUMIF('TL15'!C:C,C364,'TL15'!J:J),
SUMIF('TL16'!C:C,C364,'TL16'!J:J),
SUMIF('TL17'!C:C,C364,'TL17'!J:J),
SUMIF('TL18'!C:C,C364,'TL18'!J:J),SUMIF('TL19'!C:C,C364,'TL19'!J:J))
,0)</f>
        <v/>
      </c>
      <c r="S364" s="17">
        <f>IFERROR(__xludf.DUMMYFUNCTION("IFERROR(VLOOKUP(C364,
IMPORTRANGE(""1wULbzX32WdYsx-lj2U3uUNBBe2INVIRDtcK0d-Dvl90"",
""26-27!C:G""),
5,
FALSE),
"""")"),46.8)</f>
        <v/>
      </c>
      <c r="T364" s="9" t="n"/>
      <c r="U364" s="92">
        <f>MAX(0,R364-T364)</f>
        <v/>
      </c>
      <c r="V364" s="93">
        <f>U364*S364</f>
        <v/>
      </c>
    </row>
    <row r="365" hidden="1" ht="15.75" customHeight="1" s="297">
      <c r="A365" s="4" t="inlineStr">
        <is>
          <t>SOLUBIO</t>
        </is>
      </c>
      <c r="B365" s="4" t="inlineStr">
        <is>
          <t>BIOLÓGICOS</t>
        </is>
      </c>
      <c r="C365" s="128" t="inlineStr">
        <is>
          <t>Solu Shield</t>
        </is>
      </c>
      <c r="D365" s="129" t="inlineStr">
        <is>
          <t>Bacilus pumilus</t>
        </is>
      </c>
      <c r="E365" s="20" t="n"/>
      <c r="F365" s="4" t="inlineStr">
        <is>
          <t>KG</t>
        </is>
      </c>
      <c r="G365" s="90">
        <f>HYPERLINK("https://www.google.com/search?q=" &amp; C365 &amp; "+bula+agrofit+pdf", "📄 Ver bula")</f>
        <v/>
      </c>
      <c r="H365" s="4" t="n">
        <v>2</v>
      </c>
      <c r="I365" s="123" t="inlineStr">
        <is>
          <t>4X5</t>
        </is>
      </c>
      <c r="J365" s="9">
        <f>IFERROR(SUM(
IF('TL01'!$B$3=J$3,SUMIF('TL01'!$C$10:$C$224,$C365,'TL01'!$J$10:$J$224),0),
IF('TL01'!$B$229=J$3,SUMIF('TL01'!$C$238:$C$451,$C365,'TL01'!$J$238:$J$451),0),
IF('TL02'!$B$3=J$3,SUMIF('TL02'!$C$10:$C$224,$C365,'TL02'!$J$10:$J$224),0),
IF('TL02'!$B$229=J$3,SUMIF('TL02'!$C$238:$C$451,$C365,'TL02'!$J$238:$J$451),0),
IF('TL03'!$B$3=J$3,SUMIF('TL03'!$C$10:$C$224,$C365,'TL03'!$J$10:$J$224),0),
IF('TL03'!$B$229=J$3,SUMIF('TL03'!$C$238:$C$451,$C365,'TL03'!$J$238:$J$451),0),
IF('TL04'!$B$3=J$3,SUMIF('TL04'!$C$10:$C$224,$C365,'TL04'!$J$10:$J$224),0),
IF('TL04'!$B$229=J$3,SUMIF('TL04'!$C$238:$C$451,$C365,'TL04'!$J$238:$J$451),0),
IF('TL05'!$B$3=J$3,SUMIF('TL05'!$C$10:$C$224,$C365,'TL05'!$J$10:$J$224),0),
IF('TL05'!$B$229=J$3,SUMIF('TL05'!$C$238:$C$451,$C365,'TL05'!$J$238:$J$451),0),
IF('TL06'!$B$3=J$3,SUMIF('TL06'!$C$10:$C$224,$C365,'TL06'!$J$10:$J$224),0),
IF('TL06'!$B$229=J$3,SUMIF('TL06'!$C$238:$C$451,$C365,'TL06'!$J$238:$J$451),0),
IF('TL07'!$B$3=J$3,SUMIF('TL07'!$C$10:$C$224,$C365,'TL07'!$J$10:$J$224),0),
IF('TL07'!$B$229=J$3,SUMIF('TL07'!$C$238:$C$451,$C365,'TL07'!$J$238:$J$451),0),
IF('TL08'!$B$3=J$3,SUMIF('TL08'!$C$10:$C$224,$C365,'TL08'!$J$10:$J$224),0),
IF('TL08'!$B$229=J$3,SUMIF('TL08'!$C$238:$C$451,$C365,'TL08'!$J$238:$J$451),0),
IF('TL09'!$B$3=J$3,SUMIF('TL09'!$C$10:$C$224,$C365,'TL09'!$J$10:$J$224),0),
IF('TL09'!$B$229=J$3,SUMIF('TL09'!$C$238:$C$451,$C365,'TL09'!$J$238:$J$451),0),
IF('TL10'!$B$3=J$3,SUMIF('TL10'!$C$10:$C$224,$C365,'TL10'!$J$10:$J$224),0),
IF('TL10'!$B$229=J$3,SUMIF('TL10'!$C$238:$C$451,$C365,'TL10'!$J$238:$J$451),0),
IF('TL11'!$B$3=J$3,SUMIF('TL11'!$C$10:$C$224,$C365,'TL11'!$J$10:$J$224),0),
IF('TL11'!$B$229=J$3,SUMIF('TL11'!$C$238:$C$451,$C365,'TL11'!$J$238:$J$451),0),
IF('TL12'!$B$3=J$3,SUMIF('TL12'!$C$10:$C$224,$C365,'TL12'!$J$10:$J$224),0),
IF('TL12'!$B$229=J$3,SUMIF('TL12'!$C$238:$C$451,$C365,'TL12'!$J$238:$J$451),0),
IF('TL13'!$B$3=J$3,SUMIF('TL13'!$C$10:$C$224,$C365,'TL13'!$J$10:$J$224),0),
IF('TL13'!$B$229=J$3,SUMIF('TL13'!$C$238:$C$451,$C365,'TL13'!$J$238:$J$451),0),
IF('TL14'!$B$3=J$3,SUMIF('TL14'!$C$10:$C$224,$C365,'TL14'!$J$10:$J$224),0),
IF('TL14'!$B$229=J$3,SUMIF('TL14'!$C$238:$C$451,$C365,'TL14'!$J$238:$J$451),0),
IF('TL15'!$B$3=J$3,SUMIF('TL15'!$C$10:$C$224,$C365,'TL15'!$J$10:$J$224),0),
IF('TL15'!$B$229=J$3,SUMIF('TL15'!$C$238:$C$451,$C365,'TL15'!$J$238:$J$451),0),
IF('TL16'!$B$3=J$3,SUMIF('TL16'!$C$10:$C$224,$C365,'TL16'!$J$10:$J$224),0),
IF('TL16'!$B$229=J$3,SUMIF('TL16'!$C$238:$C$451,$C365,'TL16'!$J$238:$J$451),0),
IF('TL17'!$B$3=J$3,SUMIF('TL17'!$C$10:$C$224,$C365,'TL17'!$J$10:$J$224),0),
IF('TL17'!$B$229=J$3,SUMIF('TL17'!$C$238:$C$451,$C365,'TL17'!$J$238:$J$451),0),
IF('TL18'!$B$3=J$3,SUMIF('TL18'!$C$10:$C$224,$C365,'TL18'!$J$10:$J$224),0),
IF('TL18'!$B$229=J$3,SUMIF('TL18'!$C$238:$C$451,$C365,'TL18'!$J$238:$J$451),0),
IF('TL19'!$B$3=J$3,SUMIF('TL19'!$C$10:$C$224,$C365,'TL19'!$J$10:$J$224),0),
IF('TL19'!$B$229=J$3,SUMIF('TL19'!$C$238:$C$451,$C365,'TL19'!$J$238:$J$451),0)
),0)</f>
        <v/>
      </c>
      <c r="K365" s="9">
        <f>IFERROR(SUM(
IF('TL01'!$B$3=K$3,SUMIF('TL01'!$C$10:$C$224,$C365,'TL01'!$J$10:$J$224),0),
IF('TL01'!$B$229=K$3,SUMIF('TL01'!$C$238:$C$451,$C365,'TL01'!$J$238:$J$451),0),
IF('TL02'!$B$3=K$3,SUMIF('TL02'!$C$10:$C$224,$C365,'TL02'!$J$10:$J$224),0),
IF('TL02'!$B$229=K$3,SUMIF('TL02'!$C$238:$C$451,$C365,'TL02'!$J$238:$J$451),0),
IF('TL03'!$B$3=K$3,SUMIF('TL03'!$C$10:$C$224,$C365,'TL03'!$J$10:$J$224),0),
IF('TL03'!$B$229=K$3,SUMIF('TL03'!$C$238:$C$451,$C365,'TL03'!$J$238:$J$451),0),
IF('TL04'!$B$3=K$3,SUMIF('TL04'!$C$10:$C$224,$C365,'TL04'!$J$10:$J$224),0),
IF('TL04'!$B$229=K$3,SUMIF('TL04'!$C$238:$C$451,$C365,'TL04'!$J$238:$J$451),0),
IF('TL05'!$B$3=K$3,SUMIF('TL05'!$C$10:$C$224,$C365,'TL05'!$J$10:$J$224),0),
IF('TL05'!$B$229=K$3,SUMIF('TL05'!$C$238:$C$451,$C365,'TL05'!$J$238:$J$451),0),
IF('TL06'!$B$3=K$3,SUMIF('TL06'!$C$10:$C$224,$C365,'TL06'!$J$10:$J$224),0),
IF('TL06'!$B$229=K$3,SUMIF('TL06'!$C$238:$C$451,$C365,'TL06'!$J$238:$J$451),0),
IF('TL07'!$B$3=K$3,SUMIF('TL07'!$C$10:$C$224,$C365,'TL07'!$J$10:$J$224),0),
IF('TL07'!$B$229=K$3,SUMIF('TL07'!$C$238:$C$451,$C365,'TL07'!$J$238:$J$451),0),
IF('TL08'!$B$3=K$3,SUMIF('TL08'!$C$10:$C$224,$C365,'TL08'!$J$10:$J$224),0),
IF('TL08'!$B$229=K$3,SUMIF('TL08'!$C$238:$C$451,$C365,'TL08'!$J$238:$J$451),0),
IF('TL09'!$B$3=K$3,SUMIF('TL09'!$C$10:$C$224,$C365,'TL09'!$J$10:$J$224),0),
IF('TL09'!$B$229=K$3,SUMIF('TL09'!$C$238:$C$451,$C365,'TL09'!$J$238:$J$451),0),
IF('TL10'!$B$3=K$3,SUMIF('TL10'!$C$10:$C$224,$C365,'TL10'!$J$10:$J$224),0),
IF('TL10'!$B$229=K$3,SUMIF('TL10'!$C$238:$C$451,$C365,'TL10'!$J$238:$J$451),0),
IF('TL11'!$B$3=K$3,SUMIF('TL11'!$C$10:$C$224,$C365,'TL11'!$J$10:$J$224),0),
IF('TL11'!$B$229=K$3,SUMIF('TL11'!$C$238:$C$451,$C365,'TL11'!$J$238:$J$451),0),
IF('TL12'!$B$3=K$3,SUMIF('TL12'!$C$10:$C$224,$C365,'TL12'!$J$10:$J$224),0),
IF('TL12'!$B$229=K$3,SUMIF('TL12'!$C$238:$C$451,$C365,'TL12'!$J$238:$J$451),0),
IF('TL13'!$B$3=K$3,SUMIF('TL13'!$C$10:$C$224,$C365,'TL13'!$J$10:$J$224),0),
IF('TL13'!$B$229=K$3,SUMIF('TL13'!$C$238:$C$451,$C365,'TL13'!$J$238:$J$451),0),
IF('TL14'!$B$3=K$3,SUMIF('TL14'!$C$10:$C$224,$C365,'TL14'!$J$10:$J$224),0),
IF('TL14'!$B$229=K$3,SUMIF('TL14'!$C$238:$C$451,$C365,'TL14'!$J$238:$J$451),0),
IF('TL15'!$B$3=K$3,SUMIF('TL15'!$C$10:$C$224,$C365,'TL15'!$J$10:$J$224),0),
IF('TL15'!$B$229=K$3,SUMIF('TL15'!$C$238:$C$451,$C365,'TL15'!$J$238:$J$451),0),
IF('TL16'!$B$3=K$3,SUMIF('TL16'!$C$10:$C$224,$C365,'TL16'!$J$10:$J$224),0),
IF('TL16'!$B$229=K$3,SUMIF('TL16'!$C$238:$C$451,$C365,'TL16'!$J$238:$J$451),0),
IF('TL17'!$B$3=K$3,SUMIF('TL17'!$C$10:$C$224,$C365,'TL17'!$J$10:$J$224),0),
IF('TL17'!$B$229=K$3,SUMIF('TL17'!$C$238:$C$451,$C365,'TL17'!$J$238:$J$451),0),
IF('TL18'!$B$3=K$3,SUMIF('TL18'!$C$10:$C$224,$C365,'TL18'!$J$10:$J$224),0),
IF('TL18'!$B$229=K$3,SUMIF('TL18'!$C$238:$C$451,$C365,'TL18'!$J$238:$J$451),0),
IF('TL19'!$B$3=K$3,SUMIF('TL19'!$C$10:$C$224,$C365,'TL19'!$J$10:$J$224),0),
IF('TL19'!$B$229=K$3,SUMIF('TL19'!$C$238:$C$451,$C365,'TL19'!$J$238:$J$451),0)
),0)</f>
        <v/>
      </c>
      <c r="L365" s="9">
        <f>IFERROR(SUM(
IF('TL01'!$B$3=L$3,SUMIF('TL01'!$C$10:$C$224,$C365,'TL01'!$J$10:$J$224),0),
IF('TL01'!$B$229=L$3,SUMIF('TL01'!$C$238:$C$451,$C365,'TL01'!$J$238:$J$451),0),
IF('TL02'!$B$3=L$3,SUMIF('TL02'!$C$10:$C$224,$C365,'TL02'!$J$10:$J$224),0),
IF('TL02'!$B$229=L$3,SUMIF('TL02'!$C$238:$C$451,$C365,'TL02'!$J$238:$J$451),0),
IF('TL03'!$B$3=L$3,SUMIF('TL03'!$C$10:$C$224,$C365,'TL03'!$J$10:$J$224),0),
IF('TL03'!$B$229=L$3,SUMIF('TL03'!$C$238:$C$451,$C365,'TL03'!$J$238:$J$451),0),
IF('TL04'!$B$3=L$3,SUMIF('TL04'!$C$10:$C$224,$C365,'TL04'!$J$10:$J$224),0),
IF('TL04'!$B$229=L$3,SUMIF('TL04'!$C$238:$C$451,$C365,'TL04'!$J$238:$J$451),0),
IF('TL05'!$B$3=L$3,SUMIF('TL05'!$C$10:$C$224,$C365,'TL05'!$J$10:$J$224),0),
IF('TL05'!$B$229=L$3,SUMIF('TL05'!$C$238:$C$451,$C365,'TL05'!$J$238:$J$451),0),
IF('TL06'!$B$3=L$3,SUMIF('TL06'!$C$10:$C$224,$C365,'TL06'!$J$10:$J$224),0),
IF('TL06'!$B$229=L$3,SUMIF('TL06'!$C$238:$C$451,$C365,'TL06'!$J$238:$J$451),0),
IF('TL07'!$B$3=L$3,SUMIF('TL07'!$C$10:$C$224,$C365,'TL07'!$J$10:$J$224),0),
IF('TL07'!$B$229=L$3,SUMIF('TL07'!$C$238:$C$451,$C365,'TL07'!$J$238:$J$451),0),
IF('TL08'!$B$3=L$3,SUMIF('TL08'!$C$10:$C$224,$C365,'TL08'!$J$10:$J$224),0),
IF('TL08'!$B$229=L$3,SUMIF('TL08'!$C$238:$C$451,$C365,'TL08'!$J$238:$J$451),0),
IF('TL09'!$B$3=L$3,SUMIF('TL09'!$C$10:$C$224,$C365,'TL09'!$J$10:$J$224),0),
IF('TL09'!$B$229=L$3,SUMIF('TL09'!$C$238:$C$451,$C365,'TL09'!$J$238:$J$451),0),
IF('TL10'!$B$3=L$3,SUMIF('TL10'!$C$10:$C$224,$C365,'TL10'!$J$10:$J$224),0),
IF('TL10'!$B$229=L$3,SUMIF('TL10'!$C$238:$C$451,$C365,'TL10'!$J$238:$J$451),0),
IF('TL11'!$B$3=L$3,SUMIF('TL11'!$C$10:$C$224,$C365,'TL11'!$J$10:$J$224),0),
IF('TL11'!$B$229=L$3,SUMIF('TL11'!$C$238:$C$451,$C365,'TL11'!$J$238:$J$451),0),
IF('TL12'!$B$3=L$3,SUMIF('TL12'!$C$10:$C$224,$C365,'TL12'!$J$10:$J$224),0),
IF('TL12'!$B$229=L$3,SUMIF('TL12'!$C$238:$C$451,$C365,'TL12'!$J$238:$J$451),0),
IF('TL13'!$B$3=L$3,SUMIF('TL13'!$C$10:$C$224,$C365,'TL13'!$J$10:$J$224),0),
IF('TL13'!$B$229=L$3,SUMIF('TL13'!$C$238:$C$451,$C365,'TL13'!$J$238:$J$451),0),
IF('TL14'!$B$3=L$3,SUMIF('TL14'!$C$10:$C$224,$C365,'TL14'!$J$10:$J$224),0),
IF('TL14'!$B$229=L$3,SUMIF('TL14'!$C$238:$C$451,$C365,'TL14'!$J$238:$J$451),0),
IF('TL15'!$B$3=L$3,SUMIF('TL15'!$C$10:$C$224,$C365,'TL15'!$J$10:$J$224),0),
IF('TL15'!$B$229=L$3,SUMIF('TL15'!$C$238:$C$451,$C365,'TL15'!$J$238:$J$451),0),
IF('TL16'!$B$3=L$3,SUMIF('TL16'!$C$10:$C$224,$C365,'TL16'!$J$10:$J$224),0),
IF('TL16'!$B$229=L$3,SUMIF('TL16'!$C$238:$C$451,$C365,'TL16'!$J$238:$J$451),0),
IF('TL17'!$B$3=L$3,SUMIF('TL17'!$C$10:$C$224,$C365,'TL17'!$J$10:$J$224),0),
IF('TL17'!$B$229=L$3,SUMIF('TL17'!$C$238:$C$451,$C365,'TL17'!$J$238:$J$451),0),
IF('TL18'!$B$3=L$3,SUMIF('TL18'!$C$10:$C$224,$C365,'TL18'!$J$10:$J$224),0),
IF('TL18'!$B$229=L$3,SUMIF('TL18'!$C$238:$C$451,$C365,'TL18'!$J$238:$J$451),0),
IF('TL19'!$B$3=L$3,SUMIF('TL19'!$C$10:$C$224,$C365,'TL19'!$J$10:$J$224),0),
IF('TL19'!$B$229=L$3,SUMIF('TL19'!$C$238:$C$451,$C365,'TL19'!$J$238:$J$451),0)
),0)</f>
        <v/>
      </c>
      <c r="M365" s="9">
        <f>IFERROR(SUM(
IF('TL01'!$B$3=M$3,SUMIF('TL01'!$C$10:$C$224,$C365,'TL01'!$J$10:$J$224),0),
IF('TL01'!$B$229=M$3,SUMIF('TL01'!$C$238:$C$451,$C365,'TL01'!$J$238:$J$451),0),
IF('TL02'!$B$3=M$3,SUMIF('TL02'!$C$10:$C$224,$C365,'TL02'!$J$10:$J$224),0),
IF('TL02'!$B$229=M$3,SUMIF('TL02'!$C$238:$C$451,$C365,'TL02'!$J$238:$J$451),0),
IF('TL03'!$B$3=M$3,SUMIF('TL03'!$C$10:$C$224,$C365,'TL03'!$J$10:$J$224),0),
IF('TL03'!$B$229=M$3,SUMIF('TL03'!$C$238:$C$451,$C365,'TL03'!$J$238:$J$451),0),
IF('TL04'!$B$3=M$3,SUMIF('TL04'!$C$10:$C$224,$C365,'TL04'!$J$10:$J$224),0),
IF('TL04'!$B$229=M$3,SUMIF('TL04'!$C$238:$C$451,$C365,'TL04'!$J$238:$J$451),0),
IF('TL05'!$B$3=M$3,SUMIF('TL05'!$C$10:$C$224,$C365,'TL05'!$J$10:$J$224),0),
IF('TL05'!$B$229=M$3,SUMIF('TL05'!$C$238:$C$451,$C365,'TL05'!$J$238:$J$451),0),
IF('TL06'!$B$3=M$3,SUMIF('TL06'!$C$10:$C$224,$C365,'TL06'!$J$10:$J$224),0),
IF('TL06'!$B$229=M$3,SUMIF('TL06'!$C$238:$C$451,$C365,'TL06'!$J$238:$J$451),0),
IF('TL07'!$B$3=M$3,SUMIF('TL07'!$C$10:$C$224,$C365,'TL07'!$J$10:$J$224),0),
IF('TL07'!$B$229=M$3,SUMIF('TL07'!$C$238:$C$451,$C365,'TL07'!$J$238:$J$451),0),
IF('TL08'!$B$3=M$3,SUMIF('TL08'!$C$10:$C$224,$C365,'TL08'!$J$10:$J$224),0),
IF('TL08'!$B$229=M$3,SUMIF('TL08'!$C$238:$C$451,$C365,'TL08'!$J$238:$J$451),0),
IF('TL09'!$B$3=M$3,SUMIF('TL09'!$C$10:$C$224,$C365,'TL09'!$J$10:$J$224),0),
IF('TL09'!$B$229=M$3,SUMIF('TL09'!$C$238:$C$451,$C365,'TL09'!$J$238:$J$451),0),
IF('TL10'!$B$3=M$3,SUMIF('TL10'!$C$10:$C$224,$C365,'TL10'!$J$10:$J$224),0),
IF('TL10'!$B$229=M$3,SUMIF('TL10'!$C$238:$C$451,$C365,'TL10'!$J$238:$J$451),0),
IF('TL11'!$B$3=M$3,SUMIF('TL11'!$C$10:$C$224,$C365,'TL11'!$J$10:$J$224),0),
IF('TL11'!$B$229=M$3,SUMIF('TL11'!$C$238:$C$451,$C365,'TL11'!$J$238:$J$451),0),
IF('TL12'!$B$3=M$3,SUMIF('TL12'!$C$10:$C$224,$C365,'TL12'!$J$10:$J$224),0),
IF('TL12'!$B$229=M$3,SUMIF('TL12'!$C$238:$C$451,$C365,'TL12'!$J$238:$J$451),0),
IF('TL13'!$B$3=M$3,SUMIF('TL13'!$C$10:$C$224,$C365,'TL13'!$J$10:$J$224),0),
IF('TL13'!$B$229=M$3,SUMIF('TL13'!$C$238:$C$451,$C365,'TL13'!$J$238:$J$451),0),
IF('TL14'!$B$3=M$3,SUMIF('TL14'!$C$10:$C$224,$C365,'TL14'!$J$10:$J$224),0),
IF('TL14'!$B$229=M$3,SUMIF('TL14'!$C$238:$C$451,$C365,'TL14'!$J$238:$J$451),0),
IF('TL15'!$B$3=M$3,SUMIF('TL15'!$C$10:$C$224,$C365,'TL15'!$J$10:$J$224),0),
IF('TL15'!$B$229=M$3,SUMIF('TL15'!$C$238:$C$451,$C365,'TL15'!$J$238:$J$451),0),
IF('TL16'!$B$3=M$3,SUMIF('TL16'!$C$10:$C$224,$C365,'TL16'!$J$10:$J$224),0),
IF('TL16'!$B$229=M$3,SUMIF('TL16'!$C$238:$C$451,$C365,'TL16'!$J$238:$J$451),0),
IF('TL17'!$B$3=M$3,SUMIF('TL17'!$C$10:$C$224,$C365,'TL17'!$J$10:$J$224),0),
IF('TL17'!$B$229=M$3,SUMIF('TL17'!$C$238:$C$451,$C365,'TL17'!$J$238:$J$451),0),
IF('TL18'!$B$3=M$3,SUMIF('TL18'!$C$10:$C$224,$C365,'TL18'!$J$10:$J$224),0),
IF('TL18'!$B$229=M$3,SUMIF('TL18'!$C$238:$C$451,$C365,'TL18'!$J$238:$J$451),0),
IF('TL19'!$B$3=M$3,SUMIF('TL19'!$C$10:$C$224,$C365,'TL19'!$J$10:$J$224),0),
IF('TL19'!$B$229=M$3,SUMIF('TL19'!$C$238:$C$451,$C365,'TL19'!$J$238:$J$451),0)
),0)</f>
        <v/>
      </c>
      <c r="N365" s="9">
        <f>IFERROR(SUM(
IF('TL01'!$B$3=N$3,SUMIF('TL01'!$C$10:$C$224,$C365,'TL01'!$J$10:$J$224),0),
IF('TL01'!$B$229=N$3,SUMIF('TL01'!$C$238:$C$451,$C365,'TL01'!$J$238:$J$451),0),
IF('TL02'!$B$3=N$3,SUMIF('TL02'!$C$10:$C$224,$C365,'TL02'!$J$10:$J$224),0),
IF('TL02'!$B$229=N$3,SUMIF('TL02'!$C$238:$C$451,$C365,'TL02'!$J$238:$J$451),0),
IF('TL03'!$B$3=N$3,SUMIF('TL03'!$C$10:$C$224,$C365,'TL03'!$J$10:$J$224),0),
IF('TL03'!$B$229=N$3,SUMIF('TL03'!$C$238:$C$451,$C365,'TL03'!$J$238:$J$451),0),
IF('TL04'!$B$3=N$3,SUMIF('TL04'!$C$10:$C$224,$C365,'TL04'!$J$10:$J$224),0),
IF('TL04'!$B$229=N$3,SUMIF('TL04'!$C$238:$C$451,$C365,'TL04'!$J$238:$J$451),0),
IF('TL05'!$B$3=N$3,SUMIF('TL05'!$C$10:$C$224,$C365,'TL05'!$J$10:$J$224),0),
IF('TL05'!$B$229=N$3,SUMIF('TL05'!$C$238:$C$451,$C365,'TL05'!$J$238:$J$451),0),
IF('TL06'!$B$3=N$3,SUMIF('TL06'!$C$10:$C$224,$C365,'TL06'!$J$10:$J$224),0),
IF('TL06'!$B$229=N$3,SUMIF('TL06'!$C$238:$C$451,$C365,'TL06'!$J$238:$J$451),0),
IF('TL07'!$B$3=N$3,SUMIF('TL07'!$C$10:$C$224,$C365,'TL07'!$J$10:$J$224),0),
IF('TL07'!$B$229=N$3,SUMIF('TL07'!$C$238:$C$451,$C365,'TL07'!$J$238:$J$451),0),
IF('TL08'!$B$3=N$3,SUMIF('TL08'!$C$10:$C$224,$C365,'TL08'!$J$10:$J$224),0),
IF('TL08'!$B$229=N$3,SUMIF('TL08'!$C$238:$C$451,$C365,'TL08'!$J$238:$J$451),0),
IF('TL09'!$B$3=N$3,SUMIF('TL09'!$C$10:$C$224,$C365,'TL09'!$J$10:$J$224),0),
IF('TL09'!$B$229=N$3,SUMIF('TL09'!$C$238:$C$451,$C365,'TL09'!$J$238:$J$451),0),
IF('TL10'!$B$3=N$3,SUMIF('TL10'!$C$10:$C$224,$C365,'TL10'!$J$10:$J$224),0),
IF('TL10'!$B$229=N$3,SUMIF('TL10'!$C$238:$C$451,$C365,'TL10'!$J$238:$J$451),0),
IF('TL11'!$B$3=N$3,SUMIF('TL11'!$C$10:$C$224,$C365,'TL11'!$J$10:$J$224),0),
IF('TL11'!$B$229=N$3,SUMIF('TL11'!$C$238:$C$451,$C365,'TL11'!$J$238:$J$451),0),
IF('TL12'!$B$3=N$3,SUMIF('TL12'!$C$10:$C$224,$C365,'TL12'!$J$10:$J$224),0),
IF('TL12'!$B$229=N$3,SUMIF('TL12'!$C$238:$C$451,$C365,'TL12'!$J$238:$J$451),0),
IF('TL13'!$B$3=N$3,SUMIF('TL13'!$C$10:$C$224,$C365,'TL13'!$J$10:$J$224),0),
IF('TL13'!$B$229=N$3,SUMIF('TL13'!$C$238:$C$451,$C365,'TL13'!$J$238:$J$451),0),
IF('TL14'!$B$3=N$3,SUMIF('TL14'!$C$10:$C$224,$C365,'TL14'!$J$10:$J$224),0),
IF('TL14'!$B$229=N$3,SUMIF('TL14'!$C$238:$C$451,$C365,'TL14'!$J$238:$J$451),0),
IF('TL15'!$B$3=N$3,SUMIF('TL15'!$C$10:$C$224,$C365,'TL15'!$J$10:$J$224),0),
IF('TL15'!$B$229=N$3,SUMIF('TL15'!$C$238:$C$451,$C365,'TL15'!$J$238:$J$451),0),
IF('TL16'!$B$3=N$3,SUMIF('TL16'!$C$10:$C$224,$C365,'TL16'!$J$10:$J$224),0),
IF('TL16'!$B$229=N$3,SUMIF('TL16'!$C$238:$C$451,$C365,'TL16'!$J$238:$J$451),0),
IF('TL17'!$B$3=N$3,SUMIF('TL17'!$C$10:$C$224,$C365,'TL17'!$J$10:$J$224),0),
IF('TL17'!$B$229=N$3,SUMIF('TL17'!$C$238:$C$451,$C365,'TL17'!$J$238:$J$451),0),
IF('TL18'!$B$3=N$3,SUMIF('TL18'!$C$10:$C$224,$C365,'TL18'!$J$10:$J$224),0),
IF('TL18'!$B$229=N$3,SUMIF('TL18'!$C$238:$C$451,$C365,'TL18'!$J$238:$J$451),0),
IF('TL19'!$B$3=N$3,SUMIF('TL19'!$C$10:$C$224,$C365,'TL19'!$J$10:$J$224),0),
IF('TL19'!$B$229=N$3,SUMIF('TL19'!$C$238:$C$451,$C365,'TL19'!$J$238:$J$451),0)
),0)</f>
        <v/>
      </c>
      <c r="O365" s="9">
        <f>IFERROR(SUM(
IF('TL01'!$B$3=O$3,SUMIF('TL01'!$C$10:$C$224,$C365,'TL01'!$J$10:$J$224),0),
IF('TL01'!$B$229=O$3,SUMIF('TL01'!$C$238:$C$451,$C365,'TL01'!$J$238:$J$451),0),
IF('TL02'!$B$3=O$3,SUMIF('TL02'!$C$10:$C$224,$C365,'TL02'!$J$10:$J$224),0),
IF('TL02'!$B$229=O$3,SUMIF('TL02'!$C$238:$C$451,$C365,'TL02'!$J$238:$J$451),0),
IF('TL03'!$B$3=O$3,SUMIF('TL03'!$C$10:$C$224,$C365,'TL03'!$J$10:$J$224),0),
IF('TL03'!$B$229=O$3,SUMIF('TL03'!$C$238:$C$451,$C365,'TL03'!$J$238:$J$451),0),
IF('TL04'!$B$3=O$3,SUMIF('TL04'!$C$10:$C$224,$C365,'TL04'!$J$10:$J$224),0),
IF('TL04'!$B$229=O$3,SUMIF('TL04'!$C$238:$C$451,$C365,'TL04'!$J$238:$J$451),0),
IF('TL05'!$B$3=O$3,SUMIF('TL05'!$C$10:$C$224,$C365,'TL05'!$J$10:$J$224),0),
IF('TL05'!$B$229=O$3,SUMIF('TL05'!$C$238:$C$451,$C365,'TL05'!$J$238:$J$451),0),
IF('TL06'!$B$3=O$3,SUMIF('TL06'!$C$10:$C$224,$C365,'TL06'!$J$10:$J$224),0),
IF('TL06'!$B$229=O$3,SUMIF('TL06'!$C$238:$C$451,$C365,'TL06'!$J$238:$J$451),0),
IF('TL07'!$B$3=O$3,SUMIF('TL07'!$C$10:$C$224,$C365,'TL07'!$J$10:$J$224),0),
IF('TL07'!$B$229=O$3,SUMIF('TL07'!$C$238:$C$451,$C365,'TL07'!$J$238:$J$451),0),
IF('TL08'!$B$3=O$3,SUMIF('TL08'!$C$10:$C$224,$C365,'TL08'!$J$10:$J$224),0),
IF('TL08'!$B$229=O$3,SUMIF('TL08'!$C$238:$C$451,$C365,'TL08'!$J$238:$J$451),0),
IF('TL09'!$B$3=O$3,SUMIF('TL09'!$C$10:$C$224,$C365,'TL09'!$J$10:$J$224),0),
IF('TL09'!$B$229=O$3,SUMIF('TL09'!$C$238:$C$451,$C365,'TL09'!$J$238:$J$451),0),
IF('TL10'!$B$3=O$3,SUMIF('TL10'!$C$10:$C$224,$C365,'TL10'!$J$10:$J$224),0),
IF('TL10'!$B$229=O$3,SUMIF('TL10'!$C$238:$C$451,$C365,'TL10'!$J$238:$J$451),0),
IF('TL11'!$B$3=O$3,SUMIF('TL11'!$C$10:$C$224,$C365,'TL11'!$J$10:$J$224),0),
IF('TL11'!$B$229=O$3,SUMIF('TL11'!$C$238:$C$451,$C365,'TL11'!$J$238:$J$451),0),
IF('TL12'!$B$3=O$3,SUMIF('TL12'!$C$10:$C$224,$C365,'TL12'!$J$10:$J$224),0),
IF('TL12'!$B$229=O$3,SUMIF('TL12'!$C$238:$C$451,$C365,'TL12'!$J$238:$J$451),0),
IF('TL13'!$B$3=O$3,SUMIF('TL13'!$C$10:$C$224,$C365,'TL13'!$J$10:$J$224),0),
IF('TL13'!$B$229=O$3,SUMIF('TL13'!$C$238:$C$451,$C365,'TL13'!$J$238:$J$451),0),
IF('TL14'!$B$3=O$3,SUMIF('TL14'!$C$10:$C$224,$C365,'TL14'!$J$10:$J$224),0),
IF('TL14'!$B$229=O$3,SUMIF('TL14'!$C$238:$C$451,$C365,'TL14'!$J$238:$J$451),0),
IF('TL15'!$B$3=O$3,SUMIF('TL15'!$C$10:$C$224,$C365,'TL15'!$J$10:$J$224),0),
IF('TL15'!$B$229=O$3,SUMIF('TL15'!$C$238:$C$451,$C365,'TL15'!$J$238:$J$451),0),
IF('TL16'!$B$3=O$3,SUMIF('TL16'!$C$10:$C$224,$C365,'TL16'!$J$10:$J$224),0),
IF('TL16'!$B$229=O$3,SUMIF('TL16'!$C$238:$C$451,$C365,'TL16'!$J$238:$J$451),0),
IF('TL17'!$B$3=O$3,SUMIF('TL17'!$C$10:$C$224,$C365,'TL17'!$J$10:$J$224),0),
IF('TL17'!$B$229=O$3,SUMIF('TL17'!$C$238:$C$451,$C365,'TL17'!$J$238:$J$451),0),
IF('TL18'!$B$3=O$3,SUMIF('TL18'!$C$10:$C$224,$C365,'TL18'!$J$10:$J$224),0),
IF('TL18'!$B$229=O$3,SUMIF('TL18'!$C$238:$C$451,$C365,'TL18'!$J$238:$J$451),0),
IF('TL19'!$B$3=O$3,SUMIF('TL19'!$C$10:$C$224,$C365,'TL19'!$J$10:$J$224),0),
IF('TL19'!$B$229=O$3,SUMIF('TL19'!$C$238:$C$451,$C365,'TL19'!$J$238:$J$451),0)
),0)</f>
        <v/>
      </c>
      <c r="P365" s="9">
        <f>IFERROR(SUM(
IF('TL01'!$B$3=P$3,SUMIF('TL01'!$C$10:$C$224,$C365,'TL01'!$J$10:$J$224),0),
IF('TL01'!$B$229=P$3,SUMIF('TL01'!$C$238:$C$451,$C365,'TL01'!$J$238:$J$451),0),
IF('TL02'!$B$3=P$3,SUMIF('TL02'!$C$10:$C$224,$C365,'TL02'!$J$10:$J$224),0),
IF('TL02'!$B$229=P$3,SUMIF('TL02'!$C$238:$C$451,$C365,'TL02'!$J$238:$J$451),0),
IF('TL03'!$B$3=P$3,SUMIF('TL03'!$C$10:$C$224,$C365,'TL03'!$J$10:$J$224),0),
IF('TL03'!$B$229=P$3,SUMIF('TL03'!$C$238:$C$451,$C365,'TL03'!$J$238:$J$451),0),
IF('TL04'!$B$3=P$3,SUMIF('TL04'!$C$10:$C$224,$C365,'TL04'!$J$10:$J$224),0),
IF('TL04'!$B$229=P$3,SUMIF('TL04'!$C$238:$C$451,$C365,'TL04'!$J$238:$J$451),0),
IF('TL05'!$B$3=P$3,SUMIF('TL05'!$C$10:$C$224,$C365,'TL05'!$J$10:$J$224),0),
IF('TL05'!$B$229=P$3,SUMIF('TL05'!$C$238:$C$451,$C365,'TL05'!$J$238:$J$451),0),
IF('TL06'!$B$3=P$3,SUMIF('TL06'!$C$10:$C$224,$C365,'TL06'!$J$10:$J$224),0),
IF('TL06'!$B$229=P$3,SUMIF('TL06'!$C$238:$C$451,$C365,'TL06'!$J$238:$J$451),0),
IF('TL07'!$B$3=P$3,SUMIF('TL07'!$C$10:$C$224,$C365,'TL07'!$J$10:$J$224),0),
IF('TL07'!$B$229=P$3,SUMIF('TL07'!$C$238:$C$451,$C365,'TL07'!$J$238:$J$451),0),
IF('TL08'!$B$3=P$3,SUMIF('TL08'!$C$10:$C$224,$C365,'TL08'!$J$10:$J$224),0),
IF('TL08'!$B$229=P$3,SUMIF('TL08'!$C$238:$C$451,$C365,'TL08'!$J$238:$J$451),0),
IF('TL09'!$B$3=P$3,SUMIF('TL09'!$C$10:$C$224,$C365,'TL09'!$J$10:$J$224),0),
IF('TL09'!$B$229=P$3,SUMIF('TL09'!$C$238:$C$451,$C365,'TL09'!$J$238:$J$451),0),
IF('TL10'!$B$3=P$3,SUMIF('TL10'!$C$10:$C$224,$C365,'TL10'!$J$10:$J$224),0),
IF('TL10'!$B$229=P$3,SUMIF('TL10'!$C$238:$C$451,$C365,'TL10'!$J$238:$J$451),0),
IF('TL11'!$B$3=P$3,SUMIF('TL11'!$C$10:$C$224,$C365,'TL11'!$J$10:$J$224),0),
IF('TL11'!$B$229=P$3,SUMIF('TL11'!$C$238:$C$451,$C365,'TL11'!$J$238:$J$451),0),
IF('TL12'!$B$3=P$3,SUMIF('TL12'!$C$10:$C$224,$C365,'TL12'!$J$10:$J$224),0),
IF('TL12'!$B$229=P$3,SUMIF('TL12'!$C$238:$C$451,$C365,'TL12'!$J$238:$J$451),0),
IF('TL13'!$B$3=P$3,SUMIF('TL13'!$C$10:$C$224,$C365,'TL13'!$J$10:$J$224),0),
IF('TL13'!$B$229=P$3,SUMIF('TL13'!$C$238:$C$451,$C365,'TL13'!$J$238:$J$451),0),
IF('TL14'!$B$3=P$3,SUMIF('TL14'!$C$10:$C$224,$C365,'TL14'!$J$10:$J$224),0),
IF('TL14'!$B$229=P$3,SUMIF('TL14'!$C$238:$C$451,$C365,'TL14'!$J$238:$J$451),0),
IF('TL15'!$B$3=P$3,SUMIF('TL15'!$C$10:$C$224,$C365,'TL15'!$J$10:$J$224),0),
IF('TL15'!$B$229=P$3,SUMIF('TL15'!$C$238:$C$451,$C365,'TL15'!$J$238:$J$451),0),
IF('TL16'!$B$3=P$3,SUMIF('TL16'!$C$10:$C$224,$C365,'TL16'!$J$10:$J$224),0),
IF('TL16'!$B$229=P$3,SUMIF('TL16'!$C$238:$C$451,$C365,'TL16'!$J$238:$J$451),0),
IF('TL17'!$B$3=P$3,SUMIF('TL17'!$C$10:$C$224,$C365,'TL17'!$J$10:$J$224),0),
IF('TL17'!$B$229=P$3,SUMIF('TL17'!$C$238:$C$451,$C365,'TL17'!$J$238:$J$451),0),
IF('TL18'!$B$3=P$3,SUMIF('TL18'!$C$10:$C$224,$C365,'TL18'!$J$10:$J$224),0),
IF('TL18'!$B$229=P$3,SUMIF('TL18'!$C$238:$C$451,$C365,'TL18'!$J$238:$J$451),0),
IF('TL19'!$B$3=P$3,SUMIF('TL19'!$C$10:$C$224,$C365,'TL19'!$J$10:$J$224),0),
IF('TL19'!$B$229=P$3,SUMIF('TL19'!$C$238:$C$451,$C365,'TL19'!$J$238:$J$451),0)
),0)</f>
        <v/>
      </c>
      <c r="Q365" s="9">
        <f>IFERROR(SUM(
IF('TL01'!$B$3=Q$3,SUMIF('TL01'!$C$10:$C$224,$C365,'TL01'!$J$10:$J$224),0),
IF('TL01'!$B$229=Q$3,SUMIF('TL01'!$C$238:$C$451,$C365,'TL01'!$J$238:$J$451),0),
IF('TL02'!$B$3=Q$3,SUMIF('TL02'!$C$10:$C$224,$C365,'TL02'!$J$10:$J$224),0),
IF('TL02'!$B$229=Q$3,SUMIF('TL02'!$C$238:$C$451,$C365,'TL02'!$J$238:$J$451),0),
IF('TL03'!$B$3=Q$3,SUMIF('TL03'!$C$10:$C$224,$C365,'TL03'!$J$10:$J$224),0),
IF('TL03'!$B$229=Q$3,SUMIF('TL03'!$C$238:$C$451,$C365,'TL03'!$J$238:$J$451),0),
IF('TL04'!$B$3=Q$3,SUMIF('TL04'!$C$10:$C$224,$C365,'TL04'!$J$10:$J$224),0),
IF('TL04'!$B$229=Q$3,SUMIF('TL04'!$C$238:$C$451,$C365,'TL04'!$J$238:$J$451),0),
IF('TL05'!$B$3=Q$3,SUMIF('TL05'!$C$10:$C$224,$C365,'TL05'!$J$10:$J$224),0),
IF('TL05'!$B$229=Q$3,SUMIF('TL05'!$C$238:$C$451,$C365,'TL05'!$J$238:$J$451),0),
IF('TL06'!$B$3=Q$3,SUMIF('TL06'!$C$10:$C$224,$C365,'TL06'!$J$10:$J$224),0),
IF('TL06'!$B$229=Q$3,SUMIF('TL06'!$C$238:$C$451,$C365,'TL06'!$J$238:$J$451),0),
IF('TL07'!$B$3=Q$3,SUMIF('TL07'!$C$10:$C$224,$C365,'TL07'!$J$10:$J$224),0),
IF('TL07'!$B$229=Q$3,SUMIF('TL07'!$C$238:$C$451,$C365,'TL07'!$J$238:$J$451),0),
IF('TL08'!$B$3=Q$3,SUMIF('TL08'!$C$10:$C$224,$C365,'TL08'!$J$10:$J$224),0),
IF('TL08'!$B$229=Q$3,SUMIF('TL08'!$C$238:$C$451,$C365,'TL08'!$J$238:$J$451),0),
IF('TL09'!$B$3=Q$3,SUMIF('TL09'!$C$10:$C$224,$C365,'TL09'!$J$10:$J$224),0),
IF('TL09'!$B$229=Q$3,SUMIF('TL09'!$C$238:$C$451,$C365,'TL09'!$J$238:$J$451),0),
IF('TL10'!$B$3=Q$3,SUMIF('TL10'!$C$10:$C$224,$C365,'TL10'!$J$10:$J$224),0),
IF('TL10'!$B$229=Q$3,SUMIF('TL10'!$C$238:$C$451,$C365,'TL10'!$J$238:$J$451),0),
IF('TL11'!$B$3=Q$3,SUMIF('TL11'!$C$10:$C$224,$C365,'TL11'!$J$10:$J$224),0),
IF('TL11'!$B$229=Q$3,SUMIF('TL11'!$C$238:$C$451,$C365,'TL11'!$J$238:$J$451),0),
IF('TL12'!$B$3=Q$3,SUMIF('TL12'!$C$10:$C$224,$C365,'TL12'!$J$10:$J$224),0),
IF('TL12'!$B$229=Q$3,SUMIF('TL12'!$C$238:$C$451,$C365,'TL12'!$J$238:$J$451),0),
IF('TL13'!$B$3=Q$3,SUMIF('TL13'!$C$10:$C$224,$C365,'TL13'!$J$10:$J$224),0),
IF('TL13'!$B$229=Q$3,SUMIF('TL13'!$C$238:$C$451,$C365,'TL13'!$J$238:$J$451),0),
IF('TL14'!$B$3=Q$3,SUMIF('TL14'!$C$10:$C$224,$C365,'TL14'!$J$10:$J$224),0),
IF('TL14'!$B$229=Q$3,SUMIF('TL14'!$C$238:$C$451,$C365,'TL14'!$J$238:$J$451),0),
IF('TL15'!$B$3=Q$3,SUMIF('TL15'!$C$10:$C$224,$C365,'TL15'!$J$10:$J$224),0),
IF('TL15'!$B$229=Q$3,SUMIF('TL15'!$C$238:$C$451,$C365,'TL15'!$J$238:$J$451),0),
IF('TL16'!$B$3=Q$3,SUMIF('TL16'!$C$10:$C$224,$C365,'TL16'!$J$10:$J$224),0),
IF('TL16'!$B$229=Q$3,SUMIF('TL16'!$C$238:$C$451,$C365,'TL16'!$J$238:$J$451),0),
IF('TL17'!$B$3=Q$3,SUMIF('TL17'!$C$10:$C$224,$C365,'TL17'!$J$10:$J$224),0),
IF('TL17'!$B$229=Q$3,SUMIF('TL17'!$C$238:$C$451,$C365,'TL17'!$J$238:$J$451),0),
IF('TL18'!$B$3=Q$3,SUMIF('TL18'!$C$10:$C$224,$C365,'TL18'!$J$10:$J$224),0),
IF('TL18'!$B$229=Q$3,SUMIF('TL18'!$C$238:$C$451,$C365,'TL18'!$J$238:$J$451),0),
IF('TL19'!$B$3=Q$3,SUMIF('TL19'!$C$10:$C$224,$C365,'TL19'!$J$10:$J$224),0),
IF('TL19'!$B$229=Q$3,SUMIF('TL19'!$C$238:$C$451,$C365,'TL19'!$J$238:$J$451),0)
),0)</f>
        <v/>
      </c>
      <c r="R365" s="9">
        <f>IFERROR(
SUM(
SUMIF('TL01'!C:C,C365,'TL01'!J:J),
SUMIF('TL02'!C:C,C365,'TL02'!J:J),
SUMIF('TL03'!C:C,C365,'TL03'!J:J),
SUMIF('TL04'!C:C,C365,'TL04'!J:J),
SUMIF('TL05'!C:C,C365,'TL05'!J:J),
SUMIF('TL06'!C:C,C365,'TL06'!J:J),
SUMIF('TL07'!C:C,C365,'TL07'!J:J),
SUMIF('TL08'!C:C,C365,'TL08'!J:J),
SUMIF('TL09'!C:C,C365,'TL09'!J:J),
SUMIF('TL10'!C:C,C365,'TL10'!J:J),
SUMIF('TL11'!C:C,C365,'TL11'!J:J),
SUMIF('TL12'!C:C,C365,'TL12'!J:J),
SUMIF('TL13'!C:C,C365,'TL13'!J:J),
SUMIF('TL14'!C:C,C365,'TL14'!J:J),
SUMIF('TL15'!C:C,C365,'TL15'!J:J),
SUMIF('TL16'!C:C,C365,'TL16'!J:J),
SUMIF('TL17'!C:C,C365,'TL17'!J:J),
SUMIF('TL18'!C:C,C365,'TL18'!J:J),SUMIF('TL19'!C:C,C365,'TL19'!J:J))
,0)</f>
        <v/>
      </c>
      <c r="S365" s="17">
        <f>IFERROR(__xludf.DUMMYFUNCTION("IFERROR(VLOOKUP(C365,
IMPORTRANGE(""1wULbzX32WdYsx-lj2U3uUNBBe2INVIRDtcK0d-Dvl90"",
""26-27!C:G""),
5,
FALSE),
"""")"),48.91)</f>
        <v/>
      </c>
      <c r="T365" s="9" t="n"/>
      <c r="U365" s="92">
        <f>MAX(0,R365-T365)</f>
        <v/>
      </c>
      <c r="V365" s="93">
        <f>U365*S365</f>
        <v/>
      </c>
    </row>
    <row r="366" hidden="1" ht="15.75" customHeight="1" s="297">
      <c r="A366" s="4" t="inlineStr">
        <is>
          <t>SOLUBIO</t>
        </is>
      </c>
      <c r="B366" s="4" t="inlineStr">
        <is>
          <t>BIOLÓGICOS</t>
        </is>
      </c>
      <c r="C366" s="126" t="inlineStr">
        <is>
          <t>Solu Strong</t>
        </is>
      </c>
      <c r="D366" s="127" t="inlineStr">
        <is>
          <t>Bacillus amyloliquefaciens</t>
        </is>
      </c>
      <c r="E366" s="20" t="n"/>
      <c r="F366" s="4" t="n"/>
      <c r="G366" s="90">
        <f>HYPERLINK("https://www.google.com/search?q=" &amp; C366 &amp; "+bula+agrofit+pdf", "📄 Ver bula")</f>
        <v/>
      </c>
      <c r="H366" s="4" t="n">
        <v>2</v>
      </c>
      <c r="I366" s="123" t="n"/>
      <c r="J366" s="9">
        <f>IFERROR(SUM(
IF('TL01'!$B$3=J$3,SUMIF('TL01'!$C$10:$C$224,$C366,'TL01'!$J$10:$J$224),0),
IF('TL01'!$B$229=J$3,SUMIF('TL01'!$C$238:$C$451,$C366,'TL01'!$J$238:$J$451),0),
IF('TL02'!$B$3=J$3,SUMIF('TL02'!$C$10:$C$224,$C366,'TL02'!$J$10:$J$224),0),
IF('TL02'!$B$229=J$3,SUMIF('TL02'!$C$238:$C$451,$C366,'TL02'!$J$238:$J$451),0),
IF('TL03'!$B$3=J$3,SUMIF('TL03'!$C$10:$C$224,$C366,'TL03'!$J$10:$J$224),0),
IF('TL03'!$B$229=J$3,SUMIF('TL03'!$C$238:$C$451,$C366,'TL03'!$J$238:$J$451),0),
IF('TL04'!$B$3=J$3,SUMIF('TL04'!$C$10:$C$224,$C366,'TL04'!$J$10:$J$224),0),
IF('TL04'!$B$229=J$3,SUMIF('TL04'!$C$238:$C$451,$C366,'TL04'!$J$238:$J$451),0),
IF('TL05'!$B$3=J$3,SUMIF('TL05'!$C$10:$C$224,$C366,'TL05'!$J$10:$J$224),0),
IF('TL05'!$B$229=J$3,SUMIF('TL05'!$C$238:$C$451,$C366,'TL05'!$J$238:$J$451),0),
IF('TL06'!$B$3=J$3,SUMIF('TL06'!$C$10:$C$224,$C366,'TL06'!$J$10:$J$224),0),
IF('TL06'!$B$229=J$3,SUMIF('TL06'!$C$238:$C$451,$C366,'TL06'!$J$238:$J$451),0),
IF('TL07'!$B$3=J$3,SUMIF('TL07'!$C$10:$C$224,$C366,'TL07'!$J$10:$J$224),0),
IF('TL07'!$B$229=J$3,SUMIF('TL07'!$C$238:$C$451,$C366,'TL07'!$J$238:$J$451),0),
IF('TL08'!$B$3=J$3,SUMIF('TL08'!$C$10:$C$224,$C366,'TL08'!$J$10:$J$224),0),
IF('TL08'!$B$229=J$3,SUMIF('TL08'!$C$238:$C$451,$C366,'TL08'!$J$238:$J$451),0),
IF('TL09'!$B$3=J$3,SUMIF('TL09'!$C$10:$C$224,$C366,'TL09'!$J$10:$J$224),0),
IF('TL09'!$B$229=J$3,SUMIF('TL09'!$C$238:$C$451,$C366,'TL09'!$J$238:$J$451),0),
IF('TL10'!$B$3=J$3,SUMIF('TL10'!$C$10:$C$224,$C366,'TL10'!$J$10:$J$224),0),
IF('TL10'!$B$229=J$3,SUMIF('TL10'!$C$238:$C$451,$C366,'TL10'!$J$238:$J$451),0),
IF('TL11'!$B$3=J$3,SUMIF('TL11'!$C$10:$C$224,$C366,'TL11'!$J$10:$J$224),0),
IF('TL11'!$B$229=J$3,SUMIF('TL11'!$C$238:$C$451,$C366,'TL11'!$J$238:$J$451),0),
IF('TL12'!$B$3=J$3,SUMIF('TL12'!$C$10:$C$224,$C366,'TL12'!$J$10:$J$224),0),
IF('TL12'!$B$229=J$3,SUMIF('TL12'!$C$238:$C$451,$C366,'TL12'!$J$238:$J$451),0),
IF('TL13'!$B$3=J$3,SUMIF('TL13'!$C$10:$C$224,$C366,'TL13'!$J$10:$J$224),0),
IF('TL13'!$B$229=J$3,SUMIF('TL13'!$C$238:$C$451,$C366,'TL13'!$J$238:$J$451),0),
IF('TL14'!$B$3=J$3,SUMIF('TL14'!$C$10:$C$224,$C366,'TL14'!$J$10:$J$224),0),
IF('TL14'!$B$229=J$3,SUMIF('TL14'!$C$238:$C$451,$C366,'TL14'!$J$238:$J$451),0),
IF('TL15'!$B$3=J$3,SUMIF('TL15'!$C$10:$C$224,$C366,'TL15'!$J$10:$J$224),0),
IF('TL15'!$B$229=J$3,SUMIF('TL15'!$C$238:$C$451,$C366,'TL15'!$J$238:$J$451),0),
IF('TL16'!$B$3=J$3,SUMIF('TL16'!$C$10:$C$224,$C366,'TL16'!$J$10:$J$224),0),
IF('TL16'!$B$229=J$3,SUMIF('TL16'!$C$238:$C$451,$C366,'TL16'!$J$238:$J$451),0),
IF('TL17'!$B$3=J$3,SUMIF('TL17'!$C$10:$C$224,$C366,'TL17'!$J$10:$J$224),0),
IF('TL17'!$B$229=J$3,SUMIF('TL17'!$C$238:$C$451,$C366,'TL17'!$J$238:$J$451),0),
IF('TL18'!$B$3=J$3,SUMIF('TL18'!$C$10:$C$224,$C366,'TL18'!$J$10:$J$224),0),
IF('TL18'!$B$229=J$3,SUMIF('TL18'!$C$238:$C$451,$C366,'TL18'!$J$238:$J$451),0),
IF('TL19'!$B$3=J$3,SUMIF('TL19'!$C$10:$C$224,$C366,'TL19'!$J$10:$J$224),0),
IF('TL19'!$B$229=J$3,SUMIF('TL19'!$C$238:$C$451,$C366,'TL19'!$J$238:$J$451),0)
),0)</f>
        <v/>
      </c>
      <c r="K366" s="9">
        <f>IFERROR(SUM(
IF('TL01'!$B$3=K$3,SUMIF('TL01'!$C$10:$C$224,$C366,'TL01'!$J$10:$J$224),0),
IF('TL01'!$B$229=K$3,SUMIF('TL01'!$C$238:$C$451,$C366,'TL01'!$J$238:$J$451),0),
IF('TL02'!$B$3=K$3,SUMIF('TL02'!$C$10:$C$224,$C366,'TL02'!$J$10:$J$224),0),
IF('TL02'!$B$229=K$3,SUMIF('TL02'!$C$238:$C$451,$C366,'TL02'!$J$238:$J$451),0),
IF('TL03'!$B$3=K$3,SUMIF('TL03'!$C$10:$C$224,$C366,'TL03'!$J$10:$J$224),0),
IF('TL03'!$B$229=K$3,SUMIF('TL03'!$C$238:$C$451,$C366,'TL03'!$J$238:$J$451),0),
IF('TL04'!$B$3=K$3,SUMIF('TL04'!$C$10:$C$224,$C366,'TL04'!$J$10:$J$224),0),
IF('TL04'!$B$229=K$3,SUMIF('TL04'!$C$238:$C$451,$C366,'TL04'!$J$238:$J$451),0),
IF('TL05'!$B$3=K$3,SUMIF('TL05'!$C$10:$C$224,$C366,'TL05'!$J$10:$J$224),0),
IF('TL05'!$B$229=K$3,SUMIF('TL05'!$C$238:$C$451,$C366,'TL05'!$J$238:$J$451),0),
IF('TL06'!$B$3=K$3,SUMIF('TL06'!$C$10:$C$224,$C366,'TL06'!$J$10:$J$224),0),
IF('TL06'!$B$229=K$3,SUMIF('TL06'!$C$238:$C$451,$C366,'TL06'!$J$238:$J$451),0),
IF('TL07'!$B$3=K$3,SUMIF('TL07'!$C$10:$C$224,$C366,'TL07'!$J$10:$J$224),0),
IF('TL07'!$B$229=K$3,SUMIF('TL07'!$C$238:$C$451,$C366,'TL07'!$J$238:$J$451),0),
IF('TL08'!$B$3=K$3,SUMIF('TL08'!$C$10:$C$224,$C366,'TL08'!$J$10:$J$224),0),
IF('TL08'!$B$229=K$3,SUMIF('TL08'!$C$238:$C$451,$C366,'TL08'!$J$238:$J$451),0),
IF('TL09'!$B$3=K$3,SUMIF('TL09'!$C$10:$C$224,$C366,'TL09'!$J$10:$J$224),0),
IF('TL09'!$B$229=K$3,SUMIF('TL09'!$C$238:$C$451,$C366,'TL09'!$J$238:$J$451),0),
IF('TL10'!$B$3=K$3,SUMIF('TL10'!$C$10:$C$224,$C366,'TL10'!$J$10:$J$224),0),
IF('TL10'!$B$229=K$3,SUMIF('TL10'!$C$238:$C$451,$C366,'TL10'!$J$238:$J$451),0),
IF('TL11'!$B$3=K$3,SUMIF('TL11'!$C$10:$C$224,$C366,'TL11'!$J$10:$J$224),0),
IF('TL11'!$B$229=K$3,SUMIF('TL11'!$C$238:$C$451,$C366,'TL11'!$J$238:$J$451),0),
IF('TL12'!$B$3=K$3,SUMIF('TL12'!$C$10:$C$224,$C366,'TL12'!$J$10:$J$224),0),
IF('TL12'!$B$229=K$3,SUMIF('TL12'!$C$238:$C$451,$C366,'TL12'!$J$238:$J$451),0),
IF('TL13'!$B$3=K$3,SUMIF('TL13'!$C$10:$C$224,$C366,'TL13'!$J$10:$J$224),0),
IF('TL13'!$B$229=K$3,SUMIF('TL13'!$C$238:$C$451,$C366,'TL13'!$J$238:$J$451),0),
IF('TL14'!$B$3=K$3,SUMIF('TL14'!$C$10:$C$224,$C366,'TL14'!$J$10:$J$224),0),
IF('TL14'!$B$229=K$3,SUMIF('TL14'!$C$238:$C$451,$C366,'TL14'!$J$238:$J$451),0),
IF('TL15'!$B$3=K$3,SUMIF('TL15'!$C$10:$C$224,$C366,'TL15'!$J$10:$J$224),0),
IF('TL15'!$B$229=K$3,SUMIF('TL15'!$C$238:$C$451,$C366,'TL15'!$J$238:$J$451),0),
IF('TL16'!$B$3=K$3,SUMIF('TL16'!$C$10:$C$224,$C366,'TL16'!$J$10:$J$224),0),
IF('TL16'!$B$229=K$3,SUMIF('TL16'!$C$238:$C$451,$C366,'TL16'!$J$238:$J$451),0),
IF('TL17'!$B$3=K$3,SUMIF('TL17'!$C$10:$C$224,$C366,'TL17'!$J$10:$J$224),0),
IF('TL17'!$B$229=K$3,SUMIF('TL17'!$C$238:$C$451,$C366,'TL17'!$J$238:$J$451),0),
IF('TL18'!$B$3=K$3,SUMIF('TL18'!$C$10:$C$224,$C366,'TL18'!$J$10:$J$224),0),
IF('TL18'!$B$229=K$3,SUMIF('TL18'!$C$238:$C$451,$C366,'TL18'!$J$238:$J$451),0),
IF('TL19'!$B$3=K$3,SUMIF('TL19'!$C$10:$C$224,$C366,'TL19'!$J$10:$J$224),0),
IF('TL19'!$B$229=K$3,SUMIF('TL19'!$C$238:$C$451,$C366,'TL19'!$J$238:$J$451),0)
),0)</f>
        <v/>
      </c>
      <c r="L366" s="9">
        <f>IFERROR(SUM(
IF('TL01'!$B$3=L$3,SUMIF('TL01'!$C$10:$C$224,$C366,'TL01'!$J$10:$J$224),0),
IF('TL01'!$B$229=L$3,SUMIF('TL01'!$C$238:$C$451,$C366,'TL01'!$J$238:$J$451),0),
IF('TL02'!$B$3=L$3,SUMIF('TL02'!$C$10:$C$224,$C366,'TL02'!$J$10:$J$224),0),
IF('TL02'!$B$229=L$3,SUMIF('TL02'!$C$238:$C$451,$C366,'TL02'!$J$238:$J$451),0),
IF('TL03'!$B$3=L$3,SUMIF('TL03'!$C$10:$C$224,$C366,'TL03'!$J$10:$J$224),0),
IF('TL03'!$B$229=L$3,SUMIF('TL03'!$C$238:$C$451,$C366,'TL03'!$J$238:$J$451),0),
IF('TL04'!$B$3=L$3,SUMIF('TL04'!$C$10:$C$224,$C366,'TL04'!$J$10:$J$224),0),
IF('TL04'!$B$229=L$3,SUMIF('TL04'!$C$238:$C$451,$C366,'TL04'!$J$238:$J$451),0),
IF('TL05'!$B$3=L$3,SUMIF('TL05'!$C$10:$C$224,$C366,'TL05'!$J$10:$J$224),0),
IF('TL05'!$B$229=L$3,SUMIF('TL05'!$C$238:$C$451,$C366,'TL05'!$J$238:$J$451),0),
IF('TL06'!$B$3=L$3,SUMIF('TL06'!$C$10:$C$224,$C366,'TL06'!$J$10:$J$224),0),
IF('TL06'!$B$229=L$3,SUMIF('TL06'!$C$238:$C$451,$C366,'TL06'!$J$238:$J$451),0),
IF('TL07'!$B$3=L$3,SUMIF('TL07'!$C$10:$C$224,$C366,'TL07'!$J$10:$J$224),0),
IF('TL07'!$B$229=L$3,SUMIF('TL07'!$C$238:$C$451,$C366,'TL07'!$J$238:$J$451),0),
IF('TL08'!$B$3=L$3,SUMIF('TL08'!$C$10:$C$224,$C366,'TL08'!$J$10:$J$224),0),
IF('TL08'!$B$229=L$3,SUMIF('TL08'!$C$238:$C$451,$C366,'TL08'!$J$238:$J$451),0),
IF('TL09'!$B$3=L$3,SUMIF('TL09'!$C$10:$C$224,$C366,'TL09'!$J$10:$J$224),0),
IF('TL09'!$B$229=L$3,SUMIF('TL09'!$C$238:$C$451,$C366,'TL09'!$J$238:$J$451),0),
IF('TL10'!$B$3=L$3,SUMIF('TL10'!$C$10:$C$224,$C366,'TL10'!$J$10:$J$224),0),
IF('TL10'!$B$229=L$3,SUMIF('TL10'!$C$238:$C$451,$C366,'TL10'!$J$238:$J$451),0),
IF('TL11'!$B$3=L$3,SUMIF('TL11'!$C$10:$C$224,$C366,'TL11'!$J$10:$J$224),0),
IF('TL11'!$B$229=L$3,SUMIF('TL11'!$C$238:$C$451,$C366,'TL11'!$J$238:$J$451),0),
IF('TL12'!$B$3=L$3,SUMIF('TL12'!$C$10:$C$224,$C366,'TL12'!$J$10:$J$224),0),
IF('TL12'!$B$229=L$3,SUMIF('TL12'!$C$238:$C$451,$C366,'TL12'!$J$238:$J$451),0),
IF('TL13'!$B$3=L$3,SUMIF('TL13'!$C$10:$C$224,$C366,'TL13'!$J$10:$J$224),0),
IF('TL13'!$B$229=L$3,SUMIF('TL13'!$C$238:$C$451,$C366,'TL13'!$J$238:$J$451),0),
IF('TL14'!$B$3=L$3,SUMIF('TL14'!$C$10:$C$224,$C366,'TL14'!$J$10:$J$224),0),
IF('TL14'!$B$229=L$3,SUMIF('TL14'!$C$238:$C$451,$C366,'TL14'!$J$238:$J$451),0),
IF('TL15'!$B$3=L$3,SUMIF('TL15'!$C$10:$C$224,$C366,'TL15'!$J$10:$J$224),0),
IF('TL15'!$B$229=L$3,SUMIF('TL15'!$C$238:$C$451,$C366,'TL15'!$J$238:$J$451),0),
IF('TL16'!$B$3=L$3,SUMIF('TL16'!$C$10:$C$224,$C366,'TL16'!$J$10:$J$224),0),
IF('TL16'!$B$229=L$3,SUMIF('TL16'!$C$238:$C$451,$C366,'TL16'!$J$238:$J$451),0),
IF('TL17'!$B$3=L$3,SUMIF('TL17'!$C$10:$C$224,$C366,'TL17'!$J$10:$J$224),0),
IF('TL17'!$B$229=L$3,SUMIF('TL17'!$C$238:$C$451,$C366,'TL17'!$J$238:$J$451),0),
IF('TL18'!$B$3=L$3,SUMIF('TL18'!$C$10:$C$224,$C366,'TL18'!$J$10:$J$224),0),
IF('TL18'!$B$229=L$3,SUMIF('TL18'!$C$238:$C$451,$C366,'TL18'!$J$238:$J$451),0),
IF('TL19'!$B$3=L$3,SUMIF('TL19'!$C$10:$C$224,$C366,'TL19'!$J$10:$J$224),0),
IF('TL19'!$B$229=L$3,SUMIF('TL19'!$C$238:$C$451,$C366,'TL19'!$J$238:$J$451),0)
),0)</f>
        <v/>
      </c>
      <c r="M366" s="9">
        <f>IFERROR(SUM(
IF('TL01'!$B$3=M$3,SUMIF('TL01'!$C$10:$C$224,$C366,'TL01'!$J$10:$J$224),0),
IF('TL01'!$B$229=M$3,SUMIF('TL01'!$C$238:$C$451,$C366,'TL01'!$J$238:$J$451),0),
IF('TL02'!$B$3=M$3,SUMIF('TL02'!$C$10:$C$224,$C366,'TL02'!$J$10:$J$224),0),
IF('TL02'!$B$229=M$3,SUMIF('TL02'!$C$238:$C$451,$C366,'TL02'!$J$238:$J$451),0),
IF('TL03'!$B$3=M$3,SUMIF('TL03'!$C$10:$C$224,$C366,'TL03'!$J$10:$J$224),0),
IF('TL03'!$B$229=M$3,SUMIF('TL03'!$C$238:$C$451,$C366,'TL03'!$J$238:$J$451),0),
IF('TL04'!$B$3=M$3,SUMIF('TL04'!$C$10:$C$224,$C366,'TL04'!$J$10:$J$224),0),
IF('TL04'!$B$229=M$3,SUMIF('TL04'!$C$238:$C$451,$C366,'TL04'!$J$238:$J$451),0),
IF('TL05'!$B$3=M$3,SUMIF('TL05'!$C$10:$C$224,$C366,'TL05'!$J$10:$J$224),0),
IF('TL05'!$B$229=M$3,SUMIF('TL05'!$C$238:$C$451,$C366,'TL05'!$J$238:$J$451),0),
IF('TL06'!$B$3=M$3,SUMIF('TL06'!$C$10:$C$224,$C366,'TL06'!$J$10:$J$224),0),
IF('TL06'!$B$229=M$3,SUMIF('TL06'!$C$238:$C$451,$C366,'TL06'!$J$238:$J$451),0),
IF('TL07'!$B$3=M$3,SUMIF('TL07'!$C$10:$C$224,$C366,'TL07'!$J$10:$J$224),0),
IF('TL07'!$B$229=M$3,SUMIF('TL07'!$C$238:$C$451,$C366,'TL07'!$J$238:$J$451),0),
IF('TL08'!$B$3=M$3,SUMIF('TL08'!$C$10:$C$224,$C366,'TL08'!$J$10:$J$224),0),
IF('TL08'!$B$229=M$3,SUMIF('TL08'!$C$238:$C$451,$C366,'TL08'!$J$238:$J$451),0),
IF('TL09'!$B$3=M$3,SUMIF('TL09'!$C$10:$C$224,$C366,'TL09'!$J$10:$J$224),0),
IF('TL09'!$B$229=M$3,SUMIF('TL09'!$C$238:$C$451,$C366,'TL09'!$J$238:$J$451),0),
IF('TL10'!$B$3=M$3,SUMIF('TL10'!$C$10:$C$224,$C366,'TL10'!$J$10:$J$224),0),
IF('TL10'!$B$229=M$3,SUMIF('TL10'!$C$238:$C$451,$C366,'TL10'!$J$238:$J$451),0),
IF('TL11'!$B$3=M$3,SUMIF('TL11'!$C$10:$C$224,$C366,'TL11'!$J$10:$J$224),0),
IF('TL11'!$B$229=M$3,SUMIF('TL11'!$C$238:$C$451,$C366,'TL11'!$J$238:$J$451),0),
IF('TL12'!$B$3=M$3,SUMIF('TL12'!$C$10:$C$224,$C366,'TL12'!$J$10:$J$224),0),
IF('TL12'!$B$229=M$3,SUMIF('TL12'!$C$238:$C$451,$C366,'TL12'!$J$238:$J$451),0),
IF('TL13'!$B$3=M$3,SUMIF('TL13'!$C$10:$C$224,$C366,'TL13'!$J$10:$J$224),0),
IF('TL13'!$B$229=M$3,SUMIF('TL13'!$C$238:$C$451,$C366,'TL13'!$J$238:$J$451),0),
IF('TL14'!$B$3=M$3,SUMIF('TL14'!$C$10:$C$224,$C366,'TL14'!$J$10:$J$224),0),
IF('TL14'!$B$229=M$3,SUMIF('TL14'!$C$238:$C$451,$C366,'TL14'!$J$238:$J$451),0),
IF('TL15'!$B$3=M$3,SUMIF('TL15'!$C$10:$C$224,$C366,'TL15'!$J$10:$J$224),0),
IF('TL15'!$B$229=M$3,SUMIF('TL15'!$C$238:$C$451,$C366,'TL15'!$J$238:$J$451),0),
IF('TL16'!$B$3=M$3,SUMIF('TL16'!$C$10:$C$224,$C366,'TL16'!$J$10:$J$224),0),
IF('TL16'!$B$229=M$3,SUMIF('TL16'!$C$238:$C$451,$C366,'TL16'!$J$238:$J$451),0),
IF('TL17'!$B$3=M$3,SUMIF('TL17'!$C$10:$C$224,$C366,'TL17'!$J$10:$J$224),0),
IF('TL17'!$B$229=M$3,SUMIF('TL17'!$C$238:$C$451,$C366,'TL17'!$J$238:$J$451),0),
IF('TL18'!$B$3=M$3,SUMIF('TL18'!$C$10:$C$224,$C366,'TL18'!$J$10:$J$224),0),
IF('TL18'!$B$229=M$3,SUMIF('TL18'!$C$238:$C$451,$C366,'TL18'!$J$238:$J$451),0),
IF('TL19'!$B$3=M$3,SUMIF('TL19'!$C$10:$C$224,$C366,'TL19'!$J$10:$J$224),0),
IF('TL19'!$B$229=M$3,SUMIF('TL19'!$C$238:$C$451,$C366,'TL19'!$J$238:$J$451),0)
),0)</f>
        <v/>
      </c>
      <c r="N366" s="9">
        <f>IFERROR(SUM(
IF('TL01'!$B$3=N$3,SUMIF('TL01'!$C$10:$C$224,$C366,'TL01'!$J$10:$J$224),0),
IF('TL01'!$B$229=N$3,SUMIF('TL01'!$C$238:$C$451,$C366,'TL01'!$J$238:$J$451),0),
IF('TL02'!$B$3=N$3,SUMIF('TL02'!$C$10:$C$224,$C366,'TL02'!$J$10:$J$224),0),
IF('TL02'!$B$229=N$3,SUMIF('TL02'!$C$238:$C$451,$C366,'TL02'!$J$238:$J$451),0),
IF('TL03'!$B$3=N$3,SUMIF('TL03'!$C$10:$C$224,$C366,'TL03'!$J$10:$J$224),0),
IF('TL03'!$B$229=N$3,SUMIF('TL03'!$C$238:$C$451,$C366,'TL03'!$J$238:$J$451),0),
IF('TL04'!$B$3=N$3,SUMIF('TL04'!$C$10:$C$224,$C366,'TL04'!$J$10:$J$224),0),
IF('TL04'!$B$229=N$3,SUMIF('TL04'!$C$238:$C$451,$C366,'TL04'!$J$238:$J$451),0),
IF('TL05'!$B$3=N$3,SUMIF('TL05'!$C$10:$C$224,$C366,'TL05'!$J$10:$J$224),0),
IF('TL05'!$B$229=N$3,SUMIF('TL05'!$C$238:$C$451,$C366,'TL05'!$J$238:$J$451),0),
IF('TL06'!$B$3=N$3,SUMIF('TL06'!$C$10:$C$224,$C366,'TL06'!$J$10:$J$224),0),
IF('TL06'!$B$229=N$3,SUMIF('TL06'!$C$238:$C$451,$C366,'TL06'!$J$238:$J$451),0),
IF('TL07'!$B$3=N$3,SUMIF('TL07'!$C$10:$C$224,$C366,'TL07'!$J$10:$J$224),0),
IF('TL07'!$B$229=N$3,SUMIF('TL07'!$C$238:$C$451,$C366,'TL07'!$J$238:$J$451),0),
IF('TL08'!$B$3=N$3,SUMIF('TL08'!$C$10:$C$224,$C366,'TL08'!$J$10:$J$224),0),
IF('TL08'!$B$229=N$3,SUMIF('TL08'!$C$238:$C$451,$C366,'TL08'!$J$238:$J$451),0),
IF('TL09'!$B$3=N$3,SUMIF('TL09'!$C$10:$C$224,$C366,'TL09'!$J$10:$J$224),0),
IF('TL09'!$B$229=N$3,SUMIF('TL09'!$C$238:$C$451,$C366,'TL09'!$J$238:$J$451),0),
IF('TL10'!$B$3=N$3,SUMIF('TL10'!$C$10:$C$224,$C366,'TL10'!$J$10:$J$224),0),
IF('TL10'!$B$229=N$3,SUMIF('TL10'!$C$238:$C$451,$C366,'TL10'!$J$238:$J$451),0),
IF('TL11'!$B$3=N$3,SUMIF('TL11'!$C$10:$C$224,$C366,'TL11'!$J$10:$J$224),0),
IF('TL11'!$B$229=N$3,SUMIF('TL11'!$C$238:$C$451,$C366,'TL11'!$J$238:$J$451),0),
IF('TL12'!$B$3=N$3,SUMIF('TL12'!$C$10:$C$224,$C366,'TL12'!$J$10:$J$224),0),
IF('TL12'!$B$229=N$3,SUMIF('TL12'!$C$238:$C$451,$C366,'TL12'!$J$238:$J$451),0),
IF('TL13'!$B$3=N$3,SUMIF('TL13'!$C$10:$C$224,$C366,'TL13'!$J$10:$J$224),0),
IF('TL13'!$B$229=N$3,SUMIF('TL13'!$C$238:$C$451,$C366,'TL13'!$J$238:$J$451),0),
IF('TL14'!$B$3=N$3,SUMIF('TL14'!$C$10:$C$224,$C366,'TL14'!$J$10:$J$224),0),
IF('TL14'!$B$229=N$3,SUMIF('TL14'!$C$238:$C$451,$C366,'TL14'!$J$238:$J$451),0),
IF('TL15'!$B$3=N$3,SUMIF('TL15'!$C$10:$C$224,$C366,'TL15'!$J$10:$J$224),0),
IF('TL15'!$B$229=N$3,SUMIF('TL15'!$C$238:$C$451,$C366,'TL15'!$J$238:$J$451),0),
IF('TL16'!$B$3=N$3,SUMIF('TL16'!$C$10:$C$224,$C366,'TL16'!$J$10:$J$224),0),
IF('TL16'!$B$229=N$3,SUMIF('TL16'!$C$238:$C$451,$C366,'TL16'!$J$238:$J$451),0),
IF('TL17'!$B$3=N$3,SUMIF('TL17'!$C$10:$C$224,$C366,'TL17'!$J$10:$J$224),0),
IF('TL17'!$B$229=N$3,SUMIF('TL17'!$C$238:$C$451,$C366,'TL17'!$J$238:$J$451),0),
IF('TL18'!$B$3=N$3,SUMIF('TL18'!$C$10:$C$224,$C366,'TL18'!$J$10:$J$224),0),
IF('TL18'!$B$229=N$3,SUMIF('TL18'!$C$238:$C$451,$C366,'TL18'!$J$238:$J$451),0),
IF('TL19'!$B$3=N$3,SUMIF('TL19'!$C$10:$C$224,$C366,'TL19'!$J$10:$J$224),0),
IF('TL19'!$B$229=N$3,SUMIF('TL19'!$C$238:$C$451,$C366,'TL19'!$J$238:$J$451),0)
),0)</f>
        <v/>
      </c>
      <c r="O366" s="9">
        <f>IFERROR(SUM(
IF('TL01'!$B$3=O$3,SUMIF('TL01'!$C$10:$C$224,$C366,'TL01'!$J$10:$J$224),0),
IF('TL01'!$B$229=O$3,SUMIF('TL01'!$C$238:$C$451,$C366,'TL01'!$J$238:$J$451),0),
IF('TL02'!$B$3=O$3,SUMIF('TL02'!$C$10:$C$224,$C366,'TL02'!$J$10:$J$224),0),
IF('TL02'!$B$229=O$3,SUMIF('TL02'!$C$238:$C$451,$C366,'TL02'!$J$238:$J$451),0),
IF('TL03'!$B$3=O$3,SUMIF('TL03'!$C$10:$C$224,$C366,'TL03'!$J$10:$J$224),0),
IF('TL03'!$B$229=O$3,SUMIF('TL03'!$C$238:$C$451,$C366,'TL03'!$J$238:$J$451),0),
IF('TL04'!$B$3=O$3,SUMIF('TL04'!$C$10:$C$224,$C366,'TL04'!$J$10:$J$224),0),
IF('TL04'!$B$229=O$3,SUMIF('TL04'!$C$238:$C$451,$C366,'TL04'!$J$238:$J$451),0),
IF('TL05'!$B$3=O$3,SUMIF('TL05'!$C$10:$C$224,$C366,'TL05'!$J$10:$J$224),0),
IF('TL05'!$B$229=O$3,SUMIF('TL05'!$C$238:$C$451,$C366,'TL05'!$J$238:$J$451),0),
IF('TL06'!$B$3=O$3,SUMIF('TL06'!$C$10:$C$224,$C366,'TL06'!$J$10:$J$224),0),
IF('TL06'!$B$229=O$3,SUMIF('TL06'!$C$238:$C$451,$C366,'TL06'!$J$238:$J$451),0),
IF('TL07'!$B$3=O$3,SUMIF('TL07'!$C$10:$C$224,$C366,'TL07'!$J$10:$J$224),0),
IF('TL07'!$B$229=O$3,SUMIF('TL07'!$C$238:$C$451,$C366,'TL07'!$J$238:$J$451),0),
IF('TL08'!$B$3=O$3,SUMIF('TL08'!$C$10:$C$224,$C366,'TL08'!$J$10:$J$224),0),
IF('TL08'!$B$229=O$3,SUMIF('TL08'!$C$238:$C$451,$C366,'TL08'!$J$238:$J$451),0),
IF('TL09'!$B$3=O$3,SUMIF('TL09'!$C$10:$C$224,$C366,'TL09'!$J$10:$J$224),0),
IF('TL09'!$B$229=O$3,SUMIF('TL09'!$C$238:$C$451,$C366,'TL09'!$J$238:$J$451),0),
IF('TL10'!$B$3=O$3,SUMIF('TL10'!$C$10:$C$224,$C366,'TL10'!$J$10:$J$224),0),
IF('TL10'!$B$229=O$3,SUMIF('TL10'!$C$238:$C$451,$C366,'TL10'!$J$238:$J$451),0),
IF('TL11'!$B$3=O$3,SUMIF('TL11'!$C$10:$C$224,$C366,'TL11'!$J$10:$J$224),0),
IF('TL11'!$B$229=O$3,SUMIF('TL11'!$C$238:$C$451,$C366,'TL11'!$J$238:$J$451),0),
IF('TL12'!$B$3=O$3,SUMIF('TL12'!$C$10:$C$224,$C366,'TL12'!$J$10:$J$224),0),
IF('TL12'!$B$229=O$3,SUMIF('TL12'!$C$238:$C$451,$C366,'TL12'!$J$238:$J$451),0),
IF('TL13'!$B$3=O$3,SUMIF('TL13'!$C$10:$C$224,$C366,'TL13'!$J$10:$J$224),0),
IF('TL13'!$B$229=O$3,SUMIF('TL13'!$C$238:$C$451,$C366,'TL13'!$J$238:$J$451),0),
IF('TL14'!$B$3=O$3,SUMIF('TL14'!$C$10:$C$224,$C366,'TL14'!$J$10:$J$224),0),
IF('TL14'!$B$229=O$3,SUMIF('TL14'!$C$238:$C$451,$C366,'TL14'!$J$238:$J$451),0),
IF('TL15'!$B$3=O$3,SUMIF('TL15'!$C$10:$C$224,$C366,'TL15'!$J$10:$J$224),0),
IF('TL15'!$B$229=O$3,SUMIF('TL15'!$C$238:$C$451,$C366,'TL15'!$J$238:$J$451),0),
IF('TL16'!$B$3=O$3,SUMIF('TL16'!$C$10:$C$224,$C366,'TL16'!$J$10:$J$224),0),
IF('TL16'!$B$229=O$3,SUMIF('TL16'!$C$238:$C$451,$C366,'TL16'!$J$238:$J$451),0),
IF('TL17'!$B$3=O$3,SUMIF('TL17'!$C$10:$C$224,$C366,'TL17'!$J$10:$J$224),0),
IF('TL17'!$B$229=O$3,SUMIF('TL17'!$C$238:$C$451,$C366,'TL17'!$J$238:$J$451),0),
IF('TL18'!$B$3=O$3,SUMIF('TL18'!$C$10:$C$224,$C366,'TL18'!$J$10:$J$224),0),
IF('TL18'!$B$229=O$3,SUMIF('TL18'!$C$238:$C$451,$C366,'TL18'!$J$238:$J$451),0),
IF('TL19'!$B$3=O$3,SUMIF('TL19'!$C$10:$C$224,$C366,'TL19'!$J$10:$J$224),0),
IF('TL19'!$B$229=O$3,SUMIF('TL19'!$C$238:$C$451,$C366,'TL19'!$J$238:$J$451),0)
),0)</f>
        <v/>
      </c>
      <c r="P366" s="9">
        <f>IFERROR(SUM(
IF('TL01'!$B$3=P$3,SUMIF('TL01'!$C$10:$C$224,$C366,'TL01'!$J$10:$J$224),0),
IF('TL01'!$B$229=P$3,SUMIF('TL01'!$C$238:$C$451,$C366,'TL01'!$J$238:$J$451),0),
IF('TL02'!$B$3=P$3,SUMIF('TL02'!$C$10:$C$224,$C366,'TL02'!$J$10:$J$224),0),
IF('TL02'!$B$229=P$3,SUMIF('TL02'!$C$238:$C$451,$C366,'TL02'!$J$238:$J$451),0),
IF('TL03'!$B$3=P$3,SUMIF('TL03'!$C$10:$C$224,$C366,'TL03'!$J$10:$J$224),0),
IF('TL03'!$B$229=P$3,SUMIF('TL03'!$C$238:$C$451,$C366,'TL03'!$J$238:$J$451),0),
IF('TL04'!$B$3=P$3,SUMIF('TL04'!$C$10:$C$224,$C366,'TL04'!$J$10:$J$224),0),
IF('TL04'!$B$229=P$3,SUMIF('TL04'!$C$238:$C$451,$C366,'TL04'!$J$238:$J$451),0),
IF('TL05'!$B$3=P$3,SUMIF('TL05'!$C$10:$C$224,$C366,'TL05'!$J$10:$J$224),0),
IF('TL05'!$B$229=P$3,SUMIF('TL05'!$C$238:$C$451,$C366,'TL05'!$J$238:$J$451),0),
IF('TL06'!$B$3=P$3,SUMIF('TL06'!$C$10:$C$224,$C366,'TL06'!$J$10:$J$224),0),
IF('TL06'!$B$229=P$3,SUMIF('TL06'!$C$238:$C$451,$C366,'TL06'!$J$238:$J$451),0),
IF('TL07'!$B$3=P$3,SUMIF('TL07'!$C$10:$C$224,$C366,'TL07'!$J$10:$J$224),0),
IF('TL07'!$B$229=P$3,SUMIF('TL07'!$C$238:$C$451,$C366,'TL07'!$J$238:$J$451),0),
IF('TL08'!$B$3=P$3,SUMIF('TL08'!$C$10:$C$224,$C366,'TL08'!$J$10:$J$224),0),
IF('TL08'!$B$229=P$3,SUMIF('TL08'!$C$238:$C$451,$C366,'TL08'!$J$238:$J$451),0),
IF('TL09'!$B$3=P$3,SUMIF('TL09'!$C$10:$C$224,$C366,'TL09'!$J$10:$J$224),0),
IF('TL09'!$B$229=P$3,SUMIF('TL09'!$C$238:$C$451,$C366,'TL09'!$J$238:$J$451),0),
IF('TL10'!$B$3=P$3,SUMIF('TL10'!$C$10:$C$224,$C366,'TL10'!$J$10:$J$224),0),
IF('TL10'!$B$229=P$3,SUMIF('TL10'!$C$238:$C$451,$C366,'TL10'!$J$238:$J$451),0),
IF('TL11'!$B$3=P$3,SUMIF('TL11'!$C$10:$C$224,$C366,'TL11'!$J$10:$J$224),0),
IF('TL11'!$B$229=P$3,SUMIF('TL11'!$C$238:$C$451,$C366,'TL11'!$J$238:$J$451),0),
IF('TL12'!$B$3=P$3,SUMIF('TL12'!$C$10:$C$224,$C366,'TL12'!$J$10:$J$224),0),
IF('TL12'!$B$229=P$3,SUMIF('TL12'!$C$238:$C$451,$C366,'TL12'!$J$238:$J$451),0),
IF('TL13'!$B$3=P$3,SUMIF('TL13'!$C$10:$C$224,$C366,'TL13'!$J$10:$J$224),0),
IF('TL13'!$B$229=P$3,SUMIF('TL13'!$C$238:$C$451,$C366,'TL13'!$J$238:$J$451),0),
IF('TL14'!$B$3=P$3,SUMIF('TL14'!$C$10:$C$224,$C366,'TL14'!$J$10:$J$224),0),
IF('TL14'!$B$229=P$3,SUMIF('TL14'!$C$238:$C$451,$C366,'TL14'!$J$238:$J$451),0),
IF('TL15'!$B$3=P$3,SUMIF('TL15'!$C$10:$C$224,$C366,'TL15'!$J$10:$J$224),0),
IF('TL15'!$B$229=P$3,SUMIF('TL15'!$C$238:$C$451,$C366,'TL15'!$J$238:$J$451),0),
IF('TL16'!$B$3=P$3,SUMIF('TL16'!$C$10:$C$224,$C366,'TL16'!$J$10:$J$224),0),
IF('TL16'!$B$229=P$3,SUMIF('TL16'!$C$238:$C$451,$C366,'TL16'!$J$238:$J$451),0),
IF('TL17'!$B$3=P$3,SUMIF('TL17'!$C$10:$C$224,$C366,'TL17'!$J$10:$J$224),0),
IF('TL17'!$B$229=P$3,SUMIF('TL17'!$C$238:$C$451,$C366,'TL17'!$J$238:$J$451),0),
IF('TL18'!$B$3=P$3,SUMIF('TL18'!$C$10:$C$224,$C366,'TL18'!$J$10:$J$224),0),
IF('TL18'!$B$229=P$3,SUMIF('TL18'!$C$238:$C$451,$C366,'TL18'!$J$238:$J$451),0),
IF('TL19'!$B$3=P$3,SUMIF('TL19'!$C$10:$C$224,$C366,'TL19'!$J$10:$J$224),0),
IF('TL19'!$B$229=P$3,SUMIF('TL19'!$C$238:$C$451,$C366,'TL19'!$J$238:$J$451),0)
),0)</f>
        <v/>
      </c>
      <c r="Q366" s="9">
        <f>IFERROR(SUM(
IF('TL01'!$B$3=Q$3,SUMIF('TL01'!$C$10:$C$224,$C366,'TL01'!$J$10:$J$224),0),
IF('TL01'!$B$229=Q$3,SUMIF('TL01'!$C$238:$C$451,$C366,'TL01'!$J$238:$J$451),0),
IF('TL02'!$B$3=Q$3,SUMIF('TL02'!$C$10:$C$224,$C366,'TL02'!$J$10:$J$224),0),
IF('TL02'!$B$229=Q$3,SUMIF('TL02'!$C$238:$C$451,$C366,'TL02'!$J$238:$J$451),0),
IF('TL03'!$B$3=Q$3,SUMIF('TL03'!$C$10:$C$224,$C366,'TL03'!$J$10:$J$224),0),
IF('TL03'!$B$229=Q$3,SUMIF('TL03'!$C$238:$C$451,$C366,'TL03'!$J$238:$J$451),0),
IF('TL04'!$B$3=Q$3,SUMIF('TL04'!$C$10:$C$224,$C366,'TL04'!$J$10:$J$224),0),
IF('TL04'!$B$229=Q$3,SUMIF('TL04'!$C$238:$C$451,$C366,'TL04'!$J$238:$J$451),0),
IF('TL05'!$B$3=Q$3,SUMIF('TL05'!$C$10:$C$224,$C366,'TL05'!$J$10:$J$224),0),
IF('TL05'!$B$229=Q$3,SUMIF('TL05'!$C$238:$C$451,$C366,'TL05'!$J$238:$J$451),0),
IF('TL06'!$B$3=Q$3,SUMIF('TL06'!$C$10:$C$224,$C366,'TL06'!$J$10:$J$224),0),
IF('TL06'!$B$229=Q$3,SUMIF('TL06'!$C$238:$C$451,$C366,'TL06'!$J$238:$J$451),0),
IF('TL07'!$B$3=Q$3,SUMIF('TL07'!$C$10:$C$224,$C366,'TL07'!$J$10:$J$224),0),
IF('TL07'!$B$229=Q$3,SUMIF('TL07'!$C$238:$C$451,$C366,'TL07'!$J$238:$J$451),0),
IF('TL08'!$B$3=Q$3,SUMIF('TL08'!$C$10:$C$224,$C366,'TL08'!$J$10:$J$224),0),
IF('TL08'!$B$229=Q$3,SUMIF('TL08'!$C$238:$C$451,$C366,'TL08'!$J$238:$J$451),0),
IF('TL09'!$B$3=Q$3,SUMIF('TL09'!$C$10:$C$224,$C366,'TL09'!$J$10:$J$224),0),
IF('TL09'!$B$229=Q$3,SUMIF('TL09'!$C$238:$C$451,$C366,'TL09'!$J$238:$J$451),0),
IF('TL10'!$B$3=Q$3,SUMIF('TL10'!$C$10:$C$224,$C366,'TL10'!$J$10:$J$224),0),
IF('TL10'!$B$229=Q$3,SUMIF('TL10'!$C$238:$C$451,$C366,'TL10'!$J$238:$J$451),0),
IF('TL11'!$B$3=Q$3,SUMIF('TL11'!$C$10:$C$224,$C366,'TL11'!$J$10:$J$224),0),
IF('TL11'!$B$229=Q$3,SUMIF('TL11'!$C$238:$C$451,$C366,'TL11'!$J$238:$J$451),0),
IF('TL12'!$B$3=Q$3,SUMIF('TL12'!$C$10:$C$224,$C366,'TL12'!$J$10:$J$224),0),
IF('TL12'!$B$229=Q$3,SUMIF('TL12'!$C$238:$C$451,$C366,'TL12'!$J$238:$J$451),0),
IF('TL13'!$B$3=Q$3,SUMIF('TL13'!$C$10:$C$224,$C366,'TL13'!$J$10:$J$224),0),
IF('TL13'!$B$229=Q$3,SUMIF('TL13'!$C$238:$C$451,$C366,'TL13'!$J$238:$J$451),0),
IF('TL14'!$B$3=Q$3,SUMIF('TL14'!$C$10:$C$224,$C366,'TL14'!$J$10:$J$224),0),
IF('TL14'!$B$229=Q$3,SUMIF('TL14'!$C$238:$C$451,$C366,'TL14'!$J$238:$J$451),0),
IF('TL15'!$B$3=Q$3,SUMIF('TL15'!$C$10:$C$224,$C366,'TL15'!$J$10:$J$224),0),
IF('TL15'!$B$229=Q$3,SUMIF('TL15'!$C$238:$C$451,$C366,'TL15'!$J$238:$J$451),0),
IF('TL16'!$B$3=Q$3,SUMIF('TL16'!$C$10:$C$224,$C366,'TL16'!$J$10:$J$224),0),
IF('TL16'!$B$229=Q$3,SUMIF('TL16'!$C$238:$C$451,$C366,'TL16'!$J$238:$J$451),0),
IF('TL17'!$B$3=Q$3,SUMIF('TL17'!$C$10:$C$224,$C366,'TL17'!$J$10:$J$224),0),
IF('TL17'!$B$229=Q$3,SUMIF('TL17'!$C$238:$C$451,$C366,'TL17'!$J$238:$J$451),0),
IF('TL18'!$B$3=Q$3,SUMIF('TL18'!$C$10:$C$224,$C366,'TL18'!$J$10:$J$224),0),
IF('TL18'!$B$229=Q$3,SUMIF('TL18'!$C$238:$C$451,$C366,'TL18'!$J$238:$J$451),0),
IF('TL19'!$B$3=Q$3,SUMIF('TL19'!$C$10:$C$224,$C366,'TL19'!$J$10:$J$224),0),
IF('TL19'!$B$229=Q$3,SUMIF('TL19'!$C$238:$C$451,$C366,'TL19'!$J$238:$J$451),0)
),0)</f>
        <v/>
      </c>
      <c r="R366" s="9">
        <f>IFERROR(
SUM(
SUMIF('TL01'!C:C,C366,'TL01'!J:J),
SUMIF('TL02'!C:C,C366,'TL02'!J:J),
SUMIF('TL03'!C:C,C366,'TL03'!J:J),
SUMIF('TL04'!C:C,C366,'TL04'!J:J),
SUMIF('TL05'!C:C,C366,'TL05'!J:J),
SUMIF('TL06'!C:C,C366,'TL06'!J:J),
SUMIF('TL07'!C:C,C366,'TL07'!J:J),
SUMIF('TL08'!C:C,C366,'TL08'!J:J),
SUMIF('TL09'!C:C,C366,'TL09'!J:J),
SUMIF('TL10'!C:C,C366,'TL10'!J:J),
SUMIF('TL11'!C:C,C366,'TL11'!J:J),
SUMIF('TL12'!C:C,C366,'TL12'!J:J),
SUMIF('TL13'!C:C,C366,'TL13'!J:J),
SUMIF('TL14'!C:C,C366,'TL14'!J:J),
SUMIF('TL15'!C:C,C366,'TL15'!J:J),
SUMIF('TL16'!C:C,C366,'TL16'!J:J),
SUMIF('TL17'!C:C,C366,'TL17'!J:J),
SUMIF('TL18'!C:C,C366,'TL18'!J:J),SUMIF('TL19'!C:C,C366,'TL19'!J:J))
,0)</f>
        <v/>
      </c>
      <c r="S366" s="17">
        <f>IFERROR(__xludf.DUMMYFUNCTION("IFERROR(VLOOKUP(C366,
IMPORTRANGE(""1wULbzX32WdYsx-lj2U3uUNBBe2INVIRDtcK0d-Dvl90"",
""26-27!C:G""),
5,
FALSE),
"""")"),48.91)</f>
        <v/>
      </c>
      <c r="T366" s="9" t="n"/>
      <c r="U366" s="92">
        <f>MAX(0,R366-T366)</f>
        <v/>
      </c>
      <c r="V366" s="93">
        <f>U366*S366</f>
        <v/>
      </c>
    </row>
    <row r="367" hidden="1" ht="15.75" customHeight="1" s="297">
      <c r="A367" s="4" t="inlineStr">
        <is>
          <t>SOLUBIO</t>
        </is>
      </c>
      <c r="B367" s="4" t="inlineStr">
        <is>
          <t>BIOLÓGICOS</t>
        </is>
      </c>
      <c r="C367" s="128" t="inlineStr">
        <is>
          <t>Solu Leaf</t>
        </is>
      </c>
      <c r="D367" s="129" t="inlineStr">
        <is>
          <t>Bacilus velezensis</t>
        </is>
      </c>
      <c r="E367" s="20" t="n"/>
      <c r="F367" s="4" t="n"/>
      <c r="G367" s="90">
        <f>HYPERLINK("https://www.google.com/search?q=" &amp; C367 &amp; "+bula+agrofit+pdf", "📄 Ver bula")</f>
        <v/>
      </c>
      <c r="H367" s="4" t="n">
        <v>2</v>
      </c>
      <c r="I367" s="123" t="n"/>
      <c r="J367" s="9">
        <f>IFERROR(SUM(
IF('TL01'!$B$3=J$3,SUMIF('TL01'!$C$10:$C$224,$C367,'TL01'!$J$10:$J$224),0),
IF('TL01'!$B$229=J$3,SUMIF('TL01'!$C$238:$C$451,$C367,'TL01'!$J$238:$J$451),0),
IF('TL02'!$B$3=J$3,SUMIF('TL02'!$C$10:$C$224,$C367,'TL02'!$J$10:$J$224),0),
IF('TL02'!$B$229=J$3,SUMIF('TL02'!$C$238:$C$451,$C367,'TL02'!$J$238:$J$451),0),
IF('TL03'!$B$3=J$3,SUMIF('TL03'!$C$10:$C$224,$C367,'TL03'!$J$10:$J$224),0),
IF('TL03'!$B$229=J$3,SUMIF('TL03'!$C$238:$C$451,$C367,'TL03'!$J$238:$J$451),0),
IF('TL04'!$B$3=J$3,SUMIF('TL04'!$C$10:$C$224,$C367,'TL04'!$J$10:$J$224),0),
IF('TL04'!$B$229=J$3,SUMIF('TL04'!$C$238:$C$451,$C367,'TL04'!$J$238:$J$451),0),
IF('TL05'!$B$3=J$3,SUMIF('TL05'!$C$10:$C$224,$C367,'TL05'!$J$10:$J$224),0),
IF('TL05'!$B$229=J$3,SUMIF('TL05'!$C$238:$C$451,$C367,'TL05'!$J$238:$J$451),0),
IF('TL06'!$B$3=J$3,SUMIF('TL06'!$C$10:$C$224,$C367,'TL06'!$J$10:$J$224),0),
IF('TL06'!$B$229=J$3,SUMIF('TL06'!$C$238:$C$451,$C367,'TL06'!$J$238:$J$451),0),
IF('TL07'!$B$3=J$3,SUMIF('TL07'!$C$10:$C$224,$C367,'TL07'!$J$10:$J$224),0),
IF('TL07'!$B$229=J$3,SUMIF('TL07'!$C$238:$C$451,$C367,'TL07'!$J$238:$J$451),0),
IF('TL08'!$B$3=J$3,SUMIF('TL08'!$C$10:$C$224,$C367,'TL08'!$J$10:$J$224),0),
IF('TL08'!$B$229=J$3,SUMIF('TL08'!$C$238:$C$451,$C367,'TL08'!$J$238:$J$451),0),
IF('TL09'!$B$3=J$3,SUMIF('TL09'!$C$10:$C$224,$C367,'TL09'!$J$10:$J$224),0),
IF('TL09'!$B$229=J$3,SUMIF('TL09'!$C$238:$C$451,$C367,'TL09'!$J$238:$J$451),0),
IF('TL10'!$B$3=J$3,SUMIF('TL10'!$C$10:$C$224,$C367,'TL10'!$J$10:$J$224),0),
IF('TL10'!$B$229=J$3,SUMIF('TL10'!$C$238:$C$451,$C367,'TL10'!$J$238:$J$451),0),
IF('TL11'!$B$3=J$3,SUMIF('TL11'!$C$10:$C$224,$C367,'TL11'!$J$10:$J$224),0),
IF('TL11'!$B$229=J$3,SUMIF('TL11'!$C$238:$C$451,$C367,'TL11'!$J$238:$J$451),0),
IF('TL12'!$B$3=J$3,SUMIF('TL12'!$C$10:$C$224,$C367,'TL12'!$J$10:$J$224),0),
IF('TL12'!$B$229=J$3,SUMIF('TL12'!$C$238:$C$451,$C367,'TL12'!$J$238:$J$451),0),
IF('TL13'!$B$3=J$3,SUMIF('TL13'!$C$10:$C$224,$C367,'TL13'!$J$10:$J$224),0),
IF('TL13'!$B$229=J$3,SUMIF('TL13'!$C$238:$C$451,$C367,'TL13'!$J$238:$J$451),0),
IF('TL14'!$B$3=J$3,SUMIF('TL14'!$C$10:$C$224,$C367,'TL14'!$J$10:$J$224),0),
IF('TL14'!$B$229=J$3,SUMIF('TL14'!$C$238:$C$451,$C367,'TL14'!$J$238:$J$451),0),
IF('TL15'!$B$3=J$3,SUMIF('TL15'!$C$10:$C$224,$C367,'TL15'!$J$10:$J$224),0),
IF('TL15'!$B$229=J$3,SUMIF('TL15'!$C$238:$C$451,$C367,'TL15'!$J$238:$J$451),0),
IF('TL16'!$B$3=J$3,SUMIF('TL16'!$C$10:$C$224,$C367,'TL16'!$J$10:$J$224),0),
IF('TL16'!$B$229=J$3,SUMIF('TL16'!$C$238:$C$451,$C367,'TL16'!$J$238:$J$451),0),
IF('TL17'!$B$3=J$3,SUMIF('TL17'!$C$10:$C$224,$C367,'TL17'!$J$10:$J$224),0),
IF('TL17'!$B$229=J$3,SUMIF('TL17'!$C$238:$C$451,$C367,'TL17'!$J$238:$J$451),0),
IF('TL18'!$B$3=J$3,SUMIF('TL18'!$C$10:$C$224,$C367,'TL18'!$J$10:$J$224),0),
IF('TL18'!$B$229=J$3,SUMIF('TL18'!$C$238:$C$451,$C367,'TL18'!$J$238:$J$451),0),
IF('TL19'!$B$3=J$3,SUMIF('TL19'!$C$10:$C$224,$C367,'TL19'!$J$10:$J$224),0),
IF('TL19'!$B$229=J$3,SUMIF('TL19'!$C$238:$C$451,$C367,'TL19'!$J$238:$J$451),0)
),0)</f>
        <v/>
      </c>
      <c r="K367" s="9">
        <f>IFERROR(SUM(
IF('TL01'!$B$3=K$3,SUMIF('TL01'!$C$10:$C$224,$C367,'TL01'!$J$10:$J$224),0),
IF('TL01'!$B$229=K$3,SUMIF('TL01'!$C$238:$C$451,$C367,'TL01'!$J$238:$J$451),0),
IF('TL02'!$B$3=K$3,SUMIF('TL02'!$C$10:$C$224,$C367,'TL02'!$J$10:$J$224),0),
IF('TL02'!$B$229=K$3,SUMIF('TL02'!$C$238:$C$451,$C367,'TL02'!$J$238:$J$451),0),
IF('TL03'!$B$3=K$3,SUMIF('TL03'!$C$10:$C$224,$C367,'TL03'!$J$10:$J$224),0),
IF('TL03'!$B$229=K$3,SUMIF('TL03'!$C$238:$C$451,$C367,'TL03'!$J$238:$J$451),0),
IF('TL04'!$B$3=K$3,SUMIF('TL04'!$C$10:$C$224,$C367,'TL04'!$J$10:$J$224),0),
IF('TL04'!$B$229=K$3,SUMIF('TL04'!$C$238:$C$451,$C367,'TL04'!$J$238:$J$451),0),
IF('TL05'!$B$3=K$3,SUMIF('TL05'!$C$10:$C$224,$C367,'TL05'!$J$10:$J$224),0),
IF('TL05'!$B$229=K$3,SUMIF('TL05'!$C$238:$C$451,$C367,'TL05'!$J$238:$J$451),0),
IF('TL06'!$B$3=K$3,SUMIF('TL06'!$C$10:$C$224,$C367,'TL06'!$J$10:$J$224),0),
IF('TL06'!$B$229=K$3,SUMIF('TL06'!$C$238:$C$451,$C367,'TL06'!$J$238:$J$451),0),
IF('TL07'!$B$3=K$3,SUMIF('TL07'!$C$10:$C$224,$C367,'TL07'!$J$10:$J$224),0),
IF('TL07'!$B$229=K$3,SUMIF('TL07'!$C$238:$C$451,$C367,'TL07'!$J$238:$J$451),0),
IF('TL08'!$B$3=K$3,SUMIF('TL08'!$C$10:$C$224,$C367,'TL08'!$J$10:$J$224),0),
IF('TL08'!$B$229=K$3,SUMIF('TL08'!$C$238:$C$451,$C367,'TL08'!$J$238:$J$451),0),
IF('TL09'!$B$3=K$3,SUMIF('TL09'!$C$10:$C$224,$C367,'TL09'!$J$10:$J$224),0),
IF('TL09'!$B$229=K$3,SUMIF('TL09'!$C$238:$C$451,$C367,'TL09'!$J$238:$J$451),0),
IF('TL10'!$B$3=K$3,SUMIF('TL10'!$C$10:$C$224,$C367,'TL10'!$J$10:$J$224),0),
IF('TL10'!$B$229=K$3,SUMIF('TL10'!$C$238:$C$451,$C367,'TL10'!$J$238:$J$451),0),
IF('TL11'!$B$3=K$3,SUMIF('TL11'!$C$10:$C$224,$C367,'TL11'!$J$10:$J$224),0),
IF('TL11'!$B$229=K$3,SUMIF('TL11'!$C$238:$C$451,$C367,'TL11'!$J$238:$J$451),0),
IF('TL12'!$B$3=K$3,SUMIF('TL12'!$C$10:$C$224,$C367,'TL12'!$J$10:$J$224),0),
IF('TL12'!$B$229=K$3,SUMIF('TL12'!$C$238:$C$451,$C367,'TL12'!$J$238:$J$451),0),
IF('TL13'!$B$3=K$3,SUMIF('TL13'!$C$10:$C$224,$C367,'TL13'!$J$10:$J$224),0),
IF('TL13'!$B$229=K$3,SUMIF('TL13'!$C$238:$C$451,$C367,'TL13'!$J$238:$J$451),0),
IF('TL14'!$B$3=K$3,SUMIF('TL14'!$C$10:$C$224,$C367,'TL14'!$J$10:$J$224),0),
IF('TL14'!$B$229=K$3,SUMIF('TL14'!$C$238:$C$451,$C367,'TL14'!$J$238:$J$451),0),
IF('TL15'!$B$3=K$3,SUMIF('TL15'!$C$10:$C$224,$C367,'TL15'!$J$10:$J$224),0),
IF('TL15'!$B$229=K$3,SUMIF('TL15'!$C$238:$C$451,$C367,'TL15'!$J$238:$J$451),0),
IF('TL16'!$B$3=K$3,SUMIF('TL16'!$C$10:$C$224,$C367,'TL16'!$J$10:$J$224),0),
IF('TL16'!$B$229=K$3,SUMIF('TL16'!$C$238:$C$451,$C367,'TL16'!$J$238:$J$451),0),
IF('TL17'!$B$3=K$3,SUMIF('TL17'!$C$10:$C$224,$C367,'TL17'!$J$10:$J$224),0),
IF('TL17'!$B$229=K$3,SUMIF('TL17'!$C$238:$C$451,$C367,'TL17'!$J$238:$J$451),0),
IF('TL18'!$B$3=K$3,SUMIF('TL18'!$C$10:$C$224,$C367,'TL18'!$J$10:$J$224),0),
IF('TL18'!$B$229=K$3,SUMIF('TL18'!$C$238:$C$451,$C367,'TL18'!$J$238:$J$451),0),
IF('TL19'!$B$3=K$3,SUMIF('TL19'!$C$10:$C$224,$C367,'TL19'!$J$10:$J$224),0),
IF('TL19'!$B$229=K$3,SUMIF('TL19'!$C$238:$C$451,$C367,'TL19'!$J$238:$J$451),0)
),0)</f>
        <v/>
      </c>
      <c r="L367" s="9">
        <f>IFERROR(SUM(
IF('TL01'!$B$3=L$3,SUMIF('TL01'!$C$10:$C$224,$C367,'TL01'!$J$10:$J$224),0),
IF('TL01'!$B$229=L$3,SUMIF('TL01'!$C$238:$C$451,$C367,'TL01'!$J$238:$J$451),0),
IF('TL02'!$B$3=L$3,SUMIF('TL02'!$C$10:$C$224,$C367,'TL02'!$J$10:$J$224),0),
IF('TL02'!$B$229=L$3,SUMIF('TL02'!$C$238:$C$451,$C367,'TL02'!$J$238:$J$451),0),
IF('TL03'!$B$3=L$3,SUMIF('TL03'!$C$10:$C$224,$C367,'TL03'!$J$10:$J$224),0),
IF('TL03'!$B$229=L$3,SUMIF('TL03'!$C$238:$C$451,$C367,'TL03'!$J$238:$J$451),0),
IF('TL04'!$B$3=L$3,SUMIF('TL04'!$C$10:$C$224,$C367,'TL04'!$J$10:$J$224),0),
IF('TL04'!$B$229=L$3,SUMIF('TL04'!$C$238:$C$451,$C367,'TL04'!$J$238:$J$451),0),
IF('TL05'!$B$3=L$3,SUMIF('TL05'!$C$10:$C$224,$C367,'TL05'!$J$10:$J$224),0),
IF('TL05'!$B$229=L$3,SUMIF('TL05'!$C$238:$C$451,$C367,'TL05'!$J$238:$J$451),0),
IF('TL06'!$B$3=L$3,SUMIF('TL06'!$C$10:$C$224,$C367,'TL06'!$J$10:$J$224),0),
IF('TL06'!$B$229=L$3,SUMIF('TL06'!$C$238:$C$451,$C367,'TL06'!$J$238:$J$451),0),
IF('TL07'!$B$3=L$3,SUMIF('TL07'!$C$10:$C$224,$C367,'TL07'!$J$10:$J$224),0),
IF('TL07'!$B$229=L$3,SUMIF('TL07'!$C$238:$C$451,$C367,'TL07'!$J$238:$J$451),0),
IF('TL08'!$B$3=L$3,SUMIF('TL08'!$C$10:$C$224,$C367,'TL08'!$J$10:$J$224),0),
IF('TL08'!$B$229=L$3,SUMIF('TL08'!$C$238:$C$451,$C367,'TL08'!$J$238:$J$451),0),
IF('TL09'!$B$3=L$3,SUMIF('TL09'!$C$10:$C$224,$C367,'TL09'!$J$10:$J$224),0),
IF('TL09'!$B$229=L$3,SUMIF('TL09'!$C$238:$C$451,$C367,'TL09'!$J$238:$J$451),0),
IF('TL10'!$B$3=L$3,SUMIF('TL10'!$C$10:$C$224,$C367,'TL10'!$J$10:$J$224),0),
IF('TL10'!$B$229=L$3,SUMIF('TL10'!$C$238:$C$451,$C367,'TL10'!$J$238:$J$451),0),
IF('TL11'!$B$3=L$3,SUMIF('TL11'!$C$10:$C$224,$C367,'TL11'!$J$10:$J$224),0),
IF('TL11'!$B$229=L$3,SUMIF('TL11'!$C$238:$C$451,$C367,'TL11'!$J$238:$J$451),0),
IF('TL12'!$B$3=L$3,SUMIF('TL12'!$C$10:$C$224,$C367,'TL12'!$J$10:$J$224),0),
IF('TL12'!$B$229=L$3,SUMIF('TL12'!$C$238:$C$451,$C367,'TL12'!$J$238:$J$451),0),
IF('TL13'!$B$3=L$3,SUMIF('TL13'!$C$10:$C$224,$C367,'TL13'!$J$10:$J$224),0),
IF('TL13'!$B$229=L$3,SUMIF('TL13'!$C$238:$C$451,$C367,'TL13'!$J$238:$J$451),0),
IF('TL14'!$B$3=L$3,SUMIF('TL14'!$C$10:$C$224,$C367,'TL14'!$J$10:$J$224),0),
IF('TL14'!$B$229=L$3,SUMIF('TL14'!$C$238:$C$451,$C367,'TL14'!$J$238:$J$451),0),
IF('TL15'!$B$3=L$3,SUMIF('TL15'!$C$10:$C$224,$C367,'TL15'!$J$10:$J$224),0),
IF('TL15'!$B$229=L$3,SUMIF('TL15'!$C$238:$C$451,$C367,'TL15'!$J$238:$J$451),0),
IF('TL16'!$B$3=L$3,SUMIF('TL16'!$C$10:$C$224,$C367,'TL16'!$J$10:$J$224),0),
IF('TL16'!$B$229=L$3,SUMIF('TL16'!$C$238:$C$451,$C367,'TL16'!$J$238:$J$451),0),
IF('TL17'!$B$3=L$3,SUMIF('TL17'!$C$10:$C$224,$C367,'TL17'!$J$10:$J$224),0),
IF('TL17'!$B$229=L$3,SUMIF('TL17'!$C$238:$C$451,$C367,'TL17'!$J$238:$J$451),0),
IF('TL18'!$B$3=L$3,SUMIF('TL18'!$C$10:$C$224,$C367,'TL18'!$J$10:$J$224),0),
IF('TL18'!$B$229=L$3,SUMIF('TL18'!$C$238:$C$451,$C367,'TL18'!$J$238:$J$451),0),
IF('TL19'!$B$3=L$3,SUMIF('TL19'!$C$10:$C$224,$C367,'TL19'!$J$10:$J$224),0),
IF('TL19'!$B$229=L$3,SUMIF('TL19'!$C$238:$C$451,$C367,'TL19'!$J$238:$J$451),0)
),0)</f>
        <v/>
      </c>
      <c r="M367" s="9">
        <f>IFERROR(SUM(
IF('TL01'!$B$3=M$3,SUMIF('TL01'!$C$10:$C$224,$C367,'TL01'!$J$10:$J$224),0),
IF('TL01'!$B$229=M$3,SUMIF('TL01'!$C$238:$C$451,$C367,'TL01'!$J$238:$J$451),0),
IF('TL02'!$B$3=M$3,SUMIF('TL02'!$C$10:$C$224,$C367,'TL02'!$J$10:$J$224),0),
IF('TL02'!$B$229=M$3,SUMIF('TL02'!$C$238:$C$451,$C367,'TL02'!$J$238:$J$451),0),
IF('TL03'!$B$3=M$3,SUMIF('TL03'!$C$10:$C$224,$C367,'TL03'!$J$10:$J$224),0),
IF('TL03'!$B$229=M$3,SUMIF('TL03'!$C$238:$C$451,$C367,'TL03'!$J$238:$J$451),0),
IF('TL04'!$B$3=M$3,SUMIF('TL04'!$C$10:$C$224,$C367,'TL04'!$J$10:$J$224),0),
IF('TL04'!$B$229=M$3,SUMIF('TL04'!$C$238:$C$451,$C367,'TL04'!$J$238:$J$451),0),
IF('TL05'!$B$3=M$3,SUMIF('TL05'!$C$10:$C$224,$C367,'TL05'!$J$10:$J$224),0),
IF('TL05'!$B$229=M$3,SUMIF('TL05'!$C$238:$C$451,$C367,'TL05'!$J$238:$J$451),0),
IF('TL06'!$B$3=M$3,SUMIF('TL06'!$C$10:$C$224,$C367,'TL06'!$J$10:$J$224),0),
IF('TL06'!$B$229=M$3,SUMIF('TL06'!$C$238:$C$451,$C367,'TL06'!$J$238:$J$451),0),
IF('TL07'!$B$3=M$3,SUMIF('TL07'!$C$10:$C$224,$C367,'TL07'!$J$10:$J$224),0),
IF('TL07'!$B$229=M$3,SUMIF('TL07'!$C$238:$C$451,$C367,'TL07'!$J$238:$J$451),0),
IF('TL08'!$B$3=M$3,SUMIF('TL08'!$C$10:$C$224,$C367,'TL08'!$J$10:$J$224),0),
IF('TL08'!$B$229=M$3,SUMIF('TL08'!$C$238:$C$451,$C367,'TL08'!$J$238:$J$451),0),
IF('TL09'!$B$3=M$3,SUMIF('TL09'!$C$10:$C$224,$C367,'TL09'!$J$10:$J$224),0),
IF('TL09'!$B$229=M$3,SUMIF('TL09'!$C$238:$C$451,$C367,'TL09'!$J$238:$J$451),0),
IF('TL10'!$B$3=M$3,SUMIF('TL10'!$C$10:$C$224,$C367,'TL10'!$J$10:$J$224),0),
IF('TL10'!$B$229=M$3,SUMIF('TL10'!$C$238:$C$451,$C367,'TL10'!$J$238:$J$451),0),
IF('TL11'!$B$3=M$3,SUMIF('TL11'!$C$10:$C$224,$C367,'TL11'!$J$10:$J$224),0),
IF('TL11'!$B$229=M$3,SUMIF('TL11'!$C$238:$C$451,$C367,'TL11'!$J$238:$J$451),0),
IF('TL12'!$B$3=M$3,SUMIF('TL12'!$C$10:$C$224,$C367,'TL12'!$J$10:$J$224),0),
IF('TL12'!$B$229=M$3,SUMIF('TL12'!$C$238:$C$451,$C367,'TL12'!$J$238:$J$451),0),
IF('TL13'!$B$3=M$3,SUMIF('TL13'!$C$10:$C$224,$C367,'TL13'!$J$10:$J$224),0),
IF('TL13'!$B$229=M$3,SUMIF('TL13'!$C$238:$C$451,$C367,'TL13'!$J$238:$J$451),0),
IF('TL14'!$B$3=M$3,SUMIF('TL14'!$C$10:$C$224,$C367,'TL14'!$J$10:$J$224),0),
IF('TL14'!$B$229=M$3,SUMIF('TL14'!$C$238:$C$451,$C367,'TL14'!$J$238:$J$451),0),
IF('TL15'!$B$3=M$3,SUMIF('TL15'!$C$10:$C$224,$C367,'TL15'!$J$10:$J$224),0),
IF('TL15'!$B$229=M$3,SUMIF('TL15'!$C$238:$C$451,$C367,'TL15'!$J$238:$J$451),0),
IF('TL16'!$B$3=M$3,SUMIF('TL16'!$C$10:$C$224,$C367,'TL16'!$J$10:$J$224),0),
IF('TL16'!$B$229=M$3,SUMIF('TL16'!$C$238:$C$451,$C367,'TL16'!$J$238:$J$451),0),
IF('TL17'!$B$3=M$3,SUMIF('TL17'!$C$10:$C$224,$C367,'TL17'!$J$10:$J$224),0),
IF('TL17'!$B$229=M$3,SUMIF('TL17'!$C$238:$C$451,$C367,'TL17'!$J$238:$J$451),0),
IF('TL18'!$B$3=M$3,SUMIF('TL18'!$C$10:$C$224,$C367,'TL18'!$J$10:$J$224),0),
IF('TL18'!$B$229=M$3,SUMIF('TL18'!$C$238:$C$451,$C367,'TL18'!$J$238:$J$451),0),
IF('TL19'!$B$3=M$3,SUMIF('TL19'!$C$10:$C$224,$C367,'TL19'!$J$10:$J$224),0),
IF('TL19'!$B$229=M$3,SUMIF('TL19'!$C$238:$C$451,$C367,'TL19'!$J$238:$J$451),0)
),0)</f>
        <v/>
      </c>
      <c r="N367" s="9">
        <f>IFERROR(SUM(
IF('TL01'!$B$3=N$3,SUMIF('TL01'!$C$10:$C$224,$C367,'TL01'!$J$10:$J$224),0),
IF('TL01'!$B$229=N$3,SUMIF('TL01'!$C$238:$C$451,$C367,'TL01'!$J$238:$J$451),0),
IF('TL02'!$B$3=N$3,SUMIF('TL02'!$C$10:$C$224,$C367,'TL02'!$J$10:$J$224),0),
IF('TL02'!$B$229=N$3,SUMIF('TL02'!$C$238:$C$451,$C367,'TL02'!$J$238:$J$451),0),
IF('TL03'!$B$3=N$3,SUMIF('TL03'!$C$10:$C$224,$C367,'TL03'!$J$10:$J$224),0),
IF('TL03'!$B$229=N$3,SUMIF('TL03'!$C$238:$C$451,$C367,'TL03'!$J$238:$J$451),0),
IF('TL04'!$B$3=N$3,SUMIF('TL04'!$C$10:$C$224,$C367,'TL04'!$J$10:$J$224),0),
IF('TL04'!$B$229=N$3,SUMIF('TL04'!$C$238:$C$451,$C367,'TL04'!$J$238:$J$451),0),
IF('TL05'!$B$3=N$3,SUMIF('TL05'!$C$10:$C$224,$C367,'TL05'!$J$10:$J$224),0),
IF('TL05'!$B$229=N$3,SUMIF('TL05'!$C$238:$C$451,$C367,'TL05'!$J$238:$J$451),0),
IF('TL06'!$B$3=N$3,SUMIF('TL06'!$C$10:$C$224,$C367,'TL06'!$J$10:$J$224),0),
IF('TL06'!$B$229=N$3,SUMIF('TL06'!$C$238:$C$451,$C367,'TL06'!$J$238:$J$451),0),
IF('TL07'!$B$3=N$3,SUMIF('TL07'!$C$10:$C$224,$C367,'TL07'!$J$10:$J$224),0),
IF('TL07'!$B$229=N$3,SUMIF('TL07'!$C$238:$C$451,$C367,'TL07'!$J$238:$J$451),0),
IF('TL08'!$B$3=N$3,SUMIF('TL08'!$C$10:$C$224,$C367,'TL08'!$J$10:$J$224),0),
IF('TL08'!$B$229=N$3,SUMIF('TL08'!$C$238:$C$451,$C367,'TL08'!$J$238:$J$451),0),
IF('TL09'!$B$3=N$3,SUMIF('TL09'!$C$10:$C$224,$C367,'TL09'!$J$10:$J$224),0),
IF('TL09'!$B$229=N$3,SUMIF('TL09'!$C$238:$C$451,$C367,'TL09'!$J$238:$J$451),0),
IF('TL10'!$B$3=N$3,SUMIF('TL10'!$C$10:$C$224,$C367,'TL10'!$J$10:$J$224),0),
IF('TL10'!$B$229=N$3,SUMIF('TL10'!$C$238:$C$451,$C367,'TL10'!$J$238:$J$451),0),
IF('TL11'!$B$3=N$3,SUMIF('TL11'!$C$10:$C$224,$C367,'TL11'!$J$10:$J$224),0),
IF('TL11'!$B$229=N$3,SUMIF('TL11'!$C$238:$C$451,$C367,'TL11'!$J$238:$J$451),0),
IF('TL12'!$B$3=N$3,SUMIF('TL12'!$C$10:$C$224,$C367,'TL12'!$J$10:$J$224),0),
IF('TL12'!$B$229=N$3,SUMIF('TL12'!$C$238:$C$451,$C367,'TL12'!$J$238:$J$451),0),
IF('TL13'!$B$3=N$3,SUMIF('TL13'!$C$10:$C$224,$C367,'TL13'!$J$10:$J$224),0),
IF('TL13'!$B$229=N$3,SUMIF('TL13'!$C$238:$C$451,$C367,'TL13'!$J$238:$J$451),0),
IF('TL14'!$B$3=N$3,SUMIF('TL14'!$C$10:$C$224,$C367,'TL14'!$J$10:$J$224),0),
IF('TL14'!$B$229=N$3,SUMIF('TL14'!$C$238:$C$451,$C367,'TL14'!$J$238:$J$451),0),
IF('TL15'!$B$3=N$3,SUMIF('TL15'!$C$10:$C$224,$C367,'TL15'!$J$10:$J$224),0),
IF('TL15'!$B$229=N$3,SUMIF('TL15'!$C$238:$C$451,$C367,'TL15'!$J$238:$J$451),0),
IF('TL16'!$B$3=N$3,SUMIF('TL16'!$C$10:$C$224,$C367,'TL16'!$J$10:$J$224),0),
IF('TL16'!$B$229=N$3,SUMIF('TL16'!$C$238:$C$451,$C367,'TL16'!$J$238:$J$451),0),
IF('TL17'!$B$3=N$3,SUMIF('TL17'!$C$10:$C$224,$C367,'TL17'!$J$10:$J$224),0),
IF('TL17'!$B$229=N$3,SUMIF('TL17'!$C$238:$C$451,$C367,'TL17'!$J$238:$J$451),0),
IF('TL18'!$B$3=N$3,SUMIF('TL18'!$C$10:$C$224,$C367,'TL18'!$J$10:$J$224),0),
IF('TL18'!$B$229=N$3,SUMIF('TL18'!$C$238:$C$451,$C367,'TL18'!$J$238:$J$451),0),
IF('TL19'!$B$3=N$3,SUMIF('TL19'!$C$10:$C$224,$C367,'TL19'!$J$10:$J$224),0),
IF('TL19'!$B$229=N$3,SUMIF('TL19'!$C$238:$C$451,$C367,'TL19'!$J$238:$J$451),0)
),0)</f>
        <v/>
      </c>
      <c r="O367" s="9">
        <f>IFERROR(SUM(
IF('TL01'!$B$3=O$3,SUMIF('TL01'!$C$10:$C$224,$C367,'TL01'!$J$10:$J$224),0),
IF('TL01'!$B$229=O$3,SUMIF('TL01'!$C$238:$C$451,$C367,'TL01'!$J$238:$J$451),0),
IF('TL02'!$B$3=O$3,SUMIF('TL02'!$C$10:$C$224,$C367,'TL02'!$J$10:$J$224),0),
IF('TL02'!$B$229=O$3,SUMIF('TL02'!$C$238:$C$451,$C367,'TL02'!$J$238:$J$451),0),
IF('TL03'!$B$3=O$3,SUMIF('TL03'!$C$10:$C$224,$C367,'TL03'!$J$10:$J$224),0),
IF('TL03'!$B$229=O$3,SUMIF('TL03'!$C$238:$C$451,$C367,'TL03'!$J$238:$J$451),0),
IF('TL04'!$B$3=O$3,SUMIF('TL04'!$C$10:$C$224,$C367,'TL04'!$J$10:$J$224),0),
IF('TL04'!$B$229=O$3,SUMIF('TL04'!$C$238:$C$451,$C367,'TL04'!$J$238:$J$451),0),
IF('TL05'!$B$3=O$3,SUMIF('TL05'!$C$10:$C$224,$C367,'TL05'!$J$10:$J$224),0),
IF('TL05'!$B$229=O$3,SUMIF('TL05'!$C$238:$C$451,$C367,'TL05'!$J$238:$J$451),0),
IF('TL06'!$B$3=O$3,SUMIF('TL06'!$C$10:$C$224,$C367,'TL06'!$J$10:$J$224),0),
IF('TL06'!$B$229=O$3,SUMIF('TL06'!$C$238:$C$451,$C367,'TL06'!$J$238:$J$451),0),
IF('TL07'!$B$3=O$3,SUMIF('TL07'!$C$10:$C$224,$C367,'TL07'!$J$10:$J$224),0),
IF('TL07'!$B$229=O$3,SUMIF('TL07'!$C$238:$C$451,$C367,'TL07'!$J$238:$J$451),0),
IF('TL08'!$B$3=O$3,SUMIF('TL08'!$C$10:$C$224,$C367,'TL08'!$J$10:$J$224),0),
IF('TL08'!$B$229=O$3,SUMIF('TL08'!$C$238:$C$451,$C367,'TL08'!$J$238:$J$451),0),
IF('TL09'!$B$3=O$3,SUMIF('TL09'!$C$10:$C$224,$C367,'TL09'!$J$10:$J$224),0),
IF('TL09'!$B$229=O$3,SUMIF('TL09'!$C$238:$C$451,$C367,'TL09'!$J$238:$J$451),0),
IF('TL10'!$B$3=O$3,SUMIF('TL10'!$C$10:$C$224,$C367,'TL10'!$J$10:$J$224),0),
IF('TL10'!$B$229=O$3,SUMIF('TL10'!$C$238:$C$451,$C367,'TL10'!$J$238:$J$451),0),
IF('TL11'!$B$3=O$3,SUMIF('TL11'!$C$10:$C$224,$C367,'TL11'!$J$10:$J$224),0),
IF('TL11'!$B$229=O$3,SUMIF('TL11'!$C$238:$C$451,$C367,'TL11'!$J$238:$J$451),0),
IF('TL12'!$B$3=O$3,SUMIF('TL12'!$C$10:$C$224,$C367,'TL12'!$J$10:$J$224),0),
IF('TL12'!$B$229=O$3,SUMIF('TL12'!$C$238:$C$451,$C367,'TL12'!$J$238:$J$451),0),
IF('TL13'!$B$3=O$3,SUMIF('TL13'!$C$10:$C$224,$C367,'TL13'!$J$10:$J$224),0),
IF('TL13'!$B$229=O$3,SUMIF('TL13'!$C$238:$C$451,$C367,'TL13'!$J$238:$J$451),0),
IF('TL14'!$B$3=O$3,SUMIF('TL14'!$C$10:$C$224,$C367,'TL14'!$J$10:$J$224),0),
IF('TL14'!$B$229=O$3,SUMIF('TL14'!$C$238:$C$451,$C367,'TL14'!$J$238:$J$451),0),
IF('TL15'!$B$3=O$3,SUMIF('TL15'!$C$10:$C$224,$C367,'TL15'!$J$10:$J$224),0),
IF('TL15'!$B$229=O$3,SUMIF('TL15'!$C$238:$C$451,$C367,'TL15'!$J$238:$J$451),0),
IF('TL16'!$B$3=O$3,SUMIF('TL16'!$C$10:$C$224,$C367,'TL16'!$J$10:$J$224),0),
IF('TL16'!$B$229=O$3,SUMIF('TL16'!$C$238:$C$451,$C367,'TL16'!$J$238:$J$451),0),
IF('TL17'!$B$3=O$3,SUMIF('TL17'!$C$10:$C$224,$C367,'TL17'!$J$10:$J$224),0),
IF('TL17'!$B$229=O$3,SUMIF('TL17'!$C$238:$C$451,$C367,'TL17'!$J$238:$J$451),0),
IF('TL18'!$B$3=O$3,SUMIF('TL18'!$C$10:$C$224,$C367,'TL18'!$J$10:$J$224),0),
IF('TL18'!$B$229=O$3,SUMIF('TL18'!$C$238:$C$451,$C367,'TL18'!$J$238:$J$451),0),
IF('TL19'!$B$3=O$3,SUMIF('TL19'!$C$10:$C$224,$C367,'TL19'!$J$10:$J$224),0),
IF('TL19'!$B$229=O$3,SUMIF('TL19'!$C$238:$C$451,$C367,'TL19'!$J$238:$J$451),0)
),0)</f>
        <v/>
      </c>
      <c r="P367" s="9">
        <f>IFERROR(SUM(
IF('TL01'!$B$3=P$3,SUMIF('TL01'!$C$10:$C$224,$C367,'TL01'!$J$10:$J$224),0),
IF('TL01'!$B$229=P$3,SUMIF('TL01'!$C$238:$C$451,$C367,'TL01'!$J$238:$J$451),0),
IF('TL02'!$B$3=P$3,SUMIF('TL02'!$C$10:$C$224,$C367,'TL02'!$J$10:$J$224),0),
IF('TL02'!$B$229=P$3,SUMIF('TL02'!$C$238:$C$451,$C367,'TL02'!$J$238:$J$451),0),
IF('TL03'!$B$3=P$3,SUMIF('TL03'!$C$10:$C$224,$C367,'TL03'!$J$10:$J$224),0),
IF('TL03'!$B$229=P$3,SUMIF('TL03'!$C$238:$C$451,$C367,'TL03'!$J$238:$J$451),0),
IF('TL04'!$B$3=P$3,SUMIF('TL04'!$C$10:$C$224,$C367,'TL04'!$J$10:$J$224),0),
IF('TL04'!$B$229=P$3,SUMIF('TL04'!$C$238:$C$451,$C367,'TL04'!$J$238:$J$451),0),
IF('TL05'!$B$3=P$3,SUMIF('TL05'!$C$10:$C$224,$C367,'TL05'!$J$10:$J$224),0),
IF('TL05'!$B$229=P$3,SUMIF('TL05'!$C$238:$C$451,$C367,'TL05'!$J$238:$J$451),0),
IF('TL06'!$B$3=P$3,SUMIF('TL06'!$C$10:$C$224,$C367,'TL06'!$J$10:$J$224),0),
IF('TL06'!$B$229=P$3,SUMIF('TL06'!$C$238:$C$451,$C367,'TL06'!$J$238:$J$451),0),
IF('TL07'!$B$3=P$3,SUMIF('TL07'!$C$10:$C$224,$C367,'TL07'!$J$10:$J$224),0),
IF('TL07'!$B$229=P$3,SUMIF('TL07'!$C$238:$C$451,$C367,'TL07'!$J$238:$J$451),0),
IF('TL08'!$B$3=P$3,SUMIF('TL08'!$C$10:$C$224,$C367,'TL08'!$J$10:$J$224),0),
IF('TL08'!$B$229=P$3,SUMIF('TL08'!$C$238:$C$451,$C367,'TL08'!$J$238:$J$451),0),
IF('TL09'!$B$3=P$3,SUMIF('TL09'!$C$10:$C$224,$C367,'TL09'!$J$10:$J$224),0),
IF('TL09'!$B$229=P$3,SUMIF('TL09'!$C$238:$C$451,$C367,'TL09'!$J$238:$J$451),0),
IF('TL10'!$B$3=P$3,SUMIF('TL10'!$C$10:$C$224,$C367,'TL10'!$J$10:$J$224),0),
IF('TL10'!$B$229=P$3,SUMIF('TL10'!$C$238:$C$451,$C367,'TL10'!$J$238:$J$451),0),
IF('TL11'!$B$3=P$3,SUMIF('TL11'!$C$10:$C$224,$C367,'TL11'!$J$10:$J$224),0),
IF('TL11'!$B$229=P$3,SUMIF('TL11'!$C$238:$C$451,$C367,'TL11'!$J$238:$J$451),0),
IF('TL12'!$B$3=P$3,SUMIF('TL12'!$C$10:$C$224,$C367,'TL12'!$J$10:$J$224),0),
IF('TL12'!$B$229=P$3,SUMIF('TL12'!$C$238:$C$451,$C367,'TL12'!$J$238:$J$451),0),
IF('TL13'!$B$3=P$3,SUMIF('TL13'!$C$10:$C$224,$C367,'TL13'!$J$10:$J$224),0),
IF('TL13'!$B$229=P$3,SUMIF('TL13'!$C$238:$C$451,$C367,'TL13'!$J$238:$J$451),0),
IF('TL14'!$B$3=P$3,SUMIF('TL14'!$C$10:$C$224,$C367,'TL14'!$J$10:$J$224),0),
IF('TL14'!$B$229=P$3,SUMIF('TL14'!$C$238:$C$451,$C367,'TL14'!$J$238:$J$451),0),
IF('TL15'!$B$3=P$3,SUMIF('TL15'!$C$10:$C$224,$C367,'TL15'!$J$10:$J$224),0),
IF('TL15'!$B$229=P$3,SUMIF('TL15'!$C$238:$C$451,$C367,'TL15'!$J$238:$J$451),0),
IF('TL16'!$B$3=P$3,SUMIF('TL16'!$C$10:$C$224,$C367,'TL16'!$J$10:$J$224),0),
IF('TL16'!$B$229=P$3,SUMIF('TL16'!$C$238:$C$451,$C367,'TL16'!$J$238:$J$451),0),
IF('TL17'!$B$3=P$3,SUMIF('TL17'!$C$10:$C$224,$C367,'TL17'!$J$10:$J$224),0),
IF('TL17'!$B$229=P$3,SUMIF('TL17'!$C$238:$C$451,$C367,'TL17'!$J$238:$J$451),0),
IF('TL18'!$B$3=P$3,SUMIF('TL18'!$C$10:$C$224,$C367,'TL18'!$J$10:$J$224),0),
IF('TL18'!$B$229=P$3,SUMIF('TL18'!$C$238:$C$451,$C367,'TL18'!$J$238:$J$451),0),
IF('TL19'!$B$3=P$3,SUMIF('TL19'!$C$10:$C$224,$C367,'TL19'!$J$10:$J$224),0),
IF('TL19'!$B$229=P$3,SUMIF('TL19'!$C$238:$C$451,$C367,'TL19'!$J$238:$J$451),0)
),0)</f>
        <v/>
      </c>
      <c r="Q367" s="9">
        <f>IFERROR(SUM(
IF('TL01'!$B$3=Q$3,SUMIF('TL01'!$C$10:$C$224,$C367,'TL01'!$J$10:$J$224),0),
IF('TL01'!$B$229=Q$3,SUMIF('TL01'!$C$238:$C$451,$C367,'TL01'!$J$238:$J$451),0),
IF('TL02'!$B$3=Q$3,SUMIF('TL02'!$C$10:$C$224,$C367,'TL02'!$J$10:$J$224),0),
IF('TL02'!$B$229=Q$3,SUMIF('TL02'!$C$238:$C$451,$C367,'TL02'!$J$238:$J$451),0),
IF('TL03'!$B$3=Q$3,SUMIF('TL03'!$C$10:$C$224,$C367,'TL03'!$J$10:$J$224),0),
IF('TL03'!$B$229=Q$3,SUMIF('TL03'!$C$238:$C$451,$C367,'TL03'!$J$238:$J$451),0),
IF('TL04'!$B$3=Q$3,SUMIF('TL04'!$C$10:$C$224,$C367,'TL04'!$J$10:$J$224),0),
IF('TL04'!$B$229=Q$3,SUMIF('TL04'!$C$238:$C$451,$C367,'TL04'!$J$238:$J$451),0),
IF('TL05'!$B$3=Q$3,SUMIF('TL05'!$C$10:$C$224,$C367,'TL05'!$J$10:$J$224),0),
IF('TL05'!$B$229=Q$3,SUMIF('TL05'!$C$238:$C$451,$C367,'TL05'!$J$238:$J$451),0),
IF('TL06'!$B$3=Q$3,SUMIF('TL06'!$C$10:$C$224,$C367,'TL06'!$J$10:$J$224),0),
IF('TL06'!$B$229=Q$3,SUMIF('TL06'!$C$238:$C$451,$C367,'TL06'!$J$238:$J$451),0),
IF('TL07'!$B$3=Q$3,SUMIF('TL07'!$C$10:$C$224,$C367,'TL07'!$J$10:$J$224),0),
IF('TL07'!$B$229=Q$3,SUMIF('TL07'!$C$238:$C$451,$C367,'TL07'!$J$238:$J$451),0),
IF('TL08'!$B$3=Q$3,SUMIF('TL08'!$C$10:$C$224,$C367,'TL08'!$J$10:$J$224),0),
IF('TL08'!$B$229=Q$3,SUMIF('TL08'!$C$238:$C$451,$C367,'TL08'!$J$238:$J$451),0),
IF('TL09'!$B$3=Q$3,SUMIF('TL09'!$C$10:$C$224,$C367,'TL09'!$J$10:$J$224),0),
IF('TL09'!$B$229=Q$3,SUMIF('TL09'!$C$238:$C$451,$C367,'TL09'!$J$238:$J$451),0),
IF('TL10'!$B$3=Q$3,SUMIF('TL10'!$C$10:$C$224,$C367,'TL10'!$J$10:$J$224),0),
IF('TL10'!$B$229=Q$3,SUMIF('TL10'!$C$238:$C$451,$C367,'TL10'!$J$238:$J$451),0),
IF('TL11'!$B$3=Q$3,SUMIF('TL11'!$C$10:$C$224,$C367,'TL11'!$J$10:$J$224),0),
IF('TL11'!$B$229=Q$3,SUMIF('TL11'!$C$238:$C$451,$C367,'TL11'!$J$238:$J$451),0),
IF('TL12'!$B$3=Q$3,SUMIF('TL12'!$C$10:$C$224,$C367,'TL12'!$J$10:$J$224),0),
IF('TL12'!$B$229=Q$3,SUMIF('TL12'!$C$238:$C$451,$C367,'TL12'!$J$238:$J$451),0),
IF('TL13'!$B$3=Q$3,SUMIF('TL13'!$C$10:$C$224,$C367,'TL13'!$J$10:$J$224),0),
IF('TL13'!$B$229=Q$3,SUMIF('TL13'!$C$238:$C$451,$C367,'TL13'!$J$238:$J$451),0),
IF('TL14'!$B$3=Q$3,SUMIF('TL14'!$C$10:$C$224,$C367,'TL14'!$J$10:$J$224),0),
IF('TL14'!$B$229=Q$3,SUMIF('TL14'!$C$238:$C$451,$C367,'TL14'!$J$238:$J$451),0),
IF('TL15'!$B$3=Q$3,SUMIF('TL15'!$C$10:$C$224,$C367,'TL15'!$J$10:$J$224),0),
IF('TL15'!$B$229=Q$3,SUMIF('TL15'!$C$238:$C$451,$C367,'TL15'!$J$238:$J$451),0),
IF('TL16'!$B$3=Q$3,SUMIF('TL16'!$C$10:$C$224,$C367,'TL16'!$J$10:$J$224),0),
IF('TL16'!$B$229=Q$3,SUMIF('TL16'!$C$238:$C$451,$C367,'TL16'!$J$238:$J$451),0),
IF('TL17'!$B$3=Q$3,SUMIF('TL17'!$C$10:$C$224,$C367,'TL17'!$J$10:$J$224),0),
IF('TL17'!$B$229=Q$3,SUMIF('TL17'!$C$238:$C$451,$C367,'TL17'!$J$238:$J$451),0),
IF('TL18'!$B$3=Q$3,SUMIF('TL18'!$C$10:$C$224,$C367,'TL18'!$J$10:$J$224),0),
IF('TL18'!$B$229=Q$3,SUMIF('TL18'!$C$238:$C$451,$C367,'TL18'!$J$238:$J$451),0),
IF('TL19'!$B$3=Q$3,SUMIF('TL19'!$C$10:$C$224,$C367,'TL19'!$J$10:$J$224),0),
IF('TL19'!$B$229=Q$3,SUMIF('TL19'!$C$238:$C$451,$C367,'TL19'!$J$238:$J$451),0)
),0)</f>
        <v/>
      </c>
      <c r="R367" s="9">
        <f>IFERROR(
SUM(
SUMIF('TL01'!C:C,C367,'TL01'!J:J),
SUMIF('TL02'!C:C,C367,'TL02'!J:J),
SUMIF('TL03'!C:C,C367,'TL03'!J:J),
SUMIF('TL04'!C:C,C367,'TL04'!J:J),
SUMIF('TL05'!C:C,C367,'TL05'!J:J),
SUMIF('TL06'!C:C,C367,'TL06'!J:J),
SUMIF('TL07'!C:C,C367,'TL07'!J:J),
SUMIF('TL08'!C:C,C367,'TL08'!J:J),
SUMIF('TL09'!C:C,C367,'TL09'!J:J),
SUMIF('TL10'!C:C,C367,'TL10'!J:J),
SUMIF('TL11'!C:C,C367,'TL11'!J:J),
SUMIF('TL12'!C:C,C367,'TL12'!J:J),
SUMIF('TL13'!C:C,C367,'TL13'!J:J),
SUMIF('TL14'!C:C,C367,'TL14'!J:J),
SUMIF('TL15'!C:C,C367,'TL15'!J:J),
SUMIF('TL16'!C:C,C367,'TL16'!J:J),
SUMIF('TL17'!C:C,C367,'TL17'!J:J),
SUMIF('TL18'!C:C,C367,'TL18'!J:J),SUMIF('TL19'!C:C,C367,'TL19'!J:J))
,0)</f>
        <v/>
      </c>
      <c r="S367" s="17">
        <f>IFERROR(__xludf.DUMMYFUNCTION("IFERROR(VLOOKUP(C367,
IMPORTRANGE(""1wULbzX32WdYsx-lj2U3uUNBBe2INVIRDtcK0d-Dvl90"",
""26-27!C:G""),
5,
FALSE),
"""")"),48.91)</f>
        <v/>
      </c>
      <c r="T367" s="9" t="n"/>
      <c r="U367" s="92">
        <f>MAX(0,R367-T367)</f>
        <v/>
      </c>
      <c r="V367" s="93">
        <f>U367*S367</f>
        <v/>
      </c>
    </row>
    <row r="368" hidden="1" ht="15.75" customHeight="1" s="297">
      <c r="A368" s="4" t="inlineStr">
        <is>
          <t>SOLUBIO</t>
        </is>
      </c>
      <c r="B368" s="4" t="inlineStr">
        <is>
          <t>BIOLÓGICOS</t>
        </is>
      </c>
      <c r="C368" s="126" t="inlineStr">
        <is>
          <t>Bio Hidric</t>
        </is>
      </c>
      <c r="D368" s="127" t="inlineStr">
        <is>
          <t>Priestia aryabhattai</t>
        </is>
      </c>
      <c r="E368" s="20" t="n"/>
      <c r="F368" s="4" t="n"/>
      <c r="G368" s="90">
        <f>HYPERLINK("https://www.google.com/search?q=" &amp; C368 &amp; "+bula+agrofit+pdf", "📄 Ver bula")</f>
        <v/>
      </c>
      <c r="H368" s="4" t="n">
        <v>2</v>
      </c>
      <c r="I368" s="123" t="n"/>
      <c r="J368" s="9">
        <f>IFERROR(SUM(
IF('TL01'!$B$3=J$3,SUMIF('TL01'!$C$10:$C$224,$C368,'TL01'!$J$10:$J$224),0),
IF('TL01'!$B$229=J$3,SUMIF('TL01'!$C$238:$C$451,$C368,'TL01'!$J$238:$J$451),0),
IF('TL02'!$B$3=J$3,SUMIF('TL02'!$C$10:$C$224,$C368,'TL02'!$J$10:$J$224),0),
IF('TL02'!$B$229=J$3,SUMIF('TL02'!$C$238:$C$451,$C368,'TL02'!$J$238:$J$451),0),
IF('TL03'!$B$3=J$3,SUMIF('TL03'!$C$10:$C$224,$C368,'TL03'!$J$10:$J$224),0),
IF('TL03'!$B$229=J$3,SUMIF('TL03'!$C$238:$C$451,$C368,'TL03'!$J$238:$J$451),0),
IF('TL04'!$B$3=J$3,SUMIF('TL04'!$C$10:$C$224,$C368,'TL04'!$J$10:$J$224),0),
IF('TL04'!$B$229=J$3,SUMIF('TL04'!$C$238:$C$451,$C368,'TL04'!$J$238:$J$451),0),
IF('TL05'!$B$3=J$3,SUMIF('TL05'!$C$10:$C$224,$C368,'TL05'!$J$10:$J$224),0),
IF('TL05'!$B$229=J$3,SUMIF('TL05'!$C$238:$C$451,$C368,'TL05'!$J$238:$J$451),0),
IF('TL06'!$B$3=J$3,SUMIF('TL06'!$C$10:$C$224,$C368,'TL06'!$J$10:$J$224),0),
IF('TL06'!$B$229=J$3,SUMIF('TL06'!$C$238:$C$451,$C368,'TL06'!$J$238:$J$451),0),
IF('TL07'!$B$3=J$3,SUMIF('TL07'!$C$10:$C$224,$C368,'TL07'!$J$10:$J$224),0),
IF('TL07'!$B$229=J$3,SUMIF('TL07'!$C$238:$C$451,$C368,'TL07'!$J$238:$J$451),0),
IF('TL08'!$B$3=J$3,SUMIF('TL08'!$C$10:$C$224,$C368,'TL08'!$J$10:$J$224),0),
IF('TL08'!$B$229=J$3,SUMIF('TL08'!$C$238:$C$451,$C368,'TL08'!$J$238:$J$451),0),
IF('TL09'!$B$3=J$3,SUMIF('TL09'!$C$10:$C$224,$C368,'TL09'!$J$10:$J$224),0),
IF('TL09'!$B$229=J$3,SUMIF('TL09'!$C$238:$C$451,$C368,'TL09'!$J$238:$J$451),0),
IF('TL10'!$B$3=J$3,SUMIF('TL10'!$C$10:$C$224,$C368,'TL10'!$J$10:$J$224),0),
IF('TL10'!$B$229=J$3,SUMIF('TL10'!$C$238:$C$451,$C368,'TL10'!$J$238:$J$451),0),
IF('TL11'!$B$3=J$3,SUMIF('TL11'!$C$10:$C$224,$C368,'TL11'!$J$10:$J$224),0),
IF('TL11'!$B$229=J$3,SUMIF('TL11'!$C$238:$C$451,$C368,'TL11'!$J$238:$J$451),0),
IF('TL12'!$B$3=J$3,SUMIF('TL12'!$C$10:$C$224,$C368,'TL12'!$J$10:$J$224),0),
IF('TL12'!$B$229=J$3,SUMIF('TL12'!$C$238:$C$451,$C368,'TL12'!$J$238:$J$451),0),
IF('TL13'!$B$3=J$3,SUMIF('TL13'!$C$10:$C$224,$C368,'TL13'!$J$10:$J$224),0),
IF('TL13'!$B$229=J$3,SUMIF('TL13'!$C$238:$C$451,$C368,'TL13'!$J$238:$J$451),0),
IF('TL14'!$B$3=J$3,SUMIF('TL14'!$C$10:$C$224,$C368,'TL14'!$J$10:$J$224),0),
IF('TL14'!$B$229=J$3,SUMIF('TL14'!$C$238:$C$451,$C368,'TL14'!$J$238:$J$451),0),
IF('TL15'!$B$3=J$3,SUMIF('TL15'!$C$10:$C$224,$C368,'TL15'!$J$10:$J$224),0),
IF('TL15'!$B$229=J$3,SUMIF('TL15'!$C$238:$C$451,$C368,'TL15'!$J$238:$J$451),0),
IF('TL16'!$B$3=J$3,SUMIF('TL16'!$C$10:$C$224,$C368,'TL16'!$J$10:$J$224),0),
IF('TL16'!$B$229=J$3,SUMIF('TL16'!$C$238:$C$451,$C368,'TL16'!$J$238:$J$451),0),
IF('TL17'!$B$3=J$3,SUMIF('TL17'!$C$10:$C$224,$C368,'TL17'!$J$10:$J$224),0),
IF('TL17'!$B$229=J$3,SUMIF('TL17'!$C$238:$C$451,$C368,'TL17'!$J$238:$J$451),0),
IF('TL18'!$B$3=J$3,SUMIF('TL18'!$C$10:$C$224,$C368,'TL18'!$J$10:$J$224),0),
IF('TL18'!$B$229=J$3,SUMIF('TL18'!$C$238:$C$451,$C368,'TL18'!$J$238:$J$451),0),
IF('TL19'!$B$3=J$3,SUMIF('TL19'!$C$10:$C$224,$C368,'TL19'!$J$10:$J$224),0),
IF('TL19'!$B$229=J$3,SUMIF('TL19'!$C$238:$C$451,$C368,'TL19'!$J$238:$J$451),0)
),0)</f>
        <v/>
      </c>
      <c r="K368" s="9">
        <f>IFERROR(SUM(
IF('TL01'!$B$3=K$3,SUMIF('TL01'!$C$10:$C$224,$C368,'TL01'!$J$10:$J$224),0),
IF('TL01'!$B$229=K$3,SUMIF('TL01'!$C$238:$C$451,$C368,'TL01'!$J$238:$J$451),0),
IF('TL02'!$B$3=K$3,SUMIF('TL02'!$C$10:$C$224,$C368,'TL02'!$J$10:$J$224),0),
IF('TL02'!$B$229=K$3,SUMIF('TL02'!$C$238:$C$451,$C368,'TL02'!$J$238:$J$451),0),
IF('TL03'!$B$3=K$3,SUMIF('TL03'!$C$10:$C$224,$C368,'TL03'!$J$10:$J$224),0),
IF('TL03'!$B$229=K$3,SUMIF('TL03'!$C$238:$C$451,$C368,'TL03'!$J$238:$J$451),0),
IF('TL04'!$B$3=K$3,SUMIF('TL04'!$C$10:$C$224,$C368,'TL04'!$J$10:$J$224),0),
IF('TL04'!$B$229=K$3,SUMIF('TL04'!$C$238:$C$451,$C368,'TL04'!$J$238:$J$451),0),
IF('TL05'!$B$3=K$3,SUMIF('TL05'!$C$10:$C$224,$C368,'TL05'!$J$10:$J$224),0),
IF('TL05'!$B$229=K$3,SUMIF('TL05'!$C$238:$C$451,$C368,'TL05'!$J$238:$J$451),0),
IF('TL06'!$B$3=K$3,SUMIF('TL06'!$C$10:$C$224,$C368,'TL06'!$J$10:$J$224),0),
IF('TL06'!$B$229=K$3,SUMIF('TL06'!$C$238:$C$451,$C368,'TL06'!$J$238:$J$451),0),
IF('TL07'!$B$3=K$3,SUMIF('TL07'!$C$10:$C$224,$C368,'TL07'!$J$10:$J$224),0),
IF('TL07'!$B$229=K$3,SUMIF('TL07'!$C$238:$C$451,$C368,'TL07'!$J$238:$J$451),0),
IF('TL08'!$B$3=K$3,SUMIF('TL08'!$C$10:$C$224,$C368,'TL08'!$J$10:$J$224),0),
IF('TL08'!$B$229=K$3,SUMIF('TL08'!$C$238:$C$451,$C368,'TL08'!$J$238:$J$451),0),
IF('TL09'!$B$3=K$3,SUMIF('TL09'!$C$10:$C$224,$C368,'TL09'!$J$10:$J$224),0),
IF('TL09'!$B$229=K$3,SUMIF('TL09'!$C$238:$C$451,$C368,'TL09'!$J$238:$J$451),0),
IF('TL10'!$B$3=K$3,SUMIF('TL10'!$C$10:$C$224,$C368,'TL10'!$J$10:$J$224),0),
IF('TL10'!$B$229=K$3,SUMIF('TL10'!$C$238:$C$451,$C368,'TL10'!$J$238:$J$451),0),
IF('TL11'!$B$3=K$3,SUMIF('TL11'!$C$10:$C$224,$C368,'TL11'!$J$10:$J$224),0),
IF('TL11'!$B$229=K$3,SUMIF('TL11'!$C$238:$C$451,$C368,'TL11'!$J$238:$J$451),0),
IF('TL12'!$B$3=K$3,SUMIF('TL12'!$C$10:$C$224,$C368,'TL12'!$J$10:$J$224),0),
IF('TL12'!$B$229=K$3,SUMIF('TL12'!$C$238:$C$451,$C368,'TL12'!$J$238:$J$451),0),
IF('TL13'!$B$3=K$3,SUMIF('TL13'!$C$10:$C$224,$C368,'TL13'!$J$10:$J$224),0),
IF('TL13'!$B$229=K$3,SUMIF('TL13'!$C$238:$C$451,$C368,'TL13'!$J$238:$J$451),0),
IF('TL14'!$B$3=K$3,SUMIF('TL14'!$C$10:$C$224,$C368,'TL14'!$J$10:$J$224),0),
IF('TL14'!$B$229=K$3,SUMIF('TL14'!$C$238:$C$451,$C368,'TL14'!$J$238:$J$451),0),
IF('TL15'!$B$3=K$3,SUMIF('TL15'!$C$10:$C$224,$C368,'TL15'!$J$10:$J$224),0),
IF('TL15'!$B$229=K$3,SUMIF('TL15'!$C$238:$C$451,$C368,'TL15'!$J$238:$J$451),0),
IF('TL16'!$B$3=K$3,SUMIF('TL16'!$C$10:$C$224,$C368,'TL16'!$J$10:$J$224),0),
IF('TL16'!$B$229=K$3,SUMIF('TL16'!$C$238:$C$451,$C368,'TL16'!$J$238:$J$451),0),
IF('TL17'!$B$3=K$3,SUMIF('TL17'!$C$10:$C$224,$C368,'TL17'!$J$10:$J$224),0),
IF('TL17'!$B$229=K$3,SUMIF('TL17'!$C$238:$C$451,$C368,'TL17'!$J$238:$J$451),0),
IF('TL18'!$B$3=K$3,SUMIF('TL18'!$C$10:$C$224,$C368,'TL18'!$J$10:$J$224),0),
IF('TL18'!$B$229=K$3,SUMIF('TL18'!$C$238:$C$451,$C368,'TL18'!$J$238:$J$451),0),
IF('TL19'!$B$3=K$3,SUMIF('TL19'!$C$10:$C$224,$C368,'TL19'!$J$10:$J$224),0),
IF('TL19'!$B$229=K$3,SUMIF('TL19'!$C$238:$C$451,$C368,'TL19'!$J$238:$J$451),0)
),0)</f>
        <v/>
      </c>
      <c r="L368" s="9">
        <f>IFERROR(SUM(
IF('TL01'!$B$3=L$3,SUMIF('TL01'!$C$10:$C$224,$C368,'TL01'!$J$10:$J$224),0),
IF('TL01'!$B$229=L$3,SUMIF('TL01'!$C$238:$C$451,$C368,'TL01'!$J$238:$J$451),0),
IF('TL02'!$B$3=L$3,SUMIF('TL02'!$C$10:$C$224,$C368,'TL02'!$J$10:$J$224),0),
IF('TL02'!$B$229=L$3,SUMIF('TL02'!$C$238:$C$451,$C368,'TL02'!$J$238:$J$451),0),
IF('TL03'!$B$3=L$3,SUMIF('TL03'!$C$10:$C$224,$C368,'TL03'!$J$10:$J$224),0),
IF('TL03'!$B$229=L$3,SUMIF('TL03'!$C$238:$C$451,$C368,'TL03'!$J$238:$J$451),0),
IF('TL04'!$B$3=L$3,SUMIF('TL04'!$C$10:$C$224,$C368,'TL04'!$J$10:$J$224),0),
IF('TL04'!$B$229=L$3,SUMIF('TL04'!$C$238:$C$451,$C368,'TL04'!$J$238:$J$451),0),
IF('TL05'!$B$3=L$3,SUMIF('TL05'!$C$10:$C$224,$C368,'TL05'!$J$10:$J$224),0),
IF('TL05'!$B$229=L$3,SUMIF('TL05'!$C$238:$C$451,$C368,'TL05'!$J$238:$J$451),0),
IF('TL06'!$B$3=L$3,SUMIF('TL06'!$C$10:$C$224,$C368,'TL06'!$J$10:$J$224),0),
IF('TL06'!$B$229=L$3,SUMIF('TL06'!$C$238:$C$451,$C368,'TL06'!$J$238:$J$451),0),
IF('TL07'!$B$3=L$3,SUMIF('TL07'!$C$10:$C$224,$C368,'TL07'!$J$10:$J$224),0),
IF('TL07'!$B$229=L$3,SUMIF('TL07'!$C$238:$C$451,$C368,'TL07'!$J$238:$J$451),0),
IF('TL08'!$B$3=L$3,SUMIF('TL08'!$C$10:$C$224,$C368,'TL08'!$J$10:$J$224),0),
IF('TL08'!$B$229=L$3,SUMIF('TL08'!$C$238:$C$451,$C368,'TL08'!$J$238:$J$451),0),
IF('TL09'!$B$3=L$3,SUMIF('TL09'!$C$10:$C$224,$C368,'TL09'!$J$10:$J$224),0),
IF('TL09'!$B$229=L$3,SUMIF('TL09'!$C$238:$C$451,$C368,'TL09'!$J$238:$J$451),0),
IF('TL10'!$B$3=L$3,SUMIF('TL10'!$C$10:$C$224,$C368,'TL10'!$J$10:$J$224),0),
IF('TL10'!$B$229=L$3,SUMIF('TL10'!$C$238:$C$451,$C368,'TL10'!$J$238:$J$451),0),
IF('TL11'!$B$3=L$3,SUMIF('TL11'!$C$10:$C$224,$C368,'TL11'!$J$10:$J$224),0),
IF('TL11'!$B$229=L$3,SUMIF('TL11'!$C$238:$C$451,$C368,'TL11'!$J$238:$J$451),0),
IF('TL12'!$B$3=L$3,SUMIF('TL12'!$C$10:$C$224,$C368,'TL12'!$J$10:$J$224),0),
IF('TL12'!$B$229=L$3,SUMIF('TL12'!$C$238:$C$451,$C368,'TL12'!$J$238:$J$451),0),
IF('TL13'!$B$3=L$3,SUMIF('TL13'!$C$10:$C$224,$C368,'TL13'!$J$10:$J$224),0),
IF('TL13'!$B$229=L$3,SUMIF('TL13'!$C$238:$C$451,$C368,'TL13'!$J$238:$J$451),0),
IF('TL14'!$B$3=L$3,SUMIF('TL14'!$C$10:$C$224,$C368,'TL14'!$J$10:$J$224),0),
IF('TL14'!$B$229=L$3,SUMIF('TL14'!$C$238:$C$451,$C368,'TL14'!$J$238:$J$451),0),
IF('TL15'!$B$3=L$3,SUMIF('TL15'!$C$10:$C$224,$C368,'TL15'!$J$10:$J$224),0),
IF('TL15'!$B$229=L$3,SUMIF('TL15'!$C$238:$C$451,$C368,'TL15'!$J$238:$J$451),0),
IF('TL16'!$B$3=L$3,SUMIF('TL16'!$C$10:$C$224,$C368,'TL16'!$J$10:$J$224),0),
IF('TL16'!$B$229=L$3,SUMIF('TL16'!$C$238:$C$451,$C368,'TL16'!$J$238:$J$451),0),
IF('TL17'!$B$3=L$3,SUMIF('TL17'!$C$10:$C$224,$C368,'TL17'!$J$10:$J$224),0),
IF('TL17'!$B$229=L$3,SUMIF('TL17'!$C$238:$C$451,$C368,'TL17'!$J$238:$J$451),0),
IF('TL18'!$B$3=L$3,SUMIF('TL18'!$C$10:$C$224,$C368,'TL18'!$J$10:$J$224),0),
IF('TL18'!$B$229=L$3,SUMIF('TL18'!$C$238:$C$451,$C368,'TL18'!$J$238:$J$451),0),
IF('TL19'!$B$3=L$3,SUMIF('TL19'!$C$10:$C$224,$C368,'TL19'!$J$10:$J$224),0),
IF('TL19'!$B$229=L$3,SUMIF('TL19'!$C$238:$C$451,$C368,'TL19'!$J$238:$J$451),0)
),0)</f>
        <v/>
      </c>
      <c r="M368" s="9">
        <f>IFERROR(SUM(
IF('TL01'!$B$3=M$3,SUMIF('TL01'!$C$10:$C$224,$C368,'TL01'!$J$10:$J$224),0),
IF('TL01'!$B$229=M$3,SUMIF('TL01'!$C$238:$C$451,$C368,'TL01'!$J$238:$J$451),0),
IF('TL02'!$B$3=M$3,SUMIF('TL02'!$C$10:$C$224,$C368,'TL02'!$J$10:$J$224),0),
IF('TL02'!$B$229=M$3,SUMIF('TL02'!$C$238:$C$451,$C368,'TL02'!$J$238:$J$451),0),
IF('TL03'!$B$3=M$3,SUMIF('TL03'!$C$10:$C$224,$C368,'TL03'!$J$10:$J$224),0),
IF('TL03'!$B$229=M$3,SUMIF('TL03'!$C$238:$C$451,$C368,'TL03'!$J$238:$J$451),0),
IF('TL04'!$B$3=M$3,SUMIF('TL04'!$C$10:$C$224,$C368,'TL04'!$J$10:$J$224),0),
IF('TL04'!$B$229=M$3,SUMIF('TL04'!$C$238:$C$451,$C368,'TL04'!$J$238:$J$451),0),
IF('TL05'!$B$3=M$3,SUMIF('TL05'!$C$10:$C$224,$C368,'TL05'!$J$10:$J$224),0),
IF('TL05'!$B$229=M$3,SUMIF('TL05'!$C$238:$C$451,$C368,'TL05'!$J$238:$J$451),0),
IF('TL06'!$B$3=M$3,SUMIF('TL06'!$C$10:$C$224,$C368,'TL06'!$J$10:$J$224),0),
IF('TL06'!$B$229=M$3,SUMIF('TL06'!$C$238:$C$451,$C368,'TL06'!$J$238:$J$451),0),
IF('TL07'!$B$3=M$3,SUMIF('TL07'!$C$10:$C$224,$C368,'TL07'!$J$10:$J$224),0),
IF('TL07'!$B$229=M$3,SUMIF('TL07'!$C$238:$C$451,$C368,'TL07'!$J$238:$J$451),0),
IF('TL08'!$B$3=M$3,SUMIF('TL08'!$C$10:$C$224,$C368,'TL08'!$J$10:$J$224),0),
IF('TL08'!$B$229=M$3,SUMIF('TL08'!$C$238:$C$451,$C368,'TL08'!$J$238:$J$451),0),
IF('TL09'!$B$3=M$3,SUMIF('TL09'!$C$10:$C$224,$C368,'TL09'!$J$10:$J$224),0),
IF('TL09'!$B$229=M$3,SUMIF('TL09'!$C$238:$C$451,$C368,'TL09'!$J$238:$J$451),0),
IF('TL10'!$B$3=M$3,SUMIF('TL10'!$C$10:$C$224,$C368,'TL10'!$J$10:$J$224),0),
IF('TL10'!$B$229=M$3,SUMIF('TL10'!$C$238:$C$451,$C368,'TL10'!$J$238:$J$451),0),
IF('TL11'!$B$3=M$3,SUMIF('TL11'!$C$10:$C$224,$C368,'TL11'!$J$10:$J$224),0),
IF('TL11'!$B$229=M$3,SUMIF('TL11'!$C$238:$C$451,$C368,'TL11'!$J$238:$J$451),0),
IF('TL12'!$B$3=M$3,SUMIF('TL12'!$C$10:$C$224,$C368,'TL12'!$J$10:$J$224),0),
IF('TL12'!$B$229=M$3,SUMIF('TL12'!$C$238:$C$451,$C368,'TL12'!$J$238:$J$451),0),
IF('TL13'!$B$3=M$3,SUMIF('TL13'!$C$10:$C$224,$C368,'TL13'!$J$10:$J$224),0),
IF('TL13'!$B$229=M$3,SUMIF('TL13'!$C$238:$C$451,$C368,'TL13'!$J$238:$J$451),0),
IF('TL14'!$B$3=M$3,SUMIF('TL14'!$C$10:$C$224,$C368,'TL14'!$J$10:$J$224),0),
IF('TL14'!$B$229=M$3,SUMIF('TL14'!$C$238:$C$451,$C368,'TL14'!$J$238:$J$451),0),
IF('TL15'!$B$3=M$3,SUMIF('TL15'!$C$10:$C$224,$C368,'TL15'!$J$10:$J$224),0),
IF('TL15'!$B$229=M$3,SUMIF('TL15'!$C$238:$C$451,$C368,'TL15'!$J$238:$J$451),0),
IF('TL16'!$B$3=M$3,SUMIF('TL16'!$C$10:$C$224,$C368,'TL16'!$J$10:$J$224),0),
IF('TL16'!$B$229=M$3,SUMIF('TL16'!$C$238:$C$451,$C368,'TL16'!$J$238:$J$451),0),
IF('TL17'!$B$3=M$3,SUMIF('TL17'!$C$10:$C$224,$C368,'TL17'!$J$10:$J$224),0),
IF('TL17'!$B$229=M$3,SUMIF('TL17'!$C$238:$C$451,$C368,'TL17'!$J$238:$J$451),0),
IF('TL18'!$B$3=M$3,SUMIF('TL18'!$C$10:$C$224,$C368,'TL18'!$J$10:$J$224),0),
IF('TL18'!$B$229=M$3,SUMIF('TL18'!$C$238:$C$451,$C368,'TL18'!$J$238:$J$451),0),
IF('TL19'!$B$3=M$3,SUMIF('TL19'!$C$10:$C$224,$C368,'TL19'!$J$10:$J$224),0),
IF('TL19'!$B$229=M$3,SUMIF('TL19'!$C$238:$C$451,$C368,'TL19'!$J$238:$J$451),0)
),0)</f>
        <v/>
      </c>
      <c r="N368" s="9">
        <f>IFERROR(SUM(
IF('TL01'!$B$3=N$3,SUMIF('TL01'!$C$10:$C$224,$C368,'TL01'!$J$10:$J$224),0),
IF('TL01'!$B$229=N$3,SUMIF('TL01'!$C$238:$C$451,$C368,'TL01'!$J$238:$J$451),0),
IF('TL02'!$B$3=N$3,SUMIF('TL02'!$C$10:$C$224,$C368,'TL02'!$J$10:$J$224),0),
IF('TL02'!$B$229=N$3,SUMIF('TL02'!$C$238:$C$451,$C368,'TL02'!$J$238:$J$451),0),
IF('TL03'!$B$3=N$3,SUMIF('TL03'!$C$10:$C$224,$C368,'TL03'!$J$10:$J$224),0),
IF('TL03'!$B$229=N$3,SUMIF('TL03'!$C$238:$C$451,$C368,'TL03'!$J$238:$J$451),0),
IF('TL04'!$B$3=N$3,SUMIF('TL04'!$C$10:$C$224,$C368,'TL04'!$J$10:$J$224),0),
IF('TL04'!$B$229=N$3,SUMIF('TL04'!$C$238:$C$451,$C368,'TL04'!$J$238:$J$451),0),
IF('TL05'!$B$3=N$3,SUMIF('TL05'!$C$10:$C$224,$C368,'TL05'!$J$10:$J$224),0),
IF('TL05'!$B$229=N$3,SUMIF('TL05'!$C$238:$C$451,$C368,'TL05'!$J$238:$J$451),0),
IF('TL06'!$B$3=N$3,SUMIF('TL06'!$C$10:$C$224,$C368,'TL06'!$J$10:$J$224),0),
IF('TL06'!$B$229=N$3,SUMIF('TL06'!$C$238:$C$451,$C368,'TL06'!$J$238:$J$451),0),
IF('TL07'!$B$3=N$3,SUMIF('TL07'!$C$10:$C$224,$C368,'TL07'!$J$10:$J$224),0),
IF('TL07'!$B$229=N$3,SUMIF('TL07'!$C$238:$C$451,$C368,'TL07'!$J$238:$J$451),0),
IF('TL08'!$B$3=N$3,SUMIF('TL08'!$C$10:$C$224,$C368,'TL08'!$J$10:$J$224),0),
IF('TL08'!$B$229=N$3,SUMIF('TL08'!$C$238:$C$451,$C368,'TL08'!$J$238:$J$451),0),
IF('TL09'!$B$3=N$3,SUMIF('TL09'!$C$10:$C$224,$C368,'TL09'!$J$10:$J$224),0),
IF('TL09'!$B$229=N$3,SUMIF('TL09'!$C$238:$C$451,$C368,'TL09'!$J$238:$J$451),0),
IF('TL10'!$B$3=N$3,SUMIF('TL10'!$C$10:$C$224,$C368,'TL10'!$J$10:$J$224),0),
IF('TL10'!$B$229=N$3,SUMIF('TL10'!$C$238:$C$451,$C368,'TL10'!$J$238:$J$451),0),
IF('TL11'!$B$3=N$3,SUMIF('TL11'!$C$10:$C$224,$C368,'TL11'!$J$10:$J$224),0),
IF('TL11'!$B$229=N$3,SUMIF('TL11'!$C$238:$C$451,$C368,'TL11'!$J$238:$J$451),0),
IF('TL12'!$B$3=N$3,SUMIF('TL12'!$C$10:$C$224,$C368,'TL12'!$J$10:$J$224),0),
IF('TL12'!$B$229=N$3,SUMIF('TL12'!$C$238:$C$451,$C368,'TL12'!$J$238:$J$451),0),
IF('TL13'!$B$3=N$3,SUMIF('TL13'!$C$10:$C$224,$C368,'TL13'!$J$10:$J$224),0),
IF('TL13'!$B$229=N$3,SUMIF('TL13'!$C$238:$C$451,$C368,'TL13'!$J$238:$J$451),0),
IF('TL14'!$B$3=N$3,SUMIF('TL14'!$C$10:$C$224,$C368,'TL14'!$J$10:$J$224),0),
IF('TL14'!$B$229=N$3,SUMIF('TL14'!$C$238:$C$451,$C368,'TL14'!$J$238:$J$451),0),
IF('TL15'!$B$3=N$3,SUMIF('TL15'!$C$10:$C$224,$C368,'TL15'!$J$10:$J$224),0),
IF('TL15'!$B$229=N$3,SUMIF('TL15'!$C$238:$C$451,$C368,'TL15'!$J$238:$J$451),0),
IF('TL16'!$B$3=N$3,SUMIF('TL16'!$C$10:$C$224,$C368,'TL16'!$J$10:$J$224),0),
IF('TL16'!$B$229=N$3,SUMIF('TL16'!$C$238:$C$451,$C368,'TL16'!$J$238:$J$451),0),
IF('TL17'!$B$3=N$3,SUMIF('TL17'!$C$10:$C$224,$C368,'TL17'!$J$10:$J$224),0),
IF('TL17'!$B$229=N$3,SUMIF('TL17'!$C$238:$C$451,$C368,'TL17'!$J$238:$J$451),0),
IF('TL18'!$B$3=N$3,SUMIF('TL18'!$C$10:$C$224,$C368,'TL18'!$J$10:$J$224),0),
IF('TL18'!$B$229=N$3,SUMIF('TL18'!$C$238:$C$451,$C368,'TL18'!$J$238:$J$451),0),
IF('TL19'!$B$3=N$3,SUMIF('TL19'!$C$10:$C$224,$C368,'TL19'!$J$10:$J$224),0),
IF('TL19'!$B$229=N$3,SUMIF('TL19'!$C$238:$C$451,$C368,'TL19'!$J$238:$J$451),0)
),0)</f>
        <v/>
      </c>
      <c r="O368" s="9">
        <f>IFERROR(SUM(
IF('TL01'!$B$3=O$3,SUMIF('TL01'!$C$10:$C$224,$C368,'TL01'!$J$10:$J$224),0),
IF('TL01'!$B$229=O$3,SUMIF('TL01'!$C$238:$C$451,$C368,'TL01'!$J$238:$J$451),0),
IF('TL02'!$B$3=O$3,SUMIF('TL02'!$C$10:$C$224,$C368,'TL02'!$J$10:$J$224),0),
IF('TL02'!$B$229=O$3,SUMIF('TL02'!$C$238:$C$451,$C368,'TL02'!$J$238:$J$451),0),
IF('TL03'!$B$3=O$3,SUMIF('TL03'!$C$10:$C$224,$C368,'TL03'!$J$10:$J$224),0),
IF('TL03'!$B$229=O$3,SUMIF('TL03'!$C$238:$C$451,$C368,'TL03'!$J$238:$J$451),0),
IF('TL04'!$B$3=O$3,SUMIF('TL04'!$C$10:$C$224,$C368,'TL04'!$J$10:$J$224),0),
IF('TL04'!$B$229=O$3,SUMIF('TL04'!$C$238:$C$451,$C368,'TL04'!$J$238:$J$451),0),
IF('TL05'!$B$3=O$3,SUMIF('TL05'!$C$10:$C$224,$C368,'TL05'!$J$10:$J$224),0),
IF('TL05'!$B$229=O$3,SUMIF('TL05'!$C$238:$C$451,$C368,'TL05'!$J$238:$J$451),0),
IF('TL06'!$B$3=O$3,SUMIF('TL06'!$C$10:$C$224,$C368,'TL06'!$J$10:$J$224),0),
IF('TL06'!$B$229=O$3,SUMIF('TL06'!$C$238:$C$451,$C368,'TL06'!$J$238:$J$451),0),
IF('TL07'!$B$3=O$3,SUMIF('TL07'!$C$10:$C$224,$C368,'TL07'!$J$10:$J$224),0),
IF('TL07'!$B$229=O$3,SUMIF('TL07'!$C$238:$C$451,$C368,'TL07'!$J$238:$J$451),0),
IF('TL08'!$B$3=O$3,SUMIF('TL08'!$C$10:$C$224,$C368,'TL08'!$J$10:$J$224),0),
IF('TL08'!$B$229=O$3,SUMIF('TL08'!$C$238:$C$451,$C368,'TL08'!$J$238:$J$451),0),
IF('TL09'!$B$3=O$3,SUMIF('TL09'!$C$10:$C$224,$C368,'TL09'!$J$10:$J$224),0),
IF('TL09'!$B$229=O$3,SUMIF('TL09'!$C$238:$C$451,$C368,'TL09'!$J$238:$J$451),0),
IF('TL10'!$B$3=O$3,SUMIF('TL10'!$C$10:$C$224,$C368,'TL10'!$J$10:$J$224),0),
IF('TL10'!$B$229=O$3,SUMIF('TL10'!$C$238:$C$451,$C368,'TL10'!$J$238:$J$451),0),
IF('TL11'!$B$3=O$3,SUMIF('TL11'!$C$10:$C$224,$C368,'TL11'!$J$10:$J$224),0),
IF('TL11'!$B$229=O$3,SUMIF('TL11'!$C$238:$C$451,$C368,'TL11'!$J$238:$J$451),0),
IF('TL12'!$B$3=O$3,SUMIF('TL12'!$C$10:$C$224,$C368,'TL12'!$J$10:$J$224),0),
IF('TL12'!$B$229=O$3,SUMIF('TL12'!$C$238:$C$451,$C368,'TL12'!$J$238:$J$451),0),
IF('TL13'!$B$3=O$3,SUMIF('TL13'!$C$10:$C$224,$C368,'TL13'!$J$10:$J$224),0),
IF('TL13'!$B$229=O$3,SUMIF('TL13'!$C$238:$C$451,$C368,'TL13'!$J$238:$J$451),0),
IF('TL14'!$B$3=O$3,SUMIF('TL14'!$C$10:$C$224,$C368,'TL14'!$J$10:$J$224),0),
IF('TL14'!$B$229=O$3,SUMIF('TL14'!$C$238:$C$451,$C368,'TL14'!$J$238:$J$451),0),
IF('TL15'!$B$3=O$3,SUMIF('TL15'!$C$10:$C$224,$C368,'TL15'!$J$10:$J$224),0),
IF('TL15'!$B$229=O$3,SUMIF('TL15'!$C$238:$C$451,$C368,'TL15'!$J$238:$J$451),0),
IF('TL16'!$B$3=O$3,SUMIF('TL16'!$C$10:$C$224,$C368,'TL16'!$J$10:$J$224),0),
IF('TL16'!$B$229=O$3,SUMIF('TL16'!$C$238:$C$451,$C368,'TL16'!$J$238:$J$451),0),
IF('TL17'!$B$3=O$3,SUMIF('TL17'!$C$10:$C$224,$C368,'TL17'!$J$10:$J$224),0),
IF('TL17'!$B$229=O$3,SUMIF('TL17'!$C$238:$C$451,$C368,'TL17'!$J$238:$J$451),0),
IF('TL18'!$B$3=O$3,SUMIF('TL18'!$C$10:$C$224,$C368,'TL18'!$J$10:$J$224),0),
IF('TL18'!$B$229=O$3,SUMIF('TL18'!$C$238:$C$451,$C368,'TL18'!$J$238:$J$451),0),
IF('TL19'!$B$3=O$3,SUMIF('TL19'!$C$10:$C$224,$C368,'TL19'!$J$10:$J$224),0),
IF('TL19'!$B$229=O$3,SUMIF('TL19'!$C$238:$C$451,$C368,'TL19'!$J$238:$J$451),0)
),0)</f>
        <v/>
      </c>
      <c r="P368" s="9">
        <f>IFERROR(SUM(
IF('TL01'!$B$3=P$3,SUMIF('TL01'!$C$10:$C$224,$C368,'TL01'!$J$10:$J$224),0),
IF('TL01'!$B$229=P$3,SUMIF('TL01'!$C$238:$C$451,$C368,'TL01'!$J$238:$J$451),0),
IF('TL02'!$B$3=P$3,SUMIF('TL02'!$C$10:$C$224,$C368,'TL02'!$J$10:$J$224),0),
IF('TL02'!$B$229=P$3,SUMIF('TL02'!$C$238:$C$451,$C368,'TL02'!$J$238:$J$451),0),
IF('TL03'!$B$3=P$3,SUMIF('TL03'!$C$10:$C$224,$C368,'TL03'!$J$10:$J$224),0),
IF('TL03'!$B$229=P$3,SUMIF('TL03'!$C$238:$C$451,$C368,'TL03'!$J$238:$J$451),0),
IF('TL04'!$B$3=P$3,SUMIF('TL04'!$C$10:$C$224,$C368,'TL04'!$J$10:$J$224),0),
IF('TL04'!$B$229=P$3,SUMIF('TL04'!$C$238:$C$451,$C368,'TL04'!$J$238:$J$451),0),
IF('TL05'!$B$3=P$3,SUMIF('TL05'!$C$10:$C$224,$C368,'TL05'!$J$10:$J$224),0),
IF('TL05'!$B$229=P$3,SUMIF('TL05'!$C$238:$C$451,$C368,'TL05'!$J$238:$J$451),0),
IF('TL06'!$B$3=P$3,SUMIF('TL06'!$C$10:$C$224,$C368,'TL06'!$J$10:$J$224),0),
IF('TL06'!$B$229=P$3,SUMIF('TL06'!$C$238:$C$451,$C368,'TL06'!$J$238:$J$451),0),
IF('TL07'!$B$3=P$3,SUMIF('TL07'!$C$10:$C$224,$C368,'TL07'!$J$10:$J$224),0),
IF('TL07'!$B$229=P$3,SUMIF('TL07'!$C$238:$C$451,$C368,'TL07'!$J$238:$J$451),0),
IF('TL08'!$B$3=P$3,SUMIF('TL08'!$C$10:$C$224,$C368,'TL08'!$J$10:$J$224),0),
IF('TL08'!$B$229=P$3,SUMIF('TL08'!$C$238:$C$451,$C368,'TL08'!$J$238:$J$451),0),
IF('TL09'!$B$3=P$3,SUMIF('TL09'!$C$10:$C$224,$C368,'TL09'!$J$10:$J$224),0),
IF('TL09'!$B$229=P$3,SUMIF('TL09'!$C$238:$C$451,$C368,'TL09'!$J$238:$J$451),0),
IF('TL10'!$B$3=P$3,SUMIF('TL10'!$C$10:$C$224,$C368,'TL10'!$J$10:$J$224),0),
IF('TL10'!$B$229=P$3,SUMIF('TL10'!$C$238:$C$451,$C368,'TL10'!$J$238:$J$451),0),
IF('TL11'!$B$3=P$3,SUMIF('TL11'!$C$10:$C$224,$C368,'TL11'!$J$10:$J$224),0),
IF('TL11'!$B$229=P$3,SUMIF('TL11'!$C$238:$C$451,$C368,'TL11'!$J$238:$J$451),0),
IF('TL12'!$B$3=P$3,SUMIF('TL12'!$C$10:$C$224,$C368,'TL12'!$J$10:$J$224),0),
IF('TL12'!$B$229=P$3,SUMIF('TL12'!$C$238:$C$451,$C368,'TL12'!$J$238:$J$451),0),
IF('TL13'!$B$3=P$3,SUMIF('TL13'!$C$10:$C$224,$C368,'TL13'!$J$10:$J$224),0),
IF('TL13'!$B$229=P$3,SUMIF('TL13'!$C$238:$C$451,$C368,'TL13'!$J$238:$J$451),0),
IF('TL14'!$B$3=P$3,SUMIF('TL14'!$C$10:$C$224,$C368,'TL14'!$J$10:$J$224),0),
IF('TL14'!$B$229=P$3,SUMIF('TL14'!$C$238:$C$451,$C368,'TL14'!$J$238:$J$451),0),
IF('TL15'!$B$3=P$3,SUMIF('TL15'!$C$10:$C$224,$C368,'TL15'!$J$10:$J$224),0),
IF('TL15'!$B$229=P$3,SUMIF('TL15'!$C$238:$C$451,$C368,'TL15'!$J$238:$J$451),0),
IF('TL16'!$B$3=P$3,SUMIF('TL16'!$C$10:$C$224,$C368,'TL16'!$J$10:$J$224),0),
IF('TL16'!$B$229=P$3,SUMIF('TL16'!$C$238:$C$451,$C368,'TL16'!$J$238:$J$451),0),
IF('TL17'!$B$3=P$3,SUMIF('TL17'!$C$10:$C$224,$C368,'TL17'!$J$10:$J$224),0),
IF('TL17'!$B$229=P$3,SUMIF('TL17'!$C$238:$C$451,$C368,'TL17'!$J$238:$J$451),0),
IF('TL18'!$B$3=P$3,SUMIF('TL18'!$C$10:$C$224,$C368,'TL18'!$J$10:$J$224),0),
IF('TL18'!$B$229=P$3,SUMIF('TL18'!$C$238:$C$451,$C368,'TL18'!$J$238:$J$451),0),
IF('TL19'!$B$3=P$3,SUMIF('TL19'!$C$10:$C$224,$C368,'TL19'!$J$10:$J$224),0),
IF('TL19'!$B$229=P$3,SUMIF('TL19'!$C$238:$C$451,$C368,'TL19'!$J$238:$J$451),0)
),0)</f>
        <v/>
      </c>
      <c r="Q368" s="9">
        <f>IFERROR(SUM(
IF('TL01'!$B$3=Q$3,SUMIF('TL01'!$C$10:$C$224,$C368,'TL01'!$J$10:$J$224),0),
IF('TL01'!$B$229=Q$3,SUMIF('TL01'!$C$238:$C$451,$C368,'TL01'!$J$238:$J$451),0),
IF('TL02'!$B$3=Q$3,SUMIF('TL02'!$C$10:$C$224,$C368,'TL02'!$J$10:$J$224),0),
IF('TL02'!$B$229=Q$3,SUMIF('TL02'!$C$238:$C$451,$C368,'TL02'!$J$238:$J$451),0),
IF('TL03'!$B$3=Q$3,SUMIF('TL03'!$C$10:$C$224,$C368,'TL03'!$J$10:$J$224),0),
IF('TL03'!$B$229=Q$3,SUMIF('TL03'!$C$238:$C$451,$C368,'TL03'!$J$238:$J$451),0),
IF('TL04'!$B$3=Q$3,SUMIF('TL04'!$C$10:$C$224,$C368,'TL04'!$J$10:$J$224),0),
IF('TL04'!$B$229=Q$3,SUMIF('TL04'!$C$238:$C$451,$C368,'TL04'!$J$238:$J$451),0),
IF('TL05'!$B$3=Q$3,SUMIF('TL05'!$C$10:$C$224,$C368,'TL05'!$J$10:$J$224),0),
IF('TL05'!$B$229=Q$3,SUMIF('TL05'!$C$238:$C$451,$C368,'TL05'!$J$238:$J$451),0),
IF('TL06'!$B$3=Q$3,SUMIF('TL06'!$C$10:$C$224,$C368,'TL06'!$J$10:$J$224),0),
IF('TL06'!$B$229=Q$3,SUMIF('TL06'!$C$238:$C$451,$C368,'TL06'!$J$238:$J$451),0),
IF('TL07'!$B$3=Q$3,SUMIF('TL07'!$C$10:$C$224,$C368,'TL07'!$J$10:$J$224),0),
IF('TL07'!$B$229=Q$3,SUMIF('TL07'!$C$238:$C$451,$C368,'TL07'!$J$238:$J$451),0),
IF('TL08'!$B$3=Q$3,SUMIF('TL08'!$C$10:$C$224,$C368,'TL08'!$J$10:$J$224),0),
IF('TL08'!$B$229=Q$3,SUMIF('TL08'!$C$238:$C$451,$C368,'TL08'!$J$238:$J$451),0),
IF('TL09'!$B$3=Q$3,SUMIF('TL09'!$C$10:$C$224,$C368,'TL09'!$J$10:$J$224),0),
IF('TL09'!$B$229=Q$3,SUMIF('TL09'!$C$238:$C$451,$C368,'TL09'!$J$238:$J$451),0),
IF('TL10'!$B$3=Q$3,SUMIF('TL10'!$C$10:$C$224,$C368,'TL10'!$J$10:$J$224),0),
IF('TL10'!$B$229=Q$3,SUMIF('TL10'!$C$238:$C$451,$C368,'TL10'!$J$238:$J$451),0),
IF('TL11'!$B$3=Q$3,SUMIF('TL11'!$C$10:$C$224,$C368,'TL11'!$J$10:$J$224),0),
IF('TL11'!$B$229=Q$3,SUMIF('TL11'!$C$238:$C$451,$C368,'TL11'!$J$238:$J$451),0),
IF('TL12'!$B$3=Q$3,SUMIF('TL12'!$C$10:$C$224,$C368,'TL12'!$J$10:$J$224),0),
IF('TL12'!$B$229=Q$3,SUMIF('TL12'!$C$238:$C$451,$C368,'TL12'!$J$238:$J$451),0),
IF('TL13'!$B$3=Q$3,SUMIF('TL13'!$C$10:$C$224,$C368,'TL13'!$J$10:$J$224),0),
IF('TL13'!$B$229=Q$3,SUMIF('TL13'!$C$238:$C$451,$C368,'TL13'!$J$238:$J$451),0),
IF('TL14'!$B$3=Q$3,SUMIF('TL14'!$C$10:$C$224,$C368,'TL14'!$J$10:$J$224),0),
IF('TL14'!$B$229=Q$3,SUMIF('TL14'!$C$238:$C$451,$C368,'TL14'!$J$238:$J$451),0),
IF('TL15'!$B$3=Q$3,SUMIF('TL15'!$C$10:$C$224,$C368,'TL15'!$J$10:$J$224),0),
IF('TL15'!$B$229=Q$3,SUMIF('TL15'!$C$238:$C$451,$C368,'TL15'!$J$238:$J$451),0),
IF('TL16'!$B$3=Q$3,SUMIF('TL16'!$C$10:$C$224,$C368,'TL16'!$J$10:$J$224),0),
IF('TL16'!$B$229=Q$3,SUMIF('TL16'!$C$238:$C$451,$C368,'TL16'!$J$238:$J$451),0),
IF('TL17'!$B$3=Q$3,SUMIF('TL17'!$C$10:$C$224,$C368,'TL17'!$J$10:$J$224),0),
IF('TL17'!$B$229=Q$3,SUMIF('TL17'!$C$238:$C$451,$C368,'TL17'!$J$238:$J$451),0),
IF('TL18'!$B$3=Q$3,SUMIF('TL18'!$C$10:$C$224,$C368,'TL18'!$J$10:$J$224),0),
IF('TL18'!$B$229=Q$3,SUMIF('TL18'!$C$238:$C$451,$C368,'TL18'!$J$238:$J$451),0),
IF('TL19'!$B$3=Q$3,SUMIF('TL19'!$C$10:$C$224,$C368,'TL19'!$J$10:$J$224),0),
IF('TL19'!$B$229=Q$3,SUMIF('TL19'!$C$238:$C$451,$C368,'TL19'!$J$238:$J$451),0)
),0)</f>
        <v/>
      </c>
      <c r="R368" s="9">
        <f>IFERROR(
SUM(
SUMIF('TL01'!C:C,C368,'TL01'!J:J),
SUMIF('TL02'!C:C,C368,'TL02'!J:J),
SUMIF('TL03'!C:C,C368,'TL03'!J:J),
SUMIF('TL04'!C:C,C368,'TL04'!J:J),
SUMIF('TL05'!C:C,C368,'TL05'!J:J),
SUMIF('TL06'!C:C,C368,'TL06'!J:J),
SUMIF('TL07'!C:C,C368,'TL07'!J:J),
SUMIF('TL08'!C:C,C368,'TL08'!J:J),
SUMIF('TL09'!C:C,C368,'TL09'!J:J),
SUMIF('TL10'!C:C,C368,'TL10'!J:J),
SUMIF('TL11'!C:C,C368,'TL11'!J:J),
SUMIF('TL12'!C:C,C368,'TL12'!J:J),
SUMIF('TL13'!C:C,C368,'TL13'!J:J),
SUMIF('TL14'!C:C,C368,'TL14'!J:J),
SUMIF('TL15'!C:C,C368,'TL15'!J:J),
SUMIF('TL16'!C:C,C368,'TL16'!J:J),
SUMIF('TL17'!C:C,C368,'TL17'!J:J),
SUMIF('TL18'!C:C,C368,'TL18'!J:J),SUMIF('TL19'!C:C,C368,'TL19'!J:J))
,0)</f>
        <v/>
      </c>
      <c r="S368" s="17">
        <f>IFERROR(__xludf.DUMMYFUNCTION("IFERROR(VLOOKUP(C368,
IMPORTRANGE(""1wULbzX32WdYsx-lj2U3uUNBBe2INVIRDtcK0d-Dvl90"",
""26-27!C:G""),
5,
FALSE),
"""")"),81.12)</f>
        <v/>
      </c>
      <c r="T368" s="9" t="n"/>
      <c r="U368" s="92">
        <f>MAX(0,R368-T368)</f>
        <v/>
      </c>
      <c r="V368" s="93">
        <f>U368*S368</f>
        <v/>
      </c>
    </row>
    <row r="369" hidden="1" ht="15.75" customHeight="1" s="297">
      <c r="A369" s="4" t="inlineStr">
        <is>
          <t>SOLUBIO</t>
        </is>
      </c>
      <c r="B369" s="4" t="inlineStr">
        <is>
          <t>BIOLÓGICOS</t>
        </is>
      </c>
      <c r="C369" s="128" t="inlineStr">
        <is>
          <t>Bio Bokashi</t>
        </is>
      </c>
      <c r="D369" s="99" t="n"/>
      <c r="E369" s="20" t="n"/>
      <c r="F369" s="4" t="n"/>
      <c r="G369" s="90">
        <f>HYPERLINK("https://www.google.com/search?q=" &amp; C369 &amp; "+bula+agrofit+pdf", "📄 Ver bula")</f>
        <v/>
      </c>
      <c r="H369" s="9" t="n"/>
      <c r="I369" s="123" t="n"/>
      <c r="J369" s="9">
        <f>IFERROR(SUM(
IF('TL01'!$B$3=J$3,SUMIF('TL01'!$C$10:$C$224,$C369,'TL01'!$J$10:$J$224),0),
IF('TL01'!$B$229=J$3,SUMIF('TL01'!$C$238:$C$451,$C369,'TL01'!$J$238:$J$451),0),
IF('TL02'!$B$3=J$3,SUMIF('TL02'!$C$10:$C$224,$C369,'TL02'!$J$10:$J$224),0),
IF('TL02'!$B$229=J$3,SUMIF('TL02'!$C$238:$C$451,$C369,'TL02'!$J$238:$J$451),0),
IF('TL03'!$B$3=J$3,SUMIF('TL03'!$C$10:$C$224,$C369,'TL03'!$J$10:$J$224),0),
IF('TL03'!$B$229=J$3,SUMIF('TL03'!$C$238:$C$451,$C369,'TL03'!$J$238:$J$451),0),
IF('TL04'!$B$3=J$3,SUMIF('TL04'!$C$10:$C$224,$C369,'TL04'!$J$10:$J$224),0),
IF('TL04'!$B$229=J$3,SUMIF('TL04'!$C$238:$C$451,$C369,'TL04'!$J$238:$J$451),0),
IF('TL05'!$B$3=J$3,SUMIF('TL05'!$C$10:$C$224,$C369,'TL05'!$J$10:$J$224),0),
IF('TL05'!$B$229=J$3,SUMIF('TL05'!$C$238:$C$451,$C369,'TL05'!$J$238:$J$451),0),
IF('TL06'!$B$3=J$3,SUMIF('TL06'!$C$10:$C$224,$C369,'TL06'!$J$10:$J$224),0),
IF('TL06'!$B$229=J$3,SUMIF('TL06'!$C$238:$C$451,$C369,'TL06'!$J$238:$J$451),0),
IF('TL07'!$B$3=J$3,SUMIF('TL07'!$C$10:$C$224,$C369,'TL07'!$J$10:$J$224),0),
IF('TL07'!$B$229=J$3,SUMIF('TL07'!$C$238:$C$451,$C369,'TL07'!$J$238:$J$451),0),
IF('TL08'!$B$3=J$3,SUMIF('TL08'!$C$10:$C$224,$C369,'TL08'!$J$10:$J$224),0),
IF('TL08'!$B$229=J$3,SUMIF('TL08'!$C$238:$C$451,$C369,'TL08'!$J$238:$J$451),0),
IF('TL09'!$B$3=J$3,SUMIF('TL09'!$C$10:$C$224,$C369,'TL09'!$J$10:$J$224),0),
IF('TL09'!$B$229=J$3,SUMIF('TL09'!$C$238:$C$451,$C369,'TL09'!$J$238:$J$451),0),
IF('TL10'!$B$3=J$3,SUMIF('TL10'!$C$10:$C$224,$C369,'TL10'!$J$10:$J$224),0),
IF('TL10'!$B$229=J$3,SUMIF('TL10'!$C$238:$C$451,$C369,'TL10'!$J$238:$J$451),0),
IF('TL11'!$B$3=J$3,SUMIF('TL11'!$C$10:$C$224,$C369,'TL11'!$J$10:$J$224),0),
IF('TL11'!$B$229=J$3,SUMIF('TL11'!$C$238:$C$451,$C369,'TL11'!$J$238:$J$451),0),
IF('TL12'!$B$3=J$3,SUMIF('TL12'!$C$10:$C$224,$C369,'TL12'!$J$10:$J$224),0),
IF('TL12'!$B$229=J$3,SUMIF('TL12'!$C$238:$C$451,$C369,'TL12'!$J$238:$J$451),0),
IF('TL13'!$B$3=J$3,SUMIF('TL13'!$C$10:$C$224,$C369,'TL13'!$J$10:$J$224),0),
IF('TL13'!$B$229=J$3,SUMIF('TL13'!$C$238:$C$451,$C369,'TL13'!$J$238:$J$451),0),
IF('TL14'!$B$3=J$3,SUMIF('TL14'!$C$10:$C$224,$C369,'TL14'!$J$10:$J$224),0),
IF('TL14'!$B$229=J$3,SUMIF('TL14'!$C$238:$C$451,$C369,'TL14'!$J$238:$J$451),0),
IF('TL15'!$B$3=J$3,SUMIF('TL15'!$C$10:$C$224,$C369,'TL15'!$J$10:$J$224),0),
IF('TL15'!$B$229=J$3,SUMIF('TL15'!$C$238:$C$451,$C369,'TL15'!$J$238:$J$451),0),
IF('TL16'!$B$3=J$3,SUMIF('TL16'!$C$10:$C$224,$C369,'TL16'!$J$10:$J$224),0),
IF('TL16'!$B$229=J$3,SUMIF('TL16'!$C$238:$C$451,$C369,'TL16'!$J$238:$J$451),0),
IF('TL17'!$B$3=J$3,SUMIF('TL17'!$C$10:$C$224,$C369,'TL17'!$J$10:$J$224),0),
IF('TL17'!$B$229=J$3,SUMIF('TL17'!$C$238:$C$451,$C369,'TL17'!$J$238:$J$451),0),
IF('TL18'!$B$3=J$3,SUMIF('TL18'!$C$10:$C$224,$C369,'TL18'!$J$10:$J$224),0),
IF('TL18'!$B$229=J$3,SUMIF('TL18'!$C$238:$C$451,$C369,'TL18'!$J$238:$J$451),0),
IF('TL19'!$B$3=J$3,SUMIF('TL19'!$C$10:$C$224,$C369,'TL19'!$J$10:$J$224),0),
IF('TL19'!$B$229=J$3,SUMIF('TL19'!$C$238:$C$451,$C369,'TL19'!$J$238:$J$451),0)
),0)</f>
        <v/>
      </c>
      <c r="K369" s="9">
        <f>IFERROR(SUM(
IF('TL01'!$B$3=K$3,SUMIF('TL01'!$C$10:$C$224,$C369,'TL01'!$J$10:$J$224),0),
IF('TL01'!$B$229=K$3,SUMIF('TL01'!$C$238:$C$451,$C369,'TL01'!$J$238:$J$451),0),
IF('TL02'!$B$3=K$3,SUMIF('TL02'!$C$10:$C$224,$C369,'TL02'!$J$10:$J$224),0),
IF('TL02'!$B$229=K$3,SUMIF('TL02'!$C$238:$C$451,$C369,'TL02'!$J$238:$J$451),0),
IF('TL03'!$B$3=K$3,SUMIF('TL03'!$C$10:$C$224,$C369,'TL03'!$J$10:$J$224),0),
IF('TL03'!$B$229=K$3,SUMIF('TL03'!$C$238:$C$451,$C369,'TL03'!$J$238:$J$451),0),
IF('TL04'!$B$3=K$3,SUMIF('TL04'!$C$10:$C$224,$C369,'TL04'!$J$10:$J$224),0),
IF('TL04'!$B$229=K$3,SUMIF('TL04'!$C$238:$C$451,$C369,'TL04'!$J$238:$J$451),0),
IF('TL05'!$B$3=K$3,SUMIF('TL05'!$C$10:$C$224,$C369,'TL05'!$J$10:$J$224),0),
IF('TL05'!$B$229=K$3,SUMIF('TL05'!$C$238:$C$451,$C369,'TL05'!$J$238:$J$451),0),
IF('TL06'!$B$3=K$3,SUMIF('TL06'!$C$10:$C$224,$C369,'TL06'!$J$10:$J$224),0),
IF('TL06'!$B$229=K$3,SUMIF('TL06'!$C$238:$C$451,$C369,'TL06'!$J$238:$J$451),0),
IF('TL07'!$B$3=K$3,SUMIF('TL07'!$C$10:$C$224,$C369,'TL07'!$J$10:$J$224),0),
IF('TL07'!$B$229=K$3,SUMIF('TL07'!$C$238:$C$451,$C369,'TL07'!$J$238:$J$451),0),
IF('TL08'!$B$3=K$3,SUMIF('TL08'!$C$10:$C$224,$C369,'TL08'!$J$10:$J$224),0),
IF('TL08'!$B$229=K$3,SUMIF('TL08'!$C$238:$C$451,$C369,'TL08'!$J$238:$J$451),0),
IF('TL09'!$B$3=K$3,SUMIF('TL09'!$C$10:$C$224,$C369,'TL09'!$J$10:$J$224),0),
IF('TL09'!$B$229=K$3,SUMIF('TL09'!$C$238:$C$451,$C369,'TL09'!$J$238:$J$451),0),
IF('TL10'!$B$3=K$3,SUMIF('TL10'!$C$10:$C$224,$C369,'TL10'!$J$10:$J$224),0),
IF('TL10'!$B$229=K$3,SUMIF('TL10'!$C$238:$C$451,$C369,'TL10'!$J$238:$J$451),0),
IF('TL11'!$B$3=K$3,SUMIF('TL11'!$C$10:$C$224,$C369,'TL11'!$J$10:$J$224),0),
IF('TL11'!$B$229=K$3,SUMIF('TL11'!$C$238:$C$451,$C369,'TL11'!$J$238:$J$451),0),
IF('TL12'!$B$3=K$3,SUMIF('TL12'!$C$10:$C$224,$C369,'TL12'!$J$10:$J$224),0),
IF('TL12'!$B$229=K$3,SUMIF('TL12'!$C$238:$C$451,$C369,'TL12'!$J$238:$J$451),0),
IF('TL13'!$B$3=K$3,SUMIF('TL13'!$C$10:$C$224,$C369,'TL13'!$J$10:$J$224),0),
IF('TL13'!$B$229=K$3,SUMIF('TL13'!$C$238:$C$451,$C369,'TL13'!$J$238:$J$451),0),
IF('TL14'!$B$3=K$3,SUMIF('TL14'!$C$10:$C$224,$C369,'TL14'!$J$10:$J$224),0),
IF('TL14'!$B$229=K$3,SUMIF('TL14'!$C$238:$C$451,$C369,'TL14'!$J$238:$J$451),0),
IF('TL15'!$B$3=K$3,SUMIF('TL15'!$C$10:$C$224,$C369,'TL15'!$J$10:$J$224),0),
IF('TL15'!$B$229=K$3,SUMIF('TL15'!$C$238:$C$451,$C369,'TL15'!$J$238:$J$451),0),
IF('TL16'!$B$3=K$3,SUMIF('TL16'!$C$10:$C$224,$C369,'TL16'!$J$10:$J$224),0),
IF('TL16'!$B$229=K$3,SUMIF('TL16'!$C$238:$C$451,$C369,'TL16'!$J$238:$J$451),0),
IF('TL17'!$B$3=K$3,SUMIF('TL17'!$C$10:$C$224,$C369,'TL17'!$J$10:$J$224),0),
IF('TL17'!$B$229=K$3,SUMIF('TL17'!$C$238:$C$451,$C369,'TL17'!$J$238:$J$451),0),
IF('TL18'!$B$3=K$3,SUMIF('TL18'!$C$10:$C$224,$C369,'TL18'!$J$10:$J$224),0),
IF('TL18'!$B$229=K$3,SUMIF('TL18'!$C$238:$C$451,$C369,'TL18'!$J$238:$J$451),0),
IF('TL19'!$B$3=K$3,SUMIF('TL19'!$C$10:$C$224,$C369,'TL19'!$J$10:$J$224),0),
IF('TL19'!$B$229=K$3,SUMIF('TL19'!$C$238:$C$451,$C369,'TL19'!$J$238:$J$451),0)
),0)</f>
        <v/>
      </c>
      <c r="L369" s="9">
        <f>IFERROR(SUM(
IF('TL01'!$B$3=L$3,SUMIF('TL01'!$C$10:$C$224,$C369,'TL01'!$J$10:$J$224),0),
IF('TL01'!$B$229=L$3,SUMIF('TL01'!$C$238:$C$451,$C369,'TL01'!$J$238:$J$451),0),
IF('TL02'!$B$3=L$3,SUMIF('TL02'!$C$10:$C$224,$C369,'TL02'!$J$10:$J$224),0),
IF('TL02'!$B$229=L$3,SUMIF('TL02'!$C$238:$C$451,$C369,'TL02'!$J$238:$J$451),0),
IF('TL03'!$B$3=L$3,SUMIF('TL03'!$C$10:$C$224,$C369,'TL03'!$J$10:$J$224),0),
IF('TL03'!$B$229=L$3,SUMIF('TL03'!$C$238:$C$451,$C369,'TL03'!$J$238:$J$451),0),
IF('TL04'!$B$3=L$3,SUMIF('TL04'!$C$10:$C$224,$C369,'TL04'!$J$10:$J$224),0),
IF('TL04'!$B$229=L$3,SUMIF('TL04'!$C$238:$C$451,$C369,'TL04'!$J$238:$J$451),0),
IF('TL05'!$B$3=L$3,SUMIF('TL05'!$C$10:$C$224,$C369,'TL05'!$J$10:$J$224),0),
IF('TL05'!$B$229=L$3,SUMIF('TL05'!$C$238:$C$451,$C369,'TL05'!$J$238:$J$451),0),
IF('TL06'!$B$3=L$3,SUMIF('TL06'!$C$10:$C$224,$C369,'TL06'!$J$10:$J$224),0),
IF('TL06'!$B$229=L$3,SUMIF('TL06'!$C$238:$C$451,$C369,'TL06'!$J$238:$J$451),0),
IF('TL07'!$B$3=L$3,SUMIF('TL07'!$C$10:$C$224,$C369,'TL07'!$J$10:$J$224),0),
IF('TL07'!$B$229=L$3,SUMIF('TL07'!$C$238:$C$451,$C369,'TL07'!$J$238:$J$451),0),
IF('TL08'!$B$3=L$3,SUMIF('TL08'!$C$10:$C$224,$C369,'TL08'!$J$10:$J$224),0),
IF('TL08'!$B$229=L$3,SUMIF('TL08'!$C$238:$C$451,$C369,'TL08'!$J$238:$J$451),0),
IF('TL09'!$B$3=L$3,SUMIF('TL09'!$C$10:$C$224,$C369,'TL09'!$J$10:$J$224),0),
IF('TL09'!$B$229=L$3,SUMIF('TL09'!$C$238:$C$451,$C369,'TL09'!$J$238:$J$451),0),
IF('TL10'!$B$3=L$3,SUMIF('TL10'!$C$10:$C$224,$C369,'TL10'!$J$10:$J$224),0),
IF('TL10'!$B$229=L$3,SUMIF('TL10'!$C$238:$C$451,$C369,'TL10'!$J$238:$J$451),0),
IF('TL11'!$B$3=L$3,SUMIF('TL11'!$C$10:$C$224,$C369,'TL11'!$J$10:$J$224),0),
IF('TL11'!$B$229=L$3,SUMIF('TL11'!$C$238:$C$451,$C369,'TL11'!$J$238:$J$451),0),
IF('TL12'!$B$3=L$3,SUMIF('TL12'!$C$10:$C$224,$C369,'TL12'!$J$10:$J$224),0),
IF('TL12'!$B$229=L$3,SUMIF('TL12'!$C$238:$C$451,$C369,'TL12'!$J$238:$J$451),0),
IF('TL13'!$B$3=L$3,SUMIF('TL13'!$C$10:$C$224,$C369,'TL13'!$J$10:$J$224),0),
IF('TL13'!$B$229=L$3,SUMIF('TL13'!$C$238:$C$451,$C369,'TL13'!$J$238:$J$451),0),
IF('TL14'!$B$3=L$3,SUMIF('TL14'!$C$10:$C$224,$C369,'TL14'!$J$10:$J$224),0),
IF('TL14'!$B$229=L$3,SUMIF('TL14'!$C$238:$C$451,$C369,'TL14'!$J$238:$J$451),0),
IF('TL15'!$B$3=L$3,SUMIF('TL15'!$C$10:$C$224,$C369,'TL15'!$J$10:$J$224),0),
IF('TL15'!$B$229=L$3,SUMIF('TL15'!$C$238:$C$451,$C369,'TL15'!$J$238:$J$451),0),
IF('TL16'!$B$3=L$3,SUMIF('TL16'!$C$10:$C$224,$C369,'TL16'!$J$10:$J$224),0),
IF('TL16'!$B$229=L$3,SUMIF('TL16'!$C$238:$C$451,$C369,'TL16'!$J$238:$J$451),0),
IF('TL17'!$B$3=L$3,SUMIF('TL17'!$C$10:$C$224,$C369,'TL17'!$J$10:$J$224),0),
IF('TL17'!$B$229=L$3,SUMIF('TL17'!$C$238:$C$451,$C369,'TL17'!$J$238:$J$451),0),
IF('TL18'!$B$3=L$3,SUMIF('TL18'!$C$10:$C$224,$C369,'TL18'!$J$10:$J$224),0),
IF('TL18'!$B$229=L$3,SUMIF('TL18'!$C$238:$C$451,$C369,'TL18'!$J$238:$J$451),0),
IF('TL19'!$B$3=L$3,SUMIF('TL19'!$C$10:$C$224,$C369,'TL19'!$J$10:$J$224),0),
IF('TL19'!$B$229=L$3,SUMIF('TL19'!$C$238:$C$451,$C369,'TL19'!$J$238:$J$451),0)
),0)</f>
        <v/>
      </c>
      <c r="M369" s="9">
        <f>IFERROR(SUM(
IF('TL01'!$B$3=M$3,SUMIF('TL01'!$C$10:$C$224,$C369,'TL01'!$J$10:$J$224),0),
IF('TL01'!$B$229=M$3,SUMIF('TL01'!$C$238:$C$451,$C369,'TL01'!$J$238:$J$451),0),
IF('TL02'!$B$3=M$3,SUMIF('TL02'!$C$10:$C$224,$C369,'TL02'!$J$10:$J$224),0),
IF('TL02'!$B$229=M$3,SUMIF('TL02'!$C$238:$C$451,$C369,'TL02'!$J$238:$J$451),0),
IF('TL03'!$B$3=M$3,SUMIF('TL03'!$C$10:$C$224,$C369,'TL03'!$J$10:$J$224),0),
IF('TL03'!$B$229=M$3,SUMIF('TL03'!$C$238:$C$451,$C369,'TL03'!$J$238:$J$451),0),
IF('TL04'!$B$3=M$3,SUMIF('TL04'!$C$10:$C$224,$C369,'TL04'!$J$10:$J$224),0),
IF('TL04'!$B$229=M$3,SUMIF('TL04'!$C$238:$C$451,$C369,'TL04'!$J$238:$J$451),0),
IF('TL05'!$B$3=M$3,SUMIF('TL05'!$C$10:$C$224,$C369,'TL05'!$J$10:$J$224),0),
IF('TL05'!$B$229=M$3,SUMIF('TL05'!$C$238:$C$451,$C369,'TL05'!$J$238:$J$451),0),
IF('TL06'!$B$3=M$3,SUMIF('TL06'!$C$10:$C$224,$C369,'TL06'!$J$10:$J$224),0),
IF('TL06'!$B$229=M$3,SUMIF('TL06'!$C$238:$C$451,$C369,'TL06'!$J$238:$J$451),0),
IF('TL07'!$B$3=M$3,SUMIF('TL07'!$C$10:$C$224,$C369,'TL07'!$J$10:$J$224),0),
IF('TL07'!$B$229=M$3,SUMIF('TL07'!$C$238:$C$451,$C369,'TL07'!$J$238:$J$451),0),
IF('TL08'!$B$3=M$3,SUMIF('TL08'!$C$10:$C$224,$C369,'TL08'!$J$10:$J$224),0),
IF('TL08'!$B$229=M$3,SUMIF('TL08'!$C$238:$C$451,$C369,'TL08'!$J$238:$J$451),0),
IF('TL09'!$B$3=M$3,SUMIF('TL09'!$C$10:$C$224,$C369,'TL09'!$J$10:$J$224),0),
IF('TL09'!$B$229=M$3,SUMIF('TL09'!$C$238:$C$451,$C369,'TL09'!$J$238:$J$451),0),
IF('TL10'!$B$3=M$3,SUMIF('TL10'!$C$10:$C$224,$C369,'TL10'!$J$10:$J$224),0),
IF('TL10'!$B$229=M$3,SUMIF('TL10'!$C$238:$C$451,$C369,'TL10'!$J$238:$J$451),0),
IF('TL11'!$B$3=M$3,SUMIF('TL11'!$C$10:$C$224,$C369,'TL11'!$J$10:$J$224),0),
IF('TL11'!$B$229=M$3,SUMIF('TL11'!$C$238:$C$451,$C369,'TL11'!$J$238:$J$451),0),
IF('TL12'!$B$3=M$3,SUMIF('TL12'!$C$10:$C$224,$C369,'TL12'!$J$10:$J$224),0),
IF('TL12'!$B$229=M$3,SUMIF('TL12'!$C$238:$C$451,$C369,'TL12'!$J$238:$J$451),0),
IF('TL13'!$B$3=M$3,SUMIF('TL13'!$C$10:$C$224,$C369,'TL13'!$J$10:$J$224),0),
IF('TL13'!$B$229=M$3,SUMIF('TL13'!$C$238:$C$451,$C369,'TL13'!$J$238:$J$451),0),
IF('TL14'!$B$3=M$3,SUMIF('TL14'!$C$10:$C$224,$C369,'TL14'!$J$10:$J$224),0),
IF('TL14'!$B$229=M$3,SUMIF('TL14'!$C$238:$C$451,$C369,'TL14'!$J$238:$J$451),0),
IF('TL15'!$B$3=M$3,SUMIF('TL15'!$C$10:$C$224,$C369,'TL15'!$J$10:$J$224),0),
IF('TL15'!$B$229=M$3,SUMIF('TL15'!$C$238:$C$451,$C369,'TL15'!$J$238:$J$451),0),
IF('TL16'!$B$3=M$3,SUMIF('TL16'!$C$10:$C$224,$C369,'TL16'!$J$10:$J$224),0),
IF('TL16'!$B$229=M$3,SUMIF('TL16'!$C$238:$C$451,$C369,'TL16'!$J$238:$J$451),0),
IF('TL17'!$B$3=M$3,SUMIF('TL17'!$C$10:$C$224,$C369,'TL17'!$J$10:$J$224),0),
IF('TL17'!$B$229=M$3,SUMIF('TL17'!$C$238:$C$451,$C369,'TL17'!$J$238:$J$451),0),
IF('TL18'!$B$3=M$3,SUMIF('TL18'!$C$10:$C$224,$C369,'TL18'!$J$10:$J$224),0),
IF('TL18'!$B$229=M$3,SUMIF('TL18'!$C$238:$C$451,$C369,'TL18'!$J$238:$J$451),0),
IF('TL19'!$B$3=M$3,SUMIF('TL19'!$C$10:$C$224,$C369,'TL19'!$J$10:$J$224),0),
IF('TL19'!$B$229=M$3,SUMIF('TL19'!$C$238:$C$451,$C369,'TL19'!$J$238:$J$451),0)
),0)</f>
        <v/>
      </c>
      <c r="N369" s="9">
        <f>IFERROR(SUM(
IF('TL01'!$B$3=N$3,SUMIF('TL01'!$C$10:$C$224,$C369,'TL01'!$J$10:$J$224),0),
IF('TL01'!$B$229=N$3,SUMIF('TL01'!$C$238:$C$451,$C369,'TL01'!$J$238:$J$451),0),
IF('TL02'!$B$3=N$3,SUMIF('TL02'!$C$10:$C$224,$C369,'TL02'!$J$10:$J$224),0),
IF('TL02'!$B$229=N$3,SUMIF('TL02'!$C$238:$C$451,$C369,'TL02'!$J$238:$J$451),0),
IF('TL03'!$B$3=N$3,SUMIF('TL03'!$C$10:$C$224,$C369,'TL03'!$J$10:$J$224),0),
IF('TL03'!$B$229=N$3,SUMIF('TL03'!$C$238:$C$451,$C369,'TL03'!$J$238:$J$451),0),
IF('TL04'!$B$3=N$3,SUMIF('TL04'!$C$10:$C$224,$C369,'TL04'!$J$10:$J$224),0),
IF('TL04'!$B$229=N$3,SUMIF('TL04'!$C$238:$C$451,$C369,'TL04'!$J$238:$J$451),0),
IF('TL05'!$B$3=N$3,SUMIF('TL05'!$C$10:$C$224,$C369,'TL05'!$J$10:$J$224),0),
IF('TL05'!$B$229=N$3,SUMIF('TL05'!$C$238:$C$451,$C369,'TL05'!$J$238:$J$451),0),
IF('TL06'!$B$3=N$3,SUMIF('TL06'!$C$10:$C$224,$C369,'TL06'!$J$10:$J$224),0),
IF('TL06'!$B$229=N$3,SUMIF('TL06'!$C$238:$C$451,$C369,'TL06'!$J$238:$J$451),0),
IF('TL07'!$B$3=N$3,SUMIF('TL07'!$C$10:$C$224,$C369,'TL07'!$J$10:$J$224),0),
IF('TL07'!$B$229=N$3,SUMIF('TL07'!$C$238:$C$451,$C369,'TL07'!$J$238:$J$451),0),
IF('TL08'!$B$3=N$3,SUMIF('TL08'!$C$10:$C$224,$C369,'TL08'!$J$10:$J$224),0),
IF('TL08'!$B$229=N$3,SUMIF('TL08'!$C$238:$C$451,$C369,'TL08'!$J$238:$J$451),0),
IF('TL09'!$B$3=N$3,SUMIF('TL09'!$C$10:$C$224,$C369,'TL09'!$J$10:$J$224),0),
IF('TL09'!$B$229=N$3,SUMIF('TL09'!$C$238:$C$451,$C369,'TL09'!$J$238:$J$451),0),
IF('TL10'!$B$3=N$3,SUMIF('TL10'!$C$10:$C$224,$C369,'TL10'!$J$10:$J$224),0),
IF('TL10'!$B$229=N$3,SUMIF('TL10'!$C$238:$C$451,$C369,'TL10'!$J$238:$J$451),0),
IF('TL11'!$B$3=N$3,SUMIF('TL11'!$C$10:$C$224,$C369,'TL11'!$J$10:$J$224),0),
IF('TL11'!$B$229=N$3,SUMIF('TL11'!$C$238:$C$451,$C369,'TL11'!$J$238:$J$451),0),
IF('TL12'!$B$3=N$3,SUMIF('TL12'!$C$10:$C$224,$C369,'TL12'!$J$10:$J$224),0),
IF('TL12'!$B$229=N$3,SUMIF('TL12'!$C$238:$C$451,$C369,'TL12'!$J$238:$J$451),0),
IF('TL13'!$B$3=N$3,SUMIF('TL13'!$C$10:$C$224,$C369,'TL13'!$J$10:$J$224),0),
IF('TL13'!$B$229=N$3,SUMIF('TL13'!$C$238:$C$451,$C369,'TL13'!$J$238:$J$451),0),
IF('TL14'!$B$3=N$3,SUMIF('TL14'!$C$10:$C$224,$C369,'TL14'!$J$10:$J$224),0),
IF('TL14'!$B$229=N$3,SUMIF('TL14'!$C$238:$C$451,$C369,'TL14'!$J$238:$J$451),0),
IF('TL15'!$B$3=N$3,SUMIF('TL15'!$C$10:$C$224,$C369,'TL15'!$J$10:$J$224),0),
IF('TL15'!$B$229=N$3,SUMIF('TL15'!$C$238:$C$451,$C369,'TL15'!$J$238:$J$451),0),
IF('TL16'!$B$3=N$3,SUMIF('TL16'!$C$10:$C$224,$C369,'TL16'!$J$10:$J$224),0),
IF('TL16'!$B$229=N$3,SUMIF('TL16'!$C$238:$C$451,$C369,'TL16'!$J$238:$J$451),0),
IF('TL17'!$B$3=N$3,SUMIF('TL17'!$C$10:$C$224,$C369,'TL17'!$J$10:$J$224),0),
IF('TL17'!$B$229=N$3,SUMIF('TL17'!$C$238:$C$451,$C369,'TL17'!$J$238:$J$451),0),
IF('TL18'!$B$3=N$3,SUMIF('TL18'!$C$10:$C$224,$C369,'TL18'!$J$10:$J$224),0),
IF('TL18'!$B$229=N$3,SUMIF('TL18'!$C$238:$C$451,$C369,'TL18'!$J$238:$J$451),0),
IF('TL19'!$B$3=N$3,SUMIF('TL19'!$C$10:$C$224,$C369,'TL19'!$J$10:$J$224),0),
IF('TL19'!$B$229=N$3,SUMIF('TL19'!$C$238:$C$451,$C369,'TL19'!$J$238:$J$451),0)
),0)</f>
        <v/>
      </c>
      <c r="O369" s="9">
        <f>IFERROR(SUM(
IF('TL01'!$B$3=O$3,SUMIF('TL01'!$C$10:$C$224,$C369,'TL01'!$J$10:$J$224),0),
IF('TL01'!$B$229=O$3,SUMIF('TL01'!$C$238:$C$451,$C369,'TL01'!$J$238:$J$451),0),
IF('TL02'!$B$3=O$3,SUMIF('TL02'!$C$10:$C$224,$C369,'TL02'!$J$10:$J$224),0),
IF('TL02'!$B$229=O$3,SUMIF('TL02'!$C$238:$C$451,$C369,'TL02'!$J$238:$J$451),0),
IF('TL03'!$B$3=O$3,SUMIF('TL03'!$C$10:$C$224,$C369,'TL03'!$J$10:$J$224),0),
IF('TL03'!$B$229=O$3,SUMIF('TL03'!$C$238:$C$451,$C369,'TL03'!$J$238:$J$451),0),
IF('TL04'!$B$3=O$3,SUMIF('TL04'!$C$10:$C$224,$C369,'TL04'!$J$10:$J$224),0),
IF('TL04'!$B$229=O$3,SUMIF('TL04'!$C$238:$C$451,$C369,'TL04'!$J$238:$J$451),0),
IF('TL05'!$B$3=O$3,SUMIF('TL05'!$C$10:$C$224,$C369,'TL05'!$J$10:$J$224),0),
IF('TL05'!$B$229=O$3,SUMIF('TL05'!$C$238:$C$451,$C369,'TL05'!$J$238:$J$451),0),
IF('TL06'!$B$3=O$3,SUMIF('TL06'!$C$10:$C$224,$C369,'TL06'!$J$10:$J$224),0),
IF('TL06'!$B$229=O$3,SUMIF('TL06'!$C$238:$C$451,$C369,'TL06'!$J$238:$J$451),0),
IF('TL07'!$B$3=O$3,SUMIF('TL07'!$C$10:$C$224,$C369,'TL07'!$J$10:$J$224),0),
IF('TL07'!$B$229=O$3,SUMIF('TL07'!$C$238:$C$451,$C369,'TL07'!$J$238:$J$451),0),
IF('TL08'!$B$3=O$3,SUMIF('TL08'!$C$10:$C$224,$C369,'TL08'!$J$10:$J$224),0),
IF('TL08'!$B$229=O$3,SUMIF('TL08'!$C$238:$C$451,$C369,'TL08'!$J$238:$J$451),0),
IF('TL09'!$B$3=O$3,SUMIF('TL09'!$C$10:$C$224,$C369,'TL09'!$J$10:$J$224),0),
IF('TL09'!$B$229=O$3,SUMIF('TL09'!$C$238:$C$451,$C369,'TL09'!$J$238:$J$451),0),
IF('TL10'!$B$3=O$3,SUMIF('TL10'!$C$10:$C$224,$C369,'TL10'!$J$10:$J$224),0),
IF('TL10'!$B$229=O$3,SUMIF('TL10'!$C$238:$C$451,$C369,'TL10'!$J$238:$J$451),0),
IF('TL11'!$B$3=O$3,SUMIF('TL11'!$C$10:$C$224,$C369,'TL11'!$J$10:$J$224),0),
IF('TL11'!$B$229=O$3,SUMIF('TL11'!$C$238:$C$451,$C369,'TL11'!$J$238:$J$451),0),
IF('TL12'!$B$3=O$3,SUMIF('TL12'!$C$10:$C$224,$C369,'TL12'!$J$10:$J$224),0),
IF('TL12'!$B$229=O$3,SUMIF('TL12'!$C$238:$C$451,$C369,'TL12'!$J$238:$J$451),0),
IF('TL13'!$B$3=O$3,SUMIF('TL13'!$C$10:$C$224,$C369,'TL13'!$J$10:$J$224),0),
IF('TL13'!$B$229=O$3,SUMIF('TL13'!$C$238:$C$451,$C369,'TL13'!$J$238:$J$451),0),
IF('TL14'!$B$3=O$3,SUMIF('TL14'!$C$10:$C$224,$C369,'TL14'!$J$10:$J$224),0),
IF('TL14'!$B$229=O$3,SUMIF('TL14'!$C$238:$C$451,$C369,'TL14'!$J$238:$J$451),0),
IF('TL15'!$B$3=O$3,SUMIF('TL15'!$C$10:$C$224,$C369,'TL15'!$J$10:$J$224),0),
IF('TL15'!$B$229=O$3,SUMIF('TL15'!$C$238:$C$451,$C369,'TL15'!$J$238:$J$451),0),
IF('TL16'!$B$3=O$3,SUMIF('TL16'!$C$10:$C$224,$C369,'TL16'!$J$10:$J$224),0),
IF('TL16'!$B$229=O$3,SUMIF('TL16'!$C$238:$C$451,$C369,'TL16'!$J$238:$J$451),0),
IF('TL17'!$B$3=O$3,SUMIF('TL17'!$C$10:$C$224,$C369,'TL17'!$J$10:$J$224),0),
IF('TL17'!$B$229=O$3,SUMIF('TL17'!$C$238:$C$451,$C369,'TL17'!$J$238:$J$451),0),
IF('TL18'!$B$3=O$3,SUMIF('TL18'!$C$10:$C$224,$C369,'TL18'!$J$10:$J$224),0),
IF('TL18'!$B$229=O$3,SUMIF('TL18'!$C$238:$C$451,$C369,'TL18'!$J$238:$J$451),0),
IF('TL19'!$B$3=O$3,SUMIF('TL19'!$C$10:$C$224,$C369,'TL19'!$J$10:$J$224),0),
IF('TL19'!$B$229=O$3,SUMIF('TL19'!$C$238:$C$451,$C369,'TL19'!$J$238:$J$451),0)
),0)</f>
        <v/>
      </c>
      <c r="P369" s="9">
        <f>IFERROR(SUM(
IF('TL01'!$B$3=P$3,SUMIF('TL01'!$C$10:$C$224,$C369,'TL01'!$J$10:$J$224),0),
IF('TL01'!$B$229=P$3,SUMIF('TL01'!$C$238:$C$451,$C369,'TL01'!$J$238:$J$451),0),
IF('TL02'!$B$3=P$3,SUMIF('TL02'!$C$10:$C$224,$C369,'TL02'!$J$10:$J$224),0),
IF('TL02'!$B$229=P$3,SUMIF('TL02'!$C$238:$C$451,$C369,'TL02'!$J$238:$J$451),0),
IF('TL03'!$B$3=P$3,SUMIF('TL03'!$C$10:$C$224,$C369,'TL03'!$J$10:$J$224),0),
IF('TL03'!$B$229=P$3,SUMIF('TL03'!$C$238:$C$451,$C369,'TL03'!$J$238:$J$451),0),
IF('TL04'!$B$3=P$3,SUMIF('TL04'!$C$10:$C$224,$C369,'TL04'!$J$10:$J$224),0),
IF('TL04'!$B$229=P$3,SUMIF('TL04'!$C$238:$C$451,$C369,'TL04'!$J$238:$J$451),0),
IF('TL05'!$B$3=P$3,SUMIF('TL05'!$C$10:$C$224,$C369,'TL05'!$J$10:$J$224),0),
IF('TL05'!$B$229=P$3,SUMIF('TL05'!$C$238:$C$451,$C369,'TL05'!$J$238:$J$451),0),
IF('TL06'!$B$3=P$3,SUMIF('TL06'!$C$10:$C$224,$C369,'TL06'!$J$10:$J$224),0),
IF('TL06'!$B$229=P$3,SUMIF('TL06'!$C$238:$C$451,$C369,'TL06'!$J$238:$J$451),0),
IF('TL07'!$B$3=P$3,SUMIF('TL07'!$C$10:$C$224,$C369,'TL07'!$J$10:$J$224),0),
IF('TL07'!$B$229=P$3,SUMIF('TL07'!$C$238:$C$451,$C369,'TL07'!$J$238:$J$451),0),
IF('TL08'!$B$3=P$3,SUMIF('TL08'!$C$10:$C$224,$C369,'TL08'!$J$10:$J$224),0),
IF('TL08'!$B$229=P$3,SUMIF('TL08'!$C$238:$C$451,$C369,'TL08'!$J$238:$J$451),0),
IF('TL09'!$B$3=P$3,SUMIF('TL09'!$C$10:$C$224,$C369,'TL09'!$J$10:$J$224),0),
IF('TL09'!$B$229=P$3,SUMIF('TL09'!$C$238:$C$451,$C369,'TL09'!$J$238:$J$451),0),
IF('TL10'!$B$3=P$3,SUMIF('TL10'!$C$10:$C$224,$C369,'TL10'!$J$10:$J$224),0),
IF('TL10'!$B$229=P$3,SUMIF('TL10'!$C$238:$C$451,$C369,'TL10'!$J$238:$J$451),0),
IF('TL11'!$B$3=P$3,SUMIF('TL11'!$C$10:$C$224,$C369,'TL11'!$J$10:$J$224),0),
IF('TL11'!$B$229=P$3,SUMIF('TL11'!$C$238:$C$451,$C369,'TL11'!$J$238:$J$451),0),
IF('TL12'!$B$3=P$3,SUMIF('TL12'!$C$10:$C$224,$C369,'TL12'!$J$10:$J$224),0),
IF('TL12'!$B$229=P$3,SUMIF('TL12'!$C$238:$C$451,$C369,'TL12'!$J$238:$J$451),0),
IF('TL13'!$B$3=P$3,SUMIF('TL13'!$C$10:$C$224,$C369,'TL13'!$J$10:$J$224),0),
IF('TL13'!$B$229=P$3,SUMIF('TL13'!$C$238:$C$451,$C369,'TL13'!$J$238:$J$451),0),
IF('TL14'!$B$3=P$3,SUMIF('TL14'!$C$10:$C$224,$C369,'TL14'!$J$10:$J$224),0),
IF('TL14'!$B$229=P$3,SUMIF('TL14'!$C$238:$C$451,$C369,'TL14'!$J$238:$J$451),0),
IF('TL15'!$B$3=P$3,SUMIF('TL15'!$C$10:$C$224,$C369,'TL15'!$J$10:$J$224),0),
IF('TL15'!$B$229=P$3,SUMIF('TL15'!$C$238:$C$451,$C369,'TL15'!$J$238:$J$451),0),
IF('TL16'!$B$3=P$3,SUMIF('TL16'!$C$10:$C$224,$C369,'TL16'!$J$10:$J$224),0),
IF('TL16'!$B$229=P$3,SUMIF('TL16'!$C$238:$C$451,$C369,'TL16'!$J$238:$J$451),0),
IF('TL17'!$B$3=P$3,SUMIF('TL17'!$C$10:$C$224,$C369,'TL17'!$J$10:$J$224),0),
IF('TL17'!$B$229=P$3,SUMIF('TL17'!$C$238:$C$451,$C369,'TL17'!$J$238:$J$451),0),
IF('TL18'!$B$3=P$3,SUMIF('TL18'!$C$10:$C$224,$C369,'TL18'!$J$10:$J$224),0),
IF('TL18'!$B$229=P$3,SUMIF('TL18'!$C$238:$C$451,$C369,'TL18'!$J$238:$J$451),0),
IF('TL19'!$B$3=P$3,SUMIF('TL19'!$C$10:$C$224,$C369,'TL19'!$J$10:$J$224),0),
IF('TL19'!$B$229=P$3,SUMIF('TL19'!$C$238:$C$451,$C369,'TL19'!$J$238:$J$451),0)
),0)</f>
        <v/>
      </c>
      <c r="Q369" s="9">
        <f>IFERROR(SUM(
IF('TL01'!$B$3=Q$3,SUMIF('TL01'!$C$10:$C$224,$C369,'TL01'!$J$10:$J$224),0),
IF('TL01'!$B$229=Q$3,SUMIF('TL01'!$C$238:$C$451,$C369,'TL01'!$J$238:$J$451),0),
IF('TL02'!$B$3=Q$3,SUMIF('TL02'!$C$10:$C$224,$C369,'TL02'!$J$10:$J$224),0),
IF('TL02'!$B$229=Q$3,SUMIF('TL02'!$C$238:$C$451,$C369,'TL02'!$J$238:$J$451),0),
IF('TL03'!$B$3=Q$3,SUMIF('TL03'!$C$10:$C$224,$C369,'TL03'!$J$10:$J$224),0),
IF('TL03'!$B$229=Q$3,SUMIF('TL03'!$C$238:$C$451,$C369,'TL03'!$J$238:$J$451),0),
IF('TL04'!$B$3=Q$3,SUMIF('TL04'!$C$10:$C$224,$C369,'TL04'!$J$10:$J$224),0),
IF('TL04'!$B$229=Q$3,SUMIF('TL04'!$C$238:$C$451,$C369,'TL04'!$J$238:$J$451),0),
IF('TL05'!$B$3=Q$3,SUMIF('TL05'!$C$10:$C$224,$C369,'TL05'!$J$10:$J$224),0),
IF('TL05'!$B$229=Q$3,SUMIF('TL05'!$C$238:$C$451,$C369,'TL05'!$J$238:$J$451),0),
IF('TL06'!$B$3=Q$3,SUMIF('TL06'!$C$10:$C$224,$C369,'TL06'!$J$10:$J$224),0),
IF('TL06'!$B$229=Q$3,SUMIF('TL06'!$C$238:$C$451,$C369,'TL06'!$J$238:$J$451),0),
IF('TL07'!$B$3=Q$3,SUMIF('TL07'!$C$10:$C$224,$C369,'TL07'!$J$10:$J$224),0),
IF('TL07'!$B$229=Q$3,SUMIF('TL07'!$C$238:$C$451,$C369,'TL07'!$J$238:$J$451),0),
IF('TL08'!$B$3=Q$3,SUMIF('TL08'!$C$10:$C$224,$C369,'TL08'!$J$10:$J$224),0),
IF('TL08'!$B$229=Q$3,SUMIF('TL08'!$C$238:$C$451,$C369,'TL08'!$J$238:$J$451),0),
IF('TL09'!$B$3=Q$3,SUMIF('TL09'!$C$10:$C$224,$C369,'TL09'!$J$10:$J$224),0),
IF('TL09'!$B$229=Q$3,SUMIF('TL09'!$C$238:$C$451,$C369,'TL09'!$J$238:$J$451),0),
IF('TL10'!$B$3=Q$3,SUMIF('TL10'!$C$10:$C$224,$C369,'TL10'!$J$10:$J$224),0),
IF('TL10'!$B$229=Q$3,SUMIF('TL10'!$C$238:$C$451,$C369,'TL10'!$J$238:$J$451),0),
IF('TL11'!$B$3=Q$3,SUMIF('TL11'!$C$10:$C$224,$C369,'TL11'!$J$10:$J$224),0),
IF('TL11'!$B$229=Q$3,SUMIF('TL11'!$C$238:$C$451,$C369,'TL11'!$J$238:$J$451),0),
IF('TL12'!$B$3=Q$3,SUMIF('TL12'!$C$10:$C$224,$C369,'TL12'!$J$10:$J$224),0),
IF('TL12'!$B$229=Q$3,SUMIF('TL12'!$C$238:$C$451,$C369,'TL12'!$J$238:$J$451),0),
IF('TL13'!$B$3=Q$3,SUMIF('TL13'!$C$10:$C$224,$C369,'TL13'!$J$10:$J$224),0),
IF('TL13'!$B$229=Q$3,SUMIF('TL13'!$C$238:$C$451,$C369,'TL13'!$J$238:$J$451),0),
IF('TL14'!$B$3=Q$3,SUMIF('TL14'!$C$10:$C$224,$C369,'TL14'!$J$10:$J$224),0),
IF('TL14'!$B$229=Q$3,SUMIF('TL14'!$C$238:$C$451,$C369,'TL14'!$J$238:$J$451),0),
IF('TL15'!$B$3=Q$3,SUMIF('TL15'!$C$10:$C$224,$C369,'TL15'!$J$10:$J$224),0),
IF('TL15'!$B$229=Q$3,SUMIF('TL15'!$C$238:$C$451,$C369,'TL15'!$J$238:$J$451),0),
IF('TL16'!$B$3=Q$3,SUMIF('TL16'!$C$10:$C$224,$C369,'TL16'!$J$10:$J$224),0),
IF('TL16'!$B$229=Q$3,SUMIF('TL16'!$C$238:$C$451,$C369,'TL16'!$J$238:$J$451),0),
IF('TL17'!$B$3=Q$3,SUMIF('TL17'!$C$10:$C$224,$C369,'TL17'!$J$10:$J$224),0),
IF('TL17'!$B$229=Q$3,SUMIF('TL17'!$C$238:$C$451,$C369,'TL17'!$J$238:$J$451),0),
IF('TL18'!$B$3=Q$3,SUMIF('TL18'!$C$10:$C$224,$C369,'TL18'!$J$10:$J$224),0),
IF('TL18'!$B$229=Q$3,SUMIF('TL18'!$C$238:$C$451,$C369,'TL18'!$J$238:$J$451),0),
IF('TL19'!$B$3=Q$3,SUMIF('TL19'!$C$10:$C$224,$C369,'TL19'!$J$10:$J$224),0),
IF('TL19'!$B$229=Q$3,SUMIF('TL19'!$C$238:$C$451,$C369,'TL19'!$J$238:$J$451),0)
),0)</f>
        <v/>
      </c>
      <c r="R369" s="9">
        <f>IFERROR(
SUM(
SUMIF('TL01'!C:C,C369,'TL01'!J:J),
SUMIF('TL02'!C:C,C369,'TL02'!J:J),
SUMIF('TL03'!C:C,C369,'TL03'!J:J),
SUMIF('TL04'!C:C,C369,'TL04'!J:J),
SUMIF('TL05'!C:C,C369,'TL05'!J:J),
SUMIF('TL06'!C:C,C369,'TL06'!J:J),
SUMIF('TL07'!C:C,C369,'TL07'!J:J),
SUMIF('TL08'!C:C,C369,'TL08'!J:J),
SUMIF('TL09'!C:C,C369,'TL09'!J:J),
SUMIF('TL10'!C:C,C369,'TL10'!J:J),
SUMIF('TL11'!C:C,C369,'TL11'!J:J),
SUMIF('TL12'!C:C,C369,'TL12'!J:J),
SUMIF('TL13'!C:C,C369,'TL13'!J:J),
SUMIF('TL14'!C:C,C369,'TL14'!J:J),
SUMIF('TL15'!C:C,C369,'TL15'!J:J),
SUMIF('TL16'!C:C,C369,'TL16'!J:J),
SUMIF('TL17'!C:C,C369,'TL17'!J:J),
SUMIF('TL18'!C:C,C369,'TL18'!J:J),SUMIF('TL19'!C:C,C369,'TL19'!J:J))
,0)</f>
        <v/>
      </c>
      <c r="S369" s="17">
        <f>IFERROR(__xludf.DUMMYFUNCTION("IFERROR(VLOOKUP(C369,
IMPORTRANGE(""1wULbzX32WdYsx-lj2U3uUNBBe2INVIRDtcK0d-Dvl90"",
""26-27!C:G""),
5,
FALSE),
"""")"),62.4)</f>
        <v/>
      </c>
      <c r="T369" s="9" t="n"/>
      <c r="U369" s="92">
        <f>MAX(0,R369-T369)</f>
        <v/>
      </c>
      <c r="V369" s="93">
        <f>U369*S369</f>
        <v/>
      </c>
    </row>
    <row r="370" hidden="1" ht="15.75" customHeight="1" s="297">
      <c r="A370" s="4" t="inlineStr">
        <is>
          <t>SOLUBIO</t>
        </is>
      </c>
      <c r="B370" s="4" t="inlineStr">
        <is>
          <t>BIOLÓGICOS</t>
        </is>
      </c>
      <c r="C370" s="126" t="inlineStr">
        <is>
          <t>Bio Oil</t>
        </is>
      </c>
      <c r="D370" s="127" t="inlineStr">
        <is>
          <t>Nutrifarm</t>
        </is>
      </c>
      <c r="E370" s="20" t="n"/>
      <c r="F370" s="4" t="n"/>
      <c r="G370" s="90">
        <f>HYPERLINK("https://www.google.com/search?q=" &amp; C370 &amp; "+bula+agrofit+pdf", "📄 Ver bula")</f>
        <v/>
      </c>
      <c r="H370" s="9" t="n"/>
      <c r="I370" s="123" t="n"/>
      <c r="J370" s="9">
        <f>IFERROR(SUM(
IF('TL01'!$B$3=J$3,SUMIF('TL01'!$C$10:$C$224,$C370,'TL01'!$J$10:$J$224),0),
IF('TL01'!$B$229=J$3,SUMIF('TL01'!$C$238:$C$451,$C370,'TL01'!$J$238:$J$451),0),
IF('TL02'!$B$3=J$3,SUMIF('TL02'!$C$10:$C$224,$C370,'TL02'!$J$10:$J$224),0),
IF('TL02'!$B$229=J$3,SUMIF('TL02'!$C$238:$C$451,$C370,'TL02'!$J$238:$J$451),0),
IF('TL03'!$B$3=J$3,SUMIF('TL03'!$C$10:$C$224,$C370,'TL03'!$J$10:$J$224),0),
IF('TL03'!$B$229=J$3,SUMIF('TL03'!$C$238:$C$451,$C370,'TL03'!$J$238:$J$451),0),
IF('TL04'!$B$3=J$3,SUMIF('TL04'!$C$10:$C$224,$C370,'TL04'!$J$10:$J$224),0),
IF('TL04'!$B$229=J$3,SUMIF('TL04'!$C$238:$C$451,$C370,'TL04'!$J$238:$J$451),0),
IF('TL05'!$B$3=J$3,SUMIF('TL05'!$C$10:$C$224,$C370,'TL05'!$J$10:$J$224),0),
IF('TL05'!$B$229=J$3,SUMIF('TL05'!$C$238:$C$451,$C370,'TL05'!$J$238:$J$451),0),
IF('TL06'!$B$3=J$3,SUMIF('TL06'!$C$10:$C$224,$C370,'TL06'!$J$10:$J$224),0),
IF('TL06'!$B$229=J$3,SUMIF('TL06'!$C$238:$C$451,$C370,'TL06'!$J$238:$J$451),0),
IF('TL07'!$B$3=J$3,SUMIF('TL07'!$C$10:$C$224,$C370,'TL07'!$J$10:$J$224),0),
IF('TL07'!$B$229=J$3,SUMIF('TL07'!$C$238:$C$451,$C370,'TL07'!$J$238:$J$451),0),
IF('TL08'!$B$3=J$3,SUMIF('TL08'!$C$10:$C$224,$C370,'TL08'!$J$10:$J$224),0),
IF('TL08'!$B$229=J$3,SUMIF('TL08'!$C$238:$C$451,$C370,'TL08'!$J$238:$J$451),0),
IF('TL09'!$B$3=J$3,SUMIF('TL09'!$C$10:$C$224,$C370,'TL09'!$J$10:$J$224),0),
IF('TL09'!$B$229=J$3,SUMIF('TL09'!$C$238:$C$451,$C370,'TL09'!$J$238:$J$451),0),
IF('TL10'!$B$3=J$3,SUMIF('TL10'!$C$10:$C$224,$C370,'TL10'!$J$10:$J$224),0),
IF('TL10'!$B$229=J$3,SUMIF('TL10'!$C$238:$C$451,$C370,'TL10'!$J$238:$J$451),0),
IF('TL11'!$B$3=J$3,SUMIF('TL11'!$C$10:$C$224,$C370,'TL11'!$J$10:$J$224),0),
IF('TL11'!$B$229=J$3,SUMIF('TL11'!$C$238:$C$451,$C370,'TL11'!$J$238:$J$451),0),
IF('TL12'!$B$3=J$3,SUMIF('TL12'!$C$10:$C$224,$C370,'TL12'!$J$10:$J$224),0),
IF('TL12'!$B$229=J$3,SUMIF('TL12'!$C$238:$C$451,$C370,'TL12'!$J$238:$J$451),0),
IF('TL13'!$B$3=J$3,SUMIF('TL13'!$C$10:$C$224,$C370,'TL13'!$J$10:$J$224),0),
IF('TL13'!$B$229=J$3,SUMIF('TL13'!$C$238:$C$451,$C370,'TL13'!$J$238:$J$451),0),
IF('TL14'!$B$3=J$3,SUMIF('TL14'!$C$10:$C$224,$C370,'TL14'!$J$10:$J$224),0),
IF('TL14'!$B$229=J$3,SUMIF('TL14'!$C$238:$C$451,$C370,'TL14'!$J$238:$J$451),0),
IF('TL15'!$B$3=J$3,SUMIF('TL15'!$C$10:$C$224,$C370,'TL15'!$J$10:$J$224),0),
IF('TL15'!$B$229=J$3,SUMIF('TL15'!$C$238:$C$451,$C370,'TL15'!$J$238:$J$451),0),
IF('TL16'!$B$3=J$3,SUMIF('TL16'!$C$10:$C$224,$C370,'TL16'!$J$10:$J$224),0),
IF('TL16'!$B$229=J$3,SUMIF('TL16'!$C$238:$C$451,$C370,'TL16'!$J$238:$J$451),0),
IF('TL17'!$B$3=J$3,SUMIF('TL17'!$C$10:$C$224,$C370,'TL17'!$J$10:$J$224),0),
IF('TL17'!$B$229=J$3,SUMIF('TL17'!$C$238:$C$451,$C370,'TL17'!$J$238:$J$451),0),
IF('TL18'!$B$3=J$3,SUMIF('TL18'!$C$10:$C$224,$C370,'TL18'!$J$10:$J$224),0),
IF('TL18'!$B$229=J$3,SUMIF('TL18'!$C$238:$C$451,$C370,'TL18'!$J$238:$J$451),0),
IF('TL19'!$B$3=J$3,SUMIF('TL19'!$C$10:$C$224,$C370,'TL19'!$J$10:$J$224),0),
IF('TL19'!$B$229=J$3,SUMIF('TL19'!$C$238:$C$451,$C370,'TL19'!$J$238:$J$451),0)
),0)</f>
        <v/>
      </c>
      <c r="K370" s="9">
        <f>IFERROR(SUM(
IF('TL01'!$B$3=K$3,SUMIF('TL01'!$C$10:$C$224,$C370,'TL01'!$J$10:$J$224),0),
IF('TL01'!$B$229=K$3,SUMIF('TL01'!$C$238:$C$451,$C370,'TL01'!$J$238:$J$451),0),
IF('TL02'!$B$3=K$3,SUMIF('TL02'!$C$10:$C$224,$C370,'TL02'!$J$10:$J$224),0),
IF('TL02'!$B$229=K$3,SUMIF('TL02'!$C$238:$C$451,$C370,'TL02'!$J$238:$J$451),0),
IF('TL03'!$B$3=K$3,SUMIF('TL03'!$C$10:$C$224,$C370,'TL03'!$J$10:$J$224),0),
IF('TL03'!$B$229=K$3,SUMIF('TL03'!$C$238:$C$451,$C370,'TL03'!$J$238:$J$451),0),
IF('TL04'!$B$3=K$3,SUMIF('TL04'!$C$10:$C$224,$C370,'TL04'!$J$10:$J$224),0),
IF('TL04'!$B$229=K$3,SUMIF('TL04'!$C$238:$C$451,$C370,'TL04'!$J$238:$J$451),0),
IF('TL05'!$B$3=K$3,SUMIF('TL05'!$C$10:$C$224,$C370,'TL05'!$J$10:$J$224),0),
IF('TL05'!$B$229=K$3,SUMIF('TL05'!$C$238:$C$451,$C370,'TL05'!$J$238:$J$451),0),
IF('TL06'!$B$3=K$3,SUMIF('TL06'!$C$10:$C$224,$C370,'TL06'!$J$10:$J$224),0),
IF('TL06'!$B$229=K$3,SUMIF('TL06'!$C$238:$C$451,$C370,'TL06'!$J$238:$J$451),0),
IF('TL07'!$B$3=K$3,SUMIF('TL07'!$C$10:$C$224,$C370,'TL07'!$J$10:$J$224),0),
IF('TL07'!$B$229=K$3,SUMIF('TL07'!$C$238:$C$451,$C370,'TL07'!$J$238:$J$451),0),
IF('TL08'!$B$3=K$3,SUMIF('TL08'!$C$10:$C$224,$C370,'TL08'!$J$10:$J$224),0),
IF('TL08'!$B$229=K$3,SUMIF('TL08'!$C$238:$C$451,$C370,'TL08'!$J$238:$J$451),0),
IF('TL09'!$B$3=K$3,SUMIF('TL09'!$C$10:$C$224,$C370,'TL09'!$J$10:$J$224),0),
IF('TL09'!$B$229=K$3,SUMIF('TL09'!$C$238:$C$451,$C370,'TL09'!$J$238:$J$451),0),
IF('TL10'!$B$3=K$3,SUMIF('TL10'!$C$10:$C$224,$C370,'TL10'!$J$10:$J$224),0),
IF('TL10'!$B$229=K$3,SUMIF('TL10'!$C$238:$C$451,$C370,'TL10'!$J$238:$J$451),0),
IF('TL11'!$B$3=K$3,SUMIF('TL11'!$C$10:$C$224,$C370,'TL11'!$J$10:$J$224),0),
IF('TL11'!$B$229=K$3,SUMIF('TL11'!$C$238:$C$451,$C370,'TL11'!$J$238:$J$451),0),
IF('TL12'!$B$3=K$3,SUMIF('TL12'!$C$10:$C$224,$C370,'TL12'!$J$10:$J$224),0),
IF('TL12'!$B$229=K$3,SUMIF('TL12'!$C$238:$C$451,$C370,'TL12'!$J$238:$J$451),0),
IF('TL13'!$B$3=K$3,SUMIF('TL13'!$C$10:$C$224,$C370,'TL13'!$J$10:$J$224),0),
IF('TL13'!$B$229=K$3,SUMIF('TL13'!$C$238:$C$451,$C370,'TL13'!$J$238:$J$451),0),
IF('TL14'!$B$3=K$3,SUMIF('TL14'!$C$10:$C$224,$C370,'TL14'!$J$10:$J$224),0),
IF('TL14'!$B$229=K$3,SUMIF('TL14'!$C$238:$C$451,$C370,'TL14'!$J$238:$J$451),0),
IF('TL15'!$B$3=K$3,SUMIF('TL15'!$C$10:$C$224,$C370,'TL15'!$J$10:$J$224),0),
IF('TL15'!$B$229=K$3,SUMIF('TL15'!$C$238:$C$451,$C370,'TL15'!$J$238:$J$451),0),
IF('TL16'!$B$3=K$3,SUMIF('TL16'!$C$10:$C$224,$C370,'TL16'!$J$10:$J$224),0),
IF('TL16'!$B$229=K$3,SUMIF('TL16'!$C$238:$C$451,$C370,'TL16'!$J$238:$J$451),0),
IF('TL17'!$B$3=K$3,SUMIF('TL17'!$C$10:$C$224,$C370,'TL17'!$J$10:$J$224),0),
IF('TL17'!$B$229=K$3,SUMIF('TL17'!$C$238:$C$451,$C370,'TL17'!$J$238:$J$451),0),
IF('TL18'!$B$3=K$3,SUMIF('TL18'!$C$10:$C$224,$C370,'TL18'!$J$10:$J$224),0),
IF('TL18'!$B$229=K$3,SUMIF('TL18'!$C$238:$C$451,$C370,'TL18'!$J$238:$J$451),0),
IF('TL19'!$B$3=K$3,SUMIF('TL19'!$C$10:$C$224,$C370,'TL19'!$J$10:$J$224),0),
IF('TL19'!$B$229=K$3,SUMIF('TL19'!$C$238:$C$451,$C370,'TL19'!$J$238:$J$451),0)
),0)</f>
        <v/>
      </c>
      <c r="L370" s="9">
        <f>IFERROR(SUM(
IF('TL01'!$B$3=L$3,SUMIF('TL01'!$C$10:$C$224,$C370,'TL01'!$J$10:$J$224),0),
IF('TL01'!$B$229=L$3,SUMIF('TL01'!$C$238:$C$451,$C370,'TL01'!$J$238:$J$451),0),
IF('TL02'!$B$3=L$3,SUMIF('TL02'!$C$10:$C$224,$C370,'TL02'!$J$10:$J$224),0),
IF('TL02'!$B$229=L$3,SUMIF('TL02'!$C$238:$C$451,$C370,'TL02'!$J$238:$J$451),0),
IF('TL03'!$B$3=L$3,SUMIF('TL03'!$C$10:$C$224,$C370,'TL03'!$J$10:$J$224),0),
IF('TL03'!$B$229=L$3,SUMIF('TL03'!$C$238:$C$451,$C370,'TL03'!$J$238:$J$451),0),
IF('TL04'!$B$3=L$3,SUMIF('TL04'!$C$10:$C$224,$C370,'TL04'!$J$10:$J$224),0),
IF('TL04'!$B$229=L$3,SUMIF('TL04'!$C$238:$C$451,$C370,'TL04'!$J$238:$J$451),0),
IF('TL05'!$B$3=L$3,SUMIF('TL05'!$C$10:$C$224,$C370,'TL05'!$J$10:$J$224),0),
IF('TL05'!$B$229=L$3,SUMIF('TL05'!$C$238:$C$451,$C370,'TL05'!$J$238:$J$451),0),
IF('TL06'!$B$3=L$3,SUMIF('TL06'!$C$10:$C$224,$C370,'TL06'!$J$10:$J$224),0),
IF('TL06'!$B$229=L$3,SUMIF('TL06'!$C$238:$C$451,$C370,'TL06'!$J$238:$J$451),0),
IF('TL07'!$B$3=L$3,SUMIF('TL07'!$C$10:$C$224,$C370,'TL07'!$J$10:$J$224),0),
IF('TL07'!$B$229=L$3,SUMIF('TL07'!$C$238:$C$451,$C370,'TL07'!$J$238:$J$451),0),
IF('TL08'!$B$3=L$3,SUMIF('TL08'!$C$10:$C$224,$C370,'TL08'!$J$10:$J$224),0),
IF('TL08'!$B$229=L$3,SUMIF('TL08'!$C$238:$C$451,$C370,'TL08'!$J$238:$J$451),0),
IF('TL09'!$B$3=L$3,SUMIF('TL09'!$C$10:$C$224,$C370,'TL09'!$J$10:$J$224),0),
IF('TL09'!$B$229=L$3,SUMIF('TL09'!$C$238:$C$451,$C370,'TL09'!$J$238:$J$451),0),
IF('TL10'!$B$3=L$3,SUMIF('TL10'!$C$10:$C$224,$C370,'TL10'!$J$10:$J$224),0),
IF('TL10'!$B$229=L$3,SUMIF('TL10'!$C$238:$C$451,$C370,'TL10'!$J$238:$J$451),0),
IF('TL11'!$B$3=L$3,SUMIF('TL11'!$C$10:$C$224,$C370,'TL11'!$J$10:$J$224),0),
IF('TL11'!$B$229=L$3,SUMIF('TL11'!$C$238:$C$451,$C370,'TL11'!$J$238:$J$451),0),
IF('TL12'!$B$3=L$3,SUMIF('TL12'!$C$10:$C$224,$C370,'TL12'!$J$10:$J$224),0),
IF('TL12'!$B$229=L$3,SUMIF('TL12'!$C$238:$C$451,$C370,'TL12'!$J$238:$J$451),0),
IF('TL13'!$B$3=L$3,SUMIF('TL13'!$C$10:$C$224,$C370,'TL13'!$J$10:$J$224),0),
IF('TL13'!$B$229=L$3,SUMIF('TL13'!$C$238:$C$451,$C370,'TL13'!$J$238:$J$451),0),
IF('TL14'!$B$3=L$3,SUMIF('TL14'!$C$10:$C$224,$C370,'TL14'!$J$10:$J$224),0),
IF('TL14'!$B$229=L$3,SUMIF('TL14'!$C$238:$C$451,$C370,'TL14'!$J$238:$J$451),0),
IF('TL15'!$B$3=L$3,SUMIF('TL15'!$C$10:$C$224,$C370,'TL15'!$J$10:$J$224),0),
IF('TL15'!$B$229=L$3,SUMIF('TL15'!$C$238:$C$451,$C370,'TL15'!$J$238:$J$451),0),
IF('TL16'!$B$3=L$3,SUMIF('TL16'!$C$10:$C$224,$C370,'TL16'!$J$10:$J$224),0),
IF('TL16'!$B$229=L$3,SUMIF('TL16'!$C$238:$C$451,$C370,'TL16'!$J$238:$J$451),0),
IF('TL17'!$B$3=L$3,SUMIF('TL17'!$C$10:$C$224,$C370,'TL17'!$J$10:$J$224),0),
IF('TL17'!$B$229=L$3,SUMIF('TL17'!$C$238:$C$451,$C370,'TL17'!$J$238:$J$451),0),
IF('TL18'!$B$3=L$3,SUMIF('TL18'!$C$10:$C$224,$C370,'TL18'!$J$10:$J$224),0),
IF('TL18'!$B$229=L$3,SUMIF('TL18'!$C$238:$C$451,$C370,'TL18'!$J$238:$J$451),0),
IF('TL19'!$B$3=L$3,SUMIF('TL19'!$C$10:$C$224,$C370,'TL19'!$J$10:$J$224),0),
IF('TL19'!$B$229=L$3,SUMIF('TL19'!$C$238:$C$451,$C370,'TL19'!$J$238:$J$451),0)
),0)</f>
        <v/>
      </c>
      <c r="M370" s="9">
        <f>IFERROR(SUM(
IF('TL01'!$B$3=M$3,SUMIF('TL01'!$C$10:$C$224,$C370,'TL01'!$J$10:$J$224),0),
IF('TL01'!$B$229=M$3,SUMIF('TL01'!$C$238:$C$451,$C370,'TL01'!$J$238:$J$451),0),
IF('TL02'!$B$3=M$3,SUMIF('TL02'!$C$10:$C$224,$C370,'TL02'!$J$10:$J$224),0),
IF('TL02'!$B$229=M$3,SUMIF('TL02'!$C$238:$C$451,$C370,'TL02'!$J$238:$J$451),0),
IF('TL03'!$B$3=M$3,SUMIF('TL03'!$C$10:$C$224,$C370,'TL03'!$J$10:$J$224),0),
IF('TL03'!$B$229=M$3,SUMIF('TL03'!$C$238:$C$451,$C370,'TL03'!$J$238:$J$451),0),
IF('TL04'!$B$3=M$3,SUMIF('TL04'!$C$10:$C$224,$C370,'TL04'!$J$10:$J$224),0),
IF('TL04'!$B$229=M$3,SUMIF('TL04'!$C$238:$C$451,$C370,'TL04'!$J$238:$J$451),0),
IF('TL05'!$B$3=M$3,SUMIF('TL05'!$C$10:$C$224,$C370,'TL05'!$J$10:$J$224),0),
IF('TL05'!$B$229=M$3,SUMIF('TL05'!$C$238:$C$451,$C370,'TL05'!$J$238:$J$451),0),
IF('TL06'!$B$3=M$3,SUMIF('TL06'!$C$10:$C$224,$C370,'TL06'!$J$10:$J$224),0),
IF('TL06'!$B$229=M$3,SUMIF('TL06'!$C$238:$C$451,$C370,'TL06'!$J$238:$J$451),0),
IF('TL07'!$B$3=M$3,SUMIF('TL07'!$C$10:$C$224,$C370,'TL07'!$J$10:$J$224),0),
IF('TL07'!$B$229=M$3,SUMIF('TL07'!$C$238:$C$451,$C370,'TL07'!$J$238:$J$451),0),
IF('TL08'!$B$3=M$3,SUMIF('TL08'!$C$10:$C$224,$C370,'TL08'!$J$10:$J$224),0),
IF('TL08'!$B$229=M$3,SUMIF('TL08'!$C$238:$C$451,$C370,'TL08'!$J$238:$J$451),0),
IF('TL09'!$B$3=M$3,SUMIF('TL09'!$C$10:$C$224,$C370,'TL09'!$J$10:$J$224),0),
IF('TL09'!$B$229=M$3,SUMIF('TL09'!$C$238:$C$451,$C370,'TL09'!$J$238:$J$451),0),
IF('TL10'!$B$3=M$3,SUMIF('TL10'!$C$10:$C$224,$C370,'TL10'!$J$10:$J$224),0),
IF('TL10'!$B$229=M$3,SUMIF('TL10'!$C$238:$C$451,$C370,'TL10'!$J$238:$J$451),0),
IF('TL11'!$B$3=M$3,SUMIF('TL11'!$C$10:$C$224,$C370,'TL11'!$J$10:$J$224),0),
IF('TL11'!$B$229=M$3,SUMIF('TL11'!$C$238:$C$451,$C370,'TL11'!$J$238:$J$451),0),
IF('TL12'!$B$3=M$3,SUMIF('TL12'!$C$10:$C$224,$C370,'TL12'!$J$10:$J$224),0),
IF('TL12'!$B$229=M$3,SUMIF('TL12'!$C$238:$C$451,$C370,'TL12'!$J$238:$J$451),0),
IF('TL13'!$B$3=M$3,SUMIF('TL13'!$C$10:$C$224,$C370,'TL13'!$J$10:$J$224),0),
IF('TL13'!$B$229=M$3,SUMIF('TL13'!$C$238:$C$451,$C370,'TL13'!$J$238:$J$451),0),
IF('TL14'!$B$3=M$3,SUMIF('TL14'!$C$10:$C$224,$C370,'TL14'!$J$10:$J$224),0),
IF('TL14'!$B$229=M$3,SUMIF('TL14'!$C$238:$C$451,$C370,'TL14'!$J$238:$J$451),0),
IF('TL15'!$B$3=M$3,SUMIF('TL15'!$C$10:$C$224,$C370,'TL15'!$J$10:$J$224),0),
IF('TL15'!$B$229=M$3,SUMIF('TL15'!$C$238:$C$451,$C370,'TL15'!$J$238:$J$451),0),
IF('TL16'!$B$3=M$3,SUMIF('TL16'!$C$10:$C$224,$C370,'TL16'!$J$10:$J$224),0),
IF('TL16'!$B$229=M$3,SUMIF('TL16'!$C$238:$C$451,$C370,'TL16'!$J$238:$J$451),0),
IF('TL17'!$B$3=M$3,SUMIF('TL17'!$C$10:$C$224,$C370,'TL17'!$J$10:$J$224),0),
IF('TL17'!$B$229=M$3,SUMIF('TL17'!$C$238:$C$451,$C370,'TL17'!$J$238:$J$451),0),
IF('TL18'!$B$3=M$3,SUMIF('TL18'!$C$10:$C$224,$C370,'TL18'!$J$10:$J$224),0),
IF('TL18'!$B$229=M$3,SUMIF('TL18'!$C$238:$C$451,$C370,'TL18'!$J$238:$J$451),0),
IF('TL19'!$B$3=M$3,SUMIF('TL19'!$C$10:$C$224,$C370,'TL19'!$J$10:$J$224),0),
IF('TL19'!$B$229=M$3,SUMIF('TL19'!$C$238:$C$451,$C370,'TL19'!$J$238:$J$451),0)
),0)</f>
        <v/>
      </c>
      <c r="N370" s="9">
        <f>IFERROR(SUM(
IF('TL01'!$B$3=N$3,SUMIF('TL01'!$C$10:$C$224,$C370,'TL01'!$J$10:$J$224),0),
IF('TL01'!$B$229=N$3,SUMIF('TL01'!$C$238:$C$451,$C370,'TL01'!$J$238:$J$451),0),
IF('TL02'!$B$3=N$3,SUMIF('TL02'!$C$10:$C$224,$C370,'TL02'!$J$10:$J$224),0),
IF('TL02'!$B$229=N$3,SUMIF('TL02'!$C$238:$C$451,$C370,'TL02'!$J$238:$J$451),0),
IF('TL03'!$B$3=N$3,SUMIF('TL03'!$C$10:$C$224,$C370,'TL03'!$J$10:$J$224),0),
IF('TL03'!$B$229=N$3,SUMIF('TL03'!$C$238:$C$451,$C370,'TL03'!$J$238:$J$451),0),
IF('TL04'!$B$3=N$3,SUMIF('TL04'!$C$10:$C$224,$C370,'TL04'!$J$10:$J$224),0),
IF('TL04'!$B$229=N$3,SUMIF('TL04'!$C$238:$C$451,$C370,'TL04'!$J$238:$J$451),0),
IF('TL05'!$B$3=N$3,SUMIF('TL05'!$C$10:$C$224,$C370,'TL05'!$J$10:$J$224),0),
IF('TL05'!$B$229=N$3,SUMIF('TL05'!$C$238:$C$451,$C370,'TL05'!$J$238:$J$451),0),
IF('TL06'!$B$3=N$3,SUMIF('TL06'!$C$10:$C$224,$C370,'TL06'!$J$10:$J$224),0),
IF('TL06'!$B$229=N$3,SUMIF('TL06'!$C$238:$C$451,$C370,'TL06'!$J$238:$J$451),0),
IF('TL07'!$B$3=N$3,SUMIF('TL07'!$C$10:$C$224,$C370,'TL07'!$J$10:$J$224),0),
IF('TL07'!$B$229=N$3,SUMIF('TL07'!$C$238:$C$451,$C370,'TL07'!$J$238:$J$451),0),
IF('TL08'!$B$3=N$3,SUMIF('TL08'!$C$10:$C$224,$C370,'TL08'!$J$10:$J$224),0),
IF('TL08'!$B$229=N$3,SUMIF('TL08'!$C$238:$C$451,$C370,'TL08'!$J$238:$J$451),0),
IF('TL09'!$B$3=N$3,SUMIF('TL09'!$C$10:$C$224,$C370,'TL09'!$J$10:$J$224),0),
IF('TL09'!$B$229=N$3,SUMIF('TL09'!$C$238:$C$451,$C370,'TL09'!$J$238:$J$451),0),
IF('TL10'!$B$3=N$3,SUMIF('TL10'!$C$10:$C$224,$C370,'TL10'!$J$10:$J$224),0),
IF('TL10'!$B$229=N$3,SUMIF('TL10'!$C$238:$C$451,$C370,'TL10'!$J$238:$J$451),0),
IF('TL11'!$B$3=N$3,SUMIF('TL11'!$C$10:$C$224,$C370,'TL11'!$J$10:$J$224),0),
IF('TL11'!$B$229=N$3,SUMIF('TL11'!$C$238:$C$451,$C370,'TL11'!$J$238:$J$451),0),
IF('TL12'!$B$3=N$3,SUMIF('TL12'!$C$10:$C$224,$C370,'TL12'!$J$10:$J$224),0),
IF('TL12'!$B$229=N$3,SUMIF('TL12'!$C$238:$C$451,$C370,'TL12'!$J$238:$J$451),0),
IF('TL13'!$B$3=N$3,SUMIF('TL13'!$C$10:$C$224,$C370,'TL13'!$J$10:$J$224),0),
IF('TL13'!$B$229=N$3,SUMIF('TL13'!$C$238:$C$451,$C370,'TL13'!$J$238:$J$451),0),
IF('TL14'!$B$3=N$3,SUMIF('TL14'!$C$10:$C$224,$C370,'TL14'!$J$10:$J$224),0),
IF('TL14'!$B$229=N$3,SUMIF('TL14'!$C$238:$C$451,$C370,'TL14'!$J$238:$J$451),0),
IF('TL15'!$B$3=N$3,SUMIF('TL15'!$C$10:$C$224,$C370,'TL15'!$J$10:$J$224),0),
IF('TL15'!$B$229=N$3,SUMIF('TL15'!$C$238:$C$451,$C370,'TL15'!$J$238:$J$451),0),
IF('TL16'!$B$3=N$3,SUMIF('TL16'!$C$10:$C$224,$C370,'TL16'!$J$10:$J$224),0),
IF('TL16'!$B$229=N$3,SUMIF('TL16'!$C$238:$C$451,$C370,'TL16'!$J$238:$J$451),0),
IF('TL17'!$B$3=N$3,SUMIF('TL17'!$C$10:$C$224,$C370,'TL17'!$J$10:$J$224),0),
IF('TL17'!$B$229=N$3,SUMIF('TL17'!$C$238:$C$451,$C370,'TL17'!$J$238:$J$451),0),
IF('TL18'!$B$3=N$3,SUMIF('TL18'!$C$10:$C$224,$C370,'TL18'!$J$10:$J$224),0),
IF('TL18'!$B$229=N$3,SUMIF('TL18'!$C$238:$C$451,$C370,'TL18'!$J$238:$J$451),0),
IF('TL19'!$B$3=N$3,SUMIF('TL19'!$C$10:$C$224,$C370,'TL19'!$J$10:$J$224),0),
IF('TL19'!$B$229=N$3,SUMIF('TL19'!$C$238:$C$451,$C370,'TL19'!$J$238:$J$451),0)
),0)</f>
        <v/>
      </c>
      <c r="O370" s="9">
        <f>IFERROR(SUM(
IF('TL01'!$B$3=O$3,SUMIF('TL01'!$C$10:$C$224,$C370,'TL01'!$J$10:$J$224),0),
IF('TL01'!$B$229=O$3,SUMIF('TL01'!$C$238:$C$451,$C370,'TL01'!$J$238:$J$451),0),
IF('TL02'!$B$3=O$3,SUMIF('TL02'!$C$10:$C$224,$C370,'TL02'!$J$10:$J$224),0),
IF('TL02'!$B$229=O$3,SUMIF('TL02'!$C$238:$C$451,$C370,'TL02'!$J$238:$J$451),0),
IF('TL03'!$B$3=O$3,SUMIF('TL03'!$C$10:$C$224,$C370,'TL03'!$J$10:$J$224),0),
IF('TL03'!$B$229=O$3,SUMIF('TL03'!$C$238:$C$451,$C370,'TL03'!$J$238:$J$451),0),
IF('TL04'!$B$3=O$3,SUMIF('TL04'!$C$10:$C$224,$C370,'TL04'!$J$10:$J$224),0),
IF('TL04'!$B$229=O$3,SUMIF('TL04'!$C$238:$C$451,$C370,'TL04'!$J$238:$J$451),0),
IF('TL05'!$B$3=O$3,SUMIF('TL05'!$C$10:$C$224,$C370,'TL05'!$J$10:$J$224),0),
IF('TL05'!$B$229=O$3,SUMIF('TL05'!$C$238:$C$451,$C370,'TL05'!$J$238:$J$451),0),
IF('TL06'!$B$3=O$3,SUMIF('TL06'!$C$10:$C$224,$C370,'TL06'!$J$10:$J$224),0),
IF('TL06'!$B$229=O$3,SUMIF('TL06'!$C$238:$C$451,$C370,'TL06'!$J$238:$J$451),0),
IF('TL07'!$B$3=O$3,SUMIF('TL07'!$C$10:$C$224,$C370,'TL07'!$J$10:$J$224),0),
IF('TL07'!$B$229=O$3,SUMIF('TL07'!$C$238:$C$451,$C370,'TL07'!$J$238:$J$451),0),
IF('TL08'!$B$3=O$3,SUMIF('TL08'!$C$10:$C$224,$C370,'TL08'!$J$10:$J$224),0),
IF('TL08'!$B$229=O$3,SUMIF('TL08'!$C$238:$C$451,$C370,'TL08'!$J$238:$J$451),0),
IF('TL09'!$B$3=O$3,SUMIF('TL09'!$C$10:$C$224,$C370,'TL09'!$J$10:$J$224),0),
IF('TL09'!$B$229=O$3,SUMIF('TL09'!$C$238:$C$451,$C370,'TL09'!$J$238:$J$451),0),
IF('TL10'!$B$3=O$3,SUMIF('TL10'!$C$10:$C$224,$C370,'TL10'!$J$10:$J$224),0),
IF('TL10'!$B$229=O$3,SUMIF('TL10'!$C$238:$C$451,$C370,'TL10'!$J$238:$J$451),0),
IF('TL11'!$B$3=O$3,SUMIF('TL11'!$C$10:$C$224,$C370,'TL11'!$J$10:$J$224),0),
IF('TL11'!$B$229=O$3,SUMIF('TL11'!$C$238:$C$451,$C370,'TL11'!$J$238:$J$451),0),
IF('TL12'!$B$3=O$3,SUMIF('TL12'!$C$10:$C$224,$C370,'TL12'!$J$10:$J$224),0),
IF('TL12'!$B$229=O$3,SUMIF('TL12'!$C$238:$C$451,$C370,'TL12'!$J$238:$J$451),0),
IF('TL13'!$B$3=O$3,SUMIF('TL13'!$C$10:$C$224,$C370,'TL13'!$J$10:$J$224),0),
IF('TL13'!$B$229=O$3,SUMIF('TL13'!$C$238:$C$451,$C370,'TL13'!$J$238:$J$451),0),
IF('TL14'!$B$3=O$3,SUMIF('TL14'!$C$10:$C$224,$C370,'TL14'!$J$10:$J$224),0),
IF('TL14'!$B$229=O$3,SUMIF('TL14'!$C$238:$C$451,$C370,'TL14'!$J$238:$J$451),0),
IF('TL15'!$B$3=O$3,SUMIF('TL15'!$C$10:$C$224,$C370,'TL15'!$J$10:$J$224),0),
IF('TL15'!$B$229=O$3,SUMIF('TL15'!$C$238:$C$451,$C370,'TL15'!$J$238:$J$451),0),
IF('TL16'!$B$3=O$3,SUMIF('TL16'!$C$10:$C$224,$C370,'TL16'!$J$10:$J$224),0),
IF('TL16'!$B$229=O$3,SUMIF('TL16'!$C$238:$C$451,$C370,'TL16'!$J$238:$J$451),0),
IF('TL17'!$B$3=O$3,SUMIF('TL17'!$C$10:$C$224,$C370,'TL17'!$J$10:$J$224),0),
IF('TL17'!$B$229=O$3,SUMIF('TL17'!$C$238:$C$451,$C370,'TL17'!$J$238:$J$451),0),
IF('TL18'!$B$3=O$3,SUMIF('TL18'!$C$10:$C$224,$C370,'TL18'!$J$10:$J$224),0),
IF('TL18'!$B$229=O$3,SUMIF('TL18'!$C$238:$C$451,$C370,'TL18'!$J$238:$J$451),0),
IF('TL19'!$B$3=O$3,SUMIF('TL19'!$C$10:$C$224,$C370,'TL19'!$J$10:$J$224),0),
IF('TL19'!$B$229=O$3,SUMIF('TL19'!$C$238:$C$451,$C370,'TL19'!$J$238:$J$451),0)
),0)</f>
        <v/>
      </c>
      <c r="P370" s="9">
        <f>IFERROR(SUM(
IF('TL01'!$B$3=P$3,SUMIF('TL01'!$C$10:$C$224,$C370,'TL01'!$J$10:$J$224),0),
IF('TL01'!$B$229=P$3,SUMIF('TL01'!$C$238:$C$451,$C370,'TL01'!$J$238:$J$451),0),
IF('TL02'!$B$3=P$3,SUMIF('TL02'!$C$10:$C$224,$C370,'TL02'!$J$10:$J$224),0),
IF('TL02'!$B$229=P$3,SUMIF('TL02'!$C$238:$C$451,$C370,'TL02'!$J$238:$J$451),0),
IF('TL03'!$B$3=P$3,SUMIF('TL03'!$C$10:$C$224,$C370,'TL03'!$J$10:$J$224),0),
IF('TL03'!$B$229=P$3,SUMIF('TL03'!$C$238:$C$451,$C370,'TL03'!$J$238:$J$451),0),
IF('TL04'!$B$3=P$3,SUMIF('TL04'!$C$10:$C$224,$C370,'TL04'!$J$10:$J$224),0),
IF('TL04'!$B$229=P$3,SUMIF('TL04'!$C$238:$C$451,$C370,'TL04'!$J$238:$J$451),0),
IF('TL05'!$B$3=P$3,SUMIF('TL05'!$C$10:$C$224,$C370,'TL05'!$J$10:$J$224),0),
IF('TL05'!$B$229=P$3,SUMIF('TL05'!$C$238:$C$451,$C370,'TL05'!$J$238:$J$451),0),
IF('TL06'!$B$3=P$3,SUMIF('TL06'!$C$10:$C$224,$C370,'TL06'!$J$10:$J$224),0),
IF('TL06'!$B$229=P$3,SUMIF('TL06'!$C$238:$C$451,$C370,'TL06'!$J$238:$J$451),0),
IF('TL07'!$B$3=P$3,SUMIF('TL07'!$C$10:$C$224,$C370,'TL07'!$J$10:$J$224),0),
IF('TL07'!$B$229=P$3,SUMIF('TL07'!$C$238:$C$451,$C370,'TL07'!$J$238:$J$451),0),
IF('TL08'!$B$3=P$3,SUMIF('TL08'!$C$10:$C$224,$C370,'TL08'!$J$10:$J$224),0),
IF('TL08'!$B$229=P$3,SUMIF('TL08'!$C$238:$C$451,$C370,'TL08'!$J$238:$J$451),0),
IF('TL09'!$B$3=P$3,SUMIF('TL09'!$C$10:$C$224,$C370,'TL09'!$J$10:$J$224),0),
IF('TL09'!$B$229=P$3,SUMIF('TL09'!$C$238:$C$451,$C370,'TL09'!$J$238:$J$451),0),
IF('TL10'!$B$3=P$3,SUMIF('TL10'!$C$10:$C$224,$C370,'TL10'!$J$10:$J$224),0),
IF('TL10'!$B$229=P$3,SUMIF('TL10'!$C$238:$C$451,$C370,'TL10'!$J$238:$J$451),0),
IF('TL11'!$B$3=P$3,SUMIF('TL11'!$C$10:$C$224,$C370,'TL11'!$J$10:$J$224),0),
IF('TL11'!$B$229=P$3,SUMIF('TL11'!$C$238:$C$451,$C370,'TL11'!$J$238:$J$451),0),
IF('TL12'!$B$3=P$3,SUMIF('TL12'!$C$10:$C$224,$C370,'TL12'!$J$10:$J$224),0),
IF('TL12'!$B$229=P$3,SUMIF('TL12'!$C$238:$C$451,$C370,'TL12'!$J$238:$J$451),0),
IF('TL13'!$B$3=P$3,SUMIF('TL13'!$C$10:$C$224,$C370,'TL13'!$J$10:$J$224),0),
IF('TL13'!$B$229=P$3,SUMIF('TL13'!$C$238:$C$451,$C370,'TL13'!$J$238:$J$451),0),
IF('TL14'!$B$3=P$3,SUMIF('TL14'!$C$10:$C$224,$C370,'TL14'!$J$10:$J$224),0),
IF('TL14'!$B$229=P$3,SUMIF('TL14'!$C$238:$C$451,$C370,'TL14'!$J$238:$J$451),0),
IF('TL15'!$B$3=P$3,SUMIF('TL15'!$C$10:$C$224,$C370,'TL15'!$J$10:$J$224),0),
IF('TL15'!$B$229=P$3,SUMIF('TL15'!$C$238:$C$451,$C370,'TL15'!$J$238:$J$451),0),
IF('TL16'!$B$3=P$3,SUMIF('TL16'!$C$10:$C$224,$C370,'TL16'!$J$10:$J$224),0),
IF('TL16'!$B$229=P$3,SUMIF('TL16'!$C$238:$C$451,$C370,'TL16'!$J$238:$J$451),0),
IF('TL17'!$B$3=P$3,SUMIF('TL17'!$C$10:$C$224,$C370,'TL17'!$J$10:$J$224),0),
IF('TL17'!$B$229=P$3,SUMIF('TL17'!$C$238:$C$451,$C370,'TL17'!$J$238:$J$451),0),
IF('TL18'!$B$3=P$3,SUMIF('TL18'!$C$10:$C$224,$C370,'TL18'!$J$10:$J$224),0),
IF('TL18'!$B$229=P$3,SUMIF('TL18'!$C$238:$C$451,$C370,'TL18'!$J$238:$J$451),0),
IF('TL19'!$B$3=P$3,SUMIF('TL19'!$C$10:$C$224,$C370,'TL19'!$J$10:$J$224),0),
IF('TL19'!$B$229=P$3,SUMIF('TL19'!$C$238:$C$451,$C370,'TL19'!$J$238:$J$451),0)
),0)</f>
        <v/>
      </c>
      <c r="Q370" s="9">
        <f>IFERROR(SUM(
IF('TL01'!$B$3=Q$3,SUMIF('TL01'!$C$10:$C$224,$C370,'TL01'!$J$10:$J$224),0),
IF('TL01'!$B$229=Q$3,SUMIF('TL01'!$C$238:$C$451,$C370,'TL01'!$J$238:$J$451),0),
IF('TL02'!$B$3=Q$3,SUMIF('TL02'!$C$10:$C$224,$C370,'TL02'!$J$10:$J$224),0),
IF('TL02'!$B$229=Q$3,SUMIF('TL02'!$C$238:$C$451,$C370,'TL02'!$J$238:$J$451),0),
IF('TL03'!$B$3=Q$3,SUMIF('TL03'!$C$10:$C$224,$C370,'TL03'!$J$10:$J$224),0),
IF('TL03'!$B$229=Q$3,SUMIF('TL03'!$C$238:$C$451,$C370,'TL03'!$J$238:$J$451),0),
IF('TL04'!$B$3=Q$3,SUMIF('TL04'!$C$10:$C$224,$C370,'TL04'!$J$10:$J$224),0),
IF('TL04'!$B$229=Q$3,SUMIF('TL04'!$C$238:$C$451,$C370,'TL04'!$J$238:$J$451),0),
IF('TL05'!$B$3=Q$3,SUMIF('TL05'!$C$10:$C$224,$C370,'TL05'!$J$10:$J$224),0),
IF('TL05'!$B$229=Q$3,SUMIF('TL05'!$C$238:$C$451,$C370,'TL05'!$J$238:$J$451),0),
IF('TL06'!$B$3=Q$3,SUMIF('TL06'!$C$10:$C$224,$C370,'TL06'!$J$10:$J$224),0),
IF('TL06'!$B$229=Q$3,SUMIF('TL06'!$C$238:$C$451,$C370,'TL06'!$J$238:$J$451),0),
IF('TL07'!$B$3=Q$3,SUMIF('TL07'!$C$10:$C$224,$C370,'TL07'!$J$10:$J$224),0),
IF('TL07'!$B$229=Q$3,SUMIF('TL07'!$C$238:$C$451,$C370,'TL07'!$J$238:$J$451),0),
IF('TL08'!$B$3=Q$3,SUMIF('TL08'!$C$10:$C$224,$C370,'TL08'!$J$10:$J$224),0),
IF('TL08'!$B$229=Q$3,SUMIF('TL08'!$C$238:$C$451,$C370,'TL08'!$J$238:$J$451),0),
IF('TL09'!$B$3=Q$3,SUMIF('TL09'!$C$10:$C$224,$C370,'TL09'!$J$10:$J$224),0),
IF('TL09'!$B$229=Q$3,SUMIF('TL09'!$C$238:$C$451,$C370,'TL09'!$J$238:$J$451),0),
IF('TL10'!$B$3=Q$3,SUMIF('TL10'!$C$10:$C$224,$C370,'TL10'!$J$10:$J$224),0),
IF('TL10'!$B$229=Q$3,SUMIF('TL10'!$C$238:$C$451,$C370,'TL10'!$J$238:$J$451),0),
IF('TL11'!$B$3=Q$3,SUMIF('TL11'!$C$10:$C$224,$C370,'TL11'!$J$10:$J$224),0),
IF('TL11'!$B$229=Q$3,SUMIF('TL11'!$C$238:$C$451,$C370,'TL11'!$J$238:$J$451),0),
IF('TL12'!$B$3=Q$3,SUMIF('TL12'!$C$10:$C$224,$C370,'TL12'!$J$10:$J$224),0),
IF('TL12'!$B$229=Q$3,SUMIF('TL12'!$C$238:$C$451,$C370,'TL12'!$J$238:$J$451),0),
IF('TL13'!$B$3=Q$3,SUMIF('TL13'!$C$10:$C$224,$C370,'TL13'!$J$10:$J$224),0),
IF('TL13'!$B$229=Q$3,SUMIF('TL13'!$C$238:$C$451,$C370,'TL13'!$J$238:$J$451),0),
IF('TL14'!$B$3=Q$3,SUMIF('TL14'!$C$10:$C$224,$C370,'TL14'!$J$10:$J$224),0),
IF('TL14'!$B$229=Q$3,SUMIF('TL14'!$C$238:$C$451,$C370,'TL14'!$J$238:$J$451),0),
IF('TL15'!$B$3=Q$3,SUMIF('TL15'!$C$10:$C$224,$C370,'TL15'!$J$10:$J$224),0),
IF('TL15'!$B$229=Q$3,SUMIF('TL15'!$C$238:$C$451,$C370,'TL15'!$J$238:$J$451),0),
IF('TL16'!$B$3=Q$3,SUMIF('TL16'!$C$10:$C$224,$C370,'TL16'!$J$10:$J$224),0),
IF('TL16'!$B$229=Q$3,SUMIF('TL16'!$C$238:$C$451,$C370,'TL16'!$J$238:$J$451),0),
IF('TL17'!$B$3=Q$3,SUMIF('TL17'!$C$10:$C$224,$C370,'TL17'!$J$10:$J$224),0),
IF('TL17'!$B$229=Q$3,SUMIF('TL17'!$C$238:$C$451,$C370,'TL17'!$J$238:$J$451),0),
IF('TL18'!$B$3=Q$3,SUMIF('TL18'!$C$10:$C$224,$C370,'TL18'!$J$10:$J$224),0),
IF('TL18'!$B$229=Q$3,SUMIF('TL18'!$C$238:$C$451,$C370,'TL18'!$J$238:$J$451),0),
IF('TL19'!$B$3=Q$3,SUMIF('TL19'!$C$10:$C$224,$C370,'TL19'!$J$10:$J$224),0),
IF('TL19'!$B$229=Q$3,SUMIF('TL19'!$C$238:$C$451,$C370,'TL19'!$J$238:$J$451),0)
),0)</f>
        <v/>
      </c>
      <c r="R370" s="9">
        <f>IFERROR(
SUM(
SUMIF('TL01'!C:C,C370,'TL01'!J:J),
SUMIF('TL02'!C:C,C370,'TL02'!J:J),
SUMIF('TL03'!C:C,C370,'TL03'!J:J),
SUMIF('TL04'!C:C,C370,'TL04'!J:J),
SUMIF('TL05'!C:C,C370,'TL05'!J:J),
SUMIF('TL06'!C:C,C370,'TL06'!J:J),
SUMIF('TL07'!C:C,C370,'TL07'!J:J),
SUMIF('TL08'!C:C,C370,'TL08'!J:J),
SUMIF('TL09'!C:C,C370,'TL09'!J:J),
SUMIF('TL10'!C:C,C370,'TL10'!J:J),
SUMIF('TL11'!C:C,C370,'TL11'!J:J),
SUMIF('TL12'!C:C,C370,'TL12'!J:J),
SUMIF('TL13'!C:C,C370,'TL13'!J:J),
SUMIF('TL14'!C:C,C370,'TL14'!J:J),
SUMIF('TL15'!C:C,C370,'TL15'!J:J),
SUMIF('TL16'!C:C,C370,'TL16'!J:J),
SUMIF('TL17'!C:C,C370,'TL17'!J:J),
SUMIF('TL18'!C:C,C370,'TL18'!J:J),SUMIF('TL19'!C:C,C370,'TL19'!J:J))
,0)</f>
        <v/>
      </c>
      <c r="S370" s="17">
        <f>IFERROR(__xludf.DUMMYFUNCTION("IFERROR(VLOOKUP(C370,
IMPORTRANGE(""1wULbzX32WdYsx-lj2U3uUNBBe2INVIRDtcK0d-Dvl90"",
""26-27!C:G""),
5,
FALSE),
"""")"),14.25)</f>
        <v/>
      </c>
      <c r="T370" s="9" t="n"/>
      <c r="U370" s="92">
        <f>MAX(0,R370-T370)</f>
        <v/>
      </c>
      <c r="V370" s="93">
        <f>U370*S370</f>
        <v/>
      </c>
    </row>
    <row r="371" hidden="1" ht="15.75" customHeight="1" s="297">
      <c r="A371" s="4" t="inlineStr">
        <is>
          <t>SOLUBIO</t>
        </is>
      </c>
      <c r="B371" s="4" t="inlineStr">
        <is>
          <t>BIOLÓGICOS</t>
        </is>
      </c>
      <c r="C371" s="128" t="inlineStr">
        <is>
          <t>Carbon Pro</t>
        </is>
      </c>
      <c r="D371" s="129" t="inlineStr">
        <is>
          <t>Nutrifarm</t>
        </is>
      </c>
      <c r="E371" s="20" t="n"/>
      <c r="F371" s="4" t="n"/>
      <c r="G371" s="90">
        <f>HYPERLINK("https://www.google.com/search?q=" &amp; C371 &amp; "+bula+agrofit+pdf", "📄 Ver bula")</f>
        <v/>
      </c>
      <c r="H371" s="9" t="n"/>
      <c r="I371" s="123" t="n"/>
      <c r="J371" s="9">
        <f>IFERROR(SUM(
IF('TL01'!$B$3=J$3,SUMIF('TL01'!$C$10:$C$224,$C371,'TL01'!$J$10:$J$224),0),
IF('TL01'!$B$229=J$3,SUMIF('TL01'!$C$238:$C$451,$C371,'TL01'!$J$238:$J$451),0),
IF('TL02'!$B$3=J$3,SUMIF('TL02'!$C$10:$C$224,$C371,'TL02'!$J$10:$J$224),0),
IF('TL02'!$B$229=J$3,SUMIF('TL02'!$C$238:$C$451,$C371,'TL02'!$J$238:$J$451),0),
IF('TL03'!$B$3=J$3,SUMIF('TL03'!$C$10:$C$224,$C371,'TL03'!$J$10:$J$224),0),
IF('TL03'!$B$229=J$3,SUMIF('TL03'!$C$238:$C$451,$C371,'TL03'!$J$238:$J$451),0),
IF('TL04'!$B$3=J$3,SUMIF('TL04'!$C$10:$C$224,$C371,'TL04'!$J$10:$J$224),0),
IF('TL04'!$B$229=J$3,SUMIF('TL04'!$C$238:$C$451,$C371,'TL04'!$J$238:$J$451),0),
IF('TL05'!$B$3=J$3,SUMIF('TL05'!$C$10:$C$224,$C371,'TL05'!$J$10:$J$224),0),
IF('TL05'!$B$229=J$3,SUMIF('TL05'!$C$238:$C$451,$C371,'TL05'!$J$238:$J$451),0),
IF('TL06'!$B$3=J$3,SUMIF('TL06'!$C$10:$C$224,$C371,'TL06'!$J$10:$J$224),0),
IF('TL06'!$B$229=J$3,SUMIF('TL06'!$C$238:$C$451,$C371,'TL06'!$J$238:$J$451),0),
IF('TL07'!$B$3=J$3,SUMIF('TL07'!$C$10:$C$224,$C371,'TL07'!$J$10:$J$224),0),
IF('TL07'!$B$229=J$3,SUMIF('TL07'!$C$238:$C$451,$C371,'TL07'!$J$238:$J$451),0),
IF('TL08'!$B$3=J$3,SUMIF('TL08'!$C$10:$C$224,$C371,'TL08'!$J$10:$J$224),0),
IF('TL08'!$B$229=J$3,SUMIF('TL08'!$C$238:$C$451,$C371,'TL08'!$J$238:$J$451),0),
IF('TL09'!$B$3=J$3,SUMIF('TL09'!$C$10:$C$224,$C371,'TL09'!$J$10:$J$224),0),
IF('TL09'!$B$229=J$3,SUMIF('TL09'!$C$238:$C$451,$C371,'TL09'!$J$238:$J$451),0),
IF('TL10'!$B$3=J$3,SUMIF('TL10'!$C$10:$C$224,$C371,'TL10'!$J$10:$J$224),0),
IF('TL10'!$B$229=J$3,SUMIF('TL10'!$C$238:$C$451,$C371,'TL10'!$J$238:$J$451),0),
IF('TL11'!$B$3=J$3,SUMIF('TL11'!$C$10:$C$224,$C371,'TL11'!$J$10:$J$224),0),
IF('TL11'!$B$229=J$3,SUMIF('TL11'!$C$238:$C$451,$C371,'TL11'!$J$238:$J$451),0),
IF('TL12'!$B$3=J$3,SUMIF('TL12'!$C$10:$C$224,$C371,'TL12'!$J$10:$J$224),0),
IF('TL12'!$B$229=J$3,SUMIF('TL12'!$C$238:$C$451,$C371,'TL12'!$J$238:$J$451),0),
IF('TL13'!$B$3=J$3,SUMIF('TL13'!$C$10:$C$224,$C371,'TL13'!$J$10:$J$224),0),
IF('TL13'!$B$229=J$3,SUMIF('TL13'!$C$238:$C$451,$C371,'TL13'!$J$238:$J$451),0),
IF('TL14'!$B$3=J$3,SUMIF('TL14'!$C$10:$C$224,$C371,'TL14'!$J$10:$J$224),0),
IF('TL14'!$B$229=J$3,SUMIF('TL14'!$C$238:$C$451,$C371,'TL14'!$J$238:$J$451),0),
IF('TL15'!$B$3=J$3,SUMIF('TL15'!$C$10:$C$224,$C371,'TL15'!$J$10:$J$224),0),
IF('TL15'!$B$229=J$3,SUMIF('TL15'!$C$238:$C$451,$C371,'TL15'!$J$238:$J$451),0),
IF('TL16'!$B$3=J$3,SUMIF('TL16'!$C$10:$C$224,$C371,'TL16'!$J$10:$J$224),0),
IF('TL16'!$B$229=J$3,SUMIF('TL16'!$C$238:$C$451,$C371,'TL16'!$J$238:$J$451),0),
IF('TL17'!$B$3=J$3,SUMIF('TL17'!$C$10:$C$224,$C371,'TL17'!$J$10:$J$224),0),
IF('TL17'!$B$229=J$3,SUMIF('TL17'!$C$238:$C$451,$C371,'TL17'!$J$238:$J$451),0),
IF('TL18'!$B$3=J$3,SUMIF('TL18'!$C$10:$C$224,$C371,'TL18'!$J$10:$J$224),0),
IF('TL18'!$B$229=J$3,SUMIF('TL18'!$C$238:$C$451,$C371,'TL18'!$J$238:$J$451),0),
IF('TL19'!$B$3=J$3,SUMIF('TL19'!$C$10:$C$224,$C371,'TL19'!$J$10:$J$224),0),
IF('TL19'!$B$229=J$3,SUMIF('TL19'!$C$238:$C$451,$C371,'TL19'!$J$238:$J$451),0)
),0)</f>
        <v/>
      </c>
      <c r="K371" s="9">
        <f>IFERROR(SUM(
IF('TL01'!$B$3=K$3,SUMIF('TL01'!$C$10:$C$224,$C371,'TL01'!$J$10:$J$224),0),
IF('TL01'!$B$229=K$3,SUMIF('TL01'!$C$238:$C$451,$C371,'TL01'!$J$238:$J$451),0),
IF('TL02'!$B$3=K$3,SUMIF('TL02'!$C$10:$C$224,$C371,'TL02'!$J$10:$J$224),0),
IF('TL02'!$B$229=K$3,SUMIF('TL02'!$C$238:$C$451,$C371,'TL02'!$J$238:$J$451),0),
IF('TL03'!$B$3=K$3,SUMIF('TL03'!$C$10:$C$224,$C371,'TL03'!$J$10:$J$224),0),
IF('TL03'!$B$229=K$3,SUMIF('TL03'!$C$238:$C$451,$C371,'TL03'!$J$238:$J$451),0),
IF('TL04'!$B$3=K$3,SUMIF('TL04'!$C$10:$C$224,$C371,'TL04'!$J$10:$J$224),0),
IF('TL04'!$B$229=K$3,SUMIF('TL04'!$C$238:$C$451,$C371,'TL04'!$J$238:$J$451),0),
IF('TL05'!$B$3=K$3,SUMIF('TL05'!$C$10:$C$224,$C371,'TL05'!$J$10:$J$224),0),
IF('TL05'!$B$229=K$3,SUMIF('TL05'!$C$238:$C$451,$C371,'TL05'!$J$238:$J$451),0),
IF('TL06'!$B$3=K$3,SUMIF('TL06'!$C$10:$C$224,$C371,'TL06'!$J$10:$J$224),0),
IF('TL06'!$B$229=K$3,SUMIF('TL06'!$C$238:$C$451,$C371,'TL06'!$J$238:$J$451),0),
IF('TL07'!$B$3=K$3,SUMIF('TL07'!$C$10:$C$224,$C371,'TL07'!$J$10:$J$224),0),
IF('TL07'!$B$229=K$3,SUMIF('TL07'!$C$238:$C$451,$C371,'TL07'!$J$238:$J$451),0),
IF('TL08'!$B$3=K$3,SUMIF('TL08'!$C$10:$C$224,$C371,'TL08'!$J$10:$J$224),0),
IF('TL08'!$B$229=K$3,SUMIF('TL08'!$C$238:$C$451,$C371,'TL08'!$J$238:$J$451),0),
IF('TL09'!$B$3=K$3,SUMIF('TL09'!$C$10:$C$224,$C371,'TL09'!$J$10:$J$224),0),
IF('TL09'!$B$229=K$3,SUMIF('TL09'!$C$238:$C$451,$C371,'TL09'!$J$238:$J$451),0),
IF('TL10'!$B$3=K$3,SUMIF('TL10'!$C$10:$C$224,$C371,'TL10'!$J$10:$J$224),0),
IF('TL10'!$B$229=K$3,SUMIF('TL10'!$C$238:$C$451,$C371,'TL10'!$J$238:$J$451),0),
IF('TL11'!$B$3=K$3,SUMIF('TL11'!$C$10:$C$224,$C371,'TL11'!$J$10:$J$224),0),
IF('TL11'!$B$229=K$3,SUMIF('TL11'!$C$238:$C$451,$C371,'TL11'!$J$238:$J$451),0),
IF('TL12'!$B$3=K$3,SUMIF('TL12'!$C$10:$C$224,$C371,'TL12'!$J$10:$J$224),0),
IF('TL12'!$B$229=K$3,SUMIF('TL12'!$C$238:$C$451,$C371,'TL12'!$J$238:$J$451),0),
IF('TL13'!$B$3=K$3,SUMIF('TL13'!$C$10:$C$224,$C371,'TL13'!$J$10:$J$224),0),
IF('TL13'!$B$229=K$3,SUMIF('TL13'!$C$238:$C$451,$C371,'TL13'!$J$238:$J$451),0),
IF('TL14'!$B$3=K$3,SUMIF('TL14'!$C$10:$C$224,$C371,'TL14'!$J$10:$J$224),0),
IF('TL14'!$B$229=K$3,SUMIF('TL14'!$C$238:$C$451,$C371,'TL14'!$J$238:$J$451),0),
IF('TL15'!$B$3=K$3,SUMIF('TL15'!$C$10:$C$224,$C371,'TL15'!$J$10:$J$224),0),
IF('TL15'!$B$229=K$3,SUMIF('TL15'!$C$238:$C$451,$C371,'TL15'!$J$238:$J$451),0),
IF('TL16'!$B$3=K$3,SUMIF('TL16'!$C$10:$C$224,$C371,'TL16'!$J$10:$J$224),0),
IF('TL16'!$B$229=K$3,SUMIF('TL16'!$C$238:$C$451,$C371,'TL16'!$J$238:$J$451),0),
IF('TL17'!$B$3=K$3,SUMIF('TL17'!$C$10:$C$224,$C371,'TL17'!$J$10:$J$224),0),
IF('TL17'!$B$229=K$3,SUMIF('TL17'!$C$238:$C$451,$C371,'TL17'!$J$238:$J$451),0),
IF('TL18'!$B$3=K$3,SUMIF('TL18'!$C$10:$C$224,$C371,'TL18'!$J$10:$J$224),0),
IF('TL18'!$B$229=K$3,SUMIF('TL18'!$C$238:$C$451,$C371,'TL18'!$J$238:$J$451),0),
IF('TL19'!$B$3=K$3,SUMIF('TL19'!$C$10:$C$224,$C371,'TL19'!$J$10:$J$224),0),
IF('TL19'!$B$229=K$3,SUMIF('TL19'!$C$238:$C$451,$C371,'TL19'!$J$238:$J$451),0)
),0)</f>
        <v/>
      </c>
      <c r="L371" s="9">
        <f>IFERROR(SUM(
IF('TL01'!$B$3=L$3,SUMIF('TL01'!$C$10:$C$224,$C371,'TL01'!$J$10:$J$224),0),
IF('TL01'!$B$229=L$3,SUMIF('TL01'!$C$238:$C$451,$C371,'TL01'!$J$238:$J$451),0),
IF('TL02'!$B$3=L$3,SUMIF('TL02'!$C$10:$C$224,$C371,'TL02'!$J$10:$J$224),0),
IF('TL02'!$B$229=L$3,SUMIF('TL02'!$C$238:$C$451,$C371,'TL02'!$J$238:$J$451),0),
IF('TL03'!$B$3=L$3,SUMIF('TL03'!$C$10:$C$224,$C371,'TL03'!$J$10:$J$224),0),
IF('TL03'!$B$229=L$3,SUMIF('TL03'!$C$238:$C$451,$C371,'TL03'!$J$238:$J$451),0),
IF('TL04'!$B$3=L$3,SUMIF('TL04'!$C$10:$C$224,$C371,'TL04'!$J$10:$J$224),0),
IF('TL04'!$B$229=L$3,SUMIF('TL04'!$C$238:$C$451,$C371,'TL04'!$J$238:$J$451),0),
IF('TL05'!$B$3=L$3,SUMIF('TL05'!$C$10:$C$224,$C371,'TL05'!$J$10:$J$224),0),
IF('TL05'!$B$229=L$3,SUMIF('TL05'!$C$238:$C$451,$C371,'TL05'!$J$238:$J$451),0),
IF('TL06'!$B$3=L$3,SUMIF('TL06'!$C$10:$C$224,$C371,'TL06'!$J$10:$J$224),0),
IF('TL06'!$B$229=L$3,SUMIF('TL06'!$C$238:$C$451,$C371,'TL06'!$J$238:$J$451),0),
IF('TL07'!$B$3=L$3,SUMIF('TL07'!$C$10:$C$224,$C371,'TL07'!$J$10:$J$224),0),
IF('TL07'!$B$229=L$3,SUMIF('TL07'!$C$238:$C$451,$C371,'TL07'!$J$238:$J$451),0),
IF('TL08'!$B$3=L$3,SUMIF('TL08'!$C$10:$C$224,$C371,'TL08'!$J$10:$J$224),0),
IF('TL08'!$B$229=L$3,SUMIF('TL08'!$C$238:$C$451,$C371,'TL08'!$J$238:$J$451),0),
IF('TL09'!$B$3=L$3,SUMIF('TL09'!$C$10:$C$224,$C371,'TL09'!$J$10:$J$224),0),
IF('TL09'!$B$229=L$3,SUMIF('TL09'!$C$238:$C$451,$C371,'TL09'!$J$238:$J$451),0),
IF('TL10'!$B$3=L$3,SUMIF('TL10'!$C$10:$C$224,$C371,'TL10'!$J$10:$J$224),0),
IF('TL10'!$B$229=L$3,SUMIF('TL10'!$C$238:$C$451,$C371,'TL10'!$J$238:$J$451),0),
IF('TL11'!$B$3=L$3,SUMIF('TL11'!$C$10:$C$224,$C371,'TL11'!$J$10:$J$224),0),
IF('TL11'!$B$229=L$3,SUMIF('TL11'!$C$238:$C$451,$C371,'TL11'!$J$238:$J$451),0),
IF('TL12'!$B$3=L$3,SUMIF('TL12'!$C$10:$C$224,$C371,'TL12'!$J$10:$J$224),0),
IF('TL12'!$B$229=L$3,SUMIF('TL12'!$C$238:$C$451,$C371,'TL12'!$J$238:$J$451),0),
IF('TL13'!$B$3=L$3,SUMIF('TL13'!$C$10:$C$224,$C371,'TL13'!$J$10:$J$224),0),
IF('TL13'!$B$229=L$3,SUMIF('TL13'!$C$238:$C$451,$C371,'TL13'!$J$238:$J$451),0),
IF('TL14'!$B$3=L$3,SUMIF('TL14'!$C$10:$C$224,$C371,'TL14'!$J$10:$J$224),0),
IF('TL14'!$B$229=L$3,SUMIF('TL14'!$C$238:$C$451,$C371,'TL14'!$J$238:$J$451),0),
IF('TL15'!$B$3=L$3,SUMIF('TL15'!$C$10:$C$224,$C371,'TL15'!$J$10:$J$224),0),
IF('TL15'!$B$229=L$3,SUMIF('TL15'!$C$238:$C$451,$C371,'TL15'!$J$238:$J$451),0),
IF('TL16'!$B$3=L$3,SUMIF('TL16'!$C$10:$C$224,$C371,'TL16'!$J$10:$J$224),0),
IF('TL16'!$B$229=L$3,SUMIF('TL16'!$C$238:$C$451,$C371,'TL16'!$J$238:$J$451),0),
IF('TL17'!$B$3=L$3,SUMIF('TL17'!$C$10:$C$224,$C371,'TL17'!$J$10:$J$224),0),
IF('TL17'!$B$229=L$3,SUMIF('TL17'!$C$238:$C$451,$C371,'TL17'!$J$238:$J$451),0),
IF('TL18'!$B$3=L$3,SUMIF('TL18'!$C$10:$C$224,$C371,'TL18'!$J$10:$J$224),0),
IF('TL18'!$B$229=L$3,SUMIF('TL18'!$C$238:$C$451,$C371,'TL18'!$J$238:$J$451),0),
IF('TL19'!$B$3=L$3,SUMIF('TL19'!$C$10:$C$224,$C371,'TL19'!$J$10:$J$224),0),
IF('TL19'!$B$229=L$3,SUMIF('TL19'!$C$238:$C$451,$C371,'TL19'!$J$238:$J$451),0)
),0)</f>
        <v/>
      </c>
      <c r="M371" s="9">
        <f>IFERROR(SUM(
IF('TL01'!$B$3=M$3,SUMIF('TL01'!$C$10:$C$224,$C371,'TL01'!$J$10:$J$224),0),
IF('TL01'!$B$229=M$3,SUMIF('TL01'!$C$238:$C$451,$C371,'TL01'!$J$238:$J$451),0),
IF('TL02'!$B$3=M$3,SUMIF('TL02'!$C$10:$C$224,$C371,'TL02'!$J$10:$J$224),0),
IF('TL02'!$B$229=M$3,SUMIF('TL02'!$C$238:$C$451,$C371,'TL02'!$J$238:$J$451),0),
IF('TL03'!$B$3=M$3,SUMIF('TL03'!$C$10:$C$224,$C371,'TL03'!$J$10:$J$224),0),
IF('TL03'!$B$229=M$3,SUMIF('TL03'!$C$238:$C$451,$C371,'TL03'!$J$238:$J$451),0),
IF('TL04'!$B$3=M$3,SUMIF('TL04'!$C$10:$C$224,$C371,'TL04'!$J$10:$J$224),0),
IF('TL04'!$B$229=M$3,SUMIF('TL04'!$C$238:$C$451,$C371,'TL04'!$J$238:$J$451),0),
IF('TL05'!$B$3=M$3,SUMIF('TL05'!$C$10:$C$224,$C371,'TL05'!$J$10:$J$224),0),
IF('TL05'!$B$229=M$3,SUMIF('TL05'!$C$238:$C$451,$C371,'TL05'!$J$238:$J$451),0),
IF('TL06'!$B$3=M$3,SUMIF('TL06'!$C$10:$C$224,$C371,'TL06'!$J$10:$J$224),0),
IF('TL06'!$B$229=M$3,SUMIF('TL06'!$C$238:$C$451,$C371,'TL06'!$J$238:$J$451),0),
IF('TL07'!$B$3=M$3,SUMIF('TL07'!$C$10:$C$224,$C371,'TL07'!$J$10:$J$224),0),
IF('TL07'!$B$229=M$3,SUMIF('TL07'!$C$238:$C$451,$C371,'TL07'!$J$238:$J$451),0),
IF('TL08'!$B$3=M$3,SUMIF('TL08'!$C$10:$C$224,$C371,'TL08'!$J$10:$J$224),0),
IF('TL08'!$B$229=M$3,SUMIF('TL08'!$C$238:$C$451,$C371,'TL08'!$J$238:$J$451),0),
IF('TL09'!$B$3=M$3,SUMIF('TL09'!$C$10:$C$224,$C371,'TL09'!$J$10:$J$224),0),
IF('TL09'!$B$229=M$3,SUMIF('TL09'!$C$238:$C$451,$C371,'TL09'!$J$238:$J$451),0),
IF('TL10'!$B$3=M$3,SUMIF('TL10'!$C$10:$C$224,$C371,'TL10'!$J$10:$J$224),0),
IF('TL10'!$B$229=M$3,SUMIF('TL10'!$C$238:$C$451,$C371,'TL10'!$J$238:$J$451),0),
IF('TL11'!$B$3=M$3,SUMIF('TL11'!$C$10:$C$224,$C371,'TL11'!$J$10:$J$224),0),
IF('TL11'!$B$229=M$3,SUMIF('TL11'!$C$238:$C$451,$C371,'TL11'!$J$238:$J$451),0),
IF('TL12'!$B$3=M$3,SUMIF('TL12'!$C$10:$C$224,$C371,'TL12'!$J$10:$J$224),0),
IF('TL12'!$B$229=M$3,SUMIF('TL12'!$C$238:$C$451,$C371,'TL12'!$J$238:$J$451),0),
IF('TL13'!$B$3=M$3,SUMIF('TL13'!$C$10:$C$224,$C371,'TL13'!$J$10:$J$224),0),
IF('TL13'!$B$229=M$3,SUMIF('TL13'!$C$238:$C$451,$C371,'TL13'!$J$238:$J$451),0),
IF('TL14'!$B$3=M$3,SUMIF('TL14'!$C$10:$C$224,$C371,'TL14'!$J$10:$J$224),0),
IF('TL14'!$B$229=M$3,SUMIF('TL14'!$C$238:$C$451,$C371,'TL14'!$J$238:$J$451),0),
IF('TL15'!$B$3=M$3,SUMIF('TL15'!$C$10:$C$224,$C371,'TL15'!$J$10:$J$224),0),
IF('TL15'!$B$229=M$3,SUMIF('TL15'!$C$238:$C$451,$C371,'TL15'!$J$238:$J$451),0),
IF('TL16'!$B$3=M$3,SUMIF('TL16'!$C$10:$C$224,$C371,'TL16'!$J$10:$J$224),0),
IF('TL16'!$B$229=M$3,SUMIF('TL16'!$C$238:$C$451,$C371,'TL16'!$J$238:$J$451),0),
IF('TL17'!$B$3=M$3,SUMIF('TL17'!$C$10:$C$224,$C371,'TL17'!$J$10:$J$224),0),
IF('TL17'!$B$229=M$3,SUMIF('TL17'!$C$238:$C$451,$C371,'TL17'!$J$238:$J$451),0),
IF('TL18'!$B$3=M$3,SUMIF('TL18'!$C$10:$C$224,$C371,'TL18'!$J$10:$J$224),0),
IF('TL18'!$B$229=M$3,SUMIF('TL18'!$C$238:$C$451,$C371,'TL18'!$J$238:$J$451),0),
IF('TL19'!$B$3=M$3,SUMIF('TL19'!$C$10:$C$224,$C371,'TL19'!$J$10:$J$224),0),
IF('TL19'!$B$229=M$3,SUMIF('TL19'!$C$238:$C$451,$C371,'TL19'!$J$238:$J$451),0)
),0)</f>
        <v/>
      </c>
      <c r="N371" s="9">
        <f>IFERROR(SUM(
IF('TL01'!$B$3=N$3,SUMIF('TL01'!$C$10:$C$224,$C371,'TL01'!$J$10:$J$224),0),
IF('TL01'!$B$229=N$3,SUMIF('TL01'!$C$238:$C$451,$C371,'TL01'!$J$238:$J$451),0),
IF('TL02'!$B$3=N$3,SUMIF('TL02'!$C$10:$C$224,$C371,'TL02'!$J$10:$J$224),0),
IF('TL02'!$B$229=N$3,SUMIF('TL02'!$C$238:$C$451,$C371,'TL02'!$J$238:$J$451),0),
IF('TL03'!$B$3=N$3,SUMIF('TL03'!$C$10:$C$224,$C371,'TL03'!$J$10:$J$224),0),
IF('TL03'!$B$229=N$3,SUMIF('TL03'!$C$238:$C$451,$C371,'TL03'!$J$238:$J$451),0),
IF('TL04'!$B$3=N$3,SUMIF('TL04'!$C$10:$C$224,$C371,'TL04'!$J$10:$J$224),0),
IF('TL04'!$B$229=N$3,SUMIF('TL04'!$C$238:$C$451,$C371,'TL04'!$J$238:$J$451),0),
IF('TL05'!$B$3=N$3,SUMIF('TL05'!$C$10:$C$224,$C371,'TL05'!$J$10:$J$224),0),
IF('TL05'!$B$229=N$3,SUMIF('TL05'!$C$238:$C$451,$C371,'TL05'!$J$238:$J$451),0),
IF('TL06'!$B$3=N$3,SUMIF('TL06'!$C$10:$C$224,$C371,'TL06'!$J$10:$J$224),0),
IF('TL06'!$B$229=N$3,SUMIF('TL06'!$C$238:$C$451,$C371,'TL06'!$J$238:$J$451),0),
IF('TL07'!$B$3=N$3,SUMIF('TL07'!$C$10:$C$224,$C371,'TL07'!$J$10:$J$224),0),
IF('TL07'!$B$229=N$3,SUMIF('TL07'!$C$238:$C$451,$C371,'TL07'!$J$238:$J$451),0),
IF('TL08'!$B$3=N$3,SUMIF('TL08'!$C$10:$C$224,$C371,'TL08'!$J$10:$J$224),0),
IF('TL08'!$B$229=N$3,SUMIF('TL08'!$C$238:$C$451,$C371,'TL08'!$J$238:$J$451),0),
IF('TL09'!$B$3=N$3,SUMIF('TL09'!$C$10:$C$224,$C371,'TL09'!$J$10:$J$224),0),
IF('TL09'!$B$229=N$3,SUMIF('TL09'!$C$238:$C$451,$C371,'TL09'!$J$238:$J$451),0),
IF('TL10'!$B$3=N$3,SUMIF('TL10'!$C$10:$C$224,$C371,'TL10'!$J$10:$J$224),0),
IF('TL10'!$B$229=N$3,SUMIF('TL10'!$C$238:$C$451,$C371,'TL10'!$J$238:$J$451),0),
IF('TL11'!$B$3=N$3,SUMIF('TL11'!$C$10:$C$224,$C371,'TL11'!$J$10:$J$224),0),
IF('TL11'!$B$229=N$3,SUMIF('TL11'!$C$238:$C$451,$C371,'TL11'!$J$238:$J$451),0),
IF('TL12'!$B$3=N$3,SUMIF('TL12'!$C$10:$C$224,$C371,'TL12'!$J$10:$J$224),0),
IF('TL12'!$B$229=N$3,SUMIF('TL12'!$C$238:$C$451,$C371,'TL12'!$J$238:$J$451),0),
IF('TL13'!$B$3=N$3,SUMIF('TL13'!$C$10:$C$224,$C371,'TL13'!$J$10:$J$224),0),
IF('TL13'!$B$229=N$3,SUMIF('TL13'!$C$238:$C$451,$C371,'TL13'!$J$238:$J$451),0),
IF('TL14'!$B$3=N$3,SUMIF('TL14'!$C$10:$C$224,$C371,'TL14'!$J$10:$J$224),0),
IF('TL14'!$B$229=N$3,SUMIF('TL14'!$C$238:$C$451,$C371,'TL14'!$J$238:$J$451),0),
IF('TL15'!$B$3=N$3,SUMIF('TL15'!$C$10:$C$224,$C371,'TL15'!$J$10:$J$224),0),
IF('TL15'!$B$229=N$3,SUMIF('TL15'!$C$238:$C$451,$C371,'TL15'!$J$238:$J$451),0),
IF('TL16'!$B$3=N$3,SUMIF('TL16'!$C$10:$C$224,$C371,'TL16'!$J$10:$J$224),0),
IF('TL16'!$B$229=N$3,SUMIF('TL16'!$C$238:$C$451,$C371,'TL16'!$J$238:$J$451),0),
IF('TL17'!$B$3=N$3,SUMIF('TL17'!$C$10:$C$224,$C371,'TL17'!$J$10:$J$224),0),
IF('TL17'!$B$229=N$3,SUMIF('TL17'!$C$238:$C$451,$C371,'TL17'!$J$238:$J$451),0),
IF('TL18'!$B$3=N$3,SUMIF('TL18'!$C$10:$C$224,$C371,'TL18'!$J$10:$J$224),0),
IF('TL18'!$B$229=N$3,SUMIF('TL18'!$C$238:$C$451,$C371,'TL18'!$J$238:$J$451),0),
IF('TL19'!$B$3=N$3,SUMIF('TL19'!$C$10:$C$224,$C371,'TL19'!$J$10:$J$224),0),
IF('TL19'!$B$229=N$3,SUMIF('TL19'!$C$238:$C$451,$C371,'TL19'!$J$238:$J$451),0)
),0)</f>
        <v/>
      </c>
      <c r="O371" s="9">
        <f>IFERROR(SUM(
IF('TL01'!$B$3=O$3,SUMIF('TL01'!$C$10:$C$224,$C371,'TL01'!$J$10:$J$224),0),
IF('TL01'!$B$229=O$3,SUMIF('TL01'!$C$238:$C$451,$C371,'TL01'!$J$238:$J$451),0),
IF('TL02'!$B$3=O$3,SUMIF('TL02'!$C$10:$C$224,$C371,'TL02'!$J$10:$J$224),0),
IF('TL02'!$B$229=O$3,SUMIF('TL02'!$C$238:$C$451,$C371,'TL02'!$J$238:$J$451),0),
IF('TL03'!$B$3=O$3,SUMIF('TL03'!$C$10:$C$224,$C371,'TL03'!$J$10:$J$224),0),
IF('TL03'!$B$229=O$3,SUMIF('TL03'!$C$238:$C$451,$C371,'TL03'!$J$238:$J$451),0),
IF('TL04'!$B$3=O$3,SUMIF('TL04'!$C$10:$C$224,$C371,'TL04'!$J$10:$J$224),0),
IF('TL04'!$B$229=O$3,SUMIF('TL04'!$C$238:$C$451,$C371,'TL04'!$J$238:$J$451),0),
IF('TL05'!$B$3=O$3,SUMIF('TL05'!$C$10:$C$224,$C371,'TL05'!$J$10:$J$224),0),
IF('TL05'!$B$229=O$3,SUMIF('TL05'!$C$238:$C$451,$C371,'TL05'!$J$238:$J$451),0),
IF('TL06'!$B$3=O$3,SUMIF('TL06'!$C$10:$C$224,$C371,'TL06'!$J$10:$J$224),0),
IF('TL06'!$B$229=O$3,SUMIF('TL06'!$C$238:$C$451,$C371,'TL06'!$J$238:$J$451),0),
IF('TL07'!$B$3=O$3,SUMIF('TL07'!$C$10:$C$224,$C371,'TL07'!$J$10:$J$224),0),
IF('TL07'!$B$229=O$3,SUMIF('TL07'!$C$238:$C$451,$C371,'TL07'!$J$238:$J$451),0),
IF('TL08'!$B$3=O$3,SUMIF('TL08'!$C$10:$C$224,$C371,'TL08'!$J$10:$J$224),0),
IF('TL08'!$B$229=O$3,SUMIF('TL08'!$C$238:$C$451,$C371,'TL08'!$J$238:$J$451),0),
IF('TL09'!$B$3=O$3,SUMIF('TL09'!$C$10:$C$224,$C371,'TL09'!$J$10:$J$224),0),
IF('TL09'!$B$229=O$3,SUMIF('TL09'!$C$238:$C$451,$C371,'TL09'!$J$238:$J$451),0),
IF('TL10'!$B$3=O$3,SUMIF('TL10'!$C$10:$C$224,$C371,'TL10'!$J$10:$J$224),0),
IF('TL10'!$B$229=O$3,SUMIF('TL10'!$C$238:$C$451,$C371,'TL10'!$J$238:$J$451),0),
IF('TL11'!$B$3=O$3,SUMIF('TL11'!$C$10:$C$224,$C371,'TL11'!$J$10:$J$224),0),
IF('TL11'!$B$229=O$3,SUMIF('TL11'!$C$238:$C$451,$C371,'TL11'!$J$238:$J$451),0),
IF('TL12'!$B$3=O$3,SUMIF('TL12'!$C$10:$C$224,$C371,'TL12'!$J$10:$J$224),0),
IF('TL12'!$B$229=O$3,SUMIF('TL12'!$C$238:$C$451,$C371,'TL12'!$J$238:$J$451),0),
IF('TL13'!$B$3=O$3,SUMIF('TL13'!$C$10:$C$224,$C371,'TL13'!$J$10:$J$224),0),
IF('TL13'!$B$229=O$3,SUMIF('TL13'!$C$238:$C$451,$C371,'TL13'!$J$238:$J$451),0),
IF('TL14'!$B$3=O$3,SUMIF('TL14'!$C$10:$C$224,$C371,'TL14'!$J$10:$J$224),0),
IF('TL14'!$B$229=O$3,SUMIF('TL14'!$C$238:$C$451,$C371,'TL14'!$J$238:$J$451),0),
IF('TL15'!$B$3=O$3,SUMIF('TL15'!$C$10:$C$224,$C371,'TL15'!$J$10:$J$224),0),
IF('TL15'!$B$229=O$3,SUMIF('TL15'!$C$238:$C$451,$C371,'TL15'!$J$238:$J$451),0),
IF('TL16'!$B$3=O$3,SUMIF('TL16'!$C$10:$C$224,$C371,'TL16'!$J$10:$J$224),0),
IF('TL16'!$B$229=O$3,SUMIF('TL16'!$C$238:$C$451,$C371,'TL16'!$J$238:$J$451),0),
IF('TL17'!$B$3=O$3,SUMIF('TL17'!$C$10:$C$224,$C371,'TL17'!$J$10:$J$224),0),
IF('TL17'!$B$229=O$3,SUMIF('TL17'!$C$238:$C$451,$C371,'TL17'!$J$238:$J$451),0),
IF('TL18'!$B$3=O$3,SUMIF('TL18'!$C$10:$C$224,$C371,'TL18'!$J$10:$J$224),0),
IF('TL18'!$B$229=O$3,SUMIF('TL18'!$C$238:$C$451,$C371,'TL18'!$J$238:$J$451),0),
IF('TL19'!$B$3=O$3,SUMIF('TL19'!$C$10:$C$224,$C371,'TL19'!$J$10:$J$224),0),
IF('TL19'!$B$229=O$3,SUMIF('TL19'!$C$238:$C$451,$C371,'TL19'!$J$238:$J$451),0)
),0)</f>
        <v/>
      </c>
      <c r="P371" s="9">
        <f>IFERROR(SUM(
IF('TL01'!$B$3=P$3,SUMIF('TL01'!$C$10:$C$224,$C371,'TL01'!$J$10:$J$224),0),
IF('TL01'!$B$229=P$3,SUMIF('TL01'!$C$238:$C$451,$C371,'TL01'!$J$238:$J$451),0),
IF('TL02'!$B$3=P$3,SUMIF('TL02'!$C$10:$C$224,$C371,'TL02'!$J$10:$J$224),0),
IF('TL02'!$B$229=P$3,SUMIF('TL02'!$C$238:$C$451,$C371,'TL02'!$J$238:$J$451),0),
IF('TL03'!$B$3=P$3,SUMIF('TL03'!$C$10:$C$224,$C371,'TL03'!$J$10:$J$224),0),
IF('TL03'!$B$229=P$3,SUMIF('TL03'!$C$238:$C$451,$C371,'TL03'!$J$238:$J$451),0),
IF('TL04'!$B$3=P$3,SUMIF('TL04'!$C$10:$C$224,$C371,'TL04'!$J$10:$J$224),0),
IF('TL04'!$B$229=P$3,SUMIF('TL04'!$C$238:$C$451,$C371,'TL04'!$J$238:$J$451),0),
IF('TL05'!$B$3=P$3,SUMIF('TL05'!$C$10:$C$224,$C371,'TL05'!$J$10:$J$224),0),
IF('TL05'!$B$229=P$3,SUMIF('TL05'!$C$238:$C$451,$C371,'TL05'!$J$238:$J$451),0),
IF('TL06'!$B$3=P$3,SUMIF('TL06'!$C$10:$C$224,$C371,'TL06'!$J$10:$J$224),0),
IF('TL06'!$B$229=P$3,SUMIF('TL06'!$C$238:$C$451,$C371,'TL06'!$J$238:$J$451),0),
IF('TL07'!$B$3=P$3,SUMIF('TL07'!$C$10:$C$224,$C371,'TL07'!$J$10:$J$224),0),
IF('TL07'!$B$229=P$3,SUMIF('TL07'!$C$238:$C$451,$C371,'TL07'!$J$238:$J$451),0),
IF('TL08'!$B$3=P$3,SUMIF('TL08'!$C$10:$C$224,$C371,'TL08'!$J$10:$J$224),0),
IF('TL08'!$B$229=P$3,SUMIF('TL08'!$C$238:$C$451,$C371,'TL08'!$J$238:$J$451),0),
IF('TL09'!$B$3=P$3,SUMIF('TL09'!$C$10:$C$224,$C371,'TL09'!$J$10:$J$224),0),
IF('TL09'!$B$229=P$3,SUMIF('TL09'!$C$238:$C$451,$C371,'TL09'!$J$238:$J$451),0),
IF('TL10'!$B$3=P$3,SUMIF('TL10'!$C$10:$C$224,$C371,'TL10'!$J$10:$J$224),0),
IF('TL10'!$B$229=P$3,SUMIF('TL10'!$C$238:$C$451,$C371,'TL10'!$J$238:$J$451),0),
IF('TL11'!$B$3=P$3,SUMIF('TL11'!$C$10:$C$224,$C371,'TL11'!$J$10:$J$224),0),
IF('TL11'!$B$229=P$3,SUMIF('TL11'!$C$238:$C$451,$C371,'TL11'!$J$238:$J$451),0),
IF('TL12'!$B$3=P$3,SUMIF('TL12'!$C$10:$C$224,$C371,'TL12'!$J$10:$J$224),0),
IF('TL12'!$B$229=P$3,SUMIF('TL12'!$C$238:$C$451,$C371,'TL12'!$J$238:$J$451),0),
IF('TL13'!$B$3=P$3,SUMIF('TL13'!$C$10:$C$224,$C371,'TL13'!$J$10:$J$224),0),
IF('TL13'!$B$229=P$3,SUMIF('TL13'!$C$238:$C$451,$C371,'TL13'!$J$238:$J$451),0),
IF('TL14'!$B$3=P$3,SUMIF('TL14'!$C$10:$C$224,$C371,'TL14'!$J$10:$J$224),0),
IF('TL14'!$B$229=P$3,SUMIF('TL14'!$C$238:$C$451,$C371,'TL14'!$J$238:$J$451),0),
IF('TL15'!$B$3=P$3,SUMIF('TL15'!$C$10:$C$224,$C371,'TL15'!$J$10:$J$224),0),
IF('TL15'!$B$229=P$3,SUMIF('TL15'!$C$238:$C$451,$C371,'TL15'!$J$238:$J$451),0),
IF('TL16'!$B$3=P$3,SUMIF('TL16'!$C$10:$C$224,$C371,'TL16'!$J$10:$J$224),0),
IF('TL16'!$B$229=P$3,SUMIF('TL16'!$C$238:$C$451,$C371,'TL16'!$J$238:$J$451),0),
IF('TL17'!$B$3=P$3,SUMIF('TL17'!$C$10:$C$224,$C371,'TL17'!$J$10:$J$224),0),
IF('TL17'!$B$229=P$3,SUMIF('TL17'!$C$238:$C$451,$C371,'TL17'!$J$238:$J$451),0),
IF('TL18'!$B$3=P$3,SUMIF('TL18'!$C$10:$C$224,$C371,'TL18'!$J$10:$J$224),0),
IF('TL18'!$B$229=P$3,SUMIF('TL18'!$C$238:$C$451,$C371,'TL18'!$J$238:$J$451),0),
IF('TL19'!$B$3=P$3,SUMIF('TL19'!$C$10:$C$224,$C371,'TL19'!$J$10:$J$224),0),
IF('TL19'!$B$229=P$3,SUMIF('TL19'!$C$238:$C$451,$C371,'TL19'!$J$238:$J$451),0)
),0)</f>
        <v/>
      </c>
      <c r="Q371" s="9">
        <f>IFERROR(SUM(
IF('TL01'!$B$3=Q$3,SUMIF('TL01'!$C$10:$C$224,$C371,'TL01'!$J$10:$J$224),0),
IF('TL01'!$B$229=Q$3,SUMIF('TL01'!$C$238:$C$451,$C371,'TL01'!$J$238:$J$451),0),
IF('TL02'!$B$3=Q$3,SUMIF('TL02'!$C$10:$C$224,$C371,'TL02'!$J$10:$J$224),0),
IF('TL02'!$B$229=Q$3,SUMIF('TL02'!$C$238:$C$451,$C371,'TL02'!$J$238:$J$451),0),
IF('TL03'!$B$3=Q$3,SUMIF('TL03'!$C$10:$C$224,$C371,'TL03'!$J$10:$J$224),0),
IF('TL03'!$B$229=Q$3,SUMIF('TL03'!$C$238:$C$451,$C371,'TL03'!$J$238:$J$451),0),
IF('TL04'!$B$3=Q$3,SUMIF('TL04'!$C$10:$C$224,$C371,'TL04'!$J$10:$J$224),0),
IF('TL04'!$B$229=Q$3,SUMIF('TL04'!$C$238:$C$451,$C371,'TL04'!$J$238:$J$451),0),
IF('TL05'!$B$3=Q$3,SUMIF('TL05'!$C$10:$C$224,$C371,'TL05'!$J$10:$J$224),0),
IF('TL05'!$B$229=Q$3,SUMIF('TL05'!$C$238:$C$451,$C371,'TL05'!$J$238:$J$451),0),
IF('TL06'!$B$3=Q$3,SUMIF('TL06'!$C$10:$C$224,$C371,'TL06'!$J$10:$J$224),0),
IF('TL06'!$B$229=Q$3,SUMIF('TL06'!$C$238:$C$451,$C371,'TL06'!$J$238:$J$451),0),
IF('TL07'!$B$3=Q$3,SUMIF('TL07'!$C$10:$C$224,$C371,'TL07'!$J$10:$J$224),0),
IF('TL07'!$B$229=Q$3,SUMIF('TL07'!$C$238:$C$451,$C371,'TL07'!$J$238:$J$451),0),
IF('TL08'!$B$3=Q$3,SUMIF('TL08'!$C$10:$C$224,$C371,'TL08'!$J$10:$J$224),0),
IF('TL08'!$B$229=Q$3,SUMIF('TL08'!$C$238:$C$451,$C371,'TL08'!$J$238:$J$451),0),
IF('TL09'!$B$3=Q$3,SUMIF('TL09'!$C$10:$C$224,$C371,'TL09'!$J$10:$J$224),0),
IF('TL09'!$B$229=Q$3,SUMIF('TL09'!$C$238:$C$451,$C371,'TL09'!$J$238:$J$451),0),
IF('TL10'!$B$3=Q$3,SUMIF('TL10'!$C$10:$C$224,$C371,'TL10'!$J$10:$J$224),0),
IF('TL10'!$B$229=Q$3,SUMIF('TL10'!$C$238:$C$451,$C371,'TL10'!$J$238:$J$451),0),
IF('TL11'!$B$3=Q$3,SUMIF('TL11'!$C$10:$C$224,$C371,'TL11'!$J$10:$J$224),0),
IF('TL11'!$B$229=Q$3,SUMIF('TL11'!$C$238:$C$451,$C371,'TL11'!$J$238:$J$451),0),
IF('TL12'!$B$3=Q$3,SUMIF('TL12'!$C$10:$C$224,$C371,'TL12'!$J$10:$J$224),0),
IF('TL12'!$B$229=Q$3,SUMIF('TL12'!$C$238:$C$451,$C371,'TL12'!$J$238:$J$451),0),
IF('TL13'!$B$3=Q$3,SUMIF('TL13'!$C$10:$C$224,$C371,'TL13'!$J$10:$J$224),0),
IF('TL13'!$B$229=Q$3,SUMIF('TL13'!$C$238:$C$451,$C371,'TL13'!$J$238:$J$451),0),
IF('TL14'!$B$3=Q$3,SUMIF('TL14'!$C$10:$C$224,$C371,'TL14'!$J$10:$J$224),0),
IF('TL14'!$B$229=Q$3,SUMIF('TL14'!$C$238:$C$451,$C371,'TL14'!$J$238:$J$451),0),
IF('TL15'!$B$3=Q$3,SUMIF('TL15'!$C$10:$C$224,$C371,'TL15'!$J$10:$J$224),0),
IF('TL15'!$B$229=Q$3,SUMIF('TL15'!$C$238:$C$451,$C371,'TL15'!$J$238:$J$451),0),
IF('TL16'!$B$3=Q$3,SUMIF('TL16'!$C$10:$C$224,$C371,'TL16'!$J$10:$J$224),0),
IF('TL16'!$B$229=Q$3,SUMIF('TL16'!$C$238:$C$451,$C371,'TL16'!$J$238:$J$451),0),
IF('TL17'!$B$3=Q$3,SUMIF('TL17'!$C$10:$C$224,$C371,'TL17'!$J$10:$J$224),0),
IF('TL17'!$B$229=Q$3,SUMIF('TL17'!$C$238:$C$451,$C371,'TL17'!$J$238:$J$451),0),
IF('TL18'!$B$3=Q$3,SUMIF('TL18'!$C$10:$C$224,$C371,'TL18'!$J$10:$J$224),0),
IF('TL18'!$B$229=Q$3,SUMIF('TL18'!$C$238:$C$451,$C371,'TL18'!$J$238:$J$451),0),
IF('TL19'!$B$3=Q$3,SUMIF('TL19'!$C$10:$C$224,$C371,'TL19'!$J$10:$J$224),0),
IF('TL19'!$B$229=Q$3,SUMIF('TL19'!$C$238:$C$451,$C371,'TL19'!$J$238:$J$451),0)
),0)</f>
        <v/>
      </c>
      <c r="R371" s="9">
        <f>IFERROR(
SUM(
SUMIF('TL01'!C:C,C371,'TL01'!J:J),
SUMIF('TL02'!C:C,C371,'TL02'!J:J),
SUMIF('TL03'!C:C,C371,'TL03'!J:J),
SUMIF('TL04'!C:C,C371,'TL04'!J:J),
SUMIF('TL05'!C:C,C371,'TL05'!J:J),
SUMIF('TL06'!C:C,C371,'TL06'!J:J),
SUMIF('TL07'!C:C,C371,'TL07'!J:J),
SUMIF('TL08'!C:C,C371,'TL08'!J:J),
SUMIF('TL09'!C:C,C371,'TL09'!J:J),
SUMIF('TL10'!C:C,C371,'TL10'!J:J),
SUMIF('TL11'!C:C,C371,'TL11'!J:J),
SUMIF('TL12'!C:C,C371,'TL12'!J:J),
SUMIF('TL13'!C:C,C371,'TL13'!J:J),
SUMIF('TL14'!C:C,C371,'TL14'!J:J),
SUMIF('TL15'!C:C,C371,'TL15'!J:J),
SUMIF('TL16'!C:C,C371,'TL16'!J:J),
SUMIF('TL17'!C:C,C371,'TL17'!J:J),
SUMIF('TL18'!C:C,C371,'TL18'!J:J),SUMIF('TL19'!C:C,C371,'TL19'!J:J))
,0)</f>
        <v/>
      </c>
      <c r="S371" s="17">
        <f>IFERROR(__xludf.DUMMYFUNCTION("IFERROR(VLOOKUP(C371,
IMPORTRANGE(""1wULbzX32WdYsx-lj2U3uUNBBe2INVIRDtcK0d-Dvl90"",
""26-27!C:G""),
5,
FALSE),
"""")"),30.16)</f>
        <v/>
      </c>
      <c r="T371" s="9" t="n"/>
      <c r="U371" s="92">
        <f>MAX(0,R371-T371)</f>
        <v/>
      </c>
      <c r="V371" s="93">
        <f>U371*S371</f>
        <v/>
      </c>
    </row>
    <row r="372" hidden="1" ht="15.75" customHeight="1" s="297">
      <c r="A372" s="4" t="inlineStr">
        <is>
          <t>SOLUBIO</t>
        </is>
      </c>
      <c r="B372" s="4" t="inlineStr">
        <is>
          <t>BIOLÓGICOS</t>
        </is>
      </c>
      <c r="C372" s="126" t="inlineStr">
        <is>
          <t>Essencial Mg</t>
        </is>
      </c>
      <c r="D372" s="127" t="inlineStr">
        <is>
          <t>Nutrifarm</t>
        </is>
      </c>
      <c r="E372" s="20" t="n"/>
      <c r="F372" s="4" t="n"/>
      <c r="G372" s="90">
        <f>HYPERLINK("https://www.google.com/search?q=" &amp; C372 &amp; "+bula+agrofit+pdf", "📄 Ver bula")</f>
        <v/>
      </c>
      <c r="H372" s="9" t="n"/>
      <c r="I372" s="123" t="n"/>
      <c r="J372" s="9">
        <f>IFERROR(SUM(
IF('TL01'!$B$3=J$3,SUMIF('TL01'!$C$10:$C$224,$C372,'TL01'!$J$10:$J$224),0),
IF('TL01'!$B$229=J$3,SUMIF('TL01'!$C$238:$C$451,$C372,'TL01'!$J$238:$J$451),0),
IF('TL02'!$B$3=J$3,SUMIF('TL02'!$C$10:$C$224,$C372,'TL02'!$J$10:$J$224),0),
IF('TL02'!$B$229=J$3,SUMIF('TL02'!$C$238:$C$451,$C372,'TL02'!$J$238:$J$451),0),
IF('TL03'!$B$3=J$3,SUMIF('TL03'!$C$10:$C$224,$C372,'TL03'!$J$10:$J$224),0),
IF('TL03'!$B$229=J$3,SUMIF('TL03'!$C$238:$C$451,$C372,'TL03'!$J$238:$J$451),0),
IF('TL04'!$B$3=J$3,SUMIF('TL04'!$C$10:$C$224,$C372,'TL04'!$J$10:$J$224),0),
IF('TL04'!$B$229=J$3,SUMIF('TL04'!$C$238:$C$451,$C372,'TL04'!$J$238:$J$451),0),
IF('TL05'!$B$3=J$3,SUMIF('TL05'!$C$10:$C$224,$C372,'TL05'!$J$10:$J$224),0),
IF('TL05'!$B$229=J$3,SUMIF('TL05'!$C$238:$C$451,$C372,'TL05'!$J$238:$J$451),0),
IF('TL06'!$B$3=J$3,SUMIF('TL06'!$C$10:$C$224,$C372,'TL06'!$J$10:$J$224),0),
IF('TL06'!$B$229=J$3,SUMIF('TL06'!$C$238:$C$451,$C372,'TL06'!$J$238:$J$451),0),
IF('TL07'!$B$3=J$3,SUMIF('TL07'!$C$10:$C$224,$C372,'TL07'!$J$10:$J$224),0),
IF('TL07'!$B$229=J$3,SUMIF('TL07'!$C$238:$C$451,$C372,'TL07'!$J$238:$J$451),0),
IF('TL08'!$B$3=J$3,SUMIF('TL08'!$C$10:$C$224,$C372,'TL08'!$J$10:$J$224),0),
IF('TL08'!$B$229=J$3,SUMIF('TL08'!$C$238:$C$451,$C372,'TL08'!$J$238:$J$451),0),
IF('TL09'!$B$3=J$3,SUMIF('TL09'!$C$10:$C$224,$C372,'TL09'!$J$10:$J$224),0),
IF('TL09'!$B$229=J$3,SUMIF('TL09'!$C$238:$C$451,$C372,'TL09'!$J$238:$J$451),0),
IF('TL10'!$B$3=J$3,SUMIF('TL10'!$C$10:$C$224,$C372,'TL10'!$J$10:$J$224),0),
IF('TL10'!$B$229=J$3,SUMIF('TL10'!$C$238:$C$451,$C372,'TL10'!$J$238:$J$451),0),
IF('TL11'!$B$3=J$3,SUMIF('TL11'!$C$10:$C$224,$C372,'TL11'!$J$10:$J$224),0),
IF('TL11'!$B$229=J$3,SUMIF('TL11'!$C$238:$C$451,$C372,'TL11'!$J$238:$J$451),0),
IF('TL12'!$B$3=J$3,SUMIF('TL12'!$C$10:$C$224,$C372,'TL12'!$J$10:$J$224),0),
IF('TL12'!$B$229=J$3,SUMIF('TL12'!$C$238:$C$451,$C372,'TL12'!$J$238:$J$451),0),
IF('TL13'!$B$3=J$3,SUMIF('TL13'!$C$10:$C$224,$C372,'TL13'!$J$10:$J$224),0),
IF('TL13'!$B$229=J$3,SUMIF('TL13'!$C$238:$C$451,$C372,'TL13'!$J$238:$J$451),0),
IF('TL14'!$B$3=J$3,SUMIF('TL14'!$C$10:$C$224,$C372,'TL14'!$J$10:$J$224),0),
IF('TL14'!$B$229=J$3,SUMIF('TL14'!$C$238:$C$451,$C372,'TL14'!$J$238:$J$451),0),
IF('TL15'!$B$3=J$3,SUMIF('TL15'!$C$10:$C$224,$C372,'TL15'!$J$10:$J$224),0),
IF('TL15'!$B$229=J$3,SUMIF('TL15'!$C$238:$C$451,$C372,'TL15'!$J$238:$J$451),0),
IF('TL16'!$B$3=J$3,SUMIF('TL16'!$C$10:$C$224,$C372,'TL16'!$J$10:$J$224),0),
IF('TL16'!$B$229=J$3,SUMIF('TL16'!$C$238:$C$451,$C372,'TL16'!$J$238:$J$451),0),
IF('TL17'!$B$3=J$3,SUMIF('TL17'!$C$10:$C$224,$C372,'TL17'!$J$10:$J$224),0),
IF('TL17'!$B$229=J$3,SUMIF('TL17'!$C$238:$C$451,$C372,'TL17'!$J$238:$J$451),0),
IF('TL18'!$B$3=J$3,SUMIF('TL18'!$C$10:$C$224,$C372,'TL18'!$J$10:$J$224),0),
IF('TL18'!$B$229=J$3,SUMIF('TL18'!$C$238:$C$451,$C372,'TL18'!$J$238:$J$451),0),
IF('TL19'!$B$3=J$3,SUMIF('TL19'!$C$10:$C$224,$C372,'TL19'!$J$10:$J$224),0),
IF('TL19'!$B$229=J$3,SUMIF('TL19'!$C$238:$C$451,$C372,'TL19'!$J$238:$J$451),0)
),0)</f>
        <v/>
      </c>
      <c r="K372" s="9">
        <f>IFERROR(SUM(
IF('TL01'!$B$3=K$3,SUMIF('TL01'!$C$10:$C$224,$C372,'TL01'!$J$10:$J$224),0),
IF('TL01'!$B$229=K$3,SUMIF('TL01'!$C$238:$C$451,$C372,'TL01'!$J$238:$J$451),0),
IF('TL02'!$B$3=K$3,SUMIF('TL02'!$C$10:$C$224,$C372,'TL02'!$J$10:$J$224),0),
IF('TL02'!$B$229=K$3,SUMIF('TL02'!$C$238:$C$451,$C372,'TL02'!$J$238:$J$451),0),
IF('TL03'!$B$3=K$3,SUMIF('TL03'!$C$10:$C$224,$C372,'TL03'!$J$10:$J$224),0),
IF('TL03'!$B$229=K$3,SUMIF('TL03'!$C$238:$C$451,$C372,'TL03'!$J$238:$J$451),0),
IF('TL04'!$B$3=K$3,SUMIF('TL04'!$C$10:$C$224,$C372,'TL04'!$J$10:$J$224),0),
IF('TL04'!$B$229=K$3,SUMIF('TL04'!$C$238:$C$451,$C372,'TL04'!$J$238:$J$451),0),
IF('TL05'!$B$3=K$3,SUMIF('TL05'!$C$10:$C$224,$C372,'TL05'!$J$10:$J$224),0),
IF('TL05'!$B$229=K$3,SUMIF('TL05'!$C$238:$C$451,$C372,'TL05'!$J$238:$J$451),0),
IF('TL06'!$B$3=K$3,SUMIF('TL06'!$C$10:$C$224,$C372,'TL06'!$J$10:$J$224),0),
IF('TL06'!$B$229=K$3,SUMIF('TL06'!$C$238:$C$451,$C372,'TL06'!$J$238:$J$451),0),
IF('TL07'!$B$3=K$3,SUMIF('TL07'!$C$10:$C$224,$C372,'TL07'!$J$10:$J$224),0),
IF('TL07'!$B$229=K$3,SUMIF('TL07'!$C$238:$C$451,$C372,'TL07'!$J$238:$J$451),0),
IF('TL08'!$B$3=K$3,SUMIF('TL08'!$C$10:$C$224,$C372,'TL08'!$J$10:$J$224),0),
IF('TL08'!$B$229=K$3,SUMIF('TL08'!$C$238:$C$451,$C372,'TL08'!$J$238:$J$451),0),
IF('TL09'!$B$3=K$3,SUMIF('TL09'!$C$10:$C$224,$C372,'TL09'!$J$10:$J$224),0),
IF('TL09'!$B$229=K$3,SUMIF('TL09'!$C$238:$C$451,$C372,'TL09'!$J$238:$J$451),0),
IF('TL10'!$B$3=K$3,SUMIF('TL10'!$C$10:$C$224,$C372,'TL10'!$J$10:$J$224),0),
IF('TL10'!$B$229=K$3,SUMIF('TL10'!$C$238:$C$451,$C372,'TL10'!$J$238:$J$451),0),
IF('TL11'!$B$3=K$3,SUMIF('TL11'!$C$10:$C$224,$C372,'TL11'!$J$10:$J$224),0),
IF('TL11'!$B$229=K$3,SUMIF('TL11'!$C$238:$C$451,$C372,'TL11'!$J$238:$J$451),0),
IF('TL12'!$B$3=K$3,SUMIF('TL12'!$C$10:$C$224,$C372,'TL12'!$J$10:$J$224),0),
IF('TL12'!$B$229=K$3,SUMIF('TL12'!$C$238:$C$451,$C372,'TL12'!$J$238:$J$451),0),
IF('TL13'!$B$3=K$3,SUMIF('TL13'!$C$10:$C$224,$C372,'TL13'!$J$10:$J$224),0),
IF('TL13'!$B$229=K$3,SUMIF('TL13'!$C$238:$C$451,$C372,'TL13'!$J$238:$J$451),0),
IF('TL14'!$B$3=K$3,SUMIF('TL14'!$C$10:$C$224,$C372,'TL14'!$J$10:$J$224),0),
IF('TL14'!$B$229=K$3,SUMIF('TL14'!$C$238:$C$451,$C372,'TL14'!$J$238:$J$451),0),
IF('TL15'!$B$3=K$3,SUMIF('TL15'!$C$10:$C$224,$C372,'TL15'!$J$10:$J$224),0),
IF('TL15'!$B$229=K$3,SUMIF('TL15'!$C$238:$C$451,$C372,'TL15'!$J$238:$J$451),0),
IF('TL16'!$B$3=K$3,SUMIF('TL16'!$C$10:$C$224,$C372,'TL16'!$J$10:$J$224),0),
IF('TL16'!$B$229=K$3,SUMIF('TL16'!$C$238:$C$451,$C372,'TL16'!$J$238:$J$451),0),
IF('TL17'!$B$3=K$3,SUMIF('TL17'!$C$10:$C$224,$C372,'TL17'!$J$10:$J$224),0),
IF('TL17'!$B$229=K$3,SUMIF('TL17'!$C$238:$C$451,$C372,'TL17'!$J$238:$J$451),0),
IF('TL18'!$B$3=K$3,SUMIF('TL18'!$C$10:$C$224,$C372,'TL18'!$J$10:$J$224),0),
IF('TL18'!$B$229=K$3,SUMIF('TL18'!$C$238:$C$451,$C372,'TL18'!$J$238:$J$451),0),
IF('TL19'!$B$3=K$3,SUMIF('TL19'!$C$10:$C$224,$C372,'TL19'!$J$10:$J$224),0),
IF('TL19'!$B$229=K$3,SUMIF('TL19'!$C$238:$C$451,$C372,'TL19'!$J$238:$J$451),0)
),0)</f>
        <v/>
      </c>
      <c r="L372" s="9">
        <f>IFERROR(SUM(
IF('TL01'!$B$3=L$3,SUMIF('TL01'!$C$10:$C$224,$C372,'TL01'!$J$10:$J$224),0),
IF('TL01'!$B$229=L$3,SUMIF('TL01'!$C$238:$C$451,$C372,'TL01'!$J$238:$J$451),0),
IF('TL02'!$B$3=L$3,SUMIF('TL02'!$C$10:$C$224,$C372,'TL02'!$J$10:$J$224),0),
IF('TL02'!$B$229=L$3,SUMIF('TL02'!$C$238:$C$451,$C372,'TL02'!$J$238:$J$451),0),
IF('TL03'!$B$3=L$3,SUMIF('TL03'!$C$10:$C$224,$C372,'TL03'!$J$10:$J$224),0),
IF('TL03'!$B$229=L$3,SUMIF('TL03'!$C$238:$C$451,$C372,'TL03'!$J$238:$J$451),0),
IF('TL04'!$B$3=L$3,SUMIF('TL04'!$C$10:$C$224,$C372,'TL04'!$J$10:$J$224),0),
IF('TL04'!$B$229=L$3,SUMIF('TL04'!$C$238:$C$451,$C372,'TL04'!$J$238:$J$451),0),
IF('TL05'!$B$3=L$3,SUMIF('TL05'!$C$10:$C$224,$C372,'TL05'!$J$10:$J$224),0),
IF('TL05'!$B$229=L$3,SUMIF('TL05'!$C$238:$C$451,$C372,'TL05'!$J$238:$J$451),0),
IF('TL06'!$B$3=L$3,SUMIF('TL06'!$C$10:$C$224,$C372,'TL06'!$J$10:$J$224),0),
IF('TL06'!$B$229=L$3,SUMIF('TL06'!$C$238:$C$451,$C372,'TL06'!$J$238:$J$451),0),
IF('TL07'!$B$3=L$3,SUMIF('TL07'!$C$10:$C$224,$C372,'TL07'!$J$10:$J$224),0),
IF('TL07'!$B$229=L$3,SUMIF('TL07'!$C$238:$C$451,$C372,'TL07'!$J$238:$J$451),0),
IF('TL08'!$B$3=L$3,SUMIF('TL08'!$C$10:$C$224,$C372,'TL08'!$J$10:$J$224),0),
IF('TL08'!$B$229=L$3,SUMIF('TL08'!$C$238:$C$451,$C372,'TL08'!$J$238:$J$451),0),
IF('TL09'!$B$3=L$3,SUMIF('TL09'!$C$10:$C$224,$C372,'TL09'!$J$10:$J$224),0),
IF('TL09'!$B$229=L$3,SUMIF('TL09'!$C$238:$C$451,$C372,'TL09'!$J$238:$J$451),0),
IF('TL10'!$B$3=L$3,SUMIF('TL10'!$C$10:$C$224,$C372,'TL10'!$J$10:$J$224),0),
IF('TL10'!$B$229=L$3,SUMIF('TL10'!$C$238:$C$451,$C372,'TL10'!$J$238:$J$451),0),
IF('TL11'!$B$3=L$3,SUMIF('TL11'!$C$10:$C$224,$C372,'TL11'!$J$10:$J$224),0),
IF('TL11'!$B$229=L$3,SUMIF('TL11'!$C$238:$C$451,$C372,'TL11'!$J$238:$J$451),0),
IF('TL12'!$B$3=L$3,SUMIF('TL12'!$C$10:$C$224,$C372,'TL12'!$J$10:$J$224),0),
IF('TL12'!$B$229=L$3,SUMIF('TL12'!$C$238:$C$451,$C372,'TL12'!$J$238:$J$451),0),
IF('TL13'!$B$3=L$3,SUMIF('TL13'!$C$10:$C$224,$C372,'TL13'!$J$10:$J$224),0),
IF('TL13'!$B$229=L$3,SUMIF('TL13'!$C$238:$C$451,$C372,'TL13'!$J$238:$J$451),0),
IF('TL14'!$B$3=L$3,SUMIF('TL14'!$C$10:$C$224,$C372,'TL14'!$J$10:$J$224),0),
IF('TL14'!$B$229=L$3,SUMIF('TL14'!$C$238:$C$451,$C372,'TL14'!$J$238:$J$451),0),
IF('TL15'!$B$3=L$3,SUMIF('TL15'!$C$10:$C$224,$C372,'TL15'!$J$10:$J$224),0),
IF('TL15'!$B$229=L$3,SUMIF('TL15'!$C$238:$C$451,$C372,'TL15'!$J$238:$J$451),0),
IF('TL16'!$B$3=L$3,SUMIF('TL16'!$C$10:$C$224,$C372,'TL16'!$J$10:$J$224),0),
IF('TL16'!$B$229=L$3,SUMIF('TL16'!$C$238:$C$451,$C372,'TL16'!$J$238:$J$451),0),
IF('TL17'!$B$3=L$3,SUMIF('TL17'!$C$10:$C$224,$C372,'TL17'!$J$10:$J$224),0),
IF('TL17'!$B$229=L$3,SUMIF('TL17'!$C$238:$C$451,$C372,'TL17'!$J$238:$J$451),0),
IF('TL18'!$B$3=L$3,SUMIF('TL18'!$C$10:$C$224,$C372,'TL18'!$J$10:$J$224),0),
IF('TL18'!$B$229=L$3,SUMIF('TL18'!$C$238:$C$451,$C372,'TL18'!$J$238:$J$451),0),
IF('TL19'!$B$3=L$3,SUMIF('TL19'!$C$10:$C$224,$C372,'TL19'!$J$10:$J$224),0),
IF('TL19'!$B$229=L$3,SUMIF('TL19'!$C$238:$C$451,$C372,'TL19'!$J$238:$J$451),0)
),0)</f>
        <v/>
      </c>
      <c r="M372" s="9">
        <f>IFERROR(SUM(
IF('TL01'!$B$3=M$3,SUMIF('TL01'!$C$10:$C$224,$C372,'TL01'!$J$10:$J$224),0),
IF('TL01'!$B$229=M$3,SUMIF('TL01'!$C$238:$C$451,$C372,'TL01'!$J$238:$J$451),0),
IF('TL02'!$B$3=M$3,SUMIF('TL02'!$C$10:$C$224,$C372,'TL02'!$J$10:$J$224),0),
IF('TL02'!$B$229=M$3,SUMIF('TL02'!$C$238:$C$451,$C372,'TL02'!$J$238:$J$451),0),
IF('TL03'!$B$3=M$3,SUMIF('TL03'!$C$10:$C$224,$C372,'TL03'!$J$10:$J$224),0),
IF('TL03'!$B$229=M$3,SUMIF('TL03'!$C$238:$C$451,$C372,'TL03'!$J$238:$J$451),0),
IF('TL04'!$B$3=M$3,SUMIF('TL04'!$C$10:$C$224,$C372,'TL04'!$J$10:$J$224),0),
IF('TL04'!$B$229=M$3,SUMIF('TL04'!$C$238:$C$451,$C372,'TL04'!$J$238:$J$451),0),
IF('TL05'!$B$3=M$3,SUMIF('TL05'!$C$10:$C$224,$C372,'TL05'!$J$10:$J$224),0),
IF('TL05'!$B$229=M$3,SUMIF('TL05'!$C$238:$C$451,$C372,'TL05'!$J$238:$J$451),0),
IF('TL06'!$B$3=M$3,SUMIF('TL06'!$C$10:$C$224,$C372,'TL06'!$J$10:$J$224),0),
IF('TL06'!$B$229=M$3,SUMIF('TL06'!$C$238:$C$451,$C372,'TL06'!$J$238:$J$451),0),
IF('TL07'!$B$3=M$3,SUMIF('TL07'!$C$10:$C$224,$C372,'TL07'!$J$10:$J$224),0),
IF('TL07'!$B$229=M$3,SUMIF('TL07'!$C$238:$C$451,$C372,'TL07'!$J$238:$J$451),0),
IF('TL08'!$B$3=M$3,SUMIF('TL08'!$C$10:$C$224,$C372,'TL08'!$J$10:$J$224),0),
IF('TL08'!$B$229=M$3,SUMIF('TL08'!$C$238:$C$451,$C372,'TL08'!$J$238:$J$451),0),
IF('TL09'!$B$3=M$3,SUMIF('TL09'!$C$10:$C$224,$C372,'TL09'!$J$10:$J$224),0),
IF('TL09'!$B$229=M$3,SUMIF('TL09'!$C$238:$C$451,$C372,'TL09'!$J$238:$J$451),0),
IF('TL10'!$B$3=M$3,SUMIF('TL10'!$C$10:$C$224,$C372,'TL10'!$J$10:$J$224),0),
IF('TL10'!$B$229=M$3,SUMIF('TL10'!$C$238:$C$451,$C372,'TL10'!$J$238:$J$451),0),
IF('TL11'!$B$3=M$3,SUMIF('TL11'!$C$10:$C$224,$C372,'TL11'!$J$10:$J$224),0),
IF('TL11'!$B$229=M$3,SUMIF('TL11'!$C$238:$C$451,$C372,'TL11'!$J$238:$J$451),0),
IF('TL12'!$B$3=M$3,SUMIF('TL12'!$C$10:$C$224,$C372,'TL12'!$J$10:$J$224),0),
IF('TL12'!$B$229=M$3,SUMIF('TL12'!$C$238:$C$451,$C372,'TL12'!$J$238:$J$451),0),
IF('TL13'!$B$3=M$3,SUMIF('TL13'!$C$10:$C$224,$C372,'TL13'!$J$10:$J$224),0),
IF('TL13'!$B$229=M$3,SUMIF('TL13'!$C$238:$C$451,$C372,'TL13'!$J$238:$J$451),0),
IF('TL14'!$B$3=M$3,SUMIF('TL14'!$C$10:$C$224,$C372,'TL14'!$J$10:$J$224),0),
IF('TL14'!$B$229=M$3,SUMIF('TL14'!$C$238:$C$451,$C372,'TL14'!$J$238:$J$451),0),
IF('TL15'!$B$3=M$3,SUMIF('TL15'!$C$10:$C$224,$C372,'TL15'!$J$10:$J$224),0),
IF('TL15'!$B$229=M$3,SUMIF('TL15'!$C$238:$C$451,$C372,'TL15'!$J$238:$J$451),0),
IF('TL16'!$B$3=M$3,SUMIF('TL16'!$C$10:$C$224,$C372,'TL16'!$J$10:$J$224),0),
IF('TL16'!$B$229=M$3,SUMIF('TL16'!$C$238:$C$451,$C372,'TL16'!$J$238:$J$451),0),
IF('TL17'!$B$3=M$3,SUMIF('TL17'!$C$10:$C$224,$C372,'TL17'!$J$10:$J$224),0),
IF('TL17'!$B$229=M$3,SUMIF('TL17'!$C$238:$C$451,$C372,'TL17'!$J$238:$J$451),0),
IF('TL18'!$B$3=M$3,SUMIF('TL18'!$C$10:$C$224,$C372,'TL18'!$J$10:$J$224),0),
IF('TL18'!$B$229=M$3,SUMIF('TL18'!$C$238:$C$451,$C372,'TL18'!$J$238:$J$451),0),
IF('TL19'!$B$3=M$3,SUMIF('TL19'!$C$10:$C$224,$C372,'TL19'!$J$10:$J$224),0),
IF('TL19'!$B$229=M$3,SUMIF('TL19'!$C$238:$C$451,$C372,'TL19'!$J$238:$J$451),0)
),0)</f>
        <v/>
      </c>
      <c r="N372" s="9">
        <f>IFERROR(SUM(
IF('TL01'!$B$3=N$3,SUMIF('TL01'!$C$10:$C$224,$C372,'TL01'!$J$10:$J$224),0),
IF('TL01'!$B$229=N$3,SUMIF('TL01'!$C$238:$C$451,$C372,'TL01'!$J$238:$J$451),0),
IF('TL02'!$B$3=N$3,SUMIF('TL02'!$C$10:$C$224,$C372,'TL02'!$J$10:$J$224),0),
IF('TL02'!$B$229=N$3,SUMIF('TL02'!$C$238:$C$451,$C372,'TL02'!$J$238:$J$451),0),
IF('TL03'!$B$3=N$3,SUMIF('TL03'!$C$10:$C$224,$C372,'TL03'!$J$10:$J$224),0),
IF('TL03'!$B$229=N$3,SUMIF('TL03'!$C$238:$C$451,$C372,'TL03'!$J$238:$J$451),0),
IF('TL04'!$B$3=N$3,SUMIF('TL04'!$C$10:$C$224,$C372,'TL04'!$J$10:$J$224),0),
IF('TL04'!$B$229=N$3,SUMIF('TL04'!$C$238:$C$451,$C372,'TL04'!$J$238:$J$451),0),
IF('TL05'!$B$3=N$3,SUMIF('TL05'!$C$10:$C$224,$C372,'TL05'!$J$10:$J$224),0),
IF('TL05'!$B$229=N$3,SUMIF('TL05'!$C$238:$C$451,$C372,'TL05'!$J$238:$J$451),0),
IF('TL06'!$B$3=N$3,SUMIF('TL06'!$C$10:$C$224,$C372,'TL06'!$J$10:$J$224),0),
IF('TL06'!$B$229=N$3,SUMIF('TL06'!$C$238:$C$451,$C372,'TL06'!$J$238:$J$451),0),
IF('TL07'!$B$3=N$3,SUMIF('TL07'!$C$10:$C$224,$C372,'TL07'!$J$10:$J$224),0),
IF('TL07'!$B$229=N$3,SUMIF('TL07'!$C$238:$C$451,$C372,'TL07'!$J$238:$J$451),0),
IF('TL08'!$B$3=N$3,SUMIF('TL08'!$C$10:$C$224,$C372,'TL08'!$J$10:$J$224),0),
IF('TL08'!$B$229=N$3,SUMIF('TL08'!$C$238:$C$451,$C372,'TL08'!$J$238:$J$451),0),
IF('TL09'!$B$3=N$3,SUMIF('TL09'!$C$10:$C$224,$C372,'TL09'!$J$10:$J$224),0),
IF('TL09'!$B$229=N$3,SUMIF('TL09'!$C$238:$C$451,$C372,'TL09'!$J$238:$J$451),0),
IF('TL10'!$B$3=N$3,SUMIF('TL10'!$C$10:$C$224,$C372,'TL10'!$J$10:$J$224),0),
IF('TL10'!$B$229=N$3,SUMIF('TL10'!$C$238:$C$451,$C372,'TL10'!$J$238:$J$451),0),
IF('TL11'!$B$3=N$3,SUMIF('TL11'!$C$10:$C$224,$C372,'TL11'!$J$10:$J$224),0),
IF('TL11'!$B$229=N$3,SUMIF('TL11'!$C$238:$C$451,$C372,'TL11'!$J$238:$J$451),0),
IF('TL12'!$B$3=N$3,SUMIF('TL12'!$C$10:$C$224,$C372,'TL12'!$J$10:$J$224),0),
IF('TL12'!$B$229=N$3,SUMIF('TL12'!$C$238:$C$451,$C372,'TL12'!$J$238:$J$451),0),
IF('TL13'!$B$3=N$3,SUMIF('TL13'!$C$10:$C$224,$C372,'TL13'!$J$10:$J$224),0),
IF('TL13'!$B$229=N$3,SUMIF('TL13'!$C$238:$C$451,$C372,'TL13'!$J$238:$J$451),0),
IF('TL14'!$B$3=N$3,SUMIF('TL14'!$C$10:$C$224,$C372,'TL14'!$J$10:$J$224),0),
IF('TL14'!$B$229=N$3,SUMIF('TL14'!$C$238:$C$451,$C372,'TL14'!$J$238:$J$451),0),
IF('TL15'!$B$3=N$3,SUMIF('TL15'!$C$10:$C$224,$C372,'TL15'!$J$10:$J$224),0),
IF('TL15'!$B$229=N$3,SUMIF('TL15'!$C$238:$C$451,$C372,'TL15'!$J$238:$J$451),0),
IF('TL16'!$B$3=N$3,SUMIF('TL16'!$C$10:$C$224,$C372,'TL16'!$J$10:$J$224),0),
IF('TL16'!$B$229=N$3,SUMIF('TL16'!$C$238:$C$451,$C372,'TL16'!$J$238:$J$451),0),
IF('TL17'!$B$3=N$3,SUMIF('TL17'!$C$10:$C$224,$C372,'TL17'!$J$10:$J$224),0),
IF('TL17'!$B$229=N$3,SUMIF('TL17'!$C$238:$C$451,$C372,'TL17'!$J$238:$J$451),0),
IF('TL18'!$B$3=N$3,SUMIF('TL18'!$C$10:$C$224,$C372,'TL18'!$J$10:$J$224),0),
IF('TL18'!$B$229=N$3,SUMIF('TL18'!$C$238:$C$451,$C372,'TL18'!$J$238:$J$451),0),
IF('TL19'!$B$3=N$3,SUMIF('TL19'!$C$10:$C$224,$C372,'TL19'!$J$10:$J$224),0),
IF('TL19'!$B$229=N$3,SUMIF('TL19'!$C$238:$C$451,$C372,'TL19'!$J$238:$J$451),0)
),0)</f>
        <v/>
      </c>
      <c r="O372" s="9">
        <f>IFERROR(SUM(
IF('TL01'!$B$3=O$3,SUMIF('TL01'!$C$10:$C$224,$C372,'TL01'!$J$10:$J$224),0),
IF('TL01'!$B$229=O$3,SUMIF('TL01'!$C$238:$C$451,$C372,'TL01'!$J$238:$J$451),0),
IF('TL02'!$B$3=O$3,SUMIF('TL02'!$C$10:$C$224,$C372,'TL02'!$J$10:$J$224),0),
IF('TL02'!$B$229=O$3,SUMIF('TL02'!$C$238:$C$451,$C372,'TL02'!$J$238:$J$451),0),
IF('TL03'!$B$3=O$3,SUMIF('TL03'!$C$10:$C$224,$C372,'TL03'!$J$10:$J$224),0),
IF('TL03'!$B$229=O$3,SUMIF('TL03'!$C$238:$C$451,$C372,'TL03'!$J$238:$J$451),0),
IF('TL04'!$B$3=O$3,SUMIF('TL04'!$C$10:$C$224,$C372,'TL04'!$J$10:$J$224),0),
IF('TL04'!$B$229=O$3,SUMIF('TL04'!$C$238:$C$451,$C372,'TL04'!$J$238:$J$451),0),
IF('TL05'!$B$3=O$3,SUMIF('TL05'!$C$10:$C$224,$C372,'TL05'!$J$10:$J$224),0),
IF('TL05'!$B$229=O$3,SUMIF('TL05'!$C$238:$C$451,$C372,'TL05'!$J$238:$J$451),0),
IF('TL06'!$B$3=O$3,SUMIF('TL06'!$C$10:$C$224,$C372,'TL06'!$J$10:$J$224),0),
IF('TL06'!$B$229=O$3,SUMIF('TL06'!$C$238:$C$451,$C372,'TL06'!$J$238:$J$451),0),
IF('TL07'!$B$3=O$3,SUMIF('TL07'!$C$10:$C$224,$C372,'TL07'!$J$10:$J$224),0),
IF('TL07'!$B$229=O$3,SUMIF('TL07'!$C$238:$C$451,$C372,'TL07'!$J$238:$J$451),0),
IF('TL08'!$B$3=O$3,SUMIF('TL08'!$C$10:$C$224,$C372,'TL08'!$J$10:$J$224),0),
IF('TL08'!$B$229=O$3,SUMIF('TL08'!$C$238:$C$451,$C372,'TL08'!$J$238:$J$451),0),
IF('TL09'!$B$3=O$3,SUMIF('TL09'!$C$10:$C$224,$C372,'TL09'!$J$10:$J$224),0),
IF('TL09'!$B$229=O$3,SUMIF('TL09'!$C$238:$C$451,$C372,'TL09'!$J$238:$J$451),0),
IF('TL10'!$B$3=O$3,SUMIF('TL10'!$C$10:$C$224,$C372,'TL10'!$J$10:$J$224),0),
IF('TL10'!$B$229=O$3,SUMIF('TL10'!$C$238:$C$451,$C372,'TL10'!$J$238:$J$451),0),
IF('TL11'!$B$3=O$3,SUMIF('TL11'!$C$10:$C$224,$C372,'TL11'!$J$10:$J$224),0),
IF('TL11'!$B$229=O$3,SUMIF('TL11'!$C$238:$C$451,$C372,'TL11'!$J$238:$J$451),0),
IF('TL12'!$B$3=O$3,SUMIF('TL12'!$C$10:$C$224,$C372,'TL12'!$J$10:$J$224),0),
IF('TL12'!$B$229=O$3,SUMIF('TL12'!$C$238:$C$451,$C372,'TL12'!$J$238:$J$451),0),
IF('TL13'!$B$3=O$3,SUMIF('TL13'!$C$10:$C$224,$C372,'TL13'!$J$10:$J$224),0),
IF('TL13'!$B$229=O$3,SUMIF('TL13'!$C$238:$C$451,$C372,'TL13'!$J$238:$J$451),0),
IF('TL14'!$B$3=O$3,SUMIF('TL14'!$C$10:$C$224,$C372,'TL14'!$J$10:$J$224),0),
IF('TL14'!$B$229=O$3,SUMIF('TL14'!$C$238:$C$451,$C372,'TL14'!$J$238:$J$451),0),
IF('TL15'!$B$3=O$3,SUMIF('TL15'!$C$10:$C$224,$C372,'TL15'!$J$10:$J$224),0),
IF('TL15'!$B$229=O$3,SUMIF('TL15'!$C$238:$C$451,$C372,'TL15'!$J$238:$J$451),0),
IF('TL16'!$B$3=O$3,SUMIF('TL16'!$C$10:$C$224,$C372,'TL16'!$J$10:$J$224),0),
IF('TL16'!$B$229=O$3,SUMIF('TL16'!$C$238:$C$451,$C372,'TL16'!$J$238:$J$451),0),
IF('TL17'!$B$3=O$3,SUMIF('TL17'!$C$10:$C$224,$C372,'TL17'!$J$10:$J$224),0),
IF('TL17'!$B$229=O$3,SUMIF('TL17'!$C$238:$C$451,$C372,'TL17'!$J$238:$J$451),0),
IF('TL18'!$B$3=O$3,SUMIF('TL18'!$C$10:$C$224,$C372,'TL18'!$J$10:$J$224),0),
IF('TL18'!$B$229=O$3,SUMIF('TL18'!$C$238:$C$451,$C372,'TL18'!$J$238:$J$451),0),
IF('TL19'!$B$3=O$3,SUMIF('TL19'!$C$10:$C$224,$C372,'TL19'!$J$10:$J$224),0),
IF('TL19'!$B$229=O$3,SUMIF('TL19'!$C$238:$C$451,$C372,'TL19'!$J$238:$J$451),0)
),0)</f>
        <v/>
      </c>
      <c r="P372" s="9">
        <f>IFERROR(SUM(
IF('TL01'!$B$3=P$3,SUMIF('TL01'!$C$10:$C$224,$C372,'TL01'!$J$10:$J$224),0),
IF('TL01'!$B$229=P$3,SUMIF('TL01'!$C$238:$C$451,$C372,'TL01'!$J$238:$J$451),0),
IF('TL02'!$B$3=P$3,SUMIF('TL02'!$C$10:$C$224,$C372,'TL02'!$J$10:$J$224),0),
IF('TL02'!$B$229=P$3,SUMIF('TL02'!$C$238:$C$451,$C372,'TL02'!$J$238:$J$451),0),
IF('TL03'!$B$3=P$3,SUMIF('TL03'!$C$10:$C$224,$C372,'TL03'!$J$10:$J$224),0),
IF('TL03'!$B$229=P$3,SUMIF('TL03'!$C$238:$C$451,$C372,'TL03'!$J$238:$J$451),0),
IF('TL04'!$B$3=P$3,SUMIF('TL04'!$C$10:$C$224,$C372,'TL04'!$J$10:$J$224),0),
IF('TL04'!$B$229=P$3,SUMIF('TL04'!$C$238:$C$451,$C372,'TL04'!$J$238:$J$451),0),
IF('TL05'!$B$3=P$3,SUMIF('TL05'!$C$10:$C$224,$C372,'TL05'!$J$10:$J$224),0),
IF('TL05'!$B$229=P$3,SUMIF('TL05'!$C$238:$C$451,$C372,'TL05'!$J$238:$J$451),0),
IF('TL06'!$B$3=P$3,SUMIF('TL06'!$C$10:$C$224,$C372,'TL06'!$J$10:$J$224),0),
IF('TL06'!$B$229=P$3,SUMIF('TL06'!$C$238:$C$451,$C372,'TL06'!$J$238:$J$451),0),
IF('TL07'!$B$3=P$3,SUMIF('TL07'!$C$10:$C$224,$C372,'TL07'!$J$10:$J$224),0),
IF('TL07'!$B$229=P$3,SUMIF('TL07'!$C$238:$C$451,$C372,'TL07'!$J$238:$J$451),0),
IF('TL08'!$B$3=P$3,SUMIF('TL08'!$C$10:$C$224,$C372,'TL08'!$J$10:$J$224),0),
IF('TL08'!$B$229=P$3,SUMIF('TL08'!$C$238:$C$451,$C372,'TL08'!$J$238:$J$451),0),
IF('TL09'!$B$3=P$3,SUMIF('TL09'!$C$10:$C$224,$C372,'TL09'!$J$10:$J$224),0),
IF('TL09'!$B$229=P$3,SUMIF('TL09'!$C$238:$C$451,$C372,'TL09'!$J$238:$J$451),0),
IF('TL10'!$B$3=P$3,SUMIF('TL10'!$C$10:$C$224,$C372,'TL10'!$J$10:$J$224),0),
IF('TL10'!$B$229=P$3,SUMIF('TL10'!$C$238:$C$451,$C372,'TL10'!$J$238:$J$451),0),
IF('TL11'!$B$3=P$3,SUMIF('TL11'!$C$10:$C$224,$C372,'TL11'!$J$10:$J$224),0),
IF('TL11'!$B$229=P$3,SUMIF('TL11'!$C$238:$C$451,$C372,'TL11'!$J$238:$J$451),0),
IF('TL12'!$B$3=P$3,SUMIF('TL12'!$C$10:$C$224,$C372,'TL12'!$J$10:$J$224),0),
IF('TL12'!$B$229=P$3,SUMIF('TL12'!$C$238:$C$451,$C372,'TL12'!$J$238:$J$451),0),
IF('TL13'!$B$3=P$3,SUMIF('TL13'!$C$10:$C$224,$C372,'TL13'!$J$10:$J$224),0),
IF('TL13'!$B$229=P$3,SUMIF('TL13'!$C$238:$C$451,$C372,'TL13'!$J$238:$J$451),0),
IF('TL14'!$B$3=P$3,SUMIF('TL14'!$C$10:$C$224,$C372,'TL14'!$J$10:$J$224),0),
IF('TL14'!$B$229=P$3,SUMIF('TL14'!$C$238:$C$451,$C372,'TL14'!$J$238:$J$451),0),
IF('TL15'!$B$3=P$3,SUMIF('TL15'!$C$10:$C$224,$C372,'TL15'!$J$10:$J$224),0),
IF('TL15'!$B$229=P$3,SUMIF('TL15'!$C$238:$C$451,$C372,'TL15'!$J$238:$J$451),0),
IF('TL16'!$B$3=P$3,SUMIF('TL16'!$C$10:$C$224,$C372,'TL16'!$J$10:$J$224),0),
IF('TL16'!$B$229=P$3,SUMIF('TL16'!$C$238:$C$451,$C372,'TL16'!$J$238:$J$451),0),
IF('TL17'!$B$3=P$3,SUMIF('TL17'!$C$10:$C$224,$C372,'TL17'!$J$10:$J$224),0),
IF('TL17'!$B$229=P$3,SUMIF('TL17'!$C$238:$C$451,$C372,'TL17'!$J$238:$J$451),0),
IF('TL18'!$B$3=P$3,SUMIF('TL18'!$C$10:$C$224,$C372,'TL18'!$J$10:$J$224),0),
IF('TL18'!$B$229=P$3,SUMIF('TL18'!$C$238:$C$451,$C372,'TL18'!$J$238:$J$451),0),
IF('TL19'!$B$3=P$3,SUMIF('TL19'!$C$10:$C$224,$C372,'TL19'!$J$10:$J$224),0),
IF('TL19'!$B$229=P$3,SUMIF('TL19'!$C$238:$C$451,$C372,'TL19'!$J$238:$J$451),0)
),0)</f>
        <v/>
      </c>
      <c r="Q372" s="9">
        <f>IFERROR(SUM(
IF('TL01'!$B$3=Q$3,SUMIF('TL01'!$C$10:$C$224,$C372,'TL01'!$J$10:$J$224),0),
IF('TL01'!$B$229=Q$3,SUMIF('TL01'!$C$238:$C$451,$C372,'TL01'!$J$238:$J$451),0),
IF('TL02'!$B$3=Q$3,SUMIF('TL02'!$C$10:$C$224,$C372,'TL02'!$J$10:$J$224),0),
IF('TL02'!$B$229=Q$3,SUMIF('TL02'!$C$238:$C$451,$C372,'TL02'!$J$238:$J$451),0),
IF('TL03'!$B$3=Q$3,SUMIF('TL03'!$C$10:$C$224,$C372,'TL03'!$J$10:$J$224),0),
IF('TL03'!$B$229=Q$3,SUMIF('TL03'!$C$238:$C$451,$C372,'TL03'!$J$238:$J$451),0),
IF('TL04'!$B$3=Q$3,SUMIF('TL04'!$C$10:$C$224,$C372,'TL04'!$J$10:$J$224),0),
IF('TL04'!$B$229=Q$3,SUMIF('TL04'!$C$238:$C$451,$C372,'TL04'!$J$238:$J$451),0),
IF('TL05'!$B$3=Q$3,SUMIF('TL05'!$C$10:$C$224,$C372,'TL05'!$J$10:$J$224),0),
IF('TL05'!$B$229=Q$3,SUMIF('TL05'!$C$238:$C$451,$C372,'TL05'!$J$238:$J$451),0),
IF('TL06'!$B$3=Q$3,SUMIF('TL06'!$C$10:$C$224,$C372,'TL06'!$J$10:$J$224),0),
IF('TL06'!$B$229=Q$3,SUMIF('TL06'!$C$238:$C$451,$C372,'TL06'!$J$238:$J$451),0),
IF('TL07'!$B$3=Q$3,SUMIF('TL07'!$C$10:$C$224,$C372,'TL07'!$J$10:$J$224),0),
IF('TL07'!$B$229=Q$3,SUMIF('TL07'!$C$238:$C$451,$C372,'TL07'!$J$238:$J$451),0),
IF('TL08'!$B$3=Q$3,SUMIF('TL08'!$C$10:$C$224,$C372,'TL08'!$J$10:$J$224),0),
IF('TL08'!$B$229=Q$3,SUMIF('TL08'!$C$238:$C$451,$C372,'TL08'!$J$238:$J$451),0),
IF('TL09'!$B$3=Q$3,SUMIF('TL09'!$C$10:$C$224,$C372,'TL09'!$J$10:$J$224),0),
IF('TL09'!$B$229=Q$3,SUMIF('TL09'!$C$238:$C$451,$C372,'TL09'!$J$238:$J$451),0),
IF('TL10'!$B$3=Q$3,SUMIF('TL10'!$C$10:$C$224,$C372,'TL10'!$J$10:$J$224),0),
IF('TL10'!$B$229=Q$3,SUMIF('TL10'!$C$238:$C$451,$C372,'TL10'!$J$238:$J$451),0),
IF('TL11'!$B$3=Q$3,SUMIF('TL11'!$C$10:$C$224,$C372,'TL11'!$J$10:$J$224),0),
IF('TL11'!$B$229=Q$3,SUMIF('TL11'!$C$238:$C$451,$C372,'TL11'!$J$238:$J$451),0),
IF('TL12'!$B$3=Q$3,SUMIF('TL12'!$C$10:$C$224,$C372,'TL12'!$J$10:$J$224),0),
IF('TL12'!$B$229=Q$3,SUMIF('TL12'!$C$238:$C$451,$C372,'TL12'!$J$238:$J$451),0),
IF('TL13'!$B$3=Q$3,SUMIF('TL13'!$C$10:$C$224,$C372,'TL13'!$J$10:$J$224),0),
IF('TL13'!$B$229=Q$3,SUMIF('TL13'!$C$238:$C$451,$C372,'TL13'!$J$238:$J$451),0),
IF('TL14'!$B$3=Q$3,SUMIF('TL14'!$C$10:$C$224,$C372,'TL14'!$J$10:$J$224),0),
IF('TL14'!$B$229=Q$3,SUMIF('TL14'!$C$238:$C$451,$C372,'TL14'!$J$238:$J$451),0),
IF('TL15'!$B$3=Q$3,SUMIF('TL15'!$C$10:$C$224,$C372,'TL15'!$J$10:$J$224),0),
IF('TL15'!$B$229=Q$3,SUMIF('TL15'!$C$238:$C$451,$C372,'TL15'!$J$238:$J$451),0),
IF('TL16'!$B$3=Q$3,SUMIF('TL16'!$C$10:$C$224,$C372,'TL16'!$J$10:$J$224),0),
IF('TL16'!$B$229=Q$3,SUMIF('TL16'!$C$238:$C$451,$C372,'TL16'!$J$238:$J$451),0),
IF('TL17'!$B$3=Q$3,SUMIF('TL17'!$C$10:$C$224,$C372,'TL17'!$J$10:$J$224),0),
IF('TL17'!$B$229=Q$3,SUMIF('TL17'!$C$238:$C$451,$C372,'TL17'!$J$238:$J$451),0),
IF('TL18'!$B$3=Q$3,SUMIF('TL18'!$C$10:$C$224,$C372,'TL18'!$J$10:$J$224),0),
IF('TL18'!$B$229=Q$3,SUMIF('TL18'!$C$238:$C$451,$C372,'TL18'!$J$238:$J$451),0),
IF('TL19'!$B$3=Q$3,SUMIF('TL19'!$C$10:$C$224,$C372,'TL19'!$J$10:$J$224),0),
IF('TL19'!$B$229=Q$3,SUMIF('TL19'!$C$238:$C$451,$C372,'TL19'!$J$238:$J$451),0)
),0)</f>
        <v/>
      </c>
      <c r="R372" s="9">
        <f>IFERROR(
SUM(
SUMIF('TL01'!C:C,C372,'TL01'!J:J),
SUMIF('TL02'!C:C,C372,'TL02'!J:J),
SUMIF('TL03'!C:C,C372,'TL03'!J:J),
SUMIF('TL04'!C:C,C372,'TL04'!J:J),
SUMIF('TL05'!C:C,C372,'TL05'!J:J),
SUMIF('TL06'!C:C,C372,'TL06'!J:J),
SUMIF('TL07'!C:C,C372,'TL07'!J:J),
SUMIF('TL08'!C:C,C372,'TL08'!J:J),
SUMIF('TL09'!C:C,C372,'TL09'!J:J),
SUMIF('TL10'!C:C,C372,'TL10'!J:J),
SUMIF('TL11'!C:C,C372,'TL11'!J:J),
SUMIF('TL12'!C:C,C372,'TL12'!J:J),
SUMIF('TL13'!C:C,C372,'TL13'!J:J),
SUMIF('TL14'!C:C,C372,'TL14'!J:J),
SUMIF('TL15'!C:C,C372,'TL15'!J:J),
SUMIF('TL16'!C:C,C372,'TL16'!J:J),
SUMIF('TL17'!C:C,C372,'TL17'!J:J),
SUMIF('TL18'!C:C,C372,'TL18'!J:J),SUMIF('TL19'!C:C,C372,'TL19'!J:J))
,0)</f>
        <v/>
      </c>
      <c r="S372" s="17">
        <f>IFERROR(__xludf.DUMMYFUNCTION("IFERROR(VLOOKUP(C372,
IMPORTRANGE(""1wULbzX32WdYsx-lj2U3uUNBBe2INVIRDtcK0d-Dvl90"",
""26-27!C:G""),
5,
FALSE),
"""")"),24.44)</f>
        <v/>
      </c>
      <c r="T372" s="9" t="n"/>
      <c r="U372" s="92">
        <f>MAX(0,R372-T372)</f>
        <v/>
      </c>
      <c r="V372" s="93">
        <f>U372*S372</f>
        <v/>
      </c>
    </row>
    <row r="373" hidden="1" ht="15.75" customHeight="1" s="297">
      <c r="A373" s="4" t="inlineStr">
        <is>
          <t>SOLUBIO</t>
        </is>
      </c>
      <c r="B373" s="4" t="inlineStr">
        <is>
          <t>BIOLÓGICOS</t>
        </is>
      </c>
      <c r="C373" s="128" t="inlineStr">
        <is>
          <t>Expelir</t>
        </is>
      </c>
      <c r="D373" s="129" t="inlineStr">
        <is>
          <t>Nutrifarm</t>
        </is>
      </c>
      <c r="E373" s="20" t="n"/>
      <c r="F373" s="4" t="n"/>
      <c r="G373" s="90">
        <f>HYPERLINK("https://www.google.com/search?q=" &amp; C373 &amp; "+bula+agrofit+pdf", "📄 Ver bula")</f>
        <v/>
      </c>
      <c r="H373" s="9" t="n"/>
      <c r="I373" s="123" t="n"/>
      <c r="J373" s="9">
        <f>IFERROR(SUM(
IF('TL01'!$B$3=J$3,SUMIF('TL01'!$C$10:$C$224,$C373,'TL01'!$J$10:$J$224),0),
IF('TL01'!$B$229=J$3,SUMIF('TL01'!$C$238:$C$451,$C373,'TL01'!$J$238:$J$451),0),
IF('TL02'!$B$3=J$3,SUMIF('TL02'!$C$10:$C$224,$C373,'TL02'!$J$10:$J$224),0),
IF('TL02'!$B$229=J$3,SUMIF('TL02'!$C$238:$C$451,$C373,'TL02'!$J$238:$J$451),0),
IF('TL03'!$B$3=J$3,SUMIF('TL03'!$C$10:$C$224,$C373,'TL03'!$J$10:$J$224),0),
IF('TL03'!$B$229=J$3,SUMIF('TL03'!$C$238:$C$451,$C373,'TL03'!$J$238:$J$451),0),
IF('TL04'!$B$3=J$3,SUMIF('TL04'!$C$10:$C$224,$C373,'TL04'!$J$10:$J$224),0),
IF('TL04'!$B$229=J$3,SUMIF('TL04'!$C$238:$C$451,$C373,'TL04'!$J$238:$J$451),0),
IF('TL05'!$B$3=J$3,SUMIF('TL05'!$C$10:$C$224,$C373,'TL05'!$J$10:$J$224),0),
IF('TL05'!$B$229=J$3,SUMIF('TL05'!$C$238:$C$451,$C373,'TL05'!$J$238:$J$451),0),
IF('TL06'!$B$3=J$3,SUMIF('TL06'!$C$10:$C$224,$C373,'TL06'!$J$10:$J$224),0),
IF('TL06'!$B$229=J$3,SUMIF('TL06'!$C$238:$C$451,$C373,'TL06'!$J$238:$J$451),0),
IF('TL07'!$B$3=J$3,SUMIF('TL07'!$C$10:$C$224,$C373,'TL07'!$J$10:$J$224),0),
IF('TL07'!$B$229=J$3,SUMIF('TL07'!$C$238:$C$451,$C373,'TL07'!$J$238:$J$451),0),
IF('TL08'!$B$3=J$3,SUMIF('TL08'!$C$10:$C$224,$C373,'TL08'!$J$10:$J$224),0),
IF('TL08'!$B$229=J$3,SUMIF('TL08'!$C$238:$C$451,$C373,'TL08'!$J$238:$J$451),0),
IF('TL09'!$B$3=J$3,SUMIF('TL09'!$C$10:$C$224,$C373,'TL09'!$J$10:$J$224),0),
IF('TL09'!$B$229=J$3,SUMIF('TL09'!$C$238:$C$451,$C373,'TL09'!$J$238:$J$451),0),
IF('TL10'!$B$3=J$3,SUMIF('TL10'!$C$10:$C$224,$C373,'TL10'!$J$10:$J$224),0),
IF('TL10'!$B$229=J$3,SUMIF('TL10'!$C$238:$C$451,$C373,'TL10'!$J$238:$J$451),0),
IF('TL11'!$B$3=J$3,SUMIF('TL11'!$C$10:$C$224,$C373,'TL11'!$J$10:$J$224),0),
IF('TL11'!$B$229=J$3,SUMIF('TL11'!$C$238:$C$451,$C373,'TL11'!$J$238:$J$451),0),
IF('TL12'!$B$3=J$3,SUMIF('TL12'!$C$10:$C$224,$C373,'TL12'!$J$10:$J$224),0),
IF('TL12'!$B$229=J$3,SUMIF('TL12'!$C$238:$C$451,$C373,'TL12'!$J$238:$J$451),0),
IF('TL13'!$B$3=J$3,SUMIF('TL13'!$C$10:$C$224,$C373,'TL13'!$J$10:$J$224),0),
IF('TL13'!$B$229=J$3,SUMIF('TL13'!$C$238:$C$451,$C373,'TL13'!$J$238:$J$451),0),
IF('TL14'!$B$3=J$3,SUMIF('TL14'!$C$10:$C$224,$C373,'TL14'!$J$10:$J$224),0),
IF('TL14'!$B$229=J$3,SUMIF('TL14'!$C$238:$C$451,$C373,'TL14'!$J$238:$J$451),0),
IF('TL15'!$B$3=J$3,SUMIF('TL15'!$C$10:$C$224,$C373,'TL15'!$J$10:$J$224),0),
IF('TL15'!$B$229=J$3,SUMIF('TL15'!$C$238:$C$451,$C373,'TL15'!$J$238:$J$451),0),
IF('TL16'!$B$3=J$3,SUMIF('TL16'!$C$10:$C$224,$C373,'TL16'!$J$10:$J$224),0),
IF('TL16'!$B$229=J$3,SUMIF('TL16'!$C$238:$C$451,$C373,'TL16'!$J$238:$J$451),0),
IF('TL17'!$B$3=J$3,SUMIF('TL17'!$C$10:$C$224,$C373,'TL17'!$J$10:$J$224),0),
IF('TL17'!$B$229=J$3,SUMIF('TL17'!$C$238:$C$451,$C373,'TL17'!$J$238:$J$451),0),
IF('TL18'!$B$3=J$3,SUMIF('TL18'!$C$10:$C$224,$C373,'TL18'!$J$10:$J$224),0),
IF('TL18'!$B$229=J$3,SUMIF('TL18'!$C$238:$C$451,$C373,'TL18'!$J$238:$J$451),0),
IF('TL19'!$B$3=J$3,SUMIF('TL19'!$C$10:$C$224,$C373,'TL19'!$J$10:$J$224),0),
IF('TL19'!$B$229=J$3,SUMIF('TL19'!$C$238:$C$451,$C373,'TL19'!$J$238:$J$451),0)
),0)</f>
        <v/>
      </c>
      <c r="K373" s="9">
        <f>IFERROR(SUM(
IF('TL01'!$B$3=K$3,SUMIF('TL01'!$C$10:$C$224,$C373,'TL01'!$J$10:$J$224),0),
IF('TL01'!$B$229=K$3,SUMIF('TL01'!$C$238:$C$451,$C373,'TL01'!$J$238:$J$451),0),
IF('TL02'!$B$3=K$3,SUMIF('TL02'!$C$10:$C$224,$C373,'TL02'!$J$10:$J$224),0),
IF('TL02'!$B$229=K$3,SUMIF('TL02'!$C$238:$C$451,$C373,'TL02'!$J$238:$J$451),0),
IF('TL03'!$B$3=K$3,SUMIF('TL03'!$C$10:$C$224,$C373,'TL03'!$J$10:$J$224),0),
IF('TL03'!$B$229=K$3,SUMIF('TL03'!$C$238:$C$451,$C373,'TL03'!$J$238:$J$451),0),
IF('TL04'!$B$3=K$3,SUMIF('TL04'!$C$10:$C$224,$C373,'TL04'!$J$10:$J$224),0),
IF('TL04'!$B$229=K$3,SUMIF('TL04'!$C$238:$C$451,$C373,'TL04'!$J$238:$J$451),0),
IF('TL05'!$B$3=K$3,SUMIF('TL05'!$C$10:$C$224,$C373,'TL05'!$J$10:$J$224),0),
IF('TL05'!$B$229=K$3,SUMIF('TL05'!$C$238:$C$451,$C373,'TL05'!$J$238:$J$451),0),
IF('TL06'!$B$3=K$3,SUMIF('TL06'!$C$10:$C$224,$C373,'TL06'!$J$10:$J$224),0),
IF('TL06'!$B$229=K$3,SUMIF('TL06'!$C$238:$C$451,$C373,'TL06'!$J$238:$J$451),0),
IF('TL07'!$B$3=K$3,SUMIF('TL07'!$C$10:$C$224,$C373,'TL07'!$J$10:$J$224),0),
IF('TL07'!$B$229=K$3,SUMIF('TL07'!$C$238:$C$451,$C373,'TL07'!$J$238:$J$451),0),
IF('TL08'!$B$3=K$3,SUMIF('TL08'!$C$10:$C$224,$C373,'TL08'!$J$10:$J$224),0),
IF('TL08'!$B$229=K$3,SUMIF('TL08'!$C$238:$C$451,$C373,'TL08'!$J$238:$J$451),0),
IF('TL09'!$B$3=K$3,SUMIF('TL09'!$C$10:$C$224,$C373,'TL09'!$J$10:$J$224),0),
IF('TL09'!$B$229=K$3,SUMIF('TL09'!$C$238:$C$451,$C373,'TL09'!$J$238:$J$451),0),
IF('TL10'!$B$3=K$3,SUMIF('TL10'!$C$10:$C$224,$C373,'TL10'!$J$10:$J$224),0),
IF('TL10'!$B$229=K$3,SUMIF('TL10'!$C$238:$C$451,$C373,'TL10'!$J$238:$J$451),0),
IF('TL11'!$B$3=K$3,SUMIF('TL11'!$C$10:$C$224,$C373,'TL11'!$J$10:$J$224),0),
IF('TL11'!$B$229=K$3,SUMIF('TL11'!$C$238:$C$451,$C373,'TL11'!$J$238:$J$451),0),
IF('TL12'!$B$3=K$3,SUMIF('TL12'!$C$10:$C$224,$C373,'TL12'!$J$10:$J$224),0),
IF('TL12'!$B$229=K$3,SUMIF('TL12'!$C$238:$C$451,$C373,'TL12'!$J$238:$J$451),0),
IF('TL13'!$B$3=K$3,SUMIF('TL13'!$C$10:$C$224,$C373,'TL13'!$J$10:$J$224),0),
IF('TL13'!$B$229=K$3,SUMIF('TL13'!$C$238:$C$451,$C373,'TL13'!$J$238:$J$451),0),
IF('TL14'!$B$3=K$3,SUMIF('TL14'!$C$10:$C$224,$C373,'TL14'!$J$10:$J$224),0),
IF('TL14'!$B$229=K$3,SUMIF('TL14'!$C$238:$C$451,$C373,'TL14'!$J$238:$J$451),0),
IF('TL15'!$B$3=K$3,SUMIF('TL15'!$C$10:$C$224,$C373,'TL15'!$J$10:$J$224),0),
IF('TL15'!$B$229=K$3,SUMIF('TL15'!$C$238:$C$451,$C373,'TL15'!$J$238:$J$451),0),
IF('TL16'!$B$3=K$3,SUMIF('TL16'!$C$10:$C$224,$C373,'TL16'!$J$10:$J$224),0),
IF('TL16'!$B$229=K$3,SUMIF('TL16'!$C$238:$C$451,$C373,'TL16'!$J$238:$J$451),0),
IF('TL17'!$B$3=K$3,SUMIF('TL17'!$C$10:$C$224,$C373,'TL17'!$J$10:$J$224),0),
IF('TL17'!$B$229=K$3,SUMIF('TL17'!$C$238:$C$451,$C373,'TL17'!$J$238:$J$451),0),
IF('TL18'!$B$3=K$3,SUMIF('TL18'!$C$10:$C$224,$C373,'TL18'!$J$10:$J$224),0),
IF('TL18'!$B$229=K$3,SUMIF('TL18'!$C$238:$C$451,$C373,'TL18'!$J$238:$J$451),0),
IF('TL19'!$B$3=K$3,SUMIF('TL19'!$C$10:$C$224,$C373,'TL19'!$J$10:$J$224),0),
IF('TL19'!$B$229=K$3,SUMIF('TL19'!$C$238:$C$451,$C373,'TL19'!$J$238:$J$451),0)
),0)</f>
        <v/>
      </c>
      <c r="L373" s="9">
        <f>IFERROR(SUM(
IF('TL01'!$B$3=L$3,SUMIF('TL01'!$C$10:$C$224,$C373,'TL01'!$J$10:$J$224),0),
IF('TL01'!$B$229=L$3,SUMIF('TL01'!$C$238:$C$451,$C373,'TL01'!$J$238:$J$451),0),
IF('TL02'!$B$3=L$3,SUMIF('TL02'!$C$10:$C$224,$C373,'TL02'!$J$10:$J$224),0),
IF('TL02'!$B$229=L$3,SUMIF('TL02'!$C$238:$C$451,$C373,'TL02'!$J$238:$J$451),0),
IF('TL03'!$B$3=L$3,SUMIF('TL03'!$C$10:$C$224,$C373,'TL03'!$J$10:$J$224),0),
IF('TL03'!$B$229=L$3,SUMIF('TL03'!$C$238:$C$451,$C373,'TL03'!$J$238:$J$451),0),
IF('TL04'!$B$3=L$3,SUMIF('TL04'!$C$10:$C$224,$C373,'TL04'!$J$10:$J$224),0),
IF('TL04'!$B$229=L$3,SUMIF('TL04'!$C$238:$C$451,$C373,'TL04'!$J$238:$J$451),0),
IF('TL05'!$B$3=L$3,SUMIF('TL05'!$C$10:$C$224,$C373,'TL05'!$J$10:$J$224),0),
IF('TL05'!$B$229=L$3,SUMIF('TL05'!$C$238:$C$451,$C373,'TL05'!$J$238:$J$451),0),
IF('TL06'!$B$3=L$3,SUMIF('TL06'!$C$10:$C$224,$C373,'TL06'!$J$10:$J$224),0),
IF('TL06'!$B$229=L$3,SUMIF('TL06'!$C$238:$C$451,$C373,'TL06'!$J$238:$J$451),0),
IF('TL07'!$B$3=L$3,SUMIF('TL07'!$C$10:$C$224,$C373,'TL07'!$J$10:$J$224),0),
IF('TL07'!$B$229=L$3,SUMIF('TL07'!$C$238:$C$451,$C373,'TL07'!$J$238:$J$451),0),
IF('TL08'!$B$3=L$3,SUMIF('TL08'!$C$10:$C$224,$C373,'TL08'!$J$10:$J$224),0),
IF('TL08'!$B$229=L$3,SUMIF('TL08'!$C$238:$C$451,$C373,'TL08'!$J$238:$J$451),0),
IF('TL09'!$B$3=L$3,SUMIF('TL09'!$C$10:$C$224,$C373,'TL09'!$J$10:$J$224),0),
IF('TL09'!$B$229=L$3,SUMIF('TL09'!$C$238:$C$451,$C373,'TL09'!$J$238:$J$451),0),
IF('TL10'!$B$3=L$3,SUMIF('TL10'!$C$10:$C$224,$C373,'TL10'!$J$10:$J$224),0),
IF('TL10'!$B$229=L$3,SUMIF('TL10'!$C$238:$C$451,$C373,'TL10'!$J$238:$J$451),0),
IF('TL11'!$B$3=L$3,SUMIF('TL11'!$C$10:$C$224,$C373,'TL11'!$J$10:$J$224),0),
IF('TL11'!$B$229=L$3,SUMIF('TL11'!$C$238:$C$451,$C373,'TL11'!$J$238:$J$451),0),
IF('TL12'!$B$3=L$3,SUMIF('TL12'!$C$10:$C$224,$C373,'TL12'!$J$10:$J$224),0),
IF('TL12'!$B$229=L$3,SUMIF('TL12'!$C$238:$C$451,$C373,'TL12'!$J$238:$J$451),0),
IF('TL13'!$B$3=L$3,SUMIF('TL13'!$C$10:$C$224,$C373,'TL13'!$J$10:$J$224),0),
IF('TL13'!$B$229=L$3,SUMIF('TL13'!$C$238:$C$451,$C373,'TL13'!$J$238:$J$451),0),
IF('TL14'!$B$3=L$3,SUMIF('TL14'!$C$10:$C$224,$C373,'TL14'!$J$10:$J$224),0),
IF('TL14'!$B$229=L$3,SUMIF('TL14'!$C$238:$C$451,$C373,'TL14'!$J$238:$J$451),0),
IF('TL15'!$B$3=L$3,SUMIF('TL15'!$C$10:$C$224,$C373,'TL15'!$J$10:$J$224),0),
IF('TL15'!$B$229=L$3,SUMIF('TL15'!$C$238:$C$451,$C373,'TL15'!$J$238:$J$451),0),
IF('TL16'!$B$3=L$3,SUMIF('TL16'!$C$10:$C$224,$C373,'TL16'!$J$10:$J$224),0),
IF('TL16'!$B$229=L$3,SUMIF('TL16'!$C$238:$C$451,$C373,'TL16'!$J$238:$J$451),0),
IF('TL17'!$B$3=L$3,SUMIF('TL17'!$C$10:$C$224,$C373,'TL17'!$J$10:$J$224),0),
IF('TL17'!$B$229=L$3,SUMIF('TL17'!$C$238:$C$451,$C373,'TL17'!$J$238:$J$451),0),
IF('TL18'!$B$3=L$3,SUMIF('TL18'!$C$10:$C$224,$C373,'TL18'!$J$10:$J$224),0),
IF('TL18'!$B$229=L$3,SUMIF('TL18'!$C$238:$C$451,$C373,'TL18'!$J$238:$J$451),0),
IF('TL19'!$B$3=L$3,SUMIF('TL19'!$C$10:$C$224,$C373,'TL19'!$J$10:$J$224),0),
IF('TL19'!$B$229=L$3,SUMIF('TL19'!$C$238:$C$451,$C373,'TL19'!$J$238:$J$451),0)
),0)</f>
        <v/>
      </c>
      <c r="M373" s="9">
        <f>IFERROR(SUM(
IF('TL01'!$B$3=M$3,SUMIF('TL01'!$C$10:$C$224,$C373,'TL01'!$J$10:$J$224),0),
IF('TL01'!$B$229=M$3,SUMIF('TL01'!$C$238:$C$451,$C373,'TL01'!$J$238:$J$451),0),
IF('TL02'!$B$3=M$3,SUMIF('TL02'!$C$10:$C$224,$C373,'TL02'!$J$10:$J$224),0),
IF('TL02'!$B$229=M$3,SUMIF('TL02'!$C$238:$C$451,$C373,'TL02'!$J$238:$J$451),0),
IF('TL03'!$B$3=M$3,SUMIF('TL03'!$C$10:$C$224,$C373,'TL03'!$J$10:$J$224),0),
IF('TL03'!$B$229=M$3,SUMIF('TL03'!$C$238:$C$451,$C373,'TL03'!$J$238:$J$451),0),
IF('TL04'!$B$3=M$3,SUMIF('TL04'!$C$10:$C$224,$C373,'TL04'!$J$10:$J$224),0),
IF('TL04'!$B$229=M$3,SUMIF('TL04'!$C$238:$C$451,$C373,'TL04'!$J$238:$J$451),0),
IF('TL05'!$B$3=M$3,SUMIF('TL05'!$C$10:$C$224,$C373,'TL05'!$J$10:$J$224),0),
IF('TL05'!$B$229=M$3,SUMIF('TL05'!$C$238:$C$451,$C373,'TL05'!$J$238:$J$451),0),
IF('TL06'!$B$3=M$3,SUMIF('TL06'!$C$10:$C$224,$C373,'TL06'!$J$10:$J$224),0),
IF('TL06'!$B$229=M$3,SUMIF('TL06'!$C$238:$C$451,$C373,'TL06'!$J$238:$J$451),0),
IF('TL07'!$B$3=M$3,SUMIF('TL07'!$C$10:$C$224,$C373,'TL07'!$J$10:$J$224),0),
IF('TL07'!$B$229=M$3,SUMIF('TL07'!$C$238:$C$451,$C373,'TL07'!$J$238:$J$451),0),
IF('TL08'!$B$3=M$3,SUMIF('TL08'!$C$10:$C$224,$C373,'TL08'!$J$10:$J$224),0),
IF('TL08'!$B$229=M$3,SUMIF('TL08'!$C$238:$C$451,$C373,'TL08'!$J$238:$J$451),0),
IF('TL09'!$B$3=M$3,SUMIF('TL09'!$C$10:$C$224,$C373,'TL09'!$J$10:$J$224),0),
IF('TL09'!$B$229=M$3,SUMIF('TL09'!$C$238:$C$451,$C373,'TL09'!$J$238:$J$451),0),
IF('TL10'!$B$3=M$3,SUMIF('TL10'!$C$10:$C$224,$C373,'TL10'!$J$10:$J$224),0),
IF('TL10'!$B$229=M$3,SUMIF('TL10'!$C$238:$C$451,$C373,'TL10'!$J$238:$J$451),0),
IF('TL11'!$B$3=M$3,SUMIF('TL11'!$C$10:$C$224,$C373,'TL11'!$J$10:$J$224),0),
IF('TL11'!$B$229=M$3,SUMIF('TL11'!$C$238:$C$451,$C373,'TL11'!$J$238:$J$451),0),
IF('TL12'!$B$3=M$3,SUMIF('TL12'!$C$10:$C$224,$C373,'TL12'!$J$10:$J$224),0),
IF('TL12'!$B$229=M$3,SUMIF('TL12'!$C$238:$C$451,$C373,'TL12'!$J$238:$J$451),0),
IF('TL13'!$B$3=M$3,SUMIF('TL13'!$C$10:$C$224,$C373,'TL13'!$J$10:$J$224),0),
IF('TL13'!$B$229=M$3,SUMIF('TL13'!$C$238:$C$451,$C373,'TL13'!$J$238:$J$451),0),
IF('TL14'!$B$3=M$3,SUMIF('TL14'!$C$10:$C$224,$C373,'TL14'!$J$10:$J$224),0),
IF('TL14'!$B$229=M$3,SUMIF('TL14'!$C$238:$C$451,$C373,'TL14'!$J$238:$J$451),0),
IF('TL15'!$B$3=M$3,SUMIF('TL15'!$C$10:$C$224,$C373,'TL15'!$J$10:$J$224),0),
IF('TL15'!$B$229=M$3,SUMIF('TL15'!$C$238:$C$451,$C373,'TL15'!$J$238:$J$451),0),
IF('TL16'!$B$3=M$3,SUMIF('TL16'!$C$10:$C$224,$C373,'TL16'!$J$10:$J$224),0),
IF('TL16'!$B$229=M$3,SUMIF('TL16'!$C$238:$C$451,$C373,'TL16'!$J$238:$J$451),0),
IF('TL17'!$B$3=M$3,SUMIF('TL17'!$C$10:$C$224,$C373,'TL17'!$J$10:$J$224),0),
IF('TL17'!$B$229=M$3,SUMIF('TL17'!$C$238:$C$451,$C373,'TL17'!$J$238:$J$451),0),
IF('TL18'!$B$3=M$3,SUMIF('TL18'!$C$10:$C$224,$C373,'TL18'!$J$10:$J$224),0),
IF('TL18'!$B$229=M$3,SUMIF('TL18'!$C$238:$C$451,$C373,'TL18'!$J$238:$J$451),0),
IF('TL19'!$B$3=M$3,SUMIF('TL19'!$C$10:$C$224,$C373,'TL19'!$J$10:$J$224),0),
IF('TL19'!$B$229=M$3,SUMIF('TL19'!$C$238:$C$451,$C373,'TL19'!$J$238:$J$451),0)
),0)</f>
        <v/>
      </c>
      <c r="N373" s="9">
        <f>IFERROR(SUM(
IF('TL01'!$B$3=N$3,SUMIF('TL01'!$C$10:$C$224,$C373,'TL01'!$J$10:$J$224),0),
IF('TL01'!$B$229=N$3,SUMIF('TL01'!$C$238:$C$451,$C373,'TL01'!$J$238:$J$451),0),
IF('TL02'!$B$3=N$3,SUMIF('TL02'!$C$10:$C$224,$C373,'TL02'!$J$10:$J$224),0),
IF('TL02'!$B$229=N$3,SUMIF('TL02'!$C$238:$C$451,$C373,'TL02'!$J$238:$J$451),0),
IF('TL03'!$B$3=N$3,SUMIF('TL03'!$C$10:$C$224,$C373,'TL03'!$J$10:$J$224),0),
IF('TL03'!$B$229=N$3,SUMIF('TL03'!$C$238:$C$451,$C373,'TL03'!$J$238:$J$451),0),
IF('TL04'!$B$3=N$3,SUMIF('TL04'!$C$10:$C$224,$C373,'TL04'!$J$10:$J$224),0),
IF('TL04'!$B$229=N$3,SUMIF('TL04'!$C$238:$C$451,$C373,'TL04'!$J$238:$J$451),0),
IF('TL05'!$B$3=N$3,SUMIF('TL05'!$C$10:$C$224,$C373,'TL05'!$J$10:$J$224),0),
IF('TL05'!$B$229=N$3,SUMIF('TL05'!$C$238:$C$451,$C373,'TL05'!$J$238:$J$451),0),
IF('TL06'!$B$3=N$3,SUMIF('TL06'!$C$10:$C$224,$C373,'TL06'!$J$10:$J$224),0),
IF('TL06'!$B$229=N$3,SUMIF('TL06'!$C$238:$C$451,$C373,'TL06'!$J$238:$J$451),0),
IF('TL07'!$B$3=N$3,SUMIF('TL07'!$C$10:$C$224,$C373,'TL07'!$J$10:$J$224),0),
IF('TL07'!$B$229=N$3,SUMIF('TL07'!$C$238:$C$451,$C373,'TL07'!$J$238:$J$451),0),
IF('TL08'!$B$3=N$3,SUMIF('TL08'!$C$10:$C$224,$C373,'TL08'!$J$10:$J$224),0),
IF('TL08'!$B$229=N$3,SUMIF('TL08'!$C$238:$C$451,$C373,'TL08'!$J$238:$J$451),0),
IF('TL09'!$B$3=N$3,SUMIF('TL09'!$C$10:$C$224,$C373,'TL09'!$J$10:$J$224),0),
IF('TL09'!$B$229=N$3,SUMIF('TL09'!$C$238:$C$451,$C373,'TL09'!$J$238:$J$451),0),
IF('TL10'!$B$3=N$3,SUMIF('TL10'!$C$10:$C$224,$C373,'TL10'!$J$10:$J$224),0),
IF('TL10'!$B$229=N$3,SUMIF('TL10'!$C$238:$C$451,$C373,'TL10'!$J$238:$J$451),0),
IF('TL11'!$B$3=N$3,SUMIF('TL11'!$C$10:$C$224,$C373,'TL11'!$J$10:$J$224),0),
IF('TL11'!$B$229=N$3,SUMIF('TL11'!$C$238:$C$451,$C373,'TL11'!$J$238:$J$451),0),
IF('TL12'!$B$3=N$3,SUMIF('TL12'!$C$10:$C$224,$C373,'TL12'!$J$10:$J$224),0),
IF('TL12'!$B$229=N$3,SUMIF('TL12'!$C$238:$C$451,$C373,'TL12'!$J$238:$J$451),0),
IF('TL13'!$B$3=N$3,SUMIF('TL13'!$C$10:$C$224,$C373,'TL13'!$J$10:$J$224),0),
IF('TL13'!$B$229=N$3,SUMIF('TL13'!$C$238:$C$451,$C373,'TL13'!$J$238:$J$451),0),
IF('TL14'!$B$3=N$3,SUMIF('TL14'!$C$10:$C$224,$C373,'TL14'!$J$10:$J$224),0),
IF('TL14'!$B$229=N$3,SUMIF('TL14'!$C$238:$C$451,$C373,'TL14'!$J$238:$J$451),0),
IF('TL15'!$B$3=N$3,SUMIF('TL15'!$C$10:$C$224,$C373,'TL15'!$J$10:$J$224),0),
IF('TL15'!$B$229=N$3,SUMIF('TL15'!$C$238:$C$451,$C373,'TL15'!$J$238:$J$451),0),
IF('TL16'!$B$3=N$3,SUMIF('TL16'!$C$10:$C$224,$C373,'TL16'!$J$10:$J$224),0),
IF('TL16'!$B$229=N$3,SUMIF('TL16'!$C$238:$C$451,$C373,'TL16'!$J$238:$J$451),0),
IF('TL17'!$B$3=N$3,SUMIF('TL17'!$C$10:$C$224,$C373,'TL17'!$J$10:$J$224),0),
IF('TL17'!$B$229=N$3,SUMIF('TL17'!$C$238:$C$451,$C373,'TL17'!$J$238:$J$451),0),
IF('TL18'!$B$3=N$3,SUMIF('TL18'!$C$10:$C$224,$C373,'TL18'!$J$10:$J$224),0),
IF('TL18'!$B$229=N$3,SUMIF('TL18'!$C$238:$C$451,$C373,'TL18'!$J$238:$J$451),0),
IF('TL19'!$B$3=N$3,SUMIF('TL19'!$C$10:$C$224,$C373,'TL19'!$J$10:$J$224),0),
IF('TL19'!$B$229=N$3,SUMIF('TL19'!$C$238:$C$451,$C373,'TL19'!$J$238:$J$451),0)
),0)</f>
        <v/>
      </c>
      <c r="O373" s="9">
        <f>IFERROR(SUM(
IF('TL01'!$B$3=O$3,SUMIF('TL01'!$C$10:$C$224,$C373,'TL01'!$J$10:$J$224),0),
IF('TL01'!$B$229=O$3,SUMIF('TL01'!$C$238:$C$451,$C373,'TL01'!$J$238:$J$451),0),
IF('TL02'!$B$3=O$3,SUMIF('TL02'!$C$10:$C$224,$C373,'TL02'!$J$10:$J$224),0),
IF('TL02'!$B$229=O$3,SUMIF('TL02'!$C$238:$C$451,$C373,'TL02'!$J$238:$J$451),0),
IF('TL03'!$B$3=O$3,SUMIF('TL03'!$C$10:$C$224,$C373,'TL03'!$J$10:$J$224),0),
IF('TL03'!$B$229=O$3,SUMIF('TL03'!$C$238:$C$451,$C373,'TL03'!$J$238:$J$451),0),
IF('TL04'!$B$3=O$3,SUMIF('TL04'!$C$10:$C$224,$C373,'TL04'!$J$10:$J$224),0),
IF('TL04'!$B$229=O$3,SUMIF('TL04'!$C$238:$C$451,$C373,'TL04'!$J$238:$J$451),0),
IF('TL05'!$B$3=O$3,SUMIF('TL05'!$C$10:$C$224,$C373,'TL05'!$J$10:$J$224),0),
IF('TL05'!$B$229=O$3,SUMIF('TL05'!$C$238:$C$451,$C373,'TL05'!$J$238:$J$451),0),
IF('TL06'!$B$3=O$3,SUMIF('TL06'!$C$10:$C$224,$C373,'TL06'!$J$10:$J$224),0),
IF('TL06'!$B$229=O$3,SUMIF('TL06'!$C$238:$C$451,$C373,'TL06'!$J$238:$J$451),0),
IF('TL07'!$B$3=O$3,SUMIF('TL07'!$C$10:$C$224,$C373,'TL07'!$J$10:$J$224),0),
IF('TL07'!$B$229=O$3,SUMIF('TL07'!$C$238:$C$451,$C373,'TL07'!$J$238:$J$451),0),
IF('TL08'!$B$3=O$3,SUMIF('TL08'!$C$10:$C$224,$C373,'TL08'!$J$10:$J$224),0),
IF('TL08'!$B$229=O$3,SUMIF('TL08'!$C$238:$C$451,$C373,'TL08'!$J$238:$J$451),0),
IF('TL09'!$B$3=O$3,SUMIF('TL09'!$C$10:$C$224,$C373,'TL09'!$J$10:$J$224),0),
IF('TL09'!$B$229=O$3,SUMIF('TL09'!$C$238:$C$451,$C373,'TL09'!$J$238:$J$451),0),
IF('TL10'!$B$3=O$3,SUMIF('TL10'!$C$10:$C$224,$C373,'TL10'!$J$10:$J$224),0),
IF('TL10'!$B$229=O$3,SUMIF('TL10'!$C$238:$C$451,$C373,'TL10'!$J$238:$J$451),0),
IF('TL11'!$B$3=O$3,SUMIF('TL11'!$C$10:$C$224,$C373,'TL11'!$J$10:$J$224),0),
IF('TL11'!$B$229=O$3,SUMIF('TL11'!$C$238:$C$451,$C373,'TL11'!$J$238:$J$451),0),
IF('TL12'!$B$3=O$3,SUMIF('TL12'!$C$10:$C$224,$C373,'TL12'!$J$10:$J$224),0),
IF('TL12'!$B$229=O$3,SUMIF('TL12'!$C$238:$C$451,$C373,'TL12'!$J$238:$J$451),0),
IF('TL13'!$B$3=O$3,SUMIF('TL13'!$C$10:$C$224,$C373,'TL13'!$J$10:$J$224),0),
IF('TL13'!$B$229=O$3,SUMIF('TL13'!$C$238:$C$451,$C373,'TL13'!$J$238:$J$451),0),
IF('TL14'!$B$3=O$3,SUMIF('TL14'!$C$10:$C$224,$C373,'TL14'!$J$10:$J$224),0),
IF('TL14'!$B$229=O$3,SUMIF('TL14'!$C$238:$C$451,$C373,'TL14'!$J$238:$J$451),0),
IF('TL15'!$B$3=O$3,SUMIF('TL15'!$C$10:$C$224,$C373,'TL15'!$J$10:$J$224),0),
IF('TL15'!$B$229=O$3,SUMIF('TL15'!$C$238:$C$451,$C373,'TL15'!$J$238:$J$451),0),
IF('TL16'!$B$3=O$3,SUMIF('TL16'!$C$10:$C$224,$C373,'TL16'!$J$10:$J$224),0),
IF('TL16'!$B$229=O$3,SUMIF('TL16'!$C$238:$C$451,$C373,'TL16'!$J$238:$J$451),0),
IF('TL17'!$B$3=O$3,SUMIF('TL17'!$C$10:$C$224,$C373,'TL17'!$J$10:$J$224),0),
IF('TL17'!$B$229=O$3,SUMIF('TL17'!$C$238:$C$451,$C373,'TL17'!$J$238:$J$451),0),
IF('TL18'!$B$3=O$3,SUMIF('TL18'!$C$10:$C$224,$C373,'TL18'!$J$10:$J$224),0),
IF('TL18'!$B$229=O$3,SUMIF('TL18'!$C$238:$C$451,$C373,'TL18'!$J$238:$J$451),0),
IF('TL19'!$B$3=O$3,SUMIF('TL19'!$C$10:$C$224,$C373,'TL19'!$J$10:$J$224),0),
IF('TL19'!$B$229=O$3,SUMIF('TL19'!$C$238:$C$451,$C373,'TL19'!$J$238:$J$451),0)
),0)</f>
        <v/>
      </c>
      <c r="P373" s="9">
        <f>IFERROR(SUM(
IF('TL01'!$B$3=P$3,SUMIF('TL01'!$C$10:$C$224,$C373,'TL01'!$J$10:$J$224),0),
IF('TL01'!$B$229=P$3,SUMIF('TL01'!$C$238:$C$451,$C373,'TL01'!$J$238:$J$451),0),
IF('TL02'!$B$3=P$3,SUMIF('TL02'!$C$10:$C$224,$C373,'TL02'!$J$10:$J$224),0),
IF('TL02'!$B$229=P$3,SUMIF('TL02'!$C$238:$C$451,$C373,'TL02'!$J$238:$J$451),0),
IF('TL03'!$B$3=P$3,SUMIF('TL03'!$C$10:$C$224,$C373,'TL03'!$J$10:$J$224),0),
IF('TL03'!$B$229=P$3,SUMIF('TL03'!$C$238:$C$451,$C373,'TL03'!$J$238:$J$451),0),
IF('TL04'!$B$3=P$3,SUMIF('TL04'!$C$10:$C$224,$C373,'TL04'!$J$10:$J$224),0),
IF('TL04'!$B$229=P$3,SUMIF('TL04'!$C$238:$C$451,$C373,'TL04'!$J$238:$J$451),0),
IF('TL05'!$B$3=P$3,SUMIF('TL05'!$C$10:$C$224,$C373,'TL05'!$J$10:$J$224),0),
IF('TL05'!$B$229=P$3,SUMIF('TL05'!$C$238:$C$451,$C373,'TL05'!$J$238:$J$451),0),
IF('TL06'!$B$3=P$3,SUMIF('TL06'!$C$10:$C$224,$C373,'TL06'!$J$10:$J$224),0),
IF('TL06'!$B$229=P$3,SUMIF('TL06'!$C$238:$C$451,$C373,'TL06'!$J$238:$J$451),0),
IF('TL07'!$B$3=P$3,SUMIF('TL07'!$C$10:$C$224,$C373,'TL07'!$J$10:$J$224),0),
IF('TL07'!$B$229=P$3,SUMIF('TL07'!$C$238:$C$451,$C373,'TL07'!$J$238:$J$451),0),
IF('TL08'!$B$3=P$3,SUMIF('TL08'!$C$10:$C$224,$C373,'TL08'!$J$10:$J$224),0),
IF('TL08'!$B$229=P$3,SUMIF('TL08'!$C$238:$C$451,$C373,'TL08'!$J$238:$J$451),0),
IF('TL09'!$B$3=P$3,SUMIF('TL09'!$C$10:$C$224,$C373,'TL09'!$J$10:$J$224),0),
IF('TL09'!$B$229=P$3,SUMIF('TL09'!$C$238:$C$451,$C373,'TL09'!$J$238:$J$451),0),
IF('TL10'!$B$3=P$3,SUMIF('TL10'!$C$10:$C$224,$C373,'TL10'!$J$10:$J$224),0),
IF('TL10'!$B$229=P$3,SUMIF('TL10'!$C$238:$C$451,$C373,'TL10'!$J$238:$J$451),0),
IF('TL11'!$B$3=P$3,SUMIF('TL11'!$C$10:$C$224,$C373,'TL11'!$J$10:$J$224),0),
IF('TL11'!$B$229=P$3,SUMIF('TL11'!$C$238:$C$451,$C373,'TL11'!$J$238:$J$451),0),
IF('TL12'!$B$3=P$3,SUMIF('TL12'!$C$10:$C$224,$C373,'TL12'!$J$10:$J$224),0),
IF('TL12'!$B$229=P$3,SUMIF('TL12'!$C$238:$C$451,$C373,'TL12'!$J$238:$J$451),0),
IF('TL13'!$B$3=P$3,SUMIF('TL13'!$C$10:$C$224,$C373,'TL13'!$J$10:$J$224),0),
IF('TL13'!$B$229=P$3,SUMIF('TL13'!$C$238:$C$451,$C373,'TL13'!$J$238:$J$451),0),
IF('TL14'!$B$3=P$3,SUMIF('TL14'!$C$10:$C$224,$C373,'TL14'!$J$10:$J$224),0),
IF('TL14'!$B$229=P$3,SUMIF('TL14'!$C$238:$C$451,$C373,'TL14'!$J$238:$J$451),0),
IF('TL15'!$B$3=P$3,SUMIF('TL15'!$C$10:$C$224,$C373,'TL15'!$J$10:$J$224),0),
IF('TL15'!$B$229=P$3,SUMIF('TL15'!$C$238:$C$451,$C373,'TL15'!$J$238:$J$451),0),
IF('TL16'!$B$3=P$3,SUMIF('TL16'!$C$10:$C$224,$C373,'TL16'!$J$10:$J$224),0),
IF('TL16'!$B$229=P$3,SUMIF('TL16'!$C$238:$C$451,$C373,'TL16'!$J$238:$J$451),0),
IF('TL17'!$B$3=P$3,SUMIF('TL17'!$C$10:$C$224,$C373,'TL17'!$J$10:$J$224),0),
IF('TL17'!$B$229=P$3,SUMIF('TL17'!$C$238:$C$451,$C373,'TL17'!$J$238:$J$451),0),
IF('TL18'!$B$3=P$3,SUMIF('TL18'!$C$10:$C$224,$C373,'TL18'!$J$10:$J$224),0),
IF('TL18'!$B$229=P$3,SUMIF('TL18'!$C$238:$C$451,$C373,'TL18'!$J$238:$J$451),0),
IF('TL19'!$B$3=P$3,SUMIF('TL19'!$C$10:$C$224,$C373,'TL19'!$J$10:$J$224),0),
IF('TL19'!$B$229=P$3,SUMIF('TL19'!$C$238:$C$451,$C373,'TL19'!$J$238:$J$451),0)
),0)</f>
        <v/>
      </c>
      <c r="Q373" s="9">
        <f>IFERROR(SUM(
IF('TL01'!$B$3=Q$3,SUMIF('TL01'!$C$10:$C$224,$C373,'TL01'!$J$10:$J$224),0),
IF('TL01'!$B$229=Q$3,SUMIF('TL01'!$C$238:$C$451,$C373,'TL01'!$J$238:$J$451),0),
IF('TL02'!$B$3=Q$3,SUMIF('TL02'!$C$10:$C$224,$C373,'TL02'!$J$10:$J$224),0),
IF('TL02'!$B$229=Q$3,SUMIF('TL02'!$C$238:$C$451,$C373,'TL02'!$J$238:$J$451),0),
IF('TL03'!$B$3=Q$3,SUMIF('TL03'!$C$10:$C$224,$C373,'TL03'!$J$10:$J$224),0),
IF('TL03'!$B$229=Q$3,SUMIF('TL03'!$C$238:$C$451,$C373,'TL03'!$J$238:$J$451),0),
IF('TL04'!$B$3=Q$3,SUMIF('TL04'!$C$10:$C$224,$C373,'TL04'!$J$10:$J$224),0),
IF('TL04'!$B$229=Q$3,SUMIF('TL04'!$C$238:$C$451,$C373,'TL04'!$J$238:$J$451),0),
IF('TL05'!$B$3=Q$3,SUMIF('TL05'!$C$10:$C$224,$C373,'TL05'!$J$10:$J$224),0),
IF('TL05'!$B$229=Q$3,SUMIF('TL05'!$C$238:$C$451,$C373,'TL05'!$J$238:$J$451),0),
IF('TL06'!$B$3=Q$3,SUMIF('TL06'!$C$10:$C$224,$C373,'TL06'!$J$10:$J$224),0),
IF('TL06'!$B$229=Q$3,SUMIF('TL06'!$C$238:$C$451,$C373,'TL06'!$J$238:$J$451),0),
IF('TL07'!$B$3=Q$3,SUMIF('TL07'!$C$10:$C$224,$C373,'TL07'!$J$10:$J$224),0),
IF('TL07'!$B$229=Q$3,SUMIF('TL07'!$C$238:$C$451,$C373,'TL07'!$J$238:$J$451),0),
IF('TL08'!$B$3=Q$3,SUMIF('TL08'!$C$10:$C$224,$C373,'TL08'!$J$10:$J$224),0),
IF('TL08'!$B$229=Q$3,SUMIF('TL08'!$C$238:$C$451,$C373,'TL08'!$J$238:$J$451),0),
IF('TL09'!$B$3=Q$3,SUMIF('TL09'!$C$10:$C$224,$C373,'TL09'!$J$10:$J$224),0),
IF('TL09'!$B$229=Q$3,SUMIF('TL09'!$C$238:$C$451,$C373,'TL09'!$J$238:$J$451),0),
IF('TL10'!$B$3=Q$3,SUMIF('TL10'!$C$10:$C$224,$C373,'TL10'!$J$10:$J$224),0),
IF('TL10'!$B$229=Q$3,SUMIF('TL10'!$C$238:$C$451,$C373,'TL10'!$J$238:$J$451),0),
IF('TL11'!$B$3=Q$3,SUMIF('TL11'!$C$10:$C$224,$C373,'TL11'!$J$10:$J$224),0),
IF('TL11'!$B$229=Q$3,SUMIF('TL11'!$C$238:$C$451,$C373,'TL11'!$J$238:$J$451),0),
IF('TL12'!$B$3=Q$3,SUMIF('TL12'!$C$10:$C$224,$C373,'TL12'!$J$10:$J$224),0),
IF('TL12'!$B$229=Q$3,SUMIF('TL12'!$C$238:$C$451,$C373,'TL12'!$J$238:$J$451),0),
IF('TL13'!$B$3=Q$3,SUMIF('TL13'!$C$10:$C$224,$C373,'TL13'!$J$10:$J$224),0),
IF('TL13'!$B$229=Q$3,SUMIF('TL13'!$C$238:$C$451,$C373,'TL13'!$J$238:$J$451),0),
IF('TL14'!$B$3=Q$3,SUMIF('TL14'!$C$10:$C$224,$C373,'TL14'!$J$10:$J$224),0),
IF('TL14'!$B$229=Q$3,SUMIF('TL14'!$C$238:$C$451,$C373,'TL14'!$J$238:$J$451),0),
IF('TL15'!$B$3=Q$3,SUMIF('TL15'!$C$10:$C$224,$C373,'TL15'!$J$10:$J$224),0),
IF('TL15'!$B$229=Q$3,SUMIF('TL15'!$C$238:$C$451,$C373,'TL15'!$J$238:$J$451),0),
IF('TL16'!$B$3=Q$3,SUMIF('TL16'!$C$10:$C$224,$C373,'TL16'!$J$10:$J$224),0),
IF('TL16'!$B$229=Q$3,SUMIF('TL16'!$C$238:$C$451,$C373,'TL16'!$J$238:$J$451),0),
IF('TL17'!$B$3=Q$3,SUMIF('TL17'!$C$10:$C$224,$C373,'TL17'!$J$10:$J$224),0),
IF('TL17'!$B$229=Q$3,SUMIF('TL17'!$C$238:$C$451,$C373,'TL17'!$J$238:$J$451),0),
IF('TL18'!$B$3=Q$3,SUMIF('TL18'!$C$10:$C$224,$C373,'TL18'!$J$10:$J$224),0),
IF('TL18'!$B$229=Q$3,SUMIF('TL18'!$C$238:$C$451,$C373,'TL18'!$J$238:$J$451),0),
IF('TL19'!$B$3=Q$3,SUMIF('TL19'!$C$10:$C$224,$C373,'TL19'!$J$10:$J$224),0),
IF('TL19'!$B$229=Q$3,SUMIF('TL19'!$C$238:$C$451,$C373,'TL19'!$J$238:$J$451),0)
),0)</f>
        <v/>
      </c>
      <c r="R373" s="9">
        <f>IFERROR(
SUM(
SUMIF('TL01'!C:C,C373,'TL01'!J:J),
SUMIF('TL02'!C:C,C373,'TL02'!J:J),
SUMIF('TL03'!C:C,C373,'TL03'!J:J),
SUMIF('TL04'!C:C,C373,'TL04'!J:J),
SUMIF('TL05'!C:C,C373,'TL05'!J:J),
SUMIF('TL06'!C:C,C373,'TL06'!J:J),
SUMIF('TL07'!C:C,C373,'TL07'!J:J),
SUMIF('TL08'!C:C,C373,'TL08'!J:J),
SUMIF('TL09'!C:C,C373,'TL09'!J:J),
SUMIF('TL10'!C:C,C373,'TL10'!J:J),
SUMIF('TL11'!C:C,C373,'TL11'!J:J),
SUMIF('TL12'!C:C,C373,'TL12'!J:J),
SUMIF('TL13'!C:C,C373,'TL13'!J:J),
SUMIF('TL14'!C:C,C373,'TL14'!J:J),
SUMIF('TL15'!C:C,C373,'TL15'!J:J),
SUMIF('TL16'!C:C,C373,'TL16'!J:J),
SUMIF('TL17'!C:C,C373,'TL17'!J:J),
SUMIF('TL18'!C:C,C373,'TL18'!J:J),SUMIF('TL19'!C:C,C373,'TL19'!J:J))
,0)</f>
        <v/>
      </c>
      <c r="S373" s="17">
        <f>IFERROR(__xludf.DUMMYFUNCTION("IFERROR(VLOOKUP(C373,
IMPORTRANGE(""1wULbzX32WdYsx-lj2U3uUNBBe2INVIRDtcK0d-Dvl90"",
""26-27!C:G""),
5,
FALSE),
"""")"),14.72)</f>
        <v/>
      </c>
      <c r="T373" s="9" t="n"/>
      <c r="U373" s="92">
        <f>MAX(0,R373-T373)</f>
        <v/>
      </c>
      <c r="V373" s="93">
        <f>U373*S373</f>
        <v/>
      </c>
    </row>
    <row r="374" ht="15.75" customHeight="1" s="297">
      <c r="A374" s="4" t="inlineStr">
        <is>
          <t>SOLUBIO</t>
        </is>
      </c>
      <c r="B374" s="4" t="inlineStr">
        <is>
          <t>NUTRIÇÃO</t>
        </is>
      </c>
      <c r="C374" s="126" t="inlineStr">
        <is>
          <t>Potenza NiCoMo</t>
        </is>
      </c>
      <c r="D374" s="127" t="inlineStr">
        <is>
          <t>Nutrifarm</t>
        </is>
      </c>
      <c r="E374" s="20" t="n"/>
      <c r="F374" s="4" t="inlineStr">
        <is>
          <t>L</t>
        </is>
      </c>
      <c r="G374" s="90">
        <f>HYPERLINK("https://www.google.com/search?q=" &amp; C374 &amp; "+bula+agrofit+pdf", "📄 Ver bula")</f>
        <v/>
      </c>
      <c r="H374" s="9" t="n">
        <v>0.2</v>
      </c>
      <c r="I374" s="123" t="n"/>
      <c r="J374" s="9">
        <f>IFERROR(SUM(
IF('TL01'!$B$3=J$3,SUMIF('TL01'!$C$10:$C$224,$C374,'TL01'!$J$10:$J$224),0),
IF('TL01'!$B$229=J$3,SUMIF('TL01'!$C$238:$C$451,$C374,'TL01'!$J$238:$J$451),0),
IF('TL02'!$B$3=J$3,SUMIF('TL02'!$C$10:$C$224,$C374,'TL02'!$J$10:$J$224),0),
IF('TL02'!$B$229=J$3,SUMIF('TL02'!$C$238:$C$451,$C374,'TL02'!$J$238:$J$451),0),
IF('TL03'!$B$3=J$3,SUMIF('TL03'!$C$10:$C$224,$C374,'TL03'!$J$10:$J$224),0),
IF('TL03'!$B$229=J$3,SUMIF('TL03'!$C$238:$C$451,$C374,'TL03'!$J$238:$J$451),0),
IF('TL04'!$B$3=J$3,SUMIF('TL04'!$C$10:$C$224,$C374,'TL04'!$J$10:$J$224),0),
IF('TL04'!$B$229=J$3,SUMIF('TL04'!$C$238:$C$451,$C374,'TL04'!$J$238:$J$451),0),
IF('TL05'!$B$3=J$3,SUMIF('TL05'!$C$10:$C$224,$C374,'TL05'!$J$10:$J$224),0),
IF('TL05'!$B$229=J$3,SUMIF('TL05'!$C$238:$C$451,$C374,'TL05'!$J$238:$J$451),0),
IF('TL06'!$B$3=J$3,SUMIF('TL06'!$C$10:$C$224,$C374,'TL06'!$J$10:$J$224),0),
IF('TL06'!$B$229=J$3,SUMIF('TL06'!$C$238:$C$451,$C374,'TL06'!$J$238:$J$451),0),
IF('TL07'!$B$3=J$3,SUMIF('TL07'!$C$10:$C$224,$C374,'TL07'!$J$10:$J$224),0),
IF('TL07'!$B$229=J$3,SUMIF('TL07'!$C$238:$C$451,$C374,'TL07'!$J$238:$J$451),0),
IF('TL08'!$B$3=J$3,SUMIF('TL08'!$C$10:$C$224,$C374,'TL08'!$J$10:$J$224),0),
IF('TL08'!$B$229=J$3,SUMIF('TL08'!$C$238:$C$451,$C374,'TL08'!$J$238:$J$451),0),
IF('TL09'!$B$3=J$3,SUMIF('TL09'!$C$10:$C$224,$C374,'TL09'!$J$10:$J$224),0),
IF('TL09'!$B$229=J$3,SUMIF('TL09'!$C$238:$C$451,$C374,'TL09'!$J$238:$J$451),0),
IF('TL10'!$B$3=J$3,SUMIF('TL10'!$C$10:$C$224,$C374,'TL10'!$J$10:$J$224),0),
IF('TL10'!$B$229=J$3,SUMIF('TL10'!$C$238:$C$451,$C374,'TL10'!$J$238:$J$451),0),
IF('TL11'!$B$3=J$3,SUMIF('TL11'!$C$10:$C$224,$C374,'TL11'!$J$10:$J$224),0),
IF('TL11'!$B$229=J$3,SUMIF('TL11'!$C$238:$C$451,$C374,'TL11'!$J$238:$J$451),0),
IF('TL12'!$B$3=J$3,SUMIF('TL12'!$C$10:$C$224,$C374,'TL12'!$J$10:$J$224),0),
IF('TL12'!$B$229=J$3,SUMIF('TL12'!$C$238:$C$451,$C374,'TL12'!$J$238:$J$451),0),
IF('TL13'!$B$3=J$3,SUMIF('TL13'!$C$10:$C$224,$C374,'TL13'!$J$10:$J$224),0),
IF('TL13'!$B$229=J$3,SUMIF('TL13'!$C$238:$C$451,$C374,'TL13'!$J$238:$J$451),0),
IF('TL14'!$B$3=J$3,SUMIF('TL14'!$C$10:$C$224,$C374,'TL14'!$J$10:$J$224),0),
IF('TL14'!$B$229=J$3,SUMIF('TL14'!$C$238:$C$451,$C374,'TL14'!$J$238:$J$451),0),
IF('TL15'!$B$3=J$3,SUMIF('TL15'!$C$10:$C$224,$C374,'TL15'!$J$10:$J$224),0),
IF('TL15'!$B$229=J$3,SUMIF('TL15'!$C$238:$C$451,$C374,'TL15'!$J$238:$J$451),0),
IF('TL16'!$B$3=J$3,SUMIF('TL16'!$C$10:$C$224,$C374,'TL16'!$J$10:$J$224),0),
IF('TL16'!$B$229=J$3,SUMIF('TL16'!$C$238:$C$451,$C374,'TL16'!$J$238:$J$451),0),
IF('TL17'!$B$3=J$3,SUMIF('TL17'!$C$10:$C$224,$C374,'TL17'!$J$10:$J$224),0),
IF('TL17'!$B$229=J$3,SUMIF('TL17'!$C$238:$C$451,$C374,'TL17'!$J$238:$J$451),0),
IF('TL18'!$B$3=J$3,SUMIF('TL18'!$C$10:$C$224,$C374,'TL18'!$J$10:$J$224),0),
IF('TL18'!$B$229=J$3,SUMIF('TL18'!$C$238:$C$451,$C374,'TL18'!$J$238:$J$451),0),
IF('TL19'!$B$3=J$3,SUMIF('TL19'!$C$10:$C$224,$C374,'TL19'!$J$10:$J$224),0),
IF('TL19'!$B$229=J$3,SUMIF('TL19'!$C$238:$C$451,$C374,'TL19'!$J$238:$J$451),0)
),0)</f>
        <v/>
      </c>
      <c r="K374" s="9">
        <f>IFERROR(SUM(
IF('TL01'!$B$3=K$3,SUMIF('TL01'!$C$10:$C$224,$C374,'TL01'!$J$10:$J$224),0),
IF('TL01'!$B$229=K$3,SUMIF('TL01'!$C$238:$C$451,$C374,'TL01'!$J$238:$J$451),0),
IF('TL02'!$B$3=K$3,SUMIF('TL02'!$C$10:$C$224,$C374,'TL02'!$J$10:$J$224),0),
IF('TL02'!$B$229=K$3,SUMIF('TL02'!$C$238:$C$451,$C374,'TL02'!$J$238:$J$451),0),
IF('TL03'!$B$3=K$3,SUMIF('TL03'!$C$10:$C$224,$C374,'TL03'!$J$10:$J$224),0),
IF('TL03'!$B$229=K$3,SUMIF('TL03'!$C$238:$C$451,$C374,'TL03'!$J$238:$J$451),0),
IF('TL04'!$B$3=K$3,SUMIF('TL04'!$C$10:$C$224,$C374,'TL04'!$J$10:$J$224),0),
IF('TL04'!$B$229=K$3,SUMIF('TL04'!$C$238:$C$451,$C374,'TL04'!$J$238:$J$451),0),
IF('TL05'!$B$3=K$3,SUMIF('TL05'!$C$10:$C$224,$C374,'TL05'!$J$10:$J$224),0),
IF('TL05'!$B$229=K$3,SUMIF('TL05'!$C$238:$C$451,$C374,'TL05'!$J$238:$J$451),0),
IF('TL06'!$B$3=K$3,SUMIF('TL06'!$C$10:$C$224,$C374,'TL06'!$J$10:$J$224),0),
IF('TL06'!$B$229=K$3,SUMIF('TL06'!$C$238:$C$451,$C374,'TL06'!$J$238:$J$451),0),
IF('TL07'!$B$3=K$3,SUMIF('TL07'!$C$10:$C$224,$C374,'TL07'!$J$10:$J$224),0),
IF('TL07'!$B$229=K$3,SUMIF('TL07'!$C$238:$C$451,$C374,'TL07'!$J$238:$J$451),0),
IF('TL08'!$B$3=K$3,SUMIF('TL08'!$C$10:$C$224,$C374,'TL08'!$J$10:$J$224),0),
IF('TL08'!$B$229=K$3,SUMIF('TL08'!$C$238:$C$451,$C374,'TL08'!$J$238:$J$451),0),
IF('TL09'!$B$3=K$3,SUMIF('TL09'!$C$10:$C$224,$C374,'TL09'!$J$10:$J$224),0),
IF('TL09'!$B$229=K$3,SUMIF('TL09'!$C$238:$C$451,$C374,'TL09'!$J$238:$J$451),0),
IF('TL10'!$B$3=K$3,SUMIF('TL10'!$C$10:$C$224,$C374,'TL10'!$J$10:$J$224),0),
IF('TL10'!$B$229=K$3,SUMIF('TL10'!$C$238:$C$451,$C374,'TL10'!$J$238:$J$451),0),
IF('TL11'!$B$3=K$3,SUMIF('TL11'!$C$10:$C$224,$C374,'TL11'!$J$10:$J$224),0),
IF('TL11'!$B$229=K$3,SUMIF('TL11'!$C$238:$C$451,$C374,'TL11'!$J$238:$J$451),0),
IF('TL12'!$B$3=K$3,SUMIF('TL12'!$C$10:$C$224,$C374,'TL12'!$J$10:$J$224),0),
IF('TL12'!$B$229=K$3,SUMIF('TL12'!$C$238:$C$451,$C374,'TL12'!$J$238:$J$451),0),
IF('TL13'!$B$3=K$3,SUMIF('TL13'!$C$10:$C$224,$C374,'TL13'!$J$10:$J$224),0),
IF('TL13'!$B$229=K$3,SUMIF('TL13'!$C$238:$C$451,$C374,'TL13'!$J$238:$J$451),0),
IF('TL14'!$B$3=K$3,SUMIF('TL14'!$C$10:$C$224,$C374,'TL14'!$J$10:$J$224),0),
IF('TL14'!$B$229=K$3,SUMIF('TL14'!$C$238:$C$451,$C374,'TL14'!$J$238:$J$451),0),
IF('TL15'!$B$3=K$3,SUMIF('TL15'!$C$10:$C$224,$C374,'TL15'!$J$10:$J$224),0),
IF('TL15'!$B$229=K$3,SUMIF('TL15'!$C$238:$C$451,$C374,'TL15'!$J$238:$J$451),0),
IF('TL16'!$B$3=K$3,SUMIF('TL16'!$C$10:$C$224,$C374,'TL16'!$J$10:$J$224),0),
IF('TL16'!$B$229=K$3,SUMIF('TL16'!$C$238:$C$451,$C374,'TL16'!$J$238:$J$451),0),
IF('TL17'!$B$3=K$3,SUMIF('TL17'!$C$10:$C$224,$C374,'TL17'!$J$10:$J$224),0),
IF('TL17'!$B$229=K$3,SUMIF('TL17'!$C$238:$C$451,$C374,'TL17'!$J$238:$J$451),0),
IF('TL18'!$B$3=K$3,SUMIF('TL18'!$C$10:$C$224,$C374,'TL18'!$J$10:$J$224),0),
IF('TL18'!$B$229=K$3,SUMIF('TL18'!$C$238:$C$451,$C374,'TL18'!$J$238:$J$451),0),
IF('TL19'!$B$3=K$3,SUMIF('TL19'!$C$10:$C$224,$C374,'TL19'!$J$10:$J$224),0),
IF('TL19'!$B$229=K$3,SUMIF('TL19'!$C$238:$C$451,$C374,'TL19'!$J$238:$J$451),0)
),0)</f>
        <v/>
      </c>
      <c r="L374" s="9">
        <f>IFERROR(SUM(
IF('TL01'!$B$3=L$3,SUMIF('TL01'!$C$10:$C$224,$C374,'TL01'!$J$10:$J$224),0),
IF('TL01'!$B$229=L$3,SUMIF('TL01'!$C$238:$C$451,$C374,'TL01'!$J$238:$J$451),0),
IF('TL02'!$B$3=L$3,SUMIF('TL02'!$C$10:$C$224,$C374,'TL02'!$J$10:$J$224),0),
IF('TL02'!$B$229=L$3,SUMIF('TL02'!$C$238:$C$451,$C374,'TL02'!$J$238:$J$451),0),
IF('TL03'!$B$3=L$3,SUMIF('TL03'!$C$10:$C$224,$C374,'TL03'!$J$10:$J$224),0),
IF('TL03'!$B$229=L$3,SUMIF('TL03'!$C$238:$C$451,$C374,'TL03'!$J$238:$J$451),0),
IF('TL04'!$B$3=L$3,SUMIF('TL04'!$C$10:$C$224,$C374,'TL04'!$J$10:$J$224),0),
IF('TL04'!$B$229=L$3,SUMIF('TL04'!$C$238:$C$451,$C374,'TL04'!$J$238:$J$451),0),
IF('TL05'!$B$3=L$3,SUMIF('TL05'!$C$10:$C$224,$C374,'TL05'!$J$10:$J$224),0),
IF('TL05'!$B$229=L$3,SUMIF('TL05'!$C$238:$C$451,$C374,'TL05'!$J$238:$J$451),0),
IF('TL06'!$B$3=L$3,SUMIF('TL06'!$C$10:$C$224,$C374,'TL06'!$J$10:$J$224),0),
IF('TL06'!$B$229=L$3,SUMIF('TL06'!$C$238:$C$451,$C374,'TL06'!$J$238:$J$451),0),
IF('TL07'!$B$3=L$3,SUMIF('TL07'!$C$10:$C$224,$C374,'TL07'!$J$10:$J$224),0),
IF('TL07'!$B$229=L$3,SUMIF('TL07'!$C$238:$C$451,$C374,'TL07'!$J$238:$J$451),0),
IF('TL08'!$B$3=L$3,SUMIF('TL08'!$C$10:$C$224,$C374,'TL08'!$J$10:$J$224),0),
IF('TL08'!$B$229=L$3,SUMIF('TL08'!$C$238:$C$451,$C374,'TL08'!$J$238:$J$451),0),
IF('TL09'!$B$3=L$3,SUMIF('TL09'!$C$10:$C$224,$C374,'TL09'!$J$10:$J$224),0),
IF('TL09'!$B$229=L$3,SUMIF('TL09'!$C$238:$C$451,$C374,'TL09'!$J$238:$J$451),0),
IF('TL10'!$B$3=L$3,SUMIF('TL10'!$C$10:$C$224,$C374,'TL10'!$J$10:$J$224),0),
IF('TL10'!$B$229=L$3,SUMIF('TL10'!$C$238:$C$451,$C374,'TL10'!$J$238:$J$451),0),
IF('TL11'!$B$3=L$3,SUMIF('TL11'!$C$10:$C$224,$C374,'TL11'!$J$10:$J$224),0),
IF('TL11'!$B$229=L$3,SUMIF('TL11'!$C$238:$C$451,$C374,'TL11'!$J$238:$J$451),0),
IF('TL12'!$B$3=L$3,SUMIF('TL12'!$C$10:$C$224,$C374,'TL12'!$J$10:$J$224),0),
IF('TL12'!$B$229=L$3,SUMIF('TL12'!$C$238:$C$451,$C374,'TL12'!$J$238:$J$451),0),
IF('TL13'!$B$3=L$3,SUMIF('TL13'!$C$10:$C$224,$C374,'TL13'!$J$10:$J$224),0),
IF('TL13'!$B$229=L$3,SUMIF('TL13'!$C$238:$C$451,$C374,'TL13'!$J$238:$J$451),0),
IF('TL14'!$B$3=L$3,SUMIF('TL14'!$C$10:$C$224,$C374,'TL14'!$J$10:$J$224),0),
IF('TL14'!$B$229=L$3,SUMIF('TL14'!$C$238:$C$451,$C374,'TL14'!$J$238:$J$451),0),
IF('TL15'!$B$3=L$3,SUMIF('TL15'!$C$10:$C$224,$C374,'TL15'!$J$10:$J$224),0),
IF('TL15'!$B$229=L$3,SUMIF('TL15'!$C$238:$C$451,$C374,'TL15'!$J$238:$J$451),0),
IF('TL16'!$B$3=L$3,SUMIF('TL16'!$C$10:$C$224,$C374,'TL16'!$J$10:$J$224),0),
IF('TL16'!$B$229=L$3,SUMIF('TL16'!$C$238:$C$451,$C374,'TL16'!$J$238:$J$451),0),
IF('TL17'!$B$3=L$3,SUMIF('TL17'!$C$10:$C$224,$C374,'TL17'!$J$10:$J$224),0),
IF('TL17'!$B$229=L$3,SUMIF('TL17'!$C$238:$C$451,$C374,'TL17'!$J$238:$J$451),0),
IF('TL18'!$B$3=L$3,SUMIF('TL18'!$C$10:$C$224,$C374,'TL18'!$J$10:$J$224),0),
IF('TL18'!$B$229=L$3,SUMIF('TL18'!$C$238:$C$451,$C374,'TL18'!$J$238:$J$451),0),
IF('TL19'!$B$3=L$3,SUMIF('TL19'!$C$10:$C$224,$C374,'TL19'!$J$10:$J$224),0),
IF('TL19'!$B$229=L$3,SUMIF('TL19'!$C$238:$C$451,$C374,'TL19'!$J$238:$J$451),0)
),0)</f>
        <v/>
      </c>
      <c r="M374" s="9">
        <f>IFERROR(SUM(
IF('TL01'!$B$3=M$3,SUMIF('TL01'!$C$10:$C$224,$C374,'TL01'!$J$10:$J$224),0),
IF('TL01'!$B$229=M$3,SUMIF('TL01'!$C$238:$C$451,$C374,'TL01'!$J$238:$J$451),0),
IF('TL02'!$B$3=M$3,SUMIF('TL02'!$C$10:$C$224,$C374,'TL02'!$J$10:$J$224),0),
IF('TL02'!$B$229=M$3,SUMIF('TL02'!$C$238:$C$451,$C374,'TL02'!$J$238:$J$451),0),
IF('TL03'!$B$3=M$3,SUMIF('TL03'!$C$10:$C$224,$C374,'TL03'!$J$10:$J$224),0),
IF('TL03'!$B$229=M$3,SUMIF('TL03'!$C$238:$C$451,$C374,'TL03'!$J$238:$J$451),0),
IF('TL04'!$B$3=M$3,SUMIF('TL04'!$C$10:$C$224,$C374,'TL04'!$J$10:$J$224),0),
IF('TL04'!$B$229=M$3,SUMIF('TL04'!$C$238:$C$451,$C374,'TL04'!$J$238:$J$451),0),
IF('TL05'!$B$3=M$3,SUMIF('TL05'!$C$10:$C$224,$C374,'TL05'!$J$10:$J$224),0),
IF('TL05'!$B$229=M$3,SUMIF('TL05'!$C$238:$C$451,$C374,'TL05'!$J$238:$J$451),0),
IF('TL06'!$B$3=M$3,SUMIF('TL06'!$C$10:$C$224,$C374,'TL06'!$J$10:$J$224),0),
IF('TL06'!$B$229=M$3,SUMIF('TL06'!$C$238:$C$451,$C374,'TL06'!$J$238:$J$451),0),
IF('TL07'!$B$3=M$3,SUMIF('TL07'!$C$10:$C$224,$C374,'TL07'!$J$10:$J$224),0),
IF('TL07'!$B$229=M$3,SUMIF('TL07'!$C$238:$C$451,$C374,'TL07'!$J$238:$J$451),0),
IF('TL08'!$B$3=M$3,SUMIF('TL08'!$C$10:$C$224,$C374,'TL08'!$J$10:$J$224),0),
IF('TL08'!$B$229=M$3,SUMIF('TL08'!$C$238:$C$451,$C374,'TL08'!$J$238:$J$451),0),
IF('TL09'!$B$3=M$3,SUMIF('TL09'!$C$10:$C$224,$C374,'TL09'!$J$10:$J$224),0),
IF('TL09'!$B$229=M$3,SUMIF('TL09'!$C$238:$C$451,$C374,'TL09'!$J$238:$J$451),0),
IF('TL10'!$B$3=M$3,SUMIF('TL10'!$C$10:$C$224,$C374,'TL10'!$J$10:$J$224),0),
IF('TL10'!$B$229=M$3,SUMIF('TL10'!$C$238:$C$451,$C374,'TL10'!$J$238:$J$451),0),
IF('TL11'!$B$3=M$3,SUMIF('TL11'!$C$10:$C$224,$C374,'TL11'!$J$10:$J$224),0),
IF('TL11'!$B$229=M$3,SUMIF('TL11'!$C$238:$C$451,$C374,'TL11'!$J$238:$J$451),0),
IF('TL12'!$B$3=M$3,SUMIF('TL12'!$C$10:$C$224,$C374,'TL12'!$J$10:$J$224),0),
IF('TL12'!$B$229=M$3,SUMIF('TL12'!$C$238:$C$451,$C374,'TL12'!$J$238:$J$451),0),
IF('TL13'!$B$3=M$3,SUMIF('TL13'!$C$10:$C$224,$C374,'TL13'!$J$10:$J$224),0),
IF('TL13'!$B$229=M$3,SUMIF('TL13'!$C$238:$C$451,$C374,'TL13'!$J$238:$J$451),0),
IF('TL14'!$B$3=M$3,SUMIF('TL14'!$C$10:$C$224,$C374,'TL14'!$J$10:$J$224),0),
IF('TL14'!$B$229=M$3,SUMIF('TL14'!$C$238:$C$451,$C374,'TL14'!$J$238:$J$451),0),
IF('TL15'!$B$3=M$3,SUMIF('TL15'!$C$10:$C$224,$C374,'TL15'!$J$10:$J$224),0),
IF('TL15'!$B$229=M$3,SUMIF('TL15'!$C$238:$C$451,$C374,'TL15'!$J$238:$J$451),0),
IF('TL16'!$B$3=M$3,SUMIF('TL16'!$C$10:$C$224,$C374,'TL16'!$J$10:$J$224),0),
IF('TL16'!$B$229=M$3,SUMIF('TL16'!$C$238:$C$451,$C374,'TL16'!$J$238:$J$451),0),
IF('TL17'!$B$3=M$3,SUMIF('TL17'!$C$10:$C$224,$C374,'TL17'!$J$10:$J$224),0),
IF('TL17'!$B$229=M$3,SUMIF('TL17'!$C$238:$C$451,$C374,'TL17'!$J$238:$J$451),0),
IF('TL18'!$B$3=M$3,SUMIF('TL18'!$C$10:$C$224,$C374,'TL18'!$J$10:$J$224),0),
IF('TL18'!$B$229=M$3,SUMIF('TL18'!$C$238:$C$451,$C374,'TL18'!$J$238:$J$451),0),
IF('TL19'!$B$3=M$3,SUMIF('TL19'!$C$10:$C$224,$C374,'TL19'!$J$10:$J$224),0),
IF('TL19'!$B$229=M$3,SUMIF('TL19'!$C$238:$C$451,$C374,'TL19'!$J$238:$J$451),0)
),0)</f>
        <v/>
      </c>
      <c r="N374" s="9">
        <f>IFERROR(SUM(
IF('TL01'!$B$3=N$3,SUMIF('TL01'!$C$10:$C$224,$C374,'TL01'!$J$10:$J$224),0),
IF('TL01'!$B$229=N$3,SUMIF('TL01'!$C$238:$C$451,$C374,'TL01'!$J$238:$J$451),0),
IF('TL02'!$B$3=N$3,SUMIF('TL02'!$C$10:$C$224,$C374,'TL02'!$J$10:$J$224),0),
IF('TL02'!$B$229=N$3,SUMIF('TL02'!$C$238:$C$451,$C374,'TL02'!$J$238:$J$451),0),
IF('TL03'!$B$3=N$3,SUMIF('TL03'!$C$10:$C$224,$C374,'TL03'!$J$10:$J$224),0),
IF('TL03'!$B$229=N$3,SUMIF('TL03'!$C$238:$C$451,$C374,'TL03'!$J$238:$J$451),0),
IF('TL04'!$B$3=N$3,SUMIF('TL04'!$C$10:$C$224,$C374,'TL04'!$J$10:$J$224),0),
IF('TL04'!$B$229=N$3,SUMIF('TL04'!$C$238:$C$451,$C374,'TL04'!$J$238:$J$451),0),
IF('TL05'!$B$3=N$3,SUMIF('TL05'!$C$10:$C$224,$C374,'TL05'!$J$10:$J$224),0),
IF('TL05'!$B$229=N$3,SUMIF('TL05'!$C$238:$C$451,$C374,'TL05'!$J$238:$J$451),0),
IF('TL06'!$B$3=N$3,SUMIF('TL06'!$C$10:$C$224,$C374,'TL06'!$J$10:$J$224),0),
IF('TL06'!$B$229=N$3,SUMIF('TL06'!$C$238:$C$451,$C374,'TL06'!$J$238:$J$451),0),
IF('TL07'!$B$3=N$3,SUMIF('TL07'!$C$10:$C$224,$C374,'TL07'!$J$10:$J$224),0),
IF('TL07'!$B$229=N$3,SUMIF('TL07'!$C$238:$C$451,$C374,'TL07'!$J$238:$J$451),0),
IF('TL08'!$B$3=N$3,SUMIF('TL08'!$C$10:$C$224,$C374,'TL08'!$J$10:$J$224),0),
IF('TL08'!$B$229=N$3,SUMIF('TL08'!$C$238:$C$451,$C374,'TL08'!$J$238:$J$451),0),
IF('TL09'!$B$3=N$3,SUMIF('TL09'!$C$10:$C$224,$C374,'TL09'!$J$10:$J$224),0),
IF('TL09'!$B$229=N$3,SUMIF('TL09'!$C$238:$C$451,$C374,'TL09'!$J$238:$J$451),0),
IF('TL10'!$B$3=N$3,SUMIF('TL10'!$C$10:$C$224,$C374,'TL10'!$J$10:$J$224),0),
IF('TL10'!$B$229=N$3,SUMIF('TL10'!$C$238:$C$451,$C374,'TL10'!$J$238:$J$451),0),
IF('TL11'!$B$3=N$3,SUMIF('TL11'!$C$10:$C$224,$C374,'TL11'!$J$10:$J$224),0),
IF('TL11'!$B$229=N$3,SUMIF('TL11'!$C$238:$C$451,$C374,'TL11'!$J$238:$J$451),0),
IF('TL12'!$B$3=N$3,SUMIF('TL12'!$C$10:$C$224,$C374,'TL12'!$J$10:$J$224),0),
IF('TL12'!$B$229=N$3,SUMIF('TL12'!$C$238:$C$451,$C374,'TL12'!$J$238:$J$451),0),
IF('TL13'!$B$3=N$3,SUMIF('TL13'!$C$10:$C$224,$C374,'TL13'!$J$10:$J$224),0),
IF('TL13'!$B$229=N$3,SUMIF('TL13'!$C$238:$C$451,$C374,'TL13'!$J$238:$J$451),0),
IF('TL14'!$B$3=N$3,SUMIF('TL14'!$C$10:$C$224,$C374,'TL14'!$J$10:$J$224),0),
IF('TL14'!$B$229=N$3,SUMIF('TL14'!$C$238:$C$451,$C374,'TL14'!$J$238:$J$451),0),
IF('TL15'!$B$3=N$3,SUMIF('TL15'!$C$10:$C$224,$C374,'TL15'!$J$10:$J$224),0),
IF('TL15'!$B$229=N$3,SUMIF('TL15'!$C$238:$C$451,$C374,'TL15'!$J$238:$J$451),0),
IF('TL16'!$B$3=N$3,SUMIF('TL16'!$C$10:$C$224,$C374,'TL16'!$J$10:$J$224),0),
IF('TL16'!$B$229=N$3,SUMIF('TL16'!$C$238:$C$451,$C374,'TL16'!$J$238:$J$451),0),
IF('TL17'!$B$3=N$3,SUMIF('TL17'!$C$10:$C$224,$C374,'TL17'!$J$10:$J$224),0),
IF('TL17'!$B$229=N$3,SUMIF('TL17'!$C$238:$C$451,$C374,'TL17'!$J$238:$J$451),0),
IF('TL18'!$B$3=N$3,SUMIF('TL18'!$C$10:$C$224,$C374,'TL18'!$J$10:$J$224),0),
IF('TL18'!$B$229=N$3,SUMIF('TL18'!$C$238:$C$451,$C374,'TL18'!$J$238:$J$451),0),
IF('TL19'!$B$3=N$3,SUMIF('TL19'!$C$10:$C$224,$C374,'TL19'!$J$10:$J$224),0),
IF('TL19'!$B$229=N$3,SUMIF('TL19'!$C$238:$C$451,$C374,'TL19'!$J$238:$J$451),0)
),0)</f>
        <v/>
      </c>
      <c r="O374" s="9">
        <f>IFERROR(SUM(
IF('TL01'!$B$3=O$3,SUMIF('TL01'!$C$10:$C$224,$C374,'TL01'!$J$10:$J$224),0),
IF('TL01'!$B$229=O$3,SUMIF('TL01'!$C$238:$C$451,$C374,'TL01'!$J$238:$J$451),0),
IF('TL02'!$B$3=O$3,SUMIF('TL02'!$C$10:$C$224,$C374,'TL02'!$J$10:$J$224),0),
IF('TL02'!$B$229=O$3,SUMIF('TL02'!$C$238:$C$451,$C374,'TL02'!$J$238:$J$451),0),
IF('TL03'!$B$3=O$3,SUMIF('TL03'!$C$10:$C$224,$C374,'TL03'!$J$10:$J$224),0),
IF('TL03'!$B$229=O$3,SUMIF('TL03'!$C$238:$C$451,$C374,'TL03'!$J$238:$J$451),0),
IF('TL04'!$B$3=O$3,SUMIF('TL04'!$C$10:$C$224,$C374,'TL04'!$J$10:$J$224),0),
IF('TL04'!$B$229=O$3,SUMIF('TL04'!$C$238:$C$451,$C374,'TL04'!$J$238:$J$451),0),
IF('TL05'!$B$3=O$3,SUMIF('TL05'!$C$10:$C$224,$C374,'TL05'!$J$10:$J$224),0),
IF('TL05'!$B$229=O$3,SUMIF('TL05'!$C$238:$C$451,$C374,'TL05'!$J$238:$J$451),0),
IF('TL06'!$B$3=O$3,SUMIF('TL06'!$C$10:$C$224,$C374,'TL06'!$J$10:$J$224),0),
IF('TL06'!$B$229=O$3,SUMIF('TL06'!$C$238:$C$451,$C374,'TL06'!$J$238:$J$451),0),
IF('TL07'!$B$3=O$3,SUMIF('TL07'!$C$10:$C$224,$C374,'TL07'!$J$10:$J$224),0),
IF('TL07'!$B$229=O$3,SUMIF('TL07'!$C$238:$C$451,$C374,'TL07'!$J$238:$J$451),0),
IF('TL08'!$B$3=O$3,SUMIF('TL08'!$C$10:$C$224,$C374,'TL08'!$J$10:$J$224),0),
IF('TL08'!$B$229=O$3,SUMIF('TL08'!$C$238:$C$451,$C374,'TL08'!$J$238:$J$451),0),
IF('TL09'!$B$3=O$3,SUMIF('TL09'!$C$10:$C$224,$C374,'TL09'!$J$10:$J$224),0),
IF('TL09'!$B$229=O$3,SUMIF('TL09'!$C$238:$C$451,$C374,'TL09'!$J$238:$J$451),0),
IF('TL10'!$B$3=O$3,SUMIF('TL10'!$C$10:$C$224,$C374,'TL10'!$J$10:$J$224),0),
IF('TL10'!$B$229=O$3,SUMIF('TL10'!$C$238:$C$451,$C374,'TL10'!$J$238:$J$451),0),
IF('TL11'!$B$3=O$3,SUMIF('TL11'!$C$10:$C$224,$C374,'TL11'!$J$10:$J$224),0),
IF('TL11'!$B$229=O$3,SUMIF('TL11'!$C$238:$C$451,$C374,'TL11'!$J$238:$J$451),0),
IF('TL12'!$B$3=O$3,SUMIF('TL12'!$C$10:$C$224,$C374,'TL12'!$J$10:$J$224),0),
IF('TL12'!$B$229=O$3,SUMIF('TL12'!$C$238:$C$451,$C374,'TL12'!$J$238:$J$451),0),
IF('TL13'!$B$3=O$3,SUMIF('TL13'!$C$10:$C$224,$C374,'TL13'!$J$10:$J$224),0),
IF('TL13'!$B$229=O$3,SUMIF('TL13'!$C$238:$C$451,$C374,'TL13'!$J$238:$J$451),0),
IF('TL14'!$B$3=O$3,SUMIF('TL14'!$C$10:$C$224,$C374,'TL14'!$J$10:$J$224),0),
IF('TL14'!$B$229=O$3,SUMIF('TL14'!$C$238:$C$451,$C374,'TL14'!$J$238:$J$451),0),
IF('TL15'!$B$3=O$3,SUMIF('TL15'!$C$10:$C$224,$C374,'TL15'!$J$10:$J$224),0),
IF('TL15'!$B$229=O$3,SUMIF('TL15'!$C$238:$C$451,$C374,'TL15'!$J$238:$J$451),0),
IF('TL16'!$B$3=O$3,SUMIF('TL16'!$C$10:$C$224,$C374,'TL16'!$J$10:$J$224),0),
IF('TL16'!$B$229=O$3,SUMIF('TL16'!$C$238:$C$451,$C374,'TL16'!$J$238:$J$451),0),
IF('TL17'!$B$3=O$3,SUMIF('TL17'!$C$10:$C$224,$C374,'TL17'!$J$10:$J$224),0),
IF('TL17'!$B$229=O$3,SUMIF('TL17'!$C$238:$C$451,$C374,'TL17'!$J$238:$J$451),0),
IF('TL18'!$B$3=O$3,SUMIF('TL18'!$C$10:$C$224,$C374,'TL18'!$J$10:$J$224),0),
IF('TL18'!$B$229=O$3,SUMIF('TL18'!$C$238:$C$451,$C374,'TL18'!$J$238:$J$451),0),
IF('TL19'!$B$3=O$3,SUMIF('TL19'!$C$10:$C$224,$C374,'TL19'!$J$10:$J$224),0),
IF('TL19'!$B$229=O$3,SUMIF('TL19'!$C$238:$C$451,$C374,'TL19'!$J$238:$J$451),0)
),0)</f>
        <v/>
      </c>
      <c r="P374" s="9">
        <f>IFERROR(SUM(
IF('TL01'!$B$3=P$3,SUMIF('TL01'!$C$10:$C$224,$C374,'TL01'!$J$10:$J$224),0),
IF('TL01'!$B$229=P$3,SUMIF('TL01'!$C$238:$C$451,$C374,'TL01'!$J$238:$J$451),0),
IF('TL02'!$B$3=P$3,SUMIF('TL02'!$C$10:$C$224,$C374,'TL02'!$J$10:$J$224),0),
IF('TL02'!$B$229=P$3,SUMIF('TL02'!$C$238:$C$451,$C374,'TL02'!$J$238:$J$451),0),
IF('TL03'!$B$3=P$3,SUMIF('TL03'!$C$10:$C$224,$C374,'TL03'!$J$10:$J$224),0),
IF('TL03'!$B$229=P$3,SUMIF('TL03'!$C$238:$C$451,$C374,'TL03'!$J$238:$J$451),0),
IF('TL04'!$B$3=P$3,SUMIF('TL04'!$C$10:$C$224,$C374,'TL04'!$J$10:$J$224),0),
IF('TL04'!$B$229=P$3,SUMIF('TL04'!$C$238:$C$451,$C374,'TL04'!$J$238:$J$451),0),
IF('TL05'!$B$3=P$3,SUMIF('TL05'!$C$10:$C$224,$C374,'TL05'!$J$10:$J$224),0),
IF('TL05'!$B$229=P$3,SUMIF('TL05'!$C$238:$C$451,$C374,'TL05'!$J$238:$J$451),0),
IF('TL06'!$B$3=P$3,SUMIF('TL06'!$C$10:$C$224,$C374,'TL06'!$J$10:$J$224),0),
IF('TL06'!$B$229=P$3,SUMIF('TL06'!$C$238:$C$451,$C374,'TL06'!$J$238:$J$451),0),
IF('TL07'!$B$3=P$3,SUMIF('TL07'!$C$10:$C$224,$C374,'TL07'!$J$10:$J$224),0),
IF('TL07'!$B$229=P$3,SUMIF('TL07'!$C$238:$C$451,$C374,'TL07'!$J$238:$J$451),0),
IF('TL08'!$B$3=P$3,SUMIF('TL08'!$C$10:$C$224,$C374,'TL08'!$J$10:$J$224),0),
IF('TL08'!$B$229=P$3,SUMIF('TL08'!$C$238:$C$451,$C374,'TL08'!$J$238:$J$451),0),
IF('TL09'!$B$3=P$3,SUMIF('TL09'!$C$10:$C$224,$C374,'TL09'!$J$10:$J$224),0),
IF('TL09'!$B$229=P$3,SUMIF('TL09'!$C$238:$C$451,$C374,'TL09'!$J$238:$J$451),0),
IF('TL10'!$B$3=P$3,SUMIF('TL10'!$C$10:$C$224,$C374,'TL10'!$J$10:$J$224),0),
IF('TL10'!$B$229=P$3,SUMIF('TL10'!$C$238:$C$451,$C374,'TL10'!$J$238:$J$451),0),
IF('TL11'!$B$3=P$3,SUMIF('TL11'!$C$10:$C$224,$C374,'TL11'!$J$10:$J$224),0),
IF('TL11'!$B$229=P$3,SUMIF('TL11'!$C$238:$C$451,$C374,'TL11'!$J$238:$J$451),0),
IF('TL12'!$B$3=P$3,SUMIF('TL12'!$C$10:$C$224,$C374,'TL12'!$J$10:$J$224),0),
IF('TL12'!$B$229=P$3,SUMIF('TL12'!$C$238:$C$451,$C374,'TL12'!$J$238:$J$451),0),
IF('TL13'!$B$3=P$3,SUMIF('TL13'!$C$10:$C$224,$C374,'TL13'!$J$10:$J$224),0),
IF('TL13'!$B$229=P$3,SUMIF('TL13'!$C$238:$C$451,$C374,'TL13'!$J$238:$J$451),0),
IF('TL14'!$B$3=P$3,SUMIF('TL14'!$C$10:$C$224,$C374,'TL14'!$J$10:$J$224),0),
IF('TL14'!$B$229=P$3,SUMIF('TL14'!$C$238:$C$451,$C374,'TL14'!$J$238:$J$451),0),
IF('TL15'!$B$3=P$3,SUMIF('TL15'!$C$10:$C$224,$C374,'TL15'!$J$10:$J$224),0),
IF('TL15'!$B$229=P$3,SUMIF('TL15'!$C$238:$C$451,$C374,'TL15'!$J$238:$J$451),0),
IF('TL16'!$B$3=P$3,SUMIF('TL16'!$C$10:$C$224,$C374,'TL16'!$J$10:$J$224),0),
IF('TL16'!$B$229=P$3,SUMIF('TL16'!$C$238:$C$451,$C374,'TL16'!$J$238:$J$451),0),
IF('TL17'!$B$3=P$3,SUMIF('TL17'!$C$10:$C$224,$C374,'TL17'!$J$10:$J$224),0),
IF('TL17'!$B$229=P$3,SUMIF('TL17'!$C$238:$C$451,$C374,'TL17'!$J$238:$J$451),0),
IF('TL18'!$B$3=P$3,SUMIF('TL18'!$C$10:$C$224,$C374,'TL18'!$J$10:$J$224),0),
IF('TL18'!$B$229=P$3,SUMIF('TL18'!$C$238:$C$451,$C374,'TL18'!$J$238:$J$451),0),
IF('TL19'!$B$3=P$3,SUMIF('TL19'!$C$10:$C$224,$C374,'TL19'!$J$10:$J$224),0),
IF('TL19'!$B$229=P$3,SUMIF('TL19'!$C$238:$C$451,$C374,'TL19'!$J$238:$J$451),0)
),0)</f>
        <v/>
      </c>
      <c r="Q374" s="9">
        <f>IFERROR(SUM(
IF('TL01'!$B$3=Q$3,SUMIF('TL01'!$C$10:$C$224,$C374,'TL01'!$J$10:$J$224),0),
IF('TL01'!$B$229=Q$3,SUMIF('TL01'!$C$238:$C$451,$C374,'TL01'!$J$238:$J$451),0),
IF('TL02'!$B$3=Q$3,SUMIF('TL02'!$C$10:$C$224,$C374,'TL02'!$J$10:$J$224),0),
IF('TL02'!$B$229=Q$3,SUMIF('TL02'!$C$238:$C$451,$C374,'TL02'!$J$238:$J$451),0),
IF('TL03'!$B$3=Q$3,SUMIF('TL03'!$C$10:$C$224,$C374,'TL03'!$J$10:$J$224),0),
IF('TL03'!$B$229=Q$3,SUMIF('TL03'!$C$238:$C$451,$C374,'TL03'!$J$238:$J$451),0),
IF('TL04'!$B$3=Q$3,SUMIF('TL04'!$C$10:$C$224,$C374,'TL04'!$J$10:$J$224),0),
IF('TL04'!$B$229=Q$3,SUMIF('TL04'!$C$238:$C$451,$C374,'TL04'!$J$238:$J$451),0),
IF('TL05'!$B$3=Q$3,SUMIF('TL05'!$C$10:$C$224,$C374,'TL05'!$J$10:$J$224),0),
IF('TL05'!$B$229=Q$3,SUMIF('TL05'!$C$238:$C$451,$C374,'TL05'!$J$238:$J$451),0),
IF('TL06'!$B$3=Q$3,SUMIF('TL06'!$C$10:$C$224,$C374,'TL06'!$J$10:$J$224),0),
IF('TL06'!$B$229=Q$3,SUMIF('TL06'!$C$238:$C$451,$C374,'TL06'!$J$238:$J$451),0),
IF('TL07'!$B$3=Q$3,SUMIF('TL07'!$C$10:$C$224,$C374,'TL07'!$J$10:$J$224),0),
IF('TL07'!$B$229=Q$3,SUMIF('TL07'!$C$238:$C$451,$C374,'TL07'!$J$238:$J$451),0),
IF('TL08'!$B$3=Q$3,SUMIF('TL08'!$C$10:$C$224,$C374,'TL08'!$J$10:$J$224),0),
IF('TL08'!$B$229=Q$3,SUMIF('TL08'!$C$238:$C$451,$C374,'TL08'!$J$238:$J$451),0),
IF('TL09'!$B$3=Q$3,SUMIF('TL09'!$C$10:$C$224,$C374,'TL09'!$J$10:$J$224),0),
IF('TL09'!$B$229=Q$3,SUMIF('TL09'!$C$238:$C$451,$C374,'TL09'!$J$238:$J$451),0),
IF('TL10'!$B$3=Q$3,SUMIF('TL10'!$C$10:$C$224,$C374,'TL10'!$J$10:$J$224),0),
IF('TL10'!$B$229=Q$3,SUMIF('TL10'!$C$238:$C$451,$C374,'TL10'!$J$238:$J$451),0),
IF('TL11'!$B$3=Q$3,SUMIF('TL11'!$C$10:$C$224,$C374,'TL11'!$J$10:$J$224),0),
IF('TL11'!$B$229=Q$3,SUMIF('TL11'!$C$238:$C$451,$C374,'TL11'!$J$238:$J$451),0),
IF('TL12'!$B$3=Q$3,SUMIF('TL12'!$C$10:$C$224,$C374,'TL12'!$J$10:$J$224),0),
IF('TL12'!$B$229=Q$3,SUMIF('TL12'!$C$238:$C$451,$C374,'TL12'!$J$238:$J$451),0),
IF('TL13'!$B$3=Q$3,SUMIF('TL13'!$C$10:$C$224,$C374,'TL13'!$J$10:$J$224),0),
IF('TL13'!$B$229=Q$3,SUMIF('TL13'!$C$238:$C$451,$C374,'TL13'!$J$238:$J$451),0),
IF('TL14'!$B$3=Q$3,SUMIF('TL14'!$C$10:$C$224,$C374,'TL14'!$J$10:$J$224),0),
IF('TL14'!$B$229=Q$3,SUMIF('TL14'!$C$238:$C$451,$C374,'TL14'!$J$238:$J$451),0),
IF('TL15'!$B$3=Q$3,SUMIF('TL15'!$C$10:$C$224,$C374,'TL15'!$J$10:$J$224),0),
IF('TL15'!$B$229=Q$3,SUMIF('TL15'!$C$238:$C$451,$C374,'TL15'!$J$238:$J$451),0),
IF('TL16'!$B$3=Q$3,SUMIF('TL16'!$C$10:$C$224,$C374,'TL16'!$J$10:$J$224),0),
IF('TL16'!$B$229=Q$3,SUMIF('TL16'!$C$238:$C$451,$C374,'TL16'!$J$238:$J$451),0),
IF('TL17'!$B$3=Q$3,SUMIF('TL17'!$C$10:$C$224,$C374,'TL17'!$J$10:$J$224),0),
IF('TL17'!$B$229=Q$3,SUMIF('TL17'!$C$238:$C$451,$C374,'TL17'!$J$238:$J$451),0),
IF('TL18'!$B$3=Q$3,SUMIF('TL18'!$C$10:$C$224,$C374,'TL18'!$J$10:$J$224),0),
IF('TL18'!$B$229=Q$3,SUMIF('TL18'!$C$238:$C$451,$C374,'TL18'!$J$238:$J$451),0),
IF('TL19'!$B$3=Q$3,SUMIF('TL19'!$C$10:$C$224,$C374,'TL19'!$J$10:$J$224),0),
IF('TL19'!$B$229=Q$3,SUMIF('TL19'!$C$238:$C$451,$C374,'TL19'!$J$238:$J$451),0)
),0)</f>
        <v/>
      </c>
      <c r="R374" s="9">
        <f>IFERROR(
SUM(
SUMIF('TL01'!C:C,C374,'TL01'!J:J),
SUMIF('TL02'!C:C,C374,'TL02'!J:J),
SUMIF('TL03'!C:C,C374,'TL03'!J:J),
SUMIF('TL04'!C:C,C374,'TL04'!J:J),
SUMIF('TL05'!C:C,C374,'TL05'!J:J),
SUMIF('TL06'!C:C,C374,'TL06'!J:J),
SUMIF('TL07'!C:C,C374,'TL07'!J:J),
SUMIF('TL08'!C:C,C374,'TL08'!J:J),
SUMIF('TL09'!C:C,C374,'TL09'!J:J),
SUMIF('TL10'!C:C,C374,'TL10'!J:J),
SUMIF('TL11'!C:C,C374,'TL11'!J:J),
SUMIF('TL12'!C:C,C374,'TL12'!J:J),
SUMIF('TL13'!C:C,C374,'TL13'!J:J),
SUMIF('TL14'!C:C,C374,'TL14'!J:J),
SUMIF('TL15'!C:C,C374,'TL15'!J:J),
SUMIF('TL16'!C:C,C374,'TL16'!J:J),
SUMIF('TL17'!C:C,C374,'TL17'!J:J),
SUMIF('TL18'!C:C,C374,'TL18'!J:J),SUMIF('TL19'!C:C,C374,'TL19'!J:J))
,0)</f>
        <v/>
      </c>
      <c r="S374" s="17">
        <f>IFERROR(__xludf.DUMMYFUNCTION("IFERROR(VLOOKUP(C374,
IMPORTRANGE(""1wULbzX32WdYsx-lj2U3uUNBBe2INVIRDtcK0d-Dvl90"",
""26-27!C:G""),
5,
FALSE),
"""")"),182.0)</f>
        <v/>
      </c>
      <c r="T374" s="9" t="n"/>
      <c r="U374" s="92">
        <f>MAX(0,R374-T374)</f>
        <v/>
      </c>
      <c r="V374" s="93">
        <f>U374*S374</f>
        <v/>
      </c>
    </row>
    <row r="375" hidden="1" ht="15.75" customHeight="1" s="297">
      <c r="A375" s="4" t="inlineStr">
        <is>
          <t>SOLUBIO</t>
        </is>
      </c>
      <c r="B375" s="4" t="inlineStr">
        <is>
          <t>BIOLÓGICOS</t>
        </is>
      </c>
      <c r="C375" s="128" t="inlineStr">
        <is>
          <t>Primafert</t>
        </is>
      </c>
      <c r="D375" s="129" t="inlineStr">
        <is>
          <t>Nutrifarm</t>
        </is>
      </c>
      <c r="E375" s="20" t="n"/>
      <c r="F375" s="4" t="n"/>
      <c r="G375" s="90">
        <f>HYPERLINK("https://www.google.com/search?q=" &amp; C375 &amp; "+bula+agrofit+pdf", "📄 Ver bula")</f>
        <v/>
      </c>
      <c r="H375" s="9" t="n"/>
      <c r="I375" s="123" t="n"/>
      <c r="J375" s="9">
        <f>IFERROR(SUM(
IF('TL01'!$B$3=J$3,SUMIF('TL01'!$C$10:$C$224,$C375,'TL01'!$J$10:$J$224),0),
IF('TL01'!$B$229=J$3,SUMIF('TL01'!$C$238:$C$451,$C375,'TL01'!$J$238:$J$451),0),
IF('TL02'!$B$3=J$3,SUMIF('TL02'!$C$10:$C$224,$C375,'TL02'!$J$10:$J$224),0),
IF('TL02'!$B$229=J$3,SUMIF('TL02'!$C$238:$C$451,$C375,'TL02'!$J$238:$J$451),0),
IF('TL03'!$B$3=J$3,SUMIF('TL03'!$C$10:$C$224,$C375,'TL03'!$J$10:$J$224),0),
IF('TL03'!$B$229=J$3,SUMIF('TL03'!$C$238:$C$451,$C375,'TL03'!$J$238:$J$451),0),
IF('TL04'!$B$3=J$3,SUMIF('TL04'!$C$10:$C$224,$C375,'TL04'!$J$10:$J$224),0),
IF('TL04'!$B$229=J$3,SUMIF('TL04'!$C$238:$C$451,$C375,'TL04'!$J$238:$J$451),0),
IF('TL05'!$B$3=J$3,SUMIF('TL05'!$C$10:$C$224,$C375,'TL05'!$J$10:$J$224),0),
IF('TL05'!$B$229=J$3,SUMIF('TL05'!$C$238:$C$451,$C375,'TL05'!$J$238:$J$451),0),
IF('TL06'!$B$3=J$3,SUMIF('TL06'!$C$10:$C$224,$C375,'TL06'!$J$10:$J$224),0),
IF('TL06'!$B$229=J$3,SUMIF('TL06'!$C$238:$C$451,$C375,'TL06'!$J$238:$J$451),0),
IF('TL07'!$B$3=J$3,SUMIF('TL07'!$C$10:$C$224,$C375,'TL07'!$J$10:$J$224),0),
IF('TL07'!$B$229=J$3,SUMIF('TL07'!$C$238:$C$451,$C375,'TL07'!$J$238:$J$451),0),
IF('TL08'!$B$3=J$3,SUMIF('TL08'!$C$10:$C$224,$C375,'TL08'!$J$10:$J$224),0),
IF('TL08'!$B$229=J$3,SUMIF('TL08'!$C$238:$C$451,$C375,'TL08'!$J$238:$J$451),0),
IF('TL09'!$B$3=J$3,SUMIF('TL09'!$C$10:$C$224,$C375,'TL09'!$J$10:$J$224),0),
IF('TL09'!$B$229=J$3,SUMIF('TL09'!$C$238:$C$451,$C375,'TL09'!$J$238:$J$451),0),
IF('TL10'!$B$3=J$3,SUMIF('TL10'!$C$10:$C$224,$C375,'TL10'!$J$10:$J$224),0),
IF('TL10'!$B$229=J$3,SUMIF('TL10'!$C$238:$C$451,$C375,'TL10'!$J$238:$J$451),0),
IF('TL11'!$B$3=J$3,SUMIF('TL11'!$C$10:$C$224,$C375,'TL11'!$J$10:$J$224),0),
IF('TL11'!$B$229=J$3,SUMIF('TL11'!$C$238:$C$451,$C375,'TL11'!$J$238:$J$451),0),
IF('TL12'!$B$3=J$3,SUMIF('TL12'!$C$10:$C$224,$C375,'TL12'!$J$10:$J$224),0),
IF('TL12'!$B$229=J$3,SUMIF('TL12'!$C$238:$C$451,$C375,'TL12'!$J$238:$J$451),0),
IF('TL13'!$B$3=J$3,SUMIF('TL13'!$C$10:$C$224,$C375,'TL13'!$J$10:$J$224),0),
IF('TL13'!$B$229=J$3,SUMIF('TL13'!$C$238:$C$451,$C375,'TL13'!$J$238:$J$451),0),
IF('TL14'!$B$3=J$3,SUMIF('TL14'!$C$10:$C$224,$C375,'TL14'!$J$10:$J$224),0),
IF('TL14'!$B$229=J$3,SUMIF('TL14'!$C$238:$C$451,$C375,'TL14'!$J$238:$J$451),0),
IF('TL15'!$B$3=J$3,SUMIF('TL15'!$C$10:$C$224,$C375,'TL15'!$J$10:$J$224),0),
IF('TL15'!$B$229=J$3,SUMIF('TL15'!$C$238:$C$451,$C375,'TL15'!$J$238:$J$451),0),
IF('TL16'!$B$3=J$3,SUMIF('TL16'!$C$10:$C$224,$C375,'TL16'!$J$10:$J$224),0),
IF('TL16'!$B$229=J$3,SUMIF('TL16'!$C$238:$C$451,$C375,'TL16'!$J$238:$J$451),0),
IF('TL17'!$B$3=J$3,SUMIF('TL17'!$C$10:$C$224,$C375,'TL17'!$J$10:$J$224),0),
IF('TL17'!$B$229=J$3,SUMIF('TL17'!$C$238:$C$451,$C375,'TL17'!$J$238:$J$451),0),
IF('TL18'!$B$3=J$3,SUMIF('TL18'!$C$10:$C$224,$C375,'TL18'!$J$10:$J$224),0),
IF('TL18'!$B$229=J$3,SUMIF('TL18'!$C$238:$C$451,$C375,'TL18'!$J$238:$J$451),0),
IF('TL19'!$B$3=J$3,SUMIF('TL19'!$C$10:$C$224,$C375,'TL19'!$J$10:$J$224),0),
IF('TL19'!$B$229=J$3,SUMIF('TL19'!$C$238:$C$451,$C375,'TL19'!$J$238:$J$451),0)
),0)</f>
        <v/>
      </c>
      <c r="K375" s="9">
        <f>IFERROR(SUM(
IF('TL01'!$B$3=K$3,SUMIF('TL01'!$C$10:$C$224,$C375,'TL01'!$J$10:$J$224),0),
IF('TL01'!$B$229=K$3,SUMIF('TL01'!$C$238:$C$451,$C375,'TL01'!$J$238:$J$451),0),
IF('TL02'!$B$3=K$3,SUMIF('TL02'!$C$10:$C$224,$C375,'TL02'!$J$10:$J$224),0),
IF('TL02'!$B$229=K$3,SUMIF('TL02'!$C$238:$C$451,$C375,'TL02'!$J$238:$J$451),0),
IF('TL03'!$B$3=K$3,SUMIF('TL03'!$C$10:$C$224,$C375,'TL03'!$J$10:$J$224),0),
IF('TL03'!$B$229=K$3,SUMIF('TL03'!$C$238:$C$451,$C375,'TL03'!$J$238:$J$451),0),
IF('TL04'!$B$3=K$3,SUMIF('TL04'!$C$10:$C$224,$C375,'TL04'!$J$10:$J$224),0),
IF('TL04'!$B$229=K$3,SUMIF('TL04'!$C$238:$C$451,$C375,'TL04'!$J$238:$J$451),0),
IF('TL05'!$B$3=K$3,SUMIF('TL05'!$C$10:$C$224,$C375,'TL05'!$J$10:$J$224),0),
IF('TL05'!$B$229=K$3,SUMIF('TL05'!$C$238:$C$451,$C375,'TL05'!$J$238:$J$451),0),
IF('TL06'!$B$3=K$3,SUMIF('TL06'!$C$10:$C$224,$C375,'TL06'!$J$10:$J$224),0),
IF('TL06'!$B$229=K$3,SUMIF('TL06'!$C$238:$C$451,$C375,'TL06'!$J$238:$J$451),0),
IF('TL07'!$B$3=K$3,SUMIF('TL07'!$C$10:$C$224,$C375,'TL07'!$J$10:$J$224),0),
IF('TL07'!$B$229=K$3,SUMIF('TL07'!$C$238:$C$451,$C375,'TL07'!$J$238:$J$451),0),
IF('TL08'!$B$3=K$3,SUMIF('TL08'!$C$10:$C$224,$C375,'TL08'!$J$10:$J$224),0),
IF('TL08'!$B$229=K$3,SUMIF('TL08'!$C$238:$C$451,$C375,'TL08'!$J$238:$J$451),0),
IF('TL09'!$B$3=K$3,SUMIF('TL09'!$C$10:$C$224,$C375,'TL09'!$J$10:$J$224),0),
IF('TL09'!$B$229=K$3,SUMIF('TL09'!$C$238:$C$451,$C375,'TL09'!$J$238:$J$451),0),
IF('TL10'!$B$3=K$3,SUMIF('TL10'!$C$10:$C$224,$C375,'TL10'!$J$10:$J$224),0),
IF('TL10'!$B$229=K$3,SUMIF('TL10'!$C$238:$C$451,$C375,'TL10'!$J$238:$J$451),0),
IF('TL11'!$B$3=K$3,SUMIF('TL11'!$C$10:$C$224,$C375,'TL11'!$J$10:$J$224),0),
IF('TL11'!$B$229=K$3,SUMIF('TL11'!$C$238:$C$451,$C375,'TL11'!$J$238:$J$451),0),
IF('TL12'!$B$3=K$3,SUMIF('TL12'!$C$10:$C$224,$C375,'TL12'!$J$10:$J$224),0),
IF('TL12'!$B$229=K$3,SUMIF('TL12'!$C$238:$C$451,$C375,'TL12'!$J$238:$J$451),0),
IF('TL13'!$B$3=K$3,SUMIF('TL13'!$C$10:$C$224,$C375,'TL13'!$J$10:$J$224),0),
IF('TL13'!$B$229=K$3,SUMIF('TL13'!$C$238:$C$451,$C375,'TL13'!$J$238:$J$451),0),
IF('TL14'!$B$3=K$3,SUMIF('TL14'!$C$10:$C$224,$C375,'TL14'!$J$10:$J$224),0),
IF('TL14'!$B$229=K$3,SUMIF('TL14'!$C$238:$C$451,$C375,'TL14'!$J$238:$J$451),0),
IF('TL15'!$B$3=K$3,SUMIF('TL15'!$C$10:$C$224,$C375,'TL15'!$J$10:$J$224),0),
IF('TL15'!$B$229=K$3,SUMIF('TL15'!$C$238:$C$451,$C375,'TL15'!$J$238:$J$451),0),
IF('TL16'!$B$3=K$3,SUMIF('TL16'!$C$10:$C$224,$C375,'TL16'!$J$10:$J$224),0),
IF('TL16'!$B$229=K$3,SUMIF('TL16'!$C$238:$C$451,$C375,'TL16'!$J$238:$J$451),0),
IF('TL17'!$B$3=K$3,SUMIF('TL17'!$C$10:$C$224,$C375,'TL17'!$J$10:$J$224),0),
IF('TL17'!$B$229=K$3,SUMIF('TL17'!$C$238:$C$451,$C375,'TL17'!$J$238:$J$451),0),
IF('TL18'!$B$3=K$3,SUMIF('TL18'!$C$10:$C$224,$C375,'TL18'!$J$10:$J$224),0),
IF('TL18'!$B$229=K$3,SUMIF('TL18'!$C$238:$C$451,$C375,'TL18'!$J$238:$J$451),0),
IF('TL19'!$B$3=K$3,SUMIF('TL19'!$C$10:$C$224,$C375,'TL19'!$J$10:$J$224),0),
IF('TL19'!$B$229=K$3,SUMIF('TL19'!$C$238:$C$451,$C375,'TL19'!$J$238:$J$451),0)
),0)</f>
        <v/>
      </c>
      <c r="L375" s="9">
        <f>IFERROR(SUM(
IF('TL01'!$B$3=L$3,SUMIF('TL01'!$C$10:$C$224,$C375,'TL01'!$J$10:$J$224),0),
IF('TL01'!$B$229=L$3,SUMIF('TL01'!$C$238:$C$451,$C375,'TL01'!$J$238:$J$451),0),
IF('TL02'!$B$3=L$3,SUMIF('TL02'!$C$10:$C$224,$C375,'TL02'!$J$10:$J$224),0),
IF('TL02'!$B$229=L$3,SUMIF('TL02'!$C$238:$C$451,$C375,'TL02'!$J$238:$J$451),0),
IF('TL03'!$B$3=L$3,SUMIF('TL03'!$C$10:$C$224,$C375,'TL03'!$J$10:$J$224),0),
IF('TL03'!$B$229=L$3,SUMIF('TL03'!$C$238:$C$451,$C375,'TL03'!$J$238:$J$451),0),
IF('TL04'!$B$3=L$3,SUMIF('TL04'!$C$10:$C$224,$C375,'TL04'!$J$10:$J$224),0),
IF('TL04'!$B$229=L$3,SUMIF('TL04'!$C$238:$C$451,$C375,'TL04'!$J$238:$J$451),0),
IF('TL05'!$B$3=L$3,SUMIF('TL05'!$C$10:$C$224,$C375,'TL05'!$J$10:$J$224),0),
IF('TL05'!$B$229=L$3,SUMIF('TL05'!$C$238:$C$451,$C375,'TL05'!$J$238:$J$451),0),
IF('TL06'!$B$3=L$3,SUMIF('TL06'!$C$10:$C$224,$C375,'TL06'!$J$10:$J$224),0),
IF('TL06'!$B$229=L$3,SUMIF('TL06'!$C$238:$C$451,$C375,'TL06'!$J$238:$J$451),0),
IF('TL07'!$B$3=L$3,SUMIF('TL07'!$C$10:$C$224,$C375,'TL07'!$J$10:$J$224),0),
IF('TL07'!$B$229=L$3,SUMIF('TL07'!$C$238:$C$451,$C375,'TL07'!$J$238:$J$451),0),
IF('TL08'!$B$3=L$3,SUMIF('TL08'!$C$10:$C$224,$C375,'TL08'!$J$10:$J$224),0),
IF('TL08'!$B$229=L$3,SUMIF('TL08'!$C$238:$C$451,$C375,'TL08'!$J$238:$J$451),0),
IF('TL09'!$B$3=L$3,SUMIF('TL09'!$C$10:$C$224,$C375,'TL09'!$J$10:$J$224),0),
IF('TL09'!$B$229=L$3,SUMIF('TL09'!$C$238:$C$451,$C375,'TL09'!$J$238:$J$451),0),
IF('TL10'!$B$3=L$3,SUMIF('TL10'!$C$10:$C$224,$C375,'TL10'!$J$10:$J$224),0),
IF('TL10'!$B$229=L$3,SUMIF('TL10'!$C$238:$C$451,$C375,'TL10'!$J$238:$J$451),0),
IF('TL11'!$B$3=L$3,SUMIF('TL11'!$C$10:$C$224,$C375,'TL11'!$J$10:$J$224),0),
IF('TL11'!$B$229=L$3,SUMIF('TL11'!$C$238:$C$451,$C375,'TL11'!$J$238:$J$451),0),
IF('TL12'!$B$3=L$3,SUMIF('TL12'!$C$10:$C$224,$C375,'TL12'!$J$10:$J$224),0),
IF('TL12'!$B$229=L$3,SUMIF('TL12'!$C$238:$C$451,$C375,'TL12'!$J$238:$J$451),0),
IF('TL13'!$B$3=L$3,SUMIF('TL13'!$C$10:$C$224,$C375,'TL13'!$J$10:$J$224),0),
IF('TL13'!$B$229=L$3,SUMIF('TL13'!$C$238:$C$451,$C375,'TL13'!$J$238:$J$451),0),
IF('TL14'!$B$3=L$3,SUMIF('TL14'!$C$10:$C$224,$C375,'TL14'!$J$10:$J$224),0),
IF('TL14'!$B$229=L$3,SUMIF('TL14'!$C$238:$C$451,$C375,'TL14'!$J$238:$J$451),0),
IF('TL15'!$B$3=L$3,SUMIF('TL15'!$C$10:$C$224,$C375,'TL15'!$J$10:$J$224),0),
IF('TL15'!$B$229=L$3,SUMIF('TL15'!$C$238:$C$451,$C375,'TL15'!$J$238:$J$451),0),
IF('TL16'!$B$3=L$3,SUMIF('TL16'!$C$10:$C$224,$C375,'TL16'!$J$10:$J$224),0),
IF('TL16'!$B$229=L$3,SUMIF('TL16'!$C$238:$C$451,$C375,'TL16'!$J$238:$J$451),0),
IF('TL17'!$B$3=L$3,SUMIF('TL17'!$C$10:$C$224,$C375,'TL17'!$J$10:$J$224),0),
IF('TL17'!$B$229=L$3,SUMIF('TL17'!$C$238:$C$451,$C375,'TL17'!$J$238:$J$451),0),
IF('TL18'!$B$3=L$3,SUMIF('TL18'!$C$10:$C$224,$C375,'TL18'!$J$10:$J$224),0),
IF('TL18'!$B$229=L$3,SUMIF('TL18'!$C$238:$C$451,$C375,'TL18'!$J$238:$J$451),0),
IF('TL19'!$B$3=L$3,SUMIF('TL19'!$C$10:$C$224,$C375,'TL19'!$J$10:$J$224),0),
IF('TL19'!$B$229=L$3,SUMIF('TL19'!$C$238:$C$451,$C375,'TL19'!$J$238:$J$451),0)
),0)</f>
        <v/>
      </c>
      <c r="M375" s="9">
        <f>IFERROR(SUM(
IF('TL01'!$B$3=M$3,SUMIF('TL01'!$C$10:$C$224,$C375,'TL01'!$J$10:$J$224),0),
IF('TL01'!$B$229=M$3,SUMIF('TL01'!$C$238:$C$451,$C375,'TL01'!$J$238:$J$451),0),
IF('TL02'!$B$3=M$3,SUMIF('TL02'!$C$10:$C$224,$C375,'TL02'!$J$10:$J$224),0),
IF('TL02'!$B$229=M$3,SUMIF('TL02'!$C$238:$C$451,$C375,'TL02'!$J$238:$J$451),0),
IF('TL03'!$B$3=M$3,SUMIF('TL03'!$C$10:$C$224,$C375,'TL03'!$J$10:$J$224),0),
IF('TL03'!$B$229=M$3,SUMIF('TL03'!$C$238:$C$451,$C375,'TL03'!$J$238:$J$451),0),
IF('TL04'!$B$3=M$3,SUMIF('TL04'!$C$10:$C$224,$C375,'TL04'!$J$10:$J$224),0),
IF('TL04'!$B$229=M$3,SUMIF('TL04'!$C$238:$C$451,$C375,'TL04'!$J$238:$J$451),0),
IF('TL05'!$B$3=M$3,SUMIF('TL05'!$C$10:$C$224,$C375,'TL05'!$J$10:$J$224),0),
IF('TL05'!$B$229=M$3,SUMIF('TL05'!$C$238:$C$451,$C375,'TL05'!$J$238:$J$451),0),
IF('TL06'!$B$3=M$3,SUMIF('TL06'!$C$10:$C$224,$C375,'TL06'!$J$10:$J$224),0),
IF('TL06'!$B$229=M$3,SUMIF('TL06'!$C$238:$C$451,$C375,'TL06'!$J$238:$J$451),0),
IF('TL07'!$B$3=M$3,SUMIF('TL07'!$C$10:$C$224,$C375,'TL07'!$J$10:$J$224),0),
IF('TL07'!$B$229=M$3,SUMIF('TL07'!$C$238:$C$451,$C375,'TL07'!$J$238:$J$451),0),
IF('TL08'!$B$3=M$3,SUMIF('TL08'!$C$10:$C$224,$C375,'TL08'!$J$10:$J$224),0),
IF('TL08'!$B$229=M$3,SUMIF('TL08'!$C$238:$C$451,$C375,'TL08'!$J$238:$J$451),0),
IF('TL09'!$B$3=M$3,SUMIF('TL09'!$C$10:$C$224,$C375,'TL09'!$J$10:$J$224),0),
IF('TL09'!$B$229=M$3,SUMIF('TL09'!$C$238:$C$451,$C375,'TL09'!$J$238:$J$451),0),
IF('TL10'!$B$3=M$3,SUMIF('TL10'!$C$10:$C$224,$C375,'TL10'!$J$10:$J$224),0),
IF('TL10'!$B$229=M$3,SUMIF('TL10'!$C$238:$C$451,$C375,'TL10'!$J$238:$J$451),0),
IF('TL11'!$B$3=M$3,SUMIF('TL11'!$C$10:$C$224,$C375,'TL11'!$J$10:$J$224),0),
IF('TL11'!$B$229=M$3,SUMIF('TL11'!$C$238:$C$451,$C375,'TL11'!$J$238:$J$451),0),
IF('TL12'!$B$3=M$3,SUMIF('TL12'!$C$10:$C$224,$C375,'TL12'!$J$10:$J$224),0),
IF('TL12'!$B$229=M$3,SUMIF('TL12'!$C$238:$C$451,$C375,'TL12'!$J$238:$J$451),0),
IF('TL13'!$B$3=M$3,SUMIF('TL13'!$C$10:$C$224,$C375,'TL13'!$J$10:$J$224),0),
IF('TL13'!$B$229=M$3,SUMIF('TL13'!$C$238:$C$451,$C375,'TL13'!$J$238:$J$451),0),
IF('TL14'!$B$3=M$3,SUMIF('TL14'!$C$10:$C$224,$C375,'TL14'!$J$10:$J$224),0),
IF('TL14'!$B$229=M$3,SUMIF('TL14'!$C$238:$C$451,$C375,'TL14'!$J$238:$J$451),0),
IF('TL15'!$B$3=M$3,SUMIF('TL15'!$C$10:$C$224,$C375,'TL15'!$J$10:$J$224),0),
IF('TL15'!$B$229=M$3,SUMIF('TL15'!$C$238:$C$451,$C375,'TL15'!$J$238:$J$451),0),
IF('TL16'!$B$3=M$3,SUMIF('TL16'!$C$10:$C$224,$C375,'TL16'!$J$10:$J$224),0),
IF('TL16'!$B$229=M$3,SUMIF('TL16'!$C$238:$C$451,$C375,'TL16'!$J$238:$J$451),0),
IF('TL17'!$B$3=M$3,SUMIF('TL17'!$C$10:$C$224,$C375,'TL17'!$J$10:$J$224),0),
IF('TL17'!$B$229=M$3,SUMIF('TL17'!$C$238:$C$451,$C375,'TL17'!$J$238:$J$451),0),
IF('TL18'!$B$3=M$3,SUMIF('TL18'!$C$10:$C$224,$C375,'TL18'!$J$10:$J$224),0),
IF('TL18'!$B$229=M$3,SUMIF('TL18'!$C$238:$C$451,$C375,'TL18'!$J$238:$J$451),0),
IF('TL19'!$B$3=M$3,SUMIF('TL19'!$C$10:$C$224,$C375,'TL19'!$J$10:$J$224),0),
IF('TL19'!$B$229=M$3,SUMIF('TL19'!$C$238:$C$451,$C375,'TL19'!$J$238:$J$451),0)
),0)</f>
        <v/>
      </c>
      <c r="N375" s="9">
        <f>IFERROR(SUM(
IF('TL01'!$B$3=N$3,SUMIF('TL01'!$C$10:$C$224,$C375,'TL01'!$J$10:$J$224),0),
IF('TL01'!$B$229=N$3,SUMIF('TL01'!$C$238:$C$451,$C375,'TL01'!$J$238:$J$451),0),
IF('TL02'!$B$3=N$3,SUMIF('TL02'!$C$10:$C$224,$C375,'TL02'!$J$10:$J$224),0),
IF('TL02'!$B$229=N$3,SUMIF('TL02'!$C$238:$C$451,$C375,'TL02'!$J$238:$J$451),0),
IF('TL03'!$B$3=N$3,SUMIF('TL03'!$C$10:$C$224,$C375,'TL03'!$J$10:$J$224),0),
IF('TL03'!$B$229=N$3,SUMIF('TL03'!$C$238:$C$451,$C375,'TL03'!$J$238:$J$451),0),
IF('TL04'!$B$3=N$3,SUMIF('TL04'!$C$10:$C$224,$C375,'TL04'!$J$10:$J$224),0),
IF('TL04'!$B$229=N$3,SUMIF('TL04'!$C$238:$C$451,$C375,'TL04'!$J$238:$J$451),0),
IF('TL05'!$B$3=N$3,SUMIF('TL05'!$C$10:$C$224,$C375,'TL05'!$J$10:$J$224),0),
IF('TL05'!$B$229=N$3,SUMIF('TL05'!$C$238:$C$451,$C375,'TL05'!$J$238:$J$451),0),
IF('TL06'!$B$3=N$3,SUMIF('TL06'!$C$10:$C$224,$C375,'TL06'!$J$10:$J$224),0),
IF('TL06'!$B$229=N$3,SUMIF('TL06'!$C$238:$C$451,$C375,'TL06'!$J$238:$J$451),0),
IF('TL07'!$B$3=N$3,SUMIF('TL07'!$C$10:$C$224,$C375,'TL07'!$J$10:$J$224),0),
IF('TL07'!$B$229=N$3,SUMIF('TL07'!$C$238:$C$451,$C375,'TL07'!$J$238:$J$451),0),
IF('TL08'!$B$3=N$3,SUMIF('TL08'!$C$10:$C$224,$C375,'TL08'!$J$10:$J$224),0),
IF('TL08'!$B$229=N$3,SUMIF('TL08'!$C$238:$C$451,$C375,'TL08'!$J$238:$J$451),0),
IF('TL09'!$B$3=N$3,SUMIF('TL09'!$C$10:$C$224,$C375,'TL09'!$J$10:$J$224),0),
IF('TL09'!$B$229=N$3,SUMIF('TL09'!$C$238:$C$451,$C375,'TL09'!$J$238:$J$451),0),
IF('TL10'!$B$3=N$3,SUMIF('TL10'!$C$10:$C$224,$C375,'TL10'!$J$10:$J$224),0),
IF('TL10'!$B$229=N$3,SUMIF('TL10'!$C$238:$C$451,$C375,'TL10'!$J$238:$J$451),0),
IF('TL11'!$B$3=N$3,SUMIF('TL11'!$C$10:$C$224,$C375,'TL11'!$J$10:$J$224),0),
IF('TL11'!$B$229=N$3,SUMIF('TL11'!$C$238:$C$451,$C375,'TL11'!$J$238:$J$451),0),
IF('TL12'!$B$3=N$3,SUMIF('TL12'!$C$10:$C$224,$C375,'TL12'!$J$10:$J$224),0),
IF('TL12'!$B$229=N$3,SUMIF('TL12'!$C$238:$C$451,$C375,'TL12'!$J$238:$J$451),0),
IF('TL13'!$B$3=N$3,SUMIF('TL13'!$C$10:$C$224,$C375,'TL13'!$J$10:$J$224),0),
IF('TL13'!$B$229=N$3,SUMIF('TL13'!$C$238:$C$451,$C375,'TL13'!$J$238:$J$451),0),
IF('TL14'!$B$3=N$3,SUMIF('TL14'!$C$10:$C$224,$C375,'TL14'!$J$10:$J$224),0),
IF('TL14'!$B$229=N$3,SUMIF('TL14'!$C$238:$C$451,$C375,'TL14'!$J$238:$J$451),0),
IF('TL15'!$B$3=N$3,SUMIF('TL15'!$C$10:$C$224,$C375,'TL15'!$J$10:$J$224),0),
IF('TL15'!$B$229=N$3,SUMIF('TL15'!$C$238:$C$451,$C375,'TL15'!$J$238:$J$451),0),
IF('TL16'!$B$3=N$3,SUMIF('TL16'!$C$10:$C$224,$C375,'TL16'!$J$10:$J$224),0),
IF('TL16'!$B$229=N$3,SUMIF('TL16'!$C$238:$C$451,$C375,'TL16'!$J$238:$J$451),0),
IF('TL17'!$B$3=N$3,SUMIF('TL17'!$C$10:$C$224,$C375,'TL17'!$J$10:$J$224),0),
IF('TL17'!$B$229=N$3,SUMIF('TL17'!$C$238:$C$451,$C375,'TL17'!$J$238:$J$451),0),
IF('TL18'!$B$3=N$3,SUMIF('TL18'!$C$10:$C$224,$C375,'TL18'!$J$10:$J$224),0),
IF('TL18'!$B$229=N$3,SUMIF('TL18'!$C$238:$C$451,$C375,'TL18'!$J$238:$J$451),0),
IF('TL19'!$B$3=N$3,SUMIF('TL19'!$C$10:$C$224,$C375,'TL19'!$J$10:$J$224),0),
IF('TL19'!$B$229=N$3,SUMIF('TL19'!$C$238:$C$451,$C375,'TL19'!$J$238:$J$451),0)
),0)</f>
        <v/>
      </c>
      <c r="O375" s="9">
        <f>IFERROR(SUM(
IF('TL01'!$B$3=O$3,SUMIF('TL01'!$C$10:$C$224,$C375,'TL01'!$J$10:$J$224),0),
IF('TL01'!$B$229=O$3,SUMIF('TL01'!$C$238:$C$451,$C375,'TL01'!$J$238:$J$451),0),
IF('TL02'!$B$3=O$3,SUMIF('TL02'!$C$10:$C$224,$C375,'TL02'!$J$10:$J$224),0),
IF('TL02'!$B$229=O$3,SUMIF('TL02'!$C$238:$C$451,$C375,'TL02'!$J$238:$J$451),0),
IF('TL03'!$B$3=O$3,SUMIF('TL03'!$C$10:$C$224,$C375,'TL03'!$J$10:$J$224),0),
IF('TL03'!$B$229=O$3,SUMIF('TL03'!$C$238:$C$451,$C375,'TL03'!$J$238:$J$451),0),
IF('TL04'!$B$3=O$3,SUMIF('TL04'!$C$10:$C$224,$C375,'TL04'!$J$10:$J$224),0),
IF('TL04'!$B$229=O$3,SUMIF('TL04'!$C$238:$C$451,$C375,'TL04'!$J$238:$J$451),0),
IF('TL05'!$B$3=O$3,SUMIF('TL05'!$C$10:$C$224,$C375,'TL05'!$J$10:$J$224),0),
IF('TL05'!$B$229=O$3,SUMIF('TL05'!$C$238:$C$451,$C375,'TL05'!$J$238:$J$451),0),
IF('TL06'!$B$3=O$3,SUMIF('TL06'!$C$10:$C$224,$C375,'TL06'!$J$10:$J$224),0),
IF('TL06'!$B$229=O$3,SUMIF('TL06'!$C$238:$C$451,$C375,'TL06'!$J$238:$J$451),0),
IF('TL07'!$B$3=O$3,SUMIF('TL07'!$C$10:$C$224,$C375,'TL07'!$J$10:$J$224),0),
IF('TL07'!$B$229=O$3,SUMIF('TL07'!$C$238:$C$451,$C375,'TL07'!$J$238:$J$451),0),
IF('TL08'!$B$3=O$3,SUMIF('TL08'!$C$10:$C$224,$C375,'TL08'!$J$10:$J$224),0),
IF('TL08'!$B$229=O$3,SUMIF('TL08'!$C$238:$C$451,$C375,'TL08'!$J$238:$J$451),0),
IF('TL09'!$B$3=O$3,SUMIF('TL09'!$C$10:$C$224,$C375,'TL09'!$J$10:$J$224),0),
IF('TL09'!$B$229=O$3,SUMIF('TL09'!$C$238:$C$451,$C375,'TL09'!$J$238:$J$451),0),
IF('TL10'!$B$3=O$3,SUMIF('TL10'!$C$10:$C$224,$C375,'TL10'!$J$10:$J$224),0),
IF('TL10'!$B$229=O$3,SUMIF('TL10'!$C$238:$C$451,$C375,'TL10'!$J$238:$J$451),0),
IF('TL11'!$B$3=O$3,SUMIF('TL11'!$C$10:$C$224,$C375,'TL11'!$J$10:$J$224),0),
IF('TL11'!$B$229=O$3,SUMIF('TL11'!$C$238:$C$451,$C375,'TL11'!$J$238:$J$451),0),
IF('TL12'!$B$3=O$3,SUMIF('TL12'!$C$10:$C$224,$C375,'TL12'!$J$10:$J$224),0),
IF('TL12'!$B$229=O$3,SUMIF('TL12'!$C$238:$C$451,$C375,'TL12'!$J$238:$J$451),0),
IF('TL13'!$B$3=O$3,SUMIF('TL13'!$C$10:$C$224,$C375,'TL13'!$J$10:$J$224),0),
IF('TL13'!$B$229=O$3,SUMIF('TL13'!$C$238:$C$451,$C375,'TL13'!$J$238:$J$451),0),
IF('TL14'!$B$3=O$3,SUMIF('TL14'!$C$10:$C$224,$C375,'TL14'!$J$10:$J$224),0),
IF('TL14'!$B$229=O$3,SUMIF('TL14'!$C$238:$C$451,$C375,'TL14'!$J$238:$J$451),0),
IF('TL15'!$B$3=O$3,SUMIF('TL15'!$C$10:$C$224,$C375,'TL15'!$J$10:$J$224),0),
IF('TL15'!$B$229=O$3,SUMIF('TL15'!$C$238:$C$451,$C375,'TL15'!$J$238:$J$451),0),
IF('TL16'!$B$3=O$3,SUMIF('TL16'!$C$10:$C$224,$C375,'TL16'!$J$10:$J$224),0),
IF('TL16'!$B$229=O$3,SUMIF('TL16'!$C$238:$C$451,$C375,'TL16'!$J$238:$J$451),0),
IF('TL17'!$B$3=O$3,SUMIF('TL17'!$C$10:$C$224,$C375,'TL17'!$J$10:$J$224),0),
IF('TL17'!$B$229=O$3,SUMIF('TL17'!$C$238:$C$451,$C375,'TL17'!$J$238:$J$451),0),
IF('TL18'!$B$3=O$3,SUMIF('TL18'!$C$10:$C$224,$C375,'TL18'!$J$10:$J$224),0),
IF('TL18'!$B$229=O$3,SUMIF('TL18'!$C$238:$C$451,$C375,'TL18'!$J$238:$J$451),0),
IF('TL19'!$B$3=O$3,SUMIF('TL19'!$C$10:$C$224,$C375,'TL19'!$J$10:$J$224),0),
IF('TL19'!$B$229=O$3,SUMIF('TL19'!$C$238:$C$451,$C375,'TL19'!$J$238:$J$451),0)
),0)</f>
        <v/>
      </c>
      <c r="P375" s="9">
        <f>IFERROR(SUM(
IF('TL01'!$B$3=P$3,SUMIF('TL01'!$C$10:$C$224,$C375,'TL01'!$J$10:$J$224),0),
IF('TL01'!$B$229=P$3,SUMIF('TL01'!$C$238:$C$451,$C375,'TL01'!$J$238:$J$451),0),
IF('TL02'!$B$3=P$3,SUMIF('TL02'!$C$10:$C$224,$C375,'TL02'!$J$10:$J$224),0),
IF('TL02'!$B$229=P$3,SUMIF('TL02'!$C$238:$C$451,$C375,'TL02'!$J$238:$J$451),0),
IF('TL03'!$B$3=P$3,SUMIF('TL03'!$C$10:$C$224,$C375,'TL03'!$J$10:$J$224),0),
IF('TL03'!$B$229=P$3,SUMIF('TL03'!$C$238:$C$451,$C375,'TL03'!$J$238:$J$451),0),
IF('TL04'!$B$3=P$3,SUMIF('TL04'!$C$10:$C$224,$C375,'TL04'!$J$10:$J$224),0),
IF('TL04'!$B$229=P$3,SUMIF('TL04'!$C$238:$C$451,$C375,'TL04'!$J$238:$J$451),0),
IF('TL05'!$B$3=P$3,SUMIF('TL05'!$C$10:$C$224,$C375,'TL05'!$J$10:$J$224),0),
IF('TL05'!$B$229=P$3,SUMIF('TL05'!$C$238:$C$451,$C375,'TL05'!$J$238:$J$451),0),
IF('TL06'!$B$3=P$3,SUMIF('TL06'!$C$10:$C$224,$C375,'TL06'!$J$10:$J$224),0),
IF('TL06'!$B$229=P$3,SUMIF('TL06'!$C$238:$C$451,$C375,'TL06'!$J$238:$J$451),0),
IF('TL07'!$B$3=P$3,SUMIF('TL07'!$C$10:$C$224,$C375,'TL07'!$J$10:$J$224),0),
IF('TL07'!$B$229=P$3,SUMIF('TL07'!$C$238:$C$451,$C375,'TL07'!$J$238:$J$451),0),
IF('TL08'!$B$3=P$3,SUMIF('TL08'!$C$10:$C$224,$C375,'TL08'!$J$10:$J$224),0),
IF('TL08'!$B$229=P$3,SUMIF('TL08'!$C$238:$C$451,$C375,'TL08'!$J$238:$J$451),0),
IF('TL09'!$B$3=P$3,SUMIF('TL09'!$C$10:$C$224,$C375,'TL09'!$J$10:$J$224),0),
IF('TL09'!$B$229=P$3,SUMIF('TL09'!$C$238:$C$451,$C375,'TL09'!$J$238:$J$451),0),
IF('TL10'!$B$3=P$3,SUMIF('TL10'!$C$10:$C$224,$C375,'TL10'!$J$10:$J$224),0),
IF('TL10'!$B$229=P$3,SUMIF('TL10'!$C$238:$C$451,$C375,'TL10'!$J$238:$J$451),0),
IF('TL11'!$B$3=P$3,SUMIF('TL11'!$C$10:$C$224,$C375,'TL11'!$J$10:$J$224),0),
IF('TL11'!$B$229=P$3,SUMIF('TL11'!$C$238:$C$451,$C375,'TL11'!$J$238:$J$451),0),
IF('TL12'!$B$3=P$3,SUMIF('TL12'!$C$10:$C$224,$C375,'TL12'!$J$10:$J$224),0),
IF('TL12'!$B$229=P$3,SUMIF('TL12'!$C$238:$C$451,$C375,'TL12'!$J$238:$J$451),0),
IF('TL13'!$B$3=P$3,SUMIF('TL13'!$C$10:$C$224,$C375,'TL13'!$J$10:$J$224),0),
IF('TL13'!$B$229=P$3,SUMIF('TL13'!$C$238:$C$451,$C375,'TL13'!$J$238:$J$451),0),
IF('TL14'!$B$3=P$3,SUMIF('TL14'!$C$10:$C$224,$C375,'TL14'!$J$10:$J$224),0),
IF('TL14'!$B$229=P$3,SUMIF('TL14'!$C$238:$C$451,$C375,'TL14'!$J$238:$J$451),0),
IF('TL15'!$B$3=P$3,SUMIF('TL15'!$C$10:$C$224,$C375,'TL15'!$J$10:$J$224),0),
IF('TL15'!$B$229=P$3,SUMIF('TL15'!$C$238:$C$451,$C375,'TL15'!$J$238:$J$451),0),
IF('TL16'!$B$3=P$3,SUMIF('TL16'!$C$10:$C$224,$C375,'TL16'!$J$10:$J$224),0),
IF('TL16'!$B$229=P$3,SUMIF('TL16'!$C$238:$C$451,$C375,'TL16'!$J$238:$J$451),0),
IF('TL17'!$B$3=P$3,SUMIF('TL17'!$C$10:$C$224,$C375,'TL17'!$J$10:$J$224),0),
IF('TL17'!$B$229=P$3,SUMIF('TL17'!$C$238:$C$451,$C375,'TL17'!$J$238:$J$451),0),
IF('TL18'!$B$3=P$3,SUMIF('TL18'!$C$10:$C$224,$C375,'TL18'!$J$10:$J$224),0),
IF('TL18'!$B$229=P$3,SUMIF('TL18'!$C$238:$C$451,$C375,'TL18'!$J$238:$J$451),0),
IF('TL19'!$B$3=P$3,SUMIF('TL19'!$C$10:$C$224,$C375,'TL19'!$J$10:$J$224),0),
IF('TL19'!$B$229=P$3,SUMIF('TL19'!$C$238:$C$451,$C375,'TL19'!$J$238:$J$451),0)
),0)</f>
        <v/>
      </c>
      <c r="Q375" s="9">
        <f>IFERROR(SUM(
IF('TL01'!$B$3=Q$3,SUMIF('TL01'!$C$10:$C$224,$C375,'TL01'!$J$10:$J$224),0),
IF('TL01'!$B$229=Q$3,SUMIF('TL01'!$C$238:$C$451,$C375,'TL01'!$J$238:$J$451),0),
IF('TL02'!$B$3=Q$3,SUMIF('TL02'!$C$10:$C$224,$C375,'TL02'!$J$10:$J$224),0),
IF('TL02'!$B$229=Q$3,SUMIF('TL02'!$C$238:$C$451,$C375,'TL02'!$J$238:$J$451),0),
IF('TL03'!$B$3=Q$3,SUMIF('TL03'!$C$10:$C$224,$C375,'TL03'!$J$10:$J$224),0),
IF('TL03'!$B$229=Q$3,SUMIF('TL03'!$C$238:$C$451,$C375,'TL03'!$J$238:$J$451),0),
IF('TL04'!$B$3=Q$3,SUMIF('TL04'!$C$10:$C$224,$C375,'TL04'!$J$10:$J$224),0),
IF('TL04'!$B$229=Q$3,SUMIF('TL04'!$C$238:$C$451,$C375,'TL04'!$J$238:$J$451),0),
IF('TL05'!$B$3=Q$3,SUMIF('TL05'!$C$10:$C$224,$C375,'TL05'!$J$10:$J$224),0),
IF('TL05'!$B$229=Q$3,SUMIF('TL05'!$C$238:$C$451,$C375,'TL05'!$J$238:$J$451),0),
IF('TL06'!$B$3=Q$3,SUMIF('TL06'!$C$10:$C$224,$C375,'TL06'!$J$10:$J$224),0),
IF('TL06'!$B$229=Q$3,SUMIF('TL06'!$C$238:$C$451,$C375,'TL06'!$J$238:$J$451),0),
IF('TL07'!$B$3=Q$3,SUMIF('TL07'!$C$10:$C$224,$C375,'TL07'!$J$10:$J$224),0),
IF('TL07'!$B$229=Q$3,SUMIF('TL07'!$C$238:$C$451,$C375,'TL07'!$J$238:$J$451),0),
IF('TL08'!$B$3=Q$3,SUMIF('TL08'!$C$10:$C$224,$C375,'TL08'!$J$10:$J$224),0),
IF('TL08'!$B$229=Q$3,SUMIF('TL08'!$C$238:$C$451,$C375,'TL08'!$J$238:$J$451),0),
IF('TL09'!$B$3=Q$3,SUMIF('TL09'!$C$10:$C$224,$C375,'TL09'!$J$10:$J$224),0),
IF('TL09'!$B$229=Q$3,SUMIF('TL09'!$C$238:$C$451,$C375,'TL09'!$J$238:$J$451),0),
IF('TL10'!$B$3=Q$3,SUMIF('TL10'!$C$10:$C$224,$C375,'TL10'!$J$10:$J$224),0),
IF('TL10'!$B$229=Q$3,SUMIF('TL10'!$C$238:$C$451,$C375,'TL10'!$J$238:$J$451),0),
IF('TL11'!$B$3=Q$3,SUMIF('TL11'!$C$10:$C$224,$C375,'TL11'!$J$10:$J$224),0),
IF('TL11'!$B$229=Q$3,SUMIF('TL11'!$C$238:$C$451,$C375,'TL11'!$J$238:$J$451),0),
IF('TL12'!$B$3=Q$3,SUMIF('TL12'!$C$10:$C$224,$C375,'TL12'!$J$10:$J$224),0),
IF('TL12'!$B$229=Q$3,SUMIF('TL12'!$C$238:$C$451,$C375,'TL12'!$J$238:$J$451),0),
IF('TL13'!$B$3=Q$3,SUMIF('TL13'!$C$10:$C$224,$C375,'TL13'!$J$10:$J$224),0),
IF('TL13'!$B$229=Q$3,SUMIF('TL13'!$C$238:$C$451,$C375,'TL13'!$J$238:$J$451),0),
IF('TL14'!$B$3=Q$3,SUMIF('TL14'!$C$10:$C$224,$C375,'TL14'!$J$10:$J$224),0),
IF('TL14'!$B$229=Q$3,SUMIF('TL14'!$C$238:$C$451,$C375,'TL14'!$J$238:$J$451),0),
IF('TL15'!$B$3=Q$3,SUMIF('TL15'!$C$10:$C$224,$C375,'TL15'!$J$10:$J$224),0),
IF('TL15'!$B$229=Q$3,SUMIF('TL15'!$C$238:$C$451,$C375,'TL15'!$J$238:$J$451),0),
IF('TL16'!$B$3=Q$3,SUMIF('TL16'!$C$10:$C$224,$C375,'TL16'!$J$10:$J$224),0),
IF('TL16'!$B$229=Q$3,SUMIF('TL16'!$C$238:$C$451,$C375,'TL16'!$J$238:$J$451),0),
IF('TL17'!$B$3=Q$3,SUMIF('TL17'!$C$10:$C$224,$C375,'TL17'!$J$10:$J$224),0),
IF('TL17'!$B$229=Q$3,SUMIF('TL17'!$C$238:$C$451,$C375,'TL17'!$J$238:$J$451),0),
IF('TL18'!$B$3=Q$3,SUMIF('TL18'!$C$10:$C$224,$C375,'TL18'!$J$10:$J$224),0),
IF('TL18'!$B$229=Q$3,SUMIF('TL18'!$C$238:$C$451,$C375,'TL18'!$J$238:$J$451),0),
IF('TL19'!$B$3=Q$3,SUMIF('TL19'!$C$10:$C$224,$C375,'TL19'!$J$10:$J$224),0),
IF('TL19'!$B$229=Q$3,SUMIF('TL19'!$C$238:$C$451,$C375,'TL19'!$J$238:$J$451),0)
),0)</f>
        <v/>
      </c>
      <c r="R375" s="9">
        <f>IFERROR(
SUM(
SUMIF('TL01'!C:C,C375,'TL01'!J:J),
SUMIF('TL02'!C:C,C375,'TL02'!J:J),
SUMIF('TL03'!C:C,C375,'TL03'!J:J),
SUMIF('TL04'!C:C,C375,'TL04'!J:J),
SUMIF('TL05'!C:C,C375,'TL05'!J:J),
SUMIF('TL06'!C:C,C375,'TL06'!J:J),
SUMIF('TL07'!C:C,C375,'TL07'!J:J),
SUMIF('TL08'!C:C,C375,'TL08'!J:J),
SUMIF('TL09'!C:C,C375,'TL09'!J:J),
SUMIF('TL10'!C:C,C375,'TL10'!J:J),
SUMIF('TL11'!C:C,C375,'TL11'!J:J),
SUMIF('TL12'!C:C,C375,'TL12'!J:J),
SUMIF('TL13'!C:C,C375,'TL13'!J:J),
SUMIF('TL14'!C:C,C375,'TL14'!J:J),
SUMIF('TL15'!C:C,C375,'TL15'!J:J),
SUMIF('TL16'!C:C,C375,'TL16'!J:J),
SUMIF('TL17'!C:C,C375,'TL17'!J:J),
SUMIF('TL18'!C:C,C375,'TL18'!J:J),SUMIF('TL19'!C:C,C375,'TL19'!J:J))
,0)</f>
        <v/>
      </c>
      <c r="S375" s="17">
        <f>IFERROR(__xludf.DUMMYFUNCTION("IFERROR(VLOOKUP(C375,
IMPORTRANGE(""1wULbzX32WdYsx-lj2U3uUNBBe2INVIRDtcK0d-Dvl90"",
""26-27!C:G""),
5,
FALSE),
"""")"),14.56)</f>
        <v/>
      </c>
      <c r="T375" s="9" t="n"/>
      <c r="U375" s="92">
        <f>MAX(0,R375-T375)</f>
        <v/>
      </c>
      <c r="V375" s="93">
        <f>U375*S375</f>
        <v/>
      </c>
    </row>
    <row r="376" hidden="1" ht="15.75" customHeight="1" s="297">
      <c r="A376" s="4" t="inlineStr">
        <is>
          <t>SOLUBIO</t>
        </is>
      </c>
      <c r="B376" s="4" t="inlineStr">
        <is>
          <t>BIOLÓGICOS</t>
        </is>
      </c>
      <c r="C376" s="126" t="inlineStr">
        <is>
          <t>Reserva</t>
        </is>
      </c>
      <c r="D376" s="127" t="inlineStr">
        <is>
          <t>Nutrifarm</t>
        </is>
      </c>
      <c r="E376" s="20" t="n"/>
      <c r="F376" s="4" t="n"/>
      <c r="G376" s="90">
        <f>HYPERLINK("https://www.google.com/search?q=" &amp; C376 &amp; "+bula+agrofit+pdf", "📄 Ver bula")</f>
        <v/>
      </c>
      <c r="H376" s="9" t="n"/>
      <c r="I376" s="123" t="n"/>
      <c r="J376" s="9">
        <f>IFERROR(SUM(
IF('TL01'!$B$3=J$3,SUMIF('TL01'!$C$10:$C$224,$C376,'TL01'!$J$10:$J$224),0),
IF('TL01'!$B$229=J$3,SUMIF('TL01'!$C$238:$C$451,$C376,'TL01'!$J$238:$J$451),0),
IF('TL02'!$B$3=J$3,SUMIF('TL02'!$C$10:$C$224,$C376,'TL02'!$J$10:$J$224),0),
IF('TL02'!$B$229=J$3,SUMIF('TL02'!$C$238:$C$451,$C376,'TL02'!$J$238:$J$451),0),
IF('TL03'!$B$3=J$3,SUMIF('TL03'!$C$10:$C$224,$C376,'TL03'!$J$10:$J$224),0),
IF('TL03'!$B$229=J$3,SUMIF('TL03'!$C$238:$C$451,$C376,'TL03'!$J$238:$J$451),0),
IF('TL04'!$B$3=J$3,SUMIF('TL04'!$C$10:$C$224,$C376,'TL04'!$J$10:$J$224),0),
IF('TL04'!$B$229=J$3,SUMIF('TL04'!$C$238:$C$451,$C376,'TL04'!$J$238:$J$451),0),
IF('TL05'!$B$3=J$3,SUMIF('TL05'!$C$10:$C$224,$C376,'TL05'!$J$10:$J$224),0),
IF('TL05'!$B$229=J$3,SUMIF('TL05'!$C$238:$C$451,$C376,'TL05'!$J$238:$J$451),0),
IF('TL06'!$B$3=J$3,SUMIF('TL06'!$C$10:$C$224,$C376,'TL06'!$J$10:$J$224),0),
IF('TL06'!$B$229=J$3,SUMIF('TL06'!$C$238:$C$451,$C376,'TL06'!$J$238:$J$451),0),
IF('TL07'!$B$3=J$3,SUMIF('TL07'!$C$10:$C$224,$C376,'TL07'!$J$10:$J$224),0),
IF('TL07'!$B$229=J$3,SUMIF('TL07'!$C$238:$C$451,$C376,'TL07'!$J$238:$J$451),0),
IF('TL08'!$B$3=J$3,SUMIF('TL08'!$C$10:$C$224,$C376,'TL08'!$J$10:$J$224),0),
IF('TL08'!$B$229=J$3,SUMIF('TL08'!$C$238:$C$451,$C376,'TL08'!$J$238:$J$451),0),
IF('TL09'!$B$3=J$3,SUMIF('TL09'!$C$10:$C$224,$C376,'TL09'!$J$10:$J$224),0),
IF('TL09'!$B$229=J$3,SUMIF('TL09'!$C$238:$C$451,$C376,'TL09'!$J$238:$J$451),0),
IF('TL10'!$B$3=J$3,SUMIF('TL10'!$C$10:$C$224,$C376,'TL10'!$J$10:$J$224),0),
IF('TL10'!$B$229=J$3,SUMIF('TL10'!$C$238:$C$451,$C376,'TL10'!$J$238:$J$451),0),
IF('TL11'!$B$3=J$3,SUMIF('TL11'!$C$10:$C$224,$C376,'TL11'!$J$10:$J$224),0),
IF('TL11'!$B$229=J$3,SUMIF('TL11'!$C$238:$C$451,$C376,'TL11'!$J$238:$J$451),0),
IF('TL12'!$B$3=J$3,SUMIF('TL12'!$C$10:$C$224,$C376,'TL12'!$J$10:$J$224),0),
IF('TL12'!$B$229=J$3,SUMIF('TL12'!$C$238:$C$451,$C376,'TL12'!$J$238:$J$451),0),
IF('TL13'!$B$3=J$3,SUMIF('TL13'!$C$10:$C$224,$C376,'TL13'!$J$10:$J$224),0),
IF('TL13'!$B$229=J$3,SUMIF('TL13'!$C$238:$C$451,$C376,'TL13'!$J$238:$J$451),0),
IF('TL14'!$B$3=J$3,SUMIF('TL14'!$C$10:$C$224,$C376,'TL14'!$J$10:$J$224),0),
IF('TL14'!$B$229=J$3,SUMIF('TL14'!$C$238:$C$451,$C376,'TL14'!$J$238:$J$451),0),
IF('TL15'!$B$3=J$3,SUMIF('TL15'!$C$10:$C$224,$C376,'TL15'!$J$10:$J$224),0),
IF('TL15'!$B$229=J$3,SUMIF('TL15'!$C$238:$C$451,$C376,'TL15'!$J$238:$J$451),0),
IF('TL16'!$B$3=J$3,SUMIF('TL16'!$C$10:$C$224,$C376,'TL16'!$J$10:$J$224),0),
IF('TL16'!$B$229=J$3,SUMIF('TL16'!$C$238:$C$451,$C376,'TL16'!$J$238:$J$451),0),
IF('TL17'!$B$3=J$3,SUMIF('TL17'!$C$10:$C$224,$C376,'TL17'!$J$10:$J$224),0),
IF('TL17'!$B$229=J$3,SUMIF('TL17'!$C$238:$C$451,$C376,'TL17'!$J$238:$J$451),0),
IF('TL18'!$B$3=J$3,SUMIF('TL18'!$C$10:$C$224,$C376,'TL18'!$J$10:$J$224),0),
IF('TL18'!$B$229=J$3,SUMIF('TL18'!$C$238:$C$451,$C376,'TL18'!$J$238:$J$451),0),
IF('TL19'!$B$3=J$3,SUMIF('TL19'!$C$10:$C$224,$C376,'TL19'!$J$10:$J$224),0),
IF('TL19'!$B$229=J$3,SUMIF('TL19'!$C$238:$C$451,$C376,'TL19'!$J$238:$J$451),0)
),0)</f>
        <v/>
      </c>
      <c r="K376" s="9">
        <f>IFERROR(SUM(
IF('TL01'!$B$3=K$3,SUMIF('TL01'!$C$10:$C$224,$C376,'TL01'!$J$10:$J$224),0),
IF('TL01'!$B$229=K$3,SUMIF('TL01'!$C$238:$C$451,$C376,'TL01'!$J$238:$J$451),0),
IF('TL02'!$B$3=K$3,SUMIF('TL02'!$C$10:$C$224,$C376,'TL02'!$J$10:$J$224),0),
IF('TL02'!$B$229=K$3,SUMIF('TL02'!$C$238:$C$451,$C376,'TL02'!$J$238:$J$451),0),
IF('TL03'!$B$3=K$3,SUMIF('TL03'!$C$10:$C$224,$C376,'TL03'!$J$10:$J$224),0),
IF('TL03'!$B$229=K$3,SUMIF('TL03'!$C$238:$C$451,$C376,'TL03'!$J$238:$J$451),0),
IF('TL04'!$B$3=K$3,SUMIF('TL04'!$C$10:$C$224,$C376,'TL04'!$J$10:$J$224),0),
IF('TL04'!$B$229=K$3,SUMIF('TL04'!$C$238:$C$451,$C376,'TL04'!$J$238:$J$451),0),
IF('TL05'!$B$3=K$3,SUMIF('TL05'!$C$10:$C$224,$C376,'TL05'!$J$10:$J$224),0),
IF('TL05'!$B$229=K$3,SUMIF('TL05'!$C$238:$C$451,$C376,'TL05'!$J$238:$J$451),0),
IF('TL06'!$B$3=K$3,SUMIF('TL06'!$C$10:$C$224,$C376,'TL06'!$J$10:$J$224),0),
IF('TL06'!$B$229=K$3,SUMIF('TL06'!$C$238:$C$451,$C376,'TL06'!$J$238:$J$451),0),
IF('TL07'!$B$3=K$3,SUMIF('TL07'!$C$10:$C$224,$C376,'TL07'!$J$10:$J$224),0),
IF('TL07'!$B$229=K$3,SUMIF('TL07'!$C$238:$C$451,$C376,'TL07'!$J$238:$J$451),0),
IF('TL08'!$B$3=K$3,SUMIF('TL08'!$C$10:$C$224,$C376,'TL08'!$J$10:$J$224),0),
IF('TL08'!$B$229=K$3,SUMIF('TL08'!$C$238:$C$451,$C376,'TL08'!$J$238:$J$451),0),
IF('TL09'!$B$3=K$3,SUMIF('TL09'!$C$10:$C$224,$C376,'TL09'!$J$10:$J$224),0),
IF('TL09'!$B$229=K$3,SUMIF('TL09'!$C$238:$C$451,$C376,'TL09'!$J$238:$J$451),0),
IF('TL10'!$B$3=K$3,SUMIF('TL10'!$C$10:$C$224,$C376,'TL10'!$J$10:$J$224),0),
IF('TL10'!$B$229=K$3,SUMIF('TL10'!$C$238:$C$451,$C376,'TL10'!$J$238:$J$451),0),
IF('TL11'!$B$3=K$3,SUMIF('TL11'!$C$10:$C$224,$C376,'TL11'!$J$10:$J$224),0),
IF('TL11'!$B$229=K$3,SUMIF('TL11'!$C$238:$C$451,$C376,'TL11'!$J$238:$J$451),0),
IF('TL12'!$B$3=K$3,SUMIF('TL12'!$C$10:$C$224,$C376,'TL12'!$J$10:$J$224),0),
IF('TL12'!$B$229=K$3,SUMIF('TL12'!$C$238:$C$451,$C376,'TL12'!$J$238:$J$451),0),
IF('TL13'!$B$3=K$3,SUMIF('TL13'!$C$10:$C$224,$C376,'TL13'!$J$10:$J$224),0),
IF('TL13'!$B$229=K$3,SUMIF('TL13'!$C$238:$C$451,$C376,'TL13'!$J$238:$J$451),0),
IF('TL14'!$B$3=K$3,SUMIF('TL14'!$C$10:$C$224,$C376,'TL14'!$J$10:$J$224),0),
IF('TL14'!$B$229=K$3,SUMIF('TL14'!$C$238:$C$451,$C376,'TL14'!$J$238:$J$451),0),
IF('TL15'!$B$3=K$3,SUMIF('TL15'!$C$10:$C$224,$C376,'TL15'!$J$10:$J$224),0),
IF('TL15'!$B$229=K$3,SUMIF('TL15'!$C$238:$C$451,$C376,'TL15'!$J$238:$J$451),0),
IF('TL16'!$B$3=K$3,SUMIF('TL16'!$C$10:$C$224,$C376,'TL16'!$J$10:$J$224),0),
IF('TL16'!$B$229=K$3,SUMIF('TL16'!$C$238:$C$451,$C376,'TL16'!$J$238:$J$451),0),
IF('TL17'!$B$3=K$3,SUMIF('TL17'!$C$10:$C$224,$C376,'TL17'!$J$10:$J$224),0),
IF('TL17'!$B$229=K$3,SUMIF('TL17'!$C$238:$C$451,$C376,'TL17'!$J$238:$J$451),0),
IF('TL18'!$B$3=K$3,SUMIF('TL18'!$C$10:$C$224,$C376,'TL18'!$J$10:$J$224),0),
IF('TL18'!$B$229=K$3,SUMIF('TL18'!$C$238:$C$451,$C376,'TL18'!$J$238:$J$451),0),
IF('TL19'!$B$3=K$3,SUMIF('TL19'!$C$10:$C$224,$C376,'TL19'!$J$10:$J$224),0),
IF('TL19'!$B$229=K$3,SUMIF('TL19'!$C$238:$C$451,$C376,'TL19'!$J$238:$J$451),0)
),0)</f>
        <v/>
      </c>
      <c r="L376" s="9">
        <f>IFERROR(SUM(
IF('TL01'!$B$3=L$3,SUMIF('TL01'!$C$10:$C$224,$C376,'TL01'!$J$10:$J$224),0),
IF('TL01'!$B$229=L$3,SUMIF('TL01'!$C$238:$C$451,$C376,'TL01'!$J$238:$J$451),0),
IF('TL02'!$B$3=L$3,SUMIF('TL02'!$C$10:$C$224,$C376,'TL02'!$J$10:$J$224),0),
IF('TL02'!$B$229=L$3,SUMIF('TL02'!$C$238:$C$451,$C376,'TL02'!$J$238:$J$451),0),
IF('TL03'!$B$3=L$3,SUMIF('TL03'!$C$10:$C$224,$C376,'TL03'!$J$10:$J$224),0),
IF('TL03'!$B$229=L$3,SUMIF('TL03'!$C$238:$C$451,$C376,'TL03'!$J$238:$J$451),0),
IF('TL04'!$B$3=L$3,SUMIF('TL04'!$C$10:$C$224,$C376,'TL04'!$J$10:$J$224),0),
IF('TL04'!$B$229=L$3,SUMIF('TL04'!$C$238:$C$451,$C376,'TL04'!$J$238:$J$451),0),
IF('TL05'!$B$3=L$3,SUMIF('TL05'!$C$10:$C$224,$C376,'TL05'!$J$10:$J$224),0),
IF('TL05'!$B$229=L$3,SUMIF('TL05'!$C$238:$C$451,$C376,'TL05'!$J$238:$J$451),0),
IF('TL06'!$B$3=L$3,SUMIF('TL06'!$C$10:$C$224,$C376,'TL06'!$J$10:$J$224),0),
IF('TL06'!$B$229=L$3,SUMIF('TL06'!$C$238:$C$451,$C376,'TL06'!$J$238:$J$451),0),
IF('TL07'!$B$3=L$3,SUMIF('TL07'!$C$10:$C$224,$C376,'TL07'!$J$10:$J$224),0),
IF('TL07'!$B$229=L$3,SUMIF('TL07'!$C$238:$C$451,$C376,'TL07'!$J$238:$J$451),0),
IF('TL08'!$B$3=L$3,SUMIF('TL08'!$C$10:$C$224,$C376,'TL08'!$J$10:$J$224),0),
IF('TL08'!$B$229=L$3,SUMIF('TL08'!$C$238:$C$451,$C376,'TL08'!$J$238:$J$451),0),
IF('TL09'!$B$3=L$3,SUMIF('TL09'!$C$10:$C$224,$C376,'TL09'!$J$10:$J$224),0),
IF('TL09'!$B$229=L$3,SUMIF('TL09'!$C$238:$C$451,$C376,'TL09'!$J$238:$J$451),0),
IF('TL10'!$B$3=L$3,SUMIF('TL10'!$C$10:$C$224,$C376,'TL10'!$J$10:$J$224),0),
IF('TL10'!$B$229=L$3,SUMIF('TL10'!$C$238:$C$451,$C376,'TL10'!$J$238:$J$451),0),
IF('TL11'!$B$3=L$3,SUMIF('TL11'!$C$10:$C$224,$C376,'TL11'!$J$10:$J$224),0),
IF('TL11'!$B$229=L$3,SUMIF('TL11'!$C$238:$C$451,$C376,'TL11'!$J$238:$J$451),0),
IF('TL12'!$B$3=L$3,SUMIF('TL12'!$C$10:$C$224,$C376,'TL12'!$J$10:$J$224),0),
IF('TL12'!$B$229=L$3,SUMIF('TL12'!$C$238:$C$451,$C376,'TL12'!$J$238:$J$451),0),
IF('TL13'!$B$3=L$3,SUMIF('TL13'!$C$10:$C$224,$C376,'TL13'!$J$10:$J$224),0),
IF('TL13'!$B$229=L$3,SUMIF('TL13'!$C$238:$C$451,$C376,'TL13'!$J$238:$J$451),0),
IF('TL14'!$B$3=L$3,SUMIF('TL14'!$C$10:$C$224,$C376,'TL14'!$J$10:$J$224),0),
IF('TL14'!$B$229=L$3,SUMIF('TL14'!$C$238:$C$451,$C376,'TL14'!$J$238:$J$451),0),
IF('TL15'!$B$3=L$3,SUMIF('TL15'!$C$10:$C$224,$C376,'TL15'!$J$10:$J$224),0),
IF('TL15'!$B$229=L$3,SUMIF('TL15'!$C$238:$C$451,$C376,'TL15'!$J$238:$J$451),0),
IF('TL16'!$B$3=L$3,SUMIF('TL16'!$C$10:$C$224,$C376,'TL16'!$J$10:$J$224),0),
IF('TL16'!$B$229=L$3,SUMIF('TL16'!$C$238:$C$451,$C376,'TL16'!$J$238:$J$451),0),
IF('TL17'!$B$3=L$3,SUMIF('TL17'!$C$10:$C$224,$C376,'TL17'!$J$10:$J$224),0),
IF('TL17'!$B$229=L$3,SUMIF('TL17'!$C$238:$C$451,$C376,'TL17'!$J$238:$J$451),0),
IF('TL18'!$B$3=L$3,SUMIF('TL18'!$C$10:$C$224,$C376,'TL18'!$J$10:$J$224),0),
IF('TL18'!$B$229=L$3,SUMIF('TL18'!$C$238:$C$451,$C376,'TL18'!$J$238:$J$451),0),
IF('TL19'!$B$3=L$3,SUMIF('TL19'!$C$10:$C$224,$C376,'TL19'!$J$10:$J$224),0),
IF('TL19'!$B$229=L$3,SUMIF('TL19'!$C$238:$C$451,$C376,'TL19'!$J$238:$J$451),0)
),0)</f>
        <v/>
      </c>
      <c r="M376" s="9">
        <f>IFERROR(SUM(
IF('TL01'!$B$3=M$3,SUMIF('TL01'!$C$10:$C$224,$C376,'TL01'!$J$10:$J$224),0),
IF('TL01'!$B$229=M$3,SUMIF('TL01'!$C$238:$C$451,$C376,'TL01'!$J$238:$J$451),0),
IF('TL02'!$B$3=M$3,SUMIF('TL02'!$C$10:$C$224,$C376,'TL02'!$J$10:$J$224),0),
IF('TL02'!$B$229=M$3,SUMIF('TL02'!$C$238:$C$451,$C376,'TL02'!$J$238:$J$451),0),
IF('TL03'!$B$3=M$3,SUMIF('TL03'!$C$10:$C$224,$C376,'TL03'!$J$10:$J$224),0),
IF('TL03'!$B$229=M$3,SUMIF('TL03'!$C$238:$C$451,$C376,'TL03'!$J$238:$J$451),0),
IF('TL04'!$B$3=M$3,SUMIF('TL04'!$C$10:$C$224,$C376,'TL04'!$J$10:$J$224),0),
IF('TL04'!$B$229=M$3,SUMIF('TL04'!$C$238:$C$451,$C376,'TL04'!$J$238:$J$451),0),
IF('TL05'!$B$3=M$3,SUMIF('TL05'!$C$10:$C$224,$C376,'TL05'!$J$10:$J$224),0),
IF('TL05'!$B$229=M$3,SUMIF('TL05'!$C$238:$C$451,$C376,'TL05'!$J$238:$J$451),0),
IF('TL06'!$B$3=M$3,SUMIF('TL06'!$C$10:$C$224,$C376,'TL06'!$J$10:$J$224),0),
IF('TL06'!$B$229=M$3,SUMIF('TL06'!$C$238:$C$451,$C376,'TL06'!$J$238:$J$451),0),
IF('TL07'!$B$3=M$3,SUMIF('TL07'!$C$10:$C$224,$C376,'TL07'!$J$10:$J$224),0),
IF('TL07'!$B$229=M$3,SUMIF('TL07'!$C$238:$C$451,$C376,'TL07'!$J$238:$J$451),0),
IF('TL08'!$B$3=M$3,SUMIF('TL08'!$C$10:$C$224,$C376,'TL08'!$J$10:$J$224),0),
IF('TL08'!$B$229=M$3,SUMIF('TL08'!$C$238:$C$451,$C376,'TL08'!$J$238:$J$451),0),
IF('TL09'!$B$3=M$3,SUMIF('TL09'!$C$10:$C$224,$C376,'TL09'!$J$10:$J$224),0),
IF('TL09'!$B$229=M$3,SUMIF('TL09'!$C$238:$C$451,$C376,'TL09'!$J$238:$J$451),0),
IF('TL10'!$B$3=M$3,SUMIF('TL10'!$C$10:$C$224,$C376,'TL10'!$J$10:$J$224),0),
IF('TL10'!$B$229=M$3,SUMIF('TL10'!$C$238:$C$451,$C376,'TL10'!$J$238:$J$451),0),
IF('TL11'!$B$3=M$3,SUMIF('TL11'!$C$10:$C$224,$C376,'TL11'!$J$10:$J$224),0),
IF('TL11'!$B$229=M$3,SUMIF('TL11'!$C$238:$C$451,$C376,'TL11'!$J$238:$J$451),0),
IF('TL12'!$B$3=M$3,SUMIF('TL12'!$C$10:$C$224,$C376,'TL12'!$J$10:$J$224),0),
IF('TL12'!$B$229=M$3,SUMIF('TL12'!$C$238:$C$451,$C376,'TL12'!$J$238:$J$451),0),
IF('TL13'!$B$3=M$3,SUMIF('TL13'!$C$10:$C$224,$C376,'TL13'!$J$10:$J$224),0),
IF('TL13'!$B$229=M$3,SUMIF('TL13'!$C$238:$C$451,$C376,'TL13'!$J$238:$J$451),0),
IF('TL14'!$B$3=M$3,SUMIF('TL14'!$C$10:$C$224,$C376,'TL14'!$J$10:$J$224),0),
IF('TL14'!$B$229=M$3,SUMIF('TL14'!$C$238:$C$451,$C376,'TL14'!$J$238:$J$451),0),
IF('TL15'!$B$3=M$3,SUMIF('TL15'!$C$10:$C$224,$C376,'TL15'!$J$10:$J$224),0),
IF('TL15'!$B$229=M$3,SUMIF('TL15'!$C$238:$C$451,$C376,'TL15'!$J$238:$J$451),0),
IF('TL16'!$B$3=M$3,SUMIF('TL16'!$C$10:$C$224,$C376,'TL16'!$J$10:$J$224),0),
IF('TL16'!$B$229=M$3,SUMIF('TL16'!$C$238:$C$451,$C376,'TL16'!$J$238:$J$451),0),
IF('TL17'!$B$3=M$3,SUMIF('TL17'!$C$10:$C$224,$C376,'TL17'!$J$10:$J$224),0),
IF('TL17'!$B$229=M$3,SUMIF('TL17'!$C$238:$C$451,$C376,'TL17'!$J$238:$J$451),0),
IF('TL18'!$B$3=M$3,SUMIF('TL18'!$C$10:$C$224,$C376,'TL18'!$J$10:$J$224),0),
IF('TL18'!$B$229=M$3,SUMIF('TL18'!$C$238:$C$451,$C376,'TL18'!$J$238:$J$451),0),
IF('TL19'!$B$3=M$3,SUMIF('TL19'!$C$10:$C$224,$C376,'TL19'!$J$10:$J$224),0),
IF('TL19'!$B$229=M$3,SUMIF('TL19'!$C$238:$C$451,$C376,'TL19'!$J$238:$J$451),0)
),0)</f>
        <v/>
      </c>
      <c r="N376" s="9">
        <f>IFERROR(SUM(
IF('TL01'!$B$3=N$3,SUMIF('TL01'!$C$10:$C$224,$C376,'TL01'!$J$10:$J$224),0),
IF('TL01'!$B$229=N$3,SUMIF('TL01'!$C$238:$C$451,$C376,'TL01'!$J$238:$J$451),0),
IF('TL02'!$B$3=N$3,SUMIF('TL02'!$C$10:$C$224,$C376,'TL02'!$J$10:$J$224),0),
IF('TL02'!$B$229=N$3,SUMIF('TL02'!$C$238:$C$451,$C376,'TL02'!$J$238:$J$451),0),
IF('TL03'!$B$3=N$3,SUMIF('TL03'!$C$10:$C$224,$C376,'TL03'!$J$10:$J$224),0),
IF('TL03'!$B$229=N$3,SUMIF('TL03'!$C$238:$C$451,$C376,'TL03'!$J$238:$J$451),0),
IF('TL04'!$B$3=N$3,SUMIF('TL04'!$C$10:$C$224,$C376,'TL04'!$J$10:$J$224),0),
IF('TL04'!$B$229=N$3,SUMIF('TL04'!$C$238:$C$451,$C376,'TL04'!$J$238:$J$451),0),
IF('TL05'!$B$3=N$3,SUMIF('TL05'!$C$10:$C$224,$C376,'TL05'!$J$10:$J$224),0),
IF('TL05'!$B$229=N$3,SUMIF('TL05'!$C$238:$C$451,$C376,'TL05'!$J$238:$J$451),0),
IF('TL06'!$B$3=N$3,SUMIF('TL06'!$C$10:$C$224,$C376,'TL06'!$J$10:$J$224),0),
IF('TL06'!$B$229=N$3,SUMIF('TL06'!$C$238:$C$451,$C376,'TL06'!$J$238:$J$451),0),
IF('TL07'!$B$3=N$3,SUMIF('TL07'!$C$10:$C$224,$C376,'TL07'!$J$10:$J$224),0),
IF('TL07'!$B$229=N$3,SUMIF('TL07'!$C$238:$C$451,$C376,'TL07'!$J$238:$J$451),0),
IF('TL08'!$B$3=N$3,SUMIF('TL08'!$C$10:$C$224,$C376,'TL08'!$J$10:$J$224),0),
IF('TL08'!$B$229=N$3,SUMIF('TL08'!$C$238:$C$451,$C376,'TL08'!$J$238:$J$451),0),
IF('TL09'!$B$3=N$3,SUMIF('TL09'!$C$10:$C$224,$C376,'TL09'!$J$10:$J$224),0),
IF('TL09'!$B$229=N$3,SUMIF('TL09'!$C$238:$C$451,$C376,'TL09'!$J$238:$J$451),0),
IF('TL10'!$B$3=N$3,SUMIF('TL10'!$C$10:$C$224,$C376,'TL10'!$J$10:$J$224),0),
IF('TL10'!$B$229=N$3,SUMIF('TL10'!$C$238:$C$451,$C376,'TL10'!$J$238:$J$451),0),
IF('TL11'!$B$3=N$3,SUMIF('TL11'!$C$10:$C$224,$C376,'TL11'!$J$10:$J$224),0),
IF('TL11'!$B$229=N$3,SUMIF('TL11'!$C$238:$C$451,$C376,'TL11'!$J$238:$J$451),0),
IF('TL12'!$B$3=N$3,SUMIF('TL12'!$C$10:$C$224,$C376,'TL12'!$J$10:$J$224),0),
IF('TL12'!$B$229=N$3,SUMIF('TL12'!$C$238:$C$451,$C376,'TL12'!$J$238:$J$451),0),
IF('TL13'!$B$3=N$3,SUMIF('TL13'!$C$10:$C$224,$C376,'TL13'!$J$10:$J$224),0),
IF('TL13'!$B$229=N$3,SUMIF('TL13'!$C$238:$C$451,$C376,'TL13'!$J$238:$J$451),0),
IF('TL14'!$B$3=N$3,SUMIF('TL14'!$C$10:$C$224,$C376,'TL14'!$J$10:$J$224),0),
IF('TL14'!$B$229=N$3,SUMIF('TL14'!$C$238:$C$451,$C376,'TL14'!$J$238:$J$451),0),
IF('TL15'!$B$3=N$3,SUMIF('TL15'!$C$10:$C$224,$C376,'TL15'!$J$10:$J$224),0),
IF('TL15'!$B$229=N$3,SUMIF('TL15'!$C$238:$C$451,$C376,'TL15'!$J$238:$J$451),0),
IF('TL16'!$B$3=N$3,SUMIF('TL16'!$C$10:$C$224,$C376,'TL16'!$J$10:$J$224),0),
IF('TL16'!$B$229=N$3,SUMIF('TL16'!$C$238:$C$451,$C376,'TL16'!$J$238:$J$451),0),
IF('TL17'!$B$3=N$3,SUMIF('TL17'!$C$10:$C$224,$C376,'TL17'!$J$10:$J$224),0),
IF('TL17'!$B$229=N$3,SUMIF('TL17'!$C$238:$C$451,$C376,'TL17'!$J$238:$J$451),0),
IF('TL18'!$B$3=N$3,SUMIF('TL18'!$C$10:$C$224,$C376,'TL18'!$J$10:$J$224),0),
IF('TL18'!$B$229=N$3,SUMIF('TL18'!$C$238:$C$451,$C376,'TL18'!$J$238:$J$451),0),
IF('TL19'!$B$3=N$3,SUMIF('TL19'!$C$10:$C$224,$C376,'TL19'!$J$10:$J$224),0),
IF('TL19'!$B$229=N$3,SUMIF('TL19'!$C$238:$C$451,$C376,'TL19'!$J$238:$J$451),0)
),0)</f>
        <v/>
      </c>
      <c r="O376" s="9">
        <f>IFERROR(SUM(
IF('TL01'!$B$3=O$3,SUMIF('TL01'!$C$10:$C$224,$C376,'TL01'!$J$10:$J$224),0),
IF('TL01'!$B$229=O$3,SUMIF('TL01'!$C$238:$C$451,$C376,'TL01'!$J$238:$J$451),0),
IF('TL02'!$B$3=O$3,SUMIF('TL02'!$C$10:$C$224,$C376,'TL02'!$J$10:$J$224),0),
IF('TL02'!$B$229=O$3,SUMIF('TL02'!$C$238:$C$451,$C376,'TL02'!$J$238:$J$451),0),
IF('TL03'!$B$3=O$3,SUMIF('TL03'!$C$10:$C$224,$C376,'TL03'!$J$10:$J$224),0),
IF('TL03'!$B$229=O$3,SUMIF('TL03'!$C$238:$C$451,$C376,'TL03'!$J$238:$J$451),0),
IF('TL04'!$B$3=O$3,SUMIF('TL04'!$C$10:$C$224,$C376,'TL04'!$J$10:$J$224),0),
IF('TL04'!$B$229=O$3,SUMIF('TL04'!$C$238:$C$451,$C376,'TL04'!$J$238:$J$451),0),
IF('TL05'!$B$3=O$3,SUMIF('TL05'!$C$10:$C$224,$C376,'TL05'!$J$10:$J$224),0),
IF('TL05'!$B$229=O$3,SUMIF('TL05'!$C$238:$C$451,$C376,'TL05'!$J$238:$J$451),0),
IF('TL06'!$B$3=O$3,SUMIF('TL06'!$C$10:$C$224,$C376,'TL06'!$J$10:$J$224),0),
IF('TL06'!$B$229=O$3,SUMIF('TL06'!$C$238:$C$451,$C376,'TL06'!$J$238:$J$451),0),
IF('TL07'!$B$3=O$3,SUMIF('TL07'!$C$10:$C$224,$C376,'TL07'!$J$10:$J$224),0),
IF('TL07'!$B$229=O$3,SUMIF('TL07'!$C$238:$C$451,$C376,'TL07'!$J$238:$J$451),0),
IF('TL08'!$B$3=O$3,SUMIF('TL08'!$C$10:$C$224,$C376,'TL08'!$J$10:$J$224),0),
IF('TL08'!$B$229=O$3,SUMIF('TL08'!$C$238:$C$451,$C376,'TL08'!$J$238:$J$451),0),
IF('TL09'!$B$3=O$3,SUMIF('TL09'!$C$10:$C$224,$C376,'TL09'!$J$10:$J$224),0),
IF('TL09'!$B$229=O$3,SUMIF('TL09'!$C$238:$C$451,$C376,'TL09'!$J$238:$J$451),0),
IF('TL10'!$B$3=O$3,SUMIF('TL10'!$C$10:$C$224,$C376,'TL10'!$J$10:$J$224),0),
IF('TL10'!$B$229=O$3,SUMIF('TL10'!$C$238:$C$451,$C376,'TL10'!$J$238:$J$451),0),
IF('TL11'!$B$3=O$3,SUMIF('TL11'!$C$10:$C$224,$C376,'TL11'!$J$10:$J$224),0),
IF('TL11'!$B$229=O$3,SUMIF('TL11'!$C$238:$C$451,$C376,'TL11'!$J$238:$J$451),0),
IF('TL12'!$B$3=O$3,SUMIF('TL12'!$C$10:$C$224,$C376,'TL12'!$J$10:$J$224),0),
IF('TL12'!$B$229=O$3,SUMIF('TL12'!$C$238:$C$451,$C376,'TL12'!$J$238:$J$451),0),
IF('TL13'!$B$3=O$3,SUMIF('TL13'!$C$10:$C$224,$C376,'TL13'!$J$10:$J$224),0),
IF('TL13'!$B$229=O$3,SUMIF('TL13'!$C$238:$C$451,$C376,'TL13'!$J$238:$J$451),0),
IF('TL14'!$B$3=O$3,SUMIF('TL14'!$C$10:$C$224,$C376,'TL14'!$J$10:$J$224),0),
IF('TL14'!$B$229=O$3,SUMIF('TL14'!$C$238:$C$451,$C376,'TL14'!$J$238:$J$451),0),
IF('TL15'!$B$3=O$3,SUMIF('TL15'!$C$10:$C$224,$C376,'TL15'!$J$10:$J$224),0),
IF('TL15'!$B$229=O$3,SUMIF('TL15'!$C$238:$C$451,$C376,'TL15'!$J$238:$J$451),0),
IF('TL16'!$B$3=O$3,SUMIF('TL16'!$C$10:$C$224,$C376,'TL16'!$J$10:$J$224),0),
IF('TL16'!$B$229=O$3,SUMIF('TL16'!$C$238:$C$451,$C376,'TL16'!$J$238:$J$451),0),
IF('TL17'!$B$3=O$3,SUMIF('TL17'!$C$10:$C$224,$C376,'TL17'!$J$10:$J$224),0),
IF('TL17'!$B$229=O$3,SUMIF('TL17'!$C$238:$C$451,$C376,'TL17'!$J$238:$J$451),0),
IF('TL18'!$B$3=O$3,SUMIF('TL18'!$C$10:$C$224,$C376,'TL18'!$J$10:$J$224),0),
IF('TL18'!$B$229=O$3,SUMIF('TL18'!$C$238:$C$451,$C376,'TL18'!$J$238:$J$451),0),
IF('TL19'!$B$3=O$3,SUMIF('TL19'!$C$10:$C$224,$C376,'TL19'!$J$10:$J$224),0),
IF('TL19'!$B$229=O$3,SUMIF('TL19'!$C$238:$C$451,$C376,'TL19'!$J$238:$J$451),0)
),0)</f>
        <v/>
      </c>
      <c r="P376" s="9">
        <f>IFERROR(SUM(
IF('TL01'!$B$3=P$3,SUMIF('TL01'!$C$10:$C$224,$C376,'TL01'!$J$10:$J$224),0),
IF('TL01'!$B$229=P$3,SUMIF('TL01'!$C$238:$C$451,$C376,'TL01'!$J$238:$J$451),0),
IF('TL02'!$B$3=P$3,SUMIF('TL02'!$C$10:$C$224,$C376,'TL02'!$J$10:$J$224),0),
IF('TL02'!$B$229=P$3,SUMIF('TL02'!$C$238:$C$451,$C376,'TL02'!$J$238:$J$451),0),
IF('TL03'!$B$3=P$3,SUMIF('TL03'!$C$10:$C$224,$C376,'TL03'!$J$10:$J$224),0),
IF('TL03'!$B$229=P$3,SUMIF('TL03'!$C$238:$C$451,$C376,'TL03'!$J$238:$J$451),0),
IF('TL04'!$B$3=P$3,SUMIF('TL04'!$C$10:$C$224,$C376,'TL04'!$J$10:$J$224),0),
IF('TL04'!$B$229=P$3,SUMIF('TL04'!$C$238:$C$451,$C376,'TL04'!$J$238:$J$451),0),
IF('TL05'!$B$3=P$3,SUMIF('TL05'!$C$10:$C$224,$C376,'TL05'!$J$10:$J$224),0),
IF('TL05'!$B$229=P$3,SUMIF('TL05'!$C$238:$C$451,$C376,'TL05'!$J$238:$J$451),0),
IF('TL06'!$B$3=P$3,SUMIF('TL06'!$C$10:$C$224,$C376,'TL06'!$J$10:$J$224),0),
IF('TL06'!$B$229=P$3,SUMIF('TL06'!$C$238:$C$451,$C376,'TL06'!$J$238:$J$451),0),
IF('TL07'!$B$3=P$3,SUMIF('TL07'!$C$10:$C$224,$C376,'TL07'!$J$10:$J$224),0),
IF('TL07'!$B$229=P$3,SUMIF('TL07'!$C$238:$C$451,$C376,'TL07'!$J$238:$J$451),0),
IF('TL08'!$B$3=P$3,SUMIF('TL08'!$C$10:$C$224,$C376,'TL08'!$J$10:$J$224),0),
IF('TL08'!$B$229=P$3,SUMIF('TL08'!$C$238:$C$451,$C376,'TL08'!$J$238:$J$451),0),
IF('TL09'!$B$3=P$3,SUMIF('TL09'!$C$10:$C$224,$C376,'TL09'!$J$10:$J$224),0),
IF('TL09'!$B$229=P$3,SUMIF('TL09'!$C$238:$C$451,$C376,'TL09'!$J$238:$J$451),0),
IF('TL10'!$B$3=P$3,SUMIF('TL10'!$C$10:$C$224,$C376,'TL10'!$J$10:$J$224),0),
IF('TL10'!$B$229=P$3,SUMIF('TL10'!$C$238:$C$451,$C376,'TL10'!$J$238:$J$451),0),
IF('TL11'!$B$3=P$3,SUMIF('TL11'!$C$10:$C$224,$C376,'TL11'!$J$10:$J$224),0),
IF('TL11'!$B$229=P$3,SUMIF('TL11'!$C$238:$C$451,$C376,'TL11'!$J$238:$J$451),0),
IF('TL12'!$B$3=P$3,SUMIF('TL12'!$C$10:$C$224,$C376,'TL12'!$J$10:$J$224),0),
IF('TL12'!$B$229=P$3,SUMIF('TL12'!$C$238:$C$451,$C376,'TL12'!$J$238:$J$451),0),
IF('TL13'!$B$3=P$3,SUMIF('TL13'!$C$10:$C$224,$C376,'TL13'!$J$10:$J$224),0),
IF('TL13'!$B$229=P$3,SUMIF('TL13'!$C$238:$C$451,$C376,'TL13'!$J$238:$J$451),0),
IF('TL14'!$B$3=P$3,SUMIF('TL14'!$C$10:$C$224,$C376,'TL14'!$J$10:$J$224),0),
IF('TL14'!$B$229=P$3,SUMIF('TL14'!$C$238:$C$451,$C376,'TL14'!$J$238:$J$451),0),
IF('TL15'!$B$3=P$3,SUMIF('TL15'!$C$10:$C$224,$C376,'TL15'!$J$10:$J$224),0),
IF('TL15'!$B$229=P$3,SUMIF('TL15'!$C$238:$C$451,$C376,'TL15'!$J$238:$J$451),0),
IF('TL16'!$B$3=P$3,SUMIF('TL16'!$C$10:$C$224,$C376,'TL16'!$J$10:$J$224),0),
IF('TL16'!$B$229=P$3,SUMIF('TL16'!$C$238:$C$451,$C376,'TL16'!$J$238:$J$451),0),
IF('TL17'!$B$3=P$3,SUMIF('TL17'!$C$10:$C$224,$C376,'TL17'!$J$10:$J$224),0),
IF('TL17'!$B$229=P$3,SUMIF('TL17'!$C$238:$C$451,$C376,'TL17'!$J$238:$J$451),0),
IF('TL18'!$B$3=P$3,SUMIF('TL18'!$C$10:$C$224,$C376,'TL18'!$J$10:$J$224),0),
IF('TL18'!$B$229=P$3,SUMIF('TL18'!$C$238:$C$451,$C376,'TL18'!$J$238:$J$451),0),
IF('TL19'!$B$3=P$3,SUMIF('TL19'!$C$10:$C$224,$C376,'TL19'!$J$10:$J$224),0),
IF('TL19'!$B$229=P$3,SUMIF('TL19'!$C$238:$C$451,$C376,'TL19'!$J$238:$J$451),0)
),0)</f>
        <v/>
      </c>
      <c r="Q376" s="9">
        <f>IFERROR(SUM(
IF('TL01'!$B$3=Q$3,SUMIF('TL01'!$C$10:$C$224,$C376,'TL01'!$J$10:$J$224),0),
IF('TL01'!$B$229=Q$3,SUMIF('TL01'!$C$238:$C$451,$C376,'TL01'!$J$238:$J$451),0),
IF('TL02'!$B$3=Q$3,SUMIF('TL02'!$C$10:$C$224,$C376,'TL02'!$J$10:$J$224),0),
IF('TL02'!$B$229=Q$3,SUMIF('TL02'!$C$238:$C$451,$C376,'TL02'!$J$238:$J$451),0),
IF('TL03'!$B$3=Q$3,SUMIF('TL03'!$C$10:$C$224,$C376,'TL03'!$J$10:$J$224),0),
IF('TL03'!$B$229=Q$3,SUMIF('TL03'!$C$238:$C$451,$C376,'TL03'!$J$238:$J$451),0),
IF('TL04'!$B$3=Q$3,SUMIF('TL04'!$C$10:$C$224,$C376,'TL04'!$J$10:$J$224),0),
IF('TL04'!$B$229=Q$3,SUMIF('TL04'!$C$238:$C$451,$C376,'TL04'!$J$238:$J$451),0),
IF('TL05'!$B$3=Q$3,SUMIF('TL05'!$C$10:$C$224,$C376,'TL05'!$J$10:$J$224),0),
IF('TL05'!$B$229=Q$3,SUMIF('TL05'!$C$238:$C$451,$C376,'TL05'!$J$238:$J$451),0),
IF('TL06'!$B$3=Q$3,SUMIF('TL06'!$C$10:$C$224,$C376,'TL06'!$J$10:$J$224),0),
IF('TL06'!$B$229=Q$3,SUMIF('TL06'!$C$238:$C$451,$C376,'TL06'!$J$238:$J$451),0),
IF('TL07'!$B$3=Q$3,SUMIF('TL07'!$C$10:$C$224,$C376,'TL07'!$J$10:$J$224),0),
IF('TL07'!$B$229=Q$3,SUMIF('TL07'!$C$238:$C$451,$C376,'TL07'!$J$238:$J$451),0),
IF('TL08'!$B$3=Q$3,SUMIF('TL08'!$C$10:$C$224,$C376,'TL08'!$J$10:$J$224),0),
IF('TL08'!$B$229=Q$3,SUMIF('TL08'!$C$238:$C$451,$C376,'TL08'!$J$238:$J$451),0),
IF('TL09'!$B$3=Q$3,SUMIF('TL09'!$C$10:$C$224,$C376,'TL09'!$J$10:$J$224),0),
IF('TL09'!$B$229=Q$3,SUMIF('TL09'!$C$238:$C$451,$C376,'TL09'!$J$238:$J$451),0),
IF('TL10'!$B$3=Q$3,SUMIF('TL10'!$C$10:$C$224,$C376,'TL10'!$J$10:$J$224),0),
IF('TL10'!$B$229=Q$3,SUMIF('TL10'!$C$238:$C$451,$C376,'TL10'!$J$238:$J$451),0),
IF('TL11'!$B$3=Q$3,SUMIF('TL11'!$C$10:$C$224,$C376,'TL11'!$J$10:$J$224),0),
IF('TL11'!$B$229=Q$3,SUMIF('TL11'!$C$238:$C$451,$C376,'TL11'!$J$238:$J$451),0),
IF('TL12'!$B$3=Q$3,SUMIF('TL12'!$C$10:$C$224,$C376,'TL12'!$J$10:$J$224),0),
IF('TL12'!$B$229=Q$3,SUMIF('TL12'!$C$238:$C$451,$C376,'TL12'!$J$238:$J$451),0),
IF('TL13'!$B$3=Q$3,SUMIF('TL13'!$C$10:$C$224,$C376,'TL13'!$J$10:$J$224),0),
IF('TL13'!$B$229=Q$3,SUMIF('TL13'!$C$238:$C$451,$C376,'TL13'!$J$238:$J$451),0),
IF('TL14'!$B$3=Q$3,SUMIF('TL14'!$C$10:$C$224,$C376,'TL14'!$J$10:$J$224),0),
IF('TL14'!$B$229=Q$3,SUMIF('TL14'!$C$238:$C$451,$C376,'TL14'!$J$238:$J$451),0),
IF('TL15'!$B$3=Q$3,SUMIF('TL15'!$C$10:$C$224,$C376,'TL15'!$J$10:$J$224),0),
IF('TL15'!$B$229=Q$3,SUMIF('TL15'!$C$238:$C$451,$C376,'TL15'!$J$238:$J$451),0),
IF('TL16'!$B$3=Q$3,SUMIF('TL16'!$C$10:$C$224,$C376,'TL16'!$J$10:$J$224),0),
IF('TL16'!$B$229=Q$3,SUMIF('TL16'!$C$238:$C$451,$C376,'TL16'!$J$238:$J$451),0),
IF('TL17'!$B$3=Q$3,SUMIF('TL17'!$C$10:$C$224,$C376,'TL17'!$J$10:$J$224),0),
IF('TL17'!$B$229=Q$3,SUMIF('TL17'!$C$238:$C$451,$C376,'TL17'!$J$238:$J$451),0),
IF('TL18'!$B$3=Q$3,SUMIF('TL18'!$C$10:$C$224,$C376,'TL18'!$J$10:$J$224),0),
IF('TL18'!$B$229=Q$3,SUMIF('TL18'!$C$238:$C$451,$C376,'TL18'!$J$238:$J$451),0),
IF('TL19'!$B$3=Q$3,SUMIF('TL19'!$C$10:$C$224,$C376,'TL19'!$J$10:$J$224),0),
IF('TL19'!$B$229=Q$3,SUMIF('TL19'!$C$238:$C$451,$C376,'TL19'!$J$238:$J$451),0)
),0)</f>
        <v/>
      </c>
      <c r="R376" s="9">
        <f>IFERROR(
SUM(
SUMIF('TL01'!C:C,C376,'TL01'!J:J),
SUMIF('TL02'!C:C,C376,'TL02'!J:J),
SUMIF('TL03'!C:C,C376,'TL03'!J:J),
SUMIF('TL04'!C:C,C376,'TL04'!J:J),
SUMIF('TL05'!C:C,C376,'TL05'!J:J),
SUMIF('TL06'!C:C,C376,'TL06'!J:J),
SUMIF('TL07'!C:C,C376,'TL07'!J:J),
SUMIF('TL08'!C:C,C376,'TL08'!J:J),
SUMIF('TL09'!C:C,C376,'TL09'!J:J),
SUMIF('TL10'!C:C,C376,'TL10'!J:J),
SUMIF('TL11'!C:C,C376,'TL11'!J:J),
SUMIF('TL12'!C:C,C376,'TL12'!J:J),
SUMIF('TL13'!C:C,C376,'TL13'!J:J),
SUMIF('TL14'!C:C,C376,'TL14'!J:J),
SUMIF('TL15'!C:C,C376,'TL15'!J:J),
SUMIF('TL16'!C:C,C376,'TL16'!J:J),
SUMIF('TL17'!C:C,C376,'TL17'!J:J),
SUMIF('TL18'!C:C,C376,'TL18'!J:J),SUMIF('TL19'!C:C,C376,'TL19'!J:J))
,0)</f>
        <v/>
      </c>
      <c r="S376" s="17">
        <f>IFERROR(__xludf.DUMMYFUNCTION("IFERROR(VLOOKUP(C376,
IMPORTRANGE(""1wULbzX32WdYsx-lj2U3uUNBBe2INVIRDtcK0d-Dvl90"",
""26-27!C:G""),
5,
FALSE),
"""")"),29.12)</f>
        <v/>
      </c>
      <c r="T376" s="9" t="n"/>
      <c r="U376" s="92">
        <f>MAX(0,R376-T376)</f>
        <v/>
      </c>
      <c r="V376" s="93">
        <f>U376*S376</f>
        <v/>
      </c>
    </row>
    <row r="377" hidden="1" ht="15.75" customHeight="1" s="297">
      <c r="A377" s="4" t="inlineStr">
        <is>
          <t>SOLUBIO</t>
        </is>
      </c>
      <c r="B377" s="4" t="inlineStr">
        <is>
          <t>BIOLÓGICOS</t>
        </is>
      </c>
      <c r="C377" s="130" t="inlineStr">
        <is>
          <t>Tec Catp Pro Kit On-farm</t>
        </is>
      </c>
      <c r="D377" s="129" t="inlineStr">
        <is>
          <t>Kit On-farm</t>
        </is>
      </c>
      <c r="E377" s="20" t="n"/>
      <c r="F377" s="4" t="n"/>
      <c r="G377" s="90">
        <f>HYPERLINK("https://www.google.com/search?q=" &amp; C377 &amp; "+bula+agrofit+pdf", "📄 Ver bula")</f>
        <v/>
      </c>
      <c r="H377" s="9" t="n"/>
      <c r="I377" s="123" t="n"/>
      <c r="J377" s="9">
        <f>IFERROR(SUM(
IF('TL01'!$B$3=J$3,SUMIF('TL01'!$C$10:$C$224,$C377,'TL01'!$J$10:$J$224),0),
IF('TL01'!$B$229=J$3,SUMIF('TL01'!$C$238:$C$451,$C377,'TL01'!$J$238:$J$451),0),
IF('TL02'!$B$3=J$3,SUMIF('TL02'!$C$10:$C$224,$C377,'TL02'!$J$10:$J$224),0),
IF('TL02'!$B$229=J$3,SUMIF('TL02'!$C$238:$C$451,$C377,'TL02'!$J$238:$J$451),0),
IF('TL03'!$B$3=J$3,SUMIF('TL03'!$C$10:$C$224,$C377,'TL03'!$J$10:$J$224),0),
IF('TL03'!$B$229=J$3,SUMIF('TL03'!$C$238:$C$451,$C377,'TL03'!$J$238:$J$451),0),
IF('TL04'!$B$3=J$3,SUMIF('TL04'!$C$10:$C$224,$C377,'TL04'!$J$10:$J$224),0),
IF('TL04'!$B$229=J$3,SUMIF('TL04'!$C$238:$C$451,$C377,'TL04'!$J$238:$J$451),0),
IF('TL05'!$B$3=J$3,SUMIF('TL05'!$C$10:$C$224,$C377,'TL05'!$J$10:$J$224),0),
IF('TL05'!$B$229=J$3,SUMIF('TL05'!$C$238:$C$451,$C377,'TL05'!$J$238:$J$451),0),
IF('TL06'!$B$3=J$3,SUMIF('TL06'!$C$10:$C$224,$C377,'TL06'!$J$10:$J$224),0),
IF('TL06'!$B$229=J$3,SUMIF('TL06'!$C$238:$C$451,$C377,'TL06'!$J$238:$J$451),0),
IF('TL07'!$B$3=J$3,SUMIF('TL07'!$C$10:$C$224,$C377,'TL07'!$J$10:$J$224),0),
IF('TL07'!$B$229=J$3,SUMIF('TL07'!$C$238:$C$451,$C377,'TL07'!$J$238:$J$451),0),
IF('TL08'!$B$3=J$3,SUMIF('TL08'!$C$10:$C$224,$C377,'TL08'!$J$10:$J$224),0),
IF('TL08'!$B$229=J$3,SUMIF('TL08'!$C$238:$C$451,$C377,'TL08'!$J$238:$J$451),0),
IF('TL09'!$B$3=J$3,SUMIF('TL09'!$C$10:$C$224,$C377,'TL09'!$J$10:$J$224),0),
IF('TL09'!$B$229=J$3,SUMIF('TL09'!$C$238:$C$451,$C377,'TL09'!$J$238:$J$451),0),
IF('TL10'!$B$3=J$3,SUMIF('TL10'!$C$10:$C$224,$C377,'TL10'!$J$10:$J$224),0),
IF('TL10'!$B$229=J$3,SUMIF('TL10'!$C$238:$C$451,$C377,'TL10'!$J$238:$J$451),0),
IF('TL11'!$B$3=J$3,SUMIF('TL11'!$C$10:$C$224,$C377,'TL11'!$J$10:$J$224),0),
IF('TL11'!$B$229=J$3,SUMIF('TL11'!$C$238:$C$451,$C377,'TL11'!$J$238:$J$451),0),
IF('TL12'!$B$3=J$3,SUMIF('TL12'!$C$10:$C$224,$C377,'TL12'!$J$10:$J$224),0),
IF('TL12'!$B$229=J$3,SUMIF('TL12'!$C$238:$C$451,$C377,'TL12'!$J$238:$J$451),0),
IF('TL13'!$B$3=J$3,SUMIF('TL13'!$C$10:$C$224,$C377,'TL13'!$J$10:$J$224),0),
IF('TL13'!$B$229=J$3,SUMIF('TL13'!$C$238:$C$451,$C377,'TL13'!$J$238:$J$451),0),
IF('TL14'!$B$3=J$3,SUMIF('TL14'!$C$10:$C$224,$C377,'TL14'!$J$10:$J$224),0),
IF('TL14'!$B$229=J$3,SUMIF('TL14'!$C$238:$C$451,$C377,'TL14'!$J$238:$J$451),0),
IF('TL15'!$B$3=J$3,SUMIF('TL15'!$C$10:$C$224,$C377,'TL15'!$J$10:$J$224),0),
IF('TL15'!$B$229=J$3,SUMIF('TL15'!$C$238:$C$451,$C377,'TL15'!$J$238:$J$451),0),
IF('TL16'!$B$3=J$3,SUMIF('TL16'!$C$10:$C$224,$C377,'TL16'!$J$10:$J$224),0),
IF('TL16'!$B$229=J$3,SUMIF('TL16'!$C$238:$C$451,$C377,'TL16'!$J$238:$J$451),0),
IF('TL17'!$B$3=J$3,SUMIF('TL17'!$C$10:$C$224,$C377,'TL17'!$J$10:$J$224),0),
IF('TL17'!$B$229=J$3,SUMIF('TL17'!$C$238:$C$451,$C377,'TL17'!$J$238:$J$451),0),
IF('TL18'!$B$3=J$3,SUMIF('TL18'!$C$10:$C$224,$C377,'TL18'!$J$10:$J$224),0),
IF('TL18'!$B$229=J$3,SUMIF('TL18'!$C$238:$C$451,$C377,'TL18'!$J$238:$J$451),0),
IF('TL19'!$B$3=J$3,SUMIF('TL19'!$C$10:$C$224,$C377,'TL19'!$J$10:$J$224),0),
IF('TL19'!$B$229=J$3,SUMIF('TL19'!$C$238:$C$451,$C377,'TL19'!$J$238:$J$451),0)
),0)</f>
        <v/>
      </c>
      <c r="K377" s="9">
        <f>IFERROR(SUM(
IF('TL01'!$B$3=K$3,SUMIF('TL01'!$C$10:$C$224,$C377,'TL01'!$J$10:$J$224),0),
IF('TL01'!$B$229=K$3,SUMIF('TL01'!$C$238:$C$451,$C377,'TL01'!$J$238:$J$451),0),
IF('TL02'!$B$3=K$3,SUMIF('TL02'!$C$10:$C$224,$C377,'TL02'!$J$10:$J$224),0),
IF('TL02'!$B$229=K$3,SUMIF('TL02'!$C$238:$C$451,$C377,'TL02'!$J$238:$J$451),0),
IF('TL03'!$B$3=K$3,SUMIF('TL03'!$C$10:$C$224,$C377,'TL03'!$J$10:$J$224),0),
IF('TL03'!$B$229=K$3,SUMIF('TL03'!$C$238:$C$451,$C377,'TL03'!$J$238:$J$451),0),
IF('TL04'!$B$3=K$3,SUMIF('TL04'!$C$10:$C$224,$C377,'TL04'!$J$10:$J$224),0),
IF('TL04'!$B$229=K$3,SUMIF('TL04'!$C$238:$C$451,$C377,'TL04'!$J$238:$J$451),0),
IF('TL05'!$B$3=K$3,SUMIF('TL05'!$C$10:$C$224,$C377,'TL05'!$J$10:$J$224),0),
IF('TL05'!$B$229=K$3,SUMIF('TL05'!$C$238:$C$451,$C377,'TL05'!$J$238:$J$451),0),
IF('TL06'!$B$3=K$3,SUMIF('TL06'!$C$10:$C$224,$C377,'TL06'!$J$10:$J$224),0),
IF('TL06'!$B$229=K$3,SUMIF('TL06'!$C$238:$C$451,$C377,'TL06'!$J$238:$J$451),0),
IF('TL07'!$B$3=K$3,SUMIF('TL07'!$C$10:$C$224,$C377,'TL07'!$J$10:$J$224),0),
IF('TL07'!$B$229=K$3,SUMIF('TL07'!$C$238:$C$451,$C377,'TL07'!$J$238:$J$451),0),
IF('TL08'!$B$3=K$3,SUMIF('TL08'!$C$10:$C$224,$C377,'TL08'!$J$10:$J$224),0),
IF('TL08'!$B$229=K$3,SUMIF('TL08'!$C$238:$C$451,$C377,'TL08'!$J$238:$J$451),0),
IF('TL09'!$B$3=K$3,SUMIF('TL09'!$C$10:$C$224,$C377,'TL09'!$J$10:$J$224),0),
IF('TL09'!$B$229=K$3,SUMIF('TL09'!$C$238:$C$451,$C377,'TL09'!$J$238:$J$451),0),
IF('TL10'!$B$3=K$3,SUMIF('TL10'!$C$10:$C$224,$C377,'TL10'!$J$10:$J$224),0),
IF('TL10'!$B$229=K$3,SUMIF('TL10'!$C$238:$C$451,$C377,'TL10'!$J$238:$J$451),0),
IF('TL11'!$B$3=K$3,SUMIF('TL11'!$C$10:$C$224,$C377,'TL11'!$J$10:$J$224),0),
IF('TL11'!$B$229=K$3,SUMIF('TL11'!$C$238:$C$451,$C377,'TL11'!$J$238:$J$451),0),
IF('TL12'!$B$3=K$3,SUMIF('TL12'!$C$10:$C$224,$C377,'TL12'!$J$10:$J$224),0),
IF('TL12'!$B$229=K$3,SUMIF('TL12'!$C$238:$C$451,$C377,'TL12'!$J$238:$J$451),0),
IF('TL13'!$B$3=K$3,SUMIF('TL13'!$C$10:$C$224,$C377,'TL13'!$J$10:$J$224),0),
IF('TL13'!$B$229=K$3,SUMIF('TL13'!$C$238:$C$451,$C377,'TL13'!$J$238:$J$451),0),
IF('TL14'!$B$3=K$3,SUMIF('TL14'!$C$10:$C$224,$C377,'TL14'!$J$10:$J$224),0),
IF('TL14'!$B$229=K$3,SUMIF('TL14'!$C$238:$C$451,$C377,'TL14'!$J$238:$J$451),0),
IF('TL15'!$B$3=K$3,SUMIF('TL15'!$C$10:$C$224,$C377,'TL15'!$J$10:$J$224),0),
IF('TL15'!$B$229=K$3,SUMIF('TL15'!$C$238:$C$451,$C377,'TL15'!$J$238:$J$451),0),
IF('TL16'!$B$3=K$3,SUMIF('TL16'!$C$10:$C$224,$C377,'TL16'!$J$10:$J$224),0),
IF('TL16'!$B$229=K$3,SUMIF('TL16'!$C$238:$C$451,$C377,'TL16'!$J$238:$J$451),0),
IF('TL17'!$B$3=K$3,SUMIF('TL17'!$C$10:$C$224,$C377,'TL17'!$J$10:$J$224),0),
IF('TL17'!$B$229=K$3,SUMIF('TL17'!$C$238:$C$451,$C377,'TL17'!$J$238:$J$451),0),
IF('TL18'!$B$3=K$3,SUMIF('TL18'!$C$10:$C$224,$C377,'TL18'!$J$10:$J$224),0),
IF('TL18'!$B$229=K$3,SUMIF('TL18'!$C$238:$C$451,$C377,'TL18'!$J$238:$J$451),0),
IF('TL19'!$B$3=K$3,SUMIF('TL19'!$C$10:$C$224,$C377,'TL19'!$J$10:$J$224),0),
IF('TL19'!$B$229=K$3,SUMIF('TL19'!$C$238:$C$451,$C377,'TL19'!$J$238:$J$451),0)
),0)</f>
        <v/>
      </c>
      <c r="L377" s="9">
        <f>IFERROR(SUM(
IF('TL01'!$B$3=L$3,SUMIF('TL01'!$C$10:$C$224,$C377,'TL01'!$J$10:$J$224),0),
IF('TL01'!$B$229=L$3,SUMIF('TL01'!$C$238:$C$451,$C377,'TL01'!$J$238:$J$451),0),
IF('TL02'!$B$3=L$3,SUMIF('TL02'!$C$10:$C$224,$C377,'TL02'!$J$10:$J$224),0),
IF('TL02'!$B$229=L$3,SUMIF('TL02'!$C$238:$C$451,$C377,'TL02'!$J$238:$J$451),0),
IF('TL03'!$B$3=L$3,SUMIF('TL03'!$C$10:$C$224,$C377,'TL03'!$J$10:$J$224),0),
IF('TL03'!$B$229=L$3,SUMIF('TL03'!$C$238:$C$451,$C377,'TL03'!$J$238:$J$451),0),
IF('TL04'!$B$3=L$3,SUMIF('TL04'!$C$10:$C$224,$C377,'TL04'!$J$10:$J$224),0),
IF('TL04'!$B$229=L$3,SUMIF('TL04'!$C$238:$C$451,$C377,'TL04'!$J$238:$J$451),0),
IF('TL05'!$B$3=L$3,SUMIF('TL05'!$C$10:$C$224,$C377,'TL05'!$J$10:$J$224),0),
IF('TL05'!$B$229=L$3,SUMIF('TL05'!$C$238:$C$451,$C377,'TL05'!$J$238:$J$451),0),
IF('TL06'!$B$3=L$3,SUMIF('TL06'!$C$10:$C$224,$C377,'TL06'!$J$10:$J$224),0),
IF('TL06'!$B$229=L$3,SUMIF('TL06'!$C$238:$C$451,$C377,'TL06'!$J$238:$J$451),0),
IF('TL07'!$B$3=L$3,SUMIF('TL07'!$C$10:$C$224,$C377,'TL07'!$J$10:$J$224),0),
IF('TL07'!$B$229=L$3,SUMIF('TL07'!$C$238:$C$451,$C377,'TL07'!$J$238:$J$451),0),
IF('TL08'!$B$3=L$3,SUMIF('TL08'!$C$10:$C$224,$C377,'TL08'!$J$10:$J$224),0),
IF('TL08'!$B$229=L$3,SUMIF('TL08'!$C$238:$C$451,$C377,'TL08'!$J$238:$J$451),0),
IF('TL09'!$B$3=L$3,SUMIF('TL09'!$C$10:$C$224,$C377,'TL09'!$J$10:$J$224),0),
IF('TL09'!$B$229=L$3,SUMIF('TL09'!$C$238:$C$451,$C377,'TL09'!$J$238:$J$451),0),
IF('TL10'!$B$3=L$3,SUMIF('TL10'!$C$10:$C$224,$C377,'TL10'!$J$10:$J$224),0),
IF('TL10'!$B$229=L$3,SUMIF('TL10'!$C$238:$C$451,$C377,'TL10'!$J$238:$J$451),0),
IF('TL11'!$B$3=L$3,SUMIF('TL11'!$C$10:$C$224,$C377,'TL11'!$J$10:$J$224),0),
IF('TL11'!$B$229=L$3,SUMIF('TL11'!$C$238:$C$451,$C377,'TL11'!$J$238:$J$451),0),
IF('TL12'!$B$3=L$3,SUMIF('TL12'!$C$10:$C$224,$C377,'TL12'!$J$10:$J$224),0),
IF('TL12'!$B$229=L$3,SUMIF('TL12'!$C$238:$C$451,$C377,'TL12'!$J$238:$J$451),0),
IF('TL13'!$B$3=L$3,SUMIF('TL13'!$C$10:$C$224,$C377,'TL13'!$J$10:$J$224),0),
IF('TL13'!$B$229=L$3,SUMIF('TL13'!$C$238:$C$451,$C377,'TL13'!$J$238:$J$451),0),
IF('TL14'!$B$3=L$3,SUMIF('TL14'!$C$10:$C$224,$C377,'TL14'!$J$10:$J$224),0),
IF('TL14'!$B$229=L$3,SUMIF('TL14'!$C$238:$C$451,$C377,'TL14'!$J$238:$J$451),0),
IF('TL15'!$B$3=L$3,SUMIF('TL15'!$C$10:$C$224,$C377,'TL15'!$J$10:$J$224),0),
IF('TL15'!$B$229=L$3,SUMIF('TL15'!$C$238:$C$451,$C377,'TL15'!$J$238:$J$451),0),
IF('TL16'!$B$3=L$3,SUMIF('TL16'!$C$10:$C$224,$C377,'TL16'!$J$10:$J$224),0),
IF('TL16'!$B$229=L$3,SUMIF('TL16'!$C$238:$C$451,$C377,'TL16'!$J$238:$J$451),0),
IF('TL17'!$B$3=L$3,SUMIF('TL17'!$C$10:$C$224,$C377,'TL17'!$J$10:$J$224),0),
IF('TL17'!$B$229=L$3,SUMIF('TL17'!$C$238:$C$451,$C377,'TL17'!$J$238:$J$451),0),
IF('TL18'!$B$3=L$3,SUMIF('TL18'!$C$10:$C$224,$C377,'TL18'!$J$10:$J$224),0),
IF('TL18'!$B$229=L$3,SUMIF('TL18'!$C$238:$C$451,$C377,'TL18'!$J$238:$J$451),0),
IF('TL19'!$B$3=L$3,SUMIF('TL19'!$C$10:$C$224,$C377,'TL19'!$J$10:$J$224),0),
IF('TL19'!$B$229=L$3,SUMIF('TL19'!$C$238:$C$451,$C377,'TL19'!$J$238:$J$451),0)
),0)</f>
        <v/>
      </c>
      <c r="M377" s="9">
        <f>IFERROR(SUM(
IF('TL01'!$B$3=M$3,SUMIF('TL01'!$C$10:$C$224,$C377,'TL01'!$J$10:$J$224),0),
IF('TL01'!$B$229=M$3,SUMIF('TL01'!$C$238:$C$451,$C377,'TL01'!$J$238:$J$451),0),
IF('TL02'!$B$3=M$3,SUMIF('TL02'!$C$10:$C$224,$C377,'TL02'!$J$10:$J$224),0),
IF('TL02'!$B$229=M$3,SUMIF('TL02'!$C$238:$C$451,$C377,'TL02'!$J$238:$J$451),0),
IF('TL03'!$B$3=M$3,SUMIF('TL03'!$C$10:$C$224,$C377,'TL03'!$J$10:$J$224),0),
IF('TL03'!$B$229=M$3,SUMIF('TL03'!$C$238:$C$451,$C377,'TL03'!$J$238:$J$451),0),
IF('TL04'!$B$3=M$3,SUMIF('TL04'!$C$10:$C$224,$C377,'TL04'!$J$10:$J$224),0),
IF('TL04'!$B$229=M$3,SUMIF('TL04'!$C$238:$C$451,$C377,'TL04'!$J$238:$J$451),0),
IF('TL05'!$B$3=M$3,SUMIF('TL05'!$C$10:$C$224,$C377,'TL05'!$J$10:$J$224),0),
IF('TL05'!$B$229=M$3,SUMIF('TL05'!$C$238:$C$451,$C377,'TL05'!$J$238:$J$451),0),
IF('TL06'!$B$3=M$3,SUMIF('TL06'!$C$10:$C$224,$C377,'TL06'!$J$10:$J$224),0),
IF('TL06'!$B$229=M$3,SUMIF('TL06'!$C$238:$C$451,$C377,'TL06'!$J$238:$J$451),0),
IF('TL07'!$B$3=M$3,SUMIF('TL07'!$C$10:$C$224,$C377,'TL07'!$J$10:$J$224),0),
IF('TL07'!$B$229=M$3,SUMIF('TL07'!$C$238:$C$451,$C377,'TL07'!$J$238:$J$451),0),
IF('TL08'!$B$3=M$3,SUMIF('TL08'!$C$10:$C$224,$C377,'TL08'!$J$10:$J$224),0),
IF('TL08'!$B$229=M$3,SUMIF('TL08'!$C$238:$C$451,$C377,'TL08'!$J$238:$J$451),0),
IF('TL09'!$B$3=M$3,SUMIF('TL09'!$C$10:$C$224,$C377,'TL09'!$J$10:$J$224),0),
IF('TL09'!$B$229=M$3,SUMIF('TL09'!$C$238:$C$451,$C377,'TL09'!$J$238:$J$451),0),
IF('TL10'!$B$3=M$3,SUMIF('TL10'!$C$10:$C$224,$C377,'TL10'!$J$10:$J$224),0),
IF('TL10'!$B$229=M$3,SUMIF('TL10'!$C$238:$C$451,$C377,'TL10'!$J$238:$J$451),0),
IF('TL11'!$B$3=M$3,SUMIF('TL11'!$C$10:$C$224,$C377,'TL11'!$J$10:$J$224),0),
IF('TL11'!$B$229=M$3,SUMIF('TL11'!$C$238:$C$451,$C377,'TL11'!$J$238:$J$451),0),
IF('TL12'!$B$3=M$3,SUMIF('TL12'!$C$10:$C$224,$C377,'TL12'!$J$10:$J$224),0),
IF('TL12'!$B$229=M$3,SUMIF('TL12'!$C$238:$C$451,$C377,'TL12'!$J$238:$J$451),0),
IF('TL13'!$B$3=M$3,SUMIF('TL13'!$C$10:$C$224,$C377,'TL13'!$J$10:$J$224),0),
IF('TL13'!$B$229=M$3,SUMIF('TL13'!$C$238:$C$451,$C377,'TL13'!$J$238:$J$451),0),
IF('TL14'!$B$3=M$3,SUMIF('TL14'!$C$10:$C$224,$C377,'TL14'!$J$10:$J$224),0),
IF('TL14'!$B$229=M$3,SUMIF('TL14'!$C$238:$C$451,$C377,'TL14'!$J$238:$J$451),0),
IF('TL15'!$B$3=M$3,SUMIF('TL15'!$C$10:$C$224,$C377,'TL15'!$J$10:$J$224),0),
IF('TL15'!$B$229=M$3,SUMIF('TL15'!$C$238:$C$451,$C377,'TL15'!$J$238:$J$451),0),
IF('TL16'!$B$3=M$3,SUMIF('TL16'!$C$10:$C$224,$C377,'TL16'!$J$10:$J$224),0),
IF('TL16'!$B$229=M$3,SUMIF('TL16'!$C$238:$C$451,$C377,'TL16'!$J$238:$J$451),0),
IF('TL17'!$B$3=M$3,SUMIF('TL17'!$C$10:$C$224,$C377,'TL17'!$J$10:$J$224),0),
IF('TL17'!$B$229=M$3,SUMIF('TL17'!$C$238:$C$451,$C377,'TL17'!$J$238:$J$451),0),
IF('TL18'!$B$3=M$3,SUMIF('TL18'!$C$10:$C$224,$C377,'TL18'!$J$10:$J$224),0),
IF('TL18'!$B$229=M$3,SUMIF('TL18'!$C$238:$C$451,$C377,'TL18'!$J$238:$J$451),0),
IF('TL19'!$B$3=M$3,SUMIF('TL19'!$C$10:$C$224,$C377,'TL19'!$J$10:$J$224),0),
IF('TL19'!$B$229=M$3,SUMIF('TL19'!$C$238:$C$451,$C377,'TL19'!$J$238:$J$451),0)
),0)</f>
        <v/>
      </c>
      <c r="N377" s="9">
        <f>IFERROR(SUM(
IF('TL01'!$B$3=N$3,SUMIF('TL01'!$C$10:$C$224,$C377,'TL01'!$J$10:$J$224),0),
IF('TL01'!$B$229=N$3,SUMIF('TL01'!$C$238:$C$451,$C377,'TL01'!$J$238:$J$451),0),
IF('TL02'!$B$3=N$3,SUMIF('TL02'!$C$10:$C$224,$C377,'TL02'!$J$10:$J$224),0),
IF('TL02'!$B$229=N$3,SUMIF('TL02'!$C$238:$C$451,$C377,'TL02'!$J$238:$J$451),0),
IF('TL03'!$B$3=N$3,SUMIF('TL03'!$C$10:$C$224,$C377,'TL03'!$J$10:$J$224),0),
IF('TL03'!$B$229=N$3,SUMIF('TL03'!$C$238:$C$451,$C377,'TL03'!$J$238:$J$451),0),
IF('TL04'!$B$3=N$3,SUMIF('TL04'!$C$10:$C$224,$C377,'TL04'!$J$10:$J$224),0),
IF('TL04'!$B$229=N$3,SUMIF('TL04'!$C$238:$C$451,$C377,'TL04'!$J$238:$J$451),0),
IF('TL05'!$B$3=N$3,SUMIF('TL05'!$C$10:$C$224,$C377,'TL05'!$J$10:$J$224),0),
IF('TL05'!$B$229=N$3,SUMIF('TL05'!$C$238:$C$451,$C377,'TL05'!$J$238:$J$451),0),
IF('TL06'!$B$3=N$3,SUMIF('TL06'!$C$10:$C$224,$C377,'TL06'!$J$10:$J$224),0),
IF('TL06'!$B$229=N$3,SUMIF('TL06'!$C$238:$C$451,$C377,'TL06'!$J$238:$J$451),0),
IF('TL07'!$B$3=N$3,SUMIF('TL07'!$C$10:$C$224,$C377,'TL07'!$J$10:$J$224),0),
IF('TL07'!$B$229=N$3,SUMIF('TL07'!$C$238:$C$451,$C377,'TL07'!$J$238:$J$451),0),
IF('TL08'!$B$3=N$3,SUMIF('TL08'!$C$10:$C$224,$C377,'TL08'!$J$10:$J$224),0),
IF('TL08'!$B$229=N$3,SUMIF('TL08'!$C$238:$C$451,$C377,'TL08'!$J$238:$J$451),0),
IF('TL09'!$B$3=N$3,SUMIF('TL09'!$C$10:$C$224,$C377,'TL09'!$J$10:$J$224),0),
IF('TL09'!$B$229=N$3,SUMIF('TL09'!$C$238:$C$451,$C377,'TL09'!$J$238:$J$451),0),
IF('TL10'!$B$3=N$3,SUMIF('TL10'!$C$10:$C$224,$C377,'TL10'!$J$10:$J$224),0),
IF('TL10'!$B$229=N$3,SUMIF('TL10'!$C$238:$C$451,$C377,'TL10'!$J$238:$J$451),0),
IF('TL11'!$B$3=N$3,SUMIF('TL11'!$C$10:$C$224,$C377,'TL11'!$J$10:$J$224),0),
IF('TL11'!$B$229=N$3,SUMIF('TL11'!$C$238:$C$451,$C377,'TL11'!$J$238:$J$451),0),
IF('TL12'!$B$3=N$3,SUMIF('TL12'!$C$10:$C$224,$C377,'TL12'!$J$10:$J$224),0),
IF('TL12'!$B$229=N$3,SUMIF('TL12'!$C$238:$C$451,$C377,'TL12'!$J$238:$J$451),0),
IF('TL13'!$B$3=N$3,SUMIF('TL13'!$C$10:$C$224,$C377,'TL13'!$J$10:$J$224),0),
IF('TL13'!$B$229=N$3,SUMIF('TL13'!$C$238:$C$451,$C377,'TL13'!$J$238:$J$451),0),
IF('TL14'!$B$3=N$3,SUMIF('TL14'!$C$10:$C$224,$C377,'TL14'!$J$10:$J$224),0),
IF('TL14'!$B$229=N$3,SUMIF('TL14'!$C$238:$C$451,$C377,'TL14'!$J$238:$J$451),0),
IF('TL15'!$B$3=N$3,SUMIF('TL15'!$C$10:$C$224,$C377,'TL15'!$J$10:$J$224),0),
IF('TL15'!$B$229=N$3,SUMIF('TL15'!$C$238:$C$451,$C377,'TL15'!$J$238:$J$451),0),
IF('TL16'!$B$3=N$3,SUMIF('TL16'!$C$10:$C$224,$C377,'TL16'!$J$10:$J$224),0),
IF('TL16'!$B$229=N$3,SUMIF('TL16'!$C$238:$C$451,$C377,'TL16'!$J$238:$J$451),0),
IF('TL17'!$B$3=N$3,SUMIF('TL17'!$C$10:$C$224,$C377,'TL17'!$J$10:$J$224),0),
IF('TL17'!$B$229=N$3,SUMIF('TL17'!$C$238:$C$451,$C377,'TL17'!$J$238:$J$451),0),
IF('TL18'!$B$3=N$3,SUMIF('TL18'!$C$10:$C$224,$C377,'TL18'!$J$10:$J$224),0),
IF('TL18'!$B$229=N$3,SUMIF('TL18'!$C$238:$C$451,$C377,'TL18'!$J$238:$J$451),0),
IF('TL19'!$B$3=N$3,SUMIF('TL19'!$C$10:$C$224,$C377,'TL19'!$J$10:$J$224),0),
IF('TL19'!$B$229=N$3,SUMIF('TL19'!$C$238:$C$451,$C377,'TL19'!$J$238:$J$451),0)
),0)</f>
        <v/>
      </c>
      <c r="O377" s="9">
        <f>IFERROR(SUM(
IF('TL01'!$B$3=O$3,SUMIF('TL01'!$C$10:$C$224,$C377,'TL01'!$J$10:$J$224),0),
IF('TL01'!$B$229=O$3,SUMIF('TL01'!$C$238:$C$451,$C377,'TL01'!$J$238:$J$451),0),
IF('TL02'!$B$3=O$3,SUMIF('TL02'!$C$10:$C$224,$C377,'TL02'!$J$10:$J$224),0),
IF('TL02'!$B$229=O$3,SUMIF('TL02'!$C$238:$C$451,$C377,'TL02'!$J$238:$J$451),0),
IF('TL03'!$B$3=O$3,SUMIF('TL03'!$C$10:$C$224,$C377,'TL03'!$J$10:$J$224),0),
IF('TL03'!$B$229=O$3,SUMIF('TL03'!$C$238:$C$451,$C377,'TL03'!$J$238:$J$451),0),
IF('TL04'!$B$3=O$3,SUMIF('TL04'!$C$10:$C$224,$C377,'TL04'!$J$10:$J$224),0),
IF('TL04'!$B$229=O$3,SUMIF('TL04'!$C$238:$C$451,$C377,'TL04'!$J$238:$J$451),0),
IF('TL05'!$B$3=O$3,SUMIF('TL05'!$C$10:$C$224,$C377,'TL05'!$J$10:$J$224),0),
IF('TL05'!$B$229=O$3,SUMIF('TL05'!$C$238:$C$451,$C377,'TL05'!$J$238:$J$451),0),
IF('TL06'!$B$3=O$3,SUMIF('TL06'!$C$10:$C$224,$C377,'TL06'!$J$10:$J$224),0),
IF('TL06'!$B$229=O$3,SUMIF('TL06'!$C$238:$C$451,$C377,'TL06'!$J$238:$J$451),0),
IF('TL07'!$B$3=O$3,SUMIF('TL07'!$C$10:$C$224,$C377,'TL07'!$J$10:$J$224),0),
IF('TL07'!$B$229=O$3,SUMIF('TL07'!$C$238:$C$451,$C377,'TL07'!$J$238:$J$451),0),
IF('TL08'!$B$3=O$3,SUMIF('TL08'!$C$10:$C$224,$C377,'TL08'!$J$10:$J$224),0),
IF('TL08'!$B$229=O$3,SUMIF('TL08'!$C$238:$C$451,$C377,'TL08'!$J$238:$J$451),0),
IF('TL09'!$B$3=O$3,SUMIF('TL09'!$C$10:$C$224,$C377,'TL09'!$J$10:$J$224),0),
IF('TL09'!$B$229=O$3,SUMIF('TL09'!$C$238:$C$451,$C377,'TL09'!$J$238:$J$451),0),
IF('TL10'!$B$3=O$3,SUMIF('TL10'!$C$10:$C$224,$C377,'TL10'!$J$10:$J$224),0),
IF('TL10'!$B$229=O$3,SUMIF('TL10'!$C$238:$C$451,$C377,'TL10'!$J$238:$J$451),0),
IF('TL11'!$B$3=O$3,SUMIF('TL11'!$C$10:$C$224,$C377,'TL11'!$J$10:$J$224),0),
IF('TL11'!$B$229=O$3,SUMIF('TL11'!$C$238:$C$451,$C377,'TL11'!$J$238:$J$451),0),
IF('TL12'!$B$3=O$3,SUMIF('TL12'!$C$10:$C$224,$C377,'TL12'!$J$10:$J$224),0),
IF('TL12'!$B$229=O$3,SUMIF('TL12'!$C$238:$C$451,$C377,'TL12'!$J$238:$J$451),0),
IF('TL13'!$B$3=O$3,SUMIF('TL13'!$C$10:$C$224,$C377,'TL13'!$J$10:$J$224),0),
IF('TL13'!$B$229=O$3,SUMIF('TL13'!$C$238:$C$451,$C377,'TL13'!$J$238:$J$451),0),
IF('TL14'!$B$3=O$3,SUMIF('TL14'!$C$10:$C$224,$C377,'TL14'!$J$10:$J$224),0),
IF('TL14'!$B$229=O$3,SUMIF('TL14'!$C$238:$C$451,$C377,'TL14'!$J$238:$J$451),0),
IF('TL15'!$B$3=O$3,SUMIF('TL15'!$C$10:$C$224,$C377,'TL15'!$J$10:$J$224),0),
IF('TL15'!$B$229=O$3,SUMIF('TL15'!$C$238:$C$451,$C377,'TL15'!$J$238:$J$451),0),
IF('TL16'!$B$3=O$3,SUMIF('TL16'!$C$10:$C$224,$C377,'TL16'!$J$10:$J$224),0),
IF('TL16'!$B$229=O$3,SUMIF('TL16'!$C$238:$C$451,$C377,'TL16'!$J$238:$J$451),0),
IF('TL17'!$B$3=O$3,SUMIF('TL17'!$C$10:$C$224,$C377,'TL17'!$J$10:$J$224),0),
IF('TL17'!$B$229=O$3,SUMIF('TL17'!$C$238:$C$451,$C377,'TL17'!$J$238:$J$451),0),
IF('TL18'!$B$3=O$3,SUMIF('TL18'!$C$10:$C$224,$C377,'TL18'!$J$10:$J$224),0),
IF('TL18'!$B$229=O$3,SUMIF('TL18'!$C$238:$C$451,$C377,'TL18'!$J$238:$J$451),0),
IF('TL19'!$B$3=O$3,SUMIF('TL19'!$C$10:$C$224,$C377,'TL19'!$J$10:$J$224),0),
IF('TL19'!$B$229=O$3,SUMIF('TL19'!$C$238:$C$451,$C377,'TL19'!$J$238:$J$451),0)
),0)</f>
        <v/>
      </c>
      <c r="P377" s="9">
        <f>IFERROR(SUM(
IF('TL01'!$B$3=P$3,SUMIF('TL01'!$C$10:$C$224,$C377,'TL01'!$J$10:$J$224),0),
IF('TL01'!$B$229=P$3,SUMIF('TL01'!$C$238:$C$451,$C377,'TL01'!$J$238:$J$451),0),
IF('TL02'!$B$3=P$3,SUMIF('TL02'!$C$10:$C$224,$C377,'TL02'!$J$10:$J$224),0),
IF('TL02'!$B$229=P$3,SUMIF('TL02'!$C$238:$C$451,$C377,'TL02'!$J$238:$J$451),0),
IF('TL03'!$B$3=P$3,SUMIF('TL03'!$C$10:$C$224,$C377,'TL03'!$J$10:$J$224),0),
IF('TL03'!$B$229=P$3,SUMIF('TL03'!$C$238:$C$451,$C377,'TL03'!$J$238:$J$451),0),
IF('TL04'!$B$3=P$3,SUMIF('TL04'!$C$10:$C$224,$C377,'TL04'!$J$10:$J$224),0),
IF('TL04'!$B$229=P$3,SUMIF('TL04'!$C$238:$C$451,$C377,'TL04'!$J$238:$J$451),0),
IF('TL05'!$B$3=P$3,SUMIF('TL05'!$C$10:$C$224,$C377,'TL05'!$J$10:$J$224),0),
IF('TL05'!$B$229=P$3,SUMIF('TL05'!$C$238:$C$451,$C377,'TL05'!$J$238:$J$451),0),
IF('TL06'!$B$3=P$3,SUMIF('TL06'!$C$10:$C$224,$C377,'TL06'!$J$10:$J$224),0),
IF('TL06'!$B$229=P$3,SUMIF('TL06'!$C$238:$C$451,$C377,'TL06'!$J$238:$J$451),0),
IF('TL07'!$B$3=P$3,SUMIF('TL07'!$C$10:$C$224,$C377,'TL07'!$J$10:$J$224),0),
IF('TL07'!$B$229=P$3,SUMIF('TL07'!$C$238:$C$451,$C377,'TL07'!$J$238:$J$451),0),
IF('TL08'!$B$3=P$3,SUMIF('TL08'!$C$10:$C$224,$C377,'TL08'!$J$10:$J$224),0),
IF('TL08'!$B$229=P$3,SUMIF('TL08'!$C$238:$C$451,$C377,'TL08'!$J$238:$J$451),0),
IF('TL09'!$B$3=P$3,SUMIF('TL09'!$C$10:$C$224,$C377,'TL09'!$J$10:$J$224),0),
IF('TL09'!$B$229=P$3,SUMIF('TL09'!$C$238:$C$451,$C377,'TL09'!$J$238:$J$451),0),
IF('TL10'!$B$3=P$3,SUMIF('TL10'!$C$10:$C$224,$C377,'TL10'!$J$10:$J$224),0),
IF('TL10'!$B$229=P$3,SUMIF('TL10'!$C$238:$C$451,$C377,'TL10'!$J$238:$J$451),0),
IF('TL11'!$B$3=P$3,SUMIF('TL11'!$C$10:$C$224,$C377,'TL11'!$J$10:$J$224),0),
IF('TL11'!$B$229=P$3,SUMIF('TL11'!$C$238:$C$451,$C377,'TL11'!$J$238:$J$451),0),
IF('TL12'!$B$3=P$3,SUMIF('TL12'!$C$10:$C$224,$C377,'TL12'!$J$10:$J$224),0),
IF('TL12'!$B$229=P$3,SUMIF('TL12'!$C$238:$C$451,$C377,'TL12'!$J$238:$J$451),0),
IF('TL13'!$B$3=P$3,SUMIF('TL13'!$C$10:$C$224,$C377,'TL13'!$J$10:$J$224),0),
IF('TL13'!$B$229=P$3,SUMIF('TL13'!$C$238:$C$451,$C377,'TL13'!$J$238:$J$451),0),
IF('TL14'!$B$3=P$3,SUMIF('TL14'!$C$10:$C$224,$C377,'TL14'!$J$10:$J$224),0),
IF('TL14'!$B$229=P$3,SUMIF('TL14'!$C$238:$C$451,$C377,'TL14'!$J$238:$J$451),0),
IF('TL15'!$B$3=P$3,SUMIF('TL15'!$C$10:$C$224,$C377,'TL15'!$J$10:$J$224),0),
IF('TL15'!$B$229=P$3,SUMIF('TL15'!$C$238:$C$451,$C377,'TL15'!$J$238:$J$451),0),
IF('TL16'!$B$3=P$3,SUMIF('TL16'!$C$10:$C$224,$C377,'TL16'!$J$10:$J$224),0),
IF('TL16'!$B$229=P$3,SUMIF('TL16'!$C$238:$C$451,$C377,'TL16'!$J$238:$J$451),0),
IF('TL17'!$B$3=P$3,SUMIF('TL17'!$C$10:$C$224,$C377,'TL17'!$J$10:$J$224),0),
IF('TL17'!$B$229=P$3,SUMIF('TL17'!$C$238:$C$451,$C377,'TL17'!$J$238:$J$451),0),
IF('TL18'!$B$3=P$3,SUMIF('TL18'!$C$10:$C$224,$C377,'TL18'!$J$10:$J$224),0),
IF('TL18'!$B$229=P$3,SUMIF('TL18'!$C$238:$C$451,$C377,'TL18'!$J$238:$J$451),0),
IF('TL19'!$B$3=P$3,SUMIF('TL19'!$C$10:$C$224,$C377,'TL19'!$J$10:$J$224),0),
IF('TL19'!$B$229=P$3,SUMIF('TL19'!$C$238:$C$451,$C377,'TL19'!$J$238:$J$451),0)
),0)</f>
        <v/>
      </c>
      <c r="Q377" s="9">
        <f>IFERROR(SUM(
IF('TL01'!$B$3=Q$3,SUMIF('TL01'!$C$10:$C$224,$C377,'TL01'!$J$10:$J$224),0),
IF('TL01'!$B$229=Q$3,SUMIF('TL01'!$C$238:$C$451,$C377,'TL01'!$J$238:$J$451),0),
IF('TL02'!$B$3=Q$3,SUMIF('TL02'!$C$10:$C$224,$C377,'TL02'!$J$10:$J$224),0),
IF('TL02'!$B$229=Q$3,SUMIF('TL02'!$C$238:$C$451,$C377,'TL02'!$J$238:$J$451),0),
IF('TL03'!$B$3=Q$3,SUMIF('TL03'!$C$10:$C$224,$C377,'TL03'!$J$10:$J$224),0),
IF('TL03'!$B$229=Q$3,SUMIF('TL03'!$C$238:$C$451,$C377,'TL03'!$J$238:$J$451),0),
IF('TL04'!$B$3=Q$3,SUMIF('TL04'!$C$10:$C$224,$C377,'TL04'!$J$10:$J$224),0),
IF('TL04'!$B$229=Q$3,SUMIF('TL04'!$C$238:$C$451,$C377,'TL04'!$J$238:$J$451),0),
IF('TL05'!$B$3=Q$3,SUMIF('TL05'!$C$10:$C$224,$C377,'TL05'!$J$10:$J$224),0),
IF('TL05'!$B$229=Q$3,SUMIF('TL05'!$C$238:$C$451,$C377,'TL05'!$J$238:$J$451),0),
IF('TL06'!$B$3=Q$3,SUMIF('TL06'!$C$10:$C$224,$C377,'TL06'!$J$10:$J$224),0),
IF('TL06'!$B$229=Q$3,SUMIF('TL06'!$C$238:$C$451,$C377,'TL06'!$J$238:$J$451),0),
IF('TL07'!$B$3=Q$3,SUMIF('TL07'!$C$10:$C$224,$C377,'TL07'!$J$10:$J$224),0),
IF('TL07'!$B$229=Q$3,SUMIF('TL07'!$C$238:$C$451,$C377,'TL07'!$J$238:$J$451),0),
IF('TL08'!$B$3=Q$3,SUMIF('TL08'!$C$10:$C$224,$C377,'TL08'!$J$10:$J$224),0),
IF('TL08'!$B$229=Q$3,SUMIF('TL08'!$C$238:$C$451,$C377,'TL08'!$J$238:$J$451),0),
IF('TL09'!$B$3=Q$3,SUMIF('TL09'!$C$10:$C$224,$C377,'TL09'!$J$10:$J$224),0),
IF('TL09'!$B$229=Q$3,SUMIF('TL09'!$C$238:$C$451,$C377,'TL09'!$J$238:$J$451),0),
IF('TL10'!$B$3=Q$3,SUMIF('TL10'!$C$10:$C$224,$C377,'TL10'!$J$10:$J$224),0),
IF('TL10'!$B$229=Q$3,SUMIF('TL10'!$C$238:$C$451,$C377,'TL10'!$J$238:$J$451),0),
IF('TL11'!$B$3=Q$3,SUMIF('TL11'!$C$10:$C$224,$C377,'TL11'!$J$10:$J$224),0),
IF('TL11'!$B$229=Q$3,SUMIF('TL11'!$C$238:$C$451,$C377,'TL11'!$J$238:$J$451),0),
IF('TL12'!$B$3=Q$3,SUMIF('TL12'!$C$10:$C$224,$C377,'TL12'!$J$10:$J$224),0),
IF('TL12'!$B$229=Q$3,SUMIF('TL12'!$C$238:$C$451,$C377,'TL12'!$J$238:$J$451),0),
IF('TL13'!$B$3=Q$3,SUMIF('TL13'!$C$10:$C$224,$C377,'TL13'!$J$10:$J$224),0),
IF('TL13'!$B$229=Q$3,SUMIF('TL13'!$C$238:$C$451,$C377,'TL13'!$J$238:$J$451),0),
IF('TL14'!$B$3=Q$3,SUMIF('TL14'!$C$10:$C$224,$C377,'TL14'!$J$10:$J$224),0),
IF('TL14'!$B$229=Q$3,SUMIF('TL14'!$C$238:$C$451,$C377,'TL14'!$J$238:$J$451),0),
IF('TL15'!$B$3=Q$3,SUMIF('TL15'!$C$10:$C$224,$C377,'TL15'!$J$10:$J$224),0),
IF('TL15'!$B$229=Q$3,SUMIF('TL15'!$C$238:$C$451,$C377,'TL15'!$J$238:$J$451),0),
IF('TL16'!$B$3=Q$3,SUMIF('TL16'!$C$10:$C$224,$C377,'TL16'!$J$10:$J$224),0),
IF('TL16'!$B$229=Q$3,SUMIF('TL16'!$C$238:$C$451,$C377,'TL16'!$J$238:$J$451),0),
IF('TL17'!$B$3=Q$3,SUMIF('TL17'!$C$10:$C$224,$C377,'TL17'!$J$10:$J$224),0),
IF('TL17'!$B$229=Q$3,SUMIF('TL17'!$C$238:$C$451,$C377,'TL17'!$J$238:$J$451),0),
IF('TL18'!$B$3=Q$3,SUMIF('TL18'!$C$10:$C$224,$C377,'TL18'!$J$10:$J$224),0),
IF('TL18'!$B$229=Q$3,SUMIF('TL18'!$C$238:$C$451,$C377,'TL18'!$J$238:$J$451),0),
IF('TL19'!$B$3=Q$3,SUMIF('TL19'!$C$10:$C$224,$C377,'TL19'!$J$10:$J$224),0),
IF('TL19'!$B$229=Q$3,SUMIF('TL19'!$C$238:$C$451,$C377,'TL19'!$J$238:$J$451),0)
),0)</f>
        <v/>
      </c>
      <c r="R377" s="9">
        <f>IFERROR(
SUM(
SUMIF('TL01'!C:C,C377,'TL01'!J:J),
SUMIF('TL02'!C:C,C377,'TL02'!J:J),
SUMIF('TL03'!C:C,C377,'TL03'!J:J),
SUMIF('TL04'!C:C,C377,'TL04'!J:J),
SUMIF('TL05'!C:C,C377,'TL05'!J:J),
SUMIF('TL06'!C:C,C377,'TL06'!J:J),
SUMIF('TL07'!C:C,C377,'TL07'!J:J),
SUMIF('TL08'!C:C,C377,'TL08'!J:J),
SUMIF('TL09'!C:C,C377,'TL09'!J:J),
SUMIF('TL10'!C:C,C377,'TL10'!J:J),
SUMIF('TL11'!C:C,C377,'TL11'!J:J),
SUMIF('TL12'!C:C,C377,'TL12'!J:J),
SUMIF('TL13'!C:C,C377,'TL13'!J:J),
SUMIF('TL14'!C:C,C377,'TL14'!J:J),
SUMIF('TL15'!C:C,C377,'TL15'!J:J),
SUMIF('TL16'!C:C,C377,'TL16'!J:J),
SUMIF('TL17'!C:C,C377,'TL17'!J:J),
SUMIF('TL18'!C:C,C377,'TL18'!J:J),SUMIF('TL19'!C:C,C377,'TL19'!J:J))
,0)</f>
        <v/>
      </c>
      <c r="S377" s="17">
        <f>IFERROR(__xludf.DUMMYFUNCTION("IFERROR(VLOOKUP(C377,
IMPORTRANGE(""1wULbzX32WdYsx-lj2U3uUNBBe2INVIRDtcK0d-Dvl90"",
""26-27!C:G""),
5,
FALSE),
"""")"),4.04)</f>
        <v/>
      </c>
      <c r="T377" s="9" t="n"/>
      <c r="U377" s="92">
        <f>MAX(0,R377-T377)</f>
        <v/>
      </c>
      <c r="V377" s="93">
        <f>U377*S377</f>
        <v/>
      </c>
    </row>
    <row r="378" hidden="1" ht="15.75" customHeight="1" s="297">
      <c r="A378" s="4" t="inlineStr">
        <is>
          <t>SOLUBIO</t>
        </is>
      </c>
      <c r="B378" s="4" t="inlineStr">
        <is>
          <t>BIOLÓGICOS</t>
        </is>
      </c>
      <c r="C378" s="131" t="inlineStr">
        <is>
          <t>Tec Bug Kit On-farm</t>
        </is>
      </c>
      <c r="D378" s="127" t="inlineStr">
        <is>
          <t>Kit On-farm</t>
        </is>
      </c>
      <c r="E378" s="20" t="n"/>
      <c r="F378" s="4" t="n"/>
      <c r="G378" s="90">
        <f>HYPERLINK("https://www.google.com/search?q=" &amp; C378 &amp; "+bula+agrofit+pdf", "📄 Ver bula")</f>
        <v/>
      </c>
      <c r="H378" s="9" t="n"/>
      <c r="I378" s="123" t="n"/>
      <c r="J378" s="9">
        <f>IFERROR(SUM(
IF('TL01'!$B$3=J$3,SUMIF('TL01'!$C$10:$C$224,$C378,'TL01'!$J$10:$J$224),0),
IF('TL01'!$B$229=J$3,SUMIF('TL01'!$C$238:$C$451,$C378,'TL01'!$J$238:$J$451),0),
IF('TL02'!$B$3=J$3,SUMIF('TL02'!$C$10:$C$224,$C378,'TL02'!$J$10:$J$224),0),
IF('TL02'!$B$229=J$3,SUMIF('TL02'!$C$238:$C$451,$C378,'TL02'!$J$238:$J$451),0),
IF('TL03'!$B$3=J$3,SUMIF('TL03'!$C$10:$C$224,$C378,'TL03'!$J$10:$J$224),0),
IF('TL03'!$B$229=J$3,SUMIF('TL03'!$C$238:$C$451,$C378,'TL03'!$J$238:$J$451),0),
IF('TL04'!$B$3=J$3,SUMIF('TL04'!$C$10:$C$224,$C378,'TL04'!$J$10:$J$224),0),
IF('TL04'!$B$229=J$3,SUMIF('TL04'!$C$238:$C$451,$C378,'TL04'!$J$238:$J$451),0),
IF('TL05'!$B$3=J$3,SUMIF('TL05'!$C$10:$C$224,$C378,'TL05'!$J$10:$J$224),0),
IF('TL05'!$B$229=J$3,SUMIF('TL05'!$C$238:$C$451,$C378,'TL05'!$J$238:$J$451),0),
IF('TL06'!$B$3=J$3,SUMIF('TL06'!$C$10:$C$224,$C378,'TL06'!$J$10:$J$224),0),
IF('TL06'!$B$229=J$3,SUMIF('TL06'!$C$238:$C$451,$C378,'TL06'!$J$238:$J$451),0),
IF('TL07'!$B$3=J$3,SUMIF('TL07'!$C$10:$C$224,$C378,'TL07'!$J$10:$J$224),0),
IF('TL07'!$B$229=J$3,SUMIF('TL07'!$C$238:$C$451,$C378,'TL07'!$J$238:$J$451),0),
IF('TL08'!$B$3=J$3,SUMIF('TL08'!$C$10:$C$224,$C378,'TL08'!$J$10:$J$224),0),
IF('TL08'!$B$229=J$3,SUMIF('TL08'!$C$238:$C$451,$C378,'TL08'!$J$238:$J$451),0),
IF('TL09'!$B$3=J$3,SUMIF('TL09'!$C$10:$C$224,$C378,'TL09'!$J$10:$J$224),0),
IF('TL09'!$B$229=J$3,SUMIF('TL09'!$C$238:$C$451,$C378,'TL09'!$J$238:$J$451),0),
IF('TL10'!$B$3=J$3,SUMIF('TL10'!$C$10:$C$224,$C378,'TL10'!$J$10:$J$224),0),
IF('TL10'!$B$229=J$3,SUMIF('TL10'!$C$238:$C$451,$C378,'TL10'!$J$238:$J$451),0),
IF('TL11'!$B$3=J$3,SUMIF('TL11'!$C$10:$C$224,$C378,'TL11'!$J$10:$J$224),0),
IF('TL11'!$B$229=J$3,SUMIF('TL11'!$C$238:$C$451,$C378,'TL11'!$J$238:$J$451),0),
IF('TL12'!$B$3=J$3,SUMIF('TL12'!$C$10:$C$224,$C378,'TL12'!$J$10:$J$224),0),
IF('TL12'!$B$229=J$3,SUMIF('TL12'!$C$238:$C$451,$C378,'TL12'!$J$238:$J$451),0),
IF('TL13'!$B$3=J$3,SUMIF('TL13'!$C$10:$C$224,$C378,'TL13'!$J$10:$J$224),0),
IF('TL13'!$B$229=J$3,SUMIF('TL13'!$C$238:$C$451,$C378,'TL13'!$J$238:$J$451),0),
IF('TL14'!$B$3=J$3,SUMIF('TL14'!$C$10:$C$224,$C378,'TL14'!$J$10:$J$224),0),
IF('TL14'!$B$229=J$3,SUMIF('TL14'!$C$238:$C$451,$C378,'TL14'!$J$238:$J$451),0),
IF('TL15'!$B$3=J$3,SUMIF('TL15'!$C$10:$C$224,$C378,'TL15'!$J$10:$J$224),0),
IF('TL15'!$B$229=J$3,SUMIF('TL15'!$C$238:$C$451,$C378,'TL15'!$J$238:$J$451),0),
IF('TL16'!$B$3=J$3,SUMIF('TL16'!$C$10:$C$224,$C378,'TL16'!$J$10:$J$224),0),
IF('TL16'!$B$229=J$3,SUMIF('TL16'!$C$238:$C$451,$C378,'TL16'!$J$238:$J$451),0),
IF('TL17'!$B$3=J$3,SUMIF('TL17'!$C$10:$C$224,$C378,'TL17'!$J$10:$J$224),0),
IF('TL17'!$B$229=J$3,SUMIF('TL17'!$C$238:$C$451,$C378,'TL17'!$J$238:$J$451),0),
IF('TL18'!$B$3=J$3,SUMIF('TL18'!$C$10:$C$224,$C378,'TL18'!$J$10:$J$224),0),
IF('TL18'!$B$229=J$3,SUMIF('TL18'!$C$238:$C$451,$C378,'TL18'!$J$238:$J$451),0),
IF('TL19'!$B$3=J$3,SUMIF('TL19'!$C$10:$C$224,$C378,'TL19'!$J$10:$J$224),0),
IF('TL19'!$B$229=J$3,SUMIF('TL19'!$C$238:$C$451,$C378,'TL19'!$J$238:$J$451),0)
),0)</f>
        <v/>
      </c>
      <c r="K378" s="9">
        <f>IFERROR(SUM(
IF('TL01'!$B$3=K$3,SUMIF('TL01'!$C$10:$C$224,$C378,'TL01'!$J$10:$J$224),0),
IF('TL01'!$B$229=K$3,SUMIF('TL01'!$C$238:$C$451,$C378,'TL01'!$J$238:$J$451),0),
IF('TL02'!$B$3=K$3,SUMIF('TL02'!$C$10:$C$224,$C378,'TL02'!$J$10:$J$224),0),
IF('TL02'!$B$229=K$3,SUMIF('TL02'!$C$238:$C$451,$C378,'TL02'!$J$238:$J$451),0),
IF('TL03'!$B$3=K$3,SUMIF('TL03'!$C$10:$C$224,$C378,'TL03'!$J$10:$J$224),0),
IF('TL03'!$B$229=K$3,SUMIF('TL03'!$C$238:$C$451,$C378,'TL03'!$J$238:$J$451),0),
IF('TL04'!$B$3=K$3,SUMIF('TL04'!$C$10:$C$224,$C378,'TL04'!$J$10:$J$224),0),
IF('TL04'!$B$229=K$3,SUMIF('TL04'!$C$238:$C$451,$C378,'TL04'!$J$238:$J$451),0),
IF('TL05'!$B$3=K$3,SUMIF('TL05'!$C$10:$C$224,$C378,'TL05'!$J$10:$J$224),0),
IF('TL05'!$B$229=K$3,SUMIF('TL05'!$C$238:$C$451,$C378,'TL05'!$J$238:$J$451),0),
IF('TL06'!$B$3=K$3,SUMIF('TL06'!$C$10:$C$224,$C378,'TL06'!$J$10:$J$224),0),
IF('TL06'!$B$229=K$3,SUMIF('TL06'!$C$238:$C$451,$C378,'TL06'!$J$238:$J$451),0),
IF('TL07'!$B$3=K$3,SUMIF('TL07'!$C$10:$C$224,$C378,'TL07'!$J$10:$J$224),0),
IF('TL07'!$B$229=K$3,SUMIF('TL07'!$C$238:$C$451,$C378,'TL07'!$J$238:$J$451),0),
IF('TL08'!$B$3=K$3,SUMIF('TL08'!$C$10:$C$224,$C378,'TL08'!$J$10:$J$224),0),
IF('TL08'!$B$229=K$3,SUMIF('TL08'!$C$238:$C$451,$C378,'TL08'!$J$238:$J$451),0),
IF('TL09'!$B$3=K$3,SUMIF('TL09'!$C$10:$C$224,$C378,'TL09'!$J$10:$J$224),0),
IF('TL09'!$B$229=K$3,SUMIF('TL09'!$C$238:$C$451,$C378,'TL09'!$J$238:$J$451),0),
IF('TL10'!$B$3=K$3,SUMIF('TL10'!$C$10:$C$224,$C378,'TL10'!$J$10:$J$224),0),
IF('TL10'!$B$229=K$3,SUMIF('TL10'!$C$238:$C$451,$C378,'TL10'!$J$238:$J$451),0),
IF('TL11'!$B$3=K$3,SUMIF('TL11'!$C$10:$C$224,$C378,'TL11'!$J$10:$J$224),0),
IF('TL11'!$B$229=K$3,SUMIF('TL11'!$C$238:$C$451,$C378,'TL11'!$J$238:$J$451),0),
IF('TL12'!$B$3=K$3,SUMIF('TL12'!$C$10:$C$224,$C378,'TL12'!$J$10:$J$224),0),
IF('TL12'!$B$229=K$3,SUMIF('TL12'!$C$238:$C$451,$C378,'TL12'!$J$238:$J$451),0),
IF('TL13'!$B$3=K$3,SUMIF('TL13'!$C$10:$C$224,$C378,'TL13'!$J$10:$J$224),0),
IF('TL13'!$B$229=K$3,SUMIF('TL13'!$C$238:$C$451,$C378,'TL13'!$J$238:$J$451),0),
IF('TL14'!$B$3=K$3,SUMIF('TL14'!$C$10:$C$224,$C378,'TL14'!$J$10:$J$224),0),
IF('TL14'!$B$229=K$3,SUMIF('TL14'!$C$238:$C$451,$C378,'TL14'!$J$238:$J$451),0),
IF('TL15'!$B$3=K$3,SUMIF('TL15'!$C$10:$C$224,$C378,'TL15'!$J$10:$J$224),0),
IF('TL15'!$B$229=K$3,SUMIF('TL15'!$C$238:$C$451,$C378,'TL15'!$J$238:$J$451),0),
IF('TL16'!$B$3=K$3,SUMIF('TL16'!$C$10:$C$224,$C378,'TL16'!$J$10:$J$224),0),
IF('TL16'!$B$229=K$3,SUMIF('TL16'!$C$238:$C$451,$C378,'TL16'!$J$238:$J$451),0),
IF('TL17'!$B$3=K$3,SUMIF('TL17'!$C$10:$C$224,$C378,'TL17'!$J$10:$J$224),0),
IF('TL17'!$B$229=K$3,SUMIF('TL17'!$C$238:$C$451,$C378,'TL17'!$J$238:$J$451),0),
IF('TL18'!$B$3=K$3,SUMIF('TL18'!$C$10:$C$224,$C378,'TL18'!$J$10:$J$224),0),
IF('TL18'!$B$229=K$3,SUMIF('TL18'!$C$238:$C$451,$C378,'TL18'!$J$238:$J$451),0),
IF('TL19'!$B$3=K$3,SUMIF('TL19'!$C$10:$C$224,$C378,'TL19'!$J$10:$J$224),0),
IF('TL19'!$B$229=K$3,SUMIF('TL19'!$C$238:$C$451,$C378,'TL19'!$J$238:$J$451),0)
),0)</f>
        <v/>
      </c>
      <c r="L378" s="9">
        <f>IFERROR(SUM(
IF('TL01'!$B$3=L$3,SUMIF('TL01'!$C$10:$C$224,$C378,'TL01'!$J$10:$J$224),0),
IF('TL01'!$B$229=L$3,SUMIF('TL01'!$C$238:$C$451,$C378,'TL01'!$J$238:$J$451),0),
IF('TL02'!$B$3=L$3,SUMIF('TL02'!$C$10:$C$224,$C378,'TL02'!$J$10:$J$224),0),
IF('TL02'!$B$229=L$3,SUMIF('TL02'!$C$238:$C$451,$C378,'TL02'!$J$238:$J$451),0),
IF('TL03'!$B$3=L$3,SUMIF('TL03'!$C$10:$C$224,$C378,'TL03'!$J$10:$J$224),0),
IF('TL03'!$B$229=L$3,SUMIF('TL03'!$C$238:$C$451,$C378,'TL03'!$J$238:$J$451),0),
IF('TL04'!$B$3=L$3,SUMIF('TL04'!$C$10:$C$224,$C378,'TL04'!$J$10:$J$224),0),
IF('TL04'!$B$229=L$3,SUMIF('TL04'!$C$238:$C$451,$C378,'TL04'!$J$238:$J$451),0),
IF('TL05'!$B$3=L$3,SUMIF('TL05'!$C$10:$C$224,$C378,'TL05'!$J$10:$J$224),0),
IF('TL05'!$B$229=L$3,SUMIF('TL05'!$C$238:$C$451,$C378,'TL05'!$J$238:$J$451),0),
IF('TL06'!$B$3=L$3,SUMIF('TL06'!$C$10:$C$224,$C378,'TL06'!$J$10:$J$224),0),
IF('TL06'!$B$229=L$3,SUMIF('TL06'!$C$238:$C$451,$C378,'TL06'!$J$238:$J$451),0),
IF('TL07'!$B$3=L$3,SUMIF('TL07'!$C$10:$C$224,$C378,'TL07'!$J$10:$J$224),0),
IF('TL07'!$B$229=L$3,SUMIF('TL07'!$C$238:$C$451,$C378,'TL07'!$J$238:$J$451),0),
IF('TL08'!$B$3=L$3,SUMIF('TL08'!$C$10:$C$224,$C378,'TL08'!$J$10:$J$224),0),
IF('TL08'!$B$229=L$3,SUMIF('TL08'!$C$238:$C$451,$C378,'TL08'!$J$238:$J$451),0),
IF('TL09'!$B$3=L$3,SUMIF('TL09'!$C$10:$C$224,$C378,'TL09'!$J$10:$J$224),0),
IF('TL09'!$B$229=L$3,SUMIF('TL09'!$C$238:$C$451,$C378,'TL09'!$J$238:$J$451),0),
IF('TL10'!$B$3=L$3,SUMIF('TL10'!$C$10:$C$224,$C378,'TL10'!$J$10:$J$224),0),
IF('TL10'!$B$229=L$3,SUMIF('TL10'!$C$238:$C$451,$C378,'TL10'!$J$238:$J$451),0),
IF('TL11'!$B$3=L$3,SUMIF('TL11'!$C$10:$C$224,$C378,'TL11'!$J$10:$J$224),0),
IF('TL11'!$B$229=L$3,SUMIF('TL11'!$C$238:$C$451,$C378,'TL11'!$J$238:$J$451),0),
IF('TL12'!$B$3=L$3,SUMIF('TL12'!$C$10:$C$224,$C378,'TL12'!$J$10:$J$224),0),
IF('TL12'!$B$229=L$3,SUMIF('TL12'!$C$238:$C$451,$C378,'TL12'!$J$238:$J$451),0),
IF('TL13'!$B$3=L$3,SUMIF('TL13'!$C$10:$C$224,$C378,'TL13'!$J$10:$J$224),0),
IF('TL13'!$B$229=L$3,SUMIF('TL13'!$C$238:$C$451,$C378,'TL13'!$J$238:$J$451),0),
IF('TL14'!$B$3=L$3,SUMIF('TL14'!$C$10:$C$224,$C378,'TL14'!$J$10:$J$224),0),
IF('TL14'!$B$229=L$3,SUMIF('TL14'!$C$238:$C$451,$C378,'TL14'!$J$238:$J$451),0),
IF('TL15'!$B$3=L$3,SUMIF('TL15'!$C$10:$C$224,$C378,'TL15'!$J$10:$J$224),0),
IF('TL15'!$B$229=L$3,SUMIF('TL15'!$C$238:$C$451,$C378,'TL15'!$J$238:$J$451),0),
IF('TL16'!$B$3=L$3,SUMIF('TL16'!$C$10:$C$224,$C378,'TL16'!$J$10:$J$224),0),
IF('TL16'!$B$229=L$3,SUMIF('TL16'!$C$238:$C$451,$C378,'TL16'!$J$238:$J$451),0),
IF('TL17'!$B$3=L$3,SUMIF('TL17'!$C$10:$C$224,$C378,'TL17'!$J$10:$J$224),0),
IF('TL17'!$B$229=L$3,SUMIF('TL17'!$C$238:$C$451,$C378,'TL17'!$J$238:$J$451),0),
IF('TL18'!$B$3=L$3,SUMIF('TL18'!$C$10:$C$224,$C378,'TL18'!$J$10:$J$224),0),
IF('TL18'!$B$229=L$3,SUMIF('TL18'!$C$238:$C$451,$C378,'TL18'!$J$238:$J$451),0),
IF('TL19'!$B$3=L$3,SUMIF('TL19'!$C$10:$C$224,$C378,'TL19'!$J$10:$J$224),0),
IF('TL19'!$B$229=L$3,SUMIF('TL19'!$C$238:$C$451,$C378,'TL19'!$J$238:$J$451),0)
),0)</f>
        <v/>
      </c>
      <c r="M378" s="9">
        <f>IFERROR(SUM(
IF('TL01'!$B$3=M$3,SUMIF('TL01'!$C$10:$C$224,$C378,'TL01'!$J$10:$J$224),0),
IF('TL01'!$B$229=M$3,SUMIF('TL01'!$C$238:$C$451,$C378,'TL01'!$J$238:$J$451),0),
IF('TL02'!$B$3=M$3,SUMIF('TL02'!$C$10:$C$224,$C378,'TL02'!$J$10:$J$224),0),
IF('TL02'!$B$229=M$3,SUMIF('TL02'!$C$238:$C$451,$C378,'TL02'!$J$238:$J$451),0),
IF('TL03'!$B$3=M$3,SUMIF('TL03'!$C$10:$C$224,$C378,'TL03'!$J$10:$J$224),0),
IF('TL03'!$B$229=M$3,SUMIF('TL03'!$C$238:$C$451,$C378,'TL03'!$J$238:$J$451),0),
IF('TL04'!$B$3=M$3,SUMIF('TL04'!$C$10:$C$224,$C378,'TL04'!$J$10:$J$224),0),
IF('TL04'!$B$229=M$3,SUMIF('TL04'!$C$238:$C$451,$C378,'TL04'!$J$238:$J$451),0),
IF('TL05'!$B$3=M$3,SUMIF('TL05'!$C$10:$C$224,$C378,'TL05'!$J$10:$J$224),0),
IF('TL05'!$B$229=M$3,SUMIF('TL05'!$C$238:$C$451,$C378,'TL05'!$J$238:$J$451),0),
IF('TL06'!$B$3=M$3,SUMIF('TL06'!$C$10:$C$224,$C378,'TL06'!$J$10:$J$224),0),
IF('TL06'!$B$229=M$3,SUMIF('TL06'!$C$238:$C$451,$C378,'TL06'!$J$238:$J$451),0),
IF('TL07'!$B$3=M$3,SUMIF('TL07'!$C$10:$C$224,$C378,'TL07'!$J$10:$J$224),0),
IF('TL07'!$B$229=M$3,SUMIF('TL07'!$C$238:$C$451,$C378,'TL07'!$J$238:$J$451),0),
IF('TL08'!$B$3=M$3,SUMIF('TL08'!$C$10:$C$224,$C378,'TL08'!$J$10:$J$224),0),
IF('TL08'!$B$229=M$3,SUMIF('TL08'!$C$238:$C$451,$C378,'TL08'!$J$238:$J$451),0),
IF('TL09'!$B$3=M$3,SUMIF('TL09'!$C$10:$C$224,$C378,'TL09'!$J$10:$J$224),0),
IF('TL09'!$B$229=M$3,SUMIF('TL09'!$C$238:$C$451,$C378,'TL09'!$J$238:$J$451),0),
IF('TL10'!$B$3=M$3,SUMIF('TL10'!$C$10:$C$224,$C378,'TL10'!$J$10:$J$224),0),
IF('TL10'!$B$229=M$3,SUMIF('TL10'!$C$238:$C$451,$C378,'TL10'!$J$238:$J$451),0),
IF('TL11'!$B$3=M$3,SUMIF('TL11'!$C$10:$C$224,$C378,'TL11'!$J$10:$J$224),0),
IF('TL11'!$B$229=M$3,SUMIF('TL11'!$C$238:$C$451,$C378,'TL11'!$J$238:$J$451),0),
IF('TL12'!$B$3=M$3,SUMIF('TL12'!$C$10:$C$224,$C378,'TL12'!$J$10:$J$224),0),
IF('TL12'!$B$229=M$3,SUMIF('TL12'!$C$238:$C$451,$C378,'TL12'!$J$238:$J$451),0),
IF('TL13'!$B$3=M$3,SUMIF('TL13'!$C$10:$C$224,$C378,'TL13'!$J$10:$J$224),0),
IF('TL13'!$B$229=M$3,SUMIF('TL13'!$C$238:$C$451,$C378,'TL13'!$J$238:$J$451),0),
IF('TL14'!$B$3=M$3,SUMIF('TL14'!$C$10:$C$224,$C378,'TL14'!$J$10:$J$224),0),
IF('TL14'!$B$229=M$3,SUMIF('TL14'!$C$238:$C$451,$C378,'TL14'!$J$238:$J$451),0),
IF('TL15'!$B$3=M$3,SUMIF('TL15'!$C$10:$C$224,$C378,'TL15'!$J$10:$J$224),0),
IF('TL15'!$B$229=M$3,SUMIF('TL15'!$C$238:$C$451,$C378,'TL15'!$J$238:$J$451),0),
IF('TL16'!$B$3=M$3,SUMIF('TL16'!$C$10:$C$224,$C378,'TL16'!$J$10:$J$224),0),
IF('TL16'!$B$229=M$3,SUMIF('TL16'!$C$238:$C$451,$C378,'TL16'!$J$238:$J$451),0),
IF('TL17'!$B$3=M$3,SUMIF('TL17'!$C$10:$C$224,$C378,'TL17'!$J$10:$J$224),0),
IF('TL17'!$B$229=M$3,SUMIF('TL17'!$C$238:$C$451,$C378,'TL17'!$J$238:$J$451),0),
IF('TL18'!$B$3=M$3,SUMIF('TL18'!$C$10:$C$224,$C378,'TL18'!$J$10:$J$224),0),
IF('TL18'!$B$229=M$3,SUMIF('TL18'!$C$238:$C$451,$C378,'TL18'!$J$238:$J$451),0),
IF('TL19'!$B$3=M$3,SUMIF('TL19'!$C$10:$C$224,$C378,'TL19'!$J$10:$J$224),0),
IF('TL19'!$B$229=M$3,SUMIF('TL19'!$C$238:$C$451,$C378,'TL19'!$J$238:$J$451),0)
),0)</f>
        <v/>
      </c>
      <c r="N378" s="9">
        <f>IFERROR(SUM(
IF('TL01'!$B$3=N$3,SUMIF('TL01'!$C$10:$C$224,$C378,'TL01'!$J$10:$J$224),0),
IF('TL01'!$B$229=N$3,SUMIF('TL01'!$C$238:$C$451,$C378,'TL01'!$J$238:$J$451),0),
IF('TL02'!$B$3=N$3,SUMIF('TL02'!$C$10:$C$224,$C378,'TL02'!$J$10:$J$224),0),
IF('TL02'!$B$229=N$3,SUMIF('TL02'!$C$238:$C$451,$C378,'TL02'!$J$238:$J$451),0),
IF('TL03'!$B$3=N$3,SUMIF('TL03'!$C$10:$C$224,$C378,'TL03'!$J$10:$J$224),0),
IF('TL03'!$B$229=N$3,SUMIF('TL03'!$C$238:$C$451,$C378,'TL03'!$J$238:$J$451),0),
IF('TL04'!$B$3=N$3,SUMIF('TL04'!$C$10:$C$224,$C378,'TL04'!$J$10:$J$224),0),
IF('TL04'!$B$229=N$3,SUMIF('TL04'!$C$238:$C$451,$C378,'TL04'!$J$238:$J$451),0),
IF('TL05'!$B$3=N$3,SUMIF('TL05'!$C$10:$C$224,$C378,'TL05'!$J$10:$J$224),0),
IF('TL05'!$B$229=N$3,SUMIF('TL05'!$C$238:$C$451,$C378,'TL05'!$J$238:$J$451),0),
IF('TL06'!$B$3=N$3,SUMIF('TL06'!$C$10:$C$224,$C378,'TL06'!$J$10:$J$224),0),
IF('TL06'!$B$229=N$3,SUMIF('TL06'!$C$238:$C$451,$C378,'TL06'!$J$238:$J$451),0),
IF('TL07'!$B$3=N$3,SUMIF('TL07'!$C$10:$C$224,$C378,'TL07'!$J$10:$J$224),0),
IF('TL07'!$B$229=N$3,SUMIF('TL07'!$C$238:$C$451,$C378,'TL07'!$J$238:$J$451),0),
IF('TL08'!$B$3=N$3,SUMIF('TL08'!$C$10:$C$224,$C378,'TL08'!$J$10:$J$224),0),
IF('TL08'!$B$229=N$3,SUMIF('TL08'!$C$238:$C$451,$C378,'TL08'!$J$238:$J$451),0),
IF('TL09'!$B$3=N$3,SUMIF('TL09'!$C$10:$C$224,$C378,'TL09'!$J$10:$J$224),0),
IF('TL09'!$B$229=N$3,SUMIF('TL09'!$C$238:$C$451,$C378,'TL09'!$J$238:$J$451),0),
IF('TL10'!$B$3=N$3,SUMIF('TL10'!$C$10:$C$224,$C378,'TL10'!$J$10:$J$224),0),
IF('TL10'!$B$229=N$3,SUMIF('TL10'!$C$238:$C$451,$C378,'TL10'!$J$238:$J$451),0),
IF('TL11'!$B$3=N$3,SUMIF('TL11'!$C$10:$C$224,$C378,'TL11'!$J$10:$J$224),0),
IF('TL11'!$B$229=N$3,SUMIF('TL11'!$C$238:$C$451,$C378,'TL11'!$J$238:$J$451),0),
IF('TL12'!$B$3=N$3,SUMIF('TL12'!$C$10:$C$224,$C378,'TL12'!$J$10:$J$224),0),
IF('TL12'!$B$229=N$3,SUMIF('TL12'!$C$238:$C$451,$C378,'TL12'!$J$238:$J$451),0),
IF('TL13'!$B$3=N$3,SUMIF('TL13'!$C$10:$C$224,$C378,'TL13'!$J$10:$J$224),0),
IF('TL13'!$B$229=N$3,SUMIF('TL13'!$C$238:$C$451,$C378,'TL13'!$J$238:$J$451),0),
IF('TL14'!$B$3=N$3,SUMIF('TL14'!$C$10:$C$224,$C378,'TL14'!$J$10:$J$224),0),
IF('TL14'!$B$229=N$3,SUMIF('TL14'!$C$238:$C$451,$C378,'TL14'!$J$238:$J$451),0),
IF('TL15'!$B$3=N$3,SUMIF('TL15'!$C$10:$C$224,$C378,'TL15'!$J$10:$J$224),0),
IF('TL15'!$B$229=N$3,SUMIF('TL15'!$C$238:$C$451,$C378,'TL15'!$J$238:$J$451),0),
IF('TL16'!$B$3=N$3,SUMIF('TL16'!$C$10:$C$224,$C378,'TL16'!$J$10:$J$224),0),
IF('TL16'!$B$229=N$3,SUMIF('TL16'!$C$238:$C$451,$C378,'TL16'!$J$238:$J$451),0),
IF('TL17'!$B$3=N$3,SUMIF('TL17'!$C$10:$C$224,$C378,'TL17'!$J$10:$J$224),0),
IF('TL17'!$B$229=N$3,SUMIF('TL17'!$C$238:$C$451,$C378,'TL17'!$J$238:$J$451),0),
IF('TL18'!$B$3=N$3,SUMIF('TL18'!$C$10:$C$224,$C378,'TL18'!$J$10:$J$224),0),
IF('TL18'!$B$229=N$3,SUMIF('TL18'!$C$238:$C$451,$C378,'TL18'!$J$238:$J$451),0),
IF('TL19'!$B$3=N$3,SUMIF('TL19'!$C$10:$C$224,$C378,'TL19'!$J$10:$J$224),0),
IF('TL19'!$B$229=N$3,SUMIF('TL19'!$C$238:$C$451,$C378,'TL19'!$J$238:$J$451),0)
),0)</f>
        <v/>
      </c>
      <c r="O378" s="9">
        <f>IFERROR(SUM(
IF('TL01'!$B$3=O$3,SUMIF('TL01'!$C$10:$C$224,$C378,'TL01'!$J$10:$J$224),0),
IF('TL01'!$B$229=O$3,SUMIF('TL01'!$C$238:$C$451,$C378,'TL01'!$J$238:$J$451),0),
IF('TL02'!$B$3=O$3,SUMIF('TL02'!$C$10:$C$224,$C378,'TL02'!$J$10:$J$224),0),
IF('TL02'!$B$229=O$3,SUMIF('TL02'!$C$238:$C$451,$C378,'TL02'!$J$238:$J$451),0),
IF('TL03'!$B$3=O$3,SUMIF('TL03'!$C$10:$C$224,$C378,'TL03'!$J$10:$J$224),0),
IF('TL03'!$B$229=O$3,SUMIF('TL03'!$C$238:$C$451,$C378,'TL03'!$J$238:$J$451),0),
IF('TL04'!$B$3=O$3,SUMIF('TL04'!$C$10:$C$224,$C378,'TL04'!$J$10:$J$224),0),
IF('TL04'!$B$229=O$3,SUMIF('TL04'!$C$238:$C$451,$C378,'TL04'!$J$238:$J$451),0),
IF('TL05'!$B$3=O$3,SUMIF('TL05'!$C$10:$C$224,$C378,'TL05'!$J$10:$J$224),0),
IF('TL05'!$B$229=O$3,SUMIF('TL05'!$C$238:$C$451,$C378,'TL05'!$J$238:$J$451),0),
IF('TL06'!$B$3=O$3,SUMIF('TL06'!$C$10:$C$224,$C378,'TL06'!$J$10:$J$224),0),
IF('TL06'!$B$229=O$3,SUMIF('TL06'!$C$238:$C$451,$C378,'TL06'!$J$238:$J$451),0),
IF('TL07'!$B$3=O$3,SUMIF('TL07'!$C$10:$C$224,$C378,'TL07'!$J$10:$J$224),0),
IF('TL07'!$B$229=O$3,SUMIF('TL07'!$C$238:$C$451,$C378,'TL07'!$J$238:$J$451),0),
IF('TL08'!$B$3=O$3,SUMIF('TL08'!$C$10:$C$224,$C378,'TL08'!$J$10:$J$224),0),
IF('TL08'!$B$229=O$3,SUMIF('TL08'!$C$238:$C$451,$C378,'TL08'!$J$238:$J$451),0),
IF('TL09'!$B$3=O$3,SUMIF('TL09'!$C$10:$C$224,$C378,'TL09'!$J$10:$J$224),0),
IF('TL09'!$B$229=O$3,SUMIF('TL09'!$C$238:$C$451,$C378,'TL09'!$J$238:$J$451),0),
IF('TL10'!$B$3=O$3,SUMIF('TL10'!$C$10:$C$224,$C378,'TL10'!$J$10:$J$224),0),
IF('TL10'!$B$229=O$3,SUMIF('TL10'!$C$238:$C$451,$C378,'TL10'!$J$238:$J$451),0),
IF('TL11'!$B$3=O$3,SUMIF('TL11'!$C$10:$C$224,$C378,'TL11'!$J$10:$J$224),0),
IF('TL11'!$B$229=O$3,SUMIF('TL11'!$C$238:$C$451,$C378,'TL11'!$J$238:$J$451),0),
IF('TL12'!$B$3=O$3,SUMIF('TL12'!$C$10:$C$224,$C378,'TL12'!$J$10:$J$224),0),
IF('TL12'!$B$229=O$3,SUMIF('TL12'!$C$238:$C$451,$C378,'TL12'!$J$238:$J$451),0),
IF('TL13'!$B$3=O$3,SUMIF('TL13'!$C$10:$C$224,$C378,'TL13'!$J$10:$J$224),0),
IF('TL13'!$B$229=O$3,SUMIF('TL13'!$C$238:$C$451,$C378,'TL13'!$J$238:$J$451),0),
IF('TL14'!$B$3=O$3,SUMIF('TL14'!$C$10:$C$224,$C378,'TL14'!$J$10:$J$224),0),
IF('TL14'!$B$229=O$3,SUMIF('TL14'!$C$238:$C$451,$C378,'TL14'!$J$238:$J$451),0),
IF('TL15'!$B$3=O$3,SUMIF('TL15'!$C$10:$C$224,$C378,'TL15'!$J$10:$J$224),0),
IF('TL15'!$B$229=O$3,SUMIF('TL15'!$C$238:$C$451,$C378,'TL15'!$J$238:$J$451),0),
IF('TL16'!$B$3=O$3,SUMIF('TL16'!$C$10:$C$224,$C378,'TL16'!$J$10:$J$224),0),
IF('TL16'!$B$229=O$3,SUMIF('TL16'!$C$238:$C$451,$C378,'TL16'!$J$238:$J$451),0),
IF('TL17'!$B$3=O$3,SUMIF('TL17'!$C$10:$C$224,$C378,'TL17'!$J$10:$J$224),0),
IF('TL17'!$B$229=O$3,SUMIF('TL17'!$C$238:$C$451,$C378,'TL17'!$J$238:$J$451),0),
IF('TL18'!$B$3=O$3,SUMIF('TL18'!$C$10:$C$224,$C378,'TL18'!$J$10:$J$224),0),
IF('TL18'!$B$229=O$3,SUMIF('TL18'!$C$238:$C$451,$C378,'TL18'!$J$238:$J$451),0),
IF('TL19'!$B$3=O$3,SUMIF('TL19'!$C$10:$C$224,$C378,'TL19'!$J$10:$J$224),0),
IF('TL19'!$B$229=O$3,SUMIF('TL19'!$C$238:$C$451,$C378,'TL19'!$J$238:$J$451),0)
),0)</f>
        <v/>
      </c>
      <c r="P378" s="9">
        <f>IFERROR(SUM(
IF('TL01'!$B$3=P$3,SUMIF('TL01'!$C$10:$C$224,$C378,'TL01'!$J$10:$J$224),0),
IF('TL01'!$B$229=P$3,SUMIF('TL01'!$C$238:$C$451,$C378,'TL01'!$J$238:$J$451),0),
IF('TL02'!$B$3=P$3,SUMIF('TL02'!$C$10:$C$224,$C378,'TL02'!$J$10:$J$224),0),
IF('TL02'!$B$229=P$3,SUMIF('TL02'!$C$238:$C$451,$C378,'TL02'!$J$238:$J$451),0),
IF('TL03'!$B$3=P$3,SUMIF('TL03'!$C$10:$C$224,$C378,'TL03'!$J$10:$J$224),0),
IF('TL03'!$B$229=P$3,SUMIF('TL03'!$C$238:$C$451,$C378,'TL03'!$J$238:$J$451),0),
IF('TL04'!$B$3=P$3,SUMIF('TL04'!$C$10:$C$224,$C378,'TL04'!$J$10:$J$224),0),
IF('TL04'!$B$229=P$3,SUMIF('TL04'!$C$238:$C$451,$C378,'TL04'!$J$238:$J$451),0),
IF('TL05'!$B$3=P$3,SUMIF('TL05'!$C$10:$C$224,$C378,'TL05'!$J$10:$J$224),0),
IF('TL05'!$B$229=P$3,SUMIF('TL05'!$C$238:$C$451,$C378,'TL05'!$J$238:$J$451),0),
IF('TL06'!$B$3=P$3,SUMIF('TL06'!$C$10:$C$224,$C378,'TL06'!$J$10:$J$224),0),
IF('TL06'!$B$229=P$3,SUMIF('TL06'!$C$238:$C$451,$C378,'TL06'!$J$238:$J$451),0),
IF('TL07'!$B$3=P$3,SUMIF('TL07'!$C$10:$C$224,$C378,'TL07'!$J$10:$J$224),0),
IF('TL07'!$B$229=P$3,SUMIF('TL07'!$C$238:$C$451,$C378,'TL07'!$J$238:$J$451),0),
IF('TL08'!$B$3=P$3,SUMIF('TL08'!$C$10:$C$224,$C378,'TL08'!$J$10:$J$224),0),
IF('TL08'!$B$229=P$3,SUMIF('TL08'!$C$238:$C$451,$C378,'TL08'!$J$238:$J$451),0),
IF('TL09'!$B$3=P$3,SUMIF('TL09'!$C$10:$C$224,$C378,'TL09'!$J$10:$J$224),0),
IF('TL09'!$B$229=P$3,SUMIF('TL09'!$C$238:$C$451,$C378,'TL09'!$J$238:$J$451),0),
IF('TL10'!$B$3=P$3,SUMIF('TL10'!$C$10:$C$224,$C378,'TL10'!$J$10:$J$224),0),
IF('TL10'!$B$229=P$3,SUMIF('TL10'!$C$238:$C$451,$C378,'TL10'!$J$238:$J$451),0),
IF('TL11'!$B$3=P$3,SUMIF('TL11'!$C$10:$C$224,$C378,'TL11'!$J$10:$J$224),0),
IF('TL11'!$B$229=P$3,SUMIF('TL11'!$C$238:$C$451,$C378,'TL11'!$J$238:$J$451),0),
IF('TL12'!$B$3=P$3,SUMIF('TL12'!$C$10:$C$224,$C378,'TL12'!$J$10:$J$224),0),
IF('TL12'!$B$229=P$3,SUMIF('TL12'!$C$238:$C$451,$C378,'TL12'!$J$238:$J$451),0),
IF('TL13'!$B$3=P$3,SUMIF('TL13'!$C$10:$C$224,$C378,'TL13'!$J$10:$J$224),0),
IF('TL13'!$B$229=P$3,SUMIF('TL13'!$C$238:$C$451,$C378,'TL13'!$J$238:$J$451),0),
IF('TL14'!$B$3=P$3,SUMIF('TL14'!$C$10:$C$224,$C378,'TL14'!$J$10:$J$224),0),
IF('TL14'!$B$229=P$3,SUMIF('TL14'!$C$238:$C$451,$C378,'TL14'!$J$238:$J$451),0),
IF('TL15'!$B$3=P$3,SUMIF('TL15'!$C$10:$C$224,$C378,'TL15'!$J$10:$J$224),0),
IF('TL15'!$B$229=P$3,SUMIF('TL15'!$C$238:$C$451,$C378,'TL15'!$J$238:$J$451),0),
IF('TL16'!$B$3=P$3,SUMIF('TL16'!$C$10:$C$224,$C378,'TL16'!$J$10:$J$224),0),
IF('TL16'!$B$229=P$3,SUMIF('TL16'!$C$238:$C$451,$C378,'TL16'!$J$238:$J$451),0),
IF('TL17'!$B$3=P$3,SUMIF('TL17'!$C$10:$C$224,$C378,'TL17'!$J$10:$J$224),0),
IF('TL17'!$B$229=P$3,SUMIF('TL17'!$C$238:$C$451,$C378,'TL17'!$J$238:$J$451),0),
IF('TL18'!$B$3=P$3,SUMIF('TL18'!$C$10:$C$224,$C378,'TL18'!$J$10:$J$224),0),
IF('TL18'!$B$229=P$3,SUMIF('TL18'!$C$238:$C$451,$C378,'TL18'!$J$238:$J$451),0),
IF('TL19'!$B$3=P$3,SUMIF('TL19'!$C$10:$C$224,$C378,'TL19'!$J$10:$J$224),0),
IF('TL19'!$B$229=P$3,SUMIF('TL19'!$C$238:$C$451,$C378,'TL19'!$J$238:$J$451),0)
),0)</f>
        <v/>
      </c>
      <c r="Q378" s="9">
        <f>IFERROR(SUM(
IF('TL01'!$B$3=Q$3,SUMIF('TL01'!$C$10:$C$224,$C378,'TL01'!$J$10:$J$224),0),
IF('TL01'!$B$229=Q$3,SUMIF('TL01'!$C$238:$C$451,$C378,'TL01'!$J$238:$J$451),0),
IF('TL02'!$B$3=Q$3,SUMIF('TL02'!$C$10:$C$224,$C378,'TL02'!$J$10:$J$224),0),
IF('TL02'!$B$229=Q$3,SUMIF('TL02'!$C$238:$C$451,$C378,'TL02'!$J$238:$J$451),0),
IF('TL03'!$B$3=Q$3,SUMIF('TL03'!$C$10:$C$224,$C378,'TL03'!$J$10:$J$224),0),
IF('TL03'!$B$229=Q$3,SUMIF('TL03'!$C$238:$C$451,$C378,'TL03'!$J$238:$J$451),0),
IF('TL04'!$B$3=Q$3,SUMIF('TL04'!$C$10:$C$224,$C378,'TL04'!$J$10:$J$224),0),
IF('TL04'!$B$229=Q$3,SUMIF('TL04'!$C$238:$C$451,$C378,'TL04'!$J$238:$J$451),0),
IF('TL05'!$B$3=Q$3,SUMIF('TL05'!$C$10:$C$224,$C378,'TL05'!$J$10:$J$224),0),
IF('TL05'!$B$229=Q$3,SUMIF('TL05'!$C$238:$C$451,$C378,'TL05'!$J$238:$J$451),0),
IF('TL06'!$B$3=Q$3,SUMIF('TL06'!$C$10:$C$224,$C378,'TL06'!$J$10:$J$224),0),
IF('TL06'!$B$229=Q$3,SUMIF('TL06'!$C$238:$C$451,$C378,'TL06'!$J$238:$J$451),0),
IF('TL07'!$B$3=Q$3,SUMIF('TL07'!$C$10:$C$224,$C378,'TL07'!$J$10:$J$224),0),
IF('TL07'!$B$229=Q$3,SUMIF('TL07'!$C$238:$C$451,$C378,'TL07'!$J$238:$J$451),0),
IF('TL08'!$B$3=Q$3,SUMIF('TL08'!$C$10:$C$224,$C378,'TL08'!$J$10:$J$224),0),
IF('TL08'!$B$229=Q$3,SUMIF('TL08'!$C$238:$C$451,$C378,'TL08'!$J$238:$J$451),0),
IF('TL09'!$B$3=Q$3,SUMIF('TL09'!$C$10:$C$224,$C378,'TL09'!$J$10:$J$224),0),
IF('TL09'!$B$229=Q$3,SUMIF('TL09'!$C$238:$C$451,$C378,'TL09'!$J$238:$J$451),0),
IF('TL10'!$B$3=Q$3,SUMIF('TL10'!$C$10:$C$224,$C378,'TL10'!$J$10:$J$224),0),
IF('TL10'!$B$229=Q$3,SUMIF('TL10'!$C$238:$C$451,$C378,'TL10'!$J$238:$J$451),0),
IF('TL11'!$B$3=Q$3,SUMIF('TL11'!$C$10:$C$224,$C378,'TL11'!$J$10:$J$224),0),
IF('TL11'!$B$229=Q$3,SUMIF('TL11'!$C$238:$C$451,$C378,'TL11'!$J$238:$J$451),0),
IF('TL12'!$B$3=Q$3,SUMIF('TL12'!$C$10:$C$224,$C378,'TL12'!$J$10:$J$224),0),
IF('TL12'!$B$229=Q$3,SUMIF('TL12'!$C$238:$C$451,$C378,'TL12'!$J$238:$J$451),0),
IF('TL13'!$B$3=Q$3,SUMIF('TL13'!$C$10:$C$224,$C378,'TL13'!$J$10:$J$224),0),
IF('TL13'!$B$229=Q$3,SUMIF('TL13'!$C$238:$C$451,$C378,'TL13'!$J$238:$J$451),0),
IF('TL14'!$B$3=Q$3,SUMIF('TL14'!$C$10:$C$224,$C378,'TL14'!$J$10:$J$224),0),
IF('TL14'!$B$229=Q$3,SUMIF('TL14'!$C$238:$C$451,$C378,'TL14'!$J$238:$J$451),0),
IF('TL15'!$B$3=Q$3,SUMIF('TL15'!$C$10:$C$224,$C378,'TL15'!$J$10:$J$224),0),
IF('TL15'!$B$229=Q$3,SUMIF('TL15'!$C$238:$C$451,$C378,'TL15'!$J$238:$J$451),0),
IF('TL16'!$B$3=Q$3,SUMIF('TL16'!$C$10:$C$224,$C378,'TL16'!$J$10:$J$224),0),
IF('TL16'!$B$229=Q$3,SUMIF('TL16'!$C$238:$C$451,$C378,'TL16'!$J$238:$J$451),0),
IF('TL17'!$B$3=Q$3,SUMIF('TL17'!$C$10:$C$224,$C378,'TL17'!$J$10:$J$224),0),
IF('TL17'!$B$229=Q$3,SUMIF('TL17'!$C$238:$C$451,$C378,'TL17'!$J$238:$J$451),0),
IF('TL18'!$B$3=Q$3,SUMIF('TL18'!$C$10:$C$224,$C378,'TL18'!$J$10:$J$224),0),
IF('TL18'!$B$229=Q$3,SUMIF('TL18'!$C$238:$C$451,$C378,'TL18'!$J$238:$J$451),0),
IF('TL19'!$B$3=Q$3,SUMIF('TL19'!$C$10:$C$224,$C378,'TL19'!$J$10:$J$224),0),
IF('TL19'!$B$229=Q$3,SUMIF('TL19'!$C$238:$C$451,$C378,'TL19'!$J$238:$J$451),0)
),0)</f>
        <v/>
      </c>
      <c r="R378" s="9">
        <f>IFERROR(
SUM(
SUMIF('TL01'!C:C,C378,'TL01'!J:J),
SUMIF('TL02'!C:C,C378,'TL02'!J:J),
SUMIF('TL03'!C:C,C378,'TL03'!J:J),
SUMIF('TL04'!C:C,C378,'TL04'!J:J),
SUMIF('TL05'!C:C,C378,'TL05'!J:J),
SUMIF('TL06'!C:C,C378,'TL06'!J:J),
SUMIF('TL07'!C:C,C378,'TL07'!J:J),
SUMIF('TL08'!C:C,C378,'TL08'!J:J),
SUMIF('TL09'!C:C,C378,'TL09'!J:J),
SUMIF('TL10'!C:C,C378,'TL10'!J:J),
SUMIF('TL11'!C:C,C378,'TL11'!J:J),
SUMIF('TL12'!C:C,C378,'TL12'!J:J),
SUMIF('TL13'!C:C,C378,'TL13'!J:J),
SUMIF('TL14'!C:C,C378,'TL14'!J:J),
SUMIF('TL15'!C:C,C378,'TL15'!J:J),
SUMIF('TL16'!C:C,C378,'TL16'!J:J),
SUMIF('TL17'!C:C,C378,'TL17'!J:J),
SUMIF('TL18'!C:C,C378,'TL18'!J:J),SUMIF('TL19'!C:C,C378,'TL19'!J:J))
,0)</f>
        <v/>
      </c>
      <c r="S378" s="17">
        <f>IFERROR(__xludf.DUMMYFUNCTION("IFERROR(VLOOKUP(C378,
IMPORTRANGE(""1wULbzX32WdYsx-lj2U3uUNBBe2INVIRDtcK0d-Dvl90"",
""26-27!C:G""),
5,
FALSE),
"""")"),4.11)</f>
        <v/>
      </c>
      <c r="T378" s="9" t="n"/>
      <c r="U378" s="92">
        <f>MAX(0,R378-T378)</f>
        <v/>
      </c>
      <c r="V378" s="93">
        <f>U378*S378</f>
        <v/>
      </c>
    </row>
    <row r="379" hidden="1" ht="15.75" customHeight="1" s="297">
      <c r="A379" s="4" t="inlineStr">
        <is>
          <t>SOLUBIO</t>
        </is>
      </c>
      <c r="B379" s="4" t="inlineStr">
        <is>
          <t>BIOLÓGICOS</t>
        </is>
      </c>
      <c r="C379" s="130" t="inlineStr">
        <is>
          <t>Solu Shield Kit On-farm</t>
        </is>
      </c>
      <c r="D379" s="129" t="inlineStr">
        <is>
          <t>Kit On-farm</t>
        </is>
      </c>
      <c r="E379" s="20" t="n"/>
      <c r="F379" s="4" t="n"/>
      <c r="G379" s="90">
        <f>HYPERLINK("https://www.google.com/search?q=" &amp; C379 &amp; "+bula+agrofit+pdf", "📄 Ver bula")</f>
        <v/>
      </c>
      <c r="H379" s="9" t="n"/>
      <c r="I379" s="123" t="n"/>
      <c r="J379" s="9">
        <f>IFERROR(SUM(
IF('TL01'!$B$3=J$3,SUMIF('TL01'!$C$10:$C$224,$C379,'TL01'!$J$10:$J$224),0),
IF('TL01'!$B$229=J$3,SUMIF('TL01'!$C$238:$C$451,$C379,'TL01'!$J$238:$J$451),0),
IF('TL02'!$B$3=J$3,SUMIF('TL02'!$C$10:$C$224,$C379,'TL02'!$J$10:$J$224),0),
IF('TL02'!$B$229=J$3,SUMIF('TL02'!$C$238:$C$451,$C379,'TL02'!$J$238:$J$451),0),
IF('TL03'!$B$3=J$3,SUMIF('TL03'!$C$10:$C$224,$C379,'TL03'!$J$10:$J$224),0),
IF('TL03'!$B$229=J$3,SUMIF('TL03'!$C$238:$C$451,$C379,'TL03'!$J$238:$J$451),0),
IF('TL04'!$B$3=J$3,SUMIF('TL04'!$C$10:$C$224,$C379,'TL04'!$J$10:$J$224),0),
IF('TL04'!$B$229=J$3,SUMIF('TL04'!$C$238:$C$451,$C379,'TL04'!$J$238:$J$451),0),
IF('TL05'!$B$3=J$3,SUMIF('TL05'!$C$10:$C$224,$C379,'TL05'!$J$10:$J$224),0),
IF('TL05'!$B$229=J$3,SUMIF('TL05'!$C$238:$C$451,$C379,'TL05'!$J$238:$J$451),0),
IF('TL06'!$B$3=J$3,SUMIF('TL06'!$C$10:$C$224,$C379,'TL06'!$J$10:$J$224),0),
IF('TL06'!$B$229=J$3,SUMIF('TL06'!$C$238:$C$451,$C379,'TL06'!$J$238:$J$451),0),
IF('TL07'!$B$3=J$3,SUMIF('TL07'!$C$10:$C$224,$C379,'TL07'!$J$10:$J$224),0),
IF('TL07'!$B$229=J$3,SUMIF('TL07'!$C$238:$C$451,$C379,'TL07'!$J$238:$J$451),0),
IF('TL08'!$B$3=J$3,SUMIF('TL08'!$C$10:$C$224,$C379,'TL08'!$J$10:$J$224),0),
IF('TL08'!$B$229=J$3,SUMIF('TL08'!$C$238:$C$451,$C379,'TL08'!$J$238:$J$451),0),
IF('TL09'!$B$3=J$3,SUMIF('TL09'!$C$10:$C$224,$C379,'TL09'!$J$10:$J$224),0),
IF('TL09'!$B$229=J$3,SUMIF('TL09'!$C$238:$C$451,$C379,'TL09'!$J$238:$J$451),0),
IF('TL10'!$B$3=J$3,SUMIF('TL10'!$C$10:$C$224,$C379,'TL10'!$J$10:$J$224),0),
IF('TL10'!$B$229=J$3,SUMIF('TL10'!$C$238:$C$451,$C379,'TL10'!$J$238:$J$451),0),
IF('TL11'!$B$3=J$3,SUMIF('TL11'!$C$10:$C$224,$C379,'TL11'!$J$10:$J$224),0),
IF('TL11'!$B$229=J$3,SUMIF('TL11'!$C$238:$C$451,$C379,'TL11'!$J$238:$J$451),0),
IF('TL12'!$B$3=J$3,SUMIF('TL12'!$C$10:$C$224,$C379,'TL12'!$J$10:$J$224),0),
IF('TL12'!$B$229=J$3,SUMIF('TL12'!$C$238:$C$451,$C379,'TL12'!$J$238:$J$451),0),
IF('TL13'!$B$3=J$3,SUMIF('TL13'!$C$10:$C$224,$C379,'TL13'!$J$10:$J$224),0),
IF('TL13'!$B$229=J$3,SUMIF('TL13'!$C$238:$C$451,$C379,'TL13'!$J$238:$J$451),0),
IF('TL14'!$B$3=J$3,SUMIF('TL14'!$C$10:$C$224,$C379,'TL14'!$J$10:$J$224),0),
IF('TL14'!$B$229=J$3,SUMIF('TL14'!$C$238:$C$451,$C379,'TL14'!$J$238:$J$451),0),
IF('TL15'!$B$3=J$3,SUMIF('TL15'!$C$10:$C$224,$C379,'TL15'!$J$10:$J$224),0),
IF('TL15'!$B$229=J$3,SUMIF('TL15'!$C$238:$C$451,$C379,'TL15'!$J$238:$J$451),0),
IF('TL16'!$B$3=J$3,SUMIF('TL16'!$C$10:$C$224,$C379,'TL16'!$J$10:$J$224),0),
IF('TL16'!$B$229=J$3,SUMIF('TL16'!$C$238:$C$451,$C379,'TL16'!$J$238:$J$451),0),
IF('TL17'!$B$3=J$3,SUMIF('TL17'!$C$10:$C$224,$C379,'TL17'!$J$10:$J$224),0),
IF('TL17'!$B$229=J$3,SUMIF('TL17'!$C$238:$C$451,$C379,'TL17'!$J$238:$J$451),0),
IF('TL18'!$B$3=J$3,SUMIF('TL18'!$C$10:$C$224,$C379,'TL18'!$J$10:$J$224),0),
IF('TL18'!$B$229=J$3,SUMIF('TL18'!$C$238:$C$451,$C379,'TL18'!$J$238:$J$451),0),
IF('TL19'!$B$3=J$3,SUMIF('TL19'!$C$10:$C$224,$C379,'TL19'!$J$10:$J$224),0),
IF('TL19'!$B$229=J$3,SUMIF('TL19'!$C$238:$C$451,$C379,'TL19'!$J$238:$J$451),0)
),0)</f>
        <v/>
      </c>
      <c r="K379" s="9">
        <f>IFERROR(SUM(
IF('TL01'!$B$3=K$3,SUMIF('TL01'!$C$10:$C$224,$C379,'TL01'!$J$10:$J$224),0),
IF('TL01'!$B$229=K$3,SUMIF('TL01'!$C$238:$C$451,$C379,'TL01'!$J$238:$J$451),0),
IF('TL02'!$B$3=K$3,SUMIF('TL02'!$C$10:$C$224,$C379,'TL02'!$J$10:$J$224),0),
IF('TL02'!$B$229=K$3,SUMIF('TL02'!$C$238:$C$451,$C379,'TL02'!$J$238:$J$451),0),
IF('TL03'!$B$3=K$3,SUMIF('TL03'!$C$10:$C$224,$C379,'TL03'!$J$10:$J$224),0),
IF('TL03'!$B$229=K$3,SUMIF('TL03'!$C$238:$C$451,$C379,'TL03'!$J$238:$J$451),0),
IF('TL04'!$B$3=K$3,SUMIF('TL04'!$C$10:$C$224,$C379,'TL04'!$J$10:$J$224),0),
IF('TL04'!$B$229=K$3,SUMIF('TL04'!$C$238:$C$451,$C379,'TL04'!$J$238:$J$451),0),
IF('TL05'!$B$3=K$3,SUMIF('TL05'!$C$10:$C$224,$C379,'TL05'!$J$10:$J$224),0),
IF('TL05'!$B$229=K$3,SUMIF('TL05'!$C$238:$C$451,$C379,'TL05'!$J$238:$J$451),0),
IF('TL06'!$B$3=K$3,SUMIF('TL06'!$C$10:$C$224,$C379,'TL06'!$J$10:$J$224),0),
IF('TL06'!$B$229=K$3,SUMIF('TL06'!$C$238:$C$451,$C379,'TL06'!$J$238:$J$451),0),
IF('TL07'!$B$3=K$3,SUMIF('TL07'!$C$10:$C$224,$C379,'TL07'!$J$10:$J$224),0),
IF('TL07'!$B$229=K$3,SUMIF('TL07'!$C$238:$C$451,$C379,'TL07'!$J$238:$J$451),0),
IF('TL08'!$B$3=K$3,SUMIF('TL08'!$C$10:$C$224,$C379,'TL08'!$J$10:$J$224),0),
IF('TL08'!$B$229=K$3,SUMIF('TL08'!$C$238:$C$451,$C379,'TL08'!$J$238:$J$451),0),
IF('TL09'!$B$3=K$3,SUMIF('TL09'!$C$10:$C$224,$C379,'TL09'!$J$10:$J$224),0),
IF('TL09'!$B$229=K$3,SUMIF('TL09'!$C$238:$C$451,$C379,'TL09'!$J$238:$J$451),0),
IF('TL10'!$B$3=K$3,SUMIF('TL10'!$C$10:$C$224,$C379,'TL10'!$J$10:$J$224),0),
IF('TL10'!$B$229=K$3,SUMIF('TL10'!$C$238:$C$451,$C379,'TL10'!$J$238:$J$451),0),
IF('TL11'!$B$3=K$3,SUMIF('TL11'!$C$10:$C$224,$C379,'TL11'!$J$10:$J$224),0),
IF('TL11'!$B$229=K$3,SUMIF('TL11'!$C$238:$C$451,$C379,'TL11'!$J$238:$J$451),0),
IF('TL12'!$B$3=K$3,SUMIF('TL12'!$C$10:$C$224,$C379,'TL12'!$J$10:$J$224),0),
IF('TL12'!$B$229=K$3,SUMIF('TL12'!$C$238:$C$451,$C379,'TL12'!$J$238:$J$451),0),
IF('TL13'!$B$3=K$3,SUMIF('TL13'!$C$10:$C$224,$C379,'TL13'!$J$10:$J$224),0),
IF('TL13'!$B$229=K$3,SUMIF('TL13'!$C$238:$C$451,$C379,'TL13'!$J$238:$J$451),0),
IF('TL14'!$B$3=K$3,SUMIF('TL14'!$C$10:$C$224,$C379,'TL14'!$J$10:$J$224),0),
IF('TL14'!$B$229=K$3,SUMIF('TL14'!$C$238:$C$451,$C379,'TL14'!$J$238:$J$451),0),
IF('TL15'!$B$3=K$3,SUMIF('TL15'!$C$10:$C$224,$C379,'TL15'!$J$10:$J$224),0),
IF('TL15'!$B$229=K$3,SUMIF('TL15'!$C$238:$C$451,$C379,'TL15'!$J$238:$J$451),0),
IF('TL16'!$B$3=K$3,SUMIF('TL16'!$C$10:$C$224,$C379,'TL16'!$J$10:$J$224),0),
IF('TL16'!$B$229=K$3,SUMIF('TL16'!$C$238:$C$451,$C379,'TL16'!$J$238:$J$451),0),
IF('TL17'!$B$3=K$3,SUMIF('TL17'!$C$10:$C$224,$C379,'TL17'!$J$10:$J$224),0),
IF('TL17'!$B$229=K$3,SUMIF('TL17'!$C$238:$C$451,$C379,'TL17'!$J$238:$J$451),0),
IF('TL18'!$B$3=K$3,SUMIF('TL18'!$C$10:$C$224,$C379,'TL18'!$J$10:$J$224),0),
IF('TL18'!$B$229=K$3,SUMIF('TL18'!$C$238:$C$451,$C379,'TL18'!$J$238:$J$451),0),
IF('TL19'!$B$3=K$3,SUMIF('TL19'!$C$10:$C$224,$C379,'TL19'!$J$10:$J$224),0),
IF('TL19'!$B$229=K$3,SUMIF('TL19'!$C$238:$C$451,$C379,'TL19'!$J$238:$J$451),0)
),0)</f>
        <v/>
      </c>
      <c r="L379" s="9">
        <f>IFERROR(SUM(
IF('TL01'!$B$3=L$3,SUMIF('TL01'!$C$10:$C$224,$C379,'TL01'!$J$10:$J$224),0),
IF('TL01'!$B$229=L$3,SUMIF('TL01'!$C$238:$C$451,$C379,'TL01'!$J$238:$J$451),0),
IF('TL02'!$B$3=L$3,SUMIF('TL02'!$C$10:$C$224,$C379,'TL02'!$J$10:$J$224),0),
IF('TL02'!$B$229=L$3,SUMIF('TL02'!$C$238:$C$451,$C379,'TL02'!$J$238:$J$451),0),
IF('TL03'!$B$3=L$3,SUMIF('TL03'!$C$10:$C$224,$C379,'TL03'!$J$10:$J$224),0),
IF('TL03'!$B$229=L$3,SUMIF('TL03'!$C$238:$C$451,$C379,'TL03'!$J$238:$J$451),0),
IF('TL04'!$B$3=L$3,SUMIF('TL04'!$C$10:$C$224,$C379,'TL04'!$J$10:$J$224),0),
IF('TL04'!$B$229=L$3,SUMIF('TL04'!$C$238:$C$451,$C379,'TL04'!$J$238:$J$451),0),
IF('TL05'!$B$3=L$3,SUMIF('TL05'!$C$10:$C$224,$C379,'TL05'!$J$10:$J$224),0),
IF('TL05'!$B$229=L$3,SUMIF('TL05'!$C$238:$C$451,$C379,'TL05'!$J$238:$J$451),0),
IF('TL06'!$B$3=L$3,SUMIF('TL06'!$C$10:$C$224,$C379,'TL06'!$J$10:$J$224),0),
IF('TL06'!$B$229=L$3,SUMIF('TL06'!$C$238:$C$451,$C379,'TL06'!$J$238:$J$451),0),
IF('TL07'!$B$3=L$3,SUMIF('TL07'!$C$10:$C$224,$C379,'TL07'!$J$10:$J$224),0),
IF('TL07'!$B$229=L$3,SUMIF('TL07'!$C$238:$C$451,$C379,'TL07'!$J$238:$J$451),0),
IF('TL08'!$B$3=L$3,SUMIF('TL08'!$C$10:$C$224,$C379,'TL08'!$J$10:$J$224),0),
IF('TL08'!$B$229=L$3,SUMIF('TL08'!$C$238:$C$451,$C379,'TL08'!$J$238:$J$451),0),
IF('TL09'!$B$3=L$3,SUMIF('TL09'!$C$10:$C$224,$C379,'TL09'!$J$10:$J$224),0),
IF('TL09'!$B$229=L$3,SUMIF('TL09'!$C$238:$C$451,$C379,'TL09'!$J$238:$J$451),0),
IF('TL10'!$B$3=L$3,SUMIF('TL10'!$C$10:$C$224,$C379,'TL10'!$J$10:$J$224),0),
IF('TL10'!$B$229=L$3,SUMIF('TL10'!$C$238:$C$451,$C379,'TL10'!$J$238:$J$451),0),
IF('TL11'!$B$3=L$3,SUMIF('TL11'!$C$10:$C$224,$C379,'TL11'!$J$10:$J$224),0),
IF('TL11'!$B$229=L$3,SUMIF('TL11'!$C$238:$C$451,$C379,'TL11'!$J$238:$J$451),0),
IF('TL12'!$B$3=L$3,SUMIF('TL12'!$C$10:$C$224,$C379,'TL12'!$J$10:$J$224),0),
IF('TL12'!$B$229=L$3,SUMIF('TL12'!$C$238:$C$451,$C379,'TL12'!$J$238:$J$451),0),
IF('TL13'!$B$3=L$3,SUMIF('TL13'!$C$10:$C$224,$C379,'TL13'!$J$10:$J$224),0),
IF('TL13'!$B$229=L$3,SUMIF('TL13'!$C$238:$C$451,$C379,'TL13'!$J$238:$J$451),0),
IF('TL14'!$B$3=L$3,SUMIF('TL14'!$C$10:$C$224,$C379,'TL14'!$J$10:$J$224),0),
IF('TL14'!$B$229=L$3,SUMIF('TL14'!$C$238:$C$451,$C379,'TL14'!$J$238:$J$451),0),
IF('TL15'!$B$3=L$3,SUMIF('TL15'!$C$10:$C$224,$C379,'TL15'!$J$10:$J$224),0),
IF('TL15'!$B$229=L$3,SUMIF('TL15'!$C$238:$C$451,$C379,'TL15'!$J$238:$J$451),0),
IF('TL16'!$B$3=L$3,SUMIF('TL16'!$C$10:$C$224,$C379,'TL16'!$J$10:$J$224),0),
IF('TL16'!$B$229=L$3,SUMIF('TL16'!$C$238:$C$451,$C379,'TL16'!$J$238:$J$451),0),
IF('TL17'!$B$3=L$3,SUMIF('TL17'!$C$10:$C$224,$C379,'TL17'!$J$10:$J$224),0),
IF('TL17'!$B$229=L$3,SUMIF('TL17'!$C$238:$C$451,$C379,'TL17'!$J$238:$J$451),0),
IF('TL18'!$B$3=L$3,SUMIF('TL18'!$C$10:$C$224,$C379,'TL18'!$J$10:$J$224),0),
IF('TL18'!$B$229=L$3,SUMIF('TL18'!$C$238:$C$451,$C379,'TL18'!$J$238:$J$451),0),
IF('TL19'!$B$3=L$3,SUMIF('TL19'!$C$10:$C$224,$C379,'TL19'!$J$10:$J$224),0),
IF('TL19'!$B$229=L$3,SUMIF('TL19'!$C$238:$C$451,$C379,'TL19'!$J$238:$J$451),0)
),0)</f>
        <v/>
      </c>
      <c r="M379" s="9">
        <f>IFERROR(SUM(
IF('TL01'!$B$3=M$3,SUMIF('TL01'!$C$10:$C$224,$C379,'TL01'!$J$10:$J$224),0),
IF('TL01'!$B$229=M$3,SUMIF('TL01'!$C$238:$C$451,$C379,'TL01'!$J$238:$J$451),0),
IF('TL02'!$B$3=M$3,SUMIF('TL02'!$C$10:$C$224,$C379,'TL02'!$J$10:$J$224),0),
IF('TL02'!$B$229=M$3,SUMIF('TL02'!$C$238:$C$451,$C379,'TL02'!$J$238:$J$451),0),
IF('TL03'!$B$3=M$3,SUMIF('TL03'!$C$10:$C$224,$C379,'TL03'!$J$10:$J$224),0),
IF('TL03'!$B$229=M$3,SUMIF('TL03'!$C$238:$C$451,$C379,'TL03'!$J$238:$J$451),0),
IF('TL04'!$B$3=M$3,SUMIF('TL04'!$C$10:$C$224,$C379,'TL04'!$J$10:$J$224),0),
IF('TL04'!$B$229=M$3,SUMIF('TL04'!$C$238:$C$451,$C379,'TL04'!$J$238:$J$451),0),
IF('TL05'!$B$3=M$3,SUMIF('TL05'!$C$10:$C$224,$C379,'TL05'!$J$10:$J$224),0),
IF('TL05'!$B$229=M$3,SUMIF('TL05'!$C$238:$C$451,$C379,'TL05'!$J$238:$J$451),0),
IF('TL06'!$B$3=M$3,SUMIF('TL06'!$C$10:$C$224,$C379,'TL06'!$J$10:$J$224),0),
IF('TL06'!$B$229=M$3,SUMIF('TL06'!$C$238:$C$451,$C379,'TL06'!$J$238:$J$451),0),
IF('TL07'!$B$3=M$3,SUMIF('TL07'!$C$10:$C$224,$C379,'TL07'!$J$10:$J$224),0),
IF('TL07'!$B$229=M$3,SUMIF('TL07'!$C$238:$C$451,$C379,'TL07'!$J$238:$J$451),0),
IF('TL08'!$B$3=M$3,SUMIF('TL08'!$C$10:$C$224,$C379,'TL08'!$J$10:$J$224),0),
IF('TL08'!$B$229=M$3,SUMIF('TL08'!$C$238:$C$451,$C379,'TL08'!$J$238:$J$451),0),
IF('TL09'!$B$3=M$3,SUMIF('TL09'!$C$10:$C$224,$C379,'TL09'!$J$10:$J$224),0),
IF('TL09'!$B$229=M$3,SUMIF('TL09'!$C$238:$C$451,$C379,'TL09'!$J$238:$J$451),0),
IF('TL10'!$B$3=M$3,SUMIF('TL10'!$C$10:$C$224,$C379,'TL10'!$J$10:$J$224),0),
IF('TL10'!$B$229=M$3,SUMIF('TL10'!$C$238:$C$451,$C379,'TL10'!$J$238:$J$451),0),
IF('TL11'!$B$3=M$3,SUMIF('TL11'!$C$10:$C$224,$C379,'TL11'!$J$10:$J$224),0),
IF('TL11'!$B$229=M$3,SUMIF('TL11'!$C$238:$C$451,$C379,'TL11'!$J$238:$J$451),0),
IF('TL12'!$B$3=M$3,SUMIF('TL12'!$C$10:$C$224,$C379,'TL12'!$J$10:$J$224),0),
IF('TL12'!$B$229=M$3,SUMIF('TL12'!$C$238:$C$451,$C379,'TL12'!$J$238:$J$451),0),
IF('TL13'!$B$3=M$3,SUMIF('TL13'!$C$10:$C$224,$C379,'TL13'!$J$10:$J$224),0),
IF('TL13'!$B$229=M$3,SUMIF('TL13'!$C$238:$C$451,$C379,'TL13'!$J$238:$J$451),0),
IF('TL14'!$B$3=M$3,SUMIF('TL14'!$C$10:$C$224,$C379,'TL14'!$J$10:$J$224),0),
IF('TL14'!$B$229=M$3,SUMIF('TL14'!$C$238:$C$451,$C379,'TL14'!$J$238:$J$451),0),
IF('TL15'!$B$3=M$3,SUMIF('TL15'!$C$10:$C$224,$C379,'TL15'!$J$10:$J$224),0),
IF('TL15'!$B$229=M$3,SUMIF('TL15'!$C$238:$C$451,$C379,'TL15'!$J$238:$J$451),0),
IF('TL16'!$B$3=M$3,SUMIF('TL16'!$C$10:$C$224,$C379,'TL16'!$J$10:$J$224),0),
IF('TL16'!$B$229=M$3,SUMIF('TL16'!$C$238:$C$451,$C379,'TL16'!$J$238:$J$451),0),
IF('TL17'!$B$3=M$3,SUMIF('TL17'!$C$10:$C$224,$C379,'TL17'!$J$10:$J$224),0),
IF('TL17'!$B$229=M$3,SUMIF('TL17'!$C$238:$C$451,$C379,'TL17'!$J$238:$J$451),0),
IF('TL18'!$B$3=M$3,SUMIF('TL18'!$C$10:$C$224,$C379,'TL18'!$J$10:$J$224),0),
IF('TL18'!$B$229=M$3,SUMIF('TL18'!$C$238:$C$451,$C379,'TL18'!$J$238:$J$451),0),
IF('TL19'!$B$3=M$3,SUMIF('TL19'!$C$10:$C$224,$C379,'TL19'!$J$10:$J$224),0),
IF('TL19'!$B$229=M$3,SUMIF('TL19'!$C$238:$C$451,$C379,'TL19'!$J$238:$J$451),0)
),0)</f>
        <v/>
      </c>
      <c r="N379" s="9">
        <f>IFERROR(SUM(
IF('TL01'!$B$3=N$3,SUMIF('TL01'!$C$10:$C$224,$C379,'TL01'!$J$10:$J$224),0),
IF('TL01'!$B$229=N$3,SUMIF('TL01'!$C$238:$C$451,$C379,'TL01'!$J$238:$J$451),0),
IF('TL02'!$B$3=N$3,SUMIF('TL02'!$C$10:$C$224,$C379,'TL02'!$J$10:$J$224),0),
IF('TL02'!$B$229=N$3,SUMIF('TL02'!$C$238:$C$451,$C379,'TL02'!$J$238:$J$451),0),
IF('TL03'!$B$3=N$3,SUMIF('TL03'!$C$10:$C$224,$C379,'TL03'!$J$10:$J$224),0),
IF('TL03'!$B$229=N$3,SUMIF('TL03'!$C$238:$C$451,$C379,'TL03'!$J$238:$J$451),0),
IF('TL04'!$B$3=N$3,SUMIF('TL04'!$C$10:$C$224,$C379,'TL04'!$J$10:$J$224),0),
IF('TL04'!$B$229=N$3,SUMIF('TL04'!$C$238:$C$451,$C379,'TL04'!$J$238:$J$451),0),
IF('TL05'!$B$3=N$3,SUMIF('TL05'!$C$10:$C$224,$C379,'TL05'!$J$10:$J$224),0),
IF('TL05'!$B$229=N$3,SUMIF('TL05'!$C$238:$C$451,$C379,'TL05'!$J$238:$J$451),0),
IF('TL06'!$B$3=N$3,SUMIF('TL06'!$C$10:$C$224,$C379,'TL06'!$J$10:$J$224),0),
IF('TL06'!$B$229=N$3,SUMIF('TL06'!$C$238:$C$451,$C379,'TL06'!$J$238:$J$451),0),
IF('TL07'!$B$3=N$3,SUMIF('TL07'!$C$10:$C$224,$C379,'TL07'!$J$10:$J$224),0),
IF('TL07'!$B$229=N$3,SUMIF('TL07'!$C$238:$C$451,$C379,'TL07'!$J$238:$J$451),0),
IF('TL08'!$B$3=N$3,SUMIF('TL08'!$C$10:$C$224,$C379,'TL08'!$J$10:$J$224),0),
IF('TL08'!$B$229=N$3,SUMIF('TL08'!$C$238:$C$451,$C379,'TL08'!$J$238:$J$451),0),
IF('TL09'!$B$3=N$3,SUMIF('TL09'!$C$10:$C$224,$C379,'TL09'!$J$10:$J$224),0),
IF('TL09'!$B$229=N$3,SUMIF('TL09'!$C$238:$C$451,$C379,'TL09'!$J$238:$J$451),0),
IF('TL10'!$B$3=N$3,SUMIF('TL10'!$C$10:$C$224,$C379,'TL10'!$J$10:$J$224),0),
IF('TL10'!$B$229=N$3,SUMIF('TL10'!$C$238:$C$451,$C379,'TL10'!$J$238:$J$451),0),
IF('TL11'!$B$3=N$3,SUMIF('TL11'!$C$10:$C$224,$C379,'TL11'!$J$10:$J$224),0),
IF('TL11'!$B$229=N$3,SUMIF('TL11'!$C$238:$C$451,$C379,'TL11'!$J$238:$J$451),0),
IF('TL12'!$B$3=N$3,SUMIF('TL12'!$C$10:$C$224,$C379,'TL12'!$J$10:$J$224),0),
IF('TL12'!$B$229=N$3,SUMIF('TL12'!$C$238:$C$451,$C379,'TL12'!$J$238:$J$451),0),
IF('TL13'!$B$3=N$3,SUMIF('TL13'!$C$10:$C$224,$C379,'TL13'!$J$10:$J$224),0),
IF('TL13'!$B$229=N$3,SUMIF('TL13'!$C$238:$C$451,$C379,'TL13'!$J$238:$J$451),0),
IF('TL14'!$B$3=N$3,SUMIF('TL14'!$C$10:$C$224,$C379,'TL14'!$J$10:$J$224),0),
IF('TL14'!$B$229=N$3,SUMIF('TL14'!$C$238:$C$451,$C379,'TL14'!$J$238:$J$451),0),
IF('TL15'!$B$3=N$3,SUMIF('TL15'!$C$10:$C$224,$C379,'TL15'!$J$10:$J$224),0),
IF('TL15'!$B$229=N$3,SUMIF('TL15'!$C$238:$C$451,$C379,'TL15'!$J$238:$J$451),0),
IF('TL16'!$B$3=N$3,SUMIF('TL16'!$C$10:$C$224,$C379,'TL16'!$J$10:$J$224),0),
IF('TL16'!$B$229=N$3,SUMIF('TL16'!$C$238:$C$451,$C379,'TL16'!$J$238:$J$451),0),
IF('TL17'!$B$3=N$3,SUMIF('TL17'!$C$10:$C$224,$C379,'TL17'!$J$10:$J$224),0),
IF('TL17'!$B$229=N$3,SUMIF('TL17'!$C$238:$C$451,$C379,'TL17'!$J$238:$J$451),0),
IF('TL18'!$B$3=N$3,SUMIF('TL18'!$C$10:$C$224,$C379,'TL18'!$J$10:$J$224),0),
IF('TL18'!$B$229=N$3,SUMIF('TL18'!$C$238:$C$451,$C379,'TL18'!$J$238:$J$451),0),
IF('TL19'!$B$3=N$3,SUMIF('TL19'!$C$10:$C$224,$C379,'TL19'!$J$10:$J$224),0),
IF('TL19'!$B$229=N$3,SUMIF('TL19'!$C$238:$C$451,$C379,'TL19'!$J$238:$J$451),0)
),0)</f>
        <v/>
      </c>
      <c r="O379" s="9">
        <f>IFERROR(SUM(
IF('TL01'!$B$3=O$3,SUMIF('TL01'!$C$10:$C$224,$C379,'TL01'!$J$10:$J$224),0),
IF('TL01'!$B$229=O$3,SUMIF('TL01'!$C$238:$C$451,$C379,'TL01'!$J$238:$J$451),0),
IF('TL02'!$B$3=O$3,SUMIF('TL02'!$C$10:$C$224,$C379,'TL02'!$J$10:$J$224),0),
IF('TL02'!$B$229=O$3,SUMIF('TL02'!$C$238:$C$451,$C379,'TL02'!$J$238:$J$451),0),
IF('TL03'!$B$3=O$3,SUMIF('TL03'!$C$10:$C$224,$C379,'TL03'!$J$10:$J$224),0),
IF('TL03'!$B$229=O$3,SUMIF('TL03'!$C$238:$C$451,$C379,'TL03'!$J$238:$J$451),0),
IF('TL04'!$B$3=O$3,SUMIF('TL04'!$C$10:$C$224,$C379,'TL04'!$J$10:$J$224),0),
IF('TL04'!$B$229=O$3,SUMIF('TL04'!$C$238:$C$451,$C379,'TL04'!$J$238:$J$451),0),
IF('TL05'!$B$3=O$3,SUMIF('TL05'!$C$10:$C$224,$C379,'TL05'!$J$10:$J$224),0),
IF('TL05'!$B$229=O$3,SUMIF('TL05'!$C$238:$C$451,$C379,'TL05'!$J$238:$J$451),0),
IF('TL06'!$B$3=O$3,SUMIF('TL06'!$C$10:$C$224,$C379,'TL06'!$J$10:$J$224),0),
IF('TL06'!$B$229=O$3,SUMIF('TL06'!$C$238:$C$451,$C379,'TL06'!$J$238:$J$451),0),
IF('TL07'!$B$3=O$3,SUMIF('TL07'!$C$10:$C$224,$C379,'TL07'!$J$10:$J$224),0),
IF('TL07'!$B$229=O$3,SUMIF('TL07'!$C$238:$C$451,$C379,'TL07'!$J$238:$J$451),0),
IF('TL08'!$B$3=O$3,SUMIF('TL08'!$C$10:$C$224,$C379,'TL08'!$J$10:$J$224),0),
IF('TL08'!$B$229=O$3,SUMIF('TL08'!$C$238:$C$451,$C379,'TL08'!$J$238:$J$451),0),
IF('TL09'!$B$3=O$3,SUMIF('TL09'!$C$10:$C$224,$C379,'TL09'!$J$10:$J$224),0),
IF('TL09'!$B$229=O$3,SUMIF('TL09'!$C$238:$C$451,$C379,'TL09'!$J$238:$J$451),0),
IF('TL10'!$B$3=O$3,SUMIF('TL10'!$C$10:$C$224,$C379,'TL10'!$J$10:$J$224),0),
IF('TL10'!$B$229=O$3,SUMIF('TL10'!$C$238:$C$451,$C379,'TL10'!$J$238:$J$451),0),
IF('TL11'!$B$3=O$3,SUMIF('TL11'!$C$10:$C$224,$C379,'TL11'!$J$10:$J$224),0),
IF('TL11'!$B$229=O$3,SUMIF('TL11'!$C$238:$C$451,$C379,'TL11'!$J$238:$J$451),0),
IF('TL12'!$B$3=O$3,SUMIF('TL12'!$C$10:$C$224,$C379,'TL12'!$J$10:$J$224),0),
IF('TL12'!$B$229=O$3,SUMIF('TL12'!$C$238:$C$451,$C379,'TL12'!$J$238:$J$451),0),
IF('TL13'!$B$3=O$3,SUMIF('TL13'!$C$10:$C$224,$C379,'TL13'!$J$10:$J$224),0),
IF('TL13'!$B$229=O$3,SUMIF('TL13'!$C$238:$C$451,$C379,'TL13'!$J$238:$J$451),0),
IF('TL14'!$B$3=O$3,SUMIF('TL14'!$C$10:$C$224,$C379,'TL14'!$J$10:$J$224),0),
IF('TL14'!$B$229=O$3,SUMIF('TL14'!$C$238:$C$451,$C379,'TL14'!$J$238:$J$451),0),
IF('TL15'!$B$3=O$3,SUMIF('TL15'!$C$10:$C$224,$C379,'TL15'!$J$10:$J$224),0),
IF('TL15'!$B$229=O$3,SUMIF('TL15'!$C$238:$C$451,$C379,'TL15'!$J$238:$J$451),0),
IF('TL16'!$B$3=O$3,SUMIF('TL16'!$C$10:$C$224,$C379,'TL16'!$J$10:$J$224),0),
IF('TL16'!$B$229=O$3,SUMIF('TL16'!$C$238:$C$451,$C379,'TL16'!$J$238:$J$451),0),
IF('TL17'!$B$3=O$3,SUMIF('TL17'!$C$10:$C$224,$C379,'TL17'!$J$10:$J$224),0),
IF('TL17'!$B$229=O$3,SUMIF('TL17'!$C$238:$C$451,$C379,'TL17'!$J$238:$J$451),0),
IF('TL18'!$B$3=O$3,SUMIF('TL18'!$C$10:$C$224,$C379,'TL18'!$J$10:$J$224),0),
IF('TL18'!$B$229=O$3,SUMIF('TL18'!$C$238:$C$451,$C379,'TL18'!$J$238:$J$451),0),
IF('TL19'!$B$3=O$3,SUMIF('TL19'!$C$10:$C$224,$C379,'TL19'!$J$10:$J$224),0),
IF('TL19'!$B$229=O$3,SUMIF('TL19'!$C$238:$C$451,$C379,'TL19'!$J$238:$J$451),0)
),0)</f>
        <v/>
      </c>
      <c r="P379" s="9">
        <f>IFERROR(SUM(
IF('TL01'!$B$3=P$3,SUMIF('TL01'!$C$10:$C$224,$C379,'TL01'!$J$10:$J$224),0),
IF('TL01'!$B$229=P$3,SUMIF('TL01'!$C$238:$C$451,$C379,'TL01'!$J$238:$J$451),0),
IF('TL02'!$B$3=P$3,SUMIF('TL02'!$C$10:$C$224,$C379,'TL02'!$J$10:$J$224),0),
IF('TL02'!$B$229=P$3,SUMIF('TL02'!$C$238:$C$451,$C379,'TL02'!$J$238:$J$451),0),
IF('TL03'!$B$3=P$3,SUMIF('TL03'!$C$10:$C$224,$C379,'TL03'!$J$10:$J$224),0),
IF('TL03'!$B$229=P$3,SUMIF('TL03'!$C$238:$C$451,$C379,'TL03'!$J$238:$J$451),0),
IF('TL04'!$B$3=P$3,SUMIF('TL04'!$C$10:$C$224,$C379,'TL04'!$J$10:$J$224),0),
IF('TL04'!$B$229=P$3,SUMIF('TL04'!$C$238:$C$451,$C379,'TL04'!$J$238:$J$451),0),
IF('TL05'!$B$3=P$3,SUMIF('TL05'!$C$10:$C$224,$C379,'TL05'!$J$10:$J$224),0),
IF('TL05'!$B$229=P$3,SUMIF('TL05'!$C$238:$C$451,$C379,'TL05'!$J$238:$J$451),0),
IF('TL06'!$B$3=P$3,SUMIF('TL06'!$C$10:$C$224,$C379,'TL06'!$J$10:$J$224),0),
IF('TL06'!$B$229=P$3,SUMIF('TL06'!$C$238:$C$451,$C379,'TL06'!$J$238:$J$451),0),
IF('TL07'!$B$3=P$3,SUMIF('TL07'!$C$10:$C$224,$C379,'TL07'!$J$10:$J$224),0),
IF('TL07'!$B$229=P$3,SUMIF('TL07'!$C$238:$C$451,$C379,'TL07'!$J$238:$J$451),0),
IF('TL08'!$B$3=P$3,SUMIF('TL08'!$C$10:$C$224,$C379,'TL08'!$J$10:$J$224),0),
IF('TL08'!$B$229=P$3,SUMIF('TL08'!$C$238:$C$451,$C379,'TL08'!$J$238:$J$451),0),
IF('TL09'!$B$3=P$3,SUMIF('TL09'!$C$10:$C$224,$C379,'TL09'!$J$10:$J$224),0),
IF('TL09'!$B$229=P$3,SUMIF('TL09'!$C$238:$C$451,$C379,'TL09'!$J$238:$J$451),0),
IF('TL10'!$B$3=P$3,SUMIF('TL10'!$C$10:$C$224,$C379,'TL10'!$J$10:$J$224),0),
IF('TL10'!$B$229=P$3,SUMIF('TL10'!$C$238:$C$451,$C379,'TL10'!$J$238:$J$451),0),
IF('TL11'!$B$3=P$3,SUMIF('TL11'!$C$10:$C$224,$C379,'TL11'!$J$10:$J$224),0),
IF('TL11'!$B$229=P$3,SUMIF('TL11'!$C$238:$C$451,$C379,'TL11'!$J$238:$J$451),0),
IF('TL12'!$B$3=P$3,SUMIF('TL12'!$C$10:$C$224,$C379,'TL12'!$J$10:$J$224),0),
IF('TL12'!$B$229=P$3,SUMIF('TL12'!$C$238:$C$451,$C379,'TL12'!$J$238:$J$451),0),
IF('TL13'!$B$3=P$3,SUMIF('TL13'!$C$10:$C$224,$C379,'TL13'!$J$10:$J$224),0),
IF('TL13'!$B$229=P$3,SUMIF('TL13'!$C$238:$C$451,$C379,'TL13'!$J$238:$J$451),0),
IF('TL14'!$B$3=P$3,SUMIF('TL14'!$C$10:$C$224,$C379,'TL14'!$J$10:$J$224),0),
IF('TL14'!$B$229=P$3,SUMIF('TL14'!$C$238:$C$451,$C379,'TL14'!$J$238:$J$451),0),
IF('TL15'!$B$3=P$3,SUMIF('TL15'!$C$10:$C$224,$C379,'TL15'!$J$10:$J$224),0),
IF('TL15'!$B$229=P$3,SUMIF('TL15'!$C$238:$C$451,$C379,'TL15'!$J$238:$J$451),0),
IF('TL16'!$B$3=P$3,SUMIF('TL16'!$C$10:$C$224,$C379,'TL16'!$J$10:$J$224),0),
IF('TL16'!$B$229=P$3,SUMIF('TL16'!$C$238:$C$451,$C379,'TL16'!$J$238:$J$451),0),
IF('TL17'!$B$3=P$3,SUMIF('TL17'!$C$10:$C$224,$C379,'TL17'!$J$10:$J$224),0),
IF('TL17'!$B$229=P$3,SUMIF('TL17'!$C$238:$C$451,$C379,'TL17'!$J$238:$J$451),0),
IF('TL18'!$B$3=P$3,SUMIF('TL18'!$C$10:$C$224,$C379,'TL18'!$J$10:$J$224),0),
IF('TL18'!$B$229=P$3,SUMIF('TL18'!$C$238:$C$451,$C379,'TL18'!$J$238:$J$451),0),
IF('TL19'!$B$3=P$3,SUMIF('TL19'!$C$10:$C$224,$C379,'TL19'!$J$10:$J$224),0),
IF('TL19'!$B$229=P$3,SUMIF('TL19'!$C$238:$C$451,$C379,'TL19'!$J$238:$J$451),0)
),0)</f>
        <v/>
      </c>
      <c r="Q379" s="9">
        <f>IFERROR(SUM(
IF('TL01'!$B$3=Q$3,SUMIF('TL01'!$C$10:$C$224,$C379,'TL01'!$J$10:$J$224),0),
IF('TL01'!$B$229=Q$3,SUMIF('TL01'!$C$238:$C$451,$C379,'TL01'!$J$238:$J$451),0),
IF('TL02'!$B$3=Q$3,SUMIF('TL02'!$C$10:$C$224,$C379,'TL02'!$J$10:$J$224),0),
IF('TL02'!$B$229=Q$3,SUMIF('TL02'!$C$238:$C$451,$C379,'TL02'!$J$238:$J$451),0),
IF('TL03'!$B$3=Q$3,SUMIF('TL03'!$C$10:$C$224,$C379,'TL03'!$J$10:$J$224),0),
IF('TL03'!$B$229=Q$3,SUMIF('TL03'!$C$238:$C$451,$C379,'TL03'!$J$238:$J$451),0),
IF('TL04'!$B$3=Q$3,SUMIF('TL04'!$C$10:$C$224,$C379,'TL04'!$J$10:$J$224),0),
IF('TL04'!$B$229=Q$3,SUMIF('TL04'!$C$238:$C$451,$C379,'TL04'!$J$238:$J$451),0),
IF('TL05'!$B$3=Q$3,SUMIF('TL05'!$C$10:$C$224,$C379,'TL05'!$J$10:$J$224),0),
IF('TL05'!$B$229=Q$3,SUMIF('TL05'!$C$238:$C$451,$C379,'TL05'!$J$238:$J$451),0),
IF('TL06'!$B$3=Q$3,SUMIF('TL06'!$C$10:$C$224,$C379,'TL06'!$J$10:$J$224),0),
IF('TL06'!$B$229=Q$3,SUMIF('TL06'!$C$238:$C$451,$C379,'TL06'!$J$238:$J$451),0),
IF('TL07'!$B$3=Q$3,SUMIF('TL07'!$C$10:$C$224,$C379,'TL07'!$J$10:$J$224),0),
IF('TL07'!$B$229=Q$3,SUMIF('TL07'!$C$238:$C$451,$C379,'TL07'!$J$238:$J$451),0),
IF('TL08'!$B$3=Q$3,SUMIF('TL08'!$C$10:$C$224,$C379,'TL08'!$J$10:$J$224),0),
IF('TL08'!$B$229=Q$3,SUMIF('TL08'!$C$238:$C$451,$C379,'TL08'!$J$238:$J$451),0),
IF('TL09'!$B$3=Q$3,SUMIF('TL09'!$C$10:$C$224,$C379,'TL09'!$J$10:$J$224),0),
IF('TL09'!$B$229=Q$3,SUMIF('TL09'!$C$238:$C$451,$C379,'TL09'!$J$238:$J$451),0),
IF('TL10'!$B$3=Q$3,SUMIF('TL10'!$C$10:$C$224,$C379,'TL10'!$J$10:$J$224),0),
IF('TL10'!$B$229=Q$3,SUMIF('TL10'!$C$238:$C$451,$C379,'TL10'!$J$238:$J$451),0),
IF('TL11'!$B$3=Q$3,SUMIF('TL11'!$C$10:$C$224,$C379,'TL11'!$J$10:$J$224),0),
IF('TL11'!$B$229=Q$3,SUMIF('TL11'!$C$238:$C$451,$C379,'TL11'!$J$238:$J$451),0),
IF('TL12'!$B$3=Q$3,SUMIF('TL12'!$C$10:$C$224,$C379,'TL12'!$J$10:$J$224),0),
IF('TL12'!$B$229=Q$3,SUMIF('TL12'!$C$238:$C$451,$C379,'TL12'!$J$238:$J$451),0),
IF('TL13'!$B$3=Q$3,SUMIF('TL13'!$C$10:$C$224,$C379,'TL13'!$J$10:$J$224),0),
IF('TL13'!$B$229=Q$3,SUMIF('TL13'!$C$238:$C$451,$C379,'TL13'!$J$238:$J$451),0),
IF('TL14'!$B$3=Q$3,SUMIF('TL14'!$C$10:$C$224,$C379,'TL14'!$J$10:$J$224),0),
IF('TL14'!$B$229=Q$3,SUMIF('TL14'!$C$238:$C$451,$C379,'TL14'!$J$238:$J$451),0),
IF('TL15'!$B$3=Q$3,SUMIF('TL15'!$C$10:$C$224,$C379,'TL15'!$J$10:$J$224),0),
IF('TL15'!$B$229=Q$3,SUMIF('TL15'!$C$238:$C$451,$C379,'TL15'!$J$238:$J$451),0),
IF('TL16'!$B$3=Q$3,SUMIF('TL16'!$C$10:$C$224,$C379,'TL16'!$J$10:$J$224),0),
IF('TL16'!$B$229=Q$3,SUMIF('TL16'!$C$238:$C$451,$C379,'TL16'!$J$238:$J$451),0),
IF('TL17'!$B$3=Q$3,SUMIF('TL17'!$C$10:$C$224,$C379,'TL17'!$J$10:$J$224),0),
IF('TL17'!$B$229=Q$3,SUMIF('TL17'!$C$238:$C$451,$C379,'TL17'!$J$238:$J$451),0),
IF('TL18'!$B$3=Q$3,SUMIF('TL18'!$C$10:$C$224,$C379,'TL18'!$J$10:$J$224),0),
IF('TL18'!$B$229=Q$3,SUMIF('TL18'!$C$238:$C$451,$C379,'TL18'!$J$238:$J$451),0),
IF('TL19'!$B$3=Q$3,SUMIF('TL19'!$C$10:$C$224,$C379,'TL19'!$J$10:$J$224),0),
IF('TL19'!$B$229=Q$3,SUMIF('TL19'!$C$238:$C$451,$C379,'TL19'!$J$238:$J$451),0)
),0)</f>
        <v/>
      </c>
      <c r="R379" s="9">
        <f>IFERROR(
SUM(
SUMIF('TL01'!C:C,C379,'TL01'!J:J),
SUMIF('TL02'!C:C,C379,'TL02'!J:J),
SUMIF('TL03'!C:C,C379,'TL03'!J:J),
SUMIF('TL04'!C:C,C379,'TL04'!J:J),
SUMIF('TL05'!C:C,C379,'TL05'!J:J),
SUMIF('TL06'!C:C,C379,'TL06'!J:J),
SUMIF('TL07'!C:C,C379,'TL07'!J:J),
SUMIF('TL08'!C:C,C379,'TL08'!J:J),
SUMIF('TL09'!C:C,C379,'TL09'!J:J),
SUMIF('TL10'!C:C,C379,'TL10'!J:J),
SUMIF('TL11'!C:C,C379,'TL11'!J:J),
SUMIF('TL12'!C:C,C379,'TL12'!J:J),
SUMIF('TL13'!C:C,C379,'TL13'!J:J),
SUMIF('TL14'!C:C,C379,'TL14'!J:J),
SUMIF('TL15'!C:C,C379,'TL15'!J:J),
SUMIF('TL16'!C:C,C379,'TL16'!J:J),
SUMIF('TL17'!C:C,C379,'TL17'!J:J),
SUMIF('TL18'!C:C,C379,'TL18'!J:J),SUMIF('TL19'!C:C,C379,'TL19'!J:J))
,0)</f>
        <v/>
      </c>
      <c r="S379" s="17">
        <f>IFERROR(__xludf.DUMMYFUNCTION("IFERROR(VLOOKUP(C379,
IMPORTRANGE(""1wULbzX32WdYsx-lj2U3uUNBBe2INVIRDtcK0d-Dvl90"",
""26-27!C:G""),
5,
FALSE),
"""")"),4.46)</f>
        <v/>
      </c>
      <c r="T379" s="9" t="n"/>
      <c r="U379" s="92">
        <f>MAX(0,R379-T379)</f>
        <v/>
      </c>
      <c r="V379" s="93">
        <f>U379*S379</f>
        <v/>
      </c>
    </row>
    <row r="380" hidden="1" ht="15.75" customHeight="1" s="297">
      <c r="A380" s="4" t="inlineStr">
        <is>
          <t>SOLUBIO</t>
        </is>
      </c>
      <c r="B380" s="4" t="inlineStr">
        <is>
          <t>BIOLÓGICOS</t>
        </is>
      </c>
      <c r="C380" s="131" t="inlineStr">
        <is>
          <t>Solu Strong Kit On-farm</t>
        </is>
      </c>
      <c r="D380" s="127" t="inlineStr">
        <is>
          <t>Kit On-farm</t>
        </is>
      </c>
      <c r="E380" s="20" t="n"/>
      <c r="F380" s="4" t="n"/>
      <c r="G380" s="90">
        <f>HYPERLINK("https://www.google.com/search?q=" &amp; C380 &amp; "+bula+agrofit+pdf", "📄 Ver bula")</f>
        <v/>
      </c>
      <c r="H380" s="9" t="n"/>
      <c r="I380" s="123" t="n"/>
      <c r="J380" s="9">
        <f>IFERROR(SUM(
IF('TL01'!$B$3=J$3,SUMIF('TL01'!$C$10:$C$224,$C380,'TL01'!$J$10:$J$224),0),
IF('TL01'!$B$229=J$3,SUMIF('TL01'!$C$238:$C$451,$C380,'TL01'!$J$238:$J$451),0),
IF('TL02'!$B$3=J$3,SUMIF('TL02'!$C$10:$C$224,$C380,'TL02'!$J$10:$J$224),0),
IF('TL02'!$B$229=J$3,SUMIF('TL02'!$C$238:$C$451,$C380,'TL02'!$J$238:$J$451),0),
IF('TL03'!$B$3=J$3,SUMIF('TL03'!$C$10:$C$224,$C380,'TL03'!$J$10:$J$224),0),
IF('TL03'!$B$229=J$3,SUMIF('TL03'!$C$238:$C$451,$C380,'TL03'!$J$238:$J$451),0),
IF('TL04'!$B$3=J$3,SUMIF('TL04'!$C$10:$C$224,$C380,'TL04'!$J$10:$J$224),0),
IF('TL04'!$B$229=J$3,SUMIF('TL04'!$C$238:$C$451,$C380,'TL04'!$J$238:$J$451),0),
IF('TL05'!$B$3=J$3,SUMIF('TL05'!$C$10:$C$224,$C380,'TL05'!$J$10:$J$224),0),
IF('TL05'!$B$229=J$3,SUMIF('TL05'!$C$238:$C$451,$C380,'TL05'!$J$238:$J$451),0),
IF('TL06'!$B$3=J$3,SUMIF('TL06'!$C$10:$C$224,$C380,'TL06'!$J$10:$J$224),0),
IF('TL06'!$B$229=J$3,SUMIF('TL06'!$C$238:$C$451,$C380,'TL06'!$J$238:$J$451),0),
IF('TL07'!$B$3=J$3,SUMIF('TL07'!$C$10:$C$224,$C380,'TL07'!$J$10:$J$224),0),
IF('TL07'!$B$229=J$3,SUMIF('TL07'!$C$238:$C$451,$C380,'TL07'!$J$238:$J$451),0),
IF('TL08'!$B$3=J$3,SUMIF('TL08'!$C$10:$C$224,$C380,'TL08'!$J$10:$J$224),0),
IF('TL08'!$B$229=J$3,SUMIF('TL08'!$C$238:$C$451,$C380,'TL08'!$J$238:$J$451),0),
IF('TL09'!$B$3=J$3,SUMIF('TL09'!$C$10:$C$224,$C380,'TL09'!$J$10:$J$224),0),
IF('TL09'!$B$229=J$3,SUMIF('TL09'!$C$238:$C$451,$C380,'TL09'!$J$238:$J$451),0),
IF('TL10'!$B$3=J$3,SUMIF('TL10'!$C$10:$C$224,$C380,'TL10'!$J$10:$J$224),0),
IF('TL10'!$B$229=J$3,SUMIF('TL10'!$C$238:$C$451,$C380,'TL10'!$J$238:$J$451),0),
IF('TL11'!$B$3=J$3,SUMIF('TL11'!$C$10:$C$224,$C380,'TL11'!$J$10:$J$224),0),
IF('TL11'!$B$229=J$3,SUMIF('TL11'!$C$238:$C$451,$C380,'TL11'!$J$238:$J$451),0),
IF('TL12'!$B$3=J$3,SUMIF('TL12'!$C$10:$C$224,$C380,'TL12'!$J$10:$J$224),0),
IF('TL12'!$B$229=J$3,SUMIF('TL12'!$C$238:$C$451,$C380,'TL12'!$J$238:$J$451),0),
IF('TL13'!$B$3=J$3,SUMIF('TL13'!$C$10:$C$224,$C380,'TL13'!$J$10:$J$224),0),
IF('TL13'!$B$229=J$3,SUMIF('TL13'!$C$238:$C$451,$C380,'TL13'!$J$238:$J$451),0),
IF('TL14'!$B$3=J$3,SUMIF('TL14'!$C$10:$C$224,$C380,'TL14'!$J$10:$J$224),0),
IF('TL14'!$B$229=J$3,SUMIF('TL14'!$C$238:$C$451,$C380,'TL14'!$J$238:$J$451),0),
IF('TL15'!$B$3=J$3,SUMIF('TL15'!$C$10:$C$224,$C380,'TL15'!$J$10:$J$224),0),
IF('TL15'!$B$229=J$3,SUMIF('TL15'!$C$238:$C$451,$C380,'TL15'!$J$238:$J$451),0),
IF('TL16'!$B$3=J$3,SUMIF('TL16'!$C$10:$C$224,$C380,'TL16'!$J$10:$J$224),0),
IF('TL16'!$B$229=J$3,SUMIF('TL16'!$C$238:$C$451,$C380,'TL16'!$J$238:$J$451),0),
IF('TL17'!$B$3=J$3,SUMIF('TL17'!$C$10:$C$224,$C380,'TL17'!$J$10:$J$224),0),
IF('TL17'!$B$229=J$3,SUMIF('TL17'!$C$238:$C$451,$C380,'TL17'!$J$238:$J$451),0),
IF('TL18'!$B$3=J$3,SUMIF('TL18'!$C$10:$C$224,$C380,'TL18'!$J$10:$J$224),0),
IF('TL18'!$B$229=J$3,SUMIF('TL18'!$C$238:$C$451,$C380,'TL18'!$J$238:$J$451),0),
IF('TL19'!$B$3=J$3,SUMIF('TL19'!$C$10:$C$224,$C380,'TL19'!$J$10:$J$224),0),
IF('TL19'!$B$229=J$3,SUMIF('TL19'!$C$238:$C$451,$C380,'TL19'!$J$238:$J$451),0)
),0)</f>
        <v/>
      </c>
      <c r="K380" s="9">
        <f>IFERROR(SUM(
IF('TL01'!$B$3=K$3,SUMIF('TL01'!$C$10:$C$224,$C380,'TL01'!$J$10:$J$224),0),
IF('TL01'!$B$229=K$3,SUMIF('TL01'!$C$238:$C$451,$C380,'TL01'!$J$238:$J$451),0),
IF('TL02'!$B$3=K$3,SUMIF('TL02'!$C$10:$C$224,$C380,'TL02'!$J$10:$J$224),0),
IF('TL02'!$B$229=K$3,SUMIF('TL02'!$C$238:$C$451,$C380,'TL02'!$J$238:$J$451),0),
IF('TL03'!$B$3=K$3,SUMIF('TL03'!$C$10:$C$224,$C380,'TL03'!$J$10:$J$224),0),
IF('TL03'!$B$229=K$3,SUMIF('TL03'!$C$238:$C$451,$C380,'TL03'!$J$238:$J$451),0),
IF('TL04'!$B$3=K$3,SUMIF('TL04'!$C$10:$C$224,$C380,'TL04'!$J$10:$J$224),0),
IF('TL04'!$B$229=K$3,SUMIF('TL04'!$C$238:$C$451,$C380,'TL04'!$J$238:$J$451),0),
IF('TL05'!$B$3=K$3,SUMIF('TL05'!$C$10:$C$224,$C380,'TL05'!$J$10:$J$224),0),
IF('TL05'!$B$229=K$3,SUMIF('TL05'!$C$238:$C$451,$C380,'TL05'!$J$238:$J$451),0),
IF('TL06'!$B$3=K$3,SUMIF('TL06'!$C$10:$C$224,$C380,'TL06'!$J$10:$J$224),0),
IF('TL06'!$B$229=K$3,SUMIF('TL06'!$C$238:$C$451,$C380,'TL06'!$J$238:$J$451),0),
IF('TL07'!$B$3=K$3,SUMIF('TL07'!$C$10:$C$224,$C380,'TL07'!$J$10:$J$224),0),
IF('TL07'!$B$229=K$3,SUMIF('TL07'!$C$238:$C$451,$C380,'TL07'!$J$238:$J$451),0),
IF('TL08'!$B$3=K$3,SUMIF('TL08'!$C$10:$C$224,$C380,'TL08'!$J$10:$J$224),0),
IF('TL08'!$B$229=K$3,SUMIF('TL08'!$C$238:$C$451,$C380,'TL08'!$J$238:$J$451),0),
IF('TL09'!$B$3=K$3,SUMIF('TL09'!$C$10:$C$224,$C380,'TL09'!$J$10:$J$224),0),
IF('TL09'!$B$229=K$3,SUMIF('TL09'!$C$238:$C$451,$C380,'TL09'!$J$238:$J$451),0),
IF('TL10'!$B$3=K$3,SUMIF('TL10'!$C$10:$C$224,$C380,'TL10'!$J$10:$J$224),0),
IF('TL10'!$B$229=K$3,SUMIF('TL10'!$C$238:$C$451,$C380,'TL10'!$J$238:$J$451),0),
IF('TL11'!$B$3=K$3,SUMIF('TL11'!$C$10:$C$224,$C380,'TL11'!$J$10:$J$224),0),
IF('TL11'!$B$229=K$3,SUMIF('TL11'!$C$238:$C$451,$C380,'TL11'!$J$238:$J$451),0),
IF('TL12'!$B$3=K$3,SUMIF('TL12'!$C$10:$C$224,$C380,'TL12'!$J$10:$J$224),0),
IF('TL12'!$B$229=K$3,SUMIF('TL12'!$C$238:$C$451,$C380,'TL12'!$J$238:$J$451),0),
IF('TL13'!$B$3=K$3,SUMIF('TL13'!$C$10:$C$224,$C380,'TL13'!$J$10:$J$224),0),
IF('TL13'!$B$229=K$3,SUMIF('TL13'!$C$238:$C$451,$C380,'TL13'!$J$238:$J$451),0),
IF('TL14'!$B$3=K$3,SUMIF('TL14'!$C$10:$C$224,$C380,'TL14'!$J$10:$J$224),0),
IF('TL14'!$B$229=K$3,SUMIF('TL14'!$C$238:$C$451,$C380,'TL14'!$J$238:$J$451),0),
IF('TL15'!$B$3=K$3,SUMIF('TL15'!$C$10:$C$224,$C380,'TL15'!$J$10:$J$224),0),
IF('TL15'!$B$229=K$3,SUMIF('TL15'!$C$238:$C$451,$C380,'TL15'!$J$238:$J$451),0),
IF('TL16'!$B$3=K$3,SUMIF('TL16'!$C$10:$C$224,$C380,'TL16'!$J$10:$J$224),0),
IF('TL16'!$B$229=K$3,SUMIF('TL16'!$C$238:$C$451,$C380,'TL16'!$J$238:$J$451),0),
IF('TL17'!$B$3=K$3,SUMIF('TL17'!$C$10:$C$224,$C380,'TL17'!$J$10:$J$224),0),
IF('TL17'!$B$229=K$3,SUMIF('TL17'!$C$238:$C$451,$C380,'TL17'!$J$238:$J$451),0),
IF('TL18'!$B$3=K$3,SUMIF('TL18'!$C$10:$C$224,$C380,'TL18'!$J$10:$J$224),0),
IF('TL18'!$B$229=K$3,SUMIF('TL18'!$C$238:$C$451,$C380,'TL18'!$J$238:$J$451),0),
IF('TL19'!$B$3=K$3,SUMIF('TL19'!$C$10:$C$224,$C380,'TL19'!$J$10:$J$224),0),
IF('TL19'!$B$229=K$3,SUMIF('TL19'!$C$238:$C$451,$C380,'TL19'!$J$238:$J$451),0)
),0)</f>
        <v/>
      </c>
      <c r="L380" s="9">
        <f>IFERROR(SUM(
IF('TL01'!$B$3=L$3,SUMIF('TL01'!$C$10:$C$224,$C380,'TL01'!$J$10:$J$224),0),
IF('TL01'!$B$229=L$3,SUMIF('TL01'!$C$238:$C$451,$C380,'TL01'!$J$238:$J$451),0),
IF('TL02'!$B$3=L$3,SUMIF('TL02'!$C$10:$C$224,$C380,'TL02'!$J$10:$J$224),0),
IF('TL02'!$B$229=L$3,SUMIF('TL02'!$C$238:$C$451,$C380,'TL02'!$J$238:$J$451),0),
IF('TL03'!$B$3=L$3,SUMIF('TL03'!$C$10:$C$224,$C380,'TL03'!$J$10:$J$224),0),
IF('TL03'!$B$229=L$3,SUMIF('TL03'!$C$238:$C$451,$C380,'TL03'!$J$238:$J$451),0),
IF('TL04'!$B$3=L$3,SUMIF('TL04'!$C$10:$C$224,$C380,'TL04'!$J$10:$J$224),0),
IF('TL04'!$B$229=L$3,SUMIF('TL04'!$C$238:$C$451,$C380,'TL04'!$J$238:$J$451),0),
IF('TL05'!$B$3=L$3,SUMIF('TL05'!$C$10:$C$224,$C380,'TL05'!$J$10:$J$224),0),
IF('TL05'!$B$229=L$3,SUMIF('TL05'!$C$238:$C$451,$C380,'TL05'!$J$238:$J$451),0),
IF('TL06'!$B$3=L$3,SUMIF('TL06'!$C$10:$C$224,$C380,'TL06'!$J$10:$J$224),0),
IF('TL06'!$B$229=L$3,SUMIF('TL06'!$C$238:$C$451,$C380,'TL06'!$J$238:$J$451),0),
IF('TL07'!$B$3=L$3,SUMIF('TL07'!$C$10:$C$224,$C380,'TL07'!$J$10:$J$224),0),
IF('TL07'!$B$229=L$3,SUMIF('TL07'!$C$238:$C$451,$C380,'TL07'!$J$238:$J$451),0),
IF('TL08'!$B$3=L$3,SUMIF('TL08'!$C$10:$C$224,$C380,'TL08'!$J$10:$J$224),0),
IF('TL08'!$B$229=L$3,SUMIF('TL08'!$C$238:$C$451,$C380,'TL08'!$J$238:$J$451),0),
IF('TL09'!$B$3=L$3,SUMIF('TL09'!$C$10:$C$224,$C380,'TL09'!$J$10:$J$224),0),
IF('TL09'!$B$229=L$3,SUMIF('TL09'!$C$238:$C$451,$C380,'TL09'!$J$238:$J$451),0),
IF('TL10'!$B$3=L$3,SUMIF('TL10'!$C$10:$C$224,$C380,'TL10'!$J$10:$J$224),0),
IF('TL10'!$B$229=L$3,SUMIF('TL10'!$C$238:$C$451,$C380,'TL10'!$J$238:$J$451),0),
IF('TL11'!$B$3=L$3,SUMIF('TL11'!$C$10:$C$224,$C380,'TL11'!$J$10:$J$224),0),
IF('TL11'!$B$229=L$3,SUMIF('TL11'!$C$238:$C$451,$C380,'TL11'!$J$238:$J$451),0),
IF('TL12'!$B$3=L$3,SUMIF('TL12'!$C$10:$C$224,$C380,'TL12'!$J$10:$J$224),0),
IF('TL12'!$B$229=L$3,SUMIF('TL12'!$C$238:$C$451,$C380,'TL12'!$J$238:$J$451),0),
IF('TL13'!$B$3=L$3,SUMIF('TL13'!$C$10:$C$224,$C380,'TL13'!$J$10:$J$224),0),
IF('TL13'!$B$229=L$3,SUMIF('TL13'!$C$238:$C$451,$C380,'TL13'!$J$238:$J$451),0),
IF('TL14'!$B$3=L$3,SUMIF('TL14'!$C$10:$C$224,$C380,'TL14'!$J$10:$J$224),0),
IF('TL14'!$B$229=L$3,SUMIF('TL14'!$C$238:$C$451,$C380,'TL14'!$J$238:$J$451),0),
IF('TL15'!$B$3=L$3,SUMIF('TL15'!$C$10:$C$224,$C380,'TL15'!$J$10:$J$224),0),
IF('TL15'!$B$229=L$3,SUMIF('TL15'!$C$238:$C$451,$C380,'TL15'!$J$238:$J$451),0),
IF('TL16'!$B$3=L$3,SUMIF('TL16'!$C$10:$C$224,$C380,'TL16'!$J$10:$J$224),0),
IF('TL16'!$B$229=L$3,SUMIF('TL16'!$C$238:$C$451,$C380,'TL16'!$J$238:$J$451),0),
IF('TL17'!$B$3=L$3,SUMIF('TL17'!$C$10:$C$224,$C380,'TL17'!$J$10:$J$224),0),
IF('TL17'!$B$229=L$3,SUMIF('TL17'!$C$238:$C$451,$C380,'TL17'!$J$238:$J$451),0),
IF('TL18'!$B$3=L$3,SUMIF('TL18'!$C$10:$C$224,$C380,'TL18'!$J$10:$J$224),0),
IF('TL18'!$B$229=L$3,SUMIF('TL18'!$C$238:$C$451,$C380,'TL18'!$J$238:$J$451),0),
IF('TL19'!$B$3=L$3,SUMIF('TL19'!$C$10:$C$224,$C380,'TL19'!$J$10:$J$224),0),
IF('TL19'!$B$229=L$3,SUMIF('TL19'!$C$238:$C$451,$C380,'TL19'!$J$238:$J$451),0)
),0)</f>
        <v/>
      </c>
      <c r="M380" s="9">
        <f>IFERROR(SUM(
IF('TL01'!$B$3=M$3,SUMIF('TL01'!$C$10:$C$224,$C380,'TL01'!$J$10:$J$224),0),
IF('TL01'!$B$229=M$3,SUMIF('TL01'!$C$238:$C$451,$C380,'TL01'!$J$238:$J$451),0),
IF('TL02'!$B$3=M$3,SUMIF('TL02'!$C$10:$C$224,$C380,'TL02'!$J$10:$J$224),0),
IF('TL02'!$B$229=M$3,SUMIF('TL02'!$C$238:$C$451,$C380,'TL02'!$J$238:$J$451),0),
IF('TL03'!$B$3=M$3,SUMIF('TL03'!$C$10:$C$224,$C380,'TL03'!$J$10:$J$224),0),
IF('TL03'!$B$229=M$3,SUMIF('TL03'!$C$238:$C$451,$C380,'TL03'!$J$238:$J$451),0),
IF('TL04'!$B$3=M$3,SUMIF('TL04'!$C$10:$C$224,$C380,'TL04'!$J$10:$J$224),0),
IF('TL04'!$B$229=M$3,SUMIF('TL04'!$C$238:$C$451,$C380,'TL04'!$J$238:$J$451),0),
IF('TL05'!$B$3=M$3,SUMIF('TL05'!$C$10:$C$224,$C380,'TL05'!$J$10:$J$224),0),
IF('TL05'!$B$229=M$3,SUMIF('TL05'!$C$238:$C$451,$C380,'TL05'!$J$238:$J$451),0),
IF('TL06'!$B$3=M$3,SUMIF('TL06'!$C$10:$C$224,$C380,'TL06'!$J$10:$J$224),0),
IF('TL06'!$B$229=M$3,SUMIF('TL06'!$C$238:$C$451,$C380,'TL06'!$J$238:$J$451),0),
IF('TL07'!$B$3=M$3,SUMIF('TL07'!$C$10:$C$224,$C380,'TL07'!$J$10:$J$224),0),
IF('TL07'!$B$229=M$3,SUMIF('TL07'!$C$238:$C$451,$C380,'TL07'!$J$238:$J$451),0),
IF('TL08'!$B$3=M$3,SUMIF('TL08'!$C$10:$C$224,$C380,'TL08'!$J$10:$J$224),0),
IF('TL08'!$B$229=M$3,SUMIF('TL08'!$C$238:$C$451,$C380,'TL08'!$J$238:$J$451),0),
IF('TL09'!$B$3=M$3,SUMIF('TL09'!$C$10:$C$224,$C380,'TL09'!$J$10:$J$224),0),
IF('TL09'!$B$229=M$3,SUMIF('TL09'!$C$238:$C$451,$C380,'TL09'!$J$238:$J$451),0),
IF('TL10'!$B$3=M$3,SUMIF('TL10'!$C$10:$C$224,$C380,'TL10'!$J$10:$J$224),0),
IF('TL10'!$B$229=M$3,SUMIF('TL10'!$C$238:$C$451,$C380,'TL10'!$J$238:$J$451),0),
IF('TL11'!$B$3=M$3,SUMIF('TL11'!$C$10:$C$224,$C380,'TL11'!$J$10:$J$224),0),
IF('TL11'!$B$229=M$3,SUMIF('TL11'!$C$238:$C$451,$C380,'TL11'!$J$238:$J$451),0),
IF('TL12'!$B$3=M$3,SUMIF('TL12'!$C$10:$C$224,$C380,'TL12'!$J$10:$J$224),0),
IF('TL12'!$B$229=M$3,SUMIF('TL12'!$C$238:$C$451,$C380,'TL12'!$J$238:$J$451),0),
IF('TL13'!$B$3=M$3,SUMIF('TL13'!$C$10:$C$224,$C380,'TL13'!$J$10:$J$224),0),
IF('TL13'!$B$229=M$3,SUMIF('TL13'!$C$238:$C$451,$C380,'TL13'!$J$238:$J$451),0),
IF('TL14'!$B$3=M$3,SUMIF('TL14'!$C$10:$C$224,$C380,'TL14'!$J$10:$J$224),0),
IF('TL14'!$B$229=M$3,SUMIF('TL14'!$C$238:$C$451,$C380,'TL14'!$J$238:$J$451),0),
IF('TL15'!$B$3=M$3,SUMIF('TL15'!$C$10:$C$224,$C380,'TL15'!$J$10:$J$224),0),
IF('TL15'!$B$229=M$3,SUMIF('TL15'!$C$238:$C$451,$C380,'TL15'!$J$238:$J$451),0),
IF('TL16'!$B$3=M$3,SUMIF('TL16'!$C$10:$C$224,$C380,'TL16'!$J$10:$J$224),0),
IF('TL16'!$B$229=M$3,SUMIF('TL16'!$C$238:$C$451,$C380,'TL16'!$J$238:$J$451),0),
IF('TL17'!$B$3=M$3,SUMIF('TL17'!$C$10:$C$224,$C380,'TL17'!$J$10:$J$224),0),
IF('TL17'!$B$229=M$3,SUMIF('TL17'!$C$238:$C$451,$C380,'TL17'!$J$238:$J$451),0),
IF('TL18'!$B$3=M$3,SUMIF('TL18'!$C$10:$C$224,$C380,'TL18'!$J$10:$J$224),0),
IF('TL18'!$B$229=M$3,SUMIF('TL18'!$C$238:$C$451,$C380,'TL18'!$J$238:$J$451),0),
IF('TL19'!$B$3=M$3,SUMIF('TL19'!$C$10:$C$224,$C380,'TL19'!$J$10:$J$224),0),
IF('TL19'!$B$229=M$3,SUMIF('TL19'!$C$238:$C$451,$C380,'TL19'!$J$238:$J$451),0)
),0)</f>
        <v/>
      </c>
      <c r="N380" s="9">
        <f>IFERROR(SUM(
IF('TL01'!$B$3=N$3,SUMIF('TL01'!$C$10:$C$224,$C380,'TL01'!$J$10:$J$224),0),
IF('TL01'!$B$229=N$3,SUMIF('TL01'!$C$238:$C$451,$C380,'TL01'!$J$238:$J$451),0),
IF('TL02'!$B$3=N$3,SUMIF('TL02'!$C$10:$C$224,$C380,'TL02'!$J$10:$J$224),0),
IF('TL02'!$B$229=N$3,SUMIF('TL02'!$C$238:$C$451,$C380,'TL02'!$J$238:$J$451),0),
IF('TL03'!$B$3=N$3,SUMIF('TL03'!$C$10:$C$224,$C380,'TL03'!$J$10:$J$224),0),
IF('TL03'!$B$229=N$3,SUMIF('TL03'!$C$238:$C$451,$C380,'TL03'!$J$238:$J$451),0),
IF('TL04'!$B$3=N$3,SUMIF('TL04'!$C$10:$C$224,$C380,'TL04'!$J$10:$J$224),0),
IF('TL04'!$B$229=N$3,SUMIF('TL04'!$C$238:$C$451,$C380,'TL04'!$J$238:$J$451),0),
IF('TL05'!$B$3=N$3,SUMIF('TL05'!$C$10:$C$224,$C380,'TL05'!$J$10:$J$224),0),
IF('TL05'!$B$229=N$3,SUMIF('TL05'!$C$238:$C$451,$C380,'TL05'!$J$238:$J$451),0),
IF('TL06'!$B$3=N$3,SUMIF('TL06'!$C$10:$C$224,$C380,'TL06'!$J$10:$J$224),0),
IF('TL06'!$B$229=N$3,SUMIF('TL06'!$C$238:$C$451,$C380,'TL06'!$J$238:$J$451),0),
IF('TL07'!$B$3=N$3,SUMIF('TL07'!$C$10:$C$224,$C380,'TL07'!$J$10:$J$224),0),
IF('TL07'!$B$229=N$3,SUMIF('TL07'!$C$238:$C$451,$C380,'TL07'!$J$238:$J$451),0),
IF('TL08'!$B$3=N$3,SUMIF('TL08'!$C$10:$C$224,$C380,'TL08'!$J$10:$J$224),0),
IF('TL08'!$B$229=N$3,SUMIF('TL08'!$C$238:$C$451,$C380,'TL08'!$J$238:$J$451),0),
IF('TL09'!$B$3=N$3,SUMIF('TL09'!$C$10:$C$224,$C380,'TL09'!$J$10:$J$224),0),
IF('TL09'!$B$229=N$3,SUMIF('TL09'!$C$238:$C$451,$C380,'TL09'!$J$238:$J$451),0),
IF('TL10'!$B$3=N$3,SUMIF('TL10'!$C$10:$C$224,$C380,'TL10'!$J$10:$J$224),0),
IF('TL10'!$B$229=N$3,SUMIF('TL10'!$C$238:$C$451,$C380,'TL10'!$J$238:$J$451),0),
IF('TL11'!$B$3=N$3,SUMIF('TL11'!$C$10:$C$224,$C380,'TL11'!$J$10:$J$224),0),
IF('TL11'!$B$229=N$3,SUMIF('TL11'!$C$238:$C$451,$C380,'TL11'!$J$238:$J$451),0),
IF('TL12'!$B$3=N$3,SUMIF('TL12'!$C$10:$C$224,$C380,'TL12'!$J$10:$J$224),0),
IF('TL12'!$B$229=N$3,SUMIF('TL12'!$C$238:$C$451,$C380,'TL12'!$J$238:$J$451),0),
IF('TL13'!$B$3=N$3,SUMIF('TL13'!$C$10:$C$224,$C380,'TL13'!$J$10:$J$224),0),
IF('TL13'!$B$229=N$3,SUMIF('TL13'!$C$238:$C$451,$C380,'TL13'!$J$238:$J$451),0),
IF('TL14'!$B$3=N$3,SUMIF('TL14'!$C$10:$C$224,$C380,'TL14'!$J$10:$J$224),0),
IF('TL14'!$B$229=N$3,SUMIF('TL14'!$C$238:$C$451,$C380,'TL14'!$J$238:$J$451),0),
IF('TL15'!$B$3=N$3,SUMIF('TL15'!$C$10:$C$224,$C380,'TL15'!$J$10:$J$224),0),
IF('TL15'!$B$229=N$3,SUMIF('TL15'!$C$238:$C$451,$C380,'TL15'!$J$238:$J$451),0),
IF('TL16'!$B$3=N$3,SUMIF('TL16'!$C$10:$C$224,$C380,'TL16'!$J$10:$J$224),0),
IF('TL16'!$B$229=N$3,SUMIF('TL16'!$C$238:$C$451,$C380,'TL16'!$J$238:$J$451),0),
IF('TL17'!$B$3=N$3,SUMIF('TL17'!$C$10:$C$224,$C380,'TL17'!$J$10:$J$224),0),
IF('TL17'!$B$229=N$3,SUMIF('TL17'!$C$238:$C$451,$C380,'TL17'!$J$238:$J$451),0),
IF('TL18'!$B$3=N$3,SUMIF('TL18'!$C$10:$C$224,$C380,'TL18'!$J$10:$J$224),0),
IF('TL18'!$B$229=N$3,SUMIF('TL18'!$C$238:$C$451,$C380,'TL18'!$J$238:$J$451),0),
IF('TL19'!$B$3=N$3,SUMIF('TL19'!$C$10:$C$224,$C380,'TL19'!$J$10:$J$224),0),
IF('TL19'!$B$229=N$3,SUMIF('TL19'!$C$238:$C$451,$C380,'TL19'!$J$238:$J$451),0)
),0)</f>
        <v/>
      </c>
      <c r="O380" s="9">
        <f>IFERROR(SUM(
IF('TL01'!$B$3=O$3,SUMIF('TL01'!$C$10:$C$224,$C380,'TL01'!$J$10:$J$224),0),
IF('TL01'!$B$229=O$3,SUMIF('TL01'!$C$238:$C$451,$C380,'TL01'!$J$238:$J$451),0),
IF('TL02'!$B$3=O$3,SUMIF('TL02'!$C$10:$C$224,$C380,'TL02'!$J$10:$J$224),0),
IF('TL02'!$B$229=O$3,SUMIF('TL02'!$C$238:$C$451,$C380,'TL02'!$J$238:$J$451),0),
IF('TL03'!$B$3=O$3,SUMIF('TL03'!$C$10:$C$224,$C380,'TL03'!$J$10:$J$224),0),
IF('TL03'!$B$229=O$3,SUMIF('TL03'!$C$238:$C$451,$C380,'TL03'!$J$238:$J$451),0),
IF('TL04'!$B$3=O$3,SUMIF('TL04'!$C$10:$C$224,$C380,'TL04'!$J$10:$J$224),0),
IF('TL04'!$B$229=O$3,SUMIF('TL04'!$C$238:$C$451,$C380,'TL04'!$J$238:$J$451),0),
IF('TL05'!$B$3=O$3,SUMIF('TL05'!$C$10:$C$224,$C380,'TL05'!$J$10:$J$224),0),
IF('TL05'!$B$229=O$3,SUMIF('TL05'!$C$238:$C$451,$C380,'TL05'!$J$238:$J$451),0),
IF('TL06'!$B$3=O$3,SUMIF('TL06'!$C$10:$C$224,$C380,'TL06'!$J$10:$J$224),0),
IF('TL06'!$B$229=O$3,SUMIF('TL06'!$C$238:$C$451,$C380,'TL06'!$J$238:$J$451),0),
IF('TL07'!$B$3=O$3,SUMIF('TL07'!$C$10:$C$224,$C380,'TL07'!$J$10:$J$224),0),
IF('TL07'!$B$229=O$3,SUMIF('TL07'!$C$238:$C$451,$C380,'TL07'!$J$238:$J$451),0),
IF('TL08'!$B$3=O$3,SUMIF('TL08'!$C$10:$C$224,$C380,'TL08'!$J$10:$J$224),0),
IF('TL08'!$B$229=O$3,SUMIF('TL08'!$C$238:$C$451,$C380,'TL08'!$J$238:$J$451),0),
IF('TL09'!$B$3=O$3,SUMIF('TL09'!$C$10:$C$224,$C380,'TL09'!$J$10:$J$224),0),
IF('TL09'!$B$229=O$3,SUMIF('TL09'!$C$238:$C$451,$C380,'TL09'!$J$238:$J$451),0),
IF('TL10'!$B$3=O$3,SUMIF('TL10'!$C$10:$C$224,$C380,'TL10'!$J$10:$J$224),0),
IF('TL10'!$B$229=O$3,SUMIF('TL10'!$C$238:$C$451,$C380,'TL10'!$J$238:$J$451),0),
IF('TL11'!$B$3=O$3,SUMIF('TL11'!$C$10:$C$224,$C380,'TL11'!$J$10:$J$224),0),
IF('TL11'!$B$229=O$3,SUMIF('TL11'!$C$238:$C$451,$C380,'TL11'!$J$238:$J$451),0),
IF('TL12'!$B$3=O$3,SUMIF('TL12'!$C$10:$C$224,$C380,'TL12'!$J$10:$J$224),0),
IF('TL12'!$B$229=O$3,SUMIF('TL12'!$C$238:$C$451,$C380,'TL12'!$J$238:$J$451),0),
IF('TL13'!$B$3=O$3,SUMIF('TL13'!$C$10:$C$224,$C380,'TL13'!$J$10:$J$224),0),
IF('TL13'!$B$229=O$3,SUMIF('TL13'!$C$238:$C$451,$C380,'TL13'!$J$238:$J$451),0),
IF('TL14'!$B$3=O$3,SUMIF('TL14'!$C$10:$C$224,$C380,'TL14'!$J$10:$J$224),0),
IF('TL14'!$B$229=O$3,SUMIF('TL14'!$C$238:$C$451,$C380,'TL14'!$J$238:$J$451),0),
IF('TL15'!$B$3=O$3,SUMIF('TL15'!$C$10:$C$224,$C380,'TL15'!$J$10:$J$224),0),
IF('TL15'!$B$229=O$3,SUMIF('TL15'!$C$238:$C$451,$C380,'TL15'!$J$238:$J$451),0),
IF('TL16'!$B$3=O$3,SUMIF('TL16'!$C$10:$C$224,$C380,'TL16'!$J$10:$J$224),0),
IF('TL16'!$B$229=O$3,SUMIF('TL16'!$C$238:$C$451,$C380,'TL16'!$J$238:$J$451),0),
IF('TL17'!$B$3=O$3,SUMIF('TL17'!$C$10:$C$224,$C380,'TL17'!$J$10:$J$224),0),
IF('TL17'!$B$229=O$3,SUMIF('TL17'!$C$238:$C$451,$C380,'TL17'!$J$238:$J$451),0),
IF('TL18'!$B$3=O$3,SUMIF('TL18'!$C$10:$C$224,$C380,'TL18'!$J$10:$J$224),0),
IF('TL18'!$B$229=O$3,SUMIF('TL18'!$C$238:$C$451,$C380,'TL18'!$J$238:$J$451),0),
IF('TL19'!$B$3=O$3,SUMIF('TL19'!$C$10:$C$224,$C380,'TL19'!$J$10:$J$224),0),
IF('TL19'!$B$229=O$3,SUMIF('TL19'!$C$238:$C$451,$C380,'TL19'!$J$238:$J$451),0)
),0)</f>
        <v/>
      </c>
      <c r="P380" s="9">
        <f>IFERROR(SUM(
IF('TL01'!$B$3=P$3,SUMIF('TL01'!$C$10:$C$224,$C380,'TL01'!$J$10:$J$224),0),
IF('TL01'!$B$229=P$3,SUMIF('TL01'!$C$238:$C$451,$C380,'TL01'!$J$238:$J$451),0),
IF('TL02'!$B$3=P$3,SUMIF('TL02'!$C$10:$C$224,$C380,'TL02'!$J$10:$J$224),0),
IF('TL02'!$B$229=P$3,SUMIF('TL02'!$C$238:$C$451,$C380,'TL02'!$J$238:$J$451),0),
IF('TL03'!$B$3=P$3,SUMIF('TL03'!$C$10:$C$224,$C380,'TL03'!$J$10:$J$224),0),
IF('TL03'!$B$229=P$3,SUMIF('TL03'!$C$238:$C$451,$C380,'TL03'!$J$238:$J$451),0),
IF('TL04'!$B$3=P$3,SUMIF('TL04'!$C$10:$C$224,$C380,'TL04'!$J$10:$J$224),0),
IF('TL04'!$B$229=P$3,SUMIF('TL04'!$C$238:$C$451,$C380,'TL04'!$J$238:$J$451),0),
IF('TL05'!$B$3=P$3,SUMIF('TL05'!$C$10:$C$224,$C380,'TL05'!$J$10:$J$224),0),
IF('TL05'!$B$229=P$3,SUMIF('TL05'!$C$238:$C$451,$C380,'TL05'!$J$238:$J$451),0),
IF('TL06'!$B$3=P$3,SUMIF('TL06'!$C$10:$C$224,$C380,'TL06'!$J$10:$J$224),0),
IF('TL06'!$B$229=P$3,SUMIF('TL06'!$C$238:$C$451,$C380,'TL06'!$J$238:$J$451),0),
IF('TL07'!$B$3=P$3,SUMIF('TL07'!$C$10:$C$224,$C380,'TL07'!$J$10:$J$224),0),
IF('TL07'!$B$229=P$3,SUMIF('TL07'!$C$238:$C$451,$C380,'TL07'!$J$238:$J$451),0),
IF('TL08'!$B$3=P$3,SUMIF('TL08'!$C$10:$C$224,$C380,'TL08'!$J$10:$J$224),0),
IF('TL08'!$B$229=P$3,SUMIF('TL08'!$C$238:$C$451,$C380,'TL08'!$J$238:$J$451),0),
IF('TL09'!$B$3=P$3,SUMIF('TL09'!$C$10:$C$224,$C380,'TL09'!$J$10:$J$224),0),
IF('TL09'!$B$229=P$3,SUMIF('TL09'!$C$238:$C$451,$C380,'TL09'!$J$238:$J$451),0),
IF('TL10'!$B$3=P$3,SUMIF('TL10'!$C$10:$C$224,$C380,'TL10'!$J$10:$J$224),0),
IF('TL10'!$B$229=P$3,SUMIF('TL10'!$C$238:$C$451,$C380,'TL10'!$J$238:$J$451),0),
IF('TL11'!$B$3=P$3,SUMIF('TL11'!$C$10:$C$224,$C380,'TL11'!$J$10:$J$224),0),
IF('TL11'!$B$229=P$3,SUMIF('TL11'!$C$238:$C$451,$C380,'TL11'!$J$238:$J$451),0),
IF('TL12'!$B$3=P$3,SUMIF('TL12'!$C$10:$C$224,$C380,'TL12'!$J$10:$J$224),0),
IF('TL12'!$B$229=P$3,SUMIF('TL12'!$C$238:$C$451,$C380,'TL12'!$J$238:$J$451),0),
IF('TL13'!$B$3=P$3,SUMIF('TL13'!$C$10:$C$224,$C380,'TL13'!$J$10:$J$224),0),
IF('TL13'!$B$229=P$3,SUMIF('TL13'!$C$238:$C$451,$C380,'TL13'!$J$238:$J$451),0),
IF('TL14'!$B$3=P$3,SUMIF('TL14'!$C$10:$C$224,$C380,'TL14'!$J$10:$J$224),0),
IF('TL14'!$B$229=P$3,SUMIF('TL14'!$C$238:$C$451,$C380,'TL14'!$J$238:$J$451),0),
IF('TL15'!$B$3=P$3,SUMIF('TL15'!$C$10:$C$224,$C380,'TL15'!$J$10:$J$224),0),
IF('TL15'!$B$229=P$3,SUMIF('TL15'!$C$238:$C$451,$C380,'TL15'!$J$238:$J$451),0),
IF('TL16'!$B$3=P$3,SUMIF('TL16'!$C$10:$C$224,$C380,'TL16'!$J$10:$J$224),0),
IF('TL16'!$B$229=P$3,SUMIF('TL16'!$C$238:$C$451,$C380,'TL16'!$J$238:$J$451),0),
IF('TL17'!$B$3=P$3,SUMIF('TL17'!$C$10:$C$224,$C380,'TL17'!$J$10:$J$224),0),
IF('TL17'!$B$229=P$3,SUMIF('TL17'!$C$238:$C$451,$C380,'TL17'!$J$238:$J$451),0),
IF('TL18'!$B$3=P$3,SUMIF('TL18'!$C$10:$C$224,$C380,'TL18'!$J$10:$J$224),0),
IF('TL18'!$B$229=P$3,SUMIF('TL18'!$C$238:$C$451,$C380,'TL18'!$J$238:$J$451),0),
IF('TL19'!$B$3=P$3,SUMIF('TL19'!$C$10:$C$224,$C380,'TL19'!$J$10:$J$224),0),
IF('TL19'!$B$229=P$3,SUMIF('TL19'!$C$238:$C$451,$C380,'TL19'!$J$238:$J$451),0)
),0)</f>
        <v/>
      </c>
      <c r="Q380" s="9">
        <f>IFERROR(SUM(
IF('TL01'!$B$3=Q$3,SUMIF('TL01'!$C$10:$C$224,$C380,'TL01'!$J$10:$J$224),0),
IF('TL01'!$B$229=Q$3,SUMIF('TL01'!$C$238:$C$451,$C380,'TL01'!$J$238:$J$451),0),
IF('TL02'!$B$3=Q$3,SUMIF('TL02'!$C$10:$C$224,$C380,'TL02'!$J$10:$J$224),0),
IF('TL02'!$B$229=Q$3,SUMIF('TL02'!$C$238:$C$451,$C380,'TL02'!$J$238:$J$451),0),
IF('TL03'!$B$3=Q$3,SUMIF('TL03'!$C$10:$C$224,$C380,'TL03'!$J$10:$J$224),0),
IF('TL03'!$B$229=Q$3,SUMIF('TL03'!$C$238:$C$451,$C380,'TL03'!$J$238:$J$451),0),
IF('TL04'!$B$3=Q$3,SUMIF('TL04'!$C$10:$C$224,$C380,'TL04'!$J$10:$J$224),0),
IF('TL04'!$B$229=Q$3,SUMIF('TL04'!$C$238:$C$451,$C380,'TL04'!$J$238:$J$451),0),
IF('TL05'!$B$3=Q$3,SUMIF('TL05'!$C$10:$C$224,$C380,'TL05'!$J$10:$J$224),0),
IF('TL05'!$B$229=Q$3,SUMIF('TL05'!$C$238:$C$451,$C380,'TL05'!$J$238:$J$451),0),
IF('TL06'!$B$3=Q$3,SUMIF('TL06'!$C$10:$C$224,$C380,'TL06'!$J$10:$J$224),0),
IF('TL06'!$B$229=Q$3,SUMIF('TL06'!$C$238:$C$451,$C380,'TL06'!$J$238:$J$451),0),
IF('TL07'!$B$3=Q$3,SUMIF('TL07'!$C$10:$C$224,$C380,'TL07'!$J$10:$J$224),0),
IF('TL07'!$B$229=Q$3,SUMIF('TL07'!$C$238:$C$451,$C380,'TL07'!$J$238:$J$451),0),
IF('TL08'!$B$3=Q$3,SUMIF('TL08'!$C$10:$C$224,$C380,'TL08'!$J$10:$J$224),0),
IF('TL08'!$B$229=Q$3,SUMIF('TL08'!$C$238:$C$451,$C380,'TL08'!$J$238:$J$451),0),
IF('TL09'!$B$3=Q$3,SUMIF('TL09'!$C$10:$C$224,$C380,'TL09'!$J$10:$J$224),0),
IF('TL09'!$B$229=Q$3,SUMIF('TL09'!$C$238:$C$451,$C380,'TL09'!$J$238:$J$451),0),
IF('TL10'!$B$3=Q$3,SUMIF('TL10'!$C$10:$C$224,$C380,'TL10'!$J$10:$J$224),0),
IF('TL10'!$B$229=Q$3,SUMIF('TL10'!$C$238:$C$451,$C380,'TL10'!$J$238:$J$451),0),
IF('TL11'!$B$3=Q$3,SUMIF('TL11'!$C$10:$C$224,$C380,'TL11'!$J$10:$J$224),0),
IF('TL11'!$B$229=Q$3,SUMIF('TL11'!$C$238:$C$451,$C380,'TL11'!$J$238:$J$451),0),
IF('TL12'!$B$3=Q$3,SUMIF('TL12'!$C$10:$C$224,$C380,'TL12'!$J$10:$J$224),0),
IF('TL12'!$B$229=Q$3,SUMIF('TL12'!$C$238:$C$451,$C380,'TL12'!$J$238:$J$451),0),
IF('TL13'!$B$3=Q$3,SUMIF('TL13'!$C$10:$C$224,$C380,'TL13'!$J$10:$J$224),0),
IF('TL13'!$B$229=Q$3,SUMIF('TL13'!$C$238:$C$451,$C380,'TL13'!$J$238:$J$451),0),
IF('TL14'!$B$3=Q$3,SUMIF('TL14'!$C$10:$C$224,$C380,'TL14'!$J$10:$J$224),0),
IF('TL14'!$B$229=Q$3,SUMIF('TL14'!$C$238:$C$451,$C380,'TL14'!$J$238:$J$451),0),
IF('TL15'!$B$3=Q$3,SUMIF('TL15'!$C$10:$C$224,$C380,'TL15'!$J$10:$J$224),0),
IF('TL15'!$B$229=Q$3,SUMIF('TL15'!$C$238:$C$451,$C380,'TL15'!$J$238:$J$451),0),
IF('TL16'!$B$3=Q$3,SUMIF('TL16'!$C$10:$C$224,$C380,'TL16'!$J$10:$J$224),0),
IF('TL16'!$B$229=Q$3,SUMIF('TL16'!$C$238:$C$451,$C380,'TL16'!$J$238:$J$451),0),
IF('TL17'!$B$3=Q$3,SUMIF('TL17'!$C$10:$C$224,$C380,'TL17'!$J$10:$J$224),0),
IF('TL17'!$B$229=Q$3,SUMIF('TL17'!$C$238:$C$451,$C380,'TL17'!$J$238:$J$451),0),
IF('TL18'!$B$3=Q$3,SUMIF('TL18'!$C$10:$C$224,$C380,'TL18'!$J$10:$J$224),0),
IF('TL18'!$B$229=Q$3,SUMIF('TL18'!$C$238:$C$451,$C380,'TL18'!$J$238:$J$451),0),
IF('TL19'!$B$3=Q$3,SUMIF('TL19'!$C$10:$C$224,$C380,'TL19'!$J$10:$J$224),0),
IF('TL19'!$B$229=Q$3,SUMIF('TL19'!$C$238:$C$451,$C380,'TL19'!$J$238:$J$451),0)
),0)</f>
        <v/>
      </c>
      <c r="R380" s="9">
        <f>IFERROR(
SUM(
SUMIF('TL01'!C:C,C380,'TL01'!J:J),
SUMIF('TL02'!C:C,C380,'TL02'!J:J),
SUMIF('TL03'!C:C,C380,'TL03'!J:J),
SUMIF('TL04'!C:C,C380,'TL04'!J:J),
SUMIF('TL05'!C:C,C380,'TL05'!J:J),
SUMIF('TL06'!C:C,C380,'TL06'!J:J),
SUMIF('TL07'!C:C,C380,'TL07'!J:J),
SUMIF('TL08'!C:C,C380,'TL08'!J:J),
SUMIF('TL09'!C:C,C380,'TL09'!J:J),
SUMIF('TL10'!C:C,C380,'TL10'!J:J),
SUMIF('TL11'!C:C,C380,'TL11'!J:J),
SUMIF('TL12'!C:C,C380,'TL12'!J:J),
SUMIF('TL13'!C:C,C380,'TL13'!J:J),
SUMIF('TL14'!C:C,C380,'TL14'!J:J),
SUMIF('TL15'!C:C,C380,'TL15'!J:J),
SUMIF('TL16'!C:C,C380,'TL16'!J:J),
SUMIF('TL17'!C:C,C380,'TL17'!J:J),
SUMIF('TL18'!C:C,C380,'TL18'!J:J),SUMIF('TL19'!C:C,C380,'TL19'!J:J))
,0)</f>
        <v/>
      </c>
      <c r="S380" s="17">
        <f>IFERROR(__xludf.DUMMYFUNCTION("IFERROR(VLOOKUP(C380,
IMPORTRANGE(""1wULbzX32WdYsx-lj2U3uUNBBe2INVIRDtcK0d-Dvl90"",
""26-27!C:G""),
5,
FALSE),
"""")"),4.46)</f>
        <v/>
      </c>
      <c r="T380" s="9" t="n"/>
      <c r="U380" s="92">
        <f>MAX(0,R380-T380)</f>
        <v/>
      </c>
      <c r="V380" s="93">
        <f>U380*S380</f>
        <v/>
      </c>
    </row>
    <row r="381" hidden="1" ht="15.75" customHeight="1" s="297">
      <c r="A381" s="4" t="inlineStr">
        <is>
          <t>SOLUBIO</t>
        </is>
      </c>
      <c r="B381" s="4" t="inlineStr">
        <is>
          <t>BIOLÓGICOS</t>
        </is>
      </c>
      <c r="C381" s="130" t="inlineStr">
        <is>
          <t>Solu Leaf Kit On-farm</t>
        </is>
      </c>
      <c r="D381" s="129" t="inlineStr">
        <is>
          <t>Kit On-farm</t>
        </is>
      </c>
      <c r="E381" s="20" t="n"/>
      <c r="F381" s="4" t="inlineStr">
        <is>
          <t>L</t>
        </is>
      </c>
      <c r="G381" s="90">
        <f>HYPERLINK("https://www.google.com/search?q=" &amp; C381 &amp; "+bula+agrofit+pdf", "📄 Ver bula")</f>
        <v/>
      </c>
      <c r="H381" s="9" t="n"/>
      <c r="I381" s="123" t="inlineStr">
        <is>
          <t>1x20</t>
        </is>
      </c>
      <c r="J381" s="9">
        <f>IFERROR(SUM(
IF('TL01'!$B$3=J$3,SUMIF('TL01'!$C$10:$C$224,$C381,'TL01'!$J$10:$J$224),0),
IF('TL01'!$B$229=J$3,SUMIF('TL01'!$C$238:$C$451,$C381,'TL01'!$J$238:$J$451),0),
IF('TL02'!$B$3=J$3,SUMIF('TL02'!$C$10:$C$224,$C381,'TL02'!$J$10:$J$224),0),
IF('TL02'!$B$229=J$3,SUMIF('TL02'!$C$238:$C$451,$C381,'TL02'!$J$238:$J$451),0),
IF('TL03'!$B$3=J$3,SUMIF('TL03'!$C$10:$C$224,$C381,'TL03'!$J$10:$J$224),0),
IF('TL03'!$B$229=J$3,SUMIF('TL03'!$C$238:$C$451,$C381,'TL03'!$J$238:$J$451),0),
IF('TL04'!$B$3=J$3,SUMIF('TL04'!$C$10:$C$224,$C381,'TL04'!$J$10:$J$224),0),
IF('TL04'!$B$229=J$3,SUMIF('TL04'!$C$238:$C$451,$C381,'TL04'!$J$238:$J$451),0),
IF('TL05'!$B$3=J$3,SUMIF('TL05'!$C$10:$C$224,$C381,'TL05'!$J$10:$J$224),0),
IF('TL05'!$B$229=J$3,SUMIF('TL05'!$C$238:$C$451,$C381,'TL05'!$J$238:$J$451),0),
IF('TL06'!$B$3=J$3,SUMIF('TL06'!$C$10:$C$224,$C381,'TL06'!$J$10:$J$224),0),
IF('TL06'!$B$229=J$3,SUMIF('TL06'!$C$238:$C$451,$C381,'TL06'!$J$238:$J$451),0),
IF('TL07'!$B$3=J$3,SUMIF('TL07'!$C$10:$C$224,$C381,'TL07'!$J$10:$J$224),0),
IF('TL07'!$B$229=J$3,SUMIF('TL07'!$C$238:$C$451,$C381,'TL07'!$J$238:$J$451),0),
IF('TL08'!$B$3=J$3,SUMIF('TL08'!$C$10:$C$224,$C381,'TL08'!$J$10:$J$224),0),
IF('TL08'!$B$229=J$3,SUMIF('TL08'!$C$238:$C$451,$C381,'TL08'!$J$238:$J$451),0),
IF('TL09'!$B$3=J$3,SUMIF('TL09'!$C$10:$C$224,$C381,'TL09'!$J$10:$J$224),0),
IF('TL09'!$B$229=J$3,SUMIF('TL09'!$C$238:$C$451,$C381,'TL09'!$J$238:$J$451),0),
IF('TL10'!$B$3=J$3,SUMIF('TL10'!$C$10:$C$224,$C381,'TL10'!$J$10:$J$224),0),
IF('TL10'!$B$229=J$3,SUMIF('TL10'!$C$238:$C$451,$C381,'TL10'!$J$238:$J$451),0),
IF('TL11'!$B$3=J$3,SUMIF('TL11'!$C$10:$C$224,$C381,'TL11'!$J$10:$J$224),0),
IF('TL11'!$B$229=J$3,SUMIF('TL11'!$C$238:$C$451,$C381,'TL11'!$J$238:$J$451),0),
IF('TL12'!$B$3=J$3,SUMIF('TL12'!$C$10:$C$224,$C381,'TL12'!$J$10:$J$224),0),
IF('TL12'!$B$229=J$3,SUMIF('TL12'!$C$238:$C$451,$C381,'TL12'!$J$238:$J$451),0),
IF('TL13'!$B$3=J$3,SUMIF('TL13'!$C$10:$C$224,$C381,'TL13'!$J$10:$J$224),0),
IF('TL13'!$B$229=J$3,SUMIF('TL13'!$C$238:$C$451,$C381,'TL13'!$J$238:$J$451),0),
IF('TL14'!$B$3=J$3,SUMIF('TL14'!$C$10:$C$224,$C381,'TL14'!$J$10:$J$224),0),
IF('TL14'!$B$229=J$3,SUMIF('TL14'!$C$238:$C$451,$C381,'TL14'!$J$238:$J$451),0),
IF('TL15'!$B$3=J$3,SUMIF('TL15'!$C$10:$C$224,$C381,'TL15'!$J$10:$J$224),0),
IF('TL15'!$B$229=J$3,SUMIF('TL15'!$C$238:$C$451,$C381,'TL15'!$J$238:$J$451),0),
IF('TL16'!$B$3=J$3,SUMIF('TL16'!$C$10:$C$224,$C381,'TL16'!$J$10:$J$224),0),
IF('TL16'!$B$229=J$3,SUMIF('TL16'!$C$238:$C$451,$C381,'TL16'!$J$238:$J$451),0),
IF('TL17'!$B$3=J$3,SUMIF('TL17'!$C$10:$C$224,$C381,'TL17'!$J$10:$J$224),0),
IF('TL17'!$B$229=J$3,SUMIF('TL17'!$C$238:$C$451,$C381,'TL17'!$J$238:$J$451),0),
IF('TL18'!$B$3=J$3,SUMIF('TL18'!$C$10:$C$224,$C381,'TL18'!$J$10:$J$224),0),
IF('TL18'!$B$229=J$3,SUMIF('TL18'!$C$238:$C$451,$C381,'TL18'!$J$238:$J$451),0),
IF('TL19'!$B$3=J$3,SUMIF('TL19'!$C$10:$C$224,$C381,'TL19'!$J$10:$J$224),0),
IF('TL19'!$B$229=J$3,SUMIF('TL19'!$C$238:$C$451,$C381,'TL19'!$J$238:$J$451),0)
),0)</f>
        <v/>
      </c>
      <c r="K381" s="9">
        <f>IFERROR(SUM(
IF('TL01'!$B$3=K$3,SUMIF('TL01'!$C$10:$C$224,$C381,'TL01'!$J$10:$J$224),0),
IF('TL01'!$B$229=K$3,SUMIF('TL01'!$C$238:$C$451,$C381,'TL01'!$J$238:$J$451),0),
IF('TL02'!$B$3=K$3,SUMIF('TL02'!$C$10:$C$224,$C381,'TL02'!$J$10:$J$224),0),
IF('TL02'!$B$229=K$3,SUMIF('TL02'!$C$238:$C$451,$C381,'TL02'!$J$238:$J$451),0),
IF('TL03'!$B$3=K$3,SUMIF('TL03'!$C$10:$C$224,$C381,'TL03'!$J$10:$J$224),0),
IF('TL03'!$B$229=K$3,SUMIF('TL03'!$C$238:$C$451,$C381,'TL03'!$J$238:$J$451),0),
IF('TL04'!$B$3=K$3,SUMIF('TL04'!$C$10:$C$224,$C381,'TL04'!$J$10:$J$224),0),
IF('TL04'!$B$229=K$3,SUMIF('TL04'!$C$238:$C$451,$C381,'TL04'!$J$238:$J$451),0),
IF('TL05'!$B$3=K$3,SUMIF('TL05'!$C$10:$C$224,$C381,'TL05'!$J$10:$J$224),0),
IF('TL05'!$B$229=K$3,SUMIF('TL05'!$C$238:$C$451,$C381,'TL05'!$J$238:$J$451),0),
IF('TL06'!$B$3=K$3,SUMIF('TL06'!$C$10:$C$224,$C381,'TL06'!$J$10:$J$224),0),
IF('TL06'!$B$229=K$3,SUMIF('TL06'!$C$238:$C$451,$C381,'TL06'!$J$238:$J$451),0),
IF('TL07'!$B$3=K$3,SUMIF('TL07'!$C$10:$C$224,$C381,'TL07'!$J$10:$J$224),0),
IF('TL07'!$B$229=K$3,SUMIF('TL07'!$C$238:$C$451,$C381,'TL07'!$J$238:$J$451),0),
IF('TL08'!$B$3=K$3,SUMIF('TL08'!$C$10:$C$224,$C381,'TL08'!$J$10:$J$224),0),
IF('TL08'!$B$229=K$3,SUMIF('TL08'!$C$238:$C$451,$C381,'TL08'!$J$238:$J$451),0),
IF('TL09'!$B$3=K$3,SUMIF('TL09'!$C$10:$C$224,$C381,'TL09'!$J$10:$J$224),0),
IF('TL09'!$B$229=K$3,SUMIF('TL09'!$C$238:$C$451,$C381,'TL09'!$J$238:$J$451),0),
IF('TL10'!$B$3=K$3,SUMIF('TL10'!$C$10:$C$224,$C381,'TL10'!$J$10:$J$224),0),
IF('TL10'!$B$229=K$3,SUMIF('TL10'!$C$238:$C$451,$C381,'TL10'!$J$238:$J$451),0),
IF('TL11'!$B$3=K$3,SUMIF('TL11'!$C$10:$C$224,$C381,'TL11'!$J$10:$J$224),0),
IF('TL11'!$B$229=K$3,SUMIF('TL11'!$C$238:$C$451,$C381,'TL11'!$J$238:$J$451),0),
IF('TL12'!$B$3=K$3,SUMIF('TL12'!$C$10:$C$224,$C381,'TL12'!$J$10:$J$224),0),
IF('TL12'!$B$229=K$3,SUMIF('TL12'!$C$238:$C$451,$C381,'TL12'!$J$238:$J$451),0),
IF('TL13'!$B$3=K$3,SUMIF('TL13'!$C$10:$C$224,$C381,'TL13'!$J$10:$J$224),0),
IF('TL13'!$B$229=K$3,SUMIF('TL13'!$C$238:$C$451,$C381,'TL13'!$J$238:$J$451),0),
IF('TL14'!$B$3=K$3,SUMIF('TL14'!$C$10:$C$224,$C381,'TL14'!$J$10:$J$224),0),
IF('TL14'!$B$229=K$3,SUMIF('TL14'!$C$238:$C$451,$C381,'TL14'!$J$238:$J$451),0),
IF('TL15'!$B$3=K$3,SUMIF('TL15'!$C$10:$C$224,$C381,'TL15'!$J$10:$J$224),0),
IF('TL15'!$B$229=K$3,SUMIF('TL15'!$C$238:$C$451,$C381,'TL15'!$J$238:$J$451),0),
IF('TL16'!$B$3=K$3,SUMIF('TL16'!$C$10:$C$224,$C381,'TL16'!$J$10:$J$224),0),
IF('TL16'!$B$229=K$3,SUMIF('TL16'!$C$238:$C$451,$C381,'TL16'!$J$238:$J$451),0),
IF('TL17'!$B$3=K$3,SUMIF('TL17'!$C$10:$C$224,$C381,'TL17'!$J$10:$J$224),0),
IF('TL17'!$B$229=K$3,SUMIF('TL17'!$C$238:$C$451,$C381,'TL17'!$J$238:$J$451),0),
IF('TL18'!$B$3=K$3,SUMIF('TL18'!$C$10:$C$224,$C381,'TL18'!$J$10:$J$224),0),
IF('TL18'!$B$229=K$3,SUMIF('TL18'!$C$238:$C$451,$C381,'TL18'!$J$238:$J$451),0),
IF('TL19'!$B$3=K$3,SUMIF('TL19'!$C$10:$C$224,$C381,'TL19'!$J$10:$J$224),0),
IF('TL19'!$B$229=K$3,SUMIF('TL19'!$C$238:$C$451,$C381,'TL19'!$J$238:$J$451),0)
),0)</f>
        <v/>
      </c>
      <c r="L381" s="9">
        <f>IFERROR(SUM(
IF('TL01'!$B$3=L$3,SUMIF('TL01'!$C$10:$C$224,$C381,'TL01'!$J$10:$J$224),0),
IF('TL01'!$B$229=L$3,SUMIF('TL01'!$C$238:$C$451,$C381,'TL01'!$J$238:$J$451),0),
IF('TL02'!$B$3=L$3,SUMIF('TL02'!$C$10:$C$224,$C381,'TL02'!$J$10:$J$224),0),
IF('TL02'!$B$229=L$3,SUMIF('TL02'!$C$238:$C$451,$C381,'TL02'!$J$238:$J$451),0),
IF('TL03'!$B$3=L$3,SUMIF('TL03'!$C$10:$C$224,$C381,'TL03'!$J$10:$J$224),0),
IF('TL03'!$B$229=L$3,SUMIF('TL03'!$C$238:$C$451,$C381,'TL03'!$J$238:$J$451),0),
IF('TL04'!$B$3=L$3,SUMIF('TL04'!$C$10:$C$224,$C381,'TL04'!$J$10:$J$224),0),
IF('TL04'!$B$229=L$3,SUMIF('TL04'!$C$238:$C$451,$C381,'TL04'!$J$238:$J$451),0),
IF('TL05'!$B$3=L$3,SUMIF('TL05'!$C$10:$C$224,$C381,'TL05'!$J$10:$J$224),0),
IF('TL05'!$B$229=L$3,SUMIF('TL05'!$C$238:$C$451,$C381,'TL05'!$J$238:$J$451),0),
IF('TL06'!$B$3=L$3,SUMIF('TL06'!$C$10:$C$224,$C381,'TL06'!$J$10:$J$224),0),
IF('TL06'!$B$229=L$3,SUMIF('TL06'!$C$238:$C$451,$C381,'TL06'!$J$238:$J$451),0),
IF('TL07'!$B$3=L$3,SUMIF('TL07'!$C$10:$C$224,$C381,'TL07'!$J$10:$J$224),0),
IF('TL07'!$B$229=L$3,SUMIF('TL07'!$C$238:$C$451,$C381,'TL07'!$J$238:$J$451),0),
IF('TL08'!$B$3=L$3,SUMIF('TL08'!$C$10:$C$224,$C381,'TL08'!$J$10:$J$224),0),
IF('TL08'!$B$229=L$3,SUMIF('TL08'!$C$238:$C$451,$C381,'TL08'!$J$238:$J$451),0),
IF('TL09'!$B$3=L$3,SUMIF('TL09'!$C$10:$C$224,$C381,'TL09'!$J$10:$J$224),0),
IF('TL09'!$B$229=L$3,SUMIF('TL09'!$C$238:$C$451,$C381,'TL09'!$J$238:$J$451),0),
IF('TL10'!$B$3=L$3,SUMIF('TL10'!$C$10:$C$224,$C381,'TL10'!$J$10:$J$224),0),
IF('TL10'!$B$229=L$3,SUMIF('TL10'!$C$238:$C$451,$C381,'TL10'!$J$238:$J$451),0),
IF('TL11'!$B$3=L$3,SUMIF('TL11'!$C$10:$C$224,$C381,'TL11'!$J$10:$J$224),0),
IF('TL11'!$B$229=L$3,SUMIF('TL11'!$C$238:$C$451,$C381,'TL11'!$J$238:$J$451),0),
IF('TL12'!$B$3=L$3,SUMIF('TL12'!$C$10:$C$224,$C381,'TL12'!$J$10:$J$224),0),
IF('TL12'!$B$229=L$3,SUMIF('TL12'!$C$238:$C$451,$C381,'TL12'!$J$238:$J$451),0),
IF('TL13'!$B$3=L$3,SUMIF('TL13'!$C$10:$C$224,$C381,'TL13'!$J$10:$J$224),0),
IF('TL13'!$B$229=L$3,SUMIF('TL13'!$C$238:$C$451,$C381,'TL13'!$J$238:$J$451),0),
IF('TL14'!$B$3=L$3,SUMIF('TL14'!$C$10:$C$224,$C381,'TL14'!$J$10:$J$224),0),
IF('TL14'!$B$229=L$3,SUMIF('TL14'!$C$238:$C$451,$C381,'TL14'!$J$238:$J$451),0),
IF('TL15'!$B$3=L$3,SUMIF('TL15'!$C$10:$C$224,$C381,'TL15'!$J$10:$J$224),0),
IF('TL15'!$B$229=L$3,SUMIF('TL15'!$C$238:$C$451,$C381,'TL15'!$J$238:$J$451),0),
IF('TL16'!$B$3=L$3,SUMIF('TL16'!$C$10:$C$224,$C381,'TL16'!$J$10:$J$224),0),
IF('TL16'!$B$229=L$3,SUMIF('TL16'!$C$238:$C$451,$C381,'TL16'!$J$238:$J$451),0),
IF('TL17'!$B$3=L$3,SUMIF('TL17'!$C$10:$C$224,$C381,'TL17'!$J$10:$J$224),0),
IF('TL17'!$B$229=L$3,SUMIF('TL17'!$C$238:$C$451,$C381,'TL17'!$J$238:$J$451),0),
IF('TL18'!$B$3=L$3,SUMIF('TL18'!$C$10:$C$224,$C381,'TL18'!$J$10:$J$224),0),
IF('TL18'!$B$229=L$3,SUMIF('TL18'!$C$238:$C$451,$C381,'TL18'!$J$238:$J$451),0),
IF('TL19'!$B$3=L$3,SUMIF('TL19'!$C$10:$C$224,$C381,'TL19'!$J$10:$J$224),0),
IF('TL19'!$B$229=L$3,SUMIF('TL19'!$C$238:$C$451,$C381,'TL19'!$J$238:$J$451),0)
),0)</f>
        <v/>
      </c>
      <c r="M381" s="9">
        <f>IFERROR(SUM(
IF('TL01'!$B$3=M$3,SUMIF('TL01'!$C$10:$C$224,$C381,'TL01'!$J$10:$J$224),0),
IF('TL01'!$B$229=M$3,SUMIF('TL01'!$C$238:$C$451,$C381,'TL01'!$J$238:$J$451),0),
IF('TL02'!$B$3=M$3,SUMIF('TL02'!$C$10:$C$224,$C381,'TL02'!$J$10:$J$224),0),
IF('TL02'!$B$229=M$3,SUMIF('TL02'!$C$238:$C$451,$C381,'TL02'!$J$238:$J$451),0),
IF('TL03'!$B$3=M$3,SUMIF('TL03'!$C$10:$C$224,$C381,'TL03'!$J$10:$J$224),0),
IF('TL03'!$B$229=M$3,SUMIF('TL03'!$C$238:$C$451,$C381,'TL03'!$J$238:$J$451),0),
IF('TL04'!$B$3=M$3,SUMIF('TL04'!$C$10:$C$224,$C381,'TL04'!$J$10:$J$224),0),
IF('TL04'!$B$229=M$3,SUMIF('TL04'!$C$238:$C$451,$C381,'TL04'!$J$238:$J$451),0),
IF('TL05'!$B$3=M$3,SUMIF('TL05'!$C$10:$C$224,$C381,'TL05'!$J$10:$J$224),0),
IF('TL05'!$B$229=M$3,SUMIF('TL05'!$C$238:$C$451,$C381,'TL05'!$J$238:$J$451),0),
IF('TL06'!$B$3=M$3,SUMIF('TL06'!$C$10:$C$224,$C381,'TL06'!$J$10:$J$224),0),
IF('TL06'!$B$229=M$3,SUMIF('TL06'!$C$238:$C$451,$C381,'TL06'!$J$238:$J$451),0),
IF('TL07'!$B$3=M$3,SUMIF('TL07'!$C$10:$C$224,$C381,'TL07'!$J$10:$J$224),0),
IF('TL07'!$B$229=M$3,SUMIF('TL07'!$C$238:$C$451,$C381,'TL07'!$J$238:$J$451),0),
IF('TL08'!$B$3=M$3,SUMIF('TL08'!$C$10:$C$224,$C381,'TL08'!$J$10:$J$224),0),
IF('TL08'!$B$229=M$3,SUMIF('TL08'!$C$238:$C$451,$C381,'TL08'!$J$238:$J$451),0),
IF('TL09'!$B$3=M$3,SUMIF('TL09'!$C$10:$C$224,$C381,'TL09'!$J$10:$J$224),0),
IF('TL09'!$B$229=M$3,SUMIF('TL09'!$C$238:$C$451,$C381,'TL09'!$J$238:$J$451),0),
IF('TL10'!$B$3=M$3,SUMIF('TL10'!$C$10:$C$224,$C381,'TL10'!$J$10:$J$224),0),
IF('TL10'!$B$229=M$3,SUMIF('TL10'!$C$238:$C$451,$C381,'TL10'!$J$238:$J$451),0),
IF('TL11'!$B$3=M$3,SUMIF('TL11'!$C$10:$C$224,$C381,'TL11'!$J$10:$J$224),0),
IF('TL11'!$B$229=M$3,SUMIF('TL11'!$C$238:$C$451,$C381,'TL11'!$J$238:$J$451),0),
IF('TL12'!$B$3=M$3,SUMIF('TL12'!$C$10:$C$224,$C381,'TL12'!$J$10:$J$224),0),
IF('TL12'!$B$229=M$3,SUMIF('TL12'!$C$238:$C$451,$C381,'TL12'!$J$238:$J$451),0),
IF('TL13'!$B$3=M$3,SUMIF('TL13'!$C$10:$C$224,$C381,'TL13'!$J$10:$J$224),0),
IF('TL13'!$B$229=M$3,SUMIF('TL13'!$C$238:$C$451,$C381,'TL13'!$J$238:$J$451),0),
IF('TL14'!$B$3=M$3,SUMIF('TL14'!$C$10:$C$224,$C381,'TL14'!$J$10:$J$224),0),
IF('TL14'!$B$229=M$3,SUMIF('TL14'!$C$238:$C$451,$C381,'TL14'!$J$238:$J$451),0),
IF('TL15'!$B$3=M$3,SUMIF('TL15'!$C$10:$C$224,$C381,'TL15'!$J$10:$J$224),0),
IF('TL15'!$B$229=M$3,SUMIF('TL15'!$C$238:$C$451,$C381,'TL15'!$J$238:$J$451),0),
IF('TL16'!$B$3=M$3,SUMIF('TL16'!$C$10:$C$224,$C381,'TL16'!$J$10:$J$224),0),
IF('TL16'!$B$229=M$3,SUMIF('TL16'!$C$238:$C$451,$C381,'TL16'!$J$238:$J$451),0),
IF('TL17'!$B$3=M$3,SUMIF('TL17'!$C$10:$C$224,$C381,'TL17'!$J$10:$J$224),0),
IF('TL17'!$B$229=M$3,SUMIF('TL17'!$C$238:$C$451,$C381,'TL17'!$J$238:$J$451),0),
IF('TL18'!$B$3=M$3,SUMIF('TL18'!$C$10:$C$224,$C381,'TL18'!$J$10:$J$224),0),
IF('TL18'!$B$229=M$3,SUMIF('TL18'!$C$238:$C$451,$C381,'TL18'!$J$238:$J$451),0),
IF('TL19'!$B$3=M$3,SUMIF('TL19'!$C$10:$C$224,$C381,'TL19'!$J$10:$J$224),0),
IF('TL19'!$B$229=M$3,SUMIF('TL19'!$C$238:$C$451,$C381,'TL19'!$J$238:$J$451),0)
),0)</f>
        <v/>
      </c>
      <c r="N381" s="9">
        <f>IFERROR(SUM(
IF('TL01'!$B$3=N$3,SUMIF('TL01'!$C$10:$C$224,$C381,'TL01'!$J$10:$J$224),0),
IF('TL01'!$B$229=N$3,SUMIF('TL01'!$C$238:$C$451,$C381,'TL01'!$J$238:$J$451),0),
IF('TL02'!$B$3=N$3,SUMIF('TL02'!$C$10:$C$224,$C381,'TL02'!$J$10:$J$224),0),
IF('TL02'!$B$229=N$3,SUMIF('TL02'!$C$238:$C$451,$C381,'TL02'!$J$238:$J$451),0),
IF('TL03'!$B$3=N$3,SUMIF('TL03'!$C$10:$C$224,$C381,'TL03'!$J$10:$J$224),0),
IF('TL03'!$B$229=N$3,SUMIF('TL03'!$C$238:$C$451,$C381,'TL03'!$J$238:$J$451),0),
IF('TL04'!$B$3=N$3,SUMIF('TL04'!$C$10:$C$224,$C381,'TL04'!$J$10:$J$224),0),
IF('TL04'!$B$229=N$3,SUMIF('TL04'!$C$238:$C$451,$C381,'TL04'!$J$238:$J$451),0),
IF('TL05'!$B$3=N$3,SUMIF('TL05'!$C$10:$C$224,$C381,'TL05'!$J$10:$J$224),0),
IF('TL05'!$B$229=N$3,SUMIF('TL05'!$C$238:$C$451,$C381,'TL05'!$J$238:$J$451),0),
IF('TL06'!$B$3=N$3,SUMIF('TL06'!$C$10:$C$224,$C381,'TL06'!$J$10:$J$224),0),
IF('TL06'!$B$229=N$3,SUMIF('TL06'!$C$238:$C$451,$C381,'TL06'!$J$238:$J$451),0),
IF('TL07'!$B$3=N$3,SUMIF('TL07'!$C$10:$C$224,$C381,'TL07'!$J$10:$J$224),0),
IF('TL07'!$B$229=N$3,SUMIF('TL07'!$C$238:$C$451,$C381,'TL07'!$J$238:$J$451),0),
IF('TL08'!$B$3=N$3,SUMIF('TL08'!$C$10:$C$224,$C381,'TL08'!$J$10:$J$224),0),
IF('TL08'!$B$229=N$3,SUMIF('TL08'!$C$238:$C$451,$C381,'TL08'!$J$238:$J$451),0),
IF('TL09'!$B$3=N$3,SUMIF('TL09'!$C$10:$C$224,$C381,'TL09'!$J$10:$J$224),0),
IF('TL09'!$B$229=N$3,SUMIF('TL09'!$C$238:$C$451,$C381,'TL09'!$J$238:$J$451),0),
IF('TL10'!$B$3=N$3,SUMIF('TL10'!$C$10:$C$224,$C381,'TL10'!$J$10:$J$224),0),
IF('TL10'!$B$229=N$3,SUMIF('TL10'!$C$238:$C$451,$C381,'TL10'!$J$238:$J$451),0),
IF('TL11'!$B$3=N$3,SUMIF('TL11'!$C$10:$C$224,$C381,'TL11'!$J$10:$J$224),0),
IF('TL11'!$B$229=N$3,SUMIF('TL11'!$C$238:$C$451,$C381,'TL11'!$J$238:$J$451),0),
IF('TL12'!$B$3=N$3,SUMIF('TL12'!$C$10:$C$224,$C381,'TL12'!$J$10:$J$224),0),
IF('TL12'!$B$229=N$3,SUMIF('TL12'!$C$238:$C$451,$C381,'TL12'!$J$238:$J$451),0),
IF('TL13'!$B$3=N$3,SUMIF('TL13'!$C$10:$C$224,$C381,'TL13'!$J$10:$J$224),0),
IF('TL13'!$B$229=N$3,SUMIF('TL13'!$C$238:$C$451,$C381,'TL13'!$J$238:$J$451),0),
IF('TL14'!$B$3=N$3,SUMIF('TL14'!$C$10:$C$224,$C381,'TL14'!$J$10:$J$224),0),
IF('TL14'!$B$229=N$3,SUMIF('TL14'!$C$238:$C$451,$C381,'TL14'!$J$238:$J$451),0),
IF('TL15'!$B$3=N$3,SUMIF('TL15'!$C$10:$C$224,$C381,'TL15'!$J$10:$J$224),0),
IF('TL15'!$B$229=N$3,SUMIF('TL15'!$C$238:$C$451,$C381,'TL15'!$J$238:$J$451),0),
IF('TL16'!$B$3=N$3,SUMIF('TL16'!$C$10:$C$224,$C381,'TL16'!$J$10:$J$224),0),
IF('TL16'!$B$229=N$3,SUMIF('TL16'!$C$238:$C$451,$C381,'TL16'!$J$238:$J$451),0),
IF('TL17'!$B$3=N$3,SUMIF('TL17'!$C$10:$C$224,$C381,'TL17'!$J$10:$J$224),0),
IF('TL17'!$B$229=N$3,SUMIF('TL17'!$C$238:$C$451,$C381,'TL17'!$J$238:$J$451),0),
IF('TL18'!$B$3=N$3,SUMIF('TL18'!$C$10:$C$224,$C381,'TL18'!$J$10:$J$224),0),
IF('TL18'!$B$229=N$3,SUMIF('TL18'!$C$238:$C$451,$C381,'TL18'!$J$238:$J$451),0),
IF('TL19'!$B$3=N$3,SUMIF('TL19'!$C$10:$C$224,$C381,'TL19'!$J$10:$J$224),0),
IF('TL19'!$B$229=N$3,SUMIF('TL19'!$C$238:$C$451,$C381,'TL19'!$J$238:$J$451),0)
),0)</f>
        <v/>
      </c>
      <c r="O381" s="9">
        <f>IFERROR(SUM(
IF('TL01'!$B$3=O$3,SUMIF('TL01'!$C$10:$C$224,$C381,'TL01'!$J$10:$J$224),0),
IF('TL01'!$B$229=O$3,SUMIF('TL01'!$C$238:$C$451,$C381,'TL01'!$J$238:$J$451),0),
IF('TL02'!$B$3=O$3,SUMIF('TL02'!$C$10:$C$224,$C381,'TL02'!$J$10:$J$224),0),
IF('TL02'!$B$229=O$3,SUMIF('TL02'!$C$238:$C$451,$C381,'TL02'!$J$238:$J$451),0),
IF('TL03'!$B$3=O$3,SUMIF('TL03'!$C$10:$C$224,$C381,'TL03'!$J$10:$J$224),0),
IF('TL03'!$B$229=O$3,SUMIF('TL03'!$C$238:$C$451,$C381,'TL03'!$J$238:$J$451),0),
IF('TL04'!$B$3=O$3,SUMIF('TL04'!$C$10:$C$224,$C381,'TL04'!$J$10:$J$224),0),
IF('TL04'!$B$229=O$3,SUMIF('TL04'!$C$238:$C$451,$C381,'TL04'!$J$238:$J$451),0),
IF('TL05'!$B$3=O$3,SUMIF('TL05'!$C$10:$C$224,$C381,'TL05'!$J$10:$J$224),0),
IF('TL05'!$B$229=O$3,SUMIF('TL05'!$C$238:$C$451,$C381,'TL05'!$J$238:$J$451),0),
IF('TL06'!$B$3=O$3,SUMIF('TL06'!$C$10:$C$224,$C381,'TL06'!$J$10:$J$224),0),
IF('TL06'!$B$229=O$3,SUMIF('TL06'!$C$238:$C$451,$C381,'TL06'!$J$238:$J$451),0),
IF('TL07'!$B$3=O$3,SUMIF('TL07'!$C$10:$C$224,$C381,'TL07'!$J$10:$J$224),0),
IF('TL07'!$B$229=O$3,SUMIF('TL07'!$C$238:$C$451,$C381,'TL07'!$J$238:$J$451),0),
IF('TL08'!$B$3=O$3,SUMIF('TL08'!$C$10:$C$224,$C381,'TL08'!$J$10:$J$224),0),
IF('TL08'!$B$229=O$3,SUMIF('TL08'!$C$238:$C$451,$C381,'TL08'!$J$238:$J$451),0),
IF('TL09'!$B$3=O$3,SUMIF('TL09'!$C$10:$C$224,$C381,'TL09'!$J$10:$J$224),0),
IF('TL09'!$B$229=O$3,SUMIF('TL09'!$C$238:$C$451,$C381,'TL09'!$J$238:$J$451),0),
IF('TL10'!$B$3=O$3,SUMIF('TL10'!$C$10:$C$224,$C381,'TL10'!$J$10:$J$224),0),
IF('TL10'!$B$229=O$3,SUMIF('TL10'!$C$238:$C$451,$C381,'TL10'!$J$238:$J$451),0),
IF('TL11'!$B$3=O$3,SUMIF('TL11'!$C$10:$C$224,$C381,'TL11'!$J$10:$J$224),0),
IF('TL11'!$B$229=O$3,SUMIF('TL11'!$C$238:$C$451,$C381,'TL11'!$J$238:$J$451),0),
IF('TL12'!$B$3=O$3,SUMIF('TL12'!$C$10:$C$224,$C381,'TL12'!$J$10:$J$224),0),
IF('TL12'!$B$229=O$3,SUMIF('TL12'!$C$238:$C$451,$C381,'TL12'!$J$238:$J$451),0),
IF('TL13'!$B$3=O$3,SUMIF('TL13'!$C$10:$C$224,$C381,'TL13'!$J$10:$J$224),0),
IF('TL13'!$B$229=O$3,SUMIF('TL13'!$C$238:$C$451,$C381,'TL13'!$J$238:$J$451),0),
IF('TL14'!$B$3=O$3,SUMIF('TL14'!$C$10:$C$224,$C381,'TL14'!$J$10:$J$224),0),
IF('TL14'!$B$229=O$3,SUMIF('TL14'!$C$238:$C$451,$C381,'TL14'!$J$238:$J$451),0),
IF('TL15'!$B$3=O$3,SUMIF('TL15'!$C$10:$C$224,$C381,'TL15'!$J$10:$J$224),0),
IF('TL15'!$B$229=O$3,SUMIF('TL15'!$C$238:$C$451,$C381,'TL15'!$J$238:$J$451),0),
IF('TL16'!$B$3=O$3,SUMIF('TL16'!$C$10:$C$224,$C381,'TL16'!$J$10:$J$224),0),
IF('TL16'!$B$229=O$3,SUMIF('TL16'!$C$238:$C$451,$C381,'TL16'!$J$238:$J$451),0),
IF('TL17'!$B$3=O$3,SUMIF('TL17'!$C$10:$C$224,$C381,'TL17'!$J$10:$J$224),0),
IF('TL17'!$B$229=O$3,SUMIF('TL17'!$C$238:$C$451,$C381,'TL17'!$J$238:$J$451),0),
IF('TL18'!$B$3=O$3,SUMIF('TL18'!$C$10:$C$224,$C381,'TL18'!$J$10:$J$224),0),
IF('TL18'!$B$229=O$3,SUMIF('TL18'!$C$238:$C$451,$C381,'TL18'!$J$238:$J$451),0),
IF('TL19'!$B$3=O$3,SUMIF('TL19'!$C$10:$C$224,$C381,'TL19'!$J$10:$J$224),0),
IF('TL19'!$B$229=O$3,SUMIF('TL19'!$C$238:$C$451,$C381,'TL19'!$J$238:$J$451),0)
),0)</f>
        <v/>
      </c>
      <c r="P381" s="9">
        <f>IFERROR(SUM(
IF('TL01'!$B$3=P$3,SUMIF('TL01'!$C$10:$C$224,$C381,'TL01'!$J$10:$J$224),0),
IF('TL01'!$B$229=P$3,SUMIF('TL01'!$C$238:$C$451,$C381,'TL01'!$J$238:$J$451),0),
IF('TL02'!$B$3=P$3,SUMIF('TL02'!$C$10:$C$224,$C381,'TL02'!$J$10:$J$224),0),
IF('TL02'!$B$229=P$3,SUMIF('TL02'!$C$238:$C$451,$C381,'TL02'!$J$238:$J$451),0),
IF('TL03'!$B$3=P$3,SUMIF('TL03'!$C$10:$C$224,$C381,'TL03'!$J$10:$J$224),0),
IF('TL03'!$B$229=P$3,SUMIF('TL03'!$C$238:$C$451,$C381,'TL03'!$J$238:$J$451),0),
IF('TL04'!$B$3=P$3,SUMIF('TL04'!$C$10:$C$224,$C381,'TL04'!$J$10:$J$224),0),
IF('TL04'!$B$229=P$3,SUMIF('TL04'!$C$238:$C$451,$C381,'TL04'!$J$238:$J$451),0),
IF('TL05'!$B$3=P$3,SUMIF('TL05'!$C$10:$C$224,$C381,'TL05'!$J$10:$J$224),0),
IF('TL05'!$B$229=P$3,SUMIF('TL05'!$C$238:$C$451,$C381,'TL05'!$J$238:$J$451),0),
IF('TL06'!$B$3=P$3,SUMIF('TL06'!$C$10:$C$224,$C381,'TL06'!$J$10:$J$224),0),
IF('TL06'!$B$229=P$3,SUMIF('TL06'!$C$238:$C$451,$C381,'TL06'!$J$238:$J$451),0),
IF('TL07'!$B$3=P$3,SUMIF('TL07'!$C$10:$C$224,$C381,'TL07'!$J$10:$J$224),0),
IF('TL07'!$B$229=P$3,SUMIF('TL07'!$C$238:$C$451,$C381,'TL07'!$J$238:$J$451),0),
IF('TL08'!$B$3=P$3,SUMIF('TL08'!$C$10:$C$224,$C381,'TL08'!$J$10:$J$224),0),
IF('TL08'!$B$229=P$3,SUMIF('TL08'!$C$238:$C$451,$C381,'TL08'!$J$238:$J$451),0),
IF('TL09'!$B$3=P$3,SUMIF('TL09'!$C$10:$C$224,$C381,'TL09'!$J$10:$J$224),0),
IF('TL09'!$B$229=P$3,SUMIF('TL09'!$C$238:$C$451,$C381,'TL09'!$J$238:$J$451),0),
IF('TL10'!$B$3=P$3,SUMIF('TL10'!$C$10:$C$224,$C381,'TL10'!$J$10:$J$224),0),
IF('TL10'!$B$229=P$3,SUMIF('TL10'!$C$238:$C$451,$C381,'TL10'!$J$238:$J$451),0),
IF('TL11'!$B$3=P$3,SUMIF('TL11'!$C$10:$C$224,$C381,'TL11'!$J$10:$J$224),0),
IF('TL11'!$B$229=P$3,SUMIF('TL11'!$C$238:$C$451,$C381,'TL11'!$J$238:$J$451),0),
IF('TL12'!$B$3=P$3,SUMIF('TL12'!$C$10:$C$224,$C381,'TL12'!$J$10:$J$224),0),
IF('TL12'!$B$229=P$3,SUMIF('TL12'!$C$238:$C$451,$C381,'TL12'!$J$238:$J$451),0),
IF('TL13'!$B$3=P$3,SUMIF('TL13'!$C$10:$C$224,$C381,'TL13'!$J$10:$J$224),0),
IF('TL13'!$B$229=P$3,SUMIF('TL13'!$C$238:$C$451,$C381,'TL13'!$J$238:$J$451),0),
IF('TL14'!$B$3=P$3,SUMIF('TL14'!$C$10:$C$224,$C381,'TL14'!$J$10:$J$224),0),
IF('TL14'!$B$229=P$3,SUMIF('TL14'!$C$238:$C$451,$C381,'TL14'!$J$238:$J$451),0),
IF('TL15'!$B$3=P$3,SUMIF('TL15'!$C$10:$C$224,$C381,'TL15'!$J$10:$J$224),0),
IF('TL15'!$B$229=P$3,SUMIF('TL15'!$C$238:$C$451,$C381,'TL15'!$J$238:$J$451),0),
IF('TL16'!$B$3=P$3,SUMIF('TL16'!$C$10:$C$224,$C381,'TL16'!$J$10:$J$224),0),
IF('TL16'!$B$229=P$3,SUMIF('TL16'!$C$238:$C$451,$C381,'TL16'!$J$238:$J$451),0),
IF('TL17'!$B$3=P$3,SUMIF('TL17'!$C$10:$C$224,$C381,'TL17'!$J$10:$J$224),0),
IF('TL17'!$B$229=P$3,SUMIF('TL17'!$C$238:$C$451,$C381,'TL17'!$J$238:$J$451),0),
IF('TL18'!$B$3=P$3,SUMIF('TL18'!$C$10:$C$224,$C381,'TL18'!$J$10:$J$224),0),
IF('TL18'!$B$229=P$3,SUMIF('TL18'!$C$238:$C$451,$C381,'TL18'!$J$238:$J$451),0),
IF('TL19'!$B$3=P$3,SUMIF('TL19'!$C$10:$C$224,$C381,'TL19'!$J$10:$J$224),0),
IF('TL19'!$B$229=P$3,SUMIF('TL19'!$C$238:$C$451,$C381,'TL19'!$J$238:$J$451),0)
),0)</f>
        <v/>
      </c>
      <c r="Q381" s="9">
        <f>IFERROR(SUM(
IF('TL01'!$B$3=Q$3,SUMIF('TL01'!$C$10:$C$224,$C381,'TL01'!$J$10:$J$224),0),
IF('TL01'!$B$229=Q$3,SUMIF('TL01'!$C$238:$C$451,$C381,'TL01'!$J$238:$J$451),0),
IF('TL02'!$B$3=Q$3,SUMIF('TL02'!$C$10:$C$224,$C381,'TL02'!$J$10:$J$224),0),
IF('TL02'!$B$229=Q$3,SUMIF('TL02'!$C$238:$C$451,$C381,'TL02'!$J$238:$J$451),0),
IF('TL03'!$B$3=Q$3,SUMIF('TL03'!$C$10:$C$224,$C381,'TL03'!$J$10:$J$224),0),
IF('TL03'!$B$229=Q$3,SUMIF('TL03'!$C$238:$C$451,$C381,'TL03'!$J$238:$J$451),0),
IF('TL04'!$B$3=Q$3,SUMIF('TL04'!$C$10:$C$224,$C381,'TL04'!$J$10:$J$224),0),
IF('TL04'!$B$229=Q$3,SUMIF('TL04'!$C$238:$C$451,$C381,'TL04'!$J$238:$J$451),0),
IF('TL05'!$B$3=Q$3,SUMIF('TL05'!$C$10:$C$224,$C381,'TL05'!$J$10:$J$224),0),
IF('TL05'!$B$229=Q$3,SUMIF('TL05'!$C$238:$C$451,$C381,'TL05'!$J$238:$J$451),0),
IF('TL06'!$B$3=Q$3,SUMIF('TL06'!$C$10:$C$224,$C381,'TL06'!$J$10:$J$224),0),
IF('TL06'!$B$229=Q$3,SUMIF('TL06'!$C$238:$C$451,$C381,'TL06'!$J$238:$J$451),0),
IF('TL07'!$B$3=Q$3,SUMIF('TL07'!$C$10:$C$224,$C381,'TL07'!$J$10:$J$224),0),
IF('TL07'!$B$229=Q$3,SUMIF('TL07'!$C$238:$C$451,$C381,'TL07'!$J$238:$J$451),0),
IF('TL08'!$B$3=Q$3,SUMIF('TL08'!$C$10:$C$224,$C381,'TL08'!$J$10:$J$224),0),
IF('TL08'!$B$229=Q$3,SUMIF('TL08'!$C$238:$C$451,$C381,'TL08'!$J$238:$J$451),0),
IF('TL09'!$B$3=Q$3,SUMIF('TL09'!$C$10:$C$224,$C381,'TL09'!$J$10:$J$224),0),
IF('TL09'!$B$229=Q$3,SUMIF('TL09'!$C$238:$C$451,$C381,'TL09'!$J$238:$J$451),0),
IF('TL10'!$B$3=Q$3,SUMIF('TL10'!$C$10:$C$224,$C381,'TL10'!$J$10:$J$224),0),
IF('TL10'!$B$229=Q$3,SUMIF('TL10'!$C$238:$C$451,$C381,'TL10'!$J$238:$J$451),0),
IF('TL11'!$B$3=Q$3,SUMIF('TL11'!$C$10:$C$224,$C381,'TL11'!$J$10:$J$224),0),
IF('TL11'!$B$229=Q$3,SUMIF('TL11'!$C$238:$C$451,$C381,'TL11'!$J$238:$J$451),0),
IF('TL12'!$B$3=Q$3,SUMIF('TL12'!$C$10:$C$224,$C381,'TL12'!$J$10:$J$224),0),
IF('TL12'!$B$229=Q$3,SUMIF('TL12'!$C$238:$C$451,$C381,'TL12'!$J$238:$J$451),0),
IF('TL13'!$B$3=Q$3,SUMIF('TL13'!$C$10:$C$224,$C381,'TL13'!$J$10:$J$224),0),
IF('TL13'!$B$229=Q$3,SUMIF('TL13'!$C$238:$C$451,$C381,'TL13'!$J$238:$J$451),0),
IF('TL14'!$B$3=Q$3,SUMIF('TL14'!$C$10:$C$224,$C381,'TL14'!$J$10:$J$224),0),
IF('TL14'!$B$229=Q$3,SUMIF('TL14'!$C$238:$C$451,$C381,'TL14'!$J$238:$J$451),0),
IF('TL15'!$B$3=Q$3,SUMIF('TL15'!$C$10:$C$224,$C381,'TL15'!$J$10:$J$224),0),
IF('TL15'!$B$229=Q$3,SUMIF('TL15'!$C$238:$C$451,$C381,'TL15'!$J$238:$J$451),0),
IF('TL16'!$B$3=Q$3,SUMIF('TL16'!$C$10:$C$224,$C381,'TL16'!$J$10:$J$224),0),
IF('TL16'!$B$229=Q$3,SUMIF('TL16'!$C$238:$C$451,$C381,'TL16'!$J$238:$J$451),0),
IF('TL17'!$B$3=Q$3,SUMIF('TL17'!$C$10:$C$224,$C381,'TL17'!$J$10:$J$224),0),
IF('TL17'!$B$229=Q$3,SUMIF('TL17'!$C$238:$C$451,$C381,'TL17'!$J$238:$J$451),0),
IF('TL18'!$B$3=Q$3,SUMIF('TL18'!$C$10:$C$224,$C381,'TL18'!$J$10:$J$224),0),
IF('TL18'!$B$229=Q$3,SUMIF('TL18'!$C$238:$C$451,$C381,'TL18'!$J$238:$J$451),0),
IF('TL19'!$B$3=Q$3,SUMIF('TL19'!$C$10:$C$224,$C381,'TL19'!$J$10:$J$224),0),
IF('TL19'!$B$229=Q$3,SUMIF('TL19'!$C$238:$C$451,$C381,'TL19'!$J$238:$J$451),0)
),0)</f>
        <v/>
      </c>
      <c r="R381" s="9">
        <f>IFERROR(
SUM(
SUMIF('TL01'!C:C,C381,'TL01'!J:J),
SUMIF('TL02'!C:C,C381,'TL02'!J:J),
SUMIF('TL03'!C:C,C381,'TL03'!J:J),
SUMIF('TL04'!C:C,C381,'TL04'!J:J),
SUMIF('TL05'!C:C,C381,'TL05'!J:J),
SUMIF('TL06'!C:C,C381,'TL06'!J:J),
SUMIF('TL07'!C:C,C381,'TL07'!J:J),
SUMIF('TL08'!C:C,C381,'TL08'!J:J),
SUMIF('TL09'!C:C,C381,'TL09'!J:J),
SUMIF('TL10'!C:C,C381,'TL10'!J:J),
SUMIF('TL11'!C:C,C381,'TL11'!J:J),
SUMIF('TL12'!C:C,C381,'TL12'!J:J),
SUMIF('TL13'!C:C,C381,'TL13'!J:J),
SUMIF('TL14'!C:C,C381,'TL14'!J:J),
SUMIF('TL15'!C:C,C381,'TL15'!J:J),
SUMIF('TL16'!C:C,C381,'TL16'!J:J),
SUMIF('TL17'!C:C,C381,'TL17'!J:J),
SUMIF('TL18'!C:C,C381,'TL18'!J:J),SUMIF('TL19'!C:C,C381,'TL19'!J:J))
,0)</f>
        <v/>
      </c>
      <c r="S381" s="17">
        <f>IFERROR(__xludf.DUMMYFUNCTION("IFERROR(VLOOKUP(C381,
IMPORTRANGE(""1wULbzX32WdYsx-lj2U3uUNBBe2INVIRDtcK0d-Dvl90"",
""26-27!C:G""),
5,
FALSE),
"""")"),4.46)</f>
        <v/>
      </c>
      <c r="T381" s="9" t="n"/>
      <c r="U381" s="92">
        <f>MAX(0,R381-T381)</f>
        <v/>
      </c>
      <c r="V381" s="93">
        <f>U381*S381</f>
        <v/>
      </c>
    </row>
    <row r="382" hidden="1" ht="15.75" customHeight="1" s="297">
      <c r="A382" s="4" t="inlineStr">
        <is>
          <t>SOLUBIO</t>
        </is>
      </c>
      <c r="B382" s="4" t="inlineStr">
        <is>
          <t>BIOLÓGICOS</t>
        </is>
      </c>
      <c r="C382" s="131" t="inlineStr">
        <is>
          <t>Bio Hidric Kit On-farm</t>
        </is>
      </c>
      <c r="D382" s="127" t="inlineStr">
        <is>
          <t>Kit On-farm</t>
        </is>
      </c>
      <c r="E382" s="119" t="n"/>
      <c r="F382" s="4" t="n"/>
      <c r="G382" s="90">
        <f>HYPERLINK("https://www.google.com/search?q=" &amp; C382 &amp; "+bula+agrofit+pdf", "📄 Ver bula")</f>
        <v/>
      </c>
      <c r="H382" s="9" t="n"/>
      <c r="I382" s="121" t="n"/>
      <c r="J382" s="9">
        <f>IFERROR(SUM(
IF('TL01'!$B$3=J$3,SUMIF('TL01'!$C$10:$C$224,$C382,'TL01'!$J$10:$J$224),0),
IF('TL01'!$B$229=J$3,SUMIF('TL01'!$C$238:$C$451,$C382,'TL01'!$J$238:$J$451),0),
IF('TL02'!$B$3=J$3,SUMIF('TL02'!$C$10:$C$224,$C382,'TL02'!$J$10:$J$224),0),
IF('TL02'!$B$229=J$3,SUMIF('TL02'!$C$238:$C$451,$C382,'TL02'!$J$238:$J$451),0),
IF('TL03'!$B$3=J$3,SUMIF('TL03'!$C$10:$C$224,$C382,'TL03'!$J$10:$J$224),0),
IF('TL03'!$B$229=J$3,SUMIF('TL03'!$C$238:$C$451,$C382,'TL03'!$J$238:$J$451),0),
IF('TL04'!$B$3=J$3,SUMIF('TL04'!$C$10:$C$224,$C382,'TL04'!$J$10:$J$224),0),
IF('TL04'!$B$229=J$3,SUMIF('TL04'!$C$238:$C$451,$C382,'TL04'!$J$238:$J$451),0),
IF('TL05'!$B$3=J$3,SUMIF('TL05'!$C$10:$C$224,$C382,'TL05'!$J$10:$J$224),0),
IF('TL05'!$B$229=J$3,SUMIF('TL05'!$C$238:$C$451,$C382,'TL05'!$J$238:$J$451),0),
IF('TL06'!$B$3=J$3,SUMIF('TL06'!$C$10:$C$224,$C382,'TL06'!$J$10:$J$224),0),
IF('TL06'!$B$229=J$3,SUMIF('TL06'!$C$238:$C$451,$C382,'TL06'!$J$238:$J$451),0),
IF('TL07'!$B$3=J$3,SUMIF('TL07'!$C$10:$C$224,$C382,'TL07'!$J$10:$J$224),0),
IF('TL07'!$B$229=J$3,SUMIF('TL07'!$C$238:$C$451,$C382,'TL07'!$J$238:$J$451),0),
IF('TL08'!$B$3=J$3,SUMIF('TL08'!$C$10:$C$224,$C382,'TL08'!$J$10:$J$224),0),
IF('TL08'!$B$229=J$3,SUMIF('TL08'!$C$238:$C$451,$C382,'TL08'!$J$238:$J$451),0),
IF('TL09'!$B$3=J$3,SUMIF('TL09'!$C$10:$C$224,$C382,'TL09'!$J$10:$J$224),0),
IF('TL09'!$B$229=J$3,SUMIF('TL09'!$C$238:$C$451,$C382,'TL09'!$J$238:$J$451),0),
IF('TL10'!$B$3=J$3,SUMIF('TL10'!$C$10:$C$224,$C382,'TL10'!$J$10:$J$224),0),
IF('TL10'!$B$229=J$3,SUMIF('TL10'!$C$238:$C$451,$C382,'TL10'!$J$238:$J$451),0),
IF('TL11'!$B$3=J$3,SUMIF('TL11'!$C$10:$C$224,$C382,'TL11'!$J$10:$J$224),0),
IF('TL11'!$B$229=J$3,SUMIF('TL11'!$C$238:$C$451,$C382,'TL11'!$J$238:$J$451),0),
IF('TL12'!$B$3=J$3,SUMIF('TL12'!$C$10:$C$224,$C382,'TL12'!$J$10:$J$224),0),
IF('TL12'!$B$229=J$3,SUMIF('TL12'!$C$238:$C$451,$C382,'TL12'!$J$238:$J$451),0),
IF('TL13'!$B$3=J$3,SUMIF('TL13'!$C$10:$C$224,$C382,'TL13'!$J$10:$J$224),0),
IF('TL13'!$B$229=J$3,SUMIF('TL13'!$C$238:$C$451,$C382,'TL13'!$J$238:$J$451),0),
IF('TL14'!$B$3=J$3,SUMIF('TL14'!$C$10:$C$224,$C382,'TL14'!$J$10:$J$224),0),
IF('TL14'!$B$229=J$3,SUMIF('TL14'!$C$238:$C$451,$C382,'TL14'!$J$238:$J$451),0),
IF('TL15'!$B$3=J$3,SUMIF('TL15'!$C$10:$C$224,$C382,'TL15'!$J$10:$J$224),0),
IF('TL15'!$B$229=J$3,SUMIF('TL15'!$C$238:$C$451,$C382,'TL15'!$J$238:$J$451),0),
IF('TL16'!$B$3=J$3,SUMIF('TL16'!$C$10:$C$224,$C382,'TL16'!$J$10:$J$224),0),
IF('TL16'!$B$229=J$3,SUMIF('TL16'!$C$238:$C$451,$C382,'TL16'!$J$238:$J$451),0),
IF('TL17'!$B$3=J$3,SUMIF('TL17'!$C$10:$C$224,$C382,'TL17'!$J$10:$J$224),0),
IF('TL17'!$B$229=J$3,SUMIF('TL17'!$C$238:$C$451,$C382,'TL17'!$J$238:$J$451),0),
IF('TL18'!$B$3=J$3,SUMIF('TL18'!$C$10:$C$224,$C382,'TL18'!$J$10:$J$224),0),
IF('TL18'!$B$229=J$3,SUMIF('TL18'!$C$238:$C$451,$C382,'TL18'!$J$238:$J$451),0),
IF('TL19'!$B$3=J$3,SUMIF('TL19'!$C$10:$C$224,$C382,'TL19'!$J$10:$J$224),0),
IF('TL19'!$B$229=J$3,SUMIF('TL19'!$C$238:$C$451,$C382,'TL19'!$J$238:$J$451),0)
),0)</f>
        <v/>
      </c>
      <c r="K382" s="9">
        <f>IFERROR(SUM(
IF('TL01'!$B$3=K$3,SUMIF('TL01'!$C$10:$C$224,$C382,'TL01'!$J$10:$J$224),0),
IF('TL01'!$B$229=K$3,SUMIF('TL01'!$C$238:$C$451,$C382,'TL01'!$J$238:$J$451),0),
IF('TL02'!$B$3=K$3,SUMIF('TL02'!$C$10:$C$224,$C382,'TL02'!$J$10:$J$224),0),
IF('TL02'!$B$229=K$3,SUMIF('TL02'!$C$238:$C$451,$C382,'TL02'!$J$238:$J$451),0),
IF('TL03'!$B$3=K$3,SUMIF('TL03'!$C$10:$C$224,$C382,'TL03'!$J$10:$J$224),0),
IF('TL03'!$B$229=K$3,SUMIF('TL03'!$C$238:$C$451,$C382,'TL03'!$J$238:$J$451),0),
IF('TL04'!$B$3=K$3,SUMIF('TL04'!$C$10:$C$224,$C382,'TL04'!$J$10:$J$224),0),
IF('TL04'!$B$229=K$3,SUMIF('TL04'!$C$238:$C$451,$C382,'TL04'!$J$238:$J$451),0),
IF('TL05'!$B$3=K$3,SUMIF('TL05'!$C$10:$C$224,$C382,'TL05'!$J$10:$J$224),0),
IF('TL05'!$B$229=K$3,SUMIF('TL05'!$C$238:$C$451,$C382,'TL05'!$J$238:$J$451),0),
IF('TL06'!$B$3=K$3,SUMIF('TL06'!$C$10:$C$224,$C382,'TL06'!$J$10:$J$224),0),
IF('TL06'!$B$229=K$3,SUMIF('TL06'!$C$238:$C$451,$C382,'TL06'!$J$238:$J$451),0),
IF('TL07'!$B$3=K$3,SUMIF('TL07'!$C$10:$C$224,$C382,'TL07'!$J$10:$J$224),0),
IF('TL07'!$B$229=K$3,SUMIF('TL07'!$C$238:$C$451,$C382,'TL07'!$J$238:$J$451),0),
IF('TL08'!$B$3=K$3,SUMIF('TL08'!$C$10:$C$224,$C382,'TL08'!$J$10:$J$224),0),
IF('TL08'!$B$229=K$3,SUMIF('TL08'!$C$238:$C$451,$C382,'TL08'!$J$238:$J$451),0),
IF('TL09'!$B$3=K$3,SUMIF('TL09'!$C$10:$C$224,$C382,'TL09'!$J$10:$J$224),0),
IF('TL09'!$B$229=K$3,SUMIF('TL09'!$C$238:$C$451,$C382,'TL09'!$J$238:$J$451),0),
IF('TL10'!$B$3=K$3,SUMIF('TL10'!$C$10:$C$224,$C382,'TL10'!$J$10:$J$224),0),
IF('TL10'!$B$229=K$3,SUMIF('TL10'!$C$238:$C$451,$C382,'TL10'!$J$238:$J$451),0),
IF('TL11'!$B$3=K$3,SUMIF('TL11'!$C$10:$C$224,$C382,'TL11'!$J$10:$J$224),0),
IF('TL11'!$B$229=K$3,SUMIF('TL11'!$C$238:$C$451,$C382,'TL11'!$J$238:$J$451),0),
IF('TL12'!$B$3=K$3,SUMIF('TL12'!$C$10:$C$224,$C382,'TL12'!$J$10:$J$224),0),
IF('TL12'!$B$229=K$3,SUMIF('TL12'!$C$238:$C$451,$C382,'TL12'!$J$238:$J$451),0),
IF('TL13'!$B$3=K$3,SUMIF('TL13'!$C$10:$C$224,$C382,'TL13'!$J$10:$J$224),0),
IF('TL13'!$B$229=K$3,SUMIF('TL13'!$C$238:$C$451,$C382,'TL13'!$J$238:$J$451),0),
IF('TL14'!$B$3=K$3,SUMIF('TL14'!$C$10:$C$224,$C382,'TL14'!$J$10:$J$224),0),
IF('TL14'!$B$229=K$3,SUMIF('TL14'!$C$238:$C$451,$C382,'TL14'!$J$238:$J$451),0),
IF('TL15'!$B$3=K$3,SUMIF('TL15'!$C$10:$C$224,$C382,'TL15'!$J$10:$J$224),0),
IF('TL15'!$B$229=K$3,SUMIF('TL15'!$C$238:$C$451,$C382,'TL15'!$J$238:$J$451),0),
IF('TL16'!$B$3=K$3,SUMIF('TL16'!$C$10:$C$224,$C382,'TL16'!$J$10:$J$224),0),
IF('TL16'!$B$229=K$3,SUMIF('TL16'!$C$238:$C$451,$C382,'TL16'!$J$238:$J$451),0),
IF('TL17'!$B$3=K$3,SUMIF('TL17'!$C$10:$C$224,$C382,'TL17'!$J$10:$J$224),0),
IF('TL17'!$B$229=K$3,SUMIF('TL17'!$C$238:$C$451,$C382,'TL17'!$J$238:$J$451),0),
IF('TL18'!$B$3=K$3,SUMIF('TL18'!$C$10:$C$224,$C382,'TL18'!$J$10:$J$224),0),
IF('TL18'!$B$229=K$3,SUMIF('TL18'!$C$238:$C$451,$C382,'TL18'!$J$238:$J$451),0),
IF('TL19'!$B$3=K$3,SUMIF('TL19'!$C$10:$C$224,$C382,'TL19'!$J$10:$J$224),0),
IF('TL19'!$B$229=K$3,SUMIF('TL19'!$C$238:$C$451,$C382,'TL19'!$J$238:$J$451),0)
),0)</f>
        <v/>
      </c>
      <c r="L382" s="9">
        <f>IFERROR(SUM(
IF('TL01'!$B$3=L$3,SUMIF('TL01'!$C$10:$C$224,$C382,'TL01'!$J$10:$J$224),0),
IF('TL01'!$B$229=L$3,SUMIF('TL01'!$C$238:$C$451,$C382,'TL01'!$J$238:$J$451),0),
IF('TL02'!$B$3=L$3,SUMIF('TL02'!$C$10:$C$224,$C382,'TL02'!$J$10:$J$224),0),
IF('TL02'!$B$229=L$3,SUMIF('TL02'!$C$238:$C$451,$C382,'TL02'!$J$238:$J$451),0),
IF('TL03'!$B$3=L$3,SUMIF('TL03'!$C$10:$C$224,$C382,'TL03'!$J$10:$J$224),0),
IF('TL03'!$B$229=L$3,SUMIF('TL03'!$C$238:$C$451,$C382,'TL03'!$J$238:$J$451),0),
IF('TL04'!$B$3=L$3,SUMIF('TL04'!$C$10:$C$224,$C382,'TL04'!$J$10:$J$224),0),
IF('TL04'!$B$229=L$3,SUMIF('TL04'!$C$238:$C$451,$C382,'TL04'!$J$238:$J$451),0),
IF('TL05'!$B$3=L$3,SUMIF('TL05'!$C$10:$C$224,$C382,'TL05'!$J$10:$J$224),0),
IF('TL05'!$B$229=L$3,SUMIF('TL05'!$C$238:$C$451,$C382,'TL05'!$J$238:$J$451),0),
IF('TL06'!$B$3=L$3,SUMIF('TL06'!$C$10:$C$224,$C382,'TL06'!$J$10:$J$224),0),
IF('TL06'!$B$229=L$3,SUMIF('TL06'!$C$238:$C$451,$C382,'TL06'!$J$238:$J$451),0),
IF('TL07'!$B$3=L$3,SUMIF('TL07'!$C$10:$C$224,$C382,'TL07'!$J$10:$J$224),0),
IF('TL07'!$B$229=L$3,SUMIF('TL07'!$C$238:$C$451,$C382,'TL07'!$J$238:$J$451),0),
IF('TL08'!$B$3=L$3,SUMIF('TL08'!$C$10:$C$224,$C382,'TL08'!$J$10:$J$224),0),
IF('TL08'!$B$229=L$3,SUMIF('TL08'!$C$238:$C$451,$C382,'TL08'!$J$238:$J$451),0),
IF('TL09'!$B$3=L$3,SUMIF('TL09'!$C$10:$C$224,$C382,'TL09'!$J$10:$J$224),0),
IF('TL09'!$B$229=L$3,SUMIF('TL09'!$C$238:$C$451,$C382,'TL09'!$J$238:$J$451),0),
IF('TL10'!$B$3=L$3,SUMIF('TL10'!$C$10:$C$224,$C382,'TL10'!$J$10:$J$224),0),
IF('TL10'!$B$229=L$3,SUMIF('TL10'!$C$238:$C$451,$C382,'TL10'!$J$238:$J$451),0),
IF('TL11'!$B$3=L$3,SUMIF('TL11'!$C$10:$C$224,$C382,'TL11'!$J$10:$J$224),0),
IF('TL11'!$B$229=L$3,SUMIF('TL11'!$C$238:$C$451,$C382,'TL11'!$J$238:$J$451),0),
IF('TL12'!$B$3=L$3,SUMIF('TL12'!$C$10:$C$224,$C382,'TL12'!$J$10:$J$224),0),
IF('TL12'!$B$229=L$3,SUMIF('TL12'!$C$238:$C$451,$C382,'TL12'!$J$238:$J$451),0),
IF('TL13'!$B$3=L$3,SUMIF('TL13'!$C$10:$C$224,$C382,'TL13'!$J$10:$J$224),0),
IF('TL13'!$B$229=L$3,SUMIF('TL13'!$C$238:$C$451,$C382,'TL13'!$J$238:$J$451),0),
IF('TL14'!$B$3=L$3,SUMIF('TL14'!$C$10:$C$224,$C382,'TL14'!$J$10:$J$224),0),
IF('TL14'!$B$229=L$3,SUMIF('TL14'!$C$238:$C$451,$C382,'TL14'!$J$238:$J$451),0),
IF('TL15'!$B$3=L$3,SUMIF('TL15'!$C$10:$C$224,$C382,'TL15'!$J$10:$J$224),0),
IF('TL15'!$B$229=L$3,SUMIF('TL15'!$C$238:$C$451,$C382,'TL15'!$J$238:$J$451),0),
IF('TL16'!$B$3=L$3,SUMIF('TL16'!$C$10:$C$224,$C382,'TL16'!$J$10:$J$224),0),
IF('TL16'!$B$229=L$3,SUMIF('TL16'!$C$238:$C$451,$C382,'TL16'!$J$238:$J$451),0),
IF('TL17'!$B$3=L$3,SUMIF('TL17'!$C$10:$C$224,$C382,'TL17'!$J$10:$J$224),0),
IF('TL17'!$B$229=L$3,SUMIF('TL17'!$C$238:$C$451,$C382,'TL17'!$J$238:$J$451),0),
IF('TL18'!$B$3=L$3,SUMIF('TL18'!$C$10:$C$224,$C382,'TL18'!$J$10:$J$224),0),
IF('TL18'!$B$229=L$3,SUMIF('TL18'!$C$238:$C$451,$C382,'TL18'!$J$238:$J$451),0),
IF('TL19'!$B$3=L$3,SUMIF('TL19'!$C$10:$C$224,$C382,'TL19'!$J$10:$J$224),0),
IF('TL19'!$B$229=L$3,SUMIF('TL19'!$C$238:$C$451,$C382,'TL19'!$J$238:$J$451),0)
),0)</f>
        <v/>
      </c>
      <c r="M382" s="9">
        <f>IFERROR(SUM(
IF('TL01'!$B$3=M$3,SUMIF('TL01'!$C$10:$C$224,$C382,'TL01'!$J$10:$J$224),0),
IF('TL01'!$B$229=M$3,SUMIF('TL01'!$C$238:$C$451,$C382,'TL01'!$J$238:$J$451),0),
IF('TL02'!$B$3=M$3,SUMIF('TL02'!$C$10:$C$224,$C382,'TL02'!$J$10:$J$224),0),
IF('TL02'!$B$229=M$3,SUMIF('TL02'!$C$238:$C$451,$C382,'TL02'!$J$238:$J$451),0),
IF('TL03'!$B$3=M$3,SUMIF('TL03'!$C$10:$C$224,$C382,'TL03'!$J$10:$J$224),0),
IF('TL03'!$B$229=M$3,SUMIF('TL03'!$C$238:$C$451,$C382,'TL03'!$J$238:$J$451),0),
IF('TL04'!$B$3=M$3,SUMIF('TL04'!$C$10:$C$224,$C382,'TL04'!$J$10:$J$224),0),
IF('TL04'!$B$229=M$3,SUMIF('TL04'!$C$238:$C$451,$C382,'TL04'!$J$238:$J$451),0),
IF('TL05'!$B$3=M$3,SUMIF('TL05'!$C$10:$C$224,$C382,'TL05'!$J$10:$J$224),0),
IF('TL05'!$B$229=M$3,SUMIF('TL05'!$C$238:$C$451,$C382,'TL05'!$J$238:$J$451),0),
IF('TL06'!$B$3=M$3,SUMIF('TL06'!$C$10:$C$224,$C382,'TL06'!$J$10:$J$224),0),
IF('TL06'!$B$229=M$3,SUMIF('TL06'!$C$238:$C$451,$C382,'TL06'!$J$238:$J$451),0),
IF('TL07'!$B$3=M$3,SUMIF('TL07'!$C$10:$C$224,$C382,'TL07'!$J$10:$J$224),0),
IF('TL07'!$B$229=M$3,SUMIF('TL07'!$C$238:$C$451,$C382,'TL07'!$J$238:$J$451),0),
IF('TL08'!$B$3=M$3,SUMIF('TL08'!$C$10:$C$224,$C382,'TL08'!$J$10:$J$224),0),
IF('TL08'!$B$229=M$3,SUMIF('TL08'!$C$238:$C$451,$C382,'TL08'!$J$238:$J$451),0),
IF('TL09'!$B$3=M$3,SUMIF('TL09'!$C$10:$C$224,$C382,'TL09'!$J$10:$J$224),0),
IF('TL09'!$B$229=M$3,SUMIF('TL09'!$C$238:$C$451,$C382,'TL09'!$J$238:$J$451),0),
IF('TL10'!$B$3=M$3,SUMIF('TL10'!$C$10:$C$224,$C382,'TL10'!$J$10:$J$224),0),
IF('TL10'!$B$229=M$3,SUMIF('TL10'!$C$238:$C$451,$C382,'TL10'!$J$238:$J$451),0),
IF('TL11'!$B$3=M$3,SUMIF('TL11'!$C$10:$C$224,$C382,'TL11'!$J$10:$J$224),0),
IF('TL11'!$B$229=M$3,SUMIF('TL11'!$C$238:$C$451,$C382,'TL11'!$J$238:$J$451),0),
IF('TL12'!$B$3=M$3,SUMIF('TL12'!$C$10:$C$224,$C382,'TL12'!$J$10:$J$224),0),
IF('TL12'!$B$229=M$3,SUMIF('TL12'!$C$238:$C$451,$C382,'TL12'!$J$238:$J$451),0),
IF('TL13'!$B$3=M$3,SUMIF('TL13'!$C$10:$C$224,$C382,'TL13'!$J$10:$J$224),0),
IF('TL13'!$B$229=M$3,SUMIF('TL13'!$C$238:$C$451,$C382,'TL13'!$J$238:$J$451),0),
IF('TL14'!$B$3=M$3,SUMIF('TL14'!$C$10:$C$224,$C382,'TL14'!$J$10:$J$224),0),
IF('TL14'!$B$229=M$3,SUMIF('TL14'!$C$238:$C$451,$C382,'TL14'!$J$238:$J$451),0),
IF('TL15'!$B$3=M$3,SUMIF('TL15'!$C$10:$C$224,$C382,'TL15'!$J$10:$J$224),0),
IF('TL15'!$B$229=M$3,SUMIF('TL15'!$C$238:$C$451,$C382,'TL15'!$J$238:$J$451),0),
IF('TL16'!$B$3=M$3,SUMIF('TL16'!$C$10:$C$224,$C382,'TL16'!$J$10:$J$224),0),
IF('TL16'!$B$229=M$3,SUMIF('TL16'!$C$238:$C$451,$C382,'TL16'!$J$238:$J$451),0),
IF('TL17'!$B$3=M$3,SUMIF('TL17'!$C$10:$C$224,$C382,'TL17'!$J$10:$J$224),0),
IF('TL17'!$B$229=M$3,SUMIF('TL17'!$C$238:$C$451,$C382,'TL17'!$J$238:$J$451),0),
IF('TL18'!$B$3=M$3,SUMIF('TL18'!$C$10:$C$224,$C382,'TL18'!$J$10:$J$224),0),
IF('TL18'!$B$229=M$3,SUMIF('TL18'!$C$238:$C$451,$C382,'TL18'!$J$238:$J$451),0),
IF('TL19'!$B$3=M$3,SUMIF('TL19'!$C$10:$C$224,$C382,'TL19'!$J$10:$J$224),0),
IF('TL19'!$B$229=M$3,SUMIF('TL19'!$C$238:$C$451,$C382,'TL19'!$J$238:$J$451),0)
),0)</f>
        <v/>
      </c>
      <c r="N382" s="9">
        <f>IFERROR(SUM(
IF('TL01'!$B$3=N$3,SUMIF('TL01'!$C$10:$C$224,$C382,'TL01'!$J$10:$J$224),0),
IF('TL01'!$B$229=N$3,SUMIF('TL01'!$C$238:$C$451,$C382,'TL01'!$J$238:$J$451),0),
IF('TL02'!$B$3=N$3,SUMIF('TL02'!$C$10:$C$224,$C382,'TL02'!$J$10:$J$224),0),
IF('TL02'!$B$229=N$3,SUMIF('TL02'!$C$238:$C$451,$C382,'TL02'!$J$238:$J$451),0),
IF('TL03'!$B$3=N$3,SUMIF('TL03'!$C$10:$C$224,$C382,'TL03'!$J$10:$J$224),0),
IF('TL03'!$B$229=N$3,SUMIF('TL03'!$C$238:$C$451,$C382,'TL03'!$J$238:$J$451),0),
IF('TL04'!$B$3=N$3,SUMIF('TL04'!$C$10:$C$224,$C382,'TL04'!$J$10:$J$224),0),
IF('TL04'!$B$229=N$3,SUMIF('TL04'!$C$238:$C$451,$C382,'TL04'!$J$238:$J$451),0),
IF('TL05'!$B$3=N$3,SUMIF('TL05'!$C$10:$C$224,$C382,'TL05'!$J$10:$J$224),0),
IF('TL05'!$B$229=N$3,SUMIF('TL05'!$C$238:$C$451,$C382,'TL05'!$J$238:$J$451),0),
IF('TL06'!$B$3=N$3,SUMIF('TL06'!$C$10:$C$224,$C382,'TL06'!$J$10:$J$224),0),
IF('TL06'!$B$229=N$3,SUMIF('TL06'!$C$238:$C$451,$C382,'TL06'!$J$238:$J$451),0),
IF('TL07'!$B$3=N$3,SUMIF('TL07'!$C$10:$C$224,$C382,'TL07'!$J$10:$J$224),0),
IF('TL07'!$B$229=N$3,SUMIF('TL07'!$C$238:$C$451,$C382,'TL07'!$J$238:$J$451),0),
IF('TL08'!$B$3=N$3,SUMIF('TL08'!$C$10:$C$224,$C382,'TL08'!$J$10:$J$224),0),
IF('TL08'!$B$229=N$3,SUMIF('TL08'!$C$238:$C$451,$C382,'TL08'!$J$238:$J$451),0),
IF('TL09'!$B$3=N$3,SUMIF('TL09'!$C$10:$C$224,$C382,'TL09'!$J$10:$J$224),0),
IF('TL09'!$B$229=N$3,SUMIF('TL09'!$C$238:$C$451,$C382,'TL09'!$J$238:$J$451),0),
IF('TL10'!$B$3=N$3,SUMIF('TL10'!$C$10:$C$224,$C382,'TL10'!$J$10:$J$224),0),
IF('TL10'!$B$229=N$3,SUMIF('TL10'!$C$238:$C$451,$C382,'TL10'!$J$238:$J$451),0),
IF('TL11'!$B$3=N$3,SUMIF('TL11'!$C$10:$C$224,$C382,'TL11'!$J$10:$J$224),0),
IF('TL11'!$B$229=N$3,SUMIF('TL11'!$C$238:$C$451,$C382,'TL11'!$J$238:$J$451),0),
IF('TL12'!$B$3=N$3,SUMIF('TL12'!$C$10:$C$224,$C382,'TL12'!$J$10:$J$224),0),
IF('TL12'!$B$229=N$3,SUMIF('TL12'!$C$238:$C$451,$C382,'TL12'!$J$238:$J$451),0),
IF('TL13'!$B$3=N$3,SUMIF('TL13'!$C$10:$C$224,$C382,'TL13'!$J$10:$J$224),0),
IF('TL13'!$B$229=N$3,SUMIF('TL13'!$C$238:$C$451,$C382,'TL13'!$J$238:$J$451),0),
IF('TL14'!$B$3=N$3,SUMIF('TL14'!$C$10:$C$224,$C382,'TL14'!$J$10:$J$224),0),
IF('TL14'!$B$229=N$3,SUMIF('TL14'!$C$238:$C$451,$C382,'TL14'!$J$238:$J$451),0),
IF('TL15'!$B$3=N$3,SUMIF('TL15'!$C$10:$C$224,$C382,'TL15'!$J$10:$J$224),0),
IF('TL15'!$B$229=N$3,SUMIF('TL15'!$C$238:$C$451,$C382,'TL15'!$J$238:$J$451),0),
IF('TL16'!$B$3=N$3,SUMIF('TL16'!$C$10:$C$224,$C382,'TL16'!$J$10:$J$224),0),
IF('TL16'!$B$229=N$3,SUMIF('TL16'!$C$238:$C$451,$C382,'TL16'!$J$238:$J$451),0),
IF('TL17'!$B$3=N$3,SUMIF('TL17'!$C$10:$C$224,$C382,'TL17'!$J$10:$J$224),0),
IF('TL17'!$B$229=N$3,SUMIF('TL17'!$C$238:$C$451,$C382,'TL17'!$J$238:$J$451),0),
IF('TL18'!$B$3=N$3,SUMIF('TL18'!$C$10:$C$224,$C382,'TL18'!$J$10:$J$224),0),
IF('TL18'!$B$229=N$3,SUMIF('TL18'!$C$238:$C$451,$C382,'TL18'!$J$238:$J$451),0),
IF('TL19'!$B$3=N$3,SUMIF('TL19'!$C$10:$C$224,$C382,'TL19'!$J$10:$J$224),0),
IF('TL19'!$B$229=N$3,SUMIF('TL19'!$C$238:$C$451,$C382,'TL19'!$J$238:$J$451),0)
),0)</f>
        <v/>
      </c>
      <c r="O382" s="9">
        <f>IFERROR(SUM(
IF('TL01'!$B$3=O$3,SUMIF('TL01'!$C$10:$C$224,$C382,'TL01'!$J$10:$J$224),0),
IF('TL01'!$B$229=O$3,SUMIF('TL01'!$C$238:$C$451,$C382,'TL01'!$J$238:$J$451),0),
IF('TL02'!$B$3=O$3,SUMIF('TL02'!$C$10:$C$224,$C382,'TL02'!$J$10:$J$224),0),
IF('TL02'!$B$229=O$3,SUMIF('TL02'!$C$238:$C$451,$C382,'TL02'!$J$238:$J$451),0),
IF('TL03'!$B$3=O$3,SUMIF('TL03'!$C$10:$C$224,$C382,'TL03'!$J$10:$J$224),0),
IF('TL03'!$B$229=O$3,SUMIF('TL03'!$C$238:$C$451,$C382,'TL03'!$J$238:$J$451),0),
IF('TL04'!$B$3=O$3,SUMIF('TL04'!$C$10:$C$224,$C382,'TL04'!$J$10:$J$224),0),
IF('TL04'!$B$229=O$3,SUMIF('TL04'!$C$238:$C$451,$C382,'TL04'!$J$238:$J$451),0),
IF('TL05'!$B$3=O$3,SUMIF('TL05'!$C$10:$C$224,$C382,'TL05'!$J$10:$J$224),0),
IF('TL05'!$B$229=O$3,SUMIF('TL05'!$C$238:$C$451,$C382,'TL05'!$J$238:$J$451),0),
IF('TL06'!$B$3=O$3,SUMIF('TL06'!$C$10:$C$224,$C382,'TL06'!$J$10:$J$224),0),
IF('TL06'!$B$229=O$3,SUMIF('TL06'!$C$238:$C$451,$C382,'TL06'!$J$238:$J$451),0),
IF('TL07'!$B$3=O$3,SUMIF('TL07'!$C$10:$C$224,$C382,'TL07'!$J$10:$J$224),0),
IF('TL07'!$B$229=O$3,SUMIF('TL07'!$C$238:$C$451,$C382,'TL07'!$J$238:$J$451),0),
IF('TL08'!$B$3=O$3,SUMIF('TL08'!$C$10:$C$224,$C382,'TL08'!$J$10:$J$224),0),
IF('TL08'!$B$229=O$3,SUMIF('TL08'!$C$238:$C$451,$C382,'TL08'!$J$238:$J$451),0),
IF('TL09'!$B$3=O$3,SUMIF('TL09'!$C$10:$C$224,$C382,'TL09'!$J$10:$J$224),0),
IF('TL09'!$B$229=O$3,SUMIF('TL09'!$C$238:$C$451,$C382,'TL09'!$J$238:$J$451),0),
IF('TL10'!$B$3=O$3,SUMIF('TL10'!$C$10:$C$224,$C382,'TL10'!$J$10:$J$224),0),
IF('TL10'!$B$229=O$3,SUMIF('TL10'!$C$238:$C$451,$C382,'TL10'!$J$238:$J$451),0),
IF('TL11'!$B$3=O$3,SUMIF('TL11'!$C$10:$C$224,$C382,'TL11'!$J$10:$J$224),0),
IF('TL11'!$B$229=O$3,SUMIF('TL11'!$C$238:$C$451,$C382,'TL11'!$J$238:$J$451),0),
IF('TL12'!$B$3=O$3,SUMIF('TL12'!$C$10:$C$224,$C382,'TL12'!$J$10:$J$224),0),
IF('TL12'!$B$229=O$3,SUMIF('TL12'!$C$238:$C$451,$C382,'TL12'!$J$238:$J$451),0),
IF('TL13'!$B$3=O$3,SUMIF('TL13'!$C$10:$C$224,$C382,'TL13'!$J$10:$J$224),0),
IF('TL13'!$B$229=O$3,SUMIF('TL13'!$C$238:$C$451,$C382,'TL13'!$J$238:$J$451),0),
IF('TL14'!$B$3=O$3,SUMIF('TL14'!$C$10:$C$224,$C382,'TL14'!$J$10:$J$224),0),
IF('TL14'!$B$229=O$3,SUMIF('TL14'!$C$238:$C$451,$C382,'TL14'!$J$238:$J$451),0),
IF('TL15'!$B$3=O$3,SUMIF('TL15'!$C$10:$C$224,$C382,'TL15'!$J$10:$J$224),0),
IF('TL15'!$B$229=O$3,SUMIF('TL15'!$C$238:$C$451,$C382,'TL15'!$J$238:$J$451),0),
IF('TL16'!$B$3=O$3,SUMIF('TL16'!$C$10:$C$224,$C382,'TL16'!$J$10:$J$224),0),
IF('TL16'!$B$229=O$3,SUMIF('TL16'!$C$238:$C$451,$C382,'TL16'!$J$238:$J$451),0),
IF('TL17'!$B$3=O$3,SUMIF('TL17'!$C$10:$C$224,$C382,'TL17'!$J$10:$J$224),0),
IF('TL17'!$B$229=O$3,SUMIF('TL17'!$C$238:$C$451,$C382,'TL17'!$J$238:$J$451),0),
IF('TL18'!$B$3=O$3,SUMIF('TL18'!$C$10:$C$224,$C382,'TL18'!$J$10:$J$224),0),
IF('TL18'!$B$229=O$3,SUMIF('TL18'!$C$238:$C$451,$C382,'TL18'!$J$238:$J$451),0),
IF('TL19'!$B$3=O$3,SUMIF('TL19'!$C$10:$C$224,$C382,'TL19'!$J$10:$J$224),0),
IF('TL19'!$B$229=O$3,SUMIF('TL19'!$C$238:$C$451,$C382,'TL19'!$J$238:$J$451),0)
),0)</f>
        <v/>
      </c>
      <c r="P382" s="9">
        <f>IFERROR(SUM(
IF('TL01'!$B$3=P$3,SUMIF('TL01'!$C$10:$C$224,$C382,'TL01'!$J$10:$J$224),0),
IF('TL01'!$B$229=P$3,SUMIF('TL01'!$C$238:$C$451,$C382,'TL01'!$J$238:$J$451),0),
IF('TL02'!$B$3=P$3,SUMIF('TL02'!$C$10:$C$224,$C382,'TL02'!$J$10:$J$224),0),
IF('TL02'!$B$229=P$3,SUMIF('TL02'!$C$238:$C$451,$C382,'TL02'!$J$238:$J$451),0),
IF('TL03'!$B$3=P$3,SUMIF('TL03'!$C$10:$C$224,$C382,'TL03'!$J$10:$J$224),0),
IF('TL03'!$B$229=P$3,SUMIF('TL03'!$C$238:$C$451,$C382,'TL03'!$J$238:$J$451),0),
IF('TL04'!$B$3=P$3,SUMIF('TL04'!$C$10:$C$224,$C382,'TL04'!$J$10:$J$224),0),
IF('TL04'!$B$229=P$3,SUMIF('TL04'!$C$238:$C$451,$C382,'TL04'!$J$238:$J$451),0),
IF('TL05'!$B$3=P$3,SUMIF('TL05'!$C$10:$C$224,$C382,'TL05'!$J$10:$J$224),0),
IF('TL05'!$B$229=P$3,SUMIF('TL05'!$C$238:$C$451,$C382,'TL05'!$J$238:$J$451),0),
IF('TL06'!$B$3=P$3,SUMIF('TL06'!$C$10:$C$224,$C382,'TL06'!$J$10:$J$224),0),
IF('TL06'!$B$229=P$3,SUMIF('TL06'!$C$238:$C$451,$C382,'TL06'!$J$238:$J$451),0),
IF('TL07'!$B$3=P$3,SUMIF('TL07'!$C$10:$C$224,$C382,'TL07'!$J$10:$J$224),0),
IF('TL07'!$B$229=P$3,SUMIF('TL07'!$C$238:$C$451,$C382,'TL07'!$J$238:$J$451),0),
IF('TL08'!$B$3=P$3,SUMIF('TL08'!$C$10:$C$224,$C382,'TL08'!$J$10:$J$224),0),
IF('TL08'!$B$229=P$3,SUMIF('TL08'!$C$238:$C$451,$C382,'TL08'!$J$238:$J$451),0),
IF('TL09'!$B$3=P$3,SUMIF('TL09'!$C$10:$C$224,$C382,'TL09'!$J$10:$J$224),0),
IF('TL09'!$B$229=P$3,SUMIF('TL09'!$C$238:$C$451,$C382,'TL09'!$J$238:$J$451),0),
IF('TL10'!$B$3=P$3,SUMIF('TL10'!$C$10:$C$224,$C382,'TL10'!$J$10:$J$224),0),
IF('TL10'!$B$229=P$3,SUMIF('TL10'!$C$238:$C$451,$C382,'TL10'!$J$238:$J$451),0),
IF('TL11'!$B$3=P$3,SUMIF('TL11'!$C$10:$C$224,$C382,'TL11'!$J$10:$J$224),0),
IF('TL11'!$B$229=P$3,SUMIF('TL11'!$C$238:$C$451,$C382,'TL11'!$J$238:$J$451),0),
IF('TL12'!$B$3=P$3,SUMIF('TL12'!$C$10:$C$224,$C382,'TL12'!$J$10:$J$224),0),
IF('TL12'!$B$229=P$3,SUMIF('TL12'!$C$238:$C$451,$C382,'TL12'!$J$238:$J$451),0),
IF('TL13'!$B$3=P$3,SUMIF('TL13'!$C$10:$C$224,$C382,'TL13'!$J$10:$J$224),0),
IF('TL13'!$B$229=P$3,SUMIF('TL13'!$C$238:$C$451,$C382,'TL13'!$J$238:$J$451),0),
IF('TL14'!$B$3=P$3,SUMIF('TL14'!$C$10:$C$224,$C382,'TL14'!$J$10:$J$224),0),
IF('TL14'!$B$229=P$3,SUMIF('TL14'!$C$238:$C$451,$C382,'TL14'!$J$238:$J$451),0),
IF('TL15'!$B$3=P$3,SUMIF('TL15'!$C$10:$C$224,$C382,'TL15'!$J$10:$J$224),0),
IF('TL15'!$B$229=P$3,SUMIF('TL15'!$C$238:$C$451,$C382,'TL15'!$J$238:$J$451),0),
IF('TL16'!$B$3=P$3,SUMIF('TL16'!$C$10:$C$224,$C382,'TL16'!$J$10:$J$224),0),
IF('TL16'!$B$229=P$3,SUMIF('TL16'!$C$238:$C$451,$C382,'TL16'!$J$238:$J$451),0),
IF('TL17'!$B$3=P$3,SUMIF('TL17'!$C$10:$C$224,$C382,'TL17'!$J$10:$J$224),0),
IF('TL17'!$B$229=P$3,SUMIF('TL17'!$C$238:$C$451,$C382,'TL17'!$J$238:$J$451),0),
IF('TL18'!$B$3=P$3,SUMIF('TL18'!$C$10:$C$224,$C382,'TL18'!$J$10:$J$224),0),
IF('TL18'!$B$229=P$3,SUMIF('TL18'!$C$238:$C$451,$C382,'TL18'!$J$238:$J$451),0),
IF('TL19'!$B$3=P$3,SUMIF('TL19'!$C$10:$C$224,$C382,'TL19'!$J$10:$J$224),0),
IF('TL19'!$B$229=P$3,SUMIF('TL19'!$C$238:$C$451,$C382,'TL19'!$J$238:$J$451),0)
),0)</f>
        <v/>
      </c>
      <c r="Q382" s="9">
        <f>IFERROR(SUM(
IF('TL01'!$B$3=Q$3,SUMIF('TL01'!$C$10:$C$224,$C382,'TL01'!$J$10:$J$224),0),
IF('TL01'!$B$229=Q$3,SUMIF('TL01'!$C$238:$C$451,$C382,'TL01'!$J$238:$J$451),0),
IF('TL02'!$B$3=Q$3,SUMIF('TL02'!$C$10:$C$224,$C382,'TL02'!$J$10:$J$224),0),
IF('TL02'!$B$229=Q$3,SUMIF('TL02'!$C$238:$C$451,$C382,'TL02'!$J$238:$J$451),0),
IF('TL03'!$B$3=Q$3,SUMIF('TL03'!$C$10:$C$224,$C382,'TL03'!$J$10:$J$224),0),
IF('TL03'!$B$229=Q$3,SUMIF('TL03'!$C$238:$C$451,$C382,'TL03'!$J$238:$J$451),0),
IF('TL04'!$B$3=Q$3,SUMIF('TL04'!$C$10:$C$224,$C382,'TL04'!$J$10:$J$224),0),
IF('TL04'!$B$229=Q$3,SUMIF('TL04'!$C$238:$C$451,$C382,'TL04'!$J$238:$J$451),0),
IF('TL05'!$B$3=Q$3,SUMIF('TL05'!$C$10:$C$224,$C382,'TL05'!$J$10:$J$224),0),
IF('TL05'!$B$229=Q$3,SUMIF('TL05'!$C$238:$C$451,$C382,'TL05'!$J$238:$J$451),0),
IF('TL06'!$B$3=Q$3,SUMIF('TL06'!$C$10:$C$224,$C382,'TL06'!$J$10:$J$224),0),
IF('TL06'!$B$229=Q$3,SUMIF('TL06'!$C$238:$C$451,$C382,'TL06'!$J$238:$J$451),0),
IF('TL07'!$B$3=Q$3,SUMIF('TL07'!$C$10:$C$224,$C382,'TL07'!$J$10:$J$224),0),
IF('TL07'!$B$229=Q$3,SUMIF('TL07'!$C$238:$C$451,$C382,'TL07'!$J$238:$J$451),0),
IF('TL08'!$B$3=Q$3,SUMIF('TL08'!$C$10:$C$224,$C382,'TL08'!$J$10:$J$224),0),
IF('TL08'!$B$229=Q$3,SUMIF('TL08'!$C$238:$C$451,$C382,'TL08'!$J$238:$J$451),0),
IF('TL09'!$B$3=Q$3,SUMIF('TL09'!$C$10:$C$224,$C382,'TL09'!$J$10:$J$224),0),
IF('TL09'!$B$229=Q$3,SUMIF('TL09'!$C$238:$C$451,$C382,'TL09'!$J$238:$J$451),0),
IF('TL10'!$B$3=Q$3,SUMIF('TL10'!$C$10:$C$224,$C382,'TL10'!$J$10:$J$224),0),
IF('TL10'!$B$229=Q$3,SUMIF('TL10'!$C$238:$C$451,$C382,'TL10'!$J$238:$J$451),0),
IF('TL11'!$B$3=Q$3,SUMIF('TL11'!$C$10:$C$224,$C382,'TL11'!$J$10:$J$224),0),
IF('TL11'!$B$229=Q$3,SUMIF('TL11'!$C$238:$C$451,$C382,'TL11'!$J$238:$J$451),0),
IF('TL12'!$B$3=Q$3,SUMIF('TL12'!$C$10:$C$224,$C382,'TL12'!$J$10:$J$224),0),
IF('TL12'!$B$229=Q$3,SUMIF('TL12'!$C$238:$C$451,$C382,'TL12'!$J$238:$J$451),0),
IF('TL13'!$B$3=Q$3,SUMIF('TL13'!$C$10:$C$224,$C382,'TL13'!$J$10:$J$224),0),
IF('TL13'!$B$229=Q$3,SUMIF('TL13'!$C$238:$C$451,$C382,'TL13'!$J$238:$J$451),0),
IF('TL14'!$B$3=Q$3,SUMIF('TL14'!$C$10:$C$224,$C382,'TL14'!$J$10:$J$224),0),
IF('TL14'!$B$229=Q$3,SUMIF('TL14'!$C$238:$C$451,$C382,'TL14'!$J$238:$J$451),0),
IF('TL15'!$B$3=Q$3,SUMIF('TL15'!$C$10:$C$224,$C382,'TL15'!$J$10:$J$224),0),
IF('TL15'!$B$229=Q$3,SUMIF('TL15'!$C$238:$C$451,$C382,'TL15'!$J$238:$J$451),0),
IF('TL16'!$B$3=Q$3,SUMIF('TL16'!$C$10:$C$224,$C382,'TL16'!$J$10:$J$224),0),
IF('TL16'!$B$229=Q$3,SUMIF('TL16'!$C$238:$C$451,$C382,'TL16'!$J$238:$J$451),0),
IF('TL17'!$B$3=Q$3,SUMIF('TL17'!$C$10:$C$224,$C382,'TL17'!$J$10:$J$224),0),
IF('TL17'!$B$229=Q$3,SUMIF('TL17'!$C$238:$C$451,$C382,'TL17'!$J$238:$J$451),0),
IF('TL18'!$B$3=Q$3,SUMIF('TL18'!$C$10:$C$224,$C382,'TL18'!$J$10:$J$224),0),
IF('TL18'!$B$229=Q$3,SUMIF('TL18'!$C$238:$C$451,$C382,'TL18'!$J$238:$J$451),0),
IF('TL19'!$B$3=Q$3,SUMIF('TL19'!$C$10:$C$224,$C382,'TL19'!$J$10:$J$224),0),
IF('TL19'!$B$229=Q$3,SUMIF('TL19'!$C$238:$C$451,$C382,'TL19'!$J$238:$J$451),0)
),0)</f>
        <v/>
      </c>
      <c r="R382" s="9">
        <f>IFERROR(
SUM(
SUMIF('TL01'!C:C,C382,'TL01'!J:J),
SUMIF('TL02'!C:C,C382,'TL02'!J:J),
SUMIF('TL03'!C:C,C382,'TL03'!J:J),
SUMIF('TL04'!C:C,C382,'TL04'!J:J),
SUMIF('TL05'!C:C,C382,'TL05'!J:J),
SUMIF('TL06'!C:C,C382,'TL06'!J:J),
SUMIF('TL07'!C:C,C382,'TL07'!J:J),
SUMIF('TL08'!C:C,C382,'TL08'!J:J),
SUMIF('TL09'!C:C,C382,'TL09'!J:J),
SUMIF('TL10'!C:C,C382,'TL10'!J:J),
SUMIF('TL11'!C:C,C382,'TL11'!J:J),
SUMIF('TL12'!C:C,C382,'TL12'!J:J),
SUMIF('TL13'!C:C,C382,'TL13'!J:J),
SUMIF('TL14'!C:C,C382,'TL14'!J:J),
SUMIF('TL15'!C:C,C382,'TL15'!J:J),
SUMIF('TL16'!C:C,C382,'TL16'!J:J),
SUMIF('TL17'!C:C,C382,'TL17'!J:J),
SUMIF('TL18'!C:C,C382,'TL18'!J:J),SUMIF('TL19'!C:C,C382,'TL19'!J:J))
,0)</f>
        <v/>
      </c>
      <c r="S382" s="17">
        <f>IFERROR(__xludf.DUMMYFUNCTION("IFERROR(VLOOKUP(C382,
IMPORTRANGE(""1wULbzX32WdYsx-lj2U3uUNBBe2INVIRDtcK0d-Dvl90"",
""26-27!C:G""),
5,
FALSE),
"""")"),5.88)</f>
        <v/>
      </c>
      <c r="T382" s="9" t="n"/>
      <c r="U382" s="92">
        <f>MAX(0,R382-T382)</f>
        <v/>
      </c>
      <c r="V382" s="93">
        <f>U382*S382</f>
        <v/>
      </c>
    </row>
    <row r="383" hidden="1" ht="15.75" customHeight="1" s="297">
      <c r="A383" s="4" t="inlineStr">
        <is>
          <t>SOLUBIO</t>
        </is>
      </c>
      <c r="B383" s="4" t="inlineStr">
        <is>
          <t>BIOLÓGICOS</t>
        </is>
      </c>
      <c r="C383" s="130" t="inlineStr">
        <is>
          <t>Bio Bokashi Kit On-farm</t>
        </is>
      </c>
      <c r="D383" s="129" t="inlineStr">
        <is>
          <t>Kit On-farm</t>
        </is>
      </c>
      <c r="E383" s="122" t="n"/>
      <c r="F383" s="4" t="n"/>
      <c r="G383" s="90">
        <f>HYPERLINK("https://www.google.com/search?q=" &amp; C383 &amp; "+bula+agrofit+pdf", "📄 Ver bula")</f>
        <v/>
      </c>
      <c r="H383" s="9" t="n"/>
      <c r="I383" s="123" t="n"/>
      <c r="J383" s="9">
        <f>IFERROR(SUM(
IF('TL01'!$B$3=J$3,SUMIF('TL01'!$C$10:$C$224,$C383,'TL01'!$J$10:$J$224),0),
IF('TL01'!$B$229=J$3,SUMIF('TL01'!$C$238:$C$451,$C383,'TL01'!$J$238:$J$451),0),
IF('TL02'!$B$3=J$3,SUMIF('TL02'!$C$10:$C$224,$C383,'TL02'!$J$10:$J$224),0),
IF('TL02'!$B$229=J$3,SUMIF('TL02'!$C$238:$C$451,$C383,'TL02'!$J$238:$J$451),0),
IF('TL03'!$B$3=J$3,SUMIF('TL03'!$C$10:$C$224,$C383,'TL03'!$J$10:$J$224),0),
IF('TL03'!$B$229=J$3,SUMIF('TL03'!$C$238:$C$451,$C383,'TL03'!$J$238:$J$451),0),
IF('TL04'!$B$3=J$3,SUMIF('TL04'!$C$10:$C$224,$C383,'TL04'!$J$10:$J$224),0),
IF('TL04'!$B$229=J$3,SUMIF('TL04'!$C$238:$C$451,$C383,'TL04'!$J$238:$J$451),0),
IF('TL05'!$B$3=J$3,SUMIF('TL05'!$C$10:$C$224,$C383,'TL05'!$J$10:$J$224),0),
IF('TL05'!$B$229=J$3,SUMIF('TL05'!$C$238:$C$451,$C383,'TL05'!$J$238:$J$451),0),
IF('TL06'!$B$3=J$3,SUMIF('TL06'!$C$10:$C$224,$C383,'TL06'!$J$10:$J$224),0),
IF('TL06'!$B$229=J$3,SUMIF('TL06'!$C$238:$C$451,$C383,'TL06'!$J$238:$J$451),0),
IF('TL07'!$B$3=J$3,SUMIF('TL07'!$C$10:$C$224,$C383,'TL07'!$J$10:$J$224),0),
IF('TL07'!$B$229=J$3,SUMIF('TL07'!$C$238:$C$451,$C383,'TL07'!$J$238:$J$451),0),
IF('TL08'!$B$3=J$3,SUMIF('TL08'!$C$10:$C$224,$C383,'TL08'!$J$10:$J$224),0),
IF('TL08'!$B$229=J$3,SUMIF('TL08'!$C$238:$C$451,$C383,'TL08'!$J$238:$J$451),0),
IF('TL09'!$B$3=J$3,SUMIF('TL09'!$C$10:$C$224,$C383,'TL09'!$J$10:$J$224),0),
IF('TL09'!$B$229=J$3,SUMIF('TL09'!$C$238:$C$451,$C383,'TL09'!$J$238:$J$451),0),
IF('TL10'!$B$3=J$3,SUMIF('TL10'!$C$10:$C$224,$C383,'TL10'!$J$10:$J$224),0),
IF('TL10'!$B$229=J$3,SUMIF('TL10'!$C$238:$C$451,$C383,'TL10'!$J$238:$J$451),0),
IF('TL11'!$B$3=J$3,SUMIF('TL11'!$C$10:$C$224,$C383,'TL11'!$J$10:$J$224),0),
IF('TL11'!$B$229=J$3,SUMIF('TL11'!$C$238:$C$451,$C383,'TL11'!$J$238:$J$451),0),
IF('TL12'!$B$3=J$3,SUMIF('TL12'!$C$10:$C$224,$C383,'TL12'!$J$10:$J$224),0),
IF('TL12'!$B$229=J$3,SUMIF('TL12'!$C$238:$C$451,$C383,'TL12'!$J$238:$J$451),0),
IF('TL13'!$B$3=J$3,SUMIF('TL13'!$C$10:$C$224,$C383,'TL13'!$J$10:$J$224),0),
IF('TL13'!$B$229=J$3,SUMIF('TL13'!$C$238:$C$451,$C383,'TL13'!$J$238:$J$451),0),
IF('TL14'!$B$3=J$3,SUMIF('TL14'!$C$10:$C$224,$C383,'TL14'!$J$10:$J$224),0),
IF('TL14'!$B$229=J$3,SUMIF('TL14'!$C$238:$C$451,$C383,'TL14'!$J$238:$J$451),0),
IF('TL15'!$B$3=J$3,SUMIF('TL15'!$C$10:$C$224,$C383,'TL15'!$J$10:$J$224),0),
IF('TL15'!$B$229=J$3,SUMIF('TL15'!$C$238:$C$451,$C383,'TL15'!$J$238:$J$451),0),
IF('TL16'!$B$3=J$3,SUMIF('TL16'!$C$10:$C$224,$C383,'TL16'!$J$10:$J$224),0),
IF('TL16'!$B$229=J$3,SUMIF('TL16'!$C$238:$C$451,$C383,'TL16'!$J$238:$J$451),0),
IF('TL17'!$B$3=J$3,SUMIF('TL17'!$C$10:$C$224,$C383,'TL17'!$J$10:$J$224),0),
IF('TL17'!$B$229=J$3,SUMIF('TL17'!$C$238:$C$451,$C383,'TL17'!$J$238:$J$451),0),
IF('TL18'!$B$3=J$3,SUMIF('TL18'!$C$10:$C$224,$C383,'TL18'!$J$10:$J$224),0),
IF('TL18'!$B$229=J$3,SUMIF('TL18'!$C$238:$C$451,$C383,'TL18'!$J$238:$J$451),0),
IF('TL19'!$B$3=J$3,SUMIF('TL19'!$C$10:$C$224,$C383,'TL19'!$J$10:$J$224),0),
IF('TL19'!$B$229=J$3,SUMIF('TL19'!$C$238:$C$451,$C383,'TL19'!$J$238:$J$451),0)
),0)</f>
        <v/>
      </c>
      <c r="K383" s="9">
        <f>IFERROR(SUM(
IF('TL01'!$B$3=K$3,SUMIF('TL01'!$C$10:$C$224,$C383,'TL01'!$J$10:$J$224),0),
IF('TL01'!$B$229=K$3,SUMIF('TL01'!$C$238:$C$451,$C383,'TL01'!$J$238:$J$451),0),
IF('TL02'!$B$3=K$3,SUMIF('TL02'!$C$10:$C$224,$C383,'TL02'!$J$10:$J$224),0),
IF('TL02'!$B$229=K$3,SUMIF('TL02'!$C$238:$C$451,$C383,'TL02'!$J$238:$J$451),0),
IF('TL03'!$B$3=K$3,SUMIF('TL03'!$C$10:$C$224,$C383,'TL03'!$J$10:$J$224),0),
IF('TL03'!$B$229=K$3,SUMIF('TL03'!$C$238:$C$451,$C383,'TL03'!$J$238:$J$451),0),
IF('TL04'!$B$3=K$3,SUMIF('TL04'!$C$10:$C$224,$C383,'TL04'!$J$10:$J$224),0),
IF('TL04'!$B$229=K$3,SUMIF('TL04'!$C$238:$C$451,$C383,'TL04'!$J$238:$J$451),0),
IF('TL05'!$B$3=K$3,SUMIF('TL05'!$C$10:$C$224,$C383,'TL05'!$J$10:$J$224),0),
IF('TL05'!$B$229=K$3,SUMIF('TL05'!$C$238:$C$451,$C383,'TL05'!$J$238:$J$451),0),
IF('TL06'!$B$3=K$3,SUMIF('TL06'!$C$10:$C$224,$C383,'TL06'!$J$10:$J$224),0),
IF('TL06'!$B$229=K$3,SUMIF('TL06'!$C$238:$C$451,$C383,'TL06'!$J$238:$J$451),0),
IF('TL07'!$B$3=K$3,SUMIF('TL07'!$C$10:$C$224,$C383,'TL07'!$J$10:$J$224),0),
IF('TL07'!$B$229=K$3,SUMIF('TL07'!$C$238:$C$451,$C383,'TL07'!$J$238:$J$451),0),
IF('TL08'!$B$3=K$3,SUMIF('TL08'!$C$10:$C$224,$C383,'TL08'!$J$10:$J$224),0),
IF('TL08'!$B$229=K$3,SUMIF('TL08'!$C$238:$C$451,$C383,'TL08'!$J$238:$J$451),0),
IF('TL09'!$B$3=K$3,SUMIF('TL09'!$C$10:$C$224,$C383,'TL09'!$J$10:$J$224),0),
IF('TL09'!$B$229=K$3,SUMIF('TL09'!$C$238:$C$451,$C383,'TL09'!$J$238:$J$451),0),
IF('TL10'!$B$3=K$3,SUMIF('TL10'!$C$10:$C$224,$C383,'TL10'!$J$10:$J$224),0),
IF('TL10'!$B$229=K$3,SUMIF('TL10'!$C$238:$C$451,$C383,'TL10'!$J$238:$J$451),0),
IF('TL11'!$B$3=K$3,SUMIF('TL11'!$C$10:$C$224,$C383,'TL11'!$J$10:$J$224),0),
IF('TL11'!$B$229=K$3,SUMIF('TL11'!$C$238:$C$451,$C383,'TL11'!$J$238:$J$451),0),
IF('TL12'!$B$3=K$3,SUMIF('TL12'!$C$10:$C$224,$C383,'TL12'!$J$10:$J$224),0),
IF('TL12'!$B$229=K$3,SUMIF('TL12'!$C$238:$C$451,$C383,'TL12'!$J$238:$J$451),0),
IF('TL13'!$B$3=K$3,SUMIF('TL13'!$C$10:$C$224,$C383,'TL13'!$J$10:$J$224),0),
IF('TL13'!$B$229=K$3,SUMIF('TL13'!$C$238:$C$451,$C383,'TL13'!$J$238:$J$451),0),
IF('TL14'!$B$3=K$3,SUMIF('TL14'!$C$10:$C$224,$C383,'TL14'!$J$10:$J$224),0),
IF('TL14'!$B$229=K$3,SUMIF('TL14'!$C$238:$C$451,$C383,'TL14'!$J$238:$J$451),0),
IF('TL15'!$B$3=K$3,SUMIF('TL15'!$C$10:$C$224,$C383,'TL15'!$J$10:$J$224),0),
IF('TL15'!$B$229=K$3,SUMIF('TL15'!$C$238:$C$451,$C383,'TL15'!$J$238:$J$451),0),
IF('TL16'!$B$3=K$3,SUMIF('TL16'!$C$10:$C$224,$C383,'TL16'!$J$10:$J$224),0),
IF('TL16'!$B$229=K$3,SUMIF('TL16'!$C$238:$C$451,$C383,'TL16'!$J$238:$J$451),0),
IF('TL17'!$B$3=K$3,SUMIF('TL17'!$C$10:$C$224,$C383,'TL17'!$J$10:$J$224),0),
IF('TL17'!$B$229=K$3,SUMIF('TL17'!$C$238:$C$451,$C383,'TL17'!$J$238:$J$451),0),
IF('TL18'!$B$3=K$3,SUMIF('TL18'!$C$10:$C$224,$C383,'TL18'!$J$10:$J$224),0),
IF('TL18'!$B$229=K$3,SUMIF('TL18'!$C$238:$C$451,$C383,'TL18'!$J$238:$J$451),0),
IF('TL19'!$B$3=K$3,SUMIF('TL19'!$C$10:$C$224,$C383,'TL19'!$J$10:$J$224),0),
IF('TL19'!$B$229=K$3,SUMIF('TL19'!$C$238:$C$451,$C383,'TL19'!$J$238:$J$451),0)
),0)</f>
        <v/>
      </c>
      <c r="L383" s="9">
        <f>IFERROR(SUM(
IF('TL01'!$B$3=L$3,SUMIF('TL01'!$C$10:$C$224,$C383,'TL01'!$J$10:$J$224),0),
IF('TL01'!$B$229=L$3,SUMIF('TL01'!$C$238:$C$451,$C383,'TL01'!$J$238:$J$451),0),
IF('TL02'!$B$3=L$3,SUMIF('TL02'!$C$10:$C$224,$C383,'TL02'!$J$10:$J$224),0),
IF('TL02'!$B$229=L$3,SUMIF('TL02'!$C$238:$C$451,$C383,'TL02'!$J$238:$J$451),0),
IF('TL03'!$B$3=L$3,SUMIF('TL03'!$C$10:$C$224,$C383,'TL03'!$J$10:$J$224),0),
IF('TL03'!$B$229=L$3,SUMIF('TL03'!$C$238:$C$451,$C383,'TL03'!$J$238:$J$451),0),
IF('TL04'!$B$3=L$3,SUMIF('TL04'!$C$10:$C$224,$C383,'TL04'!$J$10:$J$224),0),
IF('TL04'!$B$229=L$3,SUMIF('TL04'!$C$238:$C$451,$C383,'TL04'!$J$238:$J$451),0),
IF('TL05'!$B$3=L$3,SUMIF('TL05'!$C$10:$C$224,$C383,'TL05'!$J$10:$J$224),0),
IF('TL05'!$B$229=L$3,SUMIF('TL05'!$C$238:$C$451,$C383,'TL05'!$J$238:$J$451),0),
IF('TL06'!$B$3=L$3,SUMIF('TL06'!$C$10:$C$224,$C383,'TL06'!$J$10:$J$224),0),
IF('TL06'!$B$229=L$3,SUMIF('TL06'!$C$238:$C$451,$C383,'TL06'!$J$238:$J$451),0),
IF('TL07'!$B$3=L$3,SUMIF('TL07'!$C$10:$C$224,$C383,'TL07'!$J$10:$J$224),0),
IF('TL07'!$B$229=L$3,SUMIF('TL07'!$C$238:$C$451,$C383,'TL07'!$J$238:$J$451),0),
IF('TL08'!$B$3=L$3,SUMIF('TL08'!$C$10:$C$224,$C383,'TL08'!$J$10:$J$224),0),
IF('TL08'!$B$229=L$3,SUMIF('TL08'!$C$238:$C$451,$C383,'TL08'!$J$238:$J$451),0),
IF('TL09'!$B$3=L$3,SUMIF('TL09'!$C$10:$C$224,$C383,'TL09'!$J$10:$J$224),0),
IF('TL09'!$B$229=L$3,SUMIF('TL09'!$C$238:$C$451,$C383,'TL09'!$J$238:$J$451),0),
IF('TL10'!$B$3=L$3,SUMIF('TL10'!$C$10:$C$224,$C383,'TL10'!$J$10:$J$224),0),
IF('TL10'!$B$229=L$3,SUMIF('TL10'!$C$238:$C$451,$C383,'TL10'!$J$238:$J$451),0),
IF('TL11'!$B$3=L$3,SUMIF('TL11'!$C$10:$C$224,$C383,'TL11'!$J$10:$J$224),0),
IF('TL11'!$B$229=L$3,SUMIF('TL11'!$C$238:$C$451,$C383,'TL11'!$J$238:$J$451),0),
IF('TL12'!$B$3=L$3,SUMIF('TL12'!$C$10:$C$224,$C383,'TL12'!$J$10:$J$224),0),
IF('TL12'!$B$229=L$3,SUMIF('TL12'!$C$238:$C$451,$C383,'TL12'!$J$238:$J$451),0),
IF('TL13'!$B$3=L$3,SUMIF('TL13'!$C$10:$C$224,$C383,'TL13'!$J$10:$J$224),0),
IF('TL13'!$B$229=L$3,SUMIF('TL13'!$C$238:$C$451,$C383,'TL13'!$J$238:$J$451),0),
IF('TL14'!$B$3=L$3,SUMIF('TL14'!$C$10:$C$224,$C383,'TL14'!$J$10:$J$224),0),
IF('TL14'!$B$229=L$3,SUMIF('TL14'!$C$238:$C$451,$C383,'TL14'!$J$238:$J$451),0),
IF('TL15'!$B$3=L$3,SUMIF('TL15'!$C$10:$C$224,$C383,'TL15'!$J$10:$J$224),0),
IF('TL15'!$B$229=L$3,SUMIF('TL15'!$C$238:$C$451,$C383,'TL15'!$J$238:$J$451),0),
IF('TL16'!$B$3=L$3,SUMIF('TL16'!$C$10:$C$224,$C383,'TL16'!$J$10:$J$224),0),
IF('TL16'!$B$229=L$3,SUMIF('TL16'!$C$238:$C$451,$C383,'TL16'!$J$238:$J$451),0),
IF('TL17'!$B$3=L$3,SUMIF('TL17'!$C$10:$C$224,$C383,'TL17'!$J$10:$J$224),0),
IF('TL17'!$B$229=L$3,SUMIF('TL17'!$C$238:$C$451,$C383,'TL17'!$J$238:$J$451),0),
IF('TL18'!$B$3=L$3,SUMIF('TL18'!$C$10:$C$224,$C383,'TL18'!$J$10:$J$224),0),
IF('TL18'!$B$229=L$3,SUMIF('TL18'!$C$238:$C$451,$C383,'TL18'!$J$238:$J$451),0),
IF('TL19'!$B$3=L$3,SUMIF('TL19'!$C$10:$C$224,$C383,'TL19'!$J$10:$J$224),0),
IF('TL19'!$B$229=L$3,SUMIF('TL19'!$C$238:$C$451,$C383,'TL19'!$J$238:$J$451),0)
),0)</f>
        <v/>
      </c>
      <c r="M383" s="9">
        <f>IFERROR(SUM(
IF('TL01'!$B$3=M$3,SUMIF('TL01'!$C$10:$C$224,$C383,'TL01'!$J$10:$J$224),0),
IF('TL01'!$B$229=M$3,SUMIF('TL01'!$C$238:$C$451,$C383,'TL01'!$J$238:$J$451),0),
IF('TL02'!$B$3=M$3,SUMIF('TL02'!$C$10:$C$224,$C383,'TL02'!$J$10:$J$224),0),
IF('TL02'!$B$229=M$3,SUMIF('TL02'!$C$238:$C$451,$C383,'TL02'!$J$238:$J$451),0),
IF('TL03'!$B$3=M$3,SUMIF('TL03'!$C$10:$C$224,$C383,'TL03'!$J$10:$J$224),0),
IF('TL03'!$B$229=M$3,SUMIF('TL03'!$C$238:$C$451,$C383,'TL03'!$J$238:$J$451),0),
IF('TL04'!$B$3=M$3,SUMIF('TL04'!$C$10:$C$224,$C383,'TL04'!$J$10:$J$224),0),
IF('TL04'!$B$229=M$3,SUMIF('TL04'!$C$238:$C$451,$C383,'TL04'!$J$238:$J$451),0),
IF('TL05'!$B$3=M$3,SUMIF('TL05'!$C$10:$C$224,$C383,'TL05'!$J$10:$J$224),0),
IF('TL05'!$B$229=M$3,SUMIF('TL05'!$C$238:$C$451,$C383,'TL05'!$J$238:$J$451),0),
IF('TL06'!$B$3=M$3,SUMIF('TL06'!$C$10:$C$224,$C383,'TL06'!$J$10:$J$224),0),
IF('TL06'!$B$229=M$3,SUMIF('TL06'!$C$238:$C$451,$C383,'TL06'!$J$238:$J$451),0),
IF('TL07'!$B$3=M$3,SUMIF('TL07'!$C$10:$C$224,$C383,'TL07'!$J$10:$J$224),0),
IF('TL07'!$B$229=M$3,SUMIF('TL07'!$C$238:$C$451,$C383,'TL07'!$J$238:$J$451),0),
IF('TL08'!$B$3=M$3,SUMIF('TL08'!$C$10:$C$224,$C383,'TL08'!$J$10:$J$224),0),
IF('TL08'!$B$229=M$3,SUMIF('TL08'!$C$238:$C$451,$C383,'TL08'!$J$238:$J$451),0),
IF('TL09'!$B$3=M$3,SUMIF('TL09'!$C$10:$C$224,$C383,'TL09'!$J$10:$J$224),0),
IF('TL09'!$B$229=M$3,SUMIF('TL09'!$C$238:$C$451,$C383,'TL09'!$J$238:$J$451),0),
IF('TL10'!$B$3=M$3,SUMIF('TL10'!$C$10:$C$224,$C383,'TL10'!$J$10:$J$224),0),
IF('TL10'!$B$229=M$3,SUMIF('TL10'!$C$238:$C$451,$C383,'TL10'!$J$238:$J$451),0),
IF('TL11'!$B$3=M$3,SUMIF('TL11'!$C$10:$C$224,$C383,'TL11'!$J$10:$J$224),0),
IF('TL11'!$B$229=M$3,SUMIF('TL11'!$C$238:$C$451,$C383,'TL11'!$J$238:$J$451),0),
IF('TL12'!$B$3=M$3,SUMIF('TL12'!$C$10:$C$224,$C383,'TL12'!$J$10:$J$224),0),
IF('TL12'!$B$229=M$3,SUMIF('TL12'!$C$238:$C$451,$C383,'TL12'!$J$238:$J$451),0),
IF('TL13'!$B$3=M$3,SUMIF('TL13'!$C$10:$C$224,$C383,'TL13'!$J$10:$J$224),0),
IF('TL13'!$B$229=M$3,SUMIF('TL13'!$C$238:$C$451,$C383,'TL13'!$J$238:$J$451),0),
IF('TL14'!$B$3=M$3,SUMIF('TL14'!$C$10:$C$224,$C383,'TL14'!$J$10:$J$224),0),
IF('TL14'!$B$229=M$3,SUMIF('TL14'!$C$238:$C$451,$C383,'TL14'!$J$238:$J$451),0),
IF('TL15'!$B$3=M$3,SUMIF('TL15'!$C$10:$C$224,$C383,'TL15'!$J$10:$J$224),0),
IF('TL15'!$B$229=M$3,SUMIF('TL15'!$C$238:$C$451,$C383,'TL15'!$J$238:$J$451),0),
IF('TL16'!$B$3=M$3,SUMIF('TL16'!$C$10:$C$224,$C383,'TL16'!$J$10:$J$224),0),
IF('TL16'!$B$229=M$3,SUMIF('TL16'!$C$238:$C$451,$C383,'TL16'!$J$238:$J$451),0),
IF('TL17'!$B$3=M$3,SUMIF('TL17'!$C$10:$C$224,$C383,'TL17'!$J$10:$J$224),0),
IF('TL17'!$B$229=M$3,SUMIF('TL17'!$C$238:$C$451,$C383,'TL17'!$J$238:$J$451),0),
IF('TL18'!$B$3=M$3,SUMIF('TL18'!$C$10:$C$224,$C383,'TL18'!$J$10:$J$224),0),
IF('TL18'!$B$229=M$3,SUMIF('TL18'!$C$238:$C$451,$C383,'TL18'!$J$238:$J$451),0),
IF('TL19'!$B$3=M$3,SUMIF('TL19'!$C$10:$C$224,$C383,'TL19'!$J$10:$J$224),0),
IF('TL19'!$B$229=M$3,SUMIF('TL19'!$C$238:$C$451,$C383,'TL19'!$J$238:$J$451),0)
),0)</f>
        <v/>
      </c>
      <c r="N383" s="9">
        <f>IFERROR(SUM(
IF('TL01'!$B$3=N$3,SUMIF('TL01'!$C$10:$C$224,$C383,'TL01'!$J$10:$J$224),0),
IF('TL01'!$B$229=N$3,SUMIF('TL01'!$C$238:$C$451,$C383,'TL01'!$J$238:$J$451),0),
IF('TL02'!$B$3=N$3,SUMIF('TL02'!$C$10:$C$224,$C383,'TL02'!$J$10:$J$224),0),
IF('TL02'!$B$229=N$3,SUMIF('TL02'!$C$238:$C$451,$C383,'TL02'!$J$238:$J$451),0),
IF('TL03'!$B$3=N$3,SUMIF('TL03'!$C$10:$C$224,$C383,'TL03'!$J$10:$J$224),0),
IF('TL03'!$B$229=N$3,SUMIF('TL03'!$C$238:$C$451,$C383,'TL03'!$J$238:$J$451),0),
IF('TL04'!$B$3=N$3,SUMIF('TL04'!$C$10:$C$224,$C383,'TL04'!$J$10:$J$224),0),
IF('TL04'!$B$229=N$3,SUMIF('TL04'!$C$238:$C$451,$C383,'TL04'!$J$238:$J$451),0),
IF('TL05'!$B$3=N$3,SUMIF('TL05'!$C$10:$C$224,$C383,'TL05'!$J$10:$J$224),0),
IF('TL05'!$B$229=N$3,SUMIF('TL05'!$C$238:$C$451,$C383,'TL05'!$J$238:$J$451),0),
IF('TL06'!$B$3=N$3,SUMIF('TL06'!$C$10:$C$224,$C383,'TL06'!$J$10:$J$224),0),
IF('TL06'!$B$229=N$3,SUMIF('TL06'!$C$238:$C$451,$C383,'TL06'!$J$238:$J$451),0),
IF('TL07'!$B$3=N$3,SUMIF('TL07'!$C$10:$C$224,$C383,'TL07'!$J$10:$J$224),0),
IF('TL07'!$B$229=N$3,SUMIF('TL07'!$C$238:$C$451,$C383,'TL07'!$J$238:$J$451),0),
IF('TL08'!$B$3=N$3,SUMIF('TL08'!$C$10:$C$224,$C383,'TL08'!$J$10:$J$224),0),
IF('TL08'!$B$229=N$3,SUMIF('TL08'!$C$238:$C$451,$C383,'TL08'!$J$238:$J$451),0),
IF('TL09'!$B$3=N$3,SUMIF('TL09'!$C$10:$C$224,$C383,'TL09'!$J$10:$J$224),0),
IF('TL09'!$B$229=N$3,SUMIF('TL09'!$C$238:$C$451,$C383,'TL09'!$J$238:$J$451),0),
IF('TL10'!$B$3=N$3,SUMIF('TL10'!$C$10:$C$224,$C383,'TL10'!$J$10:$J$224),0),
IF('TL10'!$B$229=N$3,SUMIF('TL10'!$C$238:$C$451,$C383,'TL10'!$J$238:$J$451),0),
IF('TL11'!$B$3=N$3,SUMIF('TL11'!$C$10:$C$224,$C383,'TL11'!$J$10:$J$224),0),
IF('TL11'!$B$229=N$3,SUMIF('TL11'!$C$238:$C$451,$C383,'TL11'!$J$238:$J$451),0),
IF('TL12'!$B$3=N$3,SUMIF('TL12'!$C$10:$C$224,$C383,'TL12'!$J$10:$J$224),0),
IF('TL12'!$B$229=N$3,SUMIF('TL12'!$C$238:$C$451,$C383,'TL12'!$J$238:$J$451),0),
IF('TL13'!$B$3=N$3,SUMIF('TL13'!$C$10:$C$224,$C383,'TL13'!$J$10:$J$224),0),
IF('TL13'!$B$229=N$3,SUMIF('TL13'!$C$238:$C$451,$C383,'TL13'!$J$238:$J$451),0),
IF('TL14'!$B$3=N$3,SUMIF('TL14'!$C$10:$C$224,$C383,'TL14'!$J$10:$J$224),0),
IF('TL14'!$B$229=N$3,SUMIF('TL14'!$C$238:$C$451,$C383,'TL14'!$J$238:$J$451),0),
IF('TL15'!$B$3=N$3,SUMIF('TL15'!$C$10:$C$224,$C383,'TL15'!$J$10:$J$224),0),
IF('TL15'!$B$229=N$3,SUMIF('TL15'!$C$238:$C$451,$C383,'TL15'!$J$238:$J$451),0),
IF('TL16'!$B$3=N$3,SUMIF('TL16'!$C$10:$C$224,$C383,'TL16'!$J$10:$J$224),0),
IF('TL16'!$B$229=N$3,SUMIF('TL16'!$C$238:$C$451,$C383,'TL16'!$J$238:$J$451),0),
IF('TL17'!$B$3=N$3,SUMIF('TL17'!$C$10:$C$224,$C383,'TL17'!$J$10:$J$224),0),
IF('TL17'!$B$229=N$3,SUMIF('TL17'!$C$238:$C$451,$C383,'TL17'!$J$238:$J$451),0),
IF('TL18'!$B$3=N$3,SUMIF('TL18'!$C$10:$C$224,$C383,'TL18'!$J$10:$J$224),0),
IF('TL18'!$B$229=N$3,SUMIF('TL18'!$C$238:$C$451,$C383,'TL18'!$J$238:$J$451),0),
IF('TL19'!$B$3=N$3,SUMIF('TL19'!$C$10:$C$224,$C383,'TL19'!$J$10:$J$224),0),
IF('TL19'!$B$229=N$3,SUMIF('TL19'!$C$238:$C$451,$C383,'TL19'!$J$238:$J$451),0)
),0)</f>
        <v/>
      </c>
      <c r="O383" s="9">
        <f>IFERROR(SUM(
IF('TL01'!$B$3=O$3,SUMIF('TL01'!$C$10:$C$224,$C383,'TL01'!$J$10:$J$224),0),
IF('TL01'!$B$229=O$3,SUMIF('TL01'!$C$238:$C$451,$C383,'TL01'!$J$238:$J$451),0),
IF('TL02'!$B$3=O$3,SUMIF('TL02'!$C$10:$C$224,$C383,'TL02'!$J$10:$J$224),0),
IF('TL02'!$B$229=O$3,SUMIF('TL02'!$C$238:$C$451,$C383,'TL02'!$J$238:$J$451),0),
IF('TL03'!$B$3=O$3,SUMIF('TL03'!$C$10:$C$224,$C383,'TL03'!$J$10:$J$224),0),
IF('TL03'!$B$229=O$3,SUMIF('TL03'!$C$238:$C$451,$C383,'TL03'!$J$238:$J$451),0),
IF('TL04'!$B$3=O$3,SUMIF('TL04'!$C$10:$C$224,$C383,'TL04'!$J$10:$J$224),0),
IF('TL04'!$B$229=O$3,SUMIF('TL04'!$C$238:$C$451,$C383,'TL04'!$J$238:$J$451),0),
IF('TL05'!$B$3=O$3,SUMIF('TL05'!$C$10:$C$224,$C383,'TL05'!$J$10:$J$224),0),
IF('TL05'!$B$229=O$3,SUMIF('TL05'!$C$238:$C$451,$C383,'TL05'!$J$238:$J$451),0),
IF('TL06'!$B$3=O$3,SUMIF('TL06'!$C$10:$C$224,$C383,'TL06'!$J$10:$J$224),0),
IF('TL06'!$B$229=O$3,SUMIF('TL06'!$C$238:$C$451,$C383,'TL06'!$J$238:$J$451),0),
IF('TL07'!$B$3=O$3,SUMIF('TL07'!$C$10:$C$224,$C383,'TL07'!$J$10:$J$224),0),
IF('TL07'!$B$229=O$3,SUMIF('TL07'!$C$238:$C$451,$C383,'TL07'!$J$238:$J$451),0),
IF('TL08'!$B$3=O$3,SUMIF('TL08'!$C$10:$C$224,$C383,'TL08'!$J$10:$J$224),0),
IF('TL08'!$B$229=O$3,SUMIF('TL08'!$C$238:$C$451,$C383,'TL08'!$J$238:$J$451),0),
IF('TL09'!$B$3=O$3,SUMIF('TL09'!$C$10:$C$224,$C383,'TL09'!$J$10:$J$224),0),
IF('TL09'!$B$229=O$3,SUMIF('TL09'!$C$238:$C$451,$C383,'TL09'!$J$238:$J$451),0),
IF('TL10'!$B$3=O$3,SUMIF('TL10'!$C$10:$C$224,$C383,'TL10'!$J$10:$J$224),0),
IF('TL10'!$B$229=O$3,SUMIF('TL10'!$C$238:$C$451,$C383,'TL10'!$J$238:$J$451),0),
IF('TL11'!$B$3=O$3,SUMIF('TL11'!$C$10:$C$224,$C383,'TL11'!$J$10:$J$224),0),
IF('TL11'!$B$229=O$3,SUMIF('TL11'!$C$238:$C$451,$C383,'TL11'!$J$238:$J$451),0),
IF('TL12'!$B$3=O$3,SUMIF('TL12'!$C$10:$C$224,$C383,'TL12'!$J$10:$J$224),0),
IF('TL12'!$B$229=O$3,SUMIF('TL12'!$C$238:$C$451,$C383,'TL12'!$J$238:$J$451),0),
IF('TL13'!$B$3=O$3,SUMIF('TL13'!$C$10:$C$224,$C383,'TL13'!$J$10:$J$224),0),
IF('TL13'!$B$229=O$3,SUMIF('TL13'!$C$238:$C$451,$C383,'TL13'!$J$238:$J$451),0),
IF('TL14'!$B$3=O$3,SUMIF('TL14'!$C$10:$C$224,$C383,'TL14'!$J$10:$J$224),0),
IF('TL14'!$B$229=O$3,SUMIF('TL14'!$C$238:$C$451,$C383,'TL14'!$J$238:$J$451),0),
IF('TL15'!$B$3=O$3,SUMIF('TL15'!$C$10:$C$224,$C383,'TL15'!$J$10:$J$224),0),
IF('TL15'!$B$229=O$3,SUMIF('TL15'!$C$238:$C$451,$C383,'TL15'!$J$238:$J$451),0),
IF('TL16'!$B$3=O$3,SUMIF('TL16'!$C$10:$C$224,$C383,'TL16'!$J$10:$J$224),0),
IF('TL16'!$B$229=O$3,SUMIF('TL16'!$C$238:$C$451,$C383,'TL16'!$J$238:$J$451),0),
IF('TL17'!$B$3=O$3,SUMIF('TL17'!$C$10:$C$224,$C383,'TL17'!$J$10:$J$224),0),
IF('TL17'!$B$229=O$3,SUMIF('TL17'!$C$238:$C$451,$C383,'TL17'!$J$238:$J$451),0),
IF('TL18'!$B$3=O$3,SUMIF('TL18'!$C$10:$C$224,$C383,'TL18'!$J$10:$J$224),0),
IF('TL18'!$B$229=O$3,SUMIF('TL18'!$C$238:$C$451,$C383,'TL18'!$J$238:$J$451),0),
IF('TL19'!$B$3=O$3,SUMIF('TL19'!$C$10:$C$224,$C383,'TL19'!$J$10:$J$224),0),
IF('TL19'!$B$229=O$3,SUMIF('TL19'!$C$238:$C$451,$C383,'TL19'!$J$238:$J$451),0)
),0)</f>
        <v/>
      </c>
      <c r="P383" s="9">
        <f>IFERROR(SUM(
IF('TL01'!$B$3=P$3,SUMIF('TL01'!$C$10:$C$224,$C383,'TL01'!$J$10:$J$224),0),
IF('TL01'!$B$229=P$3,SUMIF('TL01'!$C$238:$C$451,$C383,'TL01'!$J$238:$J$451),0),
IF('TL02'!$B$3=P$3,SUMIF('TL02'!$C$10:$C$224,$C383,'TL02'!$J$10:$J$224),0),
IF('TL02'!$B$229=P$3,SUMIF('TL02'!$C$238:$C$451,$C383,'TL02'!$J$238:$J$451),0),
IF('TL03'!$B$3=P$3,SUMIF('TL03'!$C$10:$C$224,$C383,'TL03'!$J$10:$J$224),0),
IF('TL03'!$B$229=P$3,SUMIF('TL03'!$C$238:$C$451,$C383,'TL03'!$J$238:$J$451),0),
IF('TL04'!$B$3=P$3,SUMIF('TL04'!$C$10:$C$224,$C383,'TL04'!$J$10:$J$224),0),
IF('TL04'!$B$229=P$3,SUMIF('TL04'!$C$238:$C$451,$C383,'TL04'!$J$238:$J$451),0),
IF('TL05'!$B$3=P$3,SUMIF('TL05'!$C$10:$C$224,$C383,'TL05'!$J$10:$J$224),0),
IF('TL05'!$B$229=P$3,SUMIF('TL05'!$C$238:$C$451,$C383,'TL05'!$J$238:$J$451),0),
IF('TL06'!$B$3=P$3,SUMIF('TL06'!$C$10:$C$224,$C383,'TL06'!$J$10:$J$224),0),
IF('TL06'!$B$229=P$3,SUMIF('TL06'!$C$238:$C$451,$C383,'TL06'!$J$238:$J$451),0),
IF('TL07'!$B$3=P$3,SUMIF('TL07'!$C$10:$C$224,$C383,'TL07'!$J$10:$J$224),0),
IF('TL07'!$B$229=P$3,SUMIF('TL07'!$C$238:$C$451,$C383,'TL07'!$J$238:$J$451),0),
IF('TL08'!$B$3=P$3,SUMIF('TL08'!$C$10:$C$224,$C383,'TL08'!$J$10:$J$224),0),
IF('TL08'!$B$229=P$3,SUMIF('TL08'!$C$238:$C$451,$C383,'TL08'!$J$238:$J$451),0),
IF('TL09'!$B$3=P$3,SUMIF('TL09'!$C$10:$C$224,$C383,'TL09'!$J$10:$J$224),0),
IF('TL09'!$B$229=P$3,SUMIF('TL09'!$C$238:$C$451,$C383,'TL09'!$J$238:$J$451),0),
IF('TL10'!$B$3=P$3,SUMIF('TL10'!$C$10:$C$224,$C383,'TL10'!$J$10:$J$224),0),
IF('TL10'!$B$229=P$3,SUMIF('TL10'!$C$238:$C$451,$C383,'TL10'!$J$238:$J$451),0),
IF('TL11'!$B$3=P$3,SUMIF('TL11'!$C$10:$C$224,$C383,'TL11'!$J$10:$J$224),0),
IF('TL11'!$B$229=P$3,SUMIF('TL11'!$C$238:$C$451,$C383,'TL11'!$J$238:$J$451),0),
IF('TL12'!$B$3=P$3,SUMIF('TL12'!$C$10:$C$224,$C383,'TL12'!$J$10:$J$224),0),
IF('TL12'!$B$229=P$3,SUMIF('TL12'!$C$238:$C$451,$C383,'TL12'!$J$238:$J$451),0),
IF('TL13'!$B$3=P$3,SUMIF('TL13'!$C$10:$C$224,$C383,'TL13'!$J$10:$J$224),0),
IF('TL13'!$B$229=P$3,SUMIF('TL13'!$C$238:$C$451,$C383,'TL13'!$J$238:$J$451),0),
IF('TL14'!$B$3=P$3,SUMIF('TL14'!$C$10:$C$224,$C383,'TL14'!$J$10:$J$224),0),
IF('TL14'!$B$229=P$3,SUMIF('TL14'!$C$238:$C$451,$C383,'TL14'!$J$238:$J$451),0),
IF('TL15'!$B$3=P$3,SUMIF('TL15'!$C$10:$C$224,$C383,'TL15'!$J$10:$J$224),0),
IF('TL15'!$B$229=P$3,SUMIF('TL15'!$C$238:$C$451,$C383,'TL15'!$J$238:$J$451),0),
IF('TL16'!$B$3=P$3,SUMIF('TL16'!$C$10:$C$224,$C383,'TL16'!$J$10:$J$224),0),
IF('TL16'!$B$229=P$3,SUMIF('TL16'!$C$238:$C$451,$C383,'TL16'!$J$238:$J$451),0),
IF('TL17'!$B$3=P$3,SUMIF('TL17'!$C$10:$C$224,$C383,'TL17'!$J$10:$J$224),0),
IF('TL17'!$B$229=P$3,SUMIF('TL17'!$C$238:$C$451,$C383,'TL17'!$J$238:$J$451),0),
IF('TL18'!$B$3=P$3,SUMIF('TL18'!$C$10:$C$224,$C383,'TL18'!$J$10:$J$224),0),
IF('TL18'!$B$229=P$3,SUMIF('TL18'!$C$238:$C$451,$C383,'TL18'!$J$238:$J$451),0),
IF('TL19'!$B$3=P$3,SUMIF('TL19'!$C$10:$C$224,$C383,'TL19'!$J$10:$J$224),0),
IF('TL19'!$B$229=P$3,SUMIF('TL19'!$C$238:$C$451,$C383,'TL19'!$J$238:$J$451),0)
),0)</f>
        <v/>
      </c>
      <c r="Q383" s="9">
        <f>IFERROR(SUM(
IF('TL01'!$B$3=Q$3,SUMIF('TL01'!$C$10:$C$224,$C383,'TL01'!$J$10:$J$224),0),
IF('TL01'!$B$229=Q$3,SUMIF('TL01'!$C$238:$C$451,$C383,'TL01'!$J$238:$J$451),0),
IF('TL02'!$B$3=Q$3,SUMIF('TL02'!$C$10:$C$224,$C383,'TL02'!$J$10:$J$224),0),
IF('TL02'!$B$229=Q$3,SUMIF('TL02'!$C$238:$C$451,$C383,'TL02'!$J$238:$J$451),0),
IF('TL03'!$B$3=Q$3,SUMIF('TL03'!$C$10:$C$224,$C383,'TL03'!$J$10:$J$224),0),
IF('TL03'!$B$229=Q$3,SUMIF('TL03'!$C$238:$C$451,$C383,'TL03'!$J$238:$J$451),0),
IF('TL04'!$B$3=Q$3,SUMIF('TL04'!$C$10:$C$224,$C383,'TL04'!$J$10:$J$224),0),
IF('TL04'!$B$229=Q$3,SUMIF('TL04'!$C$238:$C$451,$C383,'TL04'!$J$238:$J$451),0),
IF('TL05'!$B$3=Q$3,SUMIF('TL05'!$C$10:$C$224,$C383,'TL05'!$J$10:$J$224),0),
IF('TL05'!$B$229=Q$3,SUMIF('TL05'!$C$238:$C$451,$C383,'TL05'!$J$238:$J$451),0),
IF('TL06'!$B$3=Q$3,SUMIF('TL06'!$C$10:$C$224,$C383,'TL06'!$J$10:$J$224),0),
IF('TL06'!$B$229=Q$3,SUMIF('TL06'!$C$238:$C$451,$C383,'TL06'!$J$238:$J$451),0),
IF('TL07'!$B$3=Q$3,SUMIF('TL07'!$C$10:$C$224,$C383,'TL07'!$J$10:$J$224),0),
IF('TL07'!$B$229=Q$3,SUMIF('TL07'!$C$238:$C$451,$C383,'TL07'!$J$238:$J$451),0),
IF('TL08'!$B$3=Q$3,SUMIF('TL08'!$C$10:$C$224,$C383,'TL08'!$J$10:$J$224),0),
IF('TL08'!$B$229=Q$3,SUMIF('TL08'!$C$238:$C$451,$C383,'TL08'!$J$238:$J$451),0),
IF('TL09'!$B$3=Q$3,SUMIF('TL09'!$C$10:$C$224,$C383,'TL09'!$J$10:$J$224),0),
IF('TL09'!$B$229=Q$3,SUMIF('TL09'!$C$238:$C$451,$C383,'TL09'!$J$238:$J$451),0),
IF('TL10'!$B$3=Q$3,SUMIF('TL10'!$C$10:$C$224,$C383,'TL10'!$J$10:$J$224),0),
IF('TL10'!$B$229=Q$3,SUMIF('TL10'!$C$238:$C$451,$C383,'TL10'!$J$238:$J$451),0),
IF('TL11'!$B$3=Q$3,SUMIF('TL11'!$C$10:$C$224,$C383,'TL11'!$J$10:$J$224),0),
IF('TL11'!$B$229=Q$3,SUMIF('TL11'!$C$238:$C$451,$C383,'TL11'!$J$238:$J$451),0),
IF('TL12'!$B$3=Q$3,SUMIF('TL12'!$C$10:$C$224,$C383,'TL12'!$J$10:$J$224),0),
IF('TL12'!$B$229=Q$3,SUMIF('TL12'!$C$238:$C$451,$C383,'TL12'!$J$238:$J$451),0),
IF('TL13'!$B$3=Q$3,SUMIF('TL13'!$C$10:$C$224,$C383,'TL13'!$J$10:$J$224),0),
IF('TL13'!$B$229=Q$3,SUMIF('TL13'!$C$238:$C$451,$C383,'TL13'!$J$238:$J$451),0),
IF('TL14'!$B$3=Q$3,SUMIF('TL14'!$C$10:$C$224,$C383,'TL14'!$J$10:$J$224),0),
IF('TL14'!$B$229=Q$3,SUMIF('TL14'!$C$238:$C$451,$C383,'TL14'!$J$238:$J$451),0),
IF('TL15'!$B$3=Q$3,SUMIF('TL15'!$C$10:$C$224,$C383,'TL15'!$J$10:$J$224),0),
IF('TL15'!$B$229=Q$3,SUMIF('TL15'!$C$238:$C$451,$C383,'TL15'!$J$238:$J$451),0),
IF('TL16'!$B$3=Q$3,SUMIF('TL16'!$C$10:$C$224,$C383,'TL16'!$J$10:$J$224),0),
IF('TL16'!$B$229=Q$3,SUMIF('TL16'!$C$238:$C$451,$C383,'TL16'!$J$238:$J$451),0),
IF('TL17'!$B$3=Q$3,SUMIF('TL17'!$C$10:$C$224,$C383,'TL17'!$J$10:$J$224),0),
IF('TL17'!$B$229=Q$3,SUMIF('TL17'!$C$238:$C$451,$C383,'TL17'!$J$238:$J$451),0),
IF('TL18'!$B$3=Q$3,SUMIF('TL18'!$C$10:$C$224,$C383,'TL18'!$J$10:$J$224),0),
IF('TL18'!$B$229=Q$3,SUMIF('TL18'!$C$238:$C$451,$C383,'TL18'!$J$238:$J$451),0),
IF('TL19'!$B$3=Q$3,SUMIF('TL19'!$C$10:$C$224,$C383,'TL19'!$J$10:$J$224),0),
IF('TL19'!$B$229=Q$3,SUMIF('TL19'!$C$238:$C$451,$C383,'TL19'!$J$238:$J$451),0)
),0)</f>
        <v/>
      </c>
      <c r="R383" s="9">
        <f>IFERROR(
SUM(
SUMIF('TL01'!C:C,C383,'TL01'!J:J),
SUMIF('TL02'!C:C,C383,'TL02'!J:J),
SUMIF('TL03'!C:C,C383,'TL03'!J:J),
SUMIF('TL04'!C:C,C383,'TL04'!J:J),
SUMIF('TL05'!C:C,C383,'TL05'!J:J),
SUMIF('TL06'!C:C,C383,'TL06'!J:J),
SUMIF('TL07'!C:C,C383,'TL07'!J:J),
SUMIF('TL08'!C:C,C383,'TL08'!J:J),
SUMIF('TL09'!C:C,C383,'TL09'!J:J),
SUMIF('TL10'!C:C,C383,'TL10'!J:J),
SUMIF('TL11'!C:C,C383,'TL11'!J:J),
SUMIF('TL12'!C:C,C383,'TL12'!J:J),
SUMIF('TL13'!C:C,C383,'TL13'!J:J),
SUMIF('TL14'!C:C,C383,'TL14'!J:J),
SUMIF('TL15'!C:C,C383,'TL15'!J:J),
SUMIF('TL16'!C:C,C383,'TL16'!J:J),
SUMIF('TL17'!C:C,C383,'TL17'!J:J),
SUMIF('TL18'!C:C,C383,'TL18'!J:J),SUMIF('TL19'!C:C,C383,'TL19'!J:J))
,0)</f>
        <v/>
      </c>
      <c r="S383" s="17">
        <f>IFERROR(__xludf.DUMMYFUNCTION("IFERROR(VLOOKUP(C383,
IMPORTRANGE(""1wULbzX32WdYsx-lj2U3uUNBBe2INVIRDtcK0d-Dvl90"",
""26-27!C:G""),
5,
FALSE),
"""")"),4.57)</f>
        <v/>
      </c>
      <c r="T383" s="9" t="n"/>
      <c r="U383" s="92">
        <f>MAX(0,R383-T383)</f>
        <v/>
      </c>
      <c r="V383" s="93">
        <f>U383*S383</f>
        <v/>
      </c>
    </row>
    <row r="384" hidden="1" ht="15.75" customHeight="1" s="297">
      <c r="A384" s="4" t="inlineStr">
        <is>
          <t>SOLUBIO</t>
        </is>
      </c>
      <c r="B384" s="4" t="inlineStr">
        <is>
          <t>BIOLÓGICOS</t>
        </is>
      </c>
      <c r="C384" s="131" t="inlineStr">
        <is>
          <t>Tec White Kit On-farm</t>
        </is>
      </c>
      <c r="D384" s="127" t="inlineStr">
        <is>
          <t>Kit On-farm</t>
        </is>
      </c>
      <c r="E384" s="119" t="n"/>
      <c r="F384" s="4" t="n"/>
      <c r="G384" s="90">
        <f>HYPERLINK("https://www.google.com/search?q=" &amp; C384 &amp; "+bula+agrofit+pdf", "📄 Ver bula")</f>
        <v/>
      </c>
      <c r="H384" s="9" t="n"/>
      <c r="I384" s="121" t="n"/>
      <c r="J384" s="9">
        <f>IFERROR(SUM(
IF('TL01'!$B$3=J$3,SUMIF('TL01'!$C$10:$C$224,$C384,'TL01'!$J$10:$J$224),0),
IF('TL01'!$B$229=J$3,SUMIF('TL01'!$C$238:$C$451,$C384,'TL01'!$J$238:$J$451),0),
IF('TL02'!$B$3=J$3,SUMIF('TL02'!$C$10:$C$224,$C384,'TL02'!$J$10:$J$224),0),
IF('TL02'!$B$229=J$3,SUMIF('TL02'!$C$238:$C$451,$C384,'TL02'!$J$238:$J$451),0),
IF('TL03'!$B$3=J$3,SUMIF('TL03'!$C$10:$C$224,$C384,'TL03'!$J$10:$J$224),0),
IF('TL03'!$B$229=J$3,SUMIF('TL03'!$C$238:$C$451,$C384,'TL03'!$J$238:$J$451),0),
IF('TL04'!$B$3=J$3,SUMIF('TL04'!$C$10:$C$224,$C384,'TL04'!$J$10:$J$224),0),
IF('TL04'!$B$229=J$3,SUMIF('TL04'!$C$238:$C$451,$C384,'TL04'!$J$238:$J$451),0),
IF('TL05'!$B$3=J$3,SUMIF('TL05'!$C$10:$C$224,$C384,'TL05'!$J$10:$J$224),0),
IF('TL05'!$B$229=J$3,SUMIF('TL05'!$C$238:$C$451,$C384,'TL05'!$J$238:$J$451),0),
IF('TL06'!$B$3=J$3,SUMIF('TL06'!$C$10:$C$224,$C384,'TL06'!$J$10:$J$224),0),
IF('TL06'!$B$229=J$3,SUMIF('TL06'!$C$238:$C$451,$C384,'TL06'!$J$238:$J$451),0),
IF('TL07'!$B$3=J$3,SUMIF('TL07'!$C$10:$C$224,$C384,'TL07'!$J$10:$J$224),0),
IF('TL07'!$B$229=J$3,SUMIF('TL07'!$C$238:$C$451,$C384,'TL07'!$J$238:$J$451),0),
IF('TL08'!$B$3=J$3,SUMIF('TL08'!$C$10:$C$224,$C384,'TL08'!$J$10:$J$224),0),
IF('TL08'!$B$229=J$3,SUMIF('TL08'!$C$238:$C$451,$C384,'TL08'!$J$238:$J$451),0),
IF('TL09'!$B$3=J$3,SUMIF('TL09'!$C$10:$C$224,$C384,'TL09'!$J$10:$J$224),0),
IF('TL09'!$B$229=J$3,SUMIF('TL09'!$C$238:$C$451,$C384,'TL09'!$J$238:$J$451),0),
IF('TL10'!$B$3=J$3,SUMIF('TL10'!$C$10:$C$224,$C384,'TL10'!$J$10:$J$224),0),
IF('TL10'!$B$229=J$3,SUMIF('TL10'!$C$238:$C$451,$C384,'TL10'!$J$238:$J$451),0),
IF('TL11'!$B$3=J$3,SUMIF('TL11'!$C$10:$C$224,$C384,'TL11'!$J$10:$J$224),0),
IF('TL11'!$B$229=J$3,SUMIF('TL11'!$C$238:$C$451,$C384,'TL11'!$J$238:$J$451),0),
IF('TL12'!$B$3=J$3,SUMIF('TL12'!$C$10:$C$224,$C384,'TL12'!$J$10:$J$224),0),
IF('TL12'!$B$229=J$3,SUMIF('TL12'!$C$238:$C$451,$C384,'TL12'!$J$238:$J$451),0),
IF('TL13'!$B$3=J$3,SUMIF('TL13'!$C$10:$C$224,$C384,'TL13'!$J$10:$J$224),0),
IF('TL13'!$B$229=J$3,SUMIF('TL13'!$C$238:$C$451,$C384,'TL13'!$J$238:$J$451),0),
IF('TL14'!$B$3=J$3,SUMIF('TL14'!$C$10:$C$224,$C384,'TL14'!$J$10:$J$224),0),
IF('TL14'!$B$229=J$3,SUMIF('TL14'!$C$238:$C$451,$C384,'TL14'!$J$238:$J$451),0),
IF('TL15'!$B$3=J$3,SUMIF('TL15'!$C$10:$C$224,$C384,'TL15'!$J$10:$J$224),0),
IF('TL15'!$B$229=J$3,SUMIF('TL15'!$C$238:$C$451,$C384,'TL15'!$J$238:$J$451),0),
IF('TL16'!$B$3=J$3,SUMIF('TL16'!$C$10:$C$224,$C384,'TL16'!$J$10:$J$224),0),
IF('TL16'!$B$229=J$3,SUMIF('TL16'!$C$238:$C$451,$C384,'TL16'!$J$238:$J$451),0),
IF('TL17'!$B$3=J$3,SUMIF('TL17'!$C$10:$C$224,$C384,'TL17'!$J$10:$J$224),0),
IF('TL17'!$B$229=J$3,SUMIF('TL17'!$C$238:$C$451,$C384,'TL17'!$J$238:$J$451),0),
IF('TL18'!$B$3=J$3,SUMIF('TL18'!$C$10:$C$224,$C384,'TL18'!$J$10:$J$224),0),
IF('TL18'!$B$229=J$3,SUMIF('TL18'!$C$238:$C$451,$C384,'TL18'!$J$238:$J$451),0),
IF('TL19'!$B$3=J$3,SUMIF('TL19'!$C$10:$C$224,$C384,'TL19'!$J$10:$J$224),0),
IF('TL19'!$B$229=J$3,SUMIF('TL19'!$C$238:$C$451,$C384,'TL19'!$J$238:$J$451),0)
),0)</f>
        <v/>
      </c>
      <c r="K384" s="9">
        <f>IFERROR(SUM(
IF('TL01'!$B$3=K$3,SUMIF('TL01'!$C$10:$C$224,$C384,'TL01'!$J$10:$J$224),0),
IF('TL01'!$B$229=K$3,SUMIF('TL01'!$C$238:$C$451,$C384,'TL01'!$J$238:$J$451),0),
IF('TL02'!$B$3=K$3,SUMIF('TL02'!$C$10:$C$224,$C384,'TL02'!$J$10:$J$224),0),
IF('TL02'!$B$229=K$3,SUMIF('TL02'!$C$238:$C$451,$C384,'TL02'!$J$238:$J$451),0),
IF('TL03'!$B$3=K$3,SUMIF('TL03'!$C$10:$C$224,$C384,'TL03'!$J$10:$J$224),0),
IF('TL03'!$B$229=K$3,SUMIF('TL03'!$C$238:$C$451,$C384,'TL03'!$J$238:$J$451),0),
IF('TL04'!$B$3=K$3,SUMIF('TL04'!$C$10:$C$224,$C384,'TL04'!$J$10:$J$224),0),
IF('TL04'!$B$229=K$3,SUMIF('TL04'!$C$238:$C$451,$C384,'TL04'!$J$238:$J$451),0),
IF('TL05'!$B$3=K$3,SUMIF('TL05'!$C$10:$C$224,$C384,'TL05'!$J$10:$J$224),0),
IF('TL05'!$B$229=K$3,SUMIF('TL05'!$C$238:$C$451,$C384,'TL05'!$J$238:$J$451),0),
IF('TL06'!$B$3=K$3,SUMIF('TL06'!$C$10:$C$224,$C384,'TL06'!$J$10:$J$224),0),
IF('TL06'!$B$229=K$3,SUMIF('TL06'!$C$238:$C$451,$C384,'TL06'!$J$238:$J$451),0),
IF('TL07'!$B$3=K$3,SUMIF('TL07'!$C$10:$C$224,$C384,'TL07'!$J$10:$J$224),0),
IF('TL07'!$B$229=K$3,SUMIF('TL07'!$C$238:$C$451,$C384,'TL07'!$J$238:$J$451),0),
IF('TL08'!$B$3=K$3,SUMIF('TL08'!$C$10:$C$224,$C384,'TL08'!$J$10:$J$224),0),
IF('TL08'!$B$229=K$3,SUMIF('TL08'!$C$238:$C$451,$C384,'TL08'!$J$238:$J$451),0),
IF('TL09'!$B$3=K$3,SUMIF('TL09'!$C$10:$C$224,$C384,'TL09'!$J$10:$J$224),0),
IF('TL09'!$B$229=K$3,SUMIF('TL09'!$C$238:$C$451,$C384,'TL09'!$J$238:$J$451),0),
IF('TL10'!$B$3=K$3,SUMIF('TL10'!$C$10:$C$224,$C384,'TL10'!$J$10:$J$224),0),
IF('TL10'!$B$229=K$3,SUMIF('TL10'!$C$238:$C$451,$C384,'TL10'!$J$238:$J$451),0),
IF('TL11'!$B$3=K$3,SUMIF('TL11'!$C$10:$C$224,$C384,'TL11'!$J$10:$J$224),0),
IF('TL11'!$B$229=K$3,SUMIF('TL11'!$C$238:$C$451,$C384,'TL11'!$J$238:$J$451),0),
IF('TL12'!$B$3=K$3,SUMIF('TL12'!$C$10:$C$224,$C384,'TL12'!$J$10:$J$224),0),
IF('TL12'!$B$229=K$3,SUMIF('TL12'!$C$238:$C$451,$C384,'TL12'!$J$238:$J$451),0),
IF('TL13'!$B$3=K$3,SUMIF('TL13'!$C$10:$C$224,$C384,'TL13'!$J$10:$J$224),0),
IF('TL13'!$B$229=K$3,SUMIF('TL13'!$C$238:$C$451,$C384,'TL13'!$J$238:$J$451),0),
IF('TL14'!$B$3=K$3,SUMIF('TL14'!$C$10:$C$224,$C384,'TL14'!$J$10:$J$224),0),
IF('TL14'!$B$229=K$3,SUMIF('TL14'!$C$238:$C$451,$C384,'TL14'!$J$238:$J$451),0),
IF('TL15'!$B$3=K$3,SUMIF('TL15'!$C$10:$C$224,$C384,'TL15'!$J$10:$J$224),0),
IF('TL15'!$B$229=K$3,SUMIF('TL15'!$C$238:$C$451,$C384,'TL15'!$J$238:$J$451),0),
IF('TL16'!$B$3=K$3,SUMIF('TL16'!$C$10:$C$224,$C384,'TL16'!$J$10:$J$224),0),
IF('TL16'!$B$229=K$3,SUMIF('TL16'!$C$238:$C$451,$C384,'TL16'!$J$238:$J$451),0),
IF('TL17'!$B$3=K$3,SUMIF('TL17'!$C$10:$C$224,$C384,'TL17'!$J$10:$J$224),0),
IF('TL17'!$B$229=K$3,SUMIF('TL17'!$C$238:$C$451,$C384,'TL17'!$J$238:$J$451),0),
IF('TL18'!$B$3=K$3,SUMIF('TL18'!$C$10:$C$224,$C384,'TL18'!$J$10:$J$224),0),
IF('TL18'!$B$229=K$3,SUMIF('TL18'!$C$238:$C$451,$C384,'TL18'!$J$238:$J$451),0),
IF('TL19'!$B$3=K$3,SUMIF('TL19'!$C$10:$C$224,$C384,'TL19'!$J$10:$J$224),0),
IF('TL19'!$B$229=K$3,SUMIF('TL19'!$C$238:$C$451,$C384,'TL19'!$J$238:$J$451),0)
),0)</f>
        <v/>
      </c>
      <c r="L384" s="9">
        <f>IFERROR(SUM(
IF('TL01'!$B$3=L$3,SUMIF('TL01'!$C$10:$C$224,$C384,'TL01'!$J$10:$J$224),0),
IF('TL01'!$B$229=L$3,SUMIF('TL01'!$C$238:$C$451,$C384,'TL01'!$J$238:$J$451),0),
IF('TL02'!$B$3=L$3,SUMIF('TL02'!$C$10:$C$224,$C384,'TL02'!$J$10:$J$224),0),
IF('TL02'!$B$229=L$3,SUMIF('TL02'!$C$238:$C$451,$C384,'TL02'!$J$238:$J$451),0),
IF('TL03'!$B$3=L$3,SUMIF('TL03'!$C$10:$C$224,$C384,'TL03'!$J$10:$J$224),0),
IF('TL03'!$B$229=L$3,SUMIF('TL03'!$C$238:$C$451,$C384,'TL03'!$J$238:$J$451),0),
IF('TL04'!$B$3=L$3,SUMIF('TL04'!$C$10:$C$224,$C384,'TL04'!$J$10:$J$224),0),
IF('TL04'!$B$229=L$3,SUMIF('TL04'!$C$238:$C$451,$C384,'TL04'!$J$238:$J$451),0),
IF('TL05'!$B$3=L$3,SUMIF('TL05'!$C$10:$C$224,$C384,'TL05'!$J$10:$J$224),0),
IF('TL05'!$B$229=L$3,SUMIF('TL05'!$C$238:$C$451,$C384,'TL05'!$J$238:$J$451),0),
IF('TL06'!$B$3=L$3,SUMIF('TL06'!$C$10:$C$224,$C384,'TL06'!$J$10:$J$224),0),
IF('TL06'!$B$229=L$3,SUMIF('TL06'!$C$238:$C$451,$C384,'TL06'!$J$238:$J$451),0),
IF('TL07'!$B$3=L$3,SUMIF('TL07'!$C$10:$C$224,$C384,'TL07'!$J$10:$J$224),0),
IF('TL07'!$B$229=L$3,SUMIF('TL07'!$C$238:$C$451,$C384,'TL07'!$J$238:$J$451),0),
IF('TL08'!$B$3=L$3,SUMIF('TL08'!$C$10:$C$224,$C384,'TL08'!$J$10:$J$224),0),
IF('TL08'!$B$229=L$3,SUMIF('TL08'!$C$238:$C$451,$C384,'TL08'!$J$238:$J$451),0),
IF('TL09'!$B$3=L$3,SUMIF('TL09'!$C$10:$C$224,$C384,'TL09'!$J$10:$J$224),0),
IF('TL09'!$B$229=L$3,SUMIF('TL09'!$C$238:$C$451,$C384,'TL09'!$J$238:$J$451),0),
IF('TL10'!$B$3=L$3,SUMIF('TL10'!$C$10:$C$224,$C384,'TL10'!$J$10:$J$224),0),
IF('TL10'!$B$229=L$3,SUMIF('TL10'!$C$238:$C$451,$C384,'TL10'!$J$238:$J$451),0),
IF('TL11'!$B$3=L$3,SUMIF('TL11'!$C$10:$C$224,$C384,'TL11'!$J$10:$J$224),0),
IF('TL11'!$B$229=L$3,SUMIF('TL11'!$C$238:$C$451,$C384,'TL11'!$J$238:$J$451),0),
IF('TL12'!$B$3=L$3,SUMIF('TL12'!$C$10:$C$224,$C384,'TL12'!$J$10:$J$224),0),
IF('TL12'!$B$229=L$3,SUMIF('TL12'!$C$238:$C$451,$C384,'TL12'!$J$238:$J$451),0),
IF('TL13'!$B$3=L$3,SUMIF('TL13'!$C$10:$C$224,$C384,'TL13'!$J$10:$J$224),0),
IF('TL13'!$B$229=L$3,SUMIF('TL13'!$C$238:$C$451,$C384,'TL13'!$J$238:$J$451),0),
IF('TL14'!$B$3=L$3,SUMIF('TL14'!$C$10:$C$224,$C384,'TL14'!$J$10:$J$224),0),
IF('TL14'!$B$229=L$3,SUMIF('TL14'!$C$238:$C$451,$C384,'TL14'!$J$238:$J$451),0),
IF('TL15'!$B$3=L$3,SUMIF('TL15'!$C$10:$C$224,$C384,'TL15'!$J$10:$J$224),0),
IF('TL15'!$B$229=L$3,SUMIF('TL15'!$C$238:$C$451,$C384,'TL15'!$J$238:$J$451),0),
IF('TL16'!$B$3=L$3,SUMIF('TL16'!$C$10:$C$224,$C384,'TL16'!$J$10:$J$224),0),
IF('TL16'!$B$229=L$3,SUMIF('TL16'!$C$238:$C$451,$C384,'TL16'!$J$238:$J$451),0),
IF('TL17'!$B$3=L$3,SUMIF('TL17'!$C$10:$C$224,$C384,'TL17'!$J$10:$J$224),0),
IF('TL17'!$B$229=L$3,SUMIF('TL17'!$C$238:$C$451,$C384,'TL17'!$J$238:$J$451),0),
IF('TL18'!$B$3=L$3,SUMIF('TL18'!$C$10:$C$224,$C384,'TL18'!$J$10:$J$224),0),
IF('TL18'!$B$229=L$3,SUMIF('TL18'!$C$238:$C$451,$C384,'TL18'!$J$238:$J$451),0),
IF('TL19'!$B$3=L$3,SUMIF('TL19'!$C$10:$C$224,$C384,'TL19'!$J$10:$J$224),0),
IF('TL19'!$B$229=L$3,SUMIF('TL19'!$C$238:$C$451,$C384,'TL19'!$J$238:$J$451),0)
),0)</f>
        <v/>
      </c>
      <c r="M384" s="9">
        <f>IFERROR(SUM(
IF('TL01'!$B$3=M$3,SUMIF('TL01'!$C$10:$C$224,$C384,'TL01'!$J$10:$J$224),0),
IF('TL01'!$B$229=M$3,SUMIF('TL01'!$C$238:$C$451,$C384,'TL01'!$J$238:$J$451),0),
IF('TL02'!$B$3=M$3,SUMIF('TL02'!$C$10:$C$224,$C384,'TL02'!$J$10:$J$224),0),
IF('TL02'!$B$229=M$3,SUMIF('TL02'!$C$238:$C$451,$C384,'TL02'!$J$238:$J$451),0),
IF('TL03'!$B$3=M$3,SUMIF('TL03'!$C$10:$C$224,$C384,'TL03'!$J$10:$J$224),0),
IF('TL03'!$B$229=M$3,SUMIF('TL03'!$C$238:$C$451,$C384,'TL03'!$J$238:$J$451),0),
IF('TL04'!$B$3=M$3,SUMIF('TL04'!$C$10:$C$224,$C384,'TL04'!$J$10:$J$224),0),
IF('TL04'!$B$229=M$3,SUMIF('TL04'!$C$238:$C$451,$C384,'TL04'!$J$238:$J$451),0),
IF('TL05'!$B$3=M$3,SUMIF('TL05'!$C$10:$C$224,$C384,'TL05'!$J$10:$J$224),0),
IF('TL05'!$B$229=M$3,SUMIF('TL05'!$C$238:$C$451,$C384,'TL05'!$J$238:$J$451),0),
IF('TL06'!$B$3=M$3,SUMIF('TL06'!$C$10:$C$224,$C384,'TL06'!$J$10:$J$224),0),
IF('TL06'!$B$229=M$3,SUMIF('TL06'!$C$238:$C$451,$C384,'TL06'!$J$238:$J$451),0),
IF('TL07'!$B$3=M$3,SUMIF('TL07'!$C$10:$C$224,$C384,'TL07'!$J$10:$J$224),0),
IF('TL07'!$B$229=M$3,SUMIF('TL07'!$C$238:$C$451,$C384,'TL07'!$J$238:$J$451),0),
IF('TL08'!$B$3=M$3,SUMIF('TL08'!$C$10:$C$224,$C384,'TL08'!$J$10:$J$224),0),
IF('TL08'!$B$229=M$3,SUMIF('TL08'!$C$238:$C$451,$C384,'TL08'!$J$238:$J$451),0),
IF('TL09'!$B$3=M$3,SUMIF('TL09'!$C$10:$C$224,$C384,'TL09'!$J$10:$J$224),0),
IF('TL09'!$B$229=M$3,SUMIF('TL09'!$C$238:$C$451,$C384,'TL09'!$J$238:$J$451),0),
IF('TL10'!$B$3=M$3,SUMIF('TL10'!$C$10:$C$224,$C384,'TL10'!$J$10:$J$224),0),
IF('TL10'!$B$229=M$3,SUMIF('TL10'!$C$238:$C$451,$C384,'TL10'!$J$238:$J$451),0),
IF('TL11'!$B$3=M$3,SUMIF('TL11'!$C$10:$C$224,$C384,'TL11'!$J$10:$J$224),0),
IF('TL11'!$B$229=M$3,SUMIF('TL11'!$C$238:$C$451,$C384,'TL11'!$J$238:$J$451),0),
IF('TL12'!$B$3=M$3,SUMIF('TL12'!$C$10:$C$224,$C384,'TL12'!$J$10:$J$224),0),
IF('TL12'!$B$229=M$3,SUMIF('TL12'!$C$238:$C$451,$C384,'TL12'!$J$238:$J$451),0),
IF('TL13'!$B$3=M$3,SUMIF('TL13'!$C$10:$C$224,$C384,'TL13'!$J$10:$J$224),0),
IF('TL13'!$B$229=M$3,SUMIF('TL13'!$C$238:$C$451,$C384,'TL13'!$J$238:$J$451),0),
IF('TL14'!$B$3=M$3,SUMIF('TL14'!$C$10:$C$224,$C384,'TL14'!$J$10:$J$224),0),
IF('TL14'!$B$229=M$3,SUMIF('TL14'!$C$238:$C$451,$C384,'TL14'!$J$238:$J$451),0),
IF('TL15'!$B$3=M$3,SUMIF('TL15'!$C$10:$C$224,$C384,'TL15'!$J$10:$J$224),0),
IF('TL15'!$B$229=M$3,SUMIF('TL15'!$C$238:$C$451,$C384,'TL15'!$J$238:$J$451),0),
IF('TL16'!$B$3=M$3,SUMIF('TL16'!$C$10:$C$224,$C384,'TL16'!$J$10:$J$224),0),
IF('TL16'!$B$229=M$3,SUMIF('TL16'!$C$238:$C$451,$C384,'TL16'!$J$238:$J$451),0),
IF('TL17'!$B$3=M$3,SUMIF('TL17'!$C$10:$C$224,$C384,'TL17'!$J$10:$J$224),0),
IF('TL17'!$B$229=M$3,SUMIF('TL17'!$C$238:$C$451,$C384,'TL17'!$J$238:$J$451),0),
IF('TL18'!$B$3=M$3,SUMIF('TL18'!$C$10:$C$224,$C384,'TL18'!$J$10:$J$224),0),
IF('TL18'!$B$229=M$3,SUMIF('TL18'!$C$238:$C$451,$C384,'TL18'!$J$238:$J$451),0),
IF('TL19'!$B$3=M$3,SUMIF('TL19'!$C$10:$C$224,$C384,'TL19'!$J$10:$J$224),0),
IF('TL19'!$B$229=M$3,SUMIF('TL19'!$C$238:$C$451,$C384,'TL19'!$J$238:$J$451),0)
),0)</f>
        <v/>
      </c>
      <c r="N384" s="9">
        <f>IFERROR(SUM(
IF('TL01'!$B$3=N$3,SUMIF('TL01'!$C$10:$C$224,$C384,'TL01'!$J$10:$J$224),0),
IF('TL01'!$B$229=N$3,SUMIF('TL01'!$C$238:$C$451,$C384,'TL01'!$J$238:$J$451),0),
IF('TL02'!$B$3=N$3,SUMIF('TL02'!$C$10:$C$224,$C384,'TL02'!$J$10:$J$224),0),
IF('TL02'!$B$229=N$3,SUMIF('TL02'!$C$238:$C$451,$C384,'TL02'!$J$238:$J$451),0),
IF('TL03'!$B$3=N$3,SUMIF('TL03'!$C$10:$C$224,$C384,'TL03'!$J$10:$J$224),0),
IF('TL03'!$B$229=N$3,SUMIF('TL03'!$C$238:$C$451,$C384,'TL03'!$J$238:$J$451),0),
IF('TL04'!$B$3=N$3,SUMIF('TL04'!$C$10:$C$224,$C384,'TL04'!$J$10:$J$224),0),
IF('TL04'!$B$229=N$3,SUMIF('TL04'!$C$238:$C$451,$C384,'TL04'!$J$238:$J$451),0),
IF('TL05'!$B$3=N$3,SUMIF('TL05'!$C$10:$C$224,$C384,'TL05'!$J$10:$J$224),0),
IF('TL05'!$B$229=N$3,SUMIF('TL05'!$C$238:$C$451,$C384,'TL05'!$J$238:$J$451),0),
IF('TL06'!$B$3=N$3,SUMIF('TL06'!$C$10:$C$224,$C384,'TL06'!$J$10:$J$224),0),
IF('TL06'!$B$229=N$3,SUMIF('TL06'!$C$238:$C$451,$C384,'TL06'!$J$238:$J$451),0),
IF('TL07'!$B$3=N$3,SUMIF('TL07'!$C$10:$C$224,$C384,'TL07'!$J$10:$J$224),0),
IF('TL07'!$B$229=N$3,SUMIF('TL07'!$C$238:$C$451,$C384,'TL07'!$J$238:$J$451),0),
IF('TL08'!$B$3=N$3,SUMIF('TL08'!$C$10:$C$224,$C384,'TL08'!$J$10:$J$224),0),
IF('TL08'!$B$229=N$3,SUMIF('TL08'!$C$238:$C$451,$C384,'TL08'!$J$238:$J$451),0),
IF('TL09'!$B$3=N$3,SUMIF('TL09'!$C$10:$C$224,$C384,'TL09'!$J$10:$J$224),0),
IF('TL09'!$B$229=N$3,SUMIF('TL09'!$C$238:$C$451,$C384,'TL09'!$J$238:$J$451),0),
IF('TL10'!$B$3=N$3,SUMIF('TL10'!$C$10:$C$224,$C384,'TL10'!$J$10:$J$224),0),
IF('TL10'!$B$229=N$3,SUMIF('TL10'!$C$238:$C$451,$C384,'TL10'!$J$238:$J$451),0),
IF('TL11'!$B$3=N$3,SUMIF('TL11'!$C$10:$C$224,$C384,'TL11'!$J$10:$J$224),0),
IF('TL11'!$B$229=N$3,SUMIF('TL11'!$C$238:$C$451,$C384,'TL11'!$J$238:$J$451),0),
IF('TL12'!$B$3=N$3,SUMIF('TL12'!$C$10:$C$224,$C384,'TL12'!$J$10:$J$224),0),
IF('TL12'!$B$229=N$3,SUMIF('TL12'!$C$238:$C$451,$C384,'TL12'!$J$238:$J$451),0),
IF('TL13'!$B$3=N$3,SUMIF('TL13'!$C$10:$C$224,$C384,'TL13'!$J$10:$J$224),0),
IF('TL13'!$B$229=N$3,SUMIF('TL13'!$C$238:$C$451,$C384,'TL13'!$J$238:$J$451),0),
IF('TL14'!$B$3=N$3,SUMIF('TL14'!$C$10:$C$224,$C384,'TL14'!$J$10:$J$224),0),
IF('TL14'!$B$229=N$3,SUMIF('TL14'!$C$238:$C$451,$C384,'TL14'!$J$238:$J$451),0),
IF('TL15'!$B$3=N$3,SUMIF('TL15'!$C$10:$C$224,$C384,'TL15'!$J$10:$J$224),0),
IF('TL15'!$B$229=N$3,SUMIF('TL15'!$C$238:$C$451,$C384,'TL15'!$J$238:$J$451),0),
IF('TL16'!$B$3=N$3,SUMIF('TL16'!$C$10:$C$224,$C384,'TL16'!$J$10:$J$224),0),
IF('TL16'!$B$229=N$3,SUMIF('TL16'!$C$238:$C$451,$C384,'TL16'!$J$238:$J$451),0),
IF('TL17'!$B$3=N$3,SUMIF('TL17'!$C$10:$C$224,$C384,'TL17'!$J$10:$J$224),0),
IF('TL17'!$B$229=N$3,SUMIF('TL17'!$C$238:$C$451,$C384,'TL17'!$J$238:$J$451),0),
IF('TL18'!$B$3=N$3,SUMIF('TL18'!$C$10:$C$224,$C384,'TL18'!$J$10:$J$224),0),
IF('TL18'!$B$229=N$3,SUMIF('TL18'!$C$238:$C$451,$C384,'TL18'!$J$238:$J$451),0),
IF('TL19'!$B$3=N$3,SUMIF('TL19'!$C$10:$C$224,$C384,'TL19'!$J$10:$J$224),0),
IF('TL19'!$B$229=N$3,SUMIF('TL19'!$C$238:$C$451,$C384,'TL19'!$J$238:$J$451),0)
),0)</f>
        <v/>
      </c>
      <c r="O384" s="9">
        <f>IFERROR(SUM(
IF('TL01'!$B$3=O$3,SUMIF('TL01'!$C$10:$C$224,$C384,'TL01'!$J$10:$J$224),0),
IF('TL01'!$B$229=O$3,SUMIF('TL01'!$C$238:$C$451,$C384,'TL01'!$J$238:$J$451),0),
IF('TL02'!$B$3=O$3,SUMIF('TL02'!$C$10:$C$224,$C384,'TL02'!$J$10:$J$224),0),
IF('TL02'!$B$229=O$3,SUMIF('TL02'!$C$238:$C$451,$C384,'TL02'!$J$238:$J$451),0),
IF('TL03'!$B$3=O$3,SUMIF('TL03'!$C$10:$C$224,$C384,'TL03'!$J$10:$J$224),0),
IF('TL03'!$B$229=O$3,SUMIF('TL03'!$C$238:$C$451,$C384,'TL03'!$J$238:$J$451),0),
IF('TL04'!$B$3=O$3,SUMIF('TL04'!$C$10:$C$224,$C384,'TL04'!$J$10:$J$224),0),
IF('TL04'!$B$229=O$3,SUMIF('TL04'!$C$238:$C$451,$C384,'TL04'!$J$238:$J$451),0),
IF('TL05'!$B$3=O$3,SUMIF('TL05'!$C$10:$C$224,$C384,'TL05'!$J$10:$J$224),0),
IF('TL05'!$B$229=O$3,SUMIF('TL05'!$C$238:$C$451,$C384,'TL05'!$J$238:$J$451),0),
IF('TL06'!$B$3=O$3,SUMIF('TL06'!$C$10:$C$224,$C384,'TL06'!$J$10:$J$224),0),
IF('TL06'!$B$229=O$3,SUMIF('TL06'!$C$238:$C$451,$C384,'TL06'!$J$238:$J$451),0),
IF('TL07'!$B$3=O$3,SUMIF('TL07'!$C$10:$C$224,$C384,'TL07'!$J$10:$J$224),0),
IF('TL07'!$B$229=O$3,SUMIF('TL07'!$C$238:$C$451,$C384,'TL07'!$J$238:$J$451),0),
IF('TL08'!$B$3=O$3,SUMIF('TL08'!$C$10:$C$224,$C384,'TL08'!$J$10:$J$224),0),
IF('TL08'!$B$229=O$3,SUMIF('TL08'!$C$238:$C$451,$C384,'TL08'!$J$238:$J$451),0),
IF('TL09'!$B$3=O$3,SUMIF('TL09'!$C$10:$C$224,$C384,'TL09'!$J$10:$J$224),0),
IF('TL09'!$B$229=O$3,SUMIF('TL09'!$C$238:$C$451,$C384,'TL09'!$J$238:$J$451),0),
IF('TL10'!$B$3=O$3,SUMIF('TL10'!$C$10:$C$224,$C384,'TL10'!$J$10:$J$224),0),
IF('TL10'!$B$229=O$3,SUMIF('TL10'!$C$238:$C$451,$C384,'TL10'!$J$238:$J$451),0),
IF('TL11'!$B$3=O$3,SUMIF('TL11'!$C$10:$C$224,$C384,'TL11'!$J$10:$J$224),0),
IF('TL11'!$B$229=O$3,SUMIF('TL11'!$C$238:$C$451,$C384,'TL11'!$J$238:$J$451),0),
IF('TL12'!$B$3=O$3,SUMIF('TL12'!$C$10:$C$224,$C384,'TL12'!$J$10:$J$224),0),
IF('TL12'!$B$229=O$3,SUMIF('TL12'!$C$238:$C$451,$C384,'TL12'!$J$238:$J$451),0),
IF('TL13'!$B$3=O$3,SUMIF('TL13'!$C$10:$C$224,$C384,'TL13'!$J$10:$J$224),0),
IF('TL13'!$B$229=O$3,SUMIF('TL13'!$C$238:$C$451,$C384,'TL13'!$J$238:$J$451),0),
IF('TL14'!$B$3=O$3,SUMIF('TL14'!$C$10:$C$224,$C384,'TL14'!$J$10:$J$224),0),
IF('TL14'!$B$229=O$3,SUMIF('TL14'!$C$238:$C$451,$C384,'TL14'!$J$238:$J$451),0),
IF('TL15'!$B$3=O$3,SUMIF('TL15'!$C$10:$C$224,$C384,'TL15'!$J$10:$J$224),0),
IF('TL15'!$B$229=O$3,SUMIF('TL15'!$C$238:$C$451,$C384,'TL15'!$J$238:$J$451),0),
IF('TL16'!$B$3=O$3,SUMIF('TL16'!$C$10:$C$224,$C384,'TL16'!$J$10:$J$224),0),
IF('TL16'!$B$229=O$3,SUMIF('TL16'!$C$238:$C$451,$C384,'TL16'!$J$238:$J$451),0),
IF('TL17'!$B$3=O$3,SUMIF('TL17'!$C$10:$C$224,$C384,'TL17'!$J$10:$J$224),0),
IF('TL17'!$B$229=O$3,SUMIF('TL17'!$C$238:$C$451,$C384,'TL17'!$J$238:$J$451),0),
IF('TL18'!$B$3=O$3,SUMIF('TL18'!$C$10:$C$224,$C384,'TL18'!$J$10:$J$224),0),
IF('TL18'!$B$229=O$3,SUMIF('TL18'!$C$238:$C$451,$C384,'TL18'!$J$238:$J$451),0),
IF('TL19'!$B$3=O$3,SUMIF('TL19'!$C$10:$C$224,$C384,'TL19'!$J$10:$J$224),0),
IF('TL19'!$B$229=O$3,SUMIF('TL19'!$C$238:$C$451,$C384,'TL19'!$J$238:$J$451),0)
),0)</f>
        <v/>
      </c>
      <c r="P384" s="9">
        <f>IFERROR(SUM(
IF('TL01'!$B$3=P$3,SUMIF('TL01'!$C$10:$C$224,$C384,'TL01'!$J$10:$J$224),0),
IF('TL01'!$B$229=P$3,SUMIF('TL01'!$C$238:$C$451,$C384,'TL01'!$J$238:$J$451),0),
IF('TL02'!$B$3=P$3,SUMIF('TL02'!$C$10:$C$224,$C384,'TL02'!$J$10:$J$224),0),
IF('TL02'!$B$229=P$3,SUMIF('TL02'!$C$238:$C$451,$C384,'TL02'!$J$238:$J$451),0),
IF('TL03'!$B$3=P$3,SUMIF('TL03'!$C$10:$C$224,$C384,'TL03'!$J$10:$J$224),0),
IF('TL03'!$B$229=P$3,SUMIF('TL03'!$C$238:$C$451,$C384,'TL03'!$J$238:$J$451),0),
IF('TL04'!$B$3=P$3,SUMIF('TL04'!$C$10:$C$224,$C384,'TL04'!$J$10:$J$224),0),
IF('TL04'!$B$229=P$3,SUMIF('TL04'!$C$238:$C$451,$C384,'TL04'!$J$238:$J$451),0),
IF('TL05'!$B$3=P$3,SUMIF('TL05'!$C$10:$C$224,$C384,'TL05'!$J$10:$J$224),0),
IF('TL05'!$B$229=P$3,SUMIF('TL05'!$C$238:$C$451,$C384,'TL05'!$J$238:$J$451),0),
IF('TL06'!$B$3=P$3,SUMIF('TL06'!$C$10:$C$224,$C384,'TL06'!$J$10:$J$224),0),
IF('TL06'!$B$229=P$3,SUMIF('TL06'!$C$238:$C$451,$C384,'TL06'!$J$238:$J$451),0),
IF('TL07'!$B$3=P$3,SUMIF('TL07'!$C$10:$C$224,$C384,'TL07'!$J$10:$J$224),0),
IF('TL07'!$B$229=P$3,SUMIF('TL07'!$C$238:$C$451,$C384,'TL07'!$J$238:$J$451),0),
IF('TL08'!$B$3=P$3,SUMIF('TL08'!$C$10:$C$224,$C384,'TL08'!$J$10:$J$224),0),
IF('TL08'!$B$229=P$3,SUMIF('TL08'!$C$238:$C$451,$C384,'TL08'!$J$238:$J$451),0),
IF('TL09'!$B$3=P$3,SUMIF('TL09'!$C$10:$C$224,$C384,'TL09'!$J$10:$J$224),0),
IF('TL09'!$B$229=P$3,SUMIF('TL09'!$C$238:$C$451,$C384,'TL09'!$J$238:$J$451),0),
IF('TL10'!$B$3=P$3,SUMIF('TL10'!$C$10:$C$224,$C384,'TL10'!$J$10:$J$224),0),
IF('TL10'!$B$229=P$3,SUMIF('TL10'!$C$238:$C$451,$C384,'TL10'!$J$238:$J$451),0),
IF('TL11'!$B$3=P$3,SUMIF('TL11'!$C$10:$C$224,$C384,'TL11'!$J$10:$J$224),0),
IF('TL11'!$B$229=P$3,SUMIF('TL11'!$C$238:$C$451,$C384,'TL11'!$J$238:$J$451),0),
IF('TL12'!$B$3=P$3,SUMIF('TL12'!$C$10:$C$224,$C384,'TL12'!$J$10:$J$224),0),
IF('TL12'!$B$229=P$3,SUMIF('TL12'!$C$238:$C$451,$C384,'TL12'!$J$238:$J$451),0),
IF('TL13'!$B$3=P$3,SUMIF('TL13'!$C$10:$C$224,$C384,'TL13'!$J$10:$J$224),0),
IF('TL13'!$B$229=P$3,SUMIF('TL13'!$C$238:$C$451,$C384,'TL13'!$J$238:$J$451),0),
IF('TL14'!$B$3=P$3,SUMIF('TL14'!$C$10:$C$224,$C384,'TL14'!$J$10:$J$224),0),
IF('TL14'!$B$229=P$3,SUMIF('TL14'!$C$238:$C$451,$C384,'TL14'!$J$238:$J$451),0),
IF('TL15'!$B$3=P$3,SUMIF('TL15'!$C$10:$C$224,$C384,'TL15'!$J$10:$J$224),0),
IF('TL15'!$B$229=P$3,SUMIF('TL15'!$C$238:$C$451,$C384,'TL15'!$J$238:$J$451),0),
IF('TL16'!$B$3=P$3,SUMIF('TL16'!$C$10:$C$224,$C384,'TL16'!$J$10:$J$224),0),
IF('TL16'!$B$229=P$3,SUMIF('TL16'!$C$238:$C$451,$C384,'TL16'!$J$238:$J$451),0),
IF('TL17'!$B$3=P$3,SUMIF('TL17'!$C$10:$C$224,$C384,'TL17'!$J$10:$J$224),0),
IF('TL17'!$B$229=P$3,SUMIF('TL17'!$C$238:$C$451,$C384,'TL17'!$J$238:$J$451),0),
IF('TL18'!$B$3=P$3,SUMIF('TL18'!$C$10:$C$224,$C384,'TL18'!$J$10:$J$224),0),
IF('TL18'!$B$229=P$3,SUMIF('TL18'!$C$238:$C$451,$C384,'TL18'!$J$238:$J$451),0),
IF('TL19'!$B$3=P$3,SUMIF('TL19'!$C$10:$C$224,$C384,'TL19'!$J$10:$J$224),0),
IF('TL19'!$B$229=P$3,SUMIF('TL19'!$C$238:$C$451,$C384,'TL19'!$J$238:$J$451),0)
),0)</f>
        <v/>
      </c>
      <c r="Q384" s="9">
        <f>IFERROR(SUM(
IF('TL01'!$B$3=Q$3,SUMIF('TL01'!$C$10:$C$224,$C384,'TL01'!$J$10:$J$224),0),
IF('TL01'!$B$229=Q$3,SUMIF('TL01'!$C$238:$C$451,$C384,'TL01'!$J$238:$J$451),0),
IF('TL02'!$B$3=Q$3,SUMIF('TL02'!$C$10:$C$224,$C384,'TL02'!$J$10:$J$224),0),
IF('TL02'!$B$229=Q$3,SUMIF('TL02'!$C$238:$C$451,$C384,'TL02'!$J$238:$J$451),0),
IF('TL03'!$B$3=Q$3,SUMIF('TL03'!$C$10:$C$224,$C384,'TL03'!$J$10:$J$224),0),
IF('TL03'!$B$229=Q$3,SUMIF('TL03'!$C$238:$C$451,$C384,'TL03'!$J$238:$J$451),0),
IF('TL04'!$B$3=Q$3,SUMIF('TL04'!$C$10:$C$224,$C384,'TL04'!$J$10:$J$224),0),
IF('TL04'!$B$229=Q$3,SUMIF('TL04'!$C$238:$C$451,$C384,'TL04'!$J$238:$J$451),0),
IF('TL05'!$B$3=Q$3,SUMIF('TL05'!$C$10:$C$224,$C384,'TL05'!$J$10:$J$224),0),
IF('TL05'!$B$229=Q$3,SUMIF('TL05'!$C$238:$C$451,$C384,'TL05'!$J$238:$J$451),0),
IF('TL06'!$B$3=Q$3,SUMIF('TL06'!$C$10:$C$224,$C384,'TL06'!$J$10:$J$224),0),
IF('TL06'!$B$229=Q$3,SUMIF('TL06'!$C$238:$C$451,$C384,'TL06'!$J$238:$J$451),0),
IF('TL07'!$B$3=Q$3,SUMIF('TL07'!$C$10:$C$224,$C384,'TL07'!$J$10:$J$224),0),
IF('TL07'!$B$229=Q$3,SUMIF('TL07'!$C$238:$C$451,$C384,'TL07'!$J$238:$J$451),0),
IF('TL08'!$B$3=Q$3,SUMIF('TL08'!$C$10:$C$224,$C384,'TL08'!$J$10:$J$224),0),
IF('TL08'!$B$229=Q$3,SUMIF('TL08'!$C$238:$C$451,$C384,'TL08'!$J$238:$J$451),0),
IF('TL09'!$B$3=Q$3,SUMIF('TL09'!$C$10:$C$224,$C384,'TL09'!$J$10:$J$224),0),
IF('TL09'!$B$229=Q$3,SUMIF('TL09'!$C$238:$C$451,$C384,'TL09'!$J$238:$J$451),0),
IF('TL10'!$B$3=Q$3,SUMIF('TL10'!$C$10:$C$224,$C384,'TL10'!$J$10:$J$224),0),
IF('TL10'!$B$229=Q$3,SUMIF('TL10'!$C$238:$C$451,$C384,'TL10'!$J$238:$J$451),0),
IF('TL11'!$B$3=Q$3,SUMIF('TL11'!$C$10:$C$224,$C384,'TL11'!$J$10:$J$224),0),
IF('TL11'!$B$229=Q$3,SUMIF('TL11'!$C$238:$C$451,$C384,'TL11'!$J$238:$J$451),0),
IF('TL12'!$B$3=Q$3,SUMIF('TL12'!$C$10:$C$224,$C384,'TL12'!$J$10:$J$224),0),
IF('TL12'!$B$229=Q$3,SUMIF('TL12'!$C$238:$C$451,$C384,'TL12'!$J$238:$J$451),0),
IF('TL13'!$B$3=Q$3,SUMIF('TL13'!$C$10:$C$224,$C384,'TL13'!$J$10:$J$224),0),
IF('TL13'!$B$229=Q$3,SUMIF('TL13'!$C$238:$C$451,$C384,'TL13'!$J$238:$J$451),0),
IF('TL14'!$B$3=Q$3,SUMIF('TL14'!$C$10:$C$224,$C384,'TL14'!$J$10:$J$224),0),
IF('TL14'!$B$229=Q$3,SUMIF('TL14'!$C$238:$C$451,$C384,'TL14'!$J$238:$J$451),0),
IF('TL15'!$B$3=Q$3,SUMIF('TL15'!$C$10:$C$224,$C384,'TL15'!$J$10:$J$224),0),
IF('TL15'!$B$229=Q$3,SUMIF('TL15'!$C$238:$C$451,$C384,'TL15'!$J$238:$J$451),0),
IF('TL16'!$B$3=Q$3,SUMIF('TL16'!$C$10:$C$224,$C384,'TL16'!$J$10:$J$224),0),
IF('TL16'!$B$229=Q$3,SUMIF('TL16'!$C$238:$C$451,$C384,'TL16'!$J$238:$J$451),0),
IF('TL17'!$B$3=Q$3,SUMIF('TL17'!$C$10:$C$224,$C384,'TL17'!$J$10:$J$224),0),
IF('TL17'!$B$229=Q$3,SUMIF('TL17'!$C$238:$C$451,$C384,'TL17'!$J$238:$J$451),0),
IF('TL18'!$B$3=Q$3,SUMIF('TL18'!$C$10:$C$224,$C384,'TL18'!$J$10:$J$224),0),
IF('TL18'!$B$229=Q$3,SUMIF('TL18'!$C$238:$C$451,$C384,'TL18'!$J$238:$J$451),0),
IF('TL19'!$B$3=Q$3,SUMIF('TL19'!$C$10:$C$224,$C384,'TL19'!$J$10:$J$224),0),
IF('TL19'!$B$229=Q$3,SUMIF('TL19'!$C$238:$C$451,$C384,'TL19'!$J$238:$J$451),0)
),0)</f>
        <v/>
      </c>
      <c r="R384" s="9">
        <f>IFERROR(
SUM(
SUMIF('TL01'!C:C,C384,'TL01'!J:J),
SUMIF('TL02'!C:C,C384,'TL02'!J:J),
SUMIF('TL03'!C:C,C384,'TL03'!J:J),
SUMIF('TL04'!C:C,C384,'TL04'!J:J),
SUMIF('TL05'!C:C,C384,'TL05'!J:J),
SUMIF('TL06'!C:C,C384,'TL06'!J:J),
SUMIF('TL07'!C:C,C384,'TL07'!J:J),
SUMIF('TL08'!C:C,C384,'TL08'!J:J),
SUMIF('TL09'!C:C,C384,'TL09'!J:J),
SUMIF('TL10'!C:C,C384,'TL10'!J:J),
SUMIF('TL11'!C:C,C384,'TL11'!J:J),
SUMIF('TL12'!C:C,C384,'TL12'!J:J),
SUMIF('TL13'!C:C,C384,'TL13'!J:J),
SUMIF('TL14'!C:C,C384,'TL14'!J:J),
SUMIF('TL15'!C:C,C384,'TL15'!J:J),
SUMIF('TL16'!C:C,C384,'TL16'!J:J),
SUMIF('TL17'!C:C,C384,'TL17'!J:J),
SUMIF('TL18'!C:C,C384,'TL18'!J:J),SUMIF('TL19'!C:C,C384,'TL19'!J:J))
,0)</f>
        <v/>
      </c>
      <c r="S384" s="17">
        <f>IFERROR(__xludf.DUMMYFUNCTION("IFERROR(VLOOKUP(C384,
IMPORTRANGE(""1wULbzX32WdYsx-lj2U3uUNBBe2INVIRDtcK0d-Dvl90"",
""26-27!C:G""),
5,
FALSE),
"""")"),4.16)</f>
        <v/>
      </c>
      <c r="T384" s="9" t="n"/>
      <c r="U384" s="92">
        <f>MAX(0,R384-T384)</f>
        <v/>
      </c>
      <c r="V384" s="93">
        <f>U384*S384</f>
        <v/>
      </c>
    </row>
    <row r="385" hidden="1" ht="15.75" customHeight="1" s="297">
      <c r="A385" s="4" t="inlineStr">
        <is>
          <t>SOLUBIO</t>
        </is>
      </c>
      <c r="B385" s="4" t="inlineStr">
        <is>
          <t>BIOLÓGICOS</t>
        </is>
      </c>
      <c r="C385" s="130" t="inlineStr">
        <is>
          <t>Bio Solubilize Kit On-farm</t>
        </is>
      </c>
      <c r="D385" s="129" t="inlineStr">
        <is>
          <t>Kit On-farm</t>
        </is>
      </c>
      <c r="E385" s="122" t="n"/>
      <c r="F385" s="4" t="n"/>
      <c r="G385" s="90">
        <f>HYPERLINK("https://www.google.com/search?q=" &amp; C385 &amp; "+bula+agrofit+pdf", "📄 Ver bula")</f>
        <v/>
      </c>
      <c r="H385" s="9" t="n"/>
      <c r="I385" s="123" t="n"/>
      <c r="J385" s="9">
        <f>IFERROR(SUM(
IF('TL01'!$B$3=J$3,SUMIF('TL01'!$C$10:$C$224,$C385,'TL01'!$J$10:$J$224),0),
IF('TL01'!$B$229=J$3,SUMIF('TL01'!$C$238:$C$451,$C385,'TL01'!$J$238:$J$451),0),
IF('TL02'!$B$3=J$3,SUMIF('TL02'!$C$10:$C$224,$C385,'TL02'!$J$10:$J$224),0),
IF('TL02'!$B$229=J$3,SUMIF('TL02'!$C$238:$C$451,$C385,'TL02'!$J$238:$J$451),0),
IF('TL03'!$B$3=J$3,SUMIF('TL03'!$C$10:$C$224,$C385,'TL03'!$J$10:$J$224),0),
IF('TL03'!$B$229=J$3,SUMIF('TL03'!$C$238:$C$451,$C385,'TL03'!$J$238:$J$451),0),
IF('TL04'!$B$3=J$3,SUMIF('TL04'!$C$10:$C$224,$C385,'TL04'!$J$10:$J$224),0),
IF('TL04'!$B$229=J$3,SUMIF('TL04'!$C$238:$C$451,$C385,'TL04'!$J$238:$J$451),0),
IF('TL05'!$B$3=J$3,SUMIF('TL05'!$C$10:$C$224,$C385,'TL05'!$J$10:$J$224),0),
IF('TL05'!$B$229=J$3,SUMIF('TL05'!$C$238:$C$451,$C385,'TL05'!$J$238:$J$451),0),
IF('TL06'!$B$3=J$3,SUMIF('TL06'!$C$10:$C$224,$C385,'TL06'!$J$10:$J$224),0),
IF('TL06'!$B$229=J$3,SUMIF('TL06'!$C$238:$C$451,$C385,'TL06'!$J$238:$J$451),0),
IF('TL07'!$B$3=J$3,SUMIF('TL07'!$C$10:$C$224,$C385,'TL07'!$J$10:$J$224),0),
IF('TL07'!$B$229=J$3,SUMIF('TL07'!$C$238:$C$451,$C385,'TL07'!$J$238:$J$451),0),
IF('TL08'!$B$3=J$3,SUMIF('TL08'!$C$10:$C$224,$C385,'TL08'!$J$10:$J$224),0),
IF('TL08'!$B$229=J$3,SUMIF('TL08'!$C$238:$C$451,$C385,'TL08'!$J$238:$J$451),0),
IF('TL09'!$B$3=J$3,SUMIF('TL09'!$C$10:$C$224,$C385,'TL09'!$J$10:$J$224),0),
IF('TL09'!$B$229=J$3,SUMIF('TL09'!$C$238:$C$451,$C385,'TL09'!$J$238:$J$451),0),
IF('TL10'!$B$3=J$3,SUMIF('TL10'!$C$10:$C$224,$C385,'TL10'!$J$10:$J$224),0),
IF('TL10'!$B$229=J$3,SUMIF('TL10'!$C$238:$C$451,$C385,'TL10'!$J$238:$J$451),0),
IF('TL11'!$B$3=J$3,SUMIF('TL11'!$C$10:$C$224,$C385,'TL11'!$J$10:$J$224),0),
IF('TL11'!$B$229=J$3,SUMIF('TL11'!$C$238:$C$451,$C385,'TL11'!$J$238:$J$451),0),
IF('TL12'!$B$3=J$3,SUMIF('TL12'!$C$10:$C$224,$C385,'TL12'!$J$10:$J$224),0),
IF('TL12'!$B$229=J$3,SUMIF('TL12'!$C$238:$C$451,$C385,'TL12'!$J$238:$J$451),0),
IF('TL13'!$B$3=J$3,SUMIF('TL13'!$C$10:$C$224,$C385,'TL13'!$J$10:$J$224),0),
IF('TL13'!$B$229=J$3,SUMIF('TL13'!$C$238:$C$451,$C385,'TL13'!$J$238:$J$451),0),
IF('TL14'!$B$3=J$3,SUMIF('TL14'!$C$10:$C$224,$C385,'TL14'!$J$10:$J$224),0),
IF('TL14'!$B$229=J$3,SUMIF('TL14'!$C$238:$C$451,$C385,'TL14'!$J$238:$J$451),0),
IF('TL15'!$B$3=J$3,SUMIF('TL15'!$C$10:$C$224,$C385,'TL15'!$J$10:$J$224),0),
IF('TL15'!$B$229=J$3,SUMIF('TL15'!$C$238:$C$451,$C385,'TL15'!$J$238:$J$451),0),
IF('TL16'!$B$3=J$3,SUMIF('TL16'!$C$10:$C$224,$C385,'TL16'!$J$10:$J$224),0),
IF('TL16'!$B$229=J$3,SUMIF('TL16'!$C$238:$C$451,$C385,'TL16'!$J$238:$J$451),0),
IF('TL17'!$B$3=J$3,SUMIF('TL17'!$C$10:$C$224,$C385,'TL17'!$J$10:$J$224),0),
IF('TL17'!$B$229=J$3,SUMIF('TL17'!$C$238:$C$451,$C385,'TL17'!$J$238:$J$451),0),
IF('TL18'!$B$3=J$3,SUMIF('TL18'!$C$10:$C$224,$C385,'TL18'!$J$10:$J$224),0),
IF('TL18'!$B$229=J$3,SUMIF('TL18'!$C$238:$C$451,$C385,'TL18'!$J$238:$J$451),0),
IF('TL19'!$B$3=J$3,SUMIF('TL19'!$C$10:$C$224,$C385,'TL19'!$J$10:$J$224),0),
IF('TL19'!$B$229=J$3,SUMIF('TL19'!$C$238:$C$451,$C385,'TL19'!$J$238:$J$451),0)
),0)</f>
        <v/>
      </c>
      <c r="K385" s="9">
        <f>IFERROR(SUM(
IF('TL01'!$B$3=K$3,SUMIF('TL01'!$C$10:$C$224,$C385,'TL01'!$J$10:$J$224),0),
IF('TL01'!$B$229=K$3,SUMIF('TL01'!$C$238:$C$451,$C385,'TL01'!$J$238:$J$451),0),
IF('TL02'!$B$3=K$3,SUMIF('TL02'!$C$10:$C$224,$C385,'TL02'!$J$10:$J$224),0),
IF('TL02'!$B$229=K$3,SUMIF('TL02'!$C$238:$C$451,$C385,'TL02'!$J$238:$J$451),0),
IF('TL03'!$B$3=K$3,SUMIF('TL03'!$C$10:$C$224,$C385,'TL03'!$J$10:$J$224),0),
IF('TL03'!$B$229=K$3,SUMIF('TL03'!$C$238:$C$451,$C385,'TL03'!$J$238:$J$451),0),
IF('TL04'!$B$3=K$3,SUMIF('TL04'!$C$10:$C$224,$C385,'TL04'!$J$10:$J$224),0),
IF('TL04'!$B$229=K$3,SUMIF('TL04'!$C$238:$C$451,$C385,'TL04'!$J$238:$J$451),0),
IF('TL05'!$B$3=K$3,SUMIF('TL05'!$C$10:$C$224,$C385,'TL05'!$J$10:$J$224),0),
IF('TL05'!$B$229=K$3,SUMIF('TL05'!$C$238:$C$451,$C385,'TL05'!$J$238:$J$451),0),
IF('TL06'!$B$3=K$3,SUMIF('TL06'!$C$10:$C$224,$C385,'TL06'!$J$10:$J$224),0),
IF('TL06'!$B$229=K$3,SUMIF('TL06'!$C$238:$C$451,$C385,'TL06'!$J$238:$J$451),0),
IF('TL07'!$B$3=K$3,SUMIF('TL07'!$C$10:$C$224,$C385,'TL07'!$J$10:$J$224),0),
IF('TL07'!$B$229=K$3,SUMIF('TL07'!$C$238:$C$451,$C385,'TL07'!$J$238:$J$451),0),
IF('TL08'!$B$3=K$3,SUMIF('TL08'!$C$10:$C$224,$C385,'TL08'!$J$10:$J$224),0),
IF('TL08'!$B$229=K$3,SUMIF('TL08'!$C$238:$C$451,$C385,'TL08'!$J$238:$J$451),0),
IF('TL09'!$B$3=K$3,SUMIF('TL09'!$C$10:$C$224,$C385,'TL09'!$J$10:$J$224),0),
IF('TL09'!$B$229=K$3,SUMIF('TL09'!$C$238:$C$451,$C385,'TL09'!$J$238:$J$451),0),
IF('TL10'!$B$3=K$3,SUMIF('TL10'!$C$10:$C$224,$C385,'TL10'!$J$10:$J$224),0),
IF('TL10'!$B$229=K$3,SUMIF('TL10'!$C$238:$C$451,$C385,'TL10'!$J$238:$J$451),0),
IF('TL11'!$B$3=K$3,SUMIF('TL11'!$C$10:$C$224,$C385,'TL11'!$J$10:$J$224),0),
IF('TL11'!$B$229=K$3,SUMIF('TL11'!$C$238:$C$451,$C385,'TL11'!$J$238:$J$451),0),
IF('TL12'!$B$3=K$3,SUMIF('TL12'!$C$10:$C$224,$C385,'TL12'!$J$10:$J$224),0),
IF('TL12'!$B$229=K$3,SUMIF('TL12'!$C$238:$C$451,$C385,'TL12'!$J$238:$J$451),0),
IF('TL13'!$B$3=K$3,SUMIF('TL13'!$C$10:$C$224,$C385,'TL13'!$J$10:$J$224),0),
IF('TL13'!$B$229=K$3,SUMIF('TL13'!$C$238:$C$451,$C385,'TL13'!$J$238:$J$451),0),
IF('TL14'!$B$3=K$3,SUMIF('TL14'!$C$10:$C$224,$C385,'TL14'!$J$10:$J$224),0),
IF('TL14'!$B$229=K$3,SUMIF('TL14'!$C$238:$C$451,$C385,'TL14'!$J$238:$J$451),0),
IF('TL15'!$B$3=K$3,SUMIF('TL15'!$C$10:$C$224,$C385,'TL15'!$J$10:$J$224),0),
IF('TL15'!$B$229=K$3,SUMIF('TL15'!$C$238:$C$451,$C385,'TL15'!$J$238:$J$451),0),
IF('TL16'!$B$3=K$3,SUMIF('TL16'!$C$10:$C$224,$C385,'TL16'!$J$10:$J$224),0),
IF('TL16'!$B$229=K$3,SUMIF('TL16'!$C$238:$C$451,$C385,'TL16'!$J$238:$J$451),0),
IF('TL17'!$B$3=K$3,SUMIF('TL17'!$C$10:$C$224,$C385,'TL17'!$J$10:$J$224),0),
IF('TL17'!$B$229=K$3,SUMIF('TL17'!$C$238:$C$451,$C385,'TL17'!$J$238:$J$451),0),
IF('TL18'!$B$3=K$3,SUMIF('TL18'!$C$10:$C$224,$C385,'TL18'!$J$10:$J$224),0),
IF('TL18'!$B$229=K$3,SUMIF('TL18'!$C$238:$C$451,$C385,'TL18'!$J$238:$J$451),0),
IF('TL19'!$B$3=K$3,SUMIF('TL19'!$C$10:$C$224,$C385,'TL19'!$J$10:$J$224),0),
IF('TL19'!$B$229=K$3,SUMIF('TL19'!$C$238:$C$451,$C385,'TL19'!$J$238:$J$451),0)
),0)</f>
        <v/>
      </c>
      <c r="L385" s="9">
        <f>IFERROR(SUM(
IF('TL01'!$B$3=L$3,SUMIF('TL01'!$C$10:$C$224,$C385,'TL01'!$J$10:$J$224),0),
IF('TL01'!$B$229=L$3,SUMIF('TL01'!$C$238:$C$451,$C385,'TL01'!$J$238:$J$451),0),
IF('TL02'!$B$3=L$3,SUMIF('TL02'!$C$10:$C$224,$C385,'TL02'!$J$10:$J$224),0),
IF('TL02'!$B$229=L$3,SUMIF('TL02'!$C$238:$C$451,$C385,'TL02'!$J$238:$J$451),0),
IF('TL03'!$B$3=L$3,SUMIF('TL03'!$C$10:$C$224,$C385,'TL03'!$J$10:$J$224),0),
IF('TL03'!$B$229=L$3,SUMIF('TL03'!$C$238:$C$451,$C385,'TL03'!$J$238:$J$451),0),
IF('TL04'!$B$3=L$3,SUMIF('TL04'!$C$10:$C$224,$C385,'TL04'!$J$10:$J$224),0),
IF('TL04'!$B$229=L$3,SUMIF('TL04'!$C$238:$C$451,$C385,'TL04'!$J$238:$J$451),0),
IF('TL05'!$B$3=L$3,SUMIF('TL05'!$C$10:$C$224,$C385,'TL05'!$J$10:$J$224),0),
IF('TL05'!$B$229=L$3,SUMIF('TL05'!$C$238:$C$451,$C385,'TL05'!$J$238:$J$451),0),
IF('TL06'!$B$3=L$3,SUMIF('TL06'!$C$10:$C$224,$C385,'TL06'!$J$10:$J$224),0),
IF('TL06'!$B$229=L$3,SUMIF('TL06'!$C$238:$C$451,$C385,'TL06'!$J$238:$J$451),0),
IF('TL07'!$B$3=L$3,SUMIF('TL07'!$C$10:$C$224,$C385,'TL07'!$J$10:$J$224),0),
IF('TL07'!$B$229=L$3,SUMIF('TL07'!$C$238:$C$451,$C385,'TL07'!$J$238:$J$451),0),
IF('TL08'!$B$3=L$3,SUMIF('TL08'!$C$10:$C$224,$C385,'TL08'!$J$10:$J$224),0),
IF('TL08'!$B$229=L$3,SUMIF('TL08'!$C$238:$C$451,$C385,'TL08'!$J$238:$J$451),0),
IF('TL09'!$B$3=L$3,SUMIF('TL09'!$C$10:$C$224,$C385,'TL09'!$J$10:$J$224),0),
IF('TL09'!$B$229=L$3,SUMIF('TL09'!$C$238:$C$451,$C385,'TL09'!$J$238:$J$451),0),
IF('TL10'!$B$3=L$3,SUMIF('TL10'!$C$10:$C$224,$C385,'TL10'!$J$10:$J$224),0),
IF('TL10'!$B$229=L$3,SUMIF('TL10'!$C$238:$C$451,$C385,'TL10'!$J$238:$J$451),0),
IF('TL11'!$B$3=L$3,SUMIF('TL11'!$C$10:$C$224,$C385,'TL11'!$J$10:$J$224),0),
IF('TL11'!$B$229=L$3,SUMIF('TL11'!$C$238:$C$451,$C385,'TL11'!$J$238:$J$451),0),
IF('TL12'!$B$3=L$3,SUMIF('TL12'!$C$10:$C$224,$C385,'TL12'!$J$10:$J$224),0),
IF('TL12'!$B$229=L$3,SUMIF('TL12'!$C$238:$C$451,$C385,'TL12'!$J$238:$J$451),0),
IF('TL13'!$B$3=L$3,SUMIF('TL13'!$C$10:$C$224,$C385,'TL13'!$J$10:$J$224),0),
IF('TL13'!$B$229=L$3,SUMIF('TL13'!$C$238:$C$451,$C385,'TL13'!$J$238:$J$451),0),
IF('TL14'!$B$3=L$3,SUMIF('TL14'!$C$10:$C$224,$C385,'TL14'!$J$10:$J$224),0),
IF('TL14'!$B$229=L$3,SUMIF('TL14'!$C$238:$C$451,$C385,'TL14'!$J$238:$J$451),0),
IF('TL15'!$B$3=L$3,SUMIF('TL15'!$C$10:$C$224,$C385,'TL15'!$J$10:$J$224),0),
IF('TL15'!$B$229=L$3,SUMIF('TL15'!$C$238:$C$451,$C385,'TL15'!$J$238:$J$451),0),
IF('TL16'!$B$3=L$3,SUMIF('TL16'!$C$10:$C$224,$C385,'TL16'!$J$10:$J$224),0),
IF('TL16'!$B$229=L$3,SUMIF('TL16'!$C$238:$C$451,$C385,'TL16'!$J$238:$J$451),0),
IF('TL17'!$B$3=L$3,SUMIF('TL17'!$C$10:$C$224,$C385,'TL17'!$J$10:$J$224),0),
IF('TL17'!$B$229=L$3,SUMIF('TL17'!$C$238:$C$451,$C385,'TL17'!$J$238:$J$451),0),
IF('TL18'!$B$3=L$3,SUMIF('TL18'!$C$10:$C$224,$C385,'TL18'!$J$10:$J$224),0),
IF('TL18'!$B$229=L$3,SUMIF('TL18'!$C$238:$C$451,$C385,'TL18'!$J$238:$J$451),0),
IF('TL19'!$B$3=L$3,SUMIF('TL19'!$C$10:$C$224,$C385,'TL19'!$J$10:$J$224),0),
IF('TL19'!$B$229=L$3,SUMIF('TL19'!$C$238:$C$451,$C385,'TL19'!$J$238:$J$451),0)
),0)</f>
        <v/>
      </c>
      <c r="M385" s="9">
        <f>IFERROR(SUM(
IF('TL01'!$B$3=M$3,SUMIF('TL01'!$C$10:$C$224,$C385,'TL01'!$J$10:$J$224),0),
IF('TL01'!$B$229=M$3,SUMIF('TL01'!$C$238:$C$451,$C385,'TL01'!$J$238:$J$451),0),
IF('TL02'!$B$3=M$3,SUMIF('TL02'!$C$10:$C$224,$C385,'TL02'!$J$10:$J$224),0),
IF('TL02'!$B$229=M$3,SUMIF('TL02'!$C$238:$C$451,$C385,'TL02'!$J$238:$J$451),0),
IF('TL03'!$B$3=M$3,SUMIF('TL03'!$C$10:$C$224,$C385,'TL03'!$J$10:$J$224),0),
IF('TL03'!$B$229=M$3,SUMIF('TL03'!$C$238:$C$451,$C385,'TL03'!$J$238:$J$451),0),
IF('TL04'!$B$3=M$3,SUMIF('TL04'!$C$10:$C$224,$C385,'TL04'!$J$10:$J$224),0),
IF('TL04'!$B$229=M$3,SUMIF('TL04'!$C$238:$C$451,$C385,'TL04'!$J$238:$J$451),0),
IF('TL05'!$B$3=M$3,SUMIF('TL05'!$C$10:$C$224,$C385,'TL05'!$J$10:$J$224),0),
IF('TL05'!$B$229=M$3,SUMIF('TL05'!$C$238:$C$451,$C385,'TL05'!$J$238:$J$451),0),
IF('TL06'!$B$3=M$3,SUMIF('TL06'!$C$10:$C$224,$C385,'TL06'!$J$10:$J$224),0),
IF('TL06'!$B$229=M$3,SUMIF('TL06'!$C$238:$C$451,$C385,'TL06'!$J$238:$J$451),0),
IF('TL07'!$B$3=M$3,SUMIF('TL07'!$C$10:$C$224,$C385,'TL07'!$J$10:$J$224),0),
IF('TL07'!$B$229=M$3,SUMIF('TL07'!$C$238:$C$451,$C385,'TL07'!$J$238:$J$451),0),
IF('TL08'!$B$3=M$3,SUMIF('TL08'!$C$10:$C$224,$C385,'TL08'!$J$10:$J$224),0),
IF('TL08'!$B$229=M$3,SUMIF('TL08'!$C$238:$C$451,$C385,'TL08'!$J$238:$J$451),0),
IF('TL09'!$B$3=M$3,SUMIF('TL09'!$C$10:$C$224,$C385,'TL09'!$J$10:$J$224),0),
IF('TL09'!$B$229=M$3,SUMIF('TL09'!$C$238:$C$451,$C385,'TL09'!$J$238:$J$451),0),
IF('TL10'!$B$3=M$3,SUMIF('TL10'!$C$10:$C$224,$C385,'TL10'!$J$10:$J$224),0),
IF('TL10'!$B$229=M$3,SUMIF('TL10'!$C$238:$C$451,$C385,'TL10'!$J$238:$J$451),0),
IF('TL11'!$B$3=M$3,SUMIF('TL11'!$C$10:$C$224,$C385,'TL11'!$J$10:$J$224),0),
IF('TL11'!$B$229=M$3,SUMIF('TL11'!$C$238:$C$451,$C385,'TL11'!$J$238:$J$451),0),
IF('TL12'!$B$3=M$3,SUMIF('TL12'!$C$10:$C$224,$C385,'TL12'!$J$10:$J$224),0),
IF('TL12'!$B$229=M$3,SUMIF('TL12'!$C$238:$C$451,$C385,'TL12'!$J$238:$J$451),0),
IF('TL13'!$B$3=M$3,SUMIF('TL13'!$C$10:$C$224,$C385,'TL13'!$J$10:$J$224),0),
IF('TL13'!$B$229=M$3,SUMIF('TL13'!$C$238:$C$451,$C385,'TL13'!$J$238:$J$451),0),
IF('TL14'!$B$3=M$3,SUMIF('TL14'!$C$10:$C$224,$C385,'TL14'!$J$10:$J$224),0),
IF('TL14'!$B$229=M$3,SUMIF('TL14'!$C$238:$C$451,$C385,'TL14'!$J$238:$J$451),0),
IF('TL15'!$B$3=M$3,SUMIF('TL15'!$C$10:$C$224,$C385,'TL15'!$J$10:$J$224),0),
IF('TL15'!$B$229=M$3,SUMIF('TL15'!$C$238:$C$451,$C385,'TL15'!$J$238:$J$451),0),
IF('TL16'!$B$3=M$3,SUMIF('TL16'!$C$10:$C$224,$C385,'TL16'!$J$10:$J$224),0),
IF('TL16'!$B$229=M$3,SUMIF('TL16'!$C$238:$C$451,$C385,'TL16'!$J$238:$J$451),0),
IF('TL17'!$B$3=M$3,SUMIF('TL17'!$C$10:$C$224,$C385,'TL17'!$J$10:$J$224),0),
IF('TL17'!$B$229=M$3,SUMIF('TL17'!$C$238:$C$451,$C385,'TL17'!$J$238:$J$451),0),
IF('TL18'!$B$3=M$3,SUMIF('TL18'!$C$10:$C$224,$C385,'TL18'!$J$10:$J$224),0),
IF('TL18'!$B$229=M$3,SUMIF('TL18'!$C$238:$C$451,$C385,'TL18'!$J$238:$J$451),0),
IF('TL19'!$B$3=M$3,SUMIF('TL19'!$C$10:$C$224,$C385,'TL19'!$J$10:$J$224),0),
IF('TL19'!$B$229=M$3,SUMIF('TL19'!$C$238:$C$451,$C385,'TL19'!$J$238:$J$451),0)
),0)</f>
        <v/>
      </c>
      <c r="N385" s="9">
        <f>IFERROR(SUM(
IF('TL01'!$B$3=N$3,SUMIF('TL01'!$C$10:$C$224,$C385,'TL01'!$J$10:$J$224),0),
IF('TL01'!$B$229=N$3,SUMIF('TL01'!$C$238:$C$451,$C385,'TL01'!$J$238:$J$451),0),
IF('TL02'!$B$3=N$3,SUMIF('TL02'!$C$10:$C$224,$C385,'TL02'!$J$10:$J$224),0),
IF('TL02'!$B$229=N$3,SUMIF('TL02'!$C$238:$C$451,$C385,'TL02'!$J$238:$J$451),0),
IF('TL03'!$B$3=N$3,SUMIF('TL03'!$C$10:$C$224,$C385,'TL03'!$J$10:$J$224),0),
IF('TL03'!$B$229=N$3,SUMIF('TL03'!$C$238:$C$451,$C385,'TL03'!$J$238:$J$451),0),
IF('TL04'!$B$3=N$3,SUMIF('TL04'!$C$10:$C$224,$C385,'TL04'!$J$10:$J$224),0),
IF('TL04'!$B$229=N$3,SUMIF('TL04'!$C$238:$C$451,$C385,'TL04'!$J$238:$J$451),0),
IF('TL05'!$B$3=N$3,SUMIF('TL05'!$C$10:$C$224,$C385,'TL05'!$J$10:$J$224),0),
IF('TL05'!$B$229=N$3,SUMIF('TL05'!$C$238:$C$451,$C385,'TL05'!$J$238:$J$451),0),
IF('TL06'!$B$3=N$3,SUMIF('TL06'!$C$10:$C$224,$C385,'TL06'!$J$10:$J$224),0),
IF('TL06'!$B$229=N$3,SUMIF('TL06'!$C$238:$C$451,$C385,'TL06'!$J$238:$J$451),0),
IF('TL07'!$B$3=N$3,SUMIF('TL07'!$C$10:$C$224,$C385,'TL07'!$J$10:$J$224),0),
IF('TL07'!$B$229=N$3,SUMIF('TL07'!$C$238:$C$451,$C385,'TL07'!$J$238:$J$451),0),
IF('TL08'!$B$3=N$3,SUMIF('TL08'!$C$10:$C$224,$C385,'TL08'!$J$10:$J$224),0),
IF('TL08'!$B$229=N$3,SUMIF('TL08'!$C$238:$C$451,$C385,'TL08'!$J$238:$J$451),0),
IF('TL09'!$B$3=N$3,SUMIF('TL09'!$C$10:$C$224,$C385,'TL09'!$J$10:$J$224),0),
IF('TL09'!$B$229=N$3,SUMIF('TL09'!$C$238:$C$451,$C385,'TL09'!$J$238:$J$451),0),
IF('TL10'!$B$3=N$3,SUMIF('TL10'!$C$10:$C$224,$C385,'TL10'!$J$10:$J$224),0),
IF('TL10'!$B$229=N$3,SUMIF('TL10'!$C$238:$C$451,$C385,'TL10'!$J$238:$J$451),0),
IF('TL11'!$B$3=N$3,SUMIF('TL11'!$C$10:$C$224,$C385,'TL11'!$J$10:$J$224),0),
IF('TL11'!$B$229=N$3,SUMIF('TL11'!$C$238:$C$451,$C385,'TL11'!$J$238:$J$451),0),
IF('TL12'!$B$3=N$3,SUMIF('TL12'!$C$10:$C$224,$C385,'TL12'!$J$10:$J$224),0),
IF('TL12'!$B$229=N$3,SUMIF('TL12'!$C$238:$C$451,$C385,'TL12'!$J$238:$J$451),0),
IF('TL13'!$B$3=N$3,SUMIF('TL13'!$C$10:$C$224,$C385,'TL13'!$J$10:$J$224),0),
IF('TL13'!$B$229=N$3,SUMIF('TL13'!$C$238:$C$451,$C385,'TL13'!$J$238:$J$451),0),
IF('TL14'!$B$3=N$3,SUMIF('TL14'!$C$10:$C$224,$C385,'TL14'!$J$10:$J$224),0),
IF('TL14'!$B$229=N$3,SUMIF('TL14'!$C$238:$C$451,$C385,'TL14'!$J$238:$J$451),0),
IF('TL15'!$B$3=N$3,SUMIF('TL15'!$C$10:$C$224,$C385,'TL15'!$J$10:$J$224),0),
IF('TL15'!$B$229=N$3,SUMIF('TL15'!$C$238:$C$451,$C385,'TL15'!$J$238:$J$451),0),
IF('TL16'!$B$3=N$3,SUMIF('TL16'!$C$10:$C$224,$C385,'TL16'!$J$10:$J$224),0),
IF('TL16'!$B$229=N$3,SUMIF('TL16'!$C$238:$C$451,$C385,'TL16'!$J$238:$J$451),0),
IF('TL17'!$B$3=N$3,SUMIF('TL17'!$C$10:$C$224,$C385,'TL17'!$J$10:$J$224),0),
IF('TL17'!$B$229=N$3,SUMIF('TL17'!$C$238:$C$451,$C385,'TL17'!$J$238:$J$451),0),
IF('TL18'!$B$3=N$3,SUMIF('TL18'!$C$10:$C$224,$C385,'TL18'!$J$10:$J$224),0),
IF('TL18'!$B$229=N$3,SUMIF('TL18'!$C$238:$C$451,$C385,'TL18'!$J$238:$J$451),0),
IF('TL19'!$B$3=N$3,SUMIF('TL19'!$C$10:$C$224,$C385,'TL19'!$J$10:$J$224),0),
IF('TL19'!$B$229=N$3,SUMIF('TL19'!$C$238:$C$451,$C385,'TL19'!$J$238:$J$451),0)
),0)</f>
        <v/>
      </c>
      <c r="O385" s="9">
        <f>IFERROR(SUM(
IF('TL01'!$B$3=O$3,SUMIF('TL01'!$C$10:$C$224,$C385,'TL01'!$J$10:$J$224),0),
IF('TL01'!$B$229=O$3,SUMIF('TL01'!$C$238:$C$451,$C385,'TL01'!$J$238:$J$451),0),
IF('TL02'!$B$3=O$3,SUMIF('TL02'!$C$10:$C$224,$C385,'TL02'!$J$10:$J$224),0),
IF('TL02'!$B$229=O$3,SUMIF('TL02'!$C$238:$C$451,$C385,'TL02'!$J$238:$J$451),0),
IF('TL03'!$B$3=O$3,SUMIF('TL03'!$C$10:$C$224,$C385,'TL03'!$J$10:$J$224),0),
IF('TL03'!$B$229=O$3,SUMIF('TL03'!$C$238:$C$451,$C385,'TL03'!$J$238:$J$451),0),
IF('TL04'!$B$3=O$3,SUMIF('TL04'!$C$10:$C$224,$C385,'TL04'!$J$10:$J$224),0),
IF('TL04'!$B$229=O$3,SUMIF('TL04'!$C$238:$C$451,$C385,'TL04'!$J$238:$J$451),0),
IF('TL05'!$B$3=O$3,SUMIF('TL05'!$C$10:$C$224,$C385,'TL05'!$J$10:$J$224),0),
IF('TL05'!$B$229=O$3,SUMIF('TL05'!$C$238:$C$451,$C385,'TL05'!$J$238:$J$451),0),
IF('TL06'!$B$3=O$3,SUMIF('TL06'!$C$10:$C$224,$C385,'TL06'!$J$10:$J$224),0),
IF('TL06'!$B$229=O$3,SUMIF('TL06'!$C$238:$C$451,$C385,'TL06'!$J$238:$J$451),0),
IF('TL07'!$B$3=O$3,SUMIF('TL07'!$C$10:$C$224,$C385,'TL07'!$J$10:$J$224),0),
IF('TL07'!$B$229=O$3,SUMIF('TL07'!$C$238:$C$451,$C385,'TL07'!$J$238:$J$451),0),
IF('TL08'!$B$3=O$3,SUMIF('TL08'!$C$10:$C$224,$C385,'TL08'!$J$10:$J$224),0),
IF('TL08'!$B$229=O$3,SUMIF('TL08'!$C$238:$C$451,$C385,'TL08'!$J$238:$J$451),0),
IF('TL09'!$B$3=O$3,SUMIF('TL09'!$C$10:$C$224,$C385,'TL09'!$J$10:$J$224),0),
IF('TL09'!$B$229=O$3,SUMIF('TL09'!$C$238:$C$451,$C385,'TL09'!$J$238:$J$451),0),
IF('TL10'!$B$3=O$3,SUMIF('TL10'!$C$10:$C$224,$C385,'TL10'!$J$10:$J$224),0),
IF('TL10'!$B$229=O$3,SUMIF('TL10'!$C$238:$C$451,$C385,'TL10'!$J$238:$J$451),0),
IF('TL11'!$B$3=O$3,SUMIF('TL11'!$C$10:$C$224,$C385,'TL11'!$J$10:$J$224),0),
IF('TL11'!$B$229=O$3,SUMIF('TL11'!$C$238:$C$451,$C385,'TL11'!$J$238:$J$451),0),
IF('TL12'!$B$3=O$3,SUMIF('TL12'!$C$10:$C$224,$C385,'TL12'!$J$10:$J$224),0),
IF('TL12'!$B$229=O$3,SUMIF('TL12'!$C$238:$C$451,$C385,'TL12'!$J$238:$J$451),0),
IF('TL13'!$B$3=O$3,SUMIF('TL13'!$C$10:$C$224,$C385,'TL13'!$J$10:$J$224),0),
IF('TL13'!$B$229=O$3,SUMIF('TL13'!$C$238:$C$451,$C385,'TL13'!$J$238:$J$451),0),
IF('TL14'!$B$3=O$3,SUMIF('TL14'!$C$10:$C$224,$C385,'TL14'!$J$10:$J$224),0),
IF('TL14'!$B$229=O$3,SUMIF('TL14'!$C$238:$C$451,$C385,'TL14'!$J$238:$J$451),0),
IF('TL15'!$B$3=O$3,SUMIF('TL15'!$C$10:$C$224,$C385,'TL15'!$J$10:$J$224),0),
IF('TL15'!$B$229=O$3,SUMIF('TL15'!$C$238:$C$451,$C385,'TL15'!$J$238:$J$451),0),
IF('TL16'!$B$3=O$3,SUMIF('TL16'!$C$10:$C$224,$C385,'TL16'!$J$10:$J$224),0),
IF('TL16'!$B$229=O$3,SUMIF('TL16'!$C$238:$C$451,$C385,'TL16'!$J$238:$J$451),0),
IF('TL17'!$B$3=O$3,SUMIF('TL17'!$C$10:$C$224,$C385,'TL17'!$J$10:$J$224),0),
IF('TL17'!$B$229=O$3,SUMIF('TL17'!$C$238:$C$451,$C385,'TL17'!$J$238:$J$451),0),
IF('TL18'!$B$3=O$3,SUMIF('TL18'!$C$10:$C$224,$C385,'TL18'!$J$10:$J$224),0),
IF('TL18'!$B$229=O$3,SUMIF('TL18'!$C$238:$C$451,$C385,'TL18'!$J$238:$J$451),0),
IF('TL19'!$B$3=O$3,SUMIF('TL19'!$C$10:$C$224,$C385,'TL19'!$J$10:$J$224),0),
IF('TL19'!$B$229=O$3,SUMIF('TL19'!$C$238:$C$451,$C385,'TL19'!$J$238:$J$451),0)
),0)</f>
        <v/>
      </c>
      <c r="P385" s="9">
        <f>IFERROR(SUM(
IF('TL01'!$B$3=P$3,SUMIF('TL01'!$C$10:$C$224,$C385,'TL01'!$J$10:$J$224),0),
IF('TL01'!$B$229=P$3,SUMIF('TL01'!$C$238:$C$451,$C385,'TL01'!$J$238:$J$451),0),
IF('TL02'!$B$3=P$3,SUMIF('TL02'!$C$10:$C$224,$C385,'TL02'!$J$10:$J$224),0),
IF('TL02'!$B$229=P$3,SUMIF('TL02'!$C$238:$C$451,$C385,'TL02'!$J$238:$J$451),0),
IF('TL03'!$B$3=P$3,SUMIF('TL03'!$C$10:$C$224,$C385,'TL03'!$J$10:$J$224),0),
IF('TL03'!$B$229=P$3,SUMIF('TL03'!$C$238:$C$451,$C385,'TL03'!$J$238:$J$451),0),
IF('TL04'!$B$3=P$3,SUMIF('TL04'!$C$10:$C$224,$C385,'TL04'!$J$10:$J$224),0),
IF('TL04'!$B$229=P$3,SUMIF('TL04'!$C$238:$C$451,$C385,'TL04'!$J$238:$J$451),0),
IF('TL05'!$B$3=P$3,SUMIF('TL05'!$C$10:$C$224,$C385,'TL05'!$J$10:$J$224),0),
IF('TL05'!$B$229=P$3,SUMIF('TL05'!$C$238:$C$451,$C385,'TL05'!$J$238:$J$451),0),
IF('TL06'!$B$3=P$3,SUMIF('TL06'!$C$10:$C$224,$C385,'TL06'!$J$10:$J$224),0),
IF('TL06'!$B$229=P$3,SUMIF('TL06'!$C$238:$C$451,$C385,'TL06'!$J$238:$J$451),0),
IF('TL07'!$B$3=P$3,SUMIF('TL07'!$C$10:$C$224,$C385,'TL07'!$J$10:$J$224),0),
IF('TL07'!$B$229=P$3,SUMIF('TL07'!$C$238:$C$451,$C385,'TL07'!$J$238:$J$451),0),
IF('TL08'!$B$3=P$3,SUMIF('TL08'!$C$10:$C$224,$C385,'TL08'!$J$10:$J$224),0),
IF('TL08'!$B$229=P$3,SUMIF('TL08'!$C$238:$C$451,$C385,'TL08'!$J$238:$J$451),0),
IF('TL09'!$B$3=P$3,SUMIF('TL09'!$C$10:$C$224,$C385,'TL09'!$J$10:$J$224),0),
IF('TL09'!$B$229=P$3,SUMIF('TL09'!$C$238:$C$451,$C385,'TL09'!$J$238:$J$451),0),
IF('TL10'!$B$3=P$3,SUMIF('TL10'!$C$10:$C$224,$C385,'TL10'!$J$10:$J$224),0),
IF('TL10'!$B$229=P$3,SUMIF('TL10'!$C$238:$C$451,$C385,'TL10'!$J$238:$J$451),0),
IF('TL11'!$B$3=P$3,SUMIF('TL11'!$C$10:$C$224,$C385,'TL11'!$J$10:$J$224),0),
IF('TL11'!$B$229=P$3,SUMIF('TL11'!$C$238:$C$451,$C385,'TL11'!$J$238:$J$451),0),
IF('TL12'!$B$3=P$3,SUMIF('TL12'!$C$10:$C$224,$C385,'TL12'!$J$10:$J$224),0),
IF('TL12'!$B$229=P$3,SUMIF('TL12'!$C$238:$C$451,$C385,'TL12'!$J$238:$J$451),0),
IF('TL13'!$B$3=P$3,SUMIF('TL13'!$C$10:$C$224,$C385,'TL13'!$J$10:$J$224),0),
IF('TL13'!$B$229=P$3,SUMIF('TL13'!$C$238:$C$451,$C385,'TL13'!$J$238:$J$451),0),
IF('TL14'!$B$3=P$3,SUMIF('TL14'!$C$10:$C$224,$C385,'TL14'!$J$10:$J$224),0),
IF('TL14'!$B$229=P$3,SUMIF('TL14'!$C$238:$C$451,$C385,'TL14'!$J$238:$J$451),0),
IF('TL15'!$B$3=P$3,SUMIF('TL15'!$C$10:$C$224,$C385,'TL15'!$J$10:$J$224),0),
IF('TL15'!$B$229=P$3,SUMIF('TL15'!$C$238:$C$451,$C385,'TL15'!$J$238:$J$451),0),
IF('TL16'!$B$3=P$3,SUMIF('TL16'!$C$10:$C$224,$C385,'TL16'!$J$10:$J$224),0),
IF('TL16'!$B$229=P$3,SUMIF('TL16'!$C$238:$C$451,$C385,'TL16'!$J$238:$J$451),0),
IF('TL17'!$B$3=P$3,SUMIF('TL17'!$C$10:$C$224,$C385,'TL17'!$J$10:$J$224),0),
IF('TL17'!$B$229=P$3,SUMIF('TL17'!$C$238:$C$451,$C385,'TL17'!$J$238:$J$451),0),
IF('TL18'!$B$3=P$3,SUMIF('TL18'!$C$10:$C$224,$C385,'TL18'!$J$10:$J$224),0),
IF('TL18'!$B$229=P$3,SUMIF('TL18'!$C$238:$C$451,$C385,'TL18'!$J$238:$J$451),0),
IF('TL19'!$B$3=P$3,SUMIF('TL19'!$C$10:$C$224,$C385,'TL19'!$J$10:$J$224),0),
IF('TL19'!$B$229=P$3,SUMIF('TL19'!$C$238:$C$451,$C385,'TL19'!$J$238:$J$451),0)
),0)</f>
        <v/>
      </c>
      <c r="Q385" s="9">
        <f>IFERROR(SUM(
IF('TL01'!$B$3=Q$3,SUMIF('TL01'!$C$10:$C$224,$C385,'TL01'!$J$10:$J$224),0),
IF('TL01'!$B$229=Q$3,SUMIF('TL01'!$C$238:$C$451,$C385,'TL01'!$J$238:$J$451),0),
IF('TL02'!$B$3=Q$3,SUMIF('TL02'!$C$10:$C$224,$C385,'TL02'!$J$10:$J$224),0),
IF('TL02'!$B$229=Q$3,SUMIF('TL02'!$C$238:$C$451,$C385,'TL02'!$J$238:$J$451),0),
IF('TL03'!$B$3=Q$3,SUMIF('TL03'!$C$10:$C$224,$C385,'TL03'!$J$10:$J$224),0),
IF('TL03'!$B$229=Q$3,SUMIF('TL03'!$C$238:$C$451,$C385,'TL03'!$J$238:$J$451),0),
IF('TL04'!$B$3=Q$3,SUMIF('TL04'!$C$10:$C$224,$C385,'TL04'!$J$10:$J$224),0),
IF('TL04'!$B$229=Q$3,SUMIF('TL04'!$C$238:$C$451,$C385,'TL04'!$J$238:$J$451),0),
IF('TL05'!$B$3=Q$3,SUMIF('TL05'!$C$10:$C$224,$C385,'TL05'!$J$10:$J$224),0),
IF('TL05'!$B$229=Q$3,SUMIF('TL05'!$C$238:$C$451,$C385,'TL05'!$J$238:$J$451),0),
IF('TL06'!$B$3=Q$3,SUMIF('TL06'!$C$10:$C$224,$C385,'TL06'!$J$10:$J$224),0),
IF('TL06'!$B$229=Q$3,SUMIF('TL06'!$C$238:$C$451,$C385,'TL06'!$J$238:$J$451),0),
IF('TL07'!$B$3=Q$3,SUMIF('TL07'!$C$10:$C$224,$C385,'TL07'!$J$10:$J$224),0),
IF('TL07'!$B$229=Q$3,SUMIF('TL07'!$C$238:$C$451,$C385,'TL07'!$J$238:$J$451),0),
IF('TL08'!$B$3=Q$3,SUMIF('TL08'!$C$10:$C$224,$C385,'TL08'!$J$10:$J$224),0),
IF('TL08'!$B$229=Q$3,SUMIF('TL08'!$C$238:$C$451,$C385,'TL08'!$J$238:$J$451),0),
IF('TL09'!$B$3=Q$3,SUMIF('TL09'!$C$10:$C$224,$C385,'TL09'!$J$10:$J$224),0),
IF('TL09'!$B$229=Q$3,SUMIF('TL09'!$C$238:$C$451,$C385,'TL09'!$J$238:$J$451),0),
IF('TL10'!$B$3=Q$3,SUMIF('TL10'!$C$10:$C$224,$C385,'TL10'!$J$10:$J$224),0),
IF('TL10'!$B$229=Q$3,SUMIF('TL10'!$C$238:$C$451,$C385,'TL10'!$J$238:$J$451),0),
IF('TL11'!$B$3=Q$3,SUMIF('TL11'!$C$10:$C$224,$C385,'TL11'!$J$10:$J$224),0),
IF('TL11'!$B$229=Q$3,SUMIF('TL11'!$C$238:$C$451,$C385,'TL11'!$J$238:$J$451),0),
IF('TL12'!$B$3=Q$3,SUMIF('TL12'!$C$10:$C$224,$C385,'TL12'!$J$10:$J$224),0),
IF('TL12'!$B$229=Q$3,SUMIF('TL12'!$C$238:$C$451,$C385,'TL12'!$J$238:$J$451),0),
IF('TL13'!$B$3=Q$3,SUMIF('TL13'!$C$10:$C$224,$C385,'TL13'!$J$10:$J$224),0),
IF('TL13'!$B$229=Q$3,SUMIF('TL13'!$C$238:$C$451,$C385,'TL13'!$J$238:$J$451),0),
IF('TL14'!$B$3=Q$3,SUMIF('TL14'!$C$10:$C$224,$C385,'TL14'!$J$10:$J$224),0),
IF('TL14'!$B$229=Q$3,SUMIF('TL14'!$C$238:$C$451,$C385,'TL14'!$J$238:$J$451),0),
IF('TL15'!$B$3=Q$3,SUMIF('TL15'!$C$10:$C$224,$C385,'TL15'!$J$10:$J$224),0),
IF('TL15'!$B$229=Q$3,SUMIF('TL15'!$C$238:$C$451,$C385,'TL15'!$J$238:$J$451),0),
IF('TL16'!$B$3=Q$3,SUMIF('TL16'!$C$10:$C$224,$C385,'TL16'!$J$10:$J$224),0),
IF('TL16'!$B$229=Q$3,SUMIF('TL16'!$C$238:$C$451,$C385,'TL16'!$J$238:$J$451),0),
IF('TL17'!$B$3=Q$3,SUMIF('TL17'!$C$10:$C$224,$C385,'TL17'!$J$10:$J$224),0),
IF('TL17'!$B$229=Q$3,SUMIF('TL17'!$C$238:$C$451,$C385,'TL17'!$J$238:$J$451),0),
IF('TL18'!$B$3=Q$3,SUMIF('TL18'!$C$10:$C$224,$C385,'TL18'!$J$10:$J$224),0),
IF('TL18'!$B$229=Q$3,SUMIF('TL18'!$C$238:$C$451,$C385,'TL18'!$J$238:$J$451),0),
IF('TL19'!$B$3=Q$3,SUMIF('TL19'!$C$10:$C$224,$C385,'TL19'!$J$10:$J$224),0),
IF('TL19'!$B$229=Q$3,SUMIF('TL19'!$C$238:$C$451,$C385,'TL19'!$J$238:$J$451),0)
),0)</f>
        <v/>
      </c>
      <c r="R385" s="9">
        <f>IFERROR(
SUM(
SUMIF('TL01'!C:C,C385,'TL01'!J:J),
SUMIF('TL02'!C:C,C385,'TL02'!J:J),
SUMIF('TL03'!C:C,C385,'TL03'!J:J),
SUMIF('TL04'!C:C,C385,'TL04'!J:J),
SUMIF('TL05'!C:C,C385,'TL05'!J:J),
SUMIF('TL06'!C:C,C385,'TL06'!J:J),
SUMIF('TL07'!C:C,C385,'TL07'!J:J),
SUMIF('TL08'!C:C,C385,'TL08'!J:J),
SUMIF('TL09'!C:C,C385,'TL09'!J:J),
SUMIF('TL10'!C:C,C385,'TL10'!J:J),
SUMIF('TL11'!C:C,C385,'TL11'!J:J),
SUMIF('TL12'!C:C,C385,'TL12'!J:J),
SUMIF('TL13'!C:C,C385,'TL13'!J:J),
SUMIF('TL14'!C:C,C385,'TL14'!J:J),
SUMIF('TL15'!C:C,C385,'TL15'!J:J),
SUMIF('TL16'!C:C,C385,'TL16'!J:J),
SUMIF('TL17'!C:C,C385,'TL17'!J:J),
SUMIF('TL18'!C:C,C385,'TL18'!J:J),SUMIF('TL19'!C:C,C385,'TL19'!J:J))
,0)</f>
        <v/>
      </c>
      <c r="S385" s="17">
        <f>IFERROR(__xludf.DUMMYFUNCTION("IFERROR(VLOOKUP(C385,
IMPORTRANGE(""1wULbzX32WdYsx-lj2U3uUNBBe2INVIRDtcK0d-Dvl90"",
""26-27!C:G""),
5,
FALSE),
"""")"),4.47)</f>
        <v/>
      </c>
      <c r="T385" s="9" t="n"/>
      <c r="U385" s="92">
        <f>MAX(0,R385-T385)</f>
        <v/>
      </c>
      <c r="V385" s="93">
        <f>U385*S385</f>
        <v/>
      </c>
    </row>
    <row r="386" hidden="1" ht="15.75" customHeight="1" s="297">
      <c r="A386" s="4" t="inlineStr">
        <is>
          <t>SOLUBIO</t>
        </is>
      </c>
      <c r="B386" s="4" t="inlineStr">
        <is>
          <t>BIOLÓGICOS</t>
        </is>
      </c>
      <c r="C386" s="131" t="inlineStr">
        <is>
          <t>Bio Release Kit On-farm</t>
        </is>
      </c>
      <c r="D386" s="127" t="inlineStr">
        <is>
          <t>Kit On-farm</t>
        </is>
      </c>
      <c r="E386" s="119" t="n"/>
      <c r="F386" s="4" t="n"/>
      <c r="G386" s="90">
        <f>HYPERLINK("https://www.google.com/search?q=" &amp; C386 &amp; "+bula+agrofit+pdf", "📄 Ver bula")</f>
        <v/>
      </c>
      <c r="H386" s="9" t="n"/>
      <c r="I386" s="121" t="n"/>
      <c r="J386" s="9">
        <f>IFERROR(SUM(
IF('TL01'!$B$3=J$3,SUMIF('TL01'!$C$10:$C$224,$C386,'TL01'!$J$10:$J$224),0),
IF('TL01'!$B$229=J$3,SUMIF('TL01'!$C$238:$C$451,$C386,'TL01'!$J$238:$J$451),0),
IF('TL02'!$B$3=J$3,SUMIF('TL02'!$C$10:$C$224,$C386,'TL02'!$J$10:$J$224),0),
IF('TL02'!$B$229=J$3,SUMIF('TL02'!$C$238:$C$451,$C386,'TL02'!$J$238:$J$451),0),
IF('TL03'!$B$3=J$3,SUMIF('TL03'!$C$10:$C$224,$C386,'TL03'!$J$10:$J$224),0),
IF('TL03'!$B$229=J$3,SUMIF('TL03'!$C$238:$C$451,$C386,'TL03'!$J$238:$J$451),0),
IF('TL04'!$B$3=J$3,SUMIF('TL04'!$C$10:$C$224,$C386,'TL04'!$J$10:$J$224),0),
IF('TL04'!$B$229=J$3,SUMIF('TL04'!$C$238:$C$451,$C386,'TL04'!$J$238:$J$451),0),
IF('TL05'!$B$3=J$3,SUMIF('TL05'!$C$10:$C$224,$C386,'TL05'!$J$10:$J$224),0),
IF('TL05'!$B$229=J$3,SUMIF('TL05'!$C$238:$C$451,$C386,'TL05'!$J$238:$J$451),0),
IF('TL06'!$B$3=J$3,SUMIF('TL06'!$C$10:$C$224,$C386,'TL06'!$J$10:$J$224),0),
IF('TL06'!$B$229=J$3,SUMIF('TL06'!$C$238:$C$451,$C386,'TL06'!$J$238:$J$451),0),
IF('TL07'!$B$3=J$3,SUMIF('TL07'!$C$10:$C$224,$C386,'TL07'!$J$10:$J$224),0),
IF('TL07'!$B$229=J$3,SUMIF('TL07'!$C$238:$C$451,$C386,'TL07'!$J$238:$J$451),0),
IF('TL08'!$B$3=J$3,SUMIF('TL08'!$C$10:$C$224,$C386,'TL08'!$J$10:$J$224),0),
IF('TL08'!$B$229=J$3,SUMIF('TL08'!$C$238:$C$451,$C386,'TL08'!$J$238:$J$451),0),
IF('TL09'!$B$3=J$3,SUMIF('TL09'!$C$10:$C$224,$C386,'TL09'!$J$10:$J$224),0),
IF('TL09'!$B$229=J$3,SUMIF('TL09'!$C$238:$C$451,$C386,'TL09'!$J$238:$J$451),0),
IF('TL10'!$B$3=J$3,SUMIF('TL10'!$C$10:$C$224,$C386,'TL10'!$J$10:$J$224),0),
IF('TL10'!$B$229=J$3,SUMIF('TL10'!$C$238:$C$451,$C386,'TL10'!$J$238:$J$451),0),
IF('TL11'!$B$3=J$3,SUMIF('TL11'!$C$10:$C$224,$C386,'TL11'!$J$10:$J$224),0),
IF('TL11'!$B$229=J$3,SUMIF('TL11'!$C$238:$C$451,$C386,'TL11'!$J$238:$J$451),0),
IF('TL12'!$B$3=J$3,SUMIF('TL12'!$C$10:$C$224,$C386,'TL12'!$J$10:$J$224),0),
IF('TL12'!$B$229=J$3,SUMIF('TL12'!$C$238:$C$451,$C386,'TL12'!$J$238:$J$451),0),
IF('TL13'!$B$3=J$3,SUMIF('TL13'!$C$10:$C$224,$C386,'TL13'!$J$10:$J$224),0),
IF('TL13'!$B$229=J$3,SUMIF('TL13'!$C$238:$C$451,$C386,'TL13'!$J$238:$J$451),0),
IF('TL14'!$B$3=J$3,SUMIF('TL14'!$C$10:$C$224,$C386,'TL14'!$J$10:$J$224),0),
IF('TL14'!$B$229=J$3,SUMIF('TL14'!$C$238:$C$451,$C386,'TL14'!$J$238:$J$451),0),
IF('TL15'!$B$3=J$3,SUMIF('TL15'!$C$10:$C$224,$C386,'TL15'!$J$10:$J$224),0),
IF('TL15'!$B$229=J$3,SUMIF('TL15'!$C$238:$C$451,$C386,'TL15'!$J$238:$J$451),0),
IF('TL16'!$B$3=J$3,SUMIF('TL16'!$C$10:$C$224,$C386,'TL16'!$J$10:$J$224),0),
IF('TL16'!$B$229=J$3,SUMIF('TL16'!$C$238:$C$451,$C386,'TL16'!$J$238:$J$451),0),
IF('TL17'!$B$3=J$3,SUMIF('TL17'!$C$10:$C$224,$C386,'TL17'!$J$10:$J$224),0),
IF('TL17'!$B$229=J$3,SUMIF('TL17'!$C$238:$C$451,$C386,'TL17'!$J$238:$J$451),0),
IF('TL18'!$B$3=J$3,SUMIF('TL18'!$C$10:$C$224,$C386,'TL18'!$J$10:$J$224),0),
IF('TL18'!$B$229=J$3,SUMIF('TL18'!$C$238:$C$451,$C386,'TL18'!$J$238:$J$451),0),
IF('TL19'!$B$3=J$3,SUMIF('TL19'!$C$10:$C$224,$C386,'TL19'!$J$10:$J$224),0),
IF('TL19'!$B$229=J$3,SUMIF('TL19'!$C$238:$C$451,$C386,'TL19'!$J$238:$J$451),0)
),0)</f>
        <v/>
      </c>
      <c r="K386" s="9">
        <f>IFERROR(SUM(
IF('TL01'!$B$3=K$3,SUMIF('TL01'!$C$10:$C$224,$C386,'TL01'!$J$10:$J$224),0),
IF('TL01'!$B$229=K$3,SUMIF('TL01'!$C$238:$C$451,$C386,'TL01'!$J$238:$J$451),0),
IF('TL02'!$B$3=K$3,SUMIF('TL02'!$C$10:$C$224,$C386,'TL02'!$J$10:$J$224),0),
IF('TL02'!$B$229=K$3,SUMIF('TL02'!$C$238:$C$451,$C386,'TL02'!$J$238:$J$451),0),
IF('TL03'!$B$3=K$3,SUMIF('TL03'!$C$10:$C$224,$C386,'TL03'!$J$10:$J$224),0),
IF('TL03'!$B$229=K$3,SUMIF('TL03'!$C$238:$C$451,$C386,'TL03'!$J$238:$J$451),0),
IF('TL04'!$B$3=K$3,SUMIF('TL04'!$C$10:$C$224,$C386,'TL04'!$J$10:$J$224),0),
IF('TL04'!$B$229=K$3,SUMIF('TL04'!$C$238:$C$451,$C386,'TL04'!$J$238:$J$451),0),
IF('TL05'!$B$3=K$3,SUMIF('TL05'!$C$10:$C$224,$C386,'TL05'!$J$10:$J$224),0),
IF('TL05'!$B$229=K$3,SUMIF('TL05'!$C$238:$C$451,$C386,'TL05'!$J$238:$J$451),0),
IF('TL06'!$B$3=K$3,SUMIF('TL06'!$C$10:$C$224,$C386,'TL06'!$J$10:$J$224),0),
IF('TL06'!$B$229=K$3,SUMIF('TL06'!$C$238:$C$451,$C386,'TL06'!$J$238:$J$451),0),
IF('TL07'!$B$3=K$3,SUMIF('TL07'!$C$10:$C$224,$C386,'TL07'!$J$10:$J$224),0),
IF('TL07'!$B$229=K$3,SUMIF('TL07'!$C$238:$C$451,$C386,'TL07'!$J$238:$J$451),0),
IF('TL08'!$B$3=K$3,SUMIF('TL08'!$C$10:$C$224,$C386,'TL08'!$J$10:$J$224),0),
IF('TL08'!$B$229=K$3,SUMIF('TL08'!$C$238:$C$451,$C386,'TL08'!$J$238:$J$451),0),
IF('TL09'!$B$3=K$3,SUMIF('TL09'!$C$10:$C$224,$C386,'TL09'!$J$10:$J$224),0),
IF('TL09'!$B$229=K$3,SUMIF('TL09'!$C$238:$C$451,$C386,'TL09'!$J$238:$J$451),0),
IF('TL10'!$B$3=K$3,SUMIF('TL10'!$C$10:$C$224,$C386,'TL10'!$J$10:$J$224),0),
IF('TL10'!$B$229=K$3,SUMIF('TL10'!$C$238:$C$451,$C386,'TL10'!$J$238:$J$451),0),
IF('TL11'!$B$3=K$3,SUMIF('TL11'!$C$10:$C$224,$C386,'TL11'!$J$10:$J$224),0),
IF('TL11'!$B$229=K$3,SUMIF('TL11'!$C$238:$C$451,$C386,'TL11'!$J$238:$J$451),0),
IF('TL12'!$B$3=K$3,SUMIF('TL12'!$C$10:$C$224,$C386,'TL12'!$J$10:$J$224),0),
IF('TL12'!$B$229=K$3,SUMIF('TL12'!$C$238:$C$451,$C386,'TL12'!$J$238:$J$451),0),
IF('TL13'!$B$3=K$3,SUMIF('TL13'!$C$10:$C$224,$C386,'TL13'!$J$10:$J$224),0),
IF('TL13'!$B$229=K$3,SUMIF('TL13'!$C$238:$C$451,$C386,'TL13'!$J$238:$J$451),0),
IF('TL14'!$B$3=K$3,SUMIF('TL14'!$C$10:$C$224,$C386,'TL14'!$J$10:$J$224),0),
IF('TL14'!$B$229=K$3,SUMIF('TL14'!$C$238:$C$451,$C386,'TL14'!$J$238:$J$451),0),
IF('TL15'!$B$3=K$3,SUMIF('TL15'!$C$10:$C$224,$C386,'TL15'!$J$10:$J$224),0),
IF('TL15'!$B$229=K$3,SUMIF('TL15'!$C$238:$C$451,$C386,'TL15'!$J$238:$J$451),0),
IF('TL16'!$B$3=K$3,SUMIF('TL16'!$C$10:$C$224,$C386,'TL16'!$J$10:$J$224),0),
IF('TL16'!$B$229=K$3,SUMIF('TL16'!$C$238:$C$451,$C386,'TL16'!$J$238:$J$451),0),
IF('TL17'!$B$3=K$3,SUMIF('TL17'!$C$10:$C$224,$C386,'TL17'!$J$10:$J$224),0),
IF('TL17'!$B$229=K$3,SUMIF('TL17'!$C$238:$C$451,$C386,'TL17'!$J$238:$J$451),0),
IF('TL18'!$B$3=K$3,SUMIF('TL18'!$C$10:$C$224,$C386,'TL18'!$J$10:$J$224),0),
IF('TL18'!$B$229=K$3,SUMIF('TL18'!$C$238:$C$451,$C386,'TL18'!$J$238:$J$451),0),
IF('TL19'!$B$3=K$3,SUMIF('TL19'!$C$10:$C$224,$C386,'TL19'!$J$10:$J$224),0),
IF('TL19'!$B$229=K$3,SUMIF('TL19'!$C$238:$C$451,$C386,'TL19'!$J$238:$J$451),0)
),0)</f>
        <v/>
      </c>
      <c r="L386" s="9">
        <f>IFERROR(SUM(
IF('TL01'!$B$3=L$3,SUMIF('TL01'!$C$10:$C$224,$C386,'TL01'!$J$10:$J$224),0),
IF('TL01'!$B$229=L$3,SUMIF('TL01'!$C$238:$C$451,$C386,'TL01'!$J$238:$J$451),0),
IF('TL02'!$B$3=L$3,SUMIF('TL02'!$C$10:$C$224,$C386,'TL02'!$J$10:$J$224),0),
IF('TL02'!$B$229=L$3,SUMIF('TL02'!$C$238:$C$451,$C386,'TL02'!$J$238:$J$451),0),
IF('TL03'!$B$3=L$3,SUMIF('TL03'!$C$10:$C$224,$C386,'TL03'!$J$10:$J$224),0),
IF('TL03'!$B$229=L$3,SUMIF('TL03'!$C$238:$C$451,$C386,'TL03'!$J$238:$J$451),0),
IF('TL04'!$B$3=L$3,SUMIF('TL04'!$C$10:$C$224,$C386,'TL04'!$J$10:$J$224),0),
IF('TL04'!$B$229=L$3,SUMIF('TL04'!$C$238:$C$451,$C386,'TL04'!$J$238:$J$451),0),
IF('TL05'!$B$3=L$3,SUMIF('TL05'!$C$10:$C$224,$C386,'TL05'!$J$10:$J$224),0),
IF('TL05'!$B$229=L$3,SUMIF('TL05'!$C$238:$C$451,$C386,'TL05'!$J$238:$J$451),0),
IF('TL06'!$B$3=L$3,SUMIF('TL06'!$C$10:$C$224,$C386,'TL06'!$J$10:$J$224),0),
IF('TL06'!$B$229=L$3,SUMIF('TL06'!$C$238:$C$451,$C386,'TL06'!$J$238:$J$451),0),
IF('TL07'!$B$3=L$3,SUMIF('TL07'!$C$10:$C$224,$C386,'TL07'!$J$10:$J$224),0),
IF('TL07'!$B$229=L$3,SUMIF('TL07'!$C$238:$C$451,$C386,'TL07'!$J$238:$J$451),0),
IF('TL08'!$B$3=L$3,SUMIF('TL08'!$C$10:$C$224,$C386,'TL08'!$J$10:$J$224),0),
IF('TL08'!$B$229=L$3,SUMIF('TL08'!$C$238:$C$451,$C386,'TL08'!$J$238:$J$451),0),
IF('TL09'!$B$3=L$3,SUMIF('TL09'!$C$10:$C$224,$C386,'TL09'!$J$10:$J$224),0),
IF('TL09'!$B$229=L$3,SUMIF('TL09'!$C$238:$C$451,$C386,'TL09'!$J$238:$J$451),0),
IF('TL10'!$B$3=L$3,SUMIF('TL10'!$C$10:$C$224,$C386,'TL10'!$J$10:$J$224),0),
IF('TL10'!$B$229=L$3,SUMIF('TL10'!$C$238:$C$451,$C386,'TL10'!$J$238:$J$451),0),
IF('TL11'!$B$3=L$3,SUMIF('TL11'!$C$10:$C$224,$C386,'TL11'!$J$10:$J$224),0),
IF('TL11'!$B$229=L$3,SUMIF('TL11'!$C$238:$C$451,$C386,'TL11'!$J$238:$J$451),0),
IF('TL12'!$B$3=L$3,SUMIF('TL12'!$C$10:$C$224,$C386,'TL12'!$J$10:$J$224),0),
IF('TL12'!$B$229=L$3,SUMIF('TL12'!$C$238:$C$451,$C386,'TL12'!$J$238:$J$451),0),
IF('TL13'!$B$3=L$3,SUMIF('TL13'!$C$10:$C$224,$C386,'TL13'!$J$10:$J$224),0),
IF('TL13'!$B$229=L$3,SUMIF('TL13'!$C$238:$C$451,$C386,'TL13'!$J$238:$J$451),0),
IF('TL14'!$B$3=L$3,SUMIF('TL14'!$C$10:$C$224,$C386,'TL14'!$J$10:$J$224),0),
IF('TL14'!$B$229=L$3,SUMIF('TL14'!$C$238:$C$451,$C386,'TL14'!$J$238:$J$451),0),
IF('TL15'!$B$3=L$3,SUMIF('TL15'!$C$10:$C$224,$C386,'TL15'!$J$10:$J$224),0),
IF('TL15'!$B$229=L$3,SUMIF('TL15'!$C$238:$C$451,$C386,'TL15'!$J$238:$J$451),0),
IF('TL16'!$B$3=L$3,SUMIF('TL16'!$C$10:$C$224,$C386,'TL16'!$J$10:$J$224),0),
IF('TL16'!$B$229=L$3,SUMIF('TL16'!$C$238:$C$451,$C386,'TL16'!$J$238:$J$451),0),
IF('TL17'!$B$3=L$3,SUMIF('TL17'!$C$10:$C$224,$C386,'TL17'!$J$10:$J$224),0),
IF('TL17'!$B$229=L$3,SUMIF('TL17'!$C$238:$C$451,$C386,'TL17'!$J$238:$J$451),0),
IF('TL18'!$B$3=L$3,SUMIF('TL18'!$C$10:$C$224,$C386,'TL18'!$J$10:$J$224),0),
IF('TL18'!$B$229=L$3,SUMIF('TL18'!$C$238:$C$451,$C386,'TL18'!$J$238:$J$451),0),
IF('TL19'!$B$3=L$3,SUMIF('TL19'!$C$10:$C$224,$C386,'TL19'!$J$10:$J$224),0),
IF('TL19'!$B$229=L$3,SUMIF('TL19'!$C$238:$C$451,$C386,'TL19'!$J$238:$J$451),0)
),0)</f>
        <v/>
      </c>
      <c r="M386" s="9">
        <f>IFERROR(SUM(
IF('TL01'!$B$3=M$3,SUMIF('TL01'!$C$10:$C$224,$C386,'TL01'!$J$10:$J$224),0),
IF('TL01'!$B$229=M$3,SUMIF('TL01'!$C$238:$C$451,$C386,'TL01'!$J$238:$J$451),0),
IF('TL02'!$B$3=M$3,SUMIF('TL02'!$C$10:$C$224,$C386,'TL02'!$J$10:$J$224),0),
IF('TL02'!$B$229=M$3,SUMIF('TL02'!$C$238:$C$451,$C386,'TL02'!$J$238:$J$451),0),
IF('TL03'!$B$3=M$3,SUMIF('TL03'!$C$10:$C$224,$C386,'TL03'!$J$10:$J$224),0),
IF('TL03'!$B$229=M$3,SUMIF('TL03'!$C$238:$C$451,$C386,'TL03'!$J$238:$J$451),0),
IF('TL04'!$B$3=M$3,SUMIF('TL04'!$C$10:$C$224,$C386,'TL04'!$J$10:$J$224),0),
IF('TL04'!$B$229=M$3,SUMIF('TL04'!$C$238:$C$451,$C386,'TL04'!$J$238:$J$451),0),
IF('TL05'!$B$3=M$3,SUMIF('TL05'!$C$10:$C$224,$C386,'TL05'!$J$10:$J$224),0),
IF('TL05'!$B$229=M$3,SUMIF('TL05'!$C$238:$C$451,$C386,'TL05'!$J$238:$J$451),0),
IF('TL06'!$B$3=M$3,SUMIF('TL06'!$C$10:$C$224,$C386,'TL06'!$J$10:$J$224),0),
IF('TL06'!$B$229=M$3,SUMIF('TL06'!$C$238:$C$451,$C386,'TL06'!$J$238:$J$451),0),
IF('TL07'!$B$3=M$3,SUMIF('TL07'!$C$10:$C$224,$C386,'TL07'!$J$10:$J$224),0),
IF('TL07'!$B$229=M$3,SUMIF('TL07'!$C$238:$C$451,$C386,'TL07'!$J$238:$J$451),0),
IF('TL08'!$B$3=M$3,SUMIF('TL08'!$C$10:$C$224,$C386,'TL08'!$J$10:$J$224),0),
IF('TL08'!$B$229=M$3,SUMIF('TL08'!$C$238:$C$451,$C386,'TL08'!$J$238:$J$451),0),
IF('TL09'!$B$3=M$3,SUMIF('TL09'!$C$10:$C$224,$C386,'TL09'!$J$10:$J$224),0),
IF('TL09'!$B$229=M$3,SUMIF('TL09'!$C$238:$C$451,$C386,'TL09'!$J$238:$J$451),0),
IF('TL10'!$B$3=M$3,SUMIF('TL10'!$C$10:$C$224,$C386,'TL10'!$J$10:$J$224),0),
IF('TL10'!$B$229=M$3,SUMIF('TL10'!$C$238:$C$451,$C386,'TL10'!$J$238:$J$451),0),
IF('TL11'!$B$3=M$3,SUMIF('TL11'!$C$10:$C$224,$C386,'TL11'!$J$10:$J$224),0),
IF('TL11'!$B$229=M$3,SUMIF('TL11'!$C$238:$C$451,$C386,'TL11'!$J$238:$J$451),0),
IF('TL12'!$B$3=M$3,SUMIF('TL12'!$C$10:$C$224,$C386,'TL12'!$J$10:$J$224),0),
IF('TL12'!$B$229=M$3,SUMIF('TL12'!$C$238:$C$451,$C386,'TL12'!$J$238:$J$451),0),
IF('TL13'!$B$3=M$3,SUMIF('TL13'!$C$10:$C$224,$C386,'TL13'!$J$10:$J$224),0),
IF('TL13'!$B$229=M$3,SUMIF('TL13'!$C$238:$C$451,$C386,'TL13'!$J$238:$J$451),0),
IF('TL14'!$B$3=M$3,SUMIF('TL14'!$C$10:$C$224,$C386,'TL14'!$J$10:$J$224),0),
IF('TL14'!$B$229=M$3,SUMIF('TL14'!$C$238:$C$451,$C386,'TL14'!$J$238:$J$451),0),
IF('TL15'!$B$3=M$3,SUMIF('TL15'!$C$10:$C$224,$C386,'TL15'!$J$10:$J$224),0),
IF('TL15'!$B$229=M$3,SUMIF('TL15'!$C$238:$C$451,$C386,'TL15'!$J$238:$J$451),0),
IF('TL16'!$B$3=M$3,SUMIF('TL16'!$C$10:$C$224,$C386,'TL16'!$J$10:$J$224),0),
IF('TL16'!$B$229=M$3,SUMIF('TL16'!$C$238:$C$451,$C386,'TL16'!$J$238:$J$451),0),
IF('TL17'!$B$3=M$3,SUMIF('TL17'!$C$10:$C$224,$C386,'TL17'!$J$10:$J$224),0),
IF('TL17'!$B$229=M$3,SUMIF('TL17'!$C$238:$C$451,$C386,'TL17'!$J$238:$J$451),0),
IF('TL18'!$B$3=M$3,SUMIF('TL18'!$C$10:$C$224,$C386,'TL18'!$J$10:$J$224),0),
IF('TL18'!$B$229=M$3,SUMIF('TL18'!$C$238:$C$451,$C386,'TL18'!$J$238:$J$451),0),
IF('TL19'!$B$3=M$3,SUMIF('TL19'!$C$10:$C$224,$C386,'TL19'!$J$10:$J$224),0),
IF('TL19'!$B$229=M$3,SUMIF('TL19'!$C$238:$C$451,$C386,'TL19'!$J$238:$J$451),0)
),0)</f>
        <v/>
      </c>
      <c r="N386" s="9">
        <f>IFERROR(SUM(
IF('TL01'!$B$3=N$3,SUMIF('TL01'!$C$10:$C$224,$C386,'TL01'!$J$10:$J$224),0),
IF('TL01'!$B$229=N$3,SUMIF('TL01'!$C$238:$C$451,$C386,'TL01'!$J$238:$J$451),0),
IF('TL02'!$B$3=N$3,SUMIF('TL02'!$C$10:$C$224,$C386,'TL02'!$J$10:$J$224),0),
IF('TL02'!$B$229=N$3,SUMIF('TL02'!$C$238:$C$451,$C386,'TL02'!$J$238:$J$451),0),
IF('TL03'!$B$3=N$3,SUMIF('TL03'!$C$10:$C$224,$C386,'TL03'!$J$10:$J$224),0),
IF('TL03'!$B$229=N$3,SUMIF('TL03'!$C$238:$C$451,$C386,'TL03'!$J$238:$J$451),0),
IF('TL04'!$B$3=N$3,SUMIF('TL04'!$C$10:$C$224,$C386,'TL04'!$J$10:$J$224),0),
IF('TL04'!$B$229=N$3,SUMIF('TL04'!$C$238:$C$451,$C386,'TL04'!$J$238:$J$451),0),
IF('TL05'!$B$3=N$3,SUMIF('TL05'!$C$10:$C$224,$C386,'TL05'!$J$10:$J$224),0),
IF('TL05'!$B$229=N$3,SUMIF('TL05'!$C$238:$C$451,$C386,'TL05'!$J$238:$J$451),0),
IF('TL06'!$B$3=N$3,SUMIF('TL06'!$C$10:$C$224,$C386,'TL06'!$J$10:$J$224),0),
IF('TL06'!$B$229=N$3,SUMIF('TL06'!$C$238:$C$451,$C386,'TL06'!$J$238:$J$451),0),
IF('TL07'!$B$3=N$3,SUMIF('TL07'!$C$10:$C$224,$C386,'TL07'!$J$10:$J$224),0),
IF('TL07'!$B$229=N$3,SUMIF('TL07'!$C$238:$C$451,$C386,'TL07'!$J$238:$J$451),0),
IF('TL08'!$B$3=N$3,SUMIF('TL08'!$C$10:$C$224,$C386,'TL08'!$J$10:$J$224),0),
IF('TL08'!$B$229=N$3,SUMIF('TL08'!$C$238:$C$451,$C386,'TL08'!$J$238:$J$451),0),
IF('TL09'!$B$3=N$3,SUMIF('TL09'!$C$10:$C$224,$C386,'TL09'!$J$10:$J$224),0),
IF('TL09'!$B$229=N$3,SUMIF('TL09'!$C$238:$C$451,$C386,'TL09'!$J$238:$J$451),0),
IF('TL10'!$B$3=N$3,SUMIF('TL10'!$C$10:$C$224,$C386,'TL10'!$J$10:$J$224),0),
IF('TL10'!$B$229=N$3,SUMIF('TL10'!$C$238:$C$451,$C386,'TL10'!$J$238:$J$451),0),
IF('TL11'!$B$3=N$3,SUMIF('TL11'!$C$10:$C$224,$C386,'TL11'!$J$10:$J$224),0),
IF('TL11'!$B$229=N$3,SUMIF('TL11'!$C$238:$C$451,$C386,'TL11'!$J$238:$J$451),0),
IF('TL12'!$B$3=N$3,SUMIF('TL12'!$C$10:$C$224,$C386,'TL12'!$J$10:$J$224),0),
IF('TL12'!$B$229=N$3,SUMIF('TL12'!$C$238:$C$451,$C386,'TL12'!$J$238:$J$451),0),
IF('TL13'!$B$3=N$3,SUMIF('TL13'!$C$10:$C$224,$C386,'TL13'!$J$10:$J$224),0),
IF('TL13'!$B$229=N$3,SUMIF('TL13'!$C$238:$C$451,$C386,'TL13'!$J$238:$J$451),0),
IF('TL14'!$B$3=N$3,SUMIF('TL14'!$C$10:$C$224,$C386,'TL14'!$J$10:$J$224),0),
IF('TL14'!$B$229=N$3,SUMIF('TL14'!$C$238:$C$451,$C386,'TL14'!$J$238:$J$451),0),
IF('TL15'!$B$3=N$3,SUMIF('TL15'!$C$10:$C$224,$C386,'TL15'!$J$10:$J$224),0),
IF('TL15'!$B$229=N$3,SUMIF('TL15'!$C$238:$C$451,$C386,'TL15'!$J$238:$J$451),0),
IF('TL16'!$B$3=N$3,SUMIF('TL16'!$C$10:$C$224,$C386,'TL16'!$J$10:$J$224),0),
IF('TL16'!$B$229=N$3,SUMIF('TL16'!$C$238:$C$451,$C386,'TL16'!$J$238:$J$451),0),
IF('TL17'!$B$3=N$3,SUMIF('TL17'!$C$10:$C$224,$C386,'TL17'!$J$10:$J$224),0),
IF('TL17'!$B$229=N$3,SUMIF('TL17'!$C$238:$C$451,$C386,'TL17'!$J$238:$J$451),0),
IF('TL18'!$B$3=N$3,SUMIF('TL18'!$C$10:$C$224,$C386,'TL18'!$J$10:$J$224),0),
IF('TL18'!$B$229=N$3,SUMIF('TL18'!$C$238:$C$451,$C386,'TL18'!$J$238:$J$451),0),
IF('TL19'!$B$3=N$3,SUMIF('TL19'!$C$10:$C$224,$C386,'TL19'!$J$10:$J$224),0),
IF('TL19'!$B$229=N$3,SUMIF('TL19'!$C$238:$C$451,$C386,'TL19'!$J$238:$J$451),0)
),0)</f>
        <v/>
      </c>
      <c r="O386" s="9">
        <f>IFERROR(SUM(
IF('TL01'!$B$3=O$3,SUMIF('TL01'!$C$10:$C$224,$C386,'TL01'!$J$10:$J$224),0),
IF('TL01'!$B$229=O$3,SUMIF('TL01'!$C$238:$C$451,$C386,'TL01'!$J$238:$J$451),0),
IF('TL02'!$B$3=O$3,SUMIF('TL02'!$C$10:$C$224,$C386,'TL02'!$J$10:$J$224),0),
IF('TL02'!$B$229=O$3,SUMIF('TL02'!$C$238:$C$451,$C386,'TL02'!$J$238:$J$451),0),
IF('TL03'!$B$3=O$3,SUMIF('TL03'!$C$10:$C$224,$C386,'TL03'!$J$10:$J$224),0),
IF('TL03'!$B$229=O$3,SUMIF('TL03'!$C$238:$C$451,$C386,'TL03'!$J$238:$J$451),0),
IF('TL04'!$B$3=O$3,SUMIF('TL04'!$C$10:$C$224,$C386,'TL04'!$J$10:$J$224),0),
IF('TL04'!$B$229=O$3,SUMIF('TL04'!$C$238:$C$451,$C386,'TL04'!$J$238:$J$451),0),
IF('TL05'!$B$3=O$3,SUMIF('TL05'!$C$10:$C$224,$C386,'TL05'!$J$10:$J$224),0),
IF('TL05'!$B$229=O$3,SUMIF('TL05'!$C$238:$C$451,$C386,'TL05'!$J$238:$J$451),0),
IF('TL06'!$B$3=O$3,SUMIF('TL06'!$C$10:$C$224,$C386,'TL06'!$J$10:$J$224),0),
IF('TL06'!$B$229=O$3,SUMIF('TL06'!$C$238:$C$451,$C386,'TL06'!$J$238:$J$451),0),
IF('TL07'!$B$3=O$3,SUMIF('TL07'!$C$10:$C$224,$C386,'TL07'!$J$10:$J$224),0),
IF('TL07'!$B$229=O$3,SUMIF('TL07'!$C$238:$C$451,$C386,'TL07'!$J$238:$J$451),0),
IF('TL08'!$B$3=O$3,SUMIF('TL08'!$C$10:$C$224,$C386,'TL08'!$J$10:$J$224),0),
IF('TL08'!$B$229=O$3,SUMIF('TL08'!$C$238:$C$451,$C386,'TL08'!$J$238:$J$451),0),
IF('TL09'!$B$3=O$3,SUMIF('TL09'!$C$10:$C$224,$C386,'TL09'!$J$10:$J$224),0),
IF('TL09'!$B$229=O$3,SUMIF('TL09'!$C$238:$C$451,$C386,'TL09'!$J$238:$J$451),0),
IF('TL10'!$B$3=O$3,SUMIF('TL10'!$C$10:$C$224,$C386,'TL10'!$J$10:$J$224),0),
IF('TL10'!$B$229=O$3,SUMIF('TL10'!$C$238:$C$451,$C386,'TL10'!$J$238:$J$451),0),
IF('TL11'!$B$3=O$3,SUMIF('TL11'!$C$10:$C$224,$C386,'TL11'!$J$10:$J$224),0),
IF('TL11'!$B$229=O$3,SUMIF('TL11'!$C$238:$C$451,$C386,'TL11'!$J$238:$J$451),0),
IF('TL12'!$B$3=O$3,SUMIF('TL12'!$C$10:$C$224,$C386,'TL12'!$J$10:$J$224),0),
IF('TL12'!$B$229=O$3,SUMIF('TL12'!$C$238:$C$451,$C386,'TL12'!$J$238:$J$451),0),
IF('TL13'!$B$3=O$3,SUMIF('TL13'!$C$10:$C$224,$C386,'TL13'!$J$10:$J$224),0),
IF('TL13'!$B$229=O$3,SUMIF('TL13'!$C$238:$C$451,$C386,'TL13'!$J$238:$J$451),0),
IF('TL14'!$B$3=O$3,SUMIF('TL14'!$C$10:$C$224,$C386,'TL14'!$J$10:$J$224),0),
IF('TL14'!$B$229=O$3,SUMIF('TL14'!$C$238:$C$451,$C386,'TL14'!$J$238:$J$451),0),
IF('TL15'!$B$3=O$3,SUMIF('TL15'!$C$10:$C$224,$C386,'TL15'!$J$10:$J$224),0),
IF('TL15'!$B$229=O$3,SUMIF('TL15'!$C$238:$C$451,$C386,'TL15'!$J$238:$J$451),0),
IF('TL16'!$B$3=O$3,SUMIF('TL16'!$C$10:$C$224,$C386,'TL16'!$J$10:$J$224),0),
IF('TL16'!$B$229=O$3,SUMIF('TL16'!$C$238:$C$451,$C386,'TL16'!$J$238:$J$451),0),
IF('TL17'!$B$3=O$3,SUMIF('TL17'!$C$10:$C$224,$C386,'TL17'!$J$10:$J$224),0),
IF('TL17'!$B$229=O$3,SUMIF('TL17'!$C$238:$C$451,$C386,'TL17'!$J$238:$J$451),0),
IF('TL18'!$B$3=O$3,SUMIF('TL18'!$C$10:$C$224,$C386,'TL18'!$J$10:$J$224),0),
IF('TL18'!$B$229=O$3,SUMIF('TL18'!$C$238:$C$451,$C386,'TL18'!$J$238:$J$451),0),
IF('TL19'!$B$3=O$3,SUMIF('TL19'!$C$10:$C$224,$C386,'TL19'!$J$10:$J$224),0),
IF('TL19'!$B$229=O$3,SUMIF('TL19'!$C$238:$C$451,$C386,'TL19'!$J$238:$J$451),0)
),0)</f>
        <v/>
      </c>
      <c r="P386" s="9">
        <f>IFERROR(SUM(
IF('TL01'!$B$3=P$3,SUMIF('TL01'!$C$10:$C$224,$C386,'TL01'!$J$10:$J$224),0),
IF('TL01'!$B$229=P$3,SUMIF('TL01'!$C$238:$C$451,$C386,'TL01'!$J$238:$J$451),0),
IF('TL02'!$B$3=P$3,SUMIF('TL02'!$C$10:$C$224,$C386,'TL02'!$J$10:$J$224),0),
IF('TL02'!$B$229=P$3,SUMIF('TL02'!$C$238:$C$451,$C386,'TL02'!$J$238:$J$451),0),
IF('TL03'!$B$3=P$3,SUMIF('TL03'!$C$10:$C$224,$C386,'TL03'!$J$10:$J$224),0),
IF('TL03'!$B$229=P$3,SUMIF('TL03'!$C$238:$C$451,$C386,'TL03'!$J$238:$J$451),0),
IF('TL04'!$B$3=P$3,SUMIF('TL04'!$C$10:$C$224,$C386,'TL04'!$J$10:$J$224),0),
IF('TL04'!$B$229=P$3,SUMIF('TL04'!$C$238:$C$451,$C386,'TL04'!$J$238:$J$451),0),
IF('TL05'!$B$3=P$3,SUMIF('TL05'!$C$10:$C$224,$C386,'TL05'!$J$10:$J$224),0),
IF('TL05'!$B$229=P$3,SUMIF('TL05'!$C$238:$C$451,$C386,'TL05'!$J$238:$J$451),0),
IF('TL06'!$B$3=P$3,SUMIF('TL06'!$C$10:$C$224,$C386,'TL06'!$J$10:$J$224),0),
IF('TL06'!$B$229=P$3,SUMIF('TL06'!$C$238:$C$451,$C386,'TL06'!$J$238:$J$451),0),
IF('TL07'!$B$3=P$3,SUMIF('TL07'!$C$10:$C$224,$C386,'TL07'!$J$10:$J$224),0),
IF('TL07'!$B$229=P$3,SUMIF('TL07'!$C$238:$C$451,$C386,'TL07'!$J$238:$J$451),0),
IF('TL08'!$B$3=P$3,SUMIF('TL08'!$C$10:$C$224,$C386,'TL08'!$J$10:$J$224),0),
IF('TL08'!$B$229=P$3,SUMIF('TL08'!$C$238:$C$451,$C386,'TL08'!$J$238:$J$451),0),
IF('TL09'!$B$3=P$3,SUMIF('TL09'!$C$10:$C$224,$C386,'TL09'!$J$10:$J$224),0),
IF('TL09'!$B$229=P$3,SUMIF('TL09'!$C$238:$C$451,$C386,'TL09'!$J$238:$J$451),0),
IF('TL10'!$B$3=P$3,SUMIF('TL10'!$C$10:$C$224,$C386,'TL10'!$J$10:$J$224),0),
IF('TL10'!$B$229=P$3,SUMIF('TL10'!$C$238:$C$451,$C386,'TL10'!$J$238:$J$451),0),
IF('TL11'!$B$3=P$3,SUMIF('TL11'!$C$10:$C$224,$C386,'TL11'!$J$10:$J$224),0),
IF('TL11'!$B$229=P$3,SUMIF('TL11'!$C$238:$C$451,$C386,'TL11'!$J$238:$J$451),0),
IF('TL12'!$B$3=P$3,SUMIF('TL12'!$C$10:$C$224,$C386,'TL12'!$J$10:$J$224),0),
IF('TL12'!$B$229=P$3,SUMIF('TL12'!$C$238:$C$451,$C386,'TL12'!$J$238:$J$451),0),
IF('TL13'!$B$3=P$3,SUMIF('TL13'!$C$10:$C$224,$C386,'TL13'!$J$10:$J$224),0),
IF('TL13'!$B$229=P$3,SUMIF('TL13'!$C$238:$C$451,$C386,'TL13'!$J$238:$J$451),0),
IF('TL14'!$B$3=P$3,SUMIF('TL14'!$C$10:$C$224,$C386,'TL14'!$J$10:$J$224),0),
IF('TL14'!$B$229=P$3,SUMIF('TL14'!$C$238:$C$451,$C386,'TL14'!$J$238:$J$451),0),
IF('TL15'!$B$3=P$3,SUMIF('TL15'!$C$10:$C$224,$C386,'TL15'!$J$10:$J$224),0),
IF('TL15'!$B$229=P$3,SUMIF('TL15'!$C$238:$C$451,$C386,'TL15'!$J$238:$J$451),0),
IF('TL16'!$B$3=P$3,SUMIF('TL16'!$C$10:$C$224,$C386,'TL16'!$J$10:$J$224),0),
IF('TL16'!$B$229=P$3,SUMIF('TL16'!$C$238:$C$451,$C386,'TL16'!$J$238:$J$451),0),
IF('TL17'!$B$3=P$3,SUMIF('TL17'!$C$10:$C$224,$C386,'TL17'!$J$10:$J$224),0),
IF('TL17'!$B$229=P$3,SUMIF('TL17'!$C$238:$C$451,$C386,'TL17'!$J$238:$J$451),0),
IF('TL18'!$B$3=P$3,SUMIF('TL18'!$C$10:$C$224,$C386,'TL18'!$J$10:$J$224),0),
IF('TL18'!$B$229=P$3,SUMIF('TL18'!$C$238:$C$451,$C386,'TL18'!$J$238:$J$451),0),
IF('TL19'!$B$3=P$3,SUMIF('TL19'!$C$10:$C$224,$C386,'TL19'!$J$10:$J$224),0),
IF('TL19'!$B$229=P$3,SUMIF('TL19'!$C$238:$C$451,$C386,'TL19'!$J$238:$J$451),0)
),0)</f>
        <v/>
      </c>
      <c r="Q386" s="9">
        <f>IFERROR(SUM(
IF('TL01'!$B$3=Q$3,SUMIF('TL01'!$C$10:$C$224,$C386,'TL01'!$J$10:$J$224),0),
IF('TL01'!$B$229=Q$3,SUMIF('TL01'!$C$238:$C$451,$C386,'TL01'!$J$238:$J$451),0),
IF('TL02'!$B$3=Q$3,SUMIF('TL02'!$C$10:$C$224,$C386,'TL02'!$J$10:$J$224),0),
IF('TL02'!$B$229=Q$3,SUMIF('TL02'!$C$238:$C$451,$C386,'TL02'!$J$238:$J$451),0),
IF('TL03'!$B$3=Q$3,SUMIF('TL03'!$C$10:$C$224,$C386,'TL03'!$J$10:$J$224),0),
IF('TL03'!$B$229=Q$3,SUMIF('TL03'!$C$238:$C$451,$C386,'TL03'!$J$238:$J$451),0),
IF('TL04'!$B$3=Q$3,SUMIF('TL04'!$C$10:$C$224,$C386,'TL04'!$J$10:$J$224),0),
IF('TL04'!$B$229=Q$3,SUMIF('TL04'!$C$238:$C$451,$C386,'TL04'!$J$238:$J$451),0),
IF('TL05'!$B$3=Q$3,SUMIF('TL05'!$C$10:$C$224,$C386,'TL05'!$J$10:$J$224),0),
IF('TL05'!$B$229=Q$3,SUMIF('TL05'!$C$238:$C$451,$C386,'TL05'!$J$238:$J$451),0),
IF('TL06'!$B$3=Q$3,SUMIF('TL06'!$C$10:$C$224,$C386,'TL06'!$J$10:$J$224),0),
IF('TL06'!$B$229=Q$3,SUMIF('TL06'!$C$238:$C$451,$C386,'TL06'!$J$238:$J$451),0),
IF('TL07'!$B$3=Q$3,SUMIF('TL07'!$C$10:$C$224,$C386,'TL07'!$J$10:$J$224),0),
IF('TL07'!$B$229=Q$3,SUMIF('TL07'!$C$238:$C$451,$C386,'TL07'!$J$238:$J$451),0),
IF('TL08'!$B$3=Q$3,SUMIF('TL08'!$C$10:$C$224,$C386,'TL08'!$J$10:$J$224),0),
IF('TL08'!$B$229=Q$3,SUMIF('TL08'!$C$238:$C$451,$C386,'TL08'!$J$238:$J$451),0),
IF('TL09'!$B$3=Q$3,SUMIF('TL09'!$C$10:$C$224,$C386,'TL09'!$J$10:$J$224),0),
IF('TL09'!$B$229=Q$3,SUMIF('TL09'!$C$238:$C$451,$C386,'TL09'!$J$238:$J$451),0),
IF('TL10'!$B$3=Q$3,SUMIF('TL10'!$C$10:$C$224,$C386,'TL10'!$J$10:$J$224),0),
IF('TL10'!$B$229=Q$3,SUMIF('TL10'!$C$238:$C$451,$C386,'TL10'!$J$238:$J$451),0),
IF('TL11'!$B$3=Q$3,SUMIF('TL11'!$C$10:$C$224,$C386,'TL11'!$J$10:$J$224),0),
IF('TL11'!$B$229=Q$3,SUMIF('TL11'!$C$238:$C$451,$C386,'TL11'!$J$238:$J$451),0),
IF('TL12'!$B$3=Q$3,SUMIF('TL12'!$C$10:$C$224,$C386,'TL12'!$J$10:$J$224),0),
IF('TL12'!$B$229=Q$3,SUMIF('TL12'!$C$238:$C$451,$C386,'TL12'!$J$238:$J$451),0),
IF('TL13'!$B$3=Q$3,SUMIF('TL13'!$C$10:$C$224,$C386,'TL13'!$J$10:$J$224),0),
IF('TL13'!$B$229=Q$3,SUMIF('TL13'!$C$238:$C$451,$C386,'TL13'!$J$238:$J$451),0),
IF('TL14'!$B$3=Q$3,SUMIF('TL14'!$C$10:$C$224,$C386,'TL14'!$J$10:$J$224),0),
IF('TL14'!$B$229=Q$3,SUMIF('TL14'!$C$238:$C$451,$C386,'TL14'!$J$238:$J$451),0),
IF('TL15'!$B$3=Q$3,SUMIF('TL15'!$C$10:$C$224,$C386,'TL15'!$J$10:$J$224),0),
IF('TL15'!$B$229=Q$3,SUMIF('TL15'!$C$238:$C$451,$C386,'TL15'!$J$238:$J$451),0),
IF('TL16'!$B$3=Q$3,SUMIF('TL16'!$C$10:$C$224,$C386,'TL16'!$J$10:$J$224),0),
IF('TL16'!$B$229=Q$3,SUMIF('TL16'!$C$238:$C$451,$C386,'TL16'!$J$238:$J$451),0),
IF('TL17'!$B$3=Q$3,SUMIF('TL17'!$C$10:$C$224,$C386,'TL17'!$J$10:$J$224),0),
IF('TL17'!$B$229=Q$3,SUMIF('TL17'!$C$238:$C$451,$C386,'TL17'!$J$238:$J$451),0),
IF('TL18'!$B$3=Q$3,SUMIF('TL18'!$C$10:$C$224,$C386,'TL18'!$J$10:$J$224),0),
IF('TL18'!$B$229=Q$3,SUMIF('TL18'!$C$238:$C$451,$C386,'TL18'!$J$238:$J$451),0),
IF('TL19'!$B$3=Q$3,SUMIF('TL19'!$C$10:$C$224,$C386,'TL19'!$J$10:$J$224),0),
IF('TL19'!$B$229=Q$3,SUMIF('TL19'!$C$238:$C$451,$C386,'TL19'!$J$238:$J$451),0)
),0)</f>
        <v/>
      </c>
      <c r="R386" s="9">
        <f>IFERROR(
SUM(
SUMIF('TL01'!C:C,C386,'TL01'!J:J),
SUMIF('TL02'!C:C,C386,'TL02'!J:J),
SUMIF('TL03'!C:C,C386,'TL03'!J:J),
SUMIF('TL04'!C:C,C386,'TL04'!J:J),
SUMIF('TL05'!C:C,C386,'TL05'!J:J),
SUMIF('TL06'!C:C,C386,'TL06'!J:J),
SUMIF('TL07'!C:C,C386,'TL07'!J:J),
SUMIF('TL08'!C:C,C386,'TL08'!J:J),
SUMIF('TL09'!C:C,C386,'TL09'!J:J),
SUMIF('TL10'!C:C,C386,'TL10'!J:J),
SUMIF('TL11'!C:C,C386,'TL11'!J:J),
SUMIF('TL12'!C:C,C386,'TL12'!J:J),
SUMIF('TL13'!C:C,C386,'TL13'!J:J),
SUMIF('TL14'!C:C,C386,'TL14'!J:J),
SUMIF('TL15'!C:C,C386,'TL15'!J:J),
SUMIF('TL16'!C:C,C386,'TL16'!J:J),
SUMIF('TL17'!C:C,C386,'TL17'!J:J),
SUMIF('TL18'!C:C,C386,'TL18'!J:J),SUMIF('TL19'!C:C,C386,'TL19'!J:J))
,0)</f>
        <v/>
      </c>
      <c r="S386" s="17">
        <f>IFERROR(__xludf.DUMMYFUNCTION("IFERROR(VLOOKUP(C386,
IMPORTRANGE(""1wULbzX32WdYsx-lj2U3uUNBBe2INVIRDtcK0d-Dvl90"",
""26-27!C:G""),
5,
FALSE),
"""")"),5.0)</f>
        <v/>
      </c>
      <c r="T386" s="9" t="n"/>
      <c r="U386" s="92">
        <f>MAX(0,R386-T386)</f>
        <v/>
      </c>
      <c r="V386" s="93">
        <f>U386*S386</f>
        <v/>
      </c>
    </row>
    <row r="387" hidden="1" ht="15.75" customHeight="1" s="297">
      <c r="A387" s="4" t="inlineStr">
        <is>
          <t>SOLUBIO</t>
        </is>
      </c>
      <c r="B387" s="4" t="inlineStr">
        <is>
          <t>BIOLÓGICOS</t>
        </is>
      </c>
      <c r="C387" s="130" t="inlineStr">
        <is>
          <t>Bio Raiz Plus Kit On-farm</t>
        </is>
      </c>
      <c r="D387" s="129" t="inlineStr">
        <is>
          <t>Kit On-farm</t>
        </is>
      </c>
      <c r="E387" s="9" t="n"/>
      <c r="F387" s="4" t="n"/>
      <c r="G387" s="90">
        <f>HYPERLINK("https://www.google.com/search?q=" &amp; C387 &amp; "+bula+agrofit+pdf", "📄 Ver bula")</f>
        <v/>
      </c>
      <c r="H387" s="9" t="n"/>
      <c r="I387" s="1" t="n"/>
      <c r="J387" s="9">
        <f>IFERROR(SUM(
IF('TL01'!$B$3=J$3,SUMIF('TL01'!$C$10:$C$224,$C387,'TL01'!$J$10:$J$224),0),
IF('TL01'!$B$229=J$3,SUMIF('TL01'!$C$238:$C$451,$C387,'TL01'!$J$238:$J$451),0),
IF('TL02'!$B$3=J$3,SUMIF('TL02'!$C$10:$C$224,$C387,'TL02'!$J$10:$J$224),0),
IF('TL02'!$B$229=J$3,SUMIF('TL02'!$C$238:$C$451,$C387,'TL02'!$J$238:$J$451),0),
IF('TL03'!$B$3=J$3,SUMIF('TL03'!$C$10:$C$224,$C387,'TL03'!$J$10:$J$224),0),
IF('TL03'!$B$229=J$3,SUMIF('TL03'!$C$238:$C$451,$C387,'TL03'!$J$238:$J$451),0),
IF('TL04'!$B$3=J$3,SUMIF('TL04'!$C$10:$C$224,$C387,'TL04'!$J$10:$J$224),0),
IF('TL04'!$B$229=J$3,SUMIF('TL04'!$C$238:$C$451,$C387,'TL04'!$J$238:$J$451),0),
IF('TL05'!$B$3=J$3,SUMIF('TL05'!$C$10:$C$224,$C387,'TL05'!$J$10:$J$224),0),
IF('TL05'!$B$229=J$3,SUMIF('TL05'!$C$238:$C$451,$C387,'TL05'!$J$238:$J$451),0),
IF('TL06'!$B$3=J$3,SUMIF('TL06'!$C$10:$C$224,$C387,'TL06'!$J$10:$J$224),0),
IF('TL06'!$B$229=J$3,SUMIF('TL06'!$C$238:$C$451,$C387,'TL06'!$J$238:$J$451),0),
IF('TL07'!$B$3=J$3,SUMIF('TL07'!$C$10:$C$224,$C387,'TL07'!$J$10:$J$224),0),
IF('TL07'!$B$229=J$3,SUMIF('TL07'!$C$238:$C$451,$C387,'TL07'!$J$238:$J$451),0),
IF('TL08'!$B$3=J$3,SUMIF('TL08'!$C$10:$C$224,$C387,'TL08'!$J$10:$J$224),0),
IF('TL08'!$B$229=J$3,SUMIF('TL08'!$C$238:$C$451,$C387,'TL08'!$J$238:$J$451),0),
IF('TL09'!$B$3=J$3,SUMIF('TL09'!$C$10:$C$224,$C387,'TL09'!$J$10:$J$224),0),
IF('TL09'!$B$229=J$3,SUMIF('TL09'!$C$238:$C$451,$C387,'TL09'!$J$238:$J$451),0),
IF('TL10'!$B$3=J$3,SUMIF('TL10'!$C$10:$C$224,$C387,'TL10'!$J$10:$J$224),0),
IF('TL10'!$B$229=J$3,SUMIF('TL10'!$C$238:$C$451,$C387,'TL10'!$J$238:$J$451),0),
IF('TL11'!$B$3=J$3,SUMIF('TL11'!$C$10:$C$224,$C387,'TL11'!$J$10:$J$224),0),
IF('TL11'!$B$229=J$3,SUMIF('TL11'!$C$238:$C$451,$C387,'TL11'!$J$238:$J$451),0),
IF('TL12'!$B$3=J$3,SUMIF('TL12'!$C$10:$C$224,$C387,'TL12'!$J$10:$J$224),0),
IF('TL12'!$B$229=J$3,SUMIF('TL12'!$C$238:$C$451,$C387,'TL12'!$J$238:$J$451),0),
IF('TL13'!$B$3=J$3,SUMIF('TL13'!$C$10:$C$224,$C387,'TL13'!$J$10:$J$224),0),
IF('TL13'!$B$229=J$3,SUMIF('TL13'!$C$238:$C$451,$C387,'TL13'!$J$238:$J$451),0),
IF('TL14'!$B$3=J$3,SUMIF('TL14'!$C$10:$C$224,$C387,'TL14'!$J$10:$J$224),0),
IF('TL14'!$B$229=J$3,SUMIF('TL14'!$C$238:$C$451,$C387,'TL14'!$J$238:$J$451),0),
IF('TL15'!$B$3=J$3,SUMIF('TL15'!$C$10:$C$224,$C387,'TL15'!$J$10:$J$224),0),
IF('TL15'!$B$229=J$3,SUMIF('TL15'!$C$238:$C$451,$C387,'TL15'!$J$238:$J$451),0),
IF('TL16'!$B$3=J$3,SUMIF('TL16'!$C$10:$C$224,$C387,'TL16'!$J$10:$J$224),0),
IF('TL16'!$B$229=J$3,SUMIF('TL16'!$C$238:$C$451,$C387,'TL16'!$J$238:$J$451),0),
IF('TL17'!$B$3=J$3,SUMIF('TL17'!$C$10:$C$224,$C387,'TL17'!$J$10:$J$224),0),
IF('TL17'!$B$229=J$3,SUMIF('TL17'!$C$238:$C$451,$C387,'TL17'!$J$238:$J$451),0),
IF('TL18'!$B$3=J$3,SUMIF('TL18'!$C$10:$C$224,$C387,'TL18'!$J$10:$J$224),0),
IF('TL18'!$B$229=J$3,SUMIF('TL18'!$C$238:$C$451,$C387,'TL18'!$J$238:$J$451),0),
IF('TL19'!$B$3=J$3,SUMIF('TL19'!$C$10:$C$224,$C387,'TL19'!$J$10:$J$224),0),
IF('TL19'!$B$229=J$3,SUMIF('TL19'!$C$238:$C$451,$C387,'TL19'!$J$238:$J$451),0)
),0)</f>
        <v/>
      </c>
      <c r="K387" s="9">
        <f>IFERROR(SUM(
IF('TL01'!$B$3=K$3,SUMIF('TL01'!$C$10:$C$224,$C387,'TL01'!$J$10:$J$224),0),
IF('TL01'!$B$229=K$3,SUMIF('TL01'!$C$238:$C$451,$C387,'TL01'!$J$238:$J$451),0),
IF('TL02'!$B$3=K$3,SUMIF('TL02'!$C$10:$C$224,$C387,'TL02'!$J$10:$J$224),0),
IF('TL02'!$B$229=K$3,SUMIF('TL02'!$C$238:$C$451,$C387,'TL02'!$J$238:$J$451),0),
IF('TL03'!$B$3=K$3,SUMIF('TL03'!$C$10:$C$224,$C387,'TL03'!$J$10:$J$224),0),
IF('TL03'!$B$229=K$3,SUMIF('TL03'!$C$238:$C$451,$C387,'TL03'!$J$238:$J$451),0),
IF('TL04'!$B$3=K$3,SUMIF('TL04'!$C$10:$C$224,$C387,'TL04'!$J$10:$J$224),0),
IF('TL04'!$B$229=K$3,SUMIF('TL04'!$C$238:$C$451,$C387,'TL04'!$J$238:$J$451),0),
IF('TL05'!$B$3=K$3,SUMIF('TL05'!$C$10:$C$224,$C387,'TL05'!$J$10:$J$224),0),
IF('TL05'!$B$229=K$3,SUMIF('TL05'!$C$238:$C$451,$C387,'TL05'!$J$238:$J$451),0),
IF('TL06'!$B$3=K$3,SUMIF('TL06'!$C$10:$C$224,$C387,'TL06'!$J$10:$J$224),0),
IF('TL06'!$B$229=K$3,SUMIF('TL06'!$C$238:$C$451,$C387,'TL06'!$J$238:$J$451),0),
IF('TL07'!$B$3=K$3,SUMIF('TL07'!$C$10:$C$224,$C387,'TL07'!$J$10:$J$224),0),
IF('TL07'!$B$229=K$3,SUMIF('TL07'!$C$238:$C$451,$C387,'TL07'!$J$238:$J$451),0),
IF('TL08'!$B$3=K$3,SUMIF('TL08'!$C$10:$C$224,$C387,'TL08'!$J$10:$J$224),0),
IF('TL08'!$B$229=K$3,SUMIF('TL08'!$C$238:$C$451,$C387,'TL08'!$J$238:$J$451),0),
IF('TL09'!$B$3=K$3,SUMIF('TL09'!$C$10:$C$224,$C387,'TL09'!$J$10:$J$224),0),
IF('TL09'!$B$229=K$3,SUMIF('TL09'!$C$238:$C$451,$C387,'TL09'!$J$238:$J$451),0),
IF('TL10'!$B$3=K$3,SUMIF('TL10'!$C$10:$C$224,$C387,'TL10'!$J$10:$J$224),0),
IF('TL10'!$B$229=K$3,SUMIF('TL10'!$C$238:$C$451,$C387,'TL10'!$J$238:$J$451),0),
IF('TL11'!$B$3=K$3,SUMIF('TL11'!$C$10:$C$224,$C387,'TL11'!$J$10:$J$224),0),
IF('TL11'!$B$229=K$3,SUMIF('TL11'!$C$238:$C$451,$C387,'TL11'!$J$238:$J$451),0),
IF('TL12'!$B$3=K$3,SUMIF('TL12'!$C$10:$C$224,$C387,'TL12'!$J$10:$J$224),0),
IF('TL12'!$B$229=K$3,SUMIF('TL12'!$C$238:$C$451,$C387,'TL12'!$J$238:$J$451),0),
IF('TL13'!$B$3=K$3,SUMIF('TL13'!$C$10:$C$224,$C387,'TL13'!$J$10:$J$224),0),
IF('TL13'!$B$229=K$3,SUMIF('TL13'!$C$238:$C$451,$C387,'TL13'!$J$238:$J$451),0),
IF('TL14'!$B$3=K$3,SUMIF('TL14'!$C$10:$C$224,$C387,'TL14'!$J$10:$J$224),0),
IF('TL14'!$B$229=K$3,SUMIF('TL14'!$C$238:$C$451,$C387,'TL14'!$J$238:$J$451),0),
IF('TL15'!$B$3=K$3,SUMIF('TL15'!$C$10:$C$224,$C387,'TL15'!$J$10:$J$224),0),
IF('TL15'!$B$229=K$3,SUMIF('TL15'!$C$238:$C$451,$C387,'TL15'!$J$238:$J$451),0),
IF('TL16'!$B$3=K$3,SUMIF('TL16'!$C$10:$C$224,$C387,'TL16'!$J$10:$J$224),0),
IF('TL16'!$B$229=K$3,SUMIF('TL16'!$C$238:$C$451,$C387,'TL16'!$J$238:$J$451),0),
IF('TL17'!$B$3=K$3,SUMIF('TL17'!$C$10:$C$224,$C387,'TL17'!$J$10:$J$224),0),
IF('TL17'!$B$229=K$3,SUMIF('TL17'!$C$238:$C$451,$C387,'TL17'!$J$238:$J$451),0),
IF('TL18'!$B$3=K$3,SUMIF('TL18'!$C$10:$C$224,$C387,'TL18'!$J$10:$J$224),0),
IF('TL18'!$B$229=K$3,SUMIF('TL18'!$C$238:$C$451,$C387,'TL18'!$J$238:$J$451),0),
IF('TL19'!$B$3=K$3,SUMIF('TL19'!$C$10:$C$224,$C387,'TL19'!$J$10:$J$224),0),
IF('TL19'!$B$229=K$3,SUMIF('TL19'!$C$238:$C$451,$C387,'TL19'!$J$238:$J$451),0)
),0)</f>
        <v/>
      </c>
      <c r="L387" s="9">
        <f>IFERROR(SUM(
IF('TL01'!$B$3=L$3,SUMIF('TL01'!$C$10:$C$224,$C387,'TL01'!$J$10:$J$224),0),
IF('TL01'!$B$229=L$3,SUMIF('TL01'!$C$238:$C$451,$C387,'TL01'!$J$238:$J$451),0),
IF('TL02'!$B$3=L$3,SUMIF('TL02'!$C$10:$C$224,$C387,'TL02'!$J$10:$J$224),0),
IF('TL02'!$B$229=L$3,SUMIF('TL02'!$C$238:$C$451,$C387,'TL02'!$J$238:$J$451),0),
IF('TL03'!$B$3=L$3,SUMIF('TL03'!$C$10:$C$224,$C387,'TL03'!$J$10:$J$224),0),
IF('TL03'!$B$229=L$3,SUMIF('TL03'!$C$238:$C$451,$C387,'TL03'!$J$238:$J$451),0),
IF('TL04'!$B$3=L$3,SUMIF('TL04'!$C$10:$C$224,$C387,'TL04'!$J$10:$J$224),0),
IF('TL04'!$B$229=L$3,SUMIF('TL04'!$C$238:$C$451,$C387,'TL04'!$J$238:$J$451),0),
IF('TL05'!$B$3=L$3,SUMIF('TL05'!$C$10:$C$224,$C387,'TL05'!$J$10:$J$224),0),
IF('TL05'!$B$229=L$3,SUMIF('TL05'!$C$238:$C$451,$C387,'TL05'!$J$238:$J$451),0),
IF('TL06'!$B$3=L$3,SUMIF('TL06'!$C$10:$C$224,$C387,'TL06'!$J$10:$J$224),0),
IF('TL06'!$B$229=L$3,SUMIF('TL06'!$C$238:$C$451,$C387,'TL06'!$J$238:$J$451),0),
IF('TL07'!$B$3=L$3,SUMIF('TL07'!$C$10:$C$224,$C387,'TL07'!$J$10:$J$224),0),
IF('TL07'!$B$229=L$3,SUMIF('TL07'!$C$238:$C$451,$C387,'TL07'!$J$238:$J$451),0),
IF('TL08'!$B$3=L$3,SUMIF('TL08'!$C$10:$C$224,$C387,'TL08'!$J$10:$J$224),0),
IF('TL08'!$B$229=L$3,SUMIF('TL08'!$C$238:$C$451,$C387,'TL08'!$J$238:$J$451),0),
IF('TL09'!$B$3=L$3,SUMIF('TL09'!$C$10:$C$224,$C387,'TL09'!$J$10:$J$224),0),
IF('TL09'!$B$229=L$3,SUMIF('TL09'!$C$238:$C$451,$C387,'TL09'!$J$238:$J$451),0),
IF('TL10'!$B$3=L$3,SUMIF('TL10'!$C$10:$C$224,$C387,'TL10'!$J$10:$J$224),0),
IF('TL10'!$B$229=L$3,SUMIF('TL10'!$C$238:$C$451,$C387,'TL10'!$J$238:$J$451),0),
IF('TL11'!$B$3=L$3,SUMIF('TL11'!$C$10:$C$224,$C387,'TL11'!$J$10:$J$224),0),
IF('TL11'!$B$229=L$3,SUMIF('TL11'!$C$238:$C$451,$C387,'TL11'!$J$238:$J$451),0),
IF('TL12'!$B$3=L$3,SUMIF('TL12'!$C$10:$C$224,$C387,'TL12'!$J$10:$J$224),0),
IF('TL12'!$B$229=L$3,SUMIF('TL12'!$C$238:$C$451,$C387,'TL12'!$J$238:$J$451),0),
IF('TL13'!$B$3=L$3,SUMIF('TL13'!$C$10:$C$224,$C387,'TL13'!$J$10:$J$224),0),
IF('TL13'!$B$229=L$3,SUMIF('TL13'!$C$238:$C$451,$C387,'TL13'!$J$238:$J$451),0),
IF('TL14'!$B$3=L$3,SUMIF('TL14'!$C$10:$C$224,$C387,'TL14'!$J$10:$J$224),0),
IF('TL14'!$B$229=L$3,SUMIF('TL14'!$C$238:$C$451,$C387,'TL14'!$J$238:$J$451),0),
IF('TL15'!$B$3=L$3,SUMIF('TL15'!$C$10:$C$224,$C387,'TL15'!$J$10:$J$224),0),
IF('TL15'!$B$229=L$3,SUMIF('TL15'!$C$238:$C$451,$C387,'TL15'!$J$238:$J$451),0),
IF('TL16'!$B$3=L$3,SUMIF('TL16'!$C$10:$C$224,$C387,'TL16'!$J$10:$J$224),0),
IF('TL16'!$B$229=L$3,SUMIF('TL16'!$C$238:$C$451,$C387,'TL16'!$J$238:$J$451),0),
IF('TL17'!$B$3=L$3,SUMIF('TL17'!$C$10:$C$224,$C387,'TL17'!$J$10:$J$224),0),
IF('TL17'!$B$229=L$3,SUMIF('TL17'!$C$238:$C$451,$C387,'TL17'!$J$238:$J$451),0),
IF('TL18'!$B$3=L$3,SUMIF('TL18'!$C$10:$C$224,$C387,'TL18'!$J$10:$J$224),0),
IF('TL18'!$B$229=L$3,SUMIF('TL18'!$C$238:$C$451,$C387,'TL18'!$J$238:$J$451),0),
IF('TL19'!$B$3=L$3,SUMIF('TL19'!$C$10:$C$224,$C387,'TL19'!$J$10:$J$224),0),
IF('TL19'!$B$229=L$3,SUMIF('TL19'!$C$238:$C$451,$C387,'TL19'!$J$238:$J$451),0)
),0)</f>
        <v/>
      </c>
      <c r="M387" s="9">
        <f>IFERROR(SUM(
IF('TL01'!$B$3=M$3,SUMIF('TL01'!$C$10:$C$224,$C387,'TL01'!$J$10:$J$224),0),
IF('TL01'!$B$229=M$3,SUMIF('TL01'!$C$238:$C$451,$C387,'TL01'!$J$238:$J$451),0),
IF('TL02'!$B$3=M$3,SUMIF('TL02'!$C$10:$C$224,$C387,'TL02'!$J$10:$J$224),0),
IF('TL02'!$B$229=M$3,SUMIF('TL02'!$C$238:$C$451,$C387,'TL02'!$J$238:$J$451),0),
IF('TL03'!$B$3=M$3,SUMIF('TL03'!$C$10:$C$224,$C387,'TL03'!$J$10:$J$224),0),
IF('TL03'!$B$229=M$3,SUMIF('TL03'!$C$238:$C$451,$C387,'TL03'!$J$238:$J$451),0),
IF('TL04'!$B$3=M$3,SUMIF('TL04'!$C$10:$C$224,$C387,'TL04'!$J$10:$J$224),0),
IF('TL04'!$B$229=M$3,SUMIF('TL04'!$C$238:$C$451,$C387,'TL04'!$J$238:$J$451),0),
IF('TL05'!$B$3=M$3,SUMIF('TL05'!$C$10:$C$224,$C387,'TL05'!$J$10:$J$224),0),
IF('TL05'!$B$229=M$3,SUMIF('TL05'!$C$238:$C$451,$C387,'TL05'!$J$238:$J$451),0),
IF('TL06'!$B$3=M$3,SUMIF('TL06'!$C$10:$C$224,$C387,'TL06'!$J$10:$J$224),0),
IF('TL06'!$B$229=M$3,SUMIF('TL06'!$C$238:$C$451,$C387,'TL06'!$J$238:$J$451),0),
IF('TL07'!$B$3=M$3,SUMIF('TL07'!$C$10:$C$224,$C387,'TL07'!$J$10:$J$224),0),
IF('TL07'!$B$229=M$3,SUMIF('TL07'!$C$238:$C$451,$C387,'TL07'!$J$238:$J$451),0),
IF('TL08'!$B$3=M$3,SUMIF('TL08'!$C$10:$C$224,$C387,'TL08'!$J$10:$J$224),0),
IF('TL08'!$B$229=M$3,SUMIF('TL08'!$C$238:$C$451,$C387,'TL08'!$J$238:$J$451),0),
IF('TL09'!$B$3=M$3,SUMIF('TL09'!$C$10:$C$224,$C387,'TL09'!$J$10:$J$224),0),
IF('TL09'!$B$229=M$3,SUMIF('TL09'!$C$238:$C$451,$C387,'TL09'!$J$238:$J$451),0),
IF('TL10'!$B$3=M$3,SUMIF('TL10'!$C$10:$C$224,$C387,'TL10'!$J$10:$J$224),0),
IF('TL10'!$B$229=M$3,SUMIF('TL10'!$C$238:$C$451,$C387,'TL10'!$J$238:$J$451),0),
IF('TL11'!$B$3=M$3,SUMIF('TL11'!$C$10:$C$224,$C387,'TL11'!$J$10:$J$224),0),
IF('TL11'!$B$229=M$3,SUMIF('TL11'!$C$238:$C$451,$C387,'TL11'!$J$238:$J$451),0),
IF('TL12'!$B$3=M$3,SUMIF('TL12'!$C$10:$C$224,$C387,'TL12'!$J$10:$J$224),0),
IF('TL12'!$B$229=M$3,SUMIF('TL12'!$C$238:$C$451,$C387,'TL12'!$J$238:$J$451),0),
IF('TL13'!$B$3=M$3,SUMIF('TL13'!$C$10:$C$224,$C387,'TL13'!$J$10:$J$224),0),
IF('TL13'!$B$229=M$3,SUMIF('TL13'!$C$238:$C$451,$C387,'TL13'!$J$238:$J$451),0),
IF('TL14'!$B$3=M$3,SUMIF('TL14'!$C$10:$C$224,$C387,'TL14'!$J$10:$J$224),0),
IF('TL14'!$B$229=M$3,SUMIF('TL14'!$C$238:$C$451,$C387,'TL14'!$J$238:$J$451),0),
IF('TL15'!$B$3=M$3,SUMIF('TL15'!$C$10:$C$224,$C387,'TL15'!$J$10:$J$224),0),
IF('TL15'!$B$229=M$3,SUMIF('TL15'!$C$238:$C$451,$C387,'TL15'!$J$238:$J$451),0),
IF('TL16'!$B$3=M$3,SUMIF('TL16'!$C$10:$C$224,$C387,'TL16'!$J$10:$J$224),0),
IF('TL16'!$B$229=M$3,SUMIF('TL16'!$C$238:$C$451,$C387,'TL16'!$J$238:$J$451),0),
IF('TL17'!$B$3=M$3,SUMIF('TL17'!$C$10:$C$224,$C387,'TL17'!$J$10:$J$224),0),
IF('TL17'!$B$229=M$3,SUMIF('TL17'!$C$238:$C$451,$C387,'TL17'!$J$238:$J$451),0),
IF('TL18'!$B$3=M$3,SUMIF('TL18'!$C$10:$C$224,$C387,'TL18'!$J$10:$J$224),0),
IF('TL18'!$B$229=M$3,SUMIF('TL18'!$C$238:$C$451,$C387,'TL18'!$J$238:$J$451),0),
IF('TL19'!$B$3=M$3,SUMIF('TL19'!$C$10:$C$224,$C387,'TL19'!$J$10:$J$224),0),
IF('TL19'!$B$229=M$3,SUMIF('TL19'!$C$238:$C$451,$C387,'TL19'!$J$238:$J$451),0)
),0)</f>
        <v/>
      </c>
      <c r="N387" s="9">
        <f>IFERROR(SUM(
IF('TL01'!$B$3=N$3,SUMIF('TL01'!$C$10:$C$224,$C387,'TL01'!$J$10:$J$224),0),
IF('TL01'!$B$229=N$3,SUMIF('TL01'!$C$238:$C$451,$C387,'TL01'!$J$238:$J$451),0),
IF('TL02'!$B$3=N$3,SUMIF('TL02'!$C$10:$C$224,$C387,'TL02'!$J$10:$J$224),0),
IF('TL02'!$B$229=N$3,SUMIF('TL02'!$C$238:$C$451,$C387,'TL02'!$J$238:$J$451),0),
IF('TL03'!$B$3=N$3,SUMIF('TL03'!$C$10:$C$224,$C387,'TL03'!$J$10:$J$224),0),
IF('TL03'!$B$229=N$3,SUMIF('TL03'!$C$238:$C$451,$C387,'TL03'!$J$238:$J$451),0),
IF('TL04'!$B$3=N$3,SUMIF('TL04'!$C$10:$C$224,$C387,'TL04'!$J$10:$J$224),0),
IF('TL04'!$B$229=N$3,SUMIF('TL04'!$C$238:$C$451,$C387,'TL04'!$J$238:$J$451),0),
IF('TL05'!$B$3=N$3,SUMIF('TL05'!$C$10:$C$224,$C387,'TL05'!$J$10:$J$224),0),
IF('TL05'!$B$229=N$3,SUMIF('TL05'!$C$238:$C$451,$C387,'TL05'!$J$238:$J$451),0),
IF('TL06'!$B$3=N$3,SUMIF('TL06'!$C$10:$C$224,$C387,'TL06'!$J$10:$J$224),0),
IF('TL06'!$B$229=N$3,SUMIF('TL06'!$C$238:$C$451,$C387,'TL06'!$J$238:$J$451),0),
IF('TL07'!$B$3=N$3,SUMIF('TL07'!$C$10:$C$224,$C387,'TL07'!$J$10:$J$224),0),
IF('TL07'!$B$229=N$3,SUMIF('TL07'!$C$238:$C$451,$C387,'TL07'!$J$238:$J$451),0),
IF('TL08'!$B$3=N$3,SUMIF('TL08'!$C$10:$C$224,$C387,'TL08'!$J$10:$J$224),0),
IF('TL08'!$B$229=N$3,SUMIF('TL08'!$C$238:$C$451,$C387,'TL08'!$J$238:$J$451),0),
IF('TL09'!$B$3=N$3,SUMIF('TL09'!$C$10:$C$224,$C387,'TL09'!$J$10:$J$224),0),
IF('TL09'!$B$229=N$3,SUMIF('TL09'!$C$238:$C$451,$C387,'TL09'!$J$238:$J$451),0),
IF('TL10'!$B$3=N$3,SUMIF('TL10'!$C$10:$C$224,$C387,'TL10'!$J$10:$J$224),0),
IF('TL10'!$B$229=N$3,SUMIF('TL10'!$C$238:$C$451,$C387,'TL10'!$J$238:$J$451),0),
IF('TL11'!$B$3=N$3,SUMIF('TL11'!$C$10:$C$224,$C387,'TL11'!$J$10:$J$224),0),
IF('TL11'!$B$229=N$3,SUMIF('TL11'!$C$238:$C$451,$C387,'TL11'!$J$238:$J$451),0),
IF('TL12'!$B$3=N$3,SUMIF('TL12'!$C$10:$C$224,$C387,'TL12'!$J$10:$J$224),0),
IF('TL12'!$B$229=N$3,SUMIF('TL12'!$C$238:$C$451,$C387,'TL12'!$J$238:$J$451),0),
IF('TL13'!$B$3=N$3,SUMIF('TL13'!$C$10:$C$224,$C387,'TL13'!$J$10:$J$224),0),
IF('TL13'!$B$229=N$3,SUMIF('TL13'!$C$238:$C$451,$C387,'TL13'!$J$238:$J$451),0),
IF('TL14'!$B$3=N$3,SUMIF('TL14'!$C$10:$C$224,$C387,'TL14'!$J$10:$J$224),0),
IF('TL14'!$B$229=N$3,SUMIF('TL14'!$C$238:$C$451,$C387,'TL14'!$J$238:$J$451),0),
IF('TL15'!$B$3=N$3,SUMIF('TL15'!$C$10:$C$224,$C387,'TL15'!$J$10:$J$224),0),
IF('TL15'!$B$229=N$3,SUMIF('TL15'!$C$238:$C$451,$C387,'TL15'!$J$238:$J$451),0),
IF('TL16'!$B$3=N$3,SUMIF('TL16'!$C$10:$C$224,$C387,'TL16'!$J$10:$J$224),0),
IF('TL16'!$B$229=N$3,SUMIF('TL16'!$C$238:$C$451,$C387,'TL16'!$J$238:$J$451),0),
IF('TL17'!$B$3=N$3,SUMIF('TL17'!$C$10:$C$224,$C387,'TL17'!$J$10:$J$224),0),
IF('TL17'!$B$229=N$3,SUMIF('TL17'!$C$238:$C$451,$C387,'TL17'!$J$238:$J$451),0),
IF('TL18'!$B$3=N$3,SUMIF('TL18'!$C$10:$C$224,$C387,'TL18'!$J$10:$J$224),0),
IF('TL18'!$B$229=N$3,SUMIF('TL18'!$C$238:$C$451,$C387,'TL18'!$J$238:$J$451),0),
IF('TL19'!$B$3=N$3,SUMIF('TL19'!$C$10:$C$224,$C387,'TL19'!$J$10:$J$224),0),
IF('TL19'!$B$229=N$3,SUMIF('TL19'!$C$238:$C$451,$C387,'TL19'!$J$238:$J$451),0)
),0)</f>
        <v/>
      </c>
      <c r="O387" s="9">
        <f>IFERROR(SUM(
IF('TL01'!$B$3=O$3,SUMIF('TL01'!$C$10:$C$224,$C387,'TL01'!$J$10:$J$224),0),
IF('TL01'!$B$229=O$3,SUMIF('TL01'!$C$238:$C$451,$C387,'TL01'!$J$238:$J$451),0),
IF('TL02'!$B$3=O$3,SUMIF('TL02'!$C$10:$C$224,$C387,'TL02'!$J$10:$J$224),0),
IF('TL02'!$B$229=O$3,SUMIF('TL02'!$C$238:$C$451,$C387,'TL02'!$J$238:$J$451),0),
IF('TL03'!$B$3=O$3,SUMIF('TL03'!$C$10:$C$224,$C387,'TL03'!$J$10:$J$224),0),
IF('TL03'!$B$229=O$3,SUMIF('TL03'!$C$238:$C$451,$C387,'TL03'!$J$238:$J$451),0),
IF('TL04'!$B$3=O$3,SUMIF('TL04'!$C$10:$C$224,$C387,'TL04'!$J$10:$J$224),0),
IF('TL04'!$B$229=O$3,SUMIF('TL04'!$C$238:$C$451,$C387,'TL04'!$J$238:$J$451),0),
IF('TL05'!$B$3=O$3,SUMIF('TL05'!$C$10:$C$224,$C387,'TL05'!$J$10:$J$224),0),
IF('TL05'!$B$229=O$3,SUMIF('TL05'!$C$238:$C$451,$C387,'TL05'!$J$238:$J$451),0),
IF('TL06'!$B$3=O$3,SUMIF('TL06'!$C$10:$C$224,$C387,'TL06'!$J$10:$J$224),0),
IF('TL06'!$B$229=O$3,SUMIF('TL06'!$C$238:$C$451,$C387,'TL06'!$J$238:$J$451),0),
IF('TL07'!$B$3=O$3,SUMIF('TL07'!$C$10:$C$224,$C387,'TL07'!$J$10:$J$224),0),
IF('TL07'!$B$229=O$3,SUMIF('TL07'!$C$238:$C$451,$C387,'TL07'!$J$238:$J$451),0),
IF('TL08'!$B$3=O$3,SUMIF('TL08'!$C$10:$C$224,$C387,'TL08'!$J$10:$J$224),0),
IF('TL08'!$B$229=O$3,SUMIF('TL08'!$C$238:$C$451,$C387,'TL08'!$J$238:$J$451),0),
IF('TL09'!$B$3=O$3,SUMIF('TL09'!$C$10:$C$224,$C387,'TL09'!$J$10:$J$224),0),
IF('TL09'!$B$229=O$3,SUMIF('TL09'!$C$238:$C$451,$C387,'TL09'!$J$238:$J$451),0),
IF('TL10'!$B$3=O$3,SUMIF('TL10'!$C$10:$C$224,$C387,'TL10'!$J$10:$J$224),0),
IF('TL10'!$B$229=O$3,SUMIF('TL10'!$C$238:$C$451,$C387,'TL10'!$J$238:$J$451),0),
IF('TL11'!$B$3=O$3,SUMIF('TL11'!$C$10:$C$224,$C387,'TL11'!$J$10:$J$224),0),
IF('TL11'!$B$229=O$3,SUMIF('TL11'!$C$238:$C$451,$C387,'TL11'!$J$238:$J$451),0),
IF('TL12'!$B$3=O$3,SUMIF('TL12'!$C$10:$C$224,$C387,'TL12'!$J$10:$J$224),0),
IF('TL12'!$B$229=O$3,SUMIF('TL12'!$C$238:$C$451,$C387,'TL12'!$J$238:$J$451),0),
IF('TL13'!$B$3=O$3,SUMIF('TL13'!$C$10:$C$224,$C387,'TL13'!$J$10:$J$224),0),
IF('TL13'!$B$229=O$3,SUMIF('TL13'!$C$238:$C$451,$C387,'TL13'!$J$238:$J$451),0),
IF('TL14'!$B$3=O$3,SUMIF('TL14'!$C$10:$C$224,$C387,'TL14'!$J$10:$J$224),0),
IF('TL14'!$B$229=O$3,SUMIF('TL14'!$C$238:$C$451,$C387,'TL14'!$J$238:$J$451),0),
IF('TL15'!$B$3=O$3,SUMIF('TL15'!$C$10:$C$224,$C387,'TL15'!$J$10:$J$224),0),
IF('TL15'!$B$229=O$3,SUMIF('TL15'!$C$238:$C$451,$C387,'TL15'!$J$238:$J$451),0),
IF('TL16'!$B$3=O$3,SUMIF('TL16'!$C$10:$C$224,$C387,'TL16'!$J$10:$J$224),0),
IF('TL16'!$B$229=O$3,SUMIF('TL16'!$C$238:$C$451,$C387,'TL16'!$J$238:$J$451),0),
IF('TL17'!$B$3=O$3,SUMIF('TL17'!$C$10:$C$224,$C387,'TL17'!$J$10:$J$224),0),
IF('TL17'!$B$229=O$3,SUMIF('TL17'!$C$238:$C$451,$C387,'TL17'!$J$238:$J$451),0),
IF('TL18'!$B$3=O$3,SUMIF('TL18'!$C$10:$C$224,$C387,'TL18'!$J$10:$J$224),0),
IF('TL18'!$B$229=O$3,SUMIF('TL18'!$C$238:$C$451,$C387,'TL18'!$J$238:$J$451),0),
IF('TL19'!$B$3=O$3,SUMIF('TL19'!$C$10:$C$224,$C387,'TL19'!$J$10:$J$224),0),
IF('TL19'!$B$229=O$3,SUMIF('TL19'!$C$238:$C$451,$C387,'TL19'!$J$238:$J$451),0)
),0)</f>
        <v/>
      </c>
      <c r="P387" s="9">
        <f>IFERROR(SUM(
IF('TL01'!$B$3=P$3,SUMIF('TL01'!$C$10:$C$224,$C387,'TL01'!$J$10:$J$224),0),
IF('TL01'!$B$229=P$3,SUMIF('TL01'!$C$238:$C$451,$C387,'TL01'!$J$238:$J$451),0),
IF('TL02'!$B$3=P$3,SUMIF('TL02'!$C$10:$C$224,$C387,'TL02'!$J$10:$J$224),0),
IF('TL02'!$B$229=P$3,SUMIF('TL02'!$C$238:$C$451,$C387,'TL02'!$J$238:$J$451),0),
IF('TL03'!$B$3=P$3,SUMIF('TL03'!$C$10:$C$224,$C387,'TL03'!$J$10:$J$224),0),
IF('TL03'!$B$229=P$3,SUMIF('TL03'!$C$238:$C$451,$C387,'TL03'!$J$238:$J$451),0),
IF('TL04'!$B$3=P$3,SUMIF('TL04'!$C$10:$C$224,$C387,'TL04'!$J$10:$J$224),0),
IF('TL04'!$B$229=P$3,SUMIF('TL04'!$C$238:$C$451,$C387,'TL04'!$J$238:$J$451),0),
IF('TL05'!$B$3=P$3,SUMIF('TL05'!$C$10:$C$224,$C387,'TL05'!$J$10:$J$224),0),
IF('TL05'!$B$229=P$3,SUMIF('TL05'!$C$238:$C$451,$C387,'TL05'!$J$238:$J$451),0),
IF('TL06'!$B$3=P$3,SUMIF('TL06'!$C$10:$C$224,$C387,'TL06'!$J$10:$J$224),0),
IF('TL06'!$B$229=P$3,SUMIF('TL06'!$C$238:$C$451,$C387,'TL06'!$J$238:$J$451),0),
IF('TL07'!$B$3=P$3,SUMIF('TL07'!$C$10:$C$224,$C387,'TL07'!$J$10:$J$224),0),
IF('TL07'!$B$229=P$3,SUMIF('TL07'!$C$238:$C$451,$C387,'TL07'!$J$238:$J$451),0),
IF('TL08'!$B$3=P$3,SUMIF('TL08'!$C$10:$C$224,$C387,'TL08'!$J$10:$J$224),0),
IF('TL08'!$B$229=P$3,SUMIF('TL08'!$C$238:$C$451,$C387,'TL08'!$J$238:$J$451),0),
IF('TL09'!$B$3=P$3,SUMIF('TL09'!$C$10:$C$224,$C387,'TL09'!$J$10:$J$224),0),
IF('TL09'!$B$229=P$3,SUMIF('TL09'!$C$238:$C$451,$C387,'TL09'!$J$238:$J$451),0),
IF('TL10'!$B$3=P$3,SUMIF('TL10'!$C$10:$C$224,$C387,'TL10'!$J$10:$J$224),0),
IF('TL10'!$B$229=P$3,SUMIF('TL10'!$C$238:$C$451,$C387,'TL10'!$J$238:$J$451),0),
IF('TL11'!$B$3=P$3,SUMIF('TL11'!$C$10:$C$224,$C387,'TL11'!$J$10:$J$224),0),
IF('TL11'!$B$229=P$3,SUMIF('TL11'!$C$238:$C$451,$C387,'TL11'!$J$238:$J$451),0),
IF('TL12'!$B$3=P$3,SUMIF('TL12'!$C$10:$C$224,$C387,'TL12'!$J$10:$J$224),0),
IF('TL12'!$B$229=P$3,SUMIF('TL12'!$C$238:$C$451,$C387,'TL12'!$J$238:$J$451),0),
IF('TL13'!$B$3=P$3,SUMIF('TL13'!$C$10:$C$224,$C387,'TL13'!$J$10:$J$224),0),
IF('TL13'!$B$229=P$3,SUMIF('TL13'!$C$238:$C$451,$C387,'TL13'!$J$238:$J$451),0),
IF('TL14'!$B$3=P$3,SUMIF('TL14'!$C$10:$C$224,$C387,'TL14'!$J$10:$J$224),0),
IF('TL14'!$B$229=P$3,SUMIF('TL14'!$C$238:$C$451,$C387,'TL14'!$J$238:$J$451),0),
IF('TL15'!$B$3=P$3,SUMIF('TL15'!$C$10:$C$224,$C387,'TL15'!$J$10:$J$224),0),
IF('TL15'!$B$229=P$3,SUMIF('TL15'!$C$238:$C$451,$C387,'TL15'!$J$238:$J$451),0),
IF('TL16'!$B$3=P$3,SUMIF('TL16'!$C$10:$C$224,$C387,'TL16'!$J$10:$J$224),0),
IF('TL16'!$B$229=P$3,SUMIF('TL16'!$C$238:$C$451,$C387,'TL16'!$J$238:$J$451),0),
IF('TL17'!$B$3=P$3,SUMIF('TL17'!$C$10:$C$224,$C387,'TL17'!$J$10:$J$224),0),
IF('TL17'!$B$229=P$3,SUMIF('TL17'!$C$238:$C$451,$C387,'TL17'!$J$238:$J$451),0),
IF('TL18'!$B$3=P$3,SUMIF('TL18'!$C$10:$C$224,$C387,'TL18'!$J$10:$J$224),0),
IF('TL18'!$B$229=P$3,SUMIF('TL18'!$C$238:$C$451,$C387,'TL18'!$J$238:$J$451),0),
IF('TL19'!$B$3=P$3,SUMIF('TL19'!$C$10:$C$224,$C387,'TL19'!$J$10:$J$224),0),
IF('TL19'!$B$229=P$3,SUMIF('TL19'!$C$238:$C$451,$C387,'TL19'!$J$238:$J$451),0)
),0)</f>
        <v/>
      </c>
      <c r="Q387" s="9">
        <f>IFERROR(SUM(
IF('TL01'!$B$3=Q$3,SUMIF('TL01'!$C$10:$C$224,$C387,'TL01'!$J$10:$J$224),0),
IF('TL01'!$B$229=Q$3,SUMIF('TL01'!$C$238:$C$451,$C387,'TL01'!$J$238:$J$451),0),
IF('TL02'!$B$3=Q$3,SUMIF('TL02'!$C$10:$C$224,$C387,'TL02'!$J$10:$J$224),0),
IF('TL02'!$B$229=Q$3,SUMIF('TL02'!$C$238:$C$451,$C387,'TL02'!$J$238:$J$451),0),
IF('TL03'!$B$3=Q$3,SUMIF('TL03'!$C$10:$C$224,$C387,'TL03'!$J$10:$J$224),0),
IF('TL03'!$B$229=Q$3,SUMIF('TL03'!$C$238:$C$451,$C387,'TL03'!$J$238:$J$451),0),
IF('TL04'!$B$3=Q$3,SUMIF('TL04'!$C$10:$C$224,$C387,'TL04'!$J$10:$J$224),0),
IF('TL04'!$B$229=Q$3,SUMIF('TL04'!$C$238:$C$451,$C387,'TL04'!$J$238:$J$451),0),
IF('TL05'!$B$3=Q$3,SUMIF('TL05'!$C$10:$C$224,$C387,'TL05'!$J$10:$J$224),0),
IF('TL05'!$B$229=Q$3,SUMIF('TL05'!$C$238:$C$451,$C387,'TL05'!$J$238:$J$451),0),
IF('TL06'!$B$3=Q$3,SUMIF('TL06'!$C$10:$C$224,$C387,'TL06'!$J$10:$J$224),0),
IF('TL06'!$B$229=Q$3,SUMIF('TL06'!$C$238:$C$451,$C387,'TL06'!$J$238:$J$451),0),
IF('TL07'!$B$3=Q$3,SUMIF('TL07'!$C$10:$C$224,$C387,'TL07'!$J$10:$J$224),0),
IF('TL07'!$B$229=Q$3,SUMIF('TL07'!$C$238:$C$451,$C387,'TL07'!$J$238:$J$451),0),
IF('TL08'!$B$3=Q$3,SUMIF('TL08'!$C$10:$C$224,$C387,'TL08'!$J$10:$J$224),0),
IF('TL08'!$B$229=Q$3,SUMIF('TL08'!$C$238:$C$451,$C387,'TL08'!$J$238:$J$451),0),
IF('TL09'!$B$3=Q$3,SUMIF('TL09'!$C$10:$C$224,$C387,'TL09'!$J$10:$J$224),0),
IF('TL09'!$B$229=Q$3,SUMIF('TL09'!$C$238:$C$451,$C387,'TL09'!$J$238:$J$451),0),
IF('TL10'!$B$3=Q$3,SUMIF('TL10'!$C$10:$C$224,$C387,'TL10'!$J$10:$J$224),0),
IF('TL10'!$B$229=Q$3,SUMIF('TL10'!$C$238:$C$451,$C387,'TL10'!$J$238:$J$451),0),
IF('TL11'!$B$3=Q$3,SUMIF('TL11'!$C$10:$C$224,$C387,'TL11'!$J$10:$J$224),0),
IF('TL11'!$B$229=Q$3,SUMIF('TL11'!$C$238:$C$451,$C387,'TL11'!$J$238:$J$451),0),
IF('TL12'!$B$3=Q$3,SUMIF('TL12'!$C$10:$C$224,$C387,'TL12'!$J$10:$J$224),0),
IF('TL12'!$B$229=Q$3,SUMIF('TL12'!$C$238:$C$451,$C387,'TL12'!$J$238:$J$451),0),
IF('TL13'!$B$3=Q$3,SUMIF('TL13'!$C$10:$C$224,$C387,'TL13'!$J$10:$J$224),0),
IF('TL13'!$B$229=Q$3,SUMIF('TL13'!$C$238:$C$451,$C387,'TL13'!$J$238:$J$451),0),
IF('TL14'!$B$3=Q$3,SUMIF('TL14'!$C$10:$C$224,$C387,'TL14'!$J$10:$J$224),0),
IF('TL14'!$B$229=Q$3,SUMIF('TL14'!$C$238:$C$451,$C387,'TL14'!$J$238:$J$451),0),
IF('TL15'!$B$3=Q$3,SUMIF('TL15'!$C$10:$C$224,$C387,'TL15'!$J$10:$J$224),0),
IF('TL15'!$B$229=Q$3,SUMIF('TL15'!$C$238:$C$451,$C387,'TL15'!$J$238:$J$451),0),
IF('TL16'!$B$3=Q$3,SUMIF('TL16'!$C$10:$C$224,$C387,'TL16'!$J$10:$J$224),0),
IF('TL16'!$B$229=Q$3,SUMIF('TL16'!$C$238:$C$451,$C387,'TL16'!$J$238:$J$451),0),
IF('TL17'!$B$3=Q$3,SUMIF('TL17'!$C$10:$C$224,$C387,'TL17'!$J$10:$J$224),0),
IF('TL17'!$B$229=Q$3,SUMIF('TL17'!$C$238:$C$451,$C387,'TL17'!$J$238:$J$451),0),
IF('TL18'!$B$3=Q$3,SUMIF('TL18'!$C$10:$C$224,$C387,'TL18'!$J$10:$J$224),0),
IF('TL18'!$B$229=Q$3,SUMIF('TL18'!$C$238:$C$451,$C387,'TL18'!$J$238:$J$451),0),
IF('TL19'!$B$3=Q$3,SUMIF('TL19'!$C$10:$C$224,$C387,'TL19'!$J$10:$J$224),0),
IF('TL19'!$B$229=Q$3,SUMIF('TL19'!$C$238:$C$451,$C387,'TL19'!$J$238:$J$451),0)
),0)</f>
        <v/>
      </c>
      <c r="R387" s="9">
        <f>IFERROR(
SUM(
SUMIF('TL01'!C:C,C387,'TL01'!J:J),
SUMIF('TL02'!C:C,C387,'TL02'!J:J),
SUMIF('TL03'!C:C,C387,'TL03'!J:J),
SUMIF('TL04'!C:C,C387,'TL04'!J:J),
SUMIF('TL05'!C:C,C387,'TL05'!J:J),
SUMIF('TL06'!C:C,C387,'TL06'!J:J),
SUMIF('TL07'!C:C,C387,'TL07'!J:J),
SUMIF('TL08'!C:C,C387,'TL08'!J:J),
SUMIF('TL09'!C:C,C387,'TL09'!J:J),
SUMIF('TL10'!C:C,C387,'TL10'!J:J),
SUMIF('TL11'!C:C,C387,'TL11'!J:J),
SUMIF('TL12'!C:C,C387,'TL12'!J:J),
SUMIF('TL13'!C:C,C387,'TL13'!J:J),
SUMIF('TL14'!C:C,C387,'TL14'!J:J),
SUMIF('TL15'!C:C,C387,'TL15'!J:J),
SUMIF('TL16'!C:C,C387,'TL16'!J:J),
SUMIF('TL17'!C:C,C387,'TL17'!J:J),
SUMIF('TL18'!C:C,C387,'TL18'!J:J),SUMIF('TL19'!C:C,C387,'TL19'!J:J))
,0)</f>
        <v/>
      </c>
      <c r="S387" s="17">
        <f>IFERROR(__xludf.DUMMYFUNCTION("IFERROR(VLOOKUP(C387,
IMPORTRANGE(""1wULbzX32WdYsx-lj2U3uUNBBe2INVIRDtcK0d-Dvl90"",
""26-27!C:G""),
5,
FALSE),
"""")"),4.63)</f>
        <v/>
      </c>
      <c r="T387" s="9" t="n"/>
      <c r="U387" s="92">
        <f>MAX(0,R387-T387)</f>
        <v/>
      </c>
      <c r="V387" s="93">
        <f>U387*S387</f>
        <v/>
      </c>
    </row>
    <row r="388" hidden="1" ht="15.75" customHeight="1" s="297">
      <c r="A388" s="4" t="inlineStr">
        <is>
          <t>SOLUBIO</t>
        </is>
      </c>
      <c r="B388" s="4" t="inlineStr">
        <is>
          <t>BIOLÓGICOS</t>
        </is>
      </c>
      <c r="C388" s="131" t="inlineStr">
        <is>
          <t>Bio Balance Kit On-farm</t>
        </is>
      </c>
      <c r="D388" s="127" t="inlineStr">
        <is>
          <t>Kit On-farm</t>
        </is>
      </c>
      <c r="E388" s="9" t="n"/>
      <c r="F388" s="4" t="n"/>
      <c r="G388" s="90">
        <f>HYPERLINK("https://www.google.com/search?q=" &amp; C388 &amp; "+bula+agrofit+pdf", "📄 Ver bula")</f>
        <v/>
      </c>
      <c r="H388" s="9" t="n"/>
      <c r="I388" s="1" t="n"/>
      <c r="J388" s="9">
        <f>IFERROR(SUM(
IF('TL01'!$B$3=J$3,SUMIF('TL01'!$C$10:$C$224,$C388,'TL01'!$J$10:$J$224),0),
IF('TL01'!$B$229=J$3,SUMIF('TL01'!$C$238:$C$451,$C388,'TL01'!$J$238:$J$451),0),
IF('TL02'!$B$3=J$3,SUMIF('TL02'!$C$10:$C$224,$C388,'TL02'!$J$10:$J$224),0),
IF('TL02'!$B$229=J$3,SUMIF('TL02'!$C$238:$C$451,$C388,'TL02'!$J$238:$J$451),0),
IF('TL03'!$B$3=J$3,SUMIF('TL03'!$C$10:$C$224,$C388,'TL03'!$J$10:$J$224),0),
IF('TL03'!$B$229=J$3,SUMIF('TL03'!$C$238:$C$451,$C388,'TL03'!$J$238:$J$451),0),
IF('TL04'!$B$3=J$3,SUMIF('TL04'!$C$10:$C$224,$C388,'TL04'!$J$10:$J$224),0),
IF('TL04'!$B$229=J$3,SUMIF('TL04'!$C$238:$C$451,$C388,'TL04'!$J$238:$J$451),0),
IF('TL05'!$B$3=J$3,SUMIF('TL05'!$C$10:$C$224,$C388,'TL05'!$J$10:$J$224),0),
IF('TL05'!$B$229=J$3,SUMIF('TL05'!$C$238:$C$451,$C388,'TL05'!$J$238:$J$451),0),
IF('TL06'!$B$3=J$3,SUMIF('TL06'!$C$10:$C$224,$C388,'TL06'!$J$10:$J$224),0),
IF('TL06'!$B$229=J$3,SUMIF('TL06'!$C$238:$C$451,$C388,'TL06'!$J$238:$J$451),0),
IF('TL07'!$B$3=J$3,SUMIF('TL07'!$C$10:$C$224,$C388,'TL07'!$J$10:$J$224),0),
IF('TL07'!$B$229=J$3,SUMIF('TL07'!$C$238:$C$451,$C388,'TL07'!$J$238:$J$451),0),
IF('TL08'!$B$3=J$3,SUMIF('TL08'!$C$10:$C$224,$C388,'TL08'!$J$10:$J$224),0),
IF('TL08'!$B$229=J$3,SUMIF('TL08'!$C$238:$C$451,$C388,'TL08'!$J$238:$J$451),0),
IF('TL09'!$B$3=J$3,SUMIF('TL09'!$C$10:$C$224,$C388,'TL09'!$J$10:$J$224),0),
IF('TL09'!$B$229=J$3,SUMIF('TL09'!$C$238:$C$451,$C388,'TL09'!$J$238:$J$451),0),
IF('TL10'!$B$3=J$3,SUMIF('TL10'!$C$10:$C$224,$C388,'TL10'!$J$10:$J$224),0),
IF('TL10'!$B$229=J$3,SUMIF('TL10'!$C$238:$C$451,$C388,'TL10'!$J$238:$J$451),0),
IF('TL11'!$B$3=J$3,SUMIF('TL11'!$C$10:$C$224,$C388,'TL11'!$J$10:$J$224),0),
IF('TL11'!$B$229=J$3,SUMIF('TL11'!$C$238:$C$451,$C388,'TL11'!$J$238:$J$451),0),
IF('TL12'!$B$3=J$3,SUMIF('TL12'!$C$10:$C$224,$C388,'TL12'!$J$10:$J$224),0),
IF('TL12'!$B$229=J$3,SUMIF('TL12'!$C$238:$C$451,$C388,'TL12'!$J$238:$J$451),0),
IF('TL13'!$B$3=J$3,SUMIF('TL13'!$C$10:$C$224,$C388,'TL13'!$J$10:$J$224),0),
IF('TL13'!$B$229=J$3,SUMIF('TL13'!$C$238:$C$451,$C388,'TL13'!$J$238:$J$451),0),
IF('TL14'!$B$3=J$3,SUMIF('TL14'!$C$10:$C$224,$C388,'TL14'!$J$10:$J$224),0),
IF('TL14'!$B$229=J$3,SUMIF('TL14'!$C$238:$C$451,$C388,'TL14'!$J$238:$J$451),0),
IF('TL15'!$B$3=J$3,SUMIF('TL15'!$C$10:$C$224,$C388,'TL15'!$J$10:$J$224),0),
IF('TL15'!$B$229=J$3,SUMIF('TL15'!$C$238:$C$451,$C388,'TL15'!$J$238:$J$451),0),
IF('TL16'!$B$3=J$3,SUMIF('TL16'!$C$10:$C$224,$C388,'TL16'!$J$10:$J$224),0),
IF('TL16'!$B$229=J$3,SUMIF('TL16'!$C$238:$C$451,$C388,'TL16'!$J$238:$J$451),0),
IF('TL17'!$B$3=J$3,SUMIF('TL17'!$C$10:$C$224,$C388,'TL17'!$J$10:$J$224),0),
IF('TL17'!$B$229=J$3,SUMIF('TL17'!$C$238:$C$451,$C388,'TL17'!$J$238:$J$451),0),
IF('TL18'!$B$3=J$3,SUMIF('TL18'!$C$10:$C$224,$C388,'TL18'!$J$10:$J$224),0),
IF('TL18'!$B$229=J$3,SUMIF('TL18'!$C$238:$C$451,$C388,'TL18'!$J$238:$J$451),0),
IF('TL19'!$B$3=J$3,SUMIF('TL19'!$C$10:$C$224,$C388,'TL19'!$J$10:$J$224),0),
IF('TL19'!$B$229=J$3,SUMIF('TL19'!$C$238:$C$451,$C388,'TL19'!$J$238:$J$451),0)
),0)</f>
        <v/>
      </c>
      <c r="K388" s="9">
        <f>IFERROR(SUM(
IF('TL01'!$B$3=K$3,SUMIF('TL01'!$C$10:$C$224,$C388,'TL01'!$J$10:$J$224),0),
IF('TL01'!$B$229=K$3,SUMIF('TL01'!$C$238:$C$451,$C388,'TL01'!$J$238:$J$451),0),
IF('TL02'!$B$3=K$3,SUMIF('TL02'!$C$10:$C$224,$C388,'TL02'!$J$10:$J$224),0),
IF('TL02'!$B$229=K$3,SUMIF('TL02'!$C$238:$C$451,$C388,'TL02'!$J$238:$J$451),0),
IF('TL03'!$B$3=K$3,SUMIF('TL03'!$C$10:$C$224,$C388,'TL03'!$J$10:$J$224),0),
IF('TL03'!$B$229=K$3,SUMIF('TL03'!$C$238:$C$451,$C388,'TL03'!$J$238:$J$451),0),
IF('TL04'!$B$3=K$3,SUMIF('TL04'!$C$10:$C$224,$C388,'TL04'!$J$10:$J$224),0),
IF('TL04'!$B$229=K$3,SUMIF('TL04'!$C$238:$C$451,$C388,'TL04'!$J$238:$J$451),0),
IF('TL05'!$B$3=K$3,SUMIF('TL05'!$C$10:$C$224,$C388,'TL05'!$J$10:$J$224),0),
IF('TL05'!$B$229=K$3,SUMIF('TL05'!$C$238:$C$451,$C388,'TL05'!$J$238:$J$451),0),
IF('TL06'!$B$3=K$3,SUMIF('TL06'!$C$10:$C$224,$C388,'TL06'!$J$10:$J$224),0),
IF('TL06'!$B$229=K$3,SUMIF('TL06'!$C$238:$C$451,$C388,'TL06'!$J$238:$J$451),0),
IF('TL07'!$B$3=K$3,SUMIF('TL07'!$C$10:$C$224,$C388,'TL07'!$J$10:$J$224),0),
IF('TL07'!$B$229=K$3,SUMIF('TL07'!$C$238:$C$451,$C388,'TL07'!$J$238:$J$451),0),
IF('TL08'!$B$3=K$3,SUMIF('TL08'!$C$10:$C$224,$C388,'TL08'!$J$10:$J$224),0),
IF('TL08'!$B$229=K$3,SUMIF('TL08'!$C$238:$C$451,$C388,'TL08'!$J$238:$J$451),0),
IF('TL09'!$B$3=K$3,SUMIF('TL09'!$C$10:$C$224,$C388,'TL09'!$J$10:$J$224),0),
IF('TL09'!$B$229=K$3,SUMIF('TL09'!$C$238:$C$451,$C388,'TL09'!$J$238:$J$451),0),
IF('TL10'!$B$3=K$3,SUMIF('TL10'!$C$10:$C$224,$C388,'TL10'!$J$10:$J$224),0),
IF('TL10'!$B$229=K$3,SUMIF('TL10'!$C$238:$C$451,$C388,'TL10'!$J$238:$J$451),0),
IF('TL11'!$B$3=K$3,SUMIF('TL11'!$C$10:$C$224,$C388,'TL11'!$J$10:$J$224),0),
IF('TL11'!$B$229=K$3,SUMIF('TL11'!$C$238:$C$451,$C388,'TL11'!$J$238:$J$451),0),
IF('TL12'!$B$3=K$3,SUMIF('TL12'!$C$10:$C$224,$C388,'TL12'!$J$10:$J$224),0),
IF('TL12'!$B$229=K$3,SUMIF('TL12'!$C$238:$C$451,$C388,'TL12'!$J$238:$J$451),0),
IF('TL13'!$B$3=K$3,SUMIF('TL13'!$C$10:$C$224,$C388,'TL13'!$J$10:$J$224),0),
IF('TL13'!$B$229=K$3,SUMIF('TL13'!$C$238:$C$451,$C388,'TL13'!$J$238:$J$451),0),
IF('TL14'!$B$3=K$3,SUMIF('TL14'!$C$10:$C$224,$C388,'TL14'!$J$10:$J$224),0),
IF('TL14'!$B$229=K$3,SUMIF('TL14'!$C$238:$C$451,$C388,'TL14'!$J$238:$J$451),0),
IF('TL15'!$B$3=K$3,SUMIF('TL15'!$C$10:$C$224,$C388,'TL15'!$J$10:$J$224),0),
IF('TL15'!$B$229=K$3,SUMIF('TL15'!$C$238:$C$451,$C388,'TL15'!$J$238:$J$451),0),
IF('TL16'!$B$3=K$3,SUMIF('TL16'!$C$10:$C$224,$C388,'TL16'!$J$10:$J$224),0),
IF('TL16'!$B$229=K$3,SUMIF('TL16'!$C$238:$C$451,$C388,'TL16'!$J$238:$J$451),0),
IF('TL17'!$B$3=K$3,SUMIF('TL17'!$C$10:$C$224,$C388,'TL17'!$J$10:$J$224),0),
IF('TL17'!$B$229=K$3,SUMIF('TL17'!$C$238:$C$451,$C388,'TL17'!$J$238:$J$451),0),
IF('TL18'!$B$3=K$3,SUMIF('TL18'!$C$10:$C$224,$C388,'TL18'!$J$10:$J$224),0),
IF('TL18'!$B$229=K$3,SUMIF('TL18'!$C$238:$C$451,$C388,'TL18'!$J$238:$J$451),0),
IF('TL19'!$B$3=K$3,SUMIF('TL19'!$C$10:$C$224,$C388,'TL19'!$J$10:$J$224),0),
IF('TL19'!$B$229=K$3,SUMIF('TL19'!$C$238:$C$451,$C388,'TL19'!$J$238:$J$451),0)
),0)</f>
        <v/>
      </c>
      <c r="L388" s="9">
        <f>IFERROR(SUM(
IF('TL01'!$B$3=L$3,SUMIF('TL01'!$C$10:$C$224,$C388,'TL01'!$J$10:$J$224),0),
IF('TL01'!$B$229=L$3,SUMIF('TL01'!$C$238:$C$451,$C388,'TL01'!$J$238:$J$451),0),
IF('TL02'!$B$3=L$3,SUMIF('TL02'!$C$10:$C$224,$C388,'TL02'!$J$10:$J$224),0),
IF('TL02'!$B$229=L$3,SUMIF('TL02'!$C$238:$C$451,$C388,'TL02'!$J$238:$J$451),0),
IF('TL03'!$B$3=L$3,SUMIF('TL03'!$C$10:$C$224,$C388,'TL03'!$J$10:$J$224),0),
IF('TL03'!$B$229=L$3,SUMIF('TL03'!$C$238:$C$451,$C388,'TL03'!$J$238:$J$451),0),
IF('TL04'!$B$3=L$3,SUMIF('TL04'!$C$10:$C$224,$C388,'TL04'!$J$10:$J$224),0),
IF('TL04'!$B$229=L$3,SUMIF('TL04'!$C$238:$C$451,$C388,'TL04'!$J$238:$J$451),0),
IF('TL05'!$B$3=L$3,SUMIF('TL05'!$C$10:$C$224,$C388,'TL05'!$J$10:$J$224),0),
IF('TL05'!$B$229=L$3,SUMIF('TL05'!$C$238:$C$451,$C388,'TL05'!$J$238:$J$451),0),
IF('TL06'!$B$3=L$3,SUMIF('TL06'!$C$10:$C$224,$C388,'TL06'!$J$10:$J$224),0),
IF('TL06'!$B$229=L$3,SUMIF('TL06'!$C$238:$C$451,$C388,'TL06'!$J$238:$J$451),0),
IF('TL07'!$B$3=L$3,SUMIF('TL07'!$C$10:$C$224,$C388,'TL07'!$J$10:$J$224),0),
IF('TL07'!$B$229=L$3,SUMIF('TL07'!$C$238:$C$451,$C388,'TL07'!$J$238:$J$451),0),
IF('TL08'!$B$3=L$3,SUMIF('TL08'!$C$10:$C$224,$C388,'TL08'!$J$10:$J$224),0),
IF('TL08'!$B$229=L$3,SUMIF('TL08'!$C$238:$C$451,$C388,'TL08'!$J$238:$J$451),0),
IF('TL09'!$B$3=L$3,SUMIF('TL09'!$C$10:$C$224,$C388,'TL09'!$J$10:$J$224),0),
IF('TL09'!$B$229=L$3,SUMIF('TL09'!$C$238:$C$451,$C388,'TL09'!$J$238:$J$451),0),
IF('TL10'!$B$3=L$3,SUMIF('TL10'!$C$10:$C$224,$C388,'TL10'!$J$10:$J$224),0),
IF('TL10'!$B$229=L$3,SUMIF('TL10'!$C$238:$C$451,$C388,'TL10'!$J$238:$J$451),0),
IF('TL11'!$B$3=L$3,SUMIF('TL11'!$C$10:$C$224,$C388,'TL11'!$J$10:$J$224),0),
IF('TL11'!$B$229=L$3,SUMIF('TL11'!$C$238:$C$451,$C388,'TL11'!$J$238:$J$451),0),
IF('TL12'!$B$3=L$3,SUMIF('TL12'!$C$10:$C$224,$C388,'TL12'!$J$10:$J$224),0),
IF('TL12'!$B$229=L$3,SUMIF('TL12'!$C$238:$C$451,$C388,'TL12'!$J$238:$J$451),0),
IF('TL13'!$B$3=L$3,SUMIF('TL13'!$C$10:$C$224,$C388,'TL13'!$J$10:$J$224),0),
IF('TL13'!$B$229=L$3,SUMIF('TL13'!$C$238:$C$451,$C388,'TL13'!$J$238:$J$451),0),
IF('TL14'!$B$3=L$3,SUMIF('TL14'!$C$10:$C$224,$C388,'TL14'!$J$10:$J$224),0),
IF('TL14'!$B$229=L$3,SUMIF('TL14'!$C$238:$C$451,$C388,'TL14'!$J$238:$J$451),0),
IF('TL15'!$B$3=L$3,SUMIF('TL15'!$C$10:$C$224,$C388,'TL15'!$J$10:$J$224),0),
IF('TL15'!$B$229=L$3,SUMIF('TL15'!$C$238:$C$451,$C388,'TL15'!$J$238:$J$451),0),
IF('TL16'!$B$3=L$3,SUMIF('TL16'!$C$10:$C$224,$C388,'TL16'!$J$10:$J$224),0),
IF('TL16'!$B$229=L$3,SUMIF('TL16'!$C$238:$C$451,$C388,'TL16'!$J$238:$J$451),0),
IF('TL17'!$B$3=L$3,SUMIF('TL17'!$C$10:$C$224,$C388,'TL17'!$J$10:$J$224),0),
IF('TL17'!$B$229=L$3,SUMIF('TL17'!$C$238:$C$451,$C388,'TL17'!$J$238:$J$451),0),
IF('TL18'!$B$3=L$3,SUMIF('TL18'!$C$10:$C$224,$C388,'TL18'!$J$10:$J$224),0),
IF('TL18'!$B$229=L$3,SUMIF('TL18'!$C$238:$C$451,$C388,'TL18'!$J$238:$J$451),0),
IF('TL19'!$B$3=L$3,SUMIF('TL19'!$C$10:$C$224,$C388,'TL19'!$J$10:$J$224),0),
IF('TL19'!$B$229=L$3,SUMIF('TL19'!$C$238:$C$451,$C388,'TL19'!$J$238:$J$451),0)
),0)</f>
        <v/>
      </c>
      <c r="M388" s="9">
        <f>IFERROR(SUM(
IF('TL01'!$B$3=M$3,SUMIF('TL01'!$C$10:$C$224,$C388,'TL01'!$J$10:$J$224),0),
IF('TL01'!$B$229=M$3,SUMIF('TL01'!$C$238:$C$451,$C388,'TL01'!$J$238:$J$451),0),
IF('TL02'!$B$3=M$3,SUMIF('TL02'!$C$10:$C$224,$C388,'TL02'!$J$10:$J$224),0),
IF('TL02'!$B$229=M$3,SUMIF('TL02'!$C$238:$C$451,$C388,'TL02'!$J$238:$J$451),0),
IF('TL03'!$B$3=M$3,SUMIF('TL03'!$C$10:$C$224,$C388,'TL03'!$J$10:$J$224),0),
IF('TL03'!$B$229=M$3,SUMIF('TL03'!$C$238:$C$451,$C388,'TL03'!$J$238:$J$451),0),
IF('TL04'!$B$3=M$3,SUMIF('TL04'!$C$10:$C$224,$C388,'TL04'!$J$10:$J$224),0),
IF('TL04'!$B$229=M$3,SUMIF('TL04'!$C$238:$C$451,$C388,'TL04'!$J$238:$J$451),0),
IF('TL05'!$B$3=M$3,SUMIF('TL05'!$C$10:$C$224,$C388,'TL05'!$J$10:$J$224),0),
IF('TL05'!$B$229=M$3,SUMIF('TL05'!$C$238:$C$451,$C388,'TL05'!$J$238:$J$451),0),
IF('TL06'!$B$3=M$3,SUMIF('TL06'!$C$10:$C$224,$C388,'TL06'!$J$10:$J$224),0),
IF('TL06'!$B$229=M$3,SUMIF('TL06'!$C$238:$C$451,$C388,'TL06'!$J$238:$J$451),0),
IF('TL07'!$B$3=M$3,SUMIF('TL07'!$C$10:$C$224,$C388,'TL07'!$J$10:$J$224),0),
IF('TL07'!$B$229=M$3,SUMIF('TL07'!$C$238:$C$451,$C388,'TL07'!$J$238:$J$451),0),
IF('TL08'!$B$3=M$3,SUMIF('TL08'!$C$10:$C$224,$C388,'TL08'!$J$10:$J$224),0),
IF('TL08'!$B$229=M$3,SUMIF('TL08'!$C$238:$C$451,$C388,'TL08'!$J$238:$J$451),0),
IF('TL09'!$B$3=M$3,SUMIF('TL09'!$C$10:$C$224,$C388,'TL09'!$J$10:$J$224),0),
IF('TL09'!$B$229=M$3,SUMIF('TL09'!$C$238:$C$451,$C388,'TL09'!$J$238:$J$451),0),
IF('TL10'!$B$3=M$3,SUMIF('TL10'!$C$10:$C$224,$C388,'TL10'!$J$10:$J$224),0),
IF('TL10'!$B$229=M$3,SUMIF('TL10'!$C$238:$C$451,$C388,'TL10'!$J$238:$J$451),0),
IF('TL11'!$B$3=M$3,SUMIF('TL11'!$C$10:$C$224,$C388,'TL11'!$J$10:$J$224),0),
IF('TL11'!$B$229=M$3,SUMIF('TL11'!$C$238:$C$451,$C388,'TL11'!$J$238:$J$451),0),
IF('TL12'!$B$3=M$3,SUMIF('TL12'!$C$10:$C$224,$C388,'TL12'!$J$10:$J$224),0),
IF('TL12'!$B$229=M$3,SUMIF('TL12'!$C$238:$C$451,$C388,'TL12'!$J$238:$J$451),0),
IF('TL13'!$B$3=M$3,SUMIF('TL13'!$C$10:$C$224,$C388,'TL13'!$J$10:$J$224),0),
IF('TL13'!$B$229=M$3,SUMIF('TL13'!$C$238:$C$451,$C388,'TL13'!$J$238:$J$451),0),
IF('TL14'!$B$3=M$3,SUMIF('TL14'!$C$10:$C$224,$C388,'TL14'!$J$10:$J$224),0),
IF('TL14'!$B$229=M$3,SUMIF('TL14'!$C$238:$C$451,$C388,'TL14'!$J$238:$J$451),0),
IF('TL15'!$B$3=M$3,SUMIF('TL15'!$C$10:$C$224,$C388,'TL15'!$J$10:$J$224),0),
IF('TL15'!$B$229=M$3,SUMIF('TL15'!$C$238:$C$451,$C388,'TL15'!$J$238:$J$451),0),
IF('TL16'!$B$3=M$3,SUMIF('TL16'!$C$10:$C$224,$C388,'TL16'!$J$10:$J$224),0),
IF('TL16'!$B$229=M$3,SUMIF('TL16'!$C$238:$C$451,$C388,'TL16'!$J$238:$J$451),0),
IF('TL17'!$B$3=M$3,SUMIF('TL17'!$C$10:$C$224,$C388,'TL17'!$J$10:$J$224),0),
IF('TL17'!$B$229=M$3,SUMIF('TL17'!$C$238:$C$451,$C388,'TL17'!$J$238:$J$451),0),
IF('TL18'!$B$3=M$3,SUMIF('TL18'!$C$10:$C$224,$C388,'TL18'!$J$10:$J$224),0),
IF('TL18'!$B$229=M$3,SUMIF('TL18'!$C$238:$C$451,$C388,'TL18'!$J$238:$J$451),0),
IF('TL19'!$B$3=M$3,SUMIF('TL19'!$C$10:$C$224,$C388,'TL19'!$J$10:$J$224),0),
IF('TL19'!$B$229=M$3,SUMIF('TL19'!$C$238:$C$451,$C388,'TL19'!$J$238:$J$451),0)
),0)</f>
        <v/>
      </c>
      <c r="N388" s="9">
        <f>IFERROR(SUM(
IF('TL01'!$B$3=N$3,SUMIF('TL01'!$C$10:$C$224,$C388,'TL01'!$J$10:$J$224),0),
IF('TL01'!$B$229=N$3,SUMIF('TL01'!$C$238:$C$451,$C388,'TL01'!$J$238:$J$451),0),
IF('TL02'!$B$3=N$3,SUMIF('TL02'!$C$10:$C$224,$C388,'TL02'!$J$10:$J$224),0),
IF('TL02'!$B$229=N$3,SUMIF('TL02'!$C$238:$C$451,$C388,'TL02'!$J$238:$J$451),0),
IF('TL03'!$B$3=N$3,SUMIF('TL03'!$C$10:$C$224,$C388,'TL03'!$J$10:$J$224),0),
IF('TL03'!$B$229=N$3,SUMIF('TL03'!$C$238:$C$451,$C388,'TL03'!$J$238:$J$451),0),
IF('TL04'!$B$3=N$3,SUMIF('TL04'!$C$10:$C$224,$C388,'TL04'!$J$10:$J$224),0),
IF('TL04'!$B$229=N$3,SUMIF('TL04'!$C$238:$C$451,$C388,'TL04'!$J$238:$J$451),0),
IF('TL05'!$B$3=N$3,SUMIF('TL05'!$C$10:$C$224,$C388,'TL05'!$J$10:$J$224),0),
IF('TL05'!$B$229=N$3,SUMIF('TL05'!$C$238:$C$451,$C388,'TL05'!$J$238:$J$451),0),
IF('TL06'!$B$3=N$3,SUMIF('TL06'!$C$10:$C$224,$C388,'TL06'!$J$10:$J$224),0),
IF('TL06'!$B$229=N$3,SUMIF('TL06'!$C$238:$C$451,$C388,'TL06'!$J$238:$J$451),0),
IF('TL07'!$B$3=N$3,SUMIF('TL07'!$C$10:$C$224,$C388,'TL07'!$J$10:$J$224),0),
IF('TL07'!$B$229=N$3,SUMIF('TL07'!$C$238:$C$451,$C388,'TL07'!$J$238:$J$451),0),
IF('TL08'!$B$3=N$3,SUMIF('TL08'!$C$10:$C$224,$C388,'TL08'!$J$10:$J$224),0),
IF('TL08'!$B$229=N$3,SUMIF('TL08'!$C$238:$C$451,$C388,'TL08'!$J$238:$J$451),0),
IF('TL09'!$B$3=N$3,SUMIF('TL09'!$C$10:$C$224,$C388,'TL09'!$J$10:$J$224),0),
IF('TL09'!$B$229=N$3,SUMIF('TL09'!$C$238:$C$451,$C388,'TL09'!$J$238:$J$451),0),
IF('TL10'!$B$3=N$3,SUMIF('TL10'!$C$10:$C$224,$C388,'TL10'!$J$10:$J$224),0),
IF('TL10'!$B$229=N$3,SUMIF('TL10'!$C$238:$C$451,$C388,'TL10'!$J$238:$J$451),0),
IF('TL11'!$B$3=N$3,SUMIF('TL11'!$C$10:$C$224,$C388,'TL11'!$J$10:$J$224),0),
IF('TL11'!$B$229=N$3,SUMIF('TL11'!$C$238:$C$451,$C388,'TL11'!$J$238:$J$451),0),
IF('TL12'!$B$3=N$3,SUMIF('TL12'!$C$10:$C$224,$C388,'TL12'!$J$10:$J$224),0),
IF('TL12'!$B$229=N$3,SUMIF('TL12'!$C$238:$C$451,$C388,'TL12'!$J$238:$J$451),0),
IF('TL13'!$B$3=N$3,SUMIF('TL13'!$C$10:$C$224,$C388,'TL13'!$J$10:$J$224),0),
IF('TL13'!$B$229=N$3,SUMIF('TL13'!$C$238:$C$451,$C388,'TL13'!$J$238:$J$451),0),
IF('TL14'!$B$3=N$3,SUMIF('TL14'!$C$10:$C$224,$C388,'TL14'!$J$10:$J$224),0),
IF('TL14'!$B$229=N$3,SUMIF('TL14'!$C$238:$C$451,$C388,'TL14'!$J$238:$J$451),0),
IF('TL15'!$B$3=N$3,SUMIF('TL15'!$C$10:$C$224,$C388,'TL15'!$J$10:$J$224),0),
IF('TL15'!$B$229=N$3,SUMIF('TL15'!$C$238:$C$451,$C388,'TL15'!$J$238:$J$451),0),
IF('TL16'!$B$3=N$3,SUMIF('TL16'!$C$10:$C$224,$C388,'TL16'!$J$10:$J$224),0),
IF('TL16'!$B$229=N$3,SUMIF('TL16'!$C$238:$C$451,$C388,'TL16'!$J$238:$J$451),0),
IF('TL17'!$B$3=N$3,SUMIF('TL17'!$C$10:$C$224,$C388,'TL17'!$J$10:$J$224),0),
IF('TL17'!$B$229=N$3,SUMIF('TL17'!$C$238:$C$451,$C388,'TL17'!$J$238:$J$451),0),
IF('TL18'!$B$3=N$3,SUMIF('TL18'!$C$10:$C$224,$C388,'TL18'!$J$10:$J$224),0),
IF('TL18'!$B$229=N$3,SUMIF('TL18'!$C$238:$C$451,$C388,'TL18'!$J$238:$J$451),0),
IF('TL19'!$B$3=N$3,SUMIF('TL19'!$C$10:$C$224,$C388,'TL19'!$J$10:$J$224),0),
IF('TL19'!$B$229=N$3,SUMIF('TL19'!$C$238:$C$451,$C388,'TL19'!$J$238:$J$451),0)
),0)</f>
        <v/>
      </c>
      <c r="O388" s="9">
        <f>IFERROR(SUM(
IF('TL01'!$B$3=O$3,SUMIF('TL01'!$C$10:$C$224,$C388,'TL01'!$J$10:$J$224),0),
IF('TL01'!$B$229=O$3,SUMIF('TL01'!$C$238:$C$451,$C388,'TL01'!$J$238:$J$451),0),
IF('TL02'!$B$3=O$3,SUMIF('TL02'!$C$10:$C$224,$C388,'TL02'!$J$10:$J$224),0),
IF('TL02'!$B$229=O$3,SUMIF('TL02'!$C$238:$C$451,$C388,'TL02'!$J$238:$J$451),0),
IF('TL03'!$B$3=O$3,SUMIF('TL03'!$C$10:$C$224,$C388,'TL03'!$J$10:$J$224),0),
IF('TL03'!$B$229=O$3,SUMIF('TL03'!$C$238:$C$451,$C388,'TL03'!$J$238:$J$451),0),
IF('TL04'!$B$3=O$3,SUMIF('TL04'!$C$10:$C$224,$C388,'TL04'!$J$10:$J$224),0),
IF('TL04'!$B$229=O$3,SUMIF('TL04'!$C$238:$C$451,$C388,'TL04'!$J$238:$J$451),0),
IF('TL05'!$B$3=O$3,SUMIF('TL05'!$C$10:$C$224,$C388,'TL05'!$J$10:$J$224),0),
IF('TL05'!$B$229=O$3,SUMIF('TL05'!$C$238:$C$451,$C388,'TL05'!$J$238:$J$451),0),
IF('TL06'!$B$3=O$3,SUMIF('TL06'!$C$10:$C$224,$C388,'TL06'!$J$10:$J$224),0),
IF('TL06'!$B$229=O$3,SUMIF('TL06'!$C$238:$C$451,$C388,'TL06'!$J$238:$J$451),0),
IF('TL07'!$B$3=O$3,SUMIF('TL07'!$C$10:$C$224,$C388,'TL07'!$J$10:$J$224),0),
IF('TL07'!$B$229=O$3,SUMIF('TL07'!$C$238:$C$451,$C388,'TL07'!$J$238:$J$451),0),
IF('TL08'!$B$3=O$3,SUMIF('TL08'!$C$10:$C$224,$C388,'TL08'!$J$10:$J$224),0),
IF('TL08'!$B$229=O$3,SUMIF('TL08'!$C$238:$C$451,$C388,'TL08'!$J$238:$J$451),0),
IF('TL09'!$B$3=O$3,SUMIF('TL09'!$C$10:$C$224,$C388,'TL09'!$J$10:$J$224),0),
IF('TL09'!$B$229=O$3,SUMIF('TL09'!$C$238:$C$451,$C388,'TL09'!$J$238:$J$451),0),
IF('TL10'!$B$3=O$3,SUMIF('TL10'!$C$10:$C$224,$C388,'TL10'!$J$10:$J$224),0),
IF('TL10'!$B$229=O$3,SUMIF('TL10'!$C$238:$C$451,$C388,'TL10'!$J$238:$J$451),0),
IF('TL11'!$B$3=O$3,SUMIF('TL11'!$C$10:$C$224,$C388,'TL11'!$J$10:$J$224),0),
IF('TL11'!$B$229=O$3,SUMIF('TL11'!$C$238:$C$451,$C388,'TL11'!$J$238:$J$451),0),
IF('TL12'!$B$3=O$3,SUMIF('TL12'!$C$10:$C$224,$C388,'TL12'!$J$10:$J$224),0),
IF('TL12'!$B$229=O$3,SUMIF('TL12'!$C$238:$C$451,$C388,'TL12'!$J$238:$J$451),0),
IF('TL13'!$B$3=O$3,SUMIF('TL13'!$C$10:$C$224,$C388,'TL13'!$J$10:$J$224),0),
IF('TL13'!$B$229=O$3,SUMIF('TL13'!$C$238:$C$451,$C388,'TL13'!$J$238:$J$451),0),
IF('TL14'!$B$3=O$3,SUMIF('TL14'!$C$10:$C$224,$C388,'TL14'!$J$10:$J$224),0),
IF('TL14'!$B$229=O$3,SUMIF('TL14'!$C$238:$C$451,$C388,'TL14'!$J$238:$J$451),0),
IF('TL15'!$B$3=O$3,SUMIF('TL15'!$C$10:$C$224,$C388,'TL15'!$J$10:$J$224),0),
IF('TL15'!$B$229=O$3,SUMIF('TL15'!$C$238:$C$451,$C388,'TL15'!$J$238:$J$451),0),
IF('TL16'!$B$3=O$3,SUMIF('TL16'!$C$10:$C$224,$C388,'TL16'!$J$10:$J$224),0),
IF('TL16'!$B$229=O$3,SUMIF('TL16'!$C$238:$C$451,$C388,'TL16'!$J$238:$J$451),0),
IF('TL17'!$B$3=O$3,SUMIF('TL17'!$C$10:$C$224,$C388,'TL17'!$J$10:$J$224),0),
IF('TL17'!$B$229=O$3,SUMIF('TL17'!$C$238:$C$451,$C388,'TL17'!$J$238:$J$451),0),
IF('TL18'!$B$3=O$3,SUMIF('TL18'!$C$10:$C$224,$C388,'TL18'!$J$10:$J$224),0),
IF('TL18'!$B$229=O$3,SUMIF('TL18'!$C$238:$C$451,$C388,'TL18'!$J$238:$J$451),0),
IF('TL19'!$B$3=O$3,SUMIF('TL19'!$C$10:$C$224,$C388,'TL19'!$J$10:$J$224),0),
IF('TL19'!$B$229=O$3,SUMIF('TL19'!$C$238:$C$451,$C388,'TL19'!$J$238:$J$451),0)
),0)</f>
        <v/>
      </c>
      <c r="P388" s="9">
        <f>IFERROR(SUM(
IF('TL01'!$B$3=P$3,SUMIF('TL01'!$C$10:$C$224,$C388,'TL01'!$J$10:$J$224),0),
IF('TL01'!$B$229=P$3,SUMIF('TL01'!$C$238:$C$451,$C388,'TL01'!$J$238:$J$451),0),
IF('TL02'!$B$3=P$3,SUMIF('TL02'!$C$10:$C$224,$C388,'TL02'!$J$10:$J$224),0),
IF('TL02'!$B$229=P$3,SUMIF('TL02'!$C$238:$C$451,$C388,'TL02'!$J$238:$J$451),0),
IF('TL03'!$B$3=P$3,SUMIF('TL03'!$C$10:$C$224,$C388,'TL03'!$J$10:$J$224),0),
IF('TL03'!$B$229=P$3,SUMIF('TL03'!$C$238:$C$451,$C388,'TL03'!$J$238:$J$451),0),
IF('TL04'!$B$3=P$3,SUMIF('TL04'!$C$10:$C$224,$C388,'TL04'!$J$10:$J$224),0),
IF('TL04'!$B$229=P$3,SUMIF('TL04'!$C$238:$C$451,$C388,'TL04'!$J$238:$J$451),0),
IF('TL05'!$B$3=P$3,SUMIF('TL05'!$C$10:$C$224,$C388,'TL05'!$J$10:$J$224),0),
IF('TL05'!$B$229=P$3,SUMIF('TL05'!$C$238:$C$451,$C388,'TL05'!$J$238:$J$451),0),
IF('TL06'!$B$3=P$3,SUMIF('TL06'!$C$10:$C$224,$C388,'TL06'!$J$10:$J$224),0),
IF('TL06'!$B$229=P$3,SUMIF('TL06'!$C$238:$C$451,$C388,'TL06'!$J$238:$J$451),0),
IF('TL07'!$B$3=P$3,SUMIF('TL07'!$C$10:$C$224,$C388,'TL07'!$J$10:$J$224),0),
IF('TL07'!$B$229=P$3,SUMIF('TL07'!$C$238:$C$451,$C388,'TL07'!$J$238:$J$451),0),
IF('TL08'!$B$3=P$3,SUMIF('TL08'!$C$10:$C$224,$C388,'TL08'!$J$10:$J$224),0),
IF('TL08'!$B$229=P$3,SUMIF('TL08'!$C$238:$C$451,$C388,'TL08'!$J$238:$J$451),0),
IF('TL09'!$B$3=P$3,SUMIF('TL09'!$C$10:$C$224,$C388,'TL09'!$J$10:$J$224),0),
IF('TL09'!$B$229=P$3,SUMIF('TL09'!$C$238:$C$451,$C388,'TL09'!$J$238:$J$451),0),
IF('TL10'!$B$3=P$3,SUMIF('TL10'!$C$10:$C$224,$C388,'TL10'!$J$10:$J$224),0),
IF('TL10'!$B$229=P$3,SUMIF('TL10'!$C$238:$C$451,$C388,'TL10'!$J$238:$J$451),0),
IF('TL11'!$B$3=P$3,SUMIF('TL11'!$C$10:$C$224,$C388,'TL11'!$J$10:$J$224),0),
IF('TL11'!$B$229=P$3,SUMIF('TL11'!$C$238:$C$451,$C388,'TL11'!$J$238:$J$451),0),
IF('TL12'!$B$3=P$3,SUMIF('TL12'!$C$10:$C$224,$C388,'TL12'!$J$10:$J$224),0),
IF('TL12'!$B$229=P$3,SUMIF('TL12'!$C$238:$C$451,$C388,'TL12'!$J$238:$J$451),0),
IF('TL13'!$B$3=P$3,SUMIF('TL13'!$C$10:$C$224,$C388,'TL13'!$J$10:$J$224),0),
IF('TL13'!$B$229=P$3,SUMIF('TL13'!$C$238:$C$451,$C388,'TL13'!$J$238:$J$451),0),
IF('TL14'!$B$3=P$3,SUMIF('TL14'!$C$10:$C$224,$C388,'TL14'!$J$10:$J$224),0),
IF('TL14'!$B$229=P$3,SUMIF('TL14'!$C$238:$C$451,$C388,'TL14'!$J$238:$J$451),0),
IF('TL15'!$B$3=P$3,SUMIF('TL15'!$C$10:$C$224,$C388,'TL15'!$J$10:$J$224),0),
IF('TL15'!$B$229=P$3,SUMIF('TL15'!$C$238:$C$451,$C388,'TL15'!$J$238:$J$451),0),
IF('TL16'!$B$3=P$3,SUMIF('TL16'!$C$10:$C$224,$C388,'TL16'!$J$10:$J$224),0),
IF('TL16'!$B$229=P$3,SUMIF('TL16'!$C$238:$C$451,$C388,'TL16'!$J$238:$J$451),0),
IF('TL17'!$B$3=P$3,SUMIF('TL17'!$C$10:$C$224,$C388,'TL17'!$J$10:$J$224),0),
IF('TL17'!$B$229=P$3,SUMIF('TL17'!$C$238:$C$451,$C388,'TL17'!$J$238:$J$451),0),
IF('TL18'!$B$3=P$3,SUMIF('TL18'!$C$10:$C$224,$C388,'TL18'!$J$10:$J$224),0),
IF('TL18'!$B$229=P$3,SUMIF('TL18'!$C$238:$C$451,$C388,'TL18'!$J$238:$J$451),0),
IF('TL19'!$B$3=P$3,SUMIF('TL19'!$C$10:$C$224,$C388,'TL19'!$J$10:$J$224),0),
IF('TL19'!$B$229=P$3,SUMIF('TL19'!$C$238:$C$451,$C388,'TL19'!$J$238:$J$451),0)
),0)</f>
        <v/>
      </c>
      <c r="Q388" s="9">
        <f>IFERROR(SUM(
IF('TL01'!$B$3=Q$3,SUMIF('TL01'!$C$10:$C$224,$C388,'TL01'!$J$10:$J$224),0),
IF('TL01'!$B$229=Q$3,SUMIF('TL01'!$C$238:$C$451,$C388,'TL01'!$J$238:$J$451),0),
IF('TL02'!$B$3=Q$3,SUMIF('TL02'!$C$10:$C$224,$C388,'TL02'!$J$10:$J$224),0),
IF('TL02'!$B$229=Q$3,SUMIF('TL02'!$C$238:$C$451,$C388,'TL02'!$J$238:$J$451),0),
IF('TL03'!$B$3=Q$3,SUMIF('TL03'!$C$10:$C$224,$C388,'TL03'!$J$10:$J$224),0),
IF('TL03'!$B$229=Q$3,SUMIF('TL03'!$C$238:$C$451,$C388,'TL03'!$J$238:$J$451),0),
IF('TL04'!$B$3=Q$3,SUMIF('TL04'!$C$10:$C$224,$C388,'TL04'!$J$10:$J$224),0),
IF('TL04'!$B$229=Q$3,SUMIF('TL04'!$C$238:$C$451,$C388,'TL04'!$J$238:$J$451),0),
IF('TL05'!$B$3=Q$3,SUMIF('TL05'!$C$10:$C$224,$C388,'TL05'!$J$10:$J$224),0),
IF('TL05'!$B$229=Q$3,SUMIF('TL05'!$C$238:$C$451,$C388,'TL05'!$J$238:$J$451),0),
IF('TL06'!$B$3=Q$3,SUMIF('TL06'!$C$10:$C$224,$C388,'TL06'!$J$10:$J$224),0),
IF('TL06'!$B$229=Q$3,SUMIF('TL06'!$C$238:$C$451,$C388,'TL06'!$J$238:$J$451),0),
IF('TL07'!$B$3=Q$3,SUMIF('TL07'!$C$10:$C$224,$C388,'TL07'!$J$10:$J$224),0),
IF('TL07'!$B$229=Q$3,SUMIF('TL07'!$C$238:$C$451,$C388,'TL07'!$J$238:$J$451),0),
IF('TL08'!$B$3=Q$3,SUMIF('TL08'!$C$10:$C$224,$C388,'TL08'!$J$10:$J$224),0),
IF('TL08'!$B$229=Q$3,SUMIF('TL08'!$C$238:$C$451,$C388,'TL08'!$J$238:$J$451),0),
IF('TL09'!$B$3=Q$3,SUMIF('TL09'!$C$10:$C$224,$C388,'TL09'!$J$10:$J$224),0),
IF('TL09'!$B$229=Q$3,SUMIF('TL09'!$C$238:$C$451,$C388,'TL09'!$J$238:$J$451),0),
IF('TL10'!$B$3=Q$3,SUMIF('TL10'!$C$10:$C$224,$C388,'TL10'!$J$10:$J$224),0),
IF('TL10'!$B$229=Q$3,SUMIF('TL10'!$C$238:$C$451,$C388,'TL10'!$J$238:$J$451),0),
IF('TL11'!$B$3=Q$3,SUMIF('TL11'!$C$10:$C$224,$C388,'TL11'!$J$10:$J$224),0),
IF('TL11'!$B$229=Q$3,SUMIF('TL11'!$C$238:$C$451,$C388,'TL11'!$J$238:$J$451),0),
IF('TL12'!$B$3=Q$3,SUMIF('TL12'!$C$10:$C$224,$C388,'TL12'!$J$10:$J$224),0),
IF('TL12'!$B$229=Q$3,SUMIF('TL12'!$C$238:$C$451,$C388,'TL12'!$J$238:$J$451),0),
IF('TL13'!$B$3=Q$3,SUMIF('TL13'!$C$10:$C$224,$C388,'TL13'!$J$10:$J$224),0),
IF('TL13'!$B$229=Q$3,SUMIF('TL13'!$C$238:$C$451,$C388,'TL13'!$J$238:$J$451),0),
IF('TL14'!$B$3=Q$3,SUMIF('TL14'!$C$10:$C$224,$C388,'TL14'!$J$10:$J$224),0),
IF('TL14'!$B$229=Q$3,SUMIF('TL14'!$C$238:$C$451,$C388,'TL14'!$J$238:$J$451),0),
IF('TL15'!$B$3=Q$3,SUMIF('TL15'!$C$10:$C$224,$C388,'TL15'!$J$10:$J$224),0),
IF('TL15'!$B$229=Q$3,SUMIF('TL15'!$C$238:$C$451,$C388,'TL15'!$J$238:$J$451),0),
IF('TL16'!$B$3=Q$3,SUMIF('TL16'!$C$10:$C$224,$C388,'TL16'!$J$10:$J$224),0),
IF('TL16'!$B$229=Q$3,SUMIF('TL16'!$C$238:$C$451,$C388,'TL16'!$J$238:$J$451),0),
IF('TL17'!$B$3=Q$3,SUMIF('TL17'!$C$10:$C$224,$C388,'TL17'!$J$10:$J$224),0),
IF('TL17'!$B$229=Q$3,SUMIF('TL17'!$C$238:$C$451,$C388,'TL17'!$J$238:$J$451),0),
IF('TL18'!$B$3=Q$3,SUMIF('TL18'!$C$10:$C$224,$C388,'TL18'!$J$10:$J$224),0),
IF('TL18'!$B$229=Q$3,SUMIF('TL18'!$C$238:$C$451,$C388,'TL18'!$J$238:$J$451),0),
IF('TL19'!$B$3=Q$3,SUMIF('TL19'!$C$10:$C$224,$C388,'TL19'!$J$10:$J$224),0),
IF('TL19'!$B$229=Q$3,SUMIF('TL19'!$C$238:$C$451,$C388,'TL19'!$J$238:$J$451),0)
),0)</f>
        <v/>
      </c>
      <c r="R388" s="9">
        <f>IFERROR(
SUM(
SUMIF('TL01'!C:C,C388,'TL01'!J:J),
SUMIF('TL02'!C:C,C388,'TL02'!J:J),
SUMIF('TL03'!C:C,C388,'TL03'!J:J),
SUMIF('TL04'!C:C,C388,'TL04'!J:J),
SUMIF('TL05'!C:C,C388,'TL05'!J:J),
SUMIF('TL06'!C:C,C388,'TL06'!J:J),
SUMIF('TL07'!C:C,C388,'TL07'!J:J),
SUMIF('TL08'!C:C,C388,'TL08'!J:J),
SUMIF('TL09'!C:C,C388,'TL09'!J:J),
SUMIF('TL10'!C:C,C388,'TL10'!J:J),
SUMIF('TL11'!C:C,C388,'TL11'!J:J),
SUMIF('TL12'!C:C,C388,'TL12'!J:J),
SUMIF('TL13'!C:C,C388,'TL13'!J:J),
SUMIF('TL14'!C:C,C388,'TL14'!J:J),
SUMIF('TL15'!C:C,C388,'TL15'!J:J),
SUMIF('TL16'!C:C,C388,'TL16'!J:J),
SUMIF('TL17'!C:C,C388,'TL17'!J:J),
SUMIF('TL18'!C:C,C388,'TL18'!J:J),SUMIF('TL19'!C:C,C388,'TL19'!J:J))
,0)</f>
        <v/>
      </c>
      <c r="S388" s="17">
        <f>IFERROR(__xludf.DUMMYFUNCTION("IFERROR(VLOOKUP(C388,
IMPORTRANGE(""1wULbzX32WdYsx-lj2U3uUNBBe2INVIRDtcK0d-Dvl90"",
""26-27!C:G""),
5,
FALSE),
"""")"),4.63)</f>
        <v/>
      </c>
      <c r="T388" s="9" t="n"/>
      <c r="U388" s="92">
        <f>MAX(0,R388-T388)</f>
        <v/>
      </c>
      <c r="V388" s="93">
        <f>U388*S388</f>
        <v/>
      </c>
    </row>
    <row r="389" hidden="1" ht="15.75" customHeight="1" s="297">
      <c r="A389" s="4" t="inlineStr">
        <is>
          <t>SOLUBIO</t>
        </is>
      </c>
      <c r="B389" s="4" t="inlineStr">
        <is>
          <t>BIOLÓGICOS</t>
        </is>
      </c>
      <c r="C389" s="130" t="inlineStr">
        <is>
          <t>SoluBio Raiz Performance Kit On-farm,</t>
        </is>
      </c>
      <c r="D389" s="132" t="inlineStr">
        <is>
          <t>Kit On-farm</t>
        </is>
      </c>
      <c r="E389" s="9" t="n"/>
      <c r="F389" s="4" t="n"/>
      <c r="G389" s="90">
        <f>HYPERLINK("https://www.google.com/search?q=" &amp; C389 &amp; "+bula+agrofit+pdf", "📄 Ver bula")</f>
        <v/>
      </c>
      <c r="H389" s="9" t="n"/>
      <c r="I389" s="1" t="n"/>
      <c r="J389" s="9">
        <f>IFERROR(SUM(
IF('TL01'!$B$3=J$3,SUMIF('TL01'!$C$10:$C$224,$C389,'TL01'!$J$10:$J$224),0),
IF('TL01'!$B$229=J$3,SUMIF('TL01'!$C$238:$C$451,$C389,'TL01'!$J$238:$J$451),0),
IF('TL02'!$B$3=J$3,SUMIF('TL02'!$C$10:$C$224,$C389,'TL02'!$J$10:$J$224),0),
IF('TL02'!$B$229=J$3,SUMIF('TL02'!$C$238:$C$451,$C389,'TL02'!$J$238:$J$451),0),
IF('TL03'!$B$3=J$3,SUMIF('TL03'!$C$10:$C$224,$C389,'TL03'!$J$10:$J$224),0),
IF('TL03'!$B$229=J$3,SUMIF('TL03'!$C$238:$C$451,$C389,'TL03'!$J$238:$J$451),0),
IF('TL04'!$B$3=J$3,SUMIF('TL04'!$C$10:$C$224,$C389,'TL04'!$J$10:$J$224),0),
IF('TL04'!$B$229=J$3,SUMIF('TL04'!$C$238:$C$451,$C389,'TL04'!$J$238:$J$451),0),
IF('TL05'!$B$3=J$3,SUMIF('TL05'!$C$10:$C$224,$C389,'TL05'!$J$10:$J$224),0),
IF('TL05'!$B$229=J$3,SUMIF('TL05'!$C$238:$C$451,$C389,'TL05'!$J$238:$J$451),0),
IF('TL06'!$B$3=J$3,SUMIF('TL06'!$C$10:$C$224,$C389,'TL06'!$J$10:$J$224),0),
IF('TL06'!$B$229=J$3,SUMIF('TL06'!$C$238:$C$451,$C389,'TL06'!$J$238:$J$451),0),
IF('TL07'!$B$3=J$3,SUMIF('TL07'!$C$10:$C$224,$C389,'TL07'!$J$10:$J$224),0),
IF('TL07'!$B$229=J$3,SUMIF('TL07'!$C$238:$C$451,$C389,'TL07'!$J$238:$J$451),0),
IF('TL08'!$B$3=J$3,SUMIF('TL08'!$C$10:$C$224,$C389,'TL08'!$J$10:$J$224),0),
IF('TL08'!$B$229=J$3,SUMIF('TL08'!$C$238:$C$451,$C389,'TL08'!$J$238:$J$451),0),
IF('TL09'!$B$3=J$3,SUMIF('TL09'!$C$10:$C$224,$C389,'TL09'!$J$10:$J$224),0),
IF('TL09'!$B$229=J$3,SUMIF('TL09'!$C$238:$C$451,$C389,'TL09'!$J$238:$J$451),0),
IF('TL10'!$B$3=J$3,SUMIF('TL10'!$C$10:$C$224,$C389,'TL10'!$J$10:$J$224),0),
IF('TL10'!$B$229=J$3,SUMIF('TL10'!$C$238:$C$451,$C389,'TL10'!$J$238:$J$451),0),
IF('TL11'!$B$3=J$3,SUMIF('TL11'!$C$10:$C$224,$C389,'TL11'!$J$10:$J$224),0),
IF('TL11'!$B$229=J$3,SUMIF('TL11'!$C$238:$C$451,$C389,'TL11'!$J$238:$J$451),0),
IF('TL12'!$B$3=J$3,SUMIF('TL12'!$C$10:$C$224,$C389,'TL12'!$J$10:$J$224),0),
IF('TL12'!$B$229=J$3,SUMIF('TL12'!$C$238:$C$451,$C389,'TL12'!$J$238:$J$451),0),
IF('TL13'!$B$3=J$3,SUMIF('TL13'!$C$10:$C$224,$C389,'TL13'!$J$10:$J$224),0),
IF('TL13'!$B$229=J$3,SUMIF('TL13'!$C$238:$C$451,$C389,'TL13'!$J$238:$J$451),0),
IF('TL14'!$B$3=J$3,SUMIF('TL14'!$C$10:$C$224,$C389,'TL14'!$J$10:$J$224),0),
IF('TL14'!$B$229=J$3,SUMIF('TL14'!$C$238:$C$451,$C389,'TL14'!$J$238:$J$451),0),
IF('TL15'!$B$3=J$3,SUMIF('TL15'!$C$10:$C$224,$C389,'TL15'!$J$10:$J$224),0),
IF('TL15'!$B$229=J$3,SUMIF('TL15'!$C$238:$C$451,$C389,'TL15'!$J$238:$J$451),0),
IF('TL16'!$B$3=J$3,SUMIF('TL16'!$C$10:$C$224,$C389,'TL16'!$J$10:$J$224),0),
IF('TL16'!$B$229=J$3,SUMIF('TL16'!$C$238:$C$451,$C389,'TL16'!$J$238:$J$451),0),
IF('TL17'!$B$3=J$3,SUMIF('TL17'!$C$10:$C$224,$C389,'TL17'!$J$10:$J$224),0),
IF('TL17'!$B$229=J$3,SUMIF('TL17'!$C$238:$C$451,$C389,'TL17'!$J$238:$J$451),0),
IF('TL18'!$B$3=J$3,SUMIF('TL18'!$C$10:$C$224,$C389,'TL18'!$J$10:$J$224),0),
IF('TL18'!$B$229=J$3,SUMIF('TL18'!$C$238:$C$451,$C389,'TL18'!$J$238:$J$451),0),
IF('TL19'!$B$3=J$3,SUMIF('TL19'!$C$10:$C$224,$C389,'TL19'!$J$10:$J$224),0),
IF('TL19'!$B$229=J$3,SUMIF('TL19'!$C$238:$C$451,$C389,'TL19'!$J$238:$J$451),0)
),0)</f>
        <v/>
      </c>
      <c r="K389" s="9">
        <f>IFERROR(SUM(
IF('TL01'!$B$3=K$3,SUMIF('TL01'!$C$10:$C$224,$C389,'TL01'!$J$10:$J$224),0),
IF('TL01'!$B$229=K$3,SUMIF('TL01'!$C$238:$C$451,$C389,'TL01'!$J$238:$J$451),0),
IF('TL02'!$B$3=K$3,SUMIF('TL02'!$C$10:$C$224,$C389,'TL02'!$J$10:$J$224),0),
IF('TL02'!$B$229=K$3,SUMIF('TL02'!$C$238:$C$451,$C389,'TL02'!$J$238:$J$451),0),
IF('TL03'!$B$3=K$3,SUMIF('TL03'!$C$10:$C$224,$C389,'TL03'!$J$10:$J$224),0),
IF('TL03'!$B$229=K$3,SUMIF('TL03'!$C$238:$C$451,$C389,'TL03'!$J$238:$J$451),0),
IF('TL04'!$B$3=K$3,SUMIF('TL04'!$C$10:$C$224,$C389,'TL04'!$J$10:$J$224),0),
IF('TL04'!$B$229=K$3,SUMIF('TL04'!$C$238:$C$451,$C389,'TL04'!$J$238:$J$451),0),
IF('TL05'!$B$3=K$3,SUMIF('TL05'!$C$10:$C$224,$C389,'TL05'!$J$10:$J$224),0),
IF('TL05'!$B$229=K$3,SUMIF('TL05'!$C$238:$C$451,$C389,'TL05'!$J$238:$J$451),0),
IF('TL06'!$B$3=K$3,SUMIF('TL06'!$C$10:$C$224,$C389,'TL06'!$J$10:$J$224),0),
IF('TL06'!$B$229=K$3,SUMIF('TL06'!$C$238:$C$451,$C389,'TL06'!$J$238:$J$451),0),
IF('TL07'!$B$3=K$3,SUMIF('TL07'!$C$10:$C$224,$C389,'TL07'!$J$10:$J$224),0),
IF('TL07'!$B$229=K$3,SUMIF('TL07'!$C$238:$C$451,$C389,'TL07'!$J$238:$J$451),0),
IF('TL08'!$B$3=K$3,SUMIF('TL08'!$C$10:$C$224,$C389,'TL08'!$J$10:$J$224),0),
IF('TL08'!$B$229=K$3,SUMIF('TL08'!$C$238:$C$451,$C389,'TL08'!$J$238:$J$451),0),
IF('TL09'!$B$3=K$3,SUMIF('TL09'!$C$10:$C$224,$C389,'TL09'!$J$10:$J$224),0),
IF('TL09'!$B$229=K$3,SUMIF('TL09'!$C$238:$C$451,$C389,'TL09'!$J$238:$J$451),0),
IF('TL10'!$B$3=K$3,SUMIF('TL10'!$C$10:$C$224,$C389,'TL10'!$J$10:$J$224),0),
IF('TL10'!$B$229=K$3,SUMIF('TL10'!$C$238:$C$451,$C389,'TL10'!$J$238:$J$451),0),
IF('TL11'!$B$3=K$3,SUMIF('TL11'!$C$10:$C$224,$C389,'TL11'!$J$10:$J$224),0),
IF('TL11'!$B$229=K$3,SUMIF('TL11'!$C$238:$C$451,$C389,'TL11'!$J$238:$J$451),0),
IF('TL12'!$B$3=K$3,SUMIF('TL12'!$C$10:$C$224,$C389,'TL12'!$J$10:$J$224),0),
IF('TL12'!$B$229=K$3,SUMIF('TL12'!$C$238:$C$451,$C389,'TL12'!$J$238:$J$451),0),
IF('TL13'!$B$3=K$3,SUMIF('TL13'!$C$10:$C$224,$C389,'TL13'!$J$10:$J$224),0),
IF('TL13'!$B$229=K$3,SUMIF('TL13'!$C$238:$C$451,$C389,'TL13'!$J$238:$J$451),0),
IF('TL14'!$B$3=K$3,SUMIF('TL14'!$C$10:$C$224,$C389,'TL14'!$J$10:$J$224),0),
IF('TL14'!$B$229=K$3,SUMIF('TL14'!$C$238:$C$451,$C389,'TL14'!$J$238:$J$451),0),
IF('TL15'!$B$3=K$3,SUMIF('TL15'!$C$10:$C$224,$C389,'TL15'!$J$10:$J$224),0),
IF('TL15'!$B$229=K$3,SUMIF('TL15'!$C$238:$C$451,$C389,'TL15'!$J$238:$J$451),0),
IF('TL16'!$B$3=K$3,SUMIF('TL16'!$C$10:$C$224,$C389,'TL16'!$J$10:$J$224),0),
IF('TL16'!$B$229=K$3,SUMIF('TL16'!$C$238:$C$451,$C389,'TL16'!$J$238:$J$451),0),
IF('TL17'!$B$3=K$3,SUMIF('TL17'!$C$10:$C$224,$C389,'TL17'!$J$10:$J$224),0),
IF('TL17'!$B$229=K$3,SUMIF('TL17'!$C$238:$C$451,$C389,'TL17'!$J$238:$J$451),0),
IF('TL18'!$B$3=K$3,SUMIF('TL18'!$C$10:$C$224,$C389,'TL18'!$J$10:$J$224),0),
IF('TL18'!$B$229=K$3,SUMIF('TL18'!$C$238:$C$451,$C389,'TL18'!$J$238:$J$451),0),
IF('TL19'!$B$3=K$3,SUMIF('TL19'!$C$10:$C$224,$C389,'TL19'!$J$10:$J$224),0),
IF('TL19'!$B$229=K$3,SUMIF('TL19'!$C$238:$C$451,$C389,'TL19'!$J$238:$J$451),0)
),0)</f>
        <v/>
      </c>
      <c r="L389" s="9">
        <f>IFERROR(SUM(
IF('TL01'!$B$3=L$3,SUMIF('TL01'!$C$10:$C$224,$C389,'TL01'!$J$10:$J$224),0),
IF('TL01'!$B$229=L$3,SUMIF('TL01'!$C$238:$C$451,$C389,'TL01'!$J$238:$J$451),0),
IF('TL02'!$B$3=L$3,SUMIF('TL02'!$C$10:$C$224,$C389,'TL02'!$J$10:$J$224),0),
IF('TL02'!$B$229=L$3,SUMIF('TL02'!$C$238:$C$451,$C389,'TL02'!$J$238:$J$451),0),
IF('TL03'!$B$3=L$3,SUMIF('TL03'!$C$10:$C$224,$C389,'TL03'!$J$10:$J$224),0),
IF('TL03'!$B$229=L$3,SUMIF('TL03'!$C$238:$C$451,$C389,'TL03'!$J$238:$J$451),0),
IF('TL04'!$B$3=L$3,SUMIF('TL04'!$C$10:$C$224,$C389,'TL04'!$J$10:$J$224),0),
IF('TL04'!$B$229=L$3,SUMIF('TL04'!$C$238:$C$451,$C389,'TL04'!$J$238:$J$451),0),
IF('TL05'!$B$3=L$3,SUMIF('TL05'!$C$10:$C$224,$C389,'TL05'!$J$10:$J$224),0),
IF('TL05'!$B$229=L$3,SUMIF('TL05'!$C$238:$C$451,$C389,'TL05'!$J$238:$J$451),0),
IF('TL06'!$B$3=L$3,SUMIF('TL06'!$C$10:$C$224,$C389,'TL06'!$J$10:$J$224),0),
IF('TL06'!$B$229=L$3,SUMIF('TL06'!$C$238:$C$451,$C389,'TL06'!$J$238:$J$451),0),
IF('TL07'!$B$3=L$3,SUMIF('TL07'!$C$10:$C$224,$C389,'TL07'!$J$10:$J$224),0),
IF('TL07'!$B$229=L$3,SUMIF('TL07'!$C$238:$C$451,$C389,'TL07'!$J$238:$J$451),0),
IF('TL08'!$B$3=L$3,SUMIF('TL08'!$C$10:$C$224,$C389,'TL08'!$J$10:$J$224),0),
IF('TL08'!$B$229=L$3,SUMIF('TL08'!$C$238:$C$451,$C389,'TL08'!$J$238:$J$451),0),
IF('TL09'!$B$3=L$3,SUMIF('TL09'!$C$10:$C$224,$C389,'TL09'!$J$10:$J$224),0),
IF('TL09'!$B$229=L$3,SUMIF('TL09'!$C$238:$C$451,$C389,'TL09'!$J$238:$J$451),0),
IF('TL10'!$B$3=L$3,SUMIF('TL10'!$C$10:$C$224,$C389,'TL10'!$J$10:$J$224),0),
IF('TL10'!$B$229=L$3,SUMIF('TL10'!$C$238:$C$451,$C389,'TL10'!$J$238:$J$451),0),
IF('TL11'!$B$3=L$3,SUMIF('TL11'!$C$10:$C$224,$C389,'TL11'!$J$10:$J$224),0),
IF('TL11'!$B$229=L$3,SUMIF('TL11'!$C$238:$C$451,$C389,'TL11'!$J$238:$J$451),0),
IF('TL12'!$B$3=L$3,SUMIF('TL12'!$C$10:$C$224,$C389,'TL12'!$J$10:$J$224),0),
IF('TL12'!$B$229=L$3,SUMIF('TL12'!$C$238:$C$451,$C389,'TL12'!$J$238:$J$451),0),
IF('TL13'!$B$3=L$3,SUMIF('TL13'!$C$10:$C$224,$C389,'TL13'!$J$10:$J$224),0),
IF('TL13'!$B$229=L$3,SUMIF('TL13'!$C$238:$C$451,$C389,'TL13'!$J$238:$J$451),0),
IF('TL14'!$B$3=L$3,SUMIF('TL14'!$C$10:$C$224,$C389,'TL14'!$J$10:$J$224),0),
IF('TL14'!$B$229=L$3,SUMIF('TL14'!$C$238:$C$451,$C389,'TL14'!$J$238:$J$451),0),
IF('TL15'!$B$3=L$3,SUMIF('TL15'!$C$10:$C$224,$C389,'TL15'!$J$10:$J$224),0),
IF('TL15'!$B$229=L$3,SUMIF('TL15'!$C$238:$C$451,$C389,'TL15'!$J$238:$J$451),0),
IF('TL16'!$B$3=L$3,SUMIF('TL16'!$C$10:$C$224,$C389,'TL16'!$J$10:$J$224),0),
IF('TL16'!$B$229=L$3,SUMIF('TL16'!$C$238:$C$451,$C389,'TL16'!$J$238:$J$451),0),
IF('TL17'!$B$3=L$3,SUMIF('TL17'!$C$10:$C$224,$C389,'TL17'!$J$10:$J$224),0),
IF('TL17'!$B$229=L$3,SUMIF('TL17'!$C$238:$C$451,$C389,'TL17'!$J$238:$J$451),0),
IF('TL18'!$B$3=L$3,SUMIF('TL18'!$C$10:$C$224,$C389,'TL18'!$J$10:$J$224),0),
IF('TL18'!$B$229=L$3,SUMIF('TL18'!$C$238:$C$451,$C389,'TL18'!$J$238:$J$451),0),
IF('TL19'!$B$3=L$3,SUMIF('TL19'!$C$10:$C$224,$C389,'TL19'!$J$10:$J$224),0),
IF('TL19'!$B$229=L$3,SUMIF('TL19'!$C$238:$C$451,$C389,'TL19'!$J$238:$J$451),0)
),0)</f>
        <v/>
      </c>
      <c r="M389" s="9">
        <f>IFERROR(SUM(
IF('TL01'!$B$3=M$3,SUMIF('TL01'!$C$10:$C$224,$C389,'TL01'!$J$10:$J$224),0),
IF('TL01'!$B$229=M$3,SUMIF('TL01'!$C$238:$C$451,$C389,'TL01'!$J$238:$J$451),0),
IF('TL02'!$B$3=M$3,SUMIF('TL02'!$C$10:$C$224,$C389,'TL02'!$J$10:$J$224),0),
IF('TL02'!$B$229=M$3,SUMIF('TL02'!$C$238:$C$451,$C389,'TL02'!$J$238:$J$451),0),
IF('TL03'!$B$3=M$3,SUMIF('TL03'!$C$10:$C$224,$C389,'TL03'!$J$10:$J$224),0),
IF('TL03'!$B$229=M$3,SUMIF('TL03'!$C$238:$C$451,$C389,'TL03'!$J$238:$J$451),0),
IF('TL04'!$B$3=M$3,SUMIF('TL04'!$C$10:$C$224,$C389,'TL04'!$J$10:$J$224),0),
IF('TL04'!$B$229=M$3,SUMIF('TL04'!$C$238:$C$451,$C389,'TL04'!$J$238:$J$451),0),
IF('TL05'!$B$3=M$3,SUMIF('TL05'!$C$10:$C$224,$C389,'TL05'!$J$10:$J$224),0),
IF('TL05'!$B$229=M$3,SUMIF('TL05'!$C$238:$C$451,$C389,'TL05'!$J$238:$J$451),0),
IF('TL06'!$B$3=M$3,SUMIF('TL06'!$C$10:$C$224,$C389,'TL06'!$J$10:$J$224),0),
IF('TL06'!$B$229=M$3,SUMIF('TL06'!$C$238:$C$451,$C389,'TL06'!$J$238:$J$451),0),
IF('TL07'!$B$3=M$3,SUMIF('TL07'!$C$10:$C$224,$C389,'TL07'!$J$10:$J$224),0),
IF('TL07'!$B$229=M$3,SUMIF('TL07'!$C$238:$C$451,$C389,'TL07'!$J$238:$J$451),0),
IF('TL08'!$B$3=M$3,SUMIF('TL08'!$C$10:$C$224,$C389,'TL08'!$J$10:$J$224),0),
IF('TL08'!$B$229=M$3,SUMIF('TL08'!$C$238:$C$451,$C389,'TL08'!$J$238:$J$451),0),
IF('TL09'!$B$3=M$3,SUMIF('TL09'!$C$10:$C$224,$C389,'TL09'!$J$10:$J$224),0),
IF('TL09'!$B$229=M$3,SUMIF('TL09'!$C$238:$C$451,$C389,'TL09'!$J$238:$J$451),0),
IF('TL10'!$B$3=M$3,SUMIF('TL10'!$C$10:$C$224,$C389,'TL10'!$J$10:$J$224),0),
IF('TL10'!$B$229=M$3,SUMIF('TL10'!$C$238:$C$451,$C389,'TL10'!$J$238:$J$451),0),
IF('TL11'!$B$3=M$3,SUMIF('TL11'!$C$10:$C$224,$C389,'TL11'!$J$10:$J$224),0),
IF('TL11'!$B$229=M$3,SUMIF('TL11'!$C$238:$C$451,$C389,'TL11'!$J$238:$J$451),0),
IF('TL12'!$B$3=M$3,SUMIF('TL12'!$C$10:$C$224,$C389,'TL12'!$J$10:$J$224),0),
IF('TL12'!$B$229=M$3,SUMIF('TL12'!$C$238:$C$451,$C389,'TL12'!$J$238:$J$451),0),
IF('TL13'!$B$3=M$3,SUMIF('TL13'!$C$10:$C$224,$C389,'TL13'!$J$10:$J$224),0),
IF('TL13'!$B$229=M$3,SUMIF('TL13'!$C$238:$C$451,$C389,'TL13'!$J$238:$J$451),0),
IF('TL14'!$B$3=M$3,SUMIF('TL14'!$C$10:$C$224,$C389,'TL14'!$J$10:$J$224),0),
IF('TL14'!$B$229=M$3,SUMIF('TL14'!$C$238:$C$451,$C389,'TL14'!$J$238:$J$451),0),
IF('TL15'!$B$3=M$3,SUMIF('TL15'!$C$10:$C$224,$C389,'TL15'!$J$10:$J$224),0),
IF('TL15'!$B$229=M$3,SUMIF('TL15'!$C$238:$C$451,$C389,'TL15'!$J$238:$J$451),0),
IF('TL16'!$B$3=M$3,SUMIF('TL16'!$C$10:$C$224,$C389,'TL16'!$J$10:$J$224),0),
IF('TL16'!$B$229=M$3,SUMIF('TL16'!$C$238:$C$451,$C389,'TL16'!$J$238:$J$451),0),
IF('TL17'!$B$3=M$3,SUMIF('TL17'!$C$10:$C$224,$C389,'TL17'!$J$10:$J$224),0),
IF('TL17'!$B$229=M$3,SUMIF('TL17'!$C$238:$C$451,$C389,'TL17'!$J$238:$J$451),0),
IF('TL18'!$B$3=M$3,SUMIF('TL18'!$C$10:$C$224,$C389,'TL18'!$J$10:$J$224),0),
IF('TL18'!$B$229=M$3,SUMIF('TL18'!$C$238:$C$451,$C389,'TL18'!$J$238:$J$451),0),
IF('TL19'!$B$3=M$3,SUMIF('TL19'!$C$10:$C$224,$C389,'TL19'!$J$10:$J$224),0),
IF('TL19'!$B$229=M$3,SUMIF('TL19'!$C$238:$C$451,$C389,'TL19'!$J$238:$J$451),0)
),0)</f>
        <v/>
      </c>
      <c r="N389" s="9">
        <f>IFERROR(SUM(
IF('TL01'!$B$3=N$3,SUMIF('TL01'!$C$10:$C$224,$C389,'TL01'!$J$10:$J$224),0),
IF('TL01'!$B$229=N$3,SUMIF('TL01'!$C$238:$C$451,$C389,'TL01'!$J$238:$J$451),0),
IF('TL02'!$B$3=N$3,SUMIF('TL02'!$C$10:$C$224,$C389,'TL02'!$J$10:$J$224),0),
IF('TL02'!$B$229=N$3,SUMIF('TL02'!$C$238:$C$451,$C389,'TL02'!$J$238:$J$451),0),
IF('TL03'!$B$3=N$3,SUMIF('TL03'!$C$10:$C$224,$C389,'TL03'!$J$10:$J$224),0),
IF('TL03'!$B$229=N$3,SUMIF('TL03'!$C$238:$C$451,$C389,'TL03'!$J$238:$J$451),0),
IF('TL04'!$B$3=N$3,SUMIF('TL04'!$C$10:$C$224,$C389,'TL04'!$J$10:$J$224),0),
IF('TL04'!$B$229=N$3,SUMIF('TL04'!$C$238:$C$451,$C389,'TL04'!$J$238:$J$451),0),
IF('TL05'!$B$3=N$3,SUMIF('TL05'!$C$10:$C$224,$C389,'TL05'!$J$10:$J$224),0),
IF('TL05'!$B$229=N$3,SUMIF('TL05'!$C$238:$C$451,$C389,'TL05'!$J$238:$J$451),0),
IF('TL06'!$B$3=N$3,SUMIF('TL06'!$C$10:$C$224,$C389,'TL06'!$J$10:$J$224),0),
IF('TL06'!$B$229=N$3,SUMIF('TL06'!$C$238:$C$451,$C389,'TL06'!$J$238:$J$451),0),
IF('TL07'!$B$3=N$3,SUMIF('TL07'!$C$10:$C$224,$C389,'TL07'!$J$10:$J$224),0),
IF('TL07'!$B$229=N$3,SUMIF('TL07'!$C$238:$C$451,$C389,'TL07'!$J$238:$J$451),0),
IF('TL08'!$B$3=N$3,SUMIF('TL08'!$C$10:$C$224,$C389,'TL08'!$J$10:$J$224),0),
IF('TL08'!$B$229=N$3,SUMIF('TL08'!$C$238:$C$451,$C389,'TL08'!$J$238:$J$451),0),
IF('TL09'!$B$3=N$3,SUMIF('TL09'!$C$10:$C$224,$C389,'TL09'!$J$10:$J$224),0),
IF('TL09'!$B$229=N$3,SUMIF('TL09'!$C$238:$C$451,$C389,'TL09'!$J$238:$J$451),0),
IF('TL10'!$B$3=N$3,SUMIF('TL10'!$C$10:$C$224,$C389,'TL10'!$J$10:$J$224),0),
IF('TL10'!$B$229=N$3,SUMIF('TL10'!$C$238:$C$451,$C389,'TL10'!$J$238:$J$451),0),
IF('TL11'!$B$3=N$3,SUMIF('TL11'!$C$10:$C$224,$C389,'TL11'!$J$10:$J$224),0),
IF('TL11'!$B$229=N$3,SUMIF('TL11'!$C$238:$C$451,$C389,'TL11'!$J$238:$J$451),0),
IF('TL12'!$B$3=N$3,SUMIF('TL12'!$C$10:$C$224,$C389,'TL12'!$J$10:$J$224),0),
IF('TL12'!$B$229=N$3,SUMIF('TL12'!$C$238:$C$451,$C389,'TL12'!$J$238:$J$451),0),
IF('TL13'!$B$3=N$3,SUMIF('TL13'!$C$10:$C$224,$C389,'TL13'!$J$10:$J$224),0),
IF('TL13'!$B$229=N$3,SUMIF('TL13'!$C$238:$C$451,$C389,'TL13'!$J$238:$J$451),0),
IF('TL14'!$B$3=N$3,SUMIF('TL14'!$C$10:$C$224,$C389,'TL14'!$J$10:$J$224),0),
IF('TL14'!$B$229=N$3,SUMIF('TL14'!$C$238:$C$451,$C389,'TL14'!$J$238:$J$451),0),
IF('TL15'!$B$3=N$3,SUMIF('TL15'!$C$10:$C$224,$C389,'TL15'!$J$10:$J$224),0),
IF('TL15'!$B$229=N$3,SUMIF('TL15'!$C$238:$C$451,$C389,'TL15'!$J$238:$J$451),0),
IF('TL16'!$B$3=N$3,SUMIF('TL16'!$C$10:$C$224,$C389,'TL16'!$J$10:$J$224),0),
IF('TL16'!$B$229=N$3,SUMIF('TL16'!$C$238:$C$451,$C389,'TL16'!$J$238:$J$451),0),
IF('TL17'!$B$3=N$3,SUMIF('TL17'!$C$10:$C$224,$C389,'TL17'!$J$10:$J$224),0),
IF('TL17'!$B$229=N$3,SUMIF('TL17'!$C$238:$C$451,$C389,'TL17'!$J$238:$J$451),0),
IF('TL18'!$B$3=N$3,SUMIF('TL18'!$C$10:$C$224,$C389,'TL18'!$J$10:$J$224),0),
IF('TL18'!$B$229=N$3,SUMIF('TL18'!$C$238:$C$451,$C389,'TL18'!$J$238:$J$451),0),
IF('TL19'!$B$3=N$3,SUMIF('TL19'!$C$10:$C$224,$C389,'TL19'!$J$10:$J$224),0),
IF('TL19'!$B$229=N$3,SUMIF('TL19'!$C$238:$C$451,$C389,'TL19'!$J$238:$J$451),0)
),0)</f>
        <v/>
      </c>
      <c r="O389" s="9">
        <f>IFERROR(SUM(
IF('TL01'!$B$3=O$3,SUMIF('TL01'!$C$10:$C$224,$C389,'TL01'!$J$10:$J$224),0),
IF('TL01'!$B$229=O$3,SUMIF('TL01'!$C$238:$C$451,$C389,'TL01'!$J$238:$J$451),0),
IF('TL02'!$B$3=O$3,SUMIF('TL02'!$C$10:$C$224,$C389,'TL02'!$J$10:$J$224),0),
IF('TL02'!$B$229=O$3,SUMIF('TL02'!$C$238:$C$451,$C389,'TL02'!$J$238:$J$451),0),
IF('TL03'!$B$3=O$3,SUMIF('TL03'!$C$10:$C$224,$C389,'TL03'!$J$10:$J$224),0),
IF('TL03'!$B$229=O$3,SUMIF('TL03'!$C$238:$C$451,$C389,'TL03'!$J$238:$J$451),0),
IF('TL04'!$B$3=O$3,SUMIF('TL04'!$C$10:$C$224,$C389,'TL04'!$J$10:$J$224),0),
IF('TL04'!$B$229=O$3,SUMIF('TL04'!$C$238:$C$451,$C389,'TL04'!$J$238:$J$451),0),
IF('TL05'!$B$3=O$3,SUMIF('TL05'!$C$10:$C$224,$C389,'TL05'!$J$10:$J$224),0),
IF('TL05'!$B$229=O$3,SUMIF('TL05'!$C$238:$C$451,$C389,'TL05'!$J$238:$J$451),0),
IF('TL06'!$B$3=O$3,SUMIF('TL06'!$C$10:$C$224,$C389,'TL06'!$J$10:$J$224),0),
IF('TL06'!$B$229=O$3,SUMIF('TL06'!$C$238:$C$451,$C389,'TL06'!$J$238:$J$451),0),
IF('TL07'!$B$3=O$3,SUMIF('TL07'!$C$10:$C$224,$C389,'TL07'!$J$10:$J$224),0),
IF('TL07'!$B$229=O$3,SUMIF('TL07'!$C$238:$C$451,$C389,'TL07'!$J$238:$J$451),0),
IF('TL08'!$B$3=O$3,SUMIF('TL08'!$C$10:$C$224,$C389,'TL08'!$J$10:$J$224),0),
IF('TL08'!$B$229=O$3,SUMIF('TL08'!$C$238:$C$451,$C389,'TL08'!$J$238:$J$451),0),
IF('TL09'!$B$3=O$3,SUMIF('TL09'!$C$10:$C$224,$C389,'TL09'!$J$10:$J$224),0),
IF('TL09'!$B$229=O$3,SUMIF('TL09'!$C$238:$C$451,$C389,'TL09'!$J$238:$J$451),0),
IF('TL10'!$B$3=O$3,SUMIF('TL10'!$C$10:$C$224,$C389,'TL10'!$J$10:$J$224),0),
IF('TL10'!$B$229=O$3,SUMIF('TL10'!$C$238:$C$451,$C389,'TL10'!$J$238:$J$451),0),
IF('TL11'!$B$3=O$3,SUMIF('TL11'!$C$10:$C$224,$C389,'TL11'!$J$10:$J$224),0),
IF('TL11'!$B$229=O$3,SUMIF('TL11'!$C$238:$C$451,$C389,'TL11'!$J$238:$J$451),0),
IF('TL12'!$B$3=O$3,SUMIF('TL12'!$C$10:$C$224,$C389,'TL12'!$J$10:$J$224),0),
IF('TL12'!$B$229=O$3,SUMIF('TL12'!$C$238:$C$451,$C389,'TL12'!$J$238:$J$451),0),
IF('TL13'!$B$3=O$3,SUMIF('TL13'!$C$10:$C$224,$C389,'TL13'!$J$10:$J$224),0),
IF('TL13'!$B$229=O$3,SUMIF('TL13'!$C$238:$C$451,$C389,'TL13'!$J$238:$J$451),0),
IF('TL14'!$B$3=O$3,SUMIF('TL14'!$C$10:$C$224,$C389,'TL14'!$J$10:$J$224),0),
IF('TL14'!$B$229=O$3,SUMIF('TL14'!$C$238:$C$451,$C389,'TL14'!$J$238:$J$451),0),
IF('TL15'!$B$3=O$3,SUMIF('TL15'!$C$10:$C$224,$C389,'TL15'!$J$10:$J$224),0),
IF('TL15'!$B$229=O$3,SUMIF('TL15'!$C$238:$C$451,$C389,'TL15'!$J$238:$J$451),0),
IF('TL16'!$B$3=O$3,SUMIF('TL16'!$C$10:$C$224,$C389,'TL16'!$J$10:$J$224),0),
IF('TL16'!$B$229=O$3,SUMIF('TL16'!$C$238:$C$451,$C389,'TL16'!$J$238:$J$451),0),
IF('TL17'!$B$3=O$3,SUMIF('TL17'!$C$10:$C$224,$C389,'TL17'!$J$10:$J$224),0),
IF('TL17'!$B$229=O$3,SUMIF('TL17'!$C$238:$C$451,$C389,'TL17'!$J$238:$J$451),0),
IF('TL18'!$B$3=O$3,SUMIF('TL18'!$C$10:$C$224,$C389,'TL18'!$J$10:$J$224),0),
IF('TL18'!$B$229=O$3,SUMIF('TL18'!$C$238:$C$451,$C389,'TL18'!$J$238:$J$451),0),
IF('TL19'!$B$3=O$3,SUMIF('TL19'!$C$10:$C$224,$C389,'TL19'!$J$10:$J$224),0),
IF('TL19'!$B$229=O$3,SUMIF('TL19'!$C$238:$C$451,$C389,'TL19'!$J$238:$J$451),0)
),0)</f>
        <v/>
      </c>
      <c r="P389" s="9">
        <f>IFERROR(SUM(
IF('TL01'!$B$3=P$3,SUMIF('TL01'!$C$10:$C$224,$C389,'TL01'!$J$10:$J$224),0),
IF('TL01'!$B$229=P$3,SUMIF('TL01'!$C$238:$C$451,$C389,'TL01'!$J$238:$J$451),0),
IF('TL02'!$B$3=P$3,SUMIF('TL02'!$C$10:$C$224,$C389,'TL02'!$J$10:$J$224),0),
IF('TL02'!$B$229=P$3,SUMIF('TL02'!$C$238:$C$451,$C389,'TL02'!$J$238:$J$451),0),
IF('TL03'!$B$3=P$3,SUMIF('TL03'!$C$10:$C$224,$C389,'TL03'!$J$10:$J$224),0),
IF('TL03'!$B$229=P$3,SUMIF('TL03'!$C$238:$C$451,$C389,'TL03'!$J$238:$J$451),0),
IF('TL04'!$B$3=P$3,SUMIF('TL04'!$C$10:$C$224,$C389,'TL04'!$J$10:$J$224),0),
IF('TL04'!$B$229=P$3,SUMIF('TL04'!$C$238:$C$451,$C389,'TL04'!$J$238:$J$451),0),
IF('TL05'!$B$3=P$3,SUMIF('TL05'!$C$10:$C$224,$C389,'TL05'!$J$10:$J$224),0),
IF('TL05'!$B$229=P$3,SUMIF('TL05'!$C$238:$C$451,$C389,'TL05'!$J$238:$J$451),0),
IF('TL06'!$B$3=P$3,SUMIF('TL06'!$C$10:$C$224,$C389,'TL06'!$J$10:$J$224),0),
IF('TL06'!$B$229=P$3,SUMIF('TL06'!$C$238:$C$451,$C389,'TL06'!$J$238:$J$451),0),
IF('TL07'!$B$3=P$3,SUMIF('TL07'!$C$10:$C$224,$C389,'TL07'!$J$10:$J$224),0),
IF('TL07'!$B$229=P$3,SUMIF('TL07'!$C$238:$C$451,$C389,'TL07'!$J$238:$J$451),0),
IF('TL08'!$B$3=P$3,SUMIF('TL08'!$C$10:$C$224,$C389,'TL08'!$J$10:$J$224),0),
IF('TL08'!$B$229=P$3,SUMIF('TL08'!$C$238:$C$451,$C389,'TL08'!$J$238:$J$451),0),
IF('TL09'!$B$3=P$3,SUMIF('TL09'!$C$10:$C$224,$C389,'TL09'!$J$10:$J$224),0),
IF('TL09'!$B$229=P$3,SUMIF('TL09'!$C$238:$C$451,$C389,'TL09'!$J$238:$J$451),0),
IF('TL10'!$B$3=P$3,SUMIF('TL10'!$C$10:$C$224,$C389,'TL10'!$J$10:$J$224),0),
IF('TL10'!$B$229=P$3,SUMIF('TL10'!$C$238:$C$451,$C389,'TL10'!$J$238:$J$451),0),
IF('TL11'!$B$3=P$3,SUMIF('TL11'!$C$10:$C$224,$C389,'TL11'!$J$10:$J$224),0),
IF('TL11'!$B$229=P$3,SUMIF('TL11'!$C$238:$C$451,$C389,'TL11'!$J$238:$J$451),0),
IF('TL12'!$B$3=P$3,SUMIF('TL12'!$C$10:$C$224,$C389,'TL12'!$J$10:$J$224),0),
IF('TL12'!$B$229=P$3,SUMIF('TL12'!$C$238:$C$451,$C389,'TL12'!$J$238:$J$451),0),
IF('TL13'!$B$3=P$3,SUMIF('TL13'!$C$10:$C$224,$C389,'TL13'!$J$10:$J$224),0),
IF('TL13'!$B$229=P$3,SUMIF('TL13'!$C$238:$C$451,$C389,'TL13'!$J$238:$J$451),0),
IF('TL14'!$B$3=P$3,SUMIF('TL14'!$C$10:$C$224,$C389,'TL14'!$J$10:$J$224),0),
IF('TL14'!$B$229=P$3,SUMIF('TL14'!$C$238:$C$451,$C389,'TL14'!$J$238:$J$451),0),
IF('TL15'!$B$3=P$3,SUMIF('TL15'!$C$10:$C$224,$C389,'TL15'!$J$10:$J$224),0),
IF('TL15'!$B$229=P$3,SUMIF('TL15'!$C$238:$C$451,$C389,'TL15'!$J$238:$J$451),0),
IF('TL16'!$B$3=P$3,SUMIF('TL16'!$C$10:$C$224,$C389,'TL16'!$J$10:$J$224),0),
IF('TL16'!$B$229=P$3,SUMIF('TL16'!$C$238:$C$451,$C389,'TL16'!$J$238:$J$451),0),
IF('TL17'!$B$3=P$3,SUMIF('TL17'!$C$10:$C$224,$C389,'TL17'!$J$10:$J$224),0),
IF('TL17'!$B$229=P$3,SUMIF('TL17'!$C$238:$C$451,$C389,'TL17'!$J$238:$J$451),0),
IF('TL18'!$B$3=P$3,SUMIF('TL18'!$C$10:$C$224,$C389,'TL18'!$J$10:$J$224),0),
IF('TL18'!$B$229=P$3,SUMIF('TL18'!$C$238:$C$451,$C389,'TL18'!$J$238:$J$451),0),
IF('TL19'!$B$3=P$3,SUMIF('TL19'!$C$10:$C$224,$C389,'TL19'!$J$10:$J$224),0),
IF('TL19'!$B$229=P$3,SUMIF('TL19'!$C$238:$C$451,$C389,'TL19'!$J$238:$J$451),0)
),0)</f>
        <v/>
      </c>
      <c r="Q389" s="9">
        <f>IFERROR(SUM(
IF('TL01'!$B$3=Q$3,SUMIF('TL01'!$C$10:$C$224,$C389,'TL01'!$J$10:$J$224),0),
IF('TL01'!$B$229=Q$3,SUMIF('TL01'!$C$238:$C$451,$C389,'TL01'!$J$238:$J$451),0),
IF('TL02'!$B$3=Q$3,SUMIF('TL02'!$C$10:$C$224,$C389,'TL02'!$J$10:$J$224),0),
IF('TL02'!$B$229=Q$3,SUMIF('TL02'!$C$238:$C$451,$C389,'TL02'!$J$238:$J$451),0),
IF('TL03'!$B$3=Q$3,SUMIF('TL03'!$C$10:$C$224,$C389,'TL03'!$J$10:$J$224),0),
IF('TL03'!$B$229=Q$3,SUMIF('TL03'!$C$238:$C$451,$C389,'TL03'!$J$238:$J$451),0),
IF('TL04'!$B$3=Q$3,SUMIF('TL04'!$C$10:$C$224,$C389,'TL04'!$J$10:$J$224),0),
IF('TL04'!$B$229=Q$3,SUMIF('TL04'!$C$238:$C$451,$C389,'TL04'!$J$238:$J$451),0),
IF('TL05'!$B$3=Q$3,SUMIF('TL05'!$C$10:$C$224,$C389,'TL05'!$J$10:$J$224),0),
IF('TL05'!$B$229=Q$3,SUMIF('TL05'!$C$238:$C$451,$C389,'TL05'!$J$238:$J$451),0),
IF('TL06'!$B$3=Q$3,SUMIF('TL06'!$C$10:$C$224,$C389,'TL06'!$J$10:$J$224),0),
IF('TL06'!$B$229=Q$3,SUMIF('TL06'!$C$238:$C$451,$C389,'TL06'!$J$238:$J$451),0),
IF('TL07'!$B$3=Q$3,SUMIF('TL07'!$C$10:$C$224,$C389,'TL07'!$J$10:$J$224),0),
IF('TL07'!$B$229=Q$3,SUMIF('TL07'!$C$238:$C$451,$C389,'TL07'!$J$238:$J$451),0),
IF('TL08'!$B$3=Q$3,SUMIF('TL08'!$C$10:$C$224,$C389,'TL08'!$J$10:$J$224),0),
IF('TL08'!$B$229=Q$3,SUMIF('TL08'!$C$238:$C$451,$C389,'TL08'!$J$238:$J$451),0),
IF('TL09'!$B$3=Q$3,SUMIF('TL09'!$C$10:$C$224,$C389,'TL09'!$J$10:$J$224),0),
IF('TL09'!$B$229=Q$3,SUMIF('TL09'!$C$238:$C$451,$C389,'TL09'!$J$238:$J$451),0),
IF('TL10'!$B$3=Q$3,SUMIF('TL10'!$C$10:$C$224,$C389,'TL10'!$J$10:$J$224),0),
IF('TL10'!$B$229=Q$3,SUMIF('TL10'!$C$238:$C$451,$C389,'TL10'!$J$238:$J$451),0),
IF('TL11'!$B$3=Q$3,SUMIF('TL11'!$C$10:$C$224,$C389,'TL11'!$J$10:$J$224),0),
IF('TL11'!$B$229=Q$3,SUMIF('TL11'!$C$238:$C$451,$C389,'TL11'!$J$238:$J$451),0),
IF('TL12'!$B$3=Q$3,SUMIF('TL12'!$C$10:$C$224,$C389,'TL12'!$J$10:$J$224),0),
IF('TL12'!$B$229=Q$3,SUMIF('TL12'!$C$238:$C$451,$C389,'TL12'!$J$238:$J$451),0),
IF('TL13'!$B$3=Q$3,SUMIF('TL13'!$C$10:$C$224,$C389,'TL13'!$J$10:$J$224),0),
IF('TL13'!$B$229=Q$3,SUMIF('TL13'!$C$238:$C$451,$C389,'TL13'!$J$238:$J$451),0),
IF('TL14'!$B$3=Q$3,SUMIF('TL14'!$C$10:$C$224,$C389,'TL14'!$J$10:$J$224),0),
IF('TL14'!$B$229=Q$3,SUMIF('TL14'!$C$238:$C$451,$C389,'TL14'!$J$238:$J$451),0),
IF('TL15'!$B$3=Q$3,SUMIF('TL15'!$C$10:$C$224,$C389,'TL15'!$J$10:$J$224),0),
IF('TL15'!$B$229=Q$3,SUMIF('TL15'!$C$238:$C$451,$C389,'TL15'!$J$238:$J$451),0),
IF('TL16'!$B$3=Q$3,SUMIF('TL16'!$C$10:$C$224,$C389,'TL16'!$J$10:$J$224),0),
IF('TL16'!$B$229=Q$3,SUMIF('TL16'!$C$238:$C$451,$C389,'TL16'!$J$238:$J$451),0),
IF('TL17'!$B$3=Q$3,SUMIF('TL17'!$C$10:$C$224,$C389,'TL17'!$J$10:$J$224),0),
IF('TL17'!$B$229=Q$3,SUMIF('TL17'!$C$238:$C$451,$C389,'TL17'!$J$238:$J$451),0),
IF('TL18'!$B$3=Q$3,SUMIF('TL18'!$C$10:$C$224,$C389,'TL18'!$J$10:$J$224),0),
IF('TL18'!$B$229=Q$3,SUMIF('TL18'!$C$238:$C$451,$C389,'TL18'!$J$238:$J$451),0),
IF('TL19'!$B$3=Q$3,SUMIF('TL19'!$C$10:$C$224,$C389,'TL19'!$J$10:$J$224),0),
IF('TL19'!$B$229=Q$3,SUMIF('TL19'!$C$238:$C$451,$C389,'TL19'!$J$238:$J$451),0)
),0)</f>
        <v/>
      </c>
      <c r="R389" s="9">
        <f>IFERROR(
SUM(
SUMIF('TL01'!C:C,C389,'TL01'!J:J),
SUMIF('TL02'!C:C,C389,'TL02'!J:J),
SUMIF('TL03'!C:C,C389,'TL03'!J:J),
SUMIF('TL04'!C:C,C389,'TL04'!J:J),
SUMIF('TL05'!C:C,C389,'TL05'!J:J),
SUMIF('TL06'!C:C,C389,'TL06'!J:J),
SUMIF('TL07'!C:C,C389,'TL07'!J:J),
SUMIF('TL08'!C:C,C389,'TL08'!J:J),
SUMIF('TL09'!C:C,C389,'TL09'!J:J),
SUMIF('TL10'!C:C,C389,'TL10'!J:J),
SUMIF('TL11'!C:C,C389,'TL11'!J:J),
SUMIF('TL12'!C:C,C389,'TL12'!J:J),
SUMIF('TL13'!C:C,C389,'TL13'!J:J),
SUMIF('TL14'!C:C,C389,'TL14'!J:J),
SUMIF('TL15'!C:C,C389,'TL15'!J:J),
SUMIF('TL16'!C:C,C389,'TL16'!J:J),
SUMIF('TL17'!C:C,C389,'TL17'!J:J),
SUMIF('TL18'!C:C,C389,'TL18'!J:J),SUMIF('TL19'!C:C,C389,'TL19'!J:J))
,0)</f>
        <v/>
      </c>
      <c r="S389" s="17">
        <f>IFERROR(__xludf.DUMMYFUNCTION("IFERROR(VLOOKUP(C389,
IMPORTRANGE(""1wULbzX32WdYsx-lj2U3uUNBBe2INVIRDtcK0d-Dvl90"",
""26-27!C:G""),
5,
FALSE),
"""")"),4.6)</f>
        <v/>
      </c>
      <c r="T389" s="9" t="n"/>
      <c r="U389" s="92">
        <f>MAX(0,R389-T389)</f>
        <v/>
      </c>
      <c r="V389" s="93">
        <f>U389*S389</f>
        <v/>
      </c>
    </row>
    <row r="390" hidden="1" ht="15.75" customHeight="1" s="297">
      <c r="A390" s="4" t="inlineStr">
        <is>
          <t>SOLUBIO</t>
        </is>
      </c>
      <c r="B390" s="4" t="inlineStr">
        <is>
          <t>BIOLÓGICOS</t>
        </is>
      </c>
      <c r="C390" s="131" t="inlineStr">
        <is>
          <t>Tec Isaria Kit On-farm</t>
        </is>
      </c>
      <c r="D390" s="133" t="inlineStr">
        <is>
          <t>Kit On-farm</t>
        </is>
      </c>
      <c r="E390" s="9" t="n"/>
      <c r="F390" s="4" t="n"/>
      <c r="G390" s="90">
        <f>HYPERLINK("https://www.google.com/search?q=" &amp; C390 &amp; "+bula+agrofit+pdf", "📄 Ver bula")</f>
        <v/>
      </c>
      <c r="H390" s="9" t="n"/>
      <c r="I390" s="1" t="n"/>
      <c r="J390" s="9">
        <f>IFERROR(SUM(
IF('TL01'!$B$3=J$3,SUMIF('TL01'!$C$10:$C$224,$C390,'TL01'!$J$10:$J$224),0),
IF('TL01'!$B$229=J$3,SUMIF('TL01'!$C$238:$C$451,$C390,'TL01'!$J$238:$J$451),0),
IF('TL02'!$B$3=J$3,SUMIF('TL02'!$C$10:$C$224,$C390,'TL02'!$J$10:$J$224),0),
IF('TL02'!$B$229=J$3,SUMIF('TL02'!$C$238:$C$451,$C390,'TL02'!$J$238:$J$451),0),
IF('TL03'!$B$3=J$3,SUMIF('TL03'!$C$10:$C$224,$C390,'TL03'!$J$10:$J$224),0),
IF('TL03'!$B$229=J$3,SUMIF('TL03'!$C$238:$C$451,$C390,'TL03'!$J$238:$J$451),0),
IF('TL04'!$B$3=J$3,SUMIF('TL04'!$C$10:$C$224,$C390,'TL04'!$J$10:$J$224),0),
IF('TL04'!$B$229=J$3,SUMIF('TL04'!$C$238:$C$451,$C390,'TL04'!$J$238:$J$451),0),
IF('TL05'!$B$3=J$3,SUMIF('TL05'!$C$10:$C$224,$C390,'TL05'!$J$10:$J$224),0),
IF('TL05'!$B$229=J$3,SUMIF('TL05'!$C$238:$C$451,$C390,'TL05'!$J$238:$J$451),0),
IF('TL06'!$B$3=J$3,SUMIF('TL06'!$C$10:$C$224,$C390,'TL06'!$J$10:$J$224),0),
IF('TL06'!$B$229=J$3,SUMIF('TL06'!$C$238:$C$451,$C390,'TL06'!$J$238:$J$451),0),
IF('TL07'!$B$3=J$3,SUMIF('TL07'!$C$10:$C$224,$C390,'TL07'!$J$10:$J$224),0),
IF('TL07'!$B$229=J$3,SUMIF('TL07'!$C$238:$C$451,$C390,'TL07'!$J$238:$J$451),0),
IF('TL08'!$B$3=J$3,SUMIF('TL08'!$C$10:$C$224,$C390,'TL08'!$J$10:$J$224),0),
IF('TL08'!$B$229=J$3,SUMIF('TL08'!$C$238:$C$451,$C390,'TL08'!$J$238:$J$451),0),
IF('TL09'!$B$3=J$3,SUMIF('TL09'!$C$10:$C$224,$C390,'TL09'!$J$10:$J$224),0),
IF('TL09'!$B$229=J$3,SUMIF('TL09'!$C$238:$C$451,$C390,'TL09'!$J$238:$J$451),0),
IF('TL10'!$B$3=J$3,SUMIF('TL10'!$C$10:$C$224,$C390,'TL10'!$J$10:$J$224),0),
IF('TL10'!$B$229=J$3,SUMIF('TL10'!$C$238:$C$451,$C390,'TL10'!$J$238:$J$451),0),
IF('TL11'!$B$3=J$3,SUMIF('TL11'!$C$10:$C$224,$C390,'TL11'!$J$10:$J$224),0),
IF('TL11'!$B$229=J$3,SUMIF('TL11'!$C$238:$C$451,$C390,'TL11'!$J$238:$J$451),0),
IF('TL12'!$B$3=J$3,SUMIF('TL12'!$C$10:$C$224,$C390,'TL12'!$J$10:$J$224),0),
IF('TL12'!$B$229=J$3,SUMIF('TL12'!$C$238:$C$451,$C390,'TL12'!$J$238:$J$451),0),
IF('TL13'!$B$3=J$3,SUMIF('TL13'!$C$10:$C$224,$C390,'TL13'!$J$10:$J$224),0),
IF('TL13'!$B$229=J$3,SUMIF('TL13'!$C$238:$C$451,$C390,'TL13'!$J$238:$J$451),0),
IF('TL14'!$B$3=J$3,SUMIF('TL14'!$C$10:$C$224,$C390,'TL14'!$J$10:$J$224),0),
IF('TL14'!$B$229=J$3,SUMIF('TL14'!$C$238:$C$451,$C390,'TL14'!$J$238:$J$451),0),
IF('TL15'!$B$3=J$3,SUMIF('TL15'!$C$10:$C$224,$C390,'TL15'!$J$10:$J$224),0),
IF('TL15'!$B$229=J$3,SUMIF('TL15'!$C$238:$C$451,$C390,'TL15'!$J$238:$J$451),0),
IF('TL16'!$B$3=J$3,SUMIF('TL16'!$C$10:$C$224,$C390,'TL16'!$J$10:$J$224),0),
IF('TL16'!$B$229=J$3,SUMIF('TL16'!$C$238:$C$451,$C390,'TL16'!$J$238:$J$451),0),
IF('TL17'!$B$3=J$3,SUMIF('TL17'!$C$10:$C$224,$C390,'TL17'!$J$10:$J$224),0),
IF('TL17'!$B$229=J$3,SUMIF('TL17'!$C$238:$C$451,$C390,'TL17'!$J$238:$J$451),0),
IF('TL18'!$B$3=J$3,SUMIF('TL18'!$C$10:$C$224,$C390,'TL18'!$J$10:$J$224),0),
IF('TL18'!$B$229=J$3,SUMIF('TL18'!$C$238:$C$451,$C390,'TL18'!$J$238:$J$451),0),
IF('TL19'!$B$3=J$3,SUMIF('TL19'!$C$10:$C$224,$C390,'TL19'!$J$10:$J$224),0),
IF('TL19'!$B$229=J$3,SUMIF('TL19'!$C$238:$C$451,$C390,'TL19'!$J$238:$J$451),0)
),0)</f>
        <v/>
      </c>
      <c r="K390" s="9">
        <f>IFERROR(SUM(
IF('TL01'!$B$3=K$3,SUMIF('TL01'!$C$10:$C$224,$C390,'TL01'!$J$10:$J$224),0),
IF('TL01'!$B$229=K$3,SUMIF('TL01'!$C$238:$C$451,$C390,'TL01'!$J$238:$J$451),0),
IF('TL02'!$B$3=K$3,SUMIF('TL02'!$C$10:$C$224,$C390,'TL02'!$J$10:$J$224),0),
IF('TL02'!$B$229=K$3,SUMIF('TL02'!$C$238:$C$451,$C390,'TL02'!$J$238:$J$451),0),
IF('TL03'!$B$3=K$3,SUMIF('TL03'!$C$10:$C$224,$C390,'TL03'!$J$10:$J$224),0),
IF('TL03'!$B$229=K$3,SUMIF('TL03'!$C$238:$C$451,$C390,'TL03'!$J$238:$J$451),0),
IF('TL04'!$B$3=K$3,SUMIF('TL04'!$C$10:$C$224,$C390,'TL04'!$J$10:$J$224),0),
IF('TL04'!$B$229=K$3,SUMIF('TL04'!$C$238:$C$451,$C390,'TL04'!$J$238:$J$451),0),
IF('TL05'!$B$3=K$3,SUMIF('TL05'!$C$10:$C$224,$C390,'TL05'!$J$10:$J$224),0),
IF('TL05'!$B$229=K$3,SUMIF('TL05'!$C$238:$C$451,$C390,'TL05'!$J$238:$J$451),0),
IF('TL06'!$B$3=K$3,SUMIF('TL06'!$C$10:$C$224,$C390,'TL06'!$J$10:$J$224),0),
IF('TL06'!$B$229=K$3,SUMIF('TL06'!$C$238:$C$451,$C390,'TL06'!$J$238:$J$451),0),
IF('TL07'!$B$3=K$3,SUMIF('TL07'!$C$10:$C$224,$C390,'TL07'!$J$10:$J$224),0),
IF('TL07'!$B$229=K$3,SUMIF('TL07'!$C$238:$C$451,$C390,'TL07'!$J$238:$J$451),0),
IF('TL08'!$B$3=K$3,SUMIF('TL08'!$C$10:$C$224,$C390,'TL08'!$J$10:$J$224),0),
IF('TL08'!$B$229=K$3,SUMIF('TL08'!$C$238:$C$451,$C390,'TL08'!$J$238:$J$451),0),
IF('TL09'!$B$3=K$3,SUMIF('TL09'!$C$10:$C$224,$C390,'TL09'!$J$10:$J$224),0),
IF('TL09'!$B$229=K$3,SUMIF('TL09'!$C$238:$C$451,$C390,'TL09'!$J$238:$J$451),0),
IF('TL10'!$B$3=K$3,SUMIF('TL10'!$C$10:$C$224,$C390,'TL10'!$J$10:$J$224),0),
IF('TL10'!$B$229=K$3,SUMIF('TL10'!$C$238:$C$451,$C390,'TL10'!$J$238:$J$451),0),
IF('TL11'!$B$3=K$3,SUMIF('TL11'!$C$10:$C$224,$C390,'TL11'!$J$10:$J$224),0),
IF('TL11'!$B$229=K$3,SUMIF('TL11'!$C$238:$C$451,$C390,'TL11'!$J$238:$J$451),0),
IF('TL12'!$B$3=K$3,SUMIF('TL12'!$C$10:$C$224,$C390,'TL12'!$J$10:$J$224),0),
IF('TL12'!$B$229=K$3,SUMIF('TL12'!$C$238:$C$451,$C390,'TL12'!$J$238:$J$451),0),
IF('TL13'!$B$3=K$3,SUMIF('TL13'!$C$10:$C$224,$C390,'TL13'!$J$10:$J$224),0),
IF('TL13'!$B$229=K$3,SUMIF('TL13'!$C$238:$C$451,$C390,'TL13'!$J$238:$J$451),0),
IF('TL14'!$B$3=K$3,SUMIF('TL14'!$C$10:$C$224,$C390,'TL14'!$J$10:$J$224),0),
IF('TL14'!$B$229=K$3,SUMIF('TL14'!$C$238:$C$451,$C390,'TL14'!$J$238:$J$451),0),
IF('TL15'!$B$3=K$3,SUMIF('TL15'!$C$10:$C$224,$C390,'TL15'!$J$10:$J$224),0),
IF('TL15'!$B$229=K$3,SUMIF('TL15'!$C$238:$C$451,$C390,'TL15'!$J$238:$J$451),0),
IF('TL16'!$B$3=K$3,SUMIF('TL16'!$C$10:$C$224,$C390,'TL16'!$J$10:$J$224),0),
IF('TL16'!$B$229=K$3,SUMIF('TL16'!$C$238:$C$451,$C390,'TL16'!$J$238:$J$451),0),
IF('TL17'!$B$3=K$3,SUMIF('TL17'!$C$10:$C$224,$C390,'TL17'!$J$10:$J$224),0),
IF('TL17'!$B$229=K$3,SUMIF('TL17'!$C$238:$C$451,$C390,'TL17'!$J$238:$J$451),0),
IF('TL18'!$B$3=K$3,SUMIF('TL18'!$C$10:$C$224,$C390,'TL18'!$J$10:$J$224),0),
IF('TL18'!$B$229=K$3,SUMIF('TL18'!$C$238:$C$451,$C390,'TL18'!$J$238:$J$451),0),
IF('TL19'!$B$3=K$3,SUMIF('TL19'!$C$10:$C$224,$C390,'TL19'!$J$10:$J$224),0),
IF('TL19'!$B$229=K$3,SUMIF('TL19'!$C$238:$C$451,$C390,'TL19'!$J$238:$J$451),0)
),0)</f>
        <v/>
      </c>
      <c r="L390" s="9">
        <f>IFERROR(SUM(
IF('TL01'!$B$3=L$3,SUMIF('TL01'!$C$10:$C$224,$C390,'TL01'!$J$10:$J$224),0),
IF('TL01'!$B$229=L$3,SUMIF('TL01'!$C$238:$C$451,$C390,'TL01'!$J$238:$J$451),0),
IF('TL02'!$B$3=L$3,SUMIF('TL02'!$C$10:$C$224,$C390,'TL02'!$J$10:$J$224),0),
IF('TL02'!$B$229=L$3,SUMIF('TL02'!$C$238:$C$451,$C390,'TL02'!$J$238:$J$451),0),
IF('TL03'!$B$3=L$3,SUMIF('TL03'!$C$10:$C$224,$C390,'TL03'!$J$10:$J$224),0),
IF('TL03'!$B$229=L$3,SUMIF('TL03'!$C$238:$C$451,$C390,'TL03'!$J$238:$J$451),0),
IF('TL04'!$B$3=L$3,SUMIF('TL04'!$C$10:$C$224,$C390,'TL04'!$J$10:$J$224),0),
IF('TL04'!$B$229=L$3,SUMIF('TL04'!$C$238:$C$451,$C390,'TL04'!$J$238:$J$451),0),
IF('TL05'!$B$3=L$3,SUMIF('TL05'!$C$10:$C$224,$C390,'TL05'!$J$10:$J$224),0),
IF('TL05'!$B$229=L$3,SUMIF('TL05'!$C$238:$C$451,$C390,'TL05'!$J$238:$J$451),0),
IF('TL06'!$B$3=L$3,SUMIF('TL06'!$C$10:$C$224,$C390,'TL06'!$J$10:$J$224),0),
IF('TL06'!$B$229=L$3,SUMIF('TL06'!$C$238:$C$451,$C390,'TL06'!$J$238:$J$451),0),
IF('TL07'!$B$3=L$3,SUMIF('TL07'!$C$10:$C$224,$C390,'TL07'!$J$10:$J$224),0),
IF('TL07'!$B$229=L$3,SUMIF('TL07'!$C$238:$C$451,$C390,'TL07'!$J$238:$J$451),0),
IF('TL08'!$B$3=L$3,SUMIF('TL08'!$C$10:$C$224,$C390,'TL08'!$J$10:$J$224),0),
IF('TL08'!$B$229=L$3,SUMIF('TL08'!$C$238:$C$451,$C390,'TL08'!$J$238:$J$451),0),
IF('TL09'!$B$3=L$3,SUMIF('TL09'!$C$10:$C$224,$C390,'TL09'!$J$10:$J$224),0),
IF('TL09'!$B$229=L$3,SUMIF('TL09'!$C$238:$C$451,$C390,'TL09'!$J$238:$J$451),0),
IF('TL10'!$B$3=L$3,SUMIF('TL10'!$C$10:$C$224,$C390,'TL10'!$J$10:$J$224),0),
IF('TL10'!$B$229=L$3,SUMIF('TL10'!$C$238:$C$451,$C390,'TL10'!$J$238:$J$451),0),
IF('TL11'!$B$3=L$3,SUMIF('TL11'!$C$10:$C$224,$C390,'TL11'!$J$10:$J$224),0),
IF('TL11'!$B$229=L$3,SUMIF('TL11'!$C$238:$C$451,$C390,'TL11'!$J$238:$J$451),0),
IF('TL12'!$B$3=L$3,SUMIF('TL12'!$C$10:$C$224,$C390,'TL12'!$J$10:$J$224),0),
IF('TL12'!$B$229=L$3,SUMIF('TL12'!$C$238:$C$451,$C390,'TL12'!$J$238:$J$451),0),
IF('TL13'!$B$3=L$3,SUMIF('TL13'!$C$10:$C$224,$C390,'TL13'!$J$10:$J$224),0),
IF('TL13'!$B$229=L$3,SUMIF('TL13'!$C$238:$C$451,$C390,'TL13'!$J$238:$J$451),0),
IF('TL14'!$B$3=L$3,SUMIF('TL14'!$C$10:$C$224,$C390,'TL14'!$J$10:$J$224),0),
IF('TL14'!$B$229=L$3,SUMIF('TL14'!$C$238:$C$451,$C390,'TL14'!$J$238:$J$451),0),
IF('TL15'!$B$3=L$3,SUMIF('TL15'!$C$10:$C$224,$C390,'TL15'!$J$10:$J$224),0),
IF('TL15'!$B$229=L$3,SUMIF('TL15'!$C$238:$C$451,$C390,'TL15'!$J$238:$J$451),0),
IF('TL16'!$B$3=L$3,SUMIF('TL16'!$C$10:$C$224,$C390,'TL16'!$J$10:$J$224),0),
IF('TL16'!$B$229=L$3,SUMIF('TL16'!$C$238:$C$451,$C390,'TL16'!$J$238:$J$451),0),
IF('TL17'!$B$3=L$3,SUMIF('TL17'!$C$10:$C$224,$C390,'TL17'!$J$10:$J$224),0),
IF('TL17'!$B$229=L$3,SUMIF('TL17'!$C$238:$C$451,$C390,'TL17'!$J$238:$J$451),0),
IF('TL18'!$B$3=L$3,SUMIF('TL18'!$C$10:$C$224,$C390,'TL18'!$J$10:$J$224),0),
IF('TL18'!$B$229=L$3,SUMIF('TL18'!$C$238:$C$451,$C390,'TL18'!$J$238:$J$451),0),
IF('TL19'!$B$3=L$3,SUMIF('TL19'!$C$10:$C$224,$C390,'TL19'!$J$10:$J$224),0),
IF('TL19'!$B$229=L$3,SUMIF('TL19'!$C$238:$C$451,$C390,'TL19'!$J$238:$J$451),0)
),0)</f>
        <v/>
      </c>
      <c r="M390" s="9">
        <f>IFERROR(SUM(
IF('TL01'!$B$3=M$3,SUMIF('TL01'!$C$10:$C$224,$C390,'TL01'!$J$10:$J$224),0),
IF('TL01'!$B$229=M$3,SUMIF('TL01'!$C$238:$C$451,$C390,'TL01'!$J$238:$J$451),0),
IF('TL02'!$B$3=M$3,SUMIF('TL02'!$C$10:$C$224,$C390,'TL02'!$J$10:$J$224),0),
IF('TL02'!$B$229=M$3,SUMIF('TL02'!$C$238:$C$451,$C390,'TL02'!$J$238:$J$451),0),
IF('TL03'!$B$3=M$3,SUMIF('TL03'!$C$10:$C$224,$C390,'TL03'!$J$10:$J$224),0),
IF('TL03'!$B$229=M$3,SUMIF('TL03'!$C$238:$C$451,$C390,'TL03'!$J$238:$J$451),0),
IF('TL04'!$B$3=M$3,SUMIF('TL04'!$C$10:$C$224,$C390,'TL04'!$J$10:$J$224),0),
IF('TL04'!$B$229=M$3,SUMIF('TL04'!$C$238:$C$451,$C390,'TL04'!$J$238:$J$451),0),
IF('TL05'!$B$3=M$3,SUMIF('TL05'!$C$10:$C$224,$C390,'TL05'!$J$10:$J$224),0),
IF('TL05'!$B$229=M$3,SUMIF('TL05'!$C$238:$C$451,$C390,'TL05'!$J$238:$J$451),0),
IF('TL06'!$B$3=M$3,SUMIF('TL06'!$C$10:$C$224,$C390,'TL06'!$J$10:$J$224),0),
IF('TL06'!$B$229=M$3,SUMIF('TL06'!$C$238:$C$451,$C390,'TL06'!$J$238:$J$451),0),
IF('TL07'!$B$3=M$3,SUMIF('TL07'!$C$10:$C$224,$C390,'TL07'!$J$10:$J$224),0),
IF('TL07'!$B$229=M$3,SUMIF('TL07'!$C$238:$C$451,$C390,'TL07'!$J$238:$J$451),0),
IF('TL08'!$B$3=M$3,SUMIF('TL08'!$C$10:$C$224,$C390,'TL08'!$J$10:$J$224),0),
IF('TL08'!$B$229=M$3,SUMIF('TL08'!$C$238:$C$451,$C390,'TL08'!$J$238:$J$451),0),
IF('TL09'!$B$3=M$3,SUMIF('TL09'!$C$10:$C$224,$C390,'TL09'!$J$10:$J$224),0),
IF('TL09'!$B$229=M$3,SUMIF('TL09'!$C$238:$C$451,$C390,'TL09'!$J$238:$J$451),0),
IF('TL10'!$B$3=M$3,SUMIF('TL10'!$C$10:$C$224,$C390,'TL10'!$J$10:$J$224),0),
IF('TL10'!$B$229=M$3,SUMIF('TL10'!$C$238:$C$451,$C390,'TL10'!$J$238:$J$451),0),
IF('TL11'!$B$3=M$3,SUMIF('TL11'!$C$10:$C$224,$C390,'TL11'!$J$10:$J$224),0),
IF('TL11'!$B$229=M$3,SUMIF('TL11'!$C$238:$C$451,$C390,'TL11'!$J$238:$J$451),0),
IF('TL12'!$B$3=M$3,SUMIF('TL12'!$C$10:$C$224,$C390,'TL12'!$J$10:$J$224),0),
IF('TL12'!$B$229=M$3,SUMIF('TL12'!$C$238:$C$451,$C390,'TL12'!$J$238:$J$451),0),
IF('TL13'!$B$3=M$3,SUMIF('TL13'!$C$10:$C$224,$C390,'TL13'!$J$10:$J$224),0),
IF('TL13'!$B$229=M$3,SUMIF('TL13'!$C$238:$C$451,$C390,'TL13'!$J$238:$J$451),0),
IF('TL14'!$B$3=M$3,SUMIF('TL14'!$C$10:$C$224,$C390,'TL14'!$J$10:$J$224),0),
IF('TL14'!$B$229=M$3,SUMIF('TL14'!$C$238:$C$451,$C390,'TL14'!$J$238:$J$451),0),
IF('TL15'!$B$3=M$3,SUMIF('TL15'!$C$10:$C$224,$C390,'TL15'!$J$10:$J$224),0),
IF('TL15'!$B$229=M$3,SUMIF('TL15'!$C$238:$C$451,$C390,'TL15'!$J$238:$J$451),0),
IF('TL16'!$B$3=M$3,SUMIF('TL16'!$C$10:$C$224,$C390,'TL16'!$J$10:$J$224),0),
IF('TL16'!$B$229=M$3,SUMIF('TL16'!$C$238:$C$451,$C390,'TL16'!$J$238:$J$451),0),
IF('TL17'!$B$3=M$3,SUMIF('TL17'!$C$10:$C$224,$C390,'TL17'!$J$10:$J$224),0),
IF('TL17'!$B$229=M$3,SUMIF('TL17'!$C$238:$C$451,$C390,'TL17'!$J$238:$J$451),0),
IF('TL18'!$B$3=M$3,SUMIF('TL18'!$C$10:$C$224,$C390,'TL18'!$J$10:$J$224),0),
IF('TL18'!$B$229=M$3,SUMIF('TL18'!$C$238:$C$451,$C390,'TL18'!$J$238:$J$451),0),
IF('TL19'!$B$3=M$3,SUMIF('TL19'!$C$10:$C$224,$C390,'TL19'!$J$10:$J$224),0),
IF('TL19'!$B$229=M$3,SUMIF('TL19'!$C$238:$C$451,$C390,'TL19'!$J$238:$J$451),0)
),0)</f>
        <v/>
      </c>
      <c r="N390" s="9">
        <f>IFERROR(SUM(
IF('TL01'!$B$3=N$3,SUMIF('TL01'!$C$10:$C$224,$C390,'TL01'!$J$10:$J$224),0),
IF('TL01'!$B$229=N$3,SUMIF('TL01'!$C$238:$C$451,$C390,'TL01'!$J$238:$J$451),0),
IF('TL02'!$B$3=N$3,SUMIF('TL02'!$C$10:$C$224,$C390,'TL02'!$J$10:$J$224),0),
IF('TL02'!$B$229=N$3,SUMIF('TL02'!$C$238:$C$451,$C390,'TL02'!$J$238:$J$451),0),
IF('TL03'!$B$3=N$3,SUMIF('TL03'!$C$10:$C$224,$C390,'TL03'!$J$10:$J$224),0),
IF('TL03'!$B$229=N$3,SUMIF('TL03'!$C$238:$C$451,$C390,'TL03'!$J$238:$J$451),0),
IF('TL04'!$B$3=N$3,SUMIF('TL04'!$C$10:$C$224,$C390,'TL04'!$J$10:$J$224),0),
IF('TL04'!$B$229=N$3,SUMIF('TL04'!$C$238:$C$451,$C390,'TL04'!$J$238:$J$451),0),
IF('TL05'!$B$3=N$3,SUMIF('TL05'!$C$10:$C$224,$C390,'TL05'!$J$10:$J$224),0),
IF('TL05'!$B$229=N$3,SUMIF('TL05'!$C$238:$C$451,$C390,'TL05'!$J$238:$J$451),0),
IF('TL06'!$B$3=N$3,SUMIF('TL06'!$C$10:$C$224,$C390,'TL06'!$J$10:$J$224),0),
IF('TL06'!$B$229=N$3,SUMIF('TL06'!$C$238:$C$451,$C390,'TL06'!$J$238:$J$451),0),
IF('TL07'!$B$3=N$3,SUMIF('TL07'!$C$10:$C$224,$C390,'TL07'!$J$10:$J$224),0),
IF('TL07'!$B$229=N$3,SUMIF('TL07'!$C$238:$C$451,$C390,'TL07'!$J$238:$J$451),0),
IF('TL08'!$B$3=N$3,SUMIF('TL08'!$C$10:$C$224,$C390,'TL08'!$J$10:$J$224),0),
IF('TL08'!$B$229=N$3,SUMIF('TL08'!$C$238:$C$451,$C390,'TL08'!$J$238:$J$451),0),
IF('TL09'!$B$3=N$3,SUMIF('TL09'!$C$10:$C$224,$C390,'TL09'!$J$10:$J$224),0),
IF('TL09'!$B$229=N$3,SUMIF('TL09'!$C$238:$C$451,$C390,'TL09'!$J$238:$J$451),0),
IF('TL10'!$B$3=N$3,SUMIF('TL10'!$C$10:$C$224,$C390,'TL10'!$J$10:$J$224),0),
IF('TL10'!$B$229=N$3,SUMIF('TL10'!$C$238:$C$451,$C390,'TL10'!$J$238:$J$451),0),
IF('TL11'!$B$3=N$3,SUMIF('TL11'!$C$10:$C$224,$C390,'TL11'!$J$10:$J$224),0),
IF('TL11'!$B$229=N$3,SUMIF('TL11'!$C$238:$C$451,$C390,'TL11'!$J$238:$J$451),0),
IF('TL12'!$B$3=N$3,SUMIF('TL12'!$C$10:$C$224,$C390,'TL12'!$J$10:$J$224),0),
IF('TL12'!$B$229=N$3,SUMIF('TL12'!$C$238:$C$451,$C390,'TL12'!$J$238:$J$451),0),
IF('TL13'!$B$3=N$3,SUMIF('TL13'!$C$10:$C$224,$C390,'TL13'!$J$10:$J$224),0),
IF('TL13'!$B$229=N$3,SUMIF('TL13'!$C$238:$C$451,$C390,'TL13'!$J$238:$J$451),0),
IF('TL14'!$B$3=N$3,SUMIF('TL14'!$C$10:$C$224,$C390,'TL14'!$J$10:$J$224),0),
IF('TL14'!$B$229=N$3,SUMIF('TL14'!$C$238:$C$451,$C390,'TL14'!$J$238:$J$451),0),
IF('TL15'!$B$3=N$3,SUMIF('TL15'!$C$10:$C$224,$C390,'TL15'!$J$10:$J$224),0),
IF('TL15'!$B$229=N$3,SUMIF('TL15'!$C$238:$C$451,$C390,'TL15'!$J$238:$J$451),0),
IF('TL16'!$B$3=N$3,SUMIF('TL16'!$C$10:$C$224,$C390,'TL16'!$J$10:$J$224),0),
IF('TL16'!$B$229=N$3,SUMIF('TL16'!$C$238:$C$451,$C390,'TL16'!$J$238:$J$451),0),
IF('TL17'!$B$3=N$3,SUMIF('TL17'!$C$10:$C$224,$C390,'TL17'!$J$10:$J$224),0),
IF('TL17'!$B$229=N$3,SUMIF('TL17'!$C$238:$C$451,$C390,'TL17'!$J$238:$J$451),0),
IF('TL18'!$B$3=N$3,SUMIF('TL18'!$C$10:$C$224,$C390,'TL18'!$J$10:$J$224),0),
IF('TL18'!$B$229=N$3,SUMIF('TL18'!$C$238:$C$451,$C390,'TL18'!$J$238:$J$451),0),
IF('TL19'!$B$3=N$3,SUMIF('TL19'!$C$10:$C$224,$C390,'TL19'!$J$10:$J$224),0),
IF('TL19'!$B$229=N$3,SUMIF('TL19'!$C$238:$C$451,$C390,'TL19'!$J$238:$J$451),0)
),0)</f>
        <v/>
      </c>
      <c r="O390" s="9">
        <f>IFERROR(SUM(
IF('TL01'!$B$3=O$3,SUMIF('TL01'!$C$10:$C$224,$C390,'TL01'!$J$10:$J$224),0),
IF('TL01'!$B$229=O$3,SUMIF('TL01'!$C$238:$C$451,$C390,'TL01'!$J$238:$J$451),0),
IF('TL02'!$B$3=O$3,SUMIF('TL02'!$C$10:$C$224,$C390,'TL02'!$J$10:$J$224),0),
IF('TL02'!$B$229=O$3,SUMIF('TL02'!$C$238:$C$451,$C390,'TL02'!$J$238:$J$451),0),
IF('TL03'!$B$3=O$3,SUMIF('TL03'!$C$10:$C$224,$C390,'TL03'!$J$10:$J$224),0),
IF('TL03'!$B$229=O$3,SUMIF('TL03'!$C$238:$C$451,$C390,'TL03'!$J$238:$J$451),0),
IF('TL04'!$B$3=O$3,SUMIF('TL04'!$C$10:$C$224,$C390,'TL04'!$J$10:$J$224),0),
IF('TL04'!$B$229=O$3,SUMIF('TL04'!$C$238:$C$451,$C390,'TL04'!$J$238:$J$451),0),
IF('TL05'!$B$3=O$3,SUMIF('TL05'!$C$10:$C$224,$C390,'TL05'!$J$10:$J$224),0),
IF('TL05'!$B$229=O$3,SUMIF('TL05'!$C$238:$C$451,$C390,'TL05'!$J$238:$J$451),0),
IF('TL06'!$B$3=O$3,SUMIF('TL06'!$C$10:$C$224,$C390,'TL06'!$J$10:$J$224),0),
IF('TL06'!$B$229=O$3,SUMIF('TL06'!$C$238:$C$451,$C390,'TL06'!$J$238:$J$451),0),
IF('TL07'!$B$3=O$3,SUMIF('TL07'!$C$10:$C$224,$C390,'TL07'!$J$10:$J$224),0),
IF('TL07'!$B$229=O$3,SUMIF('TL07'!$C$238:$C$451,$C390,'TL07'!$J$238:$J$451),0),
IF('TL08'!$B$3=O$3,SUMIF('TL08'!$C$10:$C$224,$C390,'TL08'!$J$10:$J$224),0),
IF('TL08'!$B$229=O$3,SUMIF('TL08'!$C$238:$C$451,$C390,'TL08'!$J$238:$J$451),0),
IF('TL09'!$B$3=O$3,SUMIF('TL09'!$C$10:$C$224,$C390,'TL09'!$J$10:$J$224),0),
IF('TL09'!$B$229=O$3,SUMIF('TL09'!$C$238:$C$451,$C390,'TL09'!$J$238:$J$451),0),
IF('TL10'!$B$3=O$3,SUMIF('TL10'!$C$10:$C$224,$C390,'TL10'!$J$10:$J$224),0),
IF('TL10'!$B$229=O$3,SUMIF('TL10'!$C$238:$C$451,$C390,'TL10'!$J$238:$J$451),0),
IF('TL11'!$B$3=O$3,SUMIF('TL11'!$C$10:$C$224,$C390,'TL11'!$J$10:$J$224),0),
IF('TL11'!$B$229=O$3,SUMIF('TL11'!$C$238:$C$451,$C390,'TL11'!$J$238:$J$451),0),
IF('TL12'!$B$3=O$3,SUMIF('TL12'!$C$10:$C$224,$C390,'TL12'!$J$10:$J$224),0),
IF('TL12'!$B$229=O$3,SUMIF('TL12'!$C$238:$C$451,$C390,'TL12'!$J$238:$J$451),0),
IF('TL13'!$B$3=O$3,SUMIF('TL13'!$C$10:$C$224,$C390,'TL13'!$J$10:$J$224),0),
IF('TL13'!$B$229=O$3,SUMIF('TL13'!$C$238:$C$451,$C390,'TL13'!$J$238:$J$451),0),
IF('TL14'!$B$3=O$3,SUMIF('TL14'!$C$10:$C$224,$C390,'TL14'!$J$10:$J$224),0),
IF('TL14'!$B$229=O$3,SUMIF('TL14'!$C$238:$C$451,$C390,'TL14'!$J$238:$J$451),0),
IF('TL15'!$B$3=O$3,SUMIF('TL15'!$C$10:$C$224,$C390,'TL15'!$J$10:$J$224),0),
IF('TL15'!$B$229=O$3,SUMIF('TL15'!$C$238:$C$451,$C390,'TL15'!$J$238:$J$451),0),
IF('TL16'!$B$3=O$3,SUMIF('TL16'!$C$10:$C$224,$C390,'TL16'!$J$10:$J$224),0),
IF('TL16'!$B$229=O$3,SUMIF('TL16'!$C$238:$C$451,$C390,'TL16'!$J$238:$J$451),0),
IF('TL17'!$B$3=O$3,SUMIF('TL17'!$C$10:$C$224,$C390,'TL17'!$J$10:$J$224),0),
IF('TL17'!$B$229=O$3,SUMIF('TL17'!$C$238:$C$451,$C390,'TL17'!$J$238:$J$451),0),
IF('TL18'!$B$3=O$3,SUMIF('TL18'!$C$10:$C$224,$C390,'TL18'!$J$10:$J$224),0),
IF('TL18'!$B$229=O$3,SUMIF('TL18'!$C$238:$C$451,$C390,'TL18'!$J$238:$J$451),0),
IF('TL19'!$B$3=O$3,SUMIF('TL19'!$C$10:$C$224,$C390,'TL19'!$J$10:$J$224),0),
IF('TL19'!$B$229=O$3,SUMIF('TL19'!$C$238:$C$451,$C390,'TL19'!$J$238:$J$451),0)
),0)</f>
        <v/>
      </c>
      <c r="P390" s="9">
        <f>IFERROR(SUM(
IF('TL01'!$B$3=P$3,SUMIF('TL01'!$C$10:$C$224,$C390,'TL01'!$J$10:$J$224),0),
IF('TL01'!$B$229=P$3,SUMIF('TL01'!$C$238:$C$451,$C390,'TL01'!$J$238:$J$451),0),
IF('TL02'!$B$3=P$3,SUMIF('TL02'!$C$10:$C$224,$C390,'TL02'!$J$10:$J$224),0),
IF('TL02'!$B$229=P$3,SUMIF('TL02'!$C$238:$C$451,$C390,'TL02'!$J$238:$J$451),0),
IF('TL03'!$B$3=P$3,SUMIF('TL03'!$C$10:$C$224,$C390,'TL03'!$J$10:$J$224),0),
IF('TL03'!$B$229=P$3,SUMIF('TL03'!$C$238:$C$451,$C390,'TL03'!$J$238:$J$451),0),
IF('TL04'!$B$3=P$3,SUMIF('TL04'!$C$10:$C$224,$C390,'TL04'!$J$10:$J$224),0),
IF('TL04'!$B$229=P$3,SUMIF('TL04'!$C$238:$C$451,$C390,'TL04'!$J$238:$J$451),0),
IF('TL05'!$B$3=P$3,SUMIF('TL05'!$C$10:$C$224,$C390,'TL05'!$J$10:$J$224),0),
IF('TL05'!$B$229=P$3,SUMIF('TL05'!$C$238:$C$451,$C390,'TL05'!$J$238:$J$451),0),
IF('TL06'!$B$3=P$3,SUMIF('TL06'!$C$10:$C$224,$C390,'TL06'!$J$10:$J$224),0),
IF('TL06'!$B$229=P$3,SUMIF('TL06'!$C$238:$C$451,$C390,'TL06'!$J$238:$J$451),0),
IF('TL07'!$B$3=P$3,SUMIF('TL07'!$C$10:$C$224,$C390,'TL07'!$J$10:$J$224),0),
IF('TL07'!$B$229=P$3,SUMIF('TL07'!$C$238:$C$451,$C390,'TL07'!$J$238:$J$451),0),
IF('TL08'!$B$3=P$3,SUMIF('TL08'!$C$10:$C$224,$C390,'TL08'!$J$10:$J$224),0),
IF('TL08'!$B$229=P$3,SUMIF('TL08'!$C$238:$C$451,$C390,'TL08'!$J$238:$J$451),0),
IF('TL09'!$B$3=P$3,SUMIF('TL09'!$C$10:$C$224,$C390,'TL09'!$J$10:$J$224),0),
IF('TL09'!$B$229=P$3,SUMIF('TL09'!$C$238:$C$451,$C390,'TL09'!$J$238:$J$451),0),
IF('TL10'!$B$3=P$3,SUMIF('TL10'!$C$10:$C$224,$C390,'TL10'!$J$10:$J$224),0),
IF('TL10'!$B$229=P$3,SUMIF('TL10'!$C$238:$C$451,$C390,'TL10'!$J$238:$J$451),0),
IF('TL11'!$B$3=P$3,SUMIF('TL11'!$C$10:$C$224,$C390,'TL11'!$J$10:$J$224),0),
IF('TL11'!$B$229=P$3,SUMIF('TL11'!$C$238:$C$451,$C390,'TL11'!$J$238:$J$451),0),
IF('TL12'!$B$3=P$3,SUMIF('TL12'!$C$10:$C$224,$C390,'TL12'!$J$10:$J$224),0),
IF('TL12'!$B$229=P$3,SUMIF('TL12'!$C$238:$C$451,$C390,'TL12'!$J$238:$J$451),0),
IF('TL13'!$B$3=P$3,SUMIF('TL13'!$C$10:$C$224,$C390,'TL13'!$J$10:$J$224),0),
IF('TL13'!$B$229=P$3,SUMIF('TL13'!$C$238:$C$451,$C390,'TL13'!$J$238:$J$451),0),
IF('TL14'!$B$3=P$3,SUMIF('TL14'!$C$10:$C$224,$C390,'TL14'!$J$10:$J$224),0),
IF('TL14'!$B$229=P$3,SUMIF('TL14'!$C$238:$C$451,$C390,'TL14'!$J$238:$J$451),0),
IF('TL15'!$B$3=P$3,SUMIF('TL15'!$C$10:$C$224,$C390,'TL15'!$J$10:$J$224),0),
IF('TL15'!$B$229=P$3,SUMIF('TL15'!$C$238:$C$451,$C390,'TL15'!$J$238:$J$451),0),
IF('TL16'!$B$3=P$3,SUMIF('TL16'!$C$10:$C$224,$C390,'TL16'!$J$10:$J$224),0),
IF('TL16'!$B$229=P$3,SUMIF('TL16'!$C$238:$C$451,$C390,'TL16'!$J$238:$J$451),0),
IF('TL17'!$B$3=P$3,SUMIF('TL17'!$C$10:$C$224,$C390,'TL17'!$J$10:$J$224),0),
IF('TL17'!$B$229=P$3,SUMIF('TL17'!$C$238:$C$451,$C390,'TL17'!$J$238:$J$451),0),
IF('TL18'!$B$3=P$3,SUMIF('TL18'!$C$10:$C$224,$C390,'TL18'!$J$10:$J$224),0),
IF('TL18'!$B$229=P$3,SUMIF('TL18'!$C$238:$C$451,$C390,'TL18'!$J$238:$J$451),0),
IF('TL19'!$B$3=P$3,SUMIF('TL19'!$C$10:$C$224,$C390,'TL19'!$J$10:$J$224),0),
IF('TL19'!$B$229=P$3,SUMIF('TL19'!$C$238:$C$451,$C390,'TL19'!$J$238:$J$451),0)
),0)</f>
        <v/>
      </c>
      <c r="Q390" s="9">
        <f>IFERROR(SUM(
IF('TL01'!$B$3=Q$3,SUMIF('TL01'!$C$10:$C$224,$C390,'TL01'!$J$10:$J$224),0),
IF('TL01'!$B$229=Q$3,SUMIF('TL01'!$C$238:$C$451,$C390,'TL01'!$J$238:$J$451),0),
IF('TL02'!$B$3=Q$3,SUMIF('TL02'!$C$10:$C$224,$C390,'TL02'!$J$10:$J$224),0),
IF('TL02'!$B$229=Q$3,SUMIF('TL02'!$C$238:$C$451,$C390,'TL02'!$J$238:$J$451),0),
IF('TL03'!$B$3=Q$3,SUMIF('TL03'!$C$10:$C$224,$C390,'TL03'!$J$10:$J$224),0),
IF('TL03'!$B$229=Q$3,SUMIF('TL03'!$C$238:$C$451,$C390,'TL03'!$J$238:$J$451),0),
IF('TL04'!$B$3=Q$3,SUMIF('TL04'!$C$10:$C$224,$C390,'TL04'!$J$10:$J$224),0),
IF('TL04'!$B$229=Q$3,SUMIF('TL04'!$C$238:$C$451,$C390,'TL04'!$J$238:$J$451),0),
IF('TL05'!$B$3=Q$3,SUMIF('TL05'!$C$10:$C$224,$C390,'TL05'!$J$10:$J$224),0),
IF('TL05'!$B$229=Q$3,SUMIF('TL05'!$C$238:$C$451,$C390,'TL05'!$J$238:$J$451),0),
IF('TL06'!$B$3=Q$3,SUMIF('TL06'!$C$10:$C$224,$C390,'TL06'!$J$10:$J$224),0),
IF('TL06'!$B$229=Q$3,SUMIF('TL06'!$C$238:$C$451,$C390,'TL06'!$J$238:$J$451),0),
IF('TL07'!$B$3=Q$3,SUMIF('TL07'!$C$10:$C$224,$C390,'TL07'!$J$10:$J$224),0),
IF('TL07'!$B$229=Q$3,SUMIF('TL07'!$C$238:$C$451,$C390,'TL07'!$J$238:$J$451),0),
IF('TL08'!$B$3=Q$3,SUMIF('TL08'!$C$10:$C$224,$C390,'TL08'!$J$10:$J$224),0),
IF('TL08'!$B$229=Q$3,SUMIF('TL08'!$C$238:$C$451,$C390,'TL08'!$J$238:$J$451),0),
IF('TL09'!$B$3=Q$3,SUMIF('TL09'!$C$10:$C$224,$C390,'TL09'!$J$10:$J$224),0),
IF('TL09'!$B$229=Q$3,SUMIF('TL09'!$C$238:$C$451,$C390,'TL09'!$J$238:$J$451),0),
IF('TL10'!$B$3=Q$3,SUMIF('TL10'!$C$10:$C$224,$C390,'TL10'!$J$10:$J$224),0),
IF('TL10'!$B$229=Q$3,SUMIF('TL10'!$C$238:$C$451,$C390,'TL10'!$J$238:$J$451),0),
IF('TL11'!$B$3=Q$3,SUMIF('TL11'!$C$10:$C$224,$C390,'TL11'!$J$10:$J$224),0),
IF('TL11'!$B$229=Q$3,SUMIF('TL11'!$C$238:$C$451,$C390,'TL11'!$J$238:$J$451),0),
IF('TL12'!$B$3=Q$3,SUMIF('TL12'!$C$10:$C$224,$C390,'TL12'!$J$10:$J$224),0),
IF('TL12'!$B$229=Q$3,SUMIF('TL12'!$C$238:$C$451,$C390,'TL12'!$J$238:$J$451),0),
IF('TL13'!$B$3=Q$3,SUMIF('TL13'!$C$10:$C$224,$C390,'TL13'!$J$10:$J$224),0),
IF('TL13'!$B$229=Q$3,SUMIF('TL13'!$C$238:$C$451,$C390,'TL13'!$J$238:$J$451),0),
IF('TL14'!$B$3=Q$3,SUMIF('TL14'!$C$10:$C$224,$C390,'TL14'!$J$10:$J$224),0),
IF('TL14'!$B$229=Q$3,SUMIF('TL14'!$C$238:$C$451,$C390,'TL14'!$J$238:$J$451),0),
IF('TL15'!$B$3=Q$3,SUMIF('TL15'!$C$10:$C$224,$C390,'TL15'!$J$10:$J$224),0),
IF('TL15'!$B$229=Q$3,SUMIF('TL15'!$C$238:$C$451,$C390,'TL15'!$J$238:$J$451),0),
IF('TL16'!$B$3=Q$3,SUMIF('TL16'!$C$10:$C$224,$C390,'TL16'!$J$10:$J$224),0),
IF('TL16'!$B$229=Q$3,SUMIF('TL16'!$C$238:$C$451,$C390,'TL16'!$J$238:$J$451),0),
IF('TL17'!$B$3=Q$3,SUMIF('TL17'!$C$10:$C$224,$C390,'TL17'!$J$10:$J$224),0),
IF('TL17'!$B$229=Q$3,SUMIF('TL17'!$C$238:$C$451,$C390,'TL17'!$J$238:$J$451),0),
IF('TL18'!$B$3=Q$3,SUMIF('TL18'!$C$10:$C$224,$C390,'TL18'!$J$10:$J$224),0),
IF('TL18'!$B$229=Q$3,SUMIF('TL18'!$C$238:$C$451,$C390,'TL18'!$J$238:$J$451),0),
IF('TL19'!$B$3=Q$3,SUMIF('TL19'!$C$10:$C$224,$C390,'TL19'!$J$10:$J$224),0),
IF('TL19'!$B$229=Q$3,SUMIF('TL19'!$C$238:$C$451,$C390,'TL19'!$J$238:$J$451),0)
),0)</f>
        <v/>
      </c>
      <c r="R390" s="9">
        <f>IFERROR(
SUM(
SUMIF('TL01'!C:C,C390,'TL01'!J:J),
SUMIF('TL02'!C:C,C390,'TL02'!J:J),
SUMIF('TL03'!C:C,C390,'TL03'!J:J),
SUMIF('TL04'!C:C,C390,'TL04'!J:J),
SUMIF('TL05'!C:C,C390,'TL05'!J:J),
SUMIF('TL06'!C:C,C390,'TL06'!J:J),
SUMIF('TL07'!C:C,C390,'TL07'!J:J),
SUMIF('TL08'!C:C,C390,'TL08'!J:J),
SUMIF('TL09'!C:C,C390,'TL09'!J:J),
SUMIF('TL10'!C:C,C390,'TL10'!J:J),
SUMIF('TL11'!C:C,C390,'TL11'!J:J),
SUMIF('TL12'!C:C,C390,'TL12'!J:J),
SUMIF('TL13'!C:C,C390,'TL13'!J:J),
SUMIF('TL14'!C:C,C390,'TL14'!J:J),
SUMIF('TL15'!C:C,C390,'TL15'!J:J),
SUMIF('TL16'!C:C,C390,'TL16'!J:J),
SUMIF('TL17'!C:C,C390,'TL17'!J:J),
SUMIF('TL18'!C:C,C390,'TL18'!J:J),SUMIF('TL19'!C:C,C390,'TL19'!J:J))
,0)</f>
        <v/>
      </c>
      <c r="S390" s="17">
        <f>IFERROR(__xludf.DUMMYFUNCTION("IFERROR(VLOOKUP(C390,
IMPORTRANGE(""1wULbzX32WdYsx-lj2U3uUNBBe2INVIRDtcK0d-Dvl90"",
""26-27!C:G""),
5,
FALSE),
"""")"),7.18)</f>
        <v/>
      </c>
      <c r="T390" s="9" t="n"/>
      <c r="U390" s="92">
        <f>MAX(0,R390-T390)</f>
        <v/>
      </c>
      <c r="V390" s="93">
        <f>U390*S390</f>
        <v/>
      </c>
    </row>
    <row r="391" hidden="1" ht="15.75" customHeight="1" s="297">
      <c r="A391" s="4" t="n"/>
      <c r="B391" s="125" t="n"/>
      <c r="C391" s="20" t="n"/>
      <c r="D391" s="20" t="n"/>
      <c r="E391" s="9" t="n"/>
      <c r="F391" s="4" t="n"/>
      <c r="G391" s="90">
        <f>HYPERLINK("https://www.google.com/search?q=" &amp; C391 &amp; "+bula+agrofit+pdf", "📄 Ver bula")</f>
        <v/>
      </c>
      <c r="H391" s="9" t="n"/>
      <c r="I391" s="1" t="n"/>
      <c r="J391" s="9">
        <f>IFERROR(SUM(
IF('TL01'!$B$3=J$3,SUMIF('TL01'!$C$10:$C$224,$C391,'TL01'!$J$10:$J$224),0),
IF('TL01'!$B$229=J$3,SUMIF('TL01'!$C$238:$C$451,$C391,'TL01'!$J$238:$J$451),0),
IF('TL02'!$B$3=J$3,SUMIF('TL02'!$C$10:$C$224,$C391,'TL02'!$J$10:$J$224),0),
IF('TL02'!$B$229=J$3,SUMIF('TL02'!$C$238:$C$451,$C391,'TL02'!$J$238:$J$451),0),
IF('TL03'!$B$3=J$3,SUMIF('TL03'!$C$10:$C$224,$C391,'TL03'!$J$10:$J$224),0),
IF('TL03'!$B$229=J$3,SUMIF('TL03'!$C$238:$C$451,$C391,'TL03'!$J$238:$J$451),0),
IF('TL04'!$B$3=J$3,SUMIF('TL04'!$C$10:$C$224,$C391,'TL04'!$J$10:$J$224),0),
IF('TL04'!$B$229=J$3,SUMIF('TL04'!$C$238:$C$451,$C391,'TL04'!$J$238:$J$451),0),
IF('TL05'!$B$3=J$3,SUMIF('TL05'!$C$10:$C$224,$C391,'TL05'!$J$10:$J$224),0),
IF('TL05'!$B$229=J$3,SUMIF('TL05'!$C$238:$C$451,$C391,'TL05'!$J$238:$J$451),0),
IF('TL06'!$B$3=J$3,SUMIF('TL06'!$C$10:$C$224,$C391,'TL06'!$J$10:$J$224),0),
IF('TL06'!$B$229=J$3,SUMIF('TL06'!$C$238:$C$451,$C391,'TL06'!$J$238:$J$451),0),
IF('TL07'!$B$3=J$3,SUMIF('TL07'!$C$10:$C$224,$C391,'TL07'!$J$10:$J$224),0),
IF('TL07'!$B$229=J$3,SUMIF('TL07'!$C$238:$C$451,$C391,'TL07'!$J$238:$J$451),0),
IF('TL08'!$B$3=J$3,SUMIF('TL08'!$C$10:$C$224,$C391,'TL08'!$J$10:$J$224),0),
IF('TL08'!$B$229=J$3,SUMIF('TL08'!$C$238:$C$451,$C391,'TL08'!$J$238:$J$451),0),
IF('TL09'!$B$3=J$3,SUMIF('TL09'!$C$10:$C$224,$C391,'TL09'!$J$10:$J$224),0),
IF('TL09'!$B$229=J$3,SUMIF('TL09'!$C$238:$C$451,$C391,'TL09'!$J$238:$J$451),0),
IF('TL10'!$B$3=J$3,SUMIF('TL10'!$C$10:$C$224,$C391,'TL10'!$J$10:$J$224),0),
IF('TL10'!$B$229=J$3,SUMIF('TL10'!$C$238:$C$451,$C391,'TL10'!$J$238:$J$451),0),
IF('TL11'!$B$3=J$3,SUMIF('TL11'!$C$10:$C$224,$C391,'TL11'!$J$10:$J$224),0),
IF('TL11'!$B$229=J$3,SUMIF('TL11'!$C$238:$C$451,$C391,'TL11'!$J$238:$J$451),0),
IF('TL12'!$B$3=J$3,SUMIF('TL12'!$C$10:$C$224,$C391,'TL12'!$J$10:$J$224),0),
IF('TL12'!$B$229=J$3,SUMIF('TL12'!$C$238:$C$451,$C391,'TL12'!$J$238:$J$451),0),
IF('TL13'!$B$3=J$3,SUMIF('TL13'!$C$10:$C$224,$C391,'TL13'!$J$10:$J$224),0),
IF('TL13'!$B$229=J$3,SUMIF('TL13'!$C$238:$C$451,$C391,'TL13'!$J$238:$J$451),0),
IF('TL14'!$B$3=J$3,SUMIF('TL14'!$C$10:$C$224,$C391,'TL14'!$J$10:$J$224),0),
IF('TL14'!$B$229=J$3,SUMIF('TL14'!$C$238:$C$451,$C391,'TL14'!$J$238:$J$451),0),
IF('TL15'!$B$3=J$3,SUMIF('TL15'!$C$10:$C$224,$C391,'TL15'!$J$10:$J$224),0),
IF('TL15'!$B$229=J$3,SUMIF('TL15'!$C$238:$C$451,$C391,'TL15'!$J$238:$J$451),0),
IF('TL16'!$B$3=J$3,SUMIF('TL16'!$C$10:$C$224,$C391,'TL16'!$J$10:$J$224),0),
IF('TL16'!$B$229=J$3,SUMIF('TL16'!$C$238:$C$451,$C391,'TL16'!$J$238:$J$451),0),
IF('TL17'!$B$3=J$3,SUMIF('TL17'!$C$10:$C$224,$C391,'TL17'!$J$10:$J$224),0),
IF('TL17'!$B$229=J$3,SUMIF('TL17'!$C$238:$C$451,$C391,'TL17'!$J$238:$J$451),0),
IF('TL18'!$B$3=J$3,SUMIF('TL18'!$C$10:$C$224,$C391,'TL18'!$J$10:$J$224),0),
IF('TL18'!$B$229=J$3,SUMIF('TL18'!$C$238:$C$451,$C391,'TL18'!$J$238:$J$451),0),
IF('TL19'!$B$3=J$3,SUMIF('TL19'!$C$10:$C$224,$C391,'TL19'!$J$10:$J$224),0),
IF('TL19'!$B$229=J$3,SUMIF('TL19'!$C$238:$C$451,$C391,'TL19'!$J$238:$J$451),0)
),0)</f>
        <v/>
      </c>
      <c r="K391" s="9">
        <f>IFERROR(SUM(
IF('TL01'!$B$3=K$3,SUMIF('TL01'!$C$10:$C$224,$C391,'TL01'!$J$10:$J$224),0),
IF('TL01'!$B$229=K$3,SUMIF('TL01'!$C$238:$C$451,$C391,'TL01'!$J$238:$J$451),0),
IF('TL02'!$B$3=K$3,SUMIF('TL02'!$C$10:$C$224,$C391,'TL02'!$J$10:$J$224),0),
IF('TL02'!$B$229=K$3,SUMIF('TL02'!$C$238:$C$451,$C391,'TL02'!$J$238:$J$451),0),
IF('TL03'!$B$3=K$3,SUMIF('TL03'!$C$10:$C$224,$C391,'TL03'!$J$10:$J$224),0),
IF('TL03'!$B$229=K$3,SUMIF('TL03'!$C$238:$C$451,$C391,'TL03'!$J$238:$J$451),0),
IF('TL04'!$B$3=K$3,SUMIF('TL04'!$C$10:$C$224,$C391,'TL04'!$J$10:$J$224),0),
IF('TL04'!$B$229=K$3,SUMIF('TL04'!$C$238:$C$451,$C391,'TL04'!$J$238:$J$451),0),
IF('TL05'!$B$3=K$3,SUMIF('TL05'!$C$10:$C$224,$C391,'TL05'!$J$10:$J$224),0),
IF('TL05'!$B$229=K$3,SUMIF('TL05'!$C$238:$C$451,$C391,'TL05'!$J$238:$J$451),0),
IF('TL06'!$B$3=K$3,SUMIF('TL06'!$C$10:$C$224,$C391,'TL06'!$J$10:$J$224),0),
IF('TL06'!$B$229=K$3,SUMIF('TL06'!$C$238:$C$451,$C391,'TL06'!$J$238:$J$451),0),
IF('TL07'!$B$3=K$3,SUMIF('TL07'!$C$10:$C$224,$C391,'TL07'!$J$10:$J$224),0),
IF('TL07'!$B$229=K$3,SUMIF('TL07'!$C$238:$C$451,$C391,'TL07'!$J$238:$J$451),0),
IF('TL08'!$B$3=K$3,SUMIF('TL08'!$C$10:$C$224,$C391,'TL08'!$J$10:$J$224),0),
IF('TL08'!$B$229=K$3,SUMIF('TL08'!$C$238:$C$451,$C391,'TL08'!$J$238:$J$451),0),
IF('TL09'!$B$3=K$3,SUMIF('TL09'!$C$10:$C$224,$C391,'TL09'!$J$10:$J$224),0),
IF('TL09'!$B$229=K$3,SUMIF('TL09'!$C$238:$C$451,$C391,'TL09'!$J$238:$J$451),0),
IF('TL10'!$B$3=K$3,SUMIF('TL10'!$C$10:$C$224,$C391,'TL10'!$J$10:$J$224),0),
IF('TL10'!$B$229=K$3,SUMIF('TL10'!$C$238:$C$451,$C391,'TL10'!$J$238:$J$451),0),
IF('TL11'!$B$3=K$3,SUMIF('TL11'!$C$10:$C$224,$C391,'TL11'!$J$10:$J$224),0),
IF('TL11'!$B$229=K$3,SUMIF('TL11'!$C$238:$C$451,$C391,'TL11'!$J$238:$J$451),0),
IF('TL12'!$B$3=K$3,SUMIF('TL12'!$C$10:$C$224,$C391,'TL12'!$J$10:$J$224),0),
IF('TL12'!$B$229=K$3,SUMIF('TL12'!$C$238:$C$451,$C391,'TL12'!$J$238:$J$451),0),
IF('TL13'!$B$3=K$3,SUMIF('TL13'!$C$10:$C$224,$C391,'TL13'!$J$10:$J$224),0),
IF('TL13'!$B$229=K$3,SUMIF('TL13'!$C$238:$C$451,$C391,'TL13'!$J$238:$J$451),0),
IF('TL14'!$B$3=K$3,SUMIF('TL14'!$C$10:$C$224,$C391,'TL14'!$J$10:$J$224),0),
IF('TL14'!$B$229=K$3,SUMIF('TL14'!$C$238:$C$451,$C391,'TL14'!$J$238:$J$451),0),
IF('TL15'!$B$3=K$3,SUMIF('TL15'!$C$10:$C$224,$C391,'TL15'!$J$10:$J$224),0),
IF('TL15'!$B$229=K$3,SUMIF('TL15'!$C$238:$C$451,$C391,'TL15'!$J$238:$J$451),0),
IF('TL16'!$B$3=K$3,SUMIF('TL16'!$C$10:$C$224,$C391,'TL16'!$J$10:$J$224),0),
IF('TL16'!$B$229=K$3,SUMIF('TL16'!$C$238:$C$451,$C391,'TL16'!$J$238:$J$451),0),
IF('TL17'!$B$3=K$3,SUMIF('TL17'!$C$10:$C$224,$C391,'TL17'!$J$10:$J$224),0),
IF('TL17'!$B$229=K$3,SUMIF('TL17'!$C$238:$C$451,$C391,'TL17'!$J$238:$J$451),0),
IF('TL18'!$B$3=K$3,SUMIF('TL18'!$C$10:$C$224,$C391,'TL18'!$J$10:$J$224),0),
IF('TL18'!$B$229=K$3,SUMIF('TL18'!$C$238:$C$451,$C391,'TL18'!$J$238:$J$451),0),
IF('TL19'!$B$3=K$3,SUMIF('TL19'!$C$10:$C$224,$C391,'TL19'!$J$10:$J$224),0),
IF('TL19'!$B$229=K$3,SUMIF('TL19'!$C$238:$C$451,$C391,'TL19'!$J$238:$J$451),0)
),0)</f>
        <v/>
      </c>
      <c r="L391" s="9">
        <f>IFERROR(SUM(
IF('TL01'!$B$3=L$3,SUMIF('TL01'!$C$10:$C$224,$C391,'TL01'!$J$10:$J$224),0),
IF('TL01'!$B$229=L$3,SUMIF('TL01'!$C$238:$C$451,$C391,'TL01'!$J$238:$J$451),0),
IF('TL02'!$B$3=L$3,SUMIF('TL02'!$C$10:$C$224,$C391,'TL02'!$J$10:$J$224),0),
IF('TL02'!$B$229=L$3,SUMIF('TL02'!$C$238:$C$451,$C391,'TL02'!$J$238:$J$451),0),
IF('TL03'!$B$3=L$3,SUMIF('TL03'!$C$10:$C$224,$C391,'TL03'!$J$10:$J$224),0),
IF('TL03'!$B$229=L$3,SUMIF('TL03'!$C$238:$C$451,$C391,'TL03'!$J$238:$J$451),0),
IF('TL04'!$B$3=L$3,SUMIF('TL04'!$C$10:$C$224,$C391,'TL04'!$J$10:$J$224),0),
IF('TL04'!$B$229=L$3,SUMIF('TL04'!$C$238:$C$451,$C391,'TL04'!$J$238:$J$451),0),
IF('TL05'!$B$3=L$3,SUMIF('TL05'!$C$10:$C$224,$C391,'TL05'!$J$10:$J$224),0),
IF('TL05'!$B$229=L$3,SUMIF('TL05'!$C$238:$C$451,$C391,'TL05'!$J$238:$J$451),0),
IF('TL06'!$B$3=L$3,SUMIF('TL06'!$C$10:$C$224,$C391,'TL06'!$J$10:$J$224),0),
IF('TL06'!$B$229=L$3,SUMIF('TL06'!$C$238:$C$451,$C391,'TL06'!$J$238:$J$451),0),
IF('TL07'!$B$3=L$3,SUMIF('TL07'!$C$10:$C$224,$C391,'TL07'!$J$10:$J$224),0),
IF('TL07'!$B$229=L$3,SUMIF('TL07'!$C$238:$C$451,$C391,'TL07'!$J$238:$J$451),0),
IF('TL08'!$B$3=L$3,SUMIF('TL08'!$C$10:$C$224,$C391,'TL08'!$J$10:$J$224),0),
IF('TL08'!$B$229=L$3,SUMIF('TL08'!$C$238:$C$451,$C391,'TL08'!$J$238:$J$451),0),
IF('TL09'!$B$3=L$3,SUMIF('TL09'!$C$10:$C$224,$C391,'TL09'!$J$10:$J$224),0),
IF('TL09'!$B$229=L$3,SUMIF('TL09'!$C$238:$C$451,$C391,'TL09'!$J$238:$J$451),0),
IF('TL10'!$B$3=L$3,SUMIF('TL10'!$C$10:$C$224,$C391,'TL10'!$J$10:$J$224),0),
IF('TL10'!$B$229=L$3,SUMIF('TL10'!$C$238:$C$451,$C391,'TL10'!$J$238:$J$451),0),
IF('TL11'!$B$3=L$3,SUMIF('TL11'!$C$10:$C$224,$C391,'TL11'!$J$10:$J$224),0),
IF('TL11'!$B$229=L$3,SUMIF('TL11'!$C$238:$C$451,$C391,'TL11'!$J$238:$J$451),0),
IF('TL12'!$B$3=L$3,SUMIF('TL12'!$C$10:$C$224,$C391,'TL12'!$J$10:$J$224),0),
IF('TL12'!$B$229=L$3,SUMIF('TL12'!$C$238:$C$451,$C391,'TL12'!$J$238:$J$451),0),
IF('TL13'!$B$3=L$3,SUMIF('TL13'!$C$10:$C$224,$C391,'TL13'!$J$10:$J$224),0),
IF('TL13'!$B$229=L$3,SUMIF('TL13'!$C$238:$C$451,$C391,'TL13'!$J$238:$J$451),0),
IF('TL14'!$B$3=L$3,SUMIF('TL14'!$C$10:$C$224,$C391,'TL14'!$J$10:$J$224),0),
IF('TL14'!$B$229=L$3,SUMIF('TL14'!$C$238:$C$451,$C391,'TL14'!$J$238:$J$451),0),
IF('TL15'!$B$3=L$3,SUMIF('TL15'!$C$10:$C$224,$C391,'TL15'!$J$10:$J$224),0),
IF('TL15'!$B$229=L$3,SUMIF('TL15'!$C$238:$C$451,$C391,'TL15'!$J$238:$J$451),0),
IF('TL16'!$B$3=L$3,SUMIF('TL16'!$C$10:$C$224,$C391,'TL16'!$J$10:$J$224),0),
IF('TL16'!$B$229=L$3,SUMIF('TL16'!$C$238:$C$451,$C391,'TL16'!$J$238:$J$451),0),
IF('TL17'!$B$3=L$3,SUMIF('TL17'!$C$10:$C$224,$C391,'TL17'!$J$10:$J$224),0),
IF('TL17'!$B$229=L$3,SUMIF('TL17'!$C$238:$C$451,$C391,'TL17'!$J$238:$J$451),0),
IF('TL18'!$B$3=L$3,SUMIF('TL18'!$C$10:$C$224,$C391,'TL18'!$J$10:$J$224),0),
IF('TL18'!$B$229=L$3,SUMIF('TL18'!$C$238:$C$451,$C391,'TL18'!$J$238:$J$451),0),
IF('TL19'!$B$3=L$3,SUMIF('TL19'!$C$10:$C$224,$C391,'TL19'!$J$10:$J$224),0),
IF('TL19'!$B$229=L$3,SUMIF('TL19'!$C$238:$C$451,$C391,'TL19'!$J$238:$J$451),0)
),0)</f>
        <v/>
      </c>
      <c r="M391" s="9">
        <f>IFERROR(SUM(
IF('TL01'!$B$3=M$3,SUMIF('TL01'!$C$10:$C$224,$C391,'TL01'!$J$10:$J$224),0),
IF('TL01'!$B$229=M$3,SUMIF('TL01'!$C$238:$C$451,$C391,'TL01'!$J$238:$J$451),0),
IF('TL02'!$B$3=M$3,SUMIF('TL02'!$C$10:$C$224,$C391,'TL02'!$J$10:$J$224),0),
IF('TL02'!$B$229=M$3,SUMIF('TL02'!$C$238:$C$451,$C391,'TL02'!$J$238:$J$451),0),
IF('TL03'!$B$3=M$3,SUMIF('TL03'!$C$10:$C$224,$C391,'TL03'!$J$10:$J$224),0),
IF('TL03'!$B$229=M$3,SUMIF('TL03'!$C$238:$C$451,$C391,'TL03'!$J$238:$J$451),0),
IF('TL04'!$B$3=M$3,SUMIF('TL04'!$C$10:$C$224,$C391,'TL04'!$J$10:$J$224),0),
IF('TL04'!$B$229=M$3,SUMIF('TL04'!$C$238:$C$451,$C391,'TL04'!$J$238:$J$451),0),
IF('TL05'!$B$3=M$3,SUMIF('TL05'!$C$10:$C$224,$C391,'TL05'!$J$10:$J$224),0),
IF('TL05'!$B$229=M$3,SUMIF('TL05'!$C$238:$C$451,$C391,'TL05'!$J$238:$J$451),0),
IF('TL06'!$B$3=M$3,SUMIF('TL06'!$C$10:$C$224,$C391,'TL06'!$J$10:$J$224),0),
IF('TL06'!$B$229=M$3,SUMIF('TL06'!$C$238:$C$451,$C391,'TL06'!$J$238:$J$451),0),
IF('TL07'!$B$3=M$3,SUMIF('TL07'!$C$10:$C$224,$C391,'TL07'!$J$10:$J$224),0),
IF('TL07'!$B$229=M$3,SUMIF('TL07'!$C$238:$C$451,$C391,'TL07'!$J$238:$J$451),0),
IF('TL08'!$B$3=M$3,SUMIF('TL08'!$C$10:$C$224,$C391,'TL08'!$J$10:$J$224),0),
IF('TL08'!$B$229=M$3,SUMIF('TL08'!$C$238:$C$451,$C391,'TL08'!$J$238:$J$451),0),
IF('TL09'!$B$3=M$3,SUMIF('TL09'!$C$10:$C$224,$C391,'TL09'!$J$10:$J$224),0),
IF('TL09'!$B$229=M$3,SUMIF('TL09'!$C$238:$C$451,$C391,'TL09'!$J$238:$J$451),0),
IF('TL10'!$B$3=M$3,SUMIF('TL10'!$C$10:$C$224,$C391,'TL10'!$J$10:$J$224),0),
IF('TL10'!$B$229=M$3,SUMIF('TL10'!$C$238:$C$451,$C391,'TL10'!$J$238:$J$451),0),
IF('TL11'!$B$3=M$3,SUMIF('TL11'!$C$10:$C$224,$C391,'TL11'!$J$10:$J$224),0),
IF('TL11'!$B$229=M$3,SUMIF('TL11'!$C$238:$C$451,$C391,'TL11'!$J$238:$J$451),0),
IF('TL12'!$B$3=M$3,SUMIF('TL12'!$C$10:$C$224,$C391,'TL12'!$J$10:$J$224),0),
IF('TL12'!$B$229=M$3,SUMIF('TL12'!$C$238:$C$451,$C391,'TL12'!$J$238:$J$451),0),
IF('TL13'!$B$3=M$3,SUMIF('TL13'!$C$10:$C$224,$C391,'TL13'!$J$10:$J$224),0),
IF('TL13'!$B$229=M$3,SUMIF('TL13'!$C$238:$C$451,$C391,'TL13'!$J$238:$J$451),0),
IF('TL14'!$B$3=M$3,SUMIF('TL14'!$C$10:$C$224,$C391,'TL14'!$J$10:$J$224),0),
IF('TL14'!$B$229=M$3,SUMIF('TL14'!$C$238:$C$451,$C391,'TL14'!$J$238:$J$451),0),
IF('TL15'!$B$3=M$3,SUMIF('TL15'!$C$10:$C$224,$C391,'TL15'!$J$10:$J$224),0),
IF('TL15'!$B$229=M$3,SUMIF('TL15'!$C$238:$C$451,$C391,'TL15'!$J$238:$J$451),0),
IF('TL16'!$B$3=M$3,SUMIF('TL16'!$C$10:$C$224,$C391,'TL16'!$J$10:$J$224),0),
IF('TL16'!$B$229=M$3,SUMIF('TL16'!$C$238:$C$451,$C391,'TL16'!$J$238:$J$451),0),
IF('TL17'!$B$3=M$3,SUMIF('TL17'!$C$10:$C$224,$C391,'TL17'!$J$10:$J$224),0),
IF('TL17'!$B$229=M$3,SUMIF('TL17'!$C$238:$C$451,$C391,'TL17'!$J$238:$J$451),0),
IF('TL18'!$B$3=M$3,SUMIF('TL18'!$C$10:$C$224,$C391,'TL18'!$J$10:$J$224),0),
IF('TL18'!$B$229=M$3,SUMIF('TL18'!$C$238:$C$451,$C391,'TL18'!$J$238:$J$451),0),
IF('TL19'!$B$3=M$3,SUMIF('TL19'!$C$10:$C$224,$C391,'TL19'!$J$10:$J$224),0),
IF('TL19'!$B$229=M$3,SUMIF('TL19'!$C$238:$C$451,$C391,'TL19'!$J$238:$J$451),0)
),0)</f>
        <v/>
      </c>
      <c r="N391" s="9">
        <f>IFERROR(SUM(
IF('TL01'!$B$3=N$3,SUMIF('TL01'!$C$10:$C$224,$C391,'TL01'!$J$10:$J$224),0),
IF('TL01'!$B$229=N$3,SUMIF('TL01'!$C$238:$C$451,$C391,'TL01'!$J$238:$J$451),0),
IF('TL02'!$B$3=N$3,SUMIF('TL02'!$C$10:$C$224,$C391,'TL02'!$J$10:$J$224),0),
IF('TL02'!$B$229=N$3,SUMIF('TL02'!$C$238:$C$451,$C391,'TL02'!$J$238:$J$451),0),
IF('TL03'!$B$3=N$3,SUMIF('TL03'!$C$10:$C$224,$C391,'TL03'!$J$10:$J$224),0),
IF('TL03'!$B$229=N$3,SUMIF('TL03'!$C$238:$C$451,$C391,'TL03'!$J$238:$J$451),0),
IF('TL04'!$B$3=N$3,SUMIF('TL04'!$C$10:$C$224,$C391,'TL04'!$J$10:$J$224),0),
IF('TL04'!$B$229=N$3,SUMIF('TL04'!$C$238:$C$451,$C391,'TL04'!$J$238:$J$451),0),
IF('TL05'!$B$3=N$3,SUMIF('TL05'!$C$10:$C$224,$C391,'TL05'!$J$10:$J$224),0),
IF('TL05'!$B$229=N$3,SUMIF('TL05'!$C$238:$C$451,$C391,'TL05'!$J$238:$J$451),0),
IF('TL06'!$B$3=N$3,SUMIF('TL06'!$C$10:$C$224,$C391,'TL06'!$J$10:$J$224),0),
IF('TL06'!$B$229=N$3,SUMIF('TL06'!$C$238:$C$451,$C391,'TL06'!$J$238:$J$451),0),
IF('TL07'!$B$3=N$3,SUMIF('TL07'!$C$10:$C$224,$C391,'TL07'!$J$10:$J$224),0),
IF('TL07'!$B$229=N$3,SUMIF('TL07'!$C$238:$C$451,$C391,'TL07'!$J$238:$J$451),0),
IF('TL08'!$B$3=N$3,SUMIF('TL08'!$C$10:$C$224,$C391,'TL08'!$J$10:$J$224),0),
IF('TL08'!$B$229=N$3,SUMIF('TL08'!$C$238:$C$451,$C391,'TL08'!$J$238:$J$451),0),
IF('TL09'!$B$3=N$3,SUMIF('TL09'!$C$10:$C$224,$C391,'TL09'!$J$10:$J$224),0),
IF('TL09'!$B$229=N$3,SUMIF('TL09'!$C$238:$C$451,$C391,'TL09'!$J$238:$J$451),0),
IF('TL10'!$B$3=N$3,SUMIF('TL10'!$C$10:$C$224,$C391,'TL10'!$J$10:$J$224),0),
IF('TL10'!$B$229=N$3,SUMIF('TL10'!$C$238:$C$451,$C391,'TL10'!$J$238:$J$451),0),
IF('TL11'!$B$3=N$3,SUMIF('TL11'!$C$10:$C$224,$C391,'TL11'!$J$10:$J$224),0),
IF('TL11'!$B$229=N$3,SUMIF('TL11'!$C$238:$C$451,$C391,'TL11'!$J$238:$J$451),0),
IF('TL12'!$B$3=N$3,SUMIF('TL12'!$C$10:$C$224,$C391,'TL12'!$J$10:$J$224),0),
IF('TL12'!$B$229=N$3,SUMIF('TL12'!$C$238:$C$451,$C391,'TL12'!$J$238:$J$451),0),
IF('TL13'!$B$3=N$3,SUMIF('TL13'!$C$10:$C$224,$C391,'TL13'!$J$10:$J$224),0),
IF('TL13'!$B$229=N$3,SUMIF('TL13'!$C$238:$C$451,$C391,'TL13'!$J$238:$J$451),0),
IF('TL14'!$B$3=N$3,SUMIF('TL14'!$C$10:$C$224,$C391,'TL14'!$J$10:$J$224),0),
IF('TL14'!$B$229=N$3,SUMIF('TL14'!$C$238:$C$451,$C391,'TL14'!$J$238:$J$451),0),
IF('TL15'!$B$3=N$3,SUMIF('TL15'!$C$10:$C$224,$C391,'TL15'!$J$10:$J$224),0),
IF('TL15'!$B$229=N$3,SUMIF('TL15'!$C$238:$C$451,$C391,'TL15'!$J$238:$J$451),0),
IF('TL16'!$B$3=N$3,SUMIF('TL16'!$C$10:$C$224,$C391,'TL16'!$J$10:$J$224),0),
IF('TL16'!$B$229=N$3,SUMIF('TL16'!$C$238:$C$451,$C391,'TL16'!$J$238:$J$451),0),
IF('TL17'!$B$3=N$3,SUMIF('TL17'!$C$10:$C$224,$C391,'TL17'!$J$10:$J$224),0),
IF('TL17'!$B$229=N$3,SUMIF('TL17'!$C$238:$C$451,$C391,'TL17'!$J$238:$J$451),0),
IF('TL18'!$B$3=N$3,SUMIF('TL18'!$C$10:$C$224,$C391,'TL18'!$J$10:$J$224),0),
IF('TL18'!$B$229=N$3,SUMIF('TL18'!$C$238:$C$451,$C391,'TL18'!$J$238:$J$451),0),
IF('TL19'!$B$3=N$3,SUMIF('TL19'!$C$10:$C$224,$C391,'TL19'!$J$10:$J$224),0),
IF('TL19'!$B$229=N$3,SUMIF('TL19'!$C$238:$C$451,$C391,'TL19'!$J$238:$J$451),0)
),0)</f>
        <v/>
      </c>
      <c r="O391" s="9">
        <f>IFERROR(SUM(
IF('TL01'!$B$3=O$3,SUMIF('TL01'!$C$10:$C$224,$C391,'TL01'!$J$10:$J$224),0),
IF('TL01'!$B$229=O$3,SUMIF('TL01'!$C$238:$C$451,$C391,'TL01'!$J$238:$J$451),0),
IF('TL02'!$B$3=O$3,SUMIF('TL02'!$C$10:$C$224,$C391,'TL02'!$J$10:$J$224),0),
IF('TL02'!$B$229=O$3,SUMIF('TL02'!$C$238:$C$451,$C391,'TL02'!$J$238:$J$451),0),
IF('TL03'!$B$3=O$3,SUMIF('TL03'!$C$10:$C$224,$C391,'TL03'!$J$10:$J$224),0),
IF('TL03'!$B$229=O$3,SUMIF('TL03'!$C$238:$C$451,$C391,'TL03'!$J$238:$J$451),0),
IF('TL04'!$B$3=O$3,SUMIF('TL04'!$C$10:$C$224,$C391,'TL04'!$J$10:$J$224),0),
IF('TL04'!$B$229=O$3,SUMIF('TL04'!$C$238:$C$451,$C391,'TL04'!$J$238:$J$451),0),
IF('TL05'!$B$3=O$3,SUMIF('TL05'!$C$10:$C$224,$C391,'TL05'!$J$10:$J$224),0),
IF('TL05'!$B$229=O$3,SUMIF('TL05'!$C$238:$C$451,$C391,'TL05'!$J$238:$J$451),0),
IF('TL06'!$B$3=O$3,SUMIF('TL06'!$C$10:$C$224,$C391,'TL06'!$J$10:$J$224),0),
IF('TL06'!$B$229=O$3,SUMIF('TL06'!$C$238:$C$451,$C391,'TL06'!$J$238:$J$451),0),
IF('TL07'!$B$3=O$3,SUMIF('TL07'!$C$10:$C$224,$C391,'TL07'!$J$10:$J$224),0),
IF('TL07'!$B$229=O$3,SUMIF('TL07'!$C$238:$C$451,$C391,'TL07'!$J$238:$J$451),0),
IF('TL08'!$B$3=O$3,SUMIF('TL08'!$C$10:$C$224,$C391,'TL08'!$J$10:$J$224),0),
IF('TL08'!$B$229=O$3,SUMIF('TL08'!$C$238:$C$451,$C391,'TL08'!$J$238:$J$451),0),
IF('TL09'!$B$3=O$3,SUMIF('TL09'!$C$10:$C$224,$C391,'TL09'!$J$10:$J$224),0),
IF('TL09'!$B$229=O$3,SUMIF('TL09'!$C$238:$C$451,$C391,'TL09'!$J$238:$J$451),0),
IF('TL10'!$B$3=O$3,SUMIF('TL10'!$C$10:$C$224,$C391,'TL10'!$J$10:$J$224),0),
IF('TL10'!$B$229=O$3,SUMIF('TL10'!$C$238:$C$451,$C391,'TL10'!$J$238:$J$451),0),
IF('TL11'!$B$3=O$3,SUMIF('TL11'!$C$10:$C$224,$C391,'TL11'!$J$10:$J$224),0),
IF('TL11'!$B$229=O$3,SUMIF('TL11'!$C$238:$C$451,$C391,'TL11'!$J$238:$J$451),0),
IF('TL12'!$B$3=O$3,SUMIF('TL12'!$C$10:$C$224,$C391,'TL12'!$J$10:$J$224),0),
IF('TL12'!$B$229=O$3,SUMIF('TL12'!$C$238:$C$451,$C391,'TL12'!$J$238:$J$451),0),
IF('TL13'!$B$3=O$3,SUMIF('TL13'!$C$10:$C$224,$C391,'TL13'!$J$10:$J$224),0),
IF('TL13'!$B$229=O$3,SUMIF('TL13'!$C$238:$C$451,$C391,'TL13'!$J$238:$J$451),0),
IF('TL14'!$B$3=O$3,SUMIF('TL14'!$C$10:$C$224,$C391,'TL14'!$J$10:$J$224),0),
IF('TL14'!$B$229=O$3,SUMIF('TL14'!$C$238:$C$451,$C391,'TL14'!$J$238:$J$451),0),
IF('TL15'!$B$3=O$3,SUMIF('TL15'!$C$10:$C$224,$C391,'TL15'!$J$10:$J$224),0),
IF('TL15'!$B$229=O$3,SUMIF('TL15'!$C$238:$C$451,$C391,'TL15'!$J$238:$J$451),0),
IF('TL16'!$B$3=O$3,SUMIF('TL16'!$C$10:$C$224,$C391,'TL16'!$J$10:$J$224),0),
IF('TL16'!$B$229=O$3,SUMIF('TL16'!$C$238:$C$451,$C391,'TL16'!$J$238:$J$451),0),
IF('TL17'!$B$3=O$3,SUMIF('TL17'!$C$10:$C$224,$C391,'TL17'!$J$10:$J$224),0),
IF('TL17'!$B$229=O$3,SUMIF('TL17'!$C$238:$C$451,$C391,'TL17'!$J$238:$J$451),0),
IF('TL18'!$B$3=O$3,SUMIF('TL18'!$C$10:$C$224,$C391,'TL18'!$J$10:$J$224),0),
IF('TL18'!$B$229=O$3,SUMIF('TL18'!$C$238:$C$451,$C391,'TL18'!$J$238:$J$451),0),
IF('TL19'!$B$3=O$3,SUMIF('TL19'!$C$10:$C$224,$C391,'TL19'!$J$10:$J$224),0),
IF('TL19'!$B$229=O$3,SUMIF('TL19'!$C$238:$C$451,$C391,'TL19'!$J$238:$J$451),0)
),0)</f>
        <v/>
      </c>
      <c r="P391" s="9">
        <f>IFERROR(SUM(
IF('TL01'!$B$3=P$3,SUMIF('TL01'!$C$10:$C$224,$C391,'TL01'!$J$10:$J$224),0),
IF('TL01'!$B$229=P$3,SUMIF('TL01'!$C$238:$C$451,$C391,'TL01'!$J$238:$J$451),0),
IF('TL02'!$B$3=P$3,SUMIF('TL02'!$C$10:$C$224,$C391,'TL02'!$J$10:$J$224),0),
IF('TL02'!$B$229=P$3,SUMIF('TL02'!$C$238:$C$451,$C391,'TL02'!$J$238:$J$451),0),
IF('TL03'!$B$3=P$3,SUMIF('TL03'!$C$10:$C$224,$C391,'TL03'!$J$10:$J$224),0),
IF('TL03'!$B$229=P$3,SUMIF('TL03'!$C$238:$C$451,$C391,'TL03'!$J$238:$J$451),0),
IF('TL04'!$B$3=P$3,SUMIF('TL04'!$C$10:$C$224,$C391,'TL04'!$J$10:$J$224),0),
IF('TL04'!$B$229=P$3,SUMIF('TL04'!$C$238:$C$451,$C391,'TL04'!$J$238:$J$451),0),
IF('TL05'!$B$3=P$3,SUMIF('TL05'!$C$10:$C$224,$C391,'TL05'!$J$10:$J$224),0),
IF('TL05'!$B$229=P$3,SUMIF('TL05'!$C$238:$C$451,$C391,'TL05'!$J$238:$J$451),0),
IF('TL06'!$B$3=P$3,SUMIF('TL06'!$C$10:$C$224,$C391,'TL06'!$J$10:$J$224),0),
IF('TL06'!$B$229=P$3,SUMIF('TL06'!$C$238:$C$451,$C391,'TL06'!$J$238:$J$451),0),
IF('TL07'!$B$3=P$3,SUMIF('TL07'!$C$10:$C$224,$C391,'TL07'!$J$10:$J$224),0),
IF('TL07'!$B$229=P$3,SUMIF('TL07'!$C$238:$C$451,$C391,'TL07'!$J$238:$J$451),0),
IF('TL08'!$B$3=P$3,SUMIF('TL08'!$C$10:$C$224,$C391,'TL08'!$J$10:$J$224),0),
IF('TL08'!$B$229=P$3,SUMIF('TL08'!$C$238:$C$451,$C391,'TL08'!$J$238:$J$451),0),
IF('TL09'!$B$3=P$3,SUMIF('TL09'!$C$10:$C$224,$C391,'TL09'!$J$10:$J$224),0),
IF('TL09'!$B$229=P$3,SUMIF('TL09'!$C$238:$C$451,$C391,'TL09'!$J$238:$J$451),0),
IF('TL10'!$B$3=P$3,SUMIF('TL10'!$C$10:$C$224,$C391,'TL10'!$J$10:$J$224),0),
IF('TL10'!$B$229=P$3,SUMIF('TL10'!$C$238:$C$451,$C391,'TL10'!$J$238:$J$451),0),
IF('TL11'!$B$3=P$3,SUMIF('TL11'!$C$10:$C$224,$C391,'TL11'!$J$10:$J$224),0),
IF('TL11'!$B$229=P$3,SUMIF('TL11'!$C$238:$C$451,$C391,'TL11'!$J$238:$J$451),0),
IF('TL12'!$B$3=P$3,SUMIF('TL12'!$C$10:$C$224,$C391,'TL12'!$J$10:$J$224),0),
IF('TL12'!$B$229=P$3,SUMIF('TL12'!$C$238:$C$451,$C391,'TL12'!$J$238:$J$451),0),
IF('TL13'!$B$3=P$3,SUMIF('TL13'!$C$10:$C$224,$C391,'TL13'!$J$10:$J$224),0),
IF('TL13'!$B$229=P$3,SUMIF('TL13'!$C$238:$C$451,$C391,'TL13'!$J$238:$J$451),0),
IF('TL14'!$B$3=P$3,SUMIF('TL14'!$C$10:$C$224,$C391,'TL14'!$J$10:$J$224),0),
IF('TL14'!$B$229=P$3,SUMIF('TL14'!$C$238:$C$451,$C391,'TL14'!$J$238:$J$451),0),
IF('TL15'!$B$3=P$3,SUMIF('TL15'!$C$10:$C$224,$C391,'TL15'!$J$10:$J$224),0),
IF('TL15'!$B$229=P$3,SUMIF('TL15'!$C$238:$C$451,$C391,'TL15'!$J$238:$J$451),0),
IF('TL16'!$B$3=P$3,SUMIF('TL16'!$C$10:$C$224,$C391,'TL16'!$J$10:$J$224),0),
IF('TL16'!$B$229=P$3,SUMIF('TL16'!$C$238:$C$451,$C391,'TL16'!$J$238:$J$451),0),
IF('TL17'!$B$3=P$3,SUMIF('TL17'!$C$10:$C$224,$C391,'TL17'!$J$10:$J$224),0),
IF('TL17'!$B$229=P$3,SUMIF('TL17'!$C$238:$C$451,$C391,'TL17'!$J$238:$J$451),0),
IF('TL18'!$B$3=P$3,SUMIF('TL18'!$C$10:$C$224,$C391,'TL18'!$J$10:$J$224),0),
IF('TL18'!$B$229=P$3,SUMIF('TL18'!$C$238:$C$451,$C391,'TL18'!$J$238:$J$451),0),
IF('TL19'!$B$3=P$3,SUMIF('TL19'!$C$10:$C$224,$C391,'TL19'!$J$10:$J$224),0),
IF('TL19'!$B$229=P$3,SUMIF('TL19'!$C$238:$C$451,$C391,'TL19'!$J$238:$J$451),0)
),0)</f>
        <v/>
      </c>
      <c r="Q391" s="9">
        <f>IFERROR(SUM(
IF('TL01'!$B$3=Q$3,SUMIF('TL01'!$C$10:$C$224,$C391,'TL01'!$J$10:$J$224),0),
IF('TL01'!$B$229=Q$3,SUMIF('TL01'!$C$238:$C$451,$C391,'TL01'!$J$238:$J$451),0),
IF('TL02'!$B$3=Q$3,SUMIF('TL02'!$C$10:$C$224,$C391,'TL02'!$J$10:$J$224),0),
IF('TL02'!$B$229=Q$3,SUMIF('TL02'!$C$238:$C$451,$C391,'TL02'!$J$238:$J$451),0),
IF('TL03'!$B$3=Q$3,SUMIF('TL03'!$C$10:$C$224,$C391,'TL03'!$J$10:$J$224),0),
IF('TL03'!$B$229=Q$3,SUMIF('TL03'!$C$238:$C$451,$C391,'TL03'!$J$238:$J$451),0),
IF('TL04'!$B$3=Q$3,SUMIF('TL04'!$C$10:$C$224,$C391,'TL04'!$J$10:$J$224),0),
IF('TL04'!$B$229=Q$3,SUMIF('TL04'!$C$238:$C$451,$C391,'TL04'!$J$238:$J$451),0),
IF('TL05'!$B$3=Q$3,SUMIF('TL05'!$C$10:$C$224,$C391,'TL05'!$J$10:$J$224),0),
IF('TL05'!$B$229=Q$3,SUMIF('TL05'!$C$238:$C$451,$C391,'TL05'!$J$238:$J$451),0),
IF('TL06'!$B$3=Q$3,SUMIF('TL06'!$C$10:$C$224,$C391,'TL06'!$J$10:$J$224),0),
IF('TL06'!$B$229=Q$3,SUMIF('TL06'!$C$238:$C$451,$C391,'TL06'!$J$238:$J$451),0),
IF('TL07'!$B$3=Q$3,SUMIF('TL07'!$C$10:$C$224,$C391,'TL07'!$J$10:$J$224),0),
IF('TL07'!$B$229=Q$3,SUMIF('TL07'!$C$238:$C$451,$C391,'TL07'!$J$238:$J$451),0),
IF('TL08'!$B$3=Q$3,SUMIF('TL08'!$C$10:$C$224,$C391,'TL08'!$J$10:$J$224),0),
IF('TL08'!$B$229=Q$3,SUMIF('TL08'!$C$238:$C$451,$C391,'TL08'!$J$238:$J$451),0),
IF('TL09'!$B$3=Q$3,SUMIF('TL09'!$C$10:$C$224,$C391,'TL09'!$J$10:$J$224),0),
IF('TL09'!$B$229=Q$3,SUMIF('TL09'!$C$238:$C$451,$C391,'TL09'!$J$238:$J$451),0),
IF('TL10'!$B$3=Q$3,SUMIF('TL10'!$C$10:$C$224,$C391,'TL10'!$J$10:$J$224),0),
IF('TL10'!$B$229=Q$3,SUMIF('TL10'!$C$238:$C$451,$C391,'TL10'!$J$238:$J$451),0),
IF('TL11'!$B$3=Q$3,SUMIF('TL11'!$C$10:$C$224,$C391,'TL11'!$J$10:$J$224),0),
IF('TL11'!$B$229=Q$3,SUMIF('TL11'!$C$238:$C$451,$C391,'TL11'!$J$238:$J$451),0),
IF('TL12'!$B$3=Q$3,SUMIF('TL12'!$C$10:$C$224,$C391,'TL12'!$J$10:$J$224),0),
IF('TL12'!$B$229=Q$3,SUMIF('TL12'!$C$238:$C$451,$C391,'TL12'!$J$238:$J$451),0),
IF('TL13'!$B$3=Q$3,SUMIF('TL13'!$C$10:$C$224,$C391,'TL13'!$J$10:$J$224),0),
IF('TL13'!$B$229=Q$3,SUMIF('TL13'!$C$238:$C$451,$C391,'TL13'!$J$238:$J$451),0),
IF('TL14'!$B$3=Q$3,SUMIF('TL14'!$C$10:$C$224,$C391,'TL14'!$J$10:$J$224),0),
IF('TL14'!$B$229=Q$3,SUMIF('TL14'!$C$238:$C$451,$C391,'TL14'!$J$238:$J$451),0),
IF('TL15'!$B$3=Q$3,SUMIF('TL15'!$C$10:$C$224,$C391,'TL15'!$J$10:$J$224),0),
IF('TL15'!$B$229=Q$3,SUMIF('TL15'!$C$238:$C$451,$C391,'TL15'!$J$238:$J$451),0),
IF('TL16'!$B$3=Q$3,SUMIF('TL16'!$C$10:$C$224,$C391,'TL16'!$J$10:$J$224),0),
IF('TL16'!$B$229=Q$3,SUMIF('TL16'!$C$238:$C$451,$C391,'TL16'!$J$238:$J$451),0),
IF('TL17'!$B$3=Q$3,SUMIF('TL17'!$C$10:$C$224,$C391,'TL17'!$J$10:$J$224),0),
IF('TL17'!$B$229=Q$3,SUMIF('TL17'!$C$238:$C$451,$C391,'TL17'!$J$238:$J$451),0),
IF('TL18'!$B$3=Q$3,SUMIF('TL18'!$C$10:$C$224,$C391,'TL18'!$J$10:$J$224),0),
IF('TL18'!$B$229=Q$3,SUMIF('TL18'!$C$238:$C$451,$C391,'TL18'!$J$238:$J$451),0),
IF('TL19'!$B$3=Q$3,SUMIF('TL19'!$C$10:$C$224,$C391,'TL19'!$J$10:$J$224),0),
IF('TL19'!$B$229=Q$3,SUMIF('TL19'!$C$238:$C$451,$C391,'TL19'!$J$238:$J$451),0)
),0)</f>
        <v/>
      </c>
      <c r="R391" s="9">
        <f>IFERROR(
SUM(
SUMIF('TL01'!C:C,C391,'TL01'!J:J),
SUMIF('TL02'!C:C,C391,'TL02'!J:J),
SUMIF('TL03'!C:C,C391,'TL03'!J:J),
SUMIF('TL04'!C:C,C391,'TL04'!J:J),
SUMIF('TL05'!C:C,C391,'TL05'!J:J),
SUMIF('TL06'!C:C,C391,'TL06'!J:J),
SUMIF('TL07'!C:C,C391,'TL07'!J:J),
SUMIF('TL08'!C:C,C391,'TL08'!J:J),
SUMIF('TL09'!C:C,C391,'TL09'!J:J),
SUMIF('TL10'!C:C,C391,'TL10'!J:J),
SUMIF('TL11'!C:C,C391,'TL11'!J:J),
SUMIF('TL12'!C:C,C391,'TL12'!J:J),
SUMIF('TL13'!C:C,C391,'TL13'!J:J),
SUMIF('TL14'!C:C,C391,'TL14'!J:J),
SUMIF('TL15'!C:C,C391,'TL15'!J:J),
SUMIF('TL16'!C:C,C391,'TL16'!J:J),
SUMIF('TL17'!C:C,C391,'TL17'!J:J),
SUMIF('TL18'!C:C,C391,'TL18'!J:J),SUMIF('TL19'!C:C,C391,'TL19'!J:J))
,0)</f>
        <v/>
      </c>
      <c r="S391" s="17">
        <f>IFERROR(__xludf.DUMMYFUNCTION("IFERROR(VLOOKUP(C391,
IMPORTRANGE(""1wULbzX32WdYsx-lj2U3uUNBBe2INVIRDtcK0d-Dvl90"",
""26-27!C:G""),
5,
FALSE),
"""")"),"")</f>
        <v/>
      </c>
      <c r="T391" s="9" t="n"/>
      <c r="U391" s="92">
        <f>MAX(0,R391-T391)</f>
        <v/>
      </c>
      <c r="V391" s="93">
        <f>U391*S391</f>
        <v/>
      </c>
    </row>
    <row r="392" hidden="1" ht="15.75" customHeight="1" s="297">
      <c r="A392" s="4" t="n"/>
      <c r="B392" s="125" t="n"/>
      <c r="C392" s="20" t="n"/>
      <c r="D392" s="20" t="n"/>
      <c r="E392" s="9" t="n"/>
      <c r="F392" s="4" t="n"/>
      <c r="G392" s="90">
        <f>HYPERLINK("https://www.google.com/search?q=" &amp; C392 &amp; "+bula+agrofit+pdf", "📄 Ver bula")</f>
        <v/>
      </c>
      <c r="H392" s="9" t="n"/>
      <c r="I392" s="1" t="n"/>
      <c r="J392" s="9">
        <f>IFERROR(SUM(
IF('TL01'!$B$3=J$3,SUMIF('TL01'!$C$10:$C$224,$C392,'TL01'!$J$10:$J$224),0),
IF('TL01'!$B$229=J$3,SUMIF('TL01'!$C$238:$C$451,$C392,'TL01'!$J$238:$J$451),0),
IF('TL02'!$B$3=J$3,SUMIF('TL02'!$C$10:$C$224,$C392,'TL02'!$J$10:$J$224),0),
IF('TL02'!$B$229=J$3,SUMIF('TL02'!$C$238:$C$451,$C392,'TL02'!$J$238:$J$451),0),
IF('TL03'!$B$3=J$3,SUMIF('TL03'!$C$10:$C$224,$C392,'TL03'!$J$10:$J$224),0),
IF('TL03'!$B$229=J$3,SUMIF('TL03'!$C$238:$C$451,$C392,'TL03'!$J$238:$J$451),0),
IF('TL04'!$B$3=J$3,SUMIF('TL04'!$C$10:$C$224,$C392,'TL04'!$J$10:$J$224),0),
IF('TL04'!$B$229=J$3,SUMIF('TL04'!$C$238:$C$451,$C392,'TL04'!$J$238:$J$451),0),
IF('TL05'!$B$3=J$3,SUMIF('TL05'!$C$10:$C$224,$C392,'TL05'!$J$10:$J$224),0),
IF('TL05'!$B$229=J$3,SUMIF('TL05'!$C$238:$C$451,$C392,'TL05'!$J$238:$J$451),0),
IF('TL06'!$B$3=J$3,SUMIF('TL06'!$C$10:$C$224,$C392,'TL06'!$J$10:$J$224),0),
IF('TL06'!$B$229=J$3,SUMIF('TL06'!$C$238:$C$451,$C392,'TL06'!$J$238:$J$451),0),
IF('TL07'!$B$3=J$3,SUMIF('TL07'!$C$10:$C$224,$C392,'TL07'!$J$10:$J$224),0),
IF('TL07'!$B$229=J$3,SUMIF('TL07'!$C$238:$C$451,$C392,'TL07'!$J$238:$J$451),0),
IF('TL08'!$B$3=J$3,SUMIF('TL08'!$C$10:$C$224,$C392,'TL08'!$J$10:$J$224),0),
IF('TL08'!$B$229=J$3,SUMIF('TL08'!$C$238:$C$451,$C392,'TL08'!$J$238:$J$451),0),
IF('TL09'!$B$3=J$3,SUMIF('TL09'!$C$10:$C$224,$C392,'TL09'!$J$10:$J$224),0),
IF('TL09'!$B$229=J$3,SUMIF('TL09'!$C$238:$C$451,$C392,'TL09'!$J$238:$J$451),0),
IF('TL10'!$B$3=J$3,SUMIF('TL10'!$C$10:$C$224,$C392,'TL10'!$J$10:$J$224),0),
IF('TL10'!$B$229=J$3,SUMIF('TL10'!$C$238:$C$451,$C392,'TL10'!$J$238:$J$451),0),
IF('TL11'!$B$3=J$3,SUMIF('TL11'!$C$10:$C$224,$C392,'TL11'!$J$10:$J$224),0),
IF('TL11'!$B$229=J$3,SUMIF('TL11'!$C$238:$C$451,$C392,'TL11'!$J$238:$J$451),0),
IF('TL12'!$B$3=J$3,SUMIF('TL12'!$C$10:$C$224,$C392,'TL12'!$J$10:$J$224),0),
IF('TL12'!$B$229=J$3,SUMIF('TL12'!$C$238:$C$451,$C392,'TL12'!$J$238:$J$451),0),
IF('TL13'!$B$3=J$3,SUMIF('TL13'!$C$10:$C$224,$C392,'TL13'!$J$10:$J$224),0),
IF('TL13'!$B$229=J$3,SUMIF('TL13'!$C$238:$C$451,$C392,'TL13'!$J$238:$J$451),0),
IF('TL14'!$B$3=J$3,SUMIF('TL14'!$C$10:$C$224,$C392,'TL14'!$J$10:$J$224),0),
IF('TL14'!$B$229=J$3,SUMIF('TL14'!$C$238:$C$451,$C392,'TL14'!$J$238:$J$451),0),
IF('TL15'!$B$3=J$3,SUMIF('TL15'!$C$10:$C$224,$C392,'TL15'!$J$10:$J$224),0),
IF('TL15'!$B$229=J$3,SUMIF('TL15'!$C$238:$C$451,$C392,'TL15'!$J$238:$J$451),0),
IF('TL16'!$B$3=J$3,SUMIF('TL16'!$C$10:$C$224,$C392,'TL16'!$J$10:$J$224),0),
IF('TL16'!$B$229=J$3,SUMIF('TL16'!$C$238:$C$451,$C392,'TL16'!$J$238:$J$451),0),
IF('TL17'!$B$3=J$3,SUMIF('TL17'!$C$10:$C$224,$C392,'TL17'!$J$10:$J$224),0),
IF('TL17'!$B$229=J$3,SUMIF('TL17'!$C$238:$C$451,$C392,'TL17'!$J$238:$J$451),0),
IF('TL18'!$B$3=J$3,SUMIF('TL18'!$C$10:$C$224,$C392,'TL18'!$J$10:$J$224),0),
IF('TL18'!$B$229=J$3,SUMIF('TL18'!$C$238:$C$451,$C392,'TL18'!$J$238:$J$451),0),
IF('TL19'!$B$3=J$3,SUMIF('TL19'!$C$10:$C$224,$C392,'TL19'!$J$10:$J$224),0),
IF('TL19'!$B$229=J$3,SUMIF('TL19'!$C$238:$C$451,$C392,'TL19'!$J$238:$J$451),0)
),0)</f>
        <v/>
      </c>
      <c r="K392" s="9">
        <f>IFERROR(SUM(
IF('TL01'!$B$3=K$3,SUMIF('TL01'!$C$10:$C$224,$C392,'TL01'!$J$10:$J$224),0),
IF('TL01'!$B$229=K$3,SUMIF('TL01'!$C$238:$C$451,$C392,'TL01'!$J$238:$J$451),0),
IF('TL02'!$B$3=K$3,SUMIF('TL02'!$C$10:$C$224,$C392,'TL02'!$J$10:$J$224),0),
IF('TL02'!$B$229=K$3,SUMIF('TL02'!$C$238:$C$451,$C392,'TL02'!$J$238:$J$451),0),
IF('TL03'!$B$3=K$3,SUMIF('TL03'!$C$10:$C$224,$C392,'TL03'!$J$10:$J$224),0),
IF('TL03'!$B$229=K$3,SUMIF('TL03'!$C$238:$C$451,$C392,'TL03'!$J$238:$J$451),0),
IF('TL04'!$B$3=K$3,SUMIF('TL04'!$C$10:$C$224,$C392,'TL04'!$J$10:$J$224),0),
IF('TL04'!$B$229=K$3,SUMIF('TL04'!$C$238:$C$451,$C392,'TL04'!$J$238:$J$451),0),
IF('TL05'!$B$3=K$3,SUMIF('TL05'!$C$10:$C$224,$C392,'TL05'!$J$10:$J$224),0),
IF('TL05'!$B$229=K$3,SUMIF('TL05'!$C$238:$C$451,$C392,'TL05'!$J$238:$J$451),0),
IF('TL06'!$B$3=K$3,SUMIF('TL06'!$C$10:$C$224,$C392,'TL06'!$J$10:$J$224),0),
IF('TL06'!$B$229=K$3,SUMIF('TL06'!$C$238:$C$451,$C392,'TL06'!$J$238:$J$451),0),
IF('TL07'!$B$3=K$3,SUMIF('TL07'!$C$10:$C$224,$C392,'TL07'!$J$10:$J$224),0),
IF('TL07'!$B$229=K$3,SUMIF('TL07'!$C$238:$C$451,$C392,'TL07'!$J$238:$J$451),0),
IF('TL08'!$B$3=K$3,SUMIF('TL08'!$C$10:$C$224,$C392,'TL08'!$J$10:$J$224),0),
IF('TL08'!$B$229=K$3,SUMIF('TL08'!$C$238:$C$451,$C392,'TL08'!$J$238:$J$451),0),
IF('TL09'!$B$3=K$3,SUMIF('TL09'!$C$10:$C$224,$C392,'TL09'!$J$10:$J$224),0),
IF('TL09'!$B$229=K$3,SUMIF('TL09'!$C$238:$C$451,$C392,'TL09'!$J$238:$J$451),0),
IF('TL10'!$B$3=K$3,SUMIF('TL10'!$C$10:$C$224,$C392,'TL10'!$J$10:$J$224),0),
IF('TL10'!$B$229=K$3,SUMIF('TL10'!$C$238:$C$451,$C392,'TL10'!$J$238:$J$451),0),
IF('TL11'!$B$3=K$3,SUMIF('TL11'!$C$10:$C$224,$C392,'TL11'!$J$10:$J$224),0),
IF('TL11'!$B$229=K$3,SUMIF('TL11'!$C$238:$C$451,$C392,'TL11'!$J$238:$J$451),0),
IF('TL12'!$B$3=K$3,SUMIF('TL12'!$C$10:$C$224,$C392,'TL12'!$J$10:$J$224),0),
IF('TL12'!$B$229=K$3,SUMIF('TL12'!$C$238:$C$451,$C392,'TL12'!$J$238:$J$451),0),
IF('TL13'!$B$3=K$3,SUMIF('TL13'!$C$10:$C$224,$C392,'TL13'!$J$10:$J$224),0),
IF('TL13'!$B$229=K$3,SUMIF('TL13'!$C$238:$C$451,$C392,'TL13'!$J$238:$J$451),0),
IF('TL14'!$B$3=K$3,SUMIF('TL14'!$C$10:$C$224,$C392,'TL14'!$J$10:$J$224),0),
IF('TL14'!$B$229=K$3,SUMIF('TL14'!$C$238:$C$451,$C392,'TL14'!$J$238:$J$451),0),
IF('TL15'!$B$3=K$3,SUMIF('TL15'!$C$10:$C$224,$C392,'TL15'!$J$10:$J$224),0),
IF('TL15'!$B$229=K$3,SUMIF('TL15'!$C$238:$C$451,$C392,'TL15'!$J$238:$J$451),0),
IF('TL16'!$B$3=K$3,SUMIF('TL16'!$C$10:$C$224,$C392,'TL16'!$J$10:$J$224),0),
IF('TL16'!$B$229=K$3,SUMIF('TL16'!$C$238:$C$451,$C392,'TL16'!$J$238:$J$451),0),
IF('TL17'!$B$3=K$3,SUMIF('TL17'!$C$10:$C$224,$C392,'TL17'!$J$10:$J$224),0),
IF('TL17'!$B$229=K$3,SUMIF('TL17'!$C$238:$C$451,$C392,'TL17'!$J$238:$J$451),0),
IF('TL18'!$B$3=K$3,SUMIF('TL18'!$C$10:$C$224,$C392,'TL18'!$J$10:$J$224),0),
IF('TL18'!$B$229=K$3,SUMIF('TL18'!$C$238:$C$451,$C392,'TL18'!$J$238:$J$451),0),
IF('TL19'!$B$3=K$3,SUMIF('TL19'!$C$10:$C$224,$C392,'TL19'!$J$10:$J$224),0),
IF('TL19'!$B$229=K$3,SUMIF('TL19'!$C$238:$C$451,$C392,'TL19'!$J$238:$J$451),0)
),0)</f>
        <v/>
      </c>
      <c r="L392" s="9">
        <f>IFERROR(SUM(
IF('TL01'!$B$3=L$3,SUMIF('TL01'!$C$10:$C$224,$C392,'TL01'!$J$10:$J$224),0),
IF('TL01'!$B$229=L$3,SUMIF('TL01'!$C$238:$C$451,$C392,'TL01'!$J$238:$J$451),0),
IF('TL02'!$B$3=L$3,SUMIF('TL02'!$C$10:$C$224,$C392,'TL02'!$J$10:$J$224),0),
IF('TL02'!$B$229=L$3,SUMIF('TL02'!$C$238:$C$451,$C392,'TL02'!$J$238:$J$451),0),
IF('TL03'!$B$3=L$3,SUMIF('TL03'!$C$10:$C$224,$C392,'TL03'!$J$10:$J$224),0),
IF('TL03'!$B$229=L$3,SUMIF('TL03'!$C$238:$C$451,$C392,'TL03'!$J$238:$J$451),0),
IF('TL04'!$B$3=L$3,SUMIF('TL04'!$C$10:$C$224,$C392,'TL04'!$J$10:$J$224),0),
IF('TL04'!$B$229=L$3,SUMIF('TL04'!$C$238:$C$451,$C392,'TL04'!$J$238:$J$451),0),
IF('TL05'!$B$3=L$3,SUMIF('TL05'!$C$10:$C$224,$C392,'TL05'!$J$10:$J$224),0),
IF('TL05'!$B$229=L$3,SUMIF('TL05'!$C$238:$C$451,$C392,'TL05'!$J$238:$J$451),0),
IF('TL06'!$B$3=L$3,SUMIF('TL06'!$C$10:$C$224,$C392,'TL06'!$J$10:$J$224),0),
IF('TL06'!$B$229=L$3,SUMIF('TL06'!$C$238:$C$451,$C392,'TL06'!$J$238:$J$451),0),
IF('TL07'!$B$3=L$3,SUMIF('TL07'!$C$10:$C$224,$C392,'TL07'!$J$10:$J$224),0),
IF('TL07'!$B$229=L$3,SUMIF('TL07'!$C$238:$C$451,$C392,'TL07'!$J$238:$J$451),0),
IF('TL08'!$B$3=L$3,SUMIF('TL08'!$C$10:$C$224,$C392,'TL08'!$J$10:$J$224),0),
IF('TL08'!$B$229=L$3,SUMIF('TL08'!$C$238:$C$451,$C392,'TL08'!$J$238:$J$451),0),
IF('TL09'!$B$3=L$3,SUMIF('TL09'!$C$10:$C$224,$C392,'TL09'!$J$10:$J$224),0),
IF('TL09'!$B$229=L$3,SUMIF('TL09'!$C$238:$C$451,$C392,'TL09'!$J$238:$J$451),0),
IF('TL10'!$B$3=L$3,SUMIF('TL10'!$C$10:$C$224,$C392,'TL10'!$J$10:$J$224),0),
IF('TL10'!$B$229=L$3,SUMIF('TL10'!$C$238:$C$451,$C392,'TL10'!$J$238:$J$451),0),
IF('TL11'!$B$3=L$3,SUMIF('TL11'!$C$10:$C$224,$C392,'TL11'!$J$10:$J$224),0),
IF('TL11'!$B$229=L$3,SUMIF('TL11'!$C$238:$C$451,$C392,'TL11'!$J$238:$J$451),0),
IF('TL12'!$B$3=L$3,SUMIF('TL12'!$C$10:$C$224,$C392,'TL12'!$J$10:$J$224),0),
IF('TL12'!$B$229=L$3,SUMIF('TL12'!$C$238:$C$451,$C392,'TL12'!$J$238:$J$451),0),
IF('TL13'!$B$3=L$3,SUMIF('TL13'!$C$10:$C$224,$C392,'TL13'!$J$10:$J$224),0),
IF('TL13'!$B$229=L$3,SUMIF('TL13'!$C$238:$C$451,$C392,'TL13'!$J$238:$J$451),0),
IF('TL14'!$B$3=L$3,SUMIF('TL14'!$C$10:$C$224,$C392,'TL14'!$J$10:$J$224),0),
IF('TL14'!$B$229=L$3,SUMIF('TL14'!$C$238:$C$451,$C392,'TL14'!$J$238:$J$451),0),
IF('TL15'!$B$3=L$3,SUMIF('TL15'!$C$10:$C$224,$C392,'TL15'!$J$10:$J$224),0),
IF('TL15'!$B$229=L$3,SUMIF('TL15'!$C$238:$C$451,$C392,'TL15'!$J$238:$J$451),0),
IF('TL16'!$B$3=L$3,SUMIF('TL16'!$C$10:$C$224,$C392,'TL16'!$J$10:$J$224),0),
IF('TL16'!$B$229=L$3,SUMIF('TL16'!$C$238:$C$451,$C392,'TL16'!$J$238:$J$451),0),
IF('TL17'!$B$3=L$3,SUMIF('TL17'!$C$10:$C$224,$C392,'TL17'!$J$10:$J$224),0),
IF('TL17'!$B$229=L$3,SUMIF('TL17'!$C$238:$C$451,$C392,'TL17'!$J$238:$J$451),0),
IF('TL18'!$B$3=L$3,SUMIF('TL18'!$C$10:$C$224,$C392,'TL18'!$J$10:$J$224),0),
IF('TL18'!$B$229=L$3,SUMIF('TL18'!$C$238:$C$451,$C392,'TL18'!$J$238:$J$451),0),
IF('TL19'!$B$3=L$3,SUMIF('TL19'!$C$10:$C$224,$C392,'TL19'!$J$10:$J$224),0),
IF('TL19'!$B$229=L$3,SUMIF('TL19'!$C$238:$C$451,$C392,'TL19'!$J$238:$J$451),0)
),0)</f>
        <v/>
      </c>
      <c r="M392" s="9">
        <f>IFERROR(SUM(
IF('TL01'!$B$3=M$3,SUMIF('TL01'!$C$10:$C$224,$C392,'TL01'!$J$10:$J$224),0),
IF('TL01'!$B$229=M$3,SUMIF('TL01'!$C$238:$C$451,$C392,'TL01'!$J$238:$J$451),0),
IF('TL02'!$B$3=M$3,SUMIF('TL02'!$C$10:$C$224,$C392,'TL02'!$J$10:$J$224),0),
IF('TL02'!$B$229=M$3,SUMIF('TL02'!$C$238:$C$451,$C392,'TL02'!$J$238:$J$451),0),
IF('TL03'!$B$3=M$3,SUMIF('TL03'!$C$10:$C$224,$C392,'TL03'!$J$10:$J$224),0),
IF('TL03'!$B$229=M$3,SUMIF('TL03'!$C$238:$C$451,$C392,'TL03'!$J$238:$J$451),0),
IF('TL04'!$B$3=M$3,SUMIF('TL04'!$C$10:$C$224,$C392,'TL04'!$J$10:$J$224),0),
IF('TL04'!$B$229=M$3,SUMIF('TL04'!$C$238:$C$451,$C392,'TL04'!$J$238:$J$451),0),
IF('TL05'!$B$3=M$3,SUMIF('TL05'!$C$10:$C$224,$C392,'TL05'!$J$10:$J$224),0),
IF('TL05'!$B$229=M$3,SUMIF('TL05'!$C$238:$C$451,$C392,'TL05'!$J$238:$J$451),0),
IF('TL06'!$B$3=M$3,SUMIF('TL06'!$C$10:$C$224,$C392,'TL06'!$J$10:$J$224),0),
IF('TL06'!$B$229=M$3,SUMIF('TL06'!$C$238:$C$451,$C392,'TL06'!$J$238:$J$451),0),
IF('TL07'!$B$3=M$3,SUMIF('TL07'!$C$10:$C$224,$C392,'TL07'!$J$10:$J$224),0),
IF('TL07'!$B$229=M$3,SUMIF('TL07'!$C$238:$C$451,$C392,'TL07'!$J$238:$J$451),0),
IF('TL08'!$B$3=M$3,SUMIF('TL08'!$C$10:$C$224,$C392,'TL08'!$J$10:$J$224),0),
IF('TL08'!$B$229=M$3,SUMIF('TL08'!$C$238:$C$451,$C392,'TL08'!$J$238:$J$451),0),
IF('TL09'!$B$3=M$3,SUMIF('TL09'!$C$10:$C$224,$C392,'TL09'!$J$10:$J$224),0),
IF('TL09'!$B$229=M$3,SUMIF('TL09'!$C$238:$C$451,$C392,'TL09'!$J$238:$J$451),0),
IF('TL10'!$B$3=M$3,SUMIF('TL10'!$C$10:$C$224,$C392,'TL10'!$J$10:$J$224),0),
IF('TL10'!$B$229=M$3,SUMIF('TL10'!$C$238:$C$451,$C392,'TL10'!$J$238:$J$451),0),
IF('TL11'!$B$3=M$3,SUMIF('TL11'!$C$10:$C$224,$C392,'TL11'!$J$10:$J$224),0),
IF('TL11'!$B$229=M$3,SUMIF('TL11'!$C$238:$C$451,$C392,'TL11'!$J$238:$J$451),0),
IF('TL12'!$B$3=M$3,SUMIF('TL12'!$C$10:$C$224,$C392,'TL12'!$J$10:$J$224),0),
IF('TL12'!$B$229=M$3,SUMIF('TL12'!$C$238:$C$451,$C392,'TL12'!$J$238:$J$451),0),
IF('TL13'!$B$3=M$3,SUMIF('TL13'!$C$10:$C$224,$C392,'TL13'!$J$10:$J$224),0),
IF('TL13'!$B$229=M$3,SUMIF('TL13'!$C$238:$C$451,$C392,'TL13'!$J$238:$J$451),0),
IF('TL14'!$B$3=M$3,SUMIF('TL14'!$C$10:$C$224,$C392,'TL14'!$J$10:$J$224),0),
IF('TL14'!$B$229=M$3,SUMIF('TL14'!$C$238:$C$451,$C392,'TL14'!$J$238:$J$451),0),
IF('TL15'!$B$3=M$3,SUMIF('TL15'!$C$10:$C$224,$C392,'TL15'!$J$10:$J$224),0),
IF('TL15'!$B$229=M$3,SUMIF('TL15'!$C$238:$C$451,$C392,'TL15'!$J$238:$J$451),0),
IF('TL16'!$B$3=M$3,SUMIF('TL16'!$C$10:$C$224,$C392,'TL16'!$J$10:$J$224),0),
IF('TL16'!$B$229=M$3,SUMIF('TL16'!$C$238:$C$451,$C392,'TL16'!$J$238:$J$451),0),
IF('TL17'!$B$3=M$3,SUMIF('TL17'!$C$10:$C$224,$C392,'TL17'!$J$10:$J$224),0),
IF('TL17'!$B$229=M$3,SUMIF('TL17'!$C$238:$C$451,$C392,'TL17'!$J$238:$J$451),0),
IF('TL18'!$B$3=M$3,SUMIF('TL18'!$C$10:$C$224,$C392,'TL18'!$J$10:$J$224),0),
IF('TL18'!$B$229=M$3,SUMIF('TL18'!$C$238:$C$451,$C392,'TL18'!$J$238:$J$451),0),
IF('TL19'!$B$3=M$3,SUMIF('TL19'!$C$10:$C$224,$C392,'TL19'!$J$10:$J$224),0),
IF('TL19'!$B$229=M$3,SUMIF('TL19'!$C$238:$C$451,$C392,'TL19'!$J$238:$J$451),0)
),0)</f>
        <v/>
      </c>
      <c r="N392" s="9">
        <f>IFERROR(SUM(
IF('TL01'!$B$3=N$3,SUMIF('TL01'!$C$10:$C$224,$C392,'TL01'!$J$10:$J$224),0),
IF('TL01'!$B$229=N$3,SUMIF('TL01'!$C$238:$C$451,$C392,'TL01'!$J$238:$J$451),0),
IF('TL02'!$B$3=N$3,SUMIF('TL02'!$C$10:$C$224,$C392,'TL02'!$J$10:$J$224),0),
IF('TL02'!$B$229=N$3,SUMIF('TL02'!$C$238:$C$451,$C392,'TL02'!$J$238:$J$451),0),
IF('TL03'!$B$3=N$3,SUMIF('TL03'!$C$10:$C$224,$C392,'TL03'!$J$10:$J$224),0),
IF('TL03'!$B$229=N$3,SUMIF('TL03'!$C$238:$C$451,$C392,'TL03'!$J$238:$J$451),0),
IF('TL04'!$B$3=N$3,SUMIF('TL04'!$C$10:$C$224,$C392,'TL04'!$J$10:$J$224),0),
IF('TL04'!$B$229=N$3,SUMIF('TL04'!$C$238:$C$451,$C392,'TL04'!$J$238:$J$451),0),
IF('TL05'!$B$3=N$3,SUMIF('TL05'!$C$10:$C$224,$C392,'TL05'!$J$10:$J$224),0),
IF('TL05'!$B$229=N$3,SUMIF('TL05'!$C$238:$C$451,$C392,'TL05'!$J$238:$J$451),0),
IF('TL06'!$B$3=N$3,SUMIF('TL06'!$C$10:$C$224,$C392,'TL06'!$J$10:$J$224),0),
IF('TL06'!$B$229=N$3,SUMIF('TL06'!$C$238:$C$451,$C392,'TL06'!$J$238:$J$451),0),
IF('TL07'!$B$3=N$3,SUMIF('TL07'!$C$10:$C$224,$C392,'TL07'!$J$10:$J$224),0),
IF('TL07'!$B$229=N$3,SUMIF('TL07'!$C$238:$C$451,$C392,'TL07'!$J$238:$J$451),0),
IF('TL08'!$B$3=N$3,SUMIF('TL08'!$C$10:$C$224,$C392,'TL08'!$J$10:$J$224),0),
IF('TL08'!$B$229=N$3,SUMIF('TL08'!$C$238:$C$451,$C392,'TL08'!$J$238:$J$451),0),
IF('TL09'!$B$3=N$3,SUMIF('TL09'!$C$10:$C$224,$C392,'TL09'!$J$10:$J$224),0),
IF('TL09'!$B$229=N$3,SUMIF('TL09'!$C$238:$C$451,$C392,'TL09'!$J$238:$J$451),0),
IF('TL10'!$B$3=N$3,SUMIF('TL10'!$C$10:$C$224,$C392,'TL10'!$J$10:$J$224),0),
IF('TL10'!$B$229=N$3,SUMIF('TL10'!$C$238:$C$451,$C392,'TL10'!$J$238:$J$451),0),
IF('TL11'!$B$3=N$3,SUMIF('TL11'!$C$10:$C$224,$C392,'TL11'!$J$10:$J$224),0),
IF('TL11'!$B$229=N$3,SUMIF('TL11'!$C$238:$C$451,$C392,'TL11'!$J$238:$J$451),0),
IF('TL12'!$B$3=N$3,SUMIF('TL12'!$C$10:$C$224,$C392,'TL12'!$J$10:$J$224),0),
IF('TL12'!$B$229=N$3,SUMIF('TL12'!$C$238:$C$451,$C392,'TL12'!$J$238:$J$451),0),
IF('TL13'!$B$3=N$3,SUMIF('TL13'!$C$10:$C$224,$C392,'TL13'!$J$10:$J$224),0),
IF('TL13'!$B$229=N$3,SUMIF('TL13'!$C$238:$C$451,$C392,'TL13'!$J$238:$J$451),0),
IF('TL14'!$B$3=N$3,SUMIF('TL14'!$C$10:$C$224,$C392,'TL14'!$J$10:$J$224),0),
IF('TL14'!$B$229=N$3,SUMIF('TL14'!$C$238:$C$451,$C392,'TL14'!$J$238:$J$451),0),
IF('TL15'!$B$3=N$3,SUMIF('TL15'!$C$10:$C$224,$C392,'TL15'!$J$10:$J$224),0),
IF('TL15'!$B$229=N$3,SUMIF('TL15'!$C$238:$C$451,$C392,'TL15'!$J$238:$J$451),0),
IF('TL16'!$B$3=N$3,SUMIF('TL16'!$C$10:$C$224,$C392,'TL16'!$J$10:$J$224),0),
IF('TL16'!$B$229=N$3,SUMIF('TL16'!$C$238:$C$451,$C392,'TL16'!$J$238:$J$451),0),
IF('TL17'!$B$3=N$3,SUMIF('TL17'!$C$10:$C$224,$C392,'TL17'!$J$10:$J$224),0),
IF('TL17'!$B$229=N$3,SUMIF('TL17'!$C$238:$C$451,$C392,'TL17'!$J$238:$J$451),0),
IF('TL18'!$B$3=N$3,SUMIF('TL18'!$C$10:$C$224,$C392,'TL18'!$J$10:$J$224),0),
IF('TL18'!$B$229=N$3,SUMIF('TL18'!$C$238:$C$451,$C392,'TL18'!$J$238:$J$451),0),
IF('TL19'!$B$3=N$3,SUMIF('TL19'!$C$10:$C$224,$C392,'TL19'!$J$10:$J$224),0),
IF('TL19'!$B$229=N$3,SUMIF('TL19'!$C$238:$C$451,$C392,'TL19'!$J$238:$J$451),0)
),0)</f>
        <v/>
      </c>
      <c r="O392" s="9">
        <f>IFERROR(SUM(
IF('TL01'!$B$3=O$3,SUMIF('TL01'!$C$10:$C$224,$C392,'TL01'!$J$10:$J$224),0),
IF('TL01'!$B$229=O$3,SUMIF('TL01'!$C$238:$C$451,$C392,'TL01'!$J$238:$J$451),0),
IF('TL02'!$B$3=O$3,SUMIF('TL02'!$C$10:$C$224,$C392,'TL02'!$J$10:$J$224),0),
IF('TL02'!$B$229=O$3,SUMIF('TL02'!$C$238:$C$451,$C392,'TL02'!$J$238:$J$451),0),
IF('TL03'!$B$3=O$3,SUMIF('TL03'!$C$10:$C$224,$C392,'TL03'!$J$10:$J$224),0),
IF('TL03'!$B$229=O$3,SUMIF('TL03'!$C$238:$C$451,$C392,'TL03'!$J$238:$J$451),0),
IF('TL04'!$B$3=O$3,SUMIF('TL04'!$C$10:$C$224,$C392,'TL04'!$J$10:$J$224),0),
IF('TL04'!$B$229=O$3,SUMIF('TL04'!$C$238:$C$451,$C392,'TL04'!$J$238:$J$451),0),
IF('TL05'!$B$3=O$3,SUMIF('TL05'!$C$10:$C$224,$C392,'TL05'!$J$10:$J$224),0),
IF('TL05'!$B$229=O$3,SUMIF('TL05'!$C$238:$C$451,$C392,'TL05'!$J$238:$J$451),0),
IF('TL06'!$B$3=O$3,SUMIF('TL06'!$C$10:$C$224,$C392,'TL06'!$J$10:$J$224),0),
IF('TL06'!$B$229=O$3,SUMIF('TL06'!$C$238:$C$451,$C392,'TL06'!$J$238:$J$451),0),
IF('TL07'!$B$3=O$3,SUMIF('TL07'!$C$10:$C$224,$C392,'TL07'!$J$10:$J$224),0),
IF('TL07'!$B$229=O$3,SUMIF('TL07'!$C$238:$C$451,$C392,'TL07'!$J$238:$J$451),0),
IF('TL08'!$B$3=O$3,SUMIF('TL08'!$C$10:$C$224,$C392,'TL08'!$J$10:$J$224),0),
IF('TL08'!$B$229=O$3,SUMIF('TL08'!$C$238:$C$451,$C392,'TL08'!$J$238:$J$451),0),
IF('TL09'!$B$3=O$3,SUMIF('TL09'!$C$10:$C$224,$C392,'TL09'!$J$10:$J$224),0),
IF('TL09'!$B$229=O$3,SUMIF('TL09'!$C$238:$C$451,$C392,'TL09'!$J$238:$J$451),0),
IF('TL10'!$B$3=O$3,SUMIF('TL10'!$C$10:$C$224,$C392,'TL10'!$J$10:$J$224),0),
IF('TL10'!$B$229=O$3,SUMIF('TL10'!$C$238:$C$451,$C392,'TL10'!$J$238:$J$451),0),
IF('TL11'!$B$3=O$3,SUMIF('TL11'!$C$10:$C$224,$C392,'TL11'!$J$10:$J$224),0),
IF('TL11'!$B$229=O$3,SUMIF('TL11'!$C$238:$C$451,$C392,'TL11'!$J$238:$J$451),0),
IF('TL12'!$B$3=O$3,SUMIF('TL12'!$C$10:$C$224,$C392,'TL12'!$J$10:$J$224),0),
IF('TL12'!$B$229=O$3,SUMIF('TL12'!$C$238:$C$451,$C392,'TL12'!$J$238:$J$451),0),
IF('TL13'!$B$3=O$3,SUMIF('TL13'!$C$10:$C$224,$C392,'TL13'!$J$10:$J$224),0),
IF('TL13'!$B$229=O$3,SUMIF('TL13'!$C$238:$C$451,$C392,'TL13'!$J$238:$J$451),0),
IF('TL14'!$B$3=O$3,SUMIF('TL14'!$C$10:$C$224,$C392,'TL14'!$J$10:$J$224),0),
IF('TL14'!$B$229=O$3,SUMIF('TL14'!$C$238:$C$451,$C392,'TL14'!$J$238:$J$451),0),
IF('TL15'!$B$3=O$3,SUMIF('TL15'!$C$10:$C$224,$C392,'TL15'!$J$10:$J$224),0),
IF('TL15'!$B$229=O$3,SUMIF('TL15'!$C$238:$C$451,$C392,'TL15'!$J$238:$J$451),0),
IF('TL16'!$B$3=O$3,SUMIF('TL16'!$C$10:$C$224,$C392,'TL16'!$J$10:$J$224),0),
IF('TL16'!$B$229=O$3,SUMIF('TL16'!$C$238:$C$451,$C392,'TL16'!$J$238:$J$451),0),
IF('TL17'!$B$3=O$3,SUMIF('TL17'!$C$10:$C$224,$C392,'TL17'!$J$10:$J$224),0),
IF('TL17'!$B$229=O$3,SUMIF('TL17'!$C$238:$C$451,$C392,'TL17'!$J$238:$J$451),0),
IF('TL18'!$B$3=O$3,SUMIF('TL18'!$C$10:$C$224,$C392,'TL18'!$J$10:$J$224),0),
IF('TL18'!$B$229=O$3,SUMIF('TL18'!$C$238:$C$451,$C392,'TL18'!$J$238:$J$451),0),
IF('TL19'!$B$3=O$3,SUMIF('TL19'!$C$10:$C$224,$C392,'TL19'!$J$10:$J$224),0),
IF('TL19'!$B$229=O$3,SUMIF('TL19'!$C$238:$C$451,$C392,'TL19'!$J$238:$J$451),0)
),0)</f>
        <v/>
      </c>
      <c r="P392" s="9">
        <f>IFERROR(SUM(
IF('TL01'!$B$3=P$3,SUMIF('TL01'!$C$10:$C$224,$C392,'TL01'!$J$10:$J$224),0),
IF('TL01'!$B$229=P$3,SUMIF('TL01'!$C$238:$C$451,$C392,'TL01'!$J$238:$J$451),0),
IF('TL02'!$B$3=P$3,SUMIF('TL02'!$C$10:$C$224,$C392,'TL02'!$J$10:$J$224),0),
IF('TL02'!$B$229=P$3,SUMIF('TL02'!$C$238:$C$451,$C392,'TL02'!$J$238:$J$451),0),
IF('TL03'!$B$3=P$3,SUMIF('TL03'!$C$10:$C$224,$C392,'TL03'!$J$10:$J$224),0),
IF('TL03'!$B$229=P$3,SUMIF('TL03'!$C$238:$C$451,$C392,'TL03'!$J$238:$J$451),0),
IF('TL04'!$B$3=P$3,SUMIF('TL04'!$C$10:$C$224,$C392,'TL04'!$J$10:$J$224),0),
IF('TL04'!$B$229=P$3,SUMIF('TL04'!$C$238:$C$451,$C392,'TL04'!$J$238:$J$451),0),
IF('TL05'!$B$3=P$3,SUMIF('TL05'!$C$10:$C$224,$C392,'TL05'!$J$10:$J$224),0),
IF('TL05'!$B$229=P$3,SUMIF('TL05'!$C$238:$C$451,$C392,'TL05'!$J$238:$J$451),0),
IF('TL06'!$B$3=P$3,SUMIF('TL06'!$C$10:$C$224,$C392,'TL06'!$J$10:$J$224),0),
IF('TL06'!$B$229=P$3,SUMIF('TL06'!$C$238:$C$451,$C392,'TL06'!$J$238:$J$451),0),
IF('TL07'!$B$3=P$3,SUMIF('TL07'!$C$10:$C$224,$C392,'TL07'!$J$10:$J$224),0),
IF('TL07'!$B$229=P$3,SUMIF('TL07'!$C$238:$C$451,$C392,'TL07'!$J$238:$J$451),0),
IF('TL08'!$B$3=P$3,SUMIF('TL08'!$C$10:$C$224,$C392,'TL08'!$J$10:$J$224),0),
IF('TL08'!$B$229=P$3,SUMIF('TL08'!$C$238:$C$451,$C392,'TL08'!$J$238:$J$451),0),
IF('TL09'!$B$3=P$3,SUMIF('TL09'!$C$10:$C$224,$C392,'TL09'!$J$10:$J$224),0),
IF('TL09'!$B$229=P$3,SUMIF('TL09'!$C$238:$C$451,$C392,'TL09'!$J$238:$J$451),0),
IF('TL10'!$B$3=P$3,SUMIF('TL10'!$C$10:$C$224,$C392,'TL10'!$J$10:$J$224),0),
IF('TL10'!$B$229=P$3,SUMIF('TL10'!$C$238:$C$451,$C392,'TL10'!$J$238:$J$451),0),
IF('TL11'!$B$3=P$3,SUMIF('TL11'!$C$10:$C$224,$C392,'TL11'!$J$10:$J$224),0),
IF('TL11'!$B$229=P$3,SUMIF('TL11'!$C$238:$C$451,$C392,'TL11'!$J$238:$J$451),0),
IF('TL12'!$B$3=P$3,SUMIF('TL12'!$C$10:$C$224,$C392,'TL12'!$J$10:$J$224),0),
IF('TL12'!$B$229=P$3,SUMIF('TL12'!$C$238:$C$451,$C392,'TL12'!$J$238:$J$451),0),
IF('TL13'!$B$3=P$3,SUMIF('TL13'!$C$10:$C$224,$C392,'TL13'!$J$10:$J$224),0),
IF('TL13'!$B$229=P$3,SUMIF('TL13'!$C$238:$C$451,$C392,'TL13'!$J$238:$J$451),0),
IF('TL14'!$B$3=P$3,SUMIF('TL14'!$C$10:$C$224,$C392,'TL14'!$J$10:$J$224),0),
IF('TL14'!$B$229=P$3,SUMIF('TL14'!$C$238:$C$451,$C392,'TL14'!$J$238:$J$451),0),
IF('TL15'!$B$3=P$3,SUMIF('TL15'!$C$10:$C$224,$C392,'TL15'!$J$10:$J$224),0),
IF('TL15'!$B$229=P$3,SUMIF('TL15'!$C$238:$C$451,$C392,'TL15'!$J$238:$J$451),0),
IF('TL16'!$B$3=P$3,SUMIF('TL16'!$C$10:$C$224,$C392,'TL16'!$J$10:$J$224),0),
IF('TL16'!$B$229=P$3,SUMIF('TL16'!$C$238:$C$451,$C392,'TL16'!$J$238:$J$451),0),
IF('TL17'!$B$3=P$3,SUMIF('TL17'!$C$10:$C$224,$C392,'TL17'!$J$10:$J$224),0),
IF('TL17'!$B$229=P$3,SUMIF('TL17'!$C$238:$C$451,$C392,'TL17'!$J$238:$J$451),0),
IF('TL18'!$B$3=P$3,SUMIF('TL18'!$C$10:$C$224,$C392,'TL18'!$J$10:$J$224),0),
IF('TL18'!$B$229=P$3,SUMIF('TL18'!$C$238:$C$451,$C392,'TL18'!$J$238:$J$451),0),
IF('TL19'!$B$3=P$3,SUMIF('TL19'!$C$10:$C$224,$C392,'TL19'!$J$10:$J$224),0),
IF('TL19'!$B$229=P$3,SUMIF('TL19'!$C$238:$C$451,$C392,'TL19'!$J$238:$J$451),0)
),0)</f>
        <v/>
      </c>
      <c r="Q392" s="9">
        <f>IFERROR(SUM(
IF('TL01'!$B$3=Q$3,SUMIF('TL01'!$C$10:$C$224,$C392,'TL01'!$J$10:$J$224),0),
IF('TL01'!$B$229=Q$3,SUMIF('TL01'!$C$238:$C$451,$C392,'TL01'!$J$238:$J$451),0),
IF('TL02'!$B$3=Q$3,SUMIF('TL02'!$C$10:$C$224,$C392,'TL02'!$J$10:$J$224),0),
IF('TL02'!$B$229=Q$3,SUMIF('TL02'!$C$238:$C$451,$C392,'TL02'!$J$238:$J$451),0),
IF('TL03'!$B$3=Q$3,SUMIF('TL03'!$C$10:$C$224,$C392,'TL03'!$J$10:$J$224),0),
IF('TL03'!$B$229=Q$3,SUMIF('TL03'!$C$238:$C$451,$C392,'TL03'!$J$238:$J$451),0),
IF('TL04'!$B$3=Q$3,SUMIF('TL04'!$C$10:$C$224,$C392,'TL04'!$J$10:$J$224),0),
IF('TL04'!$B$229=Q$3,SUMIF('TL04'!$C$238:$C$451,$C392,'TL04'!$J$238:$J$451),0),
IF('TL05'!$B$3=Q$3,SUMIF('TL05'!$C$10:$C$224,$C392,'TL05'!$J$10:$J$224),0),
IF('TL05'!$B$229=Q$3,SUMIF('TL05'!$C$238:$C$451,$C392,'TL05'!$J$238:$J$451),0),
IF('TL06'!$B$3=Q$3,SUMIF('TL06'!$C$10:$C$224,$C392,'TL06'!$J$10:$J$224),0),
IF('TL06'!$B$229=Q$3,SUMIF('TL06'!$C$238:$C$451,$C392,'TL06'!$J$238:$J$451),0),
IF('TL07'!$B$3=Q$3,SUMIF('TL07'!$C$10:$C$224,$C392,'TL07'!$J$10:$J$224),0),
IF('TL07'!$B$229=Q$3,SUMIF('TL07'!$C$238:$C$451,$C392,'TL07'!$J$238:$J$451),0),
IF('TL08'!$B$3=Q$3,SUMIF('TL08'!$C$10:$C$224,$C392,'TL08'!$J$10:$J$224),0),
IF('TL08'!$B$229=Q$3,SUMIF('TL08'!$C$238:$C$451,$C392,'TL08'!$J$238:$J$451),0),
IF('TL09'!$B$3=Q$3,SUMIF('TL09'!$C$10:$C$224,$C392,'TL09'!$J$10:$J$224),0),
IF('TL09'!$B$229=Q$3,SUMIF('TL09'!$C$238:$C$451,$C392,'TL09'!$J$238:$J$451),0),
IF('TL10'!$B$3=Q$3,SUMIF('TL10'!$C$10:$C$224,$C392,'TL10'!$J$10:$J$224),0),
IF('TL10'!$B$229=Q$3,SUMIF('TL10'!$C$238:$C$451,$C392,'TL10'!$J$238:$J$451),0),
IF('TL11'!$B$3=Q$3,SUMIF('TL11'!$C$10:$C$224,$C392,'TL11'!$J$10:$J$224),0),
IF('TL11'!$B$229=Q$3,SUMIF('TL11'!$C$238:$C$451,$C392,'TL11'!$J$238:$J$451),0),
IF('TL12'!$B$3=Q$3,SUMIF('TL12'!$C$10:$C$224,$C392,'TL12'!$J$10:$J$224),0),
IF('TL12'!$B$229=Q$3,SUMIF('TL12'!$C$238:$C$451,$C392,'TL12'!$J$238:$J$451),0),
IF('TL13'!$B$3=Q$3,SUMIF('TL13'!$C$10:$C$224,$C392,'TL13'!$J$10:$J$224),0),
IF('TL13'!$B$229=Q$3,SUMIF('TL13'!$C$238:$C$451,$C392,'TL13'!$J$238:$J$451),0),
IF('TL14'!$B$3=Q$3,SUMIF('TL14'!$C$10:$C$224,$C392,'TL14'!$J$10:$J$224),0),
IF('TL14'!$B$229=Q$3,SUMIF('TL14'!$C$238:$C$451,$C392,'TL14'!$J$238:$J$451),0),
IF('TL15'!$B$3=Q$3,SUMIF('TL15'!$C$10:$C$224,$C392,'TL15'!$J$10:$J$224),0),
IF('TL15'!$B$229=Q$3,SUMIF('TL15'!$C$238:$C$451,$C392,'TL15'!$J$238:$J$451),0),
IF('TL16'!$B$3=Q$3,SUMIF('TL16'!$C$10:$C$224,$C392,'TL16'!$J$10:$J$224),0),
IF('TL16'!$B$229=Q$3,SUMIF('TL16'!$C$238:$C$451,$C392,'TL16'!$J$238:$J$451),0),
IF('TL17'!$B$3=Q$3,SUMIF('TL17'!$C$10:$C$224,$C392,'TL17'!$J$10:$J$224),0),
IF('TL17'!$B$229=Q$3,SUMIF('TL17'!$C$238:$C$451,$C392,'TL17'!$J$238:$J$451),0),
IF('TL18'!$B$3=Q$3,SUMIF('TL18'!$C$10:$C$224,$C392,'TL18'!$J$10:$J$224),0),
IF('TL18'!$B$229=Q$3,SUMIF('TL18'!$C$238:$C$451,$C392,'TL18'!$J$238:$J$451),0),
IF('TL19'!$B$3=Q$3,SUMIF('TL19'!$C$10:$C$224,$C392,'TL19'!$J$10:$J$224),0),
IF('TL19'!$B$229=Q$3,SUMIF('TL19'!$C$238:$C$451,$C392,'TL19'!$J$238:$J$451),0)
),0)</f>
        <v/>
      </c>
      <c r="R392" s="9">
        <f>IFERROR(
SUM(
SUMIF('TL01'!C:C,C392,'TL01'!J:J),
SUMIF('TL02'!C:C,C392,'TL02'!J:J),
SUMIF('TL03'!C:C,C392,'TL03'!J:J),
SUMIF('TL04'!C:C,C392,'TL04'!J:J),
SUMIF('TL05'!C:C,C392,'TL05'!J:J),
SUMIF('TL06'!C:C,C392,'TL06'!J:J),
SUMIF('TL07'!C:C,C392,'TL07'!J:J),
SUMIF('TL08'!C:C,C392,'TL08'!J:J),
SUMIF('TL09'!C:C,C392,'TL09'!J:J),
SUMIF('TL10'!C:C,C392,'TL10'!J:J),
SUMIF('TL11'!C:C,C392,'TL11'!J:J),
SUMIF('TL12'!C:C,C392,'TL12'!J:J),
SUMIF('TL13'!C:C,C392,'TL13'!J:J),
SUMIF('TL14'!C:C,C392,'TL14'!J:J),
SUMIF('TL15'!C:C,C392,'TL15'!J:J),
SUMIF('TL16'!C:C,C392,'TL16'!J:J),
SUMIF('TL17'!C:C,C392,'TL17'!J:J),
SUMIF('TL18'!C:C,C392,'TL18'!J:J),SUMIF('TL19'!C:C,C392,'TL19'!J:J))
,0)</f>
        <v/>
      </c>
      <c r="S392" s="17">
        <f>IFERROR(__xludf.DUMMYFUNCTION("IFERROR(VLOOKUP(C392,
IMPORTRANGE(""1wULbzX32WdYsx-lj2U3uUNBBe2INVIRDtcK0d-Dvl90"",
""26-27!C:G""),
5,
FALSE),
"""")"),"")</f>
        <v/>
      </c>
      <c r="T392" s="9" t="n"/>
      <c r="U392" s="92">
        <f>MAX(0,R392-T392)</f>
        <v/>
      </c>
      <c r="V392" s="93">
        <f>U392*S392</f>
        <v/>
      </c>
    </row>
    <row r="393" hidden="1" ht="15.75" customHeight="1" s="297">
      <c r="A393" s="4" t="n"/>
      <c r="B393" s="125" t="n"/>
      <c r="C393" s="20" t="n"/>
      <c r="D393" s="20" t="n"/>
      <c r="E393" s="9" t="n"/>
      <c r="F393" s="4" t="n"/>
      <c r="G393" s="90">
        <f>HYPERLINK("https://www.google.com/search?q=" &amp; C393 &amp; "+bula+agrofit+pdf", "📄 Ver bula")</f>
        <v/>
      </c>
      <c r="H393" s="9" t="n"/>
      <c r="I393" s="1" t="n"/>
      <c r="J393" s="9">
        <f>IFERROR(SUM(
IF('TL01'!$B$3=J$3,SUMIF('TL01'!$C$10:$C$224,$C393,'TL01'!$J$10:$J$224),0),
IF('TL01'!$B$229=J$3,SUMIF('TL01'!$C$238:$C$451,$C393,'TL01'!$J$238:$J$451),0),
IF('TL02'!$B$3=J$3,SUMIF('TL02'!$C$10:$C$224,$C393,'TL02'!$J$10:$J$224),0),
IF('TL02'!$B$229=J$3,SUMIF('TL02'!$C$238:$C$451,$C393,'TL02'!$J$238:$J$451),0),
IF('TL03'!$B$3=J$3,SUMIF('TL03'!$C$10:$C$224,$C393,'TL03'!$J$10:$J$224),0),
IF('TL03'!$B$229=J$3,SUMIF('TL03'!$C$238:$C$451,$C393,'TL03'!$J$238:$J$451),0),
IF('TL04'!$B$3=J$3,SUMIF('TL04'!$C$10:$C$224,$C393,'TL04'!$J$10:$J$224),0),
IF('TL04'!$B$229=J$3,SUMIF('TL04'!$C$238:$C$451,$C393,'TL04'!$J$238:$J$451),0),
IF('TL05'!$B$3=J$3,SUMIF('TL05'!$C$10:$C$224,$C393,'TL05'!$J$10:$J$224),0),
IF('TL05'!$B$229=J$3,SUMIF('TL05'!$C$238:$C$451,$C393,'TL05'!$J$238:$J$451),0),
IF('TL06'!$B$3=J$3,SUMIF('TL06'!$C$10:$C$224,$C393,'TL06'!$J$10:$J$224),0),
IF('TL06'!$B$229=J$3,SUMIF('TL06'!$C$238:$C$451,$C393,'TL06'!$J$238:$J$451),0),
IF('TL07'!$B$3=J$3,SUMIF('TL07'!$C$10:$C$224,$C393,'TL07'!$J$10:$J$224),0),
IF('TL07'!$B$229=J$3,SUMIF('TL07'!$C$238:$C$451,$C393,'TL07'!$J$238:$J$451),0),
IF('TL08'!$B$3=J$3,SUMIF('TL08'!$C$10:$C$224,$C393,'TL08'!$J$10:$J$224),0),
IF('TL08'!$B$229=J$3,SUMIF('TL08'!$C$238:$C$451,$C393,'TL08'!$J$238:$J$451),0),
IF('TL09'!$B$3=J$3,SUMIF('TL09'!$C$10:$C$224,$C393,'TL09'!$J$10:$J$224),0),
IF('TL09'!$B$229=J$3,SUMIF('TL09'!$C$238:$C$451,$C393,'TL09'!$J$238:$J$451),0),
IF('TL10'!$B$3=J$3,SUMIF('TL10'!$C$10:$C$224,$C393,'TL10'!$J$10:$J$224),0),
IF('TL10'!$B$229=J$3,SUMIF('TL10'!$C$238:$C$451,$C393,'TL10'!$J$238:$J$451),0),
IF('TL11'!$B$3=J$3,SUMIF('TL11'!$C$10:$C$224,$C393,'TL11'!$J$10:$J$224),0),
IF('TL11'!$B$229=J$3,SUMIF('TL11'!$C$238:$C$451,$C393,'TL11'!$J$238:$J$451),0),
IF('TL12'!$B$3=J$3,SUMIF('TL12'!$C$10:$C$224,$C393,'TL12'!$J$10:$J$224),0),
IF('TL12'!$B$229=J$3,SUMIF('TL12'!$C$238:$C$451,$C393,'TL12'!$J$238:$J$451),0),
IF('TL13'!$B$3=J$3,SUMIF('TL13'!$C$10:$C$224,$C393,'TL13'!$J$10:$J$224),0),
IF('TL13'!$B$229=J$3,SUMIF('TL13'!$C$238:$C$451,$C393,'TL13'!$J$238:$J$451),0),
IF('TL14'!$B$3=J$3,SUMIF('TL14'!$C$10:$C$224,$C393,'TL14'!$J$10:$J$224),0),
IF('TL14'!$B$229=J$3,SUMIF('TL14'!$C$238:$C$451,$C393,'TL14'!$J$238:$J$451),0),
IF('TL15'!$B$3=J$3,SUMIF('TL15'!$C$10:$C$224,$C393,'TL15'!$J$10:$J$224),0),
IF('TL15'!$B$229=J$3,SUMIF('TL15'!$C$238:$C$451,$C393,'TL15'!$J$238:$J$451),0),
IF('TL16'!$B$3=J$3,SUMIF('TL16'!$C$10:$C$224,$C393,'TL16'!$J$10:$J$224),0),
IF('TL16'!$B$229=J$3,SUMIF('TL16'!$C$238:$C$451,$C393,'TL16'!$J$238:$J$451),0),
IF('TL17'!$B$3=J$3,SUMIF('TL17'!$C$10:$C$224,$C393,'TL17'!$J$10:$J$224),0),
IF('TL17'!$B$229=J$3,SUMIF('TL17'!$C$238:$C$451,$C393,'TL17'!$J$238:$J$451),0),
IF('TL18'!$B$3=J$3,SUMIF('TL18'!$C$10:$C$224,$C393,'TL18'!$J$10:$J$224),0),
IF('TL18'!$B$229=J$3,SUMIF('TL18'!$C$238:$C$451,$C393,'TL18'!$J$238:$J$451),0),
IF('TL19'!$B$3=J$3,SUMIF('TL19'!$C$10:$C$224,$C393,'TL19'!$J$10:$J$224),0),
IF('TL19'!$B$229=J$3,SUMIF('TL19'!$C$238:$C$451,$C393,'TL19'!$J$238:$J$451),0)
),0)</f>
        <v/>
      </c>
      <c r="K393" s="9">
        <f>IFERROR(SUM(
IF('TL01'!$B$3=K$3,SUMIF('TL01'!$C$10:$C$224,$C393,'TL01'!$J$10:$J$224),0),
IF('TL01'!$B$229=K$3,SUMIF('TL01'!$C$238:$C$451,$C393,'TL01'!$J$238:$J$451),0),
IF('TL02'!$B$3=K$3,SUMIF('TL02'!$C$10:$C$224,$C393,'TL02'!$J$10:$J$224),0),
IF('TL02'!$B$229=K$3,SUMIF('TL02'!$C$238:$C$451,$C393,'TL02'!$J$238:$J$451),0),
IF('TL03'!$B$3=K$3,SUMIF('TL03'!$C$10:$C$224,$C393,'TL03'!$J$10:$J$224),0),
IF('TL03'!$B$229=K$3,SUMIF('TL03'!$C$238:$C$451,$C393,'TL03'!$J$238:$J$451),0),
IF('TL04'!$B$3=K$3,SUMIF('TL04'!$C$10:$C$224,$C393,'TL04'!$J$10:$J$224),0),
IF('TL04'!$B$229=K$3,SUMIF('TL04'!$C$238:$C$451,$C393,'TL04'!$J$238:$J$451),0),
IF('TL05'!$B$3=K$3,SUMIF('TL05'!$C$10:$C$224,$C393,'TL05'!$J$10:$J$224),0),
IF('TL05'!$B$229=K$3,SUMIF('TL05'!$C$238:$C$451,$C393,'TL05'!$J$238:$J$451),0),
IF('TL06'!$B$3=K$3,SUMIF('TL06'!$C$10:$C$224,$C393,'TL06'!$J$10:$J$224),0),
IF('TL06'!$B$229=K$3,SUMIF('TL06'!$C$238:$C$451,$C393,'TL06'!$J$238:$J$451),0),
IF('TL07'!$B$3=K$3,SUMIF('TL07'!$C$10:$C$224,$C393,'TL07'!$J$10:$J$224),0),
IF('TL07'!$B$229=K$3,SUMIF('TL07'!$C$238:$C$451,$C393,'TL07'!$J$238:$J$451),0),
IF('TL08'!$B$3=K$3,SUMIF('TL08'!$C$10:$C$224,$C393,'TL08'!$J$10:$J$224),0),
IF('TL08'!$B$229=K$3,SUMIF('TL08'!$C$238:$C$451,$C393,'TL08'!$J$238:$J$451),0),
IF('TL09'!$B$3=K$3,SUMIF('TL09'!$C$10:$C$224,$C393,'TL09'!$J$10:$J$224),0),
IF('TL09'!$B$229=K$3,SUMIF('TL09'!$C$238:$C$451,$C393,'TL09'!$J$238:$J$451),0),
IF('TL10'!$B$3=K$3,SUMIF('TL10'!$C$10:$C$224,$C393,'TL10'!$J$10:$J$224),0),
IF('TL10'!$B$229=K$3,SUMIF('TL10'!$C$238:$C$451,$C393,'TL10'!$J$238:$J$451),0),
IF('TL11'!$B$3=K$3,SUMIF('TL11'!$C$10:$C$224,$C393,'TL11'!$J$10:$J$224),0),
IF('TL11'!$B$229=K$3,SUMIF('TL11'!$C$238:$C$451,$C393,'TL11'!$J$238:$J$451),0),
IF('TL12'!$B$3=K$3,SUMIF('TL12'!$C$10:$C$224,$C393,'TL12'!$J$10:$J$224),0),
IF('TL12'!$B$229=K$3,SUMIF('TL12'!$C$238:$C$451,$C393,'TL12'!$J$238:$J$451),0),
IF('TL13'!$B$3=K$3,SUMIF('TL13'!$C$10:$C$224,$C393,'TL13'!$J$10:$J$224),0),
IF('TL13'!$B$229=K$3,SUMIF('TL13'!$C$238:$C$451,$C393,'TL13'!$J$238:$J$451),0),
IF('TL14'!$B$3=K$3,SUMIF('TL14'!$C$10:$C$224,$C393,'TL14'!$J$10:$J$224),0),
IF('TL14'!$B$229=K$3,SUMIF('TL14'!$C$238:$C$451,$C393,'TL14'!$J$238:$J$451),0),
IF('TL15'!$B$3=K$3,SUMIF('TL15'!$C$10:$C$224,$C393,'TL15'!$J$10:$J$224),0),
IF('TL15'!$B$229=K$3,SUMIF('TL15'!$C$238:$C$451,$C393,'TL15'!$J$238:$J$451),0),
IF('TL16'!$B$3=K$3,SUMIF('TL16'!$C$10:$C$224,$C393,'TL16'!$J$10:$J$224),0),
IF('TL16'!$B$229=K$3,SUMIF('TL16'!$C$238:$C$451,$C393,'TL16'!$J$238:$J$451),0),
IF('TL17'!$B$3=K$3,SUMIF('TL17'!$C$10:$C$224,$C393,'TL17'!$J$10:$J$224),0),
IF('TL17'!$B$229=K$3,SUMIF('TL17'!$C$238:$C$451,$C393,'TL17'!$J$238:$J$451),0),
IF('TL18'!$B$3=K$3,SUMIF('TL18'!$C$10:$C$224,$C393,'TL18'!$J$10:$J$224),0),
IF('TL18'!$B$229=K$3,SUMIF('TL18'!$C$238:$C$451,$C393,'TL18'!$J$238:$J$451),0),
IF('TL19'!$B$3=K$3,SUMIF('TL19'!$C$10:$C$224,$C393,'TL19'!$J$10:$J$224),0),
IF('TL19'!$B$229=K$3,SUMIF('TL19'!$C$238:$C$451,$C393,'TL19'!$J$238:$J$451),0)
),0)</f>
        <v/>
      </c>
      <c r="L393" s="9">
        <f>IFERROR(SUM(
IF('TL01'!$B$3=L$3,SUMIF('TL01'!$C$10:$C$224,$C393,'TL01'!$J$10:$J$224),0),
IF('TL01'!$B$229=L$3,SUMIF('TL01'!$C$238:$C$451,$C393,'TL01'!$J$238:$J$451),0),
IF('TL02'!$B$3=L$3,SUMIF('TL02'!$C$10:$C$224,$C393,'TL02'!$J$10:$J$224),0),
IF('TL02'!$B$229=L$3,SUMIF('TL02'!$C$238:$C$451,$C393,'TL02'!$J$238:$J$451),0),
IF('TL03'!$B$3=L$3,SUMIF('TL03'!$C$10:$C$224,$C393,'TL03'!$J$10:$J$224),0),
IF('TL03'!$B$229=L$3,SUMIF('TL03'!$C$238:$C$451,$C393,'TL03'!$J$238:$J$451),0),
IF('TL04'!$B$3=L$3,SUMIF('TL04'!$C$10:$C$224,$C393,'TL04'!$J$10:$J$224),0),
IF('TL04'!$B$229=L$3,SUMIF('TL04'!$C$238:$C$451,$C393,'TL04'!$J$238:$J$451),0),
IF('TL05'!$B$3=L$3,SUMIF('TL05'!$C$10:$C$224,$C393,'TL05'!$J$10:$J$224),0),
IF('TL05'!$B$229=L$3,SUMIF('TL05'!$C$238:$C$451,$C393,'TL05'!$J$238:$J$451),0),
IF('TL06'!$B$3=L$3,SUMIF('TL06'!$C$10:$C$224,$C393,'TL06'!$J$10:$J$224),0),
IF('TL06'!$B$229=L$3,SUMIF('TL06'!$C$238:$C$451,$C393,'TL06'!$J$238:$J$451),0),
IF('TL07'!$B$3=L$3,SUMIF('TL07'!$C$10:$C$224,$C393,'TL07'!$J$10:$J$224),0),
IF('TL07'!$B$229=L$3,SUMIF('TL07'!$C$238:$C$451,$C393,'TL07'!$J$238:$J$451),0),
IF('TL08'!$B$3=L$3,SUMIF('TL08'!$C$10:$C$224,$C393,'TL08'!$J$10:$J$224),0),
IF('TL08'!$B$229=L$3,SUMIF('TL08'!$C$238:$C$451,$C393,'TL08'!$J$238:$J$451),0),
IF('TL09'!$B$3=L$3,SUMIF('TL09'!$C$10:$C$224,$C393,'TL09'!$J$10:$J$224),0),
IF('TL09'!$B$229=L$3,SUMIF('TL09'!$C$238:$C$451,$C393,'TL09'!$J$238:$J$451),0),
IF('TL10'!$B$3=L$3,SUMIF('TL10'!$C$10:$C$224,$C393,'TL10'!$J$10:$J$224),0),
IF('TL10'!$B$229=L$3,SUMIF('TL10'!$C$238:$C$451,$C393,'TL10'!$J$238:$J$451),0),
IF('TL11'!$B$3=L$3,SUMIF('TL11'!$C$10:$C$224,$C393,'TL11'!$J$10:$J$224),0),
IF('TL11'!$B$229=L$3,SUMIF('TL11'!$C$238:$C$451,$C393,'TL11'!$J$238:$J$451),0),
IF('TL12'!$B$3=L$3,SUMIF('TL12'!$C$10:$C$224,$C393,'TL12'!$J$10:$J$224),0),
IF('TL12'!$B$229=L$3,SUMIF('TL12'!$C$238:$C$451,$C393,'TL12'!$J$238:$J$451),0),
IF('TL13'!$B$3=L$3,SUMIF('TL13'!$C$10:$C$224,$C393,'TL13'!$J$10:$J$224),0),
IF('TL13'!$B$229=L$3,SUMIF('TL13'!$C$238:$C$451,$C393,'TL13'!$J$238:$J$451),0),
IF('TL14'!$B$3=L$3,SUMIF('TL14'!$C$10:$C$224,$C393,'TL14'!$J$10:$J$224),0),
IF('TL14'!$B$229=L$3,SUMIF('TL14'!$C$238:$C$451,$C393,'TL14'!$J$238:$J$451),0),
IF('TL15'!$B$3=L$3,SUMIF('TL15'!$C$10:$C$224,$C393,'TL15'!$J$10:$J$224),0),
IF('TL15'!$B$229=L$3,SUMIF('TL15'!$C$238:$C$451,$C393,'TL15'!$J$238:$J$451),0),
IF('TL16'!$B$3=L$3,SUMIF('TL16'!$C$10:$C$224,$C393,'TL16'!$J$10:$J$224),0),
IF('TL16'!$B$229=L$3,SUMIF('TL16'!$C$238:$C$451,$C393,'TL16'!$J$238:$J$451),0),
IF('TL17'!$B$3=L$3,SUMIF('TL17'!$C$10:$C$224,$C393,'TL17'!$J$10:$J$224),0),
IF('TL17'!$B$229=L$3,SUMIF('TL17'!$C$238:$C$451,$C393,'TL17'!$J$238:$J$451),0),
IF('TL18'!$B$3=L$3,SUMIF('TL18'!$C$10:$C$224,$C393,'TL18'!$J$10:$J$224),0),
IF('TL18'!$B$229=L$3,SUMIF('TL18'!$C$238:$C$451,$C393,'TL18'!$J$238:$J$451),0),
IF('TL19'!$B$3=L$3,SUMIF('TL19'!$C$10:$C$224,$C393,'TL19'!$J$10:$J$224),0),
IF('TL19'!$B$229=L$3,SUMIF('TL19'!$C$238:$C$451,$C393,'TL19'!$J$238:$J$451),0)
),0)</f>
        <v/>
      </c>
      <c r="M393" s="9">
        <f>IFERROR(SUM(
IF('TL01'!$B$3=M$3,SUMIF('TL01'!$C$10:$C$224,$C393,'TL01'!$J$10:$J$224),0),
IF('TL01'!$B$229=M$3,SUMIF('TL01'!$C$238:$C$451,$C393,'TL01'!$J$238:$J$451),0),
IF('TL02'!$B$3=M$3,SUMIF('TL02'!$C$10:$C$224,$C393,'TL02'!$J$10:$J$224),0),
IF('TL02'!$B$229=M$3,SUMIF('TL02'!$C$238:$C$451,$C393,'TL02'!$J$238:$J$451),0),
IF('TL03'!$B$3=M$3,SUMIF('TL03'!$C$10:$C$224,$C393,'TL03'!$J$10:$J$224),0),
IF('TL03'!$B$229=M$3,SUMIF('TL03'!$C$238:$C$451,$C393,'TL03'!$J$238:$J$451),0),
IF('TL04'!$B$3=M$3,SUMIF('TL04'!$C$10:$C$224,$C393,'TL04'!$J$10:$J$224),0),
IF('TL04'!$B$229=M$3,SUMIF('TL04'!$C$238:$C$451,$C393,'TL04'!$J$238:$J$451),0),
IF('TL05'!$B$3=M$3,SUMIF('TL05'!$C$10:$C$224,$C393,'TL05'!$J$10:$J$224),0),
IF('TL05'!$B$229=M$3,SUMIF('TL05'!$C$238:$C$451,$C393,'TL05'!$J$238:$J$451),0),
IF('TL06'!$B$3=M$3,SUMIF('TL06'!$C$10:$C$224,$C393,'TL06'!$J$10:$J$224),0),
IF('TL06'!$B$229=M$3,SUMIF('TL06'!$C$238:$C$451,$C393,'TL06'!$J$238:$J$451),0),
IF('TL07'!$B$3=M$3,SUMIF('TL07'!$C$10:$C$224,$C393,'TL07'!$J$10:$J$224),0),
IF('TL07'!$B$229=M$3,SUMIF('TL07'!$C$238:$C$451,$C393,'TL07'!$J$238:$J$451),0),
IF('TL08'!$B$3=M$3,SUMIF('TL08'!$C$10:$C$224,$C393,'TL08'!$J$10:$J$224),0),
IF('TL08'!$B$229=M$3,SUMIF('TL08'!$C$238:$C$451,$C393,'TL08'!$J$238:$J$451),0),
IF('TL09'!$B$3=M$3,SUMIF('TL09'!$C$10:$C$224,$C393,'TL09'!$J$10:$J$224),0),
IF('TL09'!$B$229=M$3,SUMIF('TL09'!$C$238:$C$451,$C393,'TL09'!$J$238:$J$451),0),
IF('TL10'!$B$3=M$3,SUMIF('TL10'!$C$10:$C$224,$C393,'TL10'!$J$10:$J$224),0),
IF('TL10'!$B$229=M$3,SUMIF('TL10'!$C$238:$C$451,$C393,'TL10'!$J$238:$J$451),0),
IF('TL11'!$B$3=M$3,SUMIF('TL11'!$C$10:$C$224,$C393,'TL11'!$J$10:$J$224),0),
IF('TL11'!$B$229=M$3,SUMIF('TL11'!$C$238:$C$451,$C393,'TL11'!$J$238:$J$451),0),
IF('TL12'!$B$3=M$3,SUMIF('TL12'!$C$10:$C$224,$C393,'TL12'!$J$10:$J$224),0),
IF('TL12'!$B$229=M$3,SUMIF('TL12'!$C$238:$C$451,$C393,'TL12'!$J$238:$J$451),0),
IF('TL13'!$B$3=M$3,SUMIF('TL13'!$C$10:$C$224,$C393,'TL13'!$J$10:$J$224),0),
IF('TL13'!$B$229=M$3,SUMIF('TL13'!$C$238:$C$451,$C393,'TL13'!$J$238:$J$451),0),
IF('TL14'!$B$3=M$3,SUMIF('TL14'!$C$10:$C$224,$C393,'TL14'!$J$10:$J$224),0),
IF('TL14'!$B$229=M$3,SUMIF('TL14'!$C$238:$C$451,$C393,'TL14'!$J$238:$J$451),0),
IF('TL15'!$B$3=M$3,SUMIF('TL15'!$C$10:$C$224,$C393,'TL15'!$J$10:$J$224),0),
IF('TL15'!$B$229=M$3,SUMIF('TL15'!$C$238:$C$451,$C393,'TL15'!$J$238:$J$451),0),
IF('TL16'!$B$3=M$3,SUMIF('TL16'!$C$10:$C$224,$C393,'TL16'!$J$10:$J$224),0),
IF('TL16'!$B$229=M$3,SUMIF('TL16'!$C$238:$C$451,$C393,'TL16'!$J$238:$J$451),0),
IF('TL17'!$B$3=M$3,SUMIF('TL17'!$C$10:$C$224,$C393,'TL17'!$J$10:$J$224),0),
IF('TL17'!$B$229=M$3,SUMIF('TL17'!$C$238:$C$451,$C393,'TL17'!$J$238:$J$451),0),
IF('TL18'!$B$3=M$3,SUMIF('TL18'!$C$10:$C$224,$C393,'TL18'!$J$10:$J$224),0),
IF('TL18'!$B$229=M$3,SUMIF('TL18'!$C$238:$C$451,$C393,'TL18'!$J$238:$J$451),0),
IF('TL19'!$B$3=M$3,SUMIF('TL19'!$C$10:$C$224,$C393,'TL19'!$J$10:$J$224),0),
IF('TL19'!$B$229=M$3,SUMIF('TL19'!$C$238:$C$451,$C393,'TL19'!$J$238:$J$451),0)
),0)</f>
        <v/>
      </c>
      <c r="N393" s="9">
        <f>IFERROR(SUM(
IF('TL01'!$B$3=N$3,SUMIF('TL01'!$C$10:$C$224,$C393,'TL01'!$J$10:$J$224),0),
IF('TL01'!$B$229=N$3,SUMIF('TL01'!$C$238:$C$451,$C393,'TL01'!$J$238:$J$451),0),
IF('TL02'!$B$3=N$3,SUMIF('TL02'!$C$10:$C$224,$C393,'TL02'!$J$10:$J$224),0),
IF('TL02'!$B$229=N$3,SUMIF('TL02'!$C$238:$C$451,$C393,'TL02'!$J$238:$J$451),0),
IF('TL03'!$B$3=N$3,SUMIF('TL03'!$C$10:$C$224,$C393,'TL03'!$J$10:$J$224),0),
IF('TL03'!$B$229=N$3,SUMIF('TL03'!$C$238:$C$451,$C393,'TL03'!$J$238:$J$451),0),
IF('TL04'!$B$3=N$3,SUMIF('TL04'!$C$10:$C$224,$C393,'TL04'!$J$10:$J$224),0),
IF('TL04'!$B$229=N$3,SUMIF('TL04'!$C$238:$C$451,$C393,'TL04'!$J$238:$J$451),0),
IF('TL05'!$B$3=N$3,SUMIF('TL05'!$C$10:$C$224,$C393,'TL05'!$J$10:$J$224),0),
IF('TL05'!$B$229=N$3,SUMIF('TL05'!$C$238:$C$451,$C393,'TL05'!$J$238:$J$451),0),
IF('TL06'!$B$3=N$3,SUMIF('TL06'!$C$10:$C$224,$C393,'TL06'!$J$10:$J$224),0),
IF('TL06'!$B$229=N$3,SUMIF('TL06'!$C$238:$C$451,$C393,'TL06'!$J$238:$J$451),0),
IF('TL07'!$B$3=N$3,SUMIF('TL07'!$C$10:$C$224,$C393,'TL07'!$J$10:$J$224),0),
IF('TL07'!$B$229=N$3,SUMIF('TL07'!$C$238:$C$451,$C393,'TL07'!$J$238:$J$451),0),
IF('TL08'!$B$3=N$3,SUMIF('TL08'!$C$10:$C$224,$C393,'TL08'!$J$10:$J$224),0),
IF('TL08'!$B$229=N$3,SUMIF('TL08'!$C$238:$C$451,$C393,'TL08'!$J$238:$J$451),0),
IF('TL09'!$B$3=N$3,SUMIF('TL09'!$C$10:$C$224,$C393,'TL09'!$J$10:$J$224),0),
IF('TL09'!$B$229=N$3,SUMIF('TL09'!$C$238:$C$451,$C393,'TL09'!$J$238:$J$451),0),
IF('TL10'!$B$3=N$3,SUMIF('TL10'!$C$10:$C$224,$C393,'TL10'!$J$10:$J$224),0),
IF('TL10'!$B$229=N$3,SUMIF('TL10'!$C$238:$C$451,$C393,'TL10'!$J$238:$J$451),0),
IF('TL11'!$B$3=N$3,SUMIF('TL11'!$C$10:$C$224,$C393,'TL11'!$J$10:$J$224),0),
IF('TL11'!$B$229=N$3,SUMIF('TL11'!$C$238:$C$451,$C393,'TL11'!$J$238:$J$451),0),
IF('TL12'!$B$3=N$3,SUMIF('TL12'!$C$10:$C$224,$C393,'TL12'!$J$10:$J$224),0),
IF('TL12'!$B$229=N$3,SUMIF('TL12'!$C$238:$C$451,$C393,'TL12'!$J$238:$J$451),0),
IF('TL13'!$B$3=N$3,SUMIF('TL13'!$C$10:$C$224,$C393,'TL13'!$J$10:$J$224),0),
IF('TL13'!$B$229=N$3,SUMIF('TL13'!$C$238:$C$451,$C393,'TL13'!$J$238:$J$451),0),
IF('TL14'!$B$3=N$3,SUMIF('TL14'!$C$10:$C$224,$C393,'TL14'!$J$10:$J$224),0),
IF('TL14'!$B$229=N$3,SUMIF('TL14'!$C$238:$C$451,$C393,'TL14'!$J$238:$J$451),0),
IF('TL15'!$B$3=N$3,SUMIF('TL15'!$C$10:$C$224,$C393,'TL15'!$J$10:$J$224),0),
IF('TL15'!$B$229=N$3,SUMIF('TL15'!$C$238:$C$451,$C393,'TL15'!$J$238:$J$451),0),
IF('TL16'!$B$3=N$3,SUMIF('TL16'!$C$10:$C$224,$C393,'TL16'!$J$10:$J$224),0),
IF('TL16'!$B$229=N$3,SUMIF('TL16'!$C$238:$C$451,$C393,'TL16'!$J$238:$J$451),0),
IF('TL17'!$B$3=N$3,SUMIF('TL17'!$C$10:$C$224,$C393,'TL17'!$J$10:$J$224),0),
IF('TL17'!$B$229=N$3,SUMIF('TL17'!$C$238:$C$451,$C393,'TL17'!$J$238:$J$451),0),
IF('TL18'!$B$3=N$3,SUMIF('TL18'!$C$10:$C$224,$C393,'TL18'!$J$10:$J$224),0),
IF('TL18'!$B$229=N$3,SUMIF('TL18'!$C$238:$C$451,$C393,'TL18'!$J$238:$J$451),0),
IF('TL19'!$B$3=N$3,SUMIF('TL19'!$C$10:$C$224,$C393,'TL19'!$J$10:$J$224),0),
IF('TL19'!$B$229=N$3,SUMIF('TL19'!$C$238:$C$451,$C393,'TL19'!$J$238:$J$451),0)
),0)</f>
        <v/>
      </c>
      <c r="O393" s="9">
        <f>IFERROR(SUM(
IF('TL01'!$B$3=O$3,SUMIF('TL01'!$C$10:$C$224,$C393,'TL01'!$J$10:$J$224),0),
IF('TL01'!$B$229=O$3,SUMIF('TL01'!$C$238:$C$451,$C393,'TL01'!$J$238:$J$451),0),
IF('TL02'!$B$3=O$3,SUMIF('TL02'!$C$10:$C$224,$C393,'TL02'!$J$10:$J$224),0),
IF('TL02'!$B$229=O$3,SUMIF('TL02'!$C$238:$C$451,$C393,'TL02'!$J$238:$J$451),0),
IF('TL03'!$B$3=O$3,SUMIF('TL03'!$C$10:$C$224,$C393,'TL03'!$J$10:$J$224),0),
IF('TL03'!$B$229=O$3,SUMIF('TL03'!$C$238:$C$451,$C393,'TL03'!$J$238:$J$451),0),
IF('TL04'!$B$3=O$3,SUMIF('TL04'!$C$10:$C$224,$C393,'TL04'!$J$10:$J$224),0),
IF('TL04'!$B$229=O$3,SUMIF('TL04'!$C$238:$C$451,$C393,'TL04'!$J$238:$J$451),0),
IF('TL05'!$B$3=O$3,SUMIF('TL05'!$C$10:$C$224,$C393,'TL05'!$J$10:$J$224),0),
IF('TL05'!$B$229=O$3,SUMIF('TL05'!$C$238:$C$451,$C393,'TL05'!$J$238:$J$451),0),
IF('TL06'!$B$3=O$3,SUMIF('TL06'!$C$10:$C$224,$C393,'TL06'!$J$10:$J$224),0),
IF('TL06'!$B$229=O$3,SUMIF('TL06'!$C$238:$C$451,$C393,'TL06'!$J$238:$J$451),0),
IF('TL07'!$B$3=O$3,SUMIF('TL07'!$C$10:$C$224,$C393,'TL07'!$J$10:$J$224),0),
IF('TL07'!$B$229=O$3,SUMIF('TL07'!$C$238:$C$451,$C393,'TL07'!$J$238:$J$451),0),
IF('TL08'!$B$3=O$3,SUMIF('TL08'!$C$10:$C$224,$C393,'TL08'!$J$10:$J$224),0),
IF('TL08'!$B$229=O$3,SUMIF('TL08'!$C$238:$C$451,$C393,'TL08'!$J$238:$J$451),0),
IF('TL09'!$B$3=O$3,SUMIF('TL09'!$C$10:$C$224,$C393,'TL09'!$J$10:$J$224),0),
IF('TL09'!$B$229=O$3,SUMIF('TL09'!$C$238:$C$451,$C393,'TL09'!$J$238:$J$451),0),
IF('TL10'!$B$3=O$3,SUMIF('TL10'!$C$10:$C$224,$C393,'TL10'!$J$10:$J$224),0),
IF('TL10'!$B$229=O$3,SUMIF('TL10'!$C$238:$C$451,$C393,'TL10'!$J$238:$J$451),0),
IF('TL11'!$B$3=O$3,SUMIF('TL11'!$C$10:$C$224,$C393,'TL11'!$J$10:$J$224),0),
IF('TL11'!$B$229=O$3,SUMIF('TL11'!$C$238:$C$451,$C393,'TL11'!$J$238:$J$451),0),
IF('TL12'!$B$3=O$3,SUMIF('TL12'!$C$10:$C$224,$C393,'TL12'!$J$10:$J$224),0),
IF('TL12'!$B$229=O$3,SUMIF('TL12'!$C$238:$C$451,$C393,'TL12'!$J$238:$J$451),0),
IF('TL13'!$B$3=O$3,SUMIF('TL13'!$C$10:$C$224,$C393,'TL13'!$J$10:$J$224),0),
IF('TL13'!$B$229=O$3,SUMIF('TL13'!$C$238:$C$451,$C393,'TL13'!$J$238:$J$451),0),
IF('TL14'!$B$3=O$3,SUMIF('TL14'!$C$10:$C$224,$C393,'TL14'!$J$10:$J$224),0),
IF('TL14'!$B$229=O$3,SUMIF('TL14'!$C$238:$C$451,$C393,'TL14'!$J$238:$J$451),0),
IF('TL15'!$B$3=O$3,SUMIF('TL15'!$C$10:$C$224,$C393,'TL15'!$J$10:$J$224),0),
IF('TL15'!$B$229=O$3,SUMIF('TL15'!$C$238:$C$451,$C393,'TL15'!$J$238:$J$451),0),
IF('TL16'!$B$3=O$3,SUMIF('TL16'!$C$10:$C$224,$C393,'TL16'!$J$10:$J$224),0),
IF('TL16'!$B$229=O$3,SUMIF('TL16'!$C$238:$C$451,$C393,'TL16'!$J$238:$J$451),0),
IF('TL17'!$B$3=O$3,SUMIF('TL17'!$C$10:$C$224,$C393,'TL17'!$J$10:$J$224),0),
IF('TL17'!$B$229=O$3,SUMIF('TL17'!$C$238:$C$451,$C393,'TL17'!$J$238:$J$451),0),
IF('TL18'!$B$3=O$3,SUMIF('TL18'!$C$10:$C$224,$C393,'TL18'!$J$10:$J$224),0),
IF('TL18'!$B$229=O$3,SUMIF('TL18'!$C$238:$C$451,$C393,'TL18'!$J$238:$J$451),0),
IF('TL19'!$B$3=O$3,SUMIF('TL19'!$C$10:$C$224,$C393,'TL19'!$J$10:$J$224),0),
IF('TL19'!$B$229=O$3,SUMIF('TL19'!$C$238:$C$451,$C393,'TL19'!$J$238:$J$451),0)
),0)</f>
        <v/>
      </c>
      <c r="P393" s="9">
        <f>IFERROR(SUM(
IF('TL01'!$B$3=P$3,SUMIF('TL01'!$C$10:$C$224,$C393,'TL01'!$J$10:$J$224),0),
IF('TL01'!$B$229=P$3,SUMIF('TL01'!$C$238:$C$451,$C393,'TL01'!$J$238:$J$451),0),
IF('TL02'!$B$3=P$3,SUMIF('TL02'!$C$10:$C$224,$C393,'TL02'!$J$10:$J$224),0),
IF('TL02'!$B$229=P$3,SUMIF('TL02'!$C$238:$C$451,$C393,'TL02'!$J$238:$J$451),0),
IF('TL03'!$B$3=P$3,SUMIF('TL03'!$C$10:$C$224,$C393,'TL03'!$J$10:$J$224),0),
IF('TL03'!$B$229=P$3,SUMIF('TL03'!$C$238:$C$451,$C393,'TL03'!$J$238:$J$451),0),
IF('TL04'!$B$3=P$3,SUMIF('TL04'!$C$10:$C$224,$C393,'TL04'!$J$10:$J$224),0),
IF('TL04'!$B$229=P$3,SUMIF('TL04'!$C$238:$C$451,$C393,'TL04'!$J$238:$J$451),0),
IF('TL05'!$B$3=P$3,SUMIF('TL05'!$C$10:$C$224,$C393,'TL05'!$J$10:$J$224),0),
IF('TL05'!$B$229=P$3,SUMIF('TL05'!$C$238:$C$451,$C393,'TL05'!$J$238:$J$451),0),
IF('TL06'!$B$3=P$3,SUMIF('TL06'!$C$10:$C$224,$C393,'TL06'!$J$10:$J$224),0),
IF('TL06'!$B$229=P$3,SUMIF('TL06'!$C$238:$C$451,$C393,'TL06'!$J$238:$J$451),0),
IF('TL07'!$B$3=P$3,SUMIF('TL07'!$C$10:$C$224,$C393,'TL07'!$J$10:$J$224),0),
IF('TL07'!$B$229=P$3,SUMIF('TL07'!$C$238:$C$451,$C393,'TL07'!$J$238:$J$451),0),
IF('TL08'!$B$3=P$3,SUMIF('TL08'!$C$10:$C$224,$C393,'TL08'!$J$10:$J$224),0),
IF('TL08'!$B$229=P$3,SUMIF('TL08'!$C$238:$C$451,$C393,'TL08'!$J$238:$J$451),0),
IF('TL09'!$B$3=P$3,SUMIF('TL09'!$C$10:$C$224,$C393,'TL09'!$J$10:$J$224),0),
IF('TL09'!$B$229=P$3,SUMIF('TL09'!$C$238:$C$451,$C393,'TL09'!$J$238:$J$451),0),
IF('TL10'!$B$3=P$3,SUMIF('TL10'!$C$10:$C$224,$C393,'TL10'!$J$10:$J$224),0),
IF('TL10'!$B$229=P$3,SUMIF('TL10'!$C$238:$C$451,$C393,'TL10'!$J$238:$J$451),0),
IF('TL11'!$B$3=P$3,SUMIF('TL11'!$C$10:$C$224,$C393,'TL11'!$J$10:$J$224),0),
IF('TL11'!$B$229=P$3,SUMIF('TL11'!$C$238:$C$451,$C393,'TL11'!$J$238:$J$451),0),
IF('TL12'!$B$3=P$3,SUMIF('TL12'!$C$10:$C$224,$C393,'TL12'!$J$10:$J$224),0),
IF('TL12'!$B$229=P$3,SUMIF('TL12'!$C$238:$C$451,$C393,'TL12'!$J$238:$J$451),0),
IF('TL13'!$B$3=P$3,SUMIF('TL13'!$C$10:$C$224,$C393,'TL13'!$J$10:$J$224),0),
IF('TL13'!$B$229=P$3,SUMIF('TL13'!$C$238:$C$451,$C393,'TL13'!$J$238:$J$451),0),
IF('TL14'!$B$3=P$3,SUMIF('TL14'!$C$10:$C$224,$C393,'TL14'!$J$10:$J$224),0),
IF('TL14'!$B$229=P$3,SUMIF('TL14'!$C$238:$C$451,$C393,'TL14'!$J$238:$J$451),0),
IF('TL15'!$B$3=P$3,SUMIF('TL15'!$C$10:$C$224,$C393,'TL15'!$J$10:$J$224),0),
IF('TL15'!$B$229=P$3,SUMIF('TL15'!$C$238:$C$451,$C393,'TL15'!$J$238:$J$451),0),
IF('TL16'!$B$3=P$3,SUMIF('TL16'!$C$10:$C$224,$C393,'TL16'!$J$10:$J$224),0),
IF('TL16'!$B$229=P$3,SUMIF('TL16'!$C$238:$C$451,$C393,'TL16'!$J$238:$J$451),0),
IF('TL17'!$B$3=P$3,SUMIF('TL17'!$C$10:$C$224,$C393,'TL17'!$J$10:$J$224),0),
IF('TL17'!$B$229=P$3,SUMIF('TL17'!$C$238:$C$451,$C393,'TL17'!$J$238:$J$451),0),
IF('TL18'!$B$3=P$3,SUMIF('TL18'!$C$10:$C$224,$C393,'TL18'!$J$10:$J$224),0),
IF('TL18'!$B$229=P$3,SUMIF('TL18'!$C$238:$C$451,$C393,'TL18'!$J$238:$J$451),0),
IF('TL19'!$B$3=P$3,SUMIF('TL19'!$C$10:$C$224,$C393,'TL19'!$J$10:$J$224),0),
IF('TL19'!$B$229=P$3,SUMIF('TL19'!$C$238:$C$451,$C393,'TL19'!$J$238:$J$451),0)
),0)</f>
        <v/>
      </c>
      <c r="Q393" s="9">
        <f>IFERROR(SUM(
IF('TL01'!$B$3=Q$3,SUMIF('TL01'!$C$10:$C$224,$C393,'TL01'!$J$10:$J$224),0),
IF('TL01'!$B$229=Q$3,SUMIF('TL01'!$C$238:$C$451,$C393,'TL01'!$J$238:$J$451),0),
IF('TL02'!$B$3=Q$3,SUMIF('TL02'!$C$10:$C$224,$C393,'TL02'!$J$10:$J$224),0),
IF('TL02'!$B$229=Q$3,SUMIF('TL02'!$C$238:$C$451,$C393,'TL02'!$J$238:$J$451),0),
IF('TL03'!$B$3=Q$3,SUMIF('TL03'!$C$10:$C$224,$C393,'TL03'!$J$10:$J$224),0),
IF('TL03'!$B$229=Q$3,SUMIF('TL03'!$C$238:$C$451,$C393,'TL03'!$J$238:$J$451),0),
IF('TL04'!$B$3=Q$3,SUMIF('TL04'!$C$10:$C$224,$C393,'TL04'!$J$10:$J$224),0),
IF('TL04'!$B$229=Q$3,SUMIF('TL04'!$C$238:$C$451,$C393,'TL04'!$J$238:$J$451),0),
IF('TL05'!$B$3=Q$3,SUMIF('TL05'!$C$10:$C$224,$C393,'TL05'!$J$10:$J$224),0),
IF('TL05'!$B$229=Q$3,SUMIF('TL05'!$C$238:$C$451,$C393,'TL05'!$J$238:$J$451),0),
IF('TL06'!$B$3=Q$3,SUMIF('TL06'!$C$10:$C$224,$C393,'TL06'!$J$10:$J$224),0),
IF('TL06'!$B$229=Q$3,SUMIF('TL06'!$C$238:$C$451,$C393,'TL06'!$J$238:$J$451),0),
IF('TL07'!$B$3=Q$3,SUMIF('TL07'!$C$10:$C$224,$C393,'TL07'!$J$10:$J$224),0),
IF('TL07'!$B$229=Q$3,SUMIF('TL07'!$C$238:$C$451,$C393,'TL07'!$J$238:$J$451),0),
IF('TL08'!$B$3=Q$3,SUMIF('TL08'!$C$10:$C$224,$C393,'TL08'!$J$10:$J$224),0),
IF('TL08'!$B$229=Q$3,SUMIF('TL08'!$C$238:$C$451,$C393,'TL08'!$J$238:$J$451),0),
IF('TL09'!$B$3=Q$3,SUMIF('TL09'!$C$10:$C$224,$C393,'TL09'!$J$10:$J$224),0),
IF('TL09'!$B$229=Q$3,SUMIF('TL09'!$C$238:$C$451,$C393,'TL09'!$J$238:$J$451),0),
IF('TL10'!$B$3=Q$3,SUMIF('TL10'!$C$10:$C$224,$C393,'TL10'!$J$10:$J$224),0),
IF('TL10'!$B$229=Q$3,SUMIF('TL10'!$C$238:$C$451,$C393,'TL10'!$J$238:$J$451),0),
IF('TL11'!$B$3=Q$3,SUMIF('TL11'!$C$10:$C$224,$C393,'TL11'!$J$10:$J$224),0),
IF('TL11'!$B$229=Q$3,SUMIF('TL11'!$C$238:$C$451,$C393,'TL11'!$J$238:$J$451),0),
IF('TL12'!$B$3=Q$3,SUMIF('TL12'!$C$10:$C$224,$C393,'TL12'!$J$10:$J$224),0),
IF('TL12'!$B$229=Q$3,SUMIF('TL12'!$C$238:$C$451,$C393,'TL12'!$J$238:$J$451),0),
IF('TL13'!$B$3=Q$3,SUMIF('TL13'!$C$10:$C$224,$C393,'TL13'!$J$10:$J$224),0),
IF('TL13'!$B$229=Q$3,SUMIF('TL13'!$C$238:$C$451,$C393,'TL13'!$J$238:$J$451),0),
IF('TL14'!$B$3=Q$3,SUMIF('TL14'!$C$10:$C$224,$C393,'TL14'!$J$10:$J$224),0),
IF('TL14'!$B$229=Q$3,SUMIF('TL14'!$C$238:$C$451,$C393,'TL14'!$J$238:$J$451),0),
IF('TL15'!$B$3=Q$3,SUMIF('TL15'!$C$10:$C$224,$C393,'TL15'!$J$10:$J$224),0),
IF('TL15'!$B$229=Q$3,SUMIF('TL15'!$C$238:$C$451,$C393,'TL15'!$J$238:$J$451),0),
IF('TL16'!$B$3=Q$3,SUMIF('TL16'!$C$10:$C$224,$C393,'TL16'!$J$10:$J$224),0),
IF('TL16'!$B$229=Q$3,SUMIF('TL16'!$C$238:$C$451,$C393,'TL16'!$J$238:$J$451),0),
IF('TL17'!$B$3=Q$3,SUMIF('TL17'!$C$10:$C$224,$C393,'TL17'!$J$10:$J$224),0),
IF('TL17'!$B$229=Q$3,SUMIF('TL17'!$C$238:$C$451,$C393,'TL17'!$J$238:$J$451),0),
IF('TL18'!$B$3=Q$3,SUMIF('TL18'!$C$10:$C$224,$C393,'TL18'!$J$10:$J$224),0),
IF('TL18'!$B$229=Q$3,SUMIF('TL18'!$C$238:$C$451,$C393,'TL18'!$J$238:$J$451),0),
IF('TL19'!$B$3=Q$3,SUMIF('TL19'!$C$10:$C$224,$C393,'TL19'!$J$10:$J$224),0),
IF('TL19'!$B$229=Q$3,SUMIF('TL19'!$C$238:$C$451,$C393,'TL19'!$J$238:$J$451),0)
),0)</f>
        <v/>
      </c>
      <c r="R393" s="9">
        <f>IFERROR(
SUM(
SUMIF('TL01'!C:C,C393,'TL01'!J:J),
SUMIF('TL02'!C:C,C393,'TL02'!J:J),
SUMIF('TL03'!C:C,C393,'TL03'!J:J),
SUMIF('TL04'!C:C,C393,'TL04'!J:J),
SUMIF('TL05'!C:C,C393,'TL05'!J:J),
SUMIF('TL06'!C:C,C393,'TL06'!J:J),
SUMIF('TL07'!C:C,C393,'TL07'!J:J),
SUMIF('TL08'!C:C,C393,'TL08'!J:J),
SUMIF('TL09'!C:C,C393,'TL09'!J:J),
SUMIF('TL10'!C:C,C393,'TL10'!J:J),
SUMIF('TL11'!C:C,C393,'TL11'!J:J),
SUMIF('TL12'!C:C,C393,'TL12'!J:J),
SUMIF('TL13'!C:C,C393,'TL13'!J:J),
SUMIF('TL14'!C:C,C393,'TL14'!J:J),
SUMIF('TL15'!C:C,C393,'TL15'!J:J),
SUMIF('TL16'!C:C,C393,'TL16'!J:J),
SUMIF('TL17'!C:C,C393,'TL17'!J:J),
SUMIF('TL18'!C:C,C393,'TL18'!J:J),SUMIF('TL19'!C:C,C393,'TL19'!J:J))
,0)</f>
        <v/>
      </c>
      <c r="S393" s="17">
        <f>IFERROR(__xludf.DUMMYFUNCTION("IFERROR(VLOOKUP(C393,
IMPORTRANGE(""1wULbzX32WdYsx-lj2U3uUNBBe2INVIRDtcK0d-Dvl90"",
""26-27!C:G""),
5,
FALSE),
"""")"),"")</f>
        <v/>
      </c>
      <c r="T393" s="9" t="n"/>
      <c r="U393" s="92">
        <f>MAX(0,R393-T393)</f>
        <v/>
      </c>
      <c r="V393" s="93">
        <f>U393*S393</f>
        <v/>
      </c>
    </row>
    <row r="394" hidden="1" ht="15.75" customHeight="1" s="297">
      <c r="A394" s="4" t="n"/>
      <c r="B394" s="125" t="n"/>
      <c r="C394" s="20" t="n"/>
      <c r="D394" s="20" t="n"/>
      <c r="E394" s="9" t="n"/>
      <c r="F394" s="4" t="n"/>
      <c r="G394" s="90">
        <f>HYPERLINK("https://www.google.com/search?q=" &amp; C394 &amp; "+bula+agrofit+pdf", "📄 Ver bula")</f>
        <v/>
      </c>
      <c r="H394" s="9" t="n"/>
      <c r="I394" s="1" t="n"/>
      <c r="J394" s="9">
        <f>IFERROR(SUM(
IF('TL01'!$B$3=J$3,SUMIF('TL01'!$C$10:$C$224,$C394,'TL01'!$J$10:$J$224),0),
IF('TL01'!$B$229=J$3,SUMIF('TL01'!$C$238:$C$451,$C394,'TL01'!$J$238:$J$451),0),
IF('TL02'!$B$3=J$3,SUMIF('TL02'!$C$10:$C$224,$C394,'TL02'!$J$10:$J$224),0),
IF('TL02'!$B$229=J$3,SUMIF('TL02'!$C$238:$C$451,$C394,'TL02'!$J$238:$J$451),0),
IF('TL03'!$B$3=J$3,SUMIF('TL03'!$C$10:$C$224,$C394,'TL03'!$J$10:$J$224),0),
IF('TL03'!$B$229=J$3,SUMIF('TL03'!$C$238:$C$451,$C394,'TL03'!$J$238:$J$451),0),
IF('TL04'!$B$3=J$3,SUMIF('TL04'!$C$10:$C$224,$C394,'TL04'!$J$10:$J$224),0),
IF('TL04'!$B$229=J$3,SUMIF('TL04'!$C$238:$C$451,$C394,'TL04'!$J$238:$J$451),0),
IF('TL05'!$B$3=J$3,SUMIF('TL05'!$C$10:$C$224,$C394,'TL05'!$J$10:$J$224),0),
IF('TL05'!$B$229=J$3,SUMIF('TL05'!$C$238:$C$451,$C394,'TL05'!$J$238:$J$451),0),
IF('TL06'!$B$3=J$3,SUMIF('TL06'!$C$10:$C$224,$C394,'TL06'!$J$10:$J$224),0),
IF('TL06'!$B$229=J$3,SUMIF('TL06'!$C$238:$C$451,$C394,'TL06'!$J$238:$J$451),0),
IF('TL07'!$B$3=J$3,SUMIF('TL07'!$C$10:$C$224,$C394,'TL07'!$J$10:$J$224),0),
IF('TL07'!$B$229=J$3,SUMIF('TL07'!$C$238:$C$451,$C394,'TL07'!$J$238:$J$451),0),
IF('TL08'!$B$3=J$3,SUMIF('TL08'!$C$10:$C$224,$C394,'TL08'!$J$10:$J$224),0),
IF('TL08'!$B$229=J$3,SUMIF('TL08'!$C$238:$C$451,$C394,'TL08'!$J$238:$J$451),0),
IF('TL09'!$B$3=J$3,SUMIF('TL09'!$C$10:$C$224,$C394,'TL09'!$J$10:$J$224),0),
IF('TL09'!$B$229=J$3,SUMIF('TL09'!$C$238:$C$451,$C394,'TL09'!$J$238:$J$451),0),
IF('TL10'!$B$3=J$3,SUMIF('TL10'!$C$10:$C$224,$C394,'TL10'!$J$10:$J$224),0),
IF('TL10'!$B$229=J$3,SUMIF('TL10'!$C$238:$C$451,$C394,'TL10'!$J$238:$J$451),0),
IF('TL11'!$B$3=J$3,SUMIF('TL11'!$C$10:$C$224,$C394,'TL11'!$J$10:$J$224),0),
IF('TL11'!$B$229=J$3,SUMIF('TL11'!$C$238:$C$451,$C394,'TL11'!$J$238:$J$451),0),
IF('TL12'!$B$3=J$3,SUMIF('TL12'!$C$10:$C$224,$C394,'TL12'!$J$10:$J$224),0),
IF('TL12'!$B$229=J$3,SUMIF('TL12'!$C$238:$C$451,$C394,'TL12'!$J$238:$J$451),0),
IF('TL13'!$B$3=J$3,SUMIF('TL13'!$C$10:$C$224,$C394,'TL13'!$J$10:$J$224),0),
IF('TL13'!$B$229=J$3,SUMIF('TL13'!$C$238:$C$451,$C394,'TL13'!$J$238:$J$451),0),
IF('TL14'!$B$3=J$3,SUMIF('TL14'!$C$10:$C$224,$C394,'TL14'!$J$10:$J$224),0),
IF('TL14'!$B$229=J$3,SUMIF('TL14'!$C$238:$C$451,$C394,'TL14'!$J$238:$J$451),0),
IF('TL15'!$B$3=J$3,SUMIF('TL15'!$C$10:$C$224,$C394,'TL15'!$J$10:$J$224),0),
IF('TL15'!$B$229=J$3,SUMIF('TL15'!$C$238:$C$451,$C394,'TL15'!$J$238:$J$451),0),
IF('TL16'!$B$3=J$3,SUMIF('TL16'!$C$10:$C$224,$C394,'TL16'!$J$10:$J$224),0),
IF('TL16'!$B$229=J$3,SUMIF('TL16'!$C$238:$C$451,$C394,'TL16'!$J$238:$J$451),0),
IF('TL17'!$B$3=J$3,SUMIF('TL17'!$C$10:$C$224,$C394,'TL17'!$J$10:$J$224),0),
IF('TL17'!$B$229=J$3,SUMIF('TL17'!$C$238:$C$451,$C394,'TL17'!$J$238:$J$451),0),
IF('TL18'!$B$3=J$3,SUMIF('TL18'!$C$10:$C$224,$C394,'TL18'!$J$10:$J$224),0),
IF('TL18'!$B$229=J$3,SUMIF('TL18'!$C$238:$C$451,$C394,'TL18'!$J$238:$J$451),0),
IF('TL19'!$B$3=J$3,SUMIF('TL19'!$C$10:$C$224,$C394,'TL19'!$J$10:$J$224),0),
IF('TL19'!$B$229=J$3,SUMIF('TL19'!$C$238:$C$451,$C394,'TL19'!$J$238:$J$451),0)
),0)</f>
        <v/>
      </c>
      <c r="K394" s="9">
        <f>IFERROR(SUM(
IF('TL01'!$B$3=K$3,SUMIF('TL01'!$C$10:$C$224,$C394,'TL01'!$J$10:$J$224),0),
IF('TL01'!$B$229=K$3,SUMIF('TL01'!$C$238:$C$451,$C394,'TL01'!$J$238:$J$451),0),
IF('TL02'!$B$3=K$3,SUMIF('TL02'!$C$10:$C$224,$C394,'TL02'!$J$10:$J$224),0),
IF('TL02'!$B$229=K$3,SUMIF('TL02'!$C$238:$C$451,$C394,'TL02'!$J$238:$J$451),0),
IF('TL03'!$B$3=K$3,SUMIF('TL03'!$C$10:$C$224,$C394,'TL03'!$J$10:$J$224),0),
IF('TL03'!$B$229=K$3,SUMIF('TL03'!$C$238:$C$451,$C394,'TL03'!$J$238:$J$451),0),
IF('TL04'!$B$3=K$3,SUMIF('TL04'!$C$10:$C$224,$C394,'TL04'!$J$10:$J$224),0),
IF('TL04'!$B$229=K$3,SUMIF('TL04'!$C$238:$C$451,$C394,'TL04'!$J$238:$J$451),0),
IF('TL05'!$B$3=K$3,SUMIF('TL05'!$C$10:$C$224,$C394,'TL05'!$J$10:$J$224),0),
IF('TL05'!$B$229=K$3,SUMIF('TL05'!$C$238:$C$451,$C394,'TL05'!$J$238:$J$451),0),
IF('TL06'!$B$3=K$3,SUMIF('TL06'!$C$10:$C$224,$C394,'TL06'!$J$10:$J$224),0),
IF('TL06'!$B$229=K$3,SUMIF('TL06'!$C$238:$C$451,$C394,'TL06'!$J$238:$J$451),0),
IF('TL07'!$B$3=K$3,SUMIF('TL07'!$C$10:$C$224,$C394,'TL07'!$J$10:$J$224),0),
IF('TL07'!$B$229=K$3,SUMIF('TL07'!$C$238:$C$451,$C394,'TL07'!$J$238:$J$451),0),
IF('TL08'!$B$3=K$3,SUMIF('TL08'!$C$10:$C$224,$C394,'TL08'!$J$10:$J$224),0),
IF('TL08'!$B$229=K$3,SUMIF('TL08'!$C$238:$C$451,$C394,'TL08'!$J$238:$J$451),0),
IF('TL09'!$B$3=K$3,SUMIF('TL09'!$C$10:$C$224,$C394,'TL09'!$J$10:$J$224),0),
IF('TL09'!$B$229=K$3,SUMIF('TL09'!$C$238:$C$451,$C394,'TL09'!$J$238:$J$451),0),
IF('TL10'!$B$3=K$3,SUMIF('TL10'!$C$10:$C$224,$C394,'TL10'!$J$10:$J$224),0),
IF('TL10'!$B$229=K$3,SUMIF('TL10'!$C$238:$C$451,$C394,'TL10'!$J$238:$J$451),0),
IF('TL11'!$B$3=K$3,SUMIF('TL11'!$C$10:$C$224,$C394,'TL11'!$J$10:$J$224),0),
IF('TL11'!$B$229=K$3,SUMIF('TL11'!$C$238:$C$451,$C394,'TL11'!$J$238:$J$451),0),
IF('TL12'!$B$3=K$3,SUMIF('TL12'!$C$10:$C$224,$C394,'TL12'!$J$10:$J$224),0),
IF('TL12'!$B$229=K$3,SUMIF('TL12'!$C$238:$C$451,$C394,'TL12'!$J$238:$J$451),0),
IF('TL13'!$B$3=K$3,SUMIF('TL13'!$C$10:$C$224,$C394,'TL13'!$J$10:$J$224),0),
IF('TL13'!$B$229=K$3,SUMIF('TL13'!$C$238:$C$451,$C394,'TL13'!$J$238:$J$451),0),
IF('TL14'!$B$3=K$3,SUMIF('TL14'!$C$10:$C$224,$C394,'TL14'!$J$10:$J$224),0),
IF('TL14'!$B$229=K$3,SUMIF('TL14'!$C$238:$C$451,$C394,'TL14'!$J$238:$J$451),0),
IF('TL15'!$B$3=K$3,SUMIF('TL15'!$C$10:$C$224,$C394,'TL15'!$J$10:$J$224),0),
IF('TL15'!$B$229=K$3,SUMIF('TL15'!$C$238:$C$451,$C394,'TL15'!$J$238:$J$451),0),
IF('TL16'!$B$3=K$3,SUMIF('TL16'!$C$10:$C$224,$C394,'TL16'!$J$10:$J$224),0),
IF('TL16'!$B$229=K$3,SUMIF('TL16'!$C$238:$C$451,$C394,'TL16'!$J$238:$J$451),0),
IF('TL17'!$B$3=K$3,SUMIF('TL17'!$C$10:$C$224,$C394,'TL17'!$J$10:$J$224),0),
IF('TL17'!$B$229=K$3,SUMIF('TL17'!$C$238:$C$451,$C394,'TL17'!$J$238:$J$451),0),
IF('TL18'!$B$3=K$3,SUMIF('TL18'!$C$10:$C$224,$C394,'TL18'!$J$10:$J$224),0),
IF('TL18'!$B$229=K$3,SUMIF('TL18'!$C$238:$C$451,$C394,'TL18'!$J$238:$J$451),0),
IF('TL19'!$B$3=K$3,SUMIF('TL19'!$C$10:$C$224,$C394,'TL19'!$J$10:$J$224),0),
IF('TL19'!$B$229=K$3,SUMIF('TL19'!$C$238:$C$451,$C394,'TL19'!$J$238:$J$451),0)
),0)</f>
        <v/>
      </c>
      <c r="L394" s="9">
        <f>IFERROR(SUM(
IF('TL01'!$B$3=L$3,SUMIF('TL01'!$C$10:$C$224,$C394,'TL01'!$J$10:$J$224),0),
IF('TL01'!$B$229=L$3,SUMIF('TL01'!$C$238:$C$451,$C394,'TL01'!$J$238:$J$451),0),
IF('TL02'!$B$3=L$3,SUMIF('TL02'!$C$10:$C$224,$C394,'TL02'!$J$10:$J$224),0),
IF('TL02'!$B$229=L$3,SUMIF('TL02'!$C$238:$C$451,$C394,'TL02'!$J$238:$J$451),0),
IF('TL03'!$B$3=L$3,SUMIF('TL03'!$C$10:$C$224,$C394,'TL03'!$J$10:$J$224),0),
IF('TL03'!$B$229=L$3,SUMIF('TL03'!$C$238:$C$451,$C394,'TL03'!$J$238:$J$451),0),
IF('TL04'!$B$3=L$3,SUMIF('TL04'!$C$10:$C$224,$C394,'TL04'!$J$10:$J$224),0),
IF('TL04'!$B$229=L$3,SUMIF('TL04'!$C$238:$C$451,$C394,'TL04'!$J$238:$J$451),0),
IF('TL05'!$B$3=L$3,SUMIF('TL05'!$C$10:$C$224,$C394,'TL05'!$J$10:$J$224),0),
IF('TL05'!$B$229=L$3,SUMIF('TL05'!$C$238:$C$451,$C394,'TL05'!$J$238:$J$451),0),
IF('TL06'!$B$3=L$3,SUMIF('TL06'!$C$10:$C$224,$C394,'TL06'!$J$10:$J$224),0),
IF('TL06'!$B$229=L$3,SUMIF('TL06'!$C$238:$C$451,$C394,'TL06'!$J$238:$J$451),0),
IF('TL07'!$B$3=L$3,SUMIF('TL07'!$C$10:$C$224,$C394,'TL07'!$J$10:$J$224),0),
IF('TL07'!$B$229=L$3,SUMIF('TL07'!$C$238:$C$451,$C394,'TL07'!$J$238:$J$451),0),
IF('TL08'!$B$3=L$3,SUMIF('TL08'!$C$10:$C$224,$C394,'TL08'!$J$10:$J$224),0),
IF('TL08'!$B$229=L$3,SUMIF('TL08'!$C$238:$C$451,$C394,'TL08'!$J$238:$J$451),0),
IF('TL09'!$B$3=L$3,SUMIF('TL09'!$C$10:$C$224,$C394,'TL09'!$J$10:$J$224),0),
IF('TL09'!$B$229=L$3,SUMIF('TL09'!$C$238:$C$451,$C394,'TL09'!$J$238:$J$451),0),
IF('TL10'!$B$3=L$3,SUMIF('TL10'!$C$10:$C$224,$C394,'TL10'!$J$10:$J$224),0),
IF('TL10'!$B$229=L$3,SUMIF('TL10'!$C$238:$C$451,$C394,'TL10'!$J$238:$J$451),0),
IF('TL11'!$B$3=L$3,SUMIF('TL11'!$C$10:$C$224,$C394,'TL11'!$J$10:$J$224),0),
IF('TL11'!$B$229=L$3,SUMIF('TL11'!$C$238:$C$451,$C394,'TL11'!$J$238:$J$451),0),
IF('TL12'!$B$3=L$3,SUMIF('TL12'!$C$10:$C$224,$C394,'TL12'!$J$10:$J$224),0),
IF('TL12'!$B$229=L$3,SUMIF('TL12'!$C$238:$C$451,$C394,'TL12'!$J$238:$J$451),0),
IF('TL13'!$B$3=L$3,SUMIF('TL13'!$C$10:$C$224,$C394,'TL13'!$J$10:$J$224),0),
IF('TL13'!$B$229=L$3,SUMIF('TL13'!$C$238:$C$451,$C394,'TL13'!$J$238:$J$451),0),
IF('TL14'!$B$3=L$3,SUMIF('TL14'!$C$10:$C$224,$C394,'TL14'!$J$10:$J$224),0),
IF('TL14'!$B$229=L$3,SUMIF('TL14'!$C$238:$C$451,$C394,'TL14'!$J$238:$J$451),0),
IF('TL15'!$B$3=L$3,SUMIF('TL15'!$C$10:$C$224,$C394,'TL15'!$J$10:$J$224),0),
IF('TL15'!$B$229=L$3,SUMIF('TL15'!$C$238:$C$451,$C394,'TL15'!$J$238:$J$451),0),
IF('TL16'!$B$3=L$3,SUMIF('TL16'!$C$10:$C$224,$C394,'TL16'!$J$10:$J$224),0),
IF('TL16'!$B$229=L$3,SUMIF('TL16'!$C$238:$C$451,$C394,'TL16'!$J$238:$J$451),0),
IF('TL17'!$B$3=L$3,SUMIF('TL17'!$C$10:$C$224,$C394,'TL17'!$J$10:$J$224),0),
IF('TL17'!$B$229=L$3,SUMIF('TL17'!$C$238:$C$451,$C394,'TL17'!$J$238:$J$451),0),
IF('TL18'!$B$3=L$3,SUMIF('TL18'!$C$10:$C$224,$C394,'TL18'!$J$10:$J$224),0),
IF('TL18'!$B$229=L$3,SUMIF('TL18'!$C$238:$C$451,$C394,'TL18'!$J$238:$J$451),0),
IF('TL19'!$B$3=L$3,SUMIF('TL19'!$C$10:$C$224,$C394,'TL19'!$J$10:$J$224),0),
IF('TL19'!$B$229=L$3,SUMIF('TL19'!$C$238:$C$451,$C394,'TL19'!$J$238:$J$451),0)
),0)</f>
        <v/>
      </c>
      <c r="M394" s="9">
        <f>IFERROR(SUM(
IF('TL01'!$B$3=M$3,SUMIF('TL01'!$C$10:$C$224,$C394,'TL01'!$J$10:$J$224),0),
IF('TL01'!$B$229=M$3,SUMIF('TL01'!$C$238:$C$451,$C394,'TL01'!$J$238:$J$451),0),
IF('TL02'!$B$3=M$3,SUMIF('TL02'!$C$10:$C$224,$C394,'TL02'!$J$10:$J$224),0),
IF('TL02'!$B$229=M$3,SUMIF('TL02'!$C$238:$C$451,$C394,'TL02'!$J$238:$J$451),0),
IF('TL03'!$B$3=M$3,SUMIF('TL03'!$C$10:$C$224,$C394,'TL03'!$J$10:$J$224),0),
IF('TL03'!$B$229=M$3,SUMIF('TL03'!$C$238:$C$451,$C394,'TL03'!$J$238:$J$451),0),
IF('TL04'!$B$3=M$3,SUMIF('TL04'!$C$10:$C$224,$C394,'TL04'!$J$10:$J$224),0),
IF('TL04'!$B$229=M$3,SUMIF('TL04'!$C$238:$C$451,$C394,'TL04'!$J$238:$J$451),0),
IF('TL05'!$B$3=M$3,SUMIF('TL05'!$C$10:$C$224,$C394,'TL05'!$J$10:$J$224),0),
IF('TL05'!$B$229=M$3,SUMIF('TL05'!$C$238:$C$451,$C394,'TL05'!$J$238:$J$451),0),
IF('TL06'!$B$3=M$3,SUMIF('TL06'!$C$10:$C$224,$C394,'TL06'!$J$10:$J$224),0),
IF('TL06'!$B$229=M$3,SUMIF('TL06'!$C$238:$C$451,$C394,'TL06'!$J$238:$J$451),0),
IF('TL07'!$B$3=M$3,SUMIF('TL07'!$C$10:$C$224,$C394,'TL07'!$J$10:$J$224),0),
IF('TL07'!$B$229=M$3,SUMIF('TL07'!$C$238:$C$451,$C394,'TL07'!$J$238:$J$451),0),
IF('TL08'!$B$3=M$3,SUMIF('TL08'!$C$10:$C$224,$C394,'TL08'!$J$10:$J$224),0),
IF('TL08'!$B$229=M$3,SUMIF('TL08'!$C$238:$C$451,$C394,'TL08'!$J$238:$J$451),0),
IF('TL09'!$B$3=M$3,SUMIF('TL09'!$C$10:$C$224,$C394,'TL09'!$J$10:$J$224),0),
IF('TL09'!$B$229=M$3,SUMIF('TL09'!$C$238:$C$451,$C394,'TL09'!$J$238:$J$451),0),
IF('TL10'!$B$3=M$3,SUMIF('TL10'!$C$10:$C$224,$C394,'TL10'!$J$10:$J$224),0),
IF('TL10'!$B$229=M$3,SUMIF('TL10'!$C$238:$C$451,$C394,'TL10'!$J$238:$J$451),0),
IF('TL11'!$B$3=M$3,SUMIF('TL11'!$C$10:$C$224,$C394,'TL11'!$J$10:$J$224),0),
IF('TL11'!$B$229=M$3,SUMIF('TL11'!$C$238:$C$451,$C394,'TL11'!$J$238:$J$451),0),
IF('TL12'!$B$3=M$3,SUMIF('TL12'!$C$10:$C$224,$C394,'TL12'!$J$10:$J$224),0),
IF('TL12'!$B$229=M$3,SUMIF('TL12'!$C$238:$C$451,$C394,'TL12'!$J$238:$J$451),0),
IF('TL13'!$B$3=M$3,SUMIF('TL13'!$C$10:$C$224,$C394,'TL13'!$J$10:$J$224),0),
IF('TL13'!$B$229=M$3,SUMIF('TL13'!$C$238:$C$451,$C394,'TL13'!$J$238:$J$451),0),
IF('TL14'!$B$3=M$3,SUMIF('TL14'!$C$10:$C$224,$C394,'TL14'!$J$10:$J$224),0),
IF('TL14'!$B$229=M$3,SUMIF('TL14'!$C$238:$C$451,$C394,'TL14'!$J$238:$J$451),0),
IF('TL15'!$B$3=M$3,SUMIF('TL15'!$C$10:$C$224,$C394,'TL15'!$J$10:$J$224),0),
IF('TL15'!$B$229=M$3,SUMIF('TL15'!$C$238:$C$451,$C394,'TL15'!$J$238:$J$451),0),
IF('TL16'!$B$3=M$3,SUMIF('TL16'!$C$10:$C$224,$C394,'TL16'!$J$10:$J$224),0),
IF('TL16'!$B$229=M$3,SUMIF('TL16'!$C$238:$C$451,$C394,'TL16'!$J$238:$J$451),0),
IF('TL17'!$B$3=M$3,SUMIF('TL17'!$C$10:$C$224,$C394,'TL17'!$J$10:$J$224),0),
IF('TL17'!$B$229=M$3,SUMIF('TL17'!$C$238:$C$451,$C394,'TL17'!$J$238:$J$451),0),
IF('TL18'!$B$3=M$3,SUMIF('TL18'!$C$10:$C$224,$C394,'TL18'!$J$10:$J$224),0),
IF('TL18'!$B$229=M$3,SUMIF('TL18'!$C$238:$C$451,$C394,'TL18'!$J$238:$J$451),0),
IF('TL19'!$B$3=M$3,SUMIF('TL19'!$C$10:$C$224,$C394,'TL19'!$J$10:$J$224),0),
IF('TL19'!$B$229=M$3,SUMIF('TL19'!$C$238:$C$451,$C394,'TL19'!$J$238:$J$451),0)
),0)</f>
        <v/>
      </c>
      <c r="N394" s="9">
        <f>IFERROR(SUM(
IF('TL01'!$B$3=N$3,SUMIF('TL01'!$C$10:$C$224,$C394,'TL01'!$J$10:$J$224),0),
IF('TL01'!$B$229=N$3,SUMIF('TL01'!$C$238:$C$451,$C394,'TL01'!$J$238:$J$451),0),
IF('TL02'!$B$3=N$3,SUMIF('TL02'!$C$10:$C$224,$C394,'TL02'!$J$10:$J$224),0),
IF('TL02'!$B$229=N$3,SUMIF('TL02'!$C$238:$C$451,$C394,'TL02'!$J$238:$J$451),0),
IF('TL03'!$B$3=N$3,SUMIF('TL03'!$C$10:$C$224,$C394,'TL03'!$J$10:$J$224),0),
IF('TL03'!$B$229=N$3,SUMIF('TL03'!$C$238:$C$451,$C394,'TL03'!$J$238:$J$451),0),
IF('TL04'!$B$3=N$3,SUMIF('TL04'!$C$10:$C$224,$C394,'TL04'!$J$10:$J$224),0),
IF('TL04'!$B$229=N$3,SUMIF('TL04'!$C$238:$C$451,$C394,'TL04'!$J$238:$J$451),0),
IF('TL05'!$B$3=N$3,SUMIF('TL05'!$C$10:$C$224,$C394,'TL05'!$J$10:$J$224),0),
IF('TL05'!$B$229=N$3,SUMIF('TL05'!$C$238:$C$451,$C394,'TL05'!$J$238:$J$451),0),
IF('TL06'!$B$3=N$3,SUMIF('TL06'!$C$10:$C$224,$C394,'TL06'!$J$10:$J$224),0),
IF('TL06'!$B$229=N$3,SUMIF('TL06'!$C$238:$C$451,$C394,'TL06'!$J$238:$J$451),0),
IF('TL07'!$B$3=N$3,SUMIF('TL07'!$C$10:$C$224,$C394,'TL07'!$J$10:$J$224),0),
IF('TL07'!$B$229=N$3,SUMIF('TL07'!$C$238:$C$451,$C394,'TL07'!$J$238:$J$451),0),
IF('TL08'!$B$3=N$3,SUMIF('TL08'!$C$10:$C$224,$C394,'TL08'!$J$10:$J$224),0),
IF('TL08'!$B$229=N$3,SUMIF('TL08'!$C$238:$C$451,$C394,'TL08'!$J$238:$J$451),0),
IF('TL09'!$B$3=N$3,SUMIF('TL09'!$C$10:$C$224,$C394,'TL09'!$J$10:$J$224),0),
IF('TL09'!$B$229=N$3,SUMIF('TL09'!$C$238:$C$451,$C394,'TL09'!$J$238:$J$451),0),
IF('TL10'!$B$3=N$3,SUMIF('TL10'!$C$10:$C$224,$C394,'TL10'!$J$10:$J$224),0),
IF('TL10'!$B$229=N$3,SUMIF('TL10'!$C$238:$C$451,$C394,'TL10'!$J$238:$J$451),0),
IF('TL11'!$B$3=N$3,SUMIF('TL11'!$C$10:$C$224,$C394,'TL11'!$J$10:$J$224),0),
IF('TL11'!$B$229=N$3,SUMIF('TL11'!$C$238:$C$451,$C394,'TL11'!$J$238:$J$451),0),
IF('TL12'!$B$3=N$3,SUMIF('TL12'!$C$10:$C$224,$C394,'TL12'!$J$10:$J$224),0),
IF('TL12'!$B$229=N$3,SUMIF('TL12'!$C$238:$C$451,$C394,'TL12'!$J$238:$J$451),0),
IF('TL13'!$B$3=N$3,SUMIF('TL13'!$C$10:$C$224,$C394,'TL13'!$J$10:$J$224),0),
IF('TL13'!$B$229=N$3,SUMIF('TL13'!$C$238:$C$451,$C394,'TL13'!$J$238:$J$451),0),
IF('TL14'!$B$3=N$3,SUMIF('TL14'!$C$10:$C$224,$C394,'TL14'!$J$10:$J$224),0),
IF('TL14'!$B$229=N$3,SUMIF('TL14'!$C$238:$C$451,$C394,'TL14'!$J$238:$J$451),0),
IF('TL15'!$B$3=N$3,SUMIF('TL15'!$C$10:$C$224,$C394,'TL15'!$J$10:$J$224),0),
IF('TL15'!$B$229=N$3,SUMIF('TL15'!$C$238:$C$451,$C394,'TL15'!$J$238:$J$451),0),
IF('TL16'!$B$3=N$3,SUMIF('TL16'!$C$10:$C$224,$C394,'TL16'!$J$10:$J$224),0),
IF('TL16'!$B$229=N$3,SUMIF('TL16'!$C$238:$C$451,$C394,'TL16'!$J$238:$J$451),0),
IF('TL17'!$B$3=N$3,SUMIF('TL17'!$C$10:$C$224,$C394,'TL17'!$J$10:$J$224),0),
IF('TL17'!$B$229=N$3,SUMIF('TL17'!$C$238:$C$451,$C394,'TL17'!$J$238:$J$451),0),
IF('TL18'!$B$3=N$3,SUMIF('TL18'!$C$10:$C$224,$C394,'TL18'!$J$10:$J$224),0),
IF('TL18'!$B$229=N$3,SUMIF('TL18'!$C$238:$C$451,$C394,'TL18'!$J$238:$J$451),0),
IF('TL19'!$B$3=N$3,SUMIF('TL19'!$C$10:$C$224,$C394,'TL19'!$J$10:$J$224),0),
IF('TL19'!$B$229=N$3,SUMIF('TL19'!$C$238:$C$451,$C394,'TL19'!$J$238:$J$451),0)
),0)</f>
        <v/>
      </c>
      <c r="O394" s="9">
        <f>IFERROR(SUM(
IF('TL01'!$B$3=O$3,SUMIF('TL01'!$C$10:$C$224,$C394,'TL01'!$J$10:$J$224),0),
IF('TL01'!$B$229=O$3,SUMIF('TL01'!$C$238:$C$451,$C394,'TL01'!$J$238:$J$451),0),
IF('TL02'!$B$3=O$3,SUMIF('TL02'!$C$10:$C$224,$C394,'TL02'!$J$10:$J$224),0),
IF('TL02'!$B$229=O$3,SUMIF('TL02'!$C$238:$C$451,$C394,'TL02'!$J$238:$J$451),0),
IF('TL03'!$B$3=O$3,SUMIF('TL03'!$C$10:$C$224,$C394,'TL03'!$J$10:$J$224),0),
IF('TL03'!$B$229=O$3,SUMIF('TL03'!$C$238:$C$451,$C394,'TL03'!$J$238:$J$451),0),
IF('TL04'!$B$3=O$3,SUMIF('TL04'!$C$10:$C$224,$C394,'TL04'!$J$10:$J$224),0),
IF('TL04'!$B$229=O$3,SUMIF('TL04'!$C$238:$C$451,$C394,'TL04'!$J$238:$J$451),0),
IF('TL05'!$B$3=O$3,SUMIF('TL05'!$C$10:$C$224,$C394,'TL05'!$J$10:$J$224),0),
IF('TL05'!$B$229=O$3,SUMIF('TL05'!$C$238:$C$451,$C394,'TL05'!$J$238:$J$451),0),
IF('TL06'!$B$3=O$3,SUMIF('TL06'!$C$10:$C$224,$C394,'TL06'!$J$10:$J$224),0),
IF('TL06'!$B$229=O$3,SUMIF('TL06'!$C$238:$C$451,$C394,'TL06'!$J$238:$J$451),0),
IF('TL07'!$B$3=O$3,SUMIF('TL07'!$C$10:$C$224,$C394,'TL07'!$J$10:$J$224),0),
IF('TL07'!$B$229=O$3,SUMIF('TL07'!$C$238:$C$451,$C394,'TL07'!$J$238:$J$451),0),
IF('TL08'!$B$3=O$3,SUMIF('TL08'!$C$10:$C$224,$C394,'TL08'!$J$10:$J$224),0),
IF('TL08'!$B$229=O$3,SUMIF('TL08'!$C$238:$C$451,$C394,'TL08'!$J$238:$J$451),0),
IF('TL09'!$B$3=O$3,SUMIF('TL09'!$C$10:$C$224,$C394,'TL09'!$J$10:$J$224),0),
IF('TL09'!$B$229=O$3,SUMIF('TL09'!$C$238:$C$451,$C394,'TL09'!$J$238:$J$451),0),
IF('TL10'!$B$3=O$3,SUMIF('TL10'!$C$10:$C$224,$C394,'TL10'!$J$10:$J$224),0),
IF('TL10'!$B$229=O$3,SUMIF('TL10'!$C$238:$C$451,$C394,'TL10'!$J$238:$J$451),0),
IF('TL11'!$B$3=O$3,SUMIF('TL11'!$C$10:$C$224,$C394,'TL11'!$J$10:$J$224),0),
IF('TL11'!$B$229=O$3,SUMIF('TL11'!$C$238:$C$451,$C394,'TL11'!$J$238:$J$451),0),
IF('TL12'!$B$3=O$3,SUMIF('TL12'!$C$10:$C$224,$C394,'TL12'!$J$10:$J$224),0),
IF('TL12'!$B$229=O$3,SUMIF('TL12'!$C$238:$C$451,$C394,'TL12'!$J$238:$J$451),0),
IF('TL13'!$B$3=O$3,SUMIF('TL13'!$C$10:$C$224,$C394,'TL13'!$J$10:$J$224),0),
IF('TL13'!$B$229=O$3,SUMIF('TL13'!$C$238:$C$451,$C394,'TL13'!$J$238:$J$451),0),
IF('TL14'!$B$3=O$3,SUMIF('TL14'!$C$10:$C$224,$C394,'TL14'!$J$10:$J$224),0),
IF('TL14'!$B$229=O$3,SUMIF('TL14'!$C$238:$C$451,$C394,'TL14'!$J$238:$J$451),0),
IF('TL15'!$B$3=O$3,SUMIF('TL15'!$C$10:$C$224,$C394,'TL15'!$J$10:$J$224),0),
IF('TL15'!$B$229=O$3,SUMIF('TL15'!$C$238:$C$451,$C394,'TL15'!$J$238:$J$451),0),
IF('TL16'!$B$3=O$3,SUMIF('TL16'!$C$10:$C$224,$C394,'TL16'!$J$10:$J$224),0),
IF('TL16'!$B$229=O$3,SUMIF('TL16'!$C$238:$C$451,$C394,'TL16'!$J$238:$J$451),0),
IF('TL17'!$B$3=O$3,SUMIF('TL17'!$C$10:$C$224,$C394,'TL17'!$J$10:$J$224),0),
IF('TL17'!$B$229=O$3,SUMIF('TL17'!$C$238:$C$451,$C394,'TL17'!$J$238:$J$451),0),
IF('TL18'!$B$3=O$3,SUMIF('TL18'!$C$10:$C$224,$C394,'TL18'!$J$10:$J$224),0),
IF('TL18'!$B$229=O$3,SUMIF('TL18'!$C$238:$C$451,$C394,'TL18'!$J$238:$J$451),0),
IF('TL19'!$B$3=O$3,SUMIF('TL19'!$C$10:$C$224,$C394,'TL19'!$J$10:$J$224),0),
IF('TL19'!$B$229=O$3,SUMIF('TL19'!$C$238:$C$451,$C394,'TL19'!$J$238:$J$451),0)
),0)</f>
        <v/>
      </c>
      <c r="P394" s="9">
        <f>IFERROR(SUM(
IF('TL01'!$B$3=P$3,SUMIF('TL01'!$C$10:$C$224,$C394,'TL01'!$J$10:$J$224),0),
IF('TL01'!$B$229=P$3,SUMIF('TL01'!$C$238:$C$451,$C394,'TL01'!$J$238:$J$451),0),
IF('TL02'!$B$3=P$3,SUMIF('TL02'!$C$10:$C$224,$C394,'TL02'!$J$10:$J$224),0),
IF('TL02'!$B$229=P$3,SUMIF('TL02'!$C$238:$C$451,$C394,'TL02'!$J$238:$J$451),0),
IF('TL03'!$B$3=P$3,SUMIF('TL03'!$C$10:$C$224,$C394,'TL03'!$J$10:$J$224),0),
IF('TL03'!$B$229=P$3,SUMIF('TL03'!$C$238:$C$451,$C394,'TL03'!$J$238:$J$451),0),
IF('TL04'!$B$3=P$3,SUMIF('TL04'!$C$10:$C$224,$C394,'TL04'!$J$10:$J$224),0),
IF('TL04'!$B$229=P$3,SUMIF('TL04'!$C$238:$C$451,$C394,'TL04'!$J$238:$J$451),0),
IF('TL05'!$B$3=P$3,SUMIF('TL05'!$C$10:$C$224,$C394,'TL05'!$J$10:$J$224),0),
IF('TL05'!$B$229=P$3,SUMIF('TL05'!$C$238:$C$451,$C394,'TL05'!$J$238:$J$451),0),
IF('TL06'!$B$3=P$3,SUMIF('TL06'!$C$10:$C$224,$C394,'TL06'!$J$10:$J$224),0),
IF('TL06'!$B$229=P$3,SUMIF('TL06'!$C$238:$C$451,$C394,'TL06'!$J$238:$J$451),0),
IF('TL07'!$B$3=P$3,SUMIF('TL07'!$C$10:$C$224,$C394,'TL07'!$J$10:$J$224),0),
IF('TL07'!$B$229=P$3,SUMIF('TL07'!$C$238:$C$451,$C394,'TL07'!$J$238:$J$451),0),
IF('TL08'!$B$3=P$3,SUMIF('TL08'!$C$10:$C$224,$C394,'TL08'!$J$10:$J$224),0),
IF('TL08'!$B$229=P$3,SUMIF('TL08'!$C$238:$C$451,$C394,'TL08'!$J$238:$J$451),0),
IF('TL09'!$B$3=P$3,SUMIF('TL09'!$C$10:$C$224,$C394,'TL09'!$J$10:$J$224),0),
IF('TL09'!$B$229=P$3,SUMIF('TL09'!$C$238:$C$451,$C394,'TL09'!$J$238:$J$451),0),
IF('TL10'!$B$3=P$3,SUMIF('TL10'!$C$10:$C$224,$C394,'TL10'!$J$10:$J$224),0),
IF('TL10'!$B$229=P$3,SUMIF('TL10'!$C$238:$C$451,$C394,'TL10'!$J$238:$J$451),0),
IF('TL11'!$B$3=P$3,SUMIF('TL11'!$C$10:$C$224,$C394,'TL11'!$J$10:$J$224),0),
IF('TL11'!$B$229=P$3,SUMIF('TL11'!$C$238:$C$451,$C394,'TL11'!$J$238:$J$451),0),
IF('TL12'!$B$3=P$3,SUMIF('TL12'!$C$10:$C$224,$C394,'TL12'!$J$10:$J$224),0),
IF('TL12'!$B$229=P$3,SUMIF('TL12'!$C$238:$C$451,$C394,'TL12'!$J$238:$J$451),0),
IF('TL13'!$B$3=P$3,SUMIF('TL13'!$C$10:$C$224,$C394,'TL13'!$J$10:$J$224),0),
IF('TL13'!$B$229=P$3,SUMIF('TL13'!$C$238:$C$451,$C394,'TL13'!$J$238:$J$451),0),
IF('TL14'!$B$3=P$3,SUMIF('TL14'!$C$10:$C$224,$C394,'TL14'!$J$10:$J$224),0),
IF('TL14'!$B$229=P$3,SUMIF('TL14'!$C$238:$C$451,$C394,'TL14'!$J$238:$J$451),0),
IF('TL15'!$B$3=P$3,SUMIF('TL15'!$C$10:$C$224,$C394,'TL15'!$J$10:$J$224),0),
IF('TL15'!$B$229=P$3,SUMIF('TL15'!$C$238:$C$451,$C394,'TL15'!$J$238:$J$451),0),
IF('TL16'!$B$3=P$3,SUMIF('TL16'!$C$10:$C$224,$C394,'TL16'!$J$10:$J$224),0),
IF('TL16'!$B$229=P$3,SUMIF('TL16'!$C$238:$C$451,$C394,'TL16'!$J$238:$J$451),0),
IF('TL17'!$B$3=P$3,SUMIF('TL17'!$C$10:$C$224,$C394,'TL17'!$J$10:$J$224),0),
IF('TL17'!$B$229=P$3,SUMIF('TL17'!$C$238:$C$451,$C394,'TL17'!$J$238:$J$451),0),
IF('TL18'!$B$3=P$3,SUMIF('TL18'!$C$10:$C$224,$C394,'TL18'!$J$10:$J$224),0),
IF('TL18'!$B$229=P$3,SUMIF('TL18'!$C$238:$C$451,$C394,'TL18'!$J$238:$J$451),0),
IF('TL19'!$B$3=P$3,SUMIF('TL19'!$C$10:$C$224,$C394,'TL19'!$J$10:$J$224),0),
IF('TL19'!$B$229=P$3,SUMIF('TL19'!$C$238:$C$451,$C394,'TL19'!$J$238:$J$451),0)
),0)</f>
        <v/>
      </c>
      <c r="Q394" s="9">
        <f>IFERROR(SUM(
IF('TL01'!$B$3=Q$3,SUMIF('TL01'!$C$10:$C$224,$C394,'TL01'!$J$10:$J$224),0),
IF('TL01'!$B$229=Q$3,SUMIF('TL01'!$C$238:$C$451,$C394,'TL01'!$J$238:$J$451),0),
IF('TL02'!$B$3=Q$3,SUMIF('TL02'!$C$10:$C$224,$C394,'TL02'!$J$10:$J$224),0),
IF('TL02'!$B$229=Q$3,SUMIF('TL02'!$C$238:$C$451,$C394,'TL02'!$J$238:$J$451),0),
IF('TL03'!$B$3=Q$3,SUMIF('TL03'!$C$10:$C$224,$C394,'TL03'!$J$10:$J$224),0),
IF('TL03'!$B$229=Q$3,SUMIF('TL03'!$C$238:$C$451,$C394,'TL03'!$J$238:$J$451),0),
IF('TL04'!$B$3=Q$3,SUMIF('TL04'!$C$10:$C$224,$C394,'TL04'!$J$10:$J$224),0),
IF('TL04'!$B$229=Q$3,SUMIF('TL04'!$C$238:$C$451,$C394,'TL04'!$J$238:$J$451),0),
IF('TL05'!$B$3=Q$3,SUMIF('TL05'!$C$10:$C$224,$C394,'TL05'!$J$10:$J$224),0),
IF('TL05'!$B$229=Q$3,SUMIF('TL05'!$C$238:$C$451,$C394,'TL05'!$J$238:$J$451),0),
IF('TL06'!$B$3=Q$3,SUMIF('TL06'!$C$10:$C$224,$C394,'TL06'!$J$10:$J$224),0),
IF('TL06'!$B$229=Q$3,SUMIF('TL06'!$C$238:$C$451,$C394,'TL06'!$J$238:$J$451),0),
IF('TL07'!$B$3=Q$3,SUMIF('TL07'!$C$10:$C$224,$C394,'TL07'!$J$10:$J$224),0),
IF('TL07'!$B$229=Q$3,SUMIF('TL07'!$C$238:$C$451,$C394,'TL07'!$J$238:$J$451),0),
IF('TL08'!$B$3=Q$3,SUMIF('TL08'!$C$10:$C$224,$C394,'TL08'!$J$10:$J$224),0),
IF('TL08'!$B$229=Q$3,SUMIF('TL08'!$C$238:$C$451,$C394,'TL08'!$J$238:$J$451),0),
IF('TL09'!$B$3=Q$3,SUMIF('TL09'!$C$10:$C$224,$C394,'TL09'!$J$10:$J$224),0),
IF('TL09'!$B$229=Q$3,SUMIF('TL09'!$C$238:$C$451,$C394,'TL09'!$J$238:$J$451),0),
IF('TL10'!$B$3=Q$3,SUMIF('TL10'!$C$10:$C$224,$C394,'TL10'!$J$10:$J$224),0),
IF('TL10'!$B$229=Q$3,SUMIF('TL10'!$C$238:$C$451,$C394,'TL10'!$J$238:$J$451),0),
IF('TL11'!$B$3=Q$3,SUMIF('TL11'!$C$10:$C$224,$C394,'TL11'!$J$10:$J$224),0),
IF('TL11'!$B$229=Q$3,SUMIF('TL11'!$C$238:$C$451,$C394,'TL11'!$J$238:$J$451),0),
IF('TL12'!$B$3=Q$3,SUMIF('TL12'!$C$10:$C$224,$C394,'TL12'!$J$10:$J$224),0),
IF('TL12'!$B$229=Q$3,SUMIF('TL12'!$C$238:$C$451,$C394,'TL12'!$J$238:$J$451),0),
IF('TL13'!$B$3=Q$3,SUMIF('TL13'!$C$10:$C$224,$C394,'TL13'!$J$10:$J$224),0),
IF('TL13'!$B$229=Q$3,SUMIF('TL13'!$C$238:$C$451,$C394,'TL13'!$J$238:$J$451),0),
IF('TL14'!$B$3=Q$3,SUMIF('TL14'!$C$10:$C$224,$C394,'TL14'!$J$10:$J$224),0),
IF('TL14'!$B$229=Q$3,SUMIF('TL14'!$C$238:$C$451,$C394,'TL14'!$J$238:$J$451),0),
IF('TL15'!$B$3=Q$3,SUMIF('TL15'!$C$10:$C$224,$C394,'TL15'!$J$10:$J$224),0),
IF('TL15'!$B$229=Q$3,SUMIF('TL15'!$C$238:$C$451,$C394,'TL15'!$J$238:$J$451),0),
IF('TL16'!$B$3=Q$3,SUMIF('TL16'!$C$10:$C$224,$C394,'TL16'!$J$10:$J$224),0),
IF('TL16'!$B$229=Q$3,SUMIF('TL16'!$C$238:$C$451,$C394,'TL16'!$J$238:$J$451),0),
IF('TL17'!$B$3=Q$3,SUMIF('TL17'!$C$10:$C$224,$C394,'TL17'!$J$10:$J$224),0),
IF('TL17'!$B$229=Q$3,SUMIF('TL17'!$C$238:$C$451,$C394,'TL17'!$J$238:$J$451),0),
IF('TL18'!$B$3=Q$3,SUMIF('TL18'!$C$10:$C$224,$C394,'TL18'!$J$10:$J$224),0),
IF('TL18'!$B$229=Q$3,SUMIF('TL18'!$C$238:$C$451,$C394,'TL18'!$J$238:$J$451),0),
IF('TL19'!$B$3=Q$3,SUMIF('TL19'!$C$10:$C$224,$C394,'TL19'!$J$10:$J$224),0),
IF('TL19'!$B$229=Q$3,SUMIF('TL19'!$C$238:$C$451,$C394,'TL19'!$J$238:$J$451),0)
),0)</f>
        <v/>
      </c>
      <c r="R394" s="9">
        <f>IFERROR(
SUM(
SUMIF('TL01'!C:C,C394,'TL01'!J:J),
SUMIF('TL02'!C:C,C394,'TL02'!J:J),
SUMIF('TL03'!C:C,C394,'TL03'!J:J),
SUMIF('TL04'!C:C,C394,'TL04'!J:J),
SUMIF('TL05'!C:C,C394,'TL05'!J:J),
SUMIF('TL06'!C:C,C394,'TL06'!J:J),
SUMIF('TL07'!C:C,C394,'TL07'!J:J),
SUMIF('TL08'!C:C,C394,'TL08'!J:J),
SUMIF('TL09'!C:C,C394,'TL09'!J:J),
SUMIF('TL10'!C:C,C394,'TL10'!J:J),
SUMIF('TL11'!C:C,C394,'TL11'!J:J),
SUMIF('TL12'!C:C,C394,'TL12'!J:J),
SUMIF('TL13'!C:C,C394,'TL13'!J:J),
SUMIF('TL14'!C:C,C394,'TL14'!J:J),
SUMIF('TL15'!C:C,C394,'TL15'!J:J),
SUMIF('TL16'!C:C,C394,'TL16'!J:J),
SUMIF('TL17'!C:C,C394,'TL17'!J:J),
SUMIF('TL18'!C:C,C394,'TL18'!J:J),SUMIF('TL19'!C:C,C394,'TL19'!J:J))
,0)</f>
        <v/>
      </c>
      <c r="S394" s="17">
        <f>IFERROR(__xludf.DUMMYFUNCTION("IFERROR(VLOOKUP(C394,
IMPORTRANGE(""1wULbzX32WdYsx-lj2U3uUNBBe2INVIRDtcK0d-Dvl90"",
""26-27!C:G""),
5,
FALSE),
"""")"),"")</f>
        <v/>
      </c>
      <c r="T394" s="9" t="n"/>
      <c r="U394" s="92">
        <f>MAX(0,R394-T394)</f>
        <v/>
      </c>
      <c r="V394" s="93">
        <f>U394*S394</f>
        <v/>
      </c>
    </row>
    <row r="395" hidden="1" ht="15.75" customHeight="1" s="297">
      <c r="A395" s="4" t="n"/>
      <c r="B395" s="125" t="n"/>
      <c r="C395" s="20" t="n"/>
      <c r="D395" s="20" t="n"/>
      <c r="E395" s="9" t="n"/>
      <c r="F395" s="4" t="n"/>
      <c r="G395" s="90">
        <f>HYPERLINK("https://www.google.com/search?q=" &amp; C395 &amp; "+bula+agrofit+pdf", "📄 Ver bula")</f>
        <v/>
      </c>
      <c r="H395" s="9" t="n"/>
      <c r="I395" s="1" t="n"/>
      <c r="J395" s="9">
        <f>IFERROR(SUM(
IF('TL01'!$B$3=J$3,SUMIF('TL01'!$C$10:$C$224,$C395,'TL01'!$J$10:$J$224),0),
IF('TL01'!$B$229=J$3,SUMIF('TL01'!$C$238:$C$451,$C395,'TL01'!$J$238:$J$451),0),
IF('TL02'!$B$3=J$3,SUMIF('TL02'!$C$10:$C$224,$C395,'TL02'!$J$10:$J$224),0),
IF('TL02'!$B$229=J$3,SUMIF('TL02'!$C$238:$C$451,$C395,'TL02'!$J$238:$J$451),0),
IF('TL03'!$B$3=J$3,SUMIF('TL03'!$C$10:$C$224,$C395,'TL03'!$J$10:$J$224),0),
IF('TL03'!$B$229=J$3,SUMIF('TL03'!$C$238:$C$451,$C395,'TL03'!$J$238:$J$451),0),
IF('TL04'!$B$3=J$3,SUMIF('TL04'!$C$10:$C$224,$C395,'TL04'!$J$10:$J$224),0),
IF('TL04'!$B$229=J$3,SUMIF('TL04'!$C$238:$C$451,$C395,'TL04'!$J$238:$J$451),0),
IF('TL05'!$B$3=J$3,SUMIF('TL05'!$C$10:$C$224,$C395,'TL05'!$J$10:$J$224),0),
IF('TL05'!$B$229=J$3,SUMIF('TL05'!$C$238:$C$451,$C395,'TL05'!$J$238:$J$451),0),
IF('TL06'!$B$3=J$3,SUMIF('TL06'!$C$10:$C$224,$C395,'TL06'!$J$10:$J$224),0),
IF('TL06'!$B$229=J$3,SUMIF('TL06'!$C$238:$C$451,$C395,'TL06'!$J$238:$J$451),0),
IF('TL07'!$B$3=J$3,SUMIF('TL07'!$C$10:$C$224,$C395,'TL07'!$J$10:$J$224),0),
IF('TL07'!$B$229=J$3,SUMIF('TL07'!$C$238:$C$451,$C395,'TL07'!$J$238:$J$451),0),
IF('TL08'!$B$3=J$3,SUMIF('TL08'!$C$10:$C$224,$C395,'TL08'!$J$10:$J$224),0),
IF('TL08'!$B$229=J$3,SUMIF('TL08'!$C$238:$C$451,$C395,'TL08'!$J$238:$J$451),0),
IF('TL09'!$B$3=J$3,SUMIF('TL09'!$C$10:$C$224,$C395,'TL09'!$J$10:$J$224),0),
IF('TL09'!$B$229=J$3,SUMIF('TL09'!$C$238:$C$451,$C395,'TL09'!$J$238:$J$451),0),
IF('TL10'!$B$3=J$3,SUMIF('TL10'!$C$10:$C$224,$C395,'TL10'!$J$10:$J$224),0),
IF('TL10'!$B$229=J$3,SUMIF('TL10'!$C$238:$C$451,$C395,'TL10'!$J$238:$J$451),0),
IF('TL11'!$B$3=J$3,SUMIF('TL11'!$C$10:$C$224,$C395,'TL11'!$J$10:$J$224),0),
IF('TL11'!$B$229=J$3,SUMIF('TL11'!$C$238:$C$451,$C395,'TL11'!$J$238:$J$451),0),
IF('TL12'!$B$3=J$3,SUMIF('TL12'!$C$10:$C$224,$C395,'TL12'!$J$10:$J$224),0),
IF('TL12'!$B$229=J$3,SUMIF('TL12'!$C$238:$C$451,$C395,'TL12'!$J$238:$J$451),0),
IF('TL13'!$B$3=J$3,SUMIF('TL13'!$C$10:$C$224,$C395,'TL13'!$J$10:$J$224),0),
IF('TL13'!$B$229=J$3,SUMIF('TL13'!$C$238:$C$451,$C395,'TL13'!$J$238:$J$451),0),
IF('TL14'!$B$3=J$3,SUMIF('TL14'!$C$10:$C$224,$C395,'TL14'!$J$10:$J$224),0),
IF('TL14'!$B$229=J$3,SUMIF('TL14'!$C$238:$C$451,$C395,'TL14'!$J$238:$J$451),0),
IF('TL15'!$B$3=J$3,SUMIF('TL15'!$C$10:$C$224,$C395,'TL15'!$J$10:$J$224),0),
IF('TL15'!$B$229=J$3,SUMIF('TL15'!$C$238:$C$451,$C395,'TL15'!$J$238:$J$451),0),
IF('TL16'!$B$3=J$3,SUMIF('TL16'!$C$10:$C$224,$C395,'TL16'!$J$10:$J$224),0),
IF('TL16'!$B$229=J$3,SUMIF('TL16'!$C$238:$C$451,$C395,'TL16'!$J$238:$J$451),0),
IF('TL17'!$B$3=J$3,SUMIF('TL17'!$C$10:$C$224,$C395,'TL17'!$J$10:$J$224),0),
IF('TL17'!$B$229=J$3,SUMIF('TL17'!$C$238:$C$451,$C395,'TL17'!$J$238:$J$451),0),
IF('TL18'!$B$3=J$3,SUMIF('TL18'!$C$10:$C$224,$C395,'TL18'!$J$10:$J$224),0),
IF('TL18'!$B$229=J$3,SUMIF('TL18'!$C$238:$C$451,$C395,'TL18'!$J$238:$J$451),0),
IF('TL19'!$B$3=J$3,SUMIF('TL19'!$C$10:$C$224,$C395,'TL19'!$J$10:$J$224),0),
IF('TL19'!$B$229=J$3,SUMIF('TL19'!$C$238:$C$451,$C395,'TL19'!$J$238:$J$451),0)
),0)</f>
        <v/>
      </c>
      <c r="K395" s="9">
        <f>IFERROR(SUM(
IF('TL01'!$B$3=K$3,SUMIF('TL01'!$C$10:$C$224,$C395,'TL01'!$J$10:$J$224),0),
IF('TL01'!$B$229=K$3,SUMIF('TL01'!$C$238:$C$451,$C395,'TL01'!$J$238:$J$451),0),
IF('TL02'!$B$3=K$3,SUMIF('TL02'!$C$10:$C$224,$C395,'TL02'!$J$10:$J$224),0),
IF('TL02'!$B$229=K$3,SUMIF('TL02'!$C$238:$C$451,$C395,'TL02'!$J$238:$J$451),0),
IF('TL03'!$B$3=K$3,SUMIF('TL03'!$C$10:$C$224,$C395,'TL03'!$J$10:$J$224),0),
IF('TL03'!$B$229=K$3,SUMIF('TL03'!$C$238:$C$451,$C395,'TL03'!$J$238:$J$451),0),
IF('TL04'!$B$3=K$3,SUMIF('TL04'!$C$10:$C$224,$C395,'TL04'!$J$10:$J$224),0),
IF('TL04'!$B$229=K$3,SUMIF('TL04'!$C$238:$C$451,$C395,'TL04'!$J$238:$J$451),0),
IF('TL05'!$B$3=K$3,SUMIF('TL05'!$C$10:$C$224,$C395,'TL05'!$J$10:$J$224),0),
IF('TL05'!$B$229=K$3,SUMIF('TL05'!$C$238:$C$451,$C395,'TL05'!$J$238:$J$451),0),
IF('TL06'!$B$3=K$3,SUMIF('TL06'!$C$10:$C$224,$C395,'TL06'!$J$10:$J$224),0),
IF('TL06'!$B$229=K$3,SUMIF('TL06'!$C$238:$C$451,$C395,'TL06'!$J$238:$J$451),0),
IF('TL07'!$B$3=K$3,SUMIF('TL07'!$C$10:$C$224,$C395,'TL07'!$J$10:$J$224),0),
IF('TL07'!$B$229=K$3,SUMIF('TL07'!$C$238:$C$451,$C395,'TL07'!$J$238:$J$451),0),
IF('TL08'!$B$3=K$3,SUMIF('TL08'!$C$10:$C$224,$C395,'TL08'!$J$10:$J$224),0),
IF('TL08'!$B$229=K$3,SUMIF('TL08'!$C$238:$C$451,$C395,'TL08'!$J$238:$J$451),0),
IF('TL09'!$B$3=K$3,SUMIF('TL09'!$C$10:$C$224,$C395,'TL09'!$J$10:$J$224),0),
IF('TL09'!$B$229=K$3,SUMIF('TL09'!$C$238:$C$451,$C395,'TL09'!$J$238:$J$451),0),
IF('TL10'!$B$3=K$3,SUMIF('TL10'!$C$10:$C$224,$C395,'TL10'!$J$10:$J$224),0),
IF('TL10'!$B$229=K$3,SUMIF('TL10'!$C$238:$C$451,$C395,'TL10'!$J$238:$J$451),0),
IF('TL11'!$B$3=K$3,SUMIF('TL11'!$C$10:$C$224,$C395,'TL11'!$J$10:$J$224),0),
IF('TL11'!$B$229=K$3,SUMIF('TL11'!$C$238:$C$451,$C395,'TL11'!$J$238:$J$451),0),
IF('TL12'!$B$3=K$3,SUMIF('TL12'!$C$10:$C$224,$C395,'TL12'!$J$10:$J$224),0),
IF('TL12'!$B$229=K$3,SUMIF('TL12'!$C$238:$C$451,$C395,'TL12'!$J$238:$J$451),0),
IF('TL13'!$B$3=K$3,SUMIF('TL13'!$C$10:$C$224,$C395,'TL13'!$J$10:$J$224),0),
IF('TL13'!$B$229=K$3,SUMIF('TL13'!$C$238:$C$451,$C395,'TL13'!$J$238:$J$451),0),
IF('TL14'!$B$3=K$3,SUMIF('TL14'!$C$10:$C$224,$C395,'TL14'!$J$10:$J$224),0),
IF('TL14'!$B$229=K$3,SUMIF('TL14'!$C$238:$C$451,$C395,'TL14'!$J$238:$J$451),0),
IF('TL15'!$B$3=K$3,SUMIF('TL15'!$C$10:$C$224,$C395,'TL15'!$J$10:$J$224),0),
IF('TL15'!$B$229=K$3,SUMIF('TL15'!$C$238:$C$451,$C395,'TL15'!$J$238:$J$451),0),
IF('TL16'!$B$3=K$3,SUMIF('TL16'!$C$10:$C$224,$C395,'TL16'!$J$10:$J$224),0),
IF('TL16'!$B$229=K$3,SUMIF('TL16'!$C$238:$C$451,$C395,'TL16'!$J$238:$J$451),0),
IF('TL17'!$B$3=K$3,SUMIF('TL17'!$C$10:$C$224,$C395,'TL17'!$J$10:$J$224),0),
IF('TL17'!$B$229=K$3,SUMIF('TL17'!$C$238:$C$451,$C395,'TL17'!$J$238:$J$451),0),
IF('TL18'!$B$3=K$3,SUMIF('TL18'!$C$10:$C$224,$C395,'TL18'!$J$10:$J$224),0),
IF('TL18'!$B$229=K$3,SUMIF('TL18'!$C$238:$C$451,$C395,'TL18'!$J$238:$J$451),0),
IF('TL19'!$B$3=K$3,SUMIF('TL19'!$C$10:$C$224,$C395,'TL19'!$J$10:$J$224),0),
IF('TL19'!$B$229=K$3,SUMIF('TL19'!$C$238:$C$451,$C395,'TL19'!$J$238:$J$451),0)
),0)</f>
        <v/>
      </c>
      <c r="L395" s="9">
        <f>IFERROR(SUM(
IF('TL01'!$B$3=L$3,SUMIF('TL01'!$C$10:$C$224,$C395,'TL01'!$J$10:$J$224),0),
IF('TL01'!$B$229=L$3,SUMIF('TL01'!$C$238:$C$451,$C395,'TL01'!$J$238:$J$451),0),
IF('TL02'!$B$3=L$3,SUMIF('TL02'!$C$10:$C$224,$C395,'TL02'!$J$10:$J$224),0),
IF('TL02'!$B$229=L$3,SUMIF('TL02'!$C$238:$C$451,$C395,'TL02'!$J$238:$J$451),0),
IF('TL03'!$B$3=L$3,SUMIF('TL03'!$C$10:$C$224,$C395,'TL03'!$J$10:$J$224),0),
IF('TL03'!$B$229=L$3,SUMIF('TL03'!$C$238:$C$451,$C395,'TL03'!$J$238:$J$451),0),
IF('TL04'!$B$3=L$3,SUMIF('TL04'!$C$10:$C$224,$C395,'TL04'!$J$10:$J$224),0),
IF('TL04'!$B$229=L$3,SUMIF('TL04'!$C$238:$C$451,$C395,'TL04'!$J$238:$J$451),0),
IF('TL05'!$B$3=L$3,SUMIF('TL05'!$C$10:$C$224,$C395,'TL05'!$J$10:$J$224),0),
IF('TL05'!$B$229=L$3,SUMIF('TL05'!$C$238:$C$451,$C395,'TL05'!$J$238:$J$451),0),
IF('TL06'!$B$3=L$3,SUMIF('TL06'!$C$10:$C$224,$C395,'TL06'!$J$10:$J$224),0),
IF('TL06'!$B$229=L$3,SUMIF('TL06'!$C$238:$C$451,$C395,'TL06'!$J$238:$J$451),0),
IF('TL07'!$B$3=L$3,SUMIF('TL07'!$C$10:$C$224,$C395,'TL07'!$J$10:$J$224),0),
IF('TL07'!$B$229=L$3,SUMIF('TL07'!$C$238:$C$451,$C395,'TL07'!$J$238:$J$451),0),
IF('TL08'!$B$3=L$3,SUMIF('TL08'!$C$10:$C$224,$C395,'TL08'!$J$10:$J$224),0),
IF('TL08'!$B$229=L$3,SUMIF('TL08'!$C$238:$C$451,$C395,'TL08'!$J$238:$J$451),0),
IF('TL09'!$B$3=L$3,SUMIF('TL09'!$C$10:$C$224,$C395,'TL09'!$J$10:$J$224),0),
IF('TL09'!$B$229=L$3,SUMIF('TL09'!$C$238:$C$451,$C395,'TL09'!$J$238:$J$451),0),
IF('TL10'!$B$3=L$3,SUMIF('TL10'!$C$10:$C$224,$C395,'TL10'!$J$10:$J$224),0),
IF('TL10'!$B$229=L$3,SUMIF('TL10'!$C$238:$C$451,$C395,'TL10'!$J$238:$J$451),0),
IF('TL11'!$B$3=L$3,SUMIF('TL11'!$C$10:$C$224,$C395,'TL11'!$J$10:$J$224),0),
IF('TL11'!$B$229=L$3,SUMIF('TL11'!$C$238:$C$451,$C395,'TL11'!$J$238:$J$451),0),
IF('TL12'!$B$3=L$3,SUMIF('TL12'!$C$10:$C$224,$C395,'TL12'!$J$10:$J$224),0),
IF('TL12'!$B$229=L$3,SUMIF('TL12'!$C$238:$C$451,$C395,'TL12'!$J$238:$J$451),0),
IF('TL13'!$B$3=L$3,SUMIF('TL13'!$C$10:$C$224,$C395,'TL13'!$J$10:$J$224),0),
IF('TL13'!$B$229=L$3,SUMIF('TL13'!$C$238:$C$451,$C395,'TL13'!$J$238:$J$451),0),
IF('TL14'!$B$3=L$3,SUMIF('TL14'!$C$10:$C$224,$C395,'TL14'!$J$10:$J$224),0),
IF('TL14'!$B$229=L$3,SUMIF('TL14'!$C$238:$C$451,$C395,'TL14'!$J$238:$J$451),0),
IF('TL15'!$B$3=L$3,SUMIF('TL15'!$C$10:$C$224,$C395,'TL15'!$J$10:$J$224),0),
IF('TL15'!$B$229=L$3,SUMIF('TL15'!$C$238:$C$451,$C395,'TL15'!$J$238:$J$451),0),
IF('TL16'!$B$3=L$3,SUMIF('TL16'!$C$10:$C$224,$C395,'TL16'!$J$10:$J$224),0),
IF('TL16'!$B$229=L$3,SUMIF('TL16'!$C$238:$C$451,$C395,'TL16'!$J$238:$J$451),0),
IF('TL17'!$B$3=L$3,SUMIF('TL17'!$C$10:$C$224,$C395,'TL17'!$J$10:$J$224),0),
IF('TL17'!$B$229=L$3,SUMIF('TL17'!$C$238:$C$451,$C395,'TL17'!$J$238:$J$451),0),
IF('TL18'!$B$3=L$3,SUMIF('TL18'!$C$10:$C$224,$C395,'TL18'!$J$10:$J$224),0),
IF('TL18'!$B$229=L$3,SUMIF('TL18'!$C$238:$C$451,$C395,'TL18'!$J$238:$J$451),0),
IF('TL19'!$B$3=L$3,SUMIF('TL19'!$C$10:$C$224,$C395,'TL19'!$J$10:$J$224),0),
IF('TL19'!$B$229=L$3,SUMIF('TL19'!$C$238:$C$451,$C395,'TL19'!$J$238:$J$451),0)
),0)</f>
        <v/>
      </c>
      <c r="M395" s="9">
        <f>IFERROR(SUM(
IF('TL01'!$B$3=M$3,SUMIF('TL01'!$C$10:$C$224,$C395,'TL01'!$J$10:$J$224),0),
IF('TL01'!$B$229=M$3,SUMIF('TL01'!$C$238:$C$451,$C395,'TL01'!$J$238:$J$451),0),
IF('TL02'!$B$3=M$3,SUMIF('TL02'!$C$10:$C$224,$C395,'TL02'!$J$10:$J$224),0),
IF('TL02'!$B$229=M$3,SUMIF('TL02'!$C$238:$C$451,$C395,'TL02'!$J$238:$J$451),0),
IF('TL03'!$B$3=M$3,SUMIF('TL03'!$C$10:$C$224,$C395,'TL03'!$J$10:$J$224),0),
IF('TL03'!$B$229=M$3,SUMIF('TL03'!$C$238:$C$451,$C395,'TL03'!$J$238:$J$451),0),
IF('TL04'!$B$3=M$3,SUMIF('TL04'!$C$10:$C$224,$C395,'TL04'!$J$10:$J$224),0),
IF('TL04'!$B$229=M$3,SUMIF('TL04'!$C$238:$C$451,$C395,'TL04'!$J$238:$J$451),0),
IF('TL05'!$B$3=M$3,SUMIF('TL05'!$C$10:$C$224,$C395,'TL05'!$J$10:$J$224),0),
IF('TL05'!$B$229=M$3,SUMIF('TL05'!$C$238:$C$451,$C395,'TL05'!$J$238:$J$451),0),
IF('TL06'!$B$3=M$3,SUMIF('TL06'!$C$10:$C$224,$C395,'TL06'!$J$10:$J$224),0),
IF('TL06'!$B$229=M$3,SUMIF('TL06'!$C$238:$C$451,$C395,'TL06'!$J$238:$J$451),0),
IF('TL07'!$B$3=M$3,SUMIF('TL07'!$C$10:$C$224,$C395,'TL07'!$J$10:$J$224),0),
IF('TL07'!$B$229=M$3,SUMIF('TL07'!$C$238:$C$451,$C395,'TL07'!$J$238:$J$451),0),
IF('TL08'!$B$3=M$3,SUMIF('TL08'!$C$10:$C$224,$C395,'TL08'!$J$10:$J$224),0),
IF('TL08'!$B$229=M$3,SUMIF('TL08'!$C$238:$C$451,$C395,'TL08'!$J$238:$J$451),0),
IF('TL09'!$B$3=M$3,SUMIF('TL09'!$C$10:$C$224,$C395,'TL09'!$J$10:$J$224),0),
IF('TL09'!$B$229=M$3,SUMIF('TL09'!$C$238:$C$451,$C395,'TL09'!$J$238:$J$451),0),
IF('TL10'!$B$3=M$3,SUMIF('TL10'!$C$10:$C$224,$C395,'TL10'!$J$10:$J$224),0),
IF('TL10'!$B$229=M$3,SUMIF('TL10'!$C$238:$C$451,$C395,'TL10'!$J$238:$J$451),0),
IF('TL11'!$B$3=M$3,SUMIF('TL11'!$C$10:$C$224,$C395,'TL11'!$J$10:$J$224),0),
IF('TL11'!$B$229=M$3,SUMIF('TL11'!$C$238:$C$451,$C395,'TL11'!$J$238:$J$451),0),
IF('TL12'!$B$3=M$3,SUMIF('TL12'!$C$10:$C$224,$C395,'TL12'!$J$10:$J$224),0),
IF('TL12'!$B$229=M$3,SUMIF('TL12'!$C$238:$C$451,$C395,'TL12'!$J$238:$J$451),0),
IF('TL13'!$B$3=M$3,SUMIF('TL13'!$C$10:$C$224,$C395,'TL13'!$J$10:$J$224),0),
IF('TL13'!$B$229=M$3,SUMIF('TL13'!$C$238:$C$451,$C395,'TL13'!$J$238:$J$451),0),
IF('TL14'!$B$3=M$3,SUMIF('TL14'!$C$10:$C$224,$C395,'TL14'!$J$10:$J$224),0),
IF('TL14'!$B$229=M$3,SUMIF('TL14'!$C$238:$C$451,$C395,'TL14'!$J$238:$J$451),0),
IF('TL15'!$B$3=M$3,SUMIF('TL15'!$C$10:$C$224,$C395,'TL15'!$J$10:$J$224),0),
IF('TL15'!$B$229=M$3,SUMIF('TL15'!$C$238:$C$451,$C395,'TL15'!$J$238:$J$451),0),
IF('TL16'!$B$3=M$3,SUMIF('TL16'!$C$10:$C$224,$C395,'TL16'!$J$10:$J$224),0),
IF('TL16'!$B$229=M$3,SUMIF('TL16'!$C$238:$C$451,$C395,'TL16'!$J$238:$J$451),0),
IF('TL17'!$B$3=M$3,SUMIF('TL17'!$C$10:$C$224,$C395,'TL17'!$J$10:$J$224),0),
IF('TL17'!$B$229=M$3,SUMIF('TL17'!$C$238:$C$451,$C395,'TL17'!$J$238:$J$451),0),
IF('TL18'!$B$3=M$3,SUMIF('TL18'!$C$10:$C$224,$C395,'TL18'!$J$10:$J$224),0),
IF('TL18'!$B$229=M$3,SUMIF('TL18'!$C$238:$C$451,$C395,'TL18'!$J$238:$J$451),0),
IF('TL19'!$B$3=M$3,SUMIF('TL19'!$C$10:$C$224,$C395,'TL19'!$J$10:$J$224),0),
IF('TL19'!$B$229=M$3,SUMIF('TL19'!$C$238:$C$451,$C395,'TL19'!$J$238:$J$451),0)
),0)</f>
        <v/>
      </c>
      <c r="N395" s="9">
        <f>IFERROR(SUM(
IF('TL01'!$B$3=N$3,SUMIF('TL01'!$C$10:$C$224,$C395,'TL01'!$J$10:$J$224),0),
IF('TL01'!$B$229=N$3,SUMIF('TL01'!$C$238:$C$451,$C395,'TL01'!$J$238:$J$451),0),
IF('TL02'!$B$3=N$3,SUMIF('TL02'!$C$10:$C$224,$C395,'TL02'!$J$10:$J$224),0),
IF('TL02'!$B$229=N$3,SUMIF('TL02'!$C$238:$C$451,$C395,'TL02'!$J$238:$J$451),0),
IF('TL03'!$B$3=N$3,SUMIF('TL03'!$C$10:$C$224,$C395,'TL03'!$J$10:$J$224),0),
IF('TL03'!$B$229=N$3,SUMIF('TL03'!$C$238:$C$451,$C395,'TL03'!$J$238:$J$451),0),
IF('TL04'!$B$3=N$3,SUMIF('TL04'!$C$10:$C$224,$C395,'TL04'!$J$10:$J$224),0),
IF('TL04'!$B$229=N$3,SUMIF('TL04'!$C$238:$C$451,$C395,'TL04'!$J$238:$J$451),0),
IF('TL05'!$B$3=N$3,SUMIF('TL05'!$C$10:$C$224,$C395,'TL05'!$J$10:$J$224),0),
IF('TL05'!$B$229=N$3,SUMIF('TL05'!$C$238:$C$451,$C395,'TL05'!$J$238:$J$451),0),
IF('TL06'!$B$3=N$3,SUMIF('TL06'!$C$10:$C$224,$C395,'TL06'!$J$10:$J$224),0),
IF('TL06'!$B$229=N$3,SUMIF('TL06'!$C$238:$C$451,$C395,'TL06'!$J$238:$J$451),0),
IF('TL07'!$B$3=N$3,SUMIF('TL07'!$C$10:$C$224,$C395,'TL07'!$J$10:$J$224),0),
IF('TL07'!$B$229=N$3,SUMIF('TL07'!$C$238:$C$451,$C395,'TL07'!$J$238:$J$451),0),
IF('TL08'!$B$3=N$3,SUMIF('TL08'!$C$10:$C$224,$C395,'TL08'!$J$10:$J$224),0),
IF('TL08'!$B$229=N$3,SUMIF('TL08'!$C$238:$C$451,$C395,'TL08'!$J$238:$J$451),0),
IF('TL09'!$B$3=N$3,SUMIF('TL09'!$C$10:$C$224,$C395,'TL09'!$J$10:$J$224),0),
IF('TL09'!$B$229=N$3,SUMIF('TL09'!$C$238:$C$451,$C395,'TL09'!$J$238:$J$451),0),
IF('TL10'!$B$3=N$3,SUMIF('TL10'!$C$10:$C$224,$C395,'TL10'!$J$10:$J$224),0),
IF('TL10'!$B$229=N$3,SUMIF('TL10'!$C$238:$C$451,$C395,'TL10'!$J$238:$J$451),0),
IF('TL11'!$B$3=N$3,SUMIF('TL11'!$C$10:$C$224,$C395,'TL11'!$J$10:$J$224),0),
IF('TL11'!$B$229=N$3,SUMIF('TL11'!$C$238:$C$451,$C395,'TL11'!$J$238:$J$451),0),
IF('TL12'!$B$3=N$3,SUMIF('TL12'!$C$10:$C$224,$C395,'TL12'!$J$10:$J$224),0),
IF('TL12'!$B$229=N$3,SUMIF('TL12'!$C$238:$C$451,$C395,'TL12'!$J$238:$J$451),0),
IF('TL13'!$B$3=N$3,SUMIF('TL13'!$C$10:$C$224,$C395,'TL13'!$J$10:$J$224),0),
IF('TL13'!$B$229=N$3,SUMIF('TL13'!$C$238:$C$451,$C395,'TL13'!$J$238:$J$451),0),
IF('TL14'!$B$3=N$3,SUMIF('TL14'!$C$10:$C$224,$C395,'TL14'!$J$10:$J$224),0),
IF('TL14'!$B$229=N$3,SUMIF('TL14'!$C$238:$C$451,$C395,'TL14'!$J$238:$J$451),0),
IF('TL15'!$B$3=N$3,SUMIF('TL15'!$C$10:$C$224,$C395,'TL15'!$J$10:$J$224),0),
IF('TL15'!$B$229=N$3,SUMIF('TL15'!$C$238:$C$451,$C395,'TL15'!$J$238:$J$451),0),
IF('TL16'!$B$3=N$3,SUMIF('TL16'!$C$10:$C$224,$C395,'TL16'!$J$10:$J$224),0),
IF('TL16'!$B$229=N$3,SUMIF('TL16'!$C$238:$C$451,$C395,'TL16'!$J$238:$J$451),0),
IF('TL17'!$B$3=N$3,SUMIF('TL17'!$C$10:$C$224,$C395,'TL17'!$J$10:$J$224),0),
IF('TL17'!$B$229=N$3,SUMIF('TL17'!$C$238:$C$451,$C395,'TL17'!$J$238:$J$451),0),
IF('TL18'!$B$3=N$3,SUMIF('TL18'!$C$10:$C$224,$C395,'TL18'!$J$10:$J$224),0),
IF('TL18'!$B$229=N$3,SUMIF('TL18'!$C$238:$C$451,$C395,'TL18'!$J$238:$J$451),0),
IF('TL19'!$B$3=N$3,SUMIF('TL19'!$C$10:$C$224,$C395,'TL19'!$J$10:$J$224),0),
IF('TL19'!$B$229=N$3,SUMIF('TL19'!$C$238:$C$451,$C395,'TL19'!$J$238:$J$451),0)
),0)</f>
        <v/>
      </c>
      <c r="O395" s="9">
        <f>IFERROR(SUM(
IF('TL01'!$B$3=O$3,SUMIF('TL01'!$C$10:$C$224,$C395,'TL01'!$J$10:$J$224),0),
IF('TL01'!$B$229=O$3,SUMIF('TL01'!$C$238:$C$451,$C395,'TL01'!$J$238:$J$451),0),
IF('TL02'!$B$3=O$3,SUMIF('TL02'!$C$10:$C$224,$C395,'TL02'!$J$10:$J$224),0),
IF('TL02'!$B$229=O$3,SUMIF('TL02'!$C$238:$C$451,$C395,'TL02'!$J$238:$J$451),0),
IF('TL03'!$B$3=O$3,SUMIF('TL03'!$C$10:$C$224,$C395,'TL03'!$J$10:$J$224),0),
IF('TL03'!$B$229=O$3,SUMIF('TL03'!$C$238:$C$451,$C395,'TL03'!$J$238:$J$451),0),
IF('TL04'!$B$3=O$3,SUMIF('TL04'!$C$10:$C$224,$C395,'TL04'!$J$10:$J$224),0),
IF('TL04'!$B$229=O$3,SUMIF('TL04'!$C$238:$C$451,$C395,'TL04'!$J$238:$J$451),0),
IF('TL05'!$B$3=O$3,SUMIF('TL05'!$C$10:$C$224,$C395,'TL05'!$J$10:$J$224),0),
IF('TL05'!$B$229=O$3,SUMIF('TL05'!$C$238:$C$451,$C395,'TL05'!$J$238:$J$451),0),
IF('TL06'!$B$3=O$3,SUMIF('TL06'!$C$10:$C$224,$C395,'TL06'!$J$10:$J$224),0),
IF('TL06'!$B$229=O$3,SUMIF('TL06'!$C$238:$C$451,$C395,'TL06'!$J$238:$J$451),0),
IF('TL07'!$B$3=O$3,SUMIF('TL07'!$C$10:$C$224,$C395,'TL07'!$J$10:$J$224),0),
IF('TL07'!$B$229=O$3,SUMIF('TL07'!$C$238:$C$451,$C395,'TL07'!$J$238:$J$451),0),
IF('TL08'!$B$3=O$3,SUMIF('TL08'!$C$10:$C$224,$C395,'TL08'!$J$10:$J$224),0),
IF('TL08'!$B$229=O$3,SUMIF('TL08'!$C$238:$C$451,$C395,'TL08'!$J$238:$J$451),0),
IF('TL09'!$B$3=O$3,SUMIF('TL09'!$C$10:$C$224,$C395,'TL09'!$J$10:$J$224),0),
IF('TL09'!$B$229=O$3,SUMIF('TL09'!$C$238:$C$451,$C395,'TL09'!$J$238:$J$451),0),
IF('TL10'!$B$3=O$3,SUMIF('TL10'!$C$10:$C$224,$C395,'TL10'!$J$10:$J$224),0),
IF('TL10'!$B$229=O$3,SUMIF('TL10'!$C$238:$C$451,$C395,'TL10'!$J$238:$J$451),0),
IF('TL11'!$B$3=O$3,SUMIF('TL11'!$C$10:$C$224,$C395,'TL11'!$J$10:$J$224),0),
IF('TL11'!$B$229=O$3,SUMIF('TL11'!$C$238:$C$451,$C395,'TL11'!$J$238:$J$451),0),
IF('TL12'!$B$3=O$3,SUMIF('TL12'!$C$10:$C$224,$C395,'TL12'!$J$10:$J$224),0),
IF('TL12'!$B$229=O$3,SUMIF('TL12'!$C$238:$C$451,$C395,'TL12'!$J$238:$J$451),0),
IF('TL13'!$B$3=O$3,SUMIF('TL13'!$C$10:$C$224,$C395,'TL13'!$J$10:$J$224),0),
IF('TL13'!$B$229=O$3,SUMIF('TL13'!$C$238:$C$451,$C395,'TL13'!$J$238:$J$451),0),
IF('TL14'!$B$3=O$3,SUMIF('TL14'!$C$10:$C$224,$C395,'TL14'!$J$10:$J$224),0),
IF('TL14'!$B$229=O$3,SUMIF('TL14'!$C$238:$C$451,$C395,'TL14'!$J$238:$J$451),0),
IF('TL15'!$B$3=O$3,SUMIF('TL15'!$C$10:$C$224,$C395,'TL15'!$J$10:$J$224),0),
IF('TL15'!$B$229=O$3,SUMIF('TL15'!$C$238:$C$451,$C395,'TL15'!$J$238:$J$451),0),
IF('TL16'!$B$3=O$3,SUMIF('TL16'!$C$10:$C$224,$C395,'TL16'!$J$10:$J$224),0),
IF('TL16'!$B$229=O$3,SUMIF('TL16'!$C$238:$C$451,$C395,'TL16'!$J$238:$J$451),0),
IF('TL17'!$B$3=O$3,SUMIF('TL17'!$C$10:$C$224,$C395,'TL17'!$J$10:$J$224),0),
IF('TL17'!$B$229=O$3,SUMIF('TL17'!$C$238:$C$451,$C395,'TL17'!$J$238:$J$451),0),
IF('TL18'!$B$3=O$3,SUMIF('TL18'!$C$10:$C$224,$C395,'TL18'!$J$10:$J$224),0),
IF('TL18'!$B$229=O$3,SUMIF('TL18'!$C$238:$C$451,$C395,'TL18'!$J$238:$J$451),0),
IF('TL19'!$B$3=O$3,SUMIF('TL19'!$C$10:$C$224,$C395,'TL19'!$J$10:$J$224),0),
IF('TL19'!$B$229=O$3,SUMIF('TL19'!$C$238:$C$451,$C395,'TL19'!$J$238:$J$451),0)
),0)</f>
        <v/>
      </c>
      <c r="P395" s="9">
        <f>IFERROR(SUM(
IF('TL01'!$B$3=P$3,SUMIF('TL01'!$C$10:$C$224,$C395,'TL01'!$J$10:$J$224),0),
IF('TL01'!$B$229=P$3,SUMIF('TL01'!$C$238:$C$451,$C395,'TL01'!$J$238:$J$451),0),
IF('TL02'!$B$3=P$3,SUMIF('TL02'!$C$10:$C$224,$C395,'TL02'!$J$10:$J$224),0),
IF('TL02'!$B$229=P$3,SUMIF('TL02'!$C$238:$C$451,$C395,'TL02'!$J$238:$J$451),0),
IF('TL03'!$B$3=P$3,SUMIF('TL03'!$C$10:$C$224,$C395,'TL03'!$J$10:$J$224),0),
IF('TL03'!$B$229=P$3,SUMIF('TL03'!$C$238:$C$451,$C395,'TL03'!$J$238:$J$451),0),
IF('TL04'!$B$3=P$3,SUMIF('TL04'!$C$10:$C$224,$C395,'TL04'!$J$10:$J$224),0),
IF('TL04'!$B$229=P$3,SUMIF('TL04'!$C$238:$C$451,$C395,'TL04'!$J$238:$J$451),0),
IF('TL05'!$B$3=P$3,SUMIF('TL05'!$C$10:$C$224,$C395,'TL05'!$J$10:$J$224),0),
IF('TL05'!$B$229=P$3,SUMIF('TL05'!$C$238:$C$451,$C395,'TL05'!$J$238:$J$451),0),
IF('TL06'!$B$3=P$3,SUMIF('TL06'!$C$10:$C$224,$C395,'TL06'!$J$10:$J$224),0),
IF('TL06'!$B$229=P$3,SUMIF('TL06'!$C$238:$C$451,$C395,'TL06'!$J$238:$J$451),0),
IF('TL07'!$B$3=P$3,SUMIF('TL07'!$C$10:$C$224,$C395,'TL07'!$J$10:$J$224),0),
IF('TL07'!$B$229=P$3,SUMIF('TL07'!$C$238:$C$451,$C395,'TL07'!$J$238:$J$451),0),
IF('TL08'!$B$3=P$3,SUMIF('TL08'!$C$10:$C$224,$C395,'TL08'!$J$10:$J$224),0),
IF('TL08'!$B$229=P$3,SUMIF('TL08'!$C$238:$C$451,$C395,'TL08'!$J$238:$J$451),0),
IF('TL09'!$B$3=P$3,SUMIF('TL09'!$C$10:$C$224,$C395,'TL09'!$J$10:$J$224),0),
IF('TL09'!$B$229=P$3,SUMIF('TL09'!$C$238:$C$451,$C395,'TL09'!$J$238:$J$451),0),
IF('TL10'!$B$3=P$3,SUMIF('TL10'!$C$10:$C$224,$C395,'TL10'!$J$10:$J$224),0),
IF('TL10'!$B$229=P$3,SUMIF('TL10'!$C$238:$C$451,$C395,'TL10'!$J$238:$J$451),0),
IF('TL11'!$B$3=P$3,SUMIF('TL11'!$C$10:$C$224,$C395,'TL11'!$J$10:$J$224),0),
IF('TL11'!$B$229=P$3,SUMIF('TL11'!$C$238:$C$451,$C395,'TL11'!$J$238:$J$451),0),
IF('TL12'!$B$3=P$3,SUMIF('TL12'!$C$10:$C$224,$C395,'TL12'!$J$10:$J$224),0),
IF('TL12'!$B$229=P$3,SUMIF('TL12'!$C$238:$C$451,$C395,'TL12'!$J$238:$J$451),0),
IF('TL13'!$B$3=P$3,SUMIF('TL13'!$C$10:$C$224,$C395,'TL13'!$J$10:$J$224),0),
IF('TL13'!$B$229=P$3,SUMIF('TL13'!$C$238:$C$451,$C395,'TL13'!$J$238:$J$451),0),
IF('TL14'!$B$3=P$3,SUMIF('TL14'!$C$10:$C$224,$C395,'TL14'!$J$10:$J$224),0),
IF('TL14'!$B$229=P$3,SUMIF('TL14'!$C$238:$C$451,$C395,'TL14'!$J$238:$J$451),0),
IF('TL15'!$B$3=P$3,SUMIF('TL15'!$C$10:$C$224,$C395,'TL15'!$J$10:$J$224),0),
IF('TL15'!$B$229=P$3,SUMIF('TL15'!$C$238:$C$451,$C395,'TL15'!$J$238:$J$451),0),
IF('TL16'!$B$3=P$3,SUMIF('TL16'!$C$10:$C$224,$C395,'TL16'!$J$10:$J$224),0),
IF('TL16'!$B$229=P$3,SUMIF('TL16'!$C$238:$C$451,$C395,'TL16'!$J$238:$J$451),0),
IF('TL17'!$B$3=P$3,SUMIF('TL17'!$C$10:$C$224,$C395,'TL17'!$J$10:$J$224),0),
IF('TL17'!$B$229=P$3,SUMIF('TL17'!$C$238:$C$451,$C395,'TL17'!$J$238:$J$451),0),
IF('TL18'!$B$3=P$3,SUMIF('TL18'!$C$10:$C$224,$C395,'TL18'!$J$10:$J$224),0),
IF('TL18'!$B$229=P$3,SUMIF('TL18'!$C$238:$C$451,$C395,'TL18'!$J$238:$J$451),0),
IF('TL19'!$B$3=P$3,SUMIF('TL19'!$C$10:$C$224,$C395,'TL19'!$J$10:$J$224),0),
IF('TL19'!$B$229=P$3,SUMIF('TL19'!$C$238:$C$451,$C395,'TL19'!$J$238:$J$451),0)
),0)</f>
        <v/>
      </c>
      <c r="Q395" s="9">
        <f>IFERROR(SUM(
IF('TL01'!$B$3=Q$3,SUMIF('TL01'!$C$10:$C$224,$C395,'TL01'!$J$10:$J$224),0),
IF('TL01'!$B$229=Q$3,SUMIF('TL01'!$C$238:$C$451,$C395,'TL01'!$J$238:$J$451),0),
IF('TL02'!$B$3=Q$3,SUMIF('TL02'!$C$10:$C$224,$C395,'TL02'!$J$10:$J$224),0),
IF('TL02'!$B$229=Q$3,SUMIF('TL02'!$C$238:$C$451,$C395,'TL02'!$J$238:$J$451),0),
IF('TL03'!$B$3=Q$3,SUMIF('TL03'!$C$10:$C$224,$C395,'TL03'!$J$10:$J$224),0),
IF('TL03'!$B$229=Q$3,SUMIF('TL03'!$C$238:$C$451,$C395,'TL03'!$J$238:$J$451),0),
IF('TL04'!$B$3=Q$3,SUMIF('TL04'!$C$10:$C$224,$C395,'TL04'!$J$10:$J$224),0),
IF('TL04'!$B$229=Q$3,SUMIF('TL04'!$C$238:$C$451,$C395,'TL04'!$J$238:$J$451),0),
IF('TL05'!$B$3=Q$3,SUMIF('TL05'!$C$10:$C$224,$C395,'TL05'!$J$10:$J$224),0),
IF('TL05'!$B$229=Q$3,SUMIF('TL05'!$C$238:$C$451,$C395,'TL05'!$J$238:$J$451),0),
IF('TL06'!$B$3=Q$3,SUMIF('TL06'!$C$10:$C$224,$C395,'TL06'!$J$10:$J$224),0),
IF('TL06'!$B$229=Q$3,SUMIF('TL06'!$C$238:$C$451,$C395,'TL06'!$J$238:$J$451),0),
IF('TL07'!$B$3=Q$3,SUMIF('TL07'!$C$10:$C$224,$C395,'TL07'!$J$10:$J$224),0),
IF('TL07'!$B$229=Q$3,SUMIF('TL07'!$C$238:$C$451,$C395,'TL07'!$J$238:$J$451),0),
IF('TL08'!$B$3=Q$3,SUMIF('TL08'!$C$10:$C$224,$C395,'TL08'!$J$10:$J$224),0),
IF('TL08'!$B$229=Q$3,SUMIF('TL08'!$C$238:$C$451,$C395,'TL08'!$J$238:$J$451),0),
IF('TL09'!$B$3=Q$3,SUMIF('TL09'!$C$10:$C$224,$C395,'TL09'!$J$10:$J$224),0),
IF('TL09'!$B$229=Q$3,SUMIF('TL09'!$C$238:$C$451,$C395,'TL09'!$J$238:$J$451),0),
IF('TL10'!$B$3=Q$3,SUMIF('TL10'!$C$10:$C$224,$C395,'TL10'!$J$10:$J$224),0),
IF('TL10'!$B$229=Q$3,SUMIF('TL10'!$C$238:$C$451,$C395,'TL10'!$J$238:$J$451),0),
IF('TL11'!$B$3=Q$3,SUMIF('TL11'!$C$10:$C$224,$C395,'TL11'!$J$10:$J$224),0),
IF('TL11'!$B$229=Q$3,SUMIF('TL11'!$C$238:$C$451,$C395,'TL11'!$J$238:$J$451),0),
IF('TL12'!$B$3=Q$3,SUMIF('TL12'!$C$10:$C$224,$C395,'TL12'!$J$10:$J$224),0),
IF('TL12'!$B$229=Q$3,SUMIF('TL12'!$C$238:$C$451,$C395,'TL12'!$J$238:$J$451),0),
IF('TL13'!$B$3=Q$3,SUMIF('TL13'!$C$10:$C$224,$C395,'TL13'!$J$10:$J$224),0),
IF('TL13'!$B$229=Q$3,SUMIF('TL13'!$C$238:$C$451,$C395,'TL13'!$J$238:$J$451),0),
IF('TL14'!$B$3=Q$3,SUMIF('TL14'!$C$10:$C$224,$C395,'TL14'!$J$10:$J$224),0),
IF('TL14'!$B$229=Q$3,SUMIF('TL14'!$C$238:$C$451,$C395,'TL14'!$J$238:$J$451),0),
IF('TL15'!$B$3=Q$3,SUMIF('TL15'!$C$10:$C$224,$C395,'TL15'!$J$10:$J$224),0),
IF('TL15'!$B$229=Q$3,SUMIF('TL15'!$C$238:$C$451,$C395,'TL15'!$J$238:$J$451),0),
IF('TL16'!$B$3=Q$3,SUMIF('TL16'!$C$10:$C$224,$C395,'TL16'!$J$10:$J$224),0),
IF('TL16'!$B$229=Q$3,SUMIF('TL16'!$C$238:$C$451,$C395,'TL16'!$J$238:$J$451),0),
IF('TL17'!$B$3=Q$3,SUMIF('TL17'!$C$10:$C$224,$C395,'TL17'!$J$10:$J$224),0),
IF('TL17'!$B$229=Q$3,SUMIF('TL17'!$C$238:$C$451,$C395,'TL17'!$J$238:$J$451),0),
IF('TL18'!$B$3=Q$3,SUMIF('TL18'!$C$10:$C$224,$C395,'TL18'!$J$10:$J$224),0),
IF('TL18'!$B$229=Q$3,SUMIF('TL18'!$C$238:$C$451,$C395,'TL18'!$J$238:$J$451),0),
IF('TL19'!$B$3=Q$3,SUMIF('TL19'!$C$10:$C$224,$C395,'TL19'!$J$10:$J$224),0),
IF('TL19'!$B$229=Q$3,SUMIF('TL19'!$C$238:$C$451,$C395,'TL19'!$J$238:$J$451),0)
),0)</f>
        <v/>
      </c>
      <c r="R395" s="9">
        <f>IFERROR(
SUM(
SUMIF('TL01'!C:C,C395,'TL01'!J:J),
SUMIF('TL02'!C:C,C395,'TL02'!J:J),
SUMIF('TL03'!C:C,C395,'TL03'!J:J),
SUMIF('TL04'!C:C,C395,'TL04'!J:J),
SUMIF('TL05'!C:C,C395,'TL05'!J:J),
SUMIF('TL06'!C:C,C395,'TL06'!J:J),
SUMIF('TL07'!C:C,C395,'TL07'!J:J),
SUMIF('TL08'!C:C,C395,'TL08'!J:J),
SUMIF('TL09'!C:C,C395,'TL09'!J:J),
SUMIF('TL10'!C:C,C395,'TL10'!J:J),
SUMIF('TL11'!C:C,C395,'TL11'!J:J),
SUMIF('TL12'!C:C,C395,'TL12'!J:J),
SUMIF('TL13'!C:C,C395,'TL13'!J:J),
SUMIF('TL14'!C:C,C395,'TL14'!J:J),
SUMIF('TL15'!C:C,C395,'TL15'!J:J),
SUMIF('TL16'!C:C,C395,'TL16'!J:J),
SUMIF('TL17'!C:C,C395,'TL17'!J:J),
SUMIF('TL18'!C:C,C395,'TL18'!J:J),SUMIF('TL19'!C:C,C395,'TL19'!J:J))
,0)</f>
        <v/>
      </c>
      <c r="S395" s="17">
        <f>IFERROR(__xludf.DUMMYFUNCTION("IFERROR(VLOOKUP(C395,
IMPORTRANGE(""1wULbzX32WdYsx-lj2U3uUNBBe2INVIRDtcK0d-Dvl90"",
""26-27!C:G""),
5,
FALSE),
"""")"),"")</f>
        <v/>
      </c>
      <c r="T395" s="9" t="n"/>
      <c r="U395" s="92">
        <f>MAX(0,R395-T395)</f>
        <v/>
      </c>
      <c r="V395" s="93">
        <f>U395*S395</f>
        <v/>
      </c>
    </row>
    <row r="396" hidden="1" ht="15.75" customHeight="1" s="297">
      <c r="A396" s="4" t="n"/>
      <c r="B396" s="125" t="n"/>
      <c r="C396" s="20" t="n"/>
      <c r="D396" s="20" t="n"/>
      <c r="E396" s="9" t="n"/>
      <c r="F396" s="4" t="n"/>
      <c r="G396" s="90">
        <f>HYPERLINK("https://www.google.com/search?q=" &amp; C396 &amp; "+bula+agrofit+pdf", "📄 Ver bula")</f>
        <v/>
      </c>
      <c r="H396" s="9" t="n"/>
      <c r="I396" s="1" t="n"/>
      <c r="J396" s="9">
        <f>IFERROR(SUM(
IF('TL01'!$B$3=J$3,SUMIF('TL01'!$C$10:$C$224,$C396,'TL01'!$J$10:$J$224),0),
IF('TL01'!$B$229=J$3,SUMIF('TL01'!$C$238:$C$451,$C396,'TL01'!$J$238:$J$451),0),
IF('TL02'!$B$3=J$3,SUMIF('TL02'!$C$10:$C$224,$C396,'TL02'!$J$10:$J$224),0),
IF('TL02'!$B$229=J$3,SUMIF('TL02'!$C$238:$C$451,$C396,'TL02'!$J$238:$J$451),0),
IF('TL03'!$B$3=J$3,SUMIF('TL03'!$C$10:$C$224,$C396,'TL03'!$J$10:$J$224),0),
IF('TL03'!$B$229=J$3,SUMIF('TL03'!$C$238:$C$451,$C396,'TL03'!$J$238:$J$451),0),
IF('TL04'!$B$3=J$3,SUMIF('TL04'!$C$10:$C$224,$C396,'TL04'!$J$10:$J$224),0),
IF('TL04'!$B$229=J$3,SUMIF('TL04'!$C$238:$C$451,$C396,'TL04'!$J$238:$J$451),0),
IF('TL05'!$B$3=J$3,SUMIF('TL05'!$C$10:$C$224,$C396,'TL05'!$J$10:$J$224),0),
IF('TL05'!$B$229=J$3,SUMIF('TL05'!$C$238:$C$451,$C396,'TL05'!$J$238:$J$451),0),
IF('TL06'!$B$3=J$3,SUMIF('TL06'!$C$10:$C$224,$C396,'TL06'!$J$10:$J$224),0),
IF('TL06'!$B$229=J$3,SUMIF('TL06'!$C$238:$C$451,$C396,'TL06'!$J$238:$J$451),0),
IF('TL07'!$B$3=J$3,SUMIF('TL07'!$C$10:$C$224,$C396,'TL07'!$J$10:$J$224),0),
IF('TL07'!$B$229=J$3,SUMIF('TL07'!$C$238:$C$451,$C396,'TL07'!$J$238:$J$451),0),
IF('TL08'!$B$3=J$3,SUMIF('TL08'!$C$10:$C$224,$C396,'TL08'!$J$10:$J$224),0),
IF('TL08'!$B$229=J$3,SUMIF('TL08'!$C$238:$C$451,$C396,'TL08'!$J$238:$J$451),0),
IF('TL09'!$B$3=J$3,SUMIF('TL09'!$C$10:$C$224,$C396,'TL09'!$J$10:$J$224),0),
IF('TL09'!$B$229=J$3,SUMIF('TL09'!$C$238:$C$451,$C396,'TL09'!$J$238:$J$451),0),
IF('TL10'!$B$3=J$3,SUMIF('TL10'!$C$10:$C$224,$C396,'TL10'!$J$10:$J$224),0),
IF('TL10'!$B$229=J$3,SUMIF('TL10'!$C$238:$C$451,$C396,'TL10'!$J$238:$J$451),0),
IF('TL11'!$B$3=J$3,SUMIF('TL11'!$C$10:$C$224,$C396,'TL11'!$J$10:$J$224),0),
IF('TL11'!$B$229=J$3,SUMIF('TL11'!$C$238:$C$451,$C396,'TL11'!$J$238:$J$451),0),
IF('TL12'!$B$3=J$3,SUMIF('TL12'!$C$10:$C$224,$C396,'TL12'!$J$10:$J$224),0),
IF('TL12'!$B$229=J$3,SUMIF('TL12'!$C$238:$C$451,$C396,'TL12'!$J$238:$J$451),0),
IF('TL13'!$B$3=J$3,SUMIF('TL13'!$C$10:$C$224,$C396,'TL13'!$J$10:$J$224),0),
IF('TL13'!$B$229=J$3,SUMIF('TL13'!$C$238:$C$451,$C396,'TL13'!$J$238:$J$451),0),
IF('TL14'!$B$3=J$3,SUMIF('TL14'!$C$10:$C$224,$C396,'TL14'!$J$10:$J$224),0),
IF('TL14'!$B$229=J$3,SUMIF('TL14'!$C$238:$C$451,$C396,'TL14'!$J$238:$J$451),0),
IF('TL15'!$B$3=J$3,SUMIF('TL15'!$C$10:$C$224,$C396,'TL15'!$J$10:$J$224),0),
IF('TL15'!$B$229=J$3,SUMIF('TL15'!$C$238:$C$451,$C396,'TL15'!$J$238:$J$451),0),
IF('TL16'!$B$3=J$3,SUMIF('TL16'!$C$10:$C$224,$C396,'TL16'!$J$10:$J$224),0),
IF('TL16'!$B$229=J$3,SUMIF('TL16'!$C$238:$C$451,$C396,'TL16'!$J$238:$J$451),0),
IF('TL17'!$B$3=J$3,SUMIF('TL17'!$C$10:$C$224,$C396,'TL17'!$J$10:$J$224),0),
IF('TL17'!$B$229=J$3,SUMIF('TL17'!$C$238:$C$451,$C396,'TL17'!$J$238:$J$451),0),
IF('TL18'!$B$3=J$3,SUMIF('TL18'!$C$10:$C$224,$C396,'TL18'!$J$10:$J$224),0),
IF('TL18'!$B$229=J$3,SUMIF('TL18'!$C$238:$C$451,$C396,'TL18'!$J$238:$J$451),0),
IF('TL19'!$B$3=J$3,SUMIF('TL19'!$C$10:$C$224,$C396,'TL19'!$J$10:$J$224),0),
IF('TL19'!$B$229=J$3,SUMIF('TL19'!$C$238:$C$451,$C396,'TL19'!$J$238:$J$451),0)
),0)</f>
        <v/>
      </c>
      <c r="K396" s="9">
        <f>IFERROR(SUM(
IF('TL01'!$B$3=K$3,SUMIF('TL01'!$C$10:$C$224,$C396,'TL01'!$J$10:$J$224),0),
IF('TL01'!$B$229=K$3,SUMIF('TL01'!$C$238:$C$451,$C396,'TL01'!$J$238:$J$451),0),
IF('TL02'!$B$3=K$3,SUMIF('TL02'!$C$10:$C$224,$C396,'TL02'!$J$10:$J$224),0),
IF('TL02'!$B$229=K$3,SUMIF('TL02'!$C$238:$C$451,$C396,'TL02'!$J$238:$J$451),0),
IF('TL03'!$B$3=K$3,SUMIF('TL03'!$C$10:$C$224,$C396,'TL03'!$J$10:$J$224),0),
IF('TL03'!$B$229=K$3,SUMIF('TL03'!$C$238:$C$451,$C396,'TL03'!$J$238:$J$451),0),
IF('TL04'!$B$3=K$3,SUMIF('TL04'!$C$10:$C$224,$C396,'TL04'!$J$10:$J$224),0),
IF('TL04'!$B$229=K$3,SUMIF('TL04'!$C$238:$C$451,$C396,'TL04'!$J$238:$J$451),0),
IF('TL05'!$B$3=K$3,SUMIF('TL05'!$C$10:$C$224,$C396,'TL05'!$J$10:$J$224),0),
IF('TL05'!$B$229=K$3,SUMIF('TL05'!$C$238:$C$451,$C396,'TL05'!$J$238:$J$451),0),
IF('TL06'!$B$3=K$3,SUMIF('TL06'!$C$10:$C$224,$C396,'TL06'!$J$10:$J$224),0),
IF('TL06'!$B$229=K$3,SUMIF('TL06'!$C$238:$C$451,$C396,'TL06'!$J$238:$J$451),0),
IF('TL07'!$B$3=K$3,SUMIF('TL07'!$C$10:$C$224,$C396,'TL07'!$J$10:$J$224),0),
IF('TL07'!$B$229=K$3,SUMIF('TL07'!$C$238:$C$451,$C396,'TL07'!$J$238:$J$451),0),
IF('TL08'!$B$3=K$3,SUMIF('TL08'!$C$10:$C$224,$C396,'TL08'!$J$10:$J$224),0),
IF('TL08'!$B$229=K$3,SUMIF('TL08'!$C$238:$C$451,$C396,'TL08'!$J$238:$J$451),0),
IF('TL09'!$B$3=K$3,SUMIF('TL09'!$C$10:$C$224,$C396,'TL09'!$J$10:$J$224),0),
IF('TL09'!$B$229=K$3,SUMIF('TL09'!$C$238:$C$451,$C396,'TL09'!$J$238:$J$451),0),
IF('TL10'!$B$3=K$3,SUMIF('TL10'!$C$10:$C$224,$C396,'TL10'!$J$10:$J$224),0),
IF('TL10'!$B$229=K$3,SUMIF('TL10'!$C$238:$C$451,$C396,'TL10'!$J$238:$J$451),0),
IF('TL11'!$B$3=K$3,SUMIF('TL11'!$C$10:$C$224,$C396,'TL11'!$J$10:$J$224),0),
IF('TL11'!$B$229=K$3,SUMIF('TL11'!$C$238:$C$451,$C396,'TL11'!$J$238:$J$451),0),
IF('TL12'!$B$3=K$3,SUMIF('TL12'!$C$10:$C$224,$C396,'TL12'!$J$10:$J$224),0),
IF('TL12'!$B$229=K$3,SUMIF('TL12'!$C$238:$C$451,$C396,'TL12'!$J$238:$J$451),0),
IF('TL13'!$B$3=K$3,SUMIF('TL13'!$C$10:$C$224,$C396,'TL13'!$J$10:$J$224),0),
IF('TL13'!$B$229=K$3,SUMIF('TL13'!$C$238:$C$451,$C396,'TL13'!$J$238:$J$451),0),
IF('TL14'!$B$3=K$3,SUMIF('TL14'!$C$10:$C$224,$C396,'TL14'!$J$10:$J$224),0),
IF('TL14'!$B$229=K$3,SUMIF('TL14'!$C$238:$C$451,$C396,'TL14'!$J$238:$J$451),0),
IF('TL15'!$B$3=K$3,SUMIF('TL15'!$C$10:$C$224,$C396,'TL15'!$J$10:$J$224),0),
IF('TL15'!$B$229=K$3,SUMIF('TL15'!$C$238:$C$451,$C396,'TL15'!$J$238:$J$451),0),
IF('TL16'!$B$3=K$3,SUMIF('TL16'!$C$10:$C$224,$C396,'TL16'!$J$10:$J$224),0),
IF('TL16'!$B$229=K$3,SUMIF('TL16'!$C$238:$C$451,$C396,'TL16'!$J$238:$J$451),0),
IF('TL17'!$B$3=K$3,SUMIF('TL17'!$C$10:$C$224,$C396,'TL17'!$J$10:$J$224),0),
IF('TL17'!$B$229=K$3,SUMIF('TL17'!$C$238:$C$451,$C396,'TL17'!$J$238:$J$451),0),
IF('TL18'!$B$3=K$3,SUMIF('TL18'!$C$10:$C$224,$C396,'TL18'!$J$10:$J$224),0),
IF('TL18'!$B$229=K$3,SUMIF('TL18'!$C$238:$C$451,$C396,'TL18'!$J$238:$J$451),0),
IF('TL19'!$B$3=K$3,SUMIF('TL19'!$C$10:$C$224,$C396,'TL19'!$J$10:$J$224),0),
IF('TL19'!$B$229=K$3,SUMIF('TL19'!$C$238:$C$451,$C396,'TL19'!$J$238:$J$451),0)
),0)</f>
        <v/>
      </c>
      <c r="L396" s="9">
        <f>IFERROR(SUM(
IF('TL01'!$B$3=L$3,SUMIF('TL01'!$C$10:$C$224,$C396,'TL01'!$J$10:$J$224),0),
IF('TL01'!$B$229=L$3,SUMIF('TL01'!$C$238:$C$451,$C396,'TL01'!$J$238:$J$451),0),
IF('TL02'!$B$3=L$3,SUMIF('TL02'!$C$10:$C$224,$C396,'TL02'!$J$10:$J$224),0),
IF('TL02'!$B$229=L$3,SUMIF('TL02'!$C$238:$C$451,$C396,'TL02'!$J$238:$J$451),0),
IF('TL03'!$B$3=L$3,SUMIF('TL03'!$C$10:$C$224,$C396,'TL03'!$J$10:$J$224),0),
IF('TL03'!$B$229=L$3,SUMIF('TL03'!$C$238:$C$451,$C396,'TL03'!$J$238:$J$451),0),
IF('TL04'!$B$3=L$3,SUMIF('TL04'!$C$10:$C$224,$C396,'TL04'!$J$10:$J$224),0),
IF('TL04'!$B$229=L$3,SUMIF('TL04'!$C$238:$C$451,$C396,'TL04'!$J$238:$J$451),0),
IF('TL05'!$B$3=L$3,SUMIF('TL05'!$C$10:$C$224,$C396,'TL05'!$J$10:$J$224),0),
IF('TL05'!$B$229=L$3,SUMIF('TL05'!$C$238:$C$451,$C396,'TL05'!$J$238:$J$451),0),
IF('TL06'!$B$3=L$3,SUMIF('TL06'!$C$10:$C$224,$C396,'TL06'!$J$10:$J$224),0),
IF('TL06'!$B$229=L$3,SUMIF('TL06'!$C$238:$C$451,$C396,'TL06'!$J$238:$J$451),0),
IF('TL07'!$B$3=L$3,SUMIF('TL07'!$C$10:$C$224,$C396,'TL07'!$J$10:$J$224),0),
IF('TL07'!$B$229=L$3,SUMIF('TL07'!$C$238:$C$451,$C396,'TL07'!$J$238:$J$451),0),
IF('TL08'!$B$3=L$3,SUMIF('TL08'!$C$10:$C$224,$C396,'TL08'!$J$10:$J$224),0),
IF('TL08'!$B$229=L$3,SUMIF('TL08'!$C$238:$C$451,$C396,'TL08'!$J$238:$J$451),0),
IF('TL09'!$B$3=L$3,SUMIF('TL09'!$C$10:$C$224,$C396,'TL09'!$J$10:$J$224),0),
IF('TL09'!$B$229=L$3,SUMIF('TL09'!$C$238:$C$451,$C396,'TL09'!$J$238:$J$451),0),
IF('TL10'!$B$3=L$3,SUMIF('TL10'!$C$10:$C$224,$C396,'TL10'!$J$10:$J$224),0),
IF('TL10'!$B$229=L$3,SUMIF('TL10'!$C$238:$C$451,$C396,'TL10'!$J$238:$J$451),0),
IF('TL11'!$B$3=L$3,SUMIF('TL11'!$C$10:$C$224,$C396,'TL11'!$J$10:$J$224),0),
IF('TL11'!$B$229=L$3,SUMIF('TL11'!$C$238:$C$451,$C396,'TL11'!$J$238:$J$451),0),
IF('TL12'!$B$3=L$3,SUMIF('TL12'!$C$10:$C$224,$C396,'TL12'!$J$10:$J$224),0),
IF('TL12'!$B$229=L$3,SUMIF('TL12'!$C$238:$C$451,$C396,'TL12'!$J$238:$J$451),0),
IF('TL13'!$B$3=L$3,SUMIF('TL13'!$C$10:$C$224,$C396,'TL13'!$J$10:$J$224),0),
IF('TL13'!$B$229=L$3,SUMIF('TL13'!$C$238:$C$451,$C396,'TL13'!$J$238:$J$451),0),
IF('TL14'!$B$3=L$3,SUMIF('TL14'!$C$10:$C$224,$C396,'TL14'!$J$10:$J$224),0),
IF('TL14'!$B$229=L$3,SUMIF('TL14'!$C$238:$C$451,$C396,'TL14'!$J$238:$J$451),0),
IF('TL15'!$B$3=L$3,SUMIF('TL15'!$C$10:$C$224,$C396,'TL15'!$J$10:$J$224),0),
IF('TL15'!$B$229=L$3,SUMIF('TL15'!$C$238:$C$451,$C396,'TL15'!$J$238:$J$451),0),
IF('TL16'!$B$3=L$3,SUMIF('TL16'!$C$10:$C$224,$C396,'TL16'!$J$10:$J$224),0),
IF('TL16'!$B$229=L$3,SUMIF('TL16'!$C$238:$C$451,$C396,'TL16'!$J$238:$J$451),0),
IF('TL17'!$B$3=L$3,SUMIF('TL17'!$C$10:$C$224,$C396,'TL17'!$J$10:$J$224),0),
IF('TL17'!$B$229=L$3,SUMIF('TL17'!$C$238:$C$451,$C396,'TL17'!$J$238:$J$451),0),
IF('TL18'!$B$3=L$3,SUMIF('TL18'!$C$10:$C$224,$C396,'TL18'!$J$10:$J$224),0),
IF('TL18'!$B$229=L$3,SUMIF('TL18'!$C$238:$C$451,$C396,'TL18'!$J$238:$J$451),0),
IF('TL19'!$B$3=L$3,SUMIF('TL19'!$C$10:$C$224,$C396,'TL19'!$J$10:$J$224),0),
IF('TL19'!$B$229=L$3,SUMIF('TL19'!$C$238:$C$451,$C396,'TL19'!$J$238:$J$451),0)
),0)</f>
        <v/>
      </c>
      <c r="M396" s="9">
        <f>IFERROR(SUM(
IF('TL01'!$B$3=M$3,SUMIF('TL01'!$C$10:$C$224,$C396,'TL01'!$J$10:$J$224),0),
IF('TL01'!$B$229=M$3,SUMIF('TL01'!$C$238:$C$451,$C396,'TL01'!$J$238:$J$451),0),
IF('TL02'!$B$3=M$3,SUMIF('TL02'!$C$10:$C$224,$C396,'TL02'!$J$10:$J$224),0),
IF('TL02'!$B$229=M$3,SUMIF('TL02'!$C$238:$C$451,$C396,'TL02'!$J$238:$J$451),0),
IF('TL03'!$B$3=M$3,SUMIF('TL03'!$C$10:$C$224,$C396,'TL03'!$J$10:$J$224),0),
IF('TL03'!$B$229=M$3,SUMIF('TL03'!$C$238:$C$451,$C396,'TL03'!$J$238:$J$451),0),
IF('TL04'!$B$3=M$3,SUMIF('TL04'!$C$10:$C$224,$C396,'TL04'!$J$10:$J$224),0),
IF('TL04'!$B$229=M$3,SUMIF('TL04'!$C$238:$C$451,$C396,'TL04'!$J$238:$J$451),0),
IF('TL05'!$B$3=M$3,SUMIF('TL05'!$C$10:$C$224,$C396,'TL05'!$J$10:$J$224),0),
IF('TL05'!$B$229=M$3,SUMIF('TL05'!$C$238:$C$451,$C396,'TL05'!$J$238:$J$451),0),
IF('TL06'!$B$3=M$3,SUMIF('TL06'!$C$10:$C$224,$C396,'TL06'!$J$10:$J$224),0),
IF('TL06'!$B$229=M$3,SUMIF('TL06'!$C$238:$C$451,$C396,'TL06'!$J$238:$J$451),0),
IF('TL07'!$B$3=M$3,SUMIF('TL07'!$C$10:$C$224,$C396,'TL07'!$J$10:$J$224),0),
IF('TL07'!$B$229=M$3,SUMIF('TL07'!$C$238:$C$451,$C396,'TL07'!$J$238:$J$451),0),
IF('TL08'!$B$3=M$3,SUMIF('TL08'!$C$10:$C$224,$C396,'TL08'!$J$10:$J$224),0),
IF('TL08'!$B$229=M$3,SUMIF('TL08'!$C$238:$C$451,$C396,'TL08'!$J$238:$J$451),0),
IF('TL09'!$B$3=M$3,SUMIF('TL09'!$C$10:$C$224,$C396,'TL09'!$J$10:$J$224),0),
IF('TL09'!$B$229=M$3,SUMIF('TL09'!$C$238:$C$451,$C396,'TL09'!$J$238:$J$451),0),
IF('TL10'!$B$3=M$3,SUMIF('TL10'!$C$10:$C$224,$C396,'TL10'!$J$10:$J$224),0),
IF('TL10'!$B$229=M$3,SUMIF('TL10'!$C$238:$C$451,$C396,'TL10'!$J$238:$J$451),0),
IF('TL11'!$B$3=M$3,SUMIF('TL11'!$C$10:$C$224,$C396,'TL11'!$J$10:$J$224),0),
IF('TL11'!$B$229=M$3,SUMIF('TL11'!$C$238:$C$451,$C396,'TL11'!$J$238:$J$451),0),
IF('TL12'!$B$3=M$3,SUMIF('TL12'!$C$10:$C$224,$C396,'TL12'!$J$10:$J$224),0),
IF('TL12'!$B$229=M$3,SUMIF('TL12'!$C$238:$C$451,$C396,'TL12'!$J$238:$J$451),0),
IF('TL13'!$B$3=M$3,SUMIF('TL13'!$C$10:$C$224,$C396,'TL13'!$J$10:$J$224),0),
IF('TL13'!$B$229=M$3,SUMIF('TL13'!$C$238:$C$451,$C396,'TL13'!$J$238:$J$451),0),
IF('TL14'!$B$3=M$3,SUMIF('TL14'!$C$10:$C$224,$C396,'TL14'!$J$10:$J$224),0),
IF('TL14'!$B$229=M$3,SUMIF('TL14'!$C$238:$C$451,$C396,'TL14'!$J$238:$J$451),0),
IF('TL15'!$B$3=M$3,SUMIF('TL15'!$C$10:$C$224,$C396,'TL15'!$J$10:$J$224),0),
IF('TL15'!$B$229=M$3,SUMIF('TL15'!$C$238:$C$451,$C396,'TL15'!$J$238:$J$451),0),
IF('TL16'!$B$3=M$3,SUMIF('TL16'!$C$10:$C$224,$C396,'TL16'!$J$10:$J$224),0),
IF('TL16'!$B$229=M$3,SUMIF('TL16'!$C$238:$C$451,$C396,'TL16'!$J$238:$J$451),0),
IF('TL17'!$B$3=M$3,SUMIF('TL17'!$C$10:$C$224,$C396,'TL17'!$J$10:$J$224),0),
IF('TL17'!$B$229=M$3,SUMIF('TL17'!$C$238:$C$451,$C396,'TL17'!$J$238:$J$451),0),
IF('TL18'!$B$3=M$3,SUMIF('TL18'!$C$10:$C$224,$C396,'TL18'!$J$10:$J$224),0),
IF('TL18'!$B$229=M$3,SUMIF('TL18'!$C$238:$C$451,$C396,'TL18'!$J$238:$J$451),0),
IF('TL19'!$B$3=M$3,SUMIF('TL19'!$C$10:$C$224,$C396,'TL19'!$J$10:$J$224),0),
IF('TL19'!$B$229=M$3,SUMIF('TL19'!$C$238:$C$451,$C396,'TL19'!$J$238:$J$451),0)
),0)</f>
        <v/>
      </c>
      <c r="N396" s="9">
        <f>IFERROR(SUM(
IF('TL01'!$B$3=N$3,SUMIF('TL01'!$C$10:$C$224,$C396,'TL01'!$J$10:$J$224),0),
IF('TL01'!$B$229=N$3,SUMIF('TL01'!$C$238:$C$451,$C396,'TL01'!$J$238:$J$451),0),
IF('TL02'!$B$3=N$3,SUMIF('TL02'!$C$10:$C$224,$C396,'TL02'!$J$10:$J$224),0),
IF('TL02'!$B$229=N$3,SUMIF('TL02'!$C$238:$C$451,$C396,'TL02'!$J$238:$J$451),0),
IF('TL03'!$B$3=N$3,SUMIF('TL03'!$C$10:$C$224,$C396,'TL03'!$J$10:$J$224),0),
IF('TL03'!$B$229=N$3,SUMIF('TL03'!$C$238:$C$451,$C396,'TL03'!$J$238:$J$451),0),
IF('TL04'!$B$3=N$3,SUMIF('TL04'!$C$10:$C$224,$C396,'TL04'!$J$10:$J$224),0),
IF('TL04'!$B$229=N$3,SUMIF('TL04'!$C$238:$C$451,$C396,'TL04'!$J$238:$J$451),0),
IF('TL05'!$B$3=N$3,SUMIF('TL05'!$C$10:$C$224,$C396,'TL05'!$J$10:$J$224),0),
IF('TL05'!$B$229=N$3,SUMIF('TL05'!$C$238:$C$451,$C396,'TL05'!$J$238:$J$451),0),
IF('TL06'!$B$3=N$3,SUMIF('TL06'!$C$10:$C$224,$C396,'TL06'!$J$10:$J$224),0),
IF('TL06'!$B$229=N$3,SUMIF('TL06'!$C$238:$C$451,$C396,'TL06'!$J$238:$J$451),0),
IF('TL07'!$B$3=N$3,SUMIF('TL07'!$C$10:$C$224,$C396,'TL07'!$J$10:$J$224),0),
IF('TL07'!$B$229=N$3,SUMIF('TL07'!$C$238:$C$451,$C396,'TL07'!$J$238:$J$451),0),
IF('TL08'!$B$3=N$3,SUMIF('TL08'!$C$10:$C$224,$C396,'TL08'!$J$10:$J$224),0),
IF('TL08'!$B$229=N$3,SUMIF('TL08'!$C$238:$C$451,$C396,'TL08'!$J$238:$J$451),0),
IF('TL09'!$B$3=N$3,SUMIF('TL09'!$C$10:$C$224,$C396,'TL09'!$J$10:$J$224),0),
IF('TL09'!$B$229=N$3,SUMIF('TL09'!$C$238:$C$451,$C396,'TL09'!$J$238:$J$451),0),
IF('TL10'!$B$3=N$3,SUMIF('TL10'!$C$10:$C$224,$C396,'TL10'!$J$10:$J$224),0),
IF('TL10'!$B$229=N$3,SUMIF('TL10'!$C$238:$C$451,$C396,'TL10'!$J$238:$J$451),0),
IF('TL11'!$B$3=N$3,SUMIF('TL11'!$C$10:$C$224,$C396,'TL11'!$J$10:$J$224),0),
IF('TL11'!$B$229=N$3,SUMIF('TL11'!$C$238:$C$451,$C396,'TL11'!$J$238:$J$451),0),
IF('TL12'!$B$3=N$3,SUMIF('TL12'!$C$10:$C$224,$C396,'TL12'!$J$10:$J$224),0),
IF('TL12'!$B$229=N$3,SUMIF('TL12'!$C$238:$C$451,$C396,'TL12'!$J$238:$J$451),0),
IF('TL13'!$B$3=N$3,SUMIF('TL13'!$C$10:$C$224,$C396,'TL13'!$J$10:$J$224),0),
IF('TL13'!$B$229=N$3,SUMIF('TL13'!$C$238:$C$451,$C396,'TL13'!$J$238:$J$451),0),
IF('TL14'!$B$3=N$3,SUMIF('TL14'!$C$10:$C$224,$C396,'TL14'!$J$10:$J$224),0),
IF('TL14'!$B$229=N$3,SUMIF('TL14'!$C$238:$C$451,$C396,'TL14'!$J$238:$J$451),0),
IF('TL15'!$B$3=N$3,SUMIF('TL15'!$C$10:$C$224,$C396,'TL15'!$J$10:$J$224),0),
IF('TL15'!$B$229=N$3,SUMIF('TL15'!$C$238:$C$451,$C396,'TL15'!$J$238:$J$451),0),
IF('TL16'!$B$3=N$3,SUMIF('TL16'!$C$10:$C$224,$C396,'TL16'!$J$10:$J$224),0),
IF('TL16'!$B$229=N$3,SUMIF('TL16'!$C$238:$C$451,$C396,'TL16'!$J$238:$J$451),0),
IF('TL17'!$B$3=N$3,SUMIF('TL17'!$C$10:$C$224,$C396,'TL17'!$J$10:$J$224),0),
IF('TL17'!$B$229=N$3,SUMIF('TL17'!$C$238:$C$451,$C396,'TL17'!$J$238:$J$451),0),
IF('TL18'!$B$3=N$3,SUMIF('TL18'!$C$10:$C$224,$C396,'TL18'!$J$10:$J$224),0),
IF('TL18'!$B$229=N$3,SUMIF('TL18'!$C$238:$C$451,$C396,'TL18'!$J$238:$J$451),0),
IF('TL19'!$B$3=N$3,SUMIF('TL19'!$C$10:$C$224,$C396,'TL19'!$J$10:$J$224),0),
IF('TL19'!$B$229=N$3,SUMIF('TL19'!$C$238:$C$451,$C396,'TL19'!$J$238:$J$451),0)
),0)</f>
        <v/>
      </c>
      <c r="O396" s="9">
        <f>IFERROR(SUM(
IF('TL01'!$B$3=O$3,SUMIF('TL01'!$C$10:$C$224,$C396,'TL01'!$J$10:$J$224),0),
IF('TL01'!$B$229=O$3,SUMIF('TL01'!$C$238:$C$451,$C396,'TL01'!$J$238:$J$451),0),
IF('TL02'!$B$3=O$3,SUMIF('TL02'!$C$10:$C$224,$C396,'TL02'!$J$10:$J$224),0),
IF('TL02'!$B$229=O$3,SUMIF('TL02'!$C$238:$C$451,$C396,'TL02'!$J$238:$J$451),0),
IF('TL03'!$B$3=O$3,SUMIF('TL03'!$C$10:$C$224,$C396,'TL03'!$J$10:$J$224),0),
IF('TL03'!$B$229=O$3,SUMIF('TL03'!$C$238:$C$451,$C396,'TL03'!$J$238:$J$451),0),
IF('TL04'!$B$3=O$3,SUMIF('TL04'!$C$10:$C$224,$C396,'TL04'!$J$10:$J$224),0),
IF('TL04'!$B$229=O$3,SUMIF('TL04'!$C$238:$C$451,$C396,'TL04'!$J$238:$J$451),0),
IF('TL05'!$B$3=O$3,SUMIF('TL05'!$C$10:$C$224,$C396,'TL05'!$J$10:$J$224),0),
IF('TL05'!$B$229=O$3,SUMIF('TL05'!$C$238:$C$451,$C396,'TL05'!$J$238:$J$451),0),
IF('TL06'!$B$3=O$3,SUMIF('TL06'!$C$10:$C$224,$C396,'TL06'!$J$10:$J$224),0),
IF('TL06'!$B$229=O$3,SUMIF('TL06'!$C$238:$C$451,$C396,'TL06'!$J$238:$J$451),0),
IF('TL07'!$B$3=O$3,SUMIF('TL07'!$C$10:$C$224,$C396,'TL07'!$J$10:$J$224),0),
IF('TL07'!$B$229=O$3,SUMIF('TL07'!$C$238:$C$451,$C396,'TL07'!$J$238:$J$451),0),
IF('TL08'!$B$3=O$3,SUMIF('TL08'!$C$10:$C$224,$C396,'TL08'!$J$10:$J$224),0),
IF('TL08'!$B$229=O$3,SUMIF('TL08'!$C$238:$C$451,$C396,'TL08'!$J$238:$J$451),0),
IF('TL09'!$B$3=O$3,SUMIF('TL09'!$C$10:$C$224,$C396,'TL09'!$J$10:$J$224),0),
IF('TL09'!$B$229=O$3,SUMIF('TL09'!$C$238:$C$451,$C396,'TL09'!$J$238:$J$451),0),
IF('TL10'!$B$3=O$3,SUMIF('TL10'!$C$10:$C$224,$C396,'TL10'!$J$10:$J$224),0),
IF('TL10'!$B$229=O$3,SUMIF('TL10'!$C$238:$C$451,$C396,'TL10'!$J$238:$J$451),0),
IF('TL11'!$B$3=O$3,SUMIF('TL11'!$C$10:$C$224,$C396,'TL11'!$J$10:$J$224),0),
IF('TL11'!$B$229=O$3,SUMIF('TL11'!$C$238:$C$451,$C396,'TL11'!$J$238:$J$451),0),
IF('TL12'!$B$3=O$3,SUMIF('TL12'!$C$10:$C$224,$C396,'TL12'!$J$10:$J$224),0),
IF('TL12'!$B$229=O$3,SUMIF('TL12'!$C$238:$C$451,$C396,'TL12'!$J$238:$J$451),0),
IF('TL13'!$B$3=O$3,SUMIF('TL13'!$C$10:$C$224,$C396,'TL13'!$J$10:$J$224),0),
IF('TL13'!$B$229=O$3,SUMIF('TL13'!$C$238:$C$451,$C396,'TL13'!$J$238:$J$451),0),
IF('TL14'!$B$3=O$3,SUMIF('TL14'!$C$10:$C$224,$C396,'TL14'!$J$10:$J$224),0),
IF('TL14'!$B$229=O$3,SUMIF('TL14'!$C$238:$C$451,$C396,'TL14'!$J$238:$J$451),0),
IF('TL15'!$B$3=O$3,SUMIF('TL15'!$C$10:$C$224,$C396,'TL15'!$J$10:$J$224),0),
IF('TL15'!$B$229=O$3,SUMIF('TL15'!$C$238:$C$451,$C396,'TL15'!$J$238:$J$451),0),
IF('TL16'!$B$3=O$3,SUMIF('TL16'!$C$10:$C$224,$C396,'TL16'!$J$10:$J$224),0),
IF('TL16'!$B$229=O$3,SUMIF('TL16'!$C$238:$C$451,$C396,'TL16'!$J$238:$J$451),0),
IF('TL17'!$B$3=O$3,SUMIF('TL17'!$C$10:$C$224,$C396,'TL17'!$J$10:$J$224),0),
IF('TL17'!$B$229=O$3,SUMIF('TL17'!$C$238:$C$451,$C396,'TL17'!$J$238:$J$451),0),
IF('TL18'!$B$3=O$3,SUMIF('TL18'!$C$10:$C$224,$C396,'TL18'!$J$10:$J$224),0),
IF('TL18'!$B$229=O$3,SUMIF('TL18'!$C$238:$C$451,$C396,'TL18'!$J$238:$J$451),0),
IF('TL19'!$B$3=O$3,SUMIF('TL19'!$C$10:$C$224,$C396,'TL19'!$J$10:$J$224),0),
IF('TL19'!$B$229=O$3,SUMIF('TL19'!$C$238:$C$451,$C396,'TL19'!$J$238:$J$451),0)
),0)</f>
        <v/>
      </c>
      <c r="P396" s="9">
        <f>IFERROR(SUM(
IF('TL01'!$B$3=P$3,SUMIF('TL01'!$C$10:$C$224,$C396,'TL01'!$J$10:$J$224),0),
IF('TL01'!$B$229=P$3,SUMIF('TL01'!$C$238:$C$451,$C396,'TL01'!$J$238:$J$451),0),
IF('TL02'!$B$3=P$3,SUMIF('TL02'!$C$10:$C$224,$C396,'TL02'!$J$10:$J$224),0),
IF('TL02'!$B$229=P$3,SUMIF('TL02'!$C$238:$C$451,$C396,'TL02'!$J$238:$J$451),0),
IF('TL03'!$B$3=P$3,SUMIF('TL03'!$C$10:$C$224,$C396,'TL03'!$J$10:$J$224),0),
IF('TL03'!$B$229=P$3,SUMIF('TL03'!$C$238:$C$451,$C396,'TL03'!$J$238:$J$451),0),
IF('TL04'!$B$3=P$3,SUMIF('TL04'!$C$10:$C$224,$C396,'TL04'!$J$10:$J$224),0),
IF('TL04'!$B$229=P$3,SUMIF('TL04'!$C$238:$C$451,$C396,'TL04'!$J$238:$J$451),0),
IF('TL05'!$B$3=P$3,SUMIF('TL05'!$C$10:$C$224,$C396,'TL05'!$J$10:$J$224),0),
IF('TL05'!$B$229=P$3,SUMIF('TL05'!$C$238:$C$451,$C396,'TL05'!$J$238:$J$451),0),
IF('TL06'!$B$3=P$3,SUMIF('TL06'!$C$10:$C$224,$C396,'TL06'!$J$10:$J$224),0),
IF('TL06'!$B$229=P$3,SUMIF('TL06'!$C$238:$C$451,$C396,'TL06'!$J$238:$J$451),0),
IF('TL07'!$B$3=P$3,SUMIF('TL07'!$C$10:$C$224,$C396,'TL07'!$J$10:$J$224),0),
IF('TL07'!$B$229=P$3,SUMIF('TL07'!$C$238:$C$451,$C396,'TL07'!$J$238:$J$451),0),
IF('TL08'!$B$3=P$3,SUMIF('TL08'!$C$10:$C$224,$C396,'TL08'!$J$10:$J$224),0),
IF('TL08'!$B$229=P$3,SUMIF('TL08'!$C$238:$C$451,$C396,'TL08'!$J$238:$J$451),0),
IF('TL09'!$B$3=P$3,SUMIF('TL09'!$C$10:$C$224,$C396,'TL09'!$J$10:$J$224),0),
IF('TL09'!$B$229=P$3,SUMIF('TL09'!$C$238:$C$451,$C396,'TL09'!$J$238:$J$451),0),
IF('TL10'!$B$3=P$3,SUMIF('TL10'!$C$10:$C$224,$C396,'TL10'!$J$10:$J$224),0),
IF('TL10'!$B$229=P$3,SUMIF('TL10'!$C$238:$C$451,$C396,'TL10'!$J$238:$J$451),0),
IF('TL11'!$B$3=P$3,SUMIF('TL11'!$C$10:$C$224,$C396,'TL11'!$J$10:$J$224),0),
IF('TL11'!$B$229=P$3,SUMIF('TL11'!$C$238:$C$451,$C396,'TL11'!$J$238:$J$451),0),
IF('TL12'!$B$3=P$3,SUMIF('TL12'!$C$10:$C$224,$C396,'TL12'!$J$10:$J$224),0),
IF('TL12'!$B$229=P$3,SUMIF('TL12'!$C$238:$C$451,$C396,'TL12'!$J$238:$J$451),0),
IF('TL13'!$B$3=P$3,SUMIF('TL13'!$C$10:$C$224,$C396,'TL13'!$J$10:$J$224),0),
IF('TL13'!$B$229=P$3,SUMIF('TL13'!$C$238:$C$451,$C396,'TL13'!$J$238:$J$451),0),
IF('TL14'!$B$3=P$3,SUMIF('TL14'!$C$10:$C$224,$C396,'TL14'!$J$10:$J$224),0),
IF('TL14'!$B$229=P$3,SUMIF('TL14'!$C$238:$C$451,$C396,'TL14'!$J$238:$J$451),0),
IF('TL15'!$B$3=P$3,SUMIF('TL15'!$C$10:$C$224,$C396,'TL15'!$J$10:$J$224),0),
IF('TL15'!$B$229=P$3,SUMIF('TL15'!$C$238:$C$451,$C396,'TL15'!$J$238:$J$451),0),
IF('TL16'!$B$3=P$3,SUMIF('TL16'!$C$10:$C$224,$C396,'TL16'!$J$10:$J$224),0),
IF('TL16'!$B$229=P$3,SUMIF('TL16'!$C$238:$C$451,$C396,'TL16'!$J$238:$J$451),0),
IF('TL17'!$B$3=P$3,SUMIF('TL17'!$C$10:$C$224,$C396,'TL17'!$J$10:$J$224),0),
IF('TL17'!$B$229=P$3,SUMIF('TL17'!$C$238:$C$451,$C396,'TL17'!$J$238:$J$451),0),
IF('TL18'!$B$3=P$3,SUMIF('TL18'!$C$10:$C$224,$C396,'TL18'!$J$10:$J$224),0),
IF('TL18'!$B$229=P$3,SUMIF('TL18'!$C$238:$C$451,$C396,'TL18'!$J$238:$J$451),0),
IF('TL19'!$B$3=P$3,SUMIF('TL19'!$C$10:$C$224,$C396,'TL19'!$J$10:$J$224),0),
IF('TL19'!$B$229=P$3,SUMIF('TL19'!$C$238:$C$451,$C396,'TL19'!$J$238:$J$451),0)
),0)</f>
        <v/>
      </c>
      <c r="Q396" s="9">
        <f>IFERROR(SUM(
IF('TL01'!$B$3=Q$3,SUMIF('TL01'!$C$10:$C$224,$C396,'TL01'!$J$10:$J$224),0),
IF('TL01'!$B$229=Q$3,SUMIF('TL01'!$C$238:$C$451,$C396,'TL01'!$J$238:$J$451),0),
IF('TL02'!$B$3=Q$3,SUMIF('TL02'!$C$10:$C$224,$C396,'TL02'!$J$10:$J$224),0),
IF('TL02'!$B$229=Q$3,SUMIF('TL02'!$C$238:$C$451,$C396,'TL02'!$J$238:$J$451),0),
IF('TL03'!$B$3=Q$3,SUMIF('TL03'!$C$10:$C$224,$C396,'TL03'!$J$10:$J$224),0),
IF('TL03'!$B$229=Q$3,SUMIF('TL03'!$C$238:$C$451,$C396,'TL03'!$J$238:$J$451),0),
IF('TL04'!$B$3=Q$3,SUMIF('TL04'!$C$10:$C$224,$C396,'TL04'!$J$10:$J$224),0),
IF('TL04'!$B$229=Q$3,SUMIF('TL04'!$C$238:$C$451,$C396,'TL04'!$J$238:$J$451),0),
IF('TL05'!$B$3=Q$3,SUMIF('TL05'!$C$10:$C$224,$C396,'TL05'!$J$10:$J$224),0),
IF('TL05'!$B$229=Q$3,SUMIF('TL05'!$C$238:$C$451,$C396,'TL05'!$J$238:$J$451),0),
IF('TL06'!$B$3=Q$3,SUMIF('TL06'!$C$10:$C$224,$C396,'TL06'!$J$10:$J$224),0),
IF('TL06'!$B$229=Q$3,SUMIF('TL06'!$C$238:$C$451,$C396,'TL06'!$J$238:$J$451),0),
IF('TL07'!$B$3=Q$3,SUMIF('TL07'!$C$10:$C$224,$C396,'TL07'!$J$10:$J$224),0),
IF('TL07'!$B$229=Q$3,SUMIF('TL07'!$C$238:$C$451,$C396,'TL07'!$J$238:$J$451),0),
IF('TL08'!$B$3=Q$3,SUMIF('TL08'!$C$10:$C$224,$C396,'TL08'!$J$10:$J$224),0),
IF('TL08'!$B$229=Q$3,SUMIF('TL08'!$C$238:$C$451,$C396,'TL08'!$J$238:$J$451),0),
IF('TL09'!$B$3=Q$3,SUMIF('TL09'!$C$10:$C$224,$C396,'TL09'!$J$10:$J$224),0),
IF('TL09'!$B$229=Q$3,SUMIF('TL09'!$C$238:$C$451,$C396,'TL09'!$J$238:$J$451),0),
IF('TL10'!$B$3=Q$3,SUMIF('TL10'!$C$10:$C$224,$C396,'TL10'!$J$10:$J$224),0),
IF('TL10'!$B$229=Q$3,SUMIF('TL10'!$C$238:$C$451,$C396,'TL10'!$J$238:$J$451),0),
IF('TL11'!$B$3=Q$3,SUMIF('TL11'!$C$10:$C$224,$C396,'TL11'!$J$10:$J$224),0),
IF('TL11'!$B$229=Q$3,SUMIF('TL11'!$C$238:$C$451,$C396,'TL11'!$J$238:$J$451),0),
IF('TL12'!$B$3=Q$3,SUMIF('TL12'!$C$10:$C$224,$C396,'TL12'!$J$10:$J$224),0),
IF('TL12'!$B$229=Q$3,SUMIF('TL12'!$C$238:$C$451,$C396,'TL12'!$J$238:$J$451),0),
IF('TL13'!$B$3=Q$3,SUMIF('TL13'!$C$10:$C$224,$C396,'TL13'!$J$10:$J$224),0),
IF('TL13'!$B$229=Q$3,SUMIF('TL13'!$C$238:$C$451,$C396,'TL13'!$J$238:$J$451),0),
IF('TL14'!$B$3=Q$3,SUMIF('TL14'!$C$10:$C$224,$C396,'TL14'!$J$10:$J$224),0),
IF('TL14'!$B$229=Q$3,SUMIF('TL14'!$C$238:$C$451,$C396,'TL14'!$J$238:$J$451),0),
IF('TL15'!$B$3=Q$3,SUMIF('TL15'!$C$10:$C$224,$C396,'TL15'!$J$10:$J$224),0),
IF('TL15'!$B$229=Q$3,SUMIF('TL15'!$C$238:$C$451,$C396,'TL15'!$J$238:$J$451),0),
IF('TL16'!$B$3=Q$3,SUMIF('TL16'!$C$10:$C$224,$C396,'TL16'!$J$10:$J$224),0),
IF('TL16'!$B$229=Q$3,SUMIF('TL16'!$C$238:$C$451,$C396,'TL16'!$J$238:$J$451),0),
IF('TL17'!$B$3=Q$3,SUMIF('TL17'!$C$10:$C$224,$C396,'TL17'!$J$10:$J$224),0),
IF('TL17'!$B$229=Q$3,SUMIF('TL17'!$C$238:$C$451,$C396,'TL17'!$J$238:$J$451),0),
IF('TL18'!$B$3=Q$3,SUMIF('TL18'!$C$10:$C$224,$C396,'TL18'!$J$10:$J$224),0),
IF('TL18'!$B$229=Q$3,SUMIF('TL18'!$C$238:$C$451,$C396,'TL18'!$J$238:$J$451),0),
IF('TL19'!$B$3=Q$3,SUMIF('TL19'!$C$10:$C$224,$C396,'TL19'!$J$10:$J$224),0),
IF('TL19'!$B$229=Q$3,SUMIF('TL19'!$C$238:$C$451,$C396,'TL19'!$J$238:$J$451),0)
),0)</f>
        <v/>
      </c>
      <c r="R396" s="9">
        <f>IFERROR(
SUM(
SUMIF('TL01'!C:C,C396,'TL01'!J:J),
SUMIF('TL02'!C:C,C396,'TL02'!J:J),
SUMIF('TL03'!C:C,C396,'TL03'!J:J),
SUMIF('TL04'!C:C,C396,'TL04'!J:J),
SUMIF('TL05'!C:C,C396,'TL05'!J:J),
SUMIF('TL06'!C:C,C396,'TL06'!J:J),
SUMIF('TL07'!C:C,C396,'TL07'!J:J),
SUMIF('TL08'!C:C,C396,'TL08'!J:J),
SUMIF('TL09'!C:C,C396,'TL09'!J:J),
SUMIF('TL10'!C:C,C396,'TL10'!J:J),
SUMIF('TL11'!C:C,C396,'TL11'!J:J),
SUMIF('TL12'!C:C,C396,'TL12'!J:J),
SUMIF('TL13'!C:C,C396,'TL13'!J:J),
SUMIF('TL14'!C:C,C396,'TL14'!J:J),
SUMIF('TL15'!C:C,C396,'TL15'!J:J),
SUMIF('TL16'!C:C,C396,'TL16'!J:J),
SUMIF('TL17'!C:C,C396,'TL17'!J:J),
SUMIF('TL18'!C:C,C396,'TL18'!J:J),SUMIF('TL19'!C:C,C396,'TL19'!J:J))
,0)</f>
        <v/>
      </c>
      <c r="S396" s="17">
        <f>IFERROR(__xludf.DUMMYFUNCTION("IFERROR(VLOOKUP(C396,
IMPORTRANGE(""1wULbzX32WdYsx-lj2U3uUNBBe2INVIRDtcK0d-Dvl90"",
""26-27!C:G""),
5,
FALSE),
"""")"),"")</f>
        <v/>
      </c>
      <c r="T396" s="9" t="n"/>
      <c r="U396" s="92">
        <f>MAX(0,R396-T396)</f>
        <v/>
      </c>
      <c r="V396" s="93">
        <f>U396*S396</f>
        <v/>
      </c>
    </row>
    <row r="397" hidden="1" ht="15.75" customHeight="1" s="297">
      <c r="A397" s="4" t="n"/>
      <c r="B397" s="125" t="n"/>
      <c r="C397" s="20" t="n"/>
      <c r="D397" s="20" t="n"/>
      <c r="E397" s="9" t="n"/>
      <c r="F397" s="4" t="n"/>
      <c r="G397" s="90">
        <f>HYPERLINK("https://www.google.com/search?q=" &amp; C397 &amp; "+bula+agrofit+pdf", "📄 Ver bula")</f>
        <v/>
      </c>
      <c r="H397" s="9" t="n"/>
      <c r="I397" s="1" t="n"/>
      <c r="J397" s="9">
        <f>IFERROR(SUM(
IF('TL01'!$B$3=J$3,SUMIF('TL01'!$C$10:$C$224,$C397,'TL01'!$J$10:$J$224),0),
IF('TL01'!$B$229=J$3,SUMIF('TL01'!$C$238:$C$451,$C397,'TL01'!$J$238:$J$451),0),
IF('TL02'!$B$3=J$3,SUMIF('TL02'!$C$10:$C$224,$C397,'TL02'!$J$10:$J$224),0),
IF('TL02'!$B$229=J$3,SUMIF('TL02'!$C$238:$C$451,$C397,'TL02'!$J$238:$J$451),0),
IF('TL03'!$B$3=J$3,SUMIF('TL03'!$C$10:$C$224,$C397,'TL03'!$J$10:$J$224),0),
IF('TL03'!$B$229=J$3,SUMIF('TL03'!$C$238:$C$451,$C397,'TL03'!$J$238:$J$451),0),
IF('TL04'!$B$3=J$3,SUMIF('TL04'!$C$10:$C$224,$C397,'TL04'!$J$10:$J$224),0),
IF('TL04'!$B$229=J$3,SUMIF('TL04'!$C$238:$C$451,$C397,'TL04'!$J$238:$J$451),0),
IF('TL05'!$B$3=J$3,SUMIF('TL05'!$C$10:$C$224,$C397,'TL05'!$J$10:$J$224),0),
IF('TL05'!$B$229=J$3,SUMIF('TL05'!$C$238:$C$451,$C397,'TL05'!$J$238:$J$451),0),
IF('TL06'!$B$3=J$3,SUMIF('TL06'!$C$10:$C$224,$C397,'TL06'!$J$10:$J$224),0),
IF('TL06'!$B$229=J$3,SUMIF('TL06'!$C$238:$C$451,$C397,'TL06'!$J$238:$J$451),0),
IF('TL07'!$B$3=J$3,SUMIF('TL07'!$C$10:$C$224,$C397,'TL07'!$J$10:$J$224),0),
IF('TL07'!$B$229=J$3,SUMIF('TL07'!$C$238:$C$451,$C397,'TL07'!$J$238:$J$451),0),
IF('TL08'!$B$3=J$3,SUMIF('TL08'!$C$10:$C$224,$C397,'TL08'!$J$10:$J$224),0),
IF('TL08'!$B$229=J$3,SUMIF('TL08'!$C$238:$C$451,$C397,'TL08'!$J$238:$J$451),0),
IF('TL09'!$B$3=J$3,SUMIF('TL09'!$C$10:$C$224,$C397,'TL09'!$J$10:$J$224),0),
IF('TL09'!$B$229=J$3,SUMIF('TL09'!$C$238:$C$451,$C397,'TL09'!$J$238:$J$451),0),
IF('TL10'!$B$3=J$3,SUMIF('TL10'!$C$10:$C$224,$C397,'TL10'!$J$10:$J$224),0),
IF('TL10'!$B$229=J$3,SUMIF('TL10'!$C$238:$C$451,$C397,'TL10'!$J$238:$J$451),0),
IF('TL11'!$B$3=J$3,SUMIF('TL11'!$C$10:$C$224,$C397,'TL11'!$J$10:$J$224),0),
IF('TL11'!$B$229=J$3,SUMIF('TL11'!$C$238:$C$451,$C397,'TL11'!$J$238:$J$451),0),
IF('TL12'!$B$3=J$3,SUMIF('TL12'!$C$10:$C$224,$C397,'TL12'!$J$10:$J$224),0),
IF('TL12'!$B$229=J$3,SUMIF('TL12'!$C$238:$C$451,$C397,'TL12'!$J$238:$J$451),0),
IF('TL13'!$B$3=J$3,SUMIF('TL13'!$C$10:$C$224,$C397,'TL13'!$J$10:$J$224),0),
IF('TL13'!$B$229=J$3,SUMIF('TL13'!$C$238:$C$451,$C397,'TL13'!$J$238:$J$451),0),
IF('TL14'!$B$3=J$3,SUMIF('TL14'!$C$10:$C$224,$C397,'TL14'!$J$10:$J$224),0),
IF('TL14'!$B$229=J$3,SUMIF('TL14'!$C$238:$C$451,$C397,'TL14'!$J$238:$J$451),0),
IF('TL15'!$B$3=J$3,SUMIF('TL15'!$C$10:$C$224,$C397,'TL15'!$J$10:$J$224),0),
IF('TL15'!$B$229=J$3,SUMIF('TL15'!$C$238:$C$451,$C397,'TL15'!$J$238:$J$451),0),
IF('TL16'!$B$3=J$3,SUMIF('TL16'!$C$10:$C$224,$C397,'TL16'!$J$10:$J$224),0),
IF('TL16'!$B$229=J$3,SUMIF('TL16'!$C$238:$C$451,$C397,'TL16'!$J$238:$J$451),0),
IF('TL17'!$B$3=J$3,SUMIF('TL17'!$C$10:$C$224,$C397,'TL17'!$J$10:$J$224),0),
IF('TL17'!$B$229=J$3,SUMIF('TL17'!$C$238:$C$451,$C397,'TL17'!$J$238:$J$451),0),
IF('TL18'!$B$3=J$3,SUMIF('TL18'!$C$10:$C$224,$C397,'TL18'!$J$10:$J$224),0),
IF('TL18'!$B$229=J$3,SUMIF('TL18'!$C$238:$C$451,$C397,'TL18'!$J$238:$J$451),0),
IF('TL19'!$B$3=J$3,SUMIF('TL19'!$C$10:$C$224,$C397,'TL19'!$J$10:$J$224),0),
IF('TL19'!$B$229=J$3,SUMIF('TL19'!$C$238:$C$451,$C397,'TL19'!$J$238:$J$451),0)
),0)</f>
        <v/>
      </c>
      <c r="K397" s="9">
        <f>IFERROR(SUM(
IF('TL01'!$B$3=K$3,SUMIF('TL01'!$C$10:$C$224,$C397,'TL01'!$J$10:$J$224),0),
IF('TL01'!$B$229=K$3,SUMIF('TL01'!$C$238:$C$451,$C397,'TL01'!$J$238:$J$451),0),
IF('TL02'!$B$3=K$3,SUMIF('TL02'!$C$10:$C$224,$C397,'TL02'!$J$10:$J$224),0),
IF('TL02'!$B$229=K$3,SUMIF('TL02'!$C$238:$C$451,$C397,'TL02'!$J$238:$J$451),0),
IF('TL03'!$B$3=K$3,SUMIF('TL03'!$C$10:$C$224,$C397,'TL03'!$J$10:$J$224),0),
IF('TL03'!$B$229=K$3,SUMIF('TL03'!$C$238:$C$451,$C397,'TL03'!$J$238:$J$451),0),
IF('TL04'!$B$3=K$3,SUMIF('TL04'!$C$10:$C$224,$C397,'TL04'!$J$10:$J$224),0),
IF('TL04'!$B$229=K$3,SUMIF('TL04'!$C$238:$C$451,$C397,'TL04'!$J$238:$J$451),0),
IF('TL05'!$B$3=K$3,SUMIF('TL05'!$C$10:$C$224,$C397,'TL05'!$J$10:$J$224),0),
IF('TL05'!$B$229=K$3,SUMIF('TL05'!$C$238:$C$451,$C397,'TL05'!$J$238:$J$451),0),
IF('TL06'!$B$3=K$3,SUMIF('TL06'!$C$10:$C$224,$C397,'TL06'!$J$10:$J$224),0),
IF('TL06'!$B$229=K$3,SUMIF('TL06'!$C$238:$C$451,$C397,'TL06'!$J$238:$J$451),0),
IF('TL07'!$B$3=K$3,SUMIF('TL07'!$C$10:$C$224,$C397,'TL07'!$J$10:$J$224),0),
IF('TL07'!$B$229=K$3,SUMIF('TL07'!$C$238:$C$451,$C397,'TL07'!$J$238:$J$451),0),
IF('TL08'!$B$3=K$3,SUMIF('TL08'!$C$10:$C$224,$C397,'TL08'!$J$10:$J$224),0),
IF('TL08'!$B$229=K$3,SUMIF('TL08'!$C$238:$C$451,$C397,'TL08'!$J$238:$J$451),0),
IF('TL09'!$B$3=K$3,SUMIF('TL09'!$C$10:$C$224,$C397,'TL09'!$J$10:$J$224),0),
IF('TL09'!$B$229=K$3,SUMIF('TL09'!$C$238:$C$451,$C397,'TL09'!$J$238:$J$451),0),
IF('TL10'!$B$3=K$3,SUMIF('TL10'!$C$10:$C$224,$C397,'TL10'!$J$10:$J$224),0),
IF('TL10'!$B$229=K$3,SUMIF('TL10'!$C$238:$C$451,$C397,'TL10'!$J$238:$J$451),0),
IF('TL11'!$B$3=K$3,SUMIF('TL11'!$C$10:$C$224,$C397,'TL11'!$J$10:$J$224),0),
IF('TL11'!$B$229=K$3,SUMIF('TL11'!$C$238:$C$451,$C397,'TL11'!$J$238:$J$451),0),
IF('TL12'!$B$3=K$3,SUMIF('TL12'!$C$10:$C$224,$C397,'TL12'!$J$10:$J$224),0),
IF('TL12'!$B$229=K$3,SUMIF('TL12'!$C$238:$C$451,$C397,'TL12'!$J$238:$J$451),0),
IF('TL13'!$B$3=K$3,SUMIF('TL13'!$C$10:$C$224,$C397,'TL13'!$J$10:$J$224),0),
IF('TL13'!$B$229=K$3,SUMIF('TL13'!$C$238:$C$451,$C397,'TL13'!$J$238:$J$451),0),
IF('TL14'!$B$3=K$3,SUMIF('TL14'!$C$10:$C$224,$C397,'TL14'!$J$10:$J$224),0),
IF('TL14'!$B$229=K$3,SUMIF('TL14'!$C$238:$C$451,$C397,'TL14'!$J$238:$J$451),0),
IF('TL15'!$B$3=K$3,SUMIF('TL15'!$C$10:$C$224,$C397,'TL15'!$J$10:$J$224),0),
IF('TL15'!$B$229=K$3,SUMIF('TL15'!$C$238:$C$451,$C397,'TL15'!$J$238:$J$451),0),
IF('TL16'!$B$3=K$3,SUMIF('TL16'!$C$10:$C$224,$C397,'TL16'!$J$10:$J$224),0),
IF('TL16'!$B$229=K$3,SUMIF('TL16'!$C$238:$C$451,$C397,'TL16'!$J$238:$J$451),0),
IF('TL17'!$B$3=K$3,SUMIF('TL17'!$C$10:$C$224,$C397,'TL17'!$J$10:$J$224),0),
IF('TL17'!$B$229=K$3,SUMIF('TL17'!$C$238:$C$451,$C397,'TL17'!$J$238:$J$451),0),
IF('TL18'!$B$3=K$3,SUMIF('TL18'!$C$10:$C$224,$C397,'TL18'!$J$10:$J$224),0),
IF('TL18'!$B$229=K$3,SUMIF('TL18'!$C$238:$C$451,$C397,'TL18'!$J$238:$J$451),0),
IF('TL19'!$B$3=K$3,SUMIF('TL19'!$C$10:$C$224,$C397,'TL19'!$J$10:$J$224),0),
IF('TL19'!$B$229=K$3,SUMIF('TL19'!$C$238:$C$451,$C397,'TL19'!$J$238:$J$451),0)
),0)</f>
        <v/>
      </c>
      <c r="L397" s="9">
        <f>IFERROR(SUM(
IF('TL01'!$B$3=L$3,SUMIF('TL01'!$C$10:$C$224,$C397,'TL01'!$J$10:$J$224),0),
IF('TL01'!$B$229=L$3,SUMIF('TL01'!$C$238:$C$451,$C397,'TL01'!$J$238:$J$451),0),
IF('TL02'!$B$3=L$3,SUMIF('TL02'!$C$10:$C$224,$C397,'TL02'!$J$10:$J$224),0),
IF('TL02'!$B$229=L$3,SUMIF('TL02'!$C$238:$C$451,$C397,'TL02'!$J$238:$J$451),0),
IF('TL03'!$B$3=L$3,SUMIF('TL03'!$C$10:$C$224,$C397,'TL03'!$J$10:$J$224),0),
IF('TL03'!$B$229=L$3,SUMIF('TL03'!$C$238:$C$451,$C397,'TL03'!$J$238:$J$451),0),
IF('TL04'!$B$3=L$3,SUMIF('TL04'!$C$10:$C$224,$C397,'TL04'!$J$10:$J$224),0),
IF('TL04'!$B$229=L$3,SUMIF('TL04'!$C$238:$C$451,$C397,'TL04'!$J$238:$J$451),0),
IF('TL05'!$B$3=L$3,SUMIF('TL05'!$C$10:$C$224,$C397,'TL05'!$J$10:$J$224),0),
IF('TL05'!$B$229=L$3,SUMIF('TL05'!$C$238:$C$451,$C397,'TL05'!$J$238:$J$451),0),
IF('TL06'!$B$3=L$3,SUMIF('TL06'!$C$10:$C$224,$C397,'TL06'!$J$10:$J$224),0),
IF('TL06'!$B$229=L$3,SUMIF('TL06'!$C$238:$C$451,$C397,'TL06'!$J$238:$J$451),0),
IF('TL07'!$B$3=L$3,SUMIF('TL07'!$C$10:$C$224,$C397,'TL07'!$J$10:$J$224),0),
IF('TL07'!$B$229=L$3,SUMIF('TL07'!$C$238:$C$451,$C397,'TL07'!$J$238:$J$451),0),
IF('TL08'!$B$3=L$3,SUMIF('TL08'!$C$10:$C$224,$C397,'TL08'!$J$10:$J$224),0),
IF('TL08'!$B$229=L$3,SUMIF('TL08'!$C$238:$C$451,$C397,'TL08'!$J$238:$J$451),0),
IF('TL09'!$B$3=L$3,SUMIF('TL09'!$C$10:$C$224,$C397,'TL09'!$J$10:$J$224),0),
IF('TL09'!$B$229=L$3,SUMIF('TL09'!$C$238:$C$451,$C397,'TL09'!$J$238:$J$451),0),
IF('TL10'!$B$3=L$3,SUMIF('TL10'!$C$10:$C$224,$C397,'TL10'!$J$10:$J$224),0),
IF('TL10'!$B$229=L$3,SUMIF('TL10'!$C$238:$C$451,$C397,'TL10'!$J$238:$J$451),0),
IF('TL11'!$B$3=L$3,SUMIF('TL11'!$C$10:$C$224,$C397,'TL11'!$J$10:$J$224),0),
IF('TL11'!$B$229=L$3,SUMIF('TL11'!$C$238:$C$451,$C397,'TL11'!$J$238:$J$451),0),
IF('TL12'!$B$3=L$3,SUMIF('TL12'!$C$10:$C$224,$C397,'TL12'!$J$10:$J$224),0),
IF('TL12'!$B$229=L$3,SUMIF('TL12'!$C$238:$C$451,$C397,'TL12'!$J$238:$J$451),0),
IF('TL13'!$B$3=L$3,SUMIF('TL13'!$C$10:$C$224,$C397,'TL13'!$J$10:$J$224),0),
IF('TL13'!$B$229=L$3,SUMIF('TL13'!$C$238:$C$451,$C397,'TL13'!$J$238:$J$451),0),
IF('TL14'!$B$3=L$3,SUMIF('TL14'!$C$10:$C$224,$C397,'TL14'!$J$10:$J$224),0),
IF('TL14'!$B$229=L$3,SUMIF('TL14'!$C$238:$C$451,$C397,'TL14'!$J$238:$J$451),0),
IF('TL15'!$B$3=L$3,SUMIF('TL15'!$C$10:$C$224,$C397,'TL15'!$J$10:$J$224),0),
IF('TL15'!$B$229=L$3,SUMIF('TL15'!$C$238:$C$451,$C397,'TL15'!$J$238:$J$451),0),
IF('TL16'!$B$3=L$3,SUMIF('TL16'!$C$10:$C$224,$C397,'TL16'!$J$10:$J$224),0),
IF('TL16'!$B$229=L$3,SUMIF('TL16'!$C$238:$C$451,$C397,'TL16'!$J$238:$J$451),0),
IF('TL17'!$B$3=L$3,SUMIF('TL17'!$C$10:$C$224,$C397,'TL17'!$J$10:$J$224),0),
IF('TL17'!$B$229=L$3,SUMIF('TL17'!$C$238:$C$451,$C397,'TL17'!$J$238:$J$451),0),
IF('TL18'!$B$3=L$3,SUMIF('TL18'!$C$10:$C$224,$C397,'TL18'!$J$10:$J$224),0),
IF('TL18'!$B$229=L$3,SUMIF('TL18'!$C$238:$C$451,$C397,'TL18'!$J$238:$J$451),0),
IF('TL19'!$B$3=L$3,SUMIF('TL19'!$C$10:$C$224,$C397,'TL19'!$J$10:$J$224),0),
IF('TL19'!$B$229=L$3,SUMIF('TL19'!$C$238:$C$451,$C397,'TL19'!$J$238:$J$451),0)
),0)</f>
        <v/>
      </c>
      <c r="M397" s="9">
        <f>IFERROR(SUM(
IF('TL01'!$B$3=M$3,SUMIF('TL01'!$C$10:$C$224,$C397,'TL01'!$J$10:$J$224),0),
IF('TL01'!$B$229=M$3,SUMIF('TL01'!$C$238:$C$451,$C397,'TL01'!$J$238:$J$451),0),
IF('TL02'!$B$3=M$3,SUMIF('TL02'!$C$10:$C$224,$C397,'TL02'!$J$10:$J$224),0),
IF('TL02'!$B$229=M$3,SUMIF('TL02'!$C$238:$C$451,$C397,'TL02'!$J$238:$J$451),0),
IF('TL03'!$B$3=M$3,SUMIF('TL03'!$C$10:$C$224,$C397,'TL03'!$J$10:$J$224),0),
IF('TL03'!$B$229=M$3,SUMIF('TL03'!$C$238:$C$451,$C397,'TL03'!$J$238:$J$451),0),
IF('TL04'!$B$3=M$3,SUMIF('TL04'!$C$10:$C$224,$C397,'TL04'!$J$10:$J$224),0),
IF('TL04'!$B$229=M$3,SUMIF('TL04'!$C$238:$C$451,$C397,'TL04'!$J$238:$J$451),0),
IF('TL05'!$B$3=M$3,SUMIF('TL05'!$C$10:$C$224,$C397,'TL05'!$J$10:$J$224),0),
IF('TL05'!$B$229=M$3,SUMIF('TL05'!$C$238:$C$451,$C397,'TL05'!$J$238:$J$451),0),
IF('TL06'!$B$3=M$3,SUMIF('TL06'!$C$10:$C$224,$C397,'TL06'!$J$10:$J$224),0),
IF('TL06'!$B$229=M$3,SUMIF('TL06'!$C$238:$C$451,$C397,'TL06'!$J$238:$J$451),0),
IF('TL07'!$B$3=M$3,SUMIF('TL07'!$C$10:$C$224,$C397,'TL07'!$J$10:$J$224),0),
IF('TL07'!$B$229=M$3,SUMIF('TL07'!$C$238:$C$451,$C397,'TL07'!$J$238:$J$451),0),
IF('TL08'!$B$3=M$3,SUMIF('TL08'!$C$10:$C$224,$C397,'TL08'!$J$10:$J$224),0),
IF('TL08'!$B$229=M$3,SUMIF('TL08'!$C$238:$C$451,$C397,'TL08'!$J$238:$J$451),0),
IF('TL09'!$B$3=M$3,SUMIF('TL09'!$C$10:$C$224,$C397,'TL09'!$J$10:$J$224),0),
IF('TL09'!$B$229=M$3,SUMIF('TL09'!$C$238:$C$451,$C397,'TL09'!$J$238:$J$451),0),
IF('TL10'!$B$3=M$3,SUMIF('TL10'!$C$10:$C$224,$C397,'TL10'!$J$10:$J$224),0),
IF('TL10'!$B$229=M$3,SUMIF('TL10'!$C$238:$C$451,$C397,'TL10'!$J$238:$J$451),0),
IF('TL11'!$B$3=M$3,SUMIF('TL11'!$C$10:$C$224,$C397,'TL11'!$J$10:$J$224),0),
IF('TL11'!$B$229=M$3,SUMIF('TL11'!$C$238:$C$451,$C397,'TL11'!$J$238:$J$451),0),
IF('TL12'!$B$3=M$3,SUMIF('TL12'!$C$10:$C$224,$C397,'TL12'!$J$10:$J$224),0),
IF('TL12'!$B$229=M$3,SUMIF('TL12'!$C$238:$C$451,$C397,'TL12'!$J$238:$J$451),0),
IF('TL13'!$B$3=M$3,SUMIF('TL13'!$C$10:$C$224,$C397,'TL13'!$J$10:$J$224),0),
IF('TL13'!$B$229=M$3,SUMIF('TL13'!$C$238:$C$451,$C397,'TL13'!$J$238:$J$451),0),
IF('TL14'!$B$3=M$3,SUMIF('TL14'!$C$10:$C$224,$C397,'TL14'!$J$10:$J$224),0),
IF('TL14'!$B$229=M$3,SUMIF('TL14'!$C$238:$C$451,$C397,'TL14'!$J$238:$J$451),0),
IF('TL15'!$B$3=M$3,SUMIF('TL15'!$C$10:$C$224,$C397,'TL15'!$J$10:$J$224),0),
IF('TL15'!$B$229=M$3,SUMIF('TL15'!$C$238:$C$451,$C397,'TL15'!$J$238:$J$451),0),
IF('TL16'!$B$3=M$3,SUMIF('TL16'!$C$10:$C$224,$C397,'TL16'!$J$10:$J$224),0),
IF('TL16'!$B$229=M$3,SUMIF('TL16'!$C$238:$C$451,$C397,'TL16'!$J$238:$J$451),0),
IF('TL17'!$B$3=M$3,SUMIF('TL17'!$C$10:$C$224,$C397,'TL17'!$J$10:$J$224),0),
IF('TL17'!$B$229=M$3,SUMIF('TL17'!$C$238:$C$451,$C397,'TL17'!$J$238:$J$451),0),
IF('TL18'!$B$3=M$3,SUMIF('TL18'!$C$10:$C$224,$C397,'TL18'!$J$10:$J$224),0),
IF('TL18'!$B$229=M$3,SUMIF('TL18'!$C$238:$C$451,$C397,'TL18'!$J$238:$J$451),0),
IF('TL19'!$B$3=M$3,SUMIF('TL19'!$C$10:$C$224,$C397,'TL19'!$J$10:$J$224),0),
IF('TL19'!$B$229=M$3,SUMIF('TL19'!$C$238:$C$451,$C397,'TL19'!$J$238:$J$451),0)
),0)</f>
        <v/>
      </c>
      <c r="N397" s="9">
        <f>IFERROR(SUM(
IF('TL01'!$B$3=N$3,SUMIF('TL01'!$C$10:$C$224,$C397,'TL01'!$J$10:$J$224),0),
IF('TL01'!$B$229=N$3,SUMIF('TL01'!$C$238:$C$451,$C397,'TL01'!$J$238:$J$451),0),
IF('TL02'!$B$3=N$3,SUMIF('TL02'!$C$10:$C$224,$C397,'TL02'!$J$10:$J$224),0),
IF('TL02'!$B$229=N$3,SUMIF('TL02'!$C$238:$C$451,$C397,'TL02'!$J$238:$J$451),0),
IF('TL03'!$B$3=N$3,SUMIF('TL03'!$C$10:$C$224,$C397,'TL03'!$J$10:$J$224),0),
IF('TL03'!$B$229=N$3,SUMIF('TL03'!$C$238:$C$451,$C397,'TL03'!$J$238:$J$451),0),
IF('TL04'!$B$3=N$3,SUMIF('TL04'!$C$10:$C$224,$C397,'TL04'!$J$10:$J$224),0),
IF('TL04'!$B$229=N$3,SUMIF('TL04'!$C$238:$C$451,$C397,'TL04'!$J$238:$J$451),0),
IF('TL05'!$B$3=N$3,SUMIF('TL05'!$C$10:$C$224,$C397,'TL05'!$J$10:$J$224),0),
IF('TL05'!$B$229=N$3,SUMIF('TL05'!$C$238:$C$451,$C397,'TL05'!$J$238:$J$451),0),
IF('TL06'!$B$3=N$3,SUMIF('TL06'!$C$10:$C$224,$C397,'TL06'!$J$10:$J$224),0),
IF('TL06'!$B$229=N$3,SUMIF('TL06'!$C$238:$C$451,$C397,'TL06'!$J$238:$J$451),0),
IF('TL07'!$B$3=N$3,SUMIF('TL07'!$C$10:$C$224,$C397,'TL07'!$J$10:$J$224),0),
IF('TL07'!$B$229=N$3,SUMIF('TL07'!$C$238:$C$451,$C397,'TL07'!$J$238:$J$451),0),
IF('TL08'!$B$3=N$3,SUMIF('TL08'!$C$10:$C$224,$C397,'TL08'!$J$10:$J$224),0),
IF('TL08'!$B$229=N$3,SUMIF('TL08'!$C$238:$C$451,$C397,'TL08'!$J$238:$J$451),0),
IF('TL09'!$B$3=N$3,SUMIF('TL09'!$C$10:$C$224,$C397,'TL09'!$J$10:$J$224),0),
IF('TL09'!$B$229=N$3,SUMIF('TL09'!$C$238:$C$451,$C397,'TL09'!$J$238:$J$451),0),
IF('TL10'!$B$3=N$3,SUMIF('TL10'!$C$10:$C$224,$C397,'TL10'!$J$10:$J$224),0),
IF('TL10'!$B$229=N$3,SUMIF('TL10'!$C$238:$C$451,$C397,'TL10'!$J$238:$J$451),0),
IF('TL11'!$B$3=N$3,SUMIF('TL11'!$C$10:$C$224,$C397,'TL11'!$J$10:$J$224),0),
IF('TL11'!$B$229=N$3,SUMIF('TL11'!$C$238:$C$451,$C397,'TL11'!$J$238:$J$451),0),
IF('TL12'!$B$3=N$3,SUMIF('TL12'!$C$10:$C$224,$C397,'TL12'!$J$10:$J$224),0),
IF('TL12'!$B$229=N$3,SUMIF('TL12'!$C$238:$C$451,$C397,'TL12'!$J$238:$J$451),0),
IF('TL13'!$B$3=N$3,SUMIF('TL13'!$C$10:$C$224,$C397,'TL13'!$J$10:$J$224),0),
IF('TL13'!$B$229=N$3,SUMIF('TL13'!$C$238:$C$451,$C397,'TL13'!$J$238:$J$451),0),
IF('TL14'!$B$3=N$3,SUMIF('TL14'!$C$10:$C$224,$C397,'TL14'!$J$10:$J$224),0),
IF('TL14'!$B$229=N$3,SUMIF('TL14'!$C$238:$C$451,$C397,'TL14'!$J$238:$J$451),0),
IF('TL15'!$B$3=N$3,SUMIF('TL15'!$C$10:$C$224,$C397,'TL15'!$J$10:$J$224),0),
IF('TL15'!$B$229=N$3,SUMIF('TL15'!$C$238:$C$451,$C397,'TL15'!$J$238:$J$451),0),
IF('TL16'!$B$3=N$3,SUMIF('TL16'!$C$10:$C$224,$C397,'TL16'!$J$10:$J$224),0),
IF('TL16'!$B$229=N$3,SUMIF('TL16'!$C$238:$C$451,$C397,'TL16'!$J$238:$J$451),0),
IF('TL17'!$B$3=N$3,SUMIF('TL17'!$C$10:$C$224,$C397,'TL17'!$J$10:$J$224),0),
IF('TL17'!$B$229=N$3,SUMIF('TL17'!$C$238:$C$451,$C397,'TL17'!$J$238:$J$451),0),
IF('TL18'!$B$3=N$3,SUMIF('TL18'!$C$10:$C$224,$C397,'TL18'!$J$10:$J$224),0),
IF('TL18'!$B$229=N$3,SUMIF('TL18'!$C$238:$C$451,$C397,'TL18'!$J$238:$J$451),0),
IF('TL19'!$B$3=N$3,SUMIF('TL19'!$C$10:$C$224,$C397,'TL19'!$J$10:$J$224),0),
IF('TL19'!$B$229=N$3,SUMIF('TL19'!$C$238:$C$451,$C397,'TL19'!$J$238:$J$451),0)
),0)</f>
        <v/>
      </c>
      <c r="O397" s="9">
        <f>IFERROR(SUM(
IF('TL01'!$B$3=O$3,SUMIF('TL01'!$C$10:$C$224,$C397,'TL01'!$J$10:$J$224),0),
IF('TL01'!$B$229=O$3,SUMIF('TL01'!$C$238:$C$451,$C397,'TL01'!$J$238:$J$451),0),
IF('TL02'!$B$3=O$3,SUMIF('TL02'!$C$10:$C$224,$C397,'TL02'!$J$10:$J$224),0),
IF('TL02'!$B$229=O$3,SUMIF('TL02'!$C$238:$C$451,$C397,'TL02'!$J$238:$J$451),0),
IF('TL03'!$B$3=O$3,SUMIF('TL03'!$C$10:$C$224,$C397,'TL03'!$J$10:$J$224),0),
IF('TL03'!$B$229=O$3,SUMIF('TL03'!$C$238:$C$451,$C397,'TL03'!$J$238:$J$451),0),
IF('TL04'!$B$3=O$3,SUMIF('TL04'!$C$10:$C$224,$C397,'TL04'!$J$10:$J$224),0),
IF('TL04'!$B$229=O$3,SUMIF('TL04'!$C$238:$C$451,$C397,'TL04'!$J$238:$J$451),0),
IF('TL05'!$B$3=O$3,SUMIF('TL05'!$C$10:$C$224,$C397,'TL05'!$J$10:$J$224),0),
IF('TL05'!$B$229=O$3,SUMIF('TL05'!$C$238:$C$451,$C397,'TL05'!$J$238:$J$451),0),
IF('TL06'!$B$3=O$3,SUMIF('TL06'!$C$10:$C$224,$C397,'TL06'!$J$10:$J$224),0),
IF('TL06'!$B$229=O$3,SUMIF('TL06'!$C$238:$C$451,$C397,'TL06'!$J$238:$J$451),0),
IF('TL07'!$B$3=O$3,SUMIF('TL07'!$C$10:$C$224,$C397,'TL07'!$J$10:$J$224),0),
IF('TL07'!$B$229=O$3,SUMIF('TL07'!$C$238:$C$451,$C397,'TL07'!$J$238:$J$451),0),
IF('TL08'!$B$3=O$3,SUMIF('TL08'!$C$10:$C$224,$C397,'TL08'!$J$10:$J$224),0),
IF('TL08'!$B$229=O$3,SUMIF('TL08'!$C$238:$C$451,$C397,'TL08'!$J$238:$J$451),0),
IF('TL09'!$B$3=O$3,SUMIF('TL09'!$C$10:$C$224,$C397,'TL09'!$J$10:$J$224),0),
IF('TL09'!$B$229=O$3,SUMIF('TL09'!$C$238:$C$451,$C397,'TL09'!$J$238:$J$451),0),
IF('TL10'!$B$3=O$3,SUMIF('TL10'!$C$10:$C$224,$C397,'TL10'!$J$10:$J$224),0),
IF('TL10'!$B$229=O$3,SUMIF('TL10'!$C$238:$C$451,$C397,'TL10'!$J$238:$J$451),0),
IF('TL11'!$B$3=O$3,SUMIF('TL11'!$C$10:$C$224,$C397,'TL11'!$J$10:$J$224),0),
IF('TL11'!$B$229=O$3,SUMIF('TL11'!$C$238:$C$451,$C397,'TL11'!$J$238:$J$451),0),
IF('TL12'!$B$3=O$3,SUMIF('TL12'!$C$10:$C$224,$C397,'TL12'!$J$10:$J$224),0),
IF('TL12'!$B$229=O$3,SUMIF('TL12'!$C$238:$C$451,$C397,'TL12'!$J$238:$J$451),0),
IF('TL13'!$B$3=O$3,SUMIF('TL13'!$C$10:$C$224,$C397,'TL13'!$J$10:$J$224),0),
IF('TL13'!$B$229=O$3,SUMIF('TL13'!$C$238:$C$451,$C397,'TL13'!$J$238:$J$451),0),
IF('TL14'!$B$3=O$3,SUMIF('TL14'!$C$10:$C$224,$C397,'TL14'!$J$10:$J$224),0),
IF('TL14'!$B$229=O$3,SUMIF('TL14'!$C$238:$C$451,$C397,'TL14'!$J$238:$J$451),0),
IF('TL15'!$B$3=O$3,SUMIF('TL15'!$C$10:$C$224,$C397,'TL15'!$J$10:$J$224),0),
IF('TL15'!$B$229=O$3,SUMIF('TL15'!$C$238:$C$451,$C397,'TL15'!$J$238:$J$451),0),
IF('TL16'!$B$3=O$3,SUMIF('TL16'!$C$10:$C$224,$C397,'TL16'!$J$10:$J$224),0),
IF('TL16'!$B$229=O$3,SUMIF('TL16'!$C$238:$C$451,$C397,'TL16'!$J$238:$J$451),0),
IF('TL17'!$B$3=O$3,SUMIF('TL17'!$C$10:$C$224,$C397,'TL17'!$J$10:$J$224),0),
IF('TL17'!$B$229=O$3,SUMIF('TL17'!$C$238:$C$451,$C397,'TL17'!$J$238:$J$451),0),
IF('TL18'!$B$3=O$3,SUMIF('TL18'!$C$10:$C$224,$C397,'TL18'!$J$10:$J$224),0),
IF('TL18'!$B$229=O$3,SUMIF('TL18'!$C$238:$C$451,$C397,'TL18'!$J$238:$J$451),0),
IF('TL19'!$B$3=O$3,SUMIF('TL19'!$C$10:$C$224,$C397,'TL19'!$J$10:$J$224),0),
IF('TL19'!$B$229=O$3,SUMIF('TL19'!$C$238:$C$451,$C397,'TL19'!$J$238:$J$451),0)
),0)</f>
        <v/>
      </c>
      <c r="P397" s="9">
        <f>IFERROR(SUM(
IF('TL01'!$B$3=P$3,SUMIF('TL01'!$C$10:$C$224,$C397,'TL01'!$J$10:$J$224),0),
IF('TL01'!$B$229=P$3,SUMIF('TL01'!$C$238:$C$451,$C397,'TL01'!$J$238:$J$451),0),
IF('TL02'!$B$3=P$3,SUMIF('TL02'!$C$10:$C$224,$C397,'TL02'!$J$10:$J$224),0),
IF('TL02'!$B$229=P$3,SUMIF('TL02'!$C$238:$C$451,$C397,'TL02'!$J$238:$J$451),0),
IF('TL03'!$B$3=P$3,SUMIF('TL03'!$C$10:$C$224,$C397,'TL03'!$J$10:$J$224),0),
IF('TL03'!$B$229=P$3,SUMIF('TL03'!$C$238:$C$451,$C397,'TL03'!$J$238:$J$451),0),
IF('TL04'!$B$3=P$3,SUMIF('TL04'!$C$10:$C$224,$C397,'TL04'!$J$10:$J$224),0),
IF('TL04'!$B$229=P$3,SUMIF('TL04'!$C$238:$C$451,$C397,'TL04'!$J$238:$J$451),0),
IF('TL05'!$B$3=P$3,SUMIF('TL05'!$C$10:$C$224,$C397,'TL05'!$J$10:$J$224),0),
IF('TL05'!$B$229=P$3,SUMIF('TL05'!$C$238:$C$451,$C397,'TL05'!$J$238:$J$451),0),
IF('TL06'!$B$3=P$3,SUMIF('TL06'!$C$10:$C$224,$C397,'TL06'!$J$10:$J$224),0),
IF('TL06'!$B$229=P$3,SUMIF('TL06'!$C$238:$C$451,$C397,'TL06'!$J$238:$J$451),0),
IF('TL07'!$B$3=P$3,SUMIF('TL07'!$C$10:$C$224,$C397,'TL07'!$J$10:$J$224),0),
IF('TL07'!$B$229=P$3,SUMIF('TL07'!$C$238:$C$451,$C397,'TL07'!$J$238:$J$451),0),
IF('TL08'!$B$3=P$3,SUMIF('TL08'!$C$10:$C$224,$C397,'TL08'!$J$10:$J$224),0),
IF('TL08'!$B$229=P$3,SUMIF('TL08'!$C$238:$C$451,$C397,'TL08'!$J$238:$J$451),0),
IF('TL09'!$B$3=P$3,SUMIF('TL09'!$C$10:$C$224,$C397,'TL09'!$J$10:$J$224),0),
IF('TL09'!$B$229=P$3,SUMIF('TL09'!$C$238:$C$451,$C397,'TL09'!$J$238:$J$451),0),
IF('TL10'!$B$3=P$3,SUMIF('TL10'!$C$10:$C$224,$C397,'TL10'!$J$10:$J$224),0),
IF('TL10'!$B$229=P$3,SUMIF('TL10'!$C$238:$C$451,$C397,'TL10'!$J$238:$J$451),0),
IF('TL11'!$B$3=P$3,SUMIF('TL11'!$C$10:$C$224,$C397,'TL11'!$J$10:$J$224),0),
IF('TL11'!$B$229=P$3,SUMIF('TL11'!$C$238:$C$451,$C397,'TL11'!$J$238:$J$451),0),
IF('TL12'!$B$3=P$3,SUMIF('TL12'!$C$10:$C$224,$C397,'TL12'!$J$10:$J$224),0),
IF('TL12'!$B$229=P$3,SUMIF('TL12'!$C$238:$C$451,$C397,'TL12'!$J$238:$J$451),0),
IF('TL13'!$B$3=P$3,SUMIF('TL13'!$C$10:$C$224,$C397,'TL13'!$J$10:$J$224),0),
IF('TL13'!$B$229=P$3,SUMIF('TL13'!$C$238:$C$451,$C397,'TL13'!$J$238:$J$451),0),
IF('TL14'!$B$3=P$3,SUMIF('TL14'!$C$10:$C$224,$C397,'TL14'!$J$10:$J$224),0),
IF('TL14'!$B$229=P$3,SUMIF('TL14'!$C$238:$C$451,$C397,'TL14'!$J$238:$J$451),0),
IF('TL15'!$B$3=P$3,SUMIF('TL15'!$C$10:$C$224,$C397,'TL15'!$J$10:$J$224),0),
IF('TL15'!$B$229=P$3,SUMIF('TL15'!$C$238:$C$451,$C397,'TL15'!$J$238:$J$451),0),
IF('TL16'!$B$3=P$3,SUMIF('TL16'!$C$10:$C$224,$C397,'TL16'!$J$10:$J$224),0),
IF('TL16'!$B$229=P$3,SUMIF('TL16'!$C$238:$C$451,$C397,'TL16'!$J$238:$J$451),0),
IF('TL17'!$B$3=P$3,SUMIF('TL17'!$C$10:$C$224,$C397,'TL17'!$J$10:$J$224),0),
IF('TL17'!$B$229=P$3,SUMIF('TL17'!$C$238:$C$451,$C397,'TL17'!$J$238:$J$451),0),
IF('TL18'!$B$3=P$3,SUMIF('TL18'!$C$10:$C$224,$C397,'TL18'!$J$10:$J$224),0),
IF('TL18'!$B$229=P$3,SUMIF('TL18'!$C$238:$C$451,$C397,'TL18'!$J$238:$J$451),0),
IF('TL19'!$B$3=P$3,SUMIF('TL19'!$C$10:$C$224,$C397,'TL19'!$J$10:$J$224),0),
IF('TL19'!$B$229=P$3,SUMIF('TL19'!$C$238:$C$451,$C397,'TL19'!$J$238:$J$451),0)
),0)</f>
        <v/>
      </c>
      <c r="Q397" s="9">
        <f>IFERROR(SUM(
IF('TL01'!$B$3=Q$3,SUMIF('TL01'!$C$10:$C$224,$C397,'TL01'!$J$10:$J$224),0),
IF('TL01'!$B$229=Q$3,SUMIF('TL01'!$C$238:$C$451,$C397,'TL01'!$J$238:$J$451),0),
IF('TL02'!$B$3=Q$3,SUMIF('TL02'!$C$10:$C$224,$C397,'TL02'!$J$10:$J$224),0),
IF('TL02'!$B$229=Q$3,SUMIF('TL02'!$C$238:$C$451,$C397,'TL02'!$J$238:$J$451),0),
IF('TL03'!$B$3=Q$3,SUMIF('TL03'!$C$10:$C$224,$C397,'TL03'!$J$10:$J$224),0),
IF('TL03'!$B$229=Q$3,SUMIF('TL03'!$C$238:$C$451,$C397,'TL03'!$J$238:$J$451),0),
IF('TL04'!$B$3=Q$3,SUMIF('TL04'!$C$10:$C$224,$C397,'TL04'!$J$10:$J$224),0),
IF('TL04'!$B$229=Q$3,SUMIF('TL04'!$C$238:$C$451,$C397,'TL04'!$J$238:$J$451),0),
IF('TL05'!$B$3=Q$3,SUMIF('TL05'!$C$10:$C$224,$C397,'TL05'!$J$10:$J$224),0),
IF('TL05'!$B$229=Q$3,SUMIF('TL05'!$C$238:$C$451,$C397,'TL05'!$J$238:$J$451),0),
IF('TL06'!$B$3=Q$3,SUMIF('TL06'!$C$10:$C$224,$C397,'TL06'!$J$10:$J$224),0),
IF('TL06'!$B$229=Q$3,SUMIF('TL06'!$C$238:$C$451,$C397,'TL06'!$J$238:$J$451),0),
IF('TL07'!$B$3=Q$3,SUMIF('TL07'!$C$10:$C$224,$C397,'TL07'!$J$10:$J$224),0),
IF('TL07'!$B$229=Q$3,SUMIF('TL07'!$C$238:$C$451,$C397,'TL07'!$J$238:$J$451),0),
IF('TL08'!$B$3=Q$3,SUMIF('TL08'!$C$10:$C$224,$C397,'TL08'!$J$10:$J$224),0),
IF('TL08'!$B$229=Q$3,SUMIF('TL08'!$C$238:$C$451,$C397,'TL08'!$J$238:$J$451),0),
IF('TL09'!$B$3=Q$3,SUMIF('TL09'!$C$10:$C$224,$C397,'TL09'!$J$10:$J$224),0),
IF('TL09'!$B$229=Q$3,SUMIF('TL09'!$C$238:$C$451,$C397,'TL09'!$J$238:$J$451),0),
IF('TL10'!$B$3=Q$3,SUMIF('TL10'!$C$10:$C$224,$C397,'TL10'!$J$10:$J$224),0),
IF('TL10'!$B$229=Q$3,SUMIF('TL10'!$C$238:$C$451,$C397,'TL10'!$J$238:$J$451),0),
IF('TL11'!$B$3=Q$3,SUMIF('TL11'!$C$10:$C$224,$C397,'TL11'!$J$10:$J$224),0),
IF('TL11'!$B$229=Q$3,SUMIF('TL11'!$C$238:$C$451,$C397,'TL11'!$J$238:$J$451),0),
IF('TL12'!$B$3=Q$3,SUMIF('TL12'!$C$10:$C$224,$C397,'TL12'!$J$10:$J$224),0),
IF('TL12'!$B$229=Q$3,SUMIF('TL12'!$C$238:$C$451,$C397,'TL12'!$J$238:$J$451),0),
IF('TL13'!$B$3=Q$3,SUMIF('TL13'!$C$10:$C$224,$C397,'TL13'!$J$10:$J$224),0),
IF('TL13'!$B$229=Q$3,SUMIF('TL13'!$C$238:$C$451,$C397,'TL13'!$J$238:$J$451),0),
IF('TL14'!$B$3=Q$3,SUMIF('TL14'!$C$10:$C$224,$C397,'TL14'!$J$10:$J$224),0),
IF('TL14'!$B$229=Q$3,SUMIF('TL14'!$C$238:$C$451,$C397,'TL14'!$J$238:$J$451),0),
IF('TL15'!$B$3=Q$3,SUMIF('TL15'!$C$10:$C$224,$C397,'TL15'!$J$10:$J$224),0),
IF('TL15'!$B$229=Q$3,SUMIF('TL15'!$C$238:$C$451,$C397,'TL15'!$J$238:$J$451),0),
IF('TL16'!$B$3=Q$3,SUMIF('TL16'!$C$10:$C$224,$C397,'TL16'!$J$10:$J$224),0),
IF('TL16'!$B$229=Q$3,SUMIF('TL16'!$C$238:$C$451,$C397,'TL16'!$J$238:$J$451),0),
IF('TL17'!$B$3=Q$3,SUMIF('TL17'!$C$10:$C$224,$C397,'TL17'!$J$10:$J$224),0),
IF('TL17'!$B$229=Q$3,SUMIF('TL17'!$C$238:$C$451,$C397,'TL17'!$J$238:$J$451),0),
IF('TL18'!$B$3=Q$3,SUMIF('TL18'!$C$10:$C$224,$C397,'TL18'!$J$10:$J$224),0),
IF('TL18'!$B$229=Q$3,SUMIF('TL18'!$C$238:$C$451,$C397,'TL18'!$J$238:$J$451),0),
IF('TL19'!$B$3=Q$3,SUMIF('TL19'!$C$10:$C$224,$C397,'TL19'!$J$10:$J$224),0),
IF('TL19'!$B$229=Q$3,SUMIF('TL19'!$C$238:$C$451,$C397,'TL19'!$J$238:$J$451),0)
),0)</f>
        <v/>
      </c>
      <c r="R397" s="9">
        <f>IFERROR(
SUM(
SUMIF('TL01'!C:C,C397,'TL01'!J:J),
SUMIF('TL02'!C:C,C397,'TL02'!J:J),
SUMIF('TL03'!C:C,C397,'TL03'!J:J),
SUMIF('TL04'!C:C,C397,'TL04'!J:J),
SUMIF('TL05'!C:C,C397,'TL05'!J:J),
SUMIF('TL06'!C:C,C397,'TL06'!J:J),
SUMIF('TL07'!C:C,C397,'TL07'!J:J),
SUMIF('TL08'!C:C,C397,'TL08'!J:J),
SUMIF('TL09'!C:C,C397,'TL09'!J:J),
SUMIF('TL10'!C:C,C397,'TL10'!J:J),
SUMIF('TL11'!C:C,C397,'TL11'!J:J),
SUMIF('TL12'!C:C,C397,'TL12'!J:J),
SUMIF('TL13'!C:C,C397,'TL13'!J:J),
SUMIF('TL14'!C:C,C397,'TL14'!J:J),
SUMIF('TL15'!C:C,C397,'TL15'!J:J),
SUMIF('TL16'!C:C,C397,'TL16'!J:J),
SUMIF('TL17'!C:C,C397,'TL17'!J:J),
SUMIF('TL18'!C:C,C397,'TL18'!J:J),SUMIF('TL19'!C:C,C397,'TL19'!J:J))
,0)</f>
        <v/>
      </c>
      <c r="S397" s="17">
        <f>IFERROR(__xludf.DUMMYFUNCTION("IFERROR(VLOOKUP(C397,
IMPORTRANGE(""1wULbzX32WdYsx-lj2U3uUNBBe2INVIRDtcK0d-Dvl90"",
""26-27!C:G""),
5,
FALSE),
"""")"),"")</f>
        <v/>
      </c>
      <c r="T397" s="9" t="n"/>
      <c r="U397" s="92">
        <f>MAX(0,R397-T397)</f>
        <v/>
      </c>
      <c r="V397" s="93">
        <f>U397*S397</f>
        <v/>
      </c>
    </row>
    <row r="398" hidden="1" ht="15.75" customHeight="1" s="297">
      <c r="A398" s="134" t="n"/>
      <c r="B398" s="135" t="inlineStr">
        <is>
          <t>MÁQUINAS</t>
        </is>
      </c>
      <c r="C398" s="136">
        <f>'CUSTO OPERAÇÃO'!D2</f>
        <v/>
      </c>
      <c r="D398" s="136" t="n"/>
      <c r="E398" s="137" t="n"/>
      <c r="F398" s="138" t="inlineStr">
        <is>
          <t>R$/Ha</t>
        </is>
      </c>
      <c r="G398" s="139" t="n"/>
      <c r="H398" s="140">
        <f>'CUSTO OPERAÇÃO'!J2</f>
        <v/>
      </c>
      <c r="I398" s="141" t="n"/>
      <c r="J398" s="136">
        <f>IFERROR(SUM(
IF('TL01'!$B$3=J$3,SUMIF('TL01'!$C$10:$C$224,$C398,'TL01'!$J$10:$J$224),0),
IF('TL01'!$B$229=J$3,SUMIF('TL01'!$C$238:$C$451,$C398,'TL01'!$J$238:$J$451),0),
IF('TL02'!$B$3=J$3,SUMIF('TL02'!$C$10:$C$224,$C398,'TL02'!$J$10:$J$224),0),
IF('TL02'!$B$229=J$3,SUMIF('TL02'!$C$238:$C$451,$C398,'TL02'!$J$238:$J$451),0),
IF('TL03'!$B$3=J$3,SUMIF('TL03'!$C$10:$C$224,$C398,'TL03'!$J$10:$J$224),0),
IF('TL03'!$B$229=J$3,SUMIF('TL03'!$C$238:$C$451,$C398,'TL03'!$J$238:$J$451),0),
IF('TL04'!$B$3=J$3,SUMIF('TL04'!$C$10:$C$224,$C398,'TL04'!$J$10:$J$224),0),
IF('TL04'!$B$229=J$3,SUMIF('TL04'!$C$238:$C$451,$C398,'TL04'!$J$238:$J$451),0),
IF('TL05'!$B$3=J$3,SUMIF('TL05'!$C$10:$C$224,$C398,'TL05'!$J$10:$J$224),0),
IF('TL05'!$B$229=J$3,SUMIF('TL05'!$C$238:$C$451,$C398,'TL05'!$J$238:$J$451),0),
IF('TL06'!$B$3=J$3,SUMIF('TL06'!$C$10:$C$224,$C398,'TL06'!$J$10:$J$224),0),
IF('TL06'!$B$229=J$3,SUMIF('TL06'!$C$238:$C$451,$C398,'TL06'!$J$238:$J$451),0),
IF('TL07'!$B$3=J$3,SUMIF('TL07'!$C$10:$C$224,$C398,'TL07'!$J$10:$J$224),0),
IF('TL07'!$B$229=J$3,SUMIF('TL07'!$C$238:$C$451,$C398,'TL07'!$J$238:$J$451),0),
IF('TL08'!$B$3=J$3,SUMIF('TL08'!$C$10:$C$224,$C398,'TL08'!$J$10:$J$224),0),
IF('TL08'!$B$229=J$3,SUMIF('TL08'!$C$238:$C$451,$C398,'TL08'!$J$238:$J$451),0),
IF('TL09'!$B$3=J$3,SUMIF('TL09'!$C$10:$C$224,$C398,'TL09'!$J$10:$J$224),0),
IF('TL09'!$B$229=J$3,SUMIF('TL09'!$C$238:$C$451,$C398,'TL09'!$J$238:$J$451),0),
IF('TL10'!$B$3=J$3,SUMIF('TL10'!$C$10:$C$224,$C398,'TL10'!$J$10:$J$224),0),
IF('TL10'!$B$229=J$3,SUMIF('TL10'!$C$238:$C$451,$C398,'TL10'!$J$238:$J$451),0),
IF('TL11'!$B$3=J$3,SUMIF('TL11'!$C$10:$C$224,$C398,'TL11'!$J$10:$J$224),0),
IF('TL11'!$B$229=J$3,SUMIF('TL11'!$C$238:$C$451,$C398,'TL11'!$J$238:$J$451),0),
IF('TL12'!$B$3=J$3,SUMIF('TL12'!$C$10:$C$224,$C398,'TL12'!$J$10:$J$224),0),
IF('TL12'!$B$229=J$3,SUMIF('TL12'!$C$238:$C$451,$C398,'TL12'!$J$238:$J$451),0),
IF('TL13'!$B$3=J$3,SUMIF('TL13'!$C$10:$C$224,$C398,'TL13'!$J$10:$J$224),0),
IF('TL13'!$B$229=J$3,SUMIF('TL13'!$C$238:$C$451,$C398,'TL13'!$J$238:$J$451),0),
IF('TL14'!$B$3=J$3,SUMIF('TL14'!$C$10:$C$224,$C398,'TL14'!$J$10:$J$224),0),
IF('TL14'!$B$229=J$3,SUMIF('TL14'!$C$238:$C$451,$C398,'TL14'!$J$238:$J$451),0),
IF('TL15'!$B$3=J$3,SUMIF('TL15'!$C$10:$C$224,$C398,'TL15'!$J$10:$J$224),0),
IF('TL15'!$B$229=J$3,SUMIF('TL15'!$C$238:$C$451,$C398,'TL15'!$J$238:$J$451),0),
IF('TL16'!$B$3=J$3,SUMIF('TL16'!$C$10:$C$224,$C398,'TL16'!$J$10:$J$224),0),
IF('TL16'!$B$229=J$3,SUMIF('TL16'!$C$238:$C$451,$C398,'TL16'!$J$238:$J$451),0),
IF('TL17'!$B$3=J$3,SUMIF('TL17'!$C$10:$C$224,$C398,'TL17'!$J$10:$J$224),0),
IF('TL17'!$B$229=J$3,SUMIF('TL17'!$C$238:$C$451,$C398,'TL17'!$J$238:$J$451),0),
IF('TL18'!$B$3=J$3,SUMIF('TL18'!$C$10:$C$224,$C398,'TL18'!$J$10:$J$224),0),
IF('TL18'!$B$229=J$3,SUMIF('TL18'!$C$238:$C$451,$C398,'TL18'!$J$238:$J$451),0),
IF('TL19'!$B$3=J$3,SUMIF('TL19'!$C$10:$C$224,$C398,'TL19'!$J$10:$J$224),0),
IF('TL19'!$B$229=J$3,SUMIF('TL19'!$C$238:$C$451,$C398,'TL19'!$J$238:$J$451),0)
),0)</f>
        <v/>
      </c>
      <c r="K398" s="136">
        <f>IFERROR(SUM(
IF('TL01'!$B$3=K$3,SUMIF('TL01'!$C$10:$C$224,$C398,'TL01'!$J$10:$J$224),0),
IF('TL01'!$B$229=K$3,SUMIF('TL01'!$C$238:$C$451,$C398,'TL01'!$J$238:$J$451),0),
IF('TL02'!$B$3=K$3,SUMIF('TL02'!$C$10:$C$224,$C398,'TL02'!$J$10:$J$224),0),
IF('TL02'!$B$229=K$3,SUMIF('TL02'!$C$238:$C$451,$C398,'TL02'!$J$238:$J$451),0),
IF('TL03'!$B$3=K$3,SUMIF('TL03'!$C$10:$C$224,$C398,'TL03'!$J$10:$J$224),0),
IF('TL03'!$B$229=K$3,SUMIF('TL03'!$C$238:$C$451,$C398,'TL03'!$J$238:$J$451),0),
IF('TL04'!$B$3=K$3,SUMIF('TL04'!$C$10:$C$224,$C398,'TL04'!$J$10:$J$224),0),
IF('TL04'!$B$229=K$3,SUMIF('TL04'!$C$238:$C$451,$C398,'TL04'!$J$238:$J$451),0),
IF('TL05'!$B$3=K$3,SUMIF('TL05'!$C$10:$C$224,$C398,'TL05'!$J$10:$J$224),0),
IF('TL05'!$B$229=K$3,SUMIF('TL05'!$C$238:$C$451,$C398,'TL05'!$J$238:$J$451),0),
IF('TL06'!$B$3=K$3,SUMIF('TL06'!$C$10:$C$224,$C398,'TL06'!$J$10:$J$224),0),
IF('TL06'!$B$229=K$3,SUMIF('TL06'!$C$238:$C$451,$C398,'TL06'!$J$238:$J$451),0),
IF('TL07'!$B$3=K$3,SUMIF('TL07'!$C$10:$C$224,$C398,'TL07'!$J$10:$J$224),0),
IF('TL07'!$B$229=K$3,SUMIF('TL07'!$C$238:$C$451,$C398,'TL07'!$J$238:$J$451),0),
IF('TL08'!$B$3=K$3,SUMIF('TL08'!$C$10:$C$224,$C398,'TL08'!$J$10:$J$224),0),
IF('TL08'!$B$229=K$3,SUMIF('TL08'!$C$238:$C$451,$C398,'TL08'!$J$238:$J$451),0),
IF('TL09'!$B$3=K$3,SUMIF('TL09'!$C$10:$C$224,$C398,'TL09'!$J$10:$J$224),0),
IF('TL09'!$B$229=K$3,SUMIF('TL09'!$C$238:$C$451,$C398,'TL09'!$J$238:$J$451),0),
IF('TL10'!$B$3=K$3,SUMIF('TL10'!$C$10:$C$224,$C398,'TL10'!$J$10:$J$224),0),
IF('TL10'!$B$229=K$3,SUMIF('TL10'!$C$238:$C$451,$C398,'TL10'!$J$238:$J$451),0),
IF('TL11'!$B$3=K$3,SUMIF('TL11'!$C$10:$C$224,$C398,'TL11'!$J$10:$J$224),0),
IF('TL11'!$B$229=K$3,SUMIF('TL11'!$C$238:$C$451,$C398,'TL11'!$J$238:$J$451),0),
IF('TL12'!$B$3=K$3,SUMIF('TL12'!$C$10:$C$224,$C398,'TL12'!$J$10:$J$224),0),
IF('TL12'!$B$229=K$3,SUMIF('TL12'!$C$238:$C$451,$C398,'TL12'!$J$238:$J$451),0),
IF('TL13'!$B$3=K$3,SUMIF('TL13'!$C$10:$C$224,$C398,'TL13'!$J$10:$J$224),0),
IF('TL13'!$B$229=K$3,SUMIF('TL13'!$C$238:$C$451,$C398,'TL13'!$J$238:$J$451),0),
IF('TL14'!$B$3=K$3,SUMIF('TL14'!$C$10:$C$224,$C398,'TL14'!$J$10:$J$224),0),
IF('TL14'!$B$229=K$3,SUMIF('TL14'!$C$238:$C$451,$C398,'TL14'!$J$238:$J$451),0),
IF('TL15'!$B$3=K$3,SUMIF('TL15'!$C$10:$C$224,$C398,'TL15'!$J$10:$J$224),0),
IF('TL15'!$B$229=K$3,SUMIF('TL15'!$C$238:$C$451,$C398,'TL15'!$J$238:$J$451),0),
IF('TL16'!$B$3=K$3,SUMIF('TL16'!$C$10:$C$224,$C398,'TL16'!$J$10:$J$224),0),
IF('TL16'!$B$229=K$3,SUMIF('TL16'!$C$238:$C$451,$C398,'TL16'!$J$238:$J$451),0),
IF('TL17'!$B$3=K$3,SUMIF('TL17'!$C$10:$C$224,$C398,'TL17'!$J$10:$J$224),0),
IF('TL17'!$B$229=K$3,SUMIF('TL17'!$C$238:$C$451,$C398,'TL17'!$J$238:$J$451),0),
IF('TL18'!$B$3=K$3,SUMIF('TL18'!$C$10:$C$224,$C398,'TL18'!$J$10:$J$224),0),
IF('TL18'!$B$229=K$3,SUMIF('TL18'!$C$238:$C$451,$C398,'TL18'!$J$238:$J$451),0),
IF('TL19'!$B$3=K$3,SUMIF('TL19'!$C$10:$C$224,$C398,'TL19'!$J$10:$J$224),0),
IF('TL19'!$B$229=K$3,SUMIF('TL19'!$C$238:$C$451,$C398,'TL19'!$J$238:$J$451),0)
),0)</f>
        <v/>
      </c>
      <c r="L398" s="136">
        <f>IFERROR(SUM(
IF('TL01'!$B$3=L$3,SUMIF('TL01'!$C$10:$C$224,$C398,'TL01'!$J$10:$J$224),0),
IF('TL01'!$B$229=L$3,SUMIF('TL01'!$C$238:$C$451,$C398,'TL01'!$J$238:$J$451),0),
IF('TL02'!$B$3=L$3,SUMIF('TL02'!$C$10:$C$224,$C398,'TL02'!$J$10:$J$224),0),
IF('TL02'!$B$229=L$3,SUMIF('TL02'!$C$238:$C$451,$C398,'TL02'!$J$238:$J$451),0),
IF('TL03'!$B$3=L$3,SUMIF('TL03'!$C$10:$C$224,$C398,'TL03'!$J$10:$J$224),0),
IF('TL03'!$B$229=L$3,SUMIF('TL03'!$C$238:$C$451,$C398,'TL03'!$J$238:$J$451),0),
IF('TL04'!$B$3=L$3,SUMIF('TL04'!$C$10:$C$224,$C398,'TL04'!$J$10:$J$224),0),
IF('TL04'!$B$229=L$3,SUMIF('TL04'!$C$238:$C$451,$C398,'TL04'!$J$238:$J$451),0),
IF('TL05'!$B$3=L$3,SUMIF('TL05'!$C$10:$C$224,$C398,'TL05'!$J$10:$J$224),0),
IF('TL05'!$B$229=L$3,SUMIF('TL05'!$C$238:$C$451,$C398,'TL05'!$J$238:$J$451),0),
IF('TL06'!$B$3=L$3,SUMIF('TL06'!$C$10:$C$224,$C398,'TL06'!$J$10:$J$224),0),
IF('TL06'!$B$229=L$3,SUMIF('TL06'!$C$238:$C$451,$C398,'TL06'!$J$238:$J$451),0),
IF('TL07'!$B$3=L$3,SUMIF('TL07'!$C$10:$C$224,$C398,'TL07'!$J$10:$J$224),0),
IF('TL07'!$B$229=L$3,SUMIF('TL07'!$C$238:$C$451,$C398,'TL07'!$J$238:$J$451),0),
IF('TL08'!$B$3=L$3,SUMIF('TL08'!$C$10:$C$224,$C398,'TL08'!$J$10:$J$224),0),
IF('TL08'!$B$229=L$3,SUMIF('TL08'!$C$238:$C$451,$C398,'TL08'!$J$238:$J$451),0),
IF('TL09'!$B$3=L$3,SUMIF('TL09'!$C$10:$C$224,$C398,'TL09'!$J$10:$J$224),0),
IF('TL09'!$B$229=L$3,SUMIF('TL09'!$C$238:$C$451,$C398,'TL09'!$J$238:$J$451),0),
IF('TL10'!$B$3=L$3,SUMIF('TL10'!$C$10:$C$224,$C398,'TL10'!$J$10:$J$224),0),
IF('TL10'!$B$229=L$3,SUMIF('TL10'!$C$238:$C$451,$C398,'TL10'!$J$238:$J$451),0),
IF('TL11'!$B$3=L$3,SUMIF('TL11'!$C$10:$C$224,$C398,'TL11'!$J$10:$J$224),0),
IF('TL11'!$B$229=L$3,SUMIF('TL11'!$C$238:$C$451,$C398,'TL11'!$J$238:$J$451),0),
IF('TL12'!$B$3=L$3,SUMIF('TL12'!$C$10:$C$224,$C398,'TL12'!$J$10:$J$224),0),
IF('TL12'!$B$229=L$3,SUMIF('TL12'!$C$238:$C$451,$C398,'TL12'!$J$238:$J$451),0),
IF('TL13'!$B$3=L$3,SUMIF('TL13'!$C$10:$C$224,$C398,'TL13'!$J$10:$J$224),0),
IF('TL13'!$B$229=L$3,SUMIF('TL13'!$C$238:$C$451,$C398,'TL13'!$J$238:$J$451),0),
IF('TL14'!$B$3=L$3,SUMIF('TL14'!$C$10:$C$224,$C398,'TL14'!$J$10:$J$224),0),
IF('TL14'!$B$229=L$3,SUMIF('TL14'!$C$238:$C$451,$C398,'TL14'!$J$238:$J$451),0),
IF('TL15'!$B$3=L$3,SUMIF('TL15'!$C$10:$C$224,$C398,'TL15'!$J$10:$J$224),0),
IF('TL15'!$B$229=L$3,SUMIF('TL15'!$C$238:$C$451,$C398,'TL15'!$J$238:$J$451),0),
IF('TL16'!$B$3=L$3,SUMIF('TL16'!$C$10:$C$224,$C398,'TL16'!$J$10:$J$224),0),
IF('TL16'!$B$229=L$3,SUMIF('TL16'!$C$238:$C$451,$C398,'TL16'!$J$238:$J$451),0),
IF('TL17'!$B$3=L$3,SUMIF('TL17'!$C$10:$C$224,$C398,'TL17'!$J$10:$J$224),0),
IF('TL17'!$B$229=L$3,SUMIF('TL17'!$C$238:$C$451,$C398,'TL17'!$J$238:$J$451),0),
IF('TL18'!$B$3=L$3,SUMIF('TL18'!$C$10:$C$224,$C398,'TL18'!$J$10:$J$224),0),
IF('TL18'!$B$229=L$3,SUMIF('TL18'!$C$238:$C$451,$C398,'TL18'!$J$238:$J$451),0),
IF('TL19'!$B$3=L$3,SUMIF('TL19'!$C$10:$C$224,$C398,'TL19'!$J$10:$J$224),0),
IF('TL19'!$B$229=L$3,SUMIF('TL19'!$C$238:$C$451,$C398,'TL19'!$J$238:$J$451),0)
),0)</f>
        <v/>
      </c>
      <c r="M398" s="136">
        <f>IFERROR(SUM(
IF('TL01'!$B$3=M$3,SUMIF('TL01'!$C$10:$C$224,$C398,'TL01'!$J$10:$J$224),0),
IF('TL01'!$B$229=M$3,SUMIF('TL01'!$C$238:$C$451,$C398,'TL01'!$J$238:$J$451),0),
IF('TL02'!$B$3=M$3,SUMIF('TL02'!$C$10:$C$224,$C398,'TL02'!$J$10:$J$224),0),
IF('TL02'!$B$229=M$3,SUMIF('TL02'!$C$238:$C$451,$C398,'TL02'!$J$238:$J$451),0),
IF('TL03'!$B$3=M$3,SUMIF('TL03'!$C$10:$C$224,$C398,'TL03'!$J$10:$J$224),0),
IF('TL03'!$B$229=M$3,SUMIF('TL03'!$C$238:$C$451,$C398,'TL03'!$J$238:$J$451),0),
IF('TL04'!$B$3=M$3,SUMIF('TL04'!$C$10:$C$224,$C398,'TL04'!$J$10:$J$224),0),
IF('TL04'!$B$229=M$3,SUMIF('TL04'!$C$238:$C$451,$C398,'TL04'!$J$238:$J$451),0),
IF('TL05'!$B$3=M$3,SUMIF('TL05'!$C$10:$C$224,$C398,'TL05'!$J$10:$J$224),0),
IF('TL05'!$B$229=M$3,SUMIF('TL05'!$C$238:$C$451,$C398,'TL05'!$J$238:$J$451),0),
IF('TL06'!$B$3=M$3,SUMIF('TL06'!$C$10:$C$224,$C398,'TL06'!$J$10:$J$224),0),
IF('TL06'!$B$229=M$3,SUMIF('TL06'!$C$238:$C$451,$C398,'TL06'!$J$238:$J$451),0),
IF('TL07'!$B$3=M$3,SUMIF('TL07'!$C$10:$C$224,$C398,'TL07'!$J$10:$J$224),0),
IF('TL07'!$B$229=M$3,SUMIF('TL07'!$C$238:$C$451,$C398,'TL07'!$J$238:$J$451),0),
IF('TL08'!$B$3=M$3,SUMIF('TL08'!$C$10:$C$224,$C398,'TL08'!$J$10:$J$224),0),
IF('TL08'!$B$229=M$3,SUMIF('TL08'!$C$238:$C$451,$C398,'TL08'!$J$238:$J$451),0),
IF('TL09'!$B$3=M$3,SUMIF('TL09'!$C$10:$C$224,$C398,'TL09'!$J$10:$J$224),0),
IF('TL09'!$B$229=M$3,SUMIF('TL09'!$C$238:$C$451,$C398,'TL09'!$J$238:$J$451),0),
IF('TL10'!$B$3=M$3,SUMIF('TL10'!$C$10:$C$224,$C398,'TL10'!$J$10:$J$224),0),
IF('TL10'!$B$229=M$3,SUMIF('TL10'!$C$238:$C$451,$C398,'TL10'!$J$238:$J$451),0),
IF('TL11'!$B$3=M$3,SUMIF('TL11'!$C$10:$C$224,$C398,'TL11'!$J$10:$J$224),0),
IF('TL11'!$B$229=M$3,SUMIF('TL11'!$C$238:$C$451,$C398,'TL11'!$J$238:$J$451),0),
IF('TL12'!$B$3=M$3,SUMIF('TL12'!$C$10:$C$224,$C398,'TL12'!$J$10:$J$224),0),
IF('TL12'!$B$229=M$3,SUMIF('TL12'!$C$238:$C$451,$C398,'TL12'!$J$238:$J$451),0),
IF('TL13'!$B$3=M$3,SUMIF('TL13'!$C$10:$C$224,$C398,'TL13'!$J$10:$J$224),0),
IF('TL13'!$B$229=M$3,SUMIF('TL13'!$C$238:$C$451,$C398,'TL13'!$J$238:$J$451),0),
IF('TL14'!$B$3=M$3,SUMIF('TL14'!$C$10:$C$224,$C398,'TL14'!$J$10:$J$224),0),
IF('TL14'!$B$229=M$3,SUMIF('TL14'!$C$238:$C$451,$C398,'TL14'!$J$238:$J$451),0),
IF('TL15'!$B$3=M$3,SUMIF('TL15'!$C$10:$C$224,$C398,'TL15'!$J$10:$J$224),0),
IF('TL15'!$B$229=M$3,SUMIF('TL15'!$C$238:$C$451,$C398,'TL15'!$J$238:$J$451),0),
IF('TL16'!$B$3=M$3,SUMIF('TL16'!$C$10:$C$224,$C398,'TL16'!$J$10:$J$224),0),
IF('TL16'!$B$229=M$3,SUMIF('TL16'!$C$238:$C$451,$C398,'TL16'!$J$238:$J$451),0),
IF('TL17'!$B$3=M$3,SUMIF('TL17'!$C$10:$C$224,$C398,'TL17'!$J$10:$J$224),0),
IF('TL17'!$B$229=M$3,SUMIF('TL17'!$C$238:$C$451,$C398,'TL17'!$J$238:$J$451),0),
IF('TL18'!$B$3=M$3,SUMIF('TL18'!$C$10:$C$224,$C398,'TL18'!$J$10:$J$224),0),
IF('TL18'!$B$229=M$3,SUMIF('TL18'!$C$238:$C$451,$C398,'TL18'!$J$238:$J$451),0),
IF('TL19'!$B$3=M$3,SUMIF('TL19'!$C$10:$C$224,$C398,'TL19'!$J$10:$J$224),0),
IF('TL19'!$B$229=M$3,SUMIF('TL19'!$C$238:$C$451,$C398,'TL19'!$J$238:$J$451),0)
),0)</f>
        <v/>
      </c>
      <c r="N398" s="136">
        <f>IFERROR(SUM(
IF('TL01'!$B$3=N$3,SUMIF('TL01'!$C$10:$C$224,$C398,'TL01'!$J$10:$J$224),0),
IF('TL01'!$B$229=N$3,SUMIF('TL01'!$C$238:$C$451,$C398,'TL01'!$J$238:$J$451),0),
IF('TL02'!$B$3=N$3,SUMIF('TL02'!$C$10:$C$224,$C398,'TL02'!$J$10:$J$224),0),
IF('TL02'!$B$229=N$3,SUMIF('TL02'!$C$238:$C$451,$C398,'TL02'!$J$238:$J$451),0),
IF('TL03'!$B$3=N$3,SUMIF('TL03'!$C$10:$C$224,$C398,'TL03'!$J$10:$J$224),0),
IF('TL03'!$B$229=N$3,SUMIF('TL03'!$C$238:$C$451,$C398,'TL03'!$J$238:$J$451),0),
IF('TL04'!$B$3=N$3,SUMIF('TL04'!$C$10:$C$224,$C398,'TL04'!$J$10:$J$224),0),
IF('TL04'!$B$229=N$3,SUMIF('TL04'!$C$238:$C$451,$C398,'TL04'!$J$238:$J$451),0),
IF('TL05'!$B$3=N$3,SUMIF('TL05'!$C$10:$C$224,$C398,'TL05'!$J$10:$J$224),0),
IF('TL05'!$B$229=N$3,SUMIF('TL05'!$C$238:$C$451,$C398,'TL05'!$J$238:$J$451),0),
IF('TL06'!$B$3=N$3,SUMIF('TL06'!$C$10:$C$224,$C398,'TL06'!$J$10:$J$224),0),
IF('TL06'!$B$229=N$3,SUMIF('TL06'!$C$238:$C$451,$C398,'TL06'!$J$238:$J$451),0),
IF('TL07'!$B$3=N$3,SUMIF('TL07'!$C$10:$C$224,$C398,'TL07'!$J$10:$J$224),0),
IF('TL07'!$B$229=N$3,SUMIF('TL07'!$C$238:$C$451,$C398,'TL07'!$J$238:$J$451),0),
IF('TL08'!$B$3=N$3,SUMIF('TL08'!$C$10:$C$224,$C398,'TL08'!$J$10:$J$224),0),
IF('TL08'!$B$229=N$3,SUMIF('TL08'!$C$238:$C$451,$C398,'TL08'!$J$238:$J$451),0),
IF('TL09'!$B$3=N$3,SUMIF('TL09'!$C$10:$C$224,$C398,'TL09'!$J$10:$J$224),0),
IF('TL09'!$B$229=N$3,SUMIF('TL09'!$C$238:$C$451,$C398,'TL09'!$J$238:$J$451),0),
IF('TL10'!$B$3=N$3,SUMIF('TL10'!$C$10:$C$224,$C398,'TL10'!$J$10:$J$224),0),
IF('TL10'!$B$229=N$3,SUMIF('TL10'!$C$238:$C$451,$C398,'TL10'!$J$238:$J$451),0),
IF('TL11'!$B$3=N$3,SUMIF('TL11'!$C$10:$C$224,$C398,'TL11'!$J$10:$J$224),0),
IF('TL11'!$B$229=N$3,SUMIF('TL11'!$C$238:$C$451,$C398,'TL11'!$J$238:$J$451),0),
IF('TL12'!$B$3=N$3,SUMIF('TL12'!$C$10:$C$224,$C398,'TL12'!$J$10:$J$224),0),
IF('TL12'!$B$229=N$3,SUMIF('TL12'!$C$238:$C$451,$C398,'TL12'!$J$238:$J$451),0),
IF('TL13'!$B$3=N$3,SUMIF('TL13'!$C$10:$C$224,$C398,'TL13'!$J$10:$J$224),0),
IF('TL13'!$B$229=N$3,SUMIF('TL13'!$C$238:$C$451,$C398,'TL13'!$J$238:$J$451),0),
IF('TL14'!$B$3=N$3,SUMIF('TL14'!$C$10:$C$224,$C398,'TL14'!$J$10:$J$224),0),
IF('TL14'!$B$229=N$3,SUMIF('TL14'!$C$238:$C$451,$C398,'TL14'!$J$238:$J$451),0),
IF('TL15'!$B$3=N$3,SUMIF('TL15'!$C$10:$C$224,$C398,'TL15'!$J$10:$J$224),0),
IF('TL15'!$B$229=N$3,SUMIF('TL15'!$C$238:$C$451,$C398,'TL15'!$J$238:$J$451),0),
IF('TL16'!$B$3=N$3,SUMIF('TL16'!$C$10:$C$224,$C398,'TL16'!$J$10:$J$224),0),
IF('TL16'!$B$229=N$3,SUMIF('TL16'!$C$238:$C$451,$C398,'TL16'!$J$238:$J$451),0),
IF('TL17'!$B$3=N$3,SUMIF('TL17'!$C$10:$C$224,$C398,'TL17'!$J$10:$J$224),0),
IF('TL17'!$B$229=N$3,SUMIF('TL17'!$C$238:$C$451,$C398,'TL17'!$J$238:$J$451),0),
IF('TL18'!$B$3=N$3,SUMIF('TL18'!$C$10:$C$224,$C398,'TL18'!$J$10:$J$224),0),
IF('TL18'!$B$229=N$3,SUMIF('TL18'!$C$238:$C$451,$C398,'TL18'!$J$238:$J$451),0),
IF('TL19'!$B$3=N$3,SUMIF('TL19'!$C$10:$C$224,$C398,'TL19'!$J$10:$J$224),0),
IF('TL19'!$B$229=N$3,SUMIF('TL19'!$C$238:$C$451,$C398,'TL19'!$J$238:$J$451),0)
),0)</f>
        <v/>
      </c>
      <c r="O398" s="136">
        <f>IFERROR(SUM(
IF('TL01'!$B$3=O$3,SUMIF('TL01'!$C$10:$C$224,$C398,'TL01'!$J$10:$J$224),0),
IF('TL01'!$B$229=O$3,SUMIF('TL01'!$C$238:$C$451,$C398,'TL01'!$J$238:$J$451),0),
IF('TL02'!$B$3=O$3,SUMIF('TL02'!$C$10:$C$224,$C398,'TL02'!$J$10:$J$224),0),
IF('TL02'!$B$229=O$3,SUMIF('TL02'!$C$238:$C$451,$C398,'TL02'!$J$238:$J$451),0),
IF('TL03'!$B$3=O$3,SUMIF('TL03'!$C$10:$C$224,$C398,'TL03'!$J$10:$J$224),0),
IF('TL03'!$B$229=O$3,SUMIF('TL03'!$C$238:$C$451,$C398,'TL03'!$J$238:$J$451),0),
IF('TL04'!$B$3=O$3,SUMIF('TL04'!$C$10:$C$224,$C398,'TL04'!$J$10:$J$224),0),
IF('TL04'!$B$229=O$3,SUMIF('TL04'!$C$238:$C$451,$C398,'TL04'!$J$238:$J$451),0),
IF('TL05'!$B$3=O$3,SUMIF('TL05'!$C$10:$C$224,$C398,'TL05'!$J$10:$J$224),0),
IF('TL05'!$B$229=O$3,SUMIF('TL05'!$C$238:$C$451,$C398,'TL05'!$J$238:$J$451),0),
IF('TL06'!$B$3=O$3,SUMIF('TL06'!$C$10:$C$224,$C398,'TL06'!$J$10:$J$224),0),
IF('TL06'!$B$229=O$3,SUMIF('TL06'!$C$238:$C$451,$C398,'TL06'!$J$238:$J$451),0),
IF('TL07'!$B$3=O$3,SUMIF('TL07'!$C$10:$C$224,$C398,'TL07'!$J$10:$J$224),0),
IF('TL07'!$B$229=O$3,SUMIF('TL07'!$C$238:$C$451,$C398,'TL07'!$J$238:$J$451),0),
IF('TL08'!$B$3=O$3,SUMIF('TL08'!$C$10:$C$224,$C398,'TL08'!$J$10:$J$224),0),
IF('TL08'!$B$229=O$3,SUMIF('TL08'!$C$238:$C$451,$C398,'TL08'!$J$238:$J$451),0),
IF('TL09'!$B$3=O$3,SUMIF('TL09'!$C$10:$C$224,$C398,'TL09'!$J$10:$J$224),0),
IF('TL09'!$B$229=O$3,SUMIF('TL09'!$C$238:$C$451,$C398,'TL09'!$J$238:$J$451),0),
IF('TL10'!$B$3=O$3,SUMIF('TL10'!$C$10:$C$224,$C398,'TL10'!$J$10:$J$224),0),
IF('TL10'!$B$229=O$3,SUMIF('TL10'!$C$238:$C$451,$C398,'TL10'!$J$238:$J$451),0),
IF('TL11'!$B$3=O$3,SUMIF('TL11'!$C$10:$C$224,$C398,'TL11'!$J$10:$J$224),0),
IF('TL11'!$B$229=O$3,SUMIF('TL11'!$C$238:$C$451,$C398,'TL11'!$J$238:$J$451),0),
IF('TL12'!$B$3=O$3,SUMIF('TL12'!$C$10:$C$224,$C398,'TL12'!$J$10:$J$224),0),
IF('TL12'!$B$229=O$3,SUMIF('TL12'!$C$238:$C$451,$C398,'TL12'!$J$238:$J$451),0),
IF('TL13'!$B$3=O$3,SUMIF('TL13'!$C$10:$C$224,$C398,'TL13'!$J$10:$J$224),0),
IF('TL13'!$B$229=O$3,SUMIF('TL13'!$C$238:$C$451,$C398,'TL13'!$J$238:$J$451),0),
IF('TL14'!$B$3=O$3,SUMIF('TL14'!$C$10:$C$224,$C398,'TL14'!$J$10:$J$224),0),
IF('TL14'!$B$229=O$3,SUMIF('TL14'!$C$238:$C$451,$C398,'TL14'!$J$238:$J$451),0),
IF('TL15'!$B$3=O$3,SUMIF('TL15'!$C$10:$C$224,$C398,'TL15'!$J$10:$J$224),0),
IF('TL15'!$B$229=O$3,SUMIF('TL15'!$C$238:$C$451,$C398,'TL15'!$J$238:$J$451),0),
IF('TL16'!$B$3=O$3,SUMIF('TL16'!$C$10:$C$224,$C398,'TL16'!$J$10:$J$224),0),
IF('TL16'!$B$229=O$3,SUMIF('TL16'!$C$238:$C$451,$C398,'TL16'!$J$238:$J$451),0),
IF('TL17'!$B$3=O$3,SUMIF('TL17'!$C$10:$C$224,$C398,'TL17'!$J$10:$J$224),0),
IF('TL17'!$B$229=O$3,SUMIF('TL17'!$C$238:$C$451,$C398,'TL17'!$J$238:$J$451),0),
IF('TL18'!$B$3=O$3,SUMIF('TL18'!$C$10:$C$224,$C398,'TL18'!$J$10:$J$224),0),
IF('TL18'!$B$229=O$3,SUMIF('TL18'!$C$238:$C$451,$C398,'TL18'!$J$238:$J$451),0),
IF('TL19'!$B$3=O$3,SUMIF('TL19'!$C$10:$C$224,$C398,'TL19'!$J$10:$J$224),0),
IF('TL19'!$B$229=O$3,SUMIF('TL19'!$C$238:$C$451,$C398,'TL19'!$J$238:$J$451),0)
),0)</f>
        <v/>
      </c>
      <c r="P398" s="136">
        <f>IFERROR(SUM(
IF('TL01'!$B$3=P$3,SUMIF('TL01'!$C$10:$C$224,$C398,'TL01'!$J$10:$J$224),0),
IF('TL01'!$B$229=P$3,SUMIF('TL01'!$C$238:$C$451,$C398,'TL01'!$J$238:$J$451),0),
IF('TL02'!$B$3=P$3,SUMIF('TL02'!$C$10:$C$224,$C398,'TL02'!$J$10:$J$224),0),
IF('TL02'!$B$229=P$3,SUMIF('TL02'!$C$238:$C$451,$C398,'TL02'!$J$238:$J$451),0),
IF('TL03'!$B$3=P$3,SUMIF('TL03'!$C$10:$C$224,$C398,'TL03'!$J$10:$J$224),0),
IF('TL03'!$B$229=P$3,SUMIF('TL03'!$C$238:$C$451,$C398,'TL03'!$J$238:$J$451),0),
IF('TL04'!$B$3=P$3,SUMIF('TL04'!$C$10:$C$224,$C398,'TL04'!$J$10:$J$224),0),
IF('TL04'!$B$229=P$3,SUMIF('TL04'!$C$238:$C$451,$C398,'TL04'!$J$238:$J$451),0),
IF('TL05'!$B$3=P$3,SUMIF('TL05'!$C$10:$C$224,$C398,'TL05'!$J$10:$J$224),0),
IF('TL05'!$B$229=P$3,SUMIF('TL05'!$C$238:$C$451,$C398,'TL05'!$J$238:$J$451),0),
IF('TL06'!$B$3=P$3,SUMIF('TL06'!$C$10:$C$224,$C398,'TL06'!$J$10:$J$224),0),
IF('TL06'!$B$229=P$3,SUMIF('TL06'!$C$238:$C$451,$C398,'TL06'!$J$238:$J$451),0),
IF('TL07'!$B$3=P$3,SUMIF('TL07'!$C$10:$C$224,$C398,'TL07'!$J$10:$J$224),0),
IF('TL07'!$B$229=P$3,SUMIF('TL07'!$C$238:$C$451,$C398,'TL07'!$J$238:$J$451),0),
IF('TL08'!$B$3=P$3,SUMIF('TL08'!$C$10:$C$224,$C398,'TL08'!$J$10:$J$224),0),
IF('TL08'!$B$229=P$3,SUMIF('TL08'!$C$238:$C$451,$C398,'TL08'!$J$238:$J$451),0),
IF('TL09'!$B$3=P$3,SUMIF('TL09'!$C$10:$C$224,$C398,'TL09'!$J$10:$J$224),0),
IF('TL09'!$B$229=P$3,SUMIF('TL09'!$C$238:$C$451,$C398,'TL09'!$J$238:$J$451),0),
IF('TL10'!$B$3=P$3,SUMIF('TL10'!$C$10:$C$224,$C398,'TL10'!$J$10:$J$224),0),
IF('TL10'!$B$229=P$3,SUMIF('TL10'!$C$238:$C$451,$C398,'TL10'!$J$238:$J$451),0),
IF('TL11'!$B$3=P$3,SUMIF('TL11'!$C$10:$C$224,$C398,'TL11'!$J$10:$J$224),0),
IF('TL11'!$B$229=P$3,SUMIF('TL11'!$C$238:$C$451,$C398,'TL11'!$J$238:$J$451),0),
IF('TL12'!$B$3=P$3,SUMIF('TL12'!$C$10:$C$224,$C398,'TL12'!$J$10:$J$224),0),
IF('TL12'!$B$229=P$3,SUMIF('TL12'!$C$238:$C$451,$C398,'TL12'!$J$238:$J$451),0),
IF('TL13'!$B$3=P$3,SUMIF('TL13'!$C$10:$C$224,$C398,'TL13'!$J$10:$J$224),0),
IF('TL13'!$B$229=P$3,SUMIF('TL13'!$C$238:$C$451,$C398,'TL13'!$J$238:$J$451),0),
IF('TL14'!$B$3=P$3,SUMIF('TL14'!$C$10:$C$224,$C398,'TL14'!$J$10:$J$224),0),
IF('TL14'!$B$229=P$3,SUMIF('TL14'!$C$238:$C$451,$C398,'TL14'!$J$238:$J$451),0),
IF('TL15'!$B$3=P$3,SUMIF('TL15'!$C$10:$C$224,$C398,'TL15'!$J$10:$J$224),0),
IF('TL15'!$B$229=P$3,SUMIF('TL15'!$C$238:$C$451,$C398,'TL15'!$J$238:$J$451),0),
IF('TL16'!$B$3=P$3,SUMIF('TL16'!$C$10:$C$224,$C398,'TL16'!$J$10:$J$224),0),
IF('TL16'!$B$229=P$3,SUMIF('TL16'!$C$238:$C$451,$C398,'TL16'!$J$238:$J$451),0),
IF('TL17'!$B$3=P$3,SUMIF('TL17'!$C$10:$C$224,$C398,'TL17'!$J$10:$J$224),0),
IF('TL17'!$B$229=P$3,SUMIF('TL17'!$C$238:$C$451,$C398,'TL17'!$J$238:$J$451),0),
IF('TL18'!$B$3=P$3,SUMIF('TL18'!$C$10:$C$224,$C398,'TL18'!$J$10:$J$224),0),
IF('TL18'!$B$229=P$3,SUMIF('TL18'!$C$238:$C$451,$C398,'TL18'!$J$238:$J$451),0),
IF('TL19'!$B$3=P$3,SUMIF('TL19'!$C$10:$C$224,$C398,'TL19'!$J$10:$J$224),0),
IF('TL19'!$B$229=P$3,SUMIF('TL19'!$C$238:$C$451,$C398,'TL19'!$J$238:$J$451),0)
),0)</f>
        <v/>
      </c>
      <c r="Q398" s="136">
        <f>IFERROR(SUM(
IF('TL01'!$B$3=Q$3,SUMIF('TL01'!$C$10:$C$224,$C398,'TL01'!$J$10:$J$224),0),
IF('TL01'!$B$229=Q$3,SUMIF('TL01'!$C$238:$C$451,$C398,'TL01'!$J$238:$J$451),0),
IF('TL02'!$B$3=Q$3,SUMIF('TL02'!$C$10:$C$224,$C398,'TL02'!$J$10:$J$224),0),
IF('TL02'!$B$229=Q$3,SUMIF('TL02'!$C$238:$C$451,$C398,'TL02'!$J$238:$J$451),0),
IF('TL03'!$B$3=Q$3,SUMIF('TL03'!$C$10:$C$224,$C398,'TL03'!$J$10:$J$224),0),
IF('TL03'!$B$229=Q$3,SUMIF('TL03'!$C$238:$C$451,$C398,'TL03'!$J$238:$J$451),0),
IF('TL04'!$B$3=Q$3,SUMIF('TL04'!$C$10:$C$224,$C398,'TL04'!$J$10:$J$224),0),
IF('TL04'!$B$229=Q$3,SUMIF('TL04'!$C$238:$C$451,$C398,'TL04'!$J$238:$J$451),0),
IF('TL05'!$B$3=Q$3,SUMIF('TL05'!$C$10:$C$224,$C398,'TL05'!$J$10:$J$224),0),
IF('TL05'!$B$229=Q$3,SUMIF('TL05'!$C$238:$C$451,$C398,'TL05'!$J$238:$J$451),0),
IF('TL06'!$B$3=Q$3,SUMIF('TL06'!$C$10:$C$224,$C398,'TL06'!$J$10:$J$224),0),
IF('TL06'!$B$229=Q$3,SUMIF('TL06'!$C$238:$C$451,$C398,'TL06'!$J$238:$J$451),0),
IF('TL07'!$B$3=Q$3,SUMIF('TL07'!$C$10:$C$224,$C398,'TL07'!$J$10:$J$224),0),
IF('TL07'!$B$229=Q$3,SUMIF('TL07'!$C$238:$C$451,$C398,'TL07'!$J$238:$J$451),0),
IF('TL08'!$B$3=Q$3,SUMIF('TL08'!$C$10:$C$224,$C398,'TL08'!$J$10:$J$224),0),
IF('TL08'!$B$229=Q$3,SUMIF('TL08'!$C$238:$C$451,$C398,'TL08'!$J$238:$J$451),0),
IF('TL09'!$B$3=Q$3,SUMIF('TL09'!$C$10:$C$224,$C398,'TL09'!$J$10:$J$224),0),
IF('TL09'!$B$229=Q$3,SUMIF('TL09'!$C$238:$C$451,$C398,'TL09'!$J$238:$J$451),0),
IF('TL10'!$B$3=Q$3,SUMIF('TL10'!$C$10:$C$224,$C398,'TL10'!$J$10:$J$224),0),
IF('TL10'!$B$229=Q$3,SUMIF('TL10'!$C$238:$C$451,$C398,'TL10'!$J$238:$J$451),0),
IF('TL11'!$B$3=Q$3,SUMIF('TL11'!$C$10:$C$224,$C398,'TL11'!$J$10:$J$224),0),
IF('TL11'!$B$229=Q$3,SUMIF('TL11'!$C$238:$C$451,$C398,'TL11'!$J$238:$J$451),0),
IF('TL12'!$B$3=Q$3,SUMIF('TL12'!$C$10:$C$224,$C398,'TL12'!$J$10:$J$224),0),
IF('TL12'!$B$229=Q$3,SUMIF('TL12'!$C$238:$C$451,$C398,'TL12'!$J$238:$J$451),0),
IF('TL13'!$B$3=Q$3,SUMIF('TL13'!$C$10:$C$224,$C398,'TL13'!$J$10:$J$224),0),
IF('TL13'!$B$229=Q$3,SUMIF('TL13'!$C$238:$C$451,$C398,'TL13'!$J$238:$J$451),0),
IF('TL14'!$B$3=Q$3,SUMIF('TL14'!$C$10:$C$224,$C398,'TL14'!$J$10:$J$224),0),
IF('TL14'!$B$229=Q$3,SUMIF('TL14'!$C$238:$C$451,$C398,'TL14'!$J$238:$J$451),0),
IF('TL15'!$B$3=Q$3,SUMIF('TL15'!$C$10:$C$224,$C398,'TL15'!$J$10:$J$224),0),
IF('TL15'!$B$229=Q$3,SUMIF('TL15'!$C$238:$C$451,$C398,'TL15'!$J$238:$J$451),0),
IF('TL16'!$B$3=Q$3,SUMIF('TL16'!$C$10:$C$224,$C398,'TL16'!$J$10:$J$224),0),
IF('TL16'!$B$229=Q$3,SUMIF('TL16'!$C$238:$C$451,$C398,'TL16'!$J$238:$J$451),0),
IF('TL17'!$B$3=Q$3,SUMIF('TL17'!$C$10:$C$224,$C398,'TL17'!$J$10:$J$224),0),
IF('TL17'!$B$229=Q$3,SUMIF('TL17'!$C$238:$C$451,$C398,'TL17'!$J$238:$J$451),0),
IF('TL18'!$B$3=Q$3,SUMIF('TL18'!$C$10:$C$224,$C398,'TL18'!$J$10:$J$224),0),
IF('TL18'!$B$229=Q$3,SUMIF('TL18'!$C$238:$C$451,$C398,'TL18'!$J$238:$J$451),0),
IF('TL19'!$B$3=Q$3,SUMIF('TL19'!$C$10:$C$224,$C398,'TL19'!$J$10:$J$224),0),
IF('TL19'!$B$229=Q$3,SUMIF('TL19'!$C$238:$C$451,$C398,'TL19'!$J$238:$J$451),0)
),0)</f>
        <v/>
      </c>
      <c r="R398" s="139">
        <f>IFERROR(
SUM(
SUMIF('TL01'!C:C,C398,'TL01'!J:J),
SUMIF('TL02'!C:C,C398,'TL02'!I:I),
SUMIF('TL03'!C:C,C398,'TL03'!I:I),
SUMIF('TL04'!C:C,C398,'TL04'!I:I),
SUMIF('TL05'!C:C,C398,'TL05'!I:I),
SUMIF('TL06'!C:C,C398,'TL06'!I:I),
SUMIF('TL07'!C:C,C398,'TL07'!I:I),
SUMIF('TL08'!C:C,C398,'TL08'!I:I),
SUMIF('TL09'!C:C,C398,'TL09'!I:I),
SUMIF('TL10'!C:C,C398,'TL10'!I:I),
SUMIF('TL11'!C:C,C398,'TL11'!I:I),
SUMIF('TL12'!C:C,C398,'TL12'!I:I),
SUMIF('TL13'!C:C,C398,'TL13'!I:I),
SUMIF('TL14'!C:C,C398,'TL14'!I:I),
SUMIF('TL15'!C:C,C398,'TL15'!I:I),
SUMIF('TL16'!C:C,C398,'TL16'!I:I),
SUMIF('TL17'!C:C,C398,'TL17'!I:I),
SUMIF('TL18'!C:C,C398,'TL18'!I:I))
,0)</f>
        <v/>
      </c>
      <c r="S398" s="142">
        <f>'CUSTO OPERAÇÃO'!M2</f>
        <v/>
      </c>
      <c r="T398" s="139" t="n"/>
      <c r="U398" s="143">
        <f>MAX(0,R398-T398)</f>
        <v/>
      </c>
      <c r="V398" s="144">
        <f>U398*S398</f>
        <v/>
      </c>
    </row>
    <row r="399" hidden="1" ht="15.75" customHeight="1" s="297">
      <c r="A399" s="145" t="n"/>
      <c r="B399" s="146" t="inlineStr">
        <is>
          <t>MÁQUINAS</t>
        </is>
      </c>
      <c r="C399" s="147">
        <f>'CUSTO OPERAÇÃO'!D3</f>
        <v/>
      </c>
      <c r="D399" s="147" t="n"/>
      <c r="E399" s="148" t="n"/>
      <c r="F399" s="138" t="inlineStr">
        <is>
          <t>R$/Ha</t>
        </is>
      </c>
      <c r="G399" s="139" t="n"/>
      <c r="H399" s="140">
        <f>'CUSTO OPERAÇÃO'!J3</f>
        <v/>
      </c>
      <c r="I399" s="149" t="n"/>
      <c r="J399" s="147">
        <f>IFERROR(SUM(
IF('TL01'!$B$3=J$3,SUMIF('TL01'!$C$10:$C$224,$C399,'TL01'!$J$10:$J$224),0),
IF('TL01'!$B$229=J$3,SUMIF('TL01'!$C$238:$C$451,$C399,'TL01'!$J$238:$J$451),0),
IF('TL02'!$B$3=J$3,SUMIF('TL02'!$C$10:$C$224,$C399,'TL02'!$J$10:$J$224),0),
IF('TL02'!$B$229=J$3,SUMIF('TL02'!$C$238:$C$451,$C399,'TL02'!$J$238:$J$451),0),
IF('TL03'!$B$3=J$3,SUMIF('TL03'!$C$10:$C$224,$C399,'TL03'!$J$10:$J$224),0),
IF('TL03'!$B$229=J$3,SUMIF('TL03'!$C$238:$C$451,$C399,'TL03'!$J$238:$J$451),0),
IF('TL04'!$B$3=J$3,SUMIF('TL04'!$C$10:$C$224,$C399,'TL04'!$J$10:$J$224),0),
IF('TL04'!$B$229=J$3,SUMIF('TL04'!$C$238:$C$451,$C399,'TL04'!$J$238:$J$451),0),
IF('TL05'!$B$3=J$3,SUMIF('TL05'!$C$10:$C$224,$C399,'TL05'!$J$10:$J$224),0),
IF('TL05'!$B$229=J$3,SUMIF('TL05'!$C$238:$C$451,$C399,'TL05'!$J$238:$J$451),0),
IF('TL06'!$B$3=J$3,SUMIF('TL06'!$C$10:$C$224,$C399,'TL06'!$J$10:$J$224),0),
IF('TL06'!$B$229=J$3,SUMIF('TL06'!$C$238:$C$451,$C399,'TL06'!$J$238:$J$451),0),
IF('TL07'!$B$3=J$3,SUMIF('TL07'!$C$10:$C$224,$C399,'TL07'!$J$10:$J$224),0),
IF('TL07'!$B$229=J$3,SUMIF('TL07'!$C$238:$C$451,$C399,'TL07'!$J$238:$J$451),0),
IF('TL08'!$B$3=J$3,SUMIF('TL08'!$C$10:$C$224,$C399,'TL08'!$J$10:$J$224),0),
IF('TL08'!$B$229=J$3,SUMIF('TL08'!$C$238:$C$451,$C399,'TL08'!$J$238:$J$451),0),
IF('TL09'!$B$3=J$3,SUMIF('TL09'!$C$10:$C$224,$C399,'TL09'!$J$10:$J$224),0),
IF('TL09'!$B$229=J$3,SUMIF('TL09'!$C$238:$C$451,$C399,'TL09'!$J$238:$J$451),0),
IF('TL10'!$B$3=J$3,SUMIF('TL10'!$C$10:$C$224,$C399,'TL10'!$J$10:$J$224),0),
IF('TL10'!$B$229=J$3,SUMIF('TL10'!$C$238:$C$451,$C399,'TL10'!$J$238:$J$451),0),
IF('TL11'!$B$3=J$3,SUMIF('TL11'!$C$10:$C$224,$C399,'TL11'!$J$10:$J$224),0),
IF('TL11'!$B$229=J$3,SUMIF('TL11'!$C$238:$C$451,$C399,'TL11'!$J$238:$J$451),0),
IF('TL12'!$B$3=J$3,SUMIF('TL12'!$C$10:$C$224,$C399,'TL12'!$J$10:$J$224),0),
IF('TL12'!$B$229=J$3,SUMIF('TL12'!$C$238:$C$451,$C399,'TL12'!$J$238:$J$451),0),
IF('TL13'!$B$3=J$3,SUMIF('TL13'!$C$10:$C$224,$C399,'TL13'!$J$10:$J$224),0),
IF('TL13'!$B$229=J$3,SUMIF('TL13'!$C$238:$C$451,$C399,'TL13'!$J$238:$J$451),0),
IF('TL14'!$B$3=J$3,SUMIF('TL14'!$C$10:$C$224,$C399,'TL14'!$J$10:$J$224),0),
IF('TL14'!$B$229=J$3,SUMIF('TL14'!$C$238:$C$451,$C399,'TL14'!$J$238:$J$451),0),
IF('TL15'!$B$3=J$3,SUMIF('TL15'!$C$10:$C$224,$C399,'TL15'!$J$10:$J$224),0),
IF('TL15'!$B$229=J$3,SUMIF('TL15'!$C$238:$C$451,$C399,'TL15'!$J$238:$J$451),0),
IF('TL16'!$B$3=J$3,SUMIF('TL16'!$C$10:$C$224,$C399,'TL16'!$J$10:$J$224),0),
IF('TL16'!$B$229=J$3,SUMIF('TL16'!$C$238:$C$451,$C399,'TL16'!$J$238:$J$451),0),
IF('TL17'!$B$3=J$3,SUMIF('TL17'!$C$10:$C$224,$C399,'TL17'!$J$10:$J$224),0),
IF('TL17'!$B$229=J$3,SUMIF('TL17'!$C$238:$C$451,$C399,'TL17'!$J$238:$J$451),0),
IF('TL18'!$B$3=J$3,SUMIF('TL18'!$C$10:$C$224,$C399,'TL18'!$J$10:$J$224),0),
IF('TL18'!$B$229=J$3,SUMIF('TL18'!$C$238:$C$451,$C399,'TL18'!$J$238:$J$451),0),
IF('TL19'!$B$3=J$3,SUMIF('TL19'!$C$10:$C$224,$C399,'TL19'!$J$10:$J$224),0),
IF('TL19'!$B$229=J$3,SUMIF('TL19'!$C$238:$C$451,$C399,'TL19'!$J$238:$J$451),0)
),0)</f>
        <v/>
      </c>
      <c r="K399" s="147">
        <f>IFERROR(SUM(
IF('TL01'!$B$3=K$3,SUMIF('TL01'!$C$10:$C$224,$C399,'TL01'!$J$10:$J$224),0),
IF('TL01'!$B$229=K$3,SUMIF('TL01'!$C$238:$C$451,$C399,'TL01'!$J$238:$J$451),0),
IF('TL02'!$B$3=K$3,SUMIF('TL02'!$C$10:$C$224,$C399,'TL02'!$J$10:$J$224),0),
IF('TL02'!$B$229=K$3,SUMIF('TL02'!$C$238:$C$451,$C399,'TL02'!$J$238:$J$451),0),
IF('TL03'!$B$3=K$3,SUMIF('TL03'!$C$10:$C$224,$C399,'TL03'!$J$10:$J$224),0),
IF('TL03'!$B$229=K$3,SUMIF('TL03'!$C$238:$C$451,$C399,'TL03'!$J$238:$J$451),0),
IF('TL04'!$B$3=K$3,SUMIF('TL04'!$C$10:$C$224,$C399,'TL04'!$J$10:$J$224),0),
IF('TL04'!$B$229=K$3,SUMIF('TL04'!$C$238:$C$451,$C399,'TL04'!$J$238:$J$451),0),
IF('TL05'!$B$3=K$3,SUMIF('TL05'!$C$10:$C$224,$C399,'TL05'!$J$10:$J$224),0),
IF('TL05'!$B$229=K$3,SUMIF('TL05'!$C$238:$C$451,$C399,'TL05'!$J$238:$J$451),0),
IF('TL06'!$B$3=K$3,SUMIF('TL06'!$C$10:$C$224,$C399,'TL06'!$J$10:$J$224),0),
IF('TL06'!$B$229=K$3,SUMIF('TL06'!$C$238:$C$451,$C399,'TL06'!$J$238:$J$451),0),
IF('TL07'!$B$3=K$3,SUMIF('TL07'!$C$10:$C$224,$C399,'TL07'!$J$10:$J$224),0),
IF('TL07'!$B$229=K$3,SUMIF('TL07'!$C$238:$C$451,$C399,'TL07'!$J$238:$J$451),0),
IF('TL08'!$B$3=K$3,SUMIF('TL08'!$C$10:$C$224,$C399,'TL08'!$J$10:$J$224),0),
IF('TL08'!$B$229=K$3,SUMIF('TL08'!$C$238:$C$451,$C399,'TL08'!$J$238:$J$451),0),
IF('TL09'!$B$3=K$3,SUMIF('TL09'!$C$10:$C$224,$C399,'TL09'!$J$10:$J$224),0),
IF('TL09'!$B$229=K$3,SUMIF('TL09'!$C$238:$C$451,$C399,'TL09'!$J$238:$J$451),0),
IF('TL10'!$B$3=K$3,SUMIF('TL10'!$C$10:$C$224,$C399,'TL10'!$J$10:$J$224),0),
IF('TL10'!$B$229=K$3,SUMIF('TL10'!$C$238:$C$451,$C399,'TL10'!$J$238:$J$451),0),
IF('TL11'!$B$3=K$3,SUMIF('TL11'!$C$10:$C$224,$C399,'TL11'!$J$10:$J$224),0),
IF('TL11'!$B$229=K$3,SUMIF('TL11'!$C$238:$C$451,$C399,'TL11'!$J$238:$J$451),0),
IF('TL12'!$B$3=K$3,SUMIF('TL12'!$C$10:$C$224,$C399,'TL12'!$J$10:$J$224),0),
IF('TL12'!$B$229=K$3,SUMIF('TL12'!$C$238:$C$451,$C399,'TL12'!$J$238:$J$451),0),
IF('TL13'!$B$3=K$3,SUMIF('TL13'!$C$10:$C$224,$C399,'TL13'!$J$10:$J$224),0),
IF('TL13'!$B$229=K$3,SUMIF('TL13'!$C$238:$C$451,$C399,'TL13'!$J$238:$J$451),0),
IF('TL14'!$B$3=K$3,SUMIF('TL14'!$C$10:$C$224,$C399,'TL14'!$J$10:$J$224),0),
IF('TL14'!$B$229=K$3,SUMIF('TL14'!$C$238:$C$451,$C399,'TL14'!$J$238:$J$451),0),
IF('TL15'!$B$3=K$3,SUMIF('TL15'!$C$10:$C$224,$C399,'TL15'!$J$10:$J$224),0),
IF('TL15'!$B$229=K$3,SUMIF('TL15'!$C$238:$C$451,$C399,'TL15'!$J$238:$J$451),0),
IF('TL16'!$B$3=K$3,SUMIF('TL16'!$C$10:$C$224,$C399,'TL16'!$J$10:$J$224),0),
IF('TL16'!$B$229=K$3,SUMIF('TL16'!$C$238:$C$451,$C399,'TL16'!$J$238:$J$451),0),
IF('TL17'!$B$3=K$3,SUMIF('TL17'!$C$10:$C$224,$C399,'TL17'!$J$10:$J$224),0),
IF('TL17'!$B$229=K$3,SUMIF('TL17'!$C$238:$C$451,$C399,'TL17'!$J$238:$J$451),0),
IF('TL18'!$B$3=K$3,SUMIF('TL18'!$C$10:$C$224,$C399,'TL18'!$J$10:$J$224),0),
IF('TL18'!$B$229=K$3,SUMIF('TL18'!$C$238:$C$451,$C399,'TL18'!$J$238:$J$451),0),
IF('TL19'!$B$3=K$3,SUMIF('TL19'!$C$10:$C$224,$C399,'TL19'!$J$10:$J$224),0),
IF('TL19'!$B$229=K$3,SUMIF('TL19'!$C$238:$C$451,$C399,'TL19'!$J$238:$J$451),0)
),0)</f>
        <v/>
      </c>
      <c r="L399" s="147">
        <f>IFERROR(SUM(
IF('TL01'!$B$3=L$3,SUMIF('TL01'!$C$10:$C$224,$C399,'TL01'!$J$10:$J$224),0),
IF('TL01'!$B$229=L$3,SUMIF('TL01'!$C$238:$C$451,$C399,'TL01'!$J$238:$J$451),0),
IF('TL02'!$B$3=L$3,SUMIF('TL02'!$C$10:$C$224,$C399,'TL02'!$J$10:$J$224),0),
IF('TL02'!$B$229=L$3,SUMIF('TL02'!$C$238:$C$451,$C399,'TL02'!$J$238:$J$451),0),
IF('TL03'!$B$3=L$3,SUMIF('TL03'!$C$10:$C$224,$C399,'TL03'!$J$10:$J$224),0),
IF('TL03'!$B$229=L$3,SUMIF('TL03'!$C$238:$C$451,$C399,'TL03'!$J$238:$J$451),0),
IF('TL04'!$B$3=L$3,SUMIF('TL04'!$C$10:$C$224,$C399,'TL04'!$J$10:$J$224),0),
IF('TL04'!$B$229=L$3,SUMIF('TL04'!$C$238:$C$451,$C399,'TL04'!$J$238:$J$451),0),
IF('TL05'!$B$3=L$3,SUMIF('TL05'!$C$10:$C$224,$C399,'TL05'!$J$10:$J$224),0),
IF('TL05'!$B$229=L$3,SUMIF('TL05'!$C$238:$C$451,$C399,'TL05'!$J$238:$J$451),0),
IF('TL06'!$B$3=L$3,SUMIF('TL06'!$C$10:$C$224,$C399,'TL06'!$J$10:$J$224),0),
IF('TL06'!$B$229=L$3,SUMIF('TL06'!$C$238:$C$451,$C399,'TL06'!$J$238:$J$451),0),
IF('TL07'!$B$3=L$3,SUMIF('TL07'!$C$10:$C$224,$C399,'TL07'!$J$10:$J$224),0),
IF('TL07'!$B$229=L$3,SUMIF('TL07'!$C$238:$C$451,$C399,'TL07'!$J$238:$J$451),0),
IF('TL08'!$B$3=L$3,SUMIF('TL08'!$C$10:$C$224,$C399,'TL08'!$J$10:$J$224),0),
IF('TL08'!$B$229=L$3,SUMIF('TL08'!$C$238:$C$451,$C399,'TL08'!$J$238:$J$451),0),
IF('TL09'!$B$3=L$3,SUMIF('TL09'!$C$10:$C$224,$C399,'TL09'!$J$10:$J$224),0),
IF('TL09'!$B$229=L$3,SUMIF('TL09'!$C$238:$C$451,$C399,'TL09'!$J$238:$J$451),0),
IF('TL10'!$B$3=L$3,SUMIF('TL10'!$C$10:$C$224,$C399,'TL10'!$J$10:$J$224),0),
IF('TL10'!$B$229=L$3,SUMIF('TL10'!$C$238:$C$451,$C399,'TL10'!$J$238:$J$451),0),
IF('TL11'!$B$3=L$3,SUMIF('TL11'!$C$10:$C$224,$C399,'TL11'!$J$10:$J$224),0),
IF('TL11'!$B$229=L$3,SUMIF('TL11'!$C$238:$C$451,$C399,'TL11'!$J$238:$J$451),0),
IF('TL12'!$B$3=L$3,SUMIF('TL12'!$C$10:$C$224,$C399,'TL12'!$J$10:$J$224),0),
IF('TL12'!$B$229=L$3,SUMIF('TL12'!$C$238:$C$451,$C399,'TL12'!$J$238:$J$451),0),
IF('TL13'!$B$3=L$3,SUMIF('TL13'!$C$10:$C$224,$C399,'TL13'!$J$10:$J$224),0),
IF('TL13'!$B$229=L$3,SUMIF('TL13'!$C$238:$C$451,$C399,'TL13'!$J$238:$J$451),0),
IF('TL14'!$B$3=L$3,SUMIF('TL14'!$C$10:$C$224,$C399,'TL14'!$J$10:$J$224),0),
IF('TL14'!$B$229=L$3,SUMIF('TL14'!$C$238:$C$451,$C399,'TL14'!$J$238:$J$451),0),
IF('TL15'!$B$3=L$3,SUMIF('TL15'!$C$10:$C$224,$C399,'TL15'!$J$10:$J$224),0),
IF('TL15'!$B$229=L$3,SUMIF('TL15'!$C$238:$C$451,$C399,'TL15'!$J$238:$J$451),0),
IF('TL16'!$B$3=L$3,SUMIF('TL16'!$C$10:$C$224,$C399,'TL16'!$J$10:$J$224),0),
IF('TL16'!$B$229=L$3,SUMIF('TL16'!$C$238:$C$451,$C399,'TL16'!$J$238:$J$451),0),
IF('TL17'!$B$3=L$3,SUMIF('TL17'!$C$10:$C$224,$C399,'TL17'!$J$10:$J$224),0),
IF('TL17'!$B$229=L$3,SUMIF('TL17'!$C$238:$C$451,$C399,'TL17'!$J$238:$J$451),0),
IF('TL18'!$B$3=L$3,SUMIF('TL18'!$C$10:$C$224,$C399,'TL18'!$J$10:$J$224),0),
IF('TL18'!$B$229=L$3,SUMIF('TL18'!$C$238:$C$451,$C399,'TL18'!$J$238:$J$451),0),
IF('TL19'!$B$3=L$3,SUMIF('TL19'!$C$10:$C$224,$C399,'TL19'!$J$10:$J$224),0),
IF('TL19'!$B$229=L$3,SUMIF('TL19'!$C$238:$C$451,$C399,'TL19'!$J$238:$J$451),0)
),0)</f>
        <v/>
      </c>
      <c r="M399" s="147">
        <f>IFERROR(SUM(
IF('TL01'!$B$3=M$3,SUMIF('TL01'!$C$10:$C$224,$C399,'TL01'!$J$10:$J$224),0),
IF('TL01'!$B$229=M$3,SUMIF('TL01'!$C$238:$C$451,$C399,'TL01'!$J$238:$J$451),0),
IF('TL02'!$B$3=M$3,SUMIF('TL02'!$C$10:$C$224,$C399,'TL02'!$J$10:$J$224),0),
IF('TL02'!$B$229=M$3,SUMIF('TL02'!$C$238:$C$451,$C399,'TL02'!$J$238:$J$451),0),
IF('TL03'!$B$3=M$3,SUMIF('TL03'!$C$10:$C$224,$C399,'TL03'!$J$10:$J$224),0),
IF('TL03'!$B$229=M$3,SUMIF('TL03'!$C$238:$C$451,$C399,'TL03'!$J$238:$J$451),0),
IF('TL04'!$B$3=M$3,SUMIF('TL04'!$C$10:$C$224,$C399,'TL04'!$J$10:$J$224),0),
IF('TL04'!$B$229=M$3,SUMIF('TL04'!$C$238:$C$451,$C399,'TL04'!$J$238:$J$451),0),
IF('TL05'!$B$3=M$3,SUMIF('TL05'!$C$10:$C$224,$C399,'TL05'!$J$10:$J$224),0),
IF('TL05'!$B$229=M$3,SUMIF('TL05'!$C$238:$C$451,$C399,'TL05'!$J$238:$J$451),0),
IF('TL06'!$B$3=M$3,SUMIF('TL06'!$C$10:$C$224,$C399,'TL06'!$J$10:$J$224),0),
IF('TL06'!$B$229=M$3,SUMIF('TL06'!$C$238:$C$451,$C399,'TL06'!$J$238:$J$451),0),
IF('TL07'!$B$3=M$3,SUMIF('TL07'!$C$10:$C$224,$C399,'TL07'!$J$10:$J$224),0),
IF('TL07'!$B$229=M$3,SUMIF('TL07'!$C$238:$C$451,$C399,'TL07'!$J$238:$J$451),0),
IF('TL08'!$B$3=M$3,SUMIF('TL08'!$C$10:$C$224,$C399,'TL08'!$J$10:$J$224),0),
IF('TL08'!$B$229=M$3,SUMIF('TL08'!$C$238:$C$451,$C399,'TL08'!$J$238:$J$451),0),
IF('TL09'!$B$3=M$3,SUMIF('TL09'!$C$10:$C$224,$C399,'TL09'!$J$10:$J$224),0),
IF('TL09'!$B$229=M$3,SUMIF('TL09'!$C$238:$C$451,$C399,'TL09'!$J$238:$J$451),0),
IF('TL10'!$B$3=M$3,SUMIF('TL10'!$C$10:$C$224,$C399,'TL10'!$J$10:$J$224),0),
IF('TL10'!$B$229=M$3,SUMIF('TL10'!$C$238:$C$451,$C399,'TL10'!$J$238:$J$451),0),
IF('TL11'!$B$3=M$3,SUMIF('TL11'!$C$10:$C$224,$C399,'TL11'!$J$10:$J$224),0),
IF('TL11'!$B$229=M$3,SUMIF('TL11'!$C$238:$C$451,$C399,'TL11'!$J$238:$J$451),0),
IF('TL12'!$B$3=M$3,SUMIF('TL12'!$C$10:$C$224,$C399,'TL12'!$J$10:$J$224),0),
IF('TL12'!$B$229=M$3,SUMIF('TL12'!$C$238:$C$451,$C399,'TL12'!$J$238:$J$451),0),
IF('TL13'!$B$3=M$3,SUMIF('TL13'!$C$10:$C$224,$C399,'TL13'!$J$10:$J$224),0),
IF('TL13'!$B$229=M$3,SUMIF('TL13'!$C$238:$C$451,$C399,'TL13'!$J$238:$J$451),0),
IF('TL14'!$B$3=M$3,SUMIF('TL14'!$C$10:$C$224,$C399,'TL14'!$J$10:$J$224),0),
IF('TL14'!$B$229=M$3,SUMIF('TL14'!$C$238:$C$451,$C399,'TL14'!$J$238:$J$451),0),
IF('TL15'!$B$3=M$3,SUMIF('TL15'!$C$10:$C$224,$C399,'TL15'!$J$10:$J$224),0),
IF('TL15'!$B$229=M$3,SUMIF('TL15'!$C$238:$C$451,$C399,'TL15'!$J$238:$J$451),0),
IF('TL16'!$B$3=M$3,SUMIF('TL16'!$C$10:$C$224,$C399,'TL16'!$J$10:$J$224),0),
IF('TL16'!$B$229=M$3,SUMIF('TL16'!$C$238:$C$451,$C399,'TL16'!$J$238:$J$451),0),
IF('TL17'!$B$3=M$3,SUMIF('TL17'!$C$10:$C$224,$C399,'TL17'!$J$10:$J$224),0),
IF('TL17'!$B$229=M$3,SUMIF('TL17'!$C$238:$C$451,$C399,'TL17'!$J$238:$J$451),0),
IF('TL18'!$B$3=M$3,SUMIF('TL18'!$C$10:$C$224,$C399,'TL18'!$J$10:$J$224),0),
IF('TL18'!$B$229=M$3,SUMIF('TL18'!$C$238:$C$451,$C399,'TL18'!$J$238:$J$451),0),
IF('TL19'!$B$3=M$3,SUMIF('TL19'!$C$10:$C$224,$C399,'TL19'!$J$10:$J$224),0),
IF('TL19'!$B$229=M$3,SUMIF('TL19'!$C$238:$C$451,$C399,'TL19'!$J$238:$J$451),0)
),0)</f>
        <v/>
      </c>
      <c r="N399" s="147">
        <f>IFERROR(SUM(
IF('TL01'!$B$3=N$3,SUMIF('TL01'!$C$10:$C$224,$C399,'TL01'!$J$10:$J$224),0),
IF('TL01'!$B$229=N$3,SUMIF('TL01'!$C$238:$C$451,$C399,'TL01'!$J$238:$J$451),0),
IF('TL02'!$B$3=N$3,SUMIF('TL02'!$C$10:$C$224,$C399,'TL02'!$J$10:$J$224),0),
IF('TL02'!$B$229=N$3,SUMIF('TL02'!$C$238:$C$451,$C399,'TL02'!$J$238:$J$451),0),
IF('TL03'!$B$3=N$3,SUMIF('TL03'!$C$10:$C$224,$C399,'TL03'!$J$10:$J$224),0),
IF('TL03'!$B$229=N$3,SUMIF('TL03'!$C$238:$C$451,$C399,'TL03'!$J$238:$J$451),0),
IF('TL04'!$B$3=N$3,SUMIF('TL04'!$C$10:$C$224,$C399,'TL04'!$J$10:$J$224),0),
IF('TL04'!$B$229=N$3,SUMIF('TL04'!$C$238:$C$451,$C399,'TL04'!$J$238:$J$451),0),
IF('TL05'!$B$3=N$3,SUMIF('TL05'!$C$10:$C$224,$C399,'TL05'!$J$10:$J$224),0),
IF('TL05'!$B$229=N$3,SUMIF('TL05'!$C$238:$C$451,$C399,'TL05'!$J$238:$J$451),0),
IF('TL06'!$B$3=N$3,SUMIF('TL06'!$C$10:$C$224,$C399,'TL06'!$J$10:$J$224),0),
IF('TL06'!$B$229=N$3,SUMIF('TL06'!$C$238:$C$451,$C399,'TL06'!$J$238:$J$451),0),
IF('TL07'!$B$3=N$3,SUMIF('TL07'!$C$10:$C$224,$C399,'TL07'!$J$10:$J$224),0),
IF('TL07'!$B$229=N$3,SUMIF('TL07'!$C$238:$C$451,$C399,'TL07'!$J$238:$J$451),0),
IF('TL08'!$B$3=N$3,SUMIF('TL08'!$C$10:$C$224,$C399,'TL08'!$J$10:$J$224),0),
IF('TL08'!$B$229=N$3,SUMIF('TL08'!$C$238:$C$451,$C399,'TL08'!$J$238:$J$451),0),
IF('TL09'!$B$3=N$3,SUMIF('TL09'!$C$10:$C$224,$C399,'TL09'!$J$10:$J$224),0),
IF('TL09'!$B$229=N$3,SUMIF('TL09'!$C$238:$C$451,$C399,'TL09'!$J$238:$J$451),0),
IF('TL10'!$B$3=N$3,SUMIF('TL10'!$C$10:$C$224,$C399,'TL10'!$J$10:$J$224),0),
IF('TL10'!$B$229=N$3,SUMIF('TL10'!$C$238:$C$451,$C399,'TL10'!$J$238:$J$451),0),
IF('TL11'!$B$3=N$3,SUMIF('TL11'!$C$10:$C$224,$C399,'TL11'!$J$10:$J$224),0),
IF('TL11'!$B$229=N$3,SUMIF('TL11'!$C$238:$C$451,$C399,'TL11'!$J$238:$J$451),0),
IF('TL12'!$B$3=N$3,SUMIF('TL12'!$C$10:$C$224,$C399,'TL12'!$J$10:$J$224),0),
IF('TL12'!$B$229=N$3,SUMIF('TL12'!$C$238:$C$451,$C399,'TL12'!$J$238:$J$451),0),
IF('TL13'!$B$3=N$3,SUMIF('TL13'!$C$10:$C$224,$C399,'TL13'!$J$10:$J$224),0),
IF('TL13'!$B$229=N$3,SUMIF('TL13'!$C$238:$C$451,$C399,'TL13'!$J$238:$J$451),0),
IF('TL14'!$B$3=N$3,SUMIF('TL14'!$C$10:$C$224,$C399,'TL14'!$J$10:$J$224),0),
IF('TL14'!$B$229=N$3,SUMIF('TL14'!$C$238:$C$451,$C399,'TL14'!$J$238:$J$451),0),
IF('TL15'!$B$3=N$3,SUMIF('TL15'!$C$10:$C$224,$C399,'TL15'!$J$10:$J$224),0),
IF('TL15'!$B$229=N$3,SUMIF('TL15'!$C$238:$C$451,$C399,'TL15'!$J$238:$J$451),0),
IF('TL16'!$B$3=N$3,SUMIF('TL16'!$C$10:$C$224,$C399,'TL16'!$J$10:$J$224),0),
IF('TL16'!$B$229=N$3,SUMIF('TL16'!$C$238:$C$451,$C399,'TL16'!$J$238:$J$451),0),
IF('TL17'!$B$3=N$3,SUMIF('TL17'!$C$10:$C$224,$C399,'TL17'!$J$10:$J$224),0),
IF('TL17'!$B$229=N$3,SUMIF('TL17'!$C$238:$C$451,$C399,'TL17'!$J$238:$J$451),0),
IF('TL18'!$B$3=N$3,SUMIF('TL18'!$C$10:$C$224,$C399,'TL18'!$J$10:$J$224),0),
IF('TL18'!$B$229=N$3,SUMIF('TL18'!$C$238:$C$451,$C399,'TL18'!$J$238:$J$451),0),
IF('TL19'!$B$3=N$3,SUMIF('TL19'!$C$10:$C$224,$C399,'TL19'!$J$10:$J$224),0),
IF('TL19'!$B$229=N$3,SUMIF('TL19'!$C$238:$C$451,$C399,'TL19'!$J$238:$J$451),0)
),0)</f>
        <v/>
      </c>
      <c r="O399" s="147">
        <f>IFERROR(SUM(
IF('TL01'!$B$3=O$3,SUMIF('TL01'!$C$10:$C$224,$C399,'TL01'!$J$10:$J$224),0),
IF('TL01'!$B$229=O$3,SUMIF('TL01'!$C$238:$C$451,$C399,'TL01'!$J$238:$J$451),0),
IF('TL02'!$B$3=O$3,SUMIF('TL02'!$C$10:$C$224,$C399,'TL02'!$J$10:$J$224),0),
IF('TL02'!$B$229=O$3,SUMIF('TL02'!$C$238:$C$451,$C399,'TL02'!$J$238:$J$451),0),
IF('TL03'!$B$3=O$3,SUMIF('TL03'!$C$10:$C$224,$C399,'TL03'!$J$10:$J$224),0),
IF('TL03'!$B$229=O$3,SUMIF('TL03'!$C$238:$C$451,$C399,'TL03'!$J$238:$J$451),0),
IF('TL04'!$B$3=O$3,SUMIF('TL04'!$C$10:$C$224,$C399,'TL04'!$J$10:$J$224),0),
IF('TL04'!$B$229=O$3,SUMIF('TL04'!$C$238:$C$451,$C399,'TL04'!$J$238:$J$451),0),
IF('TL05'!$B$3=O$3,SUMIF('TL05'!$C$10:$C$224,$C399,'TL05'!$J$10:$J$224),0),
IF('TL05'!$B$229=O$3,SUMIF('TL05'!$C$238:$C$451,$C399,'TL05'!$J$238:$J$451),0),
IF('TL06'!$B$3=O$3,SUMIF('TL06'!$C$10:$C$224,$C399,'TL06'!$J$10:$J$224),0),
IF('TL06'!$B$229=O$3,SUMIF('TL06'!$C$238:$C$451,$C399,'TL06'!$J$238:$J$451),0),
IF('TL07'!$B$3=O$3,SUMIF('TL07'!$C$10:$C$224,$C399,'TL07'!$J$10:$J$224),0),
IF('TL07'!$B$229=O$3,SUMIF('TL07'!$C$238:$C$451,$C399,'TL07'!$J$238:$J$451),0),
IF('TL08'!$B$3=O$3,SUMIF('TL08'!$C$10:$C$224,$C399,'TL08'!$J$10:$J$224),0),
IF('TL08'!$B$229=O$3,SUMIF('TL08'!$C$238:$C$451,$C399,'TL08'!$J$238:$J$451),0),
IF('TL09'!$B$3=O$3,SUMIF('TL09'!$C$10:$C$224,$C399,'TL09'!$J$10:$J$224),0),
IF('TL09'!$B$229=O$3,SUMIF('TL09'!$C$238:$C$451,$C399,'TL09'!$J$238:$J$451),0),
IF('TL10'!$B$3=O$3,SUMIF('TL10'!$C$10:$C$224,$C399,'TL10'!$J$10:$J$224),0),
IF('TL10'!$B$229=O$3,SUMIF('TL10'!$C$238:$C$451,$C399,'TL10'!$J$238:$J$451),0),
IF('TL11'!$B$3=O$3,SUMIF('TL11'!$C$10:$C$224,$C399,'TL11'!$J$10:$J$224),0),
IF('TL11'!$B$229=O$3,SUMIF('TL11'!$C$238:$C$451,$C399,'TL11'!$J$238:$J$451),0),
IF('TL12'!$B$3=O$3,SUMIF('TL12'!$C$10:$C$224,$C399,'TL12'!$J$10:$J$224),0),
IF('TL12'!$B$229=O$3,SUMIF('TL12'!$C$238:$C$451,$C399,'TL12'!$J$238:$J$451),0),
IF('TL13'!$B$3=O$3,SUMIF('TL13'!$C$10:$C$224,$C399,'TL13'!$J$10:$J$224),0),
IF('TL13'!$B$229=O$3,SUMIF('TL13'!$C$238:$C$451,$C399,'TL13'!$J$238:$J$451),0),
IF('TL14'!$B$3=O$3,SUMIF('TL14'!$C$10:$C$224,$C399,'TL14'!$J$10:$J$224),0),
IF('TL14'!$B$229=O$3,SUMIF('TL14'!$C$238:$C$451,$C399,'TL14'!$J$238:$J$451),0),
IF('TL15'!$B$3=O$3,SUMIF('TL15'!$C$10:$C$224,$C399,'TL15'!$J$10:$J$224),0),
IF('TL15'!$B$229=O$3,SUMIF('TL15'!$C$238:$C$451,$C399,'TL15'!$J$238:$J$451),0),
IF('TL16'!$B$3=O$3,SUMIF('TL16'!$C$10:$C$224,$C399,'TL16'!$J$10:$J$224),0),
IF('TL16'!$B$229=O$3,SUMIF('TL16'!$C$238:$C$451,$C399,'TL16'!$J$238:$J$451),0),
IF('TL17'!$B$3=O$3,SUMIF('TL17'!$C$10:$C$224,$C399,'TL17'!$J$10:$J$224),0),
IF('TL17'!$B$229=O$3,SUMIF('TL17'!$C$238:$C$451,$C399,'TL17'!$J$238:$J$451),0),
IF('TL18'!$B$3=O$3,SUMIF('TL18'!$C$10:$C$224,$C399,'TL18'!$J$10:$J$224),0),
IF('TL18'!$B$229=O$3,SUMIF('TL18'!$C$238:$C$451,$C399,'TL18'!$J$238:$J$451),0),
IF('TL19'!$B$3=O$3,SUMIF('TL19'!$C$10:$C$224,$C399,'TL19'!$J$10:$J$224),0),
IF('TL19'!$B$229=O$3,SUMIF('TL19'!$C$238:$C$451,$C399,'TL19'!$J$238:$J$451),0)
),0)</f>
        <v/>
      </c>
      <c r="P399" s="147">
        <f>IFERROR(SUM(
IF('TL01'!$B$3=P$3,SUMIF('TL01'!$C$10:$C$224,$C399,'TL01'!$J$10:$J$224),0),
IF('TL01'!$B$229=P$3,SUMIF('TL01'!$C$238:$C$451,$C399,'TL01'!$J$238:$J$451),0),
IF('TL02'!$B$3=P$3,SUMIF('TL02'!$C$10:$C$224,$C399,'TL02'!$J$10:$J$224),0),
IF('TL02'!$B$229=P$3,SUMIF('TL02'!$C$238:$C$451,$C399,'TL02'!$J$238:$J$451),0),
IF('TL03'!$B$3=P$3,SUMIF('TL03'!$C$10:$C$224,$C399,'TL03'!$J$10:$J$224),0),
IF('TL03'!$B$229=P$3,SUMIF('TL03'!$C$238:$C$451,$C399,'TL03'!$J$238:$J$451),0),
IF('TL04'!$B$3=P$3,SUMIF('TL04'!$C$10:$C$224,$C399,'TL04'!$J$10:$J$224),0),
IF('TL04'!$B$229=P$3,SUMIF('TL04'!$C$238:$C$451,$C399,'TL04'!$J$238:$J$451),0),
IF('TL05'!$B$3=P$3,SUMIF('TL05'!$C$10:$C$224,$C399,'TL05'!$J$10:$J$224),0),
IF('TL05'!$B$229=P$3,SUMIF('TL05'!$C$238:$C$451,$C399,'TL05'!$J$238:$J$451),0),
IF('TL06'!$B$3=P$3,SUMIF('TL06'!$C$10:$C$224,$C399,'TL06'!$J$10:$J$224),0),
IF('TL06'!$B$229=P$3,SUMIF('TL06'!$C$238:$C$451,$C399,'TL06'!$J$238:$J$451),0),
IF('TL07'!$B$3=P$3,SUMIF('TL07'!$C$10:$C$224,$C399,'TL07'!$J$10:$J$224),0),
IF('TL07'!$B$229=P$3,SUMIF('TL07'!$C$238:$C$451,$C399,'TL07'!$J$238:$J$451),0),
IF('TL08'!$B$3=P$3,SUMIF('TL08'!$C$10:$C$224,$C399,'TL08'!$J$10:$J$224),0),
IF('TL08'!$B$229=P$3,SUMIF('TL08'!$C$238:$C$451,$C399,'TL08'!$J$238:$J$451),0),
IF('TL09'!$B$3=P$3,SUMIF('TL09'!$C$10:$C$224,$C399,'TL09'!$J$10:$J$224),0),
IF('TL09'!$B$229=P$3,SUMIF('TL09'!$C$238:$C$451,$C399,'TL09'!$J$238:$J$451),0),
IF('TL10'!$B$3=P$3,SUMIF('TL10'!$C$10:$C$224,$C399,'TL10'!$J$10:$J$224),0),
IF('TL10'!$B$229=P$3,SUMIF('TL10'!$C$238:$C$451,$C399,'TL10'!$J$238:$J$451),0),
IF('TL11'!$B$3=P$3,SUMIF('TL11'!$C$10:$C$224,$C399,'TL11'!$J$10:$J$224),0),
IF('TL11'!$B$229=P$3,SUMIF('TL11'!$C$238:$C$451,$C399,'TL11'!$J$238:$J$451),0),
IF('TL12'!$B$3=P$3,SUMIF('TL12'!$C$10:$C$224,$C399,'TL12'!$J$10:$J$224),0),
IF('TL12'!$B$229=P$3,SUMIF('TL12'!$C$238:$C$451,$C399,'TL12'!$J$238:$J$451),0),
IF('TL13'!$B$3=P$3,SUMIF('TL13'!$C$10:$C$224,$C399,'TL13'!$J$10:$J$224),0),
IF('TL13'!$B$229=P$3,SUMIF('TL13'!$C$238:$C$451,$C399,'TL13'!$J$238:$J$451),0),
IF('TL14'!$B$3=P$3,SUMIF('TL14'!$C$10:$C$224,$C399,'TL14'!$J$10:$J$224),0),
IF('TL14'!$B$229=P$3,SUMIF('TL14'!$C$238:$C$451,$C399,'TL14'!$J$238:$J$451),0),
IF('TL15'!$B$3=P$3,SUMIF('TL15'!$C$10:$C$224,$C399,'TL15'!$J$10:$J$224),0),
IF('TL15'!$B$229=P$3,SUMIF('TL15'!$C$238:$C$451,$C399,'TL15'!$J$238:$J$451),0),
IF('TL16'!$B$3=P$3,SUMIF('TL16'!$C$10:$C$224,$C399,'TL16'!$J$10:$J$224),0),
IF('TL16'!$B$229=P$3,SUMIF('TL16'!$C$238:$C$451,$C399,'TL16'!$J$238:$J$451),0),
IF('TL17'!$B$3=P$3,SUMIF('TL17'!$C$10:$C$224,$C399,'TL17'!$J$10:$J$224),0),
IF('TL17'!$B$229=P$3,SUMIF('TL17'!$C$238:$C$451,$C399,'TL17'!$J$238:$J$451),0),
IF('TL18'!$B$3=P$3,SUMIF('TL18'!$C$10:$C$224,$C399,'TL18'!$J$10:$J$224),0),
IF('TL18'!$B$229=P$3,SUMIF('TL18'!$C$238:$C$451,$C399,'TL18'!$J$238:$J$451),0),
IF('TL19'!$B$3=P$3,SUMIF('TL19'!$C$10:$C$224,$C399,'TL19'!$J$10:$J$224),0),
IF('TL19'!$B$229=P$3,SUMIF('TL19'!$C$238:$C$451,$C399,'TL19'!$J$238:$J$451),0)
),0)</f>
        <v/>
      </c>
      <c r="Q399" s="147">
        <f>IFERROR(SUM(
IF('TL01'!$B$3=Q$3,SUMIF('TL01'!$C$10:$C$224,$C399,'TL01'!$J$10:$J$224),0),
IF('TL01'!$B$229=Q$3,SUMIF('TL01'!$C$238:$C$451,$C399,'TL01'!$J$238:$J$451),0),
IF('TL02'!$B$3=Q$3,SUMIF('TL02'!$C$10:$C$224,$C399,'TL02'!$J$10:$J$224),0),
IF('TL02'!$B$229=Q$3,SUMIF('TL02'!$C$238:$C$451,$C399,'TL02'!$J$238:$J$451),0),
IF('TL03'!$B$3=Q$3,SUMIF('TL03'!$C$10:$C$224,$C399,'TL03'!$J$10:$J$224),0),
IF('TL03'!$B$229=Q$3,SUMIF('TL03'!$C$238:$C$451,$C399,'TL03'!$J$238:$J$451),0),
IF('TL04'!$B$3=Q$3,SUMIF('TL04'!$C$10:$C$224,$C399,'TL04'!$J$10:$J$224),0),
IF('TL04'!$B$229=Q$3,SUMIF('TL04'!$C$238:$C$451,$C399,'TL04'!$J$238:$J$451),0),
IF('TL05'!$B$3=Q$3,SUMIF('TL05'!$C$10:$C$224,$C399,'TL05'!$J$10:$J$224),0),
IF('TL05'!$B$229=Q$3,SUMIF('TL05'!$C$238:$C$451,$C399,'TL05'!$J$238:$J$451),0),
IF('TL06'!$B$3=Q$3,SUMIF('TL06'!$C$10:$C$224,$C399,'TL06'!$J$10:$J$224),0),
IF('TL06'!$B$229=Q$3,SUMIF('TL06'!$C$238:$C$451,$C399,'TL06'!$J$238:$J$451),0),
IF('TL07'!$B$3=Q$3,SUMIF('TL07'!$C$10:$C$224,$C399,'TL07'!$J$10:$J$224),0),
IF('TL07'!$B$229=Q$3,SUMIF('TL07'!$C$238:$C$451,$C399,'TL07'!$J$238:$J$451),0),
IF('TL08'!$B$3=Q$3,SUMIF('TL08'!$C$10:$C$224,$C399,'TL08'!$J$10:$J$224),0),
IF('TL08'!$B$229=Q$3,SUMIF('TL08'!$C$238:$C$451,$C399,'TL08'!$J$238:$J$451),0),
IF('TL09'!$B$3=Q$3,SUMIF('TL09'!$C$10:$C$224,$C399,'TL09'!$J$10:$J$224),0),
IF('TL09'!$B$229=Q$3,SUMIF('TL09'!$C$238:$C$451,$C399,'TL09'!$J$238:$J$451),0),
IF('TL10'!$B$3=Q$3,SUMIF('TL10'!$C$10:$C$224,$C399,'TL10'!$J$10:$J$224),0),
IF('TL10'!$B$229=Q$3,SUMIF('TL10'!$C$238:$C$451,$C399,'TL10'!$J$238:$J$451),0),
IF('TL11'!$B$3=Q$3,SUMIF('TL11'!$C$10:$C$224,$C399,'TL11'!$J$10:$J$224),0),
IF('TL11'!$B$229=Q$3,SUMIF('TL11'!$C$238:$C$451,$C399,'TL11'!$J$238:$J$451),0),
IF('TL12'!$B$3=Q$3,SUMIF('TL12'!$C$10:$C$224,$C399,'TL12'!$J$10:$J$224),0),
IF('TL12'!$B$229=Q$3,SUMIF('TL12'!$C$238:$C$451,$C399,'TL12'!$J$238:$J$451),0),
IF('TL13'!$B$3=Q$3,SUMIF('TL13'!$C$10:$C$224,$C399,'TL13'!$J$10:$J$224),0),
IF('TL13'!$B$229=Q$3,SUMIF('TL13'!$C$238:$C$451,$C399,'TL13'!$J$238:$J$451),0),
IF('TL14'!$B$3=Q$3,SUMIF('TL14'!$C$10:$C$224,$C399,'TL14'!$J$10:$J$224),0),
IF('TL14'!$B$229=Q$3,SUMIF('TL14'!$C$238:$C$451,$C399,'TL14'!$J$238:$J$451),0),
IF('TL15'!$B$3=Q$3,SUMIF('TL15'!$C$10:$C$224,$C399,'TL15'!$J$10:$J$224),0),
IF('TL15'!$B$229=Q$3,SUMIF('TL15'!$C$238:$C$451,$C399,'TL15'!$J$238:$J$451),0),
IF('TL16'!$B$3=Q$3,SUMIF('TL16'!$C$10:$C$224,$C399,'TL16'!$J$10:$J$224),0),
IF('TL16'!$B$229=Q$3,SUMIF('TL16'!$C$238:$C$451,$C399,'TL16'!$J$238:$J$451),0),
IF('TL17'!$B$3=Q$3,SUMIF('TL17'!$C$10:$C$224,$C399,'TL17'!$J$10:$J$224),0),
IF('TL17'!$B$229=Q$3,SUMIF('TL17'!$C$238:$C$451,$C399,'TL17'!$J$238:$J$451),0),
IF('TL18'!$B$3=Q$3,SUMIF('TL18'!$C$10:$C$224,$C399,'TL18'!$J$10:$J$224),0),
IF('TL18'!$B$229=Q$3,SUMIF('TL18'!$C$238:$C$451,$C399,'TL18'!$J$238:$J$451),0),
IF('TL19'!$B$3=Q$3,SUMIF('TL19'!$C$10:$C$224,$C399,'TL19'!$J$10:$J$224),0),
IF('TL19'!$B$229=Q$3,SUMIF('TL19'!$C$238:$C$451,$C399,'TL19'!$J$238:$J$451),0)
),0)</f>
        <v/>
      </c>
      <c r="R399" s="139">
        <f>IFERROR(
SUM(
SUMIF('TL01'!C:C,C399,'TL01'!J:J),
SUMIF('TL02'!C:C,C399,'TL02'!I:I),
SUMIF('TL03'!C:C,C399,'TL03'!I:I),
SUMIF('TL04'!C:C,C399,'TL04'!I:I),
SUMIF('TL05'!C:C,C399,'TL05'!I:I),
SUMIF('TL06'!C:C,C399,'TL06'!I:I),
SUMIF('TL07'!C:C,C399,'TL07'!I:I),
SUMIF('TL08'!C:C,C399,'TL08'!I:I),
SUMIF('TL09'!C:C,C399,'TL09'!I:I),
SUMIF('TL10'!C:C,C399,'TL10'!I:I),
SUMIF('TL11'!C:C,C399,'TL11'!I:I),
SUMIF('TL12'!C:C,C399,'TL12'!I:I),
SUMIF('TL13'!C:C,C399,'TL13'!I:I),
SUMIF('TL14'!C:C,C399,'TL14'!I:I),
SUMIF('TL15'!C:C,C399,'TL15'!I:I),
SUMIF('TL16'!C:C,C399,'TL16'!I:I),
SUMIF('TL17'!C:C,C399,'TL17'!I:I),
SUMIF('TL18'!C:C,C399,'TL18'!I:I))
,0)</f>
        <v/>
      </c>
      <c r="S399" s="142">
        <f>'CUSTO OPERAÇÃO'!M3</f>
        <v/>
      </c>
      <c r="T399" s="139" t="n"/>
      <c r="U399" s="143">
        <f>MAX(0,R399-T399)</f>
        <v/>
      </c>
      <c r="V399" s="144">
        <f>U399*S399</f>
        <v/>
      </c>
    </row>
    <row r="400" hidden="1" ht="15.75" customHeight="1" s="297">
      <c r="A400" s="134" t="n"/>
      <c r="B400" s="135" t="inlineStr">
        <is>
          <t>MÁQUINAS</t>
        </is>
      </c>
      <c r="C400" s="136">
        <f>'CUSTO OPERAÇÃO'!D4</f>
        <v/>
      </c>
      <c r="D400" s="136" t="n"/>
      <c r="E400" s="137" t="n"/>
      <c r="F400" s="138" t="inlineStr">
        <is>
          <t>R$/Ha</t>
        </is>
      </c>
      <c r="G400" s="139" t="n"/>
      <c r="H400" s="140">
        <f>'CUSTO OPERAÇÃO'!J4</f>
        <v/>
      </c>
      <c r="I400" s="141" t="n"/>
      <c r="J400" s="136">
        <f>IFERROR(SUM(
IF('TL01'!$B$3=J$3,SUMIF('TL01'!$C$10:$C$224,$C400,'TL01'!$J$10:$J$224),0),
IF('TL01'!$B$229=J$3,SUMIF('TL01'!$C$238:$C$451,$C400,'TL01'!$J$238:$J$451),0),
IF('TL02'!$B$3=J$3,SUMIF('TL02'!$C$10:$C$224,$C400,'TL02'!$J$10:$J$224),0),
IF('TL02'!$B$229=J$3,SUMIF('TL02'!$C$238:$C$451,$C400,'TL02'!$J$238:$J$451),0),
IF('TL03'!$B$3=J$3,SUMIF('TL03'!$C$10:$C$224,$C400,'TL03'!$J$10:$J$224),0),
IF('TL03'!$B$229=J$3,SUMIF('TL03'!$C$238:$C$451,$C400,'TL03'!$J$238:$J$451),0),
IF('TL04'!$B$3=J$3,SUMIF('TL04'!$C$10:$C$224,$C400,'TL04'!$J$10:$J$224),0),
IF('TL04'!$B$229=J$3,SUMIF('TL04'!$C$238:$C$451,$C400,'TL04'!$J$238:$J$451),0),
IF('TL05'!$B$3=J$3,SUMIF('TL05'!$C$10:$C$224,$C400,'TL05'!$J$10:$J$224),0),
IF('TL05'!$B$229=J$3,SUMIF('TL05'!$C$238:$C$451,$C400,'TL05'!$J$238:$J$451),0),
IF('TL06'!$B$3=J$3,SUMIF('TL06'!$C$10:$C$224,$C400,'TL06'!$J$10:$J$224),0),
IF('TL06'!$B$229=J$3,SUMIF('TL06'!$C$238:$C$451,$C400,'TL06'!$J$238:$J$451),0),
IF('TL07'!$B$3=J$3,SUMIF('TL07'!$C$10:$C$224,$C400,'TL07'!$J$10:$J$224),0),
IF('TL07'!$B$229=J$3,SUMIF('TL07'!$C$238:$C$451,$C400,'TL07'!$J$238:$J$451),0),
IF('TL08'!$B$3=J$3,SUMIF('TL08'!$C$10:$C$224,$C400,'TL08'!$J$10:$J$224),0),
IF('TL08'!$B$229=J$3,SUMIF('TL08'!$C$238:$C$451,$C400,'TL08'!$J$238:$J$451),0),
IF('TL09'!$B$3=J$3,SUMIF('TL09'!$C$10:$C$224,$C400,'TL09'!$J$10:$J$224),0),
IF('TL09'!$B$229=J$3,SUMIF('TL09'!$C$238:$C$451,$C400,'TL09'!$J$238:$J$451),0),
IF('TL10'!$B$3=J$3,SUMIF('TL10'!$C$10:$C$224,$C400,'TL10'!$J$10:$J$224),0),
IF('TL10'!$B$229=J$3,SUMIF('TL10'!$C$238:$C$451,$C400,'TL10'!$J$238:$J$451),0),
IF('TL11'!$B$3=J$3,SUMIF('TL11'!$C$10:$C$224,$C400,'TL11'!$J$10:$J$224),0),
IF('TL11'!$B$229=J$3,SUMIF('TL11'!$C$238:$C$451,$C400,'TL11'!$J$238:$J$451),0),
IF('TL12'!$B$3=J$3,SUMIF('TL12'!$C$10:$C$224,$C400,'TL12'!$J$10:$J$224),0),
IF('TL12'!$B$229=J$3,SUMIF('TL12'!$C$238:$C$451,$C400,'TL12'!$J$238:$J$451),0),
IF('TL13'!$B$3=J$3,SUMIF('TL13'!$C$10:$C$224,$C400,'TL13'!$J$10:$J$224),0),
IF('TL13'!$B$229=J$3,SUMIF('TL13'!$C$238:$C$451,$C400,'TL13'!$J$238:$J$451),0),
IF('TL14'!$B$3=J$3,SUMIF('TL14'!$C$10:$C$224,$C400,'TL14'!$J$10:$J$224),0),
IF('TL14'!$B$229=J$3,SUMIF('TL14'!$C$238:$C$451,$C400,'TL14'!$J$238:$J$451),0),
IF('TL15'!$B$3=J$3,SUMIF('TL15'!$C$10:$C$224,$C400,'TL15'!$J$10:$J$224),0),
IF('TL15'!$B$229=J$3,SUMIF('TL15'!$C$238:$C$451,$C400,'TL15'!$J$238:$J$451),0),
IF('TL16'!$B$3=J$3,SUMIF('TL16'!$C$10:$C$224,$C400,'TL16'!$J$10:$J$224),0),
IF('TL16'!$B$229=J$3,SUMIF('TL16'!$C$238:$C$451,$C400,'TL16'!$J$238:$J$451),0),
IF('TL17'!$B$3=J$3,SUMIF('TL17'!$C$10:$C$224,$C400,'TL17'!$J$10:$J$224),0),
IF('TL17'!$B$229=J$3,SUMIF('TL17'!$C$238:$C$451,$C400,'TL17'!$J$238:$J$451),0),
IF('TL18'!$B$3=J$3,SUMIF('TL18'!$C$10:$C$224,$C400,'TL18'!$J$10:$J$224),0),
IF('TL18'!$B$229=J$3,SUMIF('TL18'!$C$238:$C$451,$C400,'TL18'!$J$238:$J$451),0),
IF('TL19'!$B$3=J$3,SUMIF('TL19'!$C$10:$C$224,$C400,'TL19'!$J$10:$J$224),0),
IF('TL19'!$B$229=J$3,SUMIF('TL19'!$C$238:$C$451,$C400,'TL19'!$J$238:$J$451),0)
),0)</f>
        <v/>
      </c>
      <c r="K400" s="136">
        <f>IFERROR(SUM(
IF('TL01'!$B$3=K$3,SUMIF('TL01'!$C$10:$C$224,$C400,'TL01'!$J$10:$J$224),0),
IF('TL01'!$B$229=K$3,SUMIF('TL01'!$C$238:$C$451,$C400,'TL01'!$J$238:$J$451),0),
IF('TL02'!$B$3=K$3,SUMIF('TL02'!$C$10:$C$224,$C400,'TL02'!$J$10:$J$224),0),
IF('TL02'!$B$229=K$3,SUMIF('TL02'!$C$238:$C$451,$C400,'TL02'!$J$238:$J$451),0),
IF('TL03'!$B$3=K$3,SUMIF('TL03'!$C$10:$C$224,$C400,'TL03'!$J$10:$J$224),0),
IF('TL03'!$B$229=K$3,SUMIF('TL03'!$C$238:$C$451,$C400,'TL03'!$J$238:$J$451),0),
IF('TL04'!$B$3=K$3,SUMIF('TL04'!$C$10:$C$224,$C400,'TL04'!$J$10:$J$224),0),
IF('TL04'!$B$229=K$3,SUMIF('TL04'!$C$238:$C$451,$C400,'TL04'!$J$238:$J$451),0),
IF('TL05'!$B$3=K$3,SUMIF('TL05'!$C$10:$C$224,$C400,'TL05'!$J$10:$J$224),0),
IF('TL05'!$B$229=K$3,SUMIF('TL05'!$C$238:$C$451,$C400,'TL05'!$J$238:$J$451),0),
IF('TL06'!$B$3=K$3,SUMIF('TL06'!$C$10:$C$224,$C400,'TL06'!$J$10:$J$224),0),
IF('TL06'!$B$229=K$3,SUMIF('TL06'!$C$238:$C$451,$C400,'TL06'!$J$238:$J$451),0),
IF('TL07'!$B$3=K$3,SUMIF('TL07'!$C$10:$C$224,$C400,'TL07'!$J$10:$J$224),0),
IF('TL07'!$B$229=K$3,SUMIF('TL07'!$C$238:$C$451,$C400,'TL07'!$J$238:$J$451),0),
IF('TL08'!$B$3=K$3,SUMIF('TL08'!$C$10:$C$224,$C400,'TL08'!$J$10:$J$224),0),
IF('TL08'!$B$229=K$3,SUMIF('TL08'!$C$238:$C$451,$C400,'TL08'!$J$238:$J$451),0),
IF('TL09'!$B$3=K$3,SUMIF('TL09'!$C$10:$C$224,$C400,'TL09'!$J$10:$J$224),0),
IF('TL09'!$B$229=K$3,SUMIF('TL09'!$C$238:$C$451,$C400,'TL09'!$J$238:$J$451),0),
IF('TL10'!$B$3=K$3,SUMIF('TL10'!$C$10:$C$224,$C400,'TL10'!$J$10:$J$224),0),
IF('TL10'!$B$229=K$3,SUMIF('TL10'!$C$238:$C$451,$C400,'TL10'!$J$238:$J$451),0),
IF('TL11'!$B$3=K$3,SUMIF('TL11'!$C$10:$C$224,$C400,'TL11'!$J$10:$J$224),0),
IF('TL11'!$B$229=K$3,SUMIF('TL11'!$C$238:$C$451,$C400,'TL11'!$J$238:$J$451),0),
IF('TL12'!$B$3=K$3,SUMIF('TL12'!$C$10:$C$224,$C400,'TL12'!$J$10:$J$224),0),
IF('TL12'!$B$229=K$3,SUMIF('TL12'!$C$238:$C$451,$C400,'TL12'!$J$238:$J$451),0),
IF('TL13'!$B$3=K$3,SUMIF('TL13'!$C$10:$C$224,$C400,'TL13'!$J$10:$J$224),0),
IF('TL13'!$B$229=K$3,SUMIF('TL13'!$C$238:$C$451,$C400,'TL13'!$J$238:$J$451),0),
IF('TL14'!$B$3=K$3,SUMIF('TL14'!$C$10:$C$224,$C400,'TL14'!$J$10:$J$224),0),
IF('TL14'!$B$229=K$3,SUMIF('TL14'!$C$238:$C$451,$C400,'TL14'!$J$238:$J$451),0),
IF('TL15'!$B$3=K$3,SUMIF('TL15'!$C$10:$C$224,$C400,'TL15'!$J$10:$J$224),0),
IF('TL15'!$B$229=K$3,SUMIF('TL15'!$C$238:$C$451,$C400,'TL15'!$J$238:$J$451),0),
IF('TL16'!$B$3=K$3,SUMIF('TL16'!$C$10:$C$224,$C400,'TL16'!$J$10:$J$224),0),
IF('TL16'!$B$229=K$3,SUMIF('TL16'!$C$238:$C$451,$C400,'TL16'!$J$238:$J$451),0),
IF('TL17'!$B$3=K$3,SUMIF('TL17'!$C$10:$C$224,$C400,'TL17'!$J$10:$J$224),0),
IF('TL17'!$B$229=K$3,SUMIF('TL17'!$C$238:$C$451,$C400,'TL17'!$J$238:$J$451),0),
IF('TL18'!$B$3=K$3,SUMIF('TL18'!$C$10:$C$224,$C400,'TL18'!$J$10:$J$224),0),
IF('TL18'!$B$229=K$3,SUMIF('TL18'!$C$238:$C$451,$C400,'TL18'!$J$238:$J$451),0),
IF('TL19'!$B$3=K$3,SUMIF('TL19'!$C$10:$C$224,$C400,'TL19'!$J$10:$J$224),0),
IF('TL19'!$B$229=K$3,SUMIF('TL19'!$C$238:$C$451,$C400,'TL19'!$J$238:$J$451),0)
),0)</f>
        <v/>
      </c>
      <c r="L400" s="136">
        <f>IFERROR(SUM(
IF('TL01'!$B$3=L$3,SUMIF('TL01'!$C$10:$C$224,$C400,'TL01'!$J$10:$J$224),0),
IF('TL01'!$B$229=L$3,SUMIF('TL01'!$C$238:$C$451,$C400,'TL01'!$J$238:$J$451),0),
IF('TL02'!$B$3=L$3,SUMIF('TL02'!$C$10:$C$224,$C400,'TL02'!$J$10:$J$224),0),
IF('TL02'!$B$229=L$3,SUMIF('TL02'!$C$238:$C$451,$C400,'TL02'!$J$238:$J$451),0),
IF('TL03'!$B$3=L$3,SUMIF('TL03'!$C$10:$C$224,$C400,'TL03'!$J$10:$J$224),0),
IF('TL03'!$B$229=L$3,SUMIF('TL03'!$C$238:$C$451,$C400,'TL03'!$J$238:$J$451),0),
IF('TL04'!$B$3=L$3,SUMIF('TL04'!$C$10:$C$224,$C400,'TL04'!$J$10:$J$224),0),
IF('TL04'!$B$229=L$3,SUMIF('TL04'!$C$238:$C$451,$C400,'TL04'!$J$238:$J$451),0),
IF('TL05'!$B$3=L$3,SUMIF('TL05'!$C$10:$C$224,$C400,'TL05'!$J$10:$J$224),0),
IF('TL05'!$B$229=L$3,SUMIF('TL05'!$C$238:$C$451,$C400,'TL05'!$J$238:$J$451),0),
IF('TL06'!$B$3=L$3,SUMIF('TL06'!$C$10:$C$224,$C400,'TL06'!$J$10:$J$224),0),
IF('TL06'!$B$229=L$3,SUMIF('TL06'!$C$238:$C$451,$C400,'TL06'!$J$238:$J$451),0),
IF('TL07'!$B$3=L$3,SUMIF('TL07'!$C$10:$C$224,$C400,'TL07'!$J$10:$J$224),0),
IF('TL07'!$B$229=L$3,SUMIF('TL07'!$C$238:$C$451,$C400,'TL07'!$J$238:$J$451),0),
IF('TL08'!$B$3=L$3,SUMIF('TL08'!$C$10:$C$224,$C400,'TL08'!$J$10:$J$224),0),
IF('TL08'!$B$229=L$3,SUMIF('TL08'!$C$238:$C$451,$C400,'TL08'!$J$238:$J$451),0),
IF('TL09'!$B$3=L$3,SUMIF('TL09'!$C$10:$C$224,$C400,'TL09'!$J$10:$J$224),0),
IF('TL09'!$B$229=L$3,SUMIF('TL09'!$C$238:$C$451,$C400,'TL09'!$J$238:$J$451),0),
IF('TL10'!$B$3=L$3,SUMIF('TL10'!$C$10:$C$224,$C400,'TL10'!$J$10:$J$224),0),
IF('TL10'!$B$229=L$3,SUMIF('TL10'!$C$238:$C$451,$C400,'TL10'!$J$238:$J$451),0),
IF('TL11'!$B$3=L$3,SUMIF('TL11'!$C$10:$C$224,$C400,'TL11'!$J$10:$J$224),0),
IF('TL11'!$B$229=L$3,SUMIF('TL11'!$C$238:$C$451,$C400,'TL11'!$J$238:$J$451),0),
IF('TL12'!$B$3=L$3,SUMIF('TL12'!$C$10:$C$224,$C400,'TL12'!$J$10:$J$224),0),
IF('TL12'!$B$229=L$3,SUMIF('TL12'!$C$238:$C$451,$C400,'TL12'!$J$238:$J$451),0),
IF('TL13'!$B$3=L$3,SUMIF('TL13'!$C$10:$C$224,$C400,'TL13'!$J$10:$J$224),0),
IF('TL13'!$B$229=L$3,SUMIF('TL13'!$C$238:$C$451,$C400,'TL13'!$J$238:$J$451),0),
IF('TL14'!$B$3=L$3,SUMIF('TL14'!$C$10:$C$224,$C400,'TL14'!$J$10:$J$224),0),
IF('TL14'!$B$229=L$3,SUMIF('TL14'!$C$238:$C$451,$C400,'TL14'!$J$238:$J$451),0),
IF('TL15'!$B$3=L$3,SUMIF('TL15'!$C$10:$C$224,$C400,'TL15'!$J$10:$J$224),0),
IF('TL15'!$B$229=L$3,SUMIF('TL15'!$C$238:$C$451,$C400,'TL15'!$J$238:$J$451),0),
IF('TL16'!$B$3=L$3,SUMIF('TL16'!$C$10:$C$224,$C400,'TL16'!$J$10:$J$224),0),
IF('TL16'!$B$229=L$3,SUMIF('TL16'!$C$238:$C$451,$C400,'TL16'!$J$238:$J$451),0),
IF('TL17'!$B$3=L$3,SUMIF('TL17'!$C$10:$C$224,$C400,'TL17'!$J$10:$J$224),0),
IF('TL17'!$B$229=L$3,SUMIF('TL17'!$C$238:$C$451,$C400,'TL17'!$J$238:$J$451),0),
IF('TL18'!$B$3=L$3,SUMIF('TL18'!$C$10:$C$224,$C400,'TL18'!$J$10:$J$224),0),
IF('TL18'!$B$229=L$3,SUMIF('TL18'!$C$238:$C$451,$C400,'TL18'!$J$238:$J$451),0),
IF('TL19'!$B$3=L$3,SUMIF('TL19'!$C$10:$C$224,$C400,'TL19'!$J$10:$J$224),0),
IF('TL19'!$B$229=L$3,SUMIF('TL19'!$C$238:$C$451,$C400,'TL19'!$J$238:$J$451),0)
),0)</f>
        <v/>
      </c>
      <c r="M400" s="136">
        <f>IFERROR(SUM(
IF('TL01'!$B$3=M$3,SUMIF('TL01'!$C$10:$C$224,$C400,'TL01'!$J$10:$J$224),0),
IF('TL01'!$B$229=M$3,SUMIF('TL01'!$C$238:$C$451,$C400,'TL01'!$J$238:$J$451),0),
IF('TL02'!$B$3=M$3,SUMIF('TL02'!$C$10:$C$224,$C400,'TL02'!$J$10:$J$224),0),
IF('TL02'!$B$229=M$3,SUMIF('TL02'!$C$238:$C$451,$C400,'TL02'!$J$238:$J$451),0),
IF('TL03'!$B$3=M$3,SUMIF('TL03'!$C$10:$C$224,$C400,'TL03'!$J$10:$J$224),0),
IF('TL03'!$B$229=M$3,SUMIF('TL03'!$C$238:$C$451,$C400,'TL03'!$J$238:$J$451),0),
IF('TL04'!$B$3=M$3,SUMIF('TL04'!$C$10:$C$224,$C400,'TL04'!$J$10:$J$224),0),
IF('TL04'!$B$229=M$3,SUMIF('TL04'!$C$238:$C$451,$C400,'TL04'!$J$238:$J$451),0),
IF('TL05'!$B$3=M$3,SUMIF('TL05'!$C$10:$C$224,$C400,'TL05'!$J$10:$J$224),0),
IF('TL05'!$B$229=M$3,SUMIF('TL05'!$C$238:$C$451,$C400,'TL05'!$J$238:$J$451),0),
IF('TL06'!$B$3=M$3,SUMIF('TL06'!$C$10:$C$224,$C400,'TL06'!$J$10:$J$224),0),
IF('TL06'!$B$229=M$3,SUMIF('TL06'!$C$238:$C$451,$C400,'TL06'!$J$238:$J$451),0),
IF('TL07'!$B$3=M$3,SUMIF('TL07'!$C$10:$C$224,$C400,'TL07'!$J$10:$J$224),0),
IF('TL07'!$B$229=M$3,SUMIF('TL07'!$C$238:$C$451,$C400,'TL07'!$J$238:$J$451),0),
IF('TL08'!$B$3=M$3,SUMIF('TL08'!$C$10:$C$224,$C400,'TL08'!$J$10:$J$224),0),
IF('TL08'!$B$229=M$3,SUMIF('TL08'!$C$238:$C$451,$C400,'TL08'!$J$238:$J$451),0),
IF('TL09'!$B$3=M$3,SUMIF('TL09'!$C$10:$C$224,$C400,'TL09'!$J$10:$J$224),0),
IF('TL09'!$B$229=M$3,SUMIF('TL09'!$C$238:$C$451,$C400,'TL09'!$J$238:$J$451),0),
IF('TL10'!$B$3=M$3,SUMIF('TL10'!$C$10:$C$224,$C400,'TL10'!$J$10:$J$224),0),
IF('TL10'!$B$229=M$3,SUMIF('TL10'!$C$238:$C$451,$C400,'TL10'!$J$238:$J$451),0),
IF('TL11'!$B$3=M$3,SUMIF('TL11'!$C$10:$C$224,$C400,'TL11'!$J$10:$J$224),0),
IF('TL11'!$B$229=M$3,SUMIF('TL11'!$C$238:$C$451,$C400,'TL11'!$J$238:$J$451),0),
IF('TL12'!$B$3=M$3,SUMIF('TL12'!$C$10:$C$224,$C400,'TL12'!$J$10:$J$224),0),
IF('TL12'!$B$229=M$3,SUMIF('TL12'!$C$238:$C$451,$C400,'TL12'!$J$238:$J$451),0),
IF('TL13'!$B$3=M$3,SUMIF('TL13'!$C$10:$C$224,$C400,'TL13'!$J$10:$J$224),0),
IF('TL13'!$B$229=M$3,SUMIF('TL13'!$C$238:$C$451,$C400,'TL13'!$J$238:$J$451),0),
IF('TL14'!$B$3=M$3,SUMIF('TL14'!$C$10:$C$224,$C400,'TL14'!$J$10:$J$224),0),
IF('TL14'!$B$229=M$3,SUMIF('TL14'!$C$238:$C$451,$C400,'TL14'!$J$238:$J$451),0),
IF('TL15'!$B$3=M$3,SUMIF('TL15'!$C$10:$C$224,$C400,'TL15'!$J$10:$J$224),0),
IF('TL15'!$B$229=M$3,SUMIF('TL15'!$C$238:$C$451,$C400,'TL15'!$J$238:$J$451),0),
IF('TL16'!$B$3=M$3,SUMIF('TL16'!$C$10:$C$224,$C400,'TL16'!$J$10:$J$224),0),
IF('TL16'!$B$229=M$3,SUMIF('TL16'!$C$238:$C$451,$C400,'TL16'!$J$238:$J$451),0),
IF('TL17'!$B$3=M$3,SUMIF('TL17'!$C$10:$C$224,$C400,'TL17'!$J$10:$J$224),0),
IF('TL17'!$B$229=M$3,SUMIF('TL17'!$C$238:$C$451,$C400,'TL17'!$J$238:$J$451),0),
IF('TL18'!$B$3=M$3,SUMIF('TL18'!$C$10:$C$224,$C400,'TL18'!$J$10:$J$224),0),
IF('TL18'!$B$229=M$3,SUMIF('TL18'!$C$238:$C$451,$C400,'TL18'!$J$238:$J$451),0),
IF('TL19'!$B$3=M$3,SUMIF('TL19'!$C$10:$C$224,$C400,'TL19'!$J$10:$J$224),0),
IF('TL19'!$B$229=M$3,SUMIF('TL19'!$C$238:$C$451,$C400,'TL19'!$J$238:$J$451),0)
),0)</f>
        <v/>
      </c>
      <c r="N400" s="136">
        <f>IFERROR(SUM(
IF('TL01'!$B$3=N$3,SUMIF('TL01'!$C$10:$C$224,$C400,'TL01'!$J$10:$J$224),0),
IF('TL01'!$B$229=N$3,SUMIF('TL01'!$C$238:$C$451,$C400,'TL01'!$J$238:$J$451),0),
IF('TL02'!$B$3=N$3,SUMIF('TL02'!$C$10:$C$224,$C400,'TL02'!$J$10:$J$224),0),
IF('TL02'!$B$229=N$3,SUMIF('TL02'!$C$238:$C$451,$C400,'TL02'!$J$238:$J$451),0),
IF('TL03'!$B$3=N$3,SUMIF('TL03'!$C$10:$C$224,$C400,'TL03'!$J$10:$J$224),0),
IF('TL03'!$B$229=N$3,SUMIF('TL03'!$C$238:$C$451,$C400,'TL03'!$J$238:$J$451),0),
IF('TL04'!$B$3=N$3,SUMIF('TL04'!$C$10:$C$224,$C400,'TL04'!$J$10:$J$224),0),
IF('TL04'!$B$229=N$3,SUMIF('TL04'!$C$238:$C$451,$C400,'TL04'!$J$238:$J$451),0),
IF('TL05'!$B$3=N$3,SUMIF('TL05'!$C$10:$C$224,$C400,'TL05'!$J$10:$J$224),0),
IF('TL05'!$B$229=N$3,SUMIF('TL05'!$C$238:$C$451,$C400,'TL05'!$J$238:$J$451),0),
IF('TL06'!$B$3=N$3,SUMIF('TL06'!$C$10:$C$224,$C400,'TL06'!$J$10:$J$224),0),
IF('TL06'!$B$229=N$3,SUMIF('TL06'!$C$238:$C$451,$C400,'TL06'!$J$238:$J$451),0),
IF('TL07'!$B$3=N$3,SUMIF('TL07'!$C$10:$C$224,$C400,'TL07'!$J$10:$J$224),0),
IF('TL07'!$B$229=N$3,SUMIF('TL07'!$C$238:$C$451,$C400,'TL07'!$J$238:$J$451),0),
IF('TL08'!$B$3=N$3,SUMIF('TL08'!$C$10:$C$224,$C400,'TL08'!$J$10:$J$224),0),
IF('TL08'!$B$229=N$3,SUMIF('TL08'!$C$238:$C$451,$C400,'TL08'!$J$238:$J$451),0),
IF('TL09'!$B$3=N$3,SUMIF('TL09'!$C$10:$C$224,$C400,'TL09'!$J$10:$J$224),0),
IF('TL09'!$B$229=N$3,SUMIF('TL09'!$C$238:$C$451,$C400,'TL09'!$J$238:$J$451),0),
IF('TL10'!$B$3=N$3,SUMIF('TL10'!$C$10:$C$224,$C400,'TL10'!$J$10:$J$224),0),
IF('TL10'!$B$229=N$3,SUMIF('TL10'!$C$238:$C$451,$C400,'TL10'!$J$238:$J$451),0),
IF('TL11'!$B$3=N$3,SUMIF('TL11'!$C$10:$C$224,$C400,'TL11'!$J$10:$J$224),0),
IF('TL11'!$B$229=N$3,SUMIF('TL11'!$C$238:$C$451,$C400,'TL11'!$J$238:$J$451),0),
IF('TL12'!$B$3=N$3,SUMIF('TL12'!$C$10:$C$224,$C400,'TL12'!$J$10:$J$224),0),
IF('TL12'!$B$229=N$3,SUMIF('TL12'!$C$238:$C$451,$C400,'TL12'!$J$238:$J$451),0),
IF('TL13'!$B$3=N$3,SUMIF('TL13'!$C$10:$C$224,$C400,'TL13'!$J$10:$J$224),0),
IF('TL13'!$B$229=N$3,SUMIF('TL13'!$C$238:$C$451,$C400,'TL13'!$J$238:$J$451),0),
IF('TL14'!$B$3=N$3,SUMIF('TL14'!$C$10:$C$224,$C400,'TL14'!$J$10:$J$224),0),
IF('TL14'!$B$229=N$3,SUMIF('TL14'!$C$238:$C$451,$C400,'TL14'!$J$238:$J$451),0),
IF('TL15'!$B$3=N$3,SUMIF('TL15'!$C$10:$C$224,$C400,'TL15'!$J$10:$J$224),0),
IF('TL15'!$B$229=N$3,SUMIF('TL15'!$C$238:$C$451,$C400,'TL15'!$J$238:$J$451),0),
IF('TL16'!$B$3=N$3,SUMIF('TL16'!$C$10:$C$224,$C400,'TL16'!$J$10:$J$224),0),
IF('TL16'!$B$229=N$3,SUMIF('TL16'!$C$238:$C$451,$C400,'TL16'!$J$238:$J$451),0),
IF('TL17'!$B$3=N$3,SUMIF('TL17'!$C$10:$C$224,$C400,'TL17'!$J$10:$J$224),0),
IF('TL17'!$B$229=N$3,SUMIF('TL17'!$C$238:$C$451,$C400,'TL17'!$J$238:$J$451),0),
IF('TL18'!$B$3=N$3,SUMIF('TL18'!$C$10:$C$224,$C400,'TL18'!$J$10:$J$224),0),
IF('TL18'!$B$229=N$3,SUMIF('TL18'!$C$238:$C$451,$C400,'TL18'!$J$238:$J$451),0),
IF('TL19'!$B$3=N$3,SUMIF('TL19'!$C$10:$C$224,$C400,'TL19'!$J$10:$J$224),0),
IF('TL19'!$B$229=N$3,SUMIF('TL19'!$C$238:$C$451,$C400,'TL19'!$J$238:$J$451),0)
),0)</f>
        <v/>
      </c>
      <c r="O400" s="136">
        <f>IFERROR(SUM(
IF('TL01'!$B$3=O$3,SUMIF('TL01'!$C$10:$C$224,$C400,'TL01'!$J$10:$J$224),0),
IF('TL01'!$B$229=O$3,SUMIF('TL01'!$C$238:$C$451,$C400,'TL01'!$J$238:$J$451),0),
IF('TL02'!$B$3=O$3,SUMIF('TL02'!$C$10:$C$224,$C400,'TL02'!$J$10:$J$224),0),
IF('TL02'!$B$229=O$3,SUMIF('TL02'!$C$238:$C$451,$C400,'TL02'!$J$238:$J$451),0),
IF('TL03'!$B$3=O$3,SUMIF('TL03'!$C$10:$C$224,$C400,'TL03'!$J$10:$J$224),0),
IF('TL03'!$B$229=O$3,SUMIF('TL03'!$C$238:$C$451,$C400,'TL03'!$J$238:$J$451),0),
IF('TL04'!$B$3=O$3,SUMIF('TL04'!$C$10:$C$224,$C400,'TL04'!$J$10:$J$224),0),
IF('TL04'!$B$229=O$3,SUMIF('TL04'!$C$238:$C$451,$C400,'TL04'!$J$238:$J$451),0),
IF('TL05'!$B$3=O$3,SUMIF('TL05'!$C$10:$C$224,$C400,'TL05'!$J$10:$J$224),0),
IF('TL05'!$B$229=O$3,SUMIF('TL05'!$C$238:$C$451,$C400,'TL05'!$J$238:$J$451),0),
IF('TL06'!$B$3=O$3,SUMIF('TL06'!$C$10:$C$224,$C400,'TL06'!$J$10:$J$224),0),
IF('TL06'!$B$229=O$3,SUMIF('TL06'!$C$238:$C$451,$C400,'TL06'!$J$238:$J$451),0),
IF('TL07'!$B$3=O$3,SUMIF('TL07'!$C$10:$C$224,$C400,'TL07'!$J$10:$J$224),0),
IF('TL07'!$B$229=O$3,SUMIF('TL07'!$C$238:$C$451,$C400,'TL07'!$J$238:$J$451),0),
IF('TL08'!$B$3=O$3,SUMIF('TL08'!$C$10:$C$224,$C400,'TL08'!$J$10:$J$224),0),
IF('TL08'!$B$229=O$3,SUMIF('TL08'!$C$238:$C$451,$C400,'TL08'!$J$238:$J$451),0),
IF('TL09'!$B$3=O$3,SUMIF('TL09'!$C$10:$C$224,$C400,'TL09'!$J$10:$J$224),0),
IF('TL09'!$B$229=O$3,SUMIF('TL09'!$C$238:$C$451,$C400,'TL09'!$J$238:$J$451),0),
IF('TL10'!$B$3=O$3,SUMIF('TL10'!$C$10:$C$224,$C400,'TL10'!$J$10:$J$224),0),
IF('TL10'!$B$229=O$3,SUMIF('TL10'!$C$238:$C$451,$C400,'TL10'!$J$238:$J$451),0),
IF('TL11'!$B$3=O$3,SUMIF('TL11'!$C$10:$C$224,$C400,'TL11'!$J$10:$J$224),0),
IF('TL11'!$B$229=O$3,SUMIF('TL11'!$C$238:$C$451,$C400,'TL11'!$J$238:$J$451),0),
IF('TL12'!$B$3=O$3,SUMIF('TL12'!$C$10:$C$224,$C400,'TL12'!$J$10:$J$224),0),
IF('TL12'!$B$229=O$3,SUMIF('TL12'!$C$238:$C$451,$C400,'TL12'!$J$238:$J$451),0),
IF('TL13'!$B$3=O$3,SUMIF('TL13'!$C$10:$C$224,$C400,'TL13'!$J$10:$J$224),0),
IF('TL13'!$B$229=O$3,SUMIF('TL13'!$C$238:$C$451,$C400,'TL13'!$J$238:$J$451),0),
IF('TL14'!$B$3=O$3,SUMIF('TL14'!$C$10:$C$224,$C400,'TL14'!$J$10:$J$224),0),
IF('TL14'!$B$229=O$3,SUMIF('TL14'!$C$238:$C$451,$C400,'TL14'!$J$238:$J$451),0),
IF('TL15'!$B$3=O$3,SUMIF('TL15'!$C$10:$C$224,$C400,'TL15'!$J$10:$J$224),0),
IF('TL15'!$B$229=O$3,SUMIF('TL15'!$C$238:$C$451,$C400,'TL15'!$J$238:$J$451),0),
IF('TL16'!$B$3=O$3,SUMIF('TL16'!$C$10:$C$224,$C400,'TL16'!$J$10:$J$224),0),
IF('TL16'!$B$229=O$3,SUMIF('TL16'!$C$238:$C$451,$C400,'TL16'!$J$238:$J$451),0),
IF('TL17'!$B$3=O$3,SUMIF('TL17'!$C$10:$C$224,$C400,'TL17'!$J$10:$J$224),0),
IF('TL17'!$B$229=O$3,SUMIF('TL17'!$C$238:$C$451,$C400,'TL17'!$J$238:$J$451),0),
IF('TL18'!$B$3=O$3,SUMIF('TL18'!$C$10:$C$224,$C400,'TL18'!$J$10:$J$224),0),
IF('TL18'!$B$229=O$3,SUMIF('TL18'!$C$238:$C$451,$C400,'TL18'!$J$238:$J$451),0),
IF('TL19'!$B$3=O$3,SUMIF('TL19'!$C$10:$C$224,$C400,'TL19'!$J$10:$J$224),0),
IF('TL19'!$B$229=O$3,SUMIF('TL19'!$C$238:$C$451,$C400,'TL19'!$J$238:$J$451),0)
),0)</f>
        <v/>
      </c>
      <c r="P400" s="136">
        <f>IFERROR(SUM(
IF('TL01'!$B$3=P$3,SUMIF('TL01'!$C$10:$C$224,$C400,'TL01'!$J$10:$J$224),0),
IF('TL01'!$B$229=P$3,SUMIF('TL01'!$C$238:$C$451,$C400,'TL01'!$J$238:$J$451),0),
IF('TL02'!$B$3=P$3,SUMIF('TL02'!$C$10:$C$224,$C400,'TL02'!$J$10:$J$224),0),
IF('TL02'!$B$229=P$3,SUMIF('TL02'!$C$238:$C$451,$C400,'TL02'!$J$238:$J$451),0),
IF('TL03'!$B$3=P$3,SUMIF('TL03'!$C$10:$C$224,$C400,'TL03'!$J$10:$J$224),0),
IF('TL03'!$B$229=P$3,SUMIF('TL03'!$C$238:$C$451,$C400,'TL03'!$J$238:$J$451),0),
IF('TL04'!$B$3=P$3,SUMIF('TL04'!$C$10:$C$224,$C400,'TL04'!$J$10:$J$224),0),
IF('TL04'!$B$229=P$3,SUMIF('TL04'!$C$238:$C$451,$C400,'TL04'!$J$238:$J$451),0),
IF('TL05'!$B$3=P$3,SUMIF('TL05'!$C$10:$C$224,$C400,'TL05'!$J$10:$J$224),0),
IF('TL05'!$B$229=P$3,SUMIF('TL05'!$C$238:$C$451,$C400,'TL05'!$J$238:$J$451),0),
IF('TL06'!$B$3=P$3,SUMIF('TL06'!$C$10:$C$224,$C400,'TL06'!$J$10:$J$224),0),
IF('TL06'!$B$229=P$3,SUMIF('TL06'!$C$238:$C$451,$C400,'TL06'!$J$238:$J$451),0),
IF('TL07'!$B$3=P$3,SUMIF('TL07'!$C$10:$C$224,$C400,'TL07'!$J$10:$J$224),0),
IF('TL07'!$B$229=P$3,SUMIF('TL07'!$C$238:$C$451,$C400,'TL07'!$J$238:$J$451),0),
IF('TL08'!$B$3=P$3,SUMIF('TL08'!$C$10:$C$224,$C400,'TL08'!$J$10:$J$224),0),
IF('TL08'!$B$229=P$3,SUMIF('TL08'!$C$238:$C$451,$C400,'TL08'!$J$238:$J$451),0),
IF('TL09'!$B$3=P$3,SUMIF('TL09'!$C$10:$C$224,$C400,'TL09'!$J$10:$J$224),0),
IF('TL09'!$B$229=P$3,SUMIF('TL09'!$C$238:$C$451,$C400,'TL09'!$J$238:$J$451),0),
IF('TL10'!$B$3=P$3,SUMIF('TL10'!$C$10:$C$224,$C400,'TL10'!$J$10:$J$224),0),
IF('TL10'!$B$229=P$3,SUMIF('TL10'!$C$238:$C$451,$C400,'TL10'!$J$238:$J$451),0),
IF('TL11'!$B$3=P$3,SUMIF('TL11'!$C$10:$C$224,$C400,'TL11'!$J$10:$J$224),0),
IF('TL11'!$B$229=P$3,SUMIF('TL11'!$C$238:$C$451,$C400,'TL11'!$J$238:$J$451),0),
IF('TL12'!$B$3=P$3,SUMIF('TL12'!$C$10:$C$224,$C400,'TL12'!$J$10:$J$224),0),
IF('TL12'!$B$229=P$3,SUMIF('TL12'!$C$238:$C$451,$C400,'TL12'!$J$238:$J$451),0),
IF('TL13'!$B$3=P$3,SUMIF('TL13'!$C$10:$C$224,$C400,'TL13'!$J$10:$J$224),0),
IF('TL13'!$B$229=P$3,SUMIF('TL13'!$C$238:$C$451,$C400,'TL13'!$J$238:$J$451),0),
IF('TL14'!$B$3=P$3,SUMIF('TL14'!$C$10:$C$224,$C400,'TL14'!$J$10:$J$224),0),
IF('TL14'!$B$229=P$3,SUMIF('TL14'!$C$238:$C$451,$C400,'TL14'!$J$238:$J$451),0),
IF('TL15'!$B$3=P$3,SUMIF('TL15'!$C$10:$C$224,$C400,'TL15'!$J$10:$J$224),0),
IF('TL15'!$B$229=P$3,SUMIF('TL15'!$C$238:$C$451,$C400,'TL15'!$J$238:$J$451),0),
IF('TL16'!$B$3=P$3,SUMIF('TL16'!$C$10:$C$224,$C400,'TL16'!$J$10:$J$224),0),
IF('TL16'!$B$229=P$3,SUMIF('TL16'!$C$238:$C$451,$C400,'TL16'!$J$238:$J$451),0),
IF('TL17'!$B$3=P$3,SUMIF('TL17'!$C$10:$C$224,$C400,'TL17'!$J$10:$J$224),0),
IF('TL17'!$B$229=P$3,SUMIF('TL17'!$C$238:$C$451,$C400,'TL17'!$J$238:$J$451),0),
IF('TL18'!$B$3=P$3,SUMIF('TL18'!$C$10:$C$224,$C400,'TL18'!$J$10:$J$224),0),
IF('TL18'!$B$229=P$3,SUMIF('TL18'!$C$238:$C$451,$C400,'TL18'!$J$238:$J$451),0),
IF('TL19'!$B$3=P$3,SUMIF('TL19'!$C$10:$C$224,$C400,'TL19'!$J$10:$J$224),0),
IF('TL19'!$B$229=P$3,SUMIF('TL19'!$C$238:$C$451,$C400,'TL19'!$J$238:$J$451),0)
),0)</f>
        <v/>
      </c>
      <c r="Q400" s="136">
        <f>IFERROR(SUM(
IF('TL01'!$B$3=Q$3,SUMIF('TL01'!$C$10:$C$224,$C400,'TL01'!$J$10:$J$224),0),
IF('TL01'!$B$229=Q$3,SUMIF('TL01'!$C$238:$C$451,$C400,'TL01'!$J$238:$J$451),0),
IF('TL02'!$B$3=Q$3,SUMIF('TL02'!$C$10:$C$224,$C400,'TL02'!$J$10:$J$224),0),
IF('TL02'!$B$229=Q$3,SUMIF('TL02'!$C$238:$C$451,$C400,'TL02'!$J$238:$J$451),0),
IF('TL03'!$B$3=Q$3,SUMIF('TL03'!$C$10:$C$224,$C400,'TL03'!$J$10:$J$224),0),
IF('TL03'!$B$229=Q$3,SUMIF('TL03'!$C$238:$C$451,$C400,'TL03'!$J$238:$J$451),0),
IF('TL04'!$B$3=Q$3,SUMIF('TL04'!$C$10:$C$224,$C400,'TL04'!$J$10:$J$224),0),
IF('TL04'!$B$229=Q$3,SUMIF('TL04'!$C$238:$C$451,$C400,'TL04'!$J$238:$J$451),0),
IF('TL05'!$B$3=Q$3,SUMIF('TL05'!$C$10:$C$224,$C400,'TL05'!$J$10:$J$224),0),
IF('TL05'!$B$229=Q$3,SUMIF('TL05'!$C$238:$C$451,$C400,'TL05'!$J$238:$J$451),0),
IF('TL06'!$B$3=Q$3,SUMIF('TL06'!$C$10:$C$224,$C400,'TL06'!$J$10:$J$224),0),
IF('TL06'!$B$229=Q$3,SUMIF('TL06'!$C$238:$C$451,$C400,'TL06'!$J$238:$J$451),0),
IF('TL07'!$B$3=Q$3,SUMIF('TL07'!$C$10:$C$224,$C400,'TL07'!$J$10:$J$224),0),
IF('TL07'!$B$229=Q$3,SUMIF('TL07'!$C$238:$C$451,$C400,'TL07'!$J$238:$J$451),0),
IF('TL08'!$B$3=Q$3,SUMIF('TL08'!$C$10:$C$224,$C400,'TL08'!$J$10:$J$224),0),
IF('TL08'!$B$229=Q$3,SUMIF('TL08'!$C$238:$C$451,$C400,'TL08'!$J$238:$J$451),0),
IF('TL09'!$B$3=Q$3,SUMIF('TL09'!$C$10:$C$224,$C400,'TL09'!$J$10:$J$224),0),
IF('TL09'!$B$229=Q$3,SUMIF('TL09'!$C$238:$C$451,$C400,'TL09'!$J$238:$J$451),0),
IF('TL10'!$B$3=Q$3,SUMIF('TL10'!$C$10:$C$224,$C400,'TL10'!$J$10:$J$224),0),
IF('TL10'!$B$229=Q$3,SUMIF('TL10'!$C$238:$C$451,$C400,'TL10'!$J$238:$J$451),0),
IF('TL11'!$B$3=Q$3,SUMIF('TL11'!$C$10:$C$224,$C400,'TL11'!$J$10:$J$224),0),
IF('TL11'!$B$229=Q$3,SUMIF('TL11'!$C$238:$C$451,$C400,'TL11'!$J$238:$J$451),0),
IF('TL12'!$B$3=Q$3,SUMIF('TL12'!$C$10:$C$224,$C400,'TL12'!$J$10:$J$224),0),
IF('TL12'!$B$229=Q$3,SUMIF('TL12'!$C$238:$C$451,$C400,'TL12'!$J$238:$J$451),0),
IF('TL13'!$B$3=Q$3,SUMIF('TL13'!$C$10:$C$224,$C400,'TL13'!$J$10:$J$224),0),
IF('TL13'!$B$229=Q$3,SUMIF('TL13'!$C$238:$C$451,$C400,'TL13'!$J$238:$J$451),0),
IF('TL14'!$B$3=Q$3,SUMIF('TL14'!$C$10:$C$224,$C400,'TL14'!$J$10:$J$224),0),
IF('TL14'!$B$229=Q$3,SUMIF('TL14'!$C$238:$C$451,$C400,'TL14'!$J$238:$J$451),0),
IF('TL15'!$B$3=Q$3,SUMIF('TL15'!$C$10:$C$224,$C400,'TL15'!$J$10:$J$224),0),
IF('TL15'!$B$229=Q$3,SUMIF('TL15'!$C$238:$C$451,$C400,'TL15'!$J$238:$J$451),0),
IF('TL16'!$B$3=Q$3,SUMIF('TL16'!$C$10:$C$224,$C400,'TL16'!$J$10:$J$224),0),
IF('TL16'!$B$229=Q$3,SUMIF('TL16'!$C$238:$C$451,$C400,'TL16'!$J$238:$J$451),0),
IF('TL17'!$B$3=Q$3,SUMIF('TL17'!$C$10:$C$224,$C400,'TL17'!$J$10:$J$224),0),
IF('TL17'!$B$229=Q$3,SUMIF('TL17'!$C$238:$C$451,$C400,'TL17'!$J$238:$J$451),0),
IF('TL18'!$B$3=Q$3,SUMIF('TL18'!$C$10:$C$224,$C400,'TL18'!$J$10:$J$224),0),
IF('TL18'!$B$229=Q$3,SUMIF('TL18'!$C$238:$C$451,$C400,'TL18'!$J$238:$J$451),0),
IF('TL19'!$B$3=Q$3,SUMIF('TL19'!$C$10:$C$224,$C400,'TL19'!$J$10:$J$224),0),
IF('TL19'!$B$229=Q$3,SUMIF('TL19'!$C$238:$C$451,$C400,'TL19'!$J$238:$J$451),0)
),0)</f>
        <v/>
      </c>
      <c r="R400" s="139">
        <f>IFERROR(
SUM(
SUMIF('TL01'!C:C,C400,'TL01'!J:J),
SUMIF('TL02'!C:C,C400,'TL02'!I:I),
SUMIF('TL03'!C:C,C400,'TL03'!I:I),
SUMIF('TL04'!C:C,C400,'TL04'!I:I),
SUMIF('TL05'!C:C,C400,'TL05'!I:I),
SUMIF('TL06'!C:C,C400,'TL06'!I:I),
SUMIF('TL07'!C:C,C400,'TL07'!I:I),
SUMIF('TL08'!C:C,C400,'TL08'!I:I),
SUMIF('TL09'!C:C,C400,'TL09'!I:I),
SUMIF('TL10'!C:C,C400,'TL10'!I:I),
SUMIF('TL11'!C:C,C400,'TL11'!I:I),
SUMIF('TL12'!C:C,C400,'TL12'!I:I),
SUMIF('TL13'!C:C,C400,'TL13'!I:I),
SUMIF('TL14'!C:C,C400,'TL14'!I:I),
SUMIF('TL15'!C:C,C400,'TL15'!I:I),
SUMIF('TL16'!C:C,C400,'TL16'!I:I),
SUMIF('TL17'!C:C,C400,'TL17'!I:I),
SUMIF('TL18'!C:C,C400,'TL18'!I:I))
,0)</f>
        <v/>
      </c>
      <c r="S400" s="142">
        <f>'CUSTO OPERAÇÃO'!M4</f>
        <v/>
      </c>
      <c r="T400" s="139" t="n"/>
      <c r="U400" s="143">
        <f>MAX(0,R400-T400)</f>
        <v/>
      </c>
      <c r="V400" s="144">
        <f>U400*S400</f>
        <v/>
      </c>
    </row>
    <row r="401" hidden="1" ht="15.75" customHeight="1" s="297">
      <c r="A401" s="145" t="n"/>
      <c r="B401" s="146" t="inlineStr">
        <is>
          <t>MÁQUINAS</t>
        </is>
      </c>
      <c r="C401" s="147">
        <f>'CUSTO OPERAÇÃO'!D5</f>
        <v/>
      </c>
      <c r="D401" s="147" t="n"/>
      <c r="E401" s="148" t="n"/>
      <c r="F401" s="138" t="inlineStr">
        <is>
          <t>R$/Ha</t>
        </is>
      </c>
      <c r="G401" s="139" t="n"/>
      <c r="H401" s="140">
        <f>'CUSTO OPERAÇÃO'!J5</f>
        <v/>
      </c>
      <c r="I401" s="149" t="n"/>
      <c r="J401" s="147">
        <f>IFERROR(SUM(
IF('TL01'!$B$3=J$3,SUMIF('TL01'!$C$10:$C$224,$C401,'TL01'!$J$10:$J$224),0),
IF('TL01'!$B$229=J$3,SUMIF('TL01'!$C$238:$C$451,$C401,'TL01'!$J$238:$J$451),0),
IF('TL02'!$B$3=J$3,SUMIF('TL02'!$C$10:$C$224,$C401,'TL02'!$J$10:$J$224),0),
IF('TL02'!$B$229=J$3,SUMIF('TL02'!$C$238:$C$451,$C401,'TL02'!$J$238:$J$451),0),
IF('TL03'!$B$3=J$3,SUMIF('TL03'!$C$10:$C$224,$C401,'TL03'!$J$10:$J$224),0),
IF('TL03'!$B$229=J$3,SUMIF('TL03'!$C$238:$C$451,$C401,'TL03'!$J$238:$J$451),0),
IF('TL04'!$B$3=J$3,SUMIF('TL04'!$C$10:$C$224,$C401,'TL04'!$J$10:$J$224),0),
IF('TL04'!$B$229=J$3,SUMIF('TL04'!$C$238:$C$451,$C401,'TL04'!$J$238:$J$451),0),
IF('TL05'!$B$3=J$3,SUMIF('TL05'!$C$10:$C$224,$C401,'TL05'!$J$10:$J$224),0),
IF('TL05'!$B$229=J$3,SUMIF('TL05'!$C$238:$C$451,$C401,'TL05'!$J$238:$J$451),0),
IF('TL06'!$B$3=J$3,SUMIF('TL06'!$C$10:$C$224,$C401,'TL06'!$J$10:$J$224),0),
IF('TL06'!$B$229=J$3,SUMIF('TL06'!$C$238:$C$451,$C401,'TL06'!$J$238:$J$451),0),
IF('TL07'!$B$3=J$3,SUMIF('TL07'!$C$10:$C$224,$C401,'TL07'!$J$10:$J$224),0),
IF('TL07'!$B$229=J$3,SUMIF('TL07'!$C$238:$C$451,$C401,'TL07'!$J$238:$J$451),0),
IF('TL08'!$B$3=J$3,SUMIF('TL08'!$C$10:$C$224,$C401,'TL08'!$J$10:$J$224),0),
IF('TL08'!$B$229=J$3,SUMIF('TL08'!$C$238:$C$451,$C401,'TL08'!$J$238:$J$451),0),
IF('TL09'!$B$3=J$3,SUMIF('TL09'!$C$10:$C$224,$C401,'TL09'!$J$10:$J$224),0),
IF('TL09'!$B$229=J$3,SUMIF('TL09'!$C$238:$C$451,$C401,'TL09'!$J$238:$J$451),0),
IF('TL10'!$B$3=J$3,SUMIF('TL10'!$C$10:$C$224,$C401,'TL10'!$J$10:$J$224),0),
IF('TL10'!$B$229=J$3,SUMIF('TL10'!$C$238:$C$451,$C401,'TL10'!$J$238:$J$451),0),
IF('TL11'!$B$3=J$3,SUMIF('TL11'!$C$10:$C$224,$C401,'TL11'!$J$10:$J$224),0),
IF('TL11'!$B$229=J$3,SUMIF('TL11'!$C$238:$C$451,$C401,'TL11'!$J$238:$J$451),0),
IF('TL12'!$B$3=J$3,SUMIF('TL12'!$C$10:$C$224,$C401,'TL12'!$J$10:$J$224),0),
IF('TL12'!$B$229=J$3,SUMIF('TL12'!$C$238:$C$451,$C401,'TL12'!$J$238:$J$451),0),
IF('TL13'!$B$3=J$3,SUMIF('TL13'!$C$10:$C$224,$C401,'TL13'!$J$10:$J$224),0),
IF('TL13'!$B$229=J$3,SUMIF('TL13'!$C$238:$C$451,$C401,'TL13'!$J$238:$J$451),0),
IF('TL14'!$B$3=J$3,SUMIF('TL14'!$C$10:$C$224,$C401,'TL14'!$J$10:$J$224),0),
IF('TL14'!$B$229=J$3,SUMIF('TL14'!$C$238:$C$451,$C401,'TL14'!$J$238:$J$451),0),
IF('TL15'!$B$3=J$3,SUMIF('TL15'!$C$10:$C$224,$C401,'TL15'!$J$10:$J$224),0),
IF('TL15'!$B$229=J$3,SUMIF('TL15'!$C$238:$C$451,$C401,'TL15'!$J$238:$J$451),0),
IF('TL16'!$B$3=J$3,SUMIF('TL16'!$C$10:$C$224,$C401,'TL16'!$J$10:$J$224),0),
IF('TL16'!$B$229=J$3,SUMIF('TL16'!$C$238:$C$451,$C401,'TL16'!$J$238:$J$451),0),
IF('TL17'!$B$3=J$3,SUMIF('TL17'!$C$10:$C$224,$C401,'TL17'!$J$10:$J$224),0),
IF('TL17'!$B$229=J$3,SUMIF('TL17'!$C$238:$C$451,$C401,'TL17'!$J$238:$J$451),0),
IF('TL18'!$B$3=J$3,SUMIF('TL18'!$C$10:$C$224,$C401,'TL18'!$J$10:$J$224),0),
IF('TL18'!$B$229=J$3,SUMIF('TL18'!$C$238:$C$451,$C401,'TL18'!$J$238:$J$451),0),
IF('TL19'!$B$3=J$3,SUMIF('TL19'!$C$10:$C$224,$C401,'TL19'!$J$10:$J$224),0),
IF('TL19'!$B$229=J$3,SUMIF('TL19'!$C$238:$C$451,$C401,'TL19'!$J$238:$J$451),0)
),0)</f>
        <v/>
      </c>
      <c r="K401" s="147">
        <f>IFERROR(SUM(
IF('TL01'!$B$3=K$3,SUMIF('TL01'!$C$10:$C$224,$C401,'TL01'!$J$10:$J$224),0),
IF('TL01'!$B$229=K$3,SUMIF('TL01'!$C$238:$C$451,$C401,'TL01'!$J$238:$J$451),0),
IF('TL02'!$B$3=K$3,SUMIF('TL02'!$C$10:$C$224,$C401,'TL02'!$J$10:$J$224),0),
IF('TL02'!$B$229=K$3,SUMIF('TL02'!$C$238:$C$451,$C401,'TL02'!$J$238:$J$451),0),
IF('TL03'!$B$3=K$3,SUMIF('TL03'!$C$10:$C$224,$C401,'TL03'!$J$10:$J$224),0),
IF('TL03'!$B$229=K$3,SUMIF('TL03'!$C$238:$C$451,$C401,'TL03'!$J$238:$J$451),0),
IF('TL04'!$B$3=K$3,SUMIF('TL04'!$C$10:$C$224,$C401,'TL04'!$J$10:$J$224),0),
IF('TL04'!$B$229=K$3,SUMIF('TL04'!$C$238:$C$451,$C401,'TL04'!$J$238:$J$451),0),
IF('TL05'!$B$3=K$3,SUMIF('TL05'!$C$10:$C$224,$C401,'TL05'!$J$10:$J$224),0),
IF('TL05'!$B$229=K$3,SUMIF('TL05'!$C$238:$C$451,$C401,'TL05'!$J$238:$J$451),0),
IF('TL06'!$B$3=K$3,SUMIF('TL06'!$C$10:$C$224,$C401,'TL06'!$J$10:$J$224),0),
IF('TL06'!$B$229=K$3,SUMIF('TL06'!$C$238:$C$451,$C401,'TL06'!$J$238:$J$451),0),
IF('TL07'!$B$3=K$3,SUMIF('TL07'!$C$10:$C$224,$C401,'TL07'!$J$10:$J$224),0),
IF('TL07'!$B$229=K$3,SUMIF('TL07'!$C$238:$C$451,$C401,'TL07'!$J$238:$J$451),0),
IF('TL08'!$B$3=K$3,SUMIF('TL08'!$C$10:$C$224,$C401,'TL08'!$J$10:$J$224),0),
IF('TL08'!$B$229=K$3,SUMIF('TL08'!$C$238:$C$451,$C401,'TL08'!$J$238:$J$451),0),
IF('TL09'!$B$3=K$3,SUMIF('TL09'!$C$10:$C$224,$C401,'TL09'!$J$10:$J$224),0),
IF('TL09'!$B$229=K$3,SUMIF('TL09'!$C$238:$C$451,$C401,'TL09'!$J$238:$J$451),0),
IF('TL10'!$B$3=K$3,SUMIF('TL10'!$C$10:$C$224,$C401,'TL10'!$J$10:$J$224),0),
IF('TL10'!$B$229=K$3,SUMIF('TL10'!$C$238:$C$451,$C401,'TL10'!$J$238:$J$451),0),
IF('TL11'!$B$3=K$3,SUMIF('TL11'!$C$10:$C$224,$C401,'TL11'!$J$10:$J$224),0),
IF('TL11'!$B$229=K$3,SUMIF('TL11'!$C$238:$C$451,$C401,'TL11'!$J$238:$J$451),0),
IF('TL12'!$B$3=K$3,SUMIF('TL12'!$C$10:$C$224,$C401,'TL12'!$J$10:$J$224),0),
IF('TL12'!$B$229=K$3,SUMIF('TL12'!$C$238:$C$451,$C401,'TL12'!$J$238:$J$451),0),
IF('TL13'!$B$3=K$3,SUMIF('TL13'!$C$10:$C$224,$C401,'TL13'!$J$10:$J$224),0),
IF('TL13'!$B$229=K$3,SUMIF('TL13'!$C$238:$C$451,$C401,'TL13'!$J$238:$J$451),0),
IF('TL14'!$B$3=K$3,SUMIF('TL14'!$C$10:$C$224,$C401,'TL14'!$J$10:$J$224),0),
IF('TL14'!$B$229=K$3,SUMIF('TL14'!$C$238:$C$451,$C401,'TL14'!$J$238:$J$451),0),
IF('TL15'!$B$3=K$3,SUMIF('TL15'!$C$10:$C$224,$C401,'TL15'!$J$10:$J$224),0),
IF('TL15'!$B$229=K$3,SUMIF('TL15'!$C$238:$C$451,$C401,'TL15'!$J$238:$J$451),0),
IF('TL16'!$B$3=K$3,SUMIF('TL16'!$C$10:$C$224,$C401,'TL16'!$J$10:$J$224),0),
IF('TL16'!$B$229=K$3,SUMIF('TL16'!$C$238:$C$451,$C401,'TL16'!$J$238:$J$451),0),
IF('TL17'!$B$3=K$3,SUMIF('TL17'!$C$10:$C$224,$C401,'TL17'!$J$10:$J$224),0),
IF('TL17'!$B$229=K$3,SUMIF('TL17'!$C$238:$C$451,$C401,'TL17'!$J$238:$J$451),0),
IF('TL18'!$B$3=K$3,SUMIF('TL18'!$C$10:$C$224,$C401,'TL18'!$J$10:$J$224),0),
IF('TL18'!$B$229=K$3,SUMIF('TL18'!$C$238:$C$451,$C401,'TL18'!$J$238:$J$451),0),
IF('TL19'!$B$3=K$3,SUMIF('TL19'!$C$10:$C$224,$C401,'TL19'!$J$10:$J$224),0),
IF('TL19'!$B$229=K$3,SUMIF('TL19'!$C$238:$C$451,$C401,'TL19'!$J$238:$J$451),0)
),0)</f>
        <v/>
      </c>
      <c r="L401" s="147">
        <f>IFERROR(SUM(
IF('TL01'!$B$3=L$3,SUMIF('TL01'!$C$10:$C$224,$C401,'TL01'!$J$10:$J$224),0),
IF('TL01'!$B$229=L$3,SUMIF('TL01'!$C$238:$C$451,$C401,'TL01'!$J$238:$J$451),0),
IF('TL02'!$B$3=L$3,SUMIF('TL02'!$C$10:$C$224,$C401,'TL02'!$J$10:$J$224),0),
IF('TL02'!$B$229=L$3,SUMIF('TL02'!$C$238:$C$451,$C401,'TL02'!$J$238:$J$451),0),
IF('TL03'!$B$3=L$3,SUMIF('TL03'!$C$10:$C$224,$C401,'TL03'!$J$10:$J$224),0),
IF('TL03'!$B$229=L$3,SUMIF('TL03'!$C$238:$C$451,$C401,'TL03'!$J$238:$J$451),0),
IF('TL04'!$B$3=L$3,SUMIF('TL04'!$C$10:$C$224,$C401,'TL04'!$J$10:$J$224),0),
IF('TL04'!$B$229=L$3,SUMIF('TL04'!$C$238:$C$451,$C401,'TL04'!$J$238:$J$451),0),
IF('TL05'!$B$3=L$3,SUMIF('TL05'!$C$10:$C$224,$C401,'TL05'!$J$10:$J$224),0),
IF('TL05'!$B$229=L$3,SUMIF('TL05'!$C$238:$C$451,$C401,'TL05'!$J$238:$J$451),0),
IF('TL06'!$B$3=L$3,SUMIF('TL06'!$C$10:$C$224,$C401,'TL06'!$J$10:$J$224),0),
IF('TL06'!$B$229=L$3,SUMIF('TL06'!$C$238:$C$451,$C401,'TL06'!$J$238:$J$451),0),
IF('TL07'!$B$3=L$3,SUMIF('TL07'!$C$10:$C$224,$C401,'TL07'!$J$10:$J$224),0),
IF('TL07'!$B$229=L$3,SUMIF('TL07'!$C$238:$C$451,$C401,'TL07'!$J$238:$J$451),0),
IF('TL08'!$B$3=L$3,SUMIF('TL08'!$C$10:$C$224,$C401,'TL08'!$J$10:$J$224),0),
IF('TL08'!$B$229=L$3,SUMIF('TL08'!$C$238:$C$451,$C401,'TL08'!$J$238:$J$451),0),
IF('TL09'!$B$3=L$3,SUMIF('TL09'!$C$10:$C$224,$C401,'TL09'!$J$10:$J$224),0),
IF('TL09'!$B$229=L$3,SUMIF('TL09'!$C$238:$C$451,$C401,'TL09'!$J$238:$J$451),0),
IF('TL10'!$B$3=L$3,SUMIF('TL10'!$C$10:$C$224,$C401,'TL10'!$J$10:$J$224),0),
IF('TL10'!$B$229=L$3,SUMIF('TL10'!$C$238:$C$451,$C401,'TL10'!$J$238:$J$451),0),
IF('TL11'!$B$3=L$3,SUMIF('TL11'!$C$10:$C$224,$C401,'TL11'!$J$10:$J$224),0),
IF('TL11'!$B$229=L$3,SUMIF('TL11'!$C$238:$C$451,$C401,'TL11'!$J$238:$J$451),0),
IF('TL12'!$B$3=L$3,SUMIF('TL12'!$C$10:$C$224,$C401,'TL12'!$J$10:$J$224),0),
IF('TL12'!$B$229=L$3,SUMIF('TL12'!$C$238:$C$451,$C401,'TL12'!$J$238:$J$451),0),
IF('TL13'!$B$3=L$3,SUMIF('TL13'!$C$10:$C$224,$C401,'TL13'!$J$10:$J$224),0),
IF('TL13'!$B$229=L$3,SUMIF('TL13'!$C$238:$C$451,$C401,'TL13'!$J$238:$J$451),0),
IF('TL14'!$B$3=L$3,SUMIF('TL14'!$C$10:$C$224,$C401,'TL14'!$J$10:$J$224),0),
IF('TL14'!$B$229=L$3,SUMIF('TL14'!$C$238:$C$451,$C401,'TL14'!$J$238:$J$451),0),
IF('TL15'!$B$3=L$3,SUMIF('TL15'!$C$10:$C$224,$C401,'TL15'!$J$10:$J$224),0),
IF('TL15'!$B$229=L$3,SUMIF('TL15'!$C$238:$C$451,$C401,'TL15'!$J$238:$J$451),0),
IF('TL16'!$B$3=L$3,SUMIF('TL16'!$C$10:$C$224,$C401,'TL16'!$J$10:$J$224),0),
IF('TL16'!$B$229=L$3,SUMIF('TL16'!$C$238:$C$451,$C401,'TL16'!$J$238:$J$451),0),
IF('TL17'!$B$3=L$3,SUMIF('TL17'!$C$10:$C$224,$C401,'TL17'!$J$10:$J$224),0),
IF('TL17'!$B$229=L$3,SUMIF('TL17'!$C$238:$C$451,$C401,'TL17'!$J$238:$J$451),0),
IF('TL18'!$B$3=L$3,SUMIF('TL18'!$C$10:$C$224,$C401,'TL18'!$J$10:$J$224),0),
IF('TL18'!$B$229=L$3,SUMIF('TL18'!$C$238:$C$451,$C401,'TL18'!$J$238:$J$451),0),
IF('TL19'!$B$3=L$3,SUMIF('TL19'!$C$10:$C$224,$C401,'TL19'!$J$10:$J$224),0),
IF('TL19'!$B$229=L$3,SUMIF('TL19'!$C$238:$C$451,$C401,'TL19'!$J$238:$J$451),0)
),0)</f>
        <v/>
      </c>
      <c r="M401" s="147">
        <f>IFERROR(SUM(
IF('TL01'!$B$3=M$3,SUMIF('TL01'!$C$10:$C$224,$C401,'TL01'!$J$10:$J$224),0),
IF('TL01'!$B$229=M$3,SUMIF('TL01'!$C$238:$C$451,$C401,'TL01'!$J$238:$J$451),0),
IF('TL02'!$B$3=M$3,SUMIF('TL02'!$C$10:$C$224,$C401,'TL02'!$J$10:$J$224),0),
IF('TL02'!$B$229=M$3,SUMIF('TL02'!$C$238:$C$451,$C401,'TL02'!$J$238:$J$451),0),
IF('TL03'!$B$3=M$3,SUMIF('TL03'!$C$10:$C$224,$C401,'TL03'!$J$10:$J$224),0),
IF('TL03'!$B$229=M$3,SUMIF('TL03'!$C$238:$C$451,$C401,'TL03'!$J$238:$J$451),0),
IF('TL04'!$B$3=M$3,SUMIF('TL04'!$C$10:$C$224,$C401,'TL04'!$J$10:$J$224),0),
IF('TL04'!$B$229=M$3,SUMIF('TL04'!$C$238:$C$451,$C401,'TL04'!$J$238:$J$451),0),
IF('TL05'!$B$3=M$3,SUMIF('TL05'!$C$10:$C$224,$C401,'TL05'!$J$10:$J$224),0),
IF('TL05'!$B$229=M$3,SUMIF('TL05'!$C$238:$C$451,$C401,'TL05'!$J$238:$J$451),0),
IF('TL06'!$B$3=M$3,SUMIF('TL06'!$C$10:$C$224,$C401,'TL06'!$J$10:$J$224),0),
IF('TL06'!$B$229=M$3,SUMIF('TL06'!$C$238:$C$451,$C401,'TL06'!$J$238:$J$451),0),
IF('TL07'!$B$3=M$3,SUMIF('TL07'!$C$10:$C$224,$C401,'TL07'!$J$10:$J$224),0),
IF('TL07'!$B$229=M$3,SUMIF('TL07'!$C$238:$C$451,$C401,'TL07'!$J$238:$J$451),0),
IF('TL08'!$B$3=M$3,SUMIF('TL08'!$C$10:$C$224,$C401,'TL08'!$J$10:$J$224),0),
IF('TL08'!$B$229=M$3,SUMIF('TL08'!$C$238:$C$451,$C401,'TL08'!$J$238:$J$451),0),
IF('TL09'!$B$3=M$3,SUMIF('TL09'!$C$10:$C$224,$C401,'TL09'!$J$10:$J$224),0),
IF('TL09'!$B$229=M$3,SUMIF('TL09'!$C$238:$C$451,$C401,'TL09'!$J$238:$J$451),0),
IF('TL10'!$B$3=M$3,SUMIF('TL10'!$C$10:$C$224,$C401,'TL10'!$J$10:$J$224),0),
IF('TL10'!$B$229=M$3,SUMIF('TL10'!$C$238:$C$451,$C401,'TL10'!$J$238:$J$451),0),
IF('TL11'!$B$3=M$3,SUMIF('TL11'!$C$10:$C$224,$C401,'TL11'!$J$10:$J$224),0),
IF('TL11'!$B$229=M$3,SUMIF('TL11'!$C$238:$C$451,$C401,'TL11'!$J$238:$J$451),0),
IF('TL12'!$B$3=M$3,SUMIF('TL12'!$C$10:$C$224,$C401,'TL12'!$J$10:$J$224),0),
IF('TL12'!$B$229=M$3,SUMIF('TL12'!$C$238:$C$451,$C401,'TL12'!$J$238:$J$451),0),
IF('TL13'!$B$3=M$3,SUMIF('TL13'!$C$10:$C$224,$C401,'TL13'!$J$10:$J$224),0),
IF('TL13'!$B$229=M$3,SUMIF('TL13'!$C$238:$C$451,$C401,'TL13'!$J$238:$J$451),0),
IF('TL14'!$B$3=M$3,SUMIF('TL14'!$C$10:$C$224,$C401,'TL14'!$J$10:$J$224),0),
IF('TL14'!$B$229=M$3,SUMIF('TL14'!$C$238:$C$451,$C401,'TL14'!$J$238:$J$451),0),
IF('TL15'!$B$3=M$3,SUMIF('TL15'!$C$10:$C$224,$C401,'TL15'!$J$10:$J$224),0),
IF('TL15'!$B$229=M$3,SUMIF('TL15'!$C$238:$C$451,$C401,'TL15'!$J$238:$J$451),0),
IF('TL16'!$B$3=M$3,SUMIF('TL16'!$C$10:$C$224,$C401,'TL16'!$J$10:$J$224),0),
IF('TL16'!$B$229=M$3,SUMIF('TL16'!$C$238:$C$451,$C401,'TL16'!$J$238:$J$451),0),
IF('TL17'!$B$3=M$3,SUMIF('TL17'!$C$10:$C$224,$C401,'TL17'!$J$10:$J$224),0),
IF('TL17'!$B$229=M$3,SUMIF('TL17'!$C$238:$C$451,$C401,'TL17'!$J$238:$J$451),0),
IF('TL18'!$B$3=M$3,SUMIF('TL18'!$C$10:$C$224,$C401,'TL18'!$J$10:$J$224),0),
IF('TL18'!$B$229=M$3,SUMIF('TL18'!$C$238:$C$451,$C401,'TL18'!$J$238:$J$451),0),
IF('TL19'!$B$3=M$3,SUMIF('TL19'!$C$10:$C$224,$C401,'TL19'!$J$10:$J$224),0),
IF('TL19'!$B$229=M$3,SUMIF('TL19'!$C$238:$C$451,$C401,'TL19'!$J$238:$J$451),0)
),0)</f>
        <v/>
      </c>
      <c r="N401" s="147">
        <f>IFERROR(SUM(
IF('TL01'!$B$3=N$3,SUMIF('TL01'!$C$10:$C$224,$C401,'TL01'!$J$10:$J$224),0),
IF('TL01'!$B$229=N$3,SUMIF('TL01'!$C$238:$C$451,$C401,'TL01'!$J$238:$J$451),0),
IF('TL02'!$B$3=N$3,SUMIF('TL02'!$C$10:$C$224,$C401,'TL02'!$J$10:$J$224),0),
IF('TL02'!$B$229=N$3,SUMIF('TL02'!$C$238:$C$451,$C401,'TL02'!$J$238:$J$451),0),
IF('TL03'!$B$3=N$3,SUMIF('TL03'!$C$10:$C$224,$C401,'TL03'!$J$10:$J$224),0),
IF('TL03'!$B$229=N$3,SUMIF('TL03'!$C$238:$C$451,$C401,'TL03'!$J$238:$J$451),0),
IF('TL04'!$B$3=N$3,SUMIF('TL04'!$C$10:$C$224,$C401,'TL04'!$J$10:$J$224),0),
IF('TL04'!$B$229=N$3,SUMIF('TL04'!$C$238:$C$451,$C401,'TL04'!$J$238:$J$451),0),
IF('TL05'!$B$3=N$3,SUMIF('TL05'!$C$10:$C$224,$C401,'TL05'!$J$10:$J$224),0),
IF('TL05'!$B$229=N$3,SUMIF('TL05'!$C$238:$C$451,$C401,'TL05'!$J$238:$J$451),0),
IF('TL06'!$B$3=N$3,SUMIF('TL06'!$C$10:$C$224,$C401,'TL06'!$J$10:$J$224),0),
IF('TL06'!$B$229=N$3,SUMIF('TL06'!$C$238:$C$451,$C401,'TL06'!$J$238:$J$451),0),
IF('TL07'!$B$3=N$3,SUMIF('TL07'!$C$10:$C$224,$C401,'TL07'!$J$10:$J$224),0),
IF('TL07'!$B$229=N$3,SUMIF('TL07'!$C$238:$C$451,$C401,'TL07'!$J$238:$J$451),0),
IF('TL08'!$B$3=N$3,SUMIF('TL08'!$C$10:$C$224,$C401,'TL08'!$J$10:$J$224),0),
IF('TL08'!$B$229=N$3,SUMIF('TL08'!$C$238:$C$451,$C401,'TL08'!$J$238:$J$451),0),
IF('TL09'!$B$3=N$3,SUMIF('TL09'!$C$10:$C$224,$C401,'TL09'!$J$10:$J$224),0),
IF('TL09'!$B$229=N$3,SUMIF('TL09'!$C$238:$C$451,$C401,'TL09'!$J$238:$J$451),0),
IF('TL10'!$B$3=N$3,SUMIF('TL10'!$C$10:$C$224,$C401,'TL10'!$J$10:$J$224),0),
IF('TL10'!$B$229=N$3,SUMIF('TL10'!$C$238:$C$451,$C401,'TL10'!$J$238:$J$451),0),
IF('TL11'!$B$3=N$3,SUMIF('TL11'!$C$10:$C$224,$C401,'TL11'!$J$10:$J$224),0),
IF('TL11'!$B$229=N$3,SUMIF('TL11'!$C$238:$C$451,$C401,'TL11'!$J$238:$J$451),0),
IF('TL12'!$B$3=N$3,SUMIF('TL12'!$C$10:$C$224,$C401,'TL12'!$J$10:$J$224),0),
IF('TL12'!$B$229=N$3,SUMIF('TL12'!$C$238:$C$451,$C401,'TL12'!$J$238:$J$451),0),
IF('TL13'!$B$3=N$3,SUMIF('TL13'!$C$10:$C$224,$C401,'TL13'!$J$10:$J$224),0),
IF('TL13'!$B$229=N$3,SUMIF('TL13'!$C$238:$C$451,$C401,'TL13'!$J$238:$J$451),0),
IF('TL14'!$B$3=N$3,SUMIF('TL14'!$C$10:$C$224,$C401,'TL14'!$J$10:$J$224),0),
IF('TL14'!$B$229=N$3,SUMIF('TL14'!$C$238:$C$451,$C401,'TL14'!$J$238:$J$451),0),
IF('TL15'!$B$3=N$3,SUMIF('TL15'!$C$10:$C$224,$C401,'TL15'!$J$10:$J$224),0),
IF('TL15'!$B$229=N$3,SUMIF('TL15'!$C$238:$C$451,$C401,'TL15'!$J$238:$J$451),0),
IF('TL16'!$B$3=N$3,SUMIF('TL16'!$C$10:$C$224,$C401,'TL16'!$J$10:$J$224),0),
IF('TL16'!$B$229=N$3,SUMIF('TL16'!$C$238:$C$451,$C401,'TL16'!$J$238:$J$451),0),
IF('TL17'!$B$3=N$3,SUMIF('TL17'!$C$10:$C$224,$C401,'TL17'!$J$10:$J$224),0),
IF('TL17'!$B$229=N$3,SUMIF('TL17'!$C$238:$C$451,$C401,'TL17'!$J$238:$J$451),0),
IF('TL18'!$B$3=N$3,SUMIF('TL18'!$C$10:$C$224,$C401,'TL18'!$J$10:$J$224),0),
IF('TL18'!$B$229=N$3,SUMIF('TL18'!$C$238:$C$451,$C401,'TL18'!$J$238:$J$451),0),
IF('TL19'!$B$3=N$3,SUMIF('TL19'!$C$10:$C$224,$C401,'TL19'!$J$10:$J$224),0),
IF('TL19'!$B$229=N$3,SUMIF('TL19'!$C$238:$C$451,$C401,'TL19'!$J$238:$J$451),0)
),0)</f>
        <v/>
      </c>
      <c r="O401" s="147">
        <f>IFERROR(SUM(
IF('TL01'!$B$3=O$3,SUMIF('TL01'!$C$10:$C$224,$C401,'TL01'!$J$10:$J$224),0),
IF('TL01'!$B$229=O$3,SUMIF('TL01'!$C$238:$C$451,$C401,'TL01'!$J$238:$J$451),0),
IF('TL02'!$B$3=O$3,SUMIF('TL02'!$C$10:$C$224,$C401,'TL02'!$J$10:$J$224),0),
IF('TL02'!$B$229=O$3,SUMIF('TL02'!$C$238:$C$451,$C401,'TL02'!$J$238:$J$451),0),
IF('TL03'!$B$3=O$3,SUMIF('TL03'!$C$10:$C$224,$C401,'TL03'!$J$10:$J$224),0),
IF('TL03'!$B$229=O$3,SUMIF('TL03'!$C$238:$C$451,$C401,'TL03'!$J$238:$J$451),0),
IF('TL04'!$B$3=O$3,SUMIF('TL04'!$C$10:$C$224,$C401,'TL04'!$J$10:$J$224),0),
IF('TL04'!$B$229=O$3,SUMIF('TL04'!$C$238:$C$451,$C401,'TL04'!$J$238:$J$451),0),
IF('TL05'!$B$3=O$3,SUMIF('TL05'!$C$10:$C$224,$C401,'TL05'!$J$10:$J$224),0),
IF('TL05'!$B$229=O$3,SUMIF('TL05'!$C$238:$C$451,$C401,'TL05'!$J$238:$J$451),0),
IF('TL06'!$B$3=O$3,SUMIF('TL06'!$C$10:$C$224,$C401,'TL06'!$J$10:$J$224),0),
IF('TL06'!$B$229=O$3,SUMIF('TL06'!$C$238:$C$451,$C401,'TL06'!$J$238:$J$451),0),
IF('TL07'!$B$3=O$3,SUMIF('TL07'!$C$10:$C$224,$C401,'TL07'!$J$10:$J$224),0),
IF('TL07'!$B$229=O$3,SUMIF('TL07'!$C$238:$C$451,$C401,'TL07'!$J$238:$J$451),0),
IF('TL08'!$B$3=O$3,SUMIF('TL08'!$C$10:$C$224,$C401,'TL08'!$J$10:$J$224),0),
IF('TL08'!$B$229=O$3,SUMIF('TL08'!$C$238:$C$451,$C401,'TL08'!$J$238:$J$451),0),
IF('TL09'!$B$3=O$3,SUMIF('TL09'!$C$10:$C$224,$C401,'TL09'!$J$10:$J$224),0),
IF('TL09'!$B$229=O$3,SUMIF('TL09'!$C$238:$C$451,$C401,'TL09'!$J$238:$J$451),0),
IF('TL10'!$B$3=O$3,SUMIF('TL10'!$C$10:$C$224,$C401,'TL10'!$J$10:$J$224),0),
IF('TL10'!$B$229=O$3,SUMIF('TL10'!$C$238:$C$451,$C401,'TL10'!$J$238:$J$451),0),
IF('TL11'!$B$3=O$3,SUMIF('TL11'!$C$10:$C$224,$C401,'TL11'!$J$10:$J$224),0),
IF('TL11'!$B$229=O$3,SUMIF('TL11'!$C$238:$C$451,$C401,'TL11'!$J$238:$J$451),0),
IF('TL12'!$B$3=O$3,SUMIF('TL12'!$C$10:$C$224,$C401,'TL12'!$J$10:$J$224),0),
IF('TL12'!$B$229=O$3,SUMIF('TL12'!$C$238:$C$451,$C401,'TL12'!$J$238:$J$451),0),
IF('TL13'!$B$3=O$3,SUMIF('TL13'!$C$10:$C$224,$C401,'TL13'!$J$10:$J$224),0),
IF('TL13'!$B$229=O$3,SUMIF('TL13'!$C$238:$C$451,$C401,'TL13'!$J$238:$J$451),0),
IF('TL14'!$B$3=O$3,SUMIF('TL14'!$C$10:$C$224,$C401,'TL14'!$J$10:$J$224),0),
IF('TL14'!$B$229=O$3,SUMIF('TL14'!$C$238:$C$451,$C401,'TL14'!$J$238:$J$451),0),
IF('TL15'!$B$3=O$3,SUMIF('TL15'!$C$10:$C$224,$C401,'TL15'!$J$10:$J$224),0),
IF('TL15'!$B$229=O$3,SUMIF('TL15'!$C$238:$C$451,$C401,'TL15'!$J$238:$J$451),0),
IF('TL16'!$B$3=O$3,SUMIF('TL16'!$C$10:$C$224,$C401,'TL16'!$J$10:$J$224),0),
IF('TL16'!$B$229=O$3,SUMIF('TL16'!$C$238:$C$451,$C401,'TL16'!$J$238:$J$451),0),
IF('TL17'!$B$3=O$3,SUMIF('TL17'!$C$10:$C$224,$C401,'TL17'!$J$10:$J$224),0),
IF('TL17'!$B$229=O$3,SUMIF('TL17'!$C$238:$C$451,$C401,'TL17'!$J$238:$J$451),0),
IF('TL18'!$B$3=O$3,SUMIF('TL18'!$C$10:$C$224,$C401,'TL18'!$J$10:$J$224),0),
IF('TL18'!$B$229=O$3,SUMIF('TL18'!$C$238:$C$451,$C401,'TL18'!$J$238:$J$451),0),
IF('TL19'!$B$3=O$3,SUMIF('TL19'!$C$10:$C$224,$C401,'TL19'!$J$10:$J$224),0),
IF('TL19'!$B$229=O$3,SUMIF('TL19'!$C$238:$C$451,$C401,'TL19'!$J$238:$J$451),0)
),0)</f>
        <v/>
      </c>
      <c r="P401" s="147">
        <f>IFERROR(SUM(
IF('TL01'!$B$3=P$3,SUMIF('TL01'!$C$10:$C$224,$C401,'TL01'!$J$10:$J$224),0),
IF('TL01'!$B$229=P$3,SUMIF('TL01'!$C$238:$C$451,$C401,'TL01'!$J$238:$J$451),0),
IF('TL02'!$B$3=P$3,SUMIF('TL02'!$C$10:$C$224,$C401,'TL02'!$J$10:$J$224),0),
IF('TL02'!$B$229=P$3,SUMIF('TL02'!$C$238:$C$451,$C401,'TL02'!$J$238:$J$451),0),
IF('TL03'!$B$3=P$3,SUMIF('TL03'!$C$10:$C$224,$C401,'TL03'!$J$10:$J$224),0),
IF('TL03'!$B$229=P$3,SUMIF('TL03'!$C$238:$C$451,$C401,'TL03'!$J$238:$J$451),0),
IF('TL04'!$B$3=P$3,SUMIF('TL04'!$C$10:$C$224,$C401,'TL04'!$J$10:$J$224),0),
IF('TL04'!$B$229=P$3,SUMIF('TL04'!$C$238:$C$451,$C401,'TL04'!$J$238:$J$451),0),
IF('TL05'!$B$3=P$3,SUMIF('TL05'!$C$10:$C$224,$C401,'TL05'!$J$10:$J$224),0),
IF('TL05'!$B$229=P$3,SUMIF('TL05'!$C$238:$C$451,$C401,'TL05'!$J$238:$J$451),0),
IF('TL06'!$B$3=P$3,SUMIF('TL06'!$C$10:$C$224,$C401,'TL06'!$J$10:$J$224),0),
IF('TL06'!$B$229=P$3,SUMIF('TL06'!$C$238:$C$451,$C401,'TL06'!$J$238:$J$451),0),
IF('TL07'!$B$3=P$3,SUMIF('TL07'!$C$10:$C$224,$C401,'TL07'!$J$10:$J$224),0),
IF('TL07'!$B$229=P$3,SUMIF('TL07'!$C$238:$C$451,$C401,'TL07'!$J$238:$J$451),0),
IF('TL08'!$B$3=P$3,SUMIF('TL08'!$C$10:$C$224,$C401,'TL08'!$J$10:$J$224),0),
IF('TL08'!$B$229=P$3,SUMIF('TL08'!$C$238:$C$451,$C401,'TL08'!$J$238:$J$451),0),
IF('TL09'!$B$3=P$3,SUMIF('TL09'!$C$10:$C$224,$C401,'TL09'!$J$10:$J$224),0),
IF('TL09'!$B$229=P$3,SUMIF('TL09'!$C$238:$C$451,$C401,'TL09'!$J$238:$J$451),0),
IF('TL10'!$B$3=P$3,SUMIF('TL10'!$C$10:$C$224,$C401,'TL10'!$J$10:$J$224),0),
IF('TL10'!$B$229=P$3,SUMIF('TL10'!$C$238:$C$451,$C401,'TL10'!$J$238:$J$451),0),
IF('TL11'!$B$3=P$3,SUMIF('TL11'!$C$10:$C$224,$C401,'TL11'!$J$10:$J$224),0),
IF('TL11'!$B$229=P$3,SUMIF('TL11'!$C$238:$C$451,$C401,'TL11'!$J$238:$J$451),0),
IF('TL12'!$B$3=P$3,SUMIF('TL12'!$C$10:$C$224,$C401,'TL12'!$J$10:$J$224),0),
IF('TL12'!$B$229=P$3,SUMIF('TL12'!$C$238:$C$451,$C401,'TL12'!$J$238:$J$451),0),
IF('TL13'!$B$3=P$3,SUMIF('TL13'!$C$10:$C$224,$C401,'TL13'!$J$10:$J$224),0),
IF('TL13'!$B$229=P$3,SUMIF('TL13'!$C$238:$C$451,$C401,'TL13'!$J$238:$J$451),0),
IF('TL14'!$B$3=P$3,SUMIF('TL14'!$C$10:$C$224,$C401,'TL14'!$J$10:$J$224),0),
IF('TL14'!$B$229=P$3,SUMIF('TL14'!$C$238:$C$451,$C401,'TL14'!$J$238:$J$451),0),
IF('TL15'!$B$3=P$3,SUMIF('TL15'!$C$10:$C$224,$C401,'TL15'!$J$10:$J$224),0),
IF('TL15'!$B$229=P$3,SUMIF('TL15'!$C$238:$C$451,$C401,'TL15'!$J$238:$J$451),0),
IF('TL16'!$B$3=P$3,SUMIF('TL16'!$C$10:$C$224,$C401,'TL16'!$J$10:$J$224),0),
IF('TL16'!$B$229=P$3,SUMIF('TL16'!$C$238:$C$451,$C401,'TL16'!$J$238:$J$451),0),
IF('TL17'!$B$3=P$3,SUMIF('TL17'!$C$10:$C$224,$C401,'TL17'!$J$10:$J$224),0),
IF('TL17'!$B$229=P$3,SUMIF('TL17'!$C$238:$C$451,$C401,'TL17'!$J$238:$J$451),0),
IF('TL18'!$B$3=P$3,SUMIF('TL18'!$C$10:$C$224,$C401,'TL18'!$J$10:$J$224),0),
IF('TL18'!$B$229=P$3,SUMIF('TL18'!$C$238:$C$451,$C401,'TL18'!$J$238:$J$451),0),
IF('TL19'!$B$3=P$3,SUMIF('TL19'!$C$10:$C$224,$C401,'TL19'!$J$10:$J$224),0),
IF('TL19'!$B$229=P$3,SUMIF('TL19'!$C$238:$C$451,$C401,'TL19'!$J$238:$J$451),0)
),0)</f>
        <v/>
      </c>
      <c r="Q401" s="147">
        <f>IFERROR(SUM(
IF('TL01'!$B$3=Q$3,SUMIF('TL01'!$C$10:$C$224,$C401,'TL01'!$J$10:$J$224),0),
IF('TL01'!$B$229=Q$3,SUMIF('TL01'!$C$238:$C$451,$C401,'TL01'!$J$238:$J$451),0),
IF('TL02'!$B$3=Q$3,SUMIF('TL02'!$C$10:$C$224,$C401,'TL02'!$J$10:$J$224),0),
IF('TL02'!$B$229=Q$3,SUMIF('TL02'!$C$238:$C$451,$C401,'TL02'!$J$238:$J$451),0),
IF('TL03'!$B$3=Q$3,SUMIF('TL03'!$C$10:$C$224,$C401,'TL03'!$J$10:$J$224),0),
IF('TL03'!$B$229=Q$3,SUMIF('TL03'!$C$238:$C$451,$C401,'TL03'!$J$238:$J$451),0),
IF('TL04'!$B$3=Q$3,SUMIF('TL04'!$C$10:$C$224,$C401,'TL04'!$J$10:$J$224),0),
IF('TL04'!$B$229=Q$3,SUMIF('TL04'!$C$238:$C$451,$C401,'TL04'!$J$238:$J$451),0),
IF('TL05'!$B$3=Q$3,SUMIF('TL05'!$C$10:$C$224,$C401,'TL05'!$J$10:$J$224),0),
IF('TL05'!$B$229=Q$3,SUMIF('TL05'!$C$238:$C$451,$C401,'TL05'!$J$238:$J$451),0),
IF('TL06'!$B$3=Q$3,SUMIF('TL06'!$C$10:$C$224,$C401,'TL06'!$J$10:$J$224),0),
IF('TL06'!$B$229=Q$3,SUMIF('TL06'!$C$238:$C$451,$C401,'TL06'!$J$238:$J$451),0),
IF('TL07'!$B$3=Q$3,SUMIF('TL07'!$C$10:$C$224,$C401,'TL07'!$J$10:$J$224),0),
IF('TL07'!$B$229=Q$3,SUMIF('TL07'!$C$238:$C$451,$C401,'TL07'!$J$238:$J$451),0),
IF('TL08'!$B$3=Q$3,SUMIF('TL08'!$C$10:$C$224,$C401,'TL08'!$J$10:$J$224),0),
IF('TL08'!$B$229=Q$3,SUMIF('TL08'!$C$238:$C$451,$C401,'TL08'!$J$238:$J$451),0),
IF('TL09'!$B$3=Q$3,SUMIF('TL09'!$C$10:$C$224,$C401,'TL09'!$J$10:$J$224),0),
IF('TL09'!$B$229=Q$3,SUMIF('TL09'!$C$238:$C$451,$C401,'TL09'!$J$238:$J$451),0),
IF('TL10'!$B$3=Q$3,SUMIF('TL10'!$C$10:$C$224,$C401,'TL10'!$J$10:$J$224),0),
IF('TL10'!$B$229=Q$3,SUMIF('TL10'!$C$238:$C$451,$C401,'TL10'!$J$238:$J$451),0),
IF('TL11'!$B$3=Q$3,SUMIF('TL11'!$C$10:$C$224,$C401,'TL11'!$J$10:$J$224),0),
IF('TL11'!$B$229=Q$3,SUMIF('TL11'!$C$238:$C$451,$C401,'TL11'!$J$238:$J$451),0),
IF('TL12'!$B$3=Q$3,SUMIF('TL12'!$C$10:$C$224,$C401,'TL12'!$J$10:$J$224),0),
IF('TL12'!$B$229=Q$3,SUMIF('TL12'!$C$238:$C$451,$C401,'TL12'!$J$238:$J$451),0),
IF('TL13'!$B$3=Q$3,SUMIF('TL13'!$C$10:$C$224,$C401,'TL13'!$J$10:$J$224),0),
IF('TL13'!$B$229=Q$3,SUMIF('TL13'!$C$238:$C$451,$C401,'TL13'!$J$238:$J$451),0),
IF('TL14'!$B$3=Q$3,SUMIF('TL14'!$C$10:$C$224,$C401,'TL14'!$J$10:$J$224),0),
IF('TL14'!$B$229=Q$3,SUMIF('TL14'!$C$238:$C$451,$C401,'TL14'!$J$238:$J$451),0),
IF('TL15'!$B$3=Q$3,SUMIF('TL15'!$C$10:$C$224,$C401,'TL15'!$J$10:$J$224),0),
IF('TL15'!$B$229=Q$3,SUMIF('TL15'!$C$238:$C$451,$C401,'TL15'!$J$238:$J$451),0),
IF('TL16'!$B$3=Q$3,SUMIF('TL16'!$C$10:$C$224,$C401,'TL16'!$J$10:$J$224),0),
IF('TL16'!$B$229=Q$3,SUMIF('TL16'!$C$238:$C$451,$C401,'TL16'!$J$238:$J$451),0),
IF('TL17'!$B$3=Q$3,SUMIF('TL17'!$C$10:$C$224,$C401,'TL17'!$J$10:$J$224),0),
IF('TL17'!$B$229=Q$3,SUMIF('TL17'!$C$238:$C$451,$C401,'TL17'!$J$238:$J$451),0),
IF('TL18'!$B$3=Q$3,SUMIF('TL18'!$C$10:$C$224,$C401,'TL18'!$J$10:$J$224),0),
IF('TL18'!$B$229=Q$3,SUMIF('TL18'!$C$238:$C$451,$C401,'TL18'!$J$238:$J$451),0),
IF('TL19'!$B$3=Q$3,SUMIF('TL19'!$C$10:$C$224,$C401,'TL19'!$J$10:$J$224),0),
IF('TL19'!$B$229=Q$3,SUMIF('TL19'!$C$238:$C$451,$C401,'TL19'!$J$238:$J$451),0)
),0)</f>
        <v/>
      </c>
      <c r="R401" s="139">
        <f>IFERROR(
SUM(
SUMIF('TL01'!C:C,C401,'TL01'!J:J),
SUMIF('TL02'!C:C,C401,'TL02'!I:I),
SUMIF('TL03'!C:C,C401,'TL03'!I:I),
SUMIF('TL04'!C:C,C401,'TL04'!I:I),
SUMIF('TL05'!C:C,C401,'TL05'!I:I),
SUMIF('TL06'!C:C,C401,'TL06'!I:I),
SUMIF('TL07'!C:C,C401,'TL07'!I:I),
SUMIF('TL08'!C:C,C401,'TL08'!I:I),
SUMIF('TL09'!C:C,C401,'TL09'!I:I),
SUMIF('TL10'!C:C,C401,'TL10'!I:I),
SUMIF('TL11'!C:C,C401,'TL11'!I:I),
SUMIF('TL12'!C:C,C401,'TL12'!I:I),
SUMIF('TL13'!C:C,C401,'TL13'!I:I),
SUMIF('TL14'!C:C,C401,'TL14'!I:I),
SUMIF('TL15'!C:C,C401,'TL15'!I:I),
SUMIF('TL16'!C:C,C401,'TL16'!I:I),
SUMIF('TL17'!C:C,C401,'TL17'!I:I),
SUMIF('TL18'!C:C,C401,'TL18'!I:I))
,0)</f>
        <v/>
      </c>
      <c r="S401" s="142">
        <f>'CUSTO OPERAÇÃO'!M5</f>
        <v/>
      </c>
      <c r="T401" s="139" t="n"/>
      <c r="U401" s="143">
        <f>MAX(0,R401-T401)</f>
        <v/>
      </c>
      <c r="V401" s="144">
        <f>U401*S401</f>
        <v/>
      </c>
    </row>
    <row r="402" hidden="1" ht="15.75" customHeight="1" s="297">
      <c r="A402" s="134" t="n"/>
      <c r="B402" s="135" t="inlineStr">
        <is>
          <t>MÁQUINAS</t>
        </is>
      </c>
      <c r="C402" s="136">
        <f>'CUSTO OPERAÇÃO'!D6</f>
        <v/>
      </c>
      <c r="D402" s="136" t="n"/>
      <c r="E402" s="137" t="n"/>
      <c r="F402" s="138" t="inlineStr">
        <is>
          <t>R$/Ha</t>
        </is>
      </c>
      <c r="G402" s="139" t="n"/>
      <c r="H402" s="140">
        <f>'CUSTO OPERAÇÃO'!J6</f>
        <v/>
      </c>
      <c r="I402" s="141" t="n"/>
      <c r="J402" s="136">
        <f>IFERROR(SUM(
IF('TL01'!$B$3=J$3,SUMIF('TL01'!$C$10:$C$224,$C402,'TL01'!$J$10:$J$224),0),
IF('TL01'!$B$229=J$3,SUMIF('TL01'!$C$238:$C$451,$C402,'TL01'!$J$238:$J$451),0),
IF('TL02'!$B$3=J$3,SUMIF('TL02'!$C$10:$C$224,$C402,'TL02'!$J$10:$J$224),0),
IF('TL02'!$B$229=J$3,SUMIF('TL02'!$C$238:$C$451,$C402,'TL02'!$J$238:$J$451),0),
IF('TL03'!$B$3=J$3,SUMIF('TL03'!$C$10:$C$224,$C402,'TL03'!$J$10:$J$224),0),
IF('TL03'!$B$229=J$3,SUMIF('TL03'!$C$238:$C$451,$C402,'TL03'!$J$238:$J$451),0),
IF('TL04'!$B$3=J$3,SUMIF('TL04'!$C$10:$C$224,$C402,'TL04'!$J$10:$J$224),0),
IF('TL04'!$B$229=J$3,SUMIF('TL04'!$C$238:$C$451,$C402,'TL04'!$J$238:$J$451),0),
IF('TL05'!$B$3=J$3,SUMIF('TL05'!$C$10:$C$224,$C402,'TL05'!$J$10:$J$224),0),
IF('TL05'!$B$229=J$3,SUMIF('TL05'!$C$238:$C$451,$C402,'TL05'!$J$238:$J$451),0),
IF('TL06'!$B$3=J$3,SUMIF('TL06'!$C$10:$C$224,$C402,'TL06'!$J$10:$J$224),0),
IF('TL06'!$B$229=J$3,SUMIF('TL06'!$C$238:$C$451,$C402,'TL06'!$J$238:$J$451),0),
IF('TL07'!$B$3=J$3,SUMIF('TL07'!$C$10:$C$224,$C402,'TL07'!$J$10:$J$224),0),
IF('TL07'!$B$229=J$3,SUMIF('TL07'!$C$238:$C$451,$C402,'TL07'!$J$238:$J$451),0),
IF('TL08'!$B$3=J$3,SUMIF('TL08'!$C$10:$C$224,$C402,'TL08'!$J$10:$J$224),0),
IF('TL08'!$B$229=J$3,SUMIF('TL08'!$C$238:$C$451,$C402,'TL08'!$J$238:$J$451),0),
IF('TL09'!$B$3=J$3,SUMIF('TL09'!$C$10:$C$224,$C402,'TL09'!$J$10:$J$224),0),
IF('TL09'!$B$229=J$3,SUMIF('TL09'!$C$238:$C$451,$C402,'TL09'!$J$238:$J$451),0),
IF('TL10'!$B$3=J$3,SUMIF('TL10'!$C$10:$C$224,$C402,'TL10'!$J$10:$J$224),0),
IF('TL10'!$B$229=J$3,SUMIF('TL10'!$C$238:$C$451,$C402,'TL10'!$J$238:$J$451),0),
IF('TL11'!$B$3=J$3,SUMIF('TL11'!$C$10:$C$224,$C402,'TL11'!$J$10:$J$224),0),
IF('TL11'!$B$229=J$3,SUMIF('TL11'!$C$238:$C$451,$C402,'TL11'!$J$238:$J$451),0),
IF('TL12'!$B$3=J$3,SUMIF('TL12'!$C$10:$C$224,$C402,'TL12'!$J$10:$J$224),0),
IF('TL12'!$B$229=J$3,SUMIF('TL12'!$C$238:$C$451,$C402,'TL12'!$J$238:$J$451),0),
IF('TL13'!$B$3=J$3,SUMIF('TL13'!$C$10:$C$224,$C402,'TL13'!$J$10:$J$224),0),
IF('TL13'!$B$229=J$3,SUMIF('TL13'!$C$238:$C$451,$C402,'TL13'!$J$238:$J$451),0),
IF('TL14'!$B$3=J$3,SUMIF('TL14'!$C$10:$C$224,$C402,'TL14'!$J$10:$J$224),0),
IF('TL14'!$B$229=J$3,SUMIF('TL14'!$C$238:$C$451,$C402,'TL14'!$J$238:$J$451),0),
IF('TL15'!$B$3=J$3,SUMIF('TL15'!$C$10:$C$224,$C402,'TL15'!$J$10:$J$224),0),
IF('TL15'!$B$229=J$3,SUMIF('TL15'!$C$238:$C$451,$C402,'TL15'!$J$238:$J$451),0),
IF('TL16'!$B$3=J$3,SUMIF('TL16'!$C$10:$C$224,$C402,'TL16'!$J$10:$J$224),0),
IF('TL16'!$B$229=J$3,SUMIF('TL16'!$C$238:$C$451,$C402,'TL16'!$J$238:$J$451),0),
IF('TL17'!$B$3=J$3,SUMIF('TL17'!$C$10:$C$224,$C402,'TL17'!$J$10:$J$224),0),
IF('TL17'!$B$229=J$3,SUMIF('TL17'!$C$238:$C$451,$C402,'TL17'!$J$238:$J$451),0),
IF('TL18'!$B$3=J$3,SUMIF('TL18'!$C$10:$C$224,$C402,'TL18'!$J$10:$J$224),0),
IF('TL18'!$B$229=J$3,SUMIF('TL18'!$C$238:$C$451,$C402,'TL18'!$J$238:$J$451),0),
IF('TL19'!$B$3=J$3,SUMIF('TL19'!$C$10:$C$224,$C402,'TL19'!$J$10:$J$224),0),
IF('TL19'!$B$229=J$3,SUMIF('TL19'!$C$238:$C$451,$C402,'TL19'!$J$238:$J$451),0)
),0)</f>
        <v/>
      </c>
      <c r="K402" s="136">
        <f>IFERROR(SUM(
IF('TL01'!$B$3=K$3,SUMIF('TL01'!$C$10:$C$224,$C402,'TL01'!$J$10:$J$224),0),
IF('TL01'!$B$229=K$3,SUMIF('TL01'!$C$238:$C$451,$C402,'TL01'!$J$238:$J$451),0),
IF('TL02'!$B$3=K$3,SUMIF('TL02'!$C$10:$C$224,$C402,'TL02'!$J$10:$J$224),0),
IF('TL02'!$B$229=K$3,SUMIF('TL02'!$C$238:$C$451,$C402,'TL02'!$J$238:$J$451),0),
IF('TL03'!$B$3=K$3,SUMIF('TL03'!$C$10:$C$224,$C402,'TL03'!$J$10:$J$224),0),
IF('TL03'!$B$229=K$3,SUMIF('TL03'!$C$238:$C$451,$C402,'TL03'!$J$238:$J$451),0),
IF('TL04'!$B$3=K$3,SUMIF('TL04'!$C$10:$C$224,$C402,'TL04'!$J$10:$J$224),0),
IF('TL04'!$B$229=K$3,SUMIF('TL04'!$C$238:$C$451,$C402,'TL04'!$J$238:$J$451),0),
IF('TL05'!$B$3=K$3,SUMIF('TL05'!$C$10:$C$224,$C402,'TL05'!$J$10:$J$224),0),
IF('TL05'!$B$229=K$3,SUMIF('TL05'!$C$238:$C$451,$C402,'TL05'!$J$238:$J$451),0),
IF('TL06'!$B$3=K$3,SUMIF('TL06'!$C$10:$C$224,$C402,'TL06'!$J$10:$J$224),0),
IF('TL06'!$B$229=K$3,SUMIF('TL06'!$C$238:$C$451,$C402,'TL06'!$J$238:$J$451),0),
IF('TL07'!$B$3=K$3,SUMIF('TL07'!$C$10:$C$224,$C402,'TL07'!$J$10:$J$224),0),
IF('TL07'!$B$229=K$3,SUMIF('TL07'!$C$238:$C$451,$C402,'TL07'!$J$238:$J$451),0),
IF('TL08'!$B$3=K$3,SUMIF('TL08'!$C$10:$C$224,$C402,'TL08'!$J$10:$J$224),0),
IF('TL08'!$B$229=K$3,SUMIF('TL08'!$C$238:$C$451,$C402,'TL08'!$J$238:$J$451),0),
IF('TL09'!$B$3=K$3,SUMIF('TL09'!$C$10:$C$224,$C402,'TL09'!$J$10:$J$224),0),
IF('TL09'!$B$229=K$3,SUMIF('TL09'!$C$238:$C$451,$C402,'TL09'!$J$238:$J$451),0),
IF('TL10'!$B$3=K$3,SUMIF('TL10'!$C$10:$C$224,$C402,'TL10'!$J$10:$J$224),0),
IF('TL10'!$B$229=K$3,SUMIF('TL10'!$C$238:$C$451,$C402,'TL10'!$J$238:$J$451),0),
IF('TL11'!$B$3=K$3,SUMIF('TL11'!$C$10:$C$224,$C402,'TL11'!$J$10:$J$224),0),
IF('TL11'!$B$229=K$3,SUMIF('TL11'!$C$238:$C$451,$C402,'TL11'!$J$238:$J$451),0),
IF('TL12'!$B$3=K$3,SUMIF('TL12'!$C$10:$C$224,$C402,'TL12'!$J$10:$J$224),0),
IF('TL12'!$B$229=K$3,SUMIF('TL12'!$C$238:$C$451,$C402,'TL12'!$J$238:$J$451),0),
IF('TL13'!$B$3=K$3,SUMIF('TL13'!$C$10:$C$224,$C402,'TL13'!$J$10:$J$224),0),
IF('TL13'!$B$229=K$3,SUMIF('TL13'!$C$238:$C$451,$C402,'TL13'!$J$238:$J$451),0),
IF('TL14'!$B$3=K$3,SUMIF('TL14'!$C$10:$C$224,$C402,'TL14'!$J$10:$J$224),0),
IF('TL14'!$B$229=K$3,SUMIF('TL14'!$C$238:$C$451,$C402,'TL14'!$J$238:$J$451),0),
IF('TL15'!$B$3=K$3,SUMIF('TL15'!$C$10:$C$224,$C402,'TL15'!$J$10:$J$224),0),
IF('TL15'!$B$229=K$3,SUMIF('TL15'!$C$238:$C$451,$C402,'TL15'!$J$238:$J$451),0),
IF('TL16'!$B$3=K$3,SUMIF('TL16'!$C$10:$C$224,$C402,'TL16'!$J$10:$J$224),0),
IF('TL16'!$B$229=K$3,SUMIF('TL16'!$C$238:$C$451,$C402,'TL16'!$J$238:$J$451),0),
IF('TL17'!$B$3=K$3,SUMIF('TL17'!$C$10:$C$224,$C402,'TL17'!$J$10:$J$224),0),
IF('TL17'!$B$229=K$3,SUMIF('TL17'!$C$238:$C$451,$C402,'TL17'!$J$238:$J$451),0),
IF('TL18'!$B$3=K$3,SUMIF('TL18'!$C$10:$C$224,$C402,'TL18'!$J$10:$J$224),0),
IF('TL18'!$B$229=K$3,SUMIF('TL18'!$C$238:$C$451,$C402,'TL18'!$J$238:$J$451),0),
IF('TL19'!$B$3=K$3,SUMIF('TL19'!$C$10:$C$224,$C402,'TL19'!$J$10:$J$224),0),
IF('TL19'!$B$229=K$3,SUMIF('TL19'!$C$238:$C$451,$C402,'TL19'!$J$238:$J$451),0)
),0)</f>
        <v/>
      </c>
      <c r="L402" s="136">
        <f>IFERROR(SUM(
IF('TL01'!$B$3=L$3,SUMIF('TL01'!$C$10:$C$224,$C402,'TL01'!$J$10:$J$224),0),
IF('TL01'!$B$229=L$3,SUMIF('TL01'!$C$238:$C$451,$C402,'TL01'!$J$238:$J$451),0),
IF('TL02'!$B$3=L$3,SUMIF('TL02'!$C$10:$C$224,$C402,'TL02'!$J$10:$J$224),0),
IF('TL02'!$B$229=L$3,SUMIF('TL02'!$C$238:$C$451,$C402,'TL02'!$J$238:$J$451),0),
IF('TL03'!$B$3=L$3,SUMIF('TL03'!$C$10:$C$224,$C402,'TL03'!$J$10:$J$224),0),
IF('TL03'!$B$229=L$3,SUMIF('TL03'!$C$238:$C$451,$C402,'TL03'!$J$238:$J$451),0),
IF('TL04'!$B$3=L$3,SUMIF('TL04'!$C$10:$C$224,$C402,'TL04'!$J$10:$J$224),0),
IF('TL04'!$B$229=L$3,SUMIF('TL04'!$C$238:$C$451,$C402,'TL04'!$J$238:$J$451),0),
IF('TL05'!$B$3=L$3,SUMIF('TL05'!$C$10:$C$224,$C402,'TL05'!$J$10:$J$224),0),
IF('TL05'!$B$229=L$3,SUMIF('TL05'!$C$238:$C$451,$C402,'TL05'!$J$238:$J$451),0),
IF('TL06'!$B$3=L$3,SUMIF('TL06'!$C$10:$C$224,$C402,'TL06'!$J$10:$J$224),0),
IF('TL06'!$B$229=L$3,SUMIF('TL06'!$C$238:$C$451,$C402,'TL06'!$J$238:$J$451),0),
IF('TL07'!$B$3=L$3,SUMIF('TL07'!$C$10:$C$224,$C402,'TL07'!$J$10:$J$224),0),
IF('TL07'!$B$229=L$3,SUMIF('TL07'!$C$238:$C$451,$C402,'TL07'!$J$238:$J$451),0),
IF('TL08'!$B$3=L$3,SUMIF('TL08'!$C$10:$C$224,$C402,'TL08'!$J$10:$J$224),0),
IF('TL08'!$B$229=L$3,SUMIF('TL08'!$C$238:$C$451,$C402,'TL08'!$J$238:$J$451),0),
IF('TL09'!$B$3=L$3,SUMIF('TL09'!$C$10:$C$224,$C402,'TL09'!$J$10:$J$224),0),
IF('TL09'!$B$229=L$3,SUMIF('TL09'!$C$238:$C$451,$C402,'TL09'!$J$238:$J$451),0),
IF('TL10'!$B$3=L$3,SUMIF('TL10'!$C$10:$C$224,$C402,'TL10'!$J$10:$J$224),0),
IF('TL10'!$B$229=L$3,SUMIF('TL10'!$C$238:$C$451,$C402,'TL10'!$J$238:$J$451),0),
IF('TL11'!$B$3=L$3,SUMIF('TL11'!$C$10:$C$224,$C402,'TL11'!$J$10:$J$224),0),
IF('TL11'!$B$229=L$3,SUMIF('TL11'!$C$238:$C$451,$C402,'TL11'!$J$238:$J$451),0),
IF('TL12'!$B$3=L$3,SUMIF('TL12'!$C$10:$C$224,$C402,'TL12'!$J$10:$J$224),0),
IF('TL12'!$B$229=L$3,SUMIF('TL12'!$C$238:$C$451,$C402,'TL12'!$J$238:$J$451),0),
IF('TL13'!$B$3=L$3,SUMIF('TL13'!$C$10:$C$224,$C402,'TL13'!$J$10:$J$224),0),
IF('TL13'!$B$229=L$3,SUMIF('TL13'!$C$238:$C$451,$C402,'TL13'!$J$238:$J$451),0),
IF('TL14'!$B$3=L$3,SUMIF('TL14'!$C$10:$C$224,$C402,'TL14'!$J$10:$J$224),0),
IF('TL14'!$B$229=L$3,SUMIF('TL14'!$C$238:$C$451,$C402,'TL14'!$J$238:$J$451),0),
IF('TL15'!$B$3=L$3,SUMIF('TL15'!$C$10:$C$224,$C402,'TL15'!$J$10:$J$224),0),
IF('TL15'!$B$229=L$3,SUMIF('TL15'!$C$238:$C$451,$C402,'TL15'!$J$238:$J$451),0),
IF('TL16'!$B$3=L$3,SUMIF('TL16'!$C$10:$C$224,$C402,'TL16'!$J$10:$J$224),0),
IF('TL16'!$B$229=L$3,SUMIF('TL16'!$C$238:$C$451,$C402,'TL16'!$J$238:$J$451),0),
IF('TL17'!$B$3=L$3,SUMIF('TL17'!$C$10:$C$224,$C402,'TL17'!$J$10:$J$224),0),
IF('TL17'!$B$229=L$3,SUMIF('TL17'!$C$238:$C$451,$C402,'TL17'!$J$238:$J$451),0),
IF('TL18'!$B$3=L$3,SUMIF('TL18'!$C$10:$C$224,$C402,'TL18'!$J$10:$J$224),0),
IF('TL18'!$B$229=L$3,SUMIF('TL18'!$C$238:$C$451,$C402,'TL18'!$J$238:$J$451),0),
IF('TL19'!$B$3=L$3,SUMIF('TL19'!$C$10:$C$224,$C402,'TL19'!$J$10:$J$224),0),
IF('TL19'!$B$229=L$3,SUMIF('TL19'!$C$238:$C$451,$C402,'TL19'!$J$238:$J$451),0)
),0)</f>
        <v/>
      </c>
      <c r="M402" s="136">
        <f>IFERROR(SUM(
IF('TL01'!$B$3=M$3,SUMIF('TL01'!$C$10:$C$224,$C402,'TL01'!$J$10:$J$224),0),
IF('TL01'!$B$229=M$3,SUMIF('TL01'!$C$238:$C$451,$C402,'TL01'!$J$238:$J$451),0),
IF('TL02'!$B$3=M$3,SUMIF('TL02'!$C$10:$C$224,$C402,'TL02'!$J$10:$J$224),0),
IF('TL02'!$B$229=M$3,SUMIF('TL02'!$C$238:$C$451,$C402,'TL02'!$J$238:$J$451),0),
IF('TL03'!$B$3=M$3,SUMIF('TL03'!$C$10:$C$224,$C402,'TL03'!$J$10:$J$224),0),
IF('TL03'!$B$229=M$3,SUMIF('TL03'!$C$238:$C$451,$C402,'TL03'!$J$238:$J$451),0),
IF('TL04'!$B$3=M$3,SUMIF('TL04'!$C$10:$C$224,$C402,'TL04'!$J$10:$J$224),0),
IF('TL04'!$B$229=M$3,SUMIF('TL04'!$C$238:$C$451,$C402,'TL04'!$J$238:$J$451),0),
IF('TL05'!$B$3=M$3,SUMIF('TL05'!$C$10:$C$224,$C402,'TL05'!$J$10:$J$224),0),
IF('TL05'!$B$229=M$3,SUMIF('TL05'!$C$238:$C$451,$C402,'TL05'!$J$238:$J$451),0),
IF('TL06'!$B$3=M$3,SUMIF('TL06'!$C$10:$C$224,$C402,'TL06'!$J$10:$J$224),0),
IF('TL06'!$B$229=M$3,SUMIF('TL06'!$C$238:$C$451,$C402,'TL06'!$J$238:$J$451),0),
IF('TL07'!$B$3=M$3,SUMIF('TL07'!$C$10:$C$224,$C402,'TL07'!$J$10:$J$224),0),
IF('TL07'!$B$229=M$3,SUMIF('TL07'!$C$238:$C$451,$C402,'TL07'!$J$238:$J$451),0),
IF('TL08'!$B$3=M$3,SUMIF('TL08'!$C$10:$C$224,$C402,'TL08'!$J$10:$J$224),0),
IF('TL08'!$B$229=M$3,SUMIF('TL08'!$C$238:$C$451,$C402,'TL08'!$J$238:$J$451),0),
IF('TL09'!$B$3=M$3,SUMIF('TL09'!$C$10:$C$224,$C402,'TL09'!$J$10:$J$224),0),
IF('TL09'!$B$229=M$3,SUMIF('TL09'!$C$238:$C$451,$C402,'TL09'!$J$238:$J$451),0),
IF('TL10'!$B$3=M$3,SUMIF('TL10'!$C$10:$C$224,$C402,'TL10'!$J$10:$J$224),0),
IF('TL10'!$B$229=M$3,SUMIF('TL10'!$C$238:$C$451,$C402,'TL10'!$J$238:$J$451),0),
IF('TL11'!$B$3=M$3,SUMIF('TL11'!$C$10:$C$224,$C402,'TL11'!$J$10:$J$224),0),
IF('TL11'!$B$229=M$3,SUMIF('TL11'!$C$238:$C$451,$C402,'TL11'!$J$238:$J$451),0),
IF('TL12'!$B$3=M$3,SUMIF('TL12'!$C$10:$C$224,$C402,'TL12'!$J$10:$J$224),0),
IF('TL12'!$B$229=M$3,SUMIF('TL12'!$C$238:$C$451,$C402,'TL12'!$J$238:$J$451),0),
IF('TL13'!$B$3=M$3,SUMIF('TL13'!$C$10:$C$224,$C402,'TL13'!$J$10:$J$224),0),
IF('TL13'!$B$229=M$3,SUMIF('TL13'!$C$238:$C$451,$C402,'TL13'!$J$238:$J$451),0),
IF('TL14'!$B$3=M$3,SUMIF('TL14'!$C$10:$C$224,$C402,'TL14'!$J$10:$J$224),0),
IF('TL14'!$B$229=M$3,SUMIF('TL14'!$C$238:$C$451,$C402,'TL14'!$J$238:$J$451),0),
IF('TL15'!$B$3=M$3,SUMIF('TL15'!$C$10:$C$224,$C402,'TL15'!$J$10:$J$224),0),
IF('TL15'!$B$229=M$3,SUMIF('TL15'!$C$238:$C$451,$C402,'TL15'!$J$238:$J$451),0),
IF('TL16'!$B$3=M$3,SUMIF('TL16'!$C$10:$C$224,$C402,'TL16'!$J$10:$J$224),0),
IF('TL16'!$B$229=M$3,SUMIF('TL16'!$C$238:$C$451,$C402,'TL16'!$J$238:$J$451),0),
IF('TL17'!$B$3=M$3,SUMIF('TL17'!$C$10:$C$224,$C402,'TL17'!$J$10:$J$224),0),
IF('TL17'!$B$229=M$3,SUMIF('TL17'!$C$238:$C$451,$C402,'TL17'!$J$238:$J$451),0),
IF('TL18'!$B$3=M$3,SUMIF('TL18'!$C$10:$C$224,$C402,'TL18'!$J$10:$J$224),0),
IF('TL18'!$B$229=M$3,SUMIF('TL18'!$C$238:$C$451,$C402,'TL18'!$J$238:$J$451),0),
IF('TL19'!$B$3=M$3,SUMIF('TL19'!$C$10:$C$224,$C402,'TL19'!$J$10:$J$224),0),
IF('TL19'!$B$229=M$3,SUMIF('TL19'!$C$238:$C$451,$C402,'TL19'!$J$238:$J$451),0)
),0)</f>
        <v/>
      </c>
      <c r="N402" s="136">
        <f>IFERROR(SUM(
IF('TL01'!$B$3=N$3,SUMIF('TL01'!$C$10:$C$224,$C402,'TL01'!$J$10:$J$224),0),
IF('TL01'!$B$229=N$3,SUMIF('TL01'!$C$238:$C$451,$C402,'TL01'!$J$238:$J$451),0),
IF('TL02'!$B$3=N$3,SUMIF('TL02'!$C$10:$C$224,$C402,'TL02'!$J$10:$J$224),0),
IF('TL02'!$B$229=N$3,SUMIF('TL02'!$C$238:$C$451,$C402,'TL02'!$J$238:$J$451),0),
IF('TL03'!$B$3=N$3,SUMIF('TL03'!$C$10:$C$224,$C402,'TL03'!$J$10:$J$224),0),
IF('TL03'!$B$229=N$3,SUMIF('TL03'!$C$238:$C$451,$C402,'TL03'!$J$238:$J$451),0),
IF('TL04'!$B$3=N$3,SUMIF('TL04'!$C$10:$C$224,$C402,'TL04'!$J$10:$J$224),0),
IF('TL04'!$B$229=N$3,SUMIF('TL04'!$C$238:$C$451,$C402,'TL04'!$J$238:$J$451),0),
IF('TL05'!$B$3=N$3,SUMIF('TL05'!$C$10:$C$224,$C402,'TL05'!$J$10:$J$224),0),
IF('TL05'!$B$229=N$3,SUMIF('TL05'!$C$238:$C$451,$C402,'TL05'!$J$238:$J$451),0),
IF('TL06'!$B$3=N$3,SUMIF('TL06'!$C$10:$C$224,$C402,'TL06'!$J$10:$J$224),0),
IF('TL06'!$B$229=N$3,SUMIF('TL06'!$C$238:$C$451,$C402,'TL06'!$J$238:$J$451),0),
IF('TL07'!$B$3=N$3,SUMIF('TL07'!$C$10:$C$224,$C402,'TL07'!$J$10:$J$224),0),
IF('TL07'!$B$229=N$3,SUMIF('TL07'!$C$238:$C$451,$C402,'TL07'!$J$238:$J$451),0),
IF('TL08'!$B$3=N$3,SUMIF('TL08'!$C$10:$C$224,$C402,'TL08'!$J$10:$J$224),0),
IF('TL08'!$B$229=N$3,SUMIF('TL08'!$C$238:$C$451,$C402,'TL08'!$J$238:$J$451),0),
IF('TL09'!$B$3=N$3,SUMIF('TL09'!$C$10:$C$224,$C402,'TL09'!$J$10:$J$224),0),
IF('TL09'!$B$229=N$3,SUMIF('TL09'!$C$238:$C$451,$C402,'TL09'!$J$238:$J$451),0),
IF('TL10'!$B$3=N$3,SUMIF('TL10'!$C$10:$C$224,$C402,'TL10'!$J$10:$J$224),0),
IF('TL10'!$B$229=N$3,SUMIF('TL10'!$C$238:$C$451,$C402,'TL10'!$J$238:$J$451),0),
IF('TL11'!$B$3=N$3,SUMIF('TL11'!$C$10:$C$224,$C402,'TL11'!$J$10:$J$224),0),
IF('TL11'!$B$229=N$3,SUMIF('TL11'!$C$238:$C$451,$C402,'TL11'!$J$238:$J$451),0),
IF('TL12'!$B$3=N$3,SUMIF('TL12'!$C$10:$C$224,$C402,'TL12'!$J$10:$J$224),0),
IF('TL12'!$B$229=N$3,SUMIF('TL12'!$C$238:$C$451,$C402,'TL12'!$J$238:$J$451),0),
IF('TL13'!$B$3=N$3,SUMIF('TL13'!$C$10:$C$224,$C402,'TL13'!$J$10:$J$224),0),
IF('TL13'!$B$229=N$3,SUMIF('TL13'!$C$238:$C$451,$C402,'TL13'!$J$238:$J$451),0),
IF('TL14'!$B$3=N$3,SUMIF('TL14'!$C$10:$C$224,$C402,'TL14'!$J$10:$J$224),0),
IF('TL14'!$B$229=N$3,SUMIF('TL14'!$C$238:$C$451,$C402,'TL14'!$J$238:$J$451),0),
IF('TL15'!$B$3=N$3,SUMIF('TL15'!$C$10:$C$224,$C402,'TL15'!$J$10:$J$224),0),
IF('TL15'!$B$229=N$3,SUMIF('TL15'!$C$238:$C$451,$C402,'TL15'!$J$238:$J$451),0),
IF('TL16'!$B$3=N$3,SUMIF('TL16'!$C$10:$C$224,$C402,'TL16'!$J$10:$J$224),0),
IF('TL16'!$B$229=N$3,SUMIF('TL16'!$C$238:$C$451,$C402,'TL16'!$J$238:$J$451),0),
IF('TL17'!$B$3=N$3,SUMIF('TL17'!$C$10:$C$224,$C402,'TL17'!$J$10:$J$224),0),
IF('TL17'!$B$229=N$3,SUMIF('TL17'!$C$238:$C$451,$C402,'TL17'!$J$238:$J$451),0),
IF('TL18'!$B$3=N$3,SUMIF('TL18'!$C$10:$C$224,$C402,'TL18'!$J$10:$J$224),0),
IF('TL18'!$B$229=N$3,SUMIF('TL18'!$C$238:$C$451,$C402,'TL18'!$J$238:$J$451),0),
IF('TL19'!$B$3=N$3,SUMIF('TL19'!$C$10:$C$224,$C402,'TL19'!$J$10:$J$224),0),
IF('TL19'!$B$229=N$3,SUMIF('TL19'!$C$238:$C$451,$C402,'TL19'!$J$238:$J$451),0)
),0)</f>
        <v/>
      </c>
      <c r="O402" s="136">
        <f>IFERROR(SUM(
IF('TL01'!$B$3=O$3,SUMIF('TL01'!$C$10:$C$224,$C402,'TL01'!$J$10:$J$224),0),
IF('TL01'!$B$229=O$3,SUMIF('TL01'!$C$238:$C$451,$C402,'TL01'!$J$238:$J$451),0),
IF('TL02'!$B$3=O$3,SUMIF('TL02'!$C$10:$C$224,$C402,'TL02'!$J$10:$J$224),0),
IF('TL02'!$B$229=O$3,SUMIF('TL02'!$C$238:$C$451,$C402,'TL02'!$J$238:$J$451),0),
IF('TL03'!$B$3=O$3,SUMIF('TL03'!$C$10:$C$224,$C402,'TL03'!$J$10:$J$224),0),
IF('TL03'!$B$229=O$3,SUMIF('TL03'!$C$238:$C$451,$C402,'TL03'!$J$238:$J$451),0),
IF('TL04'!$B$3=O$3,SUMIF('TL04'!$C$10:$C$224,$C402,'TL04'!$J$10:$J$224),0),
IF('TL04'!$B$229=O$3,SUMIF('TL04'!$C$238:$C$451,$C402,'TL04'!$J$238:$J$451),0),
IF('TL05'!$B$3=O$3,SUMIF('TL05'!$C$10:$C$224,$C402,'TL05'!$J$10:$J$224),0),
IF('TL05'!$B$229=O$3,SUMIF('TL05'!$C$238:$C$451,$C402,'TL05'!$J$238:$J$451),0),
IF('TL06'!$B$3=O$3,SUMIF('TL06'!$C$10:$C$224,$C402,'TL06'!$J$10:$J$224),0),
IF('TL06'!$B$229=O$3,SUMIF('TL06'!$C$238:$C$451,$C402,'TL06'!$J$238:$J$451),0),
IF('TL07'!$B$3=O$3,SUMIF('TL07'!$C$10:$C$224,$C402,'TL07'!$J$10:$J$224),0),
IF('TL07'!$B$229=O$3,SUMIF('TL07'!$C$238:$C$451,$C402,'TL07'!$J$238:$J$451),0),
IF('TL08'!$B$3=O$3,SUMIF('TL08'!$C$10:$C$224,$C402,'TL08'!$J$10:$J$224),0),
IF('TL08'!$B$229=O$3,SUMIF('TL08'!$C$238:$C$451,$C402,'TL08'!$J$238:$J$451),0),
IF('TL09'!$B$3=O$3,SUMIF('TL09'!$C$10:$C$224,$C402,'TL09'!$J$10:$J$224),0),
IF('TL09'!$B$229=O$3,SUMIF('TL09'!$C$238:$C$451,$C402,'TL09'!$J$238:$J$451),0),
IF('TL10'!$B$3=O$3,SUMIF('TL10'!$C$10:$C$224,$C402,'TL10'!$J$10:$J$224),0),
IF('TL10'!$B$229=O$3,SUMIF('TL10'!$C$238:$C$451,$C402,'TL10'!$J$238:$J$451),0),
IF('TL11'!$B$3=O$3,SUMIF('TL11'!$C$10:$C$224,$C402,'TL11'!$J$10:$J$224),0),
IF('TL11'!$B$229=O$3,SUMIF('TL11'!$C$238:$C$451,$C402,'TL11'!$J$238:$J$451),0),
IF('TL12'!$B$3=O$3,SUMIF('TL12'!$C$10:$C$224,$C402,'TL12'!$J$10:$J$224),0),
IF('TL12'!$B$229=O$3,SUMIF('TL12'!$C$238:$C$451,$C402,'TL12'!$J$238:$J$451),0),
IF('TL13'!$B$3=O$3,SUMIF('TL13'!$C$10:$C$224,$C402,'TL13'!$J$10:$J$224),0),
IF('TL13'!$B$229=O$3,SUMIF('TL13'!$C$238:$C$451,$C402,'TL13'!$J$238:$J$451),0),
IF('TL14'!$B$3=O$3,SUMIF('TL14'!$C$10:$C$224,$C402,'TL14'!$J$10:$J$224),0),
IF('TL14'!$B$229=O$3,SUMIF('TL14'!$C$238:$C$451,$C402,'TL14'!$J$238:$J$451),0),
IF('TL15'!$B$3=O$3,SUMIF('TL15'!$C$10:$C$224,$C402,'TL15'!$J$10:$J$224),0),
IF('TL15'!$B$229=O$3,SUMIF('TL15'!$C$238:$C$451,$C402,'TL15'!$J$238:$J$451),0),
IF('TL16'!$B$3=O$3,SUMIF('TL16'!$C$10:$C$224,$C402,'TL16'!$J$10:$J$224),0),
IF('TL16'!$B$229=O$3,SUMIF('TL16'!$C$238:$C$451,$C402,'TL16'!$J$238:$J$451),0),
IF('TL17'!$B$3=O$3,SUMIF('TL17'!$C$10:$C$224,$C402,'TL17'!$J$10:$J$224),0),
IF('TL17'!$B$229=O$3,SUMIF('TL17'!$C$238:$C$451,$C402,'TL17'!$J$238:$J$451),0),
IF('TL18'!$B$3=O$3,SUMIF('TL18'!$C$10:$C$224,$C402,'TL18'!$J$10:$J$224),0),
IF('TL18'!$B$229=O$3,SUMIF('TL18'!$C$238:$C$451,$C402,'TL18'!$J$238:$J$451),0),
IF('TL19'!$B$3=O$3,SUMIF('TL19'!$C$10:$C$224,$C402,'TL19'!$J$10:$J$224),0),
IF('TL19'!$B$229=O$3,SUMIF('TL19'!$C$238:$C$451,$C402,'TL19'!$J$238:$J$451),0)
),0)</f>
        <v/>
      </c>
      <c r="P402" s="136">
        <f>IFERROR(SUM(
IF('TL01'!$B$3=P$3,SUMIF('TL01'!$C$10:$C$224,$C402,'TL01'!$J$10:$J$224),0),
IF('TL01'!$B$229=P$3,SUMIF('TL01'!$C$238:$C$451,$C402,'TL01'!$J$238:$J$451),0),
IF('TL02'!$B$3=P$3,SUMIF('TL02'!$C$10:$C$224,$C402,'TL02'!$J$10:$J$224),0),
IF('TL02'!$B$229=P$3,SUMIF('TL02'!$C$238:$C$451,$C402,'TL02'!$J$238:$J$451),0),
IF('TL03'!$B$3=P$3,SUMIF('TL03'!$C$10:$C$224,$C402,'TL03'!$J$10:$J$224),0),
IF('TL03'!$B$229=P$3,SUMIF('TL03'!$C$238:$C$451,$C402,'TL03'!$J$238:$J$451),0),
IF('TL04'!$B$3=P$3,SUMIF('TL04'!$C$10:$C$224,$C402,'TL04'!$J$10:$J$224),0),
IF('TL04'!$B$229=P$3,SUMIF('TL04'!$C$238:$C$451,$C402,'TL04'!$J$238:$J$451),0),
IF('TL05'!$B$3=P$3,SUMIF('TL05'!$C$10:$C$224,$C402,'TL05'!$J$10:$J$224),0),
IF('TL05'!$B$229=P$3,SUMIF('TL05'!$C$238:$C$451,$C402,'TL05'!$J$238:$J$451),0),
IF('TL06'!$B$3=P$3,SUMIF('TL06'!$C$10:$C$224,$C402,'TL06'!$J$10:$J$224),0),
IF('TL06'!$B$229=P$3,SUMIF('TL06'!$C$238:$C$451,$C402,'TL06'!$J$238:$J$451),0),
IF('TL07'!$B$3=P$3,SUMIF('TL07'!$C$10:$C$224,$C402,'TL07'!$J$10:$J$224),0),
IF('TL07'!$B$229=P$3,SUMIF('TL07'!$C$238:$C$451,$C402,'TL07'!$J$238:$J$451),0),
IF('TL08'!$B$3=P$3,SUMIF('TL08'!$C$10:$C$224,$C402,'TL08'!$J$10:$J$224),0),
IF('TL08'!$B$229=P$3,SUMIF('TL08'!$C$238:$C$451,$C402,'TL08'!$J$238:$J$451),0),
IF('TL09'!$B$3=P$3,SUMIF('TL09'!$C$10:$C$224,$C402,'TL09'!$J$10:$J$224),0),
IF('TL09'!$B$229=P$3,SUMIF('TL09'!$C$238:$C$451,$C402,'TL09'!$J$238:$J$451),0),
IF('TL10'!$B$3=P$3,SUMIF('TL10'!$C$10:$C$224,$C402,'TL10'!$J$10:$J$224),0),
IF('TL10'!$B$229=P$3,SUMIF('TL10'!$C$238:$C$451,$C402,'TL10'!$J$238:$J$451),0),
IF('TL11'!$B$3=P$3,SUMIF('TL11'!$C$10:$C$224,$C402,'TL11'!$J$10:$J$224),0),
IF('TL11'!$B$229=P$3,SUMIF('TL11'!$C$238:$C$451,$C402,'TL11'!$J$238:$J$451),0),
IF('TL12'!$B$3=P$3,SUMIF('TL12'!$C$10:$C$224,$C402,'TL12'!$J$10:$J$224),0),
IF('TL12'!$B$229=P$3,SUMIF('TL12'!$C$238:$C$451,$C402,'TL12'!$J$238:$J$451),0),
IF('TL13'!$B$3=P$3,SUMIF('TL13'!$C$10:$C$224,$C402,'TL13'!$J$10:$J$224),0),
IF('TL13'!$B$229=P$3,SUMIF('TL13'!$C$238:$C$451,$C402,'TL13'!$J$238:$J$451),0),
IF('TL14'!$B$3=P$3,SUMIF('TL14'!$C$10:$C$224,$C402,'TL14'!$J$10:$J$224),0),
IF('TL14'!$B$229=P$3,SUMIF('TL14'!$C$238:$C$451,$C402,'TL14'!$J$238:$J$451),0),
IF('TL15'!$B$3=P$3,SUMIF('TL15'!$C$10:$C$224,$C402,'TL15'!$J$10:$J$224),0),
IF('TL15'!$B$229=P$3,SUMIF('TL15'!$C$238:$C$451,$C402,'TL15'!$J$238:$J$451),0),
IF('TL16'!$B$3=P$3,SUMIF('TL16'!$C$10:$C$224,$C402,'TL16'!$J$10:$J$224),0),
IF('TL16'!$B$229=P$3,SUMIF('TL16'!$C$238:$C$451,$C402,'TL16'!$J$238:$J$451),0),
IF('TL17'!$B$3=P$3,SUMIF('TL17'!$C$10:$C$224,$C402,'TL17'!$J$10:$J$224),0),
IF('TL17'!$B$229=P$3,SUMIF('TL17'!$C$238:$C$451,$C402,'TL17'!$J$238:$J$451),0),
IF('TL18'!$B$3=P$3,SUMIF('TL18'!$C$10:$C$224,$C402,'TL18'!$J$10:$J$224),0),
IF('TL18'!$B$229=P$3,SUMIF('TL18'!$C$238:$C$451,$C402,'TL18'!$J$238:$J$451),0),
IF('TL19'!$B$3=P$3,SUMIF('TL19'!$C$10:$C$224,$C402,'TL19'!$J$10:$J$224),0),
IF('TL19'!$B$229=P$3,SUMIF('TL19'!$C$238:$C$451,$C402,'TL19'!$J$238:$J$451),0)
),0)</f>
        <v/>
      </c>
      <c r="Q402" s="136">
        <f>IFERROR(SUM(
IF('TL01'!$B$3=Q$3,SUMIF('TL01'!$C$10:$C$224,$C402,'TL01'!$J$10:$J$224),0),
IF('TL01'!$B$229=Q$3,SUMIF('TL01'!$C$238:$C$451,$C402,'TL01'!$J$238:$J$451),0),
IF('TL02'!$B$3=Q$3,SUMIF('TL02'!$C$10:$C$224,$C402,'TL02'!$J$10:$J$224),0),
IF('TL02'!$B$229=Q$3,SUMIF('TL02'!$C$238:$C$451,$C402,'TL02'!$J$238:$J$451),0),
IF('TL03'!$B$3=Q$3,SUMIF('TL03'!$C$10:$C$224,$C402,'TL03'!$J$10:$J$224),0),
IF('TL03'!$B$229=Q$3,SUMIF('TL03'!$C$238:$C$451,$C402,'TL03'!$J$238:$J$451),0),
IF('TL04'!$B$3=Q$3,SUMIF('TL04'!$C$10:$C$224,$C402,'TL04'!$J$10:$J$224),0),
IF('TL04'!$B$229=Q$3,SUMIF('TL04'!$C$238:$C$451,$C402,'TL04'!$J$238:$J$451),0),
IF('TL05'!$B$3=Q$3,SUMIF('TL05'!$C$10:$C$224,$C402,'TL05'!$J$10:$J$224),0),
IF('TL05'!$B$229=Q$3,SUMIF('TL05'!$C$238:$C$451,$C402,'TL05'!$J$238:$J$451),0),
IF('TL06'!$B$3=Q$3,SUMIF('TL06'!$C$10:$C$224,$C402,'TL06'!$J$10:$J$224),0),
IF('TL06'!$B$229=Q$3,SUMIF('TL06'!$C$238:$C$451,$C402,'TL06'!$J$238:$J$451),0),
IF('TL07'!$B$3=Q$3,SUMIF('TL07'!$C$10:$C$224,$C402,'TL07'!$J$10:$J$224),0),
IF('TL07'!$B$229=Q$3,SUMIF('TL07'!$C$238:$C$451,$C402,'TL07'!$J$238:$J$451),0),
IF('TL08'!$B$3=Q$3,SUMIF('TL08'!$C$10:$C$224,$C402,'TL08'!$J$10:$J$224),0),
IF('TL08'!$B$229=Q$3,SUMIF('TL08'!$C$238:$C$451,$C402,'TL08'!$J$238:$J$451),0),
IF('TL09'!$B$3=Q$3,SUMIF('TL09'!$C$10:$C$224,$C402,'TL09'!$J$10:$J$224),0),
IF('TL09'!$B$229=Q$3,SUMIF('TL09'!$C$238:$C$451,$C402,'TL09'!$J$238:$J$451),0),
IF('TL10'!$B$3=Q$3,SUMIF('TL10'!$C$10:$C$224,$C402,'TL10'!$J$10:$J$224),0),
IF('TL10'!$B$229=Q$3,SUMIF('TL10'!$C$238:$C$451,$C402,'TL10'!$J$238:$J$451),0),
IF('TL11'!$B$3=Q$3,SUMIF('TL11'!$C$10:$C$224,$C402,'TL11'!$J$10:$J$224),0),
IF('TL11'!$B$229=Q$3,SUMIF('TL11'!$C$238:$C$451,$C402,'TL11'!$J$238:$J$451),0),
IF('TL12'!$B$3=Q$3,SUMIF('TL12'!$C$10:$C$224,$C402,'TL12'!$J$10:$J$224),0),
IF('TL12'!$B$229=Q$3,SUMIF('TL12'!$C$238:$C$451,$C402,'TL12'!$J$238:$J$451),0),
IF('TL13'!$B$3=Q$3,SUMIF('TL13'!$C$10:$C$224,$C402,'TL13'!$J$10:$J$224),0),
IF('TL13'!$B$229=Q$3,SUMIF('TL13'!$C$238:$C$451,$C402,'TL13'!$J$238:$J$451),0),
IF('TL14'!$B$3=Q$3,SUMIF('TL14'!$C$10:$C$224,$C402,'TL14'!$J$10:$J$224),0),
IF('TL14'!$B$229=Q$3,SUMIF('TL14'!$C$238:$C$451,$C402,'TL14'!$J$238:$J$451),0),
IF('TL15'!$B$3=Q$3,SUMIF('TL15'!$C$10:$C$224,$C402,'TL15'!$J$10:$J$224),0),
IF('TL15'!$B$229=Q$3,SUMIF('TL15'!$C$238:$C$451,$C402,'TL15'!$J$238:$J$451),0),
IF('TL16'!$B$3=Q$3,SUMIF('TL16'!$C$10:$C$224,$C402,'TL16'!$J$10:$J$224),0),
IF('TL16'!$B$229=Q$3,SUMIF('TL16'!$C$238:$C$451,$C402,'TL16'!$J$238:$J$451),0),
IF('TL17'!$B$3=Q$3,SUMIF('TL17'!$C$10:$C$224,$C402,'TL17'!$J$10:$J$224),0),
IF('TL17'!$B$229=Q$3,SUMIF('TL17'!$C$238:$C$451,$C402,'TL17'!$J$238:$J$451),0),
IF('TL18'!$B$3=Q$3,SUMIF('TL18'!$C$10:$C$224,$C402,'TL18'!$J$10:$J$224),0),
IF('TL18'!$B$229=Q$3,SUMIF('TL18'!$C$238:$C$451,$C402,'TL18'!$J$238:$J$451),0),
IF('TL19'!$B$3=Q$3,SUMIF('TL19'!$C$10:$C$224,$C402,'TL19'!$J$10:$J$224),0),
IF('TL19'!$B$229=Q$3,SUMIF('TL19'!$C$238:$C$451,$C402,'TL19'!$J$238:$J$451),0)
),0)</f>
        <v/>
      </c>
      <c r="R402" s="139">
        <f>IFERROR(
SUM(
SUMIF('TL01'!C:C,C402,'TL01'!J:J),
SUMIF('TL02'!C:C,C402,'TL02'!I:I),
SUMIF('TL03'!C:C,C402,'TL03'!I:I),
SUMIF('TL04'!C:C,C402,'TL04'!I:I),
SUMIF('TL05'!C:C,C402,'TL05'!I:I),
SUMIF('TL06'!C:C,C402,'TL06'!I:I),
SUMIF('TL07'!C:C,C402,'TL07'!I:I),
SUMIF('TL08'!C:C,C402,'TL08'!I:I),
SUMIF('TL09'!C:C,C402,'TL09'!I:I),
SUMIF('TL10'!C:C,C402,'TL10'!I:I),
SUMIF('TL11'!C:C,C402,'TL11'!I:I),
SUMIF('TL12'!C:C,C402,'TL12'!I:I),
SUMIF('TL13'!C:C,C402,'TL13'!I:I),
SUMIF('TL14'!C:C,C402,'TL14'!I:I),
SUMIF('TL15'!C:C,C402,'TL15'!I:I),
SUMIF('TL16'!C:C,C402,'TL16'!I:I),
SUMIF('TL17'!C:C,C402,'TL17'!I:I),
SUMIF('TL18'!C:C,C402,'TL18'!I:I))
,0)</f>
        <v/>
      </c>
      <c r="S402" s="142">
        <f>'CUSTO OPERAÇÃO'!M6</f>
        <v/>
      </c>
      <c r="T402" s="139" t="n"/>
      <c r="U402" s="143">
        <f>MAX(0,R402-T402)</f>
        <v/>
      </c>
      <c r="V402" s="144">
        <f>U402*S402</f>
        <v/>
      </c>
    </row>
    <row r="403" hidden="1" ht="15.75" customHeight="1" s="297">
      <c r="A403" s="145" t="n"/>
      <c r="B403" s="146" t="inlineStr">
        <is>
          <t>MÁQUINAS</t>
        </is>
      </c>
      <c r="C403" s="147">
        <f>'CUSTO OPERAÇÃO'!D7</f>
        <v/>
      </c>
      <c r="D403" s="147" t="n"/>
      <c r="E403" s="148" t="n"/>
      <c r="F403" s="138" t="inlineStr">
        <is>
          <t>R$/Ha</t>
        </is>
      </c>
      <c r="G403" s="139" t="n"/>
      <c r="H403" s="140">
        <f>'CUSTO OPERAÇÃO'!J7</f>
        <v/>
      </c>
      <c r="I403" s="149" t="n"/>
      <c r="J403" s="147">
        <f>IFERROR(SUM(
IF('TL01'!$B$3=J$3,SUMIF('TL01'!$C$10:$C$224,$C403,'TL01'!$J$10:$J$224),0),
IF('TL01'!$B$229=J$3,SUMIF('TL01'!$C$238:$C$451,$C403,'TL01'!$J$238:$J$451),0),
IF('TL02'!$B$3=J$3,SUMIF('TL02'!$C$10:$C$224,$C403,'TL02'!$J$10:$J$224),0),
IF('TL02'!$B$229=J$3,SUMIF('TL02'!$C$238:$C$451,$C403,'TL02'!$J$238:$J$451),0),
IF('TL03'!$B$3=J$3,SUMIF('TL03'!$C$10:$C$224,$C403,'TL03'!$J$10:$J$224),0),
IF('TL03'!$B$229=J$3,SUMIF('TL03'!$C$238:$C$451,$C403,'TL03'!$J$238:$J$451),0),
IF('TL04'!$B$3=J$3,SUMIF('TL04'!$C$10:$C$224,$C403,'TL04'!$J$10:$J$224),0),
IF('TL04'!$B$229=J$3,SUMIF('TL04'!$C$238:$C$451,$C403,'TL04'!$J$238:$J$451),0),
IF('TL05'!$B$3=J$3,SUMIF('TL05'!$C$10:$C$224,$C403,'TL05'!$J$10:$J$224),0),
IF('TL05'!$B$229=J$3,SUMIF('TL05'!$C$238:$C$451,$C403,'TL05'!$J$238:$J$451),0),
IF('TL06'!$B$3=J$3,SUMIF('TL06'!$C$10:$C$224,$C403,'TL06'!$J$10:$J$224),0),
IF('TL06'!$B$229=J$3,SUMIF('TL06'!$C$238:$C$451,$C403,'TL06'!$J$238:$J$451),0),
IF('TL07'!$B$3=J$3,SUMIF('TL07'!$C$10:$C$224,$C403,'TL07'!$J$10:$J$224),0),
IF('TL07'!$B$229=J$3,SUMIF('TL07'!$C$238:$C$451,$C403,'TL07'!$J$238:$J$451),0),
IF('TL08'!$B$3=J$3,SUMIF('TL08'!$C$10:$C$224,$C403,'TL08'!$J$10:$J$224),0),
IF('TL08'!$B$229=J$3,SUMIF('TL08'!$C$238:$C$451,$C403,'TL08'!$J$238:$J$451),0),
IF('TL09'!$B$3=J$3,SUMIF('TL09'!$C$10:$C$224,$C403,'TL09'!$J$10:$J$224),0),
IF('TL09'!$B$229=J$3,SUMIF('TL09'!$C$238:$C$451,$C403,'TL09'!$J$238:$J$451),0),
IF('TL10'!$B$3=J$3,SUMIF('TL10'!$C$10:$C$224,$C403,'TL10'!$J$10:$J$224),0),
IF('TL10'!$B$229=J$3,SUMIF('TL10'!$C$238:$C$451,$C403,'TL10'!$J$238:$J$451),0),
IF('TL11'!$B$3=J$3,SUMIF('TL11'!$C$10:$C$224,$C403,'TL11'!$J$10:$J$224),0),
IF('TL11'!$B$229=J$3,SUMIF('TL11'!$C$238:$C$451,$C403,'TL11'!$J$238:$J$451),0),
IF('TL12'!$B$3=J$3,SUMIF('TL12'!$C$10:$C$224,$C403,'TL12'!$J$10:$J$224),0),
IF('TL12'!$B$229=J$3,SUMIF('TL12'!$C$238:$C$451,$C403,'TL12'!$J$238:$J$451),0),
IF('TL13'!$B$3=J$3,SUMIF('TL13'!$C$10:$C$224,$C403,'TL13'!$J$10:$J$224),0),
IF('TL13'!$B$229=J$3,SUMIF('TL13'!$C$238:$C$451,$C403,'TL13'!$J$238:$J$451),0),
IF('TL14'!$B$3=J$3,SUMIF('TL14'!$C$10:$C$224,$C403,'TL14'!$J$10:$J$224),0),
IF('TL14'!$B$229=J$3,SUMIF('TL14'!$C$238:$C$451,$C403,'TL14'!$J$238:$J$451),0),
IF('TL15'!$B$3=J$3,SUMIF('TL15'!$C$10:$C$224,$C403,'TL15'!$J$10:$J$224),0),
IF('TL15'!$B$229=J$3,SUMIF('TL15'!$C$238:$C$451,$C403,'TL15'!$J$238:$J$451),0),
IF('TL16'!$B$3=J$3,SUMIF('TL16'!$C$10:$C$224,$C403,'TL16'!$J$10:$J$224),0),
IF('TL16'!$B$229=J$3,SUMIF('TL16'!$C$238:$C$451,$C403,'TL16'!$J$238:$J$451),0),
IF('TL17'!$B$3=J$3,SUMIF('TL17'!$C$10:$C$224,$C403,'TL17'!$J$10:$J$224),0),
IF('TL17'!$B$229=J$3,SUMIF('TL17'!$C$238:$C$451,$C403,'TL17'!$J$238:$J$451),0),
IF('TL18'!$B$3=J$3,SUMIF('TL18'!$C$10:$C$224,$C403,'TL18'!$J$10:$J$224),0),
IF('TL18'!$B$229=J$3,SUMIF('TL18'!$C$238:$C$451,$C403,'TL18'!$J$238:$J$451),0),
IF('TL19'!$B$3=J$3,SUMIF('TL19'!$C$10:$C$224,$C403,'TL19'!$J$10:$J$224),0),
IF('TL19'!$B$229=J$3,SUMIF('TL19'!$C$238:$C$451,$C403,'TL19'!$J$238:$J$451),0)
),0)</f>
        <v/>
      </c>
      <c r="K403" s="147">
        <f>IFERROR(SUM(
IF('TL01'!$B$3=K$3,SUMIF('TL01'!$C$10:$C$224,$C403,'TL01'!$J$10:$J$224),0),
IF('TL01'!$B$229=K$3,SUMIF('TL01'!$C$238:$C$451,$C403,'TL01'!$J$238:$J$451),0),
IF('TL02'!$B$3=K$3,SUMIF('TL02'!$C$10:$C$224,$C403,'TL02'!$J$10:$J$224),0),
IF('TL02'!$B$229=K$3,SUMIF('TL02'!$C$238:$C$451,$C403,'TL02'!$J$238:$J$451),0),
IF('TL03'!$B$3=K$3,SUMIF('TL03'!$C$10:$C$224,$C403,'TL03'!$J$10:$J$224),0),
IF('TL03'!$B$229=K$3,SUMIF('TL03'!$C$238:$C$451,$C403,'TL03'!$J$238:$J$451),0),
IF('TL04'!$B$3=K$3,SUMIF('TL04'!$C$10:$C$224,$C403,'TL04'!$J$10:$J$224),0),
IF('TL04'!$B$229=K$3,SUMIF('TL04'!$C$238:$C$451,$C403,'TL04'!$J$238:$J$451),0),
IF('TL05'!$B$3=K$3,SUMIF('TL05'!$C$10:$C$224,$C403,'TL05'!$J$10:$J$224),0),
IF('TL05'!$B$229=K$3,SUMIF('TL05'!$C$238:$C$451,$C403,'TL05'!$J$238:$J$451),0),
IF('TL06'!$B$3=K$3,SUMIF('TL06'!$C$10:$C$224,$C403,'TL06'!$J$10:$J$224),0),
IF('TL06'!$B$229=K$3,SUMIF('TL06'!$C$238:$C$451,$C403,'TL06'!$J$238:$J$451),0),
IF('TL07'!$B$3=K$3,SUMIF('TL07'!$C$10:$C$224,$C403,'TL07'!$J$10:$J$224),0),
IF('TL07'!$B$229=K$3,SUMIF('TL07'!$C$238:$C$451,$C403,'TL07'!$J$238:$J$451),0),
IF('TL08'!$B$3=K$3,SUMIF('TL08'!$C$10:$C$224,$C403,'TL08'!$J$10:$J$224),0),
IF('TL08'!$B$229=K$3,SUMIF('TL08'!$C$238:$C$451,$C403,'TL08'!$J$238:$J$451),0),
IF('TL09'!$B$3=K$3,SUMIF('TL09'!$C$10:$C$224,$C403,'TL09'!$J$10:$J$224),0),
IF('TL09'!$B$229=K$3,SUMIF('TL09'!$C$238:$C$451,$C403,'TL09'!$J$238:$J$451),0),
IF('TL10'!$B$3=K$3,SUMIF('TL10'!$C$10:$C$224,$C403,'TL10'!$J$10:$J$224),0),
IF('TL10'!$B$229=K$3,SUMIF('TL10'!$C$238:$C$451,$C403,'TL10'!$J$238:$J$451),0),
IF('TL11'!$B$3=K$3,SUMIF('TL11'!$C$10:$C$224,$C403,'TL11'!$J$10:$J$224),0),
IF('TL11'!$B$229=K$3,SUMIF('TL11'!$C$238:$C$451,$C403,'TL11'!$J$238:$J$451),0),
IF('TL12'!$B$3=K$3,SUMIF('TL12'!$C$10:$C$224,$C403,'TL12'!$J$10:$J$224),0),
IF('TL12'!$B$229=K$3,SUMIF('TL12'!$C$238:$C$451,$C403,'TL12'!$J$238:$J$451),0),
IF('TL13'!$B$3=K$3,SUMIF('TL13'!$C$10:$C$224,$C403,'TL13'!$J$10:$J$224),0),
IF('TL13'!$B$229=K$3,SUMIF('TL13'!$C$238:$C$451,$C403,'TL13'!$J$238:$J$451),0),
IF('TL14'!$B$3=K$3,SUMIF('TL14'!$C$10:$C$224,$C403,'TL14'!$J$10:$J$224),0),
IF('TL14'!$B$229=K$3,SUMIF('TL14'!$C$238:$C$451,$C403,'TL14'!$J$238:$J$451),0),
IF('TL15'!$B$3=K$3,SUMIF('TL15'!$C$10:$C$224,$C403,'TL15'!$J$10:$J$224),0),
IF('TL15'!$B$229=K$3,SUMIF('TL15'!$C$238:$C$451,$C403,'TL15'!$J$238:$J$451),0),
IF('TL16'!$B$3=K$3,SUMIF('TL16'!$C$10:$C$224,$C403,'TL16'!$J$10:$J$224),0),
IF('TL16'!$B$229=K$3,SUMIF('TL16'!$C$238:$C$451,$C403,'TL16'!$J$238:$J$451),0),
IF('TL17'!$B$3=K$3,SUMIF('TL17'!$C$10:$C$224,$C403,'TL17'!$J$10:$J$224),0),
IF('TL17'!$B$229=K$3,SUMIF('TL17'!$C$238:$C$451,$C403,'TL17'!$J$238:$J$451),0),
IF('TL18'!$B$3=K$3,SUMIF('TL18'!$C$10:$C$224,$C403,'TL18'!$J$10:$J$224),0),
IF('TL18'!$B$229=K$3,SUMIF('TL18'!$C$238:$C$451,$C403,'TL18'!$J$238:$J$451),0),
IF('TL19'!$B$3=K$3,SUMIF('TL19'!$C$10:$C$224,$C403,'TL19'!$J$10:$J$224),0),
IF('TL19'!$B$229=K$3,SUMIF('TL19'!$C$238:$C$451,$C403,'TL19'!$J$238:$J$451),0)
),0)</f>
        <v/>
      </c>
      <c r="L403" s="147">
        <f>IFERROR(SUM(
IF('TL01'!$B$3=L$3,SUMIF('TL01'!$C$10:$C$224,$C403,'TL01'!$J$10:$J$224),0),
IF('TL01'!$B$229=L$3,SUMIF('TL01'!$C$238:$C$451,$C403,'TL01'!$J$238:$J$451),0),
IF('TL02'!$B$3=L$3,SUMIF('TL02'!$C$10:$C$224,$C403,'TL02'!$J$10:$J$224),0),
IF('TL02'!$B$229=L$3,SUMIF('TL02'!$C$238:$C$451,$C403,'TL02'!$J$238:$J$451),0),
IF('TL03'!$B$3=L$3,SUMIF('TL03'!$C$10:$C$224,$C403,'TL03'!$J$10:$J$224),0),
IF('TL03'!$B$229=L$3,SUMIF('TL03'!$C$238:$C$451,$C403,'TL03'!$J$238:$J$451),0),
IF('TL04'!$B$3=L$3,SUMIF('TL04'!$C$10:$C$224,$C403,'TL04'!$J$10:$J$224),0),
IF('TL04'!$B$229=L$3,SUMIF('TL04'!$C$238:$C$451,$C403,'TL04'!$J$238:$J$451),0),
IF('TL05'!$B$3=L$3,SUMIF('TL05'!$C$10:$C$224,$C403,'TL05'!$J$10:$J$224),0),
IF('TL05'!$B$229=L$3,SUMIF('TL05'!$C$238:$C$451,$C403,'TL05'!$J$238:$J$451),0),
IF('TL06'!$B$3=L$3,SUMIF('TL06'!$C$10:$C$224,$C403,'TL06'!$J$10:$J$224),0),
IF('TL06'!$B$229=L$3,SUMIF('TL06'!$C$238:$C$451,$C403,'TL06'!$J$238:$J$451),0),
IF('TL07'!$B$3=L$3,SUMIF('TL07'!$C$10:$C$224,$C403,'TL07'!$J$10:$J$224),0),
IF('TL07'!$B$229=L$3,SUMIF('TL07'!$C$238:$C$451,$C403,'TL07'!$J$238:$J$451),0),
IF('TL08'!$B$3=L$3,SUMIF('TL08'!$C$10:$C$224,$C403,'TL08'!$J$10:$J$224),0),
IF('TL08'!$B$229=L$3,SUMIF('TL08'!$C$238:$C$451,$C403,'TL08'!$J$238:$J$451),0),
IF('TL09'!$B$3=L$3,SUMIF('TL09'!$C$10:$C$224,$C403,'TL09'!$J$10:$J$224),0),
IF('TL09'!$B$229=L$3,SUMIF('TL09'!$C$238:$C$451,$C403,'TL09'!$J$238:$J$451),0),
IF('TL10'!$B$3=L$3,SUMIF('TL10'!$C$10:$C$224,$C403,'TL10'!$J$10:$J$224),0),
IF('TL10'!$B$229=L$3,SUMIF('TL10'!$C$238:$C$451,$C403,'TL10'!$J$238:$J$451),0),
IF('TL11'!$B$3=L$3,SUMIF('TL11'!$C$10:$C$224,$C403,'TL11'!$J$10:$J$224),0),
IF('TL11'!$B$229=L$3,SUMIF('TL11'!$C$238:$C$451,$C403,'TL11'!$J$238:$J$451),0),
IF('TL12'!$B$3=L$3,SUMIF('TL12'!$C$10:$C$224,$C403,'TL12'!$J$10:$J$224),0),
IF('TL12'!$B$229=L$3,SUMIF('TL12'!$C$238:$C$451,$C403,'TL12'!$J$238:$J$451),0),
IF('TL13'!$B$3=L$3,SUMIF('TL13'!$C$10:$C$224,$C403,'TL13'!$J$10:$J$224),0),
IF('TL13'!$B$229=L$3,SUMIF('TL13'!$C$238:$C$451,$C403,'TL13'!$J$238:$J$451),0),
IF('TL14'!$B$3=L$3,SUMIF('TL14'!$C$10:$C$224,$C403,'TL14'!$J$10:$J$224),0),
IF('TL14'!$B$229=L$3,SUMIF('TL14'!$C$238:$C$451,$C403,'TL14'!$J$238:$J$451),0),
IF('TL15'!$B$3=L$3,SUMIF('TL15'!$C$10:$C$224,$C403,'TL15'!$J$10:$J$224),0),
IF('TL15'!$B$229=L$3,SUMIF('TL15'!$C$238:$C$451,$C403,'TL15'!$J$238:$J$451),0),
IF('TL16'!$B$3=L$3,SUMIF('TL16'!$C$10:$C$224,$C403,'TL16'!$J$10:$J$224),0),
IF('TL16'!$B$229=L$3,SUMIF('TL16'!$C$238:$C$451,$C403,'TL16'!$J$238:$J$451),0),
IF('TL17'!$B$3=L$3,SUMIF('TL17'!$C$10:$C$224,$C403,'TL17'!$J$10:$J$224),0),
IF('TL17'!$B$229=L$3,SUMIF('TL17'!$C$238:$C$451,$C403,'TL17'!$J$238:$J$451),0),
IF('TL18'!$B$3=L$3,SUMIF('TL18'!$C$10:$C$224,$C403,'TL18'!$J$10:$J$224),0),
IF('TL18'!$B$229=L$3,SUMIF('TL18'!$C$238:$C$451,$C403,'TL18'!$J$238:$J$451),0),
IF('TL19'!$B$3=L$3,SUMIF('TL19'!$C$10:$C$224,$C403,'TL19'!$J$10:$J$224),0),
IF('TL19'!$B$229=L$3,SUMIF('TL19'!$C$238:$C$451,$C403,'TL19'!$J$238:$J$451),0)
),0)</f>
        <v/>
      </c>
      <c r="M403" s="147">
        <f>IFERROR(SUM(
IF('TL01'!$B$3=M$3,SUMIF('TL01'!$C$10:$C$224,$C403,'TL01'!$J$10:$J$224),0),
IF('TL01'!$B$229=M$3,SUMIF('TL01'!$C$238:$C$451,$C403,'TL01'!$J$238:$J$451),0),
IF('TL02'!$B$3=M$3,SUMIF('TL02'!$C$10:$C$224,$C403,'TL02'!$J$10:$J$224),0),
IF('TL02'!$B$229=M$3,SUMIF('TL02'!$C$238:$C$451,$C403,'TL02'!$J$238:$J$451),0),
IF('TL03'!$B$3=M$3,SUMIF('TL03'!$C$10:$C$224,$C403,'TL03'!$J$10:$J$224),0),
IF('TL03'!$B$229=M$3,SUMIF('TL03'!$C$238:$C$451,$C403,'TL03'!$J$238:$J$451),0),
IF('TL04'!$B$3=M$3,SUMIF('TL04'!$C$10:$C$224,$C403,'TL04'!$J$10:$J$224),0),
IF('TL04'!$B$229=M$3,SUMIF('TL04'!$C$238:$C$451,$C403,'TL04'!$J$238:$J$451),0),
IF('TL05'!$B$3=M$3,SUMIF('TL05'!$C$10:$C$224,$C403,'TL05'!$J$10:$J$224),0),
IF('TL05'!$B$229=M$3,SUMIF('TL05'!$C$238:$C$451,$C403,'TL05'!$J$238:$J$451),0),
IF('TL06'!$B$3=M$3,SUMIF('TL06'!$C$10:$C$224,$C403,'TL06'!$J$10:$J$224),0),
IF('TL06'!$B$229=M$3,SUMIF('TL06'!$C$238:$C$451,$C403,'TL06'!$J$238:$J$451),0),
IF('TL07'!$B$3=M$3,SUMIF('TL07'!$C$10:$C$224,$C403,'TL07'!$J$10:$J$224),0),
IF('TL07'!$B$229=M$3,SUMIF('TL07'!$C$238:$C$451,$C403,'TL07'!$J$238:$J$451),0),
IF('TL08'!$B$3=M$3,SUMIF('TL08'!$C$10:$C$224,$C403,'TL08'!$J$10:$J$224),0),
IF('TL08'!$B$229=M$3,SUMIF('TL08'!$C$238:$C$451,$C403,'TL08'!$J$238:$J$451),0),
IF('TL09'!$B$3=M$3,SUMIF('TL09'!$C$10:$C$224,$C403,'TL09'!$J$10:$J$224),0),
IF('TL09'!$B$229=M$3,SUMIF('TL09'!$C$238:$C$451,$C403,'TL09'!$J$238:$J$451),0),
IF('TL10'!$B$3=M$3,SUMIF('TL10'!$C$10:$C$224,$C403,'TL10'!$J$10:$J$224),0),
IF('TL10'!$B$229=M$3,SUMIF('TL10'!$C$238:$C$451,$C403,'TL10'!$J$238:$J$451),0),
IF('TL11'!$B$3=M$3,SUMIF('TL11'!$C$10:$C$224,$C403,'TL11'!$J$10:$J$224),0),
IF('TL11'!$B$229=M$3,SUMIF('TL11'!$C$238:$C$451,$C403,'TL11'!$J$238:$J$451),0),
IF('TL12'!$B$3=M$3,SUMIF('TL12'!$C$10:$C$224,$C403,'TL12'!$J$10:$J$224),0),
IF('TL12'!$B$229=M$3,SUMIF('TL12'!$C$238:$C$451,$C403,'TL12'!$J$238:$J$451),0),
IF('TL13'!$B$3=M$3,SUMIF('TL13'!$C$10:$C$224,$C403,'TL13'!$J$10:$J$224),0),
IF('TL13'!$B$229=M$3,SUMIF('TL13'!$C$238:$C$451,$C403,'TL13'!$J$238:$J$451),0),
IF('TL14'!$B$3=M$3,SUMIF('TL14'!$C$10:$C$224,$C403,'TL14'!$J$10:$J$224),0),
IF('TL14'!$B$229=M$3,SUMIF('TL14'!$C$238:$C$451,$C403,'TL14'!$J$238:$J$451),0),
IF('TL15'!$B$3=M$3,SUMIF('TL15'!$C$10:$C$224,$C403,'TL15'!$J$10:$J$224),0),
IF('TL15'!$B$229=M$3,SUMIF('TL15'!$C$238:$C$451,$C403,'TL15'!$J$238:$J$451),0),
IF('TL16'!$B$3=M$3,SUMIF('TL16'!$C$10:$C$224,$C403,'TL16'!$J$10:$J$224),0),
IF('TL16'!$B$229=M$3,SUMIF('TL16'!$C$238:$C$451,$C403,'TL16'!$J$238:$J$451),0),
IF('TL17'!$B$3=M$3,SUMIF('TL17'!$C$10:$C$224,$C403,'TL17'!$J$10:$J$224),0),
IF('TL17'!$B$229=M$3,SUMIF('TL17'!$C$238:$C$451,$C403,'TL17'!$J$238:$J$451),0),
IF('TL18'!$B$3=M$3,SUMIF('TL18'!$C$10:$C$224,$C403,'TL18'!$J$10:$J$224),0),
IF('TL18'!$B$229=M$3,SUMIF('TL18'!$C$238:$C$451,$C403,'TL18'!$J$238:$J$451),0),
IF('TL19'!$B$3=M$3,SUMIF('TL19'!$C$10:$C$224,$C403,'TL19'!$J$10:$J$224),0),
IF('TL19'!$B$229=M$3,SUMIF('TL19'!$C$238:$C$451,$C403,'TL19'!$J$238:$J$451),0)
),0)</f>
        <v/>
      </c>
      <c r="N403" s="147">
        <f>IFERROR(SUM(
IF('TL01'!$B$3=N$3,SUMIF('TL01'!$C$10:$C$224,$C403,'TL01'!$J$10:$J$224),0),
IF('TL01'!$B$229=N$3,SUMIF('TL01'!$C$238:$C$451,$C403,'TL01'!$J$238:$J$451),0),
IF('TL02'!$B$3=N$3,SUMIF('TL02'!$C$10:$C$224,$C403,'TL02'!$J$10:$J$224),0),
IF('TL02'!$B$229=N$3,SUMIF('TL02'!$C$238:$C$451,$C403,'TL02'!$J$238:$J$451),0),
IF('TL03'!$B$3=N$3,SUMIF('TL03'!$C$10:$C$224,$C403,'TL03'!$J$10:$J$224),0),
IF('TL03'!$B$229=N$3,SUMIF('TL03'!$C$238:$C$451,$C403,'TL03'!$J$238:$J$451),0),
IF('TL04'!$B$3=N$3,SUMIF('TL04'!$C$10:$C$224,$C403,'TL04'!$J$10:$J$224),0),
IF('TL04'!$B$229=N$3,SUMIF('TL04'!$C$238:$C$451,$C403,'TL04'!$J$238:$J$451),0),
IF('TL05'!$B$3=N$3,SUMIF('TL05'!$C$10:$C$224,$C403,'TL05'!$J$10:$J$224),0),
IF('TL05'!$B$229=N$3,SUMIF('TL05'!$C$238:$C$451,$C403,'TL05'!$J$238:$J$451),0),
IF('TL06'!$B$3=N$3,SUMIF('TL06'!$C$10:$C$224,$C403,'TL06'!$J$10:$J$224),0),
IF('TL06'!$B$229=N$3,SUMIF('TL06'!$C$238:$C$451,$C403,'TL06'!$J$238:$J$451),0),
IF('TL07'!$B$3=N$3,SUMIF('TL07'!$C$10:$C$224,$C403,'TL07'!$J$10:$J$224),0),
IF('TL07'!$B$229=N$3,SUMIF('TL07'!$C$238:$C$451,$C403,'TL07'!$J$238:$J$451),0),
IF('TL08'!$B$3=N$3,SUMIF('TL08'!$C$10:$C$224,$C403,'TL08'!$J$10:$J$224),0),
IF('TL08'!$B$229=N$3,SUMIF('TL08'!$C$238:$C$451,$C403,'TL08'!$J$238:$J$451),0),
IF('TL09'!$B$3=N$3,SUMIF('TL09'!$C$10:$C$224,$C403,'TL09'!$J$10:$J$224),0),
IF('TL09'!$B$229=N$3,SUMIF('TL09'!$C$238:$C$451,$C403,'TL09'!$J$238:$J$451),0),
IF('TL10'!$B$3=N$3,SUMIF('TL10'!$C$10:$C$224,$C403,'TL10'!$J$10:$J$224),0),
IF('TL10'!$B$229=N$3,SUMIF('TL10'!$C$238:$C$451,$C403,'TL10'!$J$238:$J$451),0),
IF('TL11'!$B$3=N$3,SUMIF('TL11'!$C$10:$C$224,$C403,'TL11'!$J$10:$J$224),0),
IF('TL11'!$B$229=N$3,SUMIF('TL11'!$C$238:$C$451,$C403,'TL11'!$J$238:$J$451),0),
IF('TL12'!$B$3=N$3,SUMIF('TL12'!$C$10:$C$224,$C403,'TL12'!$J$10:$J$224),0),
IF('TL12'!$B$229=N$3,SUMIF('TL12'!$C$238:$C$451,$C403,'TL12'!$J$238:$J$451),0),
IF('TL13'!$B$3=N$3,SUMIF('TL13'!$C$10:$C$224,$C403,'TL13'!$J$10:$J$224),0),
IF('TL13'!$B$229=N$3,SUMIF('TL13'!$C$238:$C$451,$C403,'TL13'!$J$238:$J$451),0),
IF('TL14'!$B$3=N$3,SUMIF('TL14'!$C$10:$C$224,$C403,'TL14'!$J$10:$J$224),0),
IF('TL14'!$B$229=N$3,SUMIF('TL14'!$C$238:$C$451,$C403,'TL14'!$J$238:$J$451),0),
IF('TL15'!$B$3=N$3,SUMIF('TL15'!$C$10:$C$224,$C403,'TL15'!$J$10:$J$224),0),
IF('TL15'!$B$229=N$3,SUMIF('TL15'!$C$238:$C$451,$C403,'TL15'!$J$238:$J$451),0),
IF('TL16'!$B$3=N$3,SUMIF('TL16'!$C$10:$C$224,$C403,'TL16'!$J$10:$J$224),0),
IF('TL16'!$B$229=N$3,SUMIF('TL16'!$C$238:$C$451,$C403,'TL16'!$J$238:$J$451),0),
IF('TL17'!$B$3=N$3,SUMIF('TL17'!$C$10:$C$224,$C403,'TL17'!$J$10:$J$224),0),
IF('TL17'!$B$229=N$3,SUMIF('TL17'!$C$238:$C$451,$C403,'TL17'!$J$238:$J$451),0),
IF('TL18'!$B$3=N$3,SUMIF('TL18'!$C$10:$C$224,$C403,'TL18'!$J$10:$J$224),0),
IF('TL18'!$B$229=N$3,SUMIF('TL18'!$C$238:$C$451,$C403,'TL18'!$J$238:$J$451),0),
IF('TL19'!$B$3=N$3,SUMIF('TL19'!$C$10:$C$224,$C403,'TL19'!$J$10:$J$224),0),
IF('TL19'!$B$229=N$3,SUMIF('TL19'!$C$238:$C$451,$C403,'TL19'!$J$238:$J$451),0)
),0)</f>
        <v/>
      </c>
      <c r="O403" s="147">
        <f>IFERROR(SUM(
IF('TL01'!$B$3=O$3,SUMIF('TL01'!$C$10:$C$224,$C403,'TL01'!$J$10:$J$224),0),
IF('TL01'!$B$229=O$3,SUMIF('TL01'!$C$238:$C$451,$C403,'TL01'!$J$238:$J$451),0),
IF('TL02'!$B$3=O$3,SUMIF('TL02'!$C$10:$C$224,$C403,'TL02'!$J$10:$J$224),0),
IF('TL02'!$B$229=O$3,SUMIF('TL02'!$C$238:$C$451,$C403,'TL02'!$J$238:$J$451),0),
IF('TL03'!$B$3=O$3,SUMIF('TL03'!$C$10:$C$224,$C403,'TL03'!$J$10:$J$224),0),
IF('TL03'!$B$229=O$3,SUMIF('TL03'!$C$238:$C$451,$C403,'TL03'!$J$238:$J$451),0),
IF('TL04'!$B$3=O$3,SUMIF('TL04'!$C$10:$C$224,$C403,'TL04'!$J$10:$J$224),0),
IF('TL04'!$B$229=O$3,SUMIF('TL04'!$C$238:$C$451,$C403,'TL04'!$J$238:$J$451),0),
IF('TL05'!$B$3=O$3,SUMIF('TL05'!$C$10:$C$224,$C403,'TL05'!$J$10:$J$224),0),
IF('TL05'!$B$229=O$3,SUMIF('TL05'!$C$238:$C$451,$C403,'TL05'!$J$238:$J$451),0),
IF('TL06'!$B$3=O$3,SUMIF('TL06'!$C$10:$C$224,$C403,'TL06'!$J$10:$J$224),0),
IF('TL06'!$B$229=O$3,SUMIF('TL06'!$C$238:$C$451,$C403,'TL06'!$J$238:$J$451),0),
IF('TL07'!$B$3=O$3,SUMIF('TL07'!$C$10:$C$224,$C403,'TL07'!$J$10:$J$224),0),
IF('TL07'!$B$229=O$3,SUMIF('TL07'!$C$238:$C$451,$C403,'TL07'!$J$238:$J$451),0),
IF('TL08'!$B$3=O$3,SUMIF('TL08'!$C$10:$C$224,$C403,'TL08'!$J$10:$J$224),0),
IF('TL08'!$B$229=O$3,SUMIF('TL08'!$C$238:$C$451,$C403,'TL08'!$J$238:$J$451),0),
IF('TL09'!$B$3=O$3,SUMIF('TL09'!$C$10:$C$224,$C403,'TL09'!$J$10:$J$224),0),
IF('TL09'!$B$229=O$3,SUMIF('TL09'!$C$238:$C$451,$C403,'TL09'!$J$238:$J$451),0),
IF('TL10'!$B$3=O$3,SUMIF('TL10'!$C$10:$C$224,$C403,'TL10'!$J$10:$J$224),0),
IF('TL10'!$B$229=O$3,SUMIF('TL10'!$C$238:$C$451,$C403,'TL10'!$J$238:$J$451),0),
IF('TL11'!$B$3=O$3,SUMIF('TL11'!$C$10:$C$224,$C403,'TL11'!$J$10:$J$224),0),
IF('TL11'!$B$229=O$3,SUMIF('TL11'!$C$238:$C$451,$C403,'TL11'!$J$238:$J$451),0),
IF('TL12'!$B$3=O$3,SUMIF('TL12'!$C$10:$C$224,$C403,'TL12'!$J$10:$J$224),0),
IF('TL12'!$B$229=O$3,SUMIF('TL12'!$C$238:$C$451,$C403,'TL12'!$J$238:$J$451),0),
IF('TL13'!$B$3=O$3,SUMIF('TL13'!$C$10:$C$224,$C403,'TL13'!$J$10:$J$224),0),
IF('TL13'!$B$229=O$3,SUMIF('TL13'!$C$238:$C$451,$C403,'TL13'!$J$238:$J$451),0),
IF('TL14'!$B$3=O$3,SUMIF('TL14'!$C$10:$C$224,$C403,'TL14'!$J$10:$J$224),0),
IF('TL14'!$B$229=O$3,SUMIF('TL14'!$C$238:$C$451,$C403,'TL14'!$J$238:$J$451),0),
IF('TL15'!$B$3=O$3,SUMIF('TL15'!$C$10:$C$224,$C403,'TL15'!$J$10:$J$224),0),
IF('TL15'!$B$229=O$3,SUMIF('TL15'!$C$238:$C$451,$C403,'TL15'!$J$238:$J$451),0),
IF('TL16'!$B$3=O$3,SUMIF('TL16'!$C$10:$C$224,$C403,'TL16'!$J$10:$J$224),0),
IF('TL16'!$B$229=O$3,SUMIF('TL16'!$C$238:$C$451,$C403,'TL16'!$J$238:$J$451),0),
IF('TL17'!$B$3=O$3,SUMIF('TL17'!$C$10:$C$224,$C403,'TL17'!$J$10:$J$224),0),
IF('TL17'!$B$229=O$3,SUMIF('TL17'!$C$238:$C$451,$C403,'TL17'!$J$238:$J$451),0),
IF('TL18'!$B$3=O$3,SUMIF('TL18'!$C$10:$C$224,$C403,'TL18'!$J$10:$J$224),0),
IF('TL18'!$B$229=O$3,SUMIF('TL18'!$C$238:$C$451,$C403,'TL18'!$J$238:$J$451),0),
IF('TL19'!$B$3=O$3,SUMIF('TL19'!$C$10:$C$224,$C403,'TL19'!$J$10:$J$224),0),
IF('TL19'!$B$229=O$3,SUMIF('TL19'!$C$238:$C$451,$C403,'TL19'!$J$238:$J$451),0)
),0)</f>
        <v/>
      </c>
      <c r="P403" s="147">
        <f>IFERROR(SUM(
IF('TL01'!$B$3=P$3,SUMIF('TL01'!$C$10:$C$224,$C403,'TL01'!$J$10:$J$224),0),
IF('TL01'!$B$229=P$3,SUMIF('TL01'!$C$238:$C$451,$C403,'TL01'!$J$238:$J$451),0),
IF('TL02'!$B$3=P$3,SUMIF('TL02'!$C$10:$C$224,$C403,'TL02'!$J$10:$J$224),0),
IF('TL02'!$B$229=P$3,SUMIF('TL02'!$C$238:$C$451,$C403,'TL02'!$J$238:$J$451),0),
IF('TL03'!$B$3=P$3,SUMIF('TL03'!$C$10:$C$224,$C403,'TL03'!$J$10:$J$224),0),
IF('TL03'!$B$229=P$3,SUMIF('TL03'!$C$238:$C$451,$C403,'TL03'!$J$238:$J$451),0),
IF('TL04'!$B$3=P$3,SUMIF('TL04'!$C$10:$C$224,$C403,'TL04'!$J$10:$J$224),0),
IF('TL04'!$B$229=P$3,SUMIF('TL04'!$C$238:$C$451,$C403,'TL04'!$J$238:$J$451),0),
IF('TL05'!$B$3=P$3,SUMIF('TL05'!$C$10:$C$224,$C403,'TL05'!$J$10:$J$224),0),
IF('TL05'!$B$229=P$3,SUMIF('TL05'!$C$238:$C$451,$C403,'TL05'!$J$238:$J$451),0),
IF('TL06'!$B$3=P$3,SUMIF('TL06'!$C$10:$C$224,$C403,'TL06'!$J$10:$J$224),0),
IF('TL06'!$B$229=P$3,SUMIF('TL06'!$C$238:$C$451,$C403,'TL06'!$J$238:$J$451),0),
IF('TL07'!$B$3=P$3,SUMIF('TL07'!$C$10:$C$224,$C403,'TL07'!$J$10:$J$224),0),
IF('TL07'!$B$229=P$3,SUMIF('TL07'!$C$238:$C$451,$C403,'TL07'!$J$238:$J$451),0),
IF('TL08'!$B$3=P$3,SUMIF('TL08'!$C$10:$C$224,$C403,'TL08'!$J$10:$J$224),0),
IF('TL08'!$B$229=P$3,SUMIF('TL08'!$C$238:$C$451,$C403,'TL08'!$J$238:$J$451),0),
IF('TL09'!$B$3=P$3,SUMIF('TL09'!$C$10:$C$224,$C403,'TL09'!$J$10:$J$224),0),
IF('TL09'!$B$229=P$3,SUMIF('TL09'!$C$238:$C$451,$C403,'TL09'!$J$238:$J$451),0),
IF('TL10'!$B$3=P$3,SUMIF('TL10'!$C$10:$C$224,$C403,'TL10'!$J$10:$J$224),0),
IF('TL10'!$B$229=P$3,SUMIF('TL10'!$C$238:$C$451,$C403,'TL10'!$J$238:$J$451),0),
IF('TL11'!$B$3=P$3,SUMIF('TL11'!$C$10:$C$224,$C403,'TL11'!$J$10:$J$224),0),
IF('TL11'!$B$229=P$3,SUMIF('TL11'!$C$238:$C$451,$C403,'TL11'!$J$238:$J$451),0),
IF('TL12'!$B$3=P$3,SUMIF('TL12'!$C$10:$C$224,$C403,'TL12'!$J$10:$J$224),0),
IF('TL12'!$B$229=P$3,SUMIF('TL12'!$C$238:$C$451,$C403,'TL12'!$J$238:$J$451),0),
IF('TL13'!$B$3=P$3,SUMIF('TL13'!$C$10:$C$224,$C403,'TL13'!$J$10:$J$224),0),
IF('TL13'!$B$229=P$3,SUMIF('TL13'!$C$238:$C$451,$C403,'TL13'!$J$238:$J$451),0),
IF('TL14'!$B$3=P$3,SUMIF('TL14'!$C$10:$C$224,$C403,'TL14'!$J$10:$J$224),0),
IF('TL14'!$B$229=P$3,SUMIF('TL14'!$C$238:$C$451,$C403,'TL14'!$J$238:$J$451),0),
IF('TL15'!$B$3=P$3,SUMIF('TL15'!$C$10:$C$224,$C403,'TL15'!$J$10:$J$224),0),
IF('TL15'!$B$229=P$3,SUMIF('TL15'!$C$238:$C$451,$C403,'TL15'!$J$238:$J$451),0),
IF('TL16'!$B$3=P$3,SUMIF('TL16'!$C$10:$C$224,$C403,'TL16'!$J$10:$J$224),0),
IF('TL16'!$B$229=P$3,SUMIF('TL16'!$C$238:$C$451,$C403,'TL16'!$J$238:$J$451),0),
IF('TL17'!$B$3=P$3,SUMIF('TL17'!$C$10:$C$224,$C403,'TL17'!$J$10:$J$224),0),
IF('TL17'!$B$229=P$3,SUMIF('TL17'!$C$238:$C$451,$C403,'TL17'!$J$238:$J$451),0),
IF('TL18'!$B$3=P$3,SUMIF('TL18'!$C$10:$C$224,$C403,'TL18'!$J$10:$J$224),0),
IF('TL18'!$B$229=P$3,SUMIF('TL18'!$C$238:$C$451,$C403,'TL18'!$J$238:$J$451),0),
IF('TL19'!$B$3=P$3,SUMIF('TL19'!$C$10:$C$224,$C403,'TL19'!$J$10:$J$224),0),
IF('TL19'!$B$229=P$3,SUMIF('TL19'!$C$238:$C$451,$C403,'TL19'!$J$238:$J$451),0)
),0)</f>
        <v/>
      </c>
      <c r="Q403" s="147">
        <f>IFERROR(SUM(
IF('TL01'!$B$3=Q$3,SUMIF('TL01'!$C$10:$C$224,$C403,'TL01'!$J$10:$J$224),0),
IF('TL01'!$B$229=Q$3,SUMIF('TL01'!$C$238:$C$451,$C403,'TL01'!$J$238:$J$451),0),
IF('TL02'!$B$3=Q$3,SUMIF('TL02'!$C$10:$C$224,$C403,'TL02'!$J$10:$J$224),0),
IF('TL02'!$B$229=Q$3,SUMIF('TL02'!$C$238:$C$451,$C403,'TL02'!$J$238:$J$451),0),
IF('TL03'!$B$3=Q$3,SUMIF('TL03'!$C$10:$C$224,$C403,'TL03'!$J$10:$J$224),0),
IF('TL03'!$B$229=Q$3,SUMIF('TL03'!$C$238:$C$451,$C403,'TL03'!$J$238:$J$451),0),
IF('TL04'!$B$3=Q$3,SUMIF('TL04'!$C$10:$C$224,$C403,'TL04'!$J$10:$J$224),0),
IF('TL04'!$B$229=Q$3,SUMIF('TL04'!$C$238:$C$451,$C403,'TL04'!$J$238:$J$451),0),
IF('TL05'!$B$3=Q$3,SUMIF('TL05'!$C$10:$C$224,$C403,'TL05'!$J$10:$J$224),0),
IF('TL05'!$B$229=Q$3,SUMIF('TL05'!$C$238:$C$451,$C403,'TL05'!$J$238:$J$451),0),
IF('TL06'!$B$3=Q$3,SUMIF('TL06'!$C$10:$C$224,$C403,'TL06'!$J$10:$J$224),0),
IF('TL06'!$B$229=Q$3,SUMIF('TL06'!$C$238:$C$451,$C403,'TL06'!$J$238:$J$451),0),
IF('TL07'!$B$3=Q$3,SUMIF('TL07'!$C$10:$C$224,$C403,'TL07'!$J$10:$J$224),0),
IF('TL07'!$B$229=Q$3,SUMIF('TL07'!$C$238:$C$451,$C403,'TL07'!$J$238:$J$451),0),
IF('TL08'!$B$3=Q$3,SUMIF('TL08'!$C$10:$C$224,$C403,'TL08'!$J$10:$J$224),0),
IF('TL08'!$B$229=Q$3,SUMIF('TL08'!$C$238:$C$451,$C403,'TL08'!$J$238:$J$451),0),
IF('TL09'!$B$3=Q$3,SUMIF('TL09'!$C$10:$C$224,$C403,'TL09'!$J$10:$J$224),0),
IF('TL09'!$B$229=Q$3,SUMIF('TL09'!$C$238:$C$451,$C403,'TL09'!$J$238:$J$451),0),
IF('TL10'!$B$3=Q$3,SUMIF('TL10'!$C$10:$C$224,$C403,'TL10'!$J$10:$J$224),0),
IF('TL10'!$B$229=Q$3,SUMIF('TL10'!$C$238:$C$451,$C403,'TL10'!$J$238:$J$451),0),
IF('TL11'!$B$3=Q$3,SUMIF('TL11'!$C$10:$C$224,$C403,'TL11'!$J$10:$J$224),0),
IF('TL11'!$B$229=Q$3,SUMIF('TL11'!$C$238:$C$451,$C403,'TL11'!$J$238:$J$451),0),
IF('TL12'!$B$3=Q$3,SUMIF('TL12'!$C$10:$C$224,$C403,'TL12'!$J$10:$J$224),0),
IF('TL12'!$B$229=Q$3,SUMIF('TL12'!$C$238:$C$451,$C403,'TL12'!$J$238:$J$451),0),
IF('TL13'!$B$3=Q$3,SUMIF('TL13'!$C$10:$C$224,$C403,'TL13'!$J$10:$J$224),0),
IF('TL13'!$B$229=Q$3,SUMIF('TL13'!$C$238:$C$451,$C403,'TL13'!$J$238:$J$451),0),
IF('TL14'!$B$3=Q$3,SUMIF('TL14'!$C$10:$C$224,$C403,'TL14'!$J$10:$J$224),0),
IF('TL14'!$B$229=Q$3,SUMIF('TL14'!$C$238:$C$451,$C403,'TL14'!$J$238:$J$451),0),
IF('TL15'!$B$3=Q$3,SUMIF('TL15'!$C$10:$C$224,$C403,'TL15'!$J$10:$J$224),0),
IF('TL15'!$B$229=Q$3,SUMIF('TL15'!$C$238:$C$451,$C403,'TL15'!$J$238:$J$451),0),
IF('TL16'!$B$3=Q$3,SUMIF('TL16'!$C$10:$C$224,$C403,'TL16'!$J$10:$J$224),0),
IF('TL16'!$B$229=Q$3,SUMIF('TL16'!$C$238:$C$451,$C403,'TL16'!$J$238:$J$451),0),
IF('TL17'!$B$3=Q$3,SUMIF('TL17'!$C$10:$C$224,$C403,'TL17'!$J$10:$J$224),0),
IF('TL17'!$B$229=Q$3,SUMIF('TL17'!$C$238:$C$451,$C403,'TL17'!$J$238:$J$451),0),
IF('TL18'!$B$3=Q$3,SUMIF('TL18'!$C$10:$C$224,$C403,'TL18'!$J$10:$J$224),0),
IF('TL18'!$B$229=Q$3,SUMIF('TL18'!$C$238:$C$451,$C403,'TL18'!$J$238:$J$451),0),
IF('TL19'!$B$3=Q$3,SUMIF('TL19'!$C$10:$C$224,$C403,'TL19'!$J$10:$J$224),0),
IF('TL19'!$B$229=Q$3,SUMIF('TL19'!$C$238:$C$451,$C403,'TL19'!$J$238:$J$451),0)
),0)</f>
        <v/>
      </c>
      <c r="R403" s="139">
        <f>IFERROR(
SUM(
SUMIF('TL01'!C:C,C403,'TL01'!J:J),
SUMIF('TL02'!C:C,C403,'TL02'!I:I),
SUMIF('TL03'!C:C,C403,'TL03'!I:I),
SUMIF('TL04'!C:C,C403,'TL04'!I:I),
SUMIF('TL05'!C:C,C403,'TL05'!I:I),
SUMIF('TL06'!C:C,C403,'TL06'!I:I),
SUMIF('TL07'!C:C,C403,'TL07'!I:I),
SUMIF('TL08'!C:C,C403,'TL08'!I:I),
SUMIF('TL09'!C:C,C403,'TL09'!I:I),
SUMIF('TL10'!C:C,C403,'TL10'!I:I),
SUMIF('TL11'!C:C,C403,'TL11'!I:I),
SUMIF('TL12'!C:C,C403,'TL12'!I:I),
SUMIF('TL13'!C:C,C403,'TL13'!I:I),
SUMIF('TL14'!C:C,C403,'TL14'!I:I),
SUMIF('TL15'!C:C,C403,'TL15'!I:I),
SUMIF('TL16'!C:C,C403,'TL16'!I:I),
SUMIF('TL17'!C:C,C403,'TL17'!I:I),
SUMIF('TL18'!C:C,C403,'TL18'!I:I))
,0)</f>
        <v/>
      </c>
      <c r="S403" s="142">
        <f>'CUSTO OPERAÇÃO'!M7</f>
        <v/>
      </c>
      <c r="T403" s="139" t="n"/>
      <c r="U403" s="143">
        <f>MAX(0,R403-T403)</f>
        <v/>
      </c>
      <c r="V403" s="144">
        <f>U403*S403</f>
        <v/>
      </c>
    </row>
    <row r="404" hidden="1" ht="15.75" customHeight="1" s="297">
      <c r="A404" s="134" t="n"/>
      <c r="B404" s="135" t="inlineStr">
        <is>
          <t>MÁQUINAS</t>
        </is>
      </c>
      <c r="C404" s="136">
        <f>'CUSTO OPERAÇÃO'!D8</f>
        <v/>
      </c>
      <c r="D404" s="136" t="n"/>
      <c r="E404" s="137" t="n"/>
      <c r="F404" s="138" t="inlineStr">
        <is>
          <t>R$/Ha</t>
        </is>
      </c>
      <c r="G404" s="139" t="n"/>
      <c r="H404" s="140">
        <f>'CUSTO OPERAÇÃO'!J8</f>
        <v/>
      </c>
      <c r="I404" s="141" t="n"/>
      <c r="J404" s="136">
        <f>IFERROR(SUM(
IF('TL01'!$B$3=J$3,SUMIF('TL01'!$C$10:$C$224,$C404,'TL01'!$J$10:$J$224),0),
IF('TL01'!$B$229=J$3,SUMIF('TL01'!$C$238:$C$451,$C404,'TL01'!$J$238:$J$451),0),
IF('TL02'!$B$3=J$3,SUMIF('TL02'!$C$10:$C$224,$C404,'TL02'!$J$10:$J$224),0),
IF('TL02'!$B$229=J$3,SUMIF('TL02'!$C$238:$C$451,$C404,'TL02'!$J$238:$J$451),0),
IF('TL03'!$B$3=J$3,SUMIF('TL03'!$C$10:$C$224,$C404,'TL03'!$J$10:$J$224),0),
IF('TL03'!$B$229=J$3,SUMIF('TL03'!$C$238:$C$451,$C404,'TL03'!$J$238:$J$451),0),
IF('TL04'!$B$3=J$3,SUMIF('TL04'!$C$10:$C$224,$C404,'TL04'!$J$10:$J$224),0),
IF('TL04'!$B$229=J$3,SUMIF('TL04'!$C$238:$C$451,$C404,'TL04'!$J$238:$J$451),0),
IF('TL05'!$B$3=J$3,SUMIF('TL05'!$C$10:$C$224,$C404,'TL05'!$J$10:$J$224),0),
IF('TL05'!$B$229=J$3,SUMIF('TL05'!$C$238:$C$451,$C404,'TL05'!$J$238:$J$451),0),
IF('TL06'!$B$3=J$3,SUMIF('TL06'!$C$10:$C$224,$C404,'TL06'!$J$10:$J$224),0),
IF('TL06'!$B$229=J$3,SUMIF('TL06'!$C$238:$C$451,$C404,'TL06'!$J$238:$J$451),0),
IF('TL07'!$B$3=J$3,SUMIF('TL07'!$C$10:$C$224,$C404,'TL07'!$J$10:$J$224),0),
IF('TL07'!$B$229=J$3,SUMIF('TL07'!$C$238:$C$451,$C404,'TL07'!$J$238:$J$451),0),
IF('TL08'!$B$3=J$3,SUMIF('TL08'!$C$10:$C$224,$C404,'TL08'!$J$10:$J$224),0),
IF('TL08'!$B$229=J$3,SUMIF('TL08'!$C$238:$C$451,$C404,'TL08'!$J$238:$J$451),0),
IF('TL09'!$B$3=J$3,SUMIF('TL09'!$C$10:$C$224,$C404,'TL09'!$J$10:$J$224),0),
IF('TL09'!$B$229=J$3,SUMIF('TL09'!$C$238:$C$451,$C404,'TL09'!$J$238:$J$451),0),
IF('TL10'!$B$3=J$3,SUMIF('TL10'!$C$10:$C$224,$C404,'TL10'!$J$10:$J$224),0),
IF('TL10'!$B$229=J$3,SUMIF('TL10'!$C$238:$C$451,$C404,'TL10'!$J$238:$J$451),0),
IF('TL11'!$B$3=J$3,SUMIF('TL11'!$C$10:$C$224,$C404,'TL11'!$J$10:$J$224),0),
IF('TL11'!$B$229=J$3,SUMIF('TL11'!$C$238:$C$451,$C404,'TL11'!$J$238:$J$451),0),
IF('TL12'!$B$3=J$3,SUMIF('TL12'!$C$10:$C$224,$C404,'TL12'!$J$10:$J$224),0),
IF('TL12'!$B$229=J$3,SUMIF('TL12'!$C$238:$C$451,$C404,'TL12'!$J$238:$J$451),0),
IF('TL13'!$B$3=J$3,SUMIF('TL13'!$C$10:$C$224,$C404,'TL13'!$J$10:$J$224),0),
IF('TL13'!$B$229=J$3,SUMIF('TL13'!$C$238:$C$451,$C404,'TL13'!$J$238:$J$451),0),
IF('TL14'!$B$3=J$3,SUMIF('TL14'!$C$10:$C$224,$C404,'TL14'!$J$10:$J$224),0),
IF('TL14'!$B$229=J$3,SUMIF('TL14'!$C$238:$C$451,$C404,'TL14'!$J$238:$J$451),0),
IF('TL15'!$B$3=J$3,SUMIF('TL15'!$C$10:$C$224,$C404,'TL15'!$J$10:$J$224),0),
IF('TL15'!$B$229=J$3,SUMIF('TL15'!$C$238:$C$451,$C404,'TL15'!$J$238:$J$451),0),
IF('TL16'!$B$3=J$3,SUMIF('TL16'!$C$10:$C$224,$C404,'TL16'!$J$10:$J$224),0),
IF('TL16'!$B$229=J$3,SUMIF('TL16'!$C$238:$C$451,$C404,'TL16'!$J$238:$J$451),0),
IF('TL17'!$B$3=J$3,SUMIF('TL17'!$C$10:$C$224,$C404,'TL17'!$J$10:$J$224),0),
IF('TL17'!$B$229=J$3,SUMIF('TL17'!$C$238:$C$451,$C404,'TL17'!$J$238:$J$451),0),
IF('TL18'!$B$3=J$3,SUMIF('TL18'!$C$10:$C$224,$C404,'TL18'!$J$10:$J$224),0),
IF('TL18'!$B$229=J$3,SUMIF('TL18'!$C$238:$C$451,$C404,'TL18'!$J$238:$J$451),0),
IF('TL19'!$B$3=J$3,SUMIF('TL19'!$C$10:$C$224,$C404,'TL19'!$J$10:$J$224),0),
IF('TL19'!$B$229=J$3,SUMIF('TL19'!$C$238:$C$451,$C404,'TL19'!$J$238:$J$451),0)
),0)</f>
        <v/>
      </c>
      <c r="K404" s="136">
        <f>IFERROR(SUM(
IF('TL01'!$B$3=K$3,SUMIF('TL01'!$C$10:$C$224,$C404,'TL01'!$J$10:$J$224),0),
IF('TL01'!$B$229=K$3,SUMIF('TL01'!$C$238:$C$451,$C404,'TL01'!$J$238:$J$451),0),
IF('TL02'!$B$3=K$3,SUMIF('TL02'!$C$10:$C$224,$C404,'TL02'!$J$10:$J$224),0),
IF('TL02'!$B$229=K$3,SUMIF('TL02'!$C$238:$C$451,$C404,'TL02'!$J$238:$J$451),0),
IF('TL03'!$B$3=K$3,SUMIF('TL03'!$C$10:$C$224,$C404,'TL03'!$J$10:$J$224),0),
IF('TL03'!$B$229=K$3,SUMIF('TL03'!$C$238:$C$451,$C404,'TL03'!$J$238:$J$451),0),
IF('TL04'!$B$3=K$3,SUMIF('TL04'!$C$10:$C$224,$C404,'TL04'!$J$10:$J$224),0),
IF('TL04'!$B$229=K$3,SUMIF('TL04'!$C$238:$C$451,$C404,'TL04'!$J$238:$J$451),0),
IF('TL05'!$B$3=K$3,SUMIF('TL05'!$C$10:$C$224,$C404,'TL05'!$J$10:$J$224),0),
IF('TL05'!$B$229=K$3,SUMIF('TL05'!$C$238:$C$451,$C404,'TL05'!$J$238:$J$451),0),
IF('TL06'!$B$3=K$3,SUMIF('TL06'!$C$10:$C$224,$C404,'TL06'!$J$10:$J$224),0),
IF('TL06'!$B$229=K$3,SUMIF('TL06'!$C$238:$C$451,$C404,'TL06'!$J$238:$J$451),0),
IF('TL07'!$B$3=K$3,SUMIF('TL07'!$C$10:$C$224,$C404,'TL07'!$J$10:$J$224),0),
IF('TL07'!$B$229=K$3,SUMIF('TL07'!$C$238:$C$451,$C404,'TL07'!$J$238:$J$451),0),
IF('TL08'!$B$3=K$3,SUMIF('TL08'!$C$10:$C$224,$C404,'TL08'!$J$10:$J$224),0),
IF('TL08'!$B$229=K$3,SUMIF('TL08'!$C$238:$C$451,$C404,'TL08'!$J$238:$J$451),0),
IF('TL09'!$B$3=K$3,SUMIF('TL09'!$C$10:$C$224,$C404,'TL09'!$J$10:$J$224),0),
IF('TL09'!$B$229=K$3,SUMIF('TL09'!$C$238:$C$451,$C404,'TL09'!$J$238:$J$451),0),
IF('TL10'!$B$3=K$3,SUMIF('TL10'!$C$10:$C$224,$C404,'TL10'!$J$10:$J$224),0),
IF('TL10'!$B$229=K$3,SUMIF('TL10'!$C$238:$C$451,$C404,'TL10'!$J$238:$J$451),0),
IF('TL11'!$B$3=K$3,SUMIF('TL11'!$C$10:$C$224,$C404,'TL11'!$J$10:$J$224),0),
IF('TL11'!$B$229=K$3,SUMIF('TL11'!$C$238:$C$451,$C404,'TL11'!$J$238:$J$451),0),
IF('TL12'!$B$3=K$3,SUMIF('TL12'!$C$10:$C$224,$C404,'TL12'!$J$10:$J$224),0),
IF('TL12'!$B$229=K$3,SUMIF('TL12'!$C$238:$C$451,$C404,'TL12'!$J$238:$J$451),0),
IF('TL13'!$B$3=K$3,SUMIF('TL13'!$C$10:$C$224,$C404,'TL13'!$J$10:$J$224),0),
IF('TL13'!$B$229=K$3,SUMIF('TL13'!$C$238:$C$451,$C404,'TL13'!$J$238:$J$451),0),
IF('TL14'!$B$3=K$3,SUMIF('TL14'!$C$10:$C$224,$C404,'TL14'!$J$10:$J$224),0),
IF('TL14'!$B$229=K$3,SUMIF('TL14'!$C$238:$C$451,$C404,'TL14'!$J$238:$J$451),0),
IF('TL15'!$B$3=K$3,SUMIF('TL15'!$C$10:$C$224,$C404,'TL15'!$J$10:$J$224),0),
IF('TL15'!$B$229=K$3,SUMIF('TL15'!$C$238:$C$451,$C404,'TL15'!$J$238:$J$451),0),
IF('TL16'!$B$3=K$3,SUMIF('TL16'!$C$10:$C$224,$C404,'TL16'!$J$10:$J$224),0),
IF('TL16'!$B$229=K$3,SUMIF('TL16'!$C$238:$C$451,$C404,'TL16'!$J$238:$J$451),0),
IF('TL17'!$B$3=K$3,SUMIF('TL17'!$C$10:$C$224,$C404,'TL17'!$J$10:$J$224),0),
IF('TL17'!$B$229=K$3,SUMIF('TL17'!$C$238:$C$451,$C404,'TL17'!$J$238:$J$451),0),
IF('TL18'!$B$3=K$3,SUMIF('TL18'!$C$10:$C$224,$C404,'TL18'!$J$10:$J$224),0),
IF('TL18'!$B$229=K$3,SUMIF('TL18'!$C$238:$C$451,$C404,'TL18'!$J$238:$J$451),0),
IF('TL19'!$B$3=K$3,SUMIF('TL19'!$C$10:$C$224,$C404,'TL19'!$J$10:$J$224),0),
IF('TL19'!$B$229=K$3,SUMIF('TL19'!$C$238:$C$451,$C404,'TL19'!$J$238:$J$451),0)
),0)</f>
        <v/>
      </c>
      <c r="L404" s="136">
        <f>IFERROR(SUM(
IF('TL01'!$B$3=L$3,SUMIF('TL01'!$C$10:$C$224,$C404,'TL01'!$J$10:$J$224),0),
IF('TL01'!$B$229=L$3,SUMIF('TL01'!$C$238:$C$451,$C404,'TL01'!$J$238:$J$451),0),
IF('TL02'!$B$3=L$3,SUMIF('TL02'!$C$10:$C$224,$C404,'TL02'!$J$10:$J$224),0),
IF('TL02'!$B$229=L$3,SUMIF('TL02'!$C$238:$C$451,$C404,'TL02'!$J$238:$J$451),0),
IF('TL03'!$B$3=L$3,SUMIF('TL03'!$C$10:$C$224,$C404,'TL03'!$J$10:$J$224),0),
IF('TL03'!$B$229=L$3,SUMIF('TL03'!$C$238:$C$451,$C404,'TL03'!$J$238:$J$451),0),
IF('TL04'!$B$3=L$3,SUMIF('TL04'!$C$10:$C$224,$C404,'TL04'!$J$10:$J$224),0),
IF('TL04'!$B$229=L$3,SUMIF('TL04'!$C$238:$C$451,$C404,'TL04'!$J$238:$J$451),0),
IF('TL05'!$B$3=L$3,SUMIF('TL05'!$C$10:$C$224,$C404,'TL05'!$J$10:$J$224),0),
IF('TL05'!$B$229=L$3,SUMIF('TL05'!$C$238:$C$451,$C404,'TL05'!$J$238:$J$451),0),
IF('TL06'!$B$3=L$3,SUMIF('TL06'!$C$10:$C$224,$C404,'TL06'!$J$10:$J$224),0),
IF('TL06'!$B$229=L$3,SUMIF('TL06'!$C$238:$C$451,$C404,'TL06'!$J$238:$J$451),0),
IF('TL07'!$B$3=L$3,SUMIF('TL07'!$C$10:$C$224,$C404,'TL07'!$J$10:$J$224),0),
IF('TL07'!$B$229=L$3,SUMIF('TL07'!$C$238:$C$451,$C404,'TL07'!$J$238:$J$451),0),
IF('TL08'!$B$3=L$3,SUMIF('TL08'!$C$10:$C$224,$C404,'TL08'!$J$10:$J$224),0),
IF('TL08'!$B$229=L$3,SUMIF('TL08'!$C$238:$C$451,$C404,'TL08'!$J$238:$J$451),0),
IF('TL09'!$B$3=L$3,SUMIF('TL09'!$C$10:$C$224,$C404,'TL09'!$J$10:$J$224),0),
IF('TL09'!$B$229=L$3,SUMIF('TL09'!$C$238:$C$451,$C404,'TL09'!$J$238:$J$451),0),
IF('TL10'!$B$3=L$3,SUMIF('TL10'!$C$10:$C$224,$C404,'TL10'!$J$10:$J$224),0),
IF('TL10'!$B$229=L$3,SUMIF('TL10'!$C$238:$C$451,$C404,'TL10'!$J$238:$J$451),0),
IF('TL11'!$B$3=L$3,SUMIF('TL11'!$C$10:$C$224,$C404,'TL11'!$J$10:$J$224),0),
IF('TL11'!$B$229=L$3,SUMIF('TL11'!$C$238:$C$451,$C404,'TL11'!$J$238:$J$451),0),
IF('TL12'!$B$3=L$3,SUMIF('TL12'!$C$10:$C$224,$C404,'TL12'!$J$10:$J$224),0),
IF('TL12'!$B$229=L$3,SUMIF('TL12'!$C$238:$C$451,$C404,'TL12'!$J$238:$J$451),0),
IF('TL13'!$B$3=L$3,SUMIF('TL13'!$C$10:$C$224,$C404,'TL13'!$J$10:$J$224),0),
IF('TL13'!$B$229=L$3,SUMIF('TL13'!$C$238:$C$451,$C404,'TL13'!$J$238:$J$451),0),
IF('TL14'!$B$3=L$3,SUMIF('TL14'!$C$10:$C$224,$C404,'TL14'!$J$10:$J$224),0),
IF('TL14'!$B$229=L$3,SUMIF('TL14'!$C$238:$C$451,$C404,'TL14'!$J$238:$J$451),0),
IF('TL15'!$B$3=L$3,SUMIF('TL15'!$C$10:$C$224,$C404,'TL15'!$J$10:$J$224),0),
IF('TL15'!$B$229=L$3,SUMIF('TL15'!$C$238:$C$451,$C404,'TL15'!$J$238:$J$451),0),
IF('TL16'!$B$3=L$3,SUMIF('TL16'!$C$10:$C$224,$C404,'TL16'!$J$10:$J$224),0),
IF('TL16'!$B$229=L$3,SUMIF('TL16'!$C$238:$C$451,$C404,'TL16'!$J$238:$J$451),0),
IF('TL17'!$B$3=L$3,SUMIF('TL17'!$C$10:$C$224,$C404,'TL17'!$J$10:$J$224),0),
IF('TL17'!$B$229=L$3,SUMIF('TL17'!$C$238:$C$451,$C404,'TL17'!$J$238:$J$451),0),
IF('TL18'!$B$3=L$3,SUMIF('TL18'!$C$10:$C$224,$C404,'TL18'!$J$10:$J$224),0),
IF('TL18'!$B$229=L$3,SUMIF('TL18'!$C$238:$C$451,$C404,'TL18'!$J$238:$J$451),0),
IF('TL19'!$B$3=L$3,SUMIF('TL19'!$C$10:$C$224,$C404,'TL19'!$J$10:$J$224),0),
IF('TL19'!$B$229=L$3,SUMIF('TL19'!$C$238:$C$451,$C404,'TL19'!$J$238:$J$451),0)
),0)</f>
        <v/>
      </c>
      <c r="M404" s="136">
        <f>IFERROR(SUM(
IF('TL01'!$B$3=M$3,SUMIF('TL01'!$C$10:$C$224,$C404,'TL01'!$J$10:$J$224),0),
IF('TL01'!$B$229=M$3,SUMIF('TL01'!$C$238:$C$451,$C404,'TL01'!$J$238:$J$451),0),
IF('TL02'!$B$3=M$3,SUMIF('TL02'!$C$10:$C$224,$C404,'TL02'!$J$10:$J$224),0),
IF('TL02'!$B$229=M$3,SUMIF('TL02'!$C$238:$C$451,$C404,'TL02'!$J$238:$J$451),0),
IF('TL03'!$B$3=M$3,SUMIF('TL03'!$C$10:$C$224,$C404,'TL03'!$J$10:$J$224),0),
IF('TL03'!$B$229=M$3,SUMIF('TL03'!$C$238:$C$451,$C404,'TL03'!$J$238:$J$451),0),
IF('TL04'!$B$3=M$3,SUMIF('TL04'!$C$10:$C$224,$C404,'TL04'!$J$10:$J$224),0),
IF('TL04'!$B$229=M$3,SUMIF('TL04'!$C$238:$C$451,$C404,'TL04'!$J$238:$J$451),0),
IF('TL05'!$B$3=M$3,SUMIF('TL05'!$C$10:$C$224,$C404,'TL05'!$J$10:$J$224),0),
IF('TL05'!$B$229=M$3,SUMIF('TL05'!$C$238:$C$451,$C404,'TL05'!$J$238:$J$451),0),
IF('TL06'!$B$3=M$3,SUMIF('TL06'!$C$10:$C$224,$C404,'TL06'!$J$10:$J$224),0),
IF('TL06'!$B$229=M$3,SUMIF('TL06'!$C$238:$C$451,$C404,'TL06'!$J$238:$J$451),0),
IF('TL07'!$B$3=M$3,SUMIF('TL07'!$C$10:$C$224,$C404,'TL07'!$J$10:$J$224),0),
IF('TL07'!$B$229=M$3,SUMIF('TL07'!$C$238:$C$451,$C404,'TL07'!$J$238:$J$451),0),
IF('TL08'!$B$3=M$3,SUMIF('TL08'!$C$10:$C$224,$C404,'TL08'!$J$10:$J$224),0),
IF('TL08'!$B$229=M$3,SUMIF('TL08'!$C$238:$C$451,$C404,'TL08'!$J$238:$J$451),0),
IF('TL09'!$B$3=M$3,SUMIF('TL09'!$C$10:$C$224,$C404,'TL09'!$J$10:$J$224),0),
IF('TL09'!$B$229=M$3,SUMIF('TL09'!$C$238:$C$451,$C404,'TL09'!$J$238:$J$451),0),
IF('TL10'!$B$3=M$3,SUMIF('TL10'!$C$10:$C$224,$C404,'TL10'!$J$10:$J$224),0),
IF('TL10'!$B$229=M$3,SUMIF('TL10'!$C$238:$C$451,$C404,'TL10'!$J$238:$J$451),0),
IF('TL11'!$B$3=M$3,SUMIF('TL11'!$C$10:$C$224,$C404,'TL11'!$J$10:$J$224),0),
IF('TL11'!$B$229=M$3,SUMIF('TL11'!$C$238:$C$451,$C404,'TL11'!$J$238:$J$451),0),
IF('TL12'!$B$3=M$3,SUMIF('TL12'!$C$10:$C$224,$C404,'TL12'!$J$10:$J$224),0),
IF('TL12'!$B$229=M$3,SUMIF('TL12'!$C$238:$C$451,$C404,'TL12'!$J$238:$J$451),0),
IF('TL13'!$B$3=M$3,SUMIF('TL13'!$C$10:$C$224,$C404,'TL13'!$J$10:$J$224),0),
IF('TL13'!$B$229=M$3,SUMIF('TL13'!$C$238:$C$451,$C404,'TL13'!$J$238:$J$451),0),
IF('TL14'!$B$3=M$3,SUMIF('TL14'!$C$10:$C$224,$C404,'TL14'!$J$10:$J$224),0),
IF('TL14'!$B$229=M$3,SUMIF('TL14'!$C$238:$C$451,$C404,'TL14'!$J$238:$J$451),0),
IF('TL15'!$B$3=M$3,SUMIF('TL15'!$C$10:$C$224,$C404,'TL15'!$J$10:$J$224),0),
IF('TL15'!$B$229=M$3,SUMIF('TL15'!$C$238:$C$451,$C404,'TL15'!$J$238:$J$451),0),
IF('TL16'!$B$3=M$3,SUMIF('TL16'!$C$10:$C$224,$C404,'TL16'!$J$10:$J$224),0),
IF('TL16'!$B$229=M$3,SUMIF('TL16'!$C$238:$C$451,$C404,'TL16'!$J$238:$J$451),0),
IF('TL17'!$B$3=M$3,SUMIF('TL17'!$C$10:$C$224,$C404,'TL17'!$J$10:$J$224),0),
IF('TL17'!$B$229=M$3,SUMIF('TL17'!$C$238:$C$451,$C404,'TL17'!$J$238:$J$451),0),
IF('TL18'!$B$3=M$3,SUMIF('TL18'!$C$10:$C$224,$C404,'TL18'!$J$10:$J$224),0),
IF('TL18'!$B$229=M$3,SUMIF('TL18'!$C$238:$C$451,$C404,'TL18'!$J$238:$J$451),0),
IF('TL19'!$B$3=M$3,SUMIF('TL19'!$C$10:$C$224,$C404,'TL19'!$J$10:$J$224),0),
IF('TL19'!$B$229=M$3,SUMIF('TL19'!$C$238:$C$451,$C404,'TL19'!$J$238:$J$451),0)
),0)</f>
        <v/>
      </c>
      <c r="N404" s="136">
        <f>IFERROR(SUM(
IF('TL01'!$B$3=N$3,SUMIF('TL01'!$C$10:$C$224,$C404,'TL01'!$J$10:$J$224),0),
IF('TL01'!$B$229=N$3,SUMIF('TL01'!$C$238:$C$451,$C404,'TL01'!$J$238:$J$451),0),
IF('TL02'!$B$3=N$3,SUMIF('TL02'!$C$10:$C$224,$C404,'TL02'!$J$10:$J$224),0),
IF('TL02'!$B$229=N$3,SUMIF('TL02'!$C$238:$C$451,$C404,'TL02'!$J$238:$J$451),0),
IF('TL03'!$B$3=N$3,SUMIF('TL03'!$C$10:$C$224,$C404,'TL03'!$J$10:$J$224),0),
IF('TL03'!$B$229=N$3,SUMIF('TL03'!$C$238:$C$451,$C404,'TL03'!$J$238:$J$451),0),
IF('TL04'!$B$3=N$3,SUMIF('TL04'!$C$10:$C$224,$C404,'TL04'!$J$10:$J$224),0),
IF('TL04'!$B$229=N$3,SUMIF('TL04'!$C$238:$C$451,$C404,'TL04'!$J$238:$J$451),0),
IF('TL05'!$B$3=N$3,SUMIF('TL05'!$C$10:$C$224,$C404,'TL05'!$J$10:$J$224),0),
IF('TL05'!$B$229=N$3,SUMIF('TL05'!$C$238:$C$451,$C404,'TL05'!$J$238:$J$451),0),
IF('TL06'!$B$3=N$3,SUMIF('TL06'!$C$10:$C$224,$C404,'TL06'!$J$10:$J$224),0),
IF('TL06'!$B$229=N$3,SUMIF('TL06'!$C$238:$C$451,$C404,'TL06'!$J$238:$J$451),0),
IF('TL07'!$B$3=N$3,SUMIF('TL07'!$C$10:$C$224,$C404,'TL07'!$J$10:$J$224),0),
IF('TL07'!$B$229=N$3,SUMIF('TL07'!$C$238:$C$451,$C404,'TL07'!$J$238:$J$451),0),
IF('TL08'!$B$3=N$3,SUMIF('TL08'!$C$10:$C$224,$C404,'TL08'!$J$10:$J$224),0),
IF('TL08'!$B$229=N$3,SUMIF('TL08'!$C$238:$C$451,$C404,'TL08'!$J$238:$J$451),0),
IF('TL09'!$B$3=N$3,SUMIF('TL09'!$C$10:$C$224,$C404,'TL09'!$J$10:$J$224),0),
IF('TL09'!$B$229=N$3,SUMIF('TL09'!$C$238:$C$451,$C404,'TL09'!$J$238:$J$451),0),
IF('TL10'!$B$3=N$3,SUMIF('TL10'!$C$10:$C$224,$C404,'TL10'!$J$10:$J$224),0),
IF('TL10'!$B$229=N$3,SUMIF('TL10'!$C$238:$C$451,$C404,'TL10'!$J$238:$J$451),0),
IF('TL11'!$B$3=N$3,SUMIF('TL11'!$C$10:$C$224,$C404,'TL11'!$J$10:$J$224),0),
IF('TL11'!$B$229=N$3,SUMIF('TL11'!$C$238:$C$451,$C404,'TL11'!$J$238:$J$451),0),
IF('TL12'!$B$3=N$3,SUMIF('TL12'!$C$10:$C$224,$C404,'TL12'!$J$10:$J$224),0),
IF('TL12'!$B$229=N$3,SUMIF('TL12'!$C$238:$C$451,$C404,'TL12'!$J$238:$J$451),0),
IF('TL13'!$B$3=N$3,SUMIF('TL13'!$C$10:$C$224,$C404,'TL13'!$J$10:$J$224),0),
IF('TL13'!$B$229=N$3,SUMIF('TL13'!$C$238:$C$451,$C404,'TL13'!$J$238:$J$451),0),
IF('TL14'!$B$3=N$3,SUMIF('TL14'!$C$10:$C$224,$C404,'TL14'!$J$10:$J$224),0),
IF('TL14'!$B$229=N$3,SUMIF('TL14'!$C$238:$C$451,$C404,'TL14'!$J$238:$J$451),0),
IF('TL15'!$B$3=N$3,SUMIF('TL15'!$C$10:$C$224,$C404,'TL15'!$J$10:$J$224),0),
IF('TL15'!$B$229=N$3,SUMIF('TL15'!$C$238:$C$451,$C404,'TL15'!$J$238:$J$451),0),
IF('TL16'!$B$3=N$3,SUMIF('TL16'!$C$10:$C$224,$C404,'TL16'!$J$10:$J$224),0),
IF('TL16'!$B$229=N$3,SUMIF('TL16'!$C$238:$C$451,$C404,'TL16'!$J$238:$J$451),0),
IF('TL17'!$B$3=N$3,SUMIF('TL17'!$C$10:$C$224,$C404,'TL17'!$J$10:$J$224),0),
IF('TL17'!$B$229=N$3,SUMIF('TL17'!$C$238:$C$451,$C404,'TL17'!$J$238:$J$451),0),
IF('TL18'!$B$3=N$3,SUMIF('TL18'!$C$10:$C$224,$C404,'TL18'!$J$10:$J$224),0),
IF('TL18'!$B$229=N$3,SUMIF('TL18'!$C$238:$C$451,$C404,'TL18'!$J$238:$J$451),0),
IF('TL19'!$B$3=N$3,SUMIF('TL19'!$C$10:$C$224,$C404,'TL19'!$J$10:$J$224),0),
IF('TL19'!$B$229=N$3,SUMIF('TL19'!$C$238:$C$451,$C404,'TL19'!$J$238:$J$451),0)
),0)</f>
        <v/>
      </c>
      <c r="O404" s="136">
        <f>IFERROR(SUM(
IF('TL01'!$B$3=O$3,SUMIF('TL01'!$C$10:$C$224,$C404,'TL01'!$J$10:$J$224),0),
IF('TL01'!$B$229=O$3,SUMIF('TL01'!$C$238:$C$451,$C404,'TL01'!$J$238:$J$451),0),
IF('TL02'!$B$3=O$3,SUMIF('TL02'!$C$10:$C$224,$C404,'TL02'!$J$10:$J$224),0),
IF('TL02'!$B$229=O$3,SUMIF('TL02'!$C$238:$C$451,$C404,'TL02'!$J$238:$J$451),0),
IF('TL03'!$B$3=O$3,SUMIF('TL03'!$C$10:$C$224,$C404,'TL03'!$J$10:$J$224),0),
IF('TL03'!$B$229=O$3,SUMIF('TL03'!$C$238:$C$451,$C404,'TL03'!$J$238:$J$451),0),
IF('TL04'!$B$3=O$3,SUMIF('TL04'!$C$10:$C$224,$C404,'TL04'!$J$10:$J$224),0),
IF('TL04'!$B$229=O$3,SUMIF('TL04'!$C$238:$C$451,$C404,'TL04'!$J$238:$J$451),0),
IF('TL05'!$B$3=O$3,SUMIF('TL05'!$C$10:$C$224,$C404,'TL05'!$J$10:$J$224),0),
IF('TL05'!$B$229=O$3,SUMIF('TL05'!$C$238:$C$451,$C404,'TL05'!$J$238:$J$451),0),
IF('TL06'!$B$3=O$3,SUMIF('TL06'!$C$10:$C$224,$C404,'TL06'!$J$10:$J$224),0),
IF('TL06'!$B$229=O$3,SUMIF('TL06'!$C$238:$C$451,$C404,'TL06'!$J$238:$J$451),0),
IF('TL07'!$B$3=O$3,SUMIF('TL07'!$C$10:$C$224,$C404,'TL07'!$J$10:$J$224),0),
IF('TL07'!$B$229=O$3,SUMIF('TL07'!$C$238:$C$451,$C404,'TL07'!$J$238:$J$451),0),
IF('TL08'!$B$3=O$3,SUMIF('TL08'!$C$10:$C$224,$C404,'TL08'!$J$10:$J$224),0),
IF('TL08'!$B$229=O$3,SUMIF('TL08'!$C$238:$C$451,$C404,'TL08'!$J$238:$J$451),0),
IF('TL09'!$B$3=O$3,SUMIF('TL09'!$C$10:$C$224,$C404,'TL09'!$J$10:$J$224),0),
IF('TL09'!$B$229=O$3,SUMIF('TL09'!$C$238:$C$451,$C404,'TL09'!$J$238:$J$451),0),
IF('TL10'!$B$3=O$3,SUMIF('TL10'!$C$10:$C$224,$C404,'TL10'!$J$10:$J$224),0),
IF('TL10'!$B$229=O$3,SUMIF('TL10'!$C$238:$C$451,$C404,'TL10'!$J$238:$J$451),0),
IF('TL11'!$B$3=O$3,SUMIF('TL11'!$C$10:$C$224,$C404,'TL11'!$J$10:$J$224),0),
IF('TL11'!$B$229=O$3,SUMIF('TL11'!$C$238:$C$451,$C404,'TL11'!$J$238:$J$451),0),
IF('TL12'!$B$3=O$3,SUMIF('TL12'!$C$10:$C$224,$C404,'TL12'!$J$10:$J$224),0),
IF('TL12'!$B$229=O$3,SUMIF('TL12'!$C$238:$C$451,$C404,'TL12'!$J$238:$J$451),0),
IF('TL13'!$B$3=O$3,SUMIF('TL13'!$C$10:$C$224,$C404,'TL13'!$J$10:$J$224),0),
IF('TL13'!$B$229=O$3,SUMIF('TL13'!$C$238:$C$451,$C404,'TL13'!$J$238:$J$451),0),
IF('TL14'!$B$3=O$3,SUMIF('TL14'!$C$10:$C$224,$C404,'TL14'!$J$10:$J$224),0),
IF('TL14'!$B$229=O$3,SUMIF('TL14'!$C$238:$C$451,$C404,'TL14'!$J$238:$J$451),0),
IF('TL15'!$B$3=O$3,SUMIF('TL15'!$C$10:$C$224,$C404,'TL15'!$J$10:$J$224),0),
IF('TL15'!$B$229=O$3,SUMIF('TL15'!$C$238:$C$451,$C404,'TL15'!$J$238:$J$451),0),
IF('TL16'!$B$3=O$3,SUMIF('TL16'!$C$10:$C$224,$C404,'TL16'!$J$10:$J$224),0),
IF('TL16'!$B$229=O$3,SUMIF('TL16'!$C$238:$C$451,$C404,'TL16'!$J$238:$J$451),0),
IF('TL17'!$B$3=O$3,SUMIF('TL17'!$C$10:$C$224,$C404,'TL17'!$J$10:$J$224),0),
IF('TL17'!$B$229=O$3,SUMIF('TL17'!$C$238:$C$451,$C404,'TL17'!$J$238:$J$451),0),
IF('TL18'!$B$3=O$3,SUMIF('TL18'!$C$10:$C$224,$C404,'TL18'!$J$10:$J$224),0),
IF('TL18'!$B$229=O$3,SUMIF('TL18'!$C$238:$C$451,$C404,'TL18'!$J$238:$J$451),0),
IF('TL19'!$B$3=O$3,SUMIF('TL19'!$C$10:$C$224,$C404,'TL19'!$J$10:$J$224),0),
IF('TL19'!$B$229=O$3,SUMIF('TL19'!$C$238:$C$451,$C404,'TL19'!$J$238:$J$451),0)
),0)</f>
        <v/>
      </c>
      <c r="P404" s="136">
        <f>IFERROR(SUM(
IF('TL01'!$B$3=P$3,SUMIF('TL01'!$C$10:$C$224,$C404,'TL01'!$J$10:$J$224),0),
IF('TL01'!$B$229=P$3,SUMIF('TL01'!$C$238:$C$451,$C404,'TL01'!$J$238:$J$451),0),
IF('TL02'!$B$3=P$3,SUMIF('TL02'!$C$10:$C$224,$C404,'TL02'!$J$10:$J$224),0),
IF('TL02'!$B$229=P$3,SUMIF('TL02'!$C$238:$C$451,$C404,'TL02'!$J$238:$J$451),0),
IF('TL03'!$B$3=P$3,SUMIF('TL03'!$C$10:$C$224,$C404,'TL03'!$J$10:$J$224),0),
IF('TL03'!$B$229=P$3,SUMIF('TL03'!$C$238:$C$451,$C404,'TL03'!$J$238:$J$451),0),
IF('TL04'!$B$3=P$3,SUMIF('TL04'!$C$10:$C$224,$C404,'TL04'!$J$10:$J$224),0),
IF('TL04'!$B$229=P$3,SUMIF('TL04'!$C$238:$C$451,$C404,'TL04'!$J$238:$J$451),0),
IF('TL05'!$B$3=P$3,SUMIF('TL05'!$C$10:$C$224,$C404,'TL05'!$J$10:$J$224),0),
IF('TL05'!$B$229=P$3,SUMIF('TL05'!$C$238:$C$451,$C404,'TL05'!$J$238:$J$451),0),
IF('TL06'!$B$3=P$3,SUMIF('TL06'!$C$10:$C$224,$C404,'TL06'!$J$10:$J$224),0),
IF('TL06'!$B$229=P$3,SUMIF('TL06'!$C$238:$C$451,$C404,'TL06'!$J$238:$J$451),0),
IF('TL07'!$B$3=P$3,SUMIF('TL07'!$C$10:$C$224,$C404,'TL07'!$J$10:$J$224),0),
IF('TL07'!$B$229=P$3,SUMIF('TL07'!$C$238:$C$451,$C404,'TL07'!$J$238:$J$451),0),
IF('TL08'!$B$3=P$3,SUMIF('TL08'!$C$10:$C$224,$C404,'TL08'!$J$10:$J$224),0),
IF('TL08'!$B$229=P$3,SUMIF('TL08'!$C$238:$C$451,$C404,'TL08'!$J$238:$J$451),0),
IF('TL09'!$B$3=P$3,SUMIF('TL09'!$C$10:$C$224,$C404,'TL09'!$J$10:$J$224),0),
IF('TL09'!$B$229=P$3,SUMIF('TL09'!$C$238:$C$451,$C404,'TL09'!$J$238:$J$451),0),
IF('TL10'!$B$3=P$3,SUMIF('TL10'!$C$10:$C$224,$C404,'TL10'!$J$10:$J$224),0),
IF('TL10'!$B$229=P$3,SUMIF('TL10'!$C$238:$C$451,$C404,'TL10'!$J$238:$J$451),0),
IF('TL11'!$B$3=P$3,SUMIF('TL11'!$C$10:$C$224,$C404,'TL11'!$J$10:$J$224),0),
IF('TL11'!$B$229=P$3,SUMIF('TL11'!$C$238:$C$451,$C404,'TL11'!$J$238:$J$451),0),
IF('TL12'!$B$3=P$3,SUMIF('TL12'!$C$10:$C$224,$C404,'TL12'!$J$10:$J$224),0),
IF('TL12'!$B$229=P$3,SUMIF('TL12'!$C$238:$C$451,$C404,'TL12'!$J$238:$J$451),0),
IF('TL13'!$B$3=P$3,SUMIF('TL13'!$C$10:$C$224,$C404,'TL13'!$J$10:$J$224),0),
IF('TL13'!$B$229=P$3,SUMIF('TL13'!$C$238:$C$451,$C404,'TL13'!$J$238:$J$451),0),
IF('TL14'!$B$3=P$3,SUMIF('TL14'!$C$10:$C$224,$C404,'TL14'!$J$10:$J$224),0),
IF('TL14'!$B$229=P$3,SUMIF('TL14'!$C$238:$C$451,$C404,'TL14'!$J$238:$J$451),0),
IF('TL15'!$B$3=P$3,SUMIF('TL15'!$C$10:$C$224,$C404,'TL15'!$J$10:$J$224),0),
IF('TL15'!$B$229=P$3,SUMIF('TL15'!$C$238:$C$451,$C404,'TL15'!$J$238:$J$451),0),
IF('TL16'!$B$3=P$3,SUMIF('TL16'!$C$10:$C$224,$C404,'TL16'!$J$10:$J$224),0),
IF('TL16'!$B$229=P$3,SUMIF('TL16'!$C$238:$C$451,$C404,'TL16'!$J$238:$J$451),0),
IF('TL17'!$B$3=P$3,SUMIF('TL17'!$C$10:$C$224,$C404,'TL17'!$J$10:$J$224),0),
IF('TL17'!$B$229=P$3,SUMIF('TL17'!$C$238:$C$451,$C404,'TL17'!$J$238:$J$451),0),
IF('TL18'!$B$3=P$3,SUMIF('TL18'!$C$10:$C$224,$C404,'TL18'!$J$10:$J$224),0),
IF('TL18'!$B$229=P$3,SUMIF('TL18'!$C$238:$C$451,$C404,'TL18'!$J$238:$J$451),0),
IF('TL19'!$B$3=P$3,SUMIF('TL19'!$C$10:$C$224,$C404,'TL19'!$J$10:$J$224),0),
IF('TL19'!$B$229=P$3,SUMIF('TL19'!$C$238:$C$451,$C404,'TL19'!$J$238:$J$451),0)
),0)</f>
        <v/>
      </c>
      <c r="Q404" s="136">
        <f>IFERROR(SUM(
IF('TL01'!$B$3=Q$3,SUMIF('TL01'!$C$10:$C$224,$C404,'TL01'!$J$10:$J$224),0),
IF('TL01'!$B$229=Q$3,SUMIF('TL01'!$C$238:$C$451,$C404,'TL01'!$J$238:$J$451),0),
IF('TL02'!$B$3=Q$3,SUMIF('TL02'!$C$10:$C$224,$C404,'TL02'!$J$10:$J$224),0),
IF('TL02'!$B$229=Q$3,SUMIF('TL02'!$C$238:$C$451,$C404,'TL02'!$J$238:$J$451),0),
IF('TL03'!$B$3=Q$3,SUMIF('TL03'!$C$10:$C$224,$C404,'TL03'!$J$10:$J$224),0),
IF('TL03'!$B$229=Q$3,SUMIF('TL03'!$C$238:$C$451,$C404,'TL03'!$J$238:$J$451),0),
IF('TL04'!$B$3=Q$3,SUMIF('TL04'!$C$10:$C$224,$C404,'TL04'!$J$10:$J$224),0),
IF('TL04'!$B$229=Q$3,SUMIF('TL04'!$C$238:$C$451,$C404,'TL04'!$J$238:$J$451),0),
IF('TL05'!$B$3=Q$3,SUMIF('TL05'!$C$10:$C$224,$C404,'TL05'!$J$10:$J$224),0),
IF('TL05'!$B$229=Q$3,SUMIF('TL05'!$C$238:$C$451,$C404,'TL05'!$J$238:$J$451),0),
IF('TL06'!$B$3=Q$3,SUMIF('TL06'!$C$10:$C$224,$C404,'TL06'!$J$10:$J$224),0),
IF('TL06'!$B$229=Q$3,SUMIF('TL06'!$C$238:$C$451,$C404,'TL06'!$J$238:$J$451),0),
IF('TL07'!$B$3=Q$3,SUMIF('TL07'!$C$10:$C$224,$C404,'TL07'!$J$10:$J$224),0),
IF('TL07'!$B$229=Q$3,SUMIF('TL07'!$C$238:$C$451,$C404,'TL07'!$J$238:$J$451),0),
IF('TL08'!$B$3=Q$3,SUMIF('TL08'!$C$10:$C$224,$C404,'TL08'!$J$10:$J$224),0),
IF('TL08'!$B$229=Q$3,SUMIF('TL08'!$C$238:$C$451,$C404,'TL08'!$J$238:$J$451),0),
IF('TL09'!$B$3=Q$3,SUMIF('TL09'!$C$10:$C$224,$C404,'TL09'!$J$10:$J$224),0),
IF('TL09'!$B$229=Q$3,SUMIF('TL09'!$C$238:$C$451,$C404,'TL09'!$J$238:$J$451),0),
IF('TL10'!$B$3=Q$3,SUMIF('TL10'!$C$10:$C$224,$C404,'TL10'!$J$10:$J$224),0),
IF('TL10'!$B$229=Q$3,SUMIF('TL10'!$C$238:$C$451,$C404,'TL10'!$J$238:$J$451),0),
IF('TL11'!$B$3=Q$3,SUMIF('TL11'!$C$10:$C$224,$C404,'TL11'!$J$10:$J$224),0),
IF('TL11'!$B$229=Q$3,SUMIF('TL11'!$C$238:$C$451,$C404,'TL11'!$J$238:$J$451),0),
IF('TL12'!$B$3=Q$3,SUMIF('TL12'!$C$10:$C$224,$C404,'TL12'!$J$10:$J$224),0),
IF('TL12'!$B$229=Q$3,SUMIF('TL12'!$C$238:$C$451,$C404,'TL12'!$J$238:$J$451),0),
IF('TL13'!$B$3=Q$3,SUMIF('TL13'!$C$10:$C$224,$C404,'TL13'!$J$10:$J$224),0),
IF('TL13'!$B$229=Q$3,SUMIF('TL13'!$C$238:$C$451,$C404,'TL13'!$J$238:$J$451),0),
IF('TL14'!$B$3=Q$3,SUMIF('TL14'!$C$10:$C$224,$C404,'TL14'!$J$10:$J$224),0),
IF('TL14'!$B$229=Q$3,SUMIF('TL14'!$C$238:$C$451,$C404,'TL14'!$J$238:$J$451),0),
IF('TL15'!$B$3=Q$3,SUMIF('TL15'!$C$10:$C$224,$C404,'TL15'!$J$10:$J$224),0),
IF('TL15'!$B$229=Q$3,SUMIF('TL15'!$C$238:$C$451,$C404,'TL15'!$J$238:$J$451),0),
IF('TL16'!$B$3=Q$3,SUMIF('TL16'!$C$10:$C$224,$C404,'TL16'!$J$10:$J$224),0),
IF('TL16'!$B$229=Q$3,SUMIF('TL16'!$C$238:$C$451,$C404,'TL16'!$J$238:$J$451),0),
IF('TL17'!$B$3=Q$3,SUMIF('TL17'!$C$10:$C$224,$C404,'TL17'!$J$10:$J$224),0),
IF('TL17'!$B$229=Q$3,SUMIF('TL17'!$C$238:$C$451,$C404,'TL17'!$J$238:$J$451),0),
IF('TL18'!$B$3=Q$3,SUMIF('TL18'!$C$10:$C$224,$C404,'TL18'!$J$10:$J$224),0),
IF('TL18'!$B$229=Q$3,SUMIF('TL18'!$C$238:$C$451,$C404,'TL18'!$J$238:$J$451),0),
IF('TL19'!$B$3=Q$3,SUMIF('TL19'!$C$10:$C$224,$C404,'TL19'!$J$10:$J$224),0),
IF('TL19'!$B$229=Q$3,SUMIF('TL19'!$C$238:$C$451,$C404,'TL19'!$J$238:$J$451),0)
),0)</f>
        <v/>
      </c>
      <c r="R404" s="139">
        <f>IFERROR(
SUM(
SUMIF('TL01'!C:C,C404,'TL01'!J:J),
SUMIF('TL02'!C:C,C404,'TL02'!I:I),
SUMIF('TL03'!C:C,C404,'TL03'!I:I),
SUMIF('TL04'!C:C,C404,'TL04'!I:I),
SUMIF('TL05'!C:C,C404,'TL05'!I:I),
SUMIF('TL06'!C:C,C404,'TL06'!I:I),
SUMIF('TL07'!C:C,C404,'TL07'!I:I),
SUMIF('TL08'!C:C,C404,'TL08'!I:I),
SUMIF('TL09'!C:C,C404,'TL09'!I:I),
SUMIF('TL10'!C:C,C404,'TL10'!I:I),
SUMIF('TL11'!C:C,C404,'TL11'!I:I),
SUMIF('TL12'!C:C,C404,'TL12'!I:I),
SUMIF('TL13'!C:C,C404,'TL13'!I:I),
SUMIF('TL14'!C:C,C404,'TL14'!I:I),
SUMIF('TL15'!C:C,C404,'TL15'!I:I),
SUMIF('TL16'!C:C,C404,'TL16'!I:I),
SUMIF('TL17'!C:C,C404,'TL17'!I:I),
SUMIF('TL18'!C:C,C404,'TL18'!I:I))
,0)</f>
        <v/>
      </c>
      <c r="S404" s="142">
        <f>'CUSTO OPERAÇÃO'!M8</f>
        <v/>
      </c>
      <c r="T404" s="139" t="n"/>
      <c r="U404" s="143">
        <f>MAX(0,R404-T404)</f>
        <v/>
      </c>
      <c r="V404" s="144">
        <f>U404*S404</f>
        <v/>
      </c>
    </row>
    <row r="405" hidden="1" ht="15.75" customHeight="1" s="297">
      <c r="A405" s="145" t="n"/>
      <c r="B405" s="146" t="inlineStr">
        <is>
          <t>MÁQUINAS</t>
        </is>
      </c>
      <c r="C405" s="147">
        <f>'CUSTO OPERAÇÃO'!D9</f>
        <v/>
      </c>
      <c r="D405" s="147" t="n"/>
      <c r="E405" s="148" t="n"/>
      <c r="F405" s="138" t="inlineStr">
        <is>
          <t>R$/Ha</t>
        </is>
      </c>
      <c r="G405" s="139" t="n"/>
      <c r="H405" s="140">
        <f>'CUSTO OPERAÇÃO'!J9</f>
        <v/>
      </c>
      <c r="I405" s="149" t="n"/>
      <c r="J405" s="147">
        <f>IFERROR(SUM(
IF('TL01'!$B$3=J$3,SUMIF('TL01'!$C$10:$C$224,$C405,'TL01'!$J$10:$J$224),0),
IF('TL01'!$B$229=J$3,SUMIF('TL01'!$C$238:$C$451,$C405,'TL01'!$J$238:$J$451),0),
IF('TL02'!$B$3=J$3,SUMIF('TL02'!$C$10:$C$224,$C405,'TL02'!$J$10:$J$224),0),
IF('TL02'!$B$229=J$3,SUMIF('TL02'!$C$238:$C$451,$C405,'TL02'!$J$238:$J$451),0),
IF('TL03'!$B$3=J$3,SUMIF('TL03'!$C$10:$C$224,$C405,'TL03'!$J$10:$J$224),0),
IF('TL03'!$B$229=J$3,SUMIF('TL03'!$C$238:$C$451,$C405,'TL03'!$J$238:$J$451),0),
IF('TL04'!$B$3=J$3,SUMIF('TL04'!$C$10:$C$224,$C405,'TL04'!$J$10:$J$224),0),
IF('TL04'!$B$229=J$3,SUMIF('TL04'!$C$238:$C$451,$C405,'TL04'!$J$238:$J$451),0),
IF('TL05'!$B$3=J$3,SUMIF('TL05'!$C$10:$C$224,$C405,'TL05'!$J$10:$J$224),0),
IF('TL05'!$B$229=J$3,SUMIF('TL05'!$C$238:$C$451,$C405,'TL05'!$J$238:$J$451),0),
IF('TL06'!$B$3=J$3,SUMIF('TL06'!$C$10:$C$224,$C405,'TL06'!$J$10:$J$224),0),
IF('TL06'!$B$229=J$3,SUMIF('TL06'!$C$238:$C$451,$C405,'TL06'!$J$238:$J$451),0),
IF('TL07'!$B$3=J$3,SUMIF('TL07'!$C$10:$C$224,$C405,'TL07'!$J$10:$J$224),0),
IF('TL07'!$B$229=J$3,SUMIF('TL07'!$C$238:$C$451,$C405,'TL07'!$J$238:$J$451),0),
IF('TL08'!$B$3=J$3,SUMIF('TL08'!$C$10:$C$224,$C405,'TL08'!$J$10:$J$224),0),
IF('TL08'!$B$229=J$3,SUMIF('TL08'!$C$238:$C$451,$C405,'TL08'!$J$238:$J$451),0),
IF('TL09'!$B$3=J$3,SUMIF('TL09'!$C$10:$C$224,$C405,'TL09'!$J$10:$J$224),0),
IF('TL09'!$B$229=J$3,SUMIF('TL09'!$C$238:$C$451,$C405,'TL09'!$J$238:$J$451),0),
IF('TL10'!$B$3=J$3,SUMIF('TL10'!$C$10:$C$224,$C405,'TL10'!$J$10:$J$224),0),
IF('TL10'!$B$229=J$3,SUMIF('TL10'!$C$238:$C$451,$C405,'TL10'!$J$238:$J$451),0),
IF('TL11'!$B$3=J$3,SUMIF('TL11'!$C$10:$C$224,$C405,'TL11'!$J$10:$J$224),0),
IF('TL11'!$B$229=J$3,SUMIF('TL11'!$C$238:$C$451,$C405,'TL11'!$J$238:$J$451),0),
IF('TL12'!$B$3=J$3,SUMIF('TL12'!$C$10:$C$224,$C405,'TL12'!$J$10:$J$224),0),
IF('TL12'!$B$229=J$3,SUMIF('TL12'!$C$238:$C$451,$C405,'TL12'!$J$238:$J$451),0),
IF('TL13'!$B$3=J$3,SUMIF('TL13'!$C$10:$C$224,$C405,'TL13'!$J$10:$J$224),0),
IF('TL13'!$B$229=J$3,SUMIF('TL13'!$C$238:$C$451,$C405,'TL13'!$J$238:$J$451),0),
IF('TL14'!$B$3=J$3,SUMIF('TL14'!$C$10:$C$224,$C405,'TL14'!$J$10:$J$224),0),
IF('TL14'!$B$229=J$3,SUMIF('TL14'!$C$238:$C$451,$C405,'TL14'!$J$238:$J$451),0),
IF('TL15'!$B$3=J$3,SUMIF('TL15'!$C$10:$C$224,$C405,'TL15'!$J$10:$J$224),0),
IF('TL15'!$B$229=J$3,SUMIF('TL15'!$C$238:$C$451,$C405,'TL15'!$J$238:$J$451),0),
IF('TL16'!$B$3=J$3,SUMIF('TL16'!$C$10:$C$224,$C405,'TL16'!$J$10:$J$224),0),
IF('TL16'!$B$229=J$3,SUMIF('TL16'!$C$238:$C$451,$C405,'TL16'!$J$238:$J$451),0),
IF('TL17'!$B$3=J$3,SUMIF('TL17'!$C$10:$C$224,$C405,'TL17'!$J$10:$J$224),0),
IF('TL17'!$B$229=J$3,SUMIF('TL17'!$C$238:$C$451,$C405,'TL17'!$J$238:$J$451),0),
IF('TL18'!$B$3=J$3,SUMIF('TL18'!$C$10:$C$224,$C405,'TL18'!$J$10:$J$224),0),
IF('TL18'!$B$229=J$3,SUMIF('TL18'!$C$238:$C$451,$C405,'TL18'!$J$238:$J$451),0),
IF('TL19'!$B$3=J$3,SUMIF('TL19'!$C$10:$C$224,$C405,'TL19'!$J$10:$J$224),0),
IF('TL19'!$B$229=J$3,SUMIF('TL19'!$C$238:$C$451,$C405,'TL19'!$J$238:$J$451),0)
),0)</f>
        <v/>
      </c>
      <c r="K405" s="147">
        <f>IFERROR(SUM(
IF('TL01'!$B$3=K$3,SUMIF('TL01'!$C$10:$C$224,$C405,'TL01'!$J$10:$J$224),0),
IF('TL01'!$B$229=K$3,SUMIF('TL01'!$C$238:$C$451,$C405,'TL01'!$J$238:$J$451),0),
IF('TL02'!$B$3=K$3,SUMIF('TL02'!$C$10:$C$224,$C405,'TL02'!$J$10:$J$224),0),
IF('TL02'!$B$229=K$3,SUMIF('TL02'!$C$238:$C$451,$C405,'TL02'!$J$238:$J$451),0),
IF('TL03'!$B$3=K$3,SUMIF('TL03'!$C$10:$C$224,$C405,'TL03'!$J$10:$J$224),0),
IF('TL03'!$B$229=K$3,SUMIF('TL03'!$C$238:$C$451,$C405,'TL03'!$J$238:$J$451),0),
IF('TL04'!$B$3=K$3,SUMIF('TL04'!$C$10:$C$224,$C405,'TL04'!$J$10:$J$224),0),
IF('TL04'!$B$229=K$3,SUMIF('TL04'!$C$238:$C$451,$C405,'TL04'!$J$238:$J$451),0),
IF('TL05'!$B$3=K$3,SUMIF('TL05'!$C$10:$C$224,$C405,'TL05'!$J$10:$J$224),0),
IF('TL05'!$B$229=K$3,SUMIF('TL05'!$C$238:$C$451,$C405,'TL05'!$J$238:$J$451),0),
IF('TL06'!$B$3=K$3,SUMIF('TL06'!$C$10:$C$224,$C405,'TL06'!$J$10:$J$224),0),
IF('TL06'!$B$229=K$3,SUMIF('TL06'!$C$238:$C$451,$C405,'TL06'!$J$238:$J$451),0),
IF('TL07'!$B$3=K$3,SUMIF('TL07'!$C$10:$C$224,$C405,'TL07'!$J$10:$J$224),0),
IF('TL07'!$B$229=K$3,SUMIF('TL07'!$C$238:$C$451,$C405,'TL07'!$J$238:$J$451),0),
IF('TL08'!$B$3=K$3,SUMIF('TL08'!$C$10:$C$224,$C405,'TL08'!$J$10:$J$224),0),
IF('TL08'!$B$229=K$3,SUMIF('TL08'!$C$238:$C$451,$C405,'TL08'!$J$238:$J$451),0),
IF('TL09'!$B$3=K$3,SUMIF('TL09'!$C$10:$C$224,$C405,'TL09'!$J$10:$J$224),0),
IF('TL09'!$B$229=K$3,SUMIF('TL09'!$C$238:$C$451,$C405,'TL09'!$J$238:$J$451),0),
IF('TL10'!$B$3=K$3,SUMIF('TL10'!$C$10:$C$224,$C405,'TL10'!$J$10:$J$224),0),
IF('TL10'!$B$229=K$3,SUMIF('TL10'!$C$238:$C$451,$C405,'TL10'!$J$238:$J$451),0),
IF('TL11'!$B$3=K$3,SUMIF('TL11'!$C$10:$C$224,$C405,'TL11'!$J$10:$J$224),0),
IF('TL11'!$B$229=K$3,SUMIF('TL11'!$C$238:$C$451,$C405,'TL11'!$J$238:$J$451),0),
IF('TL12'!$B$3=K$3,SUMIF('TL12'!$C$10:$C$224,$C405,'TL12'!$J$10:$J$224),0),
IF('TL12'!$B$229=K$3,SUMIF('TL12'!$C$238:$C$451,$C405,'TL12'!$J$238:$J$451),0),
IF('TL13'!$B$3=K$3,SUMIF('TL13'!$C$10:$C$224,$C405,'TL13'!$J$10:$J$224),0),
IF('TL13'!$B$229=K$3,SUMIF('TL13'!$C$238:$C$451,$C405,'TL13'!$J$238:$J$451),0),
IF('TL14'!$B$3=K$3,SUMIF('TL14'!$C$10:$C$224,$C405,'TL14'!$J$10:$J$224),0),
IF('TL14'!$B$229=K$3,SUMIF('TL14'!$C$238:$C$451,$C405,'TL14'!$J$238:$J$451),0),
IF('TL15'!$B$3=K$3,SUMIF('TL15'!$C$10:$C$224,$C405,'TL15'!$J$10:$J$224),0),
IF('TL15'!$B$229=K$3,SUMIF('TL15'!$C$238:$C$451,$C405,'TL15'!$J$238:$J$451),0),
IF('TL16'!$B$3=K$3,SUMIF('TL16'!$C$10:$C$224,$C405,'TL16'!$J$10:$J$224),0),
IF('TL16'!$B$229=K$3,SUMIF('TL16'!$C$238:$C$451,$C405,'TL16'!$J$238:$J$451),0),
IF('TL17'!$B$3=K$3,SUMIF('TL17'!$C$10:$C$224,$C405,'TL17'!$J$10:$J$224),0),
IF('TL17'!$B$229=K$3,SUMIF('TL17'!$C$238:$C$451,$C405,'TL17'!$J$238:$J$451),0),
IF('TL18'!$B$3=K$3,SUMIF('TL18'!$C$10:$C$224,$C405,'TL18'!$J$10:$J$224),0),
IF('TL18'!$B$229=K$3,SUMIF('TL18'!$C$238:$C$451,$C405,'TL18'!$J$238:$J$451),0),
IF('TL19'!$B$3=K$3,SUMIF('TL19'!$C$10:$C$224,$C405,'TL19'!$J$10:$J$224),0),
IF('TL19'!$B$229=K$3,SUMIF('TL19'!$C$238:$C$451,$C405,'TL19'!$J$238:$J$451),0)
),0)</f>
        <v/>
      </c>
      <c r="L405" s="147">
        <f>IFERROR(SUM(
IF('TL01'!$B$3=L$3,SUMIF('TL01'!$C$10:$C$224,$C405,'TL01'!$J$10:$J$224),0),
IF('TL01'!$B$229=L$3,SUMIF('TL01'!$C$238:$C$451,$C405,'TL01'!$J$238:$J$451),0),
IF('TL02'!$B$3=L$3,SUMIF('TL02'!$C$10:$C$224,$C405,'TL02'!$J$10:$J$224),0),
IF('TL02'!$B$229=L$3,SUMIF('TL02'!$C$238:$C$451,$C405,'TL02'!$J$238:$J$451),0),
IF('TL03'!$B$3=L$3,SUMIF('TL03'!$C$10:$C$224,$C405,'TL03'!$J$10:$J$224),0),
IF('TL03'!$B$229=L$3,SUMIF('TL03'!$C$238:$C$451,$C405,'TL03'!$J$238:$J$451),0),
IF('TL04'!$B$3=L$3,SUMIF('TL04'!$C$10:$C$224,$C405,'TL04'!$J$10:$J$224),0),
IF('TL04'!$B$229=L$3,SUMIF('TL04'!$C$238:$C$451,$C405,'TL04'!$J$238:$J$451),0),
IF('TL05'!$B$3=L$3,SUMIF('TL05'!$C$10:$C$224,$C405,'TL05'!$J$10:$J$224),0),
IF('TL05'!$B$229=L$3,SUMIF('TL05'!$C$238:$C$451,$C405,'TL05'!$J$238:$J$451),0),
IF('TL06'!$B$3=L$3,SUMIF('TL06'!$C$10:$C$224,$C405,'TL06'!$J$10:$J$224),0),
IF('TL06'!$B$229=L$3,SUMIF('TL06'!$C$238:$C$451,$C405,'TL06'!$J$238:$J$451),0),
IF('TL07'!$B$3=L$3,SUMIF('TL07'!$C$10:$C$224,$C405,'TL07'!$J$10:$J$224),0),
IF('TL07'!$B$229=L$3,SUMIF('TL07'!$C$238:$C$451,$C405,'TL07'!$J$238:$J$451),0),
IF('TL08'!$B$3=L$3,SUMIF('TL08'!$C$10:$C$224,$C405,'TL08'!$J$10:$J$224),0),
IF('TL08'!$B$229=L$3,SUMIF('TL08'!$C$238:$C$451,$C405,'TL08'!$J$238:$J$451),0),
IF('TL09'!$B$3=L$3,SUMIF('TL09'!$C$10:$C$224,$C405,'TL09'!$J$10:$J$224),0),
IF('TL09'!$B$229=L$3,SUMIF('TL09'!$C$238:$C$451,$C405,'TL09'!$J$238:$J$451),0),
IF('TL10'!$B$3=L$3,SUMIF('TL10'!$C$10:$C$224,$C405,'TL10'!$J$10:$J$224),0),
IF('TL10'!$B$229=L$3,SUMIF('TL10'!$C$238:$C$451,$C405,'TL10'!$J$238:$J$451),0),
IF('TL11'!$B$3=L$3,SUMIF('TL11'!$C$10:$C$224,$C405,'TL11'!$J$10:$J$224),0),
IF('TL11'!$B$229=L$3,SUMIF('TL11'!$C$238:$C$451,$C405,'TL11'!$J$238:$J$451),0),
IF('TL12'!$B$3=L$3,SUMIF('TL12'!$C$10:$C$224,$C405,'TL12'!$J$10:$J$224),0),
IF('TL12'!$B$229=L$3,SUMIF('TL12'!$C$238:$C$451,$C405,'TL12'!$J$238:$J$451),0),
IF('TL13'!$B$3=L$3,SUMIF('TL13'!$C$10:$C$224,$C405,'TL13'!$J$10:$J$224),0),
IF('TL13'!$B$229=L$3,SUMIF('TL13'!$C$238:$C$451,$C405,'TL13'!$J$238:$J$451),0),
IF('TL14'!$B$3=L$3,SUMIF('TL14'!$C$10:$C$224,$C405,'TL14'!$J$10:$J$224),0),
IF('TL14'!$B$229=L$3,SUMIF('TL14'!$C$238:$C$451,$C405,'TL14'!$J$238:$J$451),0),
IF('TL15'!$B$3=L$3,SUMIF('TL15'!$C$10:$C$224,$C405,'TL15'!$J$10:$J$224),0),
IF('TL15'!$B$229=L$3,SUMIF('TL15'!$C$238:$C$451,$C405,'TL15'!$J$238:$J$451),0),
IF('TL16'!$B$3=L$3,SUMIF('TL16'!$C$10:$C$224,$C405,'TL16'!$J$10:$J$224),0),
IF('TL16'!$B$229=L$3,SUMIF('TL16'!$C$238:$C$451,$C405,'TL16'!$J$238:$J$451),0),
IF('TL17'!$B$3=L$3,SUMIF('TL17'!$C$10:$C$224,$C405,'TL17'!$J$10:$J$224),0),
IF('TL17'!$B$229=L$3,SUMIF('TL17'!$C$238:$C$451,$C405,'TL17'!$J$238:$J$451),0),
IF('TL18'!$B$3=L$3,SUMIF('TL18'!$C$10:$C$224,$C405,'TL18'!$J$10:$J$224),0),
IF('TL18'!$B$229=L$3,SUMIF('TL18'!$C$238:$C$451,$C405,'TL18'!$J$238:$J$451),0),
IF('TL19'!$B$3=L$3,SUMIF('TL19'!$C$10:$C$224,$C405,'TL19'!$J$10:$J$224),0),
IF('TL19'!$B$229=L$3,SUMIF('TL19'!$C$238:$C$451,$C405,'TL19'!$J$238:$J$451),0)
),0)</f>
        <v/>
      </c>
      <c r="M405" s="147">
        <f>IFERROR(SUM(
IF('TL01'!$B$3=M$3,SUMIF('TL01'!$C$10:$C$224,$C405,'TL01'!$J$10:$J$224),0),
IF('TL01'!$B$229=M$3,SUMIF('TL01'!$C$238:$C$451,$C405,'TL01'!$J$238:$J$451),0),
IF('TL02'!$B$3=M$3,SUMIF('TL02'!$C$10:$C$224,$C405,'TL02'!$J$10:$J$224),0),
IF('TL02'!$B$229=M$3,SUMIF('TL02'!$C$238:$C$451,$C405,'TL02'!$J$238:$J$451),0),
IF('TL03'!$B$3=M$3,SUMIF('TL03'!$C$10:$C$224,$C405,'TL03'!$J$10:$J$224),0),
IF('TL03'!$B$229=M$3,SUMIF('TL03'!$C$238:$C$451,$C405,'TL03'!$J$238:$J$451),0),
IF('TL04'!$B$3=M$3,SUMIF('TL04'!$C$10:$C$224,$C405,'TL04'!$J$10:$J$224),0),
IF('TL04'!$B$229=M$3,SUMIF('TL04'!$C$238:$C$451,$C405,'TL04'!$J$238:$J$451),0),
IF('TL05'!$B$3=M$3,SUMIF('TL05'!$C$10:$C$224,$C405,'TL05'!$J$10:$J$224),0),
IF('TL05'!$B$229=M$3,SUMIF('TL05'!$C$238:$C$451,$C405,'TL05'!$J$238:$J$451),0),
IF('TL06'!$B$3=M$3,SUMIF('TL06'!$C$10:$C$224,$C405,'TL06'!$J$10:$J$224),0),
IF('TL06'!$B$229=M$3,SUMIF('TL06'!$C$238:$C$451,$C405,'TL06'!$J$238:$J$451),0),
IF('TL07'!$B$3=M$3,SUMIF('TL07'!$C$10:$C$224,$C405,'TL07'!$J$10:$J$224),0),
IF('TL07'!$B$229=M$3,SUMIF('TL07'!$C$238:$C$451,$C405,'TL07'!$J$238:$J$451),0),
IF('TL08'!$B$3=M$3,SUMIF('TL08'!$C$10:$C$224,$C405,'TL08'!$J$10:$J$224),0),
IF('TL08'!$B$229=M$3,SUMIF('TL08'!$C$238:$C$451,$C405,'TL08'!$J$238:$J$451),0),
IF('TL09'!$B$3=M$3,SUMIF('TL09'!$C$10:$C$224,$C405,'TL09'!$J$10:$J$224),0),
IF('TL09'!$B$229=M$3,SUMIF('TL09'!$C$238:$C$451,$C405,'TL09'!$J$238:$J$451),0),
IF('TL10'!$B$3=M$3,SUMIF('TL10'!$C$10:$C$224,$C405,'TL10'!$J$10:$J$224),0),
IF('TL10'!$B$229=M$3,SUMIF('TL10'!$C$238:$C$451,$C405,'TL10'!$J$238:$J$451),0),
IF('TL11'!$B$3=M$3,SUMIF('TL11'!$C$10:$C$224,$C405,'TL11'!$J$10:$J$224),0),
IF('TL11'!$B$229=M$3,SUMIF('TL11'!$C$238:$C$451,$C405,'TL11'!$J$238:$J$451),0),
IF('TL12'!$B$3=M$3,SUMIF('TL12'!$C$10:$C$224,$C405,'TL12'!$J$10:$J$224),0),
IF('TL12'!$B$229=M$3,SUMIF('TL12'!$C$238:$C$451,$C405,'TL12'!$J$238:$J$451),0),
IF('TL13'!$B$3=M$3,SUMIF('TL13'!$C$10:$C$224,$C405,'TL13'!$J$10:$J$224),0),
IF('TL13'!$B$229=M$3,SUMIF('TL13'!$C$238:$C$451,$C405,'TL13'!$J$238:$J$451),0),
IF('TL14'!$B$3=M$3,SUMIF('TL14'!$C$10:$C$224,$C405,'TL14'!$J$10:$J$224),0),
IF('TL14'!$B$229=M$3,SUMIF('TL14'!$C$238:$C$451,$C405,'TL14'!$J$238:$J$451),0),
IF('TL15'!$B$3=M$3,SUMIF('TL15'!$C$10:$C$224,$C405,'TL15'!$J$10:$J$224),0),
IF('TL15'!$B$229=M$3,SUMIF('TL15'!$C$238:$C$451,$C405,'TL15'!$J$238:$J$451),0),
IF('TL16'!$B$3=M$3,SUMIF('TL16'!$C$10:$C$224,$C405,'TL16'!$J$10:$J$224),0),
IF('TL16'!$B$229=M$3,SUMIF('TL16'!$C$238:$C$451,$C405,'TL16'!$J$238:$J$451),0),
IF('TL17'!$B$3=M$3,SUMIF('TL17'!$C$10:$C$224,$C405,'TL17'!$J$10:$J$224),0),
IF('TL17'!$B$229=M$3,SUMIF('TL17'!$C$238:$C$451,$C405,'TL17'!$J$238:$J$451),0),
IF('TL18'!$B$3=M$3,SUMIF('TL18'!$C$10:$C$224,$C405,'TL18'!$J$10:$J$224),0),
IF('TL18'!$B$229=M$3,SUMIF('TL18'!$C$238:$C$451,$C405,'TL18'!$J$238:$J$451),0),
IF('TL19'!$B$3=M$3,SUMIF('TL19'!$C$10:$C$224,$C405,'TL19'!$J$10:$J$224),0),
IF('TL19'!$B$229=M$3,SUMIF('TL19'!$C$238:$C$451,$C405,'TL19'!$J$238:$J$451),0)
),0)</f>
        <v/>
      </c>
      <c r="N405" s="147">
        <f>IFERROR(SUM(
IF('TL01'!$B$3=N$3,SUMIF('TL01'!$C$10:$C$224,$C405,'TL01'!$J$10:$J$224),0),
IF('TL01'!$B$229=N$3,SUMIF('TL01'!$C$238:$C$451,$C405,'TL01'!$J$238:$J$451),0),
IF('TL02'!$B$3=N$3,SUMIF('TL02'!$C$10:$C$224,$C405,'TL02'!$J$10:$J$224),0),
IF('TL02'!$B$229=N$3,SUMIF('TL02'!$C$238:$C$451,$C405,'TL02'!$J$238:$J$451),0),
IF('TL03'!$B$3=N$3,SUMIF('TL03'!$C$10:$C$224,$C405,'TL03'!$J$10:$J$224),0),
IF('TL03'!$B$229=N$3,SUMIF('TL03'!$C$238:$C$451,$C405,'TL03'!$J$238:$J$451),0),
IF('TL04'!$B$3=N$3,SUMIF('TL04'!$C$10:$C$224,$C405,'TL04'!$J$10:$J$224),0),
IF('TL04'!$B$229=N$3,SUMIF('TL04'!$C$238:$C$451,$C405,'TL04'!$J$238:$J$451),0),
IF('TL05'!$B$3=N$3,SUMIF('TL05'!$C$10:$C$224,$C405,'TL05'!$J$10:$J$224),0),
IF('TL05'!$B$229=N$3,SUMIF('TL05'!$C$238:$C$451,$C405,'TL05'!$J$238:$J$451),0),
IF('TL06'!$B$3=N$3,SUMIF('TL06'!$C$10:$C$224,$C405,'TL06'!$J$10:$J$224),0),
IF('TL06'!$B$229=N$3,SUMIF('TL06'!$C$238:$C$451,$C405,'TL06'!$J$238:$J$451),0),
IF('TL07'!$B$3=N$3,SUMIF('TL07'!$C$10:$C$224,$C405,'TL07'!$J$10:$J$224),0),
IF('TL07'!$B$229=N$3,SUMIF('TL07'!$C$238:$C$451,$C405,'TL07'!$J$238:$J$451),0),
IF('TL08'!$B$3=N$3,SUMIF('TL08'!$C$10:$C$224,$C405,'TL08'!$J$10:$J$224),0),
IF('TL08'!$B$229=N$3,SUMIF('TL08'!$C$238:$C$451,$C405,'TL08'!$J$238:$J$451),0),
IF('TL09'!$B$3=N$3,SUMIF('TL09'!$C$10:$C$224,$C405,'TL09'!$J$10:$J$224),0),
IF('TL09'!$B$229=N$3,SUMIF('TL09'!$C$238:$C$451,$C405,'TL09'!$J$238:$J$451),0),
IF('TL10'!$B$3=N$3,SUMIF('TL10'!$C$10:$C$224,$C405,'TL10'!$J$10:$J$224),0),
IF('TL10'!$B$229=N$3,SUMIF('TL10'!$C$238:$C$451,$C405,'TL10'!$J$238:$J$451),0),
IF('TL11'!$B$3=N$3,SUMIF('TL11'!$C$10:$C$224,$C405,'TL11'!$J$10:$J$224),0),
IF('TL11'!$B$229=N$3,SUMIF('TL11'!$C$238:$C$451,$C405,'TL11'!$J$238:$J$451),0),
IF('TL12'!$B$3=N$3,SUMIF('TL12'!$C$10:$C$224,$C405,'TL12'!$J$10:$J$224),0),
IF('TL12'!$B$229=N$3,SUMIF('TL12'!$C$238:$C$451,$C405,'TL12'!$J$238:$J$451),0),
IF('TL13'!$B$3=N$3,SUMIF('TL13'!$C$10:$C$224,$C405,'TL13'!$J$10:$J$224),0),
IF('TL13'!$B$229=N$3,SUMIF('TL13'!$C$238:$C$451,$C405,'TL13'!$J$238:$J$451),0),
IF('TL14'!$B$3=N$3,SUMIF('TL14'!$C$10:$C$224,$C405,'TL14'!$J$10:$J$224),0),
IF('TL14'!$B$229=N$3,SUMIF('TL14'!$C$238:$C$451,$C405,'TL14'!$J$238:$J$451),0),
IF('TL15'!$B$3=N$3,SUMIF('TL15'!$C$10:$C$224,$C405,'TL15'!$J$10:$J$224),0),
IF('TL15'!$B$229=N$3,SUMIF('TL15'!$C$238:$C$451,$C405,'TL15'!$J$238:$J$451),0),
IF('TL16'!$B$3=N$3,SUMIF('TL16'!$C$10:$C$224,$C405,'TL16'!$J$10:$J$224),0),
IF('TL16'!$B$229=N$3,SUMIF('TL16'!$C$238:$C$451,$C405,'TL16'!$J$238:$J$451),0),
IF('TL17'!$B$3=N$3,SUMIF('TL17'!$C$10:$C$224,$C405,'TL17'!$J$10:$J$224),0),
IF('TL17'!$B$229=N$3,SUMIF('TL17'!$C$238:$C$451,$C405,'TL17'!$J$238:$J$451),0),
IF('TL18'!$B$3=N$3,SUMIF('TL18'!$C$10:$C$224,$C405,'TL18'!$J$10:$J$224),0),
IF('TL18'!$B$229=N$3,SUMIF('TL18'!$C$238:$C$451,$C405,'TL18'!$J$238:$J$451),0),
IF('TL19'!$B$3=N$3,SUMIF('TL19'!$C$10:$C$224,$C405,'TL19'!$J$10:$J$224),0),
IF('TL19'!$B$229=N$3,SUMIF('TL19'!$C$238:$C$451,$C405,'TL19'!$J$238:$J$451),0)
),0)</f>
        <v/>
      </c>
      <c r="O405" s="147">
        <f>IFERROR(SUM(
IF('TL01'!$B$3=O$3,SUMIF('TL01'!$C$10:$C$224,$C405,'TL01'!$J$10:$J$224),0),
IF('TL01'!$B$229=O$3,SUMIF('TL01'!$C$238:$C$451,$C405,'TL01'!$J$238:$J$451),0),
IF('TL02'!$B$3=O$3,SUMIF('TL02'!$C$10:$C$224,$C405,'TL02'!$J$10:$J$224),0),
IF('TL02'!$B$229=O$3,SUMIF('TL02'!$C$238:$C$451,$C405,'TL02'!$J$238:$J$451),0),
IF('TL03'!$B$3=O$3,SUMIF('TL03'!$C$10:$C$224,$C405,'TL03'!$J$10:$J$224),0),
IF('TL03'!$B$229=O$3,SUMIF('TL03'!$C$238:$C$451,$C405,'TL03'!$J$238:$J$451),0),
IF('TL04'!$B$3=O$3,SUMIF('TL04'!$C$10:$C$224,$C405,'TL04'!$J$10:$J$224),0),
IF('TL04'!$B$229=O$3,SUMIF('TL04'!$C$238:$C$451,$C405,'TL04'!$J$238:$J$451),0),
IF('TL05'!$B$3=O$3,SUMIF('TL05'!$C$10:$C$224,$C405,'TL05'!$J$10:$J$224),0),
IF('TL05'!$B$229=O$3,SUMIF('TL05'!$C$238:$C$451,$C405,'TL05'!$J$238:$J$451),0),
IF('TL06'!$B$3=O$3,SUMIF('TL06'!$C$10:$C$224,$C405,'TL06'!$J$10:$J$224),0),
IF('TL06'!$B$229=O$3,SUMIF('TL06'!$C$238:$C$451,$C405,'TL06'!$J$238:$J$451),0),
IF('TL07'!$B$3=O$3,SUMIF('TL07'!$C$10:$C$224,$C405,'TL07'!$J$10:$J$224),0),
IF('TL07'!$B$229=O$3,SUMIF('TL07'!$C$238:$C$451,$C405,'TL07'!$J$238:$J$451),0),
IF('TL08'!$B$3=O$3,SUMIF('TL08'!$C$10:$C$224,$C405,'TL08'!$J$10:$J$224),0),
IF('TL08'!$B$229=O$3,SUMIF('TL08'!$C$238:$C$451,$C405,'TL08'!$J$238:$J$451),0),
IF('TL09'!$B$3=O$3,SUMIF('TL09'!$C$10:$C$224,$C405,'TL09'!$J$10:$J$224),0),
IF('TL09'!$B$229=O$3,SUMIF('TL09'!$C$238:$C$451,$C405,'TL09'!$J$238:$J$451),0),
IF('TL10'!$B$3=O$3,SUMIF('TL10'!$C$10:$C$224,$C405,'TL10'!$J$10:$J$224),0),
IF('TL10'!$B$229=O$3,SUMIF('TL10'!$C$238:$C$451,$C405,'TL10'!$J$238:$J$451),0),
IF('TL11'!$B$3=O$3,SUMIF('TL11'!$C$10:$C$224,$C405,'TL11'!$J$10:$J$224),0),
IF('TL11'!$B$229=O$3,SUMIF('TL11'!$C$238:$C$451,$C405,'TL11'!$J$238:$J$451),0),
IF('TL12'!$B$3=O$3,SUMIF('TL12'!$C$10:$C$224,$C405,'TL12'!$J$10:$J$224),0),
IF('TL12'!$B$229=O$3,SUMIF('TL12'!$C$238:$C$451,$C405,'TL12'!$J$238:$J$451),0),
IF('TL13'!$B$3=O$3,SUMIF('TL13'!$C$10:$C$224,$C405,'TL13'!$J$10:$J$224),0),
IF('TL13'!$B$229=O$3,SUMIF('TL13'!$C$238:$C$451,$C405,'TL13'!$J$238:$J$451),0),
IF('TL14'!$B$3=O$3,SUMIF('TL14'!$C$10:$C$224,$C405,'TL14'!$J$10:$J$224),0),
IF('TL14'!$B$229=O$3,SUMIF('TL14'!$C$238:$C$451,$C405,'TL14'!$J$238:$J$451),0),
IF('TL15'!$B$3=O$3,SUMIF('TL15'!$C$10:$C$224,$C405,'TL15'!$J$10:$J$224),0),
IF('TL15'!$B$229=O$3,SUMIF('TL15'!$C$238:$C$451,$C405,'TL15'!$J$238:$J$451),0),
IF('TL16'!$B$3=O$3,SUMIF('TL16'!$C$10:$C$224,$C405,'TL16'!$J$10:$J$224),0),
IF('TL16'!$B$229=O$3,SUMIF('TL16'!$C$238:$C$451,$C405,'TL16'!$J$238:$J$451),0),
IF('TL17'!$B$3=O$3,SUMIF('TL17'!$C$10:$C$224,$C405,'TL17'!$J$10:$J$224),0),
IF('TL17'!$B$229=O$3,SUMIF('TL17'!$C$238:$C$451,$C405,'TL17'!$J$238:$J$451),0),
IF('TL18'!$B$3=O$3,SUMIF('TL18'!$C$10:$C$224,$C405,'TL18'!$J$10:$J$224),0),
IF('TL18'!$B$229=O$3,SUMIF('TL18'!$C$238:$C$451,$C405,'TL18'!$J$238:$J$451),0),
IF('TL19'!$B$3=O$3,SUMIF('TL19'!$C$10:$C$224,$C405,'TL19'!$J$10:$J$224),0),
IF('TL19'!$B$229=O$3,SUMIF('TL19'!$C$238:$C$451,$C405,'TL19'!$J$238:$J$451),0)
),0)</f>
        <v/>
      </c>
      <c r="P405" s="147">
        <f>IFERROR(SUM(
IF('TL01'!$B$3=P$3,SUMIF('TL01'!$C$10:$C$224,$C405,'TL01'!$J$10:$J$224),0),
IF('TL01'!$B$229=P$3,SUMIF('TL01'!$C$238:$C$451,$C405,'TL01'!$J$238:$J$451),0),
IF('TL02'!$B$3=P$3,SUMIF('TL02'!$C$10:$C$224,$C405,'TL02'!$J$10:$J$224),0),
IF('TL02'!$B$229=P$3,SUMIF('TL02'!$C$238:$C$451,$C405,'TL02'!$J$238:$J$451),0),
IF('TL03'!$B$3=P$3,SUMIF('TL03'!$C$10:$C$224,$C405,'TL03'!$J$10:$J$224),0),
IF('TL03'!$B$229=P$3,SUMIF('TL03'!$C$238:$C$451,$C405,'TL03'!$J$238:$J$451),0),
IF('TL04'!$B$3=P$3,SUMIF('TL04'!$C$10:$C$224,$C405,'TL04'!$J$10:$J$224),0),
IF('TL04'!$B$229=P$3,SUMIF('TL04'!$C$238:$C$451,$C405,'TL04'!$J$238:$J$451),0),
IF('TL05'!$B$3=P$3,SUMIF('TL05'!$C$10:$C$224,$C405,'TL05'!$J$10:$J$224),0),
IF('TL05'!$B$229=P$3,SUMIF('TL05'!$C$238:$C$451,$C405,'TL05'!$J$238:$J$451),0),
IF('TL06'!$B$3=P$3,SUMIF('TL06'!$C$10:$C$224,$C405,'TL06'!$J$10:$J$224),0),
IF('TL06'!$B$229=P$3,SUMIF('TL06'!$C$238:$C$451,$C405,'TL06'!$J$238:$J$451),0),
IF('TL07'!$B$3=P$3,SUMIF('TL07'!$C$10:$C$224,$C405,'TL07'!$J$10:$J$224),0),
IF('TL07'!$B$229=P$3,SUMIF('TL07'!$C$238:$C$451,$C405,'TL07'!$J$238:$J$451),0),
IF('TL08'!$B$3=P$3,SUMIF('TL08'!$C$10:$C$224,$C405,'TL08'!$J$10:$J$224),0),
IF('TL08'!$B$229=P$3,SUMIF('TL08'!$C$238:$C$451,$C405,'TL08'!$J$238:$J$451),0),
IF('TL09'!$B$3=P$3,SUMIF('TL09'!$C$10:$C$224,$C405,'TL09'!$J$10:$J$224),0),
IF('TL09'!$B$229=P$3,SUMIF('TL09'!$C$238:$C$451,$C405,'TL09'!$J$238:$J$451),0),
IF('TL10'!$B$3=P$3,SUMIF('TL10'!$C$10:$C$224,$C405,'TL10'!$J$10:$J$224),0),
IF('TL10'!$B$229=P$3,SUMIF('TL10'!$C$238:$C$451,$C405,'TL10'!$J$238:$J$451),0),
IF('TL11'!$B$3=P$3,SUMIF('TL11'!$C$10:$C$224,$C405,'TL11'!$J$10:$J$224),0),
IF('TL11'!$B$229=P$3,SUMIF('TL11'!$C$238:$C$451,$C405,'TL11'!$J$238:$J$451),0),
IF('TL12'!$B$3=P$3,SUMIF('TL12'!$C$10:$C$224,$C405,'TL12'!$J$10:$J$224),0),
IF('TL12'!$B$229=P$3,SUMIF('TL12'!$C$238:$C$451,$C405,'TL12'!$J$238:$J$451),0),
IF('TL13'!$B$3=P$3,SUMIF('TL13'!$C$10:$C$224,$C405,'TL13'!$J$10:$J$224),0),
IF('TL13'!$B$229=P$3,SUMIF('TL13'!$C$238:$C$451,$C405,'TL13'!$J$238:$J$451),0),
IF('TL14'!$B$3=P$3,SUMIF('TL14'!$C$10:$C$224,$C405,'TL14'!$J$10:$J$224),0),
IF('TL14'!$B$229=P$3,SUMIF('TL14'!$C$238:$C$451,$C405,'TL14'!$J$238:$J$451),0),
IF('TL15'!$B$3=P$3,SUMIF('TL15'!$C$10:$C$224,$C405,'TL15'!$J$10:$J$224),0),
IF('TL15'!$B$229=P$3,SUMIF('TL15'!$C$238:$C$451,$C405,'TL15'!$J$238:$J$451),0),
IF('TL16'!$B$3=P$3,SUMIF('TL16'!$C$10:$C$224,$C405,'TL16'!$J$10:$J$224),0),
IF('TL16'!$B$229=P$3,SUMIF('TL16'!$C$238:$C$451,$C405,'TL16'!$J$238:$J$451),0),
IF('TL17'!$B$3=P$3,SUMIF('TL17'!$C$10:$C$224,$C405,'TL17'!$J$10:$J$224),0),
IF('TL17'!$B$229=P$3,SUMIF('TL17'!$C$238:$C$451,$C405,'TL17'!$J$238:$J$451),0),
IF('TL18'!$B$3=P$3,SUMIF('TL18'!$C$10:$C$224,$C405,'TL18'!$J$10:$J$224),0),
IF('TL18'!$B$229=P$3,SUMIF('TL18'!$C$238:$C$451,$C405,'TL18'!$J$238:$J$451),0),
IF('TL19'!$B$3=P$3,SUMIF('TL19'!$C$10:$C$224,$C405,'TL19'!$J$10:$J$224),0),
IF('TL19'!$B$229=P$3,SUMIF('TL19'!$C$238:$C$451,$C405,'TL19'!$J$238:$J$451),0)
),0)</f>
        <v/>
      </c>
      <c r="Q405" s="147">
        <f>IFERROR(SUM(
IF('TL01'!$B$3=Q$3,SUMIF('TL01'!$C$10:$C$224,$C405,'TL01'!$J$10:$J$224),0),
IF('TL01'!$B$229=Q$3,SUMIF('TL01'!$C$238:$C$451,$C405,'TL01'!$J$238:$J$451),0),
IF('TL02'!$B$3=Q$3,SUMIF('TL02'!$C$10:$C$224,$C405,'TL02'!$J$10:$J$224),0),
IF('TL02'!$B$229=Q$3,SUMIF('TL02'!$C$238:$C$451,$C405,'TL02'!$J$238:$J$451),0),
IF('TL03'!$B$3=Q$3,SUMIF('TL03'!$C$10:$C$224,$C405,'TL03'!$J$10:$J$224),0),
IF('TL03'!$B$229=Q$3,SUMIF('TL03'!$C$238:$C$451,$C405,'TL03'!$J$238:$J$451),0),
IF('TL04'!$B$3=Q$3,SUMIF('TL04'!$C$10:$C$224,$C405,'TL04'!$J$10:$J$224),0),
IF('TL04'!$B$229=Q$3,SUMIF('TL04'!$C$238:$C$451,$C405,'TL04'!$J$238:$J$451),0),
IF('TL05'!$B$3=Q$3,SUMIF('TL05'!$C$10:$C$224,$C405,'TL05'!$J$10:$J$224),0),
IF('TL05'!$B$229=Q$3,SUMIF('TL05'!$C$238:$C$451,$C405,'TL05'!$J$238:$J$451),0),
IF('TL06'!$B$3=Q$3,SUMIF('TL06'!$C$10:$C$224,$C405,'TL06'!$J$10:$J$224),0),
IF('TL06'!$B$229=Q$3,SUMIF('TL06'!$C$238:$C$451,$C405,'TL06'!$J$238:$J$451),0),
IF('TL07'!$B$3=Q$3,SUMIF('TL07'!$C$10:$C$224,$C405,'TL07'!$J$10:$J$224),0),
IF('TL07'!$B$229=Q$3,SUMIF('TL07'!$C$238:$C$451,$C405,'TL07'!$J$238:$J$451),0),
IF('TL08'!$B$3=Q$3,SUMIF('TL08'!$C$10:$C$224,$C405,'TL08'!$J$10:$J$224),0),
IF('TL08'!$B$229=Q$3,SUMIF('TL08'!$C$238:$C$451,$C405,'TL08'!$J$238:$J$451),0),
IF('TL09'!$B$3=Q$3,SUMIF('TL09'!$C$10:$C$224,$C405,'TL09'!$J$10:$J$224),0),
IF('TL09'!$B$229=Q$3,SUMIF('TL09'!$C$238:$C$451,$C405,'TL09'!$J$238:$J$451),0),
IF('TL10'!$B$3=Q$3,SUMIF('TL10'!$C$10:$C$224,$C405,'TL10'!$J$10:$J$224),0),
IF('TL10'!$B$229=Q$3,SUMIF('TL10'!$C$238:$C$451,$C405,'TL10'!$J$238:$J$451),0),
IF('TL11'!$B$3=Q$3,SUMIF('TL11'!$C$10:$C$224,$C405,'TL11'!$J$10:$J$224),0),
IF('TL11'!$B$229=Q$3,SUMIF('TL11'!$C$238:$C$451,$C405,'TL11'!$J$238:$J$451),0),
IF('TL12'!$B$3=Q$3,SUMIF('TL12'!$C$10:$C$224,$C405,'TL12'!$J$10:$J$224),0),
IF('TL12'!$B$229=Q$3,SUMIF('TL12'!$C$238:$C$451,$C405,'TL12'!$J$238:$J$451),0),
IF('TL13'!$B$3=Q$3,SUMIF('TL13'!$C$10:$C$224,$C405,'TL13'!$J$10:$J$224),0),
IF('TL13'!$B$229=Q$3,SUMIF('TL13'!$C$238:$C$451,$C405,'TL13'!$J$238:$J$451),0),
IF('TL14'!$B$3=Q$3,SUMIF('TL14'!$C$10:$C$224,$C405,'TL14'!$J$10:$J$224),0),
IF('TL14'!$B$229=Q$3,SUMIF('TL14'!$C$238:$C$451,$C405,'TL14'!$J$238:$J$451),0),
IF('TL15'!$B$3=Q$3,SUMIF('TL15'!$C$10:$C$224,$C405,'TL15'!$J$10:$J$224),0),
IF('TL15'!$B$229=Q$3,SUMIF('TL15'!$C$238:$C$451,$C405,'TL15'!$J$238:$J$451),0),
IF('TL16'!$B$3=Q$3,SUMIF('TL16'!$C$10:$C$224,$C405,'TL16'!$J$10:$J$224),0),
IF('TL16'!$B$229=Q$3,SUMIF('TL16'!$C$238:$C$451,$C405,'TL16'!$J$238:$J$451),0),
IF('TL17'!$B$3=Q$3,SUMIF('TL17'!$C$10:$C$224,$C405,'TL17'!$J$10:$J$224),0),
IF('TL17'!$B$229=Q$3,SUMIF('TL17'!$C$238:$C$451,$C405,'TL17'!$J$238:$J$451),0),
IF('TL18'!$B$3=Q$3,SUMIF('TL18'!$C$10:$C$224,$C405,'TL18'!$J$10:$J$224),0),
IF('TL18'!$B$229=Q$3,SUMIF('TL18'!$C$238:$C$451,$C405,'TL18'!$J$238:$J$451),0),
IF('TL19'!$B$3=Q$3,SUMIF('TL19'!$C$10:$C$224,$C405,'TL19'!$J$10:$J$224),0),
IF('TL19'!$B$229=Q$3,SUMIF('TL19'!$C$238:$C$451,$C405,'TL19'!$J$238:$J$451),0)
),0)</f>
        <v/>
      </c>
      <c r="R405" s="139">
        <f>IFERROR(
SUM(
SUMIF('TL01'!C:C,C405,'TL01'!J:J),
SUMIF('TL02'!C:C,C405,'TL02'!I:I),
SUMIF('TL03'!C:C,C405,'TL03'!I:I),
SUMIF('TL04'!C:C,C405,'TL04'!I:I),
SUMIF('TL05'!C:C,C405,'TL05'!I:I),
SUMIF('TL06'!C:C,C405,'TL06'!I:I),
SUMIF('TL07'!C:C,C405,'TL07'!I:I),
SUMIF('TL08'!C:C,C405,'TL08'!I:I),
SUMIF('TL09'!C:C,C405,'TL09'!I:I),
SUMIF('TL10'!C:C,C405,'TL10'!I:I),
SUMIF('TL11'!C:C,C405,'TL11'!I:I),
SUMIF('TL12'!C:C,C405,'TL12'!I:I),
SUMIF('TL13'!C:C,C405,'TL13'!I:I),
SUMIF('TL14'!C:C,C405,'TL14'!I:I),
SUMIF('TL15'!C:C,C405,'TL15'!I:I),
SUMIF('TL16'!C:C,C405,'TL16'!I:I),
SUMIF('TL17'!C:C,C405,'TL17'!I:I),
SUMIF('TL18'!C:C,C405,'TL18'!I:I))
,0)</f>
        <v/>
      </c>
      <c r="S405" s="142">
        <f>'CUSTO OPERAÇÃO'!M9</f>
        <v/>
      </c>
      <c r="T405" s="139" t="n"/>
      <c r="U405" s="143">
        <f>MAX(0,R405-T405)</f>
        <v/>
      </c>
      <c r="V405" s="144">
        <f>U405*S405</f>
        <v/>
      </c>
    </row>
    <row r="406" hidden="1" ht="15.75" customHeight="1" s="297">
      <c r="A406" s="134" t="n"/>
      <c r="B406" s="135" t="inlineStr">
        <is>
          <t>MÁQUINAS</t>
        </is>
      </c>
      <c r="C406" s="136">
        <f>'CUSTO OPERAÇÃO'!D10</f>
        <v/>
      </c>
      <c r="D406" s="136" t="n"/>
      <c r="E406" s="137" t="n"/>
      <c r="F406" s="138" t="inlineStr">
        <is>
          <t>R$/Ha</t>
        </is>
      </c>
      <c r="G406" s="139" t="n"/>
      <c r="H406" s="140">
        <f>'CUSTO OPERAÇÃO'!J10</f>
        <v/>
      </c>
      <c r="I406" s="141" t="n"/>
      <c r="J406" s="136">
        <f>IFERROR(SUM(
IF('TL01'!$B$3=J$3,SUMIF('TL01'!$C$10:$C$224,$C406,'TL01'!$J$10:$J$224),0),
IF('TL01'!$B$229=J$3,SUMIF('TL01'!$C$238:$C$451,$C406,'TL01'!$J$238:$J$451),0),
IF('TL02'!$B$3=J$3,SUMIF('TL02'!$C$10:$C$224,$C406,'TL02'!$J$10:$J$224),0),
IF('TL02'!$B$229=J$3,SUMIF('TL02'!$C$238:$C$451,$C406,'TL02'!$J$238:$J$451),0),
IF('TL03'!$B$3=J$3,SUMIF('TL03'!$C$10:$C$224,$C406,'TL03'!$J$10:$J$224),0),
IF('TL03'!$B$229=J$3,SUMIF('TL03'!$C$238:$C$451,$C406,'TL03'!$J$238:$J$451),0),
IF('TL04'!$B$3=J$3,SUMIF('TL04'!$C$10:$C$224,$C406,'TL04'!$J$10:$J$224),0),
IF('TL04'!$B$229=J$3,SUMIF('TL04'!$C$238:$C$451,$C406,'TL04'!$J$238:$J$451),0),
IF('TL05'!$B$3=J$3,SUMIF('TL05'!$C$10:$C$224,$C406,'TL05'!$J$10:$J$224),0),
IF('TL05'!$B$229=J$3,SUMIF('TL05'!$C$238:$C$451,$C406,'TL05'!$J$238:$J$451),0),
IF('TL06'!$B$3=J$3,SUMIF('TL06'!$C$10:$C$224,$C406,'TL06'!$J$10:$J$224),0),
IF('TL06'!$B$229=J$3,SUMIF('TL06'!$C$238:$C$451,$C406,'TL06'!$J$238:$J$451),0),
IF('TL07'!$B$3=J$3,SUMIF('TL07'!$C$10:$C$224,$C406,'TL07'!$J$10:$J$224),0),
IF('TL07'!$B$229=J$3,SUMIF('TL07'!$C$238:$C$451,$C406,'TL07'!$J$238:$J$451),0),
IF('TL08'!$B$3=J$3,SUMIF('TL08'!$C$10:$C$224,$C406,'TL08'!$J$10:$J$224),0),
IF('TL08'!$B$229=J$3,SUMIF('TL08'!$C$238:$C$451,$C406,'TL08'!$J$238:$J$451),0),
IF('TL09'!$B$3=J$3,SUMIF('TL09'!$C$10:$C$224,$C406,'TL09'!$J$10:$J$224),0),
IF('TL09'!$B$229=J$3,SUMIF('TL09'!$C$238:$C$451,$C406,'TL09'!$J$238:$J$451),0),
IF('TL10'!$B$3=J$3,SUMIF('TL10'!$C$10:$C$224,$C406,'TL10'!$J$10:$J$224),0),
IF('TL10'!$B$229=J$3,SUMIF('TL10'!$C$238:$C$451,$C406,'TL10'!$J$238:$J$451),0),
IF('TL11'!$B$3=J$3,SUMIF('TL11'!$C$10:$C$224,$C406,'TL11'!$J$10:$J$224),0),
IF('TL11'!$B$229=J$3,SUMIF('TL11'!$C$238:$C$451,$C406,'TL11'!$J$238:$J$451),0),
IF('TL12'!$B$3=J$3,SUMIF('TL12'!$C$10:$C$224,$C406,'TL12'!$J$10:$J$224),0),
IF('TL12'!$B$229=J$3,SUMIF('TL12'!$C$238:$C$451,$C406,'TL12'!$J$238:$J$451),0),
IF('TL13'!$B$3=J$3,SUMIF('TL13'!$C$10:$C$224,$C406,'TL13'!$J$10:$J$224),0),
IF('TL13'!$B$229=J$3,SUMIF('TL13'!$C$238:$C$451,$C406,'TL13'!$J$238:$J$451),0),
IF('TL14'!$B$3=J$3,SUMIF('TL14'!$C$10:$C$224,$C406,'TL14'!$J$10:$J$224),0),
IF('TL14'!$B$229=J$3,SUMIF('TL14'!$C$238:$C$451,$C406,'TL14'!$J$238:$J$451),0),
IF('TL15'!$B$3=J$3,SUMIF('TL15'!$C$10:$C$224,$C406,'TL15'!$J$10:$J$224),0),
IF('TL15'!$B$229=J$3,SUMIF('TL15'!$C$238:$C$451,$C406,'TL15'!$J$238:$J$451),0),
IF('TL16'!$B$3=J$3,SUMIF('TL16'!$C$10:$C$224,$C406,'TL16'!$J$10:$J$224),0),
IF('TL16'!$B$229=J$3,SUMIF('TL16'!$C$238:$C$451,$C406,'TL16'!$J$238:$J$451),0),
IF('TL17'!$B$3=J$3,SUMIF('TL17'!$C$10:$C$224,$C406,'TL17'!$J$10:$J$224),0),
IF('TL17'!$B$229=J$3,SUMIF('TL17'!$C$238:$C$451,$C406,'TL17'!$J$238:$J$451),0),
IF('TL18'!$B$3=J$3,SUMIF('TL18'!$C$10:$C$224,$C406,'TL18'!$J$10:$J$224),0),
IF('TL18'!$B$229=J$3,SUMIF('TL18'!$C$238:$C$451,$C406,'TL18'!$J$238:$J$451),0),
IF('TL19'!$B$3=J$3,SUMIF('TL19'!$C$10:$C$224,$C406,'TL19'!$J$10:$J$224),0),
IF('TL19'!$B$229=J$3,SUMIF('TL19'!$C$238:$C$451,$C406,'TL19'!$J$238:$J$451),0)
),0)</f>
        <v/>
      </c>
      <c r="K406" s="136">
        <f>IFERROR(SUM(
IF('TL01'!$B$3=K$3,SUMIF('TL01'!$C$10:$C$224,$C406,'TL01'!$J$10:$J$224),0),
IF('TL01'!$B$229=K$3,SUMIF('TL01'!$C$238:$C$451,$C406,'TL01'!$J$238:$J$451),0),
IF('TL02'!$B$3=K$3,SUMIF('TL02'!$C$10:$C$224,$C406,'TL02'!$J$10:$J$224),0),
IF('TL02'!$B$229=K$3,SUMIF('TL02'!$C$238:$C$451,$C406,'TL02'!$J$238:$J$451),0),
IF('TL03'!$B$3=K$3,SUMIF('TL03'!$C$10:$C$224,$C406,'TL03'!$J$10:$J$224),0),
IF('TL03'!$B$229=K$3,SUMIF('TL03'!$C$238:$C$451,$C406,'TL03'!$J$238:$J$451),0),
IF('TL04'!$B$3=K$3,SUMIF('TL04'!$C$10:$C$224,$C406,'TL04'!$J$10:$J$224),0),
IF('TL04'!$B$229=K$3,SUMIF('TL04'!$C$238:$C$451,$C406,'TL04'!$J$238:$J$451),0),
IF('TL05'!$B$3=K$3,SUMIF('TL05'!$C$10:$C$224,$C406,'TL05'!$J$10:$J$224),0),
IF('TL05'!$B$229=K$3,SUMIF('TL05'!$C$238:$C$451,$C406,'TL05'!$J$238:$J$451),0),
IF('TL06'!$B$3=K$3,SUMIF('TL06'!$C$10:$C$224,$C406,'TL06'!$J$10:$J$224),0),
IF('TL06'!$B$229=K$3,SUMIF('TL06'!$C$238:$C$451,$C406,'TL06'!$J$238:$J$451),0),
IF('TL07'!$B$3=K$3,SUMIF('TL07'!$C$10:$C$224,$C406,'TL07'!$J$10:$J$224),0),
IF('TL07'!$B$229=K$3,SUMIF('TL07'!$C$238:$C$451,$C406,'TL07'!$J$238:$J$451),0),
IF('TL08'!$B$3=K$3,SUMIF('TL08'!$C$10:$C$224,$C406,'TL08'!$J$10:$J$224),0),
IF('TL08'!$B$229=K$3,SUMIF('TL08'!$C$238:$C$451,$C406,'TL08'!$J$238:$J$451),0),
IF('TL09'!$B$3=K$3,SUMIF('TL09'!$C$10:$C$224,$C406,'TL09'!$J$10:$J$224),0),
IF('TL09'!$B$229=K$3,SUMIF('TL09'!$C$238:$C$451,$C406,'TL09'!$J$238:$J$451),0),
IF('TL10'!$B$3=K$3,SUMIF('TL10'!$C$10:$C$224,$C406,'TL10'!$J$10:$J$224),0),
IF('TL10'!$B$229=K$3,SUMIF('TL10'!$C$238:$C$451,$C406,'TL10'!$J$238:$J$451),0),
IF('TL11'!$B$3=K$3,SUMIF('TL11'!$C$10:$C$224,$C406,'TL11'!$J$10:$J$224),0),
IF('TL11'!$B$229=K$3,SUMIF('TL11'!$C$238:$C$451,$C406,'TL11'!$J$238:$J$451),0),
IF('TL12'!$B$3=K$3,SUMIF('TL12'!$C$10:$C$224,$C406,'TL12'!$J$10:$J$224),0),
IF('TL12'!$B$229=K$3,SUMIF('TL12'!$C$238:$C$451,$C406,'TL12'!$J$238:$J$451),0),
IF('TL13'!$B$3=K$3,SUMIF('TL13'!$C$10:$C$224,$C406,'TL13'!$J$10:$J$224),0),
IF('TL13'!$B$229=K$3,SUMIF('TL13'!$C$238:$C$451,$C406,'TL13'!$J$238:$J$451),0),
IF('TL14'!$B$3=K$3,SUMIF('TL14'!$C$10:$C$224,$C406,'TL14'!$J$10:$J$224),0),
IF('TL14'!$B$229=K$3,SUMIF('TL14'!$C$238:$C$451,$C406,'TL14'!$J$238:$J$451),0),
IF('TL15'!$B$3=K$3,SUMIF('TL15'!$C$10:$C$224,$C406,'TL15'!$J$10:$J$224),0),
IF('TL15'!$B$229=K$3,SUMIF('TL15'!$C$238:$C$451,$C406,'TL15'!$J$238:$J$451),0),
IF('TL16'!$B$3=K$3,SUMIF('TL16'!$C$10:$C$224,$C406,'TL16'!$J$10:$J$224),0),
IF('TL16'!$B$229=K$3,SUMIF('TL16'!$C$238:$C$451,$C406,'TL16'!$J$238:$J$451),0),
IF('TL17'!$B$3=K$3,SUMIF('TL17'!$C$10:$C$224,$C406,'TL17'!$J$10:$J$224),0),
IF('TL17'!$B$229=K$3,SUMIF('TL17'!$C$238:$C$451,$C406,'TL17'!$J$238:$J$451),0),
IF('TL18'!$B$3=K$3,SUMIF('TL18'!$C$10:$C$224,$C406,'TL18'!$J$10:$J$224),0),
IF('TL18'!$B$229=K$3,SUMIF('TL18'!$C$238:$C$451,$C406,'TL18'!$J$238:$J$451),0),
IF('TL19'!$B$3=K$3,SUMIF('TL19'!$C$10:$C$224,$C406,'TL19'!$J$10:$J$224),0),
IF('TL19'!$B$229=K$3,SUMIF('TL19'!$C$238:$C$451,$C406,'TL19'!$J$238:$J$451),0)
),0)</f>
        <v/>
      </c>
      <c r="L406" s="136">
        <f>IFERROR(SUM(
IF('TL01'!$B$3=L$3,SUMIF('TL01'!$C$10:$C$224,$C406,'TL01'!$J$10:$J$224),0),
IF('TL01'!$B$229=L$3,SUMIF('TL01'!$C$238:$C$451,$C406,'TL01'!$J$238:$J$451),0),
IF('TL02'!$B$3=L$3,SUMIF('TL02'!$C$10:$C$224,$C406,'TL02'!$J$10:$J$224),0),
IF('TL02'!$B$229=L$3,SUMIF('TL02'!$C$238:$C$451,$C406,'TL02'!$J$238:$J$451),0),
IF('TL03'!$B$3=L$3,SUMIF('TL03'!$C$10:$C$224,$C406,'TL03'!$J$10:$J$224),0),
IF('TL03'!$B$229=L$3,SUMIF('TL03'!$C$238:$C$451,$C406,'TL03'!$J$238:$J$451),0),
IF('TL04'!$B$3=L$3,SUMIF('TL04'!$C$10:$C$224,$C406,'TL04'!$J$10:$J$224),0),
IF('TL04'!$B$229=L$3,SUMIF('TL04'!$C$238:$C$451,$C406,'TL04'!$J$238:$J$451),0),
IF('TL05'!$B$3=L$3,SUMIF('TL05'!$C$10:$C$224,$C406,'TL05'!$J$10:$J$224),0),
IF('TL05'!$B$229=L$3,SUMIF('TL05'!$C$238:$C$451,$C406,'TL05'!$J$238:$J$451),0),
IF('TL06'!$B$3=L$3,SUMIF('TL06'!$C$10:$C$224,$C406,'TL06'!$J$10:$J$224),0),
IF('TL06'!$B$229=L$3,SUMIF('TL06'!$C$238:$C$451,$C406,'TL06'!$J$238:$J$451),0),
IF('TL07'!$B$3=L$3,SUMIF('TL07'!$C$10:$C$224,$C406,'TL07'!$J$10:$J$224),0),
IF('TL07'!$B$229=L$3,SUMIF('TL07'!$C$238:$C$451,$C406,'TL07'!$J$238:$J$451),0),
IF('TL08'!$B$3=L$3,SUMIF('TL08'!$C$10:$C$224,$C406,'TL08'!$J$10:$J$224),0),
IF('TL08'!$B$229=L$3,SUMIF('TL08'!$C$238:$C$451,$C406,'TL08'!$J$238:$J$451),0),
IF('TL09'!$B$3=L$3,SUMIF('TL09'!$C$10:$C$224,$C406,'TL09'!$J$10:$J$224),0),
IF('TL09'!$B$229=L$3,SUMIF('TL09'!$C$238:$C$451,$C406,'TL09'!$J$238:$J$451),0),
IF('TL10'!$B$3=L$3,SUMIF('TL10'!$C$10:$C$224,$C406,'TL10'!$J$10:$J$224),0),
IF('TL10'!$B$229=L$3,SUMIF('TL10'!$C$238:$C$451,$C406,'TL10'!$J$238:$J$451),0),
IF('TL11'!$B$3=L$3,SUMIF('TL11'!$C$10:$C$224,$C406,'TL11'!$J$10:$J$224),0),
IF('TL11'!$B$229=L$3,SUMIF('TL11'!$C$238:$C$451,$C406,'TL11'!$J$238:$J$451),0),
IF('TL12'!$B$3=L$3,SUMIF('TL12'!$C$10:$C$224,$C406,'TL12'!$J$10:$J$224),0),
IF('TL12'!$B$229=L$3,SUMIF('TL12'!$C$238:$C$451,$C406,'TL12'!$J$238:$J$451),0),
IF('TL13'!$B$3=L$3,SUMIF('TL13'!$C$10:$C$224,$C406,'TL13'!$J$10:$J$224),0),
IF('TL13'!$B$229=L$3,SUMIF('TL13'!$C$238:$C$451,$C406,'TL13'!$J$238:$J$451),0),
IF('TL14'!$B$3=L$3,SUMIF('TL14'!$C$10:$C$224,$C406,'TL14'!$J$10:$J$224),0),
IF('TL14'!$B$229=L$3,SUMIF('TL14'!$C$238:$C$451,$C406,'TL14'!$J$238:$J$451),0),
IF('TL15'!$B$3=L$3,SUMIF('TL15'!$C$10:$C$224,$C406,'TL15'!$J$10:$J$224),0),
IF('TL15'!$B$229=L$3,SUMIF('TL15'!$C$238:$C$451,$C406,'TL15'!$J$238:$J$451),0),
IF('TL16'!$B$3=L$3,SUMIF('TL16'!$C$10:$C$224,$C406,'TL16'!$J$10:$J$224),0),
IF('TL16'!$B$229=L$3,SUMIF('TL16'!$C$238:$C$451,$C406,'TL16'!$J$238:$J$451),0),
IF('TL17'!$B$3=L$3,SUMIF('TL17'!$C$10:$C$224,$C406,'TL17'!$J$10:$J$224),0),
IF('TL17'!$B$229=L$3,SUMIF('TL17'!$C$238:$C$451,$C406,'TL17'!$J$238:$J$451),0),
IF('TL18'!$B$3=L$3,SUMIF('TL18'!$C$10:$C$224,$C406,'TL18'!$J$10:$J$224),0),
IF('TL18'!$B$229=L$3,SUMIF('TL18'!$C$238:$C$451,$C406,'TL18'!$J$238:$J$451),0),
IF('TL19'!$B$3=L$3,SUMIF('TL19'!$C$10:$C$224,$C406,'TL19'!$J$10:$J$224),0),
IF('TL19'!$B$229=L$3,SUMIF('TL19'!$C$238:$C$451,$C406,'TL19'!$J$238:$J$451),0)
),0)</f>
        <v/>
      </c>
      <c r="M406" s="136">
        <f>IFERROR(SUM(
IF('TL01'!$B$3=M$3,SUMIF('TL01'!$C$10:$C$224,$C406,'TL01'!$J$10:$J$224),0),
IF('TL01'!$B$229=M$3,SUMIF('TL01'!$C$238:$C$451,$C406,'TL01'!$J$238:$J$451),0),
IF('TL02'!$B$3=M$3,SUMIF('TL02'!$C$10:$C$224,$C406,'TL02'!$J$10:$J$224),0),
IF('TL02'!$B$229=M$3,SUMIF('TL02'!$C$238:$C$451,$C406,'TL02'!$J$238:$J$451),0),
IF('TL03'!$B$3=M$3,SUMIF('TL03'!$C$10:$C$224,$C406,'TL03'!$J$10:$J$224),0),
IF('TL03'!$B$229=M$3,SUMIF('TL03'!$C$238:$C$451,$C406,'TL03'!$J$238:$J$451),0),
IF('TL04'!$B$3=M$3,SUMIF('TL04'!$C$10:$C$224,$C406,'TL04'!$J$10:$J$224),0),
IF('TL04'!$B$229=M$3,SUMIF('TL04'!$C$238:$C$451,$C406,'TL04'!$J$238:$J$451),0),
IF('TL05'!$B$3=M$3,SUMIF('TL05'!$C$10:$C$224,$C406,'TL05'!$J$10:$J$224),0),
IF('TL05'!$B$229=M$3,SUMIF('TL05'!$C$238:$C$451,$C406,'TL05'!$J$238:$J$451),0),
IF('TL06'!$B$3=M$3,SUMIF('TL06'!$C$10:$C$224,$C406,'TL06'!$J$10:$J$224),0),
IF('TL06'!$B$229=M$3,SUMIF('TL06'!$C$238:$C$451,$C406,'TL06'!$J$238:$J$451),0),
IF('TL07'!$B$3=M$3,SUMIF('TL07'!$C$10:$C$224,$C406,'TL07'!$J$10:$J$224),0),
IF('TL07'!$B$229=M$3,SUMIF('TL07'!$C$238:$C$451,$C406,'TL07'!$J$238:$J$451),0),
IF('TL08'!$B$3=M$3,SUMIF('TL08'!$C$10:$C$224,$C406,'TL08'!$J$10:$J$224),0),
IF('TL08'!$B$229=M$3,SUMIF('TL08'!$C$238:$C$451,$C406,'TL08'!$J$238:$J$451),0),
IF('TL09'!$B$3=M$3,SUMIF('TL09'!$C$10:$C$224,$C406,'TL09'!$J$10:$J$224),0),
IF('TL09'!$B$229=M$3,SUMIF('TL09'!$C$238:$C$451,$C406,'TL09'!$J$238:$J$451),0),
IF('TL10'!$B$3=M$3,SUMIF('TL10'!$C$10:$C$224,$C406,'TL10'!$J$10:$J$224),0),
IF('TL10'!$B$229=M$3,SUMIF('TL10'!$C$238:$C$451,$C406,'TL10'!$J$238:$J$451),0),
IF('TL11'!$B$3=M$3,SUMIF('TL11'!$C$10:$C$224,$C406,'TL11'!$J$10:$J$224),0),
IF('TL11'!$B$229=M$3,SUMIF('TL11'!$C$238:$C$451,$C406,'TL11'!$J$238:$J$451),0),
IF('TL12'!$B$3=M$3,SUMIF('TL12'!$C$10:$C$224,$C406,'TL12'!$J$10:$J$224),0),
IF('TL12'!$B$229=M$3,SUMIF('TL12'!$C$238:$C$451,$C406,'TL12'!$J$238:$J$451),0),
IF('TL13'!$B$3=M$3,SUMIF('TL13'!$C$10:$C$224,$C406,'TL13'!$J$10:$J$224),0),
IF('TL13'!$B$229=M$3,SUMIF('TL13'!$C$238:$C$451,$C406,'TL13'!$J$238:$J$451),0),
IF('TL14'!$B$3=M$3,SUMIF('TL14'!$C$10:$C$224,$C406,'TL14'!$J$10:$J$224),0),
IF('TL14'!$B$229=M$3,SUMIF('TL14'!$C$238:$C$451,$C406,'TL14'!$J$238:$J$451),0),
IF('TL15'!$B$3=M$3,SUMIF('TL15'!$C$10:$C$224,$C406,'TL15'!$J$10:$J$224),0),
IF('TL15'!$B$229=M$3,SUMIF('TL15'!$C$238:$C$451,$C406,'TL15'!$J$238:$J$451),0),
IF('TL16'!$B$3=M$3,SUMIF('TL16'!$C$10:$C$224,$C406,'TL16'!$J$10:$J$224),0),
IF('TL16'!$B$229=M$3,SUMIF('TL16'!$C$238:$C$451,$C406,'TL16'!$J$238:$J$451),0),
IF('TL17'!$B$3=M$3,SUMIF('TL17'!$C$10:$C$224,$C406,'TL17'!$J$10:$J$224),0),
IF('TL17'!$B$229=M$3,SUMIF('TL17'!$C$238:$C$451,$C406,'TL17'!$J$238:$J$451),0),
IF('TL18'!$B$3=M$3,SUMIF('TL18'!$C$10:$C$224,$C406,'TL18'!$J$10:$J$224),0),
IF('TL18'!$B$229=M$3,SUMIF('TL18'!$C$238:$C$451,$C406,'TL18'!$J$238:$J$451),0),
IF('TL19'!$B$3=M$3,SUMIF('TL19'!$C$10:$C$224,$C406,'TL19'!$J$10:$J$224),0),
IF('TL19'!$B$229=M$3,SUMIF('TL19'!$C$238:$C$451,$C406,'TL19'!$J$238:$J$451),0)
),0)</f>
        <v/>
      </c>
      <c r="N406" s="136">
        <f>IFERROR(SUM(
IF('TL01'!$B$3=N$3,SUMIF('TL01'!$C$10:$C$224,$C406,'TL01'!$J$10:$J$224),0),
IF('TL01'!$B$229=N$3,SUMIF('TL01'!$C$238:$C$451,$C406,'TL01'!$J$238:$J$451),0),
IF('TL02'!$B$3=N$3,SUMIF('TL02'!$C$10:$C$224,$C406,'TL02'!$J$10:$J$224),0),
IF('TL02'!$B$229=N$3,SUMIF('TL02'!$C$238:$C$451,$C406,'TL02'!$J$238:$J$451),0),
IF('TL03'!$B$3=N$3,SUMIF('TL03'!$C$10:$C$224,$C406,'TL03'!$J$10:$J$224),0),
IF('TL03'!$B$229=N$3,SUMIF('TL03'!$C$238:$C$451,$C406,'TL03'!$J$238:$J$451),0),
IF('TL04'!$B$3=N$3,SUMIF('TL04'!$C$10:$C$224,$C406,'TL04'!$J$10:$J$224),0),
IF('TL04'!$B$229=N$3,SUMIF('TL04'!$C$238:$C$451,$C406,'TL04'!$J$238:$J$451),0),
IF('TL05'!$B$3=N$3,SUMIF('TL05'!$C$10:$C$224,$C406,'TL05'!$J$10:$J$224),0),
IF('TL05'!$B$229=N$3,SUMIF('TL05'!$C$238:$C$451,$C406,'TL05'!$J$238:$J$451),0),
IF('TL06'!$B$3=N$3,SUMIF('TL06'!$C$10:$C$224,$C406,'TL06'!$J$10:$J$224),0),
IF('TL06'!$B$229=N$3,SUMIF('TL06'!$C$238:$C$451,$C406,'TL06'!$J$238:$J$451),0),
IF('TL07'!$B$3=N$3,SUMIF('TL07'!$C$10:$C$224,$C406,'TL07'!$J$10:$J$224),0),
IF('TL07'!$B$229=N$3,SUMIF('TL07'!$C$238:$C$451,$C406,'TL07'!$J$238:$J$451),0),
IF('TL08'!$B$3=N$3,SUMIF('TL08'!$C$10:$C$224,$C406,'TL08'!$J$10:$J$224),0),
IF('TL08'!$B$229=N$3,SUMIF('TL08'!$C$238:$C$451,$C406,'TL08'!$J$238:$J$451),0),
IF('TL09'!$B$3=N$3,SUMIF('TL09'!$C$10:$C$224,$C406,'TL09'!$J$10:$J$224),0),
IF('TL09'!$B$229=N$3,SUMIF('TL09'!$C$238:$C$451,$C406,'TL09'!$J$238:$J$451),0),
IF('TL10'!$B$3=N$3,SUMIF('TL10'!$C$10:$C$224,$C406,'TL10'!$J$10:$J$224),0),
IF('TL10'!$B$229=N$3,SUMIF('TL10'!$C$238:$C$451,$C406,'TL10'!$J$238:$J$451),0),
IF('TL11'!$B$3=N$3,SUMIF('TL11'!$C$10:$C$224,$C406,'TL11'!$J$10:$J$224),0),
IF('TL11'!$B$229=N$3,SUMIF('TL11'!$C$238:$C$451,$C406,'TL11'!$J$238:$J$451),0),
IF('TL12'!$B$3=N$3,SUMIF('TL12'!$C$10:$C$224,$C406,'TL12'!$J$10:$J$224),0),
IF('TL12'!$B$229=N$3,SUMIF('TL12'!$C$238:$C$451,$C406,'TL12'!$J$238:$J$451),0),
IF('TL13'!$B$3=N$3,SUMIF('TL13'!$C$10:$C$224,$C406,'TL13'!$J$10:$J$224),0),
IF('TL13'!$B$229=N$3,SUMIF('TL13'!$C$238:$C$451,$C406,'TL13'!$J$238:$J$451),0),
IF('TL14'!$B$3=N$3,SUMIF('TL14'!$C$10:$C$224,$C406,'TL14'!$J$10:$J$224),0),
IF('TL14'!$B$229=N$3,SUMIF('TL14'!$C$238:$C$451,$C406,'TL14'!$J$238:$J$451),0),
IF('TL15'!$B$3=N$3,SUMIF('TL15'!$C$10:$C$224,$C406,'TL15'!$J$10:$J$224),0),
IF('TL15'!$B$229=N$3,SUMIF('TL15'!$C$238:$C$451,$C406,'TL15'!$J$238:$J$451),0),
IF('TL16'!$B$3=N$3,SUMIF('TL16'!$C$10:$C$224,$C406,'TL16'!$J$10:$J$224),0),
IF('TL16'!$B$229=N$3,SUMIF('TL16'!$C$238:$C$451,$C406,'TL16'!$J$238:$J$451),0),
IF('TL17'!$B$3=N$3,SUMIF('TL17'!$C$10:$C$224,$C406,'TL17'!$J$10:$J$224),0),
IF('TL17'!$B$229=N$3,SUMIF('TL17'!$C$238:$C$451,$C406,'TL17'!$J$238:$J$451),0),
IF('TL18'!$B$3=N$3,SUMIF('TL18'!$C$10:$C$224,$C406,'TL18'!$J$10:$J$224),0),
IF('TL18'!$B$229=N$3,SUMIF('TL18'!$C$238:$C$451,$C406,'TL18'!$J$238:$J$451),0),
IF('TL19'!$B$3=N$3,SUMIF('TL19'!$C$10:$C$224,$C406,'TL19'!$J$10:$J$224),0),
IF('TL19'!$B$229=N$3,SUMIF('TL19'!$C$238:$C$451,$C406,'TL19'!$J$238:$J$451),0)
),0)</f>
        <v/>
      </c>
      <c r="O406" s="136">
        <f>IFERROR(SUM(
IF('TL01'!$B$3=O$3,SUMIF('TL01'!$C$10:$C$224,$C406,'TL01'!$J$10:$J$224),0),
IF('TL01'!$B$229=O$3,SUMIF('TL01'!$C$238:$C$451,$C406,'TL01'!$J$238:$J$451),0),
IF('TL02'!$B$3=O$3,SUMIF('TL02'!$C$10:$C$224,$C406,'TL02'!$J$10:$J$224),0),
IF('TL02'!$B$229=O$3,SUMIF('TL02'!$C$238:$C$451,$C406,'TL02'!$J$238:$J$451),0),
IF('TL03'!$B$3=O$3,SUMIF('TL03'!$C$10:$C$224,$C406,'TL03'!$J$10:$J$224),0),
IF('TL03'!$B$229=O$3,SUMIF('TL03'!$C$238:$C$451,$C406,'TL03'!$J$238:$J$451),0),
IF('TL04'!$B$3=O$3,SUMIF('TL04'!$C$10:$C$224,$C406,'TL04'!$J$10:$J$224),0),
IF('TL04'!$B$229=O$3,SUMIF('TL04'!$C$238:$C$451,$C406,'TL04'!$J$238:$J$451),0),
IF('TL05'!$B$3=O$3,SUMIF('TL05'!$C$10:$C$224,$C406,'TL05'!$J$10:$J$224),0),
IF('TL05'!$B$229=O$3,SUMIF('TL05'!$C$238:$C$451,$C406,'TL05'!$J$238:$J$451),0),
IF('TL06'!$B$3=O$3,SUMIF('TL06'!$C$10:$C$224,$C406,'TL06'!$J$10:$J$224),0),
IF('TL06'!$B$229=O$3,SUMIF('TL06'!$C$238:$C$451,$C406,'TL06'!$J$238:$J$451),0),
IF('TL07'!$B$3=O$3,SUMIF('TL07'!$C$10:$C$224,$C406,'TL07'!$J$10:$J$224),0),
IF('TL07'!$B$229=O$3,SUMIF('TL07'!$C$238:$C$451,$C406,'TL07'!$J$238:$J$451),0),
IF('TL08'!$B$3=O$3,SUMIF('TL08'!$C$10:$C$224,$C406,'TL08'!$J$10:$J$224),0),
IF('TL08'!$B$229=O$3,SUMIF('TL08'!$C$238:$C$451,$C406,'TL08'!$J$238:$J$451),0),
IF('TL09'!$B$3=O$3,SUMIF('TL09'!$C$10:$C$224,$C406,'TL09'!$J$10:$J$224),0),
IF('TL09'!$B$229=O$3,SUMIF('TL09'!$C$238:$C$451,$C406,'TL09'!$J$238:$J$451),0),
IF('TL10'!$B$3=O$3,SUMIF('TL10'!$C$10:$C$224,$C406,'TL10'!$J$10:$J$224),0),
IF('TL10'!$B$229=O$3,SUMIF('TL10'!$C$238:$C$451,$C406,'TL10'!$J$238:$J$451),0),
IF('TL11'!$B$3=O$3,SUMIF('TL11'!$C$10:$C$224,$C406,'TL11'!$J$10:$J$224),0),
IF('TL11'!$B$229=O$3,SUMIF('TL11'!$C$238:$C$451,$C406,'TL11'!$J$238:$J$451),0),
IF('TL12'!$B$3=O$3,SUMIF('TL12'!$C$10:$C$224,$C406,'TL12'!$J$10:$J$224),0),
IF('TL12'!$B$229=O$3,SUMIF('TL12'!$C$238:$C$451,$C406,'TL12'!$J$238:$J$451),0),
IF('TL13'!$B$3=O$3,SUMIF('TL13'!$C$10:$C$224,$C406,'TL13'!$J$10:$J$224),0),
IF('TL13'!$B$229=O$3,SUMIF('TL13'!$C$238:$C$451,$C406,'TL13'!$J$238:$J$451),0),
IF('TL14'!$B$3=O$3,SUMIF('TL14'!$C$10:$C$224,$C406,'TL14'!$J$10:$J$224),0),
IF('TL14'!$B$229=O$3,SUMIF('TL14'!$C$238:$C$451,$C406,'TL14'!$J$238:$J$451),0),
IF('TL15'!$B$3=O$3,SUMIF('TL15'!$C$10:$C$224,$C406,'TL15'!$J$10:$J$224),0),
IF('TL15'!$B$229=O$3,SUMIF('TL15'!$C$238:$C$451,$C406,'TL15'!$J$238:$J$451),0),
IF('TL16'!$B$3=O$3,SUMIF('TL16'!$C$10:$C$224,$C406,'TL16'!$J$10:$J$224),0),
IF('TL16'!$B$229=O$3,SUMIF('TL16'!$C$238:$C$451,$C406,'TL16'!$J$238:$J$451),0),
IF('TL17'!$B$3=O$3,SUMIF('TL17'!$C$10:$C$224,$C406,'TL17'!$J$10:$J$224),0),
IF('TL17'!$B$229=O$3,SUMIF('TL17'!$C$238:$C$451,$C406,'TL17'!$J$238:$J$451),0),
IF('TL18'!$B$3=O$3,SUMIF('TL18'!$C$10:$C$224,$C406,'TL18'!$J$10:$J$224),0),
IF('TL18'!$B$229=O$3,SUMIF('TL18'!$C$238:$C$451,$C406,'TL18'!$J$238:$J$451),0),
IF('TL19'!$B$3=O$3,SUMIF('TL19'!$C$10:$C$224,$C406,'TL19'!$J$10:$J$224),0),
IF('TL19'!$B$229=O$3,SUMIF('TL19'!$C$238:$C$451,$C406,'TL19'!$J$238:$J$451),0)
),0)</f>
        <v/>
      </c>
      <c r="P406" s="136">
        <f>IFERROR(SUM(
IF('TL01'!$B$3=P$3,SUMIF('TL01'!$C$10:$C$224,$C406,'TL01'!$J$10:$J$224),0),
IF('TL01'!$B$229=P$3,SUMIF('TL01'!$C$238:$C$451,$C406,'TL01'!$J$238:$J$451),0),
IF('TL02'!$B$3=P$3,SUMIF('TL02'!$C$10:$C$224,$C406,'TL02'!$J$10:$J$224),0),
IF('TL02'!$B$229=P$3,SUMIF('TL02'!$C$238:$C$451,$C406,'TL02'!$J$238:$J$451),0),
IF('TL03'!$B$3=P$3,SUMIF('TL03'!$C$10:$C$224,$C406,'TL03'!$J$10:$J$224),0),
IF('TL03'!$B$229=P$3,SUMIF('TL03'!$C$238:$C$451,$C406,'TL03'!$J$238:$J$451),0),
IF('TL04'!$B$3=P$3,SUMIF('TL04'!$C$10:$C$224,$C406,'TL04'!$J$10:$J$224),0),
IF('TL04'!$B$229=P$3,SUMIF('TL04'!$C$238:$C$451,$C406,'TL04'!$J$238:$J$451),0),
IF('TL05'!$B$3=P$3,SUMIF('TL05'!$C$10:$C$224,$C406,'TL05'!$J$10:$J$224),0),
IF('TL05'!$B$229=P$3,SUMIF('TL05'!$C$238:$C$451,$C406,'TL05'!$J$238:$J$451),0),
IF('TL06'!$B$3=P$3,SUMIF('TL06'!$C$10:$C$224,$C406,'TL06'!$J$10:$J$224),0),
IF('TL06'!$B$229=P$3,SUMIF('TL06'!$C$238:$C$451,$C406,'TL06'!$J$238:$J$451),0),
IF('TL07'!$B$3=P$3,SUMIF('TL07'!$C$10:$C$224,$C406,'TL07'!$J$10:$J$224),0),
IF('TL07'!$B$229=P$3,SUMIF('TL07'!$C$238:$C$451,$C406,'TL07'!$J$238:$J$451),0),
IF('TL08'!$B$3=P$3,SUMIF('TL08'!$C$10:$C$224,$C406,'TL08'!$J$10:$J$224),0),
IF('TL08'!$B$229=P$3,SUMIF('TL08'!$C$238:$C$451,$C406,'TL08'!$J$238:$J$451),0),
IF('TL09'!$B$3=P$3,SUMIF('TL09'!$C$10:$C$224,$C406,'TL09'!$J$10:$J$224),0),
IF('TL09'!$B$229=P$3,SUMIF('TL09'!$C$238:$C$451,$C406,'TL09'!$J$238:$J$451),0),
IF('TL10'!$B$3=P$3,SUMIF('TL10'!$C$10:$C$224,$C406,'TL10'!$J$10:$J$224),0),
IF('TL10'!$B$229=P$3,SUMIF('TL10'!$C$238:$C$451,$C406,'TL10'!$J$238:$J$451),0),
IF('TL11'!$B$3=P$3,SUMIF('TL11'!$C$10:$C$224,$C406,'TL11'!$J$10:$J$224),0),
IF('TL11'!$B$229=P$3,SUMIF('TL11'!$C$238:$C$451,$C406,'TL11'!$J$238:$J$451),0),
IF('TL12'!$B$3=P$3,SUMIF('TL12'!$C$10:$C$224,$C406,'TL12'!$J$10:$J$224),0),
IF('TL12'!$B$229=P$3,SUMIF('TL12'!$C$238:$C$451,$C406,'TL12'!$J$238:$J$451),0),
IF('TL13'!$B$3=P$3,SUMIF('TL13'!$C$10:$C$224,$C406,'TL13'!$J$10:$J$224),0),
IF('TL13'!$B$229=P$3,SUMIF('TL13'!$C$238:$C$451,$C406,'TL13'!$J$238:$J$451),0),
IF('TL14'!$B$3=P$3,SUMIF('TL14'!$C$10:$C$224,$C406,'TL14'!$J$10:$J$224),0),
IF('TL14'!$B$229=P$3,SUMIF('TL14'!$C$238:$C$451,$C406,'TL14'!$J$238:$J$451),0),
IF('TL15'!$B$3=P$3,SUMIF('TL15'!$C$10:$C$224,$C406,'TL15'!$J$10:$J$224),0),
IF('TL15'!$B$229=P$3,SUMIF('TL15'!$C$238:$C$451,$C406,'TL15'!$J$238:$J$451),0),
IF('TL16'!$B$3=P$3,SUMIF('TL16'!$C$10:$C$224,$C406,'TL16'!$J$10:$J$224),0),
IF('TL16'!$B$229=P$3,SUMIF('TL16'!$C$238:$C$451,$C406,'TL16'!$J$238:$J$451),0),
IF('TL17'!$B$3=P$3,SUMIF('TL17'!$C$10:$C$224,$C406,'TL17'!$J$10:$J$224),0),
IF('TL17'!$B$229=P$3,SUMIF('TL17'!$C$238:$C$451,$C406,'TL17'!$J$238:$J$451),0),
IF('TL18'!$B$3=P$3,SUMIF('TL18'!$C$10:$C$224,$C406,'TL18'!$J$10:$J$224),0),
IF('TL18'!$B$229=P$3,SUMIF('TL18'!$C$238:$C$451,$C406,'TL18'!$J$238:$J$451),0),
IF('TL19'!$B$3=P$3,SUMIF('TL19'!$C$10:$C$224,$C406,'TL19'!$J$10:$J$224),0),
IF('TL19'!$B$229=P$3,SUMIF('TL19'!$C$238:$C$451,$C406,'TL19'!$J$238:$J$451),0)
),0)</f>
        <v/>
      </c>
      <c r="Q406" s="136">
        <f>IFERROR(SUM(
IF('TL01'!$B$3=Q$3,SUMIF('TL01'!$C$10:$C$224,$C406,'TL01'!$J$10:$J$224),0),
IF('TL01'!$B$229=Q$3,SUMIF('TL01'!$C$238:$C$451,$C406,'TL01'!$J$238:$J$451),0),
IF('TL02'!$B$3=Q$3,SUMIF('TL02'!$C$10:$C$224,$C406,'TL02'!$J$10:$J$224),0),
IF('TL02'!$B$229=Q$3,SUMIF('TL02'!$C$238:$C$451,$C406,'TL02'!$J$238:$J$451),0),
IF('TL03'!$B$3=Q$3,SUMIF('TL03'!$C$10:$C$224,$C406,'TL03'!$J$10:$J$224),0),
IF('TL03'!$B$229=Q$3,SUMIF('TL03'!$C$238:$C$451,$C406,'TL03'!$J$238:$J$451),0),
IF('TL04'!$B$3=Q$3,SUMIF('TL04'!$C$10:$C$224,$C406,'TL04'!$J$10:$J$224),0),
IF('TL04'!$B$229=Q$3,SUMIF('TL04'!$C$238:$C$451,$C406,'TL04'!$J$238:$J$451),0),
IF('TL05'!$B$3=Q$3,SUMIF('TL05'!$C$10:$C$224,$C406,'TL05'!$J$10:$J$224),0),
IF('TL05'!$B$229=Q$3,SUMIF('TL05'!$C$238:$C$451,$C406,'TL05'!$J$238:$J$451),0),
IF('TL06'!$B$3=Q$3,SUMIF('TL06'!$C$10:$C$224,$C406,'TL06'!$J$10:$J$224),0),
IF('TL06'!$B$229=Q$3,SUMIF('TL06'!$C$238:$C$451,$C406,'TL06'!$J$238:$J$451),0),
IF('TL07'!$B$3=Q$3,SUMIF('TL07'!$C$10:$C$224,$C406,'TL07'!$J$10:$J$224),0),
IF('TL07'!$B$229=Q$3,SUMIF('TL07'!$C$238:$C$451,$C406,'TL07'!$J$238:$J$451),0),
IF('TL08'!$B$3=Q$3,SUMIF('TL08'!$C$10:$C$224,$C406,'TL08'!$J$10:$J$224),0),
IF('TL08'!$B$229=Q$3,SUMIF('TL08'!$C$238:$C$451,$C406,'TL08'!$J$238:$J$451),0),
IF('TL09'!$B$3=Q$3,SUMIF('TL09'!$C$10:$C$224,$C406,'TL09'!$J$10:$J$224),0),
IF('TL09'!$B$229=Q$3,SUMIF('TL09'!$C$238:$C$451,$C406,'TL09'!$J$238:$J$451),0),
IF('TL10'!$B$3=Q$3,SUMIF('TL10'!$C$10:$C$224,$C406,'TL10'!$J$10:$J$224),0),
IF('TL10'!$B$229=Q$3,SUMIF('TL10'!$C$238:$C$451,$C406,'TL10'!$J$238:$J$451),0),
IF('TL11'!$B$3=Q$3,SUMIF('TL11'!$C$10:$C$224,$C406,'TL11'!$J$10:$J$224),0),
IF('TL11'!$B$229=Q$3,SUMIF('TL11'!$C$238:$C$451,$C406,'TL11'!$J$238:$J$451),0),
IF('TL12'!$B$3=Q$3,SUMIF('TL12'!$C$10:$C$224,$C406,'TL12'!$J$10:$J$224),0),
IF('TL12'!$B$229=Q$3,SUMIF('TL12'!$C$238:$C$451,$C406,'TL12'!$J$238:$J$451),0),
IF('TL13'!$B$3=Q$3,SUMIF('TL13'!$C$10:$C$224,$C406,'TL13'!$J$10:$J$224),0),
IF('TL13'!$B$229=Q$3,SUMIF('TL13'!$C$238:$C$451,$C406,'TL13'!$J$238:$J$451),0),
IF('TL14'!$B$3=Q$3,SUMIF('TL14'!$C$10:$C$224,$C406,'TL14'!$J$10:$J$224),0),
IF('TL14'!$B$229=Q$3,SUMIF('TL14'!$C$238:$C$451,$C406,'TL14'!$J$238:$J$451),0),
IF('TL15'!$B$3=Q$3,SUMIF('TL15'!$C$10:$C$224,$C406,'TL15'!$J$10:$J$224),0),
IF('TL15'!$B$229=Q$3,SUMIF('TL15'!$C$238:$C$451,$C406,'TL15'!$J$238:$J$451),0),
IF('TL16'!$B$3=Q$3,SUMIF('TL16'!$C$10:$C$224,$C406,'TL16'!$J$10:$J$224),0),
IF('TL16'!$B$229=Q$3,SUMIF('TL16'!$C$238:$C$451,$C406,'TL16'!$J$238:$J$451),0),
IF('TL17'!$B$3=Q$3,SUMIF('TL17'!$C$10:$C$224,$C406,'TL17'!$J$10:$J$224),0),
IF('TL17'!$B$229=Q$3,SUMIF('TL17'!$C$238:$C$451,$C406,'TL17'!$J$238:$J$451),0),
IF('TL18'!$B$3=Q$3,SUMIF('TL18'!$C$10:$C$224,$C406,'TL18'!$J$10:$J$224),0),
IF('TL18'!$B$229=Q$3,SUMIF('TL18'!$C$238:$C$451,$C406,'TL18'!$J$238:$J$451),0),
IF('TL19'!$B$3=Q$3,SUMIF('TL19'!$C$10:$C$224,$C406,'TL19'!$J$10:$J$224),0),
IF('TL19'!$B$229=Q$3,SUMIF('TL19'!$C$238:$C$451,$C406,'TL19'!$J$238:$J$451),0)
),0)</f>
        <v/>
      </c>
      <c r="R406" s="139">
        <f>IFERROR(
SUM(
SUMIF('TL01'!C:C,C406,'TL01'!J:J),
SUMIF('TL02'!C:C,C406,'TL02'!I:I),
SUMIF('TL03'!C:C,C406,'TL03'!I:I),
SUMIF('TL04'!C:C,C406,'TL04'!I:I),
SUMIF('TL05'!C:C,C406,'TL05'!I:I),
SUMIF('TL06'!C:C,C406,'TL06'!I:I),
SUMIF('TL07'!C:C,C406,'TL07'!I:I),
SUMIF('TL08'!C:C,C406,'TL08'!I:I),
SUMIF('TL09'!C:C,C406,'TL09'!I:I),
SUMIF('TL10'!C:C,C406,'TL10'!I:I),
SUMIF('TL11'!C:C,C406,'TL11'!I:I),
SUMIF('TL12'!C:C,C406,'TL12'!I:I),
SUMIF('TL13'!C:C,C406,'TL13'!I:I),
SUMIF('TL14'!C:C,C406,'TL14'!I:I),
SUMIF('TL15'!C:C,C406,'TL15'!I:I),
SUMIF('TL16'!C:C,C406,'TL16'!I:I),
SUMIF('TL17'!C:C,C406,'TL17'!I:I),
SUMIF('TL18'!C:C,C406,'TL18'!I:I))
,0)</f>
        <v/>
      </c>
      <c r="S406" s="142">
        <f>'CUSTO OPERAÇÃO'!M10</f>
        <v/>
      </c>
      <c r="T406" s="139" t="n"/>
      <c r="U406" s="143">
        <f>MAX(0,R406-T406)</f>
        <v/>
      </c>
      <c r="V406" s="144">
        <f>U406*S406</f>
        <v/>
      </c>
    </row>
    <row r="407" hidden="1" ht="15.75" customHeight="1" s="297">
      <c r="A407" s="145" t="n"/>
      <c r="B407" s="146" t="inlineStr">
        <is>
          <t>MÁQUINAS</t>
        </is>
      </c>
      <c r="C407" s="147">
        <f>'CUSTO OPERAÇÃO'!D11</f>
        <v/>
      </c>
      <c r="D407" s="147" t="n"/>
      <c r="E407" s="148" t="n"/>
      <c r="F407" s="138" t="inlineStr">
        <is>
          <t>R$/Ha</t>
        </is>
      </c>
      <c r="G407" s="139" t="n"/>
      <c r="H407" s="140">
        <f>'CUSTO OPERAÇÃO'!J11</f>
        <v/>
      </c>
      <c r="I407" s="149" t="n"/>
      <c r="J407" s="147">
        <f>IFERROR(SUM(
IF('TL01'!$B$3=J$3,SUMIF('TL01'!$C$10:$C$224,$C407,'TL01'!$J$10:$J$224),0),
IF('TL01'!$B$229=J$3,SUMIF('TL01'!$C$238:$C$451,$C407,'TL01'!$J$238:$J$451),0),
IF('TL02'!$B$3=J$3,SUMIF('TL02'!$C$10:$C$224,$C407,'TL02'!$J$10:$J$224),0),
IF('TL02'!$B$229=J$3,SUMIF('TL02'!$C$238:$C$451,$C407,'TL02'!$J$238:$J$451),0),
IF('TL03'!$B$3=J$3,SUMIF('TL03'!$C$10:$C$224,$C407,'TL03'!$J$10:$J$224),0),
IF('TL03'!$B$229=J$3,SUMIF('TL03'!$C$238:$C$451,$C407,'TL03'!$J$238:$J$451),0),
IF('TL04'!$B$3=J$3,SUMIF('TL04'!$C$10:$C$224,$C407,'TL04'!$J$10:$J$224),0),
IF('TL04'!$B$229=J$3,SUMIF('TL04'!$C$238:$C$451,$C407,'TL04'!$J$238:$J$451),0),
IF('TL05'!$B$3=J$3,SUMIF('TL05'!$C$10:$C$224,$C407,'TL05'!$J$10:$J$224),0),
IF('TL05'!$B$229=J$3,SUMIF('TL05'!$C$238:$C$451,$C407,'TL05'!$J$238:$J$451),0),
IF('TL06'!$B$3=J$3,SUMIF('TL06'!$C$10:$C$224,$C407,'TL06'!$J$10:$J$224),0),
IF('TL06'!$B$229=J$3,SUMIF('TL06'!$C$238:$C$451,$C407,'TL06'!$J$238:$J$451),0),
IF('TL07'!$B$3=J$3,SUMIF('TL07'!$C$10:$C$224,$C407,'TL07'!$J$10:$J$224),0),
IF('TL07'!$B$229=J$3,SUMIF('TL07'!$C$238:$C$451,$C407,'TL07'!$J$238:$J$451),0),
IF('TL08'!$B$3=J$3,SUMIF('TL08'!$C$10:$C$224,$C407,'TL08'!$J$10:$J$224),0),
IF('TL08'!$B$229=J$3,SUMIF('TL08'!$C$238:$C$451,$C407,'TL08'!$J$238:$J$451),0),
IF('TL09'!$B$3=J$3,SUMIF('TL09'!$C$10:$C$224,$C407,'TL09'!$J$10:$J$224),0),
IF('TL09'!$B$229=J$3,SUMIF('TL09'!$C$238:$C$451,$C407,'TL09'!$J$238:$J$451),0),
IF('TL10'!$B$3=J$3,SUMIF('TL10'!$C$10:$C$224,$C407,'TL10'!$J$10:$J$224),0),
IF('TL10'!$B$229=J$3,SUMIF('TL10'!$C$238:$C$451,$C407,'TL10'!$J$238:$J$451),0),
IF('TL11'!$B$3=J$3,SUMIF('TL11'!$C$10:$C$224,$C407,'TL11'!$J$10:$J$224),0),
IF('TL11'!$B$229=J$3,SUMIF('TL11'!$C$238:$C$451,$C407,'TL11'!$J$238:$J$451),0),
IF('TL12'!$B$3=J$3,SUMIF('TL12'!$C$10:$C$224,$C407,'TL12'!$J$10:$J$224),0),
IF('TL12'!$B$229=J$3,SUMIF('TL12'!$C$238:$C$451,$C407,'TL12'!$J$238:$J$451),0),
IF('TL13'!$B$3=J$3,SUMIF('TL13'!$C$10:$C$224,$C407,'TL13'!$J$10:$J$224),0),
IF('TL13'!$B$229=J$3,SUMIF('TL13'!$C$238:$C$451,$C407,'TL13'!$J$238:$J$451),0),
IF('TL14'!$B$3=J$3,SUMIF('TL14'!$C$10:$C$224,$C407,'TL14'!$J$10:$J$224),0),
IF('TL14'!$B$229=J$3,SUMIF('TL14'!$C$238:$C$451,$C407,'TL14'!$J$238:$J$451),0),
IF('TL15'!$B$3=J$3,SUMIF('TL15'!$C$10:$C$224,$C407,'TL15'!$J$10:$J$224),0),
IF('TL15'!$B$229=J$3,SUMIF('TL15'!$C$238:$C$451,$C407,'TL15'!$J$238:$J$451),0),
IF('TL16'!$B$3=J$3,SUMIF('TL16'!$C$10:$C$224,$C407,'TL16'!$J$10:$J$224),0),
IF('TL16'!$B$229=J$3,SUMIF('TL16'!$C$238:$C$451,$C407,'TL16'!$J$238:$J$451),0),
IF('TL17'!$B$3=J$3,SUMIF('TL17'!$C$10:$C$224,$C407,'TL17'!$J$10:$J$224),0),
IF('TL17'!$B$229=J$3,SUMIF('TL17'!$C$238:$C$451,$C407,'TL17'!$J$238:$J$451),0),
IF('TL18'!$B$3=J$3,SUMIF('TL18'!$C$10:$C$224,$C407,'TL18'!$J$10:$J$224),0),
IF('TL18'!$B$229=J$3,SUMIF('TL18'!$C$238:$C$451,$C407,'TL18'!$J$238:$J$451),0),
IF('TL19'!$B$3=J$3,SUMIF('TL19'!$C$10:$C$224,$C407,'TL19'!$J$10:$J$224),0),
IF('TL19'!$B$229=J$3,SUMIF('TL19'!$C$238:$C$451,$C407,'TL19'!$J$238:$J$451),0)
),0)</f>
        <v/>
      </c>
      <c r="K407" s="147">
        <f>IFERROR(SUM(
IF('TL01'!$B$3=K$3,SUMIF('TL01'!$C$10:$C$224,$C407,'TL01'!$J$10:$J$224),0),
IF('TL01'!$B$229=K$3,SUMIF('TL01'!$C$238:$C$451,$C407,'TL01'!$J$238:$J$451),0),
IF('TL02'!$B$3=K$3,SUMIF('TL02'!$C$10:$C$224,$C407,'TL02'!$J$10:$J$224),0),
IF('TL02'!$B$229=K$3,SUMIF('TL02'!$C$238:$C$451,$C407,'TL02'!$J$238:$J$451),0),
IF('TL03'!$B$3=K$3,SUMIF('TL03'!$C$10:$C$224,$C407,'TL03'!$J$10:$J$224),0),
IF('TL03'!$B$229=K$3,SUMIF('TL03'!$C$238:$C$451,$C407,'TL03'!$J$238:$J$451),0),
IF('TL04'!$B$3=K$3,SUMIF('TL04'!$C$10:$C$224,$C407,'TL04'!$J$10:$J$224),0),
IF('TL04'!$B$229=K$3,SUMIF('TL04'!$C$238:$C$451,$C407,'TL04'!$J$238:$J$451),0),
IF('TL05'!$B$3=K$3,SUMIF('TL05'!$C$10:$C$224,$C407,'TL05'!$J$10:$J$224),0),
IF('TL05'!$B$229=K$3,SUMIF('TL05'!$C$238:$C$451,$C407,'TL05'!$J$238:$J$451),0),
IF('TL06'!$B$3=K$3,SUMIF('TL06'!$C$10:$C$224,$C407,'TL06'!$J$10:$J$224),0),
IF('TL06'!$B$229=K$3,SUMIF('TL06'!$C$238:$C$451,$C407,'TL06'!$J$238:$J$451),0),
IF('TL07'!$B$3=K$3,SUMIF('TL07'!$C$10:$C$224,$C407,'TL07'!$J$10:$J$224),0),
IF('TL07'!$B$229=K$3,SUMIF('TL07'!$C$238:$C$451,$C407,'TL07'!$J$238:$J$451),0),
IF('TL08'!$B$3=K$3,SUMIF('TL08'!$C$10:$C$224,$C407,'TL08'!$J$10:$J$224),0),
IF('TL08'!$B$229=K$3,SUMIF('TL08'!$C$238:$C$451,$C407,'TL08'!$J$238:$J$451),0),
IF('TL09'!$B$3=K$3,SUMIF('TL09'!$C$10:$C$224,$C407,'TL09'!$J$10:$J$224),0),
IF('TL09'!$B$229=K$3,SUMIF('TL09'!$C$238:$C$451,$C407,'TL09'!$J$238:$J$451),0),
IF('TL10'!$B$3=K$3,SUMIF('TL10'!$C$10:$C$224,$C407,'TL10'!$J$10:$J$224),0),
IF('TL10'!$B$229=K$3,SUMIF('TL10'!$C$238:$C$451,$C407,'TL10'!$J$238:$J$451),0),
IF('TL11'!$B$3=K$3,SUMIF('TL11'!$C$10:$C$224,$C407,'TL11'!$J$10:$J$224),0),
IF('TL11'!$B$229=K$3,SUMIF('TL11'!$C$238:$C$451,$C407,'TL11'!$J$238:$J$451),0),
IF('TL12'!$B$3=K$3,SUMIF('TL12'!$C$10:$C$224,$C407,'TL12'!$J$10:$J$224),0),
IF('TL12'!$B$229=K$3,SUMIF('TL12'!$C$238:$C$451,$C407,'TL12'!$J$238:$J$451),0),
IF('TL13'!$B$3=K$3,SUMIF('TL13'!$C$10:$C$224,$C407,'TL13'!$J$10:$J$224),0),
IF('TL13'!$B$229=K$3,SUMIF('TL13'!$C$238:$C$451,$C407,'TL13'!$J$238:$J$451),0),
IF('TL14'!$B$3=K$3,SUMIF('TL14'!$C$10:$C$224,$C407,'TL14'!$J$10:$J$224),0),
IF('TL14'!$B$229=K$3,SUMIF('TL14'!$C$238:$C$451,$C407,'TL14'!$J$238:$J$451),0),
IF('TL15'!$B$3=K$3,SUMIF('TL15'!$C$10:$C$224,$C407,'TL15'!$J$10:$J$224),0),
IF('TL15'!$B$229=K$3,SUMIF('TL15'!$C$238:$C$451,$C407,'TL15'!$J$238:$J$451),0),
IF('TL16'!$B$3=K$3,SUMIF('TL16'!$C$10:$C$224,$C407,'TL16'!$J$10:$J$224),0),
IF('TL16'!$B$229=K$3,SUMIF('TL16'!$C$238:$C$451,$C407,'TL16'!$J$238:$J$451),0),
IF('TL17'!$B$3=K$3,SUMIF('TL17'!$C$10:$C$224,$C407,'TL17'!$J$10:$J$224),0),
IF('TL17'!$B$229=K$3,SUMIF('TL17'!$C$238:$C$451,$C407,'TL17'!$J$238:$J$451),0),
IF('TL18'!$B$3=K$3,SUMIF('TL18'!$C$10:$C$224,$C407,'TL18'!$J$10:$J$224),0),
IF('TL18'!$B$229=K$3,SUMIF('TL18'!$C$238:$C$451,$C407,'TL18'!$J$238:$J$451),0),
IF('TL19'!$B$3=K$3,SUMIF('TL19'!$C$10:$C$224,$C407,'TL19'!$J$10:$J$224),0),
IF('TL19'!$B$229=K$3,SUMIF('TL19'!$C$238:$C$451,$C407,'TL19'!$J$238:$J$451),0)
),0)</f>
        <v/>
      </c>
      <c r="L407" s="147">
        <f>IFERROR(SUM(
IF('TL01'!$B$3=L$3,SUMIF('TL01'!$C$10:$C$224,$C407,'TL01'!$J$10:$J$224),0),
IF('TL01'!$B$229=L$3,SUMIF('TL01'!$C$238:$C$451,$C407,'TL01'!$J$238:$J$451),0),
IF('TL02'!$B$3=L$3,SUMIF('TL02'!$C$10:$C$224,$C407,'TL02'!$J$10:$J$224),0),
IF('TL02'!$B$229=L$3,SUMIF('TL02'!$C$238:$C$451,$C407,'TL02'!$J$238:$J$451),0),
IF('TL03'!$B$3=L$3,SUMIF('TL03'!$C$10:$C$224,$C407,'TL03'!$J$10:$J$224),0),
IF('TL03'!$B$229=L$3,SUMIF('TL03'!$C$238:$C$451,$C407,'TL03'!$J$238:$J$451),0),
IF('TL04'!$B$3=L$3,SUMIF('TL04'!$C$10:$C$224,$C407,'TL04'!$J$10:$J$224),0),
IF('TL04'!$B$229=L$3,SUMIF('TL04'!$C$238:$C$451,$C407,'TL04'!$J$238:$J$451),0),
IF('TL05'!$B$3=L$3,SUMIF('TL05'!$C$10:$C$224,$C407,'TL05'!$J$10:$J$224),0),
IF('TL05'!$B$229=L$3,SUMIF('TL05'!$C$238:$C$451,$C407,'TL05'!$J$238:$J$451),0),
IF('TL06'!$B$3=L$3,SUMIF('TL06'!$C$10:$C$224,$C407,'TL06'!$J$10:$J$224),0),
IF('TL06'!$B$229=L$3,SUMIF('TL06'!$C$238:$C$451,$C407,'TL06'!$J$238:$J$451),0),
IF('TL07'!$B$3=L$3,SUMIF('TL07'!$C$10:$C$224,$C407,'TL07'!$J$10:$J$224),0),
IF('TL07'!$B$229=L$3,SUMIF('TL07'!$C$238:$C$451,$C407,'TL07'!$J$238:$J$451),0),
IF('TL08'!$B$3=L$3,SUMIF('TL08'!$C$10:$C$224,$C407,'TL08'!$J$10:$J$224),0),
IF('TL08'!$B$229=L$3,SUMIF('TL08'!$C$238:$C$451,$C407,'TL08'!$J$238:$J$451),0),
IF('TL09'!$B$3=L$3,SUMIF('TL09'!$C$10:$C$224,$C407,'TL09'!$J$10:$J$224),0),
IF('TL09'!$B$229=L$3,SUMIF('TL09'!$C$238:$C$451,$C407,'TL09'!$J$238:$J$451),0),
IF('TL10'!$B$3=L$3,SUMIF('TL10'!$C$10:$C$224,$C407,'TL10'!$J$10:$J$224),0),
IF('TL10'!$B$229=L$3,SUMIF('TL10'!$C$238:$C$451,$C407,'TL10'!$J$238:$J$451),0),
IF('TL11'!$B$3=L$3,SUMIF('TL11'!$C$10:$C$224,$C407,'TL11'!$J$10:$J$224),0),
IF('TL11'!$B$229=L$3,SUMIF('TL11'!$C$238:$C$451,$C407,'TL11'!$J$238:$J$451),0),
IF('TL12'!$B$3=L$3,SUMIF('TL12'!$C$10:$C$224,$C407,'TL12'!$J$10:$J$224),0),
IF('TL12'!$B$229=L$3,SUMIF('TL12'!$C$238:$C$451,$C407,'TL12'!$J$238:$J$451),0),
IF('TL13'!$B$3=L$3,SUMIF('TL13'!$C$10:$C$224,$C407,'TL13'!$J$10:$J$224),0),
IF('TL13'!$B$229=L$3,SUMIF('TL13'!$C$238:$C$451,$C407,'TL13'!$J$238:$J$451),0),
IF('TL14'!$B$3=L$3,SUMIF('TL14'!$C$10:$C$224,$C407,'TL14'!$J$10:$J$224),0),
IF('TL14'!$B$229=L$3,SUMIF('TL14'!$C$238:$C$451,$C407,'TL14'!$J$238:$J$451),0),
IF('TL15'!$B$3=L$3,SUMIF('TL15'!$C$10:$C$224,$C407,'TL15'!$J$10:$J$224),0),
IF('TL15'!$B$229=L$3,SUMIF('TL15'!$C$238:$C$451,$C407,'TL15'!$J$238:$J$451),0),
IF('TL16'!$B$3=L$3,SUMIF('TL16'!$C$10:$C$224,$C407,'TL16'!$J$10:$J$224),0),
IF('TL16'!$B$229=L$3,SUMIF('TL16'!$C$238:$C$451,$C407,'TL16'!$J$238:$J$451),0),
IF('TL17'!$B$3=L$3,SUMIF('TL17'!$C$10:$C$224,$C407,'TL17'!$J$10:$J$224),0),
IF('TL17'!$B$229=L$3,SUMIF('TL17'!$C$238:$C$451,$C407,'TL17'!$J$238:$J$451),0),
IF('TL18'!$B$3=L$3,SUMIF('TL18'!$C$10:$C$224,$C407,'TL18'!$J$10:$J$224),0),
IF('TL18'!$B$229=L$3,SUMIF('TL18'!$C$238:$C$451,$C407,'TL18'!$J$238:$J$451),0),
IF('TL19'!$B$3=L$3,SUMIF('TL19'!$C$10:$C$224,$C407,'TL19'!$J$10:$J$224),0),
IF('TL19'!$B$229=L$3,SUMIF('TL19'!$C$238:$C$451,$C407,'TL19'!$J$238:$J$451),0)
),0)</f>
        <v/>
      </c>
      <c r="M407" s="147">
        <f>IFERROR(SUM(
IF('TL01'!$B$3=M$3,SUMIF('TL01'!$C$10:$C$224,$C407,'TL01'!$J$10:$J$224),0),
IF('TL01'!$B$229=M$3,SUMIF('TL01'!$C$238:$C$451,$C407,'TL01'!$J$238:$J$451),0),
IF('TL02'!$B$3=M$3,SUMIF('TL02'!$C$10:$C$224,$C407,'TL02'!$J$10:$J$224),0),
IF('TL02'!$B$229=M$3,SUMIF('TL02'!$C$238:$C$451,$C407,'TL02'!$J$238:$J$451),0),
IF('TL03'!$B$3=M$3,SUMIF('TL03'!$C$10:$C$224,$C407,'TL03'!$J$10:$J$224),0),
IF('TL03'!$B$229=M$3,SUMIF('TL03'!$C$238:$C$451,$C407,'TL03'!$J$238:$J$451),0),
IF('TL04'!$B$3=M$3,SUMIF('TL04'!$C$10:$C$224,$C407,'TL04'!$J$10:$J$224),0),
IF('TL04'!$B$229=M$3,SUMIF('TL04'!$C$238:$C$451,$C407,'TL04'!$J$238:$J$451),0),
IF('TL05'!$B$3=M$3,SUMIF('TL05'!$C$10:$C$224,$C407,'TL05'!$J$10:$J$224),0),
IF('TL05'!$B$229=M$3,SUMIF('TL05'!$C$238:$C$451,$C407,'TL05'!$J$238:$J$451),0),
IF('TL06'!$B$3=M$3,SUMIF('TL06'!$C$10:$C$224,$C407,'TL06'!$J$10:$J$224),0),
IF('TL06'!$B$229=M$3,SUMIF('TL06'!$C$238:$C$451,$C407,'TL06'!$J$238:$J$451),0),
IF('TL07'!$B$3=M$3,SUMIF('TL07'!$C$10:$C$224,$C407,'TL07'!$J$10:$J$224),0),
IF('TL07'!$B$229=M$3,SUMIF('TL07'!$C$238:$C$451,$C407,'TL07'!$J$238:$J$451),0),
IF('TL08'!$B$3=M$3,SUMIF('TL08'!$C$10:$C$224,$C407,'TL08'!$J$10:$J$224),0),
IF('TL08'!$B$229=M$3,SUMIF('TL08'!$C$238:$C$451,$C407,'TL08'!$J$238:$J$451),0),
IF('TL09'!$B$3=M$3,SUMIF('TL09'!$C$10:$C$224,$C407,'TL09'!$J$10:$J$224),0),
IF('TL09'!$B$229=M$3,SUMIF('TL09'!$C$238:$C$451,$C407,'TL09'!$J$238:$J$451),0),
IF('TL10'!$B$3=M$3,SUMIF('TL10'!$C$10:$C$224,$C407,'TL10'!$J$10:$J$224),0),
IF('TL10'!$B$229=M$3,SUMIF('TL10'!$C$238:$C$451,$C407,'TL10'!$J$238:$J$451),0),
IF('TL11'!$B$3=M$3,SUMIF('TL11'!$C$10:$C$224,$C407,'TL11'!$J$10:$J$224),0),
IF('TL11'!$B$229=M$3,SUMIF('TL11'!$C$238:$C$451,$C407,'TL11'!$J$238:$J$451),0),
IF('TL12'!$B$3=M$3,SUMIF('TL12'!$C$10:$C$224,$C407,'TL12'!$J$10:$J$224),0),
IF('TL12'!$B$229=M$3,SUMIF('TL12'!$C$238:$C$451,$C407,'TL12'!$J$238:$J$451),0),
IF('TL13'!$B$3=M$3,SUMIF('TL13'!$C$10:$C$224,$C407,'TL13'!$J$10:$J$224),0),
IF('TL13'!$B$229=M$3,SUMIF('TL13'!$C$238:$C$451,$C407,'TL13'!$J$238:$J$451),0),
IF('TL14'!$B$3=M$3,SUMIF('TL14'!$C$10:$C$224,$C407,'TL14'!$J$10:$J$224),0),
IF('TL14'!$B$229=M$3,SUMIF('TL14'!$C$238:$C$451,$C407,'TL14'!$J$238:$J$451),0),
IF('TL15'!$B$3=M$3,SUMIF('TL15'!$C$10:$C$224,$C407,'TL15'!$J$10:$J$224),0),
IF('TL15'!$B$229=M$3,SUMIF('TL15'!$C$238:$C$451,$C407,'TL15'!$J$238:$J$451),0),
IF('TL16'!$B$3=M$3,SUMIF('TL16'!$C$10:$C$224,$C407,'TL16'!$J$10:$J$224),0),
IF('TL16'!$B$229=M$3,SUMIF('TL16'!$C$238:$C$451,$C407,'TL16'!$J$238:$J$451),0),
IF('TL17'!$B$3=M$3,SUMIF('TL17'!$C$10:$C$224,$C407,'TL17'!$J$10:$J$224),0),
IF('TL17'!$B$229=M$3,SUMIF('TL17'!$C$238:$C$451,$C407,'TL17'!$J$238:$J$451),0),
IF('TL18'!$B$3=M$3,SUMIF('TL18'!$C$10:$C$224,$C407,'TL18'!$J$10:$J$224),0),
IF('TL18'!$B$229=M$3,SUMIF('TL18'!$C$238:$C$451,$C407,'TL18'!$J$238:$J$451),0),
IF('TL19'!$B$3=M$3,SUMIF('TL19'!$C$10:$C$224,$C407,'TL19'!$J$10:$J$224),0),
IF('TL19'!$B$229=M$3,SUMIF('TL19'!$C$238:$C$451,$C407,'TL19'!$J$238:$J$451),0)
),0)</f>
        <v/>
      </c>
      <c r="N407" s="147">
        <f>IFERROR(SUM(
IF('TL01'!$B$3=N$3,SUMIF('TL01'!$C$10:$C$224,$C407,'TL01'!$J$10:$J$224),0),
IF('TL01'!$B$229=N$3,SUMIF('TL01'!$C$238:$C$451,$C407,'TL01'!$J$238:$J$451),0),
IF('TL02'!$B$3=N$3,SUMIF('TL02'!$C$10:$C$224,$C407,'TL02'!$J$10:$J$224),0),
IF('TL02'!$B$229=N$3,SUMIF('TL02'!$C$238:$C$451,$C407,'TL02'!$J$238:$J$451),0),
IF('TL03'!$B$3=N$3,SUMIF('TL03'!$C$10:$C$224,$C407,'TL03'!$J$10:$J$224),0),
IF('TL03'!$B$229=N$3,SUMIF('TL03'!$C$238:$C$451,$C407,'TL03'!$J$238:$J$451),0),
IF('TL04'!$B$3=N$3,SUMIF('TL04'!$C$10:$C$224,$C407,'TL04'!$J$10:$J$224),0),
IF('TL04'!$B$229=N$3,SUMIF('TL04'!$C$238:$C$451,$C407,'TL04'!$J$238:$J$451),0),
IF('TL05'!$B$3=N$3,SUMIF('TL05'!$C$10:$C$224,$C407,'TL05'!$J$10:$J$224),0),
IF('TL05'!$B$229=N$3,SUMIF('TL05'!$C$238:$C$451,$C407,'TL05'!$J$238:$J$451),0),
IF('TL06'!$B$3=N$3,SUMIF('TL06'!$C$10:$C$224,$C407,'TL06'!$J$10:$J$224),0),
IF('TL06'!$B$229=N$3,SUMIF('TL06'!$C$238:$C$451,$C407,'TL06'!$J$238:$J$451),0),
IF('TL07'!$B$3=N$3,SUMIF('TL07'!$C$10:$C$224,$C407,'TL07'!$J$10:$J$224),0),
IF('TL07'!$B$229=N$3,SUMIF('TL07'!$C$238:$C$451,$C407,'TL07'!$J$238:$J$451),0),
IF('TL08'!$B$3=N$3,SUMIF('TL08'!$C$10:$C$224,$C407,'TL08'!$J$10:$J$224),0),
IF('TL08'!$B$229=N$3,SUMIF('TL08'!$C$238:$C$451,$C407,'TL08'!$J$238:$J$451),0),
IF('TL09'!$B$3=N$3,SUMIF('TL09'!$C$10:$C$224,$C407,'TL09'!$J$10:$J$224),0),
IF('TL09'!$B$229=N$3,SUMIF('TL09'!$C$238:$C$451,$C407,'TL09'!$J$238:$J$451),0),
IF('TL10'!$B$3=N$3,SUMIF('TL10'!$C$10:$C$224,$C407,'TL10'!$J$10:$J$224),0),
IF('TL10'!$B$229=N$3,SUMIF('TL10'!$C$238:$C$451,$C407,'TL10'!$J$238:$J$451),0),
IF('TL11'!$B$3=N$3,SUMIF('TL11'!$C$10:$C$224,$C407,'TL11'!$J$10:$J$224),0),
IF('TL11'!$B$229=N$3,SUMIF('TL11'!$C$238:$C$451,$C407,'TL11'!$J$238:$J$451),0),
IF('TL12'!$B$3=N$3,SUMIF('TL12'!$C$10:$C$224,$C407,'TL12'!$J$10:$J$224),0),
IF('TL12'!$B$229=N$3,SUMIF('TL12'!$C$238:$C$451,$C407,'TL12'!$J$238:$J$451),0),
IF('TL13'!$B$3=N$3,SUMIF('TL13'!$C$10:$C$224,$C407,'TL13'!$J$10:$J$224),0),
IF('TL13'!$B$229=N$3,SUMIF('TL13'!$C$238:$C$451,$C407,'TL13'!$J$238:$J$451),0),
IF('TL14'!$B$3=N$3,SUMIF('TL14'!$C$10:$C$224,$C407,'TL14'!$J$10:$J$224),0),
IF('TL14'!$B$229=N$3,SUMIF('TL14'!$C$238:$C$451,$C407,'TL14'!$J$238:$J$451),0),
IF('TL15'!$B$3=N$3,SUMIF('TL15'!$C$10:$C$224,$C407,'TL15'!$J$10:$J$224),0),
IF('TL15'!$B$229=N$3,SUMIF('TL15'!$C$238:$C$451,$C407,'TL15'!$J$238:$J$451),0),
IF('TL16'!$B$3=N$3,SUMIF('TL16'!$C$10:$C$224,$C407,'TL16'!$J$10:$J$224),0),
IF('TL16'!$B$229=N$3,SUMIF('TL16'!$C$238:$C$451,$C407,'TL16'!$J$238:$J$451),0),
IF('TL17'!$B$3=N$3,SUMIF('TL17'!$C$10:$C$224,$C407,'TL17'!$J$10:$J$224),0),
IF('TL17'!$B$229=N$3,SUMIF('TL17'!$C$238:$C$451,$C407,'TL17'!$J$238:$J$451),0),
IF('TL18'!$B$3=N$3,SUMIF('TL18'!$C$10:$C$224,$C407,'TL18'!$J$10:$J$224),0),
IF('TL18'!$B$229=N$3,SUMIF('TL18'!$C$238:$C$451,$C407,'TL18'!$J$238:$J$451),0),
IF('TL19'!$B$3=N$3,SUMIF('TL19'!$C$10:$C$224,$C407,'TL19'!$J$10:$J$224),0),
IF('TL19'!$B$229=N$3,SUMIF('TL19'!$C$238:$C$451,$C407,'TL19'!$J$238:$J$451),0)
),0)</f>
        <v/>
      </c>
      <c r="O407" s="147">
        <f>IFERROR(SUM(
IF('TL01'!$B$3=O$3,SUMIF('TL01'!$C$10:$C$224,$C407,'TL01'!$J$10:$J$224),0),
IF('TL01'!$B$229=O$3,SUMIF('TL01'!$C$238:$C$451,$C407,'TL01'!$J$238:$J$451),0),
IF('TL02'!$B$3=O$3,SUMIF('TL02'!$C$10:$C$224,$C407,'TL02'!$J$10:$J$224),0),
IF('TL02'!$B$229=O$3,SUMIF('TL02'!$C$238:$C$451,$C407,'TL02'!$J$238:$J$451),0),
IF('TL03'!$B$3=O$3,SUMIF('TL03'!$C$10:$C$224,$C407,'TL03'!$J$10:$J$224),0),
IF('TL03'!$B$229=O$3,SUMIF('TL03'!$C$238:$C$451,$C407,'TL03'!$J$238:$J$451),0),
IF('TL04'!$B$3=O$3,SUMIF('TL04'!$C$10:$C$224,$C407,'TL04'!$J$10:$J$224),0),
IF('TL04'!$B$229=O$3,SUMIF('TL04'!$C$238:$C$451,$C407,'TL04'!$J$238:$J$451),0),
IF('TL05'!$B$3=O$3,SUMIF('TL05'!$C$10:$C$224,$C407,'TL05'!$J$10:$J$224),0),
IF('TL05'!$B$229=O$3,SUMIF('TL05'!$C$238:$C$451,$C407,'TL05'!$J$238:$J$451),0),
IF('TL06'!$B$3=O$3,SUMIF('TL06'!$C$10:$C$224,$C407,'TL06'!$J$10:$J$224),0),
IF('TL06'!$B$229=O$3,SUMIF('TL06'!$C$238:$C$451,$C407,'TL06'!$J$238:$J$451),0),
IF('TL07'!$B$3=O$3,SUMIF('TL07'!$C$10:$C$224,$C407,'TL07'!$J$10:$J$224),0),
IF('TL07'!$B$229=O$3,SUMIF('TL07'!$C$238:$C$451,$C407,'TL07'!$J$238:$J$451),0),
IF('TL08'!$B$3=O$3,SUMIF('TL08'!$C$10:$C$224,$C407,'TL08'!$J$10:$J$224),0),
IF('TL08'!$B$229=O$3,SUMIF('TL08'!$C$238:$C$451,$C407,'TL08'!$J$238:$J$451),0),
IF('TL09'!$B$3=O$3,SUMIF('TL09'!$C$10:$C$224,$C407,'TL09'!$J$10:$J$224),0),
IF('TL09'!$B$229=O$3,SUMIF('TL09'!$C$238:$C$451,$C407,'TL09'!$J$238:$J$451),0),
IF('TL10'!$B$3=O$3,SUMIF('TL10'!$C$10:$C$224,$C407,'TL10'!$J$10:$J$224),0),
IF('TL10'!$B$229=O$3,SUMIF('TL10'!$C$238:$C$451,$C407,'TL10'!$J$238:$J$451),0),
IF('TL11'!$B$3=O$3,SUMIF('TL11'!$C$10:$C$224,$C407,'TL11'!$J$10:$J$224),0),
IF('TL11'!$B$229=O$3,SUMIF('TL11'!$C$238:$C$451,$C407,'TL11'!$J$238:$J$451),0),
IF('TL12'!$B$3=O$3,SUMIF('TL12'!$C$10:$C$224,$C407,'TL12'!$J$10:$J$224),0),
IF('TL12'!$B$229=O$3,SUMIF('TL12'!$C$238:$C$451,$C407,'TL12'!$J$238:$J$451),0),
IF('TL13'!$B$3=O$3,SUMIF('TL13'!$C$10:$C$224,$C407,'TL13'!$J$10:$J$224),0),
IF('TL13'!$B$229=O$3,SUMIF('TL13'!$C$238:$C$451,$C407,'TL13'!$J$238:$J$451),0),
IF('TL14'!$B$3=O$3,SUMIF('TL14'!$C$10:$C$224,$C407,'TL14'!$J$10:$J$224),0),
IF('TL14'!$B$229=O$3,SUMIF('TL14'!$C$238:$C$451,$C407,'TL14'!$J$238:$J$451),0),
IF('TL15'!$B$3=O$3,SUMIF('TL15'!$C$10:$C$224,$C407,'TL15'!$J$10:$J$224),0),
IF('TL15'!$B$229=O$3,SUMIF('TL15'!$C$238:$C$451,$C407,'TL15'!$J$238:$J$451),0),
IF('TL16'!$B$3=O$3,SUMIF('TL16'!$C$10:$C$224,$C407,'TL16'!$J$10:$J$224),0),
IF('TL16'!$B$229=O$3,SUMIF('TL16'!$C$238:$C$451,$C407,'TL16'!$J$238:$J$451),0),
IF('TL17'!$B$3=O$3,SUMIF('TL17'!$C$10:$C$224,$C407,'TL17'!$J$10:$J$224),0),
IF('TL17'!$B$229=O$3,SUMIF('TL17'!$C$238:$C$451,$C407,'TL17'!$J$238:$J$451),0),
IF('TL18'!$B$3=O$3,SUMIF('TL18'!$C$10:$C$224,$C407,'TL18'!$J$10:$J$224),0),
IF('TL18'!$B$229=O$3,SUMIF('TL18'!$C$238:$C$451,$C407,'TL18'!$J$238:$J$451),0),
IF('TL19'!$B$3=O$3,SUMIF('TL19'!$C$10:$C$224,$C407,'TL19'!$J$10:$J$224),0),
IF('TL19'!$B$229=O$3,SUMIF('TL19'!$C$238:$C$451,$C407,'TL19'!$J$238:$J$451),0)
),0)</f>
        <v/>
      </c>
      <c r="P407" s="147">
        <f>IFERROR(SUM(
IF('TL01'!$B$3=P$3,SUMIF('TL01'!$C$10:$C$224,$C407,'TL01'!$J$10:$J$224),0),
IF('TL01'!$B$229=P$3,SUMIF('TL01'!$C$238:$C$451,$C407,'TL01'!$J$238:$J$451),0),
IF('TL02'!$B$3=P$3,SUMIF('TL02'!$C$10:$C$224,$C407,'TL02'!$J$10:$J$224),0),
IF('TL02'!$B$229=P$3,SUMIF('TL02'!$C$238:$C$451,$C407,'TL02'!$J$238:$J$451),0),
IF('TL03'!$B$3=P$3,SUMIF('TL03'!$C$10:$C$224,$C407,'TL03'!$J$10:$J$224),0),
IF('TL03'!$B$229=P$3,SUMIF('TL03'!$C$238:$C$451,$C407,'TL03'!$J$238:$J$451),0),
IF('TL04'!$B$3=P$3,SUMIF('TL04'!$C$10:$C$224,$C407,'TL04'!$J$10:$J$224),0),
IF('TL04'!$B$229=P$3,SUMIF('TL04'!$C$238:$C$451,$C407,'TL04'!$J$238:$J$451),0),
IF('TL05'!$B$3=P$3,SUMIF('TL05'!$C$10:$C$224,$C407,'TL05'!$J$10:$J$224),0),
IF('TL05'!$B$229=P$3,SUMIF('TL05'!$C$238:$C$451,$C407,'TL05'!$J$238:$J$451),0),
IF('TL06'!$B$3=P$3,SUMIF('TL06'!$C$10:$C$224,$C407,'TL06'!$J$10:$J$224),0),
IF('TL06'!$B$229=P$3,SUMIF('TL06'!$C$238:$C$451,$C407,'TL06'!$J$238:$J$451),0),
IF('TL07'!$B$3=P$3,SUMIF('TL07'!$C$10:$C$224,$C407,'TL07'!$J$10:$J$224),0),
IF('TL07'!$B$229=P$3,SUMIF('TL07'!$C$238:$C$451,$C407,'TL07'!$J$238:$J$451),0),
IF('TL08'!$B$3=P$3,SUMIF('TL08'!$C$10:$C$224,$C407,'TL08'!$J$10:$J$224),0),
IF('TL08'!$B$229=P$3,SUMIF('TL08'!$C$238:$C$451,$C407,'TL08'!$J$238:$J$451),0),
IF('TL09'!$B$3=P$3,SUMIF('TL09'!$C$10:$C$224,$C407,'TL09'!$J$10:$J$224),0),
IF('TL09'!$B$229=P$3,SUMIF('TL09'!$C$238:$C$451,$C407,'TL09'!$J$238:$J$451),0),
IF('TL10'!$B$3=P$3,SUMIF('TL10'!$C$10:$C$224,$C407,'TL10'!$J$10:$J$224),0),
IF('TL10'!$B$229=P$3,SUMIF('TL10'!$C$238:$C$451,$C407,'TL10'!$J$238:$J$451),0),
IF('TL11'!$B$3=P$3,SUMIF('TL11'!$C$10:$C$224,$C407,'TL11'!$J$10:$J$224),0),
IF('TL11'!$B$229=P$3,SUMIF('TL11'!$C$238:$C$451,$C407,'TL11'!$J$238:$J$451),0),
IF('TL12'!$B$3=P$3,SUMIF('TL12'!$C$10:$C$224,$C407,'TL12'!$J$10:$J$224),0),
IF('TL12'!$B$229=P$3,SUMIF('TL12'!$C$238:$C$451,$C407,'TL12'!$J$238:$J$451),0),
IF('TL13'!$B$3=P$3,SUMIF('TL13'!$C$10:$C$224,$C407,'TL13'!$J$10:$J$224),0),
IF('TL13'!$B$229=P$3,SUMIF('TL13'!$C$238:$C$451,$C407,'TL13'!$J$238:$J$451),0),
IF('TL14'!$B$3=P$3,SUMIF('TL14'!$C$10:$C$224,$C407,'TL14'!$J$10:$J$224),0),
IF('TL14'!$B$229=P$3,SUMIF('TL14'!$C$238:$C$451,$C407,'TL14'!$J$238:$J$451),0),
IF('TL15'!$B$3=P$3,SUMIF('TL15'!$C$10:$C$224,$C407,'TL15'!$J$10:$J$224),0),
IF('TL15'!$B$229=P$3,SUMIF('TL15'!$C$238:$C$451,$C407,'TL15'!$J$238:$J$451),0),
IF('TL16'!$B$3=P$3,SUMIF('TL16'!$C$10:$C$224,$C407,'TL16'!$J$10:$J$224),0),
IF('TL16'!$B$229=P$3,SUMIF('TL16'!$C$238:$C$451,$C407,'TL16'!$J$238:$J$451),0),
IF('TL17'!$B$3=P$3,SUMIF('TL17'!$C$10:$C$224,$C407,'TL17'!$J$10:$J$224),0),
IF('TL17'!$B$229=P$3,SUMIF('TL17'!$C$238:$C$451,$C407,'TL17'!$J$238:$J$451),0),
IF('TL18'!$B$3=P$3,SUMIF('TL18'!$C$10:$C$224,$C407,'TL18'!$J$10:$J$224),0),
IF('TL18'!$B$229=P$3,SUMIF('TL18'!$C$238:$C$451,$C407,'TL18'!$J$238:$J$451),0),
IF('TL19'!$B$3=P$3,SUMIF('TL19'!$C$10:$C$224,$C407,'TL19'!$J$10:$J$224),0),
IF('TL19'!$B$229=P$3,SUMIF('TL19'!$C$238:$C$451,$C407,'TL19'!$J$238:$J$451),0)
),0)</f>
        <v/>
      </c>
      <c r="Q407" s="147">
        <f>IFERROR(SUM(
IF('TL01'!$B$3=Q$3,SUMIF('TL01'!$C$10:$C$224,$C407,'TL01'!$J$10:$J$224),0),
IF('TL01'!$B$229=Q$3,SUMIF('TL01'!$C$238:$C$451,$C407,'TL01'!$J$238:$J$451),0),
IF('TL02'!$B$3=Q$3,SUMIF('TL02'!$C$10:$C$224,$C407,'TL02'!$J$10:$J$224),0),
IF('TL02'!$B$229=Q$3,SUMIF('TL02'!$C$238:$C$451,$C407,'TL02'!$J$238:$J$451),0),
IF('TL03'!$B$3=Q$3,SUMIF('TL03'!$C$10:$C$224,$C407,'TL03'!$J$10:$J$224),0),
IF('TL03'!$B$229=Q$3,SUMIF('TL03'!$C$238:$C$451,$C407,'TL03'!$J$238:$J$451),0),
IF('TL04'!$B$3=Q$3,SUMIF('TL04'!$C$10:$C$224,$C407,'TL04'!$J$10:$J$224),0),
IF('TL04'!$B$229=Q$3,SUMIF('TL04'!$C$238:$C$451,$C407,'TL04'!$J$238:$J$451),0),
IF('TL05'!$B$3=Q$3,SUMIF('TL05'!$C$10:$C$224,$C407,'TL05'!$J$10:$J$224),0),
IF('TL05'!$B$229=Q$3,SUMIF('TL05'!$C$238:$C$451,$C407,'TL05'!$J$238:$J$451),0),
IF('TL06'!$B$3=Q$3,SUMIF('TL06'!$C$10:$C$224,$C407,'TL06'!$J$10:$J$224),0),
IF('TL06'!$B$229=Q$3,SUMIF('TL06'!$C$238:$C$451,$C407,'TL06'!$J$238:$J$451),0),
IF('TL07'!$B$3=Q$3,SUMIF('TL07'!$C$10:$C$224,$C407,'TL07'!$J$10:$J$224),0),
IF('TL07'!$B$229=Q$3,SUMIF('TL07'!$C$238:$C$451,$C407,'TL07'!$J$238:$J$451),0),
IF('TL08'!$B$3=Q$3,SUMIF('TL08'!$C$10:$C$224,$C407,'TL08'!$J$10:$J$224),0),
IF('TL08'!$B$229=Q$3,SUMIF('TL08'!$C$238:$C$451,$C407,'TL08'!$J$238:$J$451),0),
IF('TL09'!$B$3=Q$3,SUMIF('TL09'!$C$10:$C$224,$C407,'TL09'!$J$10:$J$224),0),
IF('TL09'!$B$229=Q$3,SUMIF('TL09'!$C$238:$C$451,$C407,'TL09'!$J$238:$J$451),0),
IF('TL10'!$B$3=Q$3,SUMIF('TL10'!$C$10:$C$224,$C407,'TL10'!$J$10:$J$224),0),
IF('TL10'!$B$229=Q$3,SUMIF('TL10'!$C$238:$C$451,$C407,'TL10'!$J$238:$J$451),0),
IF('TL11'!$B$3=Q$3,SUMIF('TL11'!$C$10:$C$224,$C407,'TL11'!$J$10:$J$224),0),
IF('TL11'!$B$229=Q$3,SUMIF('TL11'!$C$238:$C$451,$C407,'TL11'!$J$238:$J$451),0),
IF('TL12'!$B$3=Q$3,SUMIF('TL12'!$C$10:$C$224,$C407,'TL12'!$J$10:$J$224),0),
IF('TL12'!$B$229=Q$3,SUMIF('TL12'!$C$238:$C$451,$C407,'TL12'!$J$238:$J$451),0),
IF('TL13'!$B$3=Q$3,SUMIF('TL13'!$C$10:$C$224,$C407,'TL13'!$J$10:$J$224),0),
IF('TL13'!$B$229=Q$3,SUMIF('TL13'!$C$238:$C$451,$C407,'TL13'!$J$238:$J$451),0),
IF('TL14'!$B$3=Q$3,SUMIF('TL14'!$C$10:$C$224,$C407,'TL14'!$J$10:$J$224),0),
IF('TL14'!$B$229=Q$3,SUMIF('TL14'!$C$238:$C$451,$C407,'TL14'!$J$238:$J$451),0),
IF('TL15'!$B$3=Q$3,SUMIF('TL15'!$C$10:$C$224,$C407,'TL15'!$J$10:$J$224),0),
IF('TL15'!$B$229=Q$3,SUMIF('TL15'!$C$238:$C$451,$C407,'TL15'!$J$238:$J$451),0),
IF('TL16'!$B$3=Q$3,SUMIF('TL16'!$C$10:$C$224,$C407,'TL16'!$J$10:$J$224),0),
IF('TL16'!$B$229=Q$3,SUMIF('TL16'!$C$238:$C$451,$C407,'TL16'!$J$238:$J$451),0),
IF('TL17'!$B$3=Q$3,SUMIF('TL17'!$C$10:$C$224,$C407,'TL17'!$J$10:$J$224),0),
IF('TL17'!$B$229=Q$3,SUMIF('TL17'!$C$238:$C$451,$C407,'TL17'!$J$238:$J$451),0),
IF('TL18'!$B$3=Q$3,SUMIF('TL18'!$C$10:$C$224,$C407,'TL18'!$J$10:$J$224),0),
IF('TL18'!$B$229=Q$3,SUMIF('TL18'!$C$238:$C$451,$C407,'TL18'!$J$238:$J$451),0),
IF('TL19'!$B$3=Q$3,SUMIF('TL19'!$C$10:$C$224,$C407,'TL19'!$J$10:$J$224),0),
IF('TL19'!$B$229=Q$3,SUMIF('TL19'!$C$238:$C$451,$C407,'TL19'!$J$238:$J$451),0)
),0)</f>
        <v/>
      </c>
      <c r="R407" s="139">
        <f>IFERROR(
SUM(
SUMIF('TL01'!C:C,C407,'TL01'!J:J),
SUMIF('TL02'!C:C,C407,'TL02'!I:I),
SUMIF('TL03'!C:C,C407,'TL03'!I:I),
SUMIF('TL04'!C:C,C407,'TL04'!I:I),
SUMIF('TL05'!C:C,C407,'TL05'!I:I),
SUMIF('TL06'!C:C,C407,'TL06'!I:I),
SUMIF('TL07'!C:C,C407,'TL07'!I:I),
SUMIF('TL08'!C:C,C407,'TL08'!I:I),
SUMIF('TL09'!C:C,C407,'TL09'!I:I),
SUMIF('TL10'!C:C,C407,'TL10'!I:I),
SUMIF('TL11'!C:C,C407,'TL11'!I:I),
SUMIF('TL12'!C:C,C407,'TL12'!I:I),
SUMIF('TL13'!C:C,C407,'TL13'!I:I),
SUMIF('TL14'!C:C,C407,'TL14'!I:I),
SUMIF('TL15'!C:C,C407,'TL15'!I:I),
SUMIF('TL16'!C:C,C407,'TL16'!I:I),
SUMIF('TL17'!C:C,C407,'TL17'!I:I),
SUMIF('TL18'!C:C,C407,'TL18'!I:I))
,0)</f>
        <v/>
      </c>
      <c r="S407" s="142">
        <f>'CUSTO OPERAÇÃO'!M11</f>
        <v/>
      </c>
      <c r="T407" s="139" t="n"/>
      <c r="U407" s="143">
        <f>MAX(0,R407-T407)</f>
        <v/>
      </c>
      <c r="V407" s="144">
        <f>U407*S407</f>
        <v/>
      </c>
    </row>
    <row r="408" hidden="1" ht="15.75" customHeight="1" s="297">
      <c r="A408" s="134" t="n"/>
      <c r="B408" s="135" t="inlineStr">
        <is>
          <t>MÁQUINAS</t>
        </is>
      </c>
      <c r="C408" s="136">
        <f>'CUSTO OPERAÇÃO'!D12</f>
        <v/>
      </c>
      <c r="D408" s="136" t="n"/>
      <c r="E408" s="137" t="n"/>
      <c r="F408" s="138" t="inlineStr">
        <is>
          <t>R$/Ha</t>
        </is>
      </c>
      <c r="G408" s="139" t="n"/>
      <c r="H408" s="140">
        <f>'CUSTO OPERAÇÃO'!J12</f>
        <v/>
      </c>
      <c r="I408" s="141" t="n"/>
      <c r="J408" s="136">
        <f>IFERROR(SUM(
IF('TL01'!$B$3=J$3,SUMIF('TL01'!$C$10:$C$224,$C408,'TL01'!$J$10:$J$224),0),
IF('TL01'!$B$229=J$3,SUMIF('TL01'!$C$238:$C$451,$C408,'TL01'!$J$238:$J$451),0),
IF('TL02'!$B$3=J$3,SUMIF('TL02'!$C$10:$C$224,$C408,'TL02'!$J$10:$J$224),0),
IF('TL02'!$B$229=J$3,SUMIF('TL02'!$C$238:$C$451,$C408,'TL02'!$J$238:$J$451),0),
IF('TL03'!$B$3=J$3,SUMIF('TL03'!$C$10:$C$224,$C408,'TL03'!$J$10:$J$224),0),
IF('TL03'!$B$229=J$3,SUMIF('TL03'!$C$238:$C$451,$C408,'TL03'!$J$238:$J$451),0),
IF('TL04'!$B$3=J$3,SUMIF('TL04'!$C$10:$C$224,$C408,'TL04'!$J$10:$J$224),0),
IF('TL04'!$B$229=J$3,SUMIF('TL04'!$C$238:$C$451,$C408,'TL04'!$J$238:$J$451),0),
IF('TL05'!$B$3=J$3,SUMIF('TL05'!$C$10:$C$224,$C408,'TL05'!$J$10:$J$224),0),
IF('TL05'!$B$229=J$3,SUMIF('TL05'!$C$238:$C$451,$C408,'TL05'!$J$238:$J$451),0),
IF('TL06'!$B$3=J$3,SUMIF('TL06'!$C$10:$C$224,$C408,'TL06'!$J$10:$J$224),0),
IF('TL06'!$B$229=J$3,SUMIF('TL06'!$C$238:$C$451,$C408,'TL06'!$J$238:$J$451),0),
IF('TL07'!$B$3=J$3,SUMIF('TL07'!$C$10:$C$224,$C408,'TL07'!$J$10:$J$224),0),
IF('TL07'!$B$229=J$3,SUMIF('TL07'!$C$238:$C$451,$C408,'TL07'!$J$238:$J$451),0),
IF('TL08'!$B$3=J$3,SUMIF('TL08'!$C$10:$C$224,$C408,'TL08'!$J$10:$J$224),0),
IF('TL08'!$B$229=J$3,SUMIF('TL08'!$C$238:$C$451,$C408,'TL08'!$J$238:$J$451),0),
IF('TL09'!$B$3=J$3,SUMIF('TL09'!$C$10:$C$224,$C408,'TL09'!$J$10:$J$224),0),
IF('TL09'!$B$229=J$3,SUMIF('TL09'!$C$238:$C$451,$C408,'TL09'!$J$238:$J$451),0),
IF('TL10'!$B$3=J$3,SUMIF('TL10'!$C$10:$C$224,$C408,'TL10'!$J$10:$J$224),0),
IF('TL10'!$B$229=J$3,SUMIF('TL10'!$C$238:$C$451,$C408,'TL10'!$J$238:$J$451),0),
IF('TL11'!$B$3=J$3,SUMIF('TL11'!$C$10:$C$224,$C408,'TL11'!$J$10:$J$224),0),
IF('TL11'!$B$229=J$3,SUMIF('TL11'!$C$238:$C$451,$C408,'TL11'!$J$238:$J$451),0),
IF('TL12'!$B$3=J$3,SUMIF('TL12'!$C$10:$C$224,$C408,'TL12'!$J$10:$J$224),0),
IF('TL12'!$B$229=J$3,SUMIF('TL12'!$C$238:$C$451,$C408,'TL12'!$J$238:$J$451),0),
IF('TL13'!$B$3=J$3,SUMIF('TL13'!$C$10:$C$224,$C408,'TL13'!$J$10:$J$224),0),
IF('TL13'!$B$229=J$3,SUMIF('TL13'!$C$238:$C$451,$C408,'TL13'!$J$238:$J$451),0),
IF('TL14'!$B$3=J$3,SUMIF('TL14'!$C$10:$C$224,$C408,'TL14'!$J$10:$J$224),0),
IF('TL14'!$B$229=J$3,SUMIF('TL14'!$C$238:$C$451,$C408,'TL14'!$J$238:$J$451),0),
IF('TL15'!$B$3=J$3,SUMIF('TL15'!$C$10:$C$224,$C408,'TL15'!$J$10:$J$224),0),
IF('TL15'!$B$229=J$3,SUMIF('TL15'!$C$238:$C$451,$C408,'TL15'!$J$238:$J$451),0),
IF('TL16'!$B$3=J$3,SUMIF('TL16'!$C$10:$C$224,$C408,'TL16'!$J$10:$J$224),0),
IF('TL16'!$B$229=J$3,SUMIF('TL16'!$C$238:$C$451,$C408,'TL16'!$J$238:$J$451),0),
IF('TL17'!$B$3=J$3,SUMIF('TL17'!$C$10:$C$224,$C408,'TL17'!$J$10:$J$224),0),
IF('TL17'!$B$229=J$3,SUMIF('TL17'!$C$238:$C$451,$C408,'TL17'!$J$238:$J$451),0),
IF('TL18'!$B$3=J$3,SUMIF('TL18'!$C$10:$C$224,$C408,'TL18'!$J$10:$J$224),0),
IF('TL18'!$B$229=J$3,SUMIF('TL18'!$C$238:$C$451,$C408,'TL18'!$J$238:$J$451),0),
IF('TL19'!$B$3=J$3,SUMIF('TL19'!$C$10:$C$224,$C408,'TL19'!$J$10:$J$224),0),
IF('TL19'!$B$229=J$3,SUMIF('TL19'!$C$238:$C$451,$C408,'TL19'!$J$238:$J$451),0)
),0)</f>
        <v/>
      </c>
      <c r="K408" s="136">
        <f>IFERROR(SUM(
IF('TL01'!$B$3=K$3,SUMIF('TL01'!$C$10:$C$224,$C408,'TL01'!$J$10:$J$224),0),
IF('TL01'!$B$229=K$3,SUMIF('TL01'!$C$238:$C$451,$C408,'TL01'!$J$238:$J$451),0),
IF('TL02'!$B$3=K$3,SUMIF('TL02'!$C$10:$C$224,$C408,'TL02'!$J$10:$J$224),0),
IF('TL02'!$B$229=K$3,SUMIF('TL02'!$C$238:$C$451,$C408,'TL02'!$J$238:$J$451),0),
IF('TL03'!$B$3=K$3,SUMIF('TL03'!$C$10:$C$224,$C408,'TL03'!$J$10:$J$224),0),
IF('TL03'!$B$229=K$3,SUMIF('TL03'!$C$238:$C$451,$C408,'TL03'!$J$238:$J$451),0),
IF('TL04'!$B$3=K$3,SUMIF('TL04'!$C$10:$C$224,$C408,'TL04'!$J$10:$J$224),0),
IF('TL04'!$B$229=K$3,SUMIF('TL04'!$C$238:$C$451,$C408,'TL04'!$J$238:$J$451),0),
IF('TL05'!$B$3=K$3,SUMIF('TL05'!$C$10:$C$224,$C408,'TL05'!$J$10:$J$224),0),
IF('TL05'!$B$229=K$3,SUMIF('TL05'!$C$238:$C$451,$C408,'TL05'!$J$238:$J$451),0),
IF('TL06'!$B$3=K$3,SUMIF('TL06'!$C$10:$C$224,$C408,'TL06'!$J$10:$J$224),0),
IF('TL06'!$B$229=K$3,SUMIF('TL06'!$C$238:$C$451,$C408,'TL06'!$J$238:$J$451),0),
IF('TL07'!$B$3=K$3,SUMIF('TL07'!$C$10:$C$224,$C408,'TL07'!$J$10:$J$224),0),
IF('TL07'!$B$229=K$3,SUMIF('TL07'!$C$238:$C$451,$C408,'TL07'!$J$238:$J$451),0),
IF('TL08'!$B$3=K$3,SUMIF('TL08'!$C$10:$C$224,$C408,'TL08'!$J$10:$J$224),0),
IF('TL08'!$B$229=K$3,SUMIF('TL08'!$C$238:$C$451,$C408,'TL08'!$J$238:$J$451),0),
IF('TL09'!$B$3=K$3,SUMIF('TL09'!$C$10:$C$224,$C408,'TL09'!$J$10:$J$224),0),
IF('TL09'!$B$229=K$3,SUMIF('TL09'!$C$238:$C$451,$C408,'TL09'!$J$238:$J$451),0),
IF('TL10'!$B$3=K$3,SUMIF('TL10'!$C$10:$C$224,$C408,'TL10'!$J$10:$J$224),0),
IF('TL10'!$B$229=K$3,SUMIF('TL10'!$C$238:$C$451,$C408,'TL10'!$J$238:$J$451),0),
IF('TL11'!$B$3=K$3,SUMIF('TL11'!$C$10:$C$224,$C408,'TL11'!$J$10:$J$224),0),
IF('TL11'!$B$229=K$3,SUMIF('TL11'!$C$238:$C$451,$C408,'TL11'!$J$238:$J$451),0),
IF('TL12'!$B$3=K$3,SUMIF('TL12'!$C$10:$C$224,$C408,'TL12'!$J$10:$J$224),0),
IF('TL12'!$B$229=K$3,SUMIF('TL12'!$C$238:$C$451,$C408,'TL12'!$J$238:$J$451),0),
IF('TL13'!$B$3=K$3,SUMIF('TL13'!$C$10:$C$224,$C408,'TL13'!$J$10:$J$224),0),
IF('TL13'!$B$229=K$3,SUMIF('TL13'!$C$238:$C$451,$C408,'TL13'!$J$238:$J$451),0),
IF('TL14'!$B$3=K$3,SUMIF('TL14'!$C$10:$C$224,$C408,'TL14'!$J$10:$J$224),0),
IF('TL14'!$B$229=K$3,SUMIF('TL14'!$C$238:$C$451,$C408,'TL14'!$J$238:$J$451),0),
IF('TL15'!$B$3=K$3,SUMIF('TL15'!$C$10:$C$224,$C408,'TL15'!$J$10:$J$224),0),
IF('TL15'!$B$229=K$3,SUMIF('TL15'!$C$238:$C$451,$C408,'TL15'!$J$238:$J$451),0),
IF('TL16'!$B$3=K$3,SUMIF('TL16'!$C$10:$C$224,$C408,'TL16'!$J$10:$J$224),0),
IF('TL16'!$B$229=K$3,SUMIF('TL16'!$C$238:$C$451,$C408,'TL16'!$J$238:$J$451),0),
IF('TL17'!$B$3=K$3,SUMIF('TL17'!$C$10:$C$224,$C408,'TL17'!$J$10:$J$224),0),
IF('TL17'!$B$229=K$3,SUMIF('TL17'!$C$238:$C$451,$C408,'TL17'!$J$238:$J$451),0),
IF('TL18'!$B$3=K$3,SUMIF('TL18'!$C$10:$C$224,$C408,'TL18'!$J$10:$J$224),0),
IF('TL18'!$B$229=K$3,SUMIF('TL18'!$C$238:$C$451,$C408,'TL18'!$J$238:$J$451),0),
IF('TL19'!$B$3=K$3,SUMIF('TL19'!$C$10:$C$224,$C408,'TL19'!$J$10:$J$224),0),
IF('TL19'!$B$229=K$3,SUMIF('TL19'!$C$238:$C$451,$C408,'TL19'!$J$238:$J$451),0)
),0)</f>
        <v/>
      </c>
      <c r="L408" s="136">
        <f>IFERROR(SUM(
IF('TL01'!$B$3=L$3,SUMIF('TL01'!$C$10:$C$224,$C408,'TL01'!$J$10:$J$224),0),
IF('TL01'!$B$229=L$3,SUMIF('TL01'!$C$238:$C$451,$C408,'TL01'!$J$238:$J$451),0),
IF('TL02'!$B$3=L$3,SUMIF('TL02'!$C$10:$C$224,$C408,'TL02'!$J$10:$J$224),0),
IF('TL02'!$B$229=L$3,SUMIF('TL02'!$C$238:$C$451,$C408,'TL02'!$J$238:$J$451),0),
IF('TL03'!$B$3=L$3,SUMIF('TL03'!$C$10:$C$224,$C408,'TL03'!$J$10:$J$224),0),
IF('TL03'!$B$229=L$3,SUMIF('TL03'!$C$238:$C$451,$C408,'TL03'!$J$238:$J$451),0),
IF('TL04'!$B$3=L$3,SUMIF('TL04'!$C$10:$C$224,$C408,'TL04'!$J$10:$J$224),0),
IF('TL04'!$B$229=L$3,SUMIF('TL04'!$C$238:$C$451,$C408,'TL04'!$J$238:$J$451),0),
IF('TL05'!$B$3=L$3,SUMIF('TL05'!$C$10:$C$224,$C408,'TL05'!$J$10:$J$224),0),
IF('TL05'!$B$229=L$3,SUMIF('TL05'!$C$238:$C$451,$C408,'TL05'!$J$238:$J$451),0),
IF('TL06'!$B$3=L$3,SUMIF('TL06'!$C$10:$C$224,$C408,'TL06'!$J$10:$J$224),0),
IF('TL06'!$B$229=L$3,SUMIF('TL06'!$C$238:$C$451,$C408,'TL06'!$J$238:$J$451),0),
IF('TL07'!$B$3=L$3,SUMIF('TL07'!$C$10:$C$224,$C408,'TL07'!$J$10:$J$224),0),
IF('TL07'!$B$229=L$3,SUMIF('TL07'!$C$238:$C$451,$C408,'TL07'!$J$238:$J$451),0),
IF('TL08'!$B$3=L$3,SUMIF('TL08'!$C$10:$C$224,$C408,'TL08'!$J$10:$J$224),0),
IF('TL08'!$B$229=L$3,SUMIF('TL08'!$C$238:$C$451,$C408,'TL08'!$J$238:$J$451),0),
IF('TL09'!$B$3=L$3,SUMIF('TL09'!$C$10:$C$224,$C408,'TL09'!$J$10:$J$224),0),
IF('TL09'!$B$229=L$3,SUMIF('TL09'!$C$238:$C$451,$C408,'TL09'!$J$238:$J$451),0),
IF('TL10'!$B$3=L$3,SUMIF('TL10'!$C$10:$C$224,$C408,'TL10'!$J$10:$J$224),0),
IF('TL10'!$B$229=L$3,SUMIF('TL10'!$C$238:$C$451,$C408,'TL10'!$J$238:$J$451),0),
IF('TL11'!$B$3=L$3,SUMIF('TL11'!$C$10:$C$224,$C408,'TL11'!$J$10:$J$224),0),
IF('TL11'!$B$229=L$3,SUMIF('TL11'!$C$238:$C$451,$C408,'TL11'!$J$238:$J$451),0),
IF('TL12'!$B$3=L$3,SUMIF('TL12'!$C$10:$C$224,$C408,'TL12'!$J$10:$J$224),0),
IF('TL12'!$B$229=L$3,SUMIF('TL12'!$C$238:$C$451,$C408,'TL12'!$J$238:$J$451),0),
IF('TL13'!$B$3=L$3,SUMIF('TL13'!$C$10:$C$224,$C408,'TL13'!$J$10:$J$224),0),
IF('TL13'!$B$229=L$3,SUMIF('TL13'!$C$238:$C$451,$C408,'TL13'!$J$238:$J$451),0),
IF('TL14'!$B$3=L$3,SUMIF('TL14'!$C$10:$C$224,$C408,'TL14'!$J$10:$J$224),0),
IF('TL14'!$B$229=L$3,SUMIF('TL14'!$C$238:$C$451,$C408,'TL14'!$J$238:$J$451),0),
IF('TL15'!$B$3=L$3,SUMIF('TL15'!$C$10:$C$224,$C408,'TL15'!$J$10:$J$224),0),
IF('TL15'!$B$229=L$3,SUMIF('TL15'!$C$238:$C$451,$C408,'TL15'!$J$238:$J$451),0),
IF('TL16'!$B$3=L$3,SUMIF('TL16'!$C$10:$C$224,$C408,'TL16'!$J$10:$J$224),0),
IF('TL16'!$B$229=L$3,SUMIF('TL16'!$C$238:$C$451,$C408,'TL16'!$J$238:$J$451),0),
IF('TL17'!$B$3=L$3,SUMIF('TL17'!$C$10:$C$224,$C408,'TL17'!$J$10:$J$224),0),
IF('TL17'!$B$229=L$3,SUMIF('TL17'!$C$238:$C$451,$C408,'TL17'!$J$238:$J$451),0),
IF('TL18'!$B$3=L$3,SUMIF('TL18'!$C$10:$C$224,$C408,'TL18'!$J$10:$J$224),0),
IF('TL18'!$B$229=L$3,SUMIF('TL18'!$C$238:$C$451,$C408,'TL18'!$J$238:$J$451),0),
IF('TL19'!$B$3=L$3,SUMIF('TL19'!$C$10:$C$224,$C408,'TL19'!$J$10:$J$224),0),
IF('TL19'!$B$229=L$3,SUMIF('TL19'!$C$238:$C$451,$C408,'TL19'!$J$238:$J$451),0)
),0)</f>
        <v/>
      </c>
      <c r="M408" s="136">
        <f>IFERROR(SUM(
IF('TL01'!$B$3=M$3,SUMIF('TL01'!$C$10:$C$224,$C408,'TL01'!$J$10:$J$224),0),
IF('TL01'!$B$229=M$3,SUMIF('TL01'!$C$238:$C$451,$C408,'TL01'!$J$238:$J$451),0),
IF('TL02'!$B$3=M$3,SUMIF('TL02'!$C$10:$C$224,$C408,'TL02'!$J$10:$J$224),0),
IF('TL02'!$B$229=M$3,SUMIF('TL02'!$C$238:$C$451,$C408,'TL02'!$J$238:$J$451),0),
IF('TL03'!$B$3=M$3,SUMIF('TL03'!$C$10:$C$224,$C408,'TL03'!$J$10:$J$224),0),
IF('TL03'!$B$229=M$3,SUMIF('TL03'!$C$238:$C$451,$C408,'TL03'!$J$238:$J$451),0),
IF('TL04'!$B$3=M$3,SUMIF('TL04'!$C$10:$C$224,$C408,'TL04'!$J$10:$J$224),0),
IF('TL04'!$B$229=M$3,SUMIF('TL04'!$C$238:$C$451,$C408,'TL04'!$J$238:$J$451),0),
IF('TL05'!$B$3=M$3,SUMIF('TL05'!$C$10:$C$224,$C408,'TL05'!$J$10:$J$224),0),
IF('TL05'!$B$229=M$3,SUMIF('TL05'!$C$238:$C$451,$C408,'TL05'!$J$238:$J$451),0),
IF('TL06'!$B$3=M$3,SUMIF('TL06'!$C$10:$C$224,$C408,'TL06'!$J$10:$J$224),0),
IF('TL06'!$B$229=M$3,SUMIF('TL06'!$C$238:$C$451,$C408,'TL06'!$J$238:$J$451),0),
IF('TL07'!$B$3=M$3,SUMIF('TL07'!$C$10:$C$224,$C408,'TL07'!$J$10:$J$224),0),
IF('TL07'!$B$229=M$3,SUMIF('TL07'!$C$238:$C$451,$C408,'TL07'!$J$238:$J$451),0),
IF('TL08'!$B$3=M$3,SUMIF('TL08'!$C$10:$C$224,$C408,'TL08'!$J$10:$J$224),0),
IF('TL08'!$B$229=M$3,SUMIF('TL08'!$C$238:$C$451,$C408,'TL08'!$J$238:$J$451),0),
IF('TL09'!$B$3=M$3,SUMIF('TL09'!$C$10:$C$224,$C408,'TL09'!$J$10:$J$224),0),
IF('TL09'!$B$229=M$3,SUMIF('TL09'!$C$238:$C$451,$C408,'TL09'!$J$238:$J$451),0),
IF('TL10'!$B$3=M$3,SUMIF('TL10'!$C$10:$C$224,$C408,'TL10'!$J$10:$J$224),0),
IF('TL10'!$B$229=M$3,SUMIF('TL10'!$C$238:$C$451,$C408,'TL10'!$J$238:$J$451),0),
IF('TL11'!$B$3=M$3,SUMIF('TL11'!$C$10:$C$224,$C408,'TL11'!$J$10:$J$224),0),
IF('TL11'!$B$229=M$3,SUMIF('TL11'!$C$238:$C$451,$C408,'TL11'!$J$238:$J$451),0),
IF('TL12'!$B$3=M$3,SUMIF('TL12'!$C$10:$C$224,$C408,'TL12'!$J$10:$J$224),0),
IF('TL12'!$B$229=M$3,SUMIF('TL12'!$C$238:$C$451,$C408,'TL12'!$J$238:$J$451),0),
IF('TL13'!$B$3=M$3,SUMIF('TL13'!$C$10:$C$224,$C408,'TL13'!$J$10:$J$224),0),
IF('TL13'!$B$229=M$3,SUMIF('TL13'!$C$238:$C$451,$C408,'TL13'!$J$238:$J$451),0),
IF('TL14'!$B$3=M$3,SUMIF('TL14'!$C$10:$C$224,$C408,'TL14'!$J$10:$J$224),0),
IF('TL14'!$B$229=M$3,SUMIF('TL14'!$C$238:$C$451,$C408,'TL14'!$J$238:$J$451),0),
IF('TL15'!$B$3=M$3,SUMIF('TL15'!$C$10:$C$224,$C408,'TL15'!$J$10:$J$224),0),
IF('TL15'!$B$229=M$3,SUMIF('TL15'!$C$238:$C$451,$C408,'TL15'!$J$238:$J$451),0),
IF('TL16'!$B$3=M$3,SUMIF('TL16'!$C$10:$C$224,$C408,'TL16'!$J$10:$J$224),0),
IF('TL16'!$B$229=M$3,SUMIF('TL16'!$C$238:$C$451,$C408,'TL16'!$J$238:$J$451),0),
IF('TL17'!$B$3=M$3,SUMIF('TL17'!$C$10:$C$224,$C408,'TL17'!$J$10:$J$224),0),
IF('TL17'!$B$229=M$3,SUMIF('TL17'!$C$238:$C$451,$C408,'TL17'!$J$238:$J$451),0),
IF('TL18'!$B$3=M$3,SUMIF('TL18'!$C$10:$C$224,$C408,'TL18'!$J$10:$J$224),0),
IF('TL18'!$B$229=M$3,SUMIF('TL18'!$C$238:$C$451,$C408,'TL18'!$J$238:$J$451),0),
IF('TL19'!$B$3=M$3,SUMIF('TL19'!$C$10:$C$224,$C408,'TL19'!$J$10:$J$224),0),
IF('TL19'!$B$229=M$3,SUMIF('TL19'!$C$238:$C$451,$C408,'TL19'!$J$238:$J$451),0)
),0)</f>
        <v/>
      </c>
      <c r="N408" s="136">
        <f>IFERROR(SUM(
IF('TL01'!$B$3=N$3,SUMIF('TL01'!$C$10:$C$224,$C408,'TL01'!$J$10:$J$224),0),
IF('TL01'!$B$229=N$3,SUMIF('TL01'!$C$238:$C$451,$C408,'TL01'!$J$238:$J$451),0),
IF('TL02'!$B$3=N$3,SUMIF('TL02'!$C$10:$C$224,$C408,'TL02'!$J$10:$J$224),0),
IF('TL02'!$B$229=N$3,SUMIF('TL02'!$C$238:$C$451,$C408,'TL02'!$J$238:$J$451),0),
IF('TL03'!$B$3=N$3,SUMIF('TL03'!$C$10:$C$224,$C408,'TL03'!$J$10:$J$224),0),
IF('TL03'!$B$229=N$3,SUMIF('TL03'!$C$238:$C$451,$C408,'TL03'!$J$238:$J$451),0),
IF('TL04'!$B$3=N$3,SUMIF('TL04'!$C$10:$C$224,$C408,'TL04'!$J$10:$J$224),0),
IF('TL04'!$B$229=N$3,SUMIF('TL04'!$C$238:$C$451,$C408,'TL04'!$J$238:$J$451),0),
IF('TL05'!$B$3=N$3,SUMIF('TL05'!$C$10:$C$224,$C408,'TL05'!$J$10:$J$224),0),
IF('TL05'!$B$229=N$3,SUMIF('TL05'!$C$238:$C$451,$C408,'TL05'!$J$238:$J$451),0),
IF('TL06'!$B$3=N$3,SUMIF('TL06'!$C$10:$C$224,$C408,'TL06'!$J$10:$J$224),0),
IF('TL06'!$B$229=N$3,SUMIF('TL06'!$C$238:$C$451,$C408,'TL06'!$J$238:$J$451),0),
IF('TL07'!$B$3=N$3,SUMIF('TL07'!$C$10:$C$224,$C408,'TL07'!$J$10:$J$224),0),
IF('TL07'!$B$229=N$3,SUMIF('TL07'!$C$238:$C$451,$C408,'TL07'!$J$238:$J$451),0),
IF('TL08'!$B$3=N$3,SUMIF('TL08'!$C$10:$C$224,$C408,'TL08'!$J$10:$J$224),0),
IF('TL08'!$B$229=N$3,SUMIF('TL08'!$C$238:$C$451,$C408,'TL08'!$J$238:$J$451),0),
IF('TL09'!$B$3=N$3,SUMIF('TL09'!$C$10:$C$224,$C408,'TL09'!$J$10:$J$224),0),
IF('TL09'!$B$229=N$3,SUMIF('TL09'!$C$238:$C$451,$C408,'TL09'!$J$238:$J$451),0),
IF('TL10'!$B$3=N$3,SUMIF('TL10'!$C$10:$C$224,$C408,'TL10'!$J$10:$J$224),0),
IF('TL10'!$B$229=N$3,SUMIF('TL10'!$C$238:$C$451,$C408,'TL10'!$J$238:$J$451),0),
IF('TL11'!$B$3=N$3,SUMIF('TL11'!$C$10:$C$224,$C408,'TL11'!$J$10:$J$224),0),
IF('TL11'!$B$229=N$3,SUMIF('TL11'!$C$238:$C$451,$C408,'TL11'!$J$238:$J$451),0),
IF('TL12'!$B$3=N$3,SUMIF('TL12'!$C$10:$C$224,$C408,'TL12'!$J$10:$J$224),0),
IF('TL12'!$B$229=N$3,SUMIF('TL12'!$C$238:$C$451,$C408,'TL12'!$J$238:$J$451),0),
IF('TL13'!$B$3=N$3,SUMIF('TL13'!$C$10:$C$224,$C408,'TL13'!$J$10:$J$224),0),
IF('TL13'!$B$229=N$3,SUMIF('TL13'!$C$238:$C$451,$C408,'TL13'!$J$238:$J$451),0),
IF('TL14'!$B$3=N$3,SUMIF('TL14'!$C$10:$C$224,$C408,'TL14'!$J$10:$J$224),0),
IF('TL14'!$B$229=N$3,SUMIF('TL14'!$C$238:$C$451,$C408,'TL14'!$J$238:$J$451),0),
IF('TL15'!$B$3=N$3,SUMIF('TL15'!$C$10:$C$224,$C408,'TL15'!$J$10:$J$224),0),
IF('TL15'!$B$229=N$3,SUMIF('TL15'!$C$238:$C$451,$C408,'TL15'!$J$238:$J$451),0),
IF('TL16'!$B$3=N$3,SUMIF('TL16'!$C$10:$C$224,$C408,'TL16'!$J$10:$J$224),0),
IF('TL16'!$B$229=N$3,SUMIF('TL16'!$C$238:$C$451,$C408,'TL16'!$J$238:$J$451),0),
IF('TL17'!$B$3=N$3,SUMIF('TL17'!$C$10:$C$224,$C408,'TL17'!$J$10:$J$224),0),
IF('TL17'!$B$229=N$3,SUMIF('TL17'!$C$238:$C$451,$C408,'TL17'!$J$238:$J$451),0),
IF('TL18'!$B$3=N$3,SUMIF('TL18'!$C$10:$C$224,$C408,'TL18'!$J$10:$J$224),0),
IF('TL18'!$B$229=N$3,SUMIF('TL18'!$C$238:$C$451,$C408,'TL18'!$J$238:$J$451),0),
IF('TL19'!$B$3=N$3,SUMIF('TL19'!$C$10:$C$224,$C408,'TL19'!$J$10:$J$224),0),
IF('TL19'!$B$229=N$3,SUMIF('TL19'!$C$238:$C$451,$C408,'TL19'!$J$238:$J$451),0)
),0)</f>
        <v/>
      </c>
      <c r="O408" s="136">
        <f>IFERROR(SUM(
IF('TL01'!$B$3=O$3,SUMIF('TL01'!$C$10:$C$224,$C408,'TL01'!$J$10:$J$224),0),
IF('TL01'!$B$229=O$3,SUMIF('TL01'!$C$238:$C$451,$C408,'TL01'!$J$238:$J$451),0),
IF('TL02'!$B$3=O$3,SUMIF('TL02'!$C$10:$C$224,$C408,'TL02'!$J$10:$J$224),0),
IF('TL02'!$B$229=O$3,SUMIF('TL02'!$C$238:$C$451,$C408,'TL02'!$J$238:$J$451),0),
IF('TL03'!$B$3=O$3,SUMIF('TL03'!$C$10:$C$224,$C408,'TL03'!$J$10:$J$224),0),
IF('TL03'!$B$229=O$3,SUMIF('TL03'!$C$238:$C$451,$C408,'TL03'!$J$238:$J$451),0),
IF('TL04'!$B$3=O$3,SUMIF('TL04'!$C$10:$C$224,$C408,'TL04'!$J$10:$J$224),0),
IF('TL04'!$B$229=O$3,SUMIF('TL04'!$C$238:$C$451,$C408,'TL04'!$J$238:$J$451),0),
IF('TL05'!$B$3=O$3,SUMIF('TL05'!$C$10:$C$224,$C408,'TL05'!$J$10:$J$224),0),
IF('TL05'!$B$229=O$3,SUMIF('TL05'!$C$238:$C$451,$C408,'TL05'!$J$238:$J$451),0),
IF('TL06'!$B$3=O$3,SUMIF('TL06'!$C$10:$C$224,$C408,'TL06'!$J$10:$J$224),0),
IF('TL06'!$B$229=O$3,SUMIF('TL06'!$C$238:$C$451,$C408,'TL06'!$J$238:$J$451),0),
IF('TL07'!$B$3=O$3,SUMIF('TL07'!$C$10:$C$224,$C408,'TL07'!$J$10:$J$224),0),
IF('TL07'!$B$229=O$3,SUMIF('TL07'!$C$238:$C$451,$C408,'TL07'!$J$238:$J$451),0),
IF('TL08'!$B$3=O$3,SUMIF('TL08'!$C$10:$C$224,$C408,'TL08'!$J$10:$J$224),0),
IF('TL08'!$B$229=O$3,SUMIF('TL08'!$C$238:$C$451,$C408,'TL08'!$J$238:$J$451),0),
IF('TL09'!$B$3=O$3,SUMIF('TL09'!$C$10:$C$224,$C408,'TL09'!$J$10:$J$224),0),
IF('TL09'!$B$229=O$3,SUMIF('TL09'!$C$238:$C$451,$C408,'TL09'!$J$238:$J$451),0),
IF('TL10'!$B$3=O$3,SUMIF('TL10'!$C$10:$C$224,$C408,'TL10'!$J$10:$J$224),0),
IF('TL10'!$B$229=O$3,SUMIF('TL10'!$C$238:$C$451,$C408,'TL10'!$J$238:$J$451),0),
IF('TL11'!$B$3=O$3,SUMIF('TL11'!$C$10:$C$224,$C408,'TL11'!$J$10:$J$224),0),
IF('TL11'!$B$229=O$3,SUMIF('TL11'!$C$238:$C$451,$C408,'TL11'!$J$238:$J$451),0),
IF('TL12'!$B$3=O$3,SUMIF('TL12'!$C$10:$C$224,$C408,'TL12'!$J$10:$J$224),0),
IF('TL12'!$B$229=O$3,SUMIF('TL12'!$C$238:$C$451,$C408,'TL12'!$J$238:$J$451),0),
IF('TL13'!$B$3=O$3,SUMIF('TL13'!$C$10:$C$224,$C408,'TL13'!$J$10:$J$224),0),
IF('TL13'!$B$229=O$3,SUMIF('TL13'!$C$238:$C$451,$C408,'TL13'!$J$238:$J$451),0),
IF('TL14'!$B$3=O$3,SUMIF('TL14'!$C$10:$C$224,$C408,'TL14'!$J$10:$J$224),0),
IF('TL14'!$B$229=O$3,SUMIF('TL14'!$C$238:$C$451,$C408,'TL14'!$J$238:$J$451),0),
IF('TL15'!$B$3=O$3,SUMIF('TL15'!$C$10:$C$224,$C408,'TL15'!$J$10:$J$224),0),
IF('TL15'!$B$229=O$3,SUMIF('TL15'!$C$238:$C$451,$C408,'TL15'!$J$238:$J$451),0),
IF('TL16'!$B$3=O$3,SUMIF('TL16'!$C$10:$C$224,$C408,'TL16'!$J$10:$J$224),0),
IF('TL16'!$B$229=O$3,SUMIF('TL16'!$C$238:$C$451,$C408,'TL16'!$J$238:$J$451),0),
IF('TL17'!$B$3=O$3,SUMIF('TL17'!$C$10:$C$224,$C408,'TL17'!$J$10:$J$224),0),
IF('TL17'!$B$229=O$3,SUMIF('TL17'!$C$238:$C$451,$C408,'TL17'!$J$238:$J$451),0),
IF('TL18'!$B$3=O$3,SUMIF('TL18'!$C$10:$C$224,$C408,'TL18'!$J$10:$J$224),0),
IF('TL18'!$B$229=O$3,SUMIF('TL18'!$C$238:$C$451,$C408,'TL18'!$J$238:$J$451),0),
IF('TL19'!$B$3=O$3,SUMIF('TL19'!$C$10:$C$224,$C408,'TL19'!$J$10:$J$224),0),
IF('TL19'!$B$229=O$3,SUMIF('TL19'!$C$238:$C$451,$C408,'TL19'!$J$238:$J$451),0)
),0)</f>
        <v/>
      </c>
      <c r="P408" s="136">
        <f>IFERROR(SUM(
IF('TL01'!$B$3=P$3,SUMIF('TL01'!$C$10:$C$224,$C408,'TL01'!$J$10:$J$224),0),
IF('TL01'!$B$229=P$3,SUMIF('TL01'!$C$238:$C$451,$C408,'TL01'!$J$238:$J$451),0),
IF('TL02'!$B$3=P$3,SUMIF('TL02'!$C$10:$C$224,$C408,'TL02'!$J$10:$J$224),0),
IF('TL02'!$B$229=P$3,SUMIF('TL02'!$C$238:$C$451,$C408,'TL02'!$J$238:$J$451),0),
IF('TL03'!$B$3=P$3,SUMIF('TL03'!$C$10:$C$224,$C408,'TL03'!$J$10:$J$224),0),
IF('TL03'!$B$229=P$3,SUMIF('TL03'!$C$238:$C$451,$C408,'TL03'!$J$238:$J$451),0),
IF('TL04'!$B$3=P$3,SUMIF('TL04'!$C$10:$C$224,$C408,'TL04'!$J$10:$J$224),0),
IF('TL04'!$B$229=P$3,SUMIF('TL04'!$C$238:$C$451,$C408,'TL04'!$J$238:$J$451),0),
IF('TL05'!$B$3=P$3,SUMIF('TL05'!$C$10:$C$224,$C408,'TL05'!$J$10:$J$224),0),
IF('TL05'!$B$229=P$3,SUMIF('TL05'!$C$238:$C$451,$C408,'TL05'!$J$238:$J$451),0),
IF('TL06'!$B$3=P$3,SUMIF('TL06'!$C$10:$C$224,$C408,'TL06'!$J$10:$J$224),0),
IF('TL06'!$B$229=P$3,SUMIF('TL06'!$C$238:$C$451,$C408,'TL06'!$J$238:$J$451),0),
IF('TL07'!$B$3=P$3,SUMIF('TL07'!$C$10:$C$224,$C408,'TL07'!$J$10:$J$224),0),
IF('TL07'!$B$229=P$3,SUMIF('TL07'!$C$238:$C$451,$C408,'TL07'!$J$238:$J$451),0),
IF('TL08'!$B$3=P$3,SUMIF('TL08'!$C$10:$C$224,$C408,'TL08'!$J$10:$J$224),0),
IF('TL08'!$B$229=P$3,SUMIF('TL08'!$C$238:$C$451,$C408,'TL08'!$J$238:$J$451),0),
IF('TL09'!$B$3=P$3,SUMIF('TL09'!$C$10:$C$224,$C408,'TL09'!$J$10:$J$224),0),
IF('TL09'!$B$229=P$3,SUMIF('TL09'!$C$238:$C$451,$C408,'TL09'!$J$238:$J$451),0),
IF('TL10'!$B$3=P$3,SUMIF('TL10'!$C$10:$C$224,$C408,'TL10'!$J$10:$J$224),0),
IF('TL10'!$B$229=P$3,SUMIF('TL10'!$C$238:$C$451,$C408,'TL10'!$J$238:$J$451),0),
IF('TL11'!$B$3=P$3,SUMIF('TL11'!$C$10:$C$224,$C408,'TL11'!$J$10:$J$224),0),
IF('TL11'!$B$229=P$3,SUMIF('TL11'!$C$238:$C$451,$C408,'TL11'!$J$238:$J$451),0),
IF('TL12'!$B$3=P$3,SUMIF('TL12'!$C$10:$C$224,$C408,'TL12'!$J$10:$J$224),0),
IF('TL12'!$B$229=P$3,SUMIF('TL12'!$C$238:$C$451,$C408,'TL12'!$J$238:$J$451),0),
IF('TL13'!$B$3=P$3,SUMIF('TL13'!$C$10:$C$224,$C408,'TL13'!$J$10:$J$224),0),
IF('TL13'!$B$229=P$3,SUMIF('TL13'!$C$238:$C$451,$C408,'TL13'!$J$238:$J$451),0),
IF('TL14'!$B$3=P$3,SUMIF('TL14'!$C$10:$C$224,$C408,'TL14'!$J$10:$J$224),0),
IF('TL14'!$B$229=P$3,SUMIF('TL14'!$C$238:$C$451,$C408,'TL14'!$J$238:$J$451),0),
IF('TL15'!$B$3=P$3,SUMIF('TL15'!$C$10:$C$224,$C408,'TL15'!$J$10:$J$224),0),
IF('TL15'!$B$229=P$3,SUMIF('TL15'!$C$238:$C$451,$C408,'TL15'!$J$238:$J$451),0),
IF('TL16'!$B$3=P$3,SUMIF('TL16'!$C$10:$C$224,$C408,'TL16'!$J$10:$J$224),0),
IF('TL16'!$B$229=P$3,SUMIF('TL16'!$C$238:$C$451,$C408,'TL16'!$J$238:$J$451),0),
IF('TL17'!$B$3=P$3,SUMIF('TL17'!$C$10:$C$224,$C408,'TL17'!$J$10:$J$224),0),
IF('TL17'!$B$229=P$3,SUMIF('TL17'!$C$238:$C$451,$C408,'TL17'!$J$238:$J$451),0),
IF('TL18'!$B$3=P$3,SUMIF('TL18'!$C$10:$C$224,$C408,'TL18'!$J$10:$J$224),0),
IF('TL18'!$B$229=P$3,SUMIF('TL18'!$C$238:$C$451,$C408,'TL18'!$J$238:$J$451),0),
IF('TL19'!$B$3=P$3,SUMIF('TL19'!$C$10:$C$224,$C408,'TL19'!$J$10:$J$224),0),
IF('TL19'!$B$229=P$3,SUMIF('TL19'!$C$238:$C$451,$C408,'TL19'!$J$238:$J$451),0)
),0)</f>
        <v/>
      </c>
      <c r="Q408" s="136">
        <f>IFERROR(SUM(
IF('TL01'!$B$3=Q$3,SUMIF('TL01'!$C$10:$C$224,$C408,'TL01'!$J$10:$J$224),0),
IF('TL01'!$B$229=Q$3,SUMIF('TL01'!$C$238:$C$451,$C408,'TL01'!$J$238:$J$451),0),
IF('TL02'!$B$3=Q$3,SUMIF('TL02'!$C$10:$C$224,$C408,'TL02'!$J$10:$J$224),0),
IF('TL02'!$B$229=Q$3,SUMIF('TL02'!$C$238:$C$451,$C408,'TL02'!$J$238:$J$451),0),
IF('TL03'!$B$3=Q$3,SUMIF('TL03'!$C$10:$C$224,$C408,'TL03'!$J$10:$J$224),0),
IF('TL03'!$B$229=Q$3,SUMIF('TL03'!$C$238:$C$451,$C408,'TL03'!$J$238:$J$451),0),
IF('TL04'!$B$3=Q$3,SUMIF('TL04'!$C$10:$C$224,$C408,'TL04'!$J$10:$J$224),0),
IF('TL04'!$B$229=Q$3,SUMIF('TL04'!$C$238:$C$451,$C408,'TL04'!$J$238:$J$451),0),
IF('TL05'!$B$3=Q$3,SUMIF('TL05'!$C$10:$C$224,$C408,'TL05'!$J$10:$J$224),0),
IF('TL05'!$B$229=Q$3,SUMIF('TL05'!$C$238:$C$451,$C408,'TL05'!$J$238:$J$451),0),
IF('TL06'!$B$3=Q$3,SUMIF('TL06'!$C$10:$C$224,$C408,'TL06'!$J$10:$J$224),0),
IF('TL06'!$B$229=Q$3,SUMIF('TL06'!$C$238:$C$451,$C408,'TL06'!$J$238:$J$451),0),
IF('TL07'!$B$3=Q$3,SUMIF('TL07'!$C$10:$C$224,$C408,'TL07'!$J$10:$J$224),0),
IF('TL07'!$B$229=Q$3,SUMIF('TL07'!$C$238:$C$451,$C408,'TL07'!$J$238:$J$451),0),
IF('TL08'!$B$3=Q$3,SUMIF('TL08'!$C$10:$C$224,$C408,'TL08'!$J$10:$J$224),0),
IF('TL08'!$B$229=Q$3,SUMIF('TL08'!$C$238:$C$451,$C408,'TL08'!$J$238:$J$451),0),
IF('TL09'!$B$3=Q$3,SUMIF('TL09'!$C$10:$C$224,$C408,'TL09'!$J$10:$J$224),0),
IF('TL09'!$B$229=Q$3,SUMIF('TL09'!$C$238:$C$451,$C408,'TL09'!$J$238:$J$451),0),
IF('TL10'!$B$3=Q$3,SUMIF('TL10'!$C$10:$C$224,$C408,'TL10'!$J$10:$J$224),0),
IF('TL10'!$B$229=Q$3,SUMIF('TL10'!$C$238:$C$451,$C408,'TL10'!$J$238:$J$451),0),
IF('TL11'!$B$3=Q$3,SUMIF('TL11'!$C$10:$C$224,$C408,'TL11'!$J$10:$J$224),0),
IF('TL11'!$B$229=Q$3,SUMIF('TL11'!$C$238:$C$451,$C408,'TL11'!$J$238:$J$451),0),
IF('TL12'!$B$3=Q$3,SUMIF('TL12'!$C$10:$C$224,$C408,'TL12'!$J$10:$J$224),0),
IF('TL12'!$B$229=Q$3,SUMIF('TL12'!$C$238:$C$451,$C408,'TL12'!$J$238:$J$451),0),
IF('TL13'!$B$3=Q$3,SUMIF('TL13'!$C$10:$C$224,$C408,'TL13'!$J$10:$J$224),0),
IF('TL13'!$B$229=Q$3,SUMIF('TL13'!$C$238:$C$451,$C408,'TL13'!$J$238:$J$451),0),
IF('TL14'!$B$3=Q$3,SUMIF('TL14'!$C$10:$C$224,$C408,'TL14'!$J$10:$J$224),0),
IF('TL14'!$B$229=Q$3,SUMIF('TL14'!$C$238:$C$451,$C408,'TL14'!$J$238:$J$451),0),
IF('TL15'!$B$3=Q$3,SUMIF('TL15'!$C$10:$C$224,$C408,'TL15'!$J$10:$J$224),0),
IF('TL15'!$B$229=Q$3,SUMIF('TL15'!$C$238:$C$451,$C408,'TL15'!$J$238:$J$451),0),
IF('TL16'!$B$3=Q$3,SUMIF('TL16'!$C$10:$C$224,$C408,'TL16'!$J$10:$J$224),0),
IF('TL16'!$B$229=Q$3,SUMIF('TL16'!$C$238:$C$451,$C408,'TL16'!$J$238:$J$451),0),
IF('TL17'!$B$3=Q$3,SUMIF('TL17'!$C$10:$C$224,$C408,'TL17'!$J$10:$J$224),0),
IF('TL17'!$B$229=Q$3,SUMIF('TL17'!$C$238:$C$451,$C408,'TL17'!$J$238:$J$451),0),
IF('TL18'!$B$3=Q$3,SUMIF('TL18'!$C$10:$C$224,$C408,'TL18'!$J$10:$J$224),0),
IF('TL18'!$B$229=Q$3,SUMIF('TL18'!$C$238:$C$451,$C408,'TL18'!$J$238:$J$451),0),
IF('TL19'!$B$3=Q$3,SUMIF('TL19'!$C$10:$C$224,$C408,'TL19'!$J$10:$J$224),0),
IF('TL19'!$B$229=Q$3,SUMIF('TL19'!$C$238:$C$451,$C408,'TL19'!$J$238:$J$451),0)
),0)</f>
        <v/>
      </c>
      <c r="R408" s="139">
        <f>IFERROR(
SUM(
SUMIF('TL01'!C:C,C408,'TL01'!J:J),
SUMIF('TL02'!C:C,C408,'TL02'!I:I),
SUMIF('TL03'!C:C,C408,'TL03'!I:I),
SUMIF('TL04'!C:C,C408,'TL04'!I:I),
SUMIF('TL05'!C:C,C408,'TL05'!I:I),
SUMIF('TL06'!C:C,C408,'TL06'!I:I),
SUMIF('TL07'!C:C,C408,'TL07'!I:I),
SUMIF('TL08'!C:C,C408,'TL08'!I:I),
SUMIF('TL09'!C:C,C408,'TL09'!I:I),
SUMIF('TL10'!C:C,C408,'TL10'!I:I),
SUMIF('TL11'!C:C,C408,'TL11'!I:I),
SUMIF('TL12'!C:C,C408,'TL12'!I:I),
SUMIF('TL13'!C:C,C408,'TL13'!I:I),
SUMIF('TL14'!C:C,C408,'TL14'!I:I),
SUMIF('TL15'!C:C,C408,'TL15'!I:I),
SUMIF('TL16'!C:C,C408,'TL16'!I:I),
SUMIF('TL17'!C:C,C408,'TL17'!I:I),
SUMIF('TL18'!C:C,C408,'TL18'!I:I))
,0)</f>
        <v/>
      </c>
      <c r="S408" s="142">
        <f>'CUSTO OPERAÇÃO'!M12</f>
        <v/>
      </c>
      <c r="T408" s="139" t="n"/>
      <c r="U408" s="143">
        <f>MAX(0,R408-T408)</f>
        <v/>
      </c>
      <c r="V408" s="144">
        <f>U408*S408</f>
        <v/>
      </c>
    </row>
    <row r="409" hidden="1" ht="15.75" customHeight="1" s="297">
      <c r="A409" s="150" t="n"/>
      <c r="B409" s="151" t="inlineStr">
        <is>
          <t>MÁQUINAS</t>
        </is>
      </c>
      <c r="C409" s="152">
        <f>'CUSTO OPERAÇÃO'!D13</f>
        <v/>
      </c>
      <c r="D409" s="152" t="n"/>
      <c r="E409" s="153" t="n"/>
      <c r="F409" s="138" t="inlineStr">
        <is>
          <t>R$/Ha</t>
        </is>
      </c>
      <c r="G409" s="139" t="n"/>
      <c r="H409" s="140">
        <f>'CUSTO OPERAÇÃO'!J13</f>
        <v/>
      </c>
      <c r="I409" s="154" t="n"/>
      <c r="J409" s="152">
        <f>IFERROR(SUM(
IF('TL01'!$B$3=J$3,SUMIF('TL01'!$C$10:$C$224,$C409,'TL01'!$J$10:$J$224),0),
IF('TL01'!$B$229=J$3,SUMIF('TL01'!$C$238:$C$451,$C409,'TL01'!$J$238:$J$451),0),
IF('TL02'!$B$3=J$3,SUMIF('TL02'!$C$10:$C$224,$C409,'TL02'!$J$10:$J$224),0),
IF('TL02'!$B$229=J$3,SUMIF('TL02'!$C$238:$C$451,$C409,'TL02'!$J$238:$J$451),0),
IF('TL03'!$B$3=J$3,SUMIF('TL03'!$C$10:$C$224,$C409,'TL03'!$J$10:$J$224),0),
IF('TL03'!$B$229=J$3,SUMIF('TL03'!$C$238:$C$451,$C409,'TL03'!$J$238:$J$451),0),
IF('TL04'!$B$3=J$3,SUMIF('TL04'!$C$10:$C$224,$C409,'TL04'!$J$10:$J$224),0),
IF('TL04'!$B$229=J$3,SUMIF('TL04'!$C$238:$C$451,$C409,'TL04'!$J$238:$J$451),0),
IF('TL05'!$B$3=J$3,SUMIF('TL05'!$C$10:$C$224,$C409,'TL05'!$J$10:$J$224),0),
IF('TL05'!$B$229=J$3,SUMIF('TL05'!$C$238:$C$451,$C409,'TL05'!$J$238:$J$451),0),
IF('TL06'!$B$3=J$3,SUMIF('TL06'!$C$10:$C$224,$C409,'TL06'!$J$10:$J$224),0),
IF('TL06'!$B$229=J$3,SUMIF('TL06'!$C$238:$C$451,$C409,'TL06'!$J$238:$J$451),0),
IF('TL07'!$B$3=J$3,SUMIF('TL07'!$C$10:$C$224,$C409,'TL07'!$J$10:$J$224),0),
IF('TL07'!$B$229=J$3,SUMIF('TL07'!$C$238:$C$451,$C409,'TL07'!$J$238:$J$451),0),
IF('TL08'!$B$3=J$3,SUMIF('TL08'!$C$10:$C$224,$C409,'TL08'!$J$10:$J$224),0),
IF('TL08'!$B$229=J$3,SUMIF('TL08'!$C$238:$C$451,$C409,'TL08'!$J$238:$J$451),0),
IF('TL09'!$B$3=J$3,SUMIF('TL09'!$C$10:$C$224,$C409,'TL09'!$J$10:$J$224),0),
IF('TL09'!$B$229=J$3,SUMIF('TL09'!$C$238:$C$451,$C409,'TL09'!$J$238:$J$451),0),
IF('TL10'!$B$3=J$3,SUMIF('TL10'!$C$10:$C$224,$C409,'TL10'!$J$10:$J$224),0),
IF('TL10'!$B$229=J$3,SUMIF('TL10'!$C$238:$C$451,$C409,'TL10'!$J$238:$J$451),0),
IF('TL11'!$B$3=J$3,SUMIF('TL11'!$C$10:$C$224,$C409,'TL11'!$J$10:$J$224),0),
IF('TL11'!$B$229=J$3,SUMIF('TL11'!$C$238:$C$451,$C409,'TL11'!$J$238:$J$451),0),
IF('TL12'!$B$3=J$3,SUMIF('TL12'!$C$10:$C$224,$C409,'TL12'!$J$10:$J$224),0),
IF('TL12'!$B$229=J$3,SUMIF('TL12'!$C$238:$C$451,$C409,'TL12'!$J$238:$J$451),0),
IF('TL13'!$B$3=J$3,SUMIF('TL13'!$C$10:$C$224,$C409,'TL13'!$J$10:$J$224),0),
IF('TL13'!$B$229=J$3,SUMIF('TL13'!$C$238:$C$451,$C409,'TL13'!$J$238:$J$451),0),
IF('TL14'!$B$3=J$3,SUMIF('TL14'!$C$10:$C$224,$C409,'TL14'!$J$10:$J$224),0),
IF('TL14'!$B$229=J$3,SUMIF('TL14'!$C$238:$C$451,$C409,'TL14'!$J$238:$J$451),0),
IF('TL15'!$B$3=J$3,SUMIF('TL15'!$C$10:$C$224,$C409,'TL15'!$J$10:$J$224),0),
IF('TL15'!$B$229=J$3,SUMIF('TL15'!$C$238:$C$451,$C409,'TL15'!$J$238:$J$451),0),
IF('TL16'!$B$3=J$3,SUMIF('TL16'!$C$10:$C$224,$C409,'TL16'!$J$10:$J$224),0),
IF('TL16'!$B$229=J$3,SUMIF('TL16'!$C$238:$C$451,$C409,'TL16'!$J$238:$J$451),0),
IF('TL17'!$B$3=J$3,SUMIF('TL17'!$C$10:$C$224,$C409,'TL17'!$J$10:$J$224),0),
IF('TL17'!$B$229=J$3,SUMIF('TL17'!$C$238:$C$451,$C409,'TL17'!$J$238:$J$451),0),
IF('TL18'!$B$3=J$3,SUMIF('TL18'!$C$10:$C$224,$C409,'TL18'!$J$10:$J$224),0),
IF('TL18'!$B$229=J$3,SUMIF('TL18'!$C$238:$C$451,$C409,'TL18'!$J$238:$J$451),0),
IF('TL19'!$B$3=J$3,SUMIF('TL19'!$C$10:$C$224,$C409,'TL19'!$J$10:$J$224),0),
IF('TL19'!$B$229=J$3,SUMIF('TL19'!$C$238:$C$451,$C409,'TL19'!$J$238:$J$451),0)
),0)</f>
        <v/>
      </c>
      <c r="K409" s="152">
        <f>IFERROR(SUM(
IF('TL01'!$B$3=K$3,SUMIF('TL01'!$C$10:$C$224,$C409,'TL01'!$J$10:$J$224),0),
IF('TL01'!$B$229=K$3,SUMIF('TL01'!$C$238:$C$451,$C409,'TL01'!$J$238:$J$451),0),
IF('TL02'!$B$3=K$3,SUMIF('TL02'!$C$10:$C$224,$C409,'TL02'!$J$10:$J$224),0),
IF('TL02'!$B$229=K$3,SUMIF('TL02'!$C$238:$C$451,$C409,'TL02'!$J$238:$J$451),0),
IF('TL03'!$B$3=K$3,SUMIF('TL03'!$C$10:$C$224,$C409,'TL03'!$J$10:$J$224),0),
IF('TL03'!$B$229=K$3,SUMIF('TL03'!$C$238:$C$451,$C409,'TL03'!$J$238:$J$451),0),
IF('TL04'!$B$3=K$3,SUMIF('TL04'!$C$10:$C$224,$C409,'TL04'!$J$10:$J$224),0),
IF('TL04'!$B$229=K$3,SUMIF('TL04'!$C$238:$C$451,$C409,'TL04'!$J$238:$J$451),0),
IF('TL05'!$B$3=K$3,SUMIF('TL05'!$C$10:$C$224,$C409,'TL05'!$J$10:$J$224),0),
IF('TL05'!$B$229=K$3,SUMIF('TL05'!$C$238:$C$451,$C409,'TL05'!$J$238:$J$451),0),
IF('TL06'!$B$3=K$3,SUMIF('TL06'!$C$10:$C$224,$C409,'TL06'!$J$10:$J$224),0),
IF('TL06'!$B$229=K$3,SUMIF('TL06'!$C$238:$C$451,$C409,'TL06'!$J$238:$J$451),0),
IF('TL07'!$B$3=K$3,SUMIF('TL07'!$C$10:$C$224,$C409,'TL07'!$J$10:$J$224),0),
IF('TL07'!$B$229=K$3,SUMIF('TL07'!$C$238:$C$451,$C409,'TL07'!$J$238:$J$451),0),
IF('TL08'!$B$3=K$3,SUMIF('TL08'!$C$10:$C$224,$C409,'TL08'!$J$10:$J$224),0),
IF('TL08'!$B$229=K$3,SUMIF('TL08'!$C$238:$C$451,$C409,'TL08'!$J$238:$J$451),0),
IF('TL09'!$B$3=K$3,SUMIF('TL09'!$C$10:$C$224,$C409,'TL09'!$J$10:$J$224),0),
IF('TL09'!$B$229=K$3,SUMIF('TL09'!$C$238:$C$451,$C409,'TL09'!$J$238:$J$451),0),
IF('TL10'!$B$3=K$3,SUMIF('TL10'!$C$10:$C$224,$C409,'TL10'!$J$10:$J$224),0),
IF('TL10'!$B$229=K$3,SUMIF('TL10'!$C$238:$C$451,$C409,'TL10'!$J$238:$J$451),0),
IF('TL11'!$B$3=K$3,SUMIF('TL11'!$C$10:$C$224,$C409,'TL11'!$J$10:$J$224),0),
IF('TL11'!$B$229=K$3,SUMIF('TL11'!$C$238:$C$451,$C409,'TL11'!$J$238:$J$451),0),
IF('TL12'!$B$3=K$3,SUMIF('TL12'!$C$10:$C$224,$C409,'TL12'!$J$10:$J$224),0),
IF('TL12'!$B$229=K$3,SUMIF('TL12'!$C$238:$C$451,$C409,'TL12'!$J$238:$J$451),0),
IF('TL13'!$B$3=K$3,SUMIF('TL13'!$C$10:$C$224,$C409,'TL13'!$J$10:$J$224),0),
IF('TL13'!$B$229=K$3,SUMIF('TL13'!$C$238:$C$451,$C409,'TL13'!$J$238:$J$451),0),
IF('TL14'!$B$3=K$3,SUMIF('TL14'!$C$10:$C$224,$C409,'TL14'!$J$10:$J$224),0),
IF('TL14'!$B$229=K$3,SUMIF('TL14'!$C$238:$C$451,$C409,'TL14'!$J$238:$J$451),0),
IF('TL15'!$B$3=K$3,SUMIF('TL15'!$C$10:$C$224,$C409,'TL15'!$J$10:$J$224),0),
IF('TL15'!$B$229=K$3,SUMIF('TL15'!$C$238:$C$451,$C409,'TL15'!$J$238:$J$451),0),
IF('TL16'!$B$3=K$3,SUMIF('TL16'!$C$10:$C$224,$C409,'TL16'!$J$10:$J$224),0),
IF('TL16'!$B$229=K$3,SUMIF('TL16'!$C$238:$C$451,$C409,'TL16'!$J$238:$J$451),0),
IF('TL17'!$B$3=K$3,SUMIF('TL17'!$C$10:$C$224,$C409,'TL17'!$J$10:$J$224),0),
IF('TL17'!$B$229=K$3,SUMIF('TL17'!$C$238:$C$451,$C409,'TL17'!$J$238:$J$451),0),
IF('TL18'!$B$3=K$3,SUMIF('TL18'!$C$10:$C$224,$C409,'TL18'!$J$10:$J$224),0),
IF('TL18'!$B$229=K$3,SUMIF('TL18'!$C$238:$C$451,$C409,'TL18'!$J$238:$J$451),0),
IF('TL19'!$B$3=K$3,SUMIF('TL19'!$C$10:$C$224,$C409,'TL19'!$J$10:$J$224),0),
IF('TL19'!$B$229=K$3,SUMIF('TL19'!$C$238:$C$451,$C409,'TL19'!$J$238:$J$451),0)
),0)</f>
        <v/>
      </c>
      <c r="L409" s="152">
        <f>IFERROR(SUM(
IF('TL01'!$B$3=L$3,SUMIF('TL01'!$C$10:$C$224,$C409,'TL01'!$J$10:$J$224),0),
IF('TL01'!$B$229=L$3,SUMIF('TL01'!$C$238:$C$451,$C409,'TL01'!$J$238:$J$451),0),
IF('TL02'!$B$3=L$3,SUMIF('TL02'!$C$10:$C$224,$C409,'TL02'!$J$10:$J$224),0),
IF('TL02'!$B$229=L$3,SUMIF('TL02'!$C$238:$C$451,$C409,'TL02'!$J$238:$J$451),0),
IF('TL03'!$B$3=L$3,SUMIF('TL03'!$C$10:$C$224,$C409,'TL03'!$J$10:$J$224),0),
IF('TL03'!$B$229=L$3,SUMIF('TL03'!$C$238:$C$451,$C409,'TL03'!$J$238:$J$451),0),
IF('TL04'!$B$3=L$3,SUMIF('TL04'!$C$10:$C$224,$C409,'TL04'!$J$10:$J$224),0),
IF('TL04'!$B$229=L$3,SUMIF('TL04'!$C$238:$C$451,$C409,'TL04'!$J$238:$J$451),0),
IF('TL05'!$B$3=L$3,SUMIF('TL05'!$C$10:$C$224,$C409,'TL05'!$J$10:$J$224),0),
IF('TL05'!$B$229=L$3,SUMIF('TL05'!$C$238:$C$451,$C409,'TL05'!$J$238:$J$451),0),
IF('TL06'!$B$3=L$3,SUMIF('TL06'!$C$10:$C$224,$C409,'TL06'!$J$10:$J$224),0),
IF('TL06'!$B$229=L$3,SUMIF('TL06'!$C$238:$C$451,$C409,'TL06'!$J$238:$J$451),0),
IF('TL07'!$B$3=L$3,SUMIF('TL07'!$C$10:$C$224,$C409,'TL07'!$J$10:$J$224),0),
IF('TL07'!$B$229=L$3,SUMIF('TL07'!$C$238:$C$451,$C409,'TL07'!$J$238:$J$451),0),
IF('TL08'!$B$3=L$3,SUMIF('TL08'!$C$10:$C$224,$C409,'TL08'!$J$10:$J$224),0),
IF('TL08'!$B$229=L$3,SUMIF('TL08'!$C$238:$C$451,$C409,'TL08'!$J$238:$J$451),0),
IF('TL09'!$B$3=L$3,SUMIF('TL09'!$C$10:$C$224,$C409,'TL09'!$J$10:$J$224),0),
IF('TL09'!$B$229=L$3,SUMIF('TL09'!$C$238:$C$451,$C409,'TL09'!$J$238:$J$451),0),
IF('TL10'!$B$3=L$3,SUMIF('TL10'!$C$10:$C$224,$C409,'TL10'!$J$10:$J$224),0),
IF('TL10'!$B$229=L$3,SUMIF('TL10'!$C$238:$C$451,$C409,'TL10'!$J$238:$J$451),0),
IF('TL11'!$B$3=L$3,SUMIF('TL11'!$C$10:$C$224,$C409,'TL11'!$J$10:$J$224),0),
IF('TL11'!$B$229=L$3,SUMIF('TL11'!$C$238:$C$451,$C409,'TL11'!$J$238:$J$451),0),
IF('TL12'!$B$3=L$3,SUMIF('TL12'!$C$10:$C$224,$C409,'TL12'!$J$10:$J$224),0),
IF('TL12'!$B$229=L$3,SUMIF('TL12'!$C$238:$C$451,$C409,'TL12'!$J$238:$J$451),0),
IF('TL13'!$B$3=L$3,SUMIF('TL13'!$C$10:$C$224,$C409,'TL13'!$J$10:$J$224),0),
IF('TL13'!$B$229=L$3,SUMIF('TL13'!$C$238:$C$451,$C409,'TL13'!$J$238:$J$451),0),
IF('TL14'!$B$3=L$3,SUMIF('TL14'!$C$10:$C$224,$C409,'TL14'!$J$10:$J$224),0),
IF('TL14'!$B$229=L$3,SUMIF('TL14'!$C$238:$C$451,$C409,'TL14'!$J$238:$J$451),0),
IF('TL15'!$B$3=L$3,SUMIF('TL15'!$C$10:$C$224,$C409,'TL15'!$J$10:$J$224),0),
IF('TL15'!$B$229=L$3,SUMIF('TL15'!$C$238:$C$451,$C409,'TL15'!$J$238:$J$451),0),
IF('TL16'!$B$3=L$3,SUMIF('TL16'!$C$10:$C$224,$C409,'TL16'!$J$10:$J$224),0),
IF('TL16'!$B$229=L$3,SUMIF('TL16'!$C$238:$C$451,$C409,'TL16'!$J$238:$J$451),0),
IF('TL17'!$B$3=L$3,SUMIF('TL17'!$C$10:$C$224,$C409,'TL17'!$J$10:$J$224),0),
IF('TL17'!$B$229=L$3,SUMIF('TL17'!$C$238:$C$451,$C409,'TL17'!$J$238:$J$451),0),
IF('TL18'!$B$3=L$3,SUMIF('TL18'!$C$10:$C$224,$C409,'TL18'!$J$10:$J$224),0),
IF('TL18'!$B$229=L$3,SUMIF('TL18'!$C$238:$C$451,$C409,'TL18'!$J$238:$J$451),0),
IF('TL19'!$B$3=L$3,SUMIF('TL19'!$C$10:$C$224,$C409,'TL19'!$J$10:$J$224),0),
IF('TL19'!$B$229=L$3,SUMIF('TL19'!$C$238:$C$451,$C409,'TL19'!$J$238:$J$451),0)
),0)</f>
        <v/>
      </c>
      <c r="M409" s="152">
        <f>IFERROR(SUM(
IF('TL01'!$B$3=M$3,SUMIF('TL01'!$C$10:$C$224,$C409,'TL01'!$J$10:$J$224),0),
IF('TL01'!$B$229=M$3,SUMIF('TL01'!$C$238:$C$451,$C409,'TL01'!$J$238:$J$451),0),
IF('TL02'!$B$3=M$3,SUMIF('TL02'!$C$10:$C$224,$C409,'TL02'!$J$10:$J$224),0),
IF('TL02'!$B$229=M$3,SUMIF('TL02'!$C$238:$C$451,$C409,'TL02'!$J$238:$J$451),0),
IF('TL03'!$B$3=M$3,SUMIF('TL03'!$C$10:$C$224,$C409,'TL03'!$J$10:$J$224),0),
IF('TL03'!$B$229=M$3,SUMIF('TL03'!$C$238:$C$451,$C409,'TL03'!$J$238:$J$451),0),
IF('TL04'!$B$3=M$3,SUMIF('TL04'!$C$10:$C$224,$C409,'TL04'!$J$10:$J$224),0),
IF('TL04'!$B$229=M$3,SUMIF('TL04'!$C$238:$C$451,$C409,'TL04'!$J$238:$J$451),0),
IF('TL05'!$B$3=M$3,SUMIF('TL05'!$C$10:$C$224,$C409,'TL05'!$J$10:$J$224),0),
IF('TL05'!$B$229=M$3,SUMIF('TL05'!$C$238:$C$451,$C409,'TL05'!$J$238:$J$451),0),
IF('TL06'!$B$3=M$3,SUMIF('TL06'!$C$10:$C$224,$C409,'TL06'!$J$10:$J$224),0),
IF('TL06'!$B$229=M$3,SUMIF('TL06'!$C$238:$C$451,$C409,'TL06'!$J$238:$J$451),0),
IF('TL07'!$B$3=M$3,SUMIF('TL07'!$C$10:$C$224,$C409,'TL07'!$J$10:$J$224),0),
IF('TL07'!$B$229=M$3,SUMIF('TL07'!$C$238:$C$451,$C409,'TL07'!$J$238:$J$451),0),
IF('TL08'!$B$3=M$3,SUMIF('TL08'!$C$10:$C$224,$C409,'TL08'!$J$10:$J$224),0),
IF('TL08'!$B$229=M$3,SUMIF('TL08'!$C$238:$C$451,$C409,'TL08'!$J$238:$J$451),0),
IF('TL09'!$B$3=M$3,SUMIF('TL09'!$C$10:$C$224,$C409,'TL09'!$J$10:$J$224),0),
IF('TL09'!$B$229=M$3,SUMIF('TL09'!$C$238:$C$451,$C409,'TL09'!$J$238:$J$451),0),
IF('TL10'!$B$3=M$3,SUMIF('TL10'!$C$10:$C$224,$C409,'TL10'!$J$10:$J$224),0),
IF('TL10'!$B$229=M$3,SUMIF('TL10'!$C$238:$C$451,$C409,'TL10'!$J$238:$J$451),0),
IF('TL11'!$B$3=M$3,SUMIF('TL11'!$C$10:$C$224,$C409,'TL11'!$J$10:$J$224),0),
IF('TL11'!$B$229=M$3,SUMIF('TL11'!$C$238:$C$451,$C409,'TL11'!$J$238:$J$451),0),
IF('TL12'!$B$3=M$3,SUMIF('TL12'!$C$10:$C$224,$C409,'TL12'!$J$10:$J$224),0),
IF('TL12'!$B$229=M$3,SUMIF('TL12'!$C$238:$C$451,$C409,'TL12'!$J$238:$J$451),0),
IF('TL13'!$B$3=M$3,SUMIF('TL13'!$C$10:$C$224,$C409,'TL13'!$J$10:$J$224),0),
IF('TL13'!$B$229=M$3,SUMIF('TL13'!$C$238:$C$451,$C409,'TL13'!$J$238:$J$451),0),
IF('TL14'!$B$3=M$3,SUMIF('TL14'!$C$10:$C$224,$C409,'TL14'!$J$10:$J$224),0),
IF('TL14'!$B$229=M$3,SUMIF('TL14'!$C$238:$C$451,$C409,'TL14'!$J$238:$J$451),0),
IF('TL15'!$B$3=M$3,SUMIF('TL15'!$C$10:$C$224,$C409,'TL15'!$J$10:$J$224),0),
IF('TL15'!$B$229=M$3,SUMIF('TL15'!$C$238:$C$451,$C409,'TL15'!$J$238:$J$451),0),
IF('TL16'!$B$3=M$3,SUMIF('TL16'!$C$10:$C$224,$C409,'TL16'!$J$10:$J$224),0),
IF('TL16'!$B$229=M$3,SUMIF('TL16'!$C$238:$C$451,$C409,'TL16'!$J$238:$J$451),0),
IF('TL17'!$B$3=M$3,SUMIF('TL17'!$C$10:$C$224,$C409,'TL17'!$J$10:$J$224),0),
IF('TL17'!$B$229=M$3,SUMIF('TL17'!$C$238:$C$451,$C409,'TL17'!$J$238:$J$451),0),
IF('TL18'!$B$3=M$3,SUMIF('TL18'!$C$10:$C$224,$C409,'TL18'!$J$10:$J$224),0),
IF('TL18'!$B$229=M$3,SUMIF('TL18'!$C$238:$C$451,$C409,'TL18'!$J$238:$J$451),0),
IF('TL19'!$B$3=M$3,SUMIF('TL19'!$C$10:$C$224,$C409,'TL19'!$J$10:$J$224),0),
IF('TL19'!$B$229=M$3,SUMIF('TL19'!$C$238:$C$451,$C409,'TL19'!$J$238:$J$451),0)
),0)</f>
        <v/>
      </c>
      <c r="N409" s="152">
        <f>IFERROR(SUM(
IF('TL01'!$B$3=N$3,SUMIF('TL01'!$C$10:$C$224,$C409,'TL01'!$J$10:$J$224),0),
IF('TL01'!$B$229=N$3,SUMIF('TL01'!$C$238:$C$451,$C409,'TL01'!$J$238:$J$451),0),
IF('TL02'!$B$3=N$3,SUMIF('TL02'!$C$10:$C$224,$C409,'TL02'!$J$10:$J$224),0),
IF('TL02'!$B$229=N$3,SUMIF('TL02'!$C$238:$C$451,$C409,'TL02'!$J$238:$J$451),0),
IF('TL03'!$B$3=N$3,SUMIF('TL03'!$C$10:$C$224,$C409,'TL03'!$J$10:$J$224),0),
IF('TL03'!$B$229=N$3,SUMIF('TL03'!$C$238:$C$451,$C409,'TL03'!$J$238:$J$451),0),
IF('TL04'!$B$3=N$3,SUMIF('TL04'!$C$10:$C$224,$C409,'TL04'!$J$10:$J$224),0),
IF('TL04'!$B$229=N$3,SUMIF('TL04'!$C$238:$C$451,$C409,'TL04'!$J$238:$J$451),0),
IF('TL05'!$B$3=N$3,SUMIF('TL05'!$C$10:$C$224,$C409,'TL05'!$J$10:$J$224),0),
IF('TL05'!$B$229=N$3,SUMIF('TL05'!$C$238:$C$451,$C409,'TL05'!$J$238:$J$451),0),
IF('TL06'!$B$3=N$3,SUMIF('TL06'!$C$10:$C$224,$C409,'TL06'!$J$10:$J$224),0),
IF('TL06'!$B$229=N$3,SUMIF('TL06'!$C$238:$C$451,$C409,'TL06'!$J$238:$J$451),0),
IF('TL07'!$B$3=N$3,SUMIF('TL07'!$C$10:$C$224,$C409,'TL07'!$J$10:$J$224),0),
IF('TL07'!$B$229=N$3,SUMIF('TL07'!$C$238:$C$451,$C409,'TL07'!$J$238:$J$451),0),
IF('TL08'!$B$3=N$3,SUMIF('TL08'!$C$10:$C$224,$C409,'TL08'!$J$10:$J$224),0),
IF('TL08'!$B$229=N$3,SUMIF('TL08'!$C$238:$C$451,$C409,'TL08'!$J$238:$J$451),0),
IF('TL09'!$B$3=N$3,SUMIF('TL09'!$C$10:$C$224,$C409,'TL09'!$J$10:$J$224),0),
IF('TL09'!$B$229=N$3,SUMIF('TL09'!$C$238:$C$451,$C409,'TL09'!$J$238:$J$451),0),
IF('TL10'!$B$3=N$3,SUMIF('TL10'!$C$10:$C$224,$C409,'TL10'!$J$10:$J$224),0),
IF('TL10'!$B$229=N$3,SUMIF('TL10'!$C$238:$C$451,$C409,'TL10'!$J$238:$J$451),0),
IF('TL11'!$B$3=N$3,SUMIF('TL11'!$C$10:$C$224,$C409,'TL11'!$J$10:$J$224),0),
IF('TL11'!$B$229=N$3,SUMIF('TL11'!$C$238:$C$451,$C409,'TL11'!$J$238:$J$451),0),
IF('TL12'!$B$3=N$3,SUMIF('TL12'!$C$10:$C$224,$C409,'TL12'!$J$10:$J$224),0),
IF('TL12'!$B$229=N$3,SUMIF('TL12'!$C$238:$C$451,$C409,'TL12'!$J$238:$J$451),0),
IF('TL13'!$B$3=N$3,SUMIF('TL13'!$C$10:$C$224,$C409,'TL13'!$J$10:$J$224),0),
IF('TL13'!$B$229=N$3,SUMIF('TL13'!$C$238:$C$451,$C409,'TL13'!$J$238:$J$451),0),
IF('TL14'!$B$3=N$3,SUMIF('TL14'!$C$10:$C$224,$C409,'TL14'!$J$10:$J$224),0),
IF('TL14'!$B$229=N$3,SUMIF('TL14'!$C$238:$C$451,$C409,'TL14'!$J$238:$J$451),0),
IF('TL15'!$B$3=N$3,SUMIF('TL15'!$C$10:$C$224,$C409,'TL15'!$J$10:$J$224),0),
IF('TL15'!$B$229=N$3,SUMIF('TL15'!$C$238:$C$451,$C409,'TL15'!$J$238:$J$451),0),
IF('TL16'!$B$3=N$3,SUMIF('TL16'!$C$10:$C$224,$C409,'TL16'!$J$10:$J$224),0),
IF('TL16'!$B$229=N$3,SUMIF('TL16'!$C$238:$C$451,$C409,'TL16'!$J$238:$J$451),0),
IF('TL17'!$B$3=N$3,SUMIF('TL17'!$C$10:$C$224,$C409,'TL17'!$J$10:$J$224),0),
IF('TL17'!$B$229=N$3,SUMIF('TL17'!$C$238:$C$451,$C409,'TL17'!$J$238:$J$451),0),
IF('TL18'!$B$3=N$3,SUMIF('TL18'!$C$10:$C$224,$C409,'TL18'!$J$10:$J$224),0),
IF('TL18'!$B$229=N$3,SUMIF('TL18'!$C$238:$C$451,$C409,'TL18'!$J$238:$J$451),0),
IF('TL19'!$B$3=N$3,SUMIF('TL19'!$C$10:$C$224,$C409,'TL19'!$J$10:$J$224),0),
IF('TL19'!$B$229=N$3,SUMIF('TL19'!$C$238:$C$451,$C409,'TL19'!$J$238:$J$451),0)
),0)</f>
        <v/>
      </c>
      <c r="O409" s="152">
        <f>IFERROR(SUM(
IF('TL01'!$B$3=O$3,SUMIF('TL01'!$C$10:$C$224,$C409,'TL01'!$J$10:$J$224),0),
IF('TL01'!$B$229=O$3,SUMIF('TL01'!$C$238:$C$451,$C409,'TL01'!$J$238:$J$451),0),
IF('TL02'!$B$3=O$3,SUMIF('TL02'!$C$10:$C$224,$C409,'TL02'!$J$10:$J$224),0),
IF('TL02'!$B$229=O$3,SUMIF('TL02'!$C$238:$C$451,$C409,'TL02'!$J$238:$J$451),0),
IF('TL03'!$B$3=O$3,SUMIF('TL03'!$C$10:$C$224,$C409,'TL03'!$J$10:$J$224),0),
IF('TL03'!$B$229=O$3,SUMIF('TL03'!$C$238:$C$451,$C409,'TL03'!$J$238:$J$451),0),
IF('TL04'!$B$3=O$3,SUMIF('TL04'!$C$10:$C$224,$C409,'TL04'!$J$10:$J$224),0),
IF('TL04'!$B$229=O$3,SUMIF('TL04'!$C$238:$C$451,$C409,'TL04'!$J$238:$J$451),0),
IF('TL05'!$B$3=O$3,SUMIF('TL05'!$C$10:$C$224,$C409,'TL05'!$J$10:$J$224),0),
IF('TL05'!$B$229=O$3,SUMIF('TL05'!$C$238:$C$451,$C409,'TL05'!$J$238:$J$451),0),
IF('TL06'!$B$3=O$3,SUMIF('TL06'!$C$10:$C$224,$C409,'TL06'!$J$10:$J$224),0),
IF('TL06'!$B$229=O$3,SUMIF('TL06'!$C$238:$C$451,$C409,'TL06'!$J$238:$J$451),0),
IF('TL07'!$B$3=O$3,SUMIF('TL07'!$C$10:$C$224,$C409,'TL07'!$J$10:$J$224),0),
IF('TL07'!$B$229=O$3,SUMIF('TL07'!$C$238:$C$451,$C409,'TL07'!$J$238:$J$451),0),
IF('TL08'!$B$3=O$3,SUMIF('TL08'!$C$10:$C$224,$C409,'TL08'!$J$10:$J$224),0),
IF('TL08'!$B$229=O$3,SUMIF('TL08'!$C$238:$C$451,$C409,'TL08'!$J$238:$J$451),0),
IF('TL09'!$B$3=O$3,SUMIF('TL09'!$C$10:$C$224,$C409,'TL09'!$J$10:$J$224),0),
IF('TL09'!$B$229=O$3,SUMIF('TL09'!$C$238:$C$451,$C409,'TL09'!$J$238:$J$451),0),
IF('TL10'!$B$3=O$3,SUMIF('TL10'!$C$10:$C$224,$C409,'TL10'!$J$10:$J$224),0),
IF('TL10'!$B$229=O$3,SUMIF('TL10'!$C$238:$C$451,$C409,'TL10'!$J$238:$J$451),0),
IF('TL11'!$B$3=O$3,SUMIF('TL11'!$C$10:$C$224,$C409,'TL11'!$J$10:$J$224),0),
IF('TL11'!$B$229=O$3,SUMIF('TL11'!$C$238:$C$451,$C409,'TL11'!$J$238:$J$451),0),
IF('TL12'!$B$3=O$3,SUMIF('TL12'!$C$10:$C$224,$C409,'TL12'!$J$10:$J$224),0),
IF('TL12'!$B$229=O$3,SUMIF('TL12'!$C$238:$C$451,$C409,'TL12'!$J$238:$J$451),0),
IF('TL13'!$B$3=O$3,SUMIF('TL13'!$C$10:$C$224,$C409,'TL13'!$J$10:$J$224),0),
IF('TL13'!$B$229=O$3,SUMIF('TL13'!$C$238:$C$451,$C409,'TL13'!$J$238:$J$451),0),
IF('TL14'!$B$3=O$3,SUMIF('TL14'!$C$10:$C$224,$C409,'TL14'!$J$10:$J$224),0),
IF('TL14'!$B$229=O$3,SUMIF('TL14'!$C$238:$C$451,$C409,'TL14'!$J$238:$J$451),0),
IF('TL15'!$B$3=O$3,SUMIF('TL15'!$C$10:$C$224,$C409,'TL15'!$J$10:$J$224),0),
IF('TL15'!$B$229=O$3,SUMIF('TL15'!$C$238:$C$451,$C409,'TL15'!$J$238:$J$451),0),
IF('TL16'!$B$3=O$3,SUMIF('TL16'!$C$10:$C$224,$C409,'TL16'!$J$10:$J$224),0),
IF('TL16'!$B$229=O$3,SUMIF('TL16'!$C$238:$C$451,$C409,'TL16'!$J$238:$J$451),0),
IF('TL17'!$B$3=O$3,SUMIF('TL17'!$C$10:$C$224,$C409,'TL17'!$J$10:$J$224),0),
IF('TL17'!$B$229=O$3,SUMIF('TL17'!$C$238:$C$451,$C409,'TL17'!$J$238:$J$451),0),
IF('TL18'!$B$3=O$3,SUMIF('TL18'!$C$10:$C$224,$C409,'TL18'!$J$10:$J$224),0),
IF('TL18'!$B$229=O$3,SUMIF('TL18'!$C$238:$C$451,$C409,'TL18'!$J$238:$J$451),0),
IF('TL19'!$B$3=O$3,SUMIF('TL19'!$C$10:$C$224,$C409,'TL19'!$J$10:$J$224),0),
IF('TL19'!$B$229=O$3,SUMIF('TL19'!$C$238:$C$451,$C409,'TL19'!$J$238:$J$451),0)
),0)</f>
        <v/>
      </c>
      <c r="P409" s="152">
        <f>IFERROR(SUM(
IF('TL01'!$B$3=P$3,SUMIF('TL01'!$C$10:$C$224,$C409,'TL01'!$J$10:$J$224),0),
IF('TL01'!$B$229=P$3,SUMIF('TL01'!$C$238:$C$451,$C409,'TL01'!$J$238:$J$451),0),
IF('TL02'!$B$3=P$3,SUMIF('TL02'!$C$10:$C$224,$C409,'TL02'!$J$10:$J$224),0),
IF('TL02'!$B$229=P$3,SUMIF('TL02'!$C$238:$C$451,$C409,'TL02'!$J$238:$J$451),0),
IF('TL03'!$B$3=P$3,SUMIF('TL03'!$C$10:$C$224,$C409,'TL03'!$J$10:$J$224),0),
IF('TL03'!$B$229=P$3,SUMIF('TL03'!$C$238:$C$451,$C409,'TL03'!$J$238:$J$451),0),
IF('TL04'!$B$3=P$3,SUMIF('TL04'!$C$10:$C$224,$C409,'TL04'!$J$10:$J$224),0),
IF('TL04'!$B$229=P$3,SUMIF('TL04'!$C$238:$C$451,$C409,'TL04'!$J$238:$J$451),0),
IF('TL05'!$B$3=P$3,SUMIF('TL05'!$C$10:$C$224,$C409,'TL05'!$J$10:$J$224),0),
IF('TL05'!$B$229=P$3,SUMIF('TL05'!$C$238:$C$451,$C409,'TL05'!$J$238:$J$451),0),
IF('TL06'!$B$3=P$3,SUMIF('TL06'!$C$10:$C$224,$C409,'TL06'!$J$10:$J$224),0),
IF('TL06'!$B$229=P$3,SUMIF('TL06'!$C$238:$C$451,$C409,'TL06'!$J$238:$J$451),0),
IF('TL07'!$B$3=P$3,SUMIF('TL07'!$C$10:$C$224,$C409,'TL07'!$J$10:$J$224),0),
IF('TL07'!$B$229=P$3,SUMIF('TL07'!$C$238:$C$451,$C409,'TL07'!$J$238:$J$451),0),
IF('TL08'!$B$3=P$3,SUMIF('TL08'!$C$10:$C$224,$C409,'TL08'!$J$10:$J$224),0),
IF('TL08'!$B$229=P$3,SUMIF('TL08'!$C$238:$C$451,$C409,'TL08'!$J$238:$J$451),0),
IF('TL09'!$B$3=P$3,SUMIF('TL09'!$C$10:$C$224,$C409,'TL09'!$J$10:$J$224),0),
IF('TL09'!$B$229=P$3,SUMIF('TL09'!$C$238:$C$451,$C409,'TL09'!$J$238:$J$451),0),
IF('TL10'!$B$3=P$3,SUMIF('TL10'!$C$10:$C$224,$C409,'TL10'!$J$10:$J$224),0),
IF('TL10'!$B$229=P$3,SUMIF('TL10'!$C$238:$C$451,$C409,'TL10'!$J$238:$J$451),0),
IF('TL11'!$B$3=P$3,SUMIF('TL11'!$C$10:$C$224,$C409,'TL11'!$J$10:$J$224),0),
IF('TL11'!$B$229=P$3,SUMIF('TL11'!$C$238:$C$451,$C409,'TL11'!$J$238:$J$451),0),
IF('TL12'!$B$3=P$3,SUMIF('TL12'!$C$10:$C$224,$C409,'TL12'!$J$10:$J$224),0),
IF('TL12'!$B$229=P$3,SUMIF('TL12'!$C$238:$C$451,$C409,'TL12'!$J$238:$J$451),0),
IF('TL13'!$B$3=P$3,SUMIF('TL13'!$C$10:$C$224,$C409,'TL13'!$J$10:$J$224),0),
IF('TL13'!$B$229=P$3,SUMIF('TL13'!$C$238:$C$451,$C409,'TL13'!$J$238:$J$451),0),
IF('TL14'!$B$3=P$3,SUMIF('TL14'!$C$10:$C$224,$C409,'TL14'!$J$10:$J$224),0),
IF('TL14'!$B$229=P$3,SUMIF('TL14'!$C$238:$C$451,$C409,'TL14'!$J$238:$J$451),0),
IF('TL15'!$B$3=P$3,SUMIF('TL15'!$C$10:$C$224,$C409,'TL15'!$J$10:$J$224),0),
IF('TL15'!$B$229=P$3,SUMIF('TL15'!$C$238:$C$451,$C409,'TL15'!$J$238:$J$451),0),
IF('TL16'!$B$3=P$3,SUMIF('TL16'!$C$10:$C$224,$C409,'TL16'!$J$10:$J$224),0),
IF('TL16'!$B$229=P$3,SUMIF('TL16'!$C$238:$C$451,$C409,'TL16'!$J$238:$J$451),0),
IF('TL17'!$B$3=P$3,SUMIF('TL17'!$C$10:$C$224,$C409,'TL17'!$J$10:$J$224),0),
IF('TL17'!$B$229=P$3,SUMIF('TL17'!$C$238:$C$451,$C409,'TL17'!$J$238:$J$451),0),
IF('TL18'!$B$3=P$3,SUMIF('TL18'!$C$10:$C$224,$C409,'TL18'!$J$10:$J$224),0),
IF('TL18'!$B$229=P$3,SUMIF('TL18'!$C$238:$C$451,$C409,'TL18'!$J$238:$J$451),0),
IF('TL19'!$B$3=P$3,SUMIF('TL19'!$C$10:$C$224,$C409,'TL19'!$J$10:$J$224),0),
IF('TL19'!$B$229=P$3,SUMIF('TL19'!$C$238:$C$451,$C409,'TL19'!$J$238:$J$451),0)
),0)</f>
        <v/>
      </c>
      <c r="Q409" s="152">
        <f>IFERROR(SUM(
IF('TL01'!$B$3=Q$3,SUMIF('TL01'!$C$10:$C$224,$C409,'TL01'!$J$10:$J$224),0),
IF('TL01'!$B$229=Q$3,SUMIF('TL01'!$C$238:$C$451,$C409,'TL01'!$J$238:$J$451),0),
IF('TL02'!$B$3=Q$3,SUMIF('TL02'!$C$10:$C$224,$C409,'TL02'!$J$10:$J$224),0),
IF('TL02'!$B$229=Q$3,SUMIF('TL02'!$C$238:$C$451,$C409,'TL02'!$J$238:$J$451),0),
IF('TL03'!$B$3=Q$3,SUMIF('TL03'!$C$10:$C$224,$C409,'TL03'!$J$10:$J$224),0),
IF('TL03'!$B$229=Q$3,SUMIF('TL03'!$C$238:$C$451,$C409,'TL03'!$J$238:$J$451),0),
IF('TL04'!$B$3=Q$3,SUMIF('TL04'!$C$10:$C$224,$C409,'TL04'!$J$10:$J$224),0),
IF('TL04'!$B$229=Q$3,SUMIF('TL04'!$C$238:$C$451,$C409,'TL04'!$J$238:$J$451),0),
IF('TL05'!$B$3=Q$3,SUMIF('TL05'!$C$10:$C$224,$C409,'TL05'!$J$10:$J$224),0),
IF('TL05'!$B$229=Q$3,SUMIF('TL05'!$C$238:$C$451,$C409,'TL05'!$J$238:$J$451),0),
IF('TL06'!$B$3=Q$3,SUMIF('TL06'!$C$10:$C$224,$C409,'TL06'!$J$10:$J$224),0),
IF('TL06'!$B$229=Q$3,SUMIF('TL06'!$C$238:$C$451,$C409,'TL06'!$J$238:$J$451),0),
IF('TL07'!$B$3=Q$3,SUMIF('TL07'!$C$10:$C$224,$C409,'TL07'!$J$10:$J$224),0),
IF('TL07'!$B$229=Q$3,SUMIF('TL07'!$C$238:$C$451,$C409,'TL07'!$J$238:$J$451),0),
IF('TL08'!$B$3=Q$3,SUMIF('TL08'!$C$10:$C$224,$C409,'TL08'!$J$10:$J$224),0),
IF('TL08'!$B$229=Q$3,SUMIF('TL08'!$C$238:$C$451,$C409,'TL08'!$J$238:$J$451),0),
IF('TL09'!$B$3=Q$3,SUMIF('TL09'!$C$10:$C$224,$C409,'TL09'!$J$10:$J$224),0),
IF('TL09'!$B$229=Q$3,SUMIF('TL09'!$C$238:$C$451,$C409,'TL09'!$J$238:$J$451),0),
IF('TL10'!$B$3=Q$3,SUMIF('TL10'!$C$10:$C$224,$C409,'TL10'!$J$10:$J$224),0),
IF('TL10'!$B$229=Q$3,SUMIF('TL10'!$C$238:$C$451,$C409,'TL10'!$J$238:$J$451),0),
IF('TL11'!$B$3=Q$3,SUMIF('TL11'!$C$10:$C$224,$C409,'TL11'!$J$10:$J$224),0),
IF('TL11'!$B$229=Q$3,SUMIF('TL11'!$C$238:$C$451,$C409,'TL11'!$J$238:$J$451),0),
IF('TL12'!$B$3=Q$3,SUMIF('TL12'!$C$10:$C$224,$C409,'TL12'!$J$10:$J$224),0),
IF('TL12'!$B$229=Q$3,SUMIF('TL12'!$C$238:$C$451,$C409,'TL12'!$J$238:$J$451),0),
IF('TL13'!$B$3=Q$3,SUMIF('TL13'!$C$10:$C$224,$C409,'TL13'!$J$10:$J$224),0),
IF('TL13'!$B$229=Q$3,SUMIF('TL13'!$C$238:$C$451,$C409,'TL13'!$J$238:$J$451),0),
IF('TL14'!$B$3=Q$3,SUMIF('TL14'!$C$10:$C$224,$C409,'TL14'!$J$10:$J$224),0),
IF('TL14'!$B$229=Q$3,SUMIF('TL14'!$C$238:$C$451,$C409,'TL14'!$J$238:$J$451),0),
IF('TL15'!$B$3=Q$3,SUMIF('TL15'!$C$10:$C$224,$C409,'TL15'!$J$10:$J$224),0),
IF('TL15'!$B$229=Q$3,SUMIF('TL15'!$C$238:$C$451,$C409,'TL15'!$J$238:$J$451),0),
IF('TL16'!$B$3=Q$3,SUMIF('TL16'!$C$10:$C$224,$C409,'TL16'!$J$10:$J$224),0),
IF('TL16'!$B$229=Q$3,SUMIF('TL16'!$C$238:$C$451,$C409,'TL16'!$J$238:$J$451),0),
IF('TL17'!$B$3=Q$3,SUMIF('TL17'!$C$10:$C$224,$C409,'TL17'!$J$10:$J$224),0),
IF('TL17'!$B$229=Q$3,SUMIF('TL17'!$C$238:$C$451,$C409,'TL17'!$J$238:$J$451),0),
IF('TL18'!$B$3=Q$3,SUMIF('TL18'!$C$10:$C$224,$C409,'TL18'!$J$10:$J$224),0),
IF('TL18'!$B$229=Q$3,SUMIF('TL18'!$C$238:$C$451,$C409,'TL18'!$J$238:$J$451),0),
IF('TL19'!$B$3=Q$3,SUMIF('TL19'!$C$10:$C$224,$C409,'TL19'!$J$10:$J$224),0),
IF('TL19'!$B$229=Q$3,SUMIF('TL19'!$C$238:$C$451,$C409,'TL19'!$J$238:$J$451),0)
),0)</f>
        <v/>
      </c>
      <c r="R409" s="139">
        <f>IFERROR(
SUM(
SUMIF('TL01'!C:C,C409,'TL01'!J:J),
SUMIF('TL02'!C:C,C409,'TL02'!I:I),
SUMIF('TL03'!C:C,C409,'TL03'!I:I),
SUMIF('TL04'!C:C,C409,'TL04'!I:I),
SUMIF('TL05'!C:C,C409,'TL05'!I:I),
SUMIF('TL06'!C:C,C409,'TL06'!I:I),
SUMIF('TL07'!C:C,C409,'TL07'!I:I),
SUMIF('TL08'!C:C,C409,'TL08'!I:I),
SUMIF('TL09'!C:C,C409,'TL09'!I:I),
SUMIF('TL10'!C:C,C409,'TL10'!I:I),
SUMIF('TL11'!C:C,C409,'TL11'!I:I),
SUMIF('TL12'!C:C,C409,'TL12'!I:I),
SUMIF('TL13'!C:C,C409,'TL13'!I:I),
SUMIF('TL14'!C:C,C409,'TL14'!I:I),
SUMIF('TL15'!C:C,C409,'TL15'!I:I),
SUMIF('TL16'!C:C,C409,'TL16'!I:I),
SUMIF('TL17'!C:C,C409,'TL17'!I:I),
SUMIF('TL18'!C:C,C409,'TL18'!I:I))
,0)</f>
        <v/>
      </c>
      <c r="S409" s="142">
        <f>'CUSTO OPERAÇÃO'!M13</f>
        <v/>
      </c>
      <c r="T409" s="139" t="n"/>
      <c r="U409" s="143">
        <f>MAX(0,R409-T409)</f>
        <v/>
      </c>
      <c r="V409" s="144">
        <f>U409*S409</f>
        <v/>
      </c>
    </row>
    <row r="410" hidden="1" ht="15.75" customHeight="1" s="297">
      <c r="A410" s="145" t="n"/>
      <c r="B410" s="146" t="inlineStr">
        <is>
          <t>MÁQUINAS</t>
        </is>
      </c>
      <c r="C410" s="147">
        <f>'CUSTO OPERAÇÃO'!D14</f>
        <v/>
      </c>
      <c r="D410" s="147" t="n"/>
      <c r="E410" s="148" t="n"/>
      <c r="F410" s="138" t="inlineStr">
        <is>
          <t>R$/Ha</t>
        </is>
      </c>
      <c r="G410" s="139" t="n"/>
      <c r="H410" s="140">
        <f>'CUSTO OPERAÇÃO'!J14</f>
        <v/>
      </c>
      <c r="I410" s="149" t="n"/>
      <c r="J410" s="147">
        <f>IFERROR(SUM(
IF('TL01'!$B$3=J$3,SUMIF('TL01'!$C$10:$C$224,$C410,'TL01'!$J$10:$J$224),0),
IF('TL01'!$B$229=J$3,SUMIF('TL01'!$C$238:$C$451,$C410,'TL01'!$J$238:$J$451),0),
IF('TL02'!$B$3=J$3,SUMIF('TL02'!$C$10:$C$224,$C410,'TL02'!$J$10:$J$224),0),
IF('TL02'!$B$229=J$3,SUMIF('TL02'!$C$238:$C$451,$C410,'TL02'!$J$238:$J$451),0),
IF('TL03'!$B$3=J$3,SUMIF('TL03'!$C$10:$C$224,$C410,'TL03'!$J$10:$J$224),0),
IF('TL03'!$B$229=J$3,SUMIF('TL03'!$C$238:$C$451,$C410,'TL03'!$J$238:$J$451),0),
IF('TL04'!$B$3=J$3,SUMIF('TL04'!$C$10:$C$224,$C410,'TL04'!$J$10:$J$224),0),
IF('TL04'!$B$229=J$3,SUMIF('TL04'!$C$238:$C$451,$C410,'TL04'!$J$238:$J$451),0),
IF('TL05'!$B$3=J$3,SUMIF('TL05'!$C$10:$C$224,$C410,'TL05'!$J$10:$J$224),0),
IF('TL05'!$B$229=J$3,SUMIF('TL05'!$C$238:$C$451,$C410,'TL05'!$J$238:$J$451),0),
IF('TL06'!$B$3=J$3,SUMIF('TL06'!$C$10:$C$224,$C410,'TL06'!$J$10:$J$224),0),
IF('TL06'!$B$229=J$3,SUMIF('TL06'!$C$238:$C$451,$C410,'TL06'!$J$238:$J$451),0),
IF('TL07'!$B$3=J$3,SUMIF('TL07'!$C$10:$C$224,$C410,'TL07'!$J$10:$J$224),0),
IF('TL07'!$B$229=J$3,SUMIF('TL07'!$C$238:$C$451,$C410,'TL07'!$J$238:$J$451),0),
IF('TL08'!$B$3=J$3,SUMIF('TL08'!$C$10:$C$224,$C410,'TL08'!$J$10:$J$224),0),
IF('TL08'!$B$229=J$3,SUMIF('TL08'!$C$238:$C$451,$C410,'TL08'!$J$238:$J$451),0),
IF('TL09'!$B$3=J$3,SUMIF('TL09'!$C$10:$C$224,$C410,'TL09'!$J$10:$J$224),0),
IF('TL09'!$B$229=J$3,SUMIF('TL09'!$C$238:$C$451,$C410,'TL09'!$J$238:$J$451),0),
IF('TL10'!$B$3=J$3,SUMIF('TL10'!$C$10:$C$224,$C410,'TL10'!$J$10:$J$224),0),
IF('TL10'!$B$229=J$3,SUMIF('TL10'!$C$238:$C$451,$C410,'TL10'!$J$238:$J$451),0),
IF('TL11'!$B$3=J$3,SUMIF('TL11'!$C$10:$C$224,$C410,'TL11'!$J$10:$J$224),0),
IF('TL11'!$B$229=J$3,SUMIF('TL11'!$C$238:$C$451,$C410,'TL11'!$J$238:$J$451),0),
IF('TL12'!$B$3=J$3,SUMIF('TL12'!$C$10:$C$224,$C410,'TL12'!$J$10:$J$224),0),
IF('TL12'!$B$229=J$3,SUMIF('TL12'!$C$238:$C$451,$C410,'TL12'!$J$238:$J$451),0),
IF('TL13'!$B$3=J$3,SUMIF('TL13'!$C$10:$C$224,$C410,'TL13'!$J$10:$J$224),0),
IF('TL13'!$B$229=J$3,SUMIF('TL13'!$C$238:$C$451,$C410,'TL13'!$J$238:$J$451),0),
IF('TL14'!$B$3=J$3,SUMIF('TL14'!$C$10:$C$224,$C410,'TL14'!$J$10:$J$224),0),
IF('TL14'!$B$229=J$3,SUMIF('TL14'!$C$238:$C$451,$C410,'TL14'!$J$238:$J$451),0),
IF('TL15'!$B$3=J$3,SUMIF('TL15'!$C$10:$C$224,$C410,'TL15'!$J$10:$J$224),0),
IF('TL15'!$B$229=J$3,SUMIF('TL15'!$C$238:$C$451,$C410,'TL15'!$J$238:$J$451),0),
IF('TL16'!$B$3=J$3,SUMIF('TL16'!$C$10:$C$224,$C410,'TL16'!$J$10:$J$224),0),
IF('TL16'!$B$229=J$3,SUMIF('TL16'!$C$238:$C$451,$C410,'TL16'!$J$238:$J$451),0),
IF('TL17'!$B$3=J$3,SUMIF('TL17'!$C$10:$C$224,$C410,'TL17'!$J$10:$J$224),0),
IF('TL17'!$B$229=J$3,SUMIF('TL17'!$C$238:$C$451,$C410,'TL17'!$J$238:$J$451),0),
IF('TL18'!$B$3=J$3,SUMIF('TL18'!$C$10:$C$224,$C410,'TL18'!$J$10:$J$224),0),
IF('TL18'!$B$229=J$3,SUMIF('TL18'!$C$238:$C$451,$C410,'TL18'!$J$238:$J$451),0),
IF('TL19'!$B$3=J$3,SUMIF('TL19'!$C$10:$C$224,$C410,'TL19'!$J$10:$J$224),0),
IF('TL19'!$B$229=J$3,SUMIF('TL19'!$C$238:$C$451,$C410,'TL19'!$J$238:$J$451),0)
),0)</f>
        <v/>
      </c>
      <c r="K410" s="147">
        <f>IFERROR(SUM(
IF('TL01'!$B$3=K$3,SUMIF('TL01'!$C$10:$C$224,$C410,'TL01'!$J$10:$J$224),0),
IF('TL01'!$B$229=K$3,SUMIF('TL01'!$C$238:$C$451,$C410,'TL01'!$J$238:$J$451),0),
IF('TL02'!$B$3=K$3,SUMIF('TL02'!$C$10:$C$224,$C410,'TL02'!$J$10:$J$224),0),
IF('TL02'!$B$229=K$3,SUMIF('TL02'!$C$238:$C$451,$C410,'TL02'!$J$238:$J$451),0),
IF('TL03'!$B$3=K$3,SUMIF('TL03'!$C$10:$C$224,$C410,'TL03'!$J$10:$J$224),0),
IF('TL03'!$B$229=K$3,SUMIF('TL03'!$C$238:$C$451,$C410,'TL03'!$J$238:$J$451),0),
IF('TL04'!$B$3=K$3,SUMIF('TL04'!$C$10:$C$224,$C410,'TL04'!$J$10:$J$224),0),
IF('TL04'!$B$229=K$3,SUMIF('TL04'!$C$238:$C$451,$C410,'TL04'!$J$238:$J$451),0),
IF('TL05'!$B$3=K$3,SUMIF('TL05'!$C$10:$C$224,$C410,'TL05'!$J$10:$J$224),0),
IF('TL05'!$B$229=K$3,SUMIF('TL05'!$C$238:$C$451,$C410,'TL05'!$J$238:$J$451),0),
IF('TL06'!$B$3=K$3,SUMIF('TL06'!$C$10:$C$224,$C410,'TL06'!$J$10:$J$224),0),
IF('TL06'!$B$229=K$3,SUMIF('TL06'!$C$238:$C$451,$C410,'TL06'!$J$238:$J$451),0),
IF('TL07'!$B$3=K$3,SUMIF('TL07'!$C$10:$C$224,$C410,'TL07'!$J$10:$J$224),0),
IF('TL07'!$B$229=K$3,SUMIF('TL07'!$C$238:$C$451,$C410,'TL07'!$J$238:$J$451),0),
IF('TL08'!$B$3=K$3,SUMIF('TL08'!$C$10:$C$224,$C410,'TL08'!$J$10:$J$224),0),
IF('TL08'!$B$229=K$3,SUMIF('TL08'!$C$238:$C$451,$C410,'TL08'!$J$238:$J$451),0),
IF('TL09'!$B$3=K$3,SUMIF('TL09'!$C$10:$C$224,$C410,'TL09'!$J$10:$J$224),0),
IF('TL09'!$B$229=K$3,SUMIF('TL09'!$C$238:$C$451,$C410,'TL09'!$J$238:$J$451),0),
IF('TL10'!$B$3=K$3,SUMIF('TL10'!$C$10:$C$224,$C410,'TL10'!$J$10:$J$224),0),
IF('TL10'!$B$229=K$3,SUMIF('TL10'!$C$238:$C$451,$C410,'TL10'!$J$238:$J$451),0),
IF('TL11'!$B$3=K$3,SUMIF('TL11'!$C$10:$C$224,$C410,'TL11'!$J$10:$J$224),0),
IF('TL11'!$B$229=K$3,SUMIF('TL11'!$C$238:$C$451,$C410,'TL11'!$J$238:$J$451),0),
IF('TL12'!$B$3=K$3,SUMIF('TL12'!$C$10:$C$224,$C410,'TL12'!$J$10:$J$224),0),
IF('TL12'!$B$229=K$3,SUMIF('TL12'!$C$238:$C$451,$C410,'TL12'!$J$238:$J$451),0),
IF('TL13'!$B$3=K$3,SUMIF('TL13'!$C$10:$C$224,$C410,'TL13'!$J$10:$J$224),0),
IF('TL13'!$B$229=K$3,SUMIF('TL13'!$C$238:$C$451,$C410,'TL13'!$J$238:$J$451),0),
IF('TL14'!$B$3=K$3,SUMIF('TL14'!$C$10:$C$224,$C410,'TL14'!$J$10:$J$224),0),
IF('TL14'!$B$229=K$3,SUMIF('TL14'!$C$238:$C$451,$C410,'TL14'!$J$238:$J$451),0),
IF('TL15'!$B$3=K$3,SUMIF('TL15'!$C$10:$C$224,$C410,'TL15'!$J$10:$J$224),0),
IF('TL15'!$B$229=K$3,SUMIF('TL15'!$C$238:$C$451,$C410,'TL15'!$J$238:$J$451),0),
IF('TL16'!$B$3=K$3,SUMIF('TL16'!$C$10:$C$224,$C410,'TL16'!$J$10:$J$224),0),
IF('TL16'!$B$229=K$3,SUMIF('TL16'!$C$238:$C$451,$C410,'TL16'!$J$238:$J$451),0),
IF('TL17'!$B$3=K$3,SUMIF('TL17'!$C$10:$C$224,$C410,'TL17'!$J$10:$J$224),0),
IF('TL17'!$B$229=K$3,SUMIF('TL17'!$C$238:$C$451,$C410,'TL17'!$J$238:$J$451),0),
IF('TL18'!$B$3=K$3,SUMIF('TL18'!$C$10:$C$224,$C410,'TL18'!$J$10:$J$224),0),
IF('TL18'!$B$229=K$3,SUMIF('TL18'!$C$238:$C$451,$C410,'TL18'!$J$238:$J$451),0),
IF('TL19'!$B$3=K$3,SUMIF('TL19'!$C$10:$C$224,$C410,'TL19'!$J$10:$J$224),0),
IF('TL19'!$B$229=K$3,SUMIF('TL19'!$C$238:$C$451,$C410,'TL19'!$J$238:$J$451),0)
),0)</f>
        <v/>
      </c>
      <c r="L410" s="147">
        <f>IFERROR(SUM(
IF('TL01'!$B$3=L$3,SUMIF('TL01'!$C$10:$C$224,$C410,'TL01'!$J$10:$J$224),0),
IF('TL01'!$B$229=L$3,SUMIF('TL01'!$C$238:$C$451,$C410,'TL01'!$J$238:$J$451),0),
IF('TL02'!$B$3=L$3,SUMIF('TL02'!$C$10:$C$224,$C410,'TL02'!$J$10:$J$224),0),
IF('TL02'!$B$229=L$3,SUMIF('TL02'!$C$238:$C$451,$C410,'TL02'!$J$238:$J$451),0),
IF('TL03'!$B$3=L$3,SUMIF('TL03'!$C$10:$C$224,$C410,'TL03'!$J$10:$J$224),0),
IF('TL03'!$B$229=L$3,SUMIF('TL03'!$C$238:$C$451,$C410,'TL03'!$J$238:$J$451),0),
IF('TL04'!$B$3=L$3,SUMIF('TL04'!$C$10:$C$224,$C410,'TL04'!$J$10:$J$224),0),
IF('TL04'!$B$229=L$3,SUMIF('TL04'!$C$238:$C$451,$C410,'TL04'!$J$238:$J$451),0),
IF('TL05'!$B$3=L$3,SUMIF('TL05'!$C$10:$C$224,$C410,'TL05'!$J$10:$J$224),0),
IF('TL05'!$B$229=L$3,SUMIF('TL05'!$C$238:$C$451,$C410,'TL05'!$J$238:$J$451),0),
IF('TL06'!$B$3=L$3,SUMIF('TL06'!$C$10:$C$224,$C410,'TL06'!$J$10:$J$224),0),
IF('TL06'!$B$229=L$3,SUMIF('TL06'!$C$238:$C$451,$C410,'TL06'!$J$238:$J$451),0),
IF('TL07'!$B$3=L$3,SUMIF('TL07'!$C$10:$C$224,$C410,'TL07'!$J$10:$J$224),0),
IF('TL07'!$B$229=L$3,SUMIF('TL07'!$C$238:$C$451,$C410,'TL07'!$J$238:$J$451),0),
IF('TL08'!$B$3=L$3,SUMIF('TL08'!$C$10:$C$224,$C410,'TL08'!$J$10:$J$224),0),
IF('TL08'!$B$229=L$3,SUMIF('TL08'!$C$238:$C$451,$C410,'TL08'!$J$238:$J$451),0),
IF('TL09'!$B$3=L$3,SUMIF('TL09'!$C$10:$C$224,$C410,'TL09'!$J$10:$J$224),0),
IF('TL09'!$B$229=L$3,SUMIF('TL09'!$C$238:$C$451,$C410,'TL09'!$J$238:$J$451),0),
IF('TL10'!$B$3=L$3,SUMIF('TL10'!$C$10:$C$224,$C410,'TL10'!$J$10:$J$224),0),
IF('TL10'!$B$229=L$3,SUMIF('TL10'!$C$238:$C$451,$C410,'TL10'!$J$238:$J$451),0),
IF('TL11'!$B$3=L$3,SUMIF('TL11'!$C$10:$C$224,$C410,'TL11'!$J$10:$J$224),0),
IF('TL11'!$B$229=L$3,SUMIF('TL11'!$C$238:$C$451,$C410,'TL11'!$J$238:$J$451),0),
IF('TL12'!$B$3=L$3,SUMIF('TL12'!$C$10:$C$224,$C410,'TL12'!$J$10:$J$224),0),
IF('TL12'!$B$229=L$3,SUMIF('TL12'!$C$238:$C$451,$C410,'TL12'!$J$238:$J$451),0),
IF('TL13'!$B$3=L$3,SUMIF('TL13'!$C$10:$C$224,$C410,'TL13'!$J$10:$J$224),0),
IF('TL13'!$B$229=L$3,SUMIF('TL13'!$C$238:$C$451,$C410,'TL13'!$J$238:$J$451),0),
IF('TL14'!$B$3=L$3,SUMIF('TL14'!$C$10:$C$224,$C410,'TL14'!$J$10:$J$224),0),
IF('TL14'!$B$229=L$3,SUMIF('TL14'!$C$238:$C$451,$C410,'TL14'!$J$238:$J$451),0),
IF('TL15'!$B$3=L$3,SUMIF('TL15'!$C$10:$C$224,$C410,'TL15'!$J$10:$J$224),0),
IF('TL15'!$B$229=L$3,SUMIF('TL15'!$C$238:$C$451,$C410,'TL15'!$J$238:$J$451),0),
IF('TL16'!$B$3=L$3,SUMIF('TL16'!$C$10:$C$224,$C410,'TL16'!$J$10:$J$224),0),
IF('TL16'!$B$229=L$3,SUMIF('TL16'!$C$238:$C$451,$C410,'TL16'!$J$238:$J$451),0),
IF('TL17'!$B$3=L$3,SUMIF('TL17'!$C$10:$C$224,$C410,'TL17'!$J$10:$J$224),0),
IF('TL17'!$B$229=L$3,SUMIF('TL17'!$C$238:$C$451,$C410,'TL17'!$J$238:$J$451),0),
IF('TL18'!$B$3=L$3,SUMIF('TL18'!$C$10:$C$224,$C410,'TL18'!$J$10:$J$224),0),
IF('TL18'!$B$229=L$3,SUMIF('TL18'!$C$238:$C$451,$C410,'TL18'!$J$238:$J$451),0),
IF('TL19'!$B$3=L$3,SUMIF('TL19'!$C$10:$C$224,$C410,'TL19'!$J$10:$J$224),0),
IF('TL19'!$B$229=L$3,SUMIF('TL19'!$C$238:$C$451,$C410,'TL19'!$J$238:$J$451),0)
),0)</f>
        <v/>
      </c>
      <c r="M410" s="147">
        <f>IFERROR(SUM(
IF('TL01'!$B$3=M$3,SUMIF('TL01'!$C$10:$C$224,$C410,'TL01'!$J$10:$J$224),0),
IF('TL01'!$B$229=M$3,SUMIF('TL01'!$C$238:$C$451,$C410,'TL01'!$J$238:$J$451),0),
IF('TL02'!$B$3=M$3,SUMIF('TL02'!$C$10:$C$224,$C410,'TL02'!$J$10:$J$224),0),
IF('TL02'!$B$229=M$3,SUMIF('TL02'!$C$238:$C$451,$C410,'TL02'!$J$238:$J$451),0),
IF('TL03'!$B$3=M$3,SUMIF('TL03'!$C$10:$C$224,$C410,'TL03'!$J$10:$J$224),0),
IF('TL03'!$B$229=M$3,SUMIF('TL03'!$C$238:$C$451,$C410,'TL03'!$J$238:$J$451),0),
IF('TL04'!$B$3=M$3,SUMIF('TL04'!$C$10:$C$224,$C410,'TL04'!$J$10:$J$224),0),
IF('TL04'!$B$229=M$3,SUMIF('TL04'!$C$238:$C$451,$C410,'TL04'!$J$238:$J$451),0),
IF('TL05'!$B$3=M$3,SUMIF('TL05'!$C$10:$C$224,$C410,'TL05'!$J$10:$J$224),0),
IF('TL05'!$B$229=M$3,SUMIF('TL05'!$C$238:$C$451,$C410,'TL05'!$J$238:$J$451),0),
IF('TL06'!$B$3=M$3,SUMIF('TL06'!$C$10:$C$224,$C410,'TL06'!$J$10:$J$224),0),
IF('TL06'!$B$229=M$3,SUMIF('TL06'!$C$238:$C$451,$C410,'TL06'!$J$238:$J$451),0),
IF('TL07'!$B$3=M$3,SUMIF('TL07'!$C$10:$C$224,$C410,'TL07'!$J$10:$J$224),0),
IF('TL07'!$B$229=M$3,SUMIF('TL07'!$C$238:$C$451,$C410,'TL07'!$J$238:$J$451),0),
IF('TL08'!$B$3=M$3,SUMIF('TL08'!$C$10:$C$224,$C410,'TL08'!$J$10:$J$224),0),
IF('TL08'!$B$229=M$3,SUMIF('TL08'!$C$238:$C$451,$C410,'TL08'!$J$238:$J$451),0),
IF('TL09'!$B$3=M$3,SUMIF('TL09'!$C$10:$C$224,$C410,'TL09'!$J$10:$J$224),0),
IF('TL09'!$B$229=M$3,SUMIF('TL09'!$C$238:$C$451,$C410,'TL09'!$J$238:$J$451),0),
IF('TL10'!$B$3=M$3,SUMIF('TL10'!$C$10:$C$224,$C410,'TL10'!$J$10:$J$224),0),
IF('TL10'!$B$229=M$3,SUMIF('TL10'!$C$238:$C$451,$C410,'TL10'!$J$238:$J$451),0),
IF('TL11'!$B$3=M$3,SUMIF('TL11'!$C$10:$C$224,$C410,'TL11'!$J$10:$J$224),0),
IF('TL11'!$B$229=M$3,SUMIF('TL11'!$C$238:$C$451,$C410,'TL11'!$J$238:$J$451),0),
IF('TL12'!$B$3=M$3,SUMIF('TL12'!$C$10:$C$224,$C410,'TL12'!$J$10:$J$224),0),
IF('TL12'!$B$229=M$3,SUMIF('TL12'!$C$238:$C$451,$C410,'TL12'!$J$238:$J$451),0),
IF('TL13'!$B$3=M$3,SUMIF('TL13'!$C$10:$C$224,$C410,'TL13'!$J$10:$J$224),0),
IF('TL13'!$B$229=M$3,SUMIF('TL13'!$C$238:$C$451,$C410,'TL13'!$J$238:$J$451),0),
IF('TL14'!$B$3=M$3,SUMIF('TL14'!$C$10:$C$224,$C410,'TL14'!$J$10:$J$224),0),
IF('TL14'!$B$229=M$3,SUMIF('TL14'!$C$238:$C$451,$C410,'TL14'!$J$238:$J$451),0),
IF('TL15'!$B$3=M$3,SUMIF('TL15'!$C$10:$C$224,$C410,'TL15'!$J$10:$J$224),0),
IF('TL15'!$B$229=M$3,SUMIF('TL15'!$C$238:$C$451,$C410,'TL15'!$J$238:$J$451),0),
IF('TL16'!$B$3=M$3,SUMIF('TL16'!$C$10:$C$224,$C410,'TL16'!$J$10:$J$224),0),
IF('TL16'!$B$229=M$3,SUMIF('TL16'!$C$238:$C$451,$C410,'TL16'!$J$238:$J$451),0),
IF('TL17'!$B$3=M$3,SUMIF('TL17'!$C$10:$C$224,$C410,'TL17'!$J$10:$J$224),0),
IF('TL17'!$B$229=M$3,SUMIF('TL17'!$C$238:$C$451,$C410,'TL17'!$J$238:$J$451),0),
IF('TL18'!$B$3=M$3,SUMIF('TL18'!$C$10:$C$224,$C410,'TL18'!$J$10:$J$224),0),
IF('TL18'!$B$229=M$3,SUMIF('TL18'!$C$238:$C$451,$C410,'TL18'!$J$238:$J$451),0),
IF('TL19'!$B$3=M$3,SUMIF('TL19'!$C$10:$C$224,$C410,'TL19'!$J$10:$J$224),0),
IF('TL19'!$B$229=M$3,SUMIF('TL19'!$C$238:$C$451,$C410,'TL19'!$J$238:$J$451),0)
),0)</f>
        <v/>
      </c>
      <c r="N410" s="147">
        <f>IFERROR(SUM(
IF('TL01'!$B$3=N$3,SUMIF('TL01'!$C$10:$C$224,$C410,'TL01'!$J$10:$J$224),0),
IF('TL01'!$B$229=N$3,SUMIF('TL01'!$C$238:$C$451,$C410,'TL01'!$J$238:$J$451),0),
IF('TL02'!$B$3=N$3,SUMIF('TL02'!$C$10:$C$224,$C410,'TL02'!$J$10:$J$224),0),
IF('TL02'!$B$229=N$3,SUMIF('TL02'!$C$238:$C$451,$C410,'TL02'!$J$238:$J$451),0),
IF('TL03'!$B$3=N$3,SUMIF('TL03'!$C$10:$C$224,$C410,'TL03'!$J$10:$J$224),0),
IF('TL03'!$B$229=N$3,SUMIF('TL03'!$C$238:$C$451,$C410,'TL03'!$J$238:$J$451),0),
IF('TL04'!$B$3=N$3,SUMIF('TL04'!$C$10:$C$224,$C410,'TL04'!$J$10:$J$224),0),
IF('TL04'!$B$229=N$3,SUMIF('TL04'!$C$238:$C$451,$C410,'TL04'!$J$238:$J$451),0),
IF('TL05'!$B$3=N$3,SUMIF('TL05'!$C$10:$C$224,$C410,'TL05'!$J$10:$J$224),0),
IF('TL05'!$B$229=N$3,SUMIF('TL05'!$C$238:$C$451,$C410,'TL05'!$J$238:$J$451),0),
IF('TL06'!$B$3=N$3,SUMIF('TL06'!$C$10:$C$224,$C410,'TL06'!$J$10:$J$224),0),
IF('TL06'!$B$229=N$3,SUMIF('TL06'!$C$238:$C$451,$C410,'TL06'!$J$238:$J$451),0),
IF('TL07'!$B$3=N$3,SUMIF('TL07'!$C$10:$C$224,$C410,'TL07'!$J$10:$J$224),0),
IF('TL07'!$B$229=N$3,SUMIF('TL07'!$C$238:$C$451,$C410,'TL07'!$J$238:$J$451),0),
IF('TL08'!$B$3=N$3,SUMIF('TL08'!$C$10:$C$224,$C410,'TL08'!$J$10:$J$224),0),
IF('TL08'!$B$229=N$3,SUMIF('TL08'!$C$238:$C$451,$C410,'TL08'!$J$238:$J$451),0),
IF('TL09'!$B$3=N$3,SUMIF('TL09'!$C$10:$C$224,$C410,'TL09'!$J$10:$J$224),0),
IF('TL09'!$B$229=N$3,SUMIF('TL09'!$C$238:$C$451,$C410,'TL09'!$J$238:$J$451),0),
IF('TL10'!$B$3=N$3,SUMIF('TL10'!$C$10:$C$224,$C410,'TL10'!$J$10:$J$224),0),
IF('TL10'!$B$229=N$3,SUMIF('TL10'!$C$238:$C$451,$C410,'TL10'!$J$238:$J$451),0),
IF('TL11'!$B$3=N$3,SUMIF('TL11'!$C$10:$C$224,$C410,'TL11'!$J$10:$J$224),0),
IF('TL11'!$B$229=N$3,SUMIF('TL11'!$C$238:$C$451,$C410,'TL11'!$J$238:$J$451),0),
IF('TL12'!$B$3=N$3,SUMIF('TL12'!$C$10:$C$224,$C410,'TL12'!$J$10:$J$224),0),
IF('TL12'!$B$229=N$3,SUMIF('TL12'!$C$238:$C$451,$C410,'TL12'!$J$238:$J$451),0),
IF('TL13'!$B$3=N$3,SUMIF('TL13'!$C$10:$C$224,$C410,'TL13'!$J$10:$J$224),0),
IF('TL13'!$B$229=N$3,SUMIF('TL13'!$C$238:$C$451,$C410,'TL13'!$J$238:$J$451),0),
IF('TL14'!$B$3=N$3,SUMIF('TL14'!$C$10:$C$224,$C410,'TL14'!$J$10:$J$224),0),
IF('TL14'!$B$229=N$3,SUMIF('TL14'!$C$238:$C$451,$C410,'TL14'!$J$238:$J$451),0),
IF('TL15'!$B$3=N$3,SUMIF('TL15'!$C$10:$C$224,$C410,'TL15'!$J$10:$J$224),0),
IF('TL15'!$B$229=N$3,SUMIF('TL15'!$C$238:$C$451,$C410,'TL15'!$J$238:$J$451),0),
IF('TL16'!$B$3=N$3,SUMIF('TL16'!$C$10:$C$224,$C410,'TL16'!$J$10:$J$224),0),
IF('TL16'!$B$229=N$3,SUMIF('TL16'!$C$238:$C$451,$C410,'TL16'!$J$238:$J$451),0),
IF('TL17'!$B$3=N$3,SUMIF('TL17'!$C$10:$C$224,$C410,'TL17'!$J$10:$J$224),0),
IF('TL17'!$B$229=N$3,SUMIF('TL17'!$C$238:$C$451,$C410,'TL17'!$J$238:$J$451),0),
IF('TL18'!$B$3=N$3,SUMIF('TL18'!$C$10:$C$224,$C410,'TL18'!$J$10:$J$224),0),
IF('TL18'!$B$229=N$3,SUMIF('TL18'!$C$238:$C$451,$C410,'TL18'!$J$238:$J$451),0),
IF('TL19'!$B$3=N$3,SUMIF('TL19'!$C$10:$C$224,$C410,'TL19'!$J$10:$J$224),0),
IF('TL19'!$B$229=N$3,SUMIF('TL19'!$C$238:$C$451,$C410,'TL19'!$J$238:$J$451),0)
),0)</f>
        <v/>
      </c>
      <c r="O410" s="147">
        <f>IFERROR(SUM(
IF('TL01'!$B$3=O$3,SUMIF('TL01'!$C$10:$C$224,$C410,'TL01'!$J$10:$J$224),0),
IF('TL01'!$B$229=O$3,SUMIF('TL01'!$C$238:$C$451,$C410,'TL01'!$J$238:$J$451),0),
IF('TL02'!$B$3=O$3,SUMIF('TL02'!$C$10:$C$224,$C410,'TL02'!$J$10:$J$224),0),
IF('TL02'!$B$229=O$3,SUMIF('TL02'!$C$238:$C$451,$C410,'TL02'!$J$238:$J$451),0),
IF('TL03'!$B$3=O$3,SUMIF('TL03'!$C$10:$C$224,$C410,'TL03'!$J$10:$J$224),0),
IF('TL03'!$B$229=O$3,SUMIF('TL03'!$C$238:$C$451,$C410,'TL03'!$J$238:$J$451),0),
IF('TL04'!$B$3=O$3,SUMIF('TL04'!$C$10:$C$224,$C410,'TL04'!$J$10:$J$224),0),
IF('TL04'!$B$229=O$3,SUMIF('TL04'!$C$238:$C$451,$C410,'TL04'!$J$238:$J$451),0),
IF('TL05'!$B$3=O$3,SUMIF('TL05'!$C$10:$C$224,$C410,'TL05'!$J$10:$J$224),0),
IF('TL05'!$B$229=O$3,SUMIF('TL05'!$C$238:$C$451,$C410,'TL05'!$J$238:$J$451),0),
IF('TL06'!$B$3=O$3,SUMIF('TL06'!$C$10:$C$224,$C410,'TL06'!$J$10:$J$224),0),
IF('TL06'!$B$229=O$3,SUMIF('TL06'!$C$238:$C$451,$C410,'TL06'!$J$238:$J$451),0),
IF('TL07'!$B$3=O$3,SUMIF('TL07'!$C$10:$C$224,$C410,'TL07'!$J$10:$J$224),0),
IF('TL07'!$B$229=O$3,SUMIF('TL07'!$C$238:$C$451,$C410,'TL07'!$J$238:$J$451),0),
IF('TL08'!$B$3=O$3,SUMIF('TL08'!$C$10:$C$224,$C410,'TL08'!$J$10:$J$224),0),
IF('TL08'!$B$229=O$3,SUMIF('TL08'!$C$238:$C$451,$C410,'TL08'!$J$238:$J$451),0),
IF('TL09'!$B$3=O$3,SUMIF('TL09'!$C$10:$C$224,$C410,'TL09'!$J$10:$J$224),0),
IF('TL09'!$B$229=O$3,SUMIF('TL09'!$C$238:$C$451,$C410,'TL09'!$J$238:$J$451),0),
IF('TL10'!$B$3=O$3,SUMIF('TL10'!$C$10:$C$224,$C410,'TL10'!$J$10:$J$224),0),
IF('TL10'!$B$229=O$3,SUMIF('TL10'!$C$238:$C$451,$C410,'TL10'!$J$238:$J$451),0),
IF('TL11'!$B$3=O$3,SUMIF('TL11'!$C$10:$C$224,$C410,'TL11'!$J$10:$J$224),0),
IF('TL11'!$B$229=O$3,SUMIF('TL11'!$C$238:$C$451,$C410,'TL11'!$J$238:$J$451),0),
IF('TL12'!$B$3=O$3,SUMIF('TL12'!$C$10:$C$224,$C410,'TL12'!$J$10:$J$224),0),
IF('TL12'!$B$229=O$3,SUMIF('TL12'!$C$238:$C$451,$C410,'TL12'!$J$238:$J$451),0),
IF('TL13'!$B$3=O$3,SUMIF('TL13'!$C$10:$C$224,$C410,'TL13'!$J$10:$J$224),0),
IF('TL13'!$B$229=O$3,SUMIF('TL13'!$C$238:$C$451,$C410,'TL13'!$J$238:$J$451),0),
IF('TL14'!$B$3=O$3,SUMIF('TL14'!$C$10:$C$224,$C410,'TL14'!$J$10:$J$224),0),
IF('TL14'!$B$229=O$3,SUMIF('TL14'!$C$238:$C$451,$C410,'TL14'!$J$238:$J$451),0),
IF('TL15'!$B$3=O$3,SUMIF('TL15'!$C$10:$C$224,$C410,'TL15'!$J$10:$J$224),0),
IF('TL15'!$B$229=O$3,SUMIF('TL15'!$C$238:$C$451,$C410,'TL15'!$J$238:$J$451),0),
IF('TL16'!$B$3=O$3,SUMIF('TL16'!$C$10:$C$224,$C410,'TL16'!$J$10:$J$224),0),
IF('TL16'!$B$229=O$3,SUMIF('TL16'!$C$238:$C$451,$C410,'TL16'!$J$238:$J$451),0),
IF('TL17'!$B$3=O$3,SUMIF('TL17'!$C$10:$C$224,$C410,'TL17'!$J$10:$J$224),0),
IF('TL17'!$B$229=O$3,SUMIF('TL17'!$C$238:$C$451,$C410,'TL17'!$J$238:$J$451),0),
IF('TL18'!$B$3=O$3,SUMIF('TL18'!$C$10:$C$224,$C410,'TL18'!$J$10:$J$224),0),
IF('TL18'!$B$229=O$3,SUMIF('TL18'!$C$238:$C$451,$C410,'TL18'!$J$238:$J$451),0),
IF('TL19'!$B$3=O$3,SUMIF('TL19'!$C$10:$C$224,$C410,'TL19'!$J$10:$J$224),0),
IF('TL19'!$B$229=O$3,SUMIF('TL19'!$C$238:$C$451,$C410,'TL19'!$J$238:$J$451),0)
),0)</f>
        <v/>
      </c>
      <c r="P410" s="147">
        <f>IFERROR(SUM(
IF('TL01'!$B$3=P$3,SUMIF('TL01'!$C$10:$C$224,$C410,'TL01'!$J$10:$J$224),0),
IF('TL01'!$B$229=P$3,SUMIF('TL01'!$C$238:$C$451,$C410,'TL01'!$J$238:$J$451),0),
IF('TL02'!$B$3=P$3,SUMIF('TL02'!$C$10:$C$224,$C410,'TL02'!$J$10:$J$224),0),
IF('TL02'!$B$229=P$3,SUMIF('TL02'!$C$238:$C$451,$C410,'TL02'!$J$238:$J$451),0),
IF('TL03'!$B$3=P$3,SUMIF('TL03'!$C$10:$C$224,$C410,'TL03'!$J$10:$J$224),0),
IF('TL03'!$B$229=P$3,SUMIF('TL03'!$C$238:$C$451,$C410,'TL03'!$J$238:$J$451),0),
IF('TL04'!$B$3=P$3,SUMIF('TL04'!$C$10:$C$224,$C410,'TL04'!$J$10:$J$224),0),
IF('TL04'!$B$229=P$3,SUMIF('TL04'!$C$238:$C$451,$C410,'TL04'!$J$238:$J$451),0),
IF('TL05'!$B$3=P$3,SUMIF('TL05'!$C$10:$C$224,$C410,'TL05'!$J$10:$J$224),0),
IF('TL05'!$B$229=P$3,SUMIF('TL05'!$C$238:$C$451,$C410,'TL05'!$J$238:$J$451),0),
IF('TL06'!$B$3=P$3,SUMIF('TL06'!$C$10:$C$224,$C410,'TL06'!$J$10:$J$224),0),
IF('TL06'!$B$229=P$3,SUMIF('TL06'!$C$238:$C$451,$C410,'TL06'!$J$238:$J$451),0),
IF('TL07'!$B$3=P$3,SUMIF('TL07'!$C$10:$C$224,$C410,'TL07'!$J$10:$J$224),0),
IF('TL07'!$B$229=P$3,SUMIF('TL07'!$C$238:$C$451,$C410,'TL07'!$J$238:$J$451),0),
IF('TL08'!$B$3=P$3,SUMIF('TL08'!$C$10:$C$224,$C410,'TL08'!$J$10:$J$224),0),
IF('TL08'!$B$229=P$3,SUMIF('TL08'!$C$238:$C$451,$C410,'TL08'!$J$238:$J$451),0),
IF('TL09'!$B$3=P$3,SUMIF('TL09'!$C$10:$C$224,$C410,'TL09'!$J$10:$J$224),0),
IF('TL09'!$B$229=P$3,SUMIF('TL09'!$C$238:$C$451,$C410,'TL09'!$J$238:$J$451),0),
IF('TL10'!$B$3=P$3,SUMIF('TL10'!$C$10:$C$224,$C410,'TL10'!$J$10:$J$224),0),
IF('TL10'!$B$229=P$3,SUMIF('TL10'!$C$238:$C$451,$C410,'TL10'!$J$238:$J$451),0),
IF('TL11'!$B$3=P$3,SUMIF('TL11'!$C$10:$C$224,$C410,'TL11'!$J$10:$J$224),0),
IF('TL11'!$B$229=P$3,SUMIF('TL11'!$C$238:$C$451,$C410,'TL11'!$J$238:$J$451),0),
IF('TL12'!$B$3=P$3,SUMIF('TL12'!$C$10:$C$224,$C410,'TL12'!$J$10:$J$224),0),
IF('TL12'!$B$229=P$3,SUMIF('TL12'!$C$238:$C$451,$C410,'TL12'!$J$238:$J$451),0),
IF('TL13'!$B$3=P$3,SUMIF('TL13'!$C$10:$C$224,$C410,'TL13'!$J$10:$J$224),0),
IF('TL13'!$B$229=P$3,SUMIF('TL13'!$C$238:$C$451,$C410,'TL13'!$J$238:$J$451),0),
IF('TL14'!$B$3=P$3,SUMIF('TL14'!$C$10:$C$224,$C410,'TL14'!$J$10:$J$224),0),
IF('TL14'!$B$229=P$3,SUMIF('TL14'!$C$238:$C$451,$C410,'TL14'!$J$238:$J$451),0),
IF('TL15'!$B$3=P$3,SUMIF('TL15'!$C$10:$C$224,$C410,'TL15'!$J$10:$J$224),0),
IF('TL15'!$B$229=P$3,SUMIF('TL15'!$C$238:$C$451,$C410,'TL15'!$J$238:$J$451),0),
IF('TL16'!$B$3=P$3,SUMIF('TL16'!$C$10:$C$224,$C410,'TL16'!$J$10:$J$224),0),
IF('TL16'!$B$229=P$3,SUMIF('TL16'!$C$238:$C$451,$C410,'TL16'!$J$238:$J$451),0),
IF('TL17'!$B$3=P$3,SUMIF('TL17'!$C$10:$C$224,$C410,'TL17'!$J$10:$J$224),0),
IF('TL17'!$B$229=P$3,SUMIF('TL17'!$C$238:$C$451,$C410,'TL17'!$J$238:$J$451),0),
IF('TL18'!$B$3=P$3,SUMIF('TL18'!$C$10:$C$224,$C410,'TL18'!$J$10:$J$224),0),
IF('TL18'!$B$229=P$3,SUMIF('TL18'!$C$238:$C$451,$C410,'TL18'!$J$238:$J$451),0),
IF('TL19'!$B$3=P$3,SUMIF('TL19'!$C$10:$C$224,$C410,'TL19'!$J$10:$J$224),0),
IF('TL19'!$B$229=P$3,SUMIF('TL19'!$C$238:$C$451,$C410,'TL19'!$J$238:$J$451),0)
),0)</f>
        <v/>
      </c>
      <c r="Q410" s="147">
        <f>IFERROR(SUM(
IF('TL01'!$B$3=Q$3,SUMIF('TL01'!$C$10:$C$224,$C410,'TL01'!$J$10:$J$224),0),
IF('TL01'!$B$229=Q$3,SUMIF('TL01'!$C$238:$C$451,$C410,'TL01'!$J$238:$J$451),0),
IF('TL02'!$B$3=Q$3,SUMIF('TL02'!$C$10:$C$224,$C410,'TL02'!$J$10:$J$224),0),
IF('TL02'!$B$229=Q$3,SUMIF('TL02'!$C$238:$C$451,$C410,'TL02'!$J$238:$J$451),0),
IF('TL03'!$B$3=Q$3,SUMIF('TL03'!$C$10:$C$224,$C410,'TL03'!$J$10:$J$224),0),
IF('TL03'!$B$229=Q$3,SUMIF('TL03'!$C$238:$C$451,$C410,'TL03'!$J$238:$J$451),0),
IF('TL04'!$B$3=Q$3,SUMIF('TL04'!$C$10:$C$224,$C410,'TL04'!$J$10:$J$224),0),
IF('TL04'!$B$229=Q$3,SUMIF('TL04'!$C$238:$C$451,$C410,'TL04'!$J$238:$J$451),0),
IF('TL05'!$B$3=Q$3,SUMIF('TL05'!$C$10:$C$224,$C410,'TL05'!$J$10:$J$224),0),
IF('TL05'!$B$229=Q$3,SUMIF('TL05'!$C$238:$C$451,$C410,'TL05'!$J$238:$J$451),0),
IF('TL06'!$B$3=Q$3,SUMIF('TL06'!$C$10:$C$224,$C410,'TL06'!$J$10:$J$224),0),
IF('TL06'!$B$229=Q$3,SUMIF('TL06'!$C$238:$C$451,$C410,'TL06'!$J$238:$J$451),0),
IF('TL07'!$B$3=Q$3,SUMIF('TL07'!$C$10:$C$224,$C410,'TL07'!$J$10:$J$224),0),
IF('TL07'!$B$229=Q$3,SUMIF('TL07'!$C$238:$C$451,$C410,'TL07'!$J$238:$J$451),0),
IF('TL08'!$B$3=Q$3,SUMIF('TL08'!$C$10:$C$224,$C410,'TL08'!$J$10:$J$224),0),
IF('TL08'!$B$229=Q$3,SUMIF('TL08'!$C$238:$C$451,$C410,'TL08'!$J$238:$J$451),0),
IF('TL09'!$B$3=Q$3,SUMIF('TL09'!$C$10:$C$224,$C410,'TL09'!$J$10:$J$224),0),
IF('TL09'!$B$229=Q$3,SUMIF('TL09'!$C$238:$C$451,$C410,'TL09'!$J$238:$J$451),0),
IF('TL10'!$B$3=Q$3,SUMIF('TL10'!$C$10:$C$224,$C410,'TL10'!$J$10:$J$224),0),
IF('TL10'!$B$229=Q$3,SUMIF('TL10'!$C$238:$C$451,$C410,'TL10'!$J$238:$J$451),0),
IF('TL11'!$B$3=Q$3,SUMIF('TL11'!$C$10:$C$224,$C410,'TL11'!$J$10:$J$224),0),
IF('TL11'!$B$229=Q$3,SUMIF('TL11'!$C$238:$C$451,$C410,'TL11'!$J$238:$J$451),0),
IF('TL12'!$B$3=Q$3,SUMIF('TL12'!$C$10:$C$224,$C410,'TL12'!$J$10:$J$224),0),
IF('TL12'!$B$229=Q$3,SUMIF('TL12'!$C$238:$C$451,$C410,'TL12'!$J$238:$J$451),0),
IF('TL13'!$B$3=Q$3,SUMIF('TL13'!$C$10:$C$224,$C410,'TL13'!$J$10:$J$224),0),
IF('TL13'!$B$229=Q$3,SUMIF('TL13'!$C$238:$C$451,$C410,'TL13'!$J$238:$J$451),0),
IF('TL14'!$B$3=Q$3,SUMIF('TL14'!$C$10:$C$224,$C410,'TL14'!$J$10:$J$224),0),
IF('TL14'!$B$229=Q$3,SUMIF('TL14'!$C$238:$C$451,$C410,'TL14'!$J$238:$J$451),0),
IF('TL15'!$B$3=Q$3,SUMIF('TL15'!$C$10:$C$224,$C410,'TL15'!$J$10:$J$224),0),
IF('TL15'!$B$229=Q$3,SUMIF('TL15'!$C$238:$C$451,$C410,'TL15'!$J$238:$J$451),0),
IF('TL16'!$B$3=Q$3,SUMIF('TL16'!$C$10:$C$224,$C410,'TL16'!$J$10:$J$224),0),
IF('TL16'!$B$229=Q$3,SUMIF('TL16'!$C$238:$C$451,$C410,'TL16'!$J$238:$J$451),0),
IF('TL17'!$B$3=Q$3,SUMIF('TL17'!$C$10:$C$224,$C410,'TL17'!$J$10:$J$224),0),
IF('TL17'!$B$229=Q$3,SUMIF('TL17'!$C$238:$C$451,$C410,'TL17'!$J$238:$J$451),0),
IF('TL18'!$B$3=Q$3,SUMIF('TL18'!$C$10:$C$224,$C410,'TL18'!$J$10:$J$224),0),
IF('TL18'!$B$229=Q$3,SUMIF('TL18'!$C$238:$C$451,$C410,'TL18'!$J$238:$J$451),0),
IF('TL19'!$B$3=Q$3,SUMIF('TL19'!$C$10:$C$224,$C410,'TL19'!$J$10:$J$224),0),
IF('TL19'!$B$229=Q$3,SUMIF('TL19'!$C$238:$C$451,$C410,'TL19'!$J$238:$J$451),0)
),0)</f>
        <v/>
      </c>
      <c r="R410" s="139">
        <f>IFERROR(
SUM(
SUMIF('TL01'!C:C,C410,'TL01'!J:J),
SUMIF('TL02'!C:C,C410,'TL02'!I:I),
SUMIF('TL03'!C:C,C410,'TL03'!I:I),
SUMIF('TL04'!C:C,C410,'TL04'!I:I),
SUMIF('TL05'!C:C,C410,'TL05'!I:I),
SUMIF('TL06'!C:C,C410,'TL06'!I:I),
SUMIF('TL07'!C:C,C410,'TL07'!I:I),
SUMIF('TL08'!C:C,C410,'TL08'!I:I),
SUMIF('TL09'!C:C,C410,'TL09'!I:I),
SUMIF('TL10'!C:C,C410,'TL10'!I:I),
SUMIF('TL11'!C:C,C410,'TL11'!I:I),
SUMIF('TL12'!C:C,C410,'TL12'!I:I),
SUMIF('TL13'!C:C,C410,'TL13'!I:I),
SUMIF('TL14'!C:C,C410,'TL14'!I:I),
SUMIF('TL15'!C:C,C410,'TL15'!I:I),
SUMIF('TL16'!C:C,C410,'TL16'!I:I),
SUMIF('TL17'!C:C,C410,'TL17'!I:I),
SUMIF('TL18'!C:C,C410,'TL18'!I:I))
,0)</f>
        <v/>
      </c>
      <c r="S410" s="142">
        <f>'CUSTO OPERAÇÃO'!M14</f>
        <v/>
      </c>
      <c r="T410" s="139" t="n"/>
      <c r="U410" s="143">
        <f>MAX(0,R410-T410)</f>
        <v/>
      </c>
      <c r="V410" s="144">
        <f>U410*S410</f>
        <v/>
      </c>
    </row>
    <row r="411" hidden="1" ht="15.75" customHeight="1" s="297">
      <c r="A411" s="134" t="n"/>
      <c r="B411" s="135" t="inlineStr">
        <is>
          <t>MÁQUINAS</t>
        </is>
      </c>
      <c r="C411" s="136">
        <f>'CUSTO OPERAÇÃO'!D15</f>
        <v/>
      </c>
      <c r="D411" s="136" t="n"/>
      <c r="E411" s="137" t="n"/>
      <c r="F411" s="138" t="inlineStr">
        <is>
          <t>R$/Ha</t>
        </is>
      </c>
      <c r="G411" s="139" t="n"/>
      <c r="H411" s="140">
        <f>'CUSTO OPERAÇÃO'!J15</f>
        <v/>
      </c>
      <c r="I411" s="141" t="n"/>
      <c r="J411" s="136">
        <f>IFERROR(SUM(
IF('TL01'!$B$3=J$3,SUMIF('TL01'!$C$10:$C$224,$C411,'TL01'!$J$10:$J$224),0),
IF('TL01'!$B$229=J$3,SUMIF('TL01'!$C$238:$C$451,$C411,'TL01'!$J$238:$J$451),0),
IF('TL02'!$B$3=J$3,SUMIF('TL02'!$C$10:$C$224,$C411,'TL02'!$J$10:$J$224),0),
IF('TL02'!$B$229=J$3,SUMIF('TL02'!$C$238:$C$451,$C411,'TL02'!$J$238:$J$451),0),
IF('TL03'!$B$3=J$3,SUMIF('TL03'!$C$10:$C$224,$C411,'TL03'!$J$10:$J$224),0),
IF('TL03'!$B$229=J$3,SUMIF('TL03'!$C$238:$C$451,$C411,'TL03'!$J$238:$J$451),0),
IF('TL04'!$B$3=J$3,SUMIF('TL04'!$C$10:$C$224,$C411,'TL04'!$J$10:$J$224),0),
IF('TL04'!$B$229=J$3,SUMIF('TL04'!$C$238:$C$451,$C411,'TL04'!$J$238:$J$451),0),
IF('TL05'!$B$3=J$3,SUMIF('TL05'!$C$10:$C$224,$C411,'TL05'!$J$10:$J$224),0),
IF('TL05'!$B$229=J$3,SUMIF('TL05'!$C$238:$C$451,$C411,'TL05'!$J$238:$J$451),0),
IF('TL06'!$B$3=J$3,SUMIF('TL06'!$C$10:$C$224,$C411,'TL06'!$J$10:$J$224),0),
IF('TL06'!$B$229=J$3,SUMIF('TL06'!$C$238:$C$451,$C411,'TL06'!$J$238:$J$451),0),
IF('TL07'!$B$3=J$3,SUMIF('TL07'!$C$10:$C$224,$C411,'TL07'!$J$10:$J$224),0),
IF('TL07'!$B$229=J$3,SUMIF('TL07'!$C$238:$C$451,$C411,'TL07'!$J$238:$J$451),0),
IF('TL08'!$B$3=J$3,SUMIF('TL08'!$C$10:$C$224,$C411,'TL08'!$J$10:$J$224),0),
IF('TL08'!$B$229=J$3,SUMIF('TL08'!$C$238:$C$451,$C411,'TL08'!$J$238:$J$451),0),
IF('TL09'!$B$3=J$3,SUMIF('TL09'!$C$10:$C$224,$C411,'TL09'!$J$10:$J$224),0),
IF('TL09'!$B$229=J$3,SUMIF('TL09'!$C$238:$C$451,$C411,'TL09'!$J$238:$J$451),0),
IF('TL10'!$B$3=J$3,SUMIF('TL10'!$C$10:$C$224,$C411,'TL10'!$J$10:$J$224),0),
IF('TL10'!$B$229=J$3,SUMIF('TL10'!$C$238:$C$451,$C411,'TL10'!$J$238:$J$451),0),
IF('TL11'!$B$3=J$3,SUMIF('TL11'!$C$10:$C$224,$C411,'TL11'!$J$10:$J$224),0),
IF('TL11'!$B$229=J$3,SUMIF('TL11'!$C$238:$C$451,$C411,'TL11'!$J$238:$J$451),0),
IF('TL12'!$B$3=J$3,SUMIF('TL12'!$C$10:$C$224,$C411,'TL12'!$J$10:$J$224),0),
IF('TL12'!$B$229=J$3,SUMIF('TL12'!$C$238:$C$451,$C411,'TL12'!$J$238:$J$451),0),
IF('TL13'!$B$3=J$3,SUMIF('TL13'!$C$10:$C$224,$C411,'TL13'!$J$10:$J$224),0),
IF('TL13'!$B$229=J$3,SUMIF('TL13'!$C$238:$C$451,$C411,'TL13'!$J$238:$J$451),0),
IF('TL14'!$B$3=J$3,SUMIF('TL14'!$C$10:$C$224,$C411,'TL14'!$J$10:$J$224),0),
IF('TL14'!$B$229=J$3,SUMIF('TL14'!$C$238:$C$451,$C411,'TL14'!$J$238:$J$451),0),
IF('TL15'!$B$3=J$3,SUMIF('TL15'!$C$10:$C$224,$C411,'TL15'!$J$10:$J$224),0),
IF('TL15'!$B$229=J$3,SUMIF('TL15'!$C$238:$C$451,$C411,'TL15'!$J$238:$J$451),0),
IF('TL16'!$B$3=J$3,SUMIF('TL16'!$C$10:$C$224,$C411,'TL16'!$J$10:$J$224),0),
IF('TL16'!$B$229=J$3,SUMIF('TL16'!$C$238:$C$451,$C411,'TL16'!$J$238:$J$451),0),
IF('TL17'!$B$3=J$3,SUMIF('TL17'!$C$10:$C$224,$C411,'TL17'!$J$10:$J$224),0),
IF('TL17'!$B$229=J$3,SUMIF('TL17'!$C$238:$C$451,$C411,'TL17'!$J$238:$J$451),0),
IF('TL18'!$B$3=J$3,SUMIF('TL18'!$C$10:$C$224,$C411,'TL18'!$J$10:$J$224),0),
IF('TL18'!$B$229=J$3,SUMIF('TL18'!$C$238:$C$451,$C411,'TL18'!$J$238:$J$451),0),
IF('TL19'!$B$3=J$3,SUMIF('TL19'!$C$10:$C$224,$C411,'TL19'!$J$10:$J$224),0),
IF('TL19'!$B$229=J$3,SUMIF('TL19'!$C$238:$C$451,$C411,'TL19'!$J$238:$J$451),0)
),0)</f>
        <v/>
      </c>
      <c r="K411" s="136">
        <f>IFERROR(SUM(
IF('TL01'!$B$3=K$3,SUMIF('TL01'!$C$10:$C$224,$C411,'TL01'!$J$10:$J$224),0),
IF('TL01'!$B$229=K$3,SUMIF('TL01'!$C$238:$C$451,$C411,'TL01'!$J$238:$J$451),0),
IF('TL02'!$B$3=K$3,SUMIF('TL02'!$C$10:$C$224,$C411,'TL02'!$J$10:$J$224),0),
IF('TL02'!$B$229=K$3,SUMIF('TL02'!$C$238:$C$451,$C411,'TL02'!$J$238:$J$451),0),
IF('TL03'!$B$3=K$3,SUMIF('TL03'!$C$10:$C$224,$C411,'TL03'!$J$10:$J$224),0),
IF('TL03'!$B$229=K$3,SUMIF('TL03'!$C$238:$C$451,$C411,'TL03'!$J$238:$J$451),0),
IF('TL04'!$B$3=K$3,SUMIF('TL04'!$C$10:$C$224,$C411,'TL04'!$J$10:$J$224),0),
IF('TL04'!$B$229=K$3,SUMIF('TL04'!$C$238:$C$451,$C411,'TL04'!$J$238:$J$451),0),
IF('TL05'!$B$3=K$3,SUMIF('TL05'!$C$10:$C$224,$C411,'TL05'!$J$10:$J$224),0),
IF('TL05'!$B$229=K$3,SUMIF('TL05'!$C$238:$C$451,$C411,'TL05'!$J$238:$J$451),0),
IF('TL06'!$B$3=K$3,SUMIF('TL06'!$C$10:$C$224,$C411,'TL06'!$J$10:$J$224),0),
IF('TL06'!$B$229=K$3,SUMIF('TL06'!$C$238:$C$451,$C411,'TL06'!$J$238:$J$451),0),
IF('TL07'!$B$3=K$3,SUMIF('TL07'!$C$10:$C$224,$C411,'TL07'!$J$10:$J$224),0),
IF('TL07'!$B$229=K$3,SUMIF('TL07'!$C$238:$C$451,$C411,'TL07'!$J$238:$J$451),0),
IF('TL08'!$B$3=K$3,SUMIF('TL08'!$C$10:$C$224,$C411,'TL08'!$J$10:$J$224),0),
IF('TL08'!$B$229=K$3,SUMIF('TL08'!$C$238:$C$451,$C411,'TL08'!$J$238:$J$451),0),
IF('TL09'!$B$3=K$3,SUMIF('TL09'!$C$10:$C$224,$C411,'TL09'!$J$10:$J$224),0),
IF('TL09'!$B$229=K$3,SUMIF('TL09'!$C$238:$C$451,$C411,'TL09'!$J$238:$J$451),0),
IF('TL10'!$B$3=K$3,SUMIF('TL10'!$C$10:$C$224,$C411,'TL10'!$J$10:$J$224),0),
IF('TL10'!$B$229=K$3,SUMIF('TL10'!$C$238:$C$451,$C411,'TL10'!$J$238:$J$451),0),
IF('TL11'!$B$3=K$3,SUMIF('TL11'!$C$10:$C$224,$C411,'TL11'!$J$10:$J$224),0),
IF('TL11'!$B$229=K$3,SUMIF('TL11'!$C$238:$C$451,$C411,'TL11'!$J$238:$J$451),0),
IF('TL12'!$B$3=K$3,SUMIF('TL12'!$C$10:$C$224,$C411,'TL12'!$J$10:$J$224),0),
IF('TL12'!$B$229=K$3,SUMIF('TL12'!$C$238:$C$451,$C411,'TL12'!$J$238:$J$451),0),
IF('TL13'!$B$3=K$3,SUMIF('TL13'!$C$10:$C$224,$C411,'TL13'!$J$10:$J$224),0),
IF('TL13'!$B$229=K$3,SUMIF('TL13'!$C$238:$C$451,$C411,'TL13'!$J$238:$J$451),0),
IF('TL14'!$B$3=K$3,SUMIF('TL14'!$C$10:$C$224,$C411,'TL14'!$J$10:$J$224),0),
IF('TL14'!$B$229=K$3,SUMIF('TL14'!$C$238:$C$451,$C411,'TL14'!$J$238:$J$451),0),
IF('TL15'!$B$3=K$3,SUMIF('TL15'!$C$10:$C$224,$C411,'TL15'!$J$10:$J$224),0),
IF('TL15'!$B$229=K$3,SUMIF('TL15'!$C$238:$C$451,$C411,'TL15'!$J$238:$J$451),0),
IF('TL16'!$B$3=K$3,SUMIF('TL16'!$C$10:$C$224,$C411,'TL16'!$J$10:$J$224),0),
IF('TL16'!$B$229=K$3,SUMIF('TL16'!$C$238:$C$451,$C411,'TL16'!$J$238:$J$451),0),
IF('TL17'!$B$3=K$3,SUMIF('TL17'!$C$10:$C$224,$C411,'TL17'!$J$10:$J$224),0),
IF('TL17'!$B$229=K$3,SUMIF('TL17'!$C$238:$C$451,$C411,'TL17'!$J$238:$J$451),0),
IF('TL18'!$B$3=K$3,SUMIF('TL18'!$C$10:$C$224,$C411,'TL18'!$J$10:$J$224),0),
IF('TL18'!$B$229=K$3,SUMIF('TL18'!$C$238:$C$451,$C411,'TL18'!$J$238:$J$451),0),
IF('TL19'!$B$3=K$3,SUMIF('TL19'!$C$10:$C$224,$C411,'TL19'!$J$10:$J$224),0),
IF('TL19'!$B$229=K$3,SUMIF('TL19'!$C$238:$C$451,$C411,'TL19'!$J$238:$J$451),0)
),0)</f>
        <v/>
      </c>
      <c r="L411" s="136">
        <f>IFERROR(SUM(
IF('TL01'!$B$3=L$3,SUMIF('TL01'!$C$10:$C$224,$C411,'TL01'!$J$10:$J$224),0),
IF('TL01'!$B$229=L$3,SUMIF('TL01'!$C$238:$C$451,$C411,'TL01'!$J$238:$J$451),0),
IF('TL02'!$B$3=L$3,SUMIF('TL02'!$C$10:$C$224,$C411,'TL02'!$J$10:$J$224),0),
IF('TL02'!$B$229=L$3,SUMIF('TL02'!$C$238:$C$451,$C411,'TL02'!$J$238:$J$451),0),
IF('TL03'!$B$3=L$3,SUMIF('TL03'!$C$10:$C$224,$C411,'TL03'!$J$10:$J$224),0),
IF('TL03'!$B$229=L$3,SUMIF('TL03'!$C$238:$C$451,$C411,'TL03'!$J$238:$J$451),0),
IF('TL04'!$B$3=L$3,SUMIF('TL04'!$C$10:$C$224,$C411,'TL04'!$J$10:$J$224),0),
IF('TL04'!$B$229=L$3,SUMIF('TL04'!$C$238:$C$451,$C411,'TL04'!$J$238:$J$451),0),
IF('TL05'!$B$3=L$3,SUMIF('TL05'!$C$10:$C$224,$C411,'TL05'!$J$10:$J$224),0),
IF('TL05'!$B$229=L$3,SUMIF('TL05'!$C$238:$C$451,$C411,'TL05'!$J$238:$J$451),0),
IF('TL06'!$B$3=L$3,SUMIF('TL06'!$C$10:$C$224,$C411,'TL06'!$J$10:$J$224),0),
IF('TL06'!$B$229=L$3,SUMIF('TL06'!$C$238:$C$451,$C411,'TL06'!$J$238:$J$451),0),
IF('TL07'!$B$3=L$3,SUMIF('TL07'!$C$10:$C$224,$C411,'TL07'!$J$10:$J$224),0),
IF('TL07'!$B$229=L$3,SUMIF('TL07'!$C$238:$C$451,$C411,'TL07'!$J$238:$J$451),0),
IF('TL08'!$B$3=L$3,SUMIF('TL08'!$C$10:$C$224,$C411,'TL08'!$J$10:$J$224),0),
IF('TL08'!$B$229=L$3,SUMIF('TL08'!$C$238:$C$451,$C411,'TL08'!$J$238:$J$451),0),
IF('TL09'!$B$3=L$3,SUMIF('TL09'!$C$10:$C$224,$C411,'TL09'!$J$10:$J$224),0),
IF('TL09'!$B$229=L$3,SUMIF('TL09'!$C$238:$C$451,$C411,'TL09'!$J$238:$J$451),0),
IF('TL10'!$B$3=L$3,SUMIF('TL10'!$C$10:$C$224,$C411,'TL10'!$J$10:$J$224),0),
IF('TL10'!$B$229=L$3,SUMIF('TL10'!$C$238:$C$451,$C411,'TL10'!$J$238:$J$451),0),
IF('TL11'!$B$3=L$3,SUMIF('TL11'!$C$10:$C$224,$C411,'TL11'!$J$10:$J$224),0),
IF('TL11'!$B$229=L$3,SUMIF('TL11'!$C$238:$C$451,$C411,'TL11'!$J$238:$J$451),0),
IF('TL12'!$B$3=L$3,SUMIF('TL12'!$C$10:$C$224,$C411,'TL12'!$J$10:$J$224),0),
IF('TL12'!$B$229=L$3,SUMIF('TL12'!$C$238:$C$451,$C411,'TL12'!$J$238:$J$451),0),
IF('TL13'!$B$3=L$3,SUMIF('TL13'!$C$10:$C$224,$C411,'TL13'!$J$10:$J$224),0),
IF('TL13'!$B$229=L$3,SUMIF('TL13'!$C$238:$C$451,$C411,'TL13'!$J$238:$J$451),0),
IF('TL14'!$B$3=L$3,SUMIF('TL14'!$C$10:$C$224,$C411,'TL14'!$J$10:$J$224),0),
IF('TL14'!$B$229=L$3,SUMIF('TL14'!$C$238:$C$451,$C411,'TL14'!$J$238:$J$451),0),
IF('TL15'!$B$3=L$3,SUMIF('TL15'!$C$10:$C$224,$C411,'TL15'!$J$10:$J$224),0),
IF('TL15'!$B$229=L$3,SUMIF('TL15'!$C$238:$C$451,$C411,'TL15'!$J$238:$J$451),0),
IF('TL16'!$B$3=L$3,SUMIF('TL16'!$C$10:$C$224,$C411,'TL16'!$J$10:$J$224),0),
IF('TL16'!$B$229=L$3,SUMIF('TL16'!$C$238:$C$451,$C411,'TL16'!$J$238:$J$451),0),
IF('TL17'!$B$3=L$3,SUMIF('TL17'!$C$10:$C$224,$C411,'TL17'!$J$10:$J$224),0),
IF('TL17'!$B$229=L$3,SUMIF('TL17'!$C$238:$C$451,$C411,'TL17'!$J$238:$J$451),0),
IF('TL18'!$B$3=L$3,SUMIF('TL18'!$C$10:$C$224,$C411,'TL18'!$J$10:$J$224),0),
IF('TL18'!$B$229=L$3,SUMIF('TL18'!$C$238:$C$451,$C411,'TL18'!$J$238:$J$451),0),
IF('TL19'!$B$3=L$3,SUMIF('TL19'!$C$10:$C$224,$C411,'TL19'!$J$10:$J$224),0),
IF('TL19'!$B$229=L$3,SUMIF('TL19'!$C$238:$C$451,$C411,'TL19'!$J$238:$J$451),0)
),0)</f>
        <v/>
      </c>
      <c r="M411" s="136">
        <f>IFERROR(SUM(
IF('TL01'!$B$3=M$3,SUMIF('TL01'!$C$10:$C$224,$C411,'TL01'!$J$10:$J$224),0),
IF('TL01'!$B$229=M$3,SUMIF('TL01'!$C$238:$C$451,$C411,'TL01'!$J$238:$J$451),0),
IF('TL02'!$B$3=M$3,SUMIF('TL02'!$C$10:$C$224,$C411,'TL02'!$J$10:$J$224),0),
IF('TL02'!$B$229=M$3,SUMIF('TL02'!$C$238:$C$451,$C411,'TL02'!$J$238:$J$451),0),
IF('TL03'!$B$3=M$3,SUMIF('TL03'!$C$10:$C$224,$C411,'TL03'!$J$10:$J$224),0),
IF('TL03'!$B$229=M$3,SUMIF('TL03'!$C$238:$C$451,$C411,'TL03'!$J$238:$J$451),0),
IF('TL04'!$B$3=M$3,SUMIF('TL04'!$C$10:$C$224,$C411,'TL04'!$J$10:$J$224),0),
IF('TL04'!$B$229=M$3,SUMIF('TL04'!$C$238:$C$451,$C411,'TL04'!$J$238:$J$451),0),
IF('TL05'!$B$3=M$3,SUMIF('TL05'!$C$10:$C$224,$C411,'TL05'!$J$10:$J$224),0),
IF('TL05'!$B$229=M$3,SUMIF('TL05'!$C$238:$C$451,$C411,'TL05'!$J$238:$J$451),0),
IF('TL06'!$B$3=M$3,SUMIF('TL06'!$C$10:$C$224,$C411,'TL06'!$J$10:$J$224),0),
IF('TL06'!$B$229=M$3,SUMIF('TL06'!$C$238:$C$451,$C411,'TL06'!$J$238:$J$451),0),
IF('TL07'!$B$3=M$3,SUMIF('TL07'!$C$10:$C$224,$C411,'TL07'!$J$10:$J$224),0),
IF('TL07'!$B$229=M$3,SUMIF('TL07'!$C$238:$C$451,$C411,'TL07'!$J$238:$J$451),0),
IF('TL08'!$B$3=M$3,SUMIF('TL08'!$C$10:$C$224,$C411,'TL08'!$J$10:$J$224),0),
IF('TL08'!$B$229=M$3,SUMIF('TL08'!$C$238:$C$451,$C411,'TL08'!$J$238:$J$451),0),
IF('TL09'!$B$3=M$3,SUMIF('TL09'!$C$10:$C$224,$C411,'TL09'!$J$10:$J$224),0),
IF('TL09'!$B$229=M$3,SUMIF('TL09'!$C$238:$C$451,$C411,'TL09'!$J$238:$J$451),0),
IF('TL10'!$B$3=M$3,SUMIF('TL10'!$C$10:$C$224,$C411,'TL10'!$J$10:$J$224),0),
IF('TL10'!$B$229=M$3,SUMIF('TL10'!$C$238:$C$451,$C411,'TL10'!$J$238:$J$451),0),
IF('TL11'!$B$3=M$3,SUMIF('TL11'!$C$10:$C$224,$C411,'TL11'!$J$10:$J$224),0),
IF('TL11'!$B$229=M$3,SUMIF('TL11'!$C$238:$C$451,$C411,'TL11'!$J$238:$J$451),0),
IF('TL12'!$B$3=M$3,SUMIF('TL12'!$C$10:$C$224,$C411,'TL12'!$J$10:$J$224),0),
IF('TL12'!$B$229=M$3,SUMIF('TL12'!$C$238:$C$451,$C411,'TL12'!$J$238:$J$451),0),
IF('TL13'!$B$3=M$3,SUMIF('TL13'!$C$10:$C$224,$C411,'TL13'!$J$10:$J$224),0),
IF('TL13'!$B$229=M$3,SUMIF('TL13'!$C$238:$C$451,$C411,'TL13'!$J$238:$J$451),0),
IF('TL14'!$B$3=M$3,SUMIF('TL14'!$C$10:$C$224,$C411,'TL14'!$J$10:$J$224),0),
IF('TL14'!$B$229=M$3,SUMIF('TL14'!$C$238:$C$451,$C411,'TL14'!$J$238:$J$451),0),
IF('TL15'!$B$3=M$3,SUMIF('TL15'!$C$10:$C$224,$C411,'TL15'!$J$10:$J$224),0),
IF('TL15'!$B$229=M$3,SUMIF('TL15'!$C$238:$C$451,$C411,'TL15'!$J$238:$J$451),0),
IF('TL16'!$B$3=M$3,SUMIF('TL16'!$C$10:$C$224,$C411,'TL16'!$J$10:$J$224),0),
IF('TL16'!$B$229=M$3,SUMIF('TL16'!$C$238:$C$451,$C411,'TL16'!$J$238:$J$451),0),
IF('TL17'!$B$3=M$3,SUMIF('TL17'!$C$10:$C$224,$C411,'TL17'!$J$10:$J$224),0),
IF('TL17'!$B$229=M$3,SUMIF('TL17'!$C$238:$C$451,$C411,'TL17'!$J$238:$J$451),0),
IF('TL18'!$B$3=M$3,SUMIF('TL18'!$C$10:$C$224,$C411,'TL18'!$J$10:$J$224),0),
IF('TL18'!$B$229=M$3,SUMIF('TL18'!$C$238:$C$451,$C411,'TL18'!$J$238:$J$451),0),
IF('TL19'!$B$3=M$3,SUMIF('TL19'!$C$10:$C$224,$C411,'TL19'!$J$10:$J$224),0),
IF('TL19'!$B$229=M$3,SUMIF('TL19'!$C$238:$C$451,$C411,'TL19'!$J$238:$J$451),0)
),0)</f>
        <v/>
      </c>
      <c r="N411" s="136">
        <f>IFERROR(SUM(
IF('TL01'!$B$3=N$3,SUMIF('TL01'!$C$10:$C$224,$C411,'TL01'!$J$10:$J$224),0),
IF('TL01'!$B$229=N$3,SUMIF('TL01'!$C$238:$C$451,$C411,'TL01'!$J$238:$J$451),0),
IF('TL02'!$B$3=N$3,SUMIF('TL02'!$C$10:$C$224,$C411,'TL02'!$J$10:$J$224),0),
IF('TL02'!$B$229=N$3,SUMIF('TL02'!$C$238:$C$451,$C411,'TL02'!$J$238:$J$451),0),
IF('TL03'!$B$3=N$3,SUMIF('TL03'!$C$10:$C$224,$C411,'TL03'!$J$10:$J$224),0),
IF('TL03'!$B$229=N$3,SUMIF('TL03'!$C$238:$C$451,$C411,'TL03'!$J$238:$J$451),0),
IF('TL04'!$B$3=N$3,SUMIF('TL04'!$C$10:$C$224,$C411,'TL04'!$J$10:$J$224),0),
IF('TL04'!$B$229=N$3,SUMIF('TL04'!$C$238:$C$451,$C411,'TL04'!$J$238:$J$451),0),
IF('TL05'!$B$3=N$3,SUMIF('TL05'!$C$10:$C$224,$C411,'TL05'!$J$10:$J$224),0),
IF('TL05'!$B$229=N$3,SUMIF('TL05'!$C$238:$C$451,$C411,'TL05'!$J$238:$J$451),0),
IF('TL06'!$B$3=N$3,SUMIF('TL06'!$C$10:$C$224,$C411,'TL06'!$J$10:$J$224),0),
IF('TL06'!$B$229=N$3,SUMIF('TL06'!$C$238:$C$451,$C411,'TL06'!$J$238:$J$451),0),
IF('TL07'!$B$3=N$3,SUMIF('TL07'!$C$10:$C$224,$C411,'TL07'!$J$10:$J$224),0),
IF('TL07'!$B$229=N$3,SUMIF('TL07'!$C$238:$C$451,$C411,'TL07'!$J$238:$J$451),0),
IF('TL08'!$B$3=N$3,SUMIF('TL08'!$C$10:$C$224,$C411,'TL08'!$J$10:$J$224),0),
IF('TL08'!$B$229=N$3,SUMIF('TL08'!$C$238:$C$451,$C411,'TL08'!$J$238:$J$451),0),
IF('TL09'!$B$3=N$3,SUMIF('TL09'!$C$10:$C$224,$C411,'TL09'!$J$10:$J$224),0),
IF('TL09'!$B$229=N$3,SUMIF('TL09'!$C$238:$C$451,$C411,'TL09'!$J$238:$J$451),0),
IF('TL10'!$B$3=N$3,SUMIF('TL10'!$C$10:$C$224,$C411,'TL10'!$J$10:$J$224),0),
IF('TL10'!$B$229=N$3,SUMIF('TL10'!$C$238:$C$451,$C411,'TL10'!$J$238:$J$451),0),
IF('TL11'!$B$3=N$3,SUMIF('TL11'!$C$10:$C$224,$C411,'TL11'!$J$10:$J$224),0),
IF('TL11'!$B$229=N$3,SUMIF('TL11'!$C$238:$C$451,$C411,'TL11'!$J$238:$J$451),0),
IF('TL12'!$B$3=N$3,SUMIF('TL12'!$C$10:$C$224,$C411,'TL12'!$J$10:$J$224),0),
IF('TL12'!$B$229=N$3,SUMIF('TL12'!$C$238:$C$451,$C411,'TL12'!$J$238:$J$451),0),
IF('TL13'!$B$3=N$3,SUMIF('TL13'!$C$10:$C$224,$C411,'TL13'!$J$10:$J$224),0),
IF('TL13'!$B$229=N$3,SUMIF('TL13'!$C$238:$C$451,$C411,'TL13'!$J$238:$J$451),0),
IF('TL14'!$B$3=N$3,SUMIF('TL14'!$C$10:$C$224,$C411,'TL14'!$J$10:$J$224),0),
IF('TL14'!$B$229=N$3,SUMIF('TL14'!$C$238:$C$451,$C411,'TL14'!$J$238:$J$451),0),
IF('TL15'!$B$3=N$3,SUMIF('TL15'!$C$10:$C$224,$C411,'TL15'!$J$10:$J$224),0),
IF('TL15'!$B$229=N$3,SUMIF('TL15'!$C$238:$C$451,$C411,'TL15'!$J$238:$J$451),0),
IF('TL16'!$B$3=N$3,SUMIF('TL16'!$C$10:$C$224,$C411,'TL16'!$J$10:$J$224),0),
IF('TL16'!$B$229=N$3,SUMIF('TL16'!$C$238:$C$451,$C411,'TL16'!$J$238:$J$451),0),
IF('TL17'!$B$3=N$3,SUMIF('TL17'!$C$10:$C$224,$C411,'TL17'!$J$10:$J$224),0),
IF('TL17'!$B$229=N$3,SUMIF('TL17'!$C$238:$C$451,$C411,'TL17'!$J$238:$J$451),0),
IF('TL18'!$B$3=N$3,SUMIF('TL18'!$C$10:$C$224,$C411,'TL18'!$J$10:$J$224),0),
IF('TL18'!$B$229=N$3,SUMIF('TL18'!$C$238:$C$451,$C411,'TL18'!$J$238:$J$451),0),
IF('TL19'!$B$3=N$3,SUMIF('TL19'!$C$10:$C$224,$C411,'TL19'!$J$10:$J$224),0),
IF('TL19'!$B$229=N$3,SUMIF('TL19'!$C$238:$C$451,$C411,'TL19'!$J$238:$J$451),0)
),0)</f>
        <v/>
      </c>
      <c r="O411" s="136">
        <f>IFERROR(SUM(
IF('TL01'!$B$3=O$3,SUMIF('TL01'!$C$10:$C$224,$C411,'TL01'!$J$10:$J$224),0),
IF('TL01'!$B$229=O$3,SUMIF('TL01'!$C$238:$C$451,$C411,'TL01'!$J$238:$J$451),0),
IF('TL02'!$B$3=O$3,SUMIF('TL02'!$C$10:$C$224,$C411,'TL02'!$J$10:$J$224),0),
IF('TL02'!$B$229=O$3,SUMIF('TL02'!$C$238:$C$451,$C411,'TL02'!$J$238:$J$451),0),
IF('TL03'!$B$3=O$3,SUMIF('TL03'!$C$10:$C$224,$C411,'TL03'!$J$10:$J$224),0),
IF('TL03'!$B$229=O$3,SUMIF('TL03'!$C$238:$C$451,$C411,'TL03'!$J$238:$J$451),0),
IF('TL04'!$B$3=O$3,SUMIF('TL04'!$C$10:$C$224,$C411,'TL04'!$J$10:$J$224),0),
IF('TL04'!$B$229=O$3,SUMIF('TL04'!$C$238:$C$451,$C411,'TL04'!$J$238:$J$451),0),
IF('TL05'!$B$3=O$3,SUMIF('TL05'!$C$10:$C$224,$C411,'TL05'!$J$10:$J$224),0),
IF('TL05'!$B$229=O$3,SUMIF('TL05'!$C$238:$C$451,$C411,'TL05'!$J$238:$J$451),0),
IF('TL06'!$B$3=O$3,SUMIF('TL06'!$C$10:$C$224,$C411,'TL06'!$J$10:$J$224),0),
IF('TL06'!$B$229=O$3,SUMIF('TL06'!$C$238:$C$451,$C411,'TL06'!$J$238:$J$451),0),
IF('TL07'!$B$3=O$3,SUMIF('TL07'!$C$10:$C$224,$C411,'TL07'!$J$10:$J$224),0),
IF('TL07'!$B$229=O$3,SUMIF('TL07'!$C$238:$C$451,$C411,'TL07'!$J$238:$J$451),0),
IF('TL08'!$B$3=O$3,SUMIF('TL08'!$C$10:$C$224,$C411,'TL08'!$J$10:$J$224),0),
IF('TL08'!$B$229=O$3,SUMIF('TL08'!$C$238:$C$451,$C411,'TL08'!$J$238:$J$451),0),
IF('TL09'!$B$3=O$3,SUMIF('TL09'!$C$10:$C$224,$C411,'TL09'!$J$10:$J$224),0),
IF('TL09'!$B$229=O$3,SUMIF('TL09'!$C$238:$C$451,$C411,'TL09'!$J$238:$J$451),0),
IF('TL10'!$B$3=O$3,SUMIF('TL10'!$C$10:$C$224,$C411,'TL10'!$J$10:$J$224),0),
IF('TL10'!$B$229=O$3,SUMIF('TL10'!$C$238:$C$451,$C411,'TL10'!$J$238:$J$451),0),
IF('TL11'!$B$3=O$3,SUMIF('TL11'!$C$10:$C$224,$C411,'TL11'!$J$10:$J$224),0),
IF('TL11'!$B$229=O$3,SUMIF('TL11'!$C$238:$C$451,$C411,'TL11'!$J$238:$J$451),0),
IF('TL12'!$B$3=O$3,SUMIF('TL12'!$C$10:$C$224,$C411,'TL12'!$J$10:$J$224),0),
IF('TL12'!$B$229=O$3,SUMIF('TL12'!$C$238:$C$451,$C411,'TL12'!$J$238:$J$451),0),
IF('TL13'!$B$3=O$3,SUMIF('TL13'!$C$10:$C$224,$C411,'TL13'!$J$10:$J$224),0),
IF('TL13'!$B$229=O$3,SUMIF('TL13'!$C$238:$C$451,$C411,'TL13'!$J$238:$J$451),0),
IF('TL14'!$B$3=O$3,SUMIF('TL14'!$C$10:$C$224,$C411,'TL14'!$J$10:$J$224),0),
IF('TL14'!$B$229=O$3,SUMIF('TL14'!$C$238:$C$451,$C411,'TL14'!$J$238:$J$451),0),
IF('TL15'!$B$3=O$3,SUMIF('TL15'!$C$10:$C$224,$C411,'TL15'!$J$10:$J$224),0),
IF('TL15'!$B$229=O$3,SUMIF('TL15'!$C$238:$C$451,$C411,'TL15'!$J$238:$J$451),0),
IF('TL16'!$B$3=O$3,SUMIF('TL16'!$C$10:$C$224,$C411,'TL16'!$J$10:$J$224),0),
IF('TL16'!$B$229=O$3,SUMIF('TL16'!$C$238:$C$451,$C411,'TL16'!$J$238:$J$451),0),
IF('TL17'!$B$3=O$3,SUMIF('TL17'!$C$10:$C$224,$C411,'TL17'!$J$10:$J$224),0),
IF('TL17'!$B$229=O$3,SUMIF('TL17'!$C$238:$C$451,$C411,'TL17'!$J$238:$J$451),0),
IF('TL18'!$B$3=O$3,SUMIF('TL18'!$C$10:$C$224,$C411,'TL18'!$J$10:$J$224),0),
IF('TL18'!$B$229=O$3,SUMIF('TL18'!$C$238:$C$451,$C411,'TL18'!$J$238:$J$451),0),
IF('TL19'!$B$3=O$3,SUMIF('TL19'!$C$10:$C$224,$C411,'TL19'!$J$10:$J$224),0),
IF('TL19'!$B$229=O$3,SUMIF('TL19'!$C$238:$C$451,$C411,'TL19'!$J$238:$J$451),0)
),0)</f>
        <v/>
      </c>
      <c r="P411" s="136">
        <f>IFERROR(SUM(
IF('TL01'!$B$3=P$3,SUMIF('TL01'!$C$10:$C$224,$C411,'TL01'!$J$10:$J$224),0),
IF('TL01'!$B$229=P$3,SUMIF('TL01'!$C$238:$C$451,$C411,'TL01'!$J$238:$J$451),0),
IF('TL02'!$B$3=P$3,SUMIF('TL02'!$C$10:$C$224,$C411,'TL02'!$J$10:$J$224),0),
IF('TL02'!$B$229=P$3,SUMIF('TL02'!$C$238:$C$451,$C411,'TL02'!$J$238:$J$451),0),
IF('TL03'!$B$3=P$3,SUMIF('TL03'!$C$10:$C$224,$C411,'TL03'!$J$10:$J$224),0),
IF('TL03'!$B$229=P$3,SUMIF('TL03'!$C$238:$C$451,$C411,'TL03'!$J$238:$J$451),0),
IF('TL04'!$B$3=P$3,SUMIF('TL04'!$C$10:$C$224,$C411,'TL04'!$J$10:$J$224),0),
IF('TL04'!$B$229=P$3,SUMIF('TL04'!$C$238:$C$451,$C411,'TL04'!$J$238:$J$451),0),
IF('TL05'!$B$3=P$3,SUMIF('TL05'!$C$10:$C$224,$C411,'TL05'!$J$10:$J$224),0),
IF('TL05'!$B$229=P$3,SUMIF('TL05'!$C$238:$C$451,$C411,'TL05'!$J$238:$J$451),0),
IF('TL06'!$B$3=P$3,SUMIF('TL06'!$C$10:$C$224,$C411,'TL06'!$J$10:$J$224),0),
IF('TL06'!$B$229=P$3,SUMIF('TL06'!$C$238:$C$451,$C411,'TL06'!$J$238:$J$451),0),
IF('TL07'!$B$3=P$3,SUMIF('TL07'!$C$10:$C$224,$C411,'TL07'!$J$10:$J$224),0),
IF('TL07'!$B$229=P$3,SUMIF('TL07'!$C$238:$C$451,$C411,'TL07'!$J$238:$J$451),0),
IF('TL08'!$B$3=P$3,SUMIF('TL08'!$C$10:$C$224,$C411,'TL08'!$J$10:$J$224),0),
IF('TL08'!$B$229=P$3,SUMIF('TL08'!$C$238:$C$451,$C411,'TL08'!$J$238:$J$451),0),
IF('TL09'!$B$3=P$3,SUMIF('TL09'!$C$10:$C$224,$C411,'TL09'!$J$10:$J$224),0),
IF('TL09'!$B$229=P$3,SUMIF('TL09'!$C$238:$C$451,$C411,'TL09'!$J$238:$J$451),0),
IF('TL10'!$B$3=P$3,SUMIF('TL10'!$C$10:$C$224,$C411,'TL10'!$J$10:$J$224),0),
IF('TL10'!$B$229=P$3,SUMIF('TL10'!$C$238:$C$451,$C411,'TL10'!$J$238:$J$451),0),
IF('TL11'!$B$3=P$3,SUMIF('TL11'!$C$10:$C$224,$C411,'TL11'!$J$10:$J$224),0),
IF('TL11'!$B$229=P$3,SUMIF('TL11'!$C$238:$C$451,$C411,'TL11'!$J$238:$J$451),0),
IF('TL12'!$B$3=P$3,SUMIF('TL12'!$C$10:$C$224,$C411,'TL12'!$J$10:$J$224),0),
IF('TL12'!$B$229=P$3,SUMIF('TL12'!$C$238:$C$451,$C411,'TL12'!$J$238:$J$451),0),
IF('TL13'!$B$3=P$3,SUMIF('TL13'!$C$10:$C$224,$C411,'TL13'!$J$10:$J$224),0),
IF('TL13'!$B$229=P$3,SUMIF('TL13'!$C$238:$C$451,$C411,'TL13'!$J$238:$J$451),0),
IF('TL14'!$B$3=P$3,SUMIF('TL14'!$C$10:$C$224,$C411,'TL14'!$J$10:$J$224),0),
IF('TL14'!$B$229=P$3,SUMIF('TL14'!$C$238:$C$451,$C411,'TL14'!$J$238:$J$451),0),
IF('TL15'!$B$3=P$3,SUMIF('TL15'!$C$10:$C$224,$C411,'TL15'!$J$10:$J$224),0),
IF('TL15'!$B$229=P$3,SUMIF('TL15'!$C$238:$C$451,$C411,'TL15'!$J$238:$J$451),0),
IF('TL16'!$B$3=P$3,SUMIF('TL16'!$C$10:$C$224,$C411,'TL16'!$J$10:$J$224),0),
IF('TL16'!$B$229=P$3,SUMIF('TL16'!$C$238:$C$451,$C411,'TL16'!$J$238:$J$451),0),
IF('TL17'!$B$3=P$3,SUMIF('TL17'!$C$10:$C$224,$C411,'TL17'!$J$10:$J$224),0),
IF('TL17'!$B$229=P$3,SUMIF('TL17'!$C$238:$C$451,$C411,'TL17'!$J$238:$J$451),0),
IF('TL18'!$B$3=P$3,SUMIF('TL18'!$C$10:$C$224,$C411,'TL18'!$J$10:$J$224),0),
IF('TL18'!$B$229=P$3,SUMIF('TL18'!$C$238:$C$451,$C411,'TL18'!$J$238:$J$451),0),
IF('TL19'!$B$3=P$3,SUMIF('TL19'!$C$10:$C$224,$C411,'TL19'!$J$10:$J$224),0),
IF('TL19'!$B$229=P$3,SUMIF('TL19'!$C$238:$C$451,$C411,'TL19'!$J$238:$J$451),0)
),0)</f>
        <v/>
      </c>
      <c r="Q411" s="136">
        <f>IFERROR(SUM(
IF('TL01'!$B$3=Q$3,SUMIF('TL01'!$C$10:$C$224,$C411,'TL01'!$J$10:$J$224),0),
IF('TL01'!$B$229=Q$3,SUMIF('TL01'!$C$238:$C$451,$C411,'TL01'!$J$238:$J$451),0),
IF('TL02'!$B$3=Q$3,SUMIF('TL02'!$C$10:$C$224,$C411,'TL02'!$J$10:$J$224),0),
IF('TL02'!$B$229=Q$3,SUMIF('TL02'!$C$238:$C$451,$C411,'TL02'!$J$238:$J$451),0),
IF('TL03'!$B$3=Q$3,SUMIF('TL03'!$C$10:$C$224,$C411,'TL03'!$J$10:$J$224),0),
IF('TL03'!$B$229=Q$3,SUMIF('TL03'!$C$238:$C$451,$C411,'TL03'!$J$238:$J$451),0),
IF('TL04'!$B$3=Q$3,SUMIF('TL04'!$C$10:$C$224,$C411,'TL04'!$J$10:$J$224),0),
IF('TL04'!$B$229=Q$3,SUMIF('TL04'!$C$238:$C$451,$C411,'TL04'!$J$238:$J$451),0),
IF('TL05'!$B$3=Q$3,SUMIF('TL05'!$C$10:$C$224,$C411,'TL05'!$J$10:$J$224),0),
IF('TL05'!$B$229=Q$3,SUMIF('TL05'!$C$238:$C$451,$C411,'TL05'!$J$238:$J$451),0),
IF('TL06'!$B$3=Q$3,SUMIF('TL06'!$C$10:$C$224,$C411,'TL06'!$J$10:$J$224),0),
IF('TL06'!$B$229=Q$3,SUMIF('TL06'!$C$238:$C$451,$C411,'TL06'!$J$238:$J$451),0),
IF('TL07'!$B$3=Q$3,SUMIF('TL07'!$C$10:$C$224,$C411,'TL07'!$J$10:$J$224),0),
IF('TL07'!$B$229=Q$3,SUMIF('TL07'!$C$238:$C$451,$C411,'TL07'!$J$238:$J$451),0),
IF('TL08'!$B$3=Q$3,SUMIF('TL08'!$C$10:$C$224,$C411,'TL08'!$J$10:$J$224),0),
IF('TL08'!$B$229=Q$3,SUMIF('TL08'!$C$238:$C$451,$C411,'TL08'!$J$238:$J$451),0),
IF('TL09'!$B$3=Q$3,SUMIF('TL09'!$C$10:$C$224,$C411,'TL09'!$J$10:$J$224),0),
IF('TL09'!$B$229=Q$3,SUMIF('TL09'!$C$238:$C$451,$C411,'TL09'!$J$238:$J$451),0),
IF('TL10'!$B$3=Q$3,SUMIF('TL10'!$C$10:$C$224,$C411,'TL10'!$J$10:$J$224),0),
IF('TL10'!$B$229=Q$3,SUMIF('TL10'!$C$238:$C$451,$C411,'TL10'!$J$238:$J$451),0),
IF('TL11'!$B$3=Q$3,SUMIF('TL11'!$C$10:$C$224,$C411,'TL11'!$J$10:$J$224),0),
IF('TL11'!$B$229=Q$3,SUMIF('TL11'!$C$238:$C$451,$C411,'TL11'!$J$238:$J$451),0),
IF('TL12'!$B$3=Q$3,SUMIF('TL12'!$C$10:$C$224,$C411,'TL12'!$J$10:$J$224),0),
IF('TL12'!$B$229=Q$3,SUMIF('TL12'!$C$238:$C$451,$C411,'TL12'!$J$238:$J$451),0),
IF('TL13'!$B$3=Q$3,SUMIF('TL13'!$C$10:$C$224,$C411,'TL13'!$J$10:$J$224),0),
IF('TL13'!$B$229=Q$3,SUMIF('TL13'!$C$238:$C$451,$C411,'TL13'!$J$238:$J$451),0),
IF('TL14'!$B$3=Q$3,SUMIF('TL14'!$C$10:$C$224,$C411,'TL14'!$J$10:$J$224),0),
IF('TL14'!$B$229=Q$3,SUMIF('TL14'!$C$238:$C$451,$C411,'TL14'!$J$238:$J$451),0),
IF('TL15'!$B$3=Q$3,SUMIF('TL15'!$C$10:$C$224,$C411,'TL15'!$J$10:$J$224),0),
IF('TL15'!$B$229=Q$3,SUMIF('TL15'!$C$238:$C$451,$C411,'TL15'!$J$238:$J$451),0),
IF('TL16'!$B$3=Q$3,SUMIF('TL16'!$C$10:$C$224,$C411,'TL16'!$J$10:$J$224),0),
IF('TL16'!$B$229=Q$3,SUMIF('TL16'!$C$238:$C$451,$C411,'TL16'!$J$238:$J$451),0),
IF('TL17'!$B$3=Q$3,SUMIF('TL17'!$C$10:$C$224,$C411,'TL17'!$J$10:$J$224),0),
IF('TL17'!$B$229=Q$3,SUMIF('TL17'!$C$238:$C$451,$C411,'TL17'!$J$238:$J$451),0),
IF('TL18'!$B$3=Q$3,SUMIF('TL18'!$C$10:$C$224,$C411,'TL18'!$J$10:$J$224),0),
IF('TL18'!$B$229=Q$3,SUMIF('TL18'!$C$238:$C$451,$C411,'TL18'!$J$238:$J$451),0),
IF('TL19'!$B$3=Q$3,SUMIF('TL19'!$C$10:$C$224,$C411,'TL19'!$J$10:$J$224),0),
IF('TL19'!$B$229=Q$3,SUMIF('TL19'!$C$238:$C$451,$C411,'TL19'!$J$238:$J$451),0)
),0)</f>
        <v/>
      </c>
      <c r="R411" s="139">
        <f>IFERROR(
SUM(
SUMIF('TL01'!C:C,C411,'TL01'!J:J),
SUMIF('TL02'!C:C,C411,'TL02'!I:I),
SUMIF('TL03'!C:C,C411,'TL03'!I:I),
SUMIF('TL04'!C:C,C411,'TL04'!I:I),
SUMIF('TL05'!C:C,C411,'TL05'!I:I),
SUMIF('TL06'!C:C,C411,'TL06'!I:I),
SUMIF('TL07'!C:C,C411,'TL07'!I:I),
SUMIF('TL08'!C:C,C411,'TL08'!I:I),
SUMIF('TL09'!C:C,C411,'TL09'!I:I),
SUMIF('TL10'!C:C,C411,'TL10'!I:I),
SUMIF('TL11'!C:C,C411,'TL11'!I:I),
SUMIF('TL12'!C:C,C411,'TL12'!I:I),
SUMIF('TL13'!C:C,C411,'TL13'!I:I),
SUMIF('TL14'!C:C,C411,'TL14'!I:I),
SUMIF('TL15'!C:C,C411,'TL15'!I:I),
SUMIF('TL16'!C:C,C411,'TL16'!I:I),
SUMIF('TL17'!C:C,C411,'TL17'!I:I),
SUMIF('TL18'!C:C,C411,'TL18'!I:I))
,0)</f>
        <v/>
      </c>
      <c r="S411" s="142">
        <f>'CUSTO OPERAÇÃO'!M15</f>
        <v/>
      </c>
      <c r="T411" s="139" t="n"/>
      <c r="U411" s="143">
        <f>MAX(0,R411-T411)</f>
        <v/>
      </c>
      <c r="V411" s="144">
        <f>U411*S411</f>
        <v/>
      </c>
    </row>
    <row r="412" hidden="1" ht="15.75" customHeight="1" s="297">
      <c r="A412" s="145" t="n"/>
      <c r="B412" s="146" t="inlineStr">
        <is>
          <t>MÁQUINAS</t>
        </is>
      </c>
      <c r="C412" s="147">
        <f>'CUSTO OPERAÇÃO'!D16</f>
        <v/>
      </c>
      <c r="D412" s="147" t="n"/>
      <c r="E412" s="148" t="n"/>
      <c r="F412" s="138" t="inlineStr">
        <is>
          <t>R$/Ha</t>
        </is>
      </c>
      <c r="G412" s="139" t="n"/>
      <c r="H412" s="140">
        <f>'CUSTO OPERAÇÃO'!J16</f>
        <v/>
      </c>
      <c r="I412" s="149" t="n"/>
      <c r="J412" s="147">
        <f>IFERROR(SUM(
IF('TL01'!$B$3=J$3,SUMIF('TL01'!$C$10:$C$224,$C412,'TL01'!$J$10:$J$224),0),
IF('TL01'!$B$229=J$3,SUMIF('TL01'!$C$238:$C$451,$C412,'TL01'!$J$238:$J$451),0),
IF('TL02'!$B$3=J$3,SUMIF('TL02'!$C$10:$C$224,$C412,'TL02'!$J$10:$J$224),0),
IF('TL02'!$B$229=J$3,SUMIF('TL02'!$C$238:$C$451,$C412,'TL02'!$J$238:$J$451),0),
IF('TL03'!$B$3=J$3,SUMIF('TL03'!$C$10:$C$224,$C412,'TL03'!$J$10:$J$224),0),
IF('TL03'!$B$229=J$3,SUMIF('TL03'!$C$238:$C$451,$C412,'TL03'!$J$238:$J$451),0),
IF('TL04'!$B$3=J$3,SUMIF('TL04'!$C$10:$C$224,$C412,'TL04'!$J$10:$J$224),0),
IF('TL04'!$B$229=J$3,SUMIF('TL04'!$C$238:$C$451,$C412,'TL04'!$J$238:$J$451),0),
IF('TL05'!$B$3=J$3,SUMIF('TL05'!$C$10:$C$224,$C412,'TL05'!$J$10:$J$224),0),
IF('TL05'!$B$229=J$3,SUMIF('TL05'!$C$238:$C$451,$C412,'TL05'!$J$238:$J$451),0),
IF('TL06'!$B$3=J$3,SUMIF('TL06'!$C$10:$C$224,$C412,'TL06'!$J$10:$J$224),0),
IF('TL06'!$B$229=J$3,SUMIF('TL06'!$C$238:$C$451,$C412,'TL06'!$J$238:$J$451),0),
IF('TL07'!$B$3=J$3,SUMIF('TL07'!$C$10:$C$224,$C412,'TL07'!$J$10:$J$224),0),
IF('TL07'!$B$229=J$3,SUMIF('TL07'!$C$238:$C$451,$C412,'TL07'!$J$238:$J$451),0),
IF('TL08'!$B$3=J$3,SUMIF('TL08'!$C$10:$C$224,$C412,'TL08'!$J$10:$J$224),0),
IF('TL08'!$B$229=J$3,SUMIF('TL08'!$C$238:$C$451,$C412,'TL08'!$J$238:$J$451),0),
IF('TL09'!$B$3=J$3,SUMIF('TL09'!$C$10:$C$224,$C412,'TL09'!$J$10:$J$224),0),
IF('TL09'!$B$229=J$3,SUMIF('TL09'!$C$238:$C$451,$C412,'TL09'!$J$238:$J$451),0),
IF('TL10'!$B$3=J$3,SUMIF('TL10'!$C$10:$C$224,$C412,'TL10'!$J$10:$J$224),0),
IF('TL10'!$B$229=J$3,SUMIF('TL10'!$C$238:$C$451,$C412,'TL10'!$J$238:$J$451),0),
IF('TL11'!$B$3=J$3,SUMIF('TL11'!$C$10:$C$224,$C412,'TL11'!$J$10:$J$224),0),
IF('TL11'!$B$229=J$3,SUMIF('TL11'!$C$238:$C$451,$C412,'TL11'!$J$238:$J$451),0),
IF('TL12'!$B$3=J$3,SUMIF('TL12'!$C$10:$C$224,$C412,'TL12'!$J$10:$J$224),0),
IF('TL12'!$B$229=J$3,SUMIF('TL12'!$C$238:$C$451,$C412,'TL12'!$J$238:$J$451),0),
IF('TL13'!$B$3=J$3,SUMIF('TL13'!$C$10:$C$224,$C412,'TL13'!$J$10:$J$224),0),
IF('TL13'!$B$229=J$3,SUMIF('TL13'!$C$238:$C$451,$C412,'TL13'!$J$238:$J$451),0),
IF('TL14'!$B$3=J$3,SUMIF('TL14'!$C$10:$C$224,$C412,'TL14'!$J$10:$J$224),0),
IF('TL14'!$B$229=J$3,SUMIF('TL14'!$C$238:$C$451,$C412,'TL14'!$J$238:$J$451),0),
IF('TL15'!$B$3=J$3,SUMIF('TL15'!$C$10:$C$224,$C412,'TL15'!$J$10:$J$224),0),
IF('TL15'!$B$229=J$3,SUMIF('TL15'!$C$238:$C$451,$C412,'TL15'!$J$238:$J$451),0),
IF('TL16'!$B$3=J$3,SUMIF('TL16'!$C$10:$C$224,$C412,'TL16'!$J$10:$J$224),0),
IF('TL16'!$B$229=J$3,SUMIF('TL16'!$C$238:$C$451,$C412,'TL16'!$J$238:$J$451),0),
IF('TL17'!$B$3=J$3,SUMIF('TL17'!$C$10:$C$224,$C412,'TL17'!$J$10:$J$224),0),
IF('TL17'!$B$229=J$3,SUMIF('TL17'!$C$238:$C$451,$C412,'TL17'!$J$238:$J$451),0),
IF('TL18'!$B$3=J$3,SUMIF('TL18'!$C$10:$C$224,$C412,'TL18'!$J$10:$J$224),0),
IF('TL18'!$B$229=J$3,SUMIF('TL18'!$C$238:$C$451,$C412,'TL18'!$J$238:$J$451),0),
IF('TL19'!$B$3=J$3,SUMIF('TL19'!$C$10:$C$224,$C412,'TL19'!$J$10:$J$224),0),
IF('TL19'!$B$229=J$3,SUMIF('TL19'!$C$238:$C$451,$C412,'TL19'!$J$238:$J$451),0)
),0)</f>
        <v/>
      </c>
      <c r="K412" s="147">
        <f>IFERROR(SUM(
IF('TL01'!$B$3=K$3,SUMIF('TL01'!$C$10:$C$224,$C412,'TL01'!$J$10:$J$224),0),
IF('TL01'!$B$229=K$3,SUMIF('TL01'!$C$238:$C$451,$C412,'TL01'!$J$238:$J$451),0),
IF('TL02'!$B$3=K$3,SUMIF('TL02'!$C$10:$C$224,$C412,'TL02'!$J$10:$J$224),0),
IF('TL02'!$B$229=K$3,SUMIF('TL02'!$C$238:$C$451,$C412,'TL02'!$J$238:$J$451),0),
IF('TL03'!$B$3=K$3,SUMIF('TL03'!$C$10:$C$224,$C412,'TL03'!$J$10:$J$224),0),
IF('TL03'!$B$229=K$3,SUMIF('TL03'!$C$238:$C$451,$C412,'TL03'!$J$238:$J$451),0),
IF('TL04'!$B$3=K$3,SUMIF('TL04'!$C$10:$C$224,$C412,'TL04'!$J$10:$J$224),0),
IF('TL04'!$B$229=K$3,SUMIF('TL04'!$C$238:$C$451,$C412,'TL04'!$J$238:$J$451),0),
IF('TL05'!$B$3=K$3,SUMIF('TL05'!$C$10:$C$224,$C412,'TL05'!$J$10:$J$224),0),
IF('TL05'!$B$229=K$3,SUMIF('TL05'!$C$238:$C$451,$C412,'TL05'!$J$238:$J$451),0),
IF('TL06'!$B$3=K$3,SUMIF('TL06'!$C$10:$C$224,$C412,'TL06'!$J$10:$J$224),0),
IF('TL06'!$B$229=K$3,SUMIF('TL06'!$C$238:$C$451,$C412,'TL06'!$J$238:$J$451),0),
IF('TL07'!$B$3=K$3,SUMIF('TL07'!$C$10:$C$224,$C412,'TL07'!$J$10:$J$224),0),
IF('TL07'!$B$229=K$3,SUMIF('TL07'!$C$238:$C$451,$C412,'TL07'!$J$238:$J$451),0),
IF('TL08'!$B$3=K$3,SUMIF('TL08'!$C$10:$C$224,$C412,'TL08'!$J$10:$J$224),0),
IF('TL08'!$B$229=K$3,SUMIF('TL08'!$C$238:$C$451,$C412,'TL08'!$J$238:$J$451),0),
IF('TL09'!$B$3=K$3,SUMIF('TL09'!$C$10:$C$224,$C412,'TL09'!$J$10:$J$224),0),
IF('TL09'!$B$229=K$3,SUMIF('TL09'!$C$238:$C$451,$C412,'TL09'!$J$238:$J$451),0),
IF('TL10'!$B$3=K$3,SUMIF('TL10'!$C$10:$C$224,$C412,'TL10'!$J$10:$J$224),0),
IF('TL10'!$B$229=K$3,SUMIF('TL10'!$C$238:$C$451,$C412,'TL10'!$J$238:$J$451),0),
IF('TL11'!$B$3=K$3,SUMIF('TL11'!$C$10:$C$224,$C412,'TL11'!$J$10:$J$224),0),
IF('TL11'!$B$229=K$3,SUMIF('TL11'!$C$238:$C$451,$C412,'TL11'!$J$238:$J$451),0),
IF('TL12'!$B$3=K$3,SUMIF('TL12'!$C$10:$C$224,$C412,'TL12'!$J$10:$J$224),0),
IF('TL12'!$B$229=K$3,SUMIF('TL12'!$C$238:$C$451,$C412,'TL12'!$J$238:$J$451),0),
IF('TL13'!$B$3=K$3,SUMIF('TL13'!$C$10:$C$224,$C412,'TL13'!$J$10:$J$224),0),
IF('TL13'!$B$229=K$3,SUMIF('TL13'!$C$238:$C$451,$C412,'TL13'!$J$238:$J$451),0),
IF('TL14'!$B$3=K$3,SUMIF('TL14'!$C$10:$C$224,$C412,'TL14'!$J$10:$J$224),0),
IF('TL14'!$B$229=K$3,SUMIF('TL14'!$C$238:$C$451,$C412,'TL14'!$J$238:$J$451),0),
IF('TL15'!$B$3=K$3,SUMIF('TL15'!$C$10:$C$224,$C412,'TL15'!$J$10:$J$224),0),
IF('TL15'!$B$229=K$3,SUMIF('TL15'!$C$238:$C$451,$C412,'TL15'!$J$238:$J$451),0),
IF('TL16'!$B$3=K$3,SUMIF('TL16'!$C$10:$C$224,$C412,'TL16'!$J$10:$J$224),0),
IF('TL16'!$B$229=K$3,SUMIF('TL16'!$C$238:$C$451,$C412,'TL16'!$J$238:$J$451),0),
IF('TL17'!$B$3=K$3,SUMIF('TL17'!$C$10:$C$224,$C412,'TL17'!$J$10:$J$224),0),
IF('TL17'!$B$229=K$3,SUMIF('TL17'!$C$238:$C$451,$C412,'TL17'!$J$238:$J$451),0),
IF('TL18'!$B$3=K$3,SUMIF('TL18'!$C$10:$C$224,$C412,'TL18'!$J$10:$J$224),0),
IF('TL18'!$B$229=K$3,SUMIF('TL18'!$C$238:$C$451,$C412,'TL18'!$J$238:$J$451),0),
IF('TL19'!$B$3=K$3,SUMIF('TL19'!$C$10:$C$224,$C412,'TL19'!$J$10:$J$224),0),
IF('TL19'!$B$229=K$3,SUMIF('TL19'!$C$238:$C$451,$C412,'TL19'!$J$238:$J$451),0)
),0)</f>
        <v/>
      </c>
      <c r="L412" s="147">
        <f>IFERROR(SUM(
IF('TL01'!$B$3=L$3,SUMIF('TL01'!$C$10:$C$224,$C412,'TL01'!$J$10:$J$224),0),
IF('TL01'!$B$229=L$3,SUMIF('TL01'!$C$238:$C$451,$C412,'TL01'!$J$238:$J$451),0),
IF('TL02'!$B$3=L$3,SUMIF('TL02'!$C$10:$C$224,$C412,'TL02'!$J$10:$J$224),0),
IF('TL02'!$B$229=L$3,SUMIF('TL02'!$C$238:$C$451,$C412,'TL02'!$J$238:$J$451),0),
IF('TL03'!$B$3=L$3,SUMIF('TL03'!$C$10:$C$224,$C412,'TL03'!$J$10:$J$224),0),
IF('TL03'!$B$229=L$3,SUMIF('TL03'!$C$238:$C$451,$C412,'TL03'!$J$238:$J$451),0),
IF('TL04'!$B$3=L$3,SUMIF('TL04'!$C$10:$C$224,$C412,'TL04'!$J$10:$J$224),0),
IF('TL04'!$B$229=L$3,SUMIF('TL04'!$C$238:$C$451,$C412,'TL04'!$J$238:$J$451),0),
IF('TL05'!$B$3=L$3,SUMIF('TL05'!$C$10:$C$224,$C412,'TL05'!$J$10:$J$224),0),
IF('TL05'!$B$229=L$3,SUMIF('TL05'!$C$238:$C$451,$C412,'TL05'!$J$238:$J$451),0),
IF('TL06'!$B$3=L$3,SUMIF('TL06'!$C$10:$C$224,$C412,'TL06'!$J$10:$J$224),0),
IF('TL06'!$B$229=L$3,SUMIF('TL06'!$C$238:$C$451,$C412,'TL06'!$J$238:$J$451),0),
IF('TL07'!$B$3=L$3,SUMIF('TL07'!$C$10:$C$224,$C412,'TL07'!$J$10:$J$224),0),
IF('TL07'!$B$229=L$3,SUMIF('TL07'!$C$238:$C$451,$C412,'TL07'!$J$238:$J$451),0),
IF('TL08'!$B$3=L$3,SUMIF('TL08'!$C$10:$C$224,$C412,'TL08'!$J$10:$J$224),0),
IF('TL08'!$B$229=L$3,SUMIF('TL08'!$C$238:$C$451,$C412,'TL08'!$J$238:$J$451),0),
IF('TL09'!$B$3=L$3,SUMIF('TL09'!$C$10:$C$224,$C412,'TL09'!$J$10:$J$224),0),
IF('TL09'!$B$229=L$3,SUMIF('TL09'!$C$238:$C$451,$C412,'TL09'!$J$238:$J$451),0),
IF('TL10'!$B$3=L$3,SUMIF('TL10'!$C$10:$C$224,$C412,'TL10'!$J$10:$J$224),0),
IF('TL10'!$B$229=L$3,SUMIF('TL10'!$C$238:$C$451,$C412,'TL10'!$J$238:$J$451),0),
IF('TL11'!$B$3=L$3,SUMIF('TL11'!$C$10:$C$224,$C412,'TL11'!$J$10:$J$224),0),
IF('TL11'!$B$229=L$3,SUMIF('TL11'!$C$238:$C$451,$C412,'TL11'!$J$238:$J$451),0),
IF('TL12'!$B$3=L$3,SUMIF('TL12'!$C$10:$C$224,$C412,'TL12'!$J$10:$J$224),0),
IF('TL12'!$B$229=L$3,SUMIF('TL12'!$C$238:$C$451,$C412,'TL12'!$J$238:$J$451),0),
IF('TL13'!$B$3=L$3,SUMIF('TL13'!$C$10:$C$224,$C412,'TL13'!$J$10:$J$224),0),
IF('TL13'!$B$229=L$3,SUMIF('TL13'!$C$238:$C$451,$C412,'TL13'!$J$238:$J$451),0),
IF('TL14'!$B$3=L$3,SUMIF('TL14'!$C$10:$C$224,$C412,'TL14'!$J$10:$J$224),0),
IF('TL14'!$B$229=L$3,SUMIF('TL14'!$C$238:$C$451,$C412,'TL14'!$J$238:$J$451),0),
IF('TL15'!$B$3=L$3,SUMIF('TL15'!$C$10:$C$224,$C412,'TL15'!$J$10:$J$224),0),
IF('TL15'!$B$229=L$3,SUMIF('TL15'!$C$238:$C$451,$C412,'TL15'!$J$238:$J$451),0),
IF('TL16'!$B$3=L$3,SUMIF('TL16'!$C$10:$C$224,$C412,'TL16'!$J$10:$J$224),0),
IF('TL16'!$B$229=L$3,SUMIF('TL16'!$C$238:$C$451,$C412,'TL16'!$J$238:$J$451),0),
IF('TL17'!$B$3=L$3,SUMIF('TL17'!$C$10:$C$224,$C412,'TL17'!$J$10:$J$224),0),
IF('TL17'!$B$229=L$3,SUMIF('TL17'!$C$238:$C$451,$C412,'TL17'!$J$238:$J$451),0),
IF('TL18'!$B$3=L$3,SUMIF('TL18'!$C$10:$C$224,$C412,'TL18'!$J$10:$J$224),0),
IF('TL18'!$B$229=L$3,SUMIF('TL18'!$C$238:$C$451,$C412,'TL18'!$J$238:$J$451),0),
IF('TL19'!$B$3=L$3,SUMIF('TL19'!$C$10:$C$224,$C412,'TL19'!$J$10:$J$224),0),
IF('TL19'!$B$229=L$3,SUMIF('TL19'!$C$238:$C$451,$C412,'TL19'!$J$238:$J$451),0)
),0)</f>
        <v/>
      </c>
      <c r="M412" s="147">
        <f>IFERROR(SUM(
IF('TL01'!$B$3=M$3,SUMIF('TL01'!$C$10:$C$224,$C412,'TL01'!$J$10:$J$224),0),
IF('TL01'!$B$229=M$3,SUMIF('TL01'!$C$238:$C$451,$C412,'TL01'!$J$238:$J$451),0),
IF('TL02'!$B$3=M$3,SUMIF('TL02'!$C$10:$C$224,$C412,'TL02'!$J$10:$J$224),0),
IF('TL02'!$B$229=M$3,SUMIF('TL02'!$C$238:$C$451,$C412,'TL02'!$J$238:$J$451),0),
IF('TL03'!$B$3=M$3,SUMIF('TL03'!$C$10:$C$224,$C412,'TL03'!$J$10:$J$224),0),
IF('TL03'!$B$229=M$3,SUMIF('TL03'!$C$238:$C$451,$C412,'TL03'!$J$238:$J$451),0),
IF('TL04'!$B$3=M$3,SUMIF('TL04'!$C$10:$C$224,$C412,'TL04'!$J$10:$J$224),0),
IF('TL04'!$B$229=M$3,SUMIF('TL04'!$C$238:$C$451,$C412,'TL04'!$J$238:$J$451),0),
IF('TL05'!$B$3=M$3,SUMIF('TL05'!$C$10:$C$224,$C412,'TL05'!$J$10:$J$224),0),
IF('TL05'!$B$229=M$3,SUMIF('TL05'!$C$238:$C$451,$C412,'TL05'!$J$238:$J$451),0),
IF('TL06'!$B$3=M$3,SUMIF('TL06'!$C$10:$C$224,$C412,'TL06'!$J$10:$J$224),0),
IF('TL06'!$B$229=M$3,SUMIF('TL06'!$C$238:$C$451,$C412,'TL06'!$J$238:$J$451),0),
IF('TL07'!$B$3=M$3,SUMIF('TL07'!$C$10:$C$224,$C412,'TL07'!$J$10:$J$224),0),
IF('TL07'!$B$229=M$3,SUMIF('TL07'!$C$238:$C$451,$C412,'TL07'!$J$238:$J$451),0),
IF('TL08'!$B$3=M$3,SUMIF('TL08'!$C$10:$C$224,$C412,'TL08'!$J$10:$J$224),0),
IF('TL08'!$B$229=M$3,SUMIF('TL08'!$C$238:$C$451,$C412,'TL08'!$J$238:$J$451),0),
IF('TL09'!$B$3=M$3,SUMIF('TL09'!$C$10:$C$224,$C412,'TL09'!$J$10:$J$224),0),
IF('TL09'!$B$229=M$3,SUMIF('TL09'!$C$238:$C$451,$C412,'TL09'!$J$238:$J$451),0),
IF('TL10'!$B$3=M$3,SUMIF('TL10'!$C$10:$C$224,$C412,'TL10'!$J$10:$J$224),0),
IF('TL10'!$B$229=M$3,SUMIF('TL10'!$C$238:$C$451,$C412,'TL10'!$J$238:$J$451),0),
IF('TL11'!$B$3=M$3,SUMIF('TL11'!$C$10:$C$224,$C412,'TL11'!$J$10:$J$224),0),
IF('TL11'!$B$229=M$3,SUMIF('TL11'!$C$238:$C$451,$C412,'TL11'!$J$238:$J$451),0),
IF('TL12'!$B$3=M$3,SUMIF('TL12'!$C$10:$C$224,$C412,'TL12'!$J$10:$J$224),0),
IF('TL12'!$B$229=M$3,SUMIF('TL12'!$C$238:$C$451,$C412,'TL12'!$J$238:$J$451),0),
IF('TL13'!$B$3=M$3,SUMIF('TL13'!$C$10:$C$224,$C412,'TL13'!$J$10:$J$224),0),
IF('TL13'!$B$229=M$3,SUMIF('TL13'!$C$238:$C$451,$C412,'TL13'!$J$238:$J$451),0),
IF('TL14'!$B$3=M$3,SUMIF('TL14'!$C$10:$C$224,$C412,'TL14'!$J$10:$J$224),0),
IF('TL14'!$B$229=M$3,SUMIF('TL14'!$C$238:$C$451,$C412,'TL14'!$J$238:$J$451),0),
IF('TL15'!$B$3=M$3,SUMIF('TL15'!$C$10:$C$224,$C412,'TL15'!$J$10:$J$224),0),
IF('TL15'!$B$229=M$3,SUMIF('TL15'!$C$238:$C$451,$C412,'TL15'!$J$238:$J$451),0),
IF('TL16'!$B$3=M$3,SUMIF('TL16'!$C$10:$C$224,$C412,'TL16'!$J$10:$J$224),0),
IF('TL16'!$B$229=M$3,SUMIF('TL16'!$C$238:$C$451,$C412,'TL16'!$J$238:$J$451),0),
IF('TL17'!$B$3=M$3,SUMIF('TL17'!$C$10:$C$224,$C412,'TL17'!$J$10:$J$224),0),
IF('TL17'!$B$229=M$3,SUMIF('TL17'!$C$238:$C$451,$C412,'TL17'!$J$238:$J$451),0),
IF('TL18'!$B$3=M$3,SUMIF('TL18'!$C$10:$C$224,$C412,'TL18'!$J$10:$J$224),0),
IF('TL18'!$B$229=M$3,SUMIF('TL18'!$C$238:$C$451,$C412,'TL18'!$J$238:$J$451),0),
IF('TL19'!$B$3=M$3,SUMIF('TL19'!$C$10:$C$224,$C412,'TL19'!$J$10:$J$224),0),
IF('TL19'!$B$229=M$3,SUMIF('TL19'!$C$238:$C$451,$C412,'TL19'!$J$238:$J$451),0)
),0)</f>
        <v/>
      </c>
      <c r="N412" s="147">
        <f>IFERROR(SUM(
IF('TL01'!$B$3=N$3,SUMIF('TL01'!$C$10:$C$224,$C412,'TL01'!$J$10:$J$224),0),
IF('TL01'!$B$229=N$3,SUMIF('TL01'!$C$238:$C$451,$C412,'TL01'!$J$238:$J$451),0),
IF('TL02'!$B$3=N$3,SUMIF('TL02'!$C$10:$C$224,$C412,'TL02'!$J$10:$J$224),0),
IF('TL02'!$B$229=N$3,SUMIF('TL02'!$C$238:$C$451,$C412,'TL02'!$J$238:$J$451),0),
IF('TL03'!$B$3=N$3,SUMIF('TL03'!$C$10:$C$224,$C412,'TL03'!$J$10:$J$224),0),
IF('TL03'!$B$229=N$3,SUMIF('TL03'!$C$238:$C$451,$C412,'TL03'!$J$238:$J$451),0),
IF('TL04'!$B$3=N$3,SUMIF('TL04'!$C$10:$C$224,$C412,'TL04'!$J$10:$J$224),0),
IF('TL04'!$B$229=N$3,SUMIF('TL04'!$C$238:$C$451,$C412,'TL04'!$J$238:$J$451),0),
IF('TL05'!$B$3=N$3,SUMIF('TL05'!$C$10:$C$224,$C412,'TL05'!$J$10:$J$224),0),
IF('TL05'!$B$229=N$3,SUMIF('TL05'!$C$238:$C$451,$C412,'TL05'!$J$238:$J$451),0),
IF('TL06'!$B$3=N$3,SUMIF('TL06'!$C$10:$C$224,$C412,'TL06'!$J$10:$J$224),0),
IF('TL06'!$B$229=N$3,SUMIF('TL06'!$C$238:$C$451,$C412,'TL06'!$J$238:$J$451),0),
IF('TL07'!$B$3=N$3,SUMIF('TL07'!$C$10:$C$224,$C412,'TL07'!$J$10:$J$224),0),
IF('TL07'!$B$229=N$3,SUMIF('TL07'!$C$238:$C$451,$C412,'TL07'!$J$238:$J$451),0),
IF('TL08'!$B$3=N$3,SUMIF('TL08'!$C$10:$C$224,$C412,'TL08'!$J$10:$J$224),0),
IF('TL08'!$B$229=N$3,SUMIF('TL08'!$C$238:$C$451,$C412,'TL08'!$J$238:$J$451),0),
IF('TL09'!$B$3=N$3,SUMIF('TL09'!$C$10:$C$224,$C412,'TL09'!$J$10:$J$224),0),
IF('TL09'!$B$229=N$3,SUMIF('TL09'!$C$238:$C$451,$C412,'TL09'!$J$238:$J$451),0),
IF('TL10'!$B$3=N$3,SUMIF('TL10'!$C$10:$C$224,$C412,'TL10'!$J$10:$J$224),0),
IF('TL10'!$B$229=N$3,SUMIF('TL10'!$C$238:$C$451,$C412,'TL10'!$J$238:$J$451),0),
IF('TL11'!$B$3=N$3,SUMIF('TL11'!$C$10:$C$224,$C412,'TL11'!$J$10:$J$224),0),
IF('TL11'!$B$229=N$3,SUMIF('TL11'!$C$238:$C$451,$C412,'TL11'!$J$238:$J$451),0),
IF('TL12'!$B$3=N$3,SUMIF('TL12'!$C$10:$C$224,$C412,'TL12'!$J$10:$J$224),0),
IF('TL12'!$B$229=N$3,SUMIF('TL12'!$C$238:$C$451,$C412,'TL12'!$J$238:$J$451),0),
IF('TL13'!$B$3=N$3,SUMIF('TL13'!$C$10:$C$224,$C412,'TL13'!$J$10:$J$224),0),
IF('TL13'!$B$229=N$3,SUMIF('TL13'!$C$238:$C$451,$C412,'TL13'!$J$238:$J$451),0),
IF('TL14'!$B$3=N$3,SUMIF('TL14'!$C$10:$C$224,$C412,'TL14'!$J$10:$J$224),0),
IF('TL14'!$B$229=N$3,SUMIF('TL14'!$C$238:$C$451,$C412,'TL14'!$J$238:$J$451),0),
IF('TL15'!$B$3=N$3,SUMIF('TL15'!$C$10:$C$224,$C412,'TL15'!$J$10:$J$224),0),
IF('TL15'!$B$229=N$3,SUMIF('TL15'!$C$238:$C$451,$C412,'TL15'!$J$238:$J$451),0),
IF('TL16'!$B$3=N$3,SUMIF('TL16'!$C$10:$C$224,$C412,'TL16'!$J$10:$J$224),0),
IF('TL16'!$B$229=N$3,SUMIF('TL16'!$C$238:$C$451,$C412,'TL16'!$J$238:$J$451),0),
IF('TL17'!$B$3=N$3,SUMIF('TL17'!$C$10:$C$224,$C412,'TL17'!$J$10:$J$224),0),
IF('TL17'!$B$229=N$3,SUMIF('TL17'!$C$238:$C$451,$C412,'TL17'!$J$238:$J$451),0),
IF('TL18'!$B$3=N$3,SUMIF('TL18'!$C$10:$C$224,$C412,'TL18'!$J$10:$J$224),0),
IF('TL18'!$B$229=N$3,SUMIF('TL18'!$C$238:$C$451,$C412,'TL18'!$J$238:$J$451),0),
IF('TL19'!$B$3=N$3,SUMIF('TL19'!$C$10:$C$224,$C412,'TL19'!$J$10:$J$224),0),
IF('TL19'!$B$229=N$3,SUMIF('TL19'!$C$238:$C$451,$C412,'TL19'!$J$238:$J$451),0)
),0)</f>
        <v/>
      </c>
      <c r="O412" s="147">
        <f>IFERROR(SUM(
IF('TL01'!$B$3=O$3,SUMIF('TL01'!$C$10:$C$224,$C412,'TL01'!$J$10:$J$224),0),
IF('TL01'!$B$229=O$3,SUMIF('TL01'!$C$238:$C$451,$C412,'TL01'!$J$238:$J$451),0),
IF('TL02'!$B$3=O$3,SUMIF('TL02'!$C$10:$C$224,$C412,'TL02'!$J$10:$J$224),0),
IF('TL02'!$B$229=O$3,SUMIF('TL02'!$C$238:$C$451,$C412,'TL02'!$J$238:$J$451),0),
IF('TL03'!$B$3=O$3,SUMIF('TL03'!$C$10:$C$224,$C412,'TL03'!$J$10:$J$224),0),
IF('TL03'!$B$229=O$3,SUMIF('TL03'!$C$238:$C$451,$C412,'TL03'!$J$238:$J$451),0),
IF('TL04'!$B$3=O$3,SUMIF('TL04'!$C$10:$C$224,$C412,'TL04'!$J$10:$J$224),0),
IF('TL04'!$B$229=O$3,SUMIF('TL04'!$C$238:$C$451,$C412,'TL04'!$J$238:$J$451),0),
IF('TL05'!$B$3=O$3,SUMIF('TL05'!$C$10:$C$224,$C412,'TL05'!$J$10:$J$224),0),
IF('TL05'!$B$229=O$3,SUMIF('TL05'!$C$238:$C$451,$C412,'TL05'!$J$238:$J$451),0),
IF('TL06'!$B$3=O$3,SUMIF('TL06'!$C$10:$C$224,$C412,'TL06'!$J$10:$J$224),0),
IF('TL06'!$B$229=O$3,SUMIF('TL06'!$C$238:$C$451,$C412,'TL06'!$J$238:$J$451),0),
IF('TL07'!$B$3=O$3,SUMIF('TL07'!$C$10:$C$224,$C412,'TL07'!$J$10:$J$224),0),
IF('TL07'!$B$229=O$3,SUMIF('TL07'!$C$238:$C$451,$C412,'TL07'!$J$238:$J$451),0),
IF('TL08'!$B$3=O$3,SUMIF('TL08'!$C$10:$C$224,$C412,'TL08'!$J$10:$J$224),0),
IF('TL08'!$B$229=O$3,SUMIF('TL08'!$C$238:$C$451,$C412,'TL08'!$J$238:$J$451),0),
IF('TL09'!$B$3=O$3,SUMIF('TL09'!$C$10:$C$224,$C412,'TL09'!$J$10:$J$224),0),
IF('TL09'!$B$229=O$3,SUMIF('TL09'!$C$238:$C$451,$C412,'TL09'!$J$238:$J$451),0),
IF('TL10'!$B$3=O$3,SUMIF('TL10'!$C$10:$C$224,$C412,'TL10'!$J$10:$J$224),0),
IF('TL10'!$B$229=O$3,SUMIF('TL10'!$C$238:$C$451,$C412,'TL10'!$J$238:$J$451),0),
IF('TL11'!$B$3=O$3,SUMIF('TL11'!$C$10:$C$224,$C412,'TL11'!$J$10:$J$224),0),
IF('TL11'!$B$229=O$3,SUMIF('TL11'!$C$238:$C$451,$C412,'TL11'!$J$238:$J$451),0),
IF('TL12'!$B$3=O$3,SUMIF('TL12'!$C$10:$C$224,$C412,'TL12'!$J$10:$J$224),0),
IF('TL12'!$B$229=O$3,SUMIF('TL12'!$C$238:$C$451,$C412,'TL12'!$J$238:$J$451),0),
IF('TL13'!$B$3=O$3,SUMIF('TL13'!$C$10:$C$224,$C412,'TL13'!$J$10:$J$224),0),
IF('TL13'!$B$229=O$3,SUMIF('TL13'!$C$238:$C$451,$C412,'TL13'!$J$238:$J$451),0),
IF('TL14'!$B$3=O$3,SUMIF('TL14'!$C$10:$C$224,$C412,'TL14'!$J$10:$J$224),0),
IF('TL14'!$B$229=O$3,SUMIF('TL14'!$C$238:$C$451,$C412,'TL14'!$J$238:$J$451),0),
IF('TL15'!$B$3=O$3,SUMIF('TL15'!$C$10:$C$224,$C412,'TL15'!$J$10:$J$224),0),
IF('TL15'!$B$229=O$3,SUMIF('TL15'!$C$238:$C$451,$C412,'TL15'!$J$238:$J$451),0),
IF('TL16'!$B$3=O$3,SUMIF('TL16'!$C$10:$C$224,$C412,'TL16'!$J$10:$J$224),0),
IF('TL16'!$B$229=O$3,SUMIF('TL16'!$C$238:$C$451,$C412,'TL16'!$J$238:$J$451),0),
IF('TL17'!$B$3=O$3,SUMIF('TL17'!$C$10:$C$224,$C412,'TL17'!$J$10:$J$224),0),
IF('TL17'!$B$229=O$3,SUMIF('TL17'!$C$238:$C$451,$C412,'TL17'!$J$238:$J$451),0),
IF('TL18'!$B$3=O$3,SUMIF('TL18'!$C$10:$C$224,$C412,'TL18'!$J$10:$J$224),0),
IF('TL18'!$B$229=O$3,SUMIF('TL18'!$C$238:$C$451,$C412,'TL18'!$J$238:$J$451),0),
IF('TL19'!$B$3=O$3,SUMIF('TL19'!$C$10:$C$224,$C412,'TL19'!$J$10:$J$224),0),
IF('TL19'!$B$229=O$3,SUMIF('TL19'!$C$238:$C$451,$C412,'TL19'!$J$238:$J$451),0)
),0)</f>
        <v/>
      </c>
      <c r="P412" s="147">
        <f>IFERROR(SUM(
IF('TL01'!$B$3=P$3,SUMIF('TL01'!$C$10:$C$224,$C412,'TL01'!$J$10:$J$224),0),
IF('TL01'!$B$229=P$3,SUMIF('TL01'!$C$238:$C$451,$C412,'TL01'!$J$238:$J$451),0),
IF('TL02'!$B$3=P$3,SUMIF('TL02'!$C$10:$C$224,$C412,'TL02'!$J$10:$J$224),0),
IF('TL02'!$B$229=P$3,SUMIF('TL02'!$C$238:$C$451,$C412,'TL02'!$J$238:$J$451),0),
IF('TL03'!$B$3=P$3,SUMIF('TL03'!$C$10:$C$224,$C412,'TL03'!$J$10:$J$224),0),
IF('TL03'!$B$229=P$3,SUMIF('TL03'!$C$238:$C$451,$C412,'TL03'!$J$238:$J$451),0),
IF('TL04'!$B$3=P$3,SUMIF('TL04'!$C$10:$C$224,$C412,'TL04'!$J$10:$J$224),0),
IF('TL04'!$B$229=P$3,SUMIF('TL04'!$C$238:$C$451,$C412,'TL04'!$J$238:$J$451),0),
IF('TL05'!$B$3=P$3,SUMIF('TL05'!$C$10:$C$224,$C412,'TL05'!$J$10:$J$224),0),
IF('TL05'!$B$229=P$3,SUMIF('TL05'!$C$238:$C$451,$C412,'TL05'!$J$238:$J$451),0),
IF('TL06'!$B$3=P$3,SUMIF('TL06'!$C$10:$C$224,$C412,'TL06'!$J$10:$J$224),0),
IF('TL06'!$B$229=P$3,SUMIF('TL06'!$C$238:$C$451,$C412,'TL06'!$J$238:$J$451),0),
IF('TL07'!$B$3=P$3,SUMIF('TL07'!$C$10:$C$224,$C412,'TL07'!$J$10:$J$224),0),
IF('TL07'!$B$229=P$3,SUMIF('TL07'!$C$238:$C$451,$C412,'TL07'!$J$238:$J$451),0),
IF('TL08'!$B$3=P$3,SUMIF('TL08'!$C$10:$C$224,$C412,'TL08'!$J$10:$J$224),0),
IF('TL08'!$B$229=P$3,SUMIF('TL08'!$C$238:$C$451,$C412,'TL08'!$J$238:$J$451),0),
IF('TL09'!$B$3=P$3,SUMIF('TL09'!$C$10:$C$224,$C412,'TL09'!$J$10:$J$224),0),
IF('TL09'!$B$229=P$3,SUMIF('TL09'!$C$238:$C$451,$C412,'TL09'!$J$238:$J$451),0),
IF('TL10'!$B$3=P$3,SUMIF('TL10'!$C$10:$C$224,$C412,'TL10'!$J$10:$J$224),0),
IF('TL10'!$B$229=P$3,SUMIF('TL10'!$C$238:$C$451,$C412,'TL10'!$J$238:$J$451),0),
IF('TL11'!$B$3=P$3,SUMIF('TL11'!$C$10:$C$224,$C412,'TL11'!$J$10:$J$224),0),
IF('TL11'!$B$229=P$3,SUMIF('TL11'!$C$238:$C$451,$C412,'TL11'!$J$238:$J$451),0),
IF('TL12'!$B$3=P$3,SUMIF('TL12'!$C$10:$C$224,$C412,'TL12'!$J$10:$J$224),0),
IF('TL12'!$B$229=P$3,SUMIF('TL12'!$C$238:$C$451,$C412,'TL12'!$J$238:$J$451),0),
IF('TL13'!$B$3=P$3,SUMIF('TL13'!$C$10:$C$224,$C412,'TL13'!$J$10:$J$224),0),
IF('TL13'!$B$229=P$3,SUMIF('TL13'!$C$238:$C$451,$C412,'TL13'!$J$238:$J$451),0),
IF('TL14'!$B$3=P$3,SUMIF('TL14'!$C$10:$C$224,$C412,'TL14'!$J$10:$J$224),0),
IF('TL14'!$B$229=P$3,SUMIF('TL14'!$C$238:$C$451,$C412,'TL14'!$J$238:$J$451),0),
IF('TL15'!$B$3=P$3,SUMIF('TL15'!$C$10:$C$224,$C412,'TL15'!$J$10:$J$224),0),
IF('TL15'!$B$229=P$3,SUMIF('TL15'!$C$238:$C$451,$C412,'TL15'!$J$238:$J$451),0),
IF('TL16'!$B$3=P$3,SUMIF('TL16'!$C$10:$C$224,$C412,'TL16'!$J$10:$J$224),0),
IF('TL16'!$B$229=P$3,SUMIF('TL16'!$C$238:$C$451,$C412,'TL16'!$J$238:$J$451),0),
IF('TL17'!$B$3=P$3,SUMIF('TL17'!$C$10:$C$224,$C412,'TL17'!$J$10:$J$224),0),
IF('TL17'!$B$229=P$3,SUMIF('TL17'!$C$238:$C$451,$C412,'TL17'!$J$238:$J$451),0),
IF('TL18'!$B$3=P$3,SUMIF('TL18'!$C$10:$C$224,$C412,'TL18'!$J$10:$J$224),0),
IF('TL18'!$B$229=P$3,SUMIF('TL18'!$C$238:$C$451,$C412,'TL18'!$J$238:$J$451),0),
IF('TL19'!$B$3=P$3,SUMIF('TL19'!$C$10:$C$224,$C412,'TL19'!$J$10:$J$224),0),
IF('TL19'!$B$229=P$3,SUMIF('TL19'!$C$238:$C$451,$C412,'TL19'!$J$238:$J$451),0)
),0)</f>
        <v/>
      </c>
      <c r="Q412" s="147">
        <f>IFERROR(SUM(
IF('TL01'!$B$3=Q$3,SUMIF('TL01'!$C$10:$C$224,$C412,'TL01'!$J$10:$J$224),0),
IF('TL01'!$B$229=Q$3,SUMIF('TL01'!$C$238:$C$451,$C412,'TL01'!$J$238:$J$451),0),
IF('TL02'!$B$3=Q$3,SUMIF('TL02'!$C$10:$C$224,$C412,'TL02'!$J$10:$J$224),0),
IF('TL02'!$B$229=Q$3,SUMIF('TL02'!$C$238:$C$451,$C412,'TL02'!$J$238:$J$451),0),
IF('TL03'!$B$3=Q$3,SUMIF('TL03'!$C$10:$C$224,$C412,'TL03'!$J$10:$J$224),0),
IF('TL03'!$B$229=Q$3,SUMIF('TL03'!$C$238:$C$451,$C412,'TL03'!$J$238:$J$451),0),
IF('TL04'!$B$3=Q$3,SUMIF('TL04'!$C$10:$C$224,$C412,'TL04'!$J$10:$J$224),0),
IF('TL04'!$B$229=Q$3,SUMIF('TL04'!$C$238:$C$451,$C412,'TL04'!$J$238:$J$451),0),
IF('TL05'!$B$3=Q$3,SUMIF('TL05'!$C$10:$C$224,$C412,'TL05'!$J$10:$J$224),0),
IF('TL05'!$B$229=Q$3,SUMIF('TL05'!$C$238:$C$451,$C412,'TL05'!$J$238:$J$451),0),
IF('TL06'!$B$3=Q$3,SUMIF('TL06'!$C$10:$C$224,$C412,'TL06'!$J$10:$J$224),0),
IF('TL06'!$B$229=Q$3,SUMIF('TL06'!$C$238:$C$451,$C412,'TL06'!$J$238:$J$451),0),
IF('TL07'!$B$3=Q$3,SUMIF('TL07'!$C$10:$C$224,$C412,'TL07'!$J$10:$J$224),0),
IF('TL07'!$B$229=Q$3,SUMIF('TL07'!$C$238:$C$451,$C412,'TL07'!$J$238:$J$451),0),
IF('TL08'!$B$3=Q$3,SUMIF('TL08'!$C$10:$C$224,$C412,'TL08'!$J$10:$J$224),0),
IF('TL08'!$B$229=Q$3,SUMIF('TL08'!$C$238:$C$451,$C412,'TL08'!$J$238:$J$451),0),
IF('TL09'!$B$3=Q$3,SUMIF('TL09'!$C$10:$C$224,$C412,'TL09'!$J$10:$J$224),0),
IF('TL09'!$B$229=Q$3,SUMIF('TL09'!$C$238:$C$451,$C412,'TL09'!$J$238:$J$451),0),
IF('TL10'!$B$3=Q$3,SUMIF('TL10'!$C$10:$C$224,$C412,'TL10'!$J$10:$J$224),0),
IF('TL10'!$B$229=Q$3,SUMIF('TL10'!$C$238:$C$451,$C412,'TL10'!$J$238:$J$451),0),
IF('TL11'!$B$3=Q$3,SUMIF('TL11'!$C$10:$C$224,$C412,'TL11'!$J$10:$J$224),0),
IF('TL11'!$B$229=Q$3,SUMIF('TL11'!$C$238:$C$451,$C412,'TL11'!$J$238:$J$451),0),
IF('TL12'!$B$3=Q$3,SUMIF('TL12'!$C$10:$C$224,$C412,'TL12'!$J$10:$J$224),0),
IF('TL12'!$B$229=Q$3,SUMIF('TL12'!$C$238:$C$451,$C412,'TL12'!$J$238:$J$451),0),
IF('TL13'!$B$3=Q$3,SUMIF('TL13'!$C$10:$C$224,$C412,'TL13'!$J$10:$J$224),0),
IF('TL13'!$B$229=Q$3,SUMIF('TL13'!$C$238:$C$451,$C412,'TL13'!$J$238:$J$451),0),
IF('TL14'!$B$3=Q$3,SUMIF('TL14'!$C$10:$C$224,$C412,'TL14'!$J$10:$J$224),0),
IF('TL14'!$B$229=Q$3,SUMIF('TL14'!$C$238:$C$451,$C412,'TL14'!$J$238:$J$451),0),
IF('TL15'!$B$3=Q$3,SUMIF('TL15'!$C$10:$C$224,$C412,'TL15'!$J$10:$J$224),0),
IF('TL15'!$B$229=Q$3,SUMIF('TL15'!$C$238:$C$451,$C412,'TL15'!$J$238:$J$451),0),
IF('TL16'!$B$3=Q$3,SUMIF('TL16'!$C$10:$C$224,$C412,'TL16'!$J$10:$J$224),0),
IF('TL16'!$B$229=Q$3,SUMIF('TL16'!$C$238:$C$451,$C412,'TL16'!$J$238:$J$451),0),
IF('TL17'!$B$3=Q$3,SUMIF('TL17'!$C$10:$C$224,$C412,'TL17'!$J$10:$J$224),0),
IF('TL17'!$B$229=Q$3,SUMIF('TL17'!$C$238:$C$451,$C412,'TL17'!$J$238:$J$451),0),
IF('TL18'!$B$3=Q$3,SUMIF('TL18'!$C$10:$C$224,$C412,'TL18'!$J$10:$J$224),0),
IF('TL18'!$B$229=Q$3,SUMIF('TL18'!$C$238:$C$451,$C412,'TL18'!$J$238:$J$451),0),
IF('TL19'!$B$3=Q$3,SUMIF('TL19'!$C$10:$C$224,$C412,'TL19'!$J$10:$J$224),0),
IF('TL19'!$B$229=Q$3,SUMIF('TL19'!$C$238:$C$451,$C412,'TL19'!$J$238:$J$451),0)
),0)</f>
        <v/>
      </c>
      <c r="R412" s="139">
        <f>IFERROR(
SUM(
SUMIF('TL01'!C:C,C412,'TL01'!J:J),
SUMIF('TL02'!C:C,C412,'TL02'!I:I),
SUMIF('TL03'!C:C,C412,'TL03'!I:I),
SUMIF('TL04'!C:C,C412,'TL04'!I:I),
SUMIF('TL05'!C:C,C412,'TL05'!I:I),
SUMIF('TL06'!C:C,C412,'TL06'!I:I),
SUMIF('TL07'!C:C,C412,'TL07'!I:I),
SUMIF('TL08'!C:C,C412,'TL08'!I:I),
SUMIF('TL09'!C:C,C412,'TL09'!I:I),
SUMIF('TL10'!C:C,C412,'TL10'!I:I),
SUMIF('TL11'!C:C,C412,'TL11'!I:I),
SUMIF('TL12'!C:C,C412,'TL12'!I:I),
SUMIF('TL13'!C:C,C412,'TL13'!I:I),
SUMIF('TL14'!C:C,C412,'TL14'!I:I),
SUMIF('TL15'!C:C,C412,'TL15'!I:I),
SUMIF('TL16'!C:C,C412,'TL16'!I:I),
SUMIF('TL17'!C:C,C412,'TL17'!I:I),
SUMIF('TL18'!C:C,C412,'TL18'!I:I))
,0)</f>
        <v/>
      </c>
      <c r="S412" s="142">
        <f>'CUSTO OPERAÇÃO'!M16</f>
        <v/>
      </c>
      <c r="T412" s="139" t="n"/>
      <c r="U412" s="143">
        <f>MAX(0,R412-T412)</f>
        <v/>
      </c>
      <c r="V412" s="144">
        <f>U412*S412</f>
        <v/>
      </c>
    </row>
    <row r="413" hidden="1" ht="15.75" customHeight="1" s="297">
      <c r="A413" s="134" t="n"/>
      <c r="B413" s="135" t="inlineStr">
        <is>
          <t>MÁQUINAS</t>
        </is>
      </c>
      <c r="C413" s="136">
        <f>'CUSTO OPERAÇÃO'!D17</f>
        <v/>
      </c>
      <c r="D413" s="136" t="n"/>
      <c r="E413" s="137" t="n"/>
      <c r="F413" s="138" t="inlineStr">
        <is>
          <t>R$/Ha</t>
        </is>
      </c>
      <c r="G413" s="139" t="n"/>
      <c r="H413" s="140">
        <f>'CUSTO OPERAÇÃO'!J17</f>
        <v/>
      </c>
      <c r="I413" s="141" t="n"/>
      <c r="J413" s="136">
        <f>IFERROR(SUM(
IF('TL01'!$B$3=J$3,SUMIF('TL01'!$C$10:$C$224,$C413,'TL01'!$J$10:$J$224),0),
IF('TL01'!$B$229=J$3,SUMIF('TL01'!$C$238:$C$451,$C413,'TL01'!$J$238:$J$451),0),
IF('TL02'!$B$3=J$3,SUMIF('TL02'!$C$10:$C$224,$C413,'TL02'!$J$10:$J$224),0),
IF('TL02'!$B$229=J$3,SUMIF('TL02'!$C$238:$C$451,$C413,'TL02'!$J$238:$J$451),0),
IF('TL03'!$B$3=J$3,SUMIF('TL03'!$C$10:$C$224,$C413,'TL03'!$J$10:$J$224),0),
IF('TL03'!$B$229=J$3,SUMIF('TL03'!$C$238:$C$451,$C413,'TL03'!$J$238:$J$451),0),
IF('TL04'!$B$3=J$3,SUMIF('TL04'!$C$10:$C$224,$C413,'TL04'!$J$10:$J$224),0),
IF('TL04'!$B$229=J$3,SUMIF('TL04'!$C$238:$C$451,$C413,'TL04'!$J$238:$J$451),0),
IF('TL05'!$B$3=J$3,SUMIF('TL05'!$C$10:$C$224,$C413,'TL05'!$J$10:$J$224),0),
IF('TL05'!$B$229=J$3,SUMIF('TL05'!$C$238:$C$451,$C413,'TL05'!$J$238:$J$451),0),
IF('TL06'!$B$3=J$3,SUMIF('TL06'!$C$10:$C$224,$C413,'TL06'!$J$10:$J$224),0),
IF('TL06'!$B$229=J$3,SUMIF('TL06'!$C$238:$C$451,$C413,'TL06'!$J$238:$J$451),0),
IF('TL07'!$B$3=J$3,SUMIF('TL07'!$C$10:$C$224,$C413,'TL07'!$J$10:$J$224),0),
IF('TL07'!$B$229=J$3,SUMIF('TL07'!$C$238:$C$451,$C413,'TL07'!$J$238:$J$451),0),
IF('TL08'!$B$3=J$3,SUMIF('TL08'!$C$10:$C$224,$C413,'TL08'!$J$10:$J$224),0),
IF('TL08'!$B$229=J$3,SUMIF('TL08'!$C$238:$C$451,$C413,'TL08'!$J$238:$J$451),0),
IF('TL09'!$B$3=J$3,SUMIF('TL09'!$C$10:$C$224,$C413,'TL09'!$J$10:$J$224),0),
IF('TL09'!$B$229=J$3,SUMIF('TL09'!$C$238:$C$451,$C413,'TL09'!$J$238:$J$451),0),
IF('TL10'!$B$3=J$3,SUMIF('TL10'!$C$10:$C$224,$C413,'TL10'!$J$10:$J$224),0),
IF('TL10'!$B$229=J$3,SUMIF('TL10'!$C$238:$C$451,$C413,'TL10'!$J$238:$J$451),0),
IF('TL11'!$B$3=J$3,SUMIF('TL11'!$C$10:$C$224,$C413,'TL11'!$J$10:$J$224),0),
IF('TL11'!$B$229=J$3,SUMIF('TL11'!$C$238:$C$451,$C413,'TL11'!$J$238:$J$451),0),
IF('TL12'!$B$3=J$3,SUMIF('TL12'!$C$10:$C$224,$C413,'TL12'!$J$10:$J$224),0),
IF('TL12'!$B$229=J$3,SUMIF('TL12'!$C$238:$C$451,$C413,'TL12'!$J$238:$J$451),0),
IF('TL13'!$B$3=J$3,SUMIF('TL13'!$C$10:$C$224,$C413,'TL13'!$J$10:$J$224),0),
IF('TL13'!$B$229=J$3,SUMIF('TL13'!$C$238:$C$451,$C413,'TL13'!$J$238:$J$451),0),
IF('TL14'!$B$3=J$3,SUMIF('TL14'!$C$10:$C$224,$C413,'TL14'!$J$10:$J$224),0),
IF('TL14'!$B$229=J$3,SUMIF('TL14'!$C$238:$C$451,$C413,'TL14'!$J$238:$J$451),0),
IF('TL15'!$B$3=J$3,SUMIF('TL15'!$C$10:$C$224,$C413,'TL15'!$J$10:$J$224),0),
IF('TL15'!$B$229=J$3,SUMIF('TL15'!$C$238:$C$451,$C413,'TL15'!$J$238:$J$451),0),
IF('TL16'!$B$3=J$3,SUMIF('TL16'!$C$10:$C$224,$C413,'TL16'!$J$10:$J$224),0),
IF('TL16'!$B$229=J$3,SUMIF('TL16'!$C$238:$C$451,$C413,'TL16'!$J$238:$J$451),0),
IF('TL17'!$B$3=J$3,SUMIF('TL17'!$C$10:$C$224,$C413,'TL17'!$J$10:$J$224),0),
IF('TL17'!$B$229=J$3,SUMIF('TL17'!$C$238:$C$451,$C413,'TL17'!$J$238:$J$451),0),
IF('TL18'!$B$3=J$3,SUMIF('TL18'!$C$10:$C$224,$C413,'TL18'!$J$10:$J$224),0),
IF('TL18'!$B$229=J$3,SUMIF('TL18'!$C$238:$C$451,$C413,'TL18'!$J$238:$J$451),0),
IF('TL19'!$B$3=J$3,SUMIF('TL19'!$C$10:$C$224,$C413,'TL19'!$J$10:$J$224),0),
IF('TL19'!$B$229=J$3,SUMIF('TL19'!$C$238:$C$451,$C413,'TL19'!$J$238:$J$451),0)
),0)</f>
        <v/>
      </c>
      <c r="K413" s="136">
        <f>IFERROR(SUM(
IF('TL01'!$B$3=K$3,SUMIF('TL01'!$C$10:$C$224,$C413,'TL01'!$J$10:$J$224),0),
IF('TL01'!$B$229=K$3,SUMIF('TL01'!$C$238:$C$451,$C413,'TL01'!$J$238:$J$451),0),
IF('TL02'!$B$3=K$3,SUMIF('TL02'!$C$10:$C$224,$C413,'TL02'!$J$10:$J$224),0),
IF('TL02'!$B$229=K$3,SUMIF('TL02'!$C$238:$C$451,$C413,'TL02'!$J$238:$J$451),0),
IF('TL03'!$B$3=K$3,SUMIF('TL03'!$C$10:$C$224,$C413,'TL03'!$J$10:$J$224),0),
IF('TL03'!$B$229=K$3,SUMIF('TL03'!$C$238:$C$451,$C413,'TL03'!$J$238:$J$451),0),
IF('TL04'!$B$3=K$3,SUMIF('TL04'!$C$10:$C$224,$C413,'TL04'!$J$10:$J$224),0),
IF('TL04'!$B$229=K$3,SUMIF('TL04'!$C$238:$C$451,$C413,'TL04'!$J$238:$J$451),0),
IF('TL05'!$B$3=K$3,SUMIF('TL05'!$C$10:$C$224,$C413,'TL05'!$J$10:$J$224),0),
IF('TL05'!$B$229=K$3,SUMIF('TL05'!$C$238:$C$451,$C413,'TL05'!$J$238:$J$451),0),
IF('TL06'!$B$3=K$3,SUMIF('TL06'!$C$10:$C$224,$C413,'TL06'!$J$10:$J$224),0),
IF('TL06'!$B$229=K$3,SUMIF('TL06'!$C$238:$C$451,$C413,'TL06'!$J$238:$J$451),0),
IF('TL07'!$B$3=K$3,SUMIF('TL07'!$C$10:$C$224,$C413,'TL07'!$J$10:$J$224),0),
IF('TL07'!$B$229=K$3,SUMIF('TL07'!$C$238:$C$451,$C413,'TL07'!$J$238:$J$451),0),
IF('TL08'!$B$3=K$3,SUMIF('TL08'!$C$10:$C$224,$C413,'TL08'!$J$10:$J$224),0),
IF('TL08'!$B$229=K$3,SUMIF('TL08'!$C$238:$C$451,$C413,'TL08'!$J$238:$J$451),0),
IF('TL09'!$B$3=K$3,SUMIF('TL09'!$C$10:$C$224,$C413,'TL09'!$J$10:$J$224),0),
IF('TL09'!$B$229=K$3,SUMIF('TL09'!$C$238:$C$451,$C413,'TL09'!$J$238:$J$451),0),
IF('TL10'!$B$3=K$3,SUMIF('TL10'!$C$10:$C$224,$C413,'TL10'!$J$10:$J$224),0),
IF('TL10'!$B$229=K$3,SUMIF('TL10'!$C$238:$C$451,$C413,'TL10'!$J$238:$J$451),0),
IF('TL11'!$B$3=K$3,SUMIF('TL11'!$C$10:$C$224,$C413,'TL11'!$J$10:$J$224),0),
IF('TL11'!$B$229=K$3,SUMIF('TL11'!$C$238:$C$451,$C413,'TL11'!$J$238:$J$451),0),
IF('TL12'!$B$3=K$3,SUMIF('TL12'!$C$10:$C$224,$C413,'TL12'!$J$10:$J$224),0),
IF('TL12'!$B$229=K$3,SUMIF('TL12'!$C$238:$C$451,$C413,'TL12'!$J$238:$J$451),0),
IF('TL13'!$B$3=K$3,SUMIF('TL13'!$C$10:$C$224,$C413,'TL13'!$J$10:$J$224),0),
IF('TL13'!$B$229=K$3,SUMIF('TL13'!$C$238:$C$451,$C413,'TL13'!$J$238:$J$451),0),
IF('TL14'!$B$3=K$3,SUMIF('TL14'!$C$10:$C$224,$C413,'TL14'!$J$10:$J$224),0),
IF('TL14'!$B$229=K$3,SUMIF('TL14'!$C$238:$C$451,$C413,'TL14'!$J$238:$J$451),0),
IF('TL15'!$B$3=K$3,SUMIF('TL15'!$C$10:$C$224,$C413,'TL15'!$J$10:$J$224),0),
IF('TL15'!$B$229=K$3,SUMIF('TL15'!$C$238:$C$451,$C413,'TL15'!$J$238:$J$451),0),
IF('TL16'!$B$3=K$3,SUMIF('TL16'!$C$10:$C$224,$C413,'TL16'!$J$10:$J$224),0),
IF('TL16'!$B$229=K$3,SUMIF('TL16'!$C$238:$C$451,$C413,'TL16'!$J$238:$J$451),0),
IF('TL17'!$B$3=K$3,SUMIF('TL17'!$C$10:$C$224,$C413,'TL17'!$J$10:$J$224),0),
IF('TL17'!$B$229=K$3,SUMIF('TL17'!$C$238:$C$451,$C413,'TL17'!$J$238:$J$451),0),
IF('TL18'!$B$3=K$3,SUMIF('TL18'!$C$10:$C$224,$C413,'TL18'!$J$10:$J$224),0),
IF('TL18'!$B$229=K$3,SUMIF('TL18'!$C$238:$C$451,$C413,'TL18'!$J$238:$J$451),0),
IF('TL19'!$B$3=K$3,SUMIF('TL19'!$C$10:$C$224,$C413,'TL19'!$J$10:$J$224),0),
IF('TL19'!$B$229=K$3,SUMIF('TL19'!$C$238:$C$451,$C413,'TL19'!$J$238:$J$451),0)
),0)</f>
        <v/>
      </c>
      <c r="L413" s="136">
        <f>IFERROR(SUM(
IF('TL01'!$B$3=L$3,SUMIF('TL01'!$C$10:$C$224,$C413,'TL01'!$J$10:$J$224),0),
IF('TL01'!$B$229=L$3,SUMIF('TL01'!$C$238:$C$451,$C413,'TL01'!$J$238:$J$451),0),
IF('TL02'!$B$3=L$3,SUMIF('TL02'!$C$10:$C$224,$C413,'TL02'!$J$10:$J$224),0),
IF('TL02'!$B$229=L$3,SUMIF('TL02'!$C$238:$C$451,$C413,'TL02'!$J$238:$J$451),0),
IF('TL03'!$B$3=L$3,SUMIF('TL03'!$C$10:$C$224,$C413,'TL03'!$J$10:$J$224),0),
IF('TL03'!$B$229=L$3,SUMIF('TL03'!$C$238:$C$451,$C413,'TL03'!$J$238:$J$451),0),
IF('TL04'!$B$3=L$3,SUMIF('TL04'!$C$10:$C$224,$C413,'TL04'!$J$10:$J$224),0),
IF('TL04'!$B$229=L$3,SUMIF('TL04'!$C$238:$C$451,$C413,'TL04'!$J$238:$J$451),0),
IF('TL05'!$B$3=L$3,SUMIF('TL05'!$C$10:$C$224,$C413,'TL05'!$J$10:$J$224),0),
IF('TL05'!$B$229=L$3,SUMIF('TL05'!$C$238:$C$451,$C413,'TL05'!$J$238:$J$451),0),
IF('TL06'!$B$3=L$3,SUMIF('TL06'!$C$10:$C$224,$C413,'TL06'!$J$10:$J$224),0),
IF('TL06'!$B$229=L$3,SUMIF('TL06'!$C$238:$C$451,$C413,'TL06'!$J$238:$J$451),0),
IF('TL07'!$B$3=L$3,SUMIF('TL07'!$C$10:$C$224,$C413,'TL07'!$J$10:$J$224),0),
IF('TL07'!$B$229=L$3,SUMIF('TL07'!$C$238:$C$451,$C413,'TL07'!$J$238:$J$451),0),
IF('TL08'!$B$3=L$3,SUMIF('TL08'!$C$10:$C$224,$C413,'TL08'!$J$10:$J$224),0),
IF('TL08'!$B$229=L$3,SUMIF('TL08'!$C$238:$C$451,$C413,'TL08'!$J$238:$J$451),0),
IF('TL09'!$B$3=L$3,SUMIF('TL09'!$C$10:$C$224,$C413,'TL09'!$J$10:$J$224),0),
IF('TL09'!$B$229=L$3,SUMIF('TL09'!$C$238:$C$451,$C413,'TL09'!$J$238:$J$451),0),
IF('TL10'!$B$3=L$3,SUMIF('TL10'!$C$10:$C$224,$C413,'TL10'!$J$10:$J$224),0),
IF('TL10'!$B$229=L$3,SUMIF('TL10'!$C$238:$C$451,$C413,'TL10'!$J$238:$J$451),0),
IF('TL11'!$B$3=L$3,SUMIF('TL11'!$C$10:$C$224,$C413,'TL11'!$J$10:$J$224),0),
IF('TL11'!$B$229=L$3,SUMIF('TL11'!$C$238:$C$451,$C413,'TL11'!$J$238:$J$451),0),
IF('TL12'!$B$3=L$3,SUMIF('TL12'!$C$10:$C$224,$C413,'TL12'!$J$10:$J$224),0),
IF('TL12'!$B$229=L$3,SUMIF('TL12'!$C$238:$C$451,$C413,'TL12'!$J$238:$J$451),0),
IF('TL13'!$B$3=L$3,SUMIF('TL13'!$C$10:$C$224,$C413,'TL13'!$J$10:$J$224),0),
IF('TL13'!$B$229=L$3,SUMIF('TL13'!$C$238:$C$451,$C413,'TL13'!$J$238:$J$451),0),
IF('TL14'!$B$3=L$3,SUMIF('TL14'!$C$10:$C$224,$C413,'TL14'!$J$10:$J$224),0),
IF('TL14'!$B$229=L$3,SUMIF('TL14'!$C$238:$C$451,$C413,'TL14'!$J$238:$J$451),0),
IF('TL15'!$B$3=L$3,SUMIF('TL15'!$C$10:$C$224,$C413,'TL15'!$J$10:$J$224),0),
IF('TL15'!$B$229=L$3,SUMIF('TL15'!$C$238:$C$451,$C413,'TL15'!$J$238:$J$451),0),
IF('TL16'!$B$3=L$3,SUMIF('TL16'!$C$10:$C$224,$C413,'TL16'!$J$10:$J$224),0),
IF('TL16'!$B$229=L$3,SUMIF('TL16'!$C$238:$C$451,$C413,'TL16'!$J$238:$J$451),0),
IF('TL17'!$B$3=L$3,SUMIF('TL17'!$C$10:$C$224,$C413,'TL17'!$J$10:$J$224),0),
IF('TL17'!$B$229=L$3,SUMIF('TL17'!$C$238:$C$451,$C413,'TL17'!$J$238:$J$451),0),
IF('TL18'!$B$3=L$3,SUMIF('TL18'!$C$10:$C$224,$C413,'TL18'!$J$10:$J$224),0),
IF('TL18'!$B$229=L$3,SUMIF('TL18'!$C$238:$C$451,$C413,'TL18'!$J$238:$J$451),0),
IF('TL19'!$B$3=L$3,SUMIF('TL19'!$C$10:$C$224,$C413,'TL19'!$J$10:$J$224),0),
IF('TL19'!$B$229=L$3,SUMIF('TL19'!$C$238:$C$451,$C413,'TL19'!$J$238:$J$451),0)
),0)</f>
        <v/>
      </c>
      <c r="M413" s="136">
        <f>IFERROR(SUM(
IF('TL01'!$B$3=M$3,SUMIF('TL01'!$C$10:$C$224,$C413,'TL01'!$J$10:$J$224),0),
IF('TL01'!$B$229=M$3,SUMIF('TL01'!$C$238:$C$451,$C413,'TL01'!$J$238:$J$451),0),
IF('TL02'!$B$3=M$3,SUMIF('TL02'!$C$10:$C$224,$C413,'TL02'!$J$10:$J$224),0),
IF('TL02'!$B$229=M$3,SUMIF('TL02'!$C$238:$C$451,$C413,'TL02'!$J$238:$J$451),0),
IF('TL03'!$B$3=M$3,SUMIF('TL03'!$C$10:$C$224,$C413,'TL03'!$J$10:$J$224),0),
IF('TL03'!$B$229=M$3,SUMIF('TL03'!$C$238:$C$451,$C413,'TL03'!$J$238:$J$451),0),
IF('TL04'!$B$3=M$3,SUMIF('TL04'!$C$10:$C$224,$C413,'TL04'!$J$10:$J$224),0),
IF('TL04'!$B$229=M$3,SUMIF('TL04'!$C$238:$C$451,$C413,'TL04'!$J$238:$J$451),0),
IF('TL05'!$B$3=M$3,SUMIF('TL05'!$C$10:$C$224,$C413,'TL05'!$J$10:$J$224),0),
IF('TL05'!$B$229=M$3,SUMIF('TL05'!$C$238:$C$451,$C413,'TL05'!$J$238:$J$451),0),
IF('TL06'!$B$3=M$3,SUMIF('TL06'!$C$10:$C$224,$C413,'TL06'!$J$10:$J$224),0),
IF('TL06'!$B$229=M$3,SUMIF('TL06'!$C$238:$C$451,$C413,'TL06'!$J$238:$J$451),0),
IF('TL07'!$B$3=M$3,SUMIF('TL07'!$C$10:$C$224,$C413,'TL07'!$J$10:$J$224),0),
IF('TL07'!$B$229=M$3,SUMIF('TL07'!$C$238:$C$451,$C413,'TL07'!$J$238:$J$451),0),
IF('TL08'!$B$3=M$3,SUMIF('TL08'!$C$10:$C$224,$C413,'TL08'!$J$10:$J$224),0),
IF('TL08'!$B$229=M$3,SUMIF('TL08'!$C$238:$C$451,$C413,'TL08'!$J$238:$J$451),0),
IF('TL09'!$B$3=M$3,SUMIF('TL09'!$C$10:$C$224,$C413,'TL09'!$J$10:$J$224),0),
IF('TL09'!$B$229=M$3,SUMIF('TL09'!$C$238:$C$451,$C413,'TL09'!$J$238:$J$451),0),
IF('TL10'!$B$3=M$3,SUMIF('TL10'!$C$10:$C$224,$C413,'TL10'!$J$10:$J$224),0),
IF('TL10'!$B$229=M$3,SUMIF('TL10'!$C$238:$C$451,$C413,'TL10'!$J$238:$J$451),0),
IF('TL11'!$B$3=M$3,SUMIF('TL11'!$C$10:$C$224,$C413,'TL11'!$J$10:$J$224),0),
IF('TL11'!$B$229=M$3,SUMIF('TL11'!$C$238:$C$451,$C413,'TL11'!$J$238:$J$451),0),
IF('TL12'!$B$3=M$3,SUMIF('TL12'!$C$10:$C$224,$C413,'TL12'!$J$10:$J$224),0),
IF('TL12'!$B$229=M$3,SUMIF('TL12'!$C$238:$C$451,$C413,'TL12'!$J$238:$J$451),0),
IF('TL13'!$B$3=M$3,SUMIF('TL13'!$C$10:$C$224,$C413,'TL13'!$J$10:$J$224),0),
IF('TL13'!$B$229=M$3,SUMIF('TL13'!$C$238:$C$451,$C413,'TL13'!$J$238:$J$451),0),
IF('TL14'!$B$3=M$3,SUMIF('TL14'!$C$10:$C$224,$C413,'TL14'!$J$10:$J$224),0),
IF('TL14'!$B$229=M$3,SUMIF('TL14'!$C$238:$C$451,$C413,'TL14'!$J$238:$J$451),0),
IF('TL15'!$B$3=M$3,SUMIF('TL15'!$C$10:$C$224,$C413,'TL15'!$J$10:$J$224),0),
IF('TL15'!$B$229=M$3,SUMIF('TL15'!$C$238:$C$451,$C413,'TL15'!$J$238:$J$451),0),
IF('TL16'!$B$3=M$3,SUMIF('TL16'!$C$10:$C$224,$C413,'TL16'!$J$10:$J$224),0),
IF('TL16'!$B$229=M$3,SUMIF('TL16'!$C$238:$C$451,$C413,'TL16'!$J$238:$J$451),0),
IF('TL17'!$B$3=M$3,SUMIF('TL17'!$C$10:$C$224,$C413,'TL17'!$J$10:$J$224),0),
IF('TL17'!$B$229=M$3,SUMIF('TL17'!$C$238:$C$451,$C413,'TL17'!$J$238:$J$451),0),
IF('TL18'!$B$3=M$3,SUMIF('TL18'!$C$10:$C$224,$C413,'TL18'!$J$10:$J$224),0),
IF('TL18'!$B$229=M$3,SUMIF('TL18'!$C$238:$C$451,$C413,'TL18'!$J$238:$J$451),0),
IF('TL19'!$B$3=M$3,SUMIF('TL19'!$C$10:$C$224,$C413,'TL19'!$J$10:$J$224),0),
IF('TL19'!$B$229=M$3,SUMIF('TL19'!$C$238:$C$451,$C413,'TL19'!$J$238:$J$451),0)
),0)</f>
        <v/>
      </c>
      <c r="N413" s="136">
        <f>IFERROR(SUM(
IF('TL01'!$B$3=N$3,SUMIF('TL01'!$C$10:$C$224,$C413,'TL01'!$J$10:$J$224),0),
IF('TL01'!$B$229=N$3,SUMIF('TL01'!$C$238:$C$451,$C413,'TL01'!$J$238:$J$451),0),
IF('TL02'!$B$3=N$3,SUMIF('TL02'!$C$10:$C$224,$C413,'TL02'!$J$10:$J$224),0),
IF('TL02'!$B$229=N$3,SUMIF('TL02'!$C$238:$C$451,$C413,'TL02'!$J$238:$J$451),0),
IF('TL03'!$B$3=N$3,SUMIF('TL03'!$C$10:$C$224,$C413,'TL03'!$J$10:$J$224),0),
IF('TL03'!$B$229=N$3,SUMIF('TL03'!$C$238:$C$451,$C413,'TL03'!$J$238:$J$451),0),
IF('TL04'!$B$3=N$3,SUMIF('TL04'!$C$10:$C$224,$C413,'TL04'!$J$10:$J$224),0),
IF('TL04'!$B$229=N$3,SUMIF('TL04'!$C$238:$C$451,$C413,'TL04'!$J$238:$J$451),0),
IF('TL05'!$B$3=N$3,SUMIF('TL05'!$C$10:$C$224,$C413,'TL05'!$J$10:$J$224),0),
IF('TL05'!$B$229=N$3,SUMIF('TL05'!$C$238:$C$451,$C413,'TL05'!$J$238:$J$451),0),
IF('TL06'!$B$3=N$3,SUMIF('TL06'!$C$10:$C$224,$C413,'TL06'!$J$10:$J$224),0),
IF('TL06'!$B$229=N$3,SUMIF('TL06'!$C$238:$C$451,$C413,'TL06'!$J$238:$J$451),0),
IF('TL07'!$B$3=N$3,SUMIF('TL07'!$C$10:$C$224,$C413,'TL07'!$J$10:$J$224),0),
IF('TL07'!$B$229=N$3,SUMIF('TL07'!$C$238:$C$451,$C413,'TL07'!$J$238:$J$451),0),
IF('TL08'!$B$3=N$3,SUMIF('TL08'!$C$10:$C$224,$C413,'TL08'!$J$10:$J$224),0),
IF('TL08'!$B$229=N$3,SUMIF('TL08'!$C$238:$C$451,$C413,'TL08'!$J$238:$J$451),0),
IF('TL09'!$B$3=N$3,SUMIF('TL09'!$C$10:$C$224,$C413,'TL09'!$J$10:$J$224),0),
IF('TL09'!$B$229=N$3,SUMIF('TL09'!$C$238:$C$451,$C413,'TL09'!$J$238:$J$451),0),
IF('TL10'!$B$3=N$3,SUMIF('TL10'!$C$10:$C$224,$C413,'TL10'!$J$10:$J$224),0),
IF('TL10'!$B$229=N$3,SUMIF('TL10'!$C$238:$C$451,$C413,'TL10'!$J$238:$J$451),0),
IF('TL11'!$B$3=N$3,SUMIF('TL11'!$C$10:$C$224,$C413,'TL11'!$J$10:$J$224),0),
IF('TL11'!$B$229=N$3,SUMIF('TL11'!$C$238:$C$451,$C413,'TL11'!$J$238:$J$451),0),
IF('TL12'!$B$3=N$3,SUMIF('TL12'!$C$10:$C$224,$C413,'TL12'!$J$10:$J$224),0),
IF('TL12'!$B$229=N$3,SUMIF('TL12'!$C$238:$C$451,$C413,'TL12'!$J$238:$J$451),0),
IF('TL13'!$B$3=N$3,SUMIF('TL13'!$C$10:$C$224,$C413,'TL13'!$J$10:$J$224),0),
IF('TL13'!$B$229=N$3,SUMIF('TL13'!$C$238:$C$451,$C413,'TL13'!$J$238:$J$451),0),
IF('TL14'!$B$3=N$3,SUMIF('TL14'!$C$10:$C$224,$C413,'TL14'!$J$10:$J$224),0),
IF('TL14'!$B$229=N$3,SUMIF('TL14'!$C$238:$C$451,$C413,'TL14'!$J$238:$J$451),0),
IF('TL15'!$B$3=N$3,SUMIF('TL15'!$C$10:$C$224,$C413,'TL15'!$J$10:$J$224),0),
IF('TL15'!$B$229=N$3,SUMIF('TL15'!$C$238:$C$451,$C413,'TL15'!$J$238:$J$451),0),
IF('TL16'!$B$3=N$3,SUMIF('TL16'!$C$10:$C$224,$C413,'TL16'!$J$10:$J$224),0),
IF('TL16'!$B$229=N$3,SUMIF('TL16'!$C$238:$C$451,$C413,'TL16'!$J$238:$J$451),0),
IF('TL17'!$B$3=N$3,SUMIF('TL17'!$C$10:$C$224,$C413,'TL17'!$J$10:$J$224),0),
IF('TL17'!$B$229=N$3,SUMIF('TL17'!$C$238:$C$451,$C413,'TL17'!$J$238:$J$451),0),
IF('TL18'!$B$3=N$3,SUMIF('TL18'!$C$10:$C$224,$C413,'TL18'!$J$10:$J$224),0),
IF('TL18'!$B$229=N$3,SUMIF('TL18'!$C$238:$C$451,$C413,'TL18'!$J$238:$J$451),0),
IF('TL19'!$B$3=N$3,SUMIF('TL19'!$C$10:$C$224,$C413,'TL19'!$J$10:$J$224),0),
IF('TL19'!$B$229=N$3,SUMIF('TL19'!$C$238:$C$451,$C413,'TL19'!$J$238:$J$451),0)
),0)</f>
        <v/>
      </c>
      <c r="O413" s="136">
        <f>IFERROR(SUM(
IF('TL01'!$B$3=O$3,SUMIF('TL01'!$C$10:$C$224,$C413,'TL01'!$J$10:$J$224),0),
IF('TL01'!$B$229=O$3,SUMIF('TL01'!$C$238:$C$451,$C413,'TL01'!$J$238:$J$451),0),
IF('TL02'!$B$3=O$3,SUMIF('TL02'!$C$10:$C$224,$C413,'TL02'!$J$10:$J$224),0),
IF('TL02'!$B$229=O$3,SUMIF('TL02'!$C$238:$C$451,$C413,'TL02'!$J$238:$J$451),0),
IF('TL03'!$B$3=O$3,SUMIF('TL03'!$C$10:$C$224,$C413,'TL03'!$J$10:$J$224),0),
IF('TL03'!$B$229=O$3,SUMIF('TL03'!$C$238:$C$451,$C413,'TL03'!$J$238:$J$451),0),
IF('TL04'!$B$3=O$3,SUMIF('TL04'!$C$10:$C$224,$C413,'TL04'!$J$10:$J$224),0),
IF('TL04'!$B$229=O$3,SUMIF('TL04'!$C$238:$C$451,$C413,'TL04'!$J$238:$J$451),0),
IF('TL05'!$B$3=O$3,SUMIF('TL05'!$C$10:$C$224,$C413,'TL05'!$J$10:$J$224),0),
IF('TL05'!$B$229=O$3,SUMIF('TL05'!$C$238:$C$451,$C413,'TL05'!$J$238:$J$451),0),
IF('TL06'!$B$3=O$3,SUMIF('TL06'!$C$10:$C$224,$C413,'TL06'!$J$10:$J$224),0),
IF('TL06'!$B$229=O$3,SUMIF('TL06'!$C$238:$C$451,$C413,'TL06'!$J$238:$J$451),0),
IF('TL07'!$B$3=O$3,SUMIF('TL07'!$C$10:$C$224,$C413,'TL07'!$J$10:$J$224),0),
IF('TL07'!$B$229=O$3,SUMIF('TL07'!$C$238:$C$451,$C413,'TL07'!$J$238:$J$451),0),
IF('TL08'!$B$3=O$3,SUMIF('TL08'!$C$10:$C$224,$C413,'TL08'!$J$10:$J$224),0),
IF('TL08'!$B$229=O$3,SUMIF('TL08'!$C$238:$C$451,$C413,'TL08'!$J$238:$J$451),0),
IF('TL09'!$B$3=O$3,SUMIF('TL09'!$C$10:$C$224,$C413,'TL09'!$J$10:$J$224),0),
IF('TL09'!$B$229=O$3,SUMIF('TL09'!$C$238:$C$451,$C413,'TL09'!$J$238:$J$451),0),
IF('TL10'!$B$3=O$3,SUMIF('TL10'!$C$10:$C$224,$C413,'TL10'!$J$10:$J$224),0),
IF('TL10'!$B$229=O$3,SUMIF('TL10'!$C$238:$C$451,$C413,'TL10'!$J$238:$J$451),0),
IF('TL11'!$B$3=O$3,SUMIF('TL11'!$C$10:$C$224,$C413,'TL11'!$J$10:$J$224),0),
IF('TL11'!$B$229=O$3,SUMIF('TL11'!$C$238:$C$451,$C413,'TL11'!$J$238:$J$451),0),
IF('TL12'!$B$3=O$3,SUMIF('TL12'!$C$10:$C$224,$C413,'TL12'!$J$10:$J$224),0),
IF('TL12'!$B$229=O$3,SUMIF('TL12'!$C$238:$C$451,$C413,'TL12'!$J$238:$J$451),0),
IF('TL13'!$B$3=O$3,SUMIF('TL13'!$C$10:$C$224,$C413,'TL13'!$J$10:$J$224),0),
IF('TL13'!$B$229=O$3,SUMIF('TL13'!$C$238:$C$451,$C413,'TL13'!$J$238:$J$451),0),
IF('TL14'!$B$3=O$3,SUMIF('TL14'!$C$10:$C$224,$C413,'TL14'!$J$10:$J$224),0),
IF('TL14'!$B$229=O$3,SUMIF('TL14'!$C$238:$C$451,$C413,'TL14'!$J$238:$J$451),0),
IF('TL15'!$B$3=O$3,SUMIF('TL15'!$C$10:$C$224,$C413,'TL15'!$J$10:$J$224),0),
IF('TL15'!$B$229=O$3,SUMIF('TL15'!$C$238:$C$451,$C413,'TL15'!$J$238:$J$451),0),
IF('TL16'!$B$3=O$3,SUMIF('TL16'!$C$10:$C$224,$C413,'TL16'!$J$10:$J$224),0),
IF('TL16'!$B$229=O$3,SUMIF('TL16'!$C$238:$C$451,$C413,'TL16'!$J$238:$J$451),0),
IF('TL17'!$B$3=O$3,SUMIF('TL17'!$C$10:$C$224,$C413,'TL17'!$J$10:$J$224),0),
IF('TL17'!$B$229=O$3,SUMIF('TL17'!$C$238:$C$451,$C413,'TL17'!$J$238:$J$451),0),
IF('TL18'!$B$3=O$3,SUMIF('TL18'!$C$10:$C$224,$C413,'TL18'!$J$10:$J$224),0),
IF('TL18'!$B$229=O$3,SUMIF('TL18'!$C$238:$C$451,$C413,'TL18'!$J$238:$J$451),0),
IF('TL19'!$B$3=O$3,SUMIF('TL19'!$C$10:$C$224,$C413,'TL19'!$J$10:$J$224),0),
IF('TL19'!$B$229=O$3,SUMIF('TL19'!$C$238:$C$451,$C413,'TL19'!$J$238:$J$451),0)
),0)</f>
        <v/>
      </c>
      <c r="P413" s="136">
        <f>IFERROR(SUM(
IF('TL01'!$B$3=P$3,SUMIF('TL01'!$C$10:$C$224,$C413,'TL01'!$J$10:$J$224),0),
IF('TL01'!$B$229=P$3,SUMIF('TL01'!$C$238:$C$451,$C413,'TL01'!$J$238:$J$451),0),
IF('TL02'!$B$3=P$3,SUMIF('TL02'!$C$10:$C$224,$C413,'TL02'!$J$10:$J$224),0),
IF('TL02'!$B$229=P$3,SUMIF('TL02'!$C$238:$C$451,$C413,'TL02'!$J$238:$J$451),0),
IF('TL03'!$B$3=P$3,SUMIF('TL03'!$C$10:$C$224,$C413,'TL03'!$J$10:$J$224),0),
IF('TL03'!$B$229=P$3,SUMIF('TL03'!$C$238:$C$451,$C413,'TL03'!$J$238:$J$451),0),
IF('TL04'!$B$3=P$3,SUMIF('TL04'!$C$10:$C$224,$C413,'TL04'!$J$10:$J$224),0),
IF('TL04'!$B$229=P$3,SUMIF('TL04'!$C$238:$C$451,$C413,'TL04'!$J$238:$J$451),0),
IF('TL05'!$B$3=P$3,SUMIF('TL05'!$C$10:$C$224,$C413,'TL05'!$J$10:$J$224),0),
IF('TL05'!$B$229=P$3,SUMIF('TL05'!$C$238:$C$451,$C413,'TL05'!$J$238:$J$451),0),
IF('TL06'!$B$3=P$3,SUMIF('TL06'!$C$10:$C$224,$C413,'TL06'!$J$10:$J$224),0),
IF('TL06'!$B$229=P$3,SUMIF('TL06'!$C$238:$C$451,$C413,'TL06'!$J$238:$J$451),0),
IF('TL07'!$B$3=P$3,SUMIF('TL07'!$C$10:$C$224,$C413,'TL07'!$J$10:$J$224),0),
IF('TL07'!$B$229=P$3,SUMIF('TL07'!$C$238:$C$451,$C413,'TL07'!$J$238:$J$451),0),
IF('TL08'!$B$3=P$3,SUMIF('TL08'!$C$10:$C$224,$C413,'TL08'!$J$10:$J$224),0),
IF('TL08'!$B$229=P$3,SUMIF('TL08'!$C$238:$C$451,$C413,'TL08'!$J$238:$J$451),0),
IF('TL09'!$B$3=P$3,SUMIF('TL09'!$C$10:$C$224,$C413,'TL09'!$J$10:$J$224),0),
IF('TL09'!$B$229=P$3,SUMIF('TL09'!$C$238:$C$451,$C413,'TL09'!$J$238:$J$451),0),
IF('TL10'!$B$3=P$3,SUMIF('TL10'!$C$10:$C$224,$C413,'TL10'!$J$10:$J$224),0),
IF('TL10'!$B$229=P$3,SUMIF('TL10'!$C$238:$C$451,$C413,'TL10'!$J$238:$J$451),0),
IF('TL11'!$B$3=P$3,SUMIF('TL11'!$C$10:$C$224,$C413,'TL11'!$J$10:$J$224),0),
IF('TL11'!$B$229=P$3,SUMIF('TL11'!$C$238:$C$451,$C413,'TL11'!$J$238:$J$451),0),
IF('TL12'!$B$3=P$3,SUMIF('TL12'!$C$10:$C$224,$C413,'TL12'!$J$10:$J$224),0),
IF('TL12'!$B$229=P$3,SUMIF('TL12'!$C$238:$C$451,$C413,'TL12'!$J$238:$J$451),0),
IF('TL13'!$B$3=P$3,SUMIF('TL13'!$C$10:$C$224,$C413,'TL13'!$J$10:$J$224),0),
IF('TL13'!$B$229=P$3,SUMIF('TL13'!$C$238:$C$451,$C413,'TL13'!$J$238:$J$451),0),
IF('TL14'!$B$3=P$3,SUMIF('TL14'!$C$10:$C$224,$C413,'TL14'!$J$10:$J$224),0),
IF('TL14'!$B$229=P$3,SUMIF('TL14'!$C$238:$C$451,$C413,'TL14'!$J$238:$J$451),0),
IF('TL15'!$B$3=P$3,SUMIF('TL15'!$C$10:$C$224,$C413,'TL15'!$J$10:$J$224),0),
IF('TL15'!$B$229=P$3,SUMIF('TL15'!$C$238:$C$451,$C413,'TL15'!$J$238:$J$451),0),
IF('TL16'!$B$3=P$3,SUMIF('TL16'!$C$10:$C$224,$C413,'TL16'!$J$10:$J$224),0),
IF('TL16'!$B$229=P$3,SUMIF('TL16'!$C$238:$C$451,$C413,'TL16'!$J$238:$J$451),0),
IF('TL17'!$B$3=P$3,SUMIF('TL17'!$C$10:$C$224,$C413,'TL17'!$J$10:$J$224),0),
IF('TL17'!$B$229=P$3,SUMIF('TL17'!$C$238:$C$451,$C413,'TL17'!$J$238:$J$451),0),
IF('TL18'!$B$3=P$3,SUMIF('TL18'!$C$10:$C$224,$C413,'TL18'!$J$10:$J$224),0),
IF('TL18'!$B$229=P$3,SUMIF('TL18'!$C$238:$C$451,$C413,'TL18'!$J$238:$J$451),0),
IF('TL19'!$B$3=P$3,SUMIF('TL19'!$C$10:$C$224,$C413,'TL19'!$J$10:$J$224),0),
IF('TL19'!$B$229=P$3,SUMIF('TL19'!$C$238:$C$451,$C413,'TL19'!$J$238:$J$451),0)
),0)</f>
        <v/>
      </c>
      <c r="Q413" s="136">
        <f>IFERROR(SUM(
IF('TL01'!$B$3=Q$3,SUMIF('TL01'!$C$10:$C$224,$C413,'TL01'!$J$10:$J$224),0),
IF('TL01'!$B$229=Q$3,SUMIF('TL01'!$C$238:$C$451,$C413,'TL01'!$J$238:$J$451),0),
IF('TL02'!$B$3=Q$3,SUMIF('TL02'!$C$10:$C$224,$C413,'TL02'!$J$10:$J$224),0),
IF('TL02'!$B$229=Q$3,SUMIF('TL02'!$C$238:$C$451,$C413,'TL02'!$J$238:$J$451),0),
IF('TL03'!$B$3=Q$3,SUMIF('TL03'!$C$10:$C$224,$C413,'TL03'!$J$10:$J$224),0),
IF('TL03'!$B$229=Q$3,SUMIF('TL03'!$C$238:$C$451,$C413,'TL03'!$J$238:$J$451),0),
IF('TL04'!$B$3=Q$3,SUMIF('TL04'!$C$10:$C$224,$C413,'TL04'!$J$10:$J$224),0),
IF('TL04'!$B$229=Q$3,SUMIF('TL04'!$C$238:$C$451,$C413,'TL04'!$J$238:$J$451),0),
IF('TL05'!$B$3=Q$3,SUMIF('TL05'!$C$10:$C$224,$C413,'TL05'!$J$10:$J$224),0),
IF('TL05'!$B$229=Q$3,SUMIF('TL05'!$C$238:$C$451,$C413,'TL05'!$J$238:$J$451),0),
IF('TL06'!$B$3=Q$3,SUMIF('TL06'!$C$10:$C$224,$C413,'TL06'!$J$10:$J$224),0),
IF('TL06'!$B$229=Q$3,SUMIF('TL06'!$C$238:$C$451,$C413,'TL06'!$J$238:$J$451),0),
IF('TL07'!$B$3=Q$3,SUMIF('TL07'!$C$10:$C$224,$C413,'TL07'!$J$10:$J$224),0),
IF('TL07'!$B$229=Q$3,SUMIF('TL07'!$C$238:$C$451,$C413,'TL07'!$J$238:$J$451),0),
IF('TL08'!$B$3=Q$3,SUMIF('TL08'!$C$10:$C$224,$C413,'TL08'!$J$10:$J$224),0),
IF('TL08'!$B$229=Q$3,SUMIF('TL08'!$C$238:$C$451,$C413,'TL08'!$J$238:$J$451),0),
IF('TL09'!$B$3=Q$3,SUMIF('TL09'!$C$10:$C$224,$C413,'TL09'!$J$10:$J$224),0),
IF('TL09'!$B$229=Q$3,SUMIF('TL09'!$C$238:$C$451,$C413,'TL09'!$J$238:$J$451),0),
IF('TL10'!$B$3=Q$3,SUMIF('TL10'!$C$10:$C$224,$C413,'TL10'!$J$10:$J$224),0),
IF('TL10'!$B$229=Q$3,SUMIF('TL10'!$C$238:$C$451,$C413,'TL10'!$J$238:$J$451),0),
IF('TL11'!$B$3=Q$3,SUMIF('TL11'!$C$10:$C$224,$C413,'TL11'!$J$10:$J$224),0),
IF('TL11'!$B$229=Q$3,SUMIF('TL11'!$C$238:$C$451,$C413,'TL11'!$J$238:$J$451),0),
IF('TL12'!$B$3=Q$3,SUMIF('TL12'!$C$10:$C$224,$C413,'TL12'!$J$10:$J$224),0),
IF('TL12'!$B$229=Q$3,SUMIF('TL12'!$C$238:$C$451,$C413,'TL12'!$J$238:$J$451),0),
IF('TL13'!$B$3=Q$3,SUMIF('TL13'!$C$10:$C$224,$C413,'TL13'!$J$10:$J$224),0),
IF('TL13'!$B$229=Q$3,SUMIF('TL13'!$C$238:$C$451,$C413,'TL13'!$J$238:$J$451),0),
IF('TL14'!$B$3=Q$3,SUMIF('TL14'!$C$10:$C$224,$C413,'TL14'!$J$10:$J$224),0),
IF('TL14'!$B$229=Q$3,SUMIF('TL14'!$C$238:$C$451,$C413,'TL14'!$J$238:$J$451),0),
IF('TL15'!$B$3=Q$3,SUMIF('TL15'!$C$10:$C$224,$C413,'TL15'!$J$10:$J$224),0),
IF('TL15'!$B$229=Q$3,SUMIF('TL15'!$C$238:$C$451,$C413,'TL15'!$J$238:$J$451),0),
IF('TL16'!$B$3=Q$3,SUMIF('TL16'!$C$10:$C$224,$C413,'TL16'!$J$10:$J$224),0),
IF('TL16'!$B$229=Q$3,SUMIF('TL16'!$C$238:$C$451,$C413,'TL16'!$J$238:$J$451),0),
IF('TL17'!$B$3=Q$3,SUMIF('TL17'!$C$10:$C$224,$C413,'TL17'!$J$10:$J$224),0),
IF('TL17'!$B$229=Q$3,SUMIF('TL17'!$C$238:$C$451,$C413,'TL17'!$J$238:$J$451),0),
IF('TL18'!$B$3=Q$3,SUMIF('TL18'!$C$10:$C$224,$C413,'TL18'!$J$10:$J$224),0),
IF('TL18'!$B$229=Q$3,SUMIF('TL18'!$C$238:$C$451,$C413,'TL18'!$J$238:$J$451),0),
IF('TL19'!$B$3=Q$3,SUMIF('TL19'!$C$10:$C$224,$C413,'TL19'!$J$10:$J$224),0),
IF('TL19'!$B$229=Q$3,SUMIF('TL19'!$C$238:$C$451,$C413,'TL19'!$J$238:$J$451),0)
),0)</f>
        <v/>
      </c>
      <c r="R413" s="139">
        <f>IFERROR(
SUM(
SUMIF('TL01'!C:C,C413,'TL01'!J:J),
SUMIF('TL02'!C:C,C413,'TL02'!I:I),
SUMIF('TL03'!C:C,C413,'TL03'!I:I),
SUMIF('TL04'!C:C,C413,'TL04'!I:I),
SUMIF('TL05'!C:C,C413,'TL05'!I:I),
SUMIF('TL06'!C:C,C413,'TL06'!I:I),
SUMIF('TL07'!C:C,C413,'TL07'!I:I),
SUMIF('TL08'!C:C,C413,'TL08'!I:I),
SUMIF('TL09'!C:C,C413,'TL09'!I:I),
SUMIF('TL10'!C:C,C413,'TL10'!I:I),
SUMIF('TL11'!C:C,C413,'TL11'!I:I),
SUMIF('TL12'!C:C,C413,'TL12'!I:I),
SUMIF('TL13'!C:C,C413,'TL13'!I:I),
SUMIF('TL14'!C:C,C413,'TL14'!I:I),
SUMIF('TL15'!C:C,C413,'TL15'!I:I),
SUMIF('TL16'!C:C,C413,'TL16'!I:I),
SUMIF('TL17'!C:C,C413,'TL17'!I:I),
SUMIF('TL18'!C:C,C413,'TL18'!I:I))
,0)</f>
        <v/>
      </c>
      <c r="S413" s="142">
        <f>'CUSTO OPERAÇÃO'!M17</f>
        <v/>
      </c>
      <c r="T413" s="139" t="n"/>
      <c r="U413" s="143">
        <f>MAX(0,R413-T413)</f>
        <v/>
      </c>
      <c r="V413" s="144">
        <f>U413*S413</f>
        <v/>
      </c>
    </row>
    <row r="414" hidden="1" ht="15.75" customHeight="1" s="297">
      <c r="A414" s="150" t="n"/>
      <c r="B414" s="151" t="inlineStr">
        <is>
          <t>MÁQUINAS</t>
        </is>
      </c>
      <c r="C414" s="152">
        <f>'CUSTO OPERAÇÃO'!D18</f>
        <v/>
      </c>
      <c r="D414" s="152" t="n"/>
      <c r="E414" s="153" t="n"/>
      <c r="F414" s="138" t="inlineStr">
        <is>
          <t>R$/Ha</t>
        </is>
      </c>
      <c r="G414" s="139" t="n"/>
      <c r="H414" s="140">
        <f>'CUSTO OPERAÇÃO'!J18</f>
        <v/>
      </c>
      <c r="I414" s="154" t="n"/>
      <c r="J414" s="152">
        <f>IFERROR(SUM(
IF('TL01'!$B$3=J$3,SUMIF('TL01'!$C$10:$C$224,$C414,'TL01'!$J$10:$J$224),0),
IF('TL01'!$B$229=J$3,SUMIF('TL01'!$C$238:$C$451,$C414,'TL01'!$J$238:$J$451),0),
IF('TL02'!$B$3=J$3,SUMIF('TL02'!$C$10:$C$224,$C414,'TL02'!$J$10:$J$224),0),
IF('TL02'!$B$229=J$3,SUMIF('TL02'!$C$238:$C$451,$C414,'TL02'!$J$238:$J$451),0),
IF('TL03'!$B$3=J$3,SUMIF('TL03'!$C$10:$C$224,$C414,'TL03'!$J$10:$J$224),0),
IF('TL03'!$B$229=J$3,SUMIF('TL03'!$C$238:$C$451,$C414,'TL03'!$J$238:$J$451),0),
IF('TL04'!$B$3=J$3,SUMIF('TL04'!$C$10:$C$224,$C414,'TL04'!$J$10:$J$224),0),
IF('TL04'!$B$229=J$3,SUMIF('TL04'!$C$238:$C$451,$C414,'TL04'!$J$238:$J$451),0),
IF('TL05'!$B$3=J$3,SUMIF('TL05'!$C$10:$C$224,$C414,'TL05'!$J$10:$J$224),0),
IF('TL05'!$B$229=J$3,SUMIF('TL05'!$C$238:$C$451,$C414,'TL05'!$J$238:$J$451),0),
IF('TL06'!$B$3=J$3,SUMIF('TL06'!$C$10:$C$224,$C414,'TL06'!$J$10:$J$224),0),
IF('TL06'!$B$229=J$3,SUMIF('TL06'!$C$238:$C$451,$C414,'TL06'!$J$238:$J$451),0),
IF('TL07'!$B$3=J$3,SUMIF('TL07'!$C$10:$C$224,$C414,'TL07'!$J$10:$J$224),0),
IF('TL07'!$B$229=J$3,SUMIF('TL07'!$C$238:$C$451,$C414,'TL07'!$J$238:$J$451),0),
IF('TL08'!$B$3=J$3,SUMIF('TL08'!$C$10:$C$224,$C414,'TL08'!$J$10:$J$224),0),
IF('TL08'!$B$229=J$3,SUMIF('TL08'!$C$238:$C$451,$C414,'TL08'!$J$238:$J$451),0),
IF('TL09'!$B$3=J$3,SUMIF('TL09'!$C$10:$C$224,$C414,'TL09'!$J$10:$J$224),0),
IF('TL09'!$B$229=J$3,SUMIF('TL09'!$C$238:$C$451,$C414,'TL09'!$J$238:$J$451),0),
IF('TL10'!$B$3=J$3,SUMIF('TL10'!$C$10:$C$224,$C414,'TL10'!$J$10:$J$224),0),
IF('TL10'!$B$229=J$3,SUMIF('TL10'!$C$238:$C$451,$C414,'TL10'!$J$238:$J$451),0),
IF('TL11'!$B$3=J$3,SUMIF('TL11'!$C$10:$C$224,$C414,'TL11'!$J$10:$J$224),0),
IF('TL11'!$B$229=J$3,SUMIF('TL11'!$C$238:$C$451,$C414,'TL11'!$J$238:$J$451),0),
IF('TL12'!$B$3=J$3,SUMIF('TL12'!$C$10:$C$224,$C414,'TL12'!$J$10:$J$224),0),
IF('TL12'!$B$229=J$3,SUMIF('TL12'!$C$238:$C$451,$C414,'TL12'!$J$238:$J$451),0),
IF('TL13'!$B$3=J$3,SUMIF('TL13'!$C$10:$C$224,$C414,'TL13'!$J$10:$J$224),0),
IF('TL13'!$B$229=J$3,SUMIF('TL13'!$C$238:$C$451,$C414,'TL13'!$J$238:$J$451),0),
IF('TL14'!$B$3=J$3,SUMIF('TL14'!$C$10:$C$224,$C414,'TL14'!$J$10:$J$224),0),
IF('TL14'!$B$229=J$3,SUMIF('TL14'!$C$238:$C$451,$C414,'TL14'!$J$238:$J$451),0),
IF('TL15'!$B$3=J$3,SUMIF('TL15'!$C$10:$C$224,$C414,'TL15'!$J$10:$J$224),0),
IF('TL15'!$B$229=J$3,SUMIF('TL15'!$C$238:$C$451,$C414,'TL15'!$J$238:$J$451),0),
IF('TL16'!$B$3=J$3,SUMIF('TL16'!$C$10:$C$224,$C414,'TL16'!$J$10:$J$224),0),
IF('TL16'!$B$229=J$3,SUMIF('TL16'!$C$238:$C$451,$C414,'TL16'!$J$238:$J$451),0),
IF('TL17'!$B$3=J$3,SUMIF('TL17'!$C$10:$C$224,$C414,'TL17'!$J$10:$J$224),0),
IF('TL17'!$B$229=J$3,SUMIF('TL17'!$C$238:$C$451,$C414,'TL17'!$J$238:$J$451),0),
IF('TL18'!$B$3=J$3,SUMIF('TL18'!$C$10:$C$224,$C414,'TL18'!$J$10:$J$224),0),
IF('TL18'!$B$229=J$3,SUMIF('TL18'!$C$238:$C$451,$C414,'TL18'!$J$238:$J$451),0),
IF('TL19'!$B$3=J$3,SUMIF('TL19'!$C$10:$C$224,$C414,'TL19'!$J$10:$J$224),0),
IF('TL19'!$B$229=J$3,SUMIF('TL19'!$C$238:$C$451,$C414,'TL19'!$J$238:$J$451),0)
),0)</f>
        <v/>
      </c>
      <c r="K414" s="152">
        <f>IFERROR(SUM(
IF('TL01'!$B$3=K$3,SUMIF('TL01'!$C$10:$C$224,$C414,'TL01'!$J$10:$J$224),0),
IF('TL01'!$B$229=K$3,SUMIF('TL01'!$C$238:$C$451,$C414,'TL01'!$J$238:$J$451),0),
IF('TL02'!$B$3=K$3,SUMIF('TL02'!$C$10:$C$224,$C414,'TL02'!$J$10:$J$224),0),
IF('TL02'!$B$229=K$3,SUMIF('TL02'!$C$238:$C$451,$C414,'TL02'!$J$238:$J$451),0),
IF('TL03'!$B$3=K$3,SUMIF('TL03'!$C$10:$C$224,$C414,'TL03'!$J$10:$J$224),0),
IF('TL03'!$B$229=K$3,SUMIF('TL03'!$C$238:$C$451,$C414,'TL03'!$J$238:$J$451),0),
IF('TL04'!$B$3=K$3,SUMIF('TL04'!$C$10:$C$224,$C414,'TL04'!$J$10:$J$224),0),
IF('TL04'!$B$229=K$3,SUMIF('TL04'!$C$238:$C$451,$C414,'TL04'!$J$238:$J$451),0),
IF('TL05'!$B$3=K$3,SUMIF('TL05'!$C$10:$C$224,$C414,'TL05'!$J$10:$J$224),0),
IF('TL05'!$B$229=K$3,SUMIF('TL05'!$C$238:$C$451,$C414,'TL05'!$J$238:$J$451),0),
IF('TL06'!$B$3=K$3,SUMIF('TL06'!$C$10:$C$224,$C414,'TL06'!$J$10:$J$224),0),
IF('TL06'!$B$229=K$3,SUMIF('TL06'!$C$238:$C$451,$C414,'TL06'!$J$238:$J$451),0),
IF('TL07'!$B$3=K$3,SUMIF('TL07'!$C$10:$C$224,$C414,'TL07'!$J$10:$J$224),0),
IF('TL07'!$B$229=K$3,SUMIF('TL07'!$C$238:$C$451,$C414,'TL07'!$J$238:$J$451),0),
IF('TL08'!$B$3=K$3,SUMIF('TL08'!$C$10:$C$224,$C414,'TL08'!$J$10:$J$224),0),
IF('TL08'!$B$229=K$3,SUMIF('TL08'!$C$238:$C$451,$C414,'TL08'!$J$238:$J$451),0),
IF('TL09'!$B$3=K$3,SUMIF('TL09'!$C$10:$C$224,$C414,'TL09'!$J$10:$J$224),0),
IF('TL09'!$B$229=K$3,SUMIF('TL09'!$C$238:$C$451,$C414,'TL09'!$J$238:$J$451),0),
IF('TL10'!$B$3=K$3,SUMIF('TL10'!$C$10:$C$224,$C414,'TL10'!$J$10:$J$224),0),
IF('TL10'!$B$229=K$3,SUMIF('TL10'!$C$238:$C$451,$C414,'TL10'!$J$238:$J$451),0),
IF('TL11'!$B$3=K$3,SUMIF('TL11'!$C$10:$C$224,$C414,'TL11'!$J$10:$J$224),0),
IF('TL11'!$B$229=K$3,SUMIF('TL11'!$C$238:$C$451,$C414,'TL11'!$J$238:$J$451),0),
IF('TL12'!$B$3=K$3,SUMIF('TL12'!$C$10:$C$224,$C414,'TL12'!$J$10:$J$224),0),
IF('TL12'!$B$229=K$3,SUMIF('TL12'!$C$238:$C$451,$C414,'TL12'!$J$238:$J$451),0),
IF('TL13'!$B$3=K$3,SUMIF('TL13'!$C$10:$C$224,$C414,'TL13'!$J$10:$J$224),0),
IF('TL13'!$B$229=K$3,SUMIF('TL13'!$C$238:$C$451,$C414,'TL13'!$J$238:$J$451),0),
IF('TL14'!$B$3=K$3,SUMIF('TL14'!$C$10:$C$224,$C414,'TL14'!$J$10:$J$224),0),
IF('TL14'!$B$229=K$3,SUMIF('TL14'!$C$238:$C$451,$C414,'TL14'!$J$238:$J$451),0),
IF('TL15'!$B$3=K$3,SUMIF('TL15'!$C$10:$C$224,$C414,'TL15'!$J$10:$J$224),0),
IF('TL15'!$B$229=K$3,SUMIF('TL15'!$C$238:$C$451,$C414,'TL15'!$J$238:$J$451),0),
IF('TL16'!$B$3=K$3,SUMIF('TL16'!$C$10:$C$224,$C414,'TL16'!$J$10:$J$224),0),
IF('TL16'!$B$229=K$3,SUMIF('TL16'!$C$238:$C$451,$C414,'TL16'!$J$238:$J$451),0),
IF('TL17'!$B$3=K$3,SUMIF('TL17'!$C$10:$C$224,$C414,'TL17'!$J$10:$J$224),0),
IF('TL17'!$B$229=K$3,SUMIF('TL17'!$C$238:$C$451,$C414,'TL17'!$J$238:$J$451),0),
IF('TL18'!$B$3=K$3,SUMIF('TL18'!$C$10:$C$224,$C414,'TL18'!$J$10:$J$224),0),
IF('TL18'!$B$229=K$3,SUMIF('TL18'!$C$238:$C$451,$C414,'TL18'!$J$238:$J$451),0),
IF('TL19'!$B$3=K$3,SUMIF('TL19'!$C$10:$C$224,$C414,'TL19'!$J$10:$J$224),0),
IF('TL19'!$B$229=K$3,SUMIF('TL19'!$C$238:$C$451,$C414,'TL19'!$J$238:$J$451),0)
),0)</f>
        <v/>
      </c>
      <c r="L414" s="152">
        <f>IFERROR(SUM(
IF('TL01'!$B$3=L$3,SUMIF('TL01'!$C$10:$C$224,$C414,'TL01'!$J$10:$J$224),0),
IF('TL01'!$B$229=L$3,SUMIF('TL01'!$C$238:$C$451,$C414,'TL01'!$J$238:$J$451),0),
IF('TL02'!$B$3=L$3,SUMIF('TL02'!$C$10:$C$224,$C414,'TL02'!$J$10:$J$224),0),
IF('TL02'!$B$229=L$3,SUMIF('TL02'!$C$238:$C$451,$C414,'TL02'!$J$238:$J$451),0),
IF('TL03'!$B$3=L$3,SUMIF('TL03'!$C$10:$C$224,$C414,'TL03'!$J$10:$J$224),0),
IF('TL03'!$B$229=L$3,SUMIF('TL03'!$C$238:$C$451,$C414,'TL03'!$J$238:$J$451),0),
IF('TL04'!$B$3=L$3,SUMIF('TL04'!$C$10:$C$224,$C414,'TL04'!$J$10:$J$224),0),
IF('TL04'!$B$229=L$3,SUMIF('TL04'!$C$238:$C$451,$C414,'TL04'!$J$238:$J$451),0),
IF('TL05'!$B$3=L$3,SUMIF('TL05'!$C$10:$C$224,$C414,'TL05'!$J$10:$J$224),0),
IF('TL05'!$B$229=L$3,SUMIF('TL05'!$C$238:$C$451,$C414,'TL05'!$J$238:$J$451),0),
IF('TL06'!$B$3=L$3,SUMIF('TL06'!$C$10:$C$224,$C414,'TL06'!$J$10:$J$224),0),
IF('TL06'!$B$229=L$3,SUMIF('TL06'!$C$238:$C$451,$C414,'TL06'!$J$238:$J$451),0),
IF('TL07'!$B$3=L$3,SUMIF('TL07'!$C$10:$C$224,$C414,'TL07'!$J$10:$J$224),0),
IF('TL07'!$B$229=L$3,SUMIF('TL07'!$C$238:$C$451,$C414,'TL07'!$J$238:$J$451),0),
IF('TL08'!$B$3=L$3,SUMIF('TL08'!$C$10:$C$224,$C414,'TL08'!$J$10:$J$224),0),
IF('TL08'!$B$229=L$3,SUMIF('TL08'!$C$238:$C$451,$C414,'TL08'!$J$238:$J$451),0),
IF('TL09'!$B$3=L$3,SUMIF('TL09'!$C$10:$C$224,$C414,'TL09'!$J$10:$J$224),0),
IF('TL09'!$B$229=L$3,SUMIF('TL09'!$C$238:$C$451,$C414,'TL09'!$J$238:$J$451),0),
IF('TL10'!$B$3=L$3,SUMIF('TL10'!$C$10:$C$224,$C414,'TL10'!$J$10:$J$224),0),
IF('TL10'!$B$229=L$3,SUMIF('TL10'!$C$238:$C$451,$C414,'TL10'!$J$238:$J$451),0),
IF('TL11'!$B$3=L$3,SUMIF('TL11'!$C$10:$C$224,$C414,'TL11'!$J$10:$J$224),0),
IF('TL11'!$B$229=L$3,SUMIF('TL11'!$C$238:$C$451,$C414,'TL11'!$J$238:$J$451),0),
IF('TL12'!$B$3=L$3,SUMIF('TL12'!$C$10:$C$224,$C414,'TL12'!$J$10:$J$224),0),
IF('TL12'!$B$229=L$3,SUMIF('TL12'!$C$238:$C$451,$C414,'TL12'!$J$238:$J$451),0),
IF('TL13'!$B$3=L$3,SUMIF('TL13'!$C$10:$C$224,$C414,'TL13'!$J$10:$J$224),0),
IF('TL13'!$B$229=L$3,SUMIF('TL13'!$C$238:$C$451,$C414,'TL13'!$J$238:$J$451),0),
IF('TL14'!$B$3=L$3,SUMIF('TL14'!$C$10:$C$224,$C414,'TL14'!$J$10:$J$224),0),
IF('TL14'!$B$229=L$3,SUMIF('TL14'!$C$238:$C$451,$C414,'TL14'!$J$238:$J$451),0),
IF('TL15'!$B$3=L$3,SUMIF('TL15'!$C$10:$C$224,$C414,'TL15'!$J$10:$J$224),0),
IF('TL15'!$B$229=L$3,SUMIF('TL15'!$C$238:$C$451,$C414,'TL15'!$J$238:$J$451),0),
IF('TL16'!$B$3=L$3,SUMIF('TL16'!$C$10:$C$224,$C414,'TL16'!$J$10:$J$224),0),
IF('TL16'!$B$229=L$3,SUMIF('TL16'!$C$238:$C$451,$C414,'TL16'!$J$238:$J$451),0),
IF('TL17'!$B$3=L$3,SUMIF('TL17'!$C$10:$C$224,$C414,'TL17'!$J$10:$J$224),0),
IF('TL17'!$B$229=L$3,SUMIF('TL17'!$C$238:$C$451,$C414,'TL17'!$J$238:$J$451),0),
IF('TL18'!$B$3=L$3,SUMIF('TL18'!$C$10:$C$224,$C414,'TL18'!$J$10:$J$224),0),
IF('TL18'!$B$229=L$3,SUMIF('TL18'!$C$238:$C$451,$C414,'TL18'!$J$238:$J$451),0),
IF('TL19'!$B$3=L$3,SUMIF('TL19'!$C$10:$C$224,$C414,'TL19'!$J$10:$J$224),0),
IF('TL19'!$B$229=L$3,SUMIF('TL19'!$C$238:$C$451,$C414,'TL19'!$J$238:$J$451),0)
),0)</f>
        <v/>
      </c>
      <c r="M414" s="152">
        <f>IFERROR(SUM(
IF('TL01'!$B$3=M$3,SUMIF('TL01'!$C$10:$C$224,$C414,'TL01'!$J$10:$J$224),0),
IF('TL01'!$B$229=M$3,SUMIF('TL01'!$C$238:$C$451,$C414,'TL01'!$J$238:$J$451),0),
IF('TL02'!$B$3=M$3,SUMIF('TL02'!$C$10:$C$224,$C414,'TL02'!$J$10:$J$224),0),
IF('TL02'!$B$229=M$3,SUMIF('TL02'!$C$238:$C$451,$C414,'TL02'!$J$238:$J$451),0),
IF('TL03'!$B$3=M$3,SUMIF('TL03'!$C$10:$C$224,$C414,'TL03'!$J$10:$J$224),0),
IF('TL03'!$B$229=M$3,SUMIF('TL03'!$C$238:$C$451,$C414,'TL03'!$J$238:$J$451),0),
IF('TL04'!$B$3=M$3,SUMIF('TL04'!$C$10:$C$224,$C414,'TL04'!$J$10:$J$224),0),
IF('TL04'!$B$229=M$3,SUMIF('TL04'!$C$238:$C$451,$C414,'TL04'!$J$238:$J$451),0),
IF('TL05'!$B$3=M$3,SUMIF('TL05'!$C$10:$C$224,$C414,'TL05'!$J$10:$J$224),0),
IF('TL05'!$B$229=M$3,SUMIF('TL05'!$C$238:$C$451,$C414,'TL05'!$J$238:$J$451),0),
IF('TL06'!$B$3=M$3,SUMIF('TL06'!$C$10:$C$224,$C414,'TL06'!$J$10:$J$224),0),
IF('TL06'!$B$229=M$3,SUMIF('TL06'!$C$238:$C$451,$C414,'TL06'!$J$238:$J$451),0),
IF('TL07'!$B$3=M$3,SUMIF('TL07'!$C$10:$C$224,$C414,'TL07'!$J$10:$J$224),0),
IF('TL07'!$B$229=M$3,SUMIF('TL07'!$C$238:$C$451,$C414,'TL07'!$J$238:$J$451),0),
IF('TL08'!$B$3=M$3,SUMIF('TL08'!$C$10:$C$224,$C414,'TL08'!$J$10:$J$224),0),
IF('TL08'!$B$229=M$3,SUMIF('TL08'!$C$238:$C$451,$C414,'TL08'!$J$238:$J$451),0),
IF('TL09'!$B$3=M$3,SUMIF('TL09'!$C$10:$C$224,$C414,'TL09'!$J$10:$J$224),0),
IF('TL09'!$B$229=M$3,SUMIF('TL09'!$C$238:$C$451,$C414,'TL09'!$J$238:$J$451),0),
IF('TL10'!$B$3=M$3,SUMIF('TL10'!$C$10:$C$224,$C414,'TL10'!$J$10:$J$224),0),
IF('TL10'!$B$229=M$3,SUMIF('TL10'!$C$238:$C$451,$C414,'TL10'!$J$238:$J$451),0),
IF('TL11'!$B$3=M$3,SUMIF('TL11'!$C$10:$C$224,$C414,'TL11'!$J$10:$J$224),0),
IF('TL11'!$B$229=M$3,SUMIF('TL11'!$C$238:$C$451,$C414,'TL11'!$J$238:$J$451),0),
IF('TL12'!$B$3=M$3,SUMIF('TL12'!$C$10:$C$224,$C414,'TL12'!$J$10:$J$224),0),
IF('TL12'!$B$229=M$3,SUMIF('TL12'!$C$238:$C$451,$C414,'TL12'!$J$238:$J$451),0),
IF('TL13'!$B$3=M$3,SUMIF('TL13'!$C$10:$C$224,$C414,'TL13'!$J$10:$J$224),0),
IF('TL13'!$B$229=M$3,SUMIF('TL13'!$C$238:$C$451,$C414,'TL13'!$J$238:$J$451),0),
IF('TL14'!$B$3=M$3,SUMIF('TL14'!$C$10:$C$224,$C414,'TL14'!$J$10:$J$224),0),
IF('TL14'!$B$229=M$3,SUMIF('TL14'!$C$238:$C$451,$C414,'TL14'!$J$238:$J$451),0),
IF('TL15'!$B$3=M$3,SUMIF('TL15'!$C$10:$C$224,$C414,'TL15'!$J$10:$J$224),0),
IF('TL15'!$B$229=M$3,SUMIF('TL15'!$C$238:$C$451,$C414,'TL15'!$J$238:$J$451),0),
IF('TL16'!$B$3=M$3,SUMIF('TL16'!$C$10:$C$224,$C414,'TL16'!$J$10:$J$224),0),
IF('TL16'!$B$229=M$3,SUMIF('TL16'!$C$238:$C$451,$C414,'TL16'!$J$238:$J$451),0),
IF('TL17'!$B$3=M$3,SUMIF('TL17'!$C$10:$C$224,$C414,'TL17'!$J$10:$J$224),0),
IF('TL17'!$B$229=M$3,SUMIF('TL17'!$C$238:$C$451,$C414,'TL17'!$J$238:$J$451),0),
IF('TL18'!$B$3=M$3,SUMIF('TL18'!$C$10:$C$224,$C414,'TL18'!$J$10:$J$224),0),
IF('TL18'!$B$229=M$3,SUMIF('TL18'!$C$238:$C$451,$C414,'TL18'!$J$238:$J$451),0),
IF('TL19'!$B$3=M$3,SUMIF('TL19'!$C$10:$C$224,$C414,'TL19'!$J$10:$J$224),0),
IF('TL19'!$B$229=M$3,SUMIF('TL19'!$C$238:$C$451,$C414,'TL19'!$J$238:$J$451),0)
),0)</f>
        <v/>
      </c>
      <c r="N414" s="152">
        <f>IFERROR(SUM(
IF('TL01'!$B$3=N$3,SUMIF('TL01'!$C$10:$C$224,$C414,'TL01'!$J$10:$J$224),0),
IF('TL01'!$B$229=N$3,SUMIF('TL01'!$C$238:$C$451,$C414,'TL01'!$J$238:$J$451),0),
IF('TL02'!$B$3=N$3,SUMIF('TL02'!$C$10:$C$224,$C414,'TL02'!$J$10:$J$224),0),
IF('TL02'!$B$229=N$3,SUMIF('TL02'!$C$238:$C$451,$C414,'TL02'!$J$238:$J$451),0),
IF('TL03'!$B$3=N$3,SUMIF('TL03'!$C$10:$C$224,$C414,'TL03'!$J$10:$J$224),0),
IF('TL03'!$B$229=N$3,SUMIF('TL03'!$C$238:$C$451,$C414,'TL03'!$J$238:$J$451),0),
IF('TL04'!$B$3=N$3,SUMIF('TL04'!$C$10:$C$224,$C414,'TL04'!$J$10:$J$224),0),
IF('TL04'!$B$229=N$3,SUMIF('TL04'!$C$238:$C$451,$C414,'TL04'!$J$238:$J$451),0),
IF('TL05'!$B$3=N$3,SUMIF('TL05'!$C$10:$C$224,$C414,'TL05'!$J$10:$J$224),0),
IF('TL05'!$B$229=N$3,SUMIF('TL05'!$C$238:$C$451,$C414,'TL05'!$J$238:$J$451),0),
IF('TL06'!$B$3=N$3,SUMIF('TL06'!$C$10:$C$224,$C414,'TL06'!$J$10:$J$224),0),
IF('TL06'!$B$229=N$3,SUMIF('TL06'!$C$238:$C$451,$C414,'TL06'!$J$238:$J$451),0),
IF('TL07'!$B$3=N$3,SUMIF('TL07'!$C$10:$C$224,$C414,'TL07'!$J$10:$J$224),0),
IF('TL07'!$B$229=N$3,SUMIF('TL07'!$C$238:$C$451,$C414,'TL07'!$J$238:$J$451),0),
IF('TL08'!$B$3=N$3,SUMIF('TL08'!$C$10:$C$224,$C414,'TL08'!$J$10:$J$224),0),
IF('TL08'!$B$229=N$3,SUMIF('TL08'!$C$238:$C$451,$C414,'TL08'!$J$238:$J$451),0),
IF('TL09'!$B$3=N$3,SUMIF('TL09'!$C$10:$C$224,$C414,'TL09'!$J$10:$J$224),0),
IF('TL09'!$B$229=N$3,SUMIF('TL09'!$C$238:$C$451,$C414,'TL09'!$J$238:$J$451),0),
IF('TL10'!$B$3=N$3,SUMIF('TL10'!$C$10:$C$224,$C414,'TL10'!$J$10:$J$224),0),
IF('TL10'!$B$229=N$3,SUMIF('TL10'!$C$238:$C$451,$C414,'TL10'!$J$238:$J$451),0),
IF('TL11'!$B$3=N$3,SUMIF('TL11'!$C$10:$C$224,$C414,'TL11'!$J$10:$J$224),0),
IF('TL11'!$B$229=N$3,SUMIF('TL11'!$C$238:$C$451,$C414,'TL11'!$J$238:$J$451),0),
IF('TL12'!$B$3=N$3,SUMIF('TL12'!$C$10:$C$224,$C414,'TL12'!$J$10:$J$224),0),
IF('TL12'!$B$229=N$3,SUMIF('TL12'!$C$238:$C$451,$C414,'TL12'!$J$238:$J$451),0),
IF('TL13'!$B$3=N$3,SUMIF('TL13'!$C$10:$C$224,$C414,'TL13'!$J$10:$J$224),0),
IF('TL13'!$B$229=N$3,SUMIF('TL13'!$C$238:$C$451,$C414,'TL13'!$J$238:$J$451),0),
IF('TL14'!$B$3=N$3,SUMIF('TL14'!$C$10:$C$224,$C414,'TL14'!$J$10:$J$224),0),
IF('TL14'!$B$229=N$3,SUMIF('TL14'!$C$238:$C$451,$C414,'TL14'!$J$238:$J$451),0),
IF('TL15'!$B$3=N$3,SUMIF('TL15'!$C$10:$C$224,$C414,'TL15'!$J$10:$J$224),0),
IF('TL15'!$B$229=N$3,SUMIF('TL15'!$C$238:$C$451,$C414,'TL15'!$J$238:$J$451),0),
IF('TL16'!$B$3=N$3,SUMIF('TL16'!$C$10:$C$224,$C414,'TL16'!$J$10:$J$224),0),
IF('TL16'!$B$229=N$3,SUMIF('TL16'!$C$238:$C$451,$C414,'TL16'!$J$238:$J$451),0),
IF('TL17'!$B$3=N$3,SUMIF('TL17'!$C$10:$C$224,$C414,'TL17'!$J$10:$J$224),0),
IF('TL17'!$B$229=N$3,SUMIF('TL17'!$C$238:$C$451,$C414,'TL17'!$J$238:$J$451),0),
IF('TL18'!$B$3=N$3,SUMIF('TL18'!$C$10:$C$224,$C414,'TL18'!$J$10:$J$224),0),
IF('TL18'!$B$229=N$3,SUMIF('TL18'!$C$238:$C$451,$C414,'TL18'!$J$238:$J$451),0),
IF('TL19'!$B$3=N$3,SUMIF('TL19'!$C$10:$C$224,$C414,'TL19'!$J$10:$J$224),0),
IF('TL19'!$B$229=N$3,SUMIF('TL19'!$C$238:$C$451,$C414,'TL19'!$J$238:$J$451),0)
),0)</f>
        <v/>
      </c>
      <c r="O414" s="152">
        <f>IFERROR(SUM(
IF('TL01'!$B$3=O$3,SUMIF('TL01'!$C$10:$C$224,$C414,'TL01'!$J$10:$J$224),0),
IF('TL01'!$B$229=O$3,SUMIF('TL01'!$C$238:$C$451,$C414,'TL01'!$J$238:$J$451),0),
IF('TL02'!$B$3=O$3,SUMIF('TL02'!$C$10:$C$224,$C414,'TL02'!$J$10:$J$224),0),
IF('TL02'!$B$229=O$3,SUMIF('TL02'!$C$238:$C$451,$C414,'TL02'!$J$238:$J$451),0),
IF('TL03'!$B$3=O$3,SUMIF('TL03'!$C$10:$C$224,$C414,'TL03'!$J$10:$J$224),0),
IF('TL03'!$B$229=O$3,SUMIF('TL03'!$C$238:$C$451,$C414,'TL03'!$J$238:$J$451),0),
IF('TL04'!$B$3=O$3,SUMIF('TL04'!$C$10:$C$224,$C414,'TL04'!$J$10:$J$224),0),
IF('TL04'!$B$229=O$3,SUMIF('TL04'!$C$238:$C$451,$C414,'TL04'!$J$238:$J$451),0),
IF('TL05'!$B$3=O$3,SUMIF('TL05'!$C$10:$C$224,$C414,'TL05'!$J$10:$J$224),0),
IF('TL05'!$B$229=O$3,SUMIF('TL05'!$C$238:$C$451,$C414,'TL05'!$J$238:$J$451),0),
IF('TL06'!$B$3=O$3,SUMIF('TL06'!$C$10:$C$224,$C414,'TL06'!$J$10:$J$224),0),
IF('TL06'!$B$229=O$3,SUMIF('TL06'!$C$238:$C$451,$C414,'TL06'!$J$238:$J$451),0),
IF('TL07'!$B$3=O$3,SUMIF('TL07'!$C$10:$C$224,$C414,'TL07'!$J$10:$J$224),0),
IF('TL07'!$B$229=O$3,SUMIF('TL07'!$C$238:$C$451,$C414,'TL07'!$J$238:$J$451),0),
IF('TL08'!$B$3=O$3,SUMIF('TL08'!$C$10:$C$224,$C414,'TL08'!$J$10:$J$224),0),
IF('TL08'!$B$229=O$3,SUMIF('TL08'!$C$238:$C$451,$C414,'TL08'!$J$238:$J$451),0),
IF('TL09'!$B$3=O$3,SUMIF('TL09'!$C$10:$C$224,$C414,'TL09'!$J$10:$J$224),0),
IF('TL09'!$B$229=O$3,SUMIF('TL09'!$C$238:$C$451,$C414,'TL09'!$J$238:$J$451),0),
IF('TL10'!$B$3=O$3,SUMIF('TL10'!$C$10:$C$224,$C414,'TL10'!$J$10:$J$224),0),
IF('TL10'!$B$229=O$3,SUMIF('TL10'!$C$238:$C$451,$C414,'TL10'!$J$238:$J$451),0),
IF('TL11'!$B$3=O$3,SUMIF('TL11'!$C$10:$C$224,$C414,'TL11'!$J$10:$J$224),0),
IF('TL11'!$B$229=O$3,SUMIF('TL11'!$C$238:$C$451,$C414,'TL11'!$J$238:$J$451),0),
IF('TL12'!$B$3=O$3,SUMIF('TL12'!$C$10:$C$224,$C414,'TL12'!$J$10:$J$224),0),
IF('TL12'!$B$229=O$3,SUMIF('TL12'!$C$238:$C$451,$C414,'TL12'!$J$238:$J$451),0),
IF('TL13'!$B$3=O$3,SUMIF('TL13'!$C$10:$C$224,$C414,'TL13'!$J$10:$J$224),0),
IF('TL13'!$B$229=O$3,SUMIF('TL13'!$C$238:$C$451,$C414,'TL13'!$J$238:$J$451),0),
IF('TL14'!$B$3=O$3,SUMIF('TL14'!$C$10:$C$224,$C414,'TL14'!$J$10:$J$224),0),
IF('TL14'!$B$229=O$3,SUMIF('TL14'!$C$238:$C$451,$C414,'TL14'!$J$238:$J$451),0),
IF('TL15'!$B$3=O$3,SUMIF('TL15'!$C$10:$C$224,$C414,'TL15'!$J$10:$J$224),0),
IF('TL15'!$B$229=O$3,SUMIF('TL15'!$C$238:$C$451,$C414,'TL15'!$J$238:$J$451),0),
IF('TL16'!$B$3=O$3,SUMIF('TL16'!$C$10:$C$224,$C414,'TL16'!$J$10:$J$224),0),
IF('TL16'!$B$229=O$3,SUMIF('TL16'!$C$238:$C$451,$C414,'TL16'!$J$238:$J$451),0),
IF('TL17'!$B$3=O$3,SUMIF('TL17'!$C$10:$C$224,$C414,'TL17'!$J$10:$J$224),0),
IF('TL17'!$B$229=O$3,SUMIF('TL17'!$C$238:$C$451,$C414,'TL17'!$J$238:$J$451),0),
IF('TL18'!$B$3=O$3,SUMIF('TL18'!$C$10:$C$224,$C414,'TL18'!$J$10:$J$224),0),
IF('TL18'!$B$229=O$3,SUMIF('TL18'!$C$238:$C$451,$C414,'TL18'!$J$238:$J$451),0),
IF('TL19'!$B$3=O$3,SUMIF('TL19'!$C$10:$C$224,$C414,'TL19'!$J$10:$J$224),0),
IF('TL19'!$B$229=O$3,SUMIF('TL19'!$C$238:$C$451,$C414,'TL19'!$J$238:$J$451),0)
),0)</f>
        <v/>
      </c>
      <c r="P414" s="152">
        <f>IFERROR(SUM(
IF('TL01'!$B$3=P$3,SUMIF('TL01'!$C$10:$C$224,$C414,'TL01'!$J$10:$J$224),0),
IF('TL01'!$B$229=P$3,SUMIF('TL01'!$C$238:$C$451,$C414,'TL01'!$J$238:$J$451),0),
IF('TL02'!$B$3=P$3,SUMIF('TL02'!$C$10:$C$224,$C414,'TL02'!$J$10:$J$224),0),
IF('TL02'!$B$229=P$3,SUMIF('TL02'!$C$238:$C$451,$C414,'TL02'!$J$238:$J$451),0),
IF('TL03'!$B$3=P$3,SUMIF('TL03'!$C$10:$C$224,$C414,'TL03'!$J$10:$J$224),0),
IF('TL03'!$B$229=P$3,SUMIF('TL03'!$C$238:$C$451,$C414,'TL03'!$J$238:$J$451),0),
IF('TL04'!$B$3=P$3,SUMIF('TL04'!$C$10:$C$224,$C414,'TL04'!$J$10:$J$224),0),
IF('TL04'!$B$229=P$3,SUMIF('TL04'!$C$238:$C$451,$C414,'TL04'!$J$238:$J$451),0),
IF('TL05'!$B$3=P$3,SUMIF('TL05'!$C$10:$C$224,$C414,'TL05'!$J$10:$J$224),0),
IF('TL05'!$B$229=P$3,SUMIF('TL05'!$C$238:$C$451,$C414,'TL05'!$J$238:$J$451),0),
IF('TL06'!$B$3=P$3,SUMIF('TL06'!$C$10:$C$224,$C414,'TL06'!$J$10:$J$224),0),
IF('TL06'!$B$229=P$3,SUMIF('TL06'!$C$238:$C$451,$C414,'TL06'!$J$238:$J$451),0),
IF('TL07'!$B$3=P$3,SUMIF('TL07'!$C$10:$C$224,$C414,'TL07'!$J$10:$J$224),0),
IF('TL07'!$B$229=P$3,SUMIF('TL07'!$C$238:$C$451,$C414,'TL07'!$J$238:$J$451),0),
IF('TL08'!$B$3=P$3,SUMIF('TL08'!$C$10:$C$224,$C414,'TL08'!$J$10:$J$224),0),
IF('TL08'!$B$229=P$3,SUMIF('TL08'!$C$238:$C$451,$C414,'TL08'!$J$238:$J$451),0),
IF('TL09'!$B$3=P$3,SUMIF('TL09'!$C$10:$C$224,$C414,'TL09'!$J$10:$J$224),0),
IF('TL09'!$B$229=P$3,SUMIF('TL09'!$C$238:$C$451,$C414,'TL09'!$J$238:$J$451),0),
IF('TL10'!$B$3=P$3,SUMIF('TL10'!$C$10:$C$224,$C414,'TL10'!$J$10:$J$224),0),
IF('TL10'!$B$229=P$3,SUMIF('TL10'!$C$238:$C$451,$C414,'TL10'!$J$238:$J$451),0),
IF('TL11'!$B$3=P$3,SUMIF('TL11'!$C$10:$C$224,$C414,'TL11'!$J$10:$J$224),0),
IF('TL11'!$B$229=P$3,SUMIF('TL11'!$C$238:$C$451,$C414,'TL11'!$J$238:$J$451),0),
IF('TL12'!$B$3=P$3,SUMIF('TL12'!$C$10:$C$224,$C414,'TL12'!$J$10:$J$224),0),
IF('TL12'!$B$229=P$3,SUMIF('TL12'!$C$238:$C$451,$C414,'TL12'!$J$238:$J$451),0),
IF('TL13'!$B$3=P$3,SUMIF('TL13'!$C$10:$C$224,$C414,'TL13'!$J$10:$J$224),0),
IF('TL13'!$B$229=P$3,SUMIF('TL13'!$C$238:$C$451,$C414,'TL13'!$J$238:$J$451),0),
IF('TL14'!$B$3=P$3,SUMIF('TL14'!$C$10:$C$224,$C414,'TL14'!$J$10:$J$224),0),
IF('TL14'!$B$229=P$3,SUMIF('TL14'!$C$238:$C$451,$C414,'TL14'!$J$238:$J$451),0),
IF('TL15'!$B$3=P$3,SUMIF('TL15'!$C$10:$C$224,$C414,'TL15'!$J$10:$J$224),0),
IF('TL15'!$B$229=P$3,SUMIF('TL15'!$C$238:$C$451,$C414,'TL15'!$J$238:$J$451),0),
IF('TL16'!$B$3=P$3,SUMIF('TL16'!$C$10:$C$224,$C414,'TL16'!$J$10:$J$224),0),
IF('TL16'!$B$229=P$3,SUMIF('TL16'!$C$238:$C$451,$C414,'TL16'!$J$238:$J$451),0),
IF('TL17'!$B$3=P$3,SUMIF('TL17'!$C$10:$C$224,$C414,'TL17'!$J$10:$J$224),0),
IF('TL17'!$B$229=P$3,SUMIF('TL17'!$C$238:$C$451,$C414,'TL17'!$J$238:$J$451),0),
IF('TL18'!$B$3=P$3,SUMIF('TL18'!$C$10:$C$224,$C414,'TL18'!$J$10:$J$224),0),
IF('TL18'!$B$229=P$3,SUMIF('TL18'!$C$238:$C$451,$C414,'TL18'!$J$238:$J$451),0),
IF('TL19'!$B$3=P$3,SUMIF('TL19'!$C$10:$C$224,$C414,'TL19'!$J$10:$J$224),0),
IF('TL19'!$B$229=P$3,SUMIF('TL19'!$C$238:$C$451,$C414,'TL19'!$J$238:$J$451),0)
),0)</f>
        <v/>
      </c>
      <c r="Q414" s="152">
        <f>IFERROR(SUM(
IF('TL01'!$B$3=Q$3,SUMIF('TL01'!$C$10:$C$224,$C414,'TL01'!$J$10:$J$224),0),
IF('TL01'!$B$229=Q$3,SUMIF('TL01'!$C$238:$C$451,$C414,'TL01'!$J$238:$J$451),0),
IF('TL02'!$B$3=Q$3,SUMIF('TL02'!$C$10:$C$224,$C414,'TL02'!$J$10:$J$224),0),
IF('TL02'!$B$229=Q$3,SUMIF('TL02'!$C$238:$C$451,$C414,'TL02'!$J$238:$J$451),0),
IF('TL03'!$B$3=Q$3,SUMIF('TL03'!$C$10:$C$224,$C414,'TL03'!$J$10:$J$224),0),
IF('TL03'!$B$229=Q$3,SUMIF('TL03'!$C$238:$C$451,$C414,'TL03'!$J$238:$J$451),0),
IF('TL04'!$B$3=Q$3,SUMIF('TL04'!$C$10:$C$224,$C414,'TL04'!$J$10:$J$224),0),
IF('TL04'!$B$229=Q$3,SUMIF('TL04'!$C$238:$C$451,$C414,'TL04'!$J$238:$J$451),0),
IF('TL05'!$B$3=Q$3,SUMIF('TL05'!$C$10:$C$224,$C414,'TL05'!$J$10:$J$224),0),
IF('TL05'!$B$229=Q$3,SUMIF('TL05'!$C$238:$C$451,$C414,'TL05'!$J$238:$J$451),0),
IF('TL06'!$B$3=Q$3,SUMIF('TL06'!$C$10:$C$224,$C414,'TL06'!$J$10:$J$224),0),
IF('TL06'!$B$229=Q$3,SUMIF('TL06'!$C$238:$C$451,$C414,'TL06'!$J$238:$J$451),0),
IF('TL07'!$B$3=Q$3,SUMIF('TL07'!$C$10:$C$224,$C414,'TL07'!$J$10:$J$224),0),
IF('TL07'!$B$229=Q$3,SUMIF('TL07'!$C$238:$C$451,$C414,'TL07'!$J$238:$J$451),0),
IF('TL08'!$B$3=Q$3,SUMIF('TL08'!$C$10:$C$224,$C414,'TL08'!$J$10:$J$224),0),
IF('TL08'!$B$229=Q$3,SUMIF('TL08'!$C$238:$C$451,$C414,'TL08'!$J$238:$J$451),0),
IF('TL09'!$B$3=Q$3,SUMIF('TL09'!$C$10:$C$224,$C414,'TL09'!$J$10:$J$224),0),
IF('TL09'!$B$229=Q$3,SUMIF('TL09'!$C$238:$C$451,$C414,'TL09'!$J$238:$J$451),0),
IF('TL10'!$B$3=Q$3,SUMIF('TL10'!$C$10:$C$224,$C414,'TL10'!$J$10:$J$224),0),
IF('TL10'!$B$229=Q$3,SUMIF('TL10'!$C$238:$C$451,$C414,'TL10'!$J$238:$J$451),0),
IF('TL11'!$B$3=Q$3,SUMIF('TL11'!$C$10:$C$224,$C414,'TL11'!$J$10:$J$224),0),
IF('TL11'!$B$229=Q$3,SUMIF('TL11'!$C$238:$C$451,$C414,'TL11'!$J$238:$J$451),0),
IF('TL12'!$B$3=Q$3,SUMIF('TL12'!$C$10:$C$224,$C414,'TL12'!$J$10:$J$224),0),
IF('TL12'!$B$229=Q$3,SUMIF('TL12'!$C$238:$C$451,$C414,'TL12'!$J$238:$J$451),0),
IF('TL13'!$B$3=Q$3,SUMIF('TL13'!$C$10:$C$224,$C414,'TL13'!$J$10:$J$224),0),
IF('TL13'!$B$229=Q$3,SUMIF('TL13'!$C$238:$C$451,$C414,'TL13'!$J$238:$J$451),0),
IF('TL14'!$B$3=Q$3,SUMIF('TL14'!$C$10:$C$224,$C414,'TL14'!$J$10:$J$224),0),
IF('TL14'!$B$229=Q$3,SUMIF('TL14'!$C$238:$C$451,$C414,'TL14'!$J$238:$J$451),0),
IF('TL15'!$B$3=Q$3,SUMIF('TL15'!$C$10:$C$224,$C414,'TL15'!$J$10:$J$224),0),
IF('TL15'!$B$229=Q$3,SUMIF('TL15'!$C$238:$C$451,$C414,'TL15'!$J$238:$J$451),0),
IF('TL16'!$B$3=Q$3,SUMIF('TL16'!$C$10:$C$224,$C414,'TL16'!$J$10:$J$224),0),
IF('TL16'!$B$229=Q$3,SUMIF('TL16'!$C$238:$C$451,$C414,'TL16'!$J$238:$J$451),0),
IF('TL17'!$B$3=Q$3,SUMIF('TL17'!$C$10:$C$224,$C414,'TL17'!$J$10:$J$224),0),
IF('TL17'!$B$229=Q$3,SUMIF('TL17'!$C$238:$C$451,$C414,'TL17'!$J$238:$J$451),0),
IF('TL18'!$B$3=Q$3,SUMIF('TL18'!$C$10:$C$224,$C414,'TL18'!$J$10:$J$224),0),
IF('TL18'!$B$229=Q$3,SUMIF('TL18'!$C$238:$C$451,$C414,'TL18'!$J$238:$J$451),0),
IF('TL19'!$B$3=Q$3,SUMIF('TL19'!$C$10:$C$224,$C414,'TL19'!$J$10:$J$224),0),
IF('TL19'!$B$229=Q$3,SUMIF('TL19'!$C$238:$C$451,$C414,'TL19'!$J$238:$J$451),0)
),0)</f>
        <v/>
      </c>
      <c r="R414" s="139">
        <f>IFERROR(
SUM(
SUMIF('TL01'!C:C,C414,'TL01'!J:J),
SUMIF('TL02'!C:C,C414,'TL02'!I:I),
SUMIF('TL03'!C:C,C414,'TL03'!I:I),
SUMIF('TL04'!C:C,C414,'TL04'!I:I),
SUMIF('TL05'!C:C,C414,'TL05'!I:I),
SUMIF('TL06'!C:C,C414,'TL06'!I:I),
SUMIF('TL07'!C:C,C414,'TL07'!I:I),
SUMIF('TL08'!C:C,C414,'TL08'!I:I),
SUMIF('TL09'!C:C,C414,'TL09'!I:I),
SUMIF('TL10'!C:C,C414,'TL10'!I:I),
SUMIF('TL11'!C:C,C414,'TL11'!I:I),
SUMIF('TL12'!C:C,C414,'TL12'!I:I),
SUMIF('TL13'!C:C,C414,'TL13'!I:I),
SUMIF('TL14'!C:C,C414,'TL14'!I:I),
SUMIF('TL15'!C:C,C414,'TL15'!I:I),
SUMIF('TL16'!C:C,C414,'TL16'!I:I),
SUMIF('TL17'!C:C,C414,'TL17'!I:I),
SUMIF('TL18'!C:C,C414,'TL18'!I:I))
,0)</f>
        <v/>
      </c>
      <c r="S414" s="142">
        <f>'CUSTO OPERAÇÃO'!M18</f>
        <v/>
      </c>
      <c r="T414" s="139" t="n"/>
      <c r="U414" s="143">
        <f>MAX(0,R414-T414)</f>
        <v/>
      </c>
      <c r="V414" s="144">
        <f>U414*S414</f>
        <v/>
      </c>
    </row>
    <row r="415" hidden="1" ht="15.75" customHeight="1" s="297">
      <c r="A415" s="138" t="n"/>
      <c r="B415" s="155" t="inlineStr">
        <is>
          <t>MÁQUINAS</t>
        </is>
      </c>
      <c r="C415" s="138">
        <f>'CUSTO OPERAÇÃO'!D19</f>
        <v/>
      </c>
      <c r="D415" s="138" t="n"/>
      <c r="E415" s="139" t="n"/>
      <c r="F415" s="138" t="inlineStr">
        <is>
          <t>R$/Ha</t>
        </is>
      </c>
      <c r="G415" s="139" t="n"/>
      <c r="H415" s="140">
        <f>'CUSTO OPERAÇÃO'!J19</f>
        <v/>
      </c>
      <c r="I415" s="156" t="n"/>
      <c r="J415" s="138">
        <f>IFERROR(SUM(
IF('TL01'!$B$3=J$3,SUMIF('TL01'!$C$10:$C$224,$C415,'TL01'!$J$10:$J$224),0),
IF('TL01'!$B$229=J$3,SUMIF('TL01'!$C$238:$C$451,$C415,'TL01'!$J$238:$J$451),0),
IF('TL02'!$B$3=J$3,SUMIF('TL02'!$C$10:$C$224,$C415,'TL02'!$J$10:$J$224),0),
IF('TL02'!$B$229=J$3,SUMIF('TL02'!$C$238:$C$451,$C415,'TL02'!$J$238:$J$451),0),
IF('TL03'!$B$3=J$3,SUMIF('TL03'!$C$10:$C$224,$C415,'TL03'!$J$10:$J$224),0),
IF('TL03'!$B$229=J$3,SUMIF('TL03'!$C$238:$C$451,$C415,'TL03'!$J$238:$J$451),0),
IF('TL04'!$B$3=J$3,SUMIF('TL04'!$C$10:$C$224,$C415,'TL04'!$J$10:$J$224),0),
IF('TL04'!$B$229=J$3,SUMIF('TL04'!$C$238:$C$451,$C415,'TL04'!$J$238:$J$451),0),
IF('TL05'!$B$3=J$3,SUMIF('TL05'!$C$10:$C$224,$C415,'TL05'!$J$10:$J$224),0),
IF('TL05'!$B$229=J$3,SUMIF('TL05'!$C$238:$C$451,$C415,'TL05'!$J$238:$J$451),0),
IF('TL06'!$B$3=J$3,SUMIF('TL06'!$C$10:$C$224,$C415,'TL06'!$J$10:$J$224),0),
IF('TL06'!$B$229=J$3,SUMIF('TL06'!$C$238:$C$451,$C415,'TL06'!$J$238:$J$451),0),
IF('TL07'!$B$3=J$3,SUMIF('TL07'!$C$10:$C$224,$C415,'TL07'!$J$10:$J$224),0),
IF('TL07'!$B$229=J$3,SUMIF('TL07'!$C$238:$C$451,$C415,'TL07'!$J$238:$J$451),0),
IF('TL08'!$B$3=J$3,SUMIF('TL08'!$C$10:$C$224,$C415,'TL08'!$J$10:$J$224),0),
IF('TL08'!$B$229=J$3,SUMIF('TL08'!$C$238:$C$451,$C415,'TL08'!$J$238:$J$451),0),
IF('TL09'!$B$3=J$3,SUMIF('TL09'!$C$10:$C$224,$C415,'TL09'!$J$10:$J$224),0),
IF('TL09'!$B$229=J$3,SUMIF('TL09'!$C$238:$C$451,$C415,'TL09'!$J$238:$J$451),0),
IF('TL10'!$B$3=J$3,SUMIF('TL10'!$C$10:$C$224,$C415,'TL10'!$J$10:$J$224),0),
IF('TL10'!$B$229=J$3,SUMIF('TL10'!$C$238:$C$451,$C415,'TL10'!$J$238:$J$451),0),
IF('TL11'!$B$3=J$3,SUMIF('TL11'!$C$10:$C$224,$C415,'TL11'!$J$10:$J$224),0),
IF('TL11'!$B$229=J$3,SUMIF('TL11'!$C$238:$C$451,$C415,'TL11'!$J$238:$J$451),0),
IF('TL12'!$B$3=J$3,SUMIF('TL12'!$C$10:$C$224,$C415,'TL12'!$J$10:$J$224),0),
IF('TL12'!$B$229=J$3,SUMIF('TL12'!$C$238:$C$451,$C415,'TL12'!$J$238:$J$451),0),
IF('TL13'!$B$3=J$3,SUMIF('TL13'!$C$10:$C$224,$C415,'TL13'!$J$10:$J$224),0),
IF('TL13'!$B$229=J$3,SUMIF('TL13'!$C$238:$C$451,$C415,'TL13'!$J$238:$J$451),0),
IF('TL14'!$B$3=J$3,SUMIF('TL14'!$C$10:$C$224,$C415,'TL14'!$J$10:$J$224),0),
IF('TL14'!$B$229=J$3,SUMIF('TL14'!$C$238:$C$451,$C415,'TL14'!$J$238:$J$451),0),
IF('TL15'!$B$3=J$3,SUMIF('TL15'!$C$10:$C$224,$C415,'TL15'!$J$10:$J$224),0),
IF('TL15'!$B$229=J$3,SUMIF('TL15'!$C$238:$C$451,$C415,'TL15'!$J$238:$J$451),0),
IF('TL16'!$B$3=J$3,SUMIF('TL16'!$C$10:$C$224,$C415,'TL16'!$J$10:$J$224),0),
IF('TL16'!$B$229=J$3,SUMIF('TL16'!$C$238:$C$451,$C415,'TL16'!$J$238:$J$451),0),
IF('TL17'!$B$3=J$3,SUMIF('TL17'!$C$10:$C$224,$C415,'TL17'!$J$10:$J$224),0),
IF('TL17'!$B$229=J$3,SUMIF('TL17'!$C$238:$C$451,$C415,'TL17'!$J$238:$J$451),0),
IF('TL18'!$B$3=J$3,SUMIF('TL18'!$C$10:$C$224,$C415,'TL18'!$J$10:$J$224),0),
IF('TL18'!$B$229=J$3,SUMIF('TL18'!$C$238:$C$451,$C415,'TL18'!$J$238:$J$451),0),
IF('TL19'!$B$3=J$3,SUMIF('TL19'!$C$10:$C$224,$C415,'TL19'!$J$10:$J$224),0),
IF('TL19'!$B$229=J$3,SUMIF('TL19'!$C$238:$C$451,$C415,'TL19'!$J$238:$J$451),0)
),0)</f>
        <v/>
      </c>
      <c r="K415" s="138">
        <f>IFERROR(SUM(
IF('TL01'!$B$3=K$3,SUMIF('TL01'!$C$10:$C$224,$C415,'TL01'!$J$10:$J$224),0),
IF('TL01'!$B$229=K$3,SUMIF('TL01'!$C$238:$C$451,$C415,'TL01'!$J$238:$J$451),0),
IF('TL02'!$B$3=K$3,SUMIF('TL02'!$C$10:$C$224,$C415,'TL02'!$J$10:$J$224),0),
IF('TL02'!$B$229=K$3,SUMIF('TL02'!$C$238:$C$451,$C415,'TL02'!$J$238:$J$451),0),
IF('TL03'!$B$3=K$3,SUMIF('TL03'!$C$10:$C$224,$C415,'TL03'!$J$10:$J$224),0),
IF('TL03'!$B$229=K$3,SUMIF('TL03'!$C$238:$C$451,$C415,'TL03'!$J$238:$J$451),0),
IF('TL04'!$B$3=K$3,SUMIF('TL04'!$C$10:$C$224,$C415,'TL04'!$J$10:$J$224),0),
IF('TL04'!$B$229=K$3,SUMIF('TL04'!$C$238:$C$451,$C415,'TL04'!$J$238:$J$451),0),
IF('TL05'!$B$3=K$3,SUMIF('TL05'!$C$10:$C$224,$C415,'TL05'!$J$10:$J$224),0),
IF('TL05'!$B$229=K$3,SUMIF('TL05'!$C$238:$C$451,$C415,'TL05'!$J$238:$J$451),0),
IF('TL06'!$B$3=K$3,SUMIF('TL06'!$C$10:$C$224,$C415,'TL06'!$J$10:$J$224),0),
IF('TL06'!$B$229=K$3,SUMIF('TL06'!$C$238:$C$451,$C415,'TL06'!$J$238:$J$451),0),
IF('TL07'!$B$3=K$3,SUMIF('TL07'!$C$10:$C$224,$C415,'TL07'!$J$10:$J$224),0),
IF('TL07'!$B$229=K$3,SUMIF('TL07'!$C$238:$C$451,$C415,'TL07'!$J$238:$J$451),0),
IF('TL08'!$B$3=K$3,SUMIF('TL08'!$C$10:$C$224,$C415,'TL08'!$J$10:$J$224),0),
IF('TL08'!$B$229=K$3,SUMIF('TL08'!$C$238:$C$451,$C415,'TL08'!$J$238:$J$451),0),
IF('TL09'!$B$3=K$3,SUMIF('TL09'!$C$10:$C$224,$C415,'TL09'!$J$10:$J$224),0),
IF('TL09'!$B$229=K$3,SUMIF('TL09'!$C$238:$C$451,$C415,'TL09'!$J$238:$J$451),0),
IF('TL10'!$B$3=K$3,SUMIF('TL10'!$C$10:$C$224,$C415,'TL10'!$J$10:$J$224),0),
IF('TL10'!$B$229=K$3,SUMIF('TL10'!$C$238:$C$451,$C415,'TL10'!$J$238:$J$451),0),
IF('TL11'!$B$3=K$3,SUMIF('TL11'!$C$10:$C$224,$C415,'TL11'!$J$10:$J$224),0),
IF('TL11'!$B$229=K$3,SUMIF('TL11'!$C$238:$C$451,$C415,'TL11'!$J$238:$J$451),0),
IF('TL12'!$B$3=K$3,SUMIF('TL12'!$C$10:$C$224,$C415,'TL12'!$J$10:$J$224),0),
IF('TL12'!$B$229=K$3,SUMIF('TL12'!$C$238:$C$451,$C415,'TL12'!$J$238:$J$451),0),
IF('TL13'!$B$3=K$3,SUMIF('TL13'!$C$10:$C$224,$C415,'TL13'!$J$10:$J$224),0),
IF('TL13'!$B$229=K$3,SUMIF('TL13'!$C$238:$C$451,$C415,'TL13'!$J$238:$J$451),0),
IF('TL14'!$B$3=K$3,SUMIF('TL14'!$C$10:$C$224,$C415,'TL14'!$J$10:$J$224),0),
IF('TL14'!$B$229=K$3,SUMIF('TL14'!$C$238:$C$451,$C415,'TL14'!$J$238:$J$451),0),
IF('TL15'!$B$3=K$3,SUMIF('TL15'!$C$10:$C$224,$C415,'TL15'!$J$10:$J$224),0),
IF('TL15'!$B$229=K$3,SUMIF('TL15'!$C$238:$C$451,$C415,'TL15'!$J$238:$J$451),0),
IF('TL16'!$B$3=K$3,SUMIF('TL16'!$C$10:$C$224,$C415,'TL16'!$J$10:$J$224),0),
IF('TL16'!$B$229=K$3,SUMIF('TL16'!$C$238:$C$451,$C415,'TL16'!$J$238:$J$451),0),
IF('TL17'!$B$3=K$3,SUMIF('TL17'!$C$10:$C$224,$C415,'TL17'!$J$10:$J$224),0),
IF('TL17'!$B$229=K$3,SUMIF('TL17'!$C$238:$C$451,$C415,'TL17'!$J$238:$J$451),0),
IF('TL18'!$B$3=K$3,SUMIF('TL18'!$C$10:$C$224,$C415,'TL18'!$J$10:$J$224),0),
IF('TL18'!$B$229=K$3,SUMIF('TL18'!$C$238:$C$451,$C415,'TL18'!$J$238:$J$451),0),
IF('TL19'!$B$3=K$3,SUMIF('TL19'!$C$10:$C$224,$C415,'TL19'!$J$10:$J$224),0),
IF('TL19'!$B$229=K$3,SUMIF('TL19'!$C$238:$C$451,$C415,'TL19'!$J$238:$J$451),0)
),0)</f>
        <v/>
      </c>
      <c r="L415" s="138">
        <f>IFERROR(SUM(
IF('TL01'!$B$3=L$3,SUMIF('TL01'!$C$10:$C$224,$C415,'TL01'!$J$10:$J$224),0),
IF('TL01'!$B$229=L$3,SUMIF('TL01'!$C$238:$C$451,$C415,'TL01'!$J$238:$J$451),0),
IF('TL02'!$B$3=L$3,SUMIF('TL02'!$C$10:$C$224,$C415,'TL02'!$J$10:$J$224),0),
IF('TL02'!$B$229=L$3,SUMIF('TL02'!$C$238:$C$451,$C415,'TL02'!$J$238:$J$451),0),
IF('TL03'!$B$3=L$3,SUMIF('TL03'!$C$10:$C$224,$C415,'TL03'!$J$10:$J$224),0),
IF('TL03'!$B$229=L$3,SUMIF('TL03'!$C$238:$C$451,$C415,'TL03'!$J$238:$J$451),0),
IF('TL04'!$B$3=L$3,SUMIF('TL04'!$C$10:$C$224,$C415,'TL04'!$J$10:$J$224),0),
IF('TL04'!$B$229=L$3,SUMIF('TL04'!$C$238:$C$451,$C415,'TL04'!$J$238:$J$451),0),
IF('TL05'!$B$3=L$3,SUMIF('TL05'!$C$10:$C$224,$C415,'TL05'!$J$10:$J$224),0),
IF('TL05'!$B$229=L$3,SUMIF('TL05'!$C$238:$C$451,$C415,'TL05'!$J$238:$J$451),0),
IF('TL06'!$B$3=L$3,SUMIF('TL06'!$C$10:$C$224,$C415,'TL06'!$J$10:$J$224),0),
IF('TL06'!$B$229=L$3,SUMIF('TL06'!$C$238:$C$451,$C415,'TL06'!$J$238:$J$451),0),
IF('TL07'!$B$3=L$3,SUMIF('TL07'!$C$10:$C$224,$C415,'TL07'!$J$10:$J$224),0),
IF('TL07'!$B$229=L$3,SUMIF('TL07'!$C$238:$C$451,$C415,'TL07'!$J$238:$J$451),0),
IF('TL08'!$B$3=L$3,SUMIF('TL08'!$C$10:$C$224,$C415,'TL08'!$J$10:$J$224),0),
IF('TL08'!$B$229=L$3,SUMIF('TL08'!$C$238:$C$451,$C415,'TL08'!$J$238:$J$451),0),
IF('TL09'!$B$3=L$3,SUMIF('TL09'!$C$10:$C$224,$C415,'TL09'!$J$10:$J$224),0),
IF('TL09'!$B$229=L$3,SUMIF('TL09'!$C$238:$C$451,$C415,'TL09'!$J$238:$J$451),0),
IF('TL10'!$B$3=L$3,SUMIF('TL10'!$C$10:$C$224,$C415,'TL10'!$J$10:$J$224),0),
IF('TL10'!$B$229=L$3,SUMIF('TL10'!$C$238:$C$451,$C415,'TL10'!$J$238:$J$451),0),
IF('TL11'!$B$3=L$3,SUMIF('TL11'!$C$10:$C$224,$C415,'TL11'!$J$10:$J$224),0),
IF('TL11'!$B$229=L$3,SUMIF('TL11'!$C$238:$C$451,$C415,'TL11'!$J$238:$J$451),0),
IF('TL12'!$B$3=L$3,SUMIF('TL12'!$C$10:$C$224,$C415,'TL12'!$J$10:$J$224),0),
IF('TL12'!$B$229=L$3,SUMIF('TL12'!$C$238:$C$451,$C415,'TL12'!$J$238:$J$451),0),
IF('TL13'!$B$3=L$3,SUMIF('TL13'!$C$10:$C$224,$C415,'TL13'!$J$10:$J$224),0),
IF('TL13'!$B$229=L$3,SUMIF('TL13'!$C$238:$C$451,$C415,'TL13'!$J$238:$J$451),0),
IF('TL14'!$B$3=L$3,SUMIF('TL14'!$C$10:$C$224,$C415,'TL14'!$J$10:$J$224),0),
IF('TL14'!$B$229=L$3,SUMIF('TL14'!$C$238:$C$451,$C415,'TL14'!$J$238:$J$451),0),
IF('TL15'!$B$3=L$3,SUMIF('TL15'!$C$10:$C$224,$C415,'TL15'!$J$10:$J$224),0),
IF('TL15'!$B$229=L$3,SUMIF('TL15'!$C$238:$C$451,$C415,'TL15'!$J$238:$J$451),0),
IF('TL16'!$B$3=L$3,SUMIF('TL16'!$C$10:$C$224,$C415,'TL16'!$J$10:$J$224),0),
IF('TL16'!$B$229=L$3,SUMIF('TL16'!$C$238:$C$451,$C415,'TL16'!$J$238:$J$451),0),
IF('TL17'!$B$3=L$3,SUMIF('TL17'!$C$10:$C$224,$C415,'TL17'!$J$10:$J$224),0),
IF('TL17'!$B$229=L$3,SUMIF('TL17'!$C$238:$C$451,$C415,'TL17'!$J$238:$J$451),0),
IF('TL18'!$B$3=L$3,SUMIF('TL18'!$C$10:$C$224,$C415,'TL18'!$J$10:$J$224),0),
IF('TL18'!$B$229=L$3,SUMIF('TL18'!$C$238:$C$451,$C415,'TL18'!$J$238:$J$451),0),
IF('TL19'!$B$3=L$3,SUMIF('TL19'!$C$10:$C$224,$C415,'TL19'!$J$10:$J$224),0),
IF('TL19'!$B$229=L$3,SUMIF('TL19'!$C$238:$C$451,$C415,'TL19'!$J$238:$J$451),0)
),0)</f>
        <v/>
      </c>
      <c r="M415" s="138">
        <f>IFERROR(SUM(
IF('TL01'!$B$3=M$3,SUMIF('TL01'!$C$10:$C$224,$C415,'TL01'!$J$10:$J$224),0),
IF('TL01'!$B$229=M$3,SUMIF('TL01'!$C$238:$C$451,$C415,'TL01'!$J$238:$J$451),0),
IF('TL02'!$B$3=M$3,SUMIF('TL02'!$C$10:$C$224,$C415,'TL02'!$J$10:$J$224),0),
IF('TL02'!$B$229=M$3,SUMIF('TL02'!$C$238:$C$451,$C415,'TL02'!$J$238:$J$451),0),
IF('TL03'!$B$3=M$3,SUMIF('TL03'!$C$10:$C$224,$C415,'TL03'!$J$10:$J$224),0),
IF('TL03'!$B$229=M$3,SUMIF('TL03'!$C$238:$C$451,$C415,'TL03'!$J$238:$J$451),0),
IF('TL04'!$B$3=M$3,SUMIF('TL04'!$C$10:$C$224,$C415,'TL04'!$J$10:$J$224),0),
IF('TL04'!$B$229=M$3,SUMIF('TL04'!$C$238:$C$451,$C415,'TL04'!$J$238:$J$451),0),
IF('TL05'!$B$3=M$3,SUMIF('TL05'!$C$10:$C$224,$C415,'TL05'!$J$10:$J$224),0),
IF('TL05'!$B$229=M$3,SUMIF('TL05'!$C$238:$C$451,$C415,'TL05'!$J$238:$J$451),0),
IF('TL06'!$B$3=M$3,SUMIF('TL06'!$C$10:$C$224,$C415,'TL06'!$J$10:$J$224),0),
IF('TL06'!$B$229=M$3,SUMIF('TL06'!$C$238:$C$451,$C415,'TL06'!$J$238:$J$451),0),
IF('TL07'!$B$3=M$3,SUMIF('TL07'!$C$10:$C$224,$C415,'TL07'!$J$10:$J$224),0),
IF('TL07'!$B$229=M$3,SUMIF('TL07'!$C$238:$C$451,$C415,'TL07'!$J$238:$J$451),0),
IF('TL08'!$B$3=M$3,SUMIF('TL08'!$C$10:$C$224,$C415,'TL08'!$J$10:$J$224),0),
IF('TL08'!$B$229=M$3,SUMIF('TL08'!$C$238:$C$451,$C415,'TL08'!$J$238:$J$451),0),
IF('TL09'!$B$3=M$3,SUMIF('TL09'!$C$10:$C$224,$C415,'TL09'!$J$10:$J$224),0),
IF('TL09'!$B$229=M$3,SUMIF('TL09'!$C$238:$C$451,$C415,'TL09'!$J$238:$J$451),0),
IF('TL10'!$B$3=M$3,SUMIF('TL10'!$C$10:$C$224,$C415,'TL10'!$J$10:$J$224),0),
IF('TL10'!$B$229=M$3,SUMIF('TL10'!$C$238:$C$451,$C415,'TL10'!$J$238:$J$451),0),
IF('TL11'!$B$3=M$3,SUMIF('TL11'!$C$10:$C$224,$C415,'TL11'!$J$10:$J$224),0),
IF('TL11'!$B$229=M$3,SUMIF('TL11'!$C$238:$C$451,$C415,'TL11'!$J$238:$J$451),0),
IF('TL12'!$B$3=M$3,SUMIF('TL12'!$C$10:$C$224,$C415,'TL12'!$J$10:$J$224),0),
IF('TL12'!$B$229=M$3,SUMIF('TL12'!$C$238:$C$451,$C415,'TL12'!$J$238:$J$451),0),
IF('TL13'!$B$3=M$3,SUMIF('TL13'!$C$10:$C$224,$C415,'TL13'!$J$10:$J$224),0),
IF('TL13'!$B$229=M$3,SUMIF('TL13'!$C$238:$C$451,$C415,'TL13'!$J$238:$J$451),0),
IF('TL14'!$B$3=M$3,SUMIF('TL14'!$C$10:$C$224,$C415,'TL14'!$J$10:$J$224),0),
IF('TL14'!$B$229=M$3,SUMIF('TL14'!$C$238:$C$451,$C415,'TL14'!$J$238:$J$451),0),
IF('TL15'!$B$3=M$3,SUMIF('TL15'!$C$10:$C$224,$C415,'TL15'!$J$10:$J$224),0),
IF('TL15'!$B$229=M$3,SUMIF('TL15'!$C$238:$C$451,$C415,'TL15'!$J$238:$J$451),0),
IF('TL16'!$B$3=M$3,SUMIF('TL16'!$C$10:$C$224,$C415,'TL16'!$J$10:$J$224),0),
IF('TL16'!$B$229=M$3,SUMIF('TL16'!$C$238:$C$451,$C415,'TL16'!$J$238:$J$451),0),
IF('TL17'!$B$3=M$3,SUMIF('TL17'!$C$10:$C$224,$C415,'TL17'!$J$10:$J$224),0),
IF('TL17'!$B$229=M$3,SUMIF('TL17'!$C$238:$C$451,$C415,'TL17'!$J$238:$J$451),0),
IF('TL18'!$B$3=M$3,SUMIF('TL18'!$C$10:$C$224,$C415,'TL18'!$J$10:$J$224),0),
IF('TL18'!$B$229=M$3,SUMIF('TL18'!$C$238:$C$451,$C415,'TL18'!$J$238:$J$451),0),
IF('TL19'!$B$3=M$3,SUMIF('TL19'!$C$10:$C$224,$C415,'TL19'!$J$10:$J$224),0),
IF('TL19'!$B$229=M$3,SUMIF('TL19'!$C$238:$C$451,$C415,'TL19'!$J$238:$J$451),0)
),0)</f>
        <v/>
      </c>
      <c r="N415" s="138">
        <f>IFERROR(SUM(
IF('TL01'!$B$3=N$3,SUMIF('TL01'!$C$10:$C$224,$C415,'TL01'!$J$10:$J$224),0),
IF('TL01'!$B$229=N$3,SUMIF('TL01'!$C$238:$C$451,$C415,'TL01'!$J$238:$J$451),0),
IF('TL02'!$B$3=N$3,SUMIF('TL02'!$C$10:$C$224,$C415,'TL02'!$J$10:$J$224),0),
IF('TL02'!$B$229=N$3,SUMIF('TL02'!$C$238:$C$451,$C415,'TL02'!$J$238:$J$451),0),
IF('TL03'!$B$3=N$3,SUMIF('TL03'!$C$10:$C$224,$C415,'TL03'!$J$10:$J$224),0),
IF('TL03'!$B$229=N$3,SUMIF('TL03'!$C$238:$C$451,$C415,'TL03'!$J$238:$J$451),0),
IF('TL04'!$B$3=N$3,SUMIF('TL04'!$C$10:$C$224,$C415,'TL04'!$J$10:$J$224),0),
IF('TL04'!$B$229=N$3,SUMIF('TL04'!$C$238:$C$451,$C415,'TL04'!$J$238:$J$451),0),
IF('TL05'!$B$3=N$3,SUMIF('TL05'!$C$10:$C$224,$C415,'TL05'!$J$10:$J$224),0),
IF('TL05'!$B$229=N$3,SUMIF('TL05'!$C$238:$C$451,$C415,'TL05'!$J$238:$J$451),0),
IF('TL06'!$B$3=N$3,SUMIF('TL06'!$C$10:$C$224,$C415,'TL06'!$J$10:$J$224),0),
IF('TL06'!$B$229=N$3,SUMIF('TL06'!$C$238:$C$451,$C415,'TL06'!$J$238:$J$451),0),
IF('TL07'!$B$3=N$3,SUMIF('TL07'!$C$10:$C$224,$C415,'TL07'!$J$10:$J$224),0),
IF('TL07'!$B$229=N$3,SUMIF('TL07'!$C$238:$C$451,$C415,'TL07'!$J$238:$J$451),0),
IF('TL08'!$B$3=N$3,SUMIF('TL08'!$C$10:$C$224,$C415,'TL08'!$J$10:$J$224),0),
IF('TL08'!$B$229=N$3,SUMIF('TL08'!$C$238:$C$451,$C415,'TL08'!$J$238:$J$451),0),
IF('TL09'!$B$3=N$3,SUMIF('TL09'!$C$10:$C$224,$C415,'TL09'!$J$10:$J$224),0),
IF('TL09'!$B$229=N$3,SUMIF('TL09'!$C$238:$C$451,$C415,'TL09'!$J$238:$J$451),0),
IF('TL10'!$B$3=N$3,SUMIF('TL10'!$C$10:$C$224,$C415,'TL10'!$J$10:$J$224),0),
IF('TL10'!$B$229=N$3,SUMIF('TL10'!$C$238:$C$451,$C415,'TL10'!$J$238:$J$451),0),
IF('TL11'!$B$3=N$3,SUMIF('TL11'!$C$10:$C$224,$C415,'TL11'!$J$10:$J$224),0),
IF('TL11'!$B$229=N$3,SUMIF('TL11'!$C$238:$C$451,$C415,'TL11'!$J$238:$J$451),0),
IF('TL12'!$B$3=N$3,SUMIF('TL12'!$C$10:$C$224,$C415,'TL12'!$J$10:$J$224),0),
IF('TL12'!$B$229=N$3,SUMIF('TL12'!$C$238:$C$451,$C415,'TL12'!$J$238:$J$451),0),
IF('TL13'!$B$3=N$3,SUMIF('TL13'!$C$10:$C$224,$C415,'TL13'!$J$10:$J$224),0),
IF('TL13'!$B$229=N$3,SUMIF('TL13'!$C$238:$C$451,$C415,'TL13'!$J$238:$J$451),0),
IF('TL14'!$B$3=N$3,SUMIF('TL14'!$C$10:$C$224,$C415,'TL14'!$J$10:$J$224),0),
IF('TL14'!$B$229=N$3,SUMIF('TL14'!$C$238:$C$451,$C415,'TL14'!$J$238:$J$451),0),
IF('TL15'!$B$3=N$3,SUMIF('TL15'!$C$10:$C$224,$C415,'TL15'!$J$10:$J$224),0),
IF('TL15'!$B$229=N$3,SUMIF('TL15'!$C$238:$C$451,$C415,'TL15'!$J$238:$J$451),0),
IF('TL16'!$B$3=N$3,SUMIF('TL16'!$C$10:$C$224,$C415,'TL16'!$J$10:$J$224),0),
IF('TL16'!$B$229=N$3,SUMIF('TL16'!$C$238:$C$451,$C415,'TL16'!$J$238:$J$451),0),
IF('TL17'!$B$3=N$3,SUMIF('TL17'!$C$10:$C$224,$C415,'TL17'!$J$10:$J$224),0),
IF('TL17'!$B$229=N$3,SUMIF('TL17'!$C$238:$C$451,$C415,'TL17'!$J$238:$J$451),0),
IF('TL18'!$B$3=N$3,SUMIF('TL18'!$C$10:$C$224,$C415,'TL18'!$J$10:$J$224),0),
IF('TL18'!$B$229=N$3,SUMIF('TL18'!$C$238:$C$451,$C415,'TL18'!$J$238:$J$451),0),
IF('TL19'!$B$3=N$3,SUMIF('TL19'!$C$10:$C$224,$C415,'TL19'!$J$10:$J$224),0),
IF('TL19'!$B$229=N$3,SUMIF('TL19'!$C$238:$C$451,$C415,'TL19'!$J$238:$J$451),0)
),0)</f>
        <v/>
      </c>
      <c r="O415" s="138">
        <f>IFERROR(SUM(
IF('TL01'!$B$3=O$3,SUMIF('TL01'!$C$10:$C$224,$C415,'TL01'!$J$10:$J$224),0),
IF('TL01'!$B$229=O$3,SUMIF('TL01'!$C$238:$C$451,$C415,'TL01'!$J$238:$J$451),0),
IF('TL02'!$B$3=O$3,SUMIF('TL02'!$C$10:$C$224,$C415,'TL02'!$J$10:$J$224),0),
IF('TL02'!$B$229=O$3,SUMIF('TL02'!$C$238:$C$451,$C415,'TL02'!$J$238:$J$451),0),
IF('TL03'!$B$3=O$3,SUMIF('TL03'!$C$10:$C$224,$C415,'TL03'!$J$10:$J$224),0),
IF('TL03'!$B$229=O$3,SUMIF('TL03'!$C$238:$C$451,$C415,'TL03'!$J$238:$J$451),0),
IF('TL04'!$B$3=O$3,SUMIF('TL04'!$C$10:$C$224,$C415,'TL04'!$J$10:$J$224),0),
IF('TL04'!$B$229=O$3,SUMIF('TL04'!$C$238:$C$451,$C415,'TL04'!$J$238:$J$451),0),
IF('TL05'!$B$3=O$3,SUMIF('TL05'!$C$10:$C$224,$C415,'TL05'!$J$10:$J$224),0),
IF('TL05'!$B$229=O$3,SUMIF('TL05'!$C$238:$C$451,$C415,'TL05'!$J$238:$J$451),0),
IF('TL06'!$B$3=O$3,SUMIF('TL06'!$C$10:$C$224,$C415,'TL06'!$J$10:$J$224),0),
IF('TL06'!$B$229=O$3,SUMIF('TL06'!$C$238:$C$451,$C415,'TL06'!$J$238:$J$451),0),
IF('TL07'!$B$3=O$3,SUMIF('TL07'!$C$10:$C$224,$C415,'TL07'!$J$10:$J$224),0),
IF('TL07'!$B$229=O$3,SUMIF('TL07'!$C$238:$C$451,$C415,'TL07'!$J$238:$J$451),0),
IF('TL08'!$B$3=O$3,SUMIF('TL08'!$C$10:$C$224,$C415,'TL08'!$J$10:$J$224),0),
IF('TL08'!$B$229=O$3,SUMIF('TL08'!$C$238:$C$451,$C415,'TL08'!$J$238:$J$451),0),
IF('TL09'!$B$3=O$3,SUMIF('TL09'!$C$10:$C$224,$C415,'TL09'!$J$10:$J$224),0),
IF('TL09'!$B$229=O$3,SUMIF('TL09'!$C$238:$C$451,$C415,'TL09'!$J$238:$J$451),0),
IF('TL10'!$B$3=O$3,SUMIF('TL10'!$C$10:$C$224,$C415,'TL10'!$J$10:$J$224),0),
IF('TL10'!$B$229=O$3,SUMIF('TL10'!$C$238:$C$451,$C415,'TL10'!$J$238:$J$451),0),
IF('TL11'!$B$3=O$3,SUMIF('TL11'!$C$10:$C$224,$C415,'TL11'!$J$10:$J$224),0),
IF('TL11'!$B$229=O$3,SUMIF('TL11'!$C$238:$C$451,$C415,'TL11'!$J$238:$J$451),0),
IF('TL12'!$B$3=O$3,SUMIF('TL12'!$C$10:$C$224,$C415,'TL12'!$J$10:$J$224),0),
IF('TL12'!$B$229=O$3,SUMIF('TL12'!$C$238:$C$451,$C415,'TL12'!$J$238:$J$451),0),
IF('TL13'!$B$3=O$3,SUMIF('TL13'!$C$10:$C$224,$C415,'TL13'!$J$10:$J$224),0),
IF('TL13'!$B$229=O$3,SUMIF('TL13'!$C$238:$C$451,$C415,'TL13'!$J$238:$J$451),0),
IF('TL14'!$B$3=O$3,SUMIF('TL14'!$C$10:$C$224,$C415,'TL14'!$J$10:$J$224),0),
IF('TL14'!$B$229=O$3,SUMIF('TL14'!$C$238:$C$451,$C415,'TL14'!$J$238:$J$451),0),
IF('TL15'!$B$3=O$3,SUMIF('TL15'!$C$10:$C$224,$C415,'TL15'!$J$10:$J$224),0),
IF('TL15'!$B$229=O$3,SUMIF('TL15'!$C$238:$C$451,$C415,'TL15'!$J$238:$J$451),0),
IF('TL16'!$B$3=O$3,SUMIF('TL16'!$C$10:$C$224,$C415,'TL16'!$J$10:$J$224),0),
IF('TL16'!$B$229=O$3,SUMIF('TL16'!$C$238:$C$451,$C415,'TL16'!$J$238:$J$451),0),
IF('TL17'!$B$3=O$3,SUMIF('TL17'!$C$10:$C$224,$C415,'TL17'!$J$10:$J$224),0),
IF('TL17'!$B$229=O$3,SUMIF('TL17'!$C$238:$C$451,$C415,'TL17'!$J$238:$J$451),0),
IF('TL18'!$B$3=O$3,SUMIF('TL18'!$C$10:$C$224,$C415,'TL18'!$J$10:$J$224),0),
IF('TL18'!$B$229=O$3,SUMIF('TL18'!$C$238:$C$451,$C415,'TL18'!$J$238:$J$451),0),
IF('TL19'!$B$3=O$3,SUMIF('TL19'!$C$10:$C$224,$C415,'TL19'!$J$10:$J$224),0),
IF('TL19'!$B$229=O$3,SUMIF('TL19'!$C$238:$C$451,$C415,'TL19'!$J$238:$J$451),0)
),0)</f>
        <v/>
      </c>
      <c r="P415" s="138">
        <f>IFERROR(SUM(
IF('TL01'!$B$3=P$3,SUMIF('TL01'!$C$10:$C$224,$C415,'TL01'!$J$10:$J$224),0),
IF('TL01'!$B$229=P$3,SUMIF('TL01'!$C$238:$C$451,$C415,'TL01'!$J$238:$J$451),0),
IF('TL02'!$B$3=P$3,SUMIF('TL02'!$C$10:$C$224,$C415,'TL02'!$J$10:$J$224),0),
IF('TL02'!$B$229=P$3,SUMIF('TL02'!$C$238:$C$451,$C415,'TL02'!$J$238:$J$451),0),
IF('TL03'!$B$3=P$3,SUMIF('TL03'!$C$10:$C$224,$C415,'TL03'!$J$10:$J$224),0),
IF('TL03'!$B$229=P$3,SUMIF('TL03'!$C$238:$C$451,$C415,'TL03'!$J$238:$J$451),0),
IF('TL04'!$B$3=P$3,SUMIF('TL04'!$C$10:$C$224,$C415,'TL04'!$J$10:$J$224),0),
IF('TL04'!$B$229=P$3,SUMIF('TL04'!$C$238:$C$451,$C415,'TL04'!$J$238:$J$451),0),
IF('TL05'!$B$3=P$3,SUMIF('TL05'!$C$10:$C$224,$C415,'TL05'!$J$10:$J$224),0),
IF('TL05'!$B$229=P$3,SUMIF('TL05'!$C$238:$C$451,$C415,'TL05'!$J$238:$J$451),0),
IF('TL06'!$B$3=P$3,SUMIF('TL06'!$C$10:$C$224,$C415,'TL06'!$J$10:$J$224),0),
IF('TL06'!$B$229=P$3,SUMIF('TL06'!$C$238:$C$451,$C415,'TL06'!$J$238:$J$451),0),
IF('TL07'!$B$3=P$3,SUMIF('TL07'!$C$10:$C$224,$C415,'TL07'!$J$10:$J$224),0),
IF('TL07'!$B$229=P$3,SUMIF('TL07'!$C$238:$C$451,$C415,'TL07'!$J$238:$J$451),0),
IF('TL08'!$B$3=P$3,SUMIF('TL08'!$C$10:$C$224,$C415,'TL08'!$J$10:$J$224),0),
IF('TL08'!$B$229=P$3,SUMIF('TL08'!$C$238:$C$451,$C415,'TL08'!$J$238:$J$451),0),
IF('TL09'!$B$3=P$3,SUMIF('TL09'!$C$10:$C$224,$C415,'TL09'!$J$10:$J$224),0),
IF('TL09'!$B$229=P$3,SUMIF('TL09'!$C$238:$C$451,$C415,'TL09'!$J$238:$J$451),0),
IF('TL10'!$B$3=P$3,SUMIF('TL10'!$C$10:$C$224,$C415,'TL10'!$J$10:$J$224),0),
IF('TL10'!$B$229=P$3,SUMIF('TL10'!$C$238:$C$451,$C415,'TL10'!$J$238:$J$451),0),
IF('TL11'!$B$3=P$3,SUMIF('TL11'!$C$10:$C$224,$C415,'TL11'!$J$10:$J$224),0),
IF('TL11'!$B$229=P$3,SUMIF('TL11'!$C$238:$C$451,$C415,'TL11'!$J$238:$J$451),0),
IF('TL12'!$B$3=P$3,SUMIF('TL12'!$C$10:$C$224,$C415,'TL12'!$J$10:$J$224),0),
IF('TL12'!$B$229=P$3,SUMIF('TL12'!$C$238:$C$451,$C415,'TL12'!$J$238:$J$451),0),
IF('TL13'!$B$3=P$3,SUMIF('TL13'!$C$10:$C$224,$C415,'TL13'!$J$10:$J$224),0),
IF('TL13'!$B$229=P$3,SUMIF('TL13'!$C$238:$C$451,$C415,'TL13'!$J$238:$J$451),0),
IF('TL14'!$B$3=P$3,SUMIF('TL14'!$C$10:$C$224,$C415,'TL14'!$J$10:$J$224),0),
IF('TL14'!$B$229=P$3,SUMIF('TL14'!$C$238:$C$451,$C415,'TL14'!$J$238:$J$451),0),
IF('TL15'!$B$3=P$3,SUMIF('TL15'!$C$10:$C$224,$C415,'TL15'!$J$10:$J$224),0),
IF('TL15'!$B$229=P$3,SUMIF('TL15'!$C$238:$C$451,$C415,'TL15'!$J$238:$J$451),0),
IF('TL16'!$B$3=P$3,SUMIF('TL16'!$C$10:$C$224,$C415,'TL16'!$J$10:$J$224),0),
IF('TL16'!$B$229=P$3,SUMIF('TL16'!$C$238:$C$451,$C415,'TL16'!$J$238:$J$451),0),
IF('TL17'!$B$3=P$3,SUMIF('TL17'!$C$10:$C$224,$C415,'TL17'!$J$10:$J$224),0),
IF('TL17'!$B$229=P$3,SUMIF('TL17'!$C$238:$C$451,$C415,'TL17'!$J$238:$J$451),0),
IF('TL18'!$B$3=P$3,SUMIF('TL18'!$C$10:$C$224,$C415,'TL18'!$J$10:$J$224),0),
IF('TL18'!$B$229=P$3,SUMIF('TL18'!$C$238:$C$451,$C415,'TL18'!$J$238:$J$451),0),
IF('TL19'!$B$3=P$3,SUMIF('TL19'!$C$10:$C$224,$C415,'TL19'!$J$10:$J$224),0),
IF('TL19'!$B$229=P$3,SUMIF('TL19'!$C$238:$C$451,$C415,'TL19'!$J$238:$J$451),0)
),0)</f>
        <v/>
      </c>
      <c r="Q415" s="138">
        <f>IFERROR(SUM(
IF('TL01'!$B$3=Q$3,SUMIF('TL01'!$C$10:$C$224,$C415,'TL01'!$J$10:$J$224),0),
IF('TL01'!$B$229=Q$3,SUMIF('TL01'!$C$238:$C$451,$C415,'TL01'!$J$238:$J$451),0),
IF('TL02'!$B$3=Q$3,SUMIF('TL02'!$C$10:$C$224,$C415,'TL02'!$J$10:$J$224),0),
IF('TL02'!$B$229=Q$3,SUMIF('TL02'!$C$238:$C$451,$C415,'TL02'!$J$238:$J$451),0),
IF('TL03'!$B$3=Q$3,SUMIF('TL03'!$C$10:$C$224,$C415,'TL03'!$J$10:$J$224),0),
IF('TL03'!$B$229=Q$3,SUMIF('TL03'!$C$238:$C$451,$C415,'TL03'!$J$238:$J$451),0),
IF('TL04'!$B$3=Q$3,SUMIF('TL04'!$C$10:$C$224,$C415,'TL04'!$J$10:$J$224),0),
IF('TL04'!$B$229=Q$3,SUMIF('TL04'!$C$238:$C$451,$C415,'TL04'!$J$238:$J$451),0),
IF('TL05'!$B$3=Q$3,SUMIF('TL05'!$C$10:$C$224,$C415,'TL05'!$J$10:$J$224),0),
IF('TL05'!$B$229=Q$3,SUMIF('TL05'!$C$238:$C$451,$C415,'TL05'!$J$238:$J$451),0),
IF('TL06'!$B$3=Q$3,SUMIF('TL06'!$C$10:$C$224,$C415,'TL06'!$J$10:$J$224),0),
IF('TL06'!$B$229=Q$3,SUMIF('TL06'!$C$238:$C$451,$C415,'TL06'!$J$238:$J$451),0),
IF('TL07'!$B$3=Q$3,SUMIF('TL07'!$C$10:$C$224,$C415,'TL07'!$J$10:$J$224),0),
IF('TL07'!$B$229=Q$3,SUMIF('TL07'!$C$238:$C$451,$C415,'TL07'!$J$238:$J$451),0),
IF('TL08'!$B$3=Q$3,SUMIF('TL08'!$C$10:$C$224,$C415,'TL08'!$J$10:$J$224),0),
IF('TL08'!$B$229=Q$3,SUMIF('TL08'!$C$238:$C$451,$C415,'TL08'!$J$238:$J$451),0),
IF('TL09'!$B$3=Q$3,SUMIF('TL09'!$C$10:$C$224,$C415,'TL09'!$J$10:$J$224),0),
IF('TL09'!$B$229=Q$3,SUMIF('TL09'!$C$238:$C$451,$C415,'TL09'!$J$238:$J$451),0),
IF('TL10'!$B$3=Q$3,SUMIF('TL10'!$C$10:$C$224,$C415,'TL10'!$J$10:$J$224),0),
IF('TL10'!$B$229=Q$3,SUMIF('TL10'!$C$238:$C$451,$C415,'TL10'!$J$238:$J$451),0),
IF('TL11'!$B$3=Q$3,SUMIF('TL11'!$C$10:$C$224,$C415,'TL11'!$J$10:$J$224),0),
IF('TL11'!$B$229=Q$3,SUMIF('TL11'!$C$238:$C$451,$C415,'TL11'!$J$238:$J$451),0),
IF('TL12'!$B$3=Q$3,SUMIF('TL12'!$C$10:$C$224,$C415,'TL12'!$J$10:$J$224),0),
IF('TL12'!$B$229=Q$3,SUMIF('TL12'!$C$238:$C$451,$C415,'TL12'!$J$238:$J$451),0),
IF('TL13'!$B$3=Q$3,SUMIF('TL13'!$C$10:$C$224,$C415,'TL13'!$J$10:$J$224),0),
IF('TL13'!$B$229=Q$3,SUMIF('TL13'!$C$238:$C$451,$C415,'TL13'!$J$238:$J$451),0),
IF('TL14'!$B$3=Q$3,SUMIF('TL14'!$C$10:$C$224,$C415,'TL14'!$J$10:$J$224),0),
IF('TL14'!$B$229=Q$3,SUMIF('TL14'!$C$238:$C$451,$C415,'TL14'!$J$238:$J$451),0),
IF('TL15'!$B$3=Q$3,SUMIF('TL15'!$C$10:$C$224,$C415,'TL15'!$J$10:$J$224),0),
IF('TL15'!$B$229=Q$3,SUMIF('TL15'!$C$238:$C$451,$C415,'TL15'!$J$238:$J$451),0),
IF('TL16'!$B$3=Q$3,SUMIF('TL16'!$C$10:$C$224,$C415,'TL16'!$J$10:$J$224),0),
IF('TL16'!$B$229=Q$3,SUMIF('TL16'!$C$238:$C$451,$C415,'TL16'!$J$238:$J$451),0),
IF('TL17'!$B$3=Q$3,SUMIF('TL17'!$C$10:$C$224,$C415,'TL17'!$J$10:$J$224),0),
IF('TL17'!$B$229=Q$3,SUMIF('TL17'!$C$238:$C$451,$C415,'TL17'!$J$238:$J$451),0),
IF('TL18'!$B$3=Q$3,SUMIF('TL18'!$C$10:$C$224,$C415,'TL18'!$J$10:$J$224),0),
IF('TL18'!$B$229=Q$3,SUMIF('TL18'!$C$238:$C$451,$C415,'TL18'!$J$238:$J$451),0),
IF('TL19'!$B$3=Q$3,SUMIF('TL19'!$C$10:$C$224,$C415,'TL19'!$J$10:$J$224),0),
IF('TL19'!$B$229=Q$3,SUMIF('TL19'!$C$238:$C$451,$C415,'TL19'!$J$238:$J$451),0)
),0)</f>
        <v/>
      </c>
      <c r="R415" s="139">
        <f>IFERROR(
SUM(
SUMIF('TL01'!C:C,C415,'TL01'!J:J),
SUMIF('TL02'!C:C,C415,'TL02'!I:I),
SUMIF('TL03'!C:C,C415,'TL03'!I:I),
SUMIF('TL04'!C:C,C415,'TL04'!I:I),
SUMIF('TL05'!C:C,C415,'TL05'!I:I),
SUMIF('TL06'!C:C,C415,'TL06'!I:I),
SUMIF('TL07'!C:C,C415,'TL07'!I:I),
SUMIF('TL08'!C:C,C415,'TL08'!I:I),
SUMIF('TL09'!C:C,C415,'TL09'!I:I),
SUMIF('TL10'!C:C,C415,'TL10'!I:I),
SUMIF('TL11'!C:C,C415,'TL11'!I:I),
SUMIF('TL12'!C:C,C415,'TL12'!I:I),
SUMIF('TL13'!C:C,C415,'TL13'!I:I),
SUMIF('TL14'!C:C,C415,'TL14'!I:I),
SUMIF('TL15'!C:C,C415,'TL15'!I:I),
SUMIF('TL16'!C:C,C415,'TL16'!I:I),
SUMIF('TL17'!C:C,C415,'TL17'!I:I),
SUMIF('TL18'!C:C,C415,'TL18'!I:I))
,0)</f>
        <v/>
      </c>
      <c r="S415" s="142">
        <f>'CUSTO OPERAÇÃO'!M19</f>
        <v/>
      </c>
      <c r="T415" s="139" t="n"/>
      <c r="U415" s="143">
        <f>MAX(0,R415-T415)</f>
        <v/>
      </c>
      <c r="V415" s="144">
        <f>U415*S415</f>
        <v/>
      </c>
    </row>
    <row r="416" hidden="1" ht="15.75" customHeight="1" s="297">
      <c r="A416" s="138" t="n"/>
      <c r="B416" s="155" t="n"/>
      <c r="C416" s="138" t="n"/>
      <c r="D416" s="138" t="n"/>
      <c r="E416" s="139" t="n"/>
      <c r="F416" s="138" t="inlineStr">
        <is>
          <t>R$/Ha</t>
        </is>
      </c>
      <c r="G416" s="139" t="n"/>
      <c r="H416" s="140">
        <f>'CUSTO OPERAÇÃO'!J20</f>
        <v/>
      </c>
      <c r="I416" s="156" t="n"/>
      <c r="J416" s="138">
        <f>IFERROR(SUM(
IF('TL01'!$B$3=J$3,SUMIF('TL01'!$C$10:$C$224,$C416,'TL01'!$J$10:$J$224),0),
IF('TL01'!$B$229=J$3,SUMIF('TL01'!$C$238:$C$451,$C416,'TL01'!$J$238:$J$451),0),
IF('TL02'!$B$3=J$3,SUMIF('TL02'!$C$10:$C$224,$C416,'TL02'!$J$10:$J$224),0),
IF('TL02'!$B$229=J$3,SUMIF('TL02'!$C$238:$C$451,$C416,'TL02'!$J$238:$J$451),0),
IF('TL03'!$B$3=J$3,SUMIF('TL03'!$C$10:$C$224,$C416,'TL03'!$J$10:$J$224),0),
IF('TL03'!$B$229=J$3,SUMIF('TL03'!$C$238:$C$451,$C416,'TL03'!$J$238:$J$451),0),
IF('TL04'!$B$3=J$3,SUMIF('TL04'!$C$10:$C$224,$C416,'TL04'!$J$10:$J$224),0),
IF('TL04'!$B$229=J$3,SUMIF('TL04'!$C$238:$C$451,$C416,'TL04'!$J$238:$J$451),0),
IF('TL05'!$B$3=J$3,SUMIF('TL05'!$C$10:$C$224,$C416,'TL05'!$J$10:$J$224),0),
IF('TL05'!$B$229=J$3,SUMIF('TL05'!$C$238:$C$451,$C416,'TL05'!$J$238:$J$451),0),
IF('TL06'!$B$3=J$3,SUMIF('TL06'!$C$10:$C$224,$C416,'TL06'!$J$10:$J$224),0),
IF('TL06'!$B$229=J$3,SUMIF('TL06'!$C$238:$C$451,$C416,'TL06'!$J$238:$J$451),0),
IF('TL07'!$B$3=J$3,SUMIF('TL07'!$C$10:$C$224,$C416,'TL07'!$J$10:$J$224),0),
IF('TL07'!$B$229=J$3,SUMIF('TL07'!$C$238:$C$451,$C416,'TL07'!$J$238:$J$451),0),
IF('TL08'!$B$3=J$3,SUMIF('TL08'!$C$10:$C$224,$C416,'TL08'!$J$10:$J$224),0),
IF('TL08'!$B$229=J$3,SUMIF('TL08'!$C$238:$C$451,$C416,'TL08'!$J$238:$J$451),0),
IF('TL09'!$B$3=J$3,SUMIF('TL09'!$C$10:$C$224,$C416,'TL09'!$J$10:$J$224),0),
IF('TL09'!$B$229=J$3,SUMIF('TL09'!$C$238:$C$451,$C416,'TL09'!$J$238:$J$451),0),
IF('TL10'!$B$3=J$3,SUMIF('TL10'!$C$10:$C$224,$C416,'TL10'!$J$10:$J$224),0),
IF('TL10'!$B$229=J$3,SUMIF('TL10'!$C$238:$C$451,$C416,'TL10'!$J$238:$J$451),0),
IF('TL11'!$B$3=J$3,SUMIF('TL11'!$C$10:$C$224,$C416,'TL11'!$J$10:$J$224),0),
IF('TL11'!$B$229=J$3,SUMIF('TL11'!$C$238:$C$451,$C416,'TL11'!$J$238:$J$451),0),
IF('TL12'!$B$3=J$3,SUMIF('TL12'!$C$10:$C$224,$C416,'TL12'!$J$10:$J$224),0),
IF('TL12'!$B$229=J$3,SUMIF('TL12'!$C$238:$C$451,$C416,'TL12'!$J$238:$J$451),0),
IF('TL13'!$B$3=J$3,SUMIF('TL13'!$C$10:$C$224,$C416,'TL13'!$J$10:$J$224),0),
IF('TL13'!$B$229=J$3,SUMIF('TL13'!$C$238:$C$451,$C416,'TL13'!$J$238:$J$451),0),
IF('TL14'!$B$3=J$3,SUMIF('TL14'!$C$10:$C$224,$C416,'TL14'!$J$10:$J$224),0),
IF('TL14'!$B$229=J$3,SUMIF('TL14'!$C$238:$C$451,$C416,'TL14'!$J$238:$J$451),0),
IF('TL15'!$B$3=J$3,SUMIF('TL15'!$C$10:$C$224,$C416,'TL15'!$J$10:$J$224),0),
IF('TL15'!$B$229=J$3,SUMIF('TL15'!$C$238:$C$451,$C416,'TL15'!$J$238:$J$451),0),
IF('TL16'!$B$3=J$3,SUMIF('TL16'!$C$10:$C$224,$C416,'TL16'!$J$10:$J$224),0),
IF('TL16'!$B$229=J$3,SUMIF('TL16'!$C$238:$C$451,$C416,'TL16'!$J$238:$J$451),0),
IF('TL17'!$B$3=J$3,SUMIF('TL17'!$C$10:$C$224,$C416,'TL17'!$J$10:$J$224),0),
IF('TL17'!$B$229=J$3,SUMIF('TL17'!$C$238:$C$451,$C416,'TL17'!$J$238:$J$451),0),
IF('TL18'!$B$3=J$3,SUMIF('TL18'!$C$10:$C$224,$C416,'TL18'!$J$10:$J$224),0),
IF('TL18'!$B$229=J$3,SUMIF('TL18'!$C$238:$C$451,$C416,'TL18'!$J$238:$J$451),0),
IF('TL19'!$B$3=J$3,SUMIF('TL19'!$C$10:$C$224,$C416,'TL19'!$J$10:$J$224),0),
IF('TL19'!$B$229=J$3,SUMIF('TL19'!$C$238:$C$451,$C416,'TL19'!$J$238:$J$451),0)
),0)</f>
        <v/>
      </c>
      <c r="K416" s="138">
        <f>IFERROR(SUM(
IF('TL01'!$B$3=K$3,SUMIF('TL01'!$C$10:$C$224,$C416,'TL01'!$J$10:$J$224),0),
IF('TL01'!$B$229=K$3,SUMIF('TL01'!$C$238:$C$451,$C416,'TL01'!$J$238:$J$451),0),
IF('TL02'!$B$3=K$3,SUMIF('TL02'!$C$10:$C$224,$C416,'TL02'!$J$10:$J$224),0),
IF('TL02'!$B$229=K$3,SUMIF('TL02'!$C$238:$C$451,$C416,'TL02'!$J$238:$J$451),0),
IF('TL03'!$B$3=K$3,SUMIF('TL03'!$C$10:$C$224,$C416,'TL03'!$J$10:$J$224),0),
IF('TL03'!$B$229=K$3,SUMIF('TL03'!$C$238:$C$451,$C416,'TL03'!$J$238:$J$451),0),
IF('TL04'!$B$3=K$3,SUMIF('TL04'!$C$10:$C$224,$C416,'TL04'!$J$10:$J$224),0),
IF('TL04'!$B$229=K$3,SUMIF('TL04'!$C$238:$C$451,$C416,'TL04'!$J$238:$J$451),0),
IF('TL05'!$B$3=K$3,SUMIF('TL05'!$C$10:$C$224,$C416,'TL05'!$J$10:$J$224),0),
IF('TL05'!$B$229=K$3,SUMIF('TL05'!$C$238:$C$451,$C416,'TL05'!$J$238:$J$451),0),
IF('TL06'!$B$3=K$3,SUMIF('TL06'!$C$10:$C$224,$C416,'TL06'!$J$10:$J$224),0),
IF('TL06'!$B$229=K$3,SUMIF('TL06'!$C$238:$C$451,$C416,'TL06'!$J$238:$J$451),0),
IF('TL07'!$B$3=K$3,SUMIF('TL07'!$C$10:$C$224,$C416,'TL07'!$J$10:$J$224),0),
IF('TL07'!$B$229=K$3,SUMIF('TL07'!$C$238:$C$451,$C416,'TL07'!$J$238:$J$451),0),
IF('TL08'!$B$3=K$3,SUMIF('TL08'!$C$10:$C$224,$C416,'TL08'!$J$10:$J$224),0),
IF('TL08'!$B$229=K$3,SUMIF('TL08'!$C$238:$C$451,$C416,'TL08'!$J$238:$J$451),0),
IF('TL09'!$B$3=K$3,SUMIF('TL09'!$C$10:$C$224,$C416,'TL09'!$J$10:$J$224),0),
IF('TL09'!$B$229=K$3,SUMIF('TL09'!$C$238:$C$451,$C416,'TL09'!$J$238:$J$451),0),
IF('TL10'!$B$3=K$3,SUMIF('TL10'!$C$10:$C$224,$C416,'TL10'!$J$10:$J$224),0),
IF('TL10'!$B$229=K$3,SUMIF('TL10'!$C$238:$C$451,$C416,'TL10'!$J$238:$J$451),0),
IF('TL11'!$B$3=K$3,SUMIF('TL11'!$C$10:$C$224,$C416,'TL11'!$J$10:$J$224),0),
IF('TL11'!$B$229=K$3,SUMIF('TL11'!$C$238:$C$451,$C416,'TL11'!$J$238:$J$451),0),
IF('TL12'!$B$3=K$3,SUMIF('TL12'!$C$10:$C$224,$C416,'TL12'!$J$10:$J$224),0),
IF('TL12'!$B$229=K$3,SUMIF('TL12'!$C$238:$C$451,$C416,'TL12'!$J$238:$J$451),0),
IF('TL13'!$B$3=K$3,SUMIF('TL13'!$C$10:$C$224,$C416,'TL13'!$J$10:$J$224),0),
IF('TL13'!$B$229=K$3,SUMIF('TL13'!$C$238:$C$451,$C416,'TL13'!$J$238:$J$451),0),
IF('TL14'!$B$3=K$3,SUMIF('TL14'!$C$10:$C$224,$C416,'TL14'!$J$10:$J$224),0),
IF('TL14'!$B$229=K$3,SUMIF('TL14'!$C$238:$C$451,$C416,'TL14'!$J$238:$J$451),0),
IF('TL15'!$B$3=K$3,SUMIF('TL15'!$C$10:$C$224,$C416,'TL15'!$J$10:$J$224),0),
IF('TL15'!$B$229=K$3,SUMIF('TL15'!$C$238:$C$451,$C416,'TL15'!$J$238:$J$451),0),
IF('TL16'!$B$3=K$3,SUMIF('TL16'!$C$10:$C$224,$C416,'TL16'!$J$10:$J$224),0),
IF('TL16'!$B$229=K$3,SUMIF('TL16'!$C$238:$C$451,$C416,'TL16'!$J$238:$J$451),0),
IF('TL17'!$B$3=K$3,SUMIF('TL17'!$C$10:$C$224,$C416,'TL17'!$J$10:$J$224),0),
IF('TL17'!$B$229=K$3,SUMIF('TL17'!$C$238:$C$451,$C416,'TL17'!$J$238:$J$451),0),
IF('TL18'!$B$3=K$3,SUMIF('TL18'!$C$10:$C$224,$C416,'TL18'!$J$10:$J$224),0),
IF('TL18'!$B$229=K$3,SUMIF('TL18'!$C$238:$C$451,$C416,'TL18'!$J$238:$J$451),0),
IF('TL19'!$B$3=K$3,SUMIF('TL19'!$C$10:$C$224,$C416,'TL19'!$J$10:$J$224),0),
IF('TL19'!$B$229=K$3,SUMIF('TL19'!$C$238:$C$451,$C416,'TL19'!$J$238:$J$451),0)
),0)</f>
        <v/>
      </c>
      <c r="L416" s="138">
        <f>IFERROR(SUM(
IF('TL01'!$B$3=L$3,SUMIF('TL01'!$C$10:$C$224,$C416,'TL01'!$J$10:$J$224),0),
IF('TL01'!$B$229=L$3,SUMIF('TL01'!$C$238:$C$451,$C416,'TL01'!$J$238:$J$451),0),
IF('TL02'!$B$3=L$3,SUMIF('TL02'!$C$10:$C$224,$C416,'TL02'!$J$10:$J$224),0),
IF('TL02'!$B$229=L$3,SUMIF('TL02'!$C$238:$C$451,$C416,'TL02'!$J$238:$J$451),0),
IF('TL03'!$B$3=L$3,SUMIF('TL03'!$C$10:$C$224,$C416,'TL03'!$J$10:$J$224),0),
IF('TL03'!$B$229=L$3,SUMIF('TL03'!$C$238:$C$451,$C416,'TL03'!$J$238:$J$451),0),
IF('TL04'!$B$3=L$3,SUMIF('TL04'!$C$10:$C$224,$C416,'TL04'!$J$10:$J$224),0),
IF('TL04'!$B$229=L$3,SUMIF('TL04'!$C$238:$C$451,$C416,'TL04'!$J$238:$J$451),0),
IF('TL05'!$B$3=L$3,SUMIF('TL05'!$C$10:$C$224,$C416,'TL05'!$J$10:$J$224),0),
IF('TL05'!$B$229=L$3,SUMIF('TL05'!$C$238:$C$451,$C416,'TL05'!$J$238:$J$451),0),
IF('TL06'!$B$3=L$3,SUMIF('TL06'!$C$10:$C$224,$C416,'TL06'!$J$10:$J$224),0),
IF('TL06'!$B$229=L$3,SUMIF('TL06'!$C$238:$C$451,$C416,'TL06'!$J$238:$J$451),0),
IF('TL07'!$B$3=L$3,SUMIF('TL07'!$C$10:$C$224,$C416,'TL07'!$J$10:$J$224),0),
IF('TL07'!$B$229=L$3,SUMIF('TL07'!$C$238:$C$451,$C416,'TL07'!$J$238:$J$451),0),
IF('TL08'!$B$3=L$3,SUMIF('TL08'!$C$10:$C$224,$C416,'TL08'!$J$10:$J$224),0),
IF('TL08'!$B$229=L$3,SUMIF('TL08'!$C$238:$C$451,$C416,'TL08'!$J$238:$J$451),0),
IF('TL09'!$B$3=L$3,SUMIF('TL09'!$C$10:$C$224,$C416,'TL09'!$J$10:$J$224),0),
IF('TL09'!$B$229=L$3,SUMIF('TL09'!$C$238:$C$451,$C416,'TL09'!$J$238:$J$451),0),
IF('TL10'!$B$3=L$3,SUMIF('TL10'!$C$10:$C$224,$C416,'TL10'!$J$10:$J$224),0),
IF('TL10'!$B$229=L$3,SUMIF('TL10'!$C$238:$C$451,$C416,'TL10'!$J$238:$J$451),0),
IF('TL11'!$B$3=L$3,SUMIF('TL11'!$C$10:$C$224,$C416,'TL11'!$J$10:$J$224),0),
IF('TL11'!$B$229=L$3,SUMIF('TL11'!$C$238:$C$451,$C416,'TL11'!$J$238:$J$451),0),
IF('TL12'!$B$3=L$3,SUMIF('TL12'!$C$10:$C$224,$C416,'TL12'!$J$10:$J$224),0),
IF('TL12'!$B$229=L$3,SUMIF('TL12'!$C$238:$C$451,$C416,'TL12'!$J$238:$J$451),0),
IF('TL13'!$B$3=L$3,SUMIF('TL13'!$C$10:$C$224,$C416,'TL13'!$J$10:$J$224),0),
IF('TL13'!$B$229=L$3,SUMIF('TL13'!$C$238:$C$451,$C416,'TL13'!$J$238:$J$451),0),
IF('TL14'!$B$3=L$3,SUMIF('TL14'!$C$10:$C$224,$C416,'TL14'!$J$10:$J$224),0),
IF('TL14'!$B$229=L$3,SUMIF('TL14'!$C$238:$C$451,$C416,'TL14'!$J$238:$J$451),0),
IF('TL15'!$B$3=L$3,SUMIF('TL15'!$C$10:$C$224,$C416,'TL15'!$J$10:$J$224),0),
IF('TL15'!$B$229=L$3,SUMIF('TL15'!$C$238:$C$451,$C416,'TL15'!$J$238:$J$451),0),
IF('TL16'!$B$3=L$3,SUMIF('TL16'!$C$10:$C$224,$C416,'TL16'!$J$10:$J$224),0),
IF('TL16'!$B$229=L$3,SUMIF('TL16'!$C$238:$C$451,$C416,'TL16'!$J$238:$J$451),0),
IF('TL17'!$B$3=L$3,SUMIF('TL17'!$C$10:$C$224,$C416,'TL17'!$J$10:$J$224),0),
IF('TL17'!$B$229=L$3,SUMIF('TL17'!$C$238:$C$451,$C416,'TL17'!$J$238:$J$451),0),
IF('TL18'!$B$3=L$3,SUMIF('TL18'!$C$10:$C$224,$C416,'TL18'!$J$10:$J$224),0),
IF('TL18'!$B$229=L$3,SUMIF('TL18'!$C$238:$C$451,$C416,'TL18'!$J$238:$J$451),0),
IF('TL19'!$B$3=L$3,SUMIF('TL19'!$C$10:$C$224,$C416,'TL19'!$J$10:$J$224),0),
IF('TL19'!$B$229=L$3,SUMIF('TL19'!$C$238:$C$451,$C416,'TL19'!$J$238:$J$451),0)
),0)</f>
        <v/>
      </c>
      <c r="M416" s="138">
        <f>IFERROR(SUM(
IF('TL01'!$B$3=M$3,SUMIF('TL01'!$C$10:$C$224,$C416,'TL01'!$J$10:$J$224),0),
IF('TL01'!$B$229=M$3,SUMIF('TL01'!$C$238:$C$451,$C416,'TL01'!$J$238:$J$451),0),
IF('TL02'!$B$3=M$3,SUMIF('TL02'!$C$10:$C$224,$C416,'TL02'!$J$10:$J$224),0),
IF('TL02'!$B$229=M$3,SUMIF('TL02'!$C$238:$C$451,$C416,'TL02'!$J$238:$J$451),0),
IF('TL03'!$B$3=M$3,SUMIF('TL03'!$C$10:$C$224,$C416,'TL03'!$J$10:$J$224),0),
IF('TL03'!$B$229=M$3,SUMIF('TL03'!$C$238:$C$451,$C416,'TL03'!$J$238:$J$451),0),
IF('TL04'!$B$3=M$3,SUMIF('TL04'!$C$10:$C$224,$C416,'TL04'!$J$10:$J$224),0),
IF('TL04'!$B$229=M$3,SUMIF('TL04'!$C$238:$C$451,$C416,'TL04'!$J$238:$J$451),0),
IF('TL05'!$B$3=M$3,SUMIF('TL05'!$C$10:$C$224,$C416,'TL05'!$J$10:$J$224),0),
IF('TL05'!$B$229=M$3,SUMIF('TL05'!$C$238:$C$451,$C416,'TL05'!$J$238:$J$451),0),
IF('TL06'!$B$3=M$3,SUMIF('TL06'!$C$10:$C$224,$C416,'TL06'!$J$10:$J$224),0),
IF('TL06'!$B$229=M$3,SUMIF('TL06'!$C$238:$C$451,$C416,'TL06'!$J$238:$J$451),0),
IF('TL07'!$B$3=M$3,SUMIF('TL07'!$C$10:$C$224,$C416,'TL07'!$J$10:$J$224),0),
IF('TL07'!$B$229=M$3,SUMIF('TL07'!$C$238:$C$451,$C416,'TL07'!$J$238:$J$451),0),
IF('TL08'!$B$3=M$3,SUMIF('TL08'!$C$10:$C$224,$C416,'TL08'!$J$10:$J$224),0),
IF('TL08'!$B$229=M$3,SUMIF('TL08'!$C$238:$C$451,$C416,'TL08'!$J$238:$J$451),0),
IF('TL09'!$B$3=M$3,SUMIF('TL09'!$C$10:$C$224,$C416,'TL09'!$J$10:$J$224),0),
IF('TL09'!$B$229=M$3,SUMIF('TL09'!$C$238:$C$451,$C416,'TL09'!$J$238:$J$451),0),
IF('TL10'!$B$3=M$3,SUMIF('TL10'!$C$10:$C$224,$C416,'TL10'!$J$10:$J$224),0),
IF('TL10'!$B$229=M$3,SUMIF('TL10'!$C$238:$C$451,$C416,'TL10'!$J$238:$J$451),0),
IF('TL11'!$B$3=M$3,SUMIF('TL11'!$C$10:$C$224,$C416,'TL11'!$J$10:$J$224),0),
IF('TL11'!$B$229=M$3,SUMIF('TL11'!$C$238:$C$451,$C416,'TL11'!$J$238:$J$451),0),
IF('TL12'!$B$3=M$3,SUMIF('TL12'!$C$10:$C$224,$C416,'TL12'!$J$10:$J$224),0),
IF('TL12'!$B$229=M$3,SUMIF('TL12'!$C$238:$C$451,$C416,'TL12'!$J$238:$J$451),0),
IF('TL13'!$B$3=M$3,SUMIF('TL13'!$C$10:$C$224,$C416,'TL13'!$J$10:$J$224),0),
IF('TL13'!$B$229=M$3,SUMIF('TL13'!$C$238:$C$451,$C416,'TL13'!$J$238:$J$451),0),
IF('TL14'!$B$3=M$3,SUMIF('TL14'!$C$10:$C$224,$C416,'TL14'!$J$10:$J$224),0),
IF('TL14'!$B$229=M$3,SUMIF('TL14'!$C$238:$C$451,$C416,'TL14'!$J$238:$J$451),0),
IF('TL15'!$B$3=M$3,SUMIF('TL15'!$C$10:$C$224,$C416,'TL15'!$J$10:$J$224),0),
IF('TL15'!$B$229=M$3,SUMIF('TL15'!$C$238:$C$451,$C416,'TL15'!$J$238:$J$451),0),
IF('TL16'!$B$3=M$3,SUMIF('TL16'!$C$10:$C$224,$C416,'TL16'!$J$10:$J$224),0),
IF('TL16'!$B$229=M$3,SUMIF('TL16'!$C$238:$C$451,$C416,'TL16'!$J$238:$J$451),0),
IF('TL17'!$B$3=M$3,SUMIF('TL17'!$C$10:$C$224,$C416,'TL17'!$J$10:$J$224),0),
IF('TL17'!$B$229=M$3,SUMIF('TL17'!$C$238:$C$451,$C416,'TL17'!$J$238:$J$451),0),
IF('TL18'!$B$3=M$3,SUMIF('TL18'!$C$10:$C$224,$C416,'TL18'!$J$10:$J$224),0),
IF('TL18'!$B$229=M$3,SUMIF('TL18'!$C$238:$C$451,$C416,'TL18'!$J$238:$J$451),0),
IF('TL19'!$B$3=M$3,SUMIF('TL19'!$C$10:$C$224,$C416,'TL19'!$J$10:$J$224),0),
IF('TL19'!$B$229=M$3,SUMIF('TL19'!$C$238:$C$451,$C416,'TL19'!$J$238:$J$451),0)
),0)</f>
        <v/>
      </c>
      <c r="N416" s="138">
        <f>IFERROR(SUM(
IF('TL01'!$B$3=N$3,SUMIF('TL01'!$C$10:$C$224,$C416,'TL01'!$J$10:$J$224),0),
IF('TL01'!$B$229=N$3,SUMIF('TL01'!$C$238:$C$451,$C416,'TL01'!$J$238:$J$451),0),
IF('TL02'!$B$3=N$3,SUMIF('TL02'!$C$10:$C$224,$C416,'TL02'!$J$10:$J$224),0),
IF('TL02'!$B$229=N$3,SUMIF('TL02'!$C$238:$C$451,$C416,'TL02'!$J$238:$J$451),0),
IF('TL03'!$B$3=N$3,SUMIF('TL03'!$C$10:$C$224,$C416,'TL03'!$J$10:$J$224),0),
IF('TL03'!$B$229=N$3,SUMIF('TL03'!$C$238:$C$451,$C416,'TL03'!$J$238:$J$451),0),
IF('TL04'!$B$3=N$3,SUMIF('TL04'!$C$10:$C$224,$C416,'TL04'!$J$10:$J$224),0),
IF('TL04'!$B$229=N$3,SUMIF('TL04'!$C$238:$C$451,$C416,'TL04'!$J$238:$J$451),0),
IF('TL05'!$B$3=N$3,SUMIF('TL05'!$C$10:$C$224,$C416,'TL05'!$J$10:$J$224),0),
IF('TL05'!$B$229=N$3,SUMIF('TL05'!$C$238:$C$451,$C416,'TL05'!$J$238:$J$451),0),
IF('TL06'!$B$3=N$3,SUMIF('TL06'!$C$10:$C$224,$C416,'TL06'!$J$10:$J$224),0),
IF('TL06'!$B$229=N$3,SUMIF('TL06'!$C$238:$C$451,$C416,'TL06'!$J$238:$J$451),0),
IF('TL07'!$B$3=N$3,SUMIF('TL07'!$C$10:$C$224,$C416,'TL07'!$J$10:$J$224),0),
IF('TL07'!$B$229=N$3,SUMIF('TL07'!$C$238:$C$451,$C416,'TL07'!$J$238:$J$451),0),
IF('TL08'!$B$3=N$3,SUMIF('TL08'!$C$10:$C$224,$C416,'TL08'!$J$10:$J$224),0),
IF('TL08'!$B$229=N$3,SUMIF('TL08'!$C$238:$C$451,$C416,'TL08'!$J$238:$J$451),0),
IF('TL09'!$B$3=N$3,SUMIF('TL09'!$C$10:$C$224,$C416,'TL09'!$J$10:$J$224),0),
IF('TL09'!$B$229=N$3,SUMIF('TL09'!$C$238:$C$451,$C416,'TL09'!$J$238:$J$451),0),
IF('TL10'!$B$3=N$3,SUMIF('TL10'!$C$10:$C$224,$C416,'TL10'!$J$10:$J$224),0),
IF('TL10'!$B$229=N$3,SUMIF('TL10'!$C$238:$C$451,$C416,'TL10'!$J$238:$J$451),0),
IF('TL11'!$B$3=N$3,SUMIF('TL11'!$C$10:$C$224,$C416,'TL11'!$J$10:$J$224),0),
IF('TL11'!$B$229=N$3,SUMIF('TL11'!$C$238:$C$451,$C416,'TL11'!$J$238:$J$451),0),
IF('TL12'!$B$3=N$3,SUMIF('TL12'!$C$10:$C$224,$C416,'TL12'!$J$10:$J$224),0),
IF('TL12'!$B$229=N$3,SUMIF('TL12'!$C$238:$C$451,$C416,'TL12'!$J$238:$J$451),0),
IF('TL13'!$B$3=N$3,SUMIF('TL13'!$C$10:$C$224,$C416,'TL13'!$J$10:$J$224),0),
IF('TL13'!$B$229=N$3,SUMIF('TL13'!$C$238:$C$451,$C416,'TL13'!$J$238:$J$451),0),
IF('TL14'!$B$3=N$3,SUMIF('TL14'!$C$10:$C$224,$C416,'TL14'!$J$10:$J$224),0),
IF('TL14'!$B$229=N$3,SUMIF('TL14'!$C$238:$C$451,$C416,'TL14'!$J$238:$J$451),0),
IF('TL15'!$B$3=N$3,SUMIF('TL15'!$C$10:$C$224,$C416,'TL15'!$J$10:$J$224),0),
IF('TL15'!$B$229=N$3,SUMIF('TL15'!$C$238:$C$451,$C416,'TL15'!$J$238:$J$451),0),
IF('TL16'!$B$3=N$3,SUMIF('TL16'!$C$10:$C$224,$C416,'TL16'!$J$10:$J$224),0),
IF('TL16'!$B$229=N$3,SUMIF('TL16'!$C$238:$C$451,$C416,'TL16'!$J$238:$J$451),0),
IF('TL17'!$B$3=N$3,SUMIF('TL17'!$C$10:$C$224,$C416,'TL17'!$J$10:$J$224),0),
IF('TL17'!$B$229=N$3,SUMIF('TL17'!$C$238:$C$451,$C416,'TL17'!$J$238:$J$451),0),
IF('TL18'!$B$3=N$3,SUMIF('TL18'!$C$10:$C$224,$C416,'TL18'!$J$10:$J$224),0),
IF('TL18'!$B$229=N$3,SUMIF('TL18'!$C$238:$C$451,$C416,'TL18'!$J$238:$J$451),0),
IF('TL19'!$B$3=N$3,SUMIF('TL19'!$C$10:$C$224,$C416,'TL19'!$J$10:$J$224),0),
IF('TL19'!$B$229=N$3,SUMIF('TL19'!$C$238:$C$451,$C416,'TL19'!$J$238:$J$451),0)
),0)</f>
        <v/>
      </c>
      <c r="O416" s="138">
        <f>IFERROR(SUM(
IF('TL01'!$B$3=O$3,SUMIF('TL01'!$C$10:$C$224,$C416,'TL01'!$J$10:$J$224),0),
IF('TL01'!$B$229=O$3,SUMIF('TL01'!$C$238:$C$451,$C416,'TL01'!$J$238:$J$451),0),
IF('TL02'!$B$3=O$3,SUMIF('TL02'!$C$10:$C$224,$C416,'TL02'!$J$10:$J$224),0),
IF('TL02'!$B$229=O$3,SUMIF('TL02'!$C$238:$C$451,$C416,'TL02'!$J$238:$J$451),0),
IF('TL03'!$B$3=O$3,SUMIF('TL03'!$C$10:$C$224,$C416,'TL03'!$J$10:$J$224),0),
IF('TL03'!$B$229=O$3,SUMIF('TL03'!$C$238:$C$451,$C416,'TL03'!$J$238:$J$451),0),
IF('TL04'!$B$3=O$3,SUMIF('TL04'!$C$10:$C$224,$C416,'TL04'!$J$10:$J$224),0),
IF('TL04'!$B$229=O$3,SUMIF('TL04'!$C$238:$C$451,$C416,'TL04'!$J$238:$J$451),0),
IF('TL05'!$B$3=O$3,SUMIF('TL05'!$C$10:$C$224,$C416,'TL05'!$J$10:$J$224),0),
IF('TL05'!$B$229=O$3,SUMIF('TL05'!$C$238:$C$451,$C416,'TL05'!$J$238:$J$451),0),
IF('TL06'!$B$3=O$3,SUMIF('TL06'!$C$10:$C$224,$C416,'TL06'!$J$10:$J$224),0),
IF('TL06'!$B$229=O$3,SUMIF('TL06'!$C$238:$C$451,$C416,'TL06'!$J$238:$J$451),0),
IF('TL07'!$B$3=O$3,SUMIF('TL07'!$C$10:$C$224,$C416,'TL07'!$J$10:$J$224),0),
IF('TL07'!$B$229=O$3,SUMIF('TL07'!$C$238:$C$451,$C416,'TL07'!$J$238:$J$451),0),
IF('TL08'!$B$3=O$3,SUMIF('TL08'!$C$10:$C$224,$C416,'TL08'!$J$10:$J$224),0),
IF('TL08'!$B$229=O$3,SUMIF('TL08'!$C$238:$C$451,$C416,'TL08'!$J$238:$J$451),0),
IF('TL09'!$B$3=O$3,SUMIF('TL09'!$C$10:$C$224,$C416,'TL09'!$J$10:$J$224),0),
IF('TL09'!$B$229=O$3,SUMIF('TL09'!$C$238:$C$451,$C416,'TL09'!$J$238:$J$451),0),
IF('TL10'!$B$3=O$3,SUMIF('TL10'!$C$10:$C$224,$C416,'TL10'!$J$10:$J$224),0),
IF('TL10'!$B$229=O$3,SUMIF('TL10'!$C$238:$C$451,$C416,'TL10'!$J$238:$J$451),0),
IF('TL11'!$B$3=O$3,SUMIF('TL11'!$C$10:$C$224,$C416,'TL11'!$J$10:$J$224),0),
IF('TL11'!$B$229=O$3,SUMIF('TL11'!$C$238:$C$451,$C416,'TL11'!$J$238:$J$451),0),
IF('TL12'!$B$3=O$3,SUMIF('TL12'!$C$10:$C$224,$C416,'TL12'!$J$10:$J$224),0),
IF('TL12'!$B$229=O$3,SUMIF('TL12'!$C$238:$C$451,$C416,'TL12'!$J$238:$J$451),0),
IF('TL13'!$B$3=O$3,SUMIF('TL13'!$C$10:$C$224,$C416,'TL13'!$J$10:$J$224),0),
IF('TL13'!$B$229=O$3,SUMIF('TL13'!$C$238:$C$451,$C416,'TL13'!$J$238:$J$451),0),
IF('TL14'!$B$3=O$3,SUMIF('TL14'!$C$10:$C$224,$C416,'TL14'!$J$10:$J$224),0),
IF('TL14'!$B$229=O$3,SUMIF('TL14'!$C$238:$C$451,$C416,'TL14'!$J$238:$J$451),0),
IF('TL15'!$B$3=O$3,SUMIF('TL15'!$C$10:$C$224,$C416,'TL15'!$J$10:$J$224),0),
IF('TL15'!$B$229=O$3,SUMIF('TL15'!$C$238:$C$451,$C416,'TL15'!$J$238:$J$451),0),
IF('TL16'!$B$3=O$3,SUMIF('TL16'!$C$10:$C$224,$C416,'TL16'!$J$10:$J$224),0),
IF('TL16'!$B$229=O$3,SUMIF('TL16'!$C$238:$C$451,$C416,'TL16'!$J$238:$J$451),0),
IF('TL17'!$B$3=O$3,SUMIF('TL17'!$C$10:$C$224,$C416,'TL17'!$J$10:$J$224),0),
IF('TL17'!$B$229=O$3,SUMIF('TL17'!$C$238:$C$451,$C416,'TL17'!$J$238:$J$451),0),
IF('TL18'!$B$3=O$3,SUMIF('TL18'!$C$10:$C$224,$C416,'TL18'!$J$10:$J$224),0),
IF('TL18'!$B$229=O$3,SUMIF('TL18'!$C$238:$C$451,$C416,'TL18'!$J$238:$J$451),0),
IF('TL19'!$B$3=O$3,SUMIF('TL19'!$C$10:$C$224,$C416,'TL19'!$J$10:$J$224),0),
IF('TL19'!$B$229=O$3,SUMIF('TL19'!$C$238:$C$451,$C416,'TL19'!$J$238:$J$451),0)
),0)</f>
        <v/>
      </c>
      <c r="P416" s="138">
        <f>IFERROR(SUM(
IF('TL01'!$B$3=P$3,SUMIF('TL01'!$C$10:$C$224,$C416,'TL01'!$J$10:$J$224),0),
IF('TL01'!$B$229=P$3,SUMIF('TL01'!$C$238:$C$451,$C416,'TL01'!$J$238:$J$451),0),
IF('TL02'!$B$3=P$3,SUMIF('TL02'!$C$10:$C$224,$C416,'TL02'!$J$10:$J$224),0),
IF('TL02'!$B$229=P$3,SUMIF('TL02'!$C$238:$C$451,$C416,'TL02'!$J$238:$J$451),0),
IF('TL03'!$B$3=P$3,SUMIF('TL03'!$C$10:$C$224,$C416,'TL03'!$J$10:$J$224),0),
IF('TL03'!$B$229=P$3,SUMIF('TL03'!$C$238:$C$451,$C416,'TL03'!$J$238:$J$451),0),
IF('TL04'!$B$3=P$3,SUMIF('TL04'!$C$10:$C$224,$C416,'TL04'!$J$10:$J$224),0),
IF('TL04'!$B$229=P$3,SUMIF('TL04'!$C$238:$C$451,$C416,'TL04'!$J$238:$J$451),0),
IF('TL05'!$B$3=P$3,SUMIF('TL05'!$C$10:$C$224,$C416,'TL05'!$J$10:$J$224),0),
IF('TL05'!$B$229=P$3,SUMIF('TL05'!$C$238:$C$451,$C416,'TL05'!$J$238:$J$451),0),
IF('TL06'!$B$3=P$3,SUMIF('TL06'!$C$10:$C$224,$C416,'TL06'!$J$10:$J$224),0),
IF('TL06'!$B$229=P$3,SUMIF('TL06'!$C$238:$C$451,$C416,'TL06'!$J$238:$J$451),0),
IF('TL07'!$B$3=P$3,SUMIF('TL07'!$C$10:$C$224,$C416,'TL07'!$J$10:$J$224),0),
IF('TL07'!$B$229=P$3,SUMIF('TL07'!$C$238:$C$451,$C416,'TL07'!$J$238:$J$451),0),
IF('TL08'!$B$3=P$3,SUMIF('TL08'!$C$10:$C$224,$C416,'TL08'!$J$10:$J$224),0),
IF('TL08'!$B$229=P$3,SUMIF('TL08'!$C$238:$C$451,$C416,'TL08'!$J$238:$J$451),0),
IF('TL09'!$B$3=P$3,SUMIF('TL09'!$C$10:$C$224,$C416,'TL09'!$J$10:$J$224),0),
IF('TL09'!$B$229=P$3,SUMIF('TL09'!$C$238:$C$451,$C416,'TL09'!$J$238:$J$451),0),
IF('TL10'!$B$3=P$3,SUMIF('TL10'!$C$10:$C$224,$C416,'TL10'!$J$10:$J$224),0),
IF('TL10'!$B$229=P$3,SUMIF('TL10'!$C$238:$C$451,$C416,'TL10'!$J$238:$J$451),0),
IF('TL11'!$B$3=P$3,SUMIF('TL11'!$C$10:$C$224,$C416,'TL11'!$J$10:$J$224),0),
IF('TL11'!$B$229=P$3,SUMIF('TL11'!$C$238:$C$451,$C416,'TL11'!$J$238:$J$451),0),
IF('TL12'!$B$3=P$3,SUMIF('TL12'!$C$10:$C$224,$C416,'TL12'!$J$10:$J$224),0),
IF('TL12'!$B$229=P$3,SUMIF('TL12'!$C$238:$C$451,$C416,'TL12'!$J$238:$J$451),0),
IF('TL13'!$B$3=P$3,SUMIF('TL13'!$C$10:$C$224,$C416,'TL13'!$J$10:$J$224),0),
IF('TL13'!$B$229=P$3,SUMIF('TL13'!$C$238:$C$451,$C416,'TL13'!$J$238:$J$451),0),
IF('TL14'!$B$3=P$3,SUMIF('TL14'!$C$10:$C$224,$C416,'TL14'!$J$10:$J$224),0),
IF('TL14'!$B$229=P$3,SUMIF('TL14'!$C$238:$C$451,$C416,'TL14'!$J$238:$J$451),0),
IF('TL15'!$B$3=P$3,SUMIF('TL15'!$C$10:$C$224,$C416,'TL15'!$J$10:$J$224),0),
IF('TL15'!$B$229=P$3,SUMIF('TL15'!$C$238:$C$451,$C416,'TL15'!$J$238:$J$451),0),
IF('TL16'!$B$3=P$3,SUMIF('TL16'!$C$10:$C$224,$C416,'TL16'!$J$10:$J$224),0),
IF('TL16'!$B$229=P$3,SUMIF('TL16'!$C$238:$C$451,$C416,'TL16'!$J$238:$J$451),0),
IF('TL17'!$B$3=P$3,SUMIF('TL17'!$C$10:$C$224,$C416,'TL17'!$J$10:$J$224),0),
IF('TL17'!$B$229=P$3,SUMIF('TL17'!$C$238:$C$451,$C416,'TL17'!$J$238:$J$451),0),
IF('TL18'!$B$3=P$3,SUMIF('TL18'!$C$10:$C$224,$C416,'TL18'!$J$10:$J$224),0),
IF('TL18'!$B$229=P$3,SUMIF('TL18'!$C$238:$C$451,$C416,'TL18'!$J$238:$J$451),0),
IF('TL19'!$B$3=P$3,SUMIF('TL19'!$C$10:$C$224,$C416,'TL19'!$J$10:$J$224),0),
IF('TL19'!$B$229=P$3,SUMIF('TL19'!$C$238:$C$451,$C416,'TL19'!$J$238:$J$451),0)
),0)</f>
        <v/>
      </c>
      <c r="Q416" s="138">
        <f>IFERROR(SUM(
IF('TL01'!$B$3=Q$3,SUMIF('TL01'!$C$10:$C$224,$C416,'TL01'!$J$10:$J$224),0),
IF('TL01'!$B$229=Q$3,SUMIF('TL01'!$C$238:$C$451,$C416,'TL01'!$J$238:$J$451),0),
IF('TL02'!$B$3=Q$3,SUMIF('TL02'!$C$10:$C$224,$C416,'TL02'!$J$10:$J$224),0),
IF('TL02'!$B$229=Q$3,SUMIF('TL02'!$C$238:$C$451,$C416,'TL02'!$J$238:$J$451),0),
IF('TL03'!$B$3=Q$3,SUMIF('TL03'!$C$10:$C$224,$C416,'TL03'!$J$10:$J$224),0),
IF('TL03'!$B$229=Q$3,SUMIF('TL03'!$C$238:$C$451,$C416,'TL03'!$J$238:$J$451),0),
IF('TL04'!$B$3=Q$3,SUMIF('TL04'!$C$10:$C$224,$C416,'TL04'!$J$10:$J$224),0),
IF('TL04'!$B$229=Q$3,SUMIF('TL04'!$C$238:$C$451,$C416,'TL04'!$J$238:$J$451),0),
IF('TL05'!$B$3=Q$3,SUMIF('TL05'!$C$10:$C$224,$C416,'TL05'!$J$10:$J$224),0),
IF('TL05'!$B$229=Q$3,SUMIF('TL05'!$C$238:$C$451,$C416,'TL05'!$J$238:$J$451),0),
IF('TL06'!$B$3=Q$3,SUMIF('TL06'!$C$10:$C$224,$C416,'TL06'!$J$10:$J$224),0),
IF('TL06'!$B$229=Q$3,SUMIF('TL06'!$C$238:$C$451,$C416,'TL06'!$J$238:$J$451),0),
IF('TL07'!$B$3=Q$3,SUMIF('TL07'!$C$10:$C$224,$C416,'TL07'!$J$10:$J$224),0),
IF('TL07'!$B$229=Q$3,SUMIF('TL07'!$C$238:$C$451,$C416,'TL07'!$J$238:$J$451),0),
IF('TL08'!$B$3=Q$3,SUMIF('TL08'!$C$10:$C$224,$C416,'TL08'!$J$10:$J$224),0),
IF('TL08'!$B$229=Q$3,SUMIF('TL08'!$C$238:$C$451,$C416,'TL08'!$J$238:$J$451),0),
IF('TL09'!$B$3=Q$3,SUMIF('TL09'!$C$10:$C$224,$C416,'TL09'!$J$10:$J$224),0),
IF('TL09'!$B$229=Q$3,SUMIF('TL09'!$C$238:$C$451,$C416,'TL09'!$J$238:$J$451),0),
IF('TL10'!$B$3=Q$3,SUMIF('TL10'!$C$10:$C$224,$C416,'TL10'!$J$10:$J$224),0),
IF('TL10'!$B$229=Q$3,SUMIF('TL10'!$C$238:$C$451,$C416,'TL10'!$J$238:$J$451),0),
IF('TL11'!$B$3=Q$3,SUMIF('TL11'!$C$10:$C$224,$C416,'TL11'!$J$10:$J$224),0),
IF('TL11'!$B$229=Q$3,SUMIF('TL11'!$C$238:$C$451,$C416,'TL11'!$J$238:$J$451),0),
IF('TL12'!$B$3=Q$3,SUMIF('TL12'!$C$10:$C$224,$C416,'TL12'!$J$10:$J$224),0),
IF('TL12'!$B$229=Q$3,SUMIF('TL12'!$C$238:$C$451,$C416,'TL12'!$J$238:$J$451),0),
IF('TL13'!$B$3=Q$3,SUMIF('TL13'!$C$10:$C$224,$C416,'TL13'!$J$10:$J$224),0),
IF('TL13'!$B$229=Q$3,SUMIF('TL13'!$C$238:$C$451,$C416,'TL13'!$J$238:$J$451),0),
IF('TL14'!$B$3=Q$3,SUMIF('TL14'!$C$10:$C$224,$C416,'TL14'!$J$10:$J$224),0),
IF('TL14'!$B$229=Q$3,SUMIF('TL14'!$C$238:$C$451,$C416,'TL14'!$J$238:$J$451),0),
IF('TL15'!$B$3=Q$3,SUMIF('TL15'!$C$10:$C$224,$C416,'TL15'!$J$10:$J$224),0),
IF('TL15'!$B$229=Q$3,SUMIF('TL15'!$C$238:$C$451,$C416,'TL15'!$J$238:$J$451),0),
IF('TL16'!$B$3=Q$3,SUMIF('TL16'!$C$10:$C$224,$C416,'TL16'!$J$10:$J$224),0),
IF('TL16'!$B$229=Q$3,SUMIF('TL16'!$C$238:$C$451,$C416,'TL16'!$J$238:$J$451),0),
IF('TL17'!$B$3=Q$3,SUMIF('TL17'!$C$10:$C$224,$C416,'TL17'!$J$10:$J$224),0),
IF('TL17'!$B$229=Q$3,SUMIF('TL17'!$C$238:$C$451,$C416,'TL17'!$J$238:$J$451),0),
IF('TL18'!$B$3=Q$3,SUMIF('TL18'!$C$10:$C$224,$C416,'TL18'!$J$10:$J$224),0),
IF('TL18'!$B$229=Q$3,SUMIF('TL18'!$C$238:$C$451,$C416,'TL18'!$J$238:$J$451),0),
IF('TL19'!$B$3=Q$3,SUMIF('TL19'!$C$10:$C$224,$C416,'TL19'!$J$10:$J$224),0),
IF('TL19'!$B$229=Q$3,SUMIF('TL19'!$C$238:$C$451,$C416,'TL19'!$J$238:$J$451),0)
),0)</f>
        <v/>
      </c>
      <c r="R416" s="139">
        <f>IFERROR(
SUM(
SUMIF('TL01'!C:C,C416,'TL01'!J:J),
SUMIF('TL02'!C:C,C416,'TL02'!I:I),
SUMIF('TL03'!C:C,C416,'TL03'!I:I),
SUMIF('TL04'!C:C,C416,'TL04'!I:I),
SUMIF('TL05'!C:C,C416,'TL05'!I:I),
SUMIF('TL06'!C:C,C416,'TL06'!I:I),
SUMIF('TL07'!C:C,C416,'TL07'!I:I),
SUMIF('TL08'!C:C,C416,'TL08'!I:I),
SUMIF('TL09'!C:C,C416,'TL09'!I:I),
SUMIF('TL10'!C:C,C416,'TL10'!I:I),
SUMIF('TL11'!C:C,C416,'TL11'!I:I),
SUMIF('TL12'!C:C,C416,'TL12'!I:I),
SUMIF('TL13'!C:C,C416,'TL13'!I:I),
SUMIF('TL14'!C:C,C416,'TL14'!I:I),
SUMIF('TL15'!C:C,C416,'TL15'!I:I),
SUMIF('TL16'!C:C,C416,'TL16'!I:I),
SUMIF('TL17'!C:C,C416,'TL17'!I:I),
SUMIF('TL18'!C:C,C416,'TL18'!I:I))
,0)</f>
        <v/>
      </c>
      <c r="S416" s="142">
        <f>'CUSTO OPERAÇÃO'!M20</f>
        <v/>
      </c>
      <c r="T416" s="139" t="n"/>
      <c r="U416" s="143">
        <f>MAX(0,R416-T416)</f>
        <v/>
      </c>
      <c r="V416" s="144">
        <f>U416*S416</f>
        <v/>
      </c>
    </row>
    <row r="417" hidden="1" ht="15.75" customHeight="1" s="297">
      <c r="A417" s="138" t="n"/>
      <c r="B417" s="155" t="n"/>
      <c r="C417" s="138" t="n"/>
      <c r="D417" s="138" t="n"/>
      <c r="E417" s="139" t="n"/>
      <c r="F417" s="138" t="inlineStr">
        <is>
          <t>R$/Ha</t>
        </is>
      </c>
      <c r="G417" s="139" t="n"/>
      <c r="H417" s="140">
        <f>'CUSTO OPERAÇÃO'!J21</f>
        <v/>
      </c>
      <c r="I417" s="156" t="n"/>
      <c r="J417" s="138">
        <f>IFERROR(SUM(
IF('TL01'!$B$3=J$3,SUMIF('TL01'!$C$10:$C$224,$C417,'TL01'!$J$10:$J$224),0),
IF('TL01'!$B$229=J$3,SUMIF('TL01'!$C$238:$C$451,$C417,'TL01'!$J$238:$J$451),0),
IF('TL02'!$B$3=J$3,SUMIF('TL02'!$C$10:$C$224,$C417,'TL02'!$J$10:$J$224),0),
IF('TL02'!$B$229=J$3,SUMIF('TL02'!$C$238:$C$451,$C417,'TL02'!$J$238:$J$451),0),
IF('TL03'!$B$3=J$3,SUMIF('TL03'!$C$10:$C$224,$C417,'TL03'!$J$10:$J$224),0),
IF('TL03'!$B$229=J$3,SUMIF('TL03'!$C$238:$C$451,$C417,'TL03'!$J$238:$J$451),0),
IF('TL04'!$B$3=J$3,SUMIF('TL04'!$C$10:$C$224,$C417,'TL04'!$J$10:$J$224),0),
IF('TL04'!$B$229=J$3,SUMIF('TL04'!$C$238:$C$451,$C417,'TL04'!$J$238:$J$451),0),
IF('TL05'!$B$3=J$3,SUMIF('TL05'!$C$10:$C$224,$C417,'TL05'!$J$10:$J$224),0),
IF('TL05'!$B$229=J$3,SUMIF('TL05'!$C$238:$C$451,$C417,'TL05'!$J$238:$J$451),0),
IF('TL06'!$B$3=J$3,SUMIF('TL06'!$C$10:$C$224,$C417,'TL06'!$J$10:$J$224),0),
IF('TL06'!$B$229=J$3,SUMIF('TL06'!$C$238:$C$451,$C417,'TL06'!$J$238:$J$451),0),
IF('TL07'!$B$3=J$3,SUMIF('TL07'!$C$10:$C$224,$C417,'TL07'!$J$10:$J$224),0),
IF('TL07'!$B$229=J$3,SUMIF('TL07'!$C$238:$C$451,$C417,'TL07'!$J$238:$J$451),0),
IF('TL08'!$B$3=J$3,SUMIF('TL08'!$C$10:$C$224,$C417,'TL08'!$J$10:$J$224),0),
IF('TL08'!$B$229=J$3,SUMIF('TL08'!$C$238:$C$451,$C417,'TL08'!$J$238:$J$451),0),
IF('TL09'!$B$3=J$3,SUMIF('TL09'!$C$10:$C$224,$C417,'TL09'!$J$10:$J$224),0),
IF('TL09'!$B$229=J$3,SUMIF('TL09'!$C$238:$C$451,$C417,'TL09'!$J$238:$J$451),0),
IF('TL10'!$B$3=J$3,SUMIF('TL10'!$C$10:$C$224,$C417,'TL10'!$J$10:$J$224),0),
IF('TL10'!$B$229=J$3,SUMIF('TL10'!$C$238:$C$451,$C417,'TL10'!$J$238:$J$451),0),
IF('TL11'!$B$3=J$3,SUMIF('TL11'!$C$10:$C$224,$C417,'TL11'!$J$10:$J$224),0),
IF('TL11'!$B$229=J$3,SUMIF('TL11'!$C$238:$C$451,$C417,'TL11'!$J$238:$J$451),0),
IF('TL12'!$B$3=J$3,SUMIF('TL12'!$C$10:$C$224,$C417,'TL12'!$J$10:$J$224),0),
IF('TL12'!$B$229=J$3,SUMIF('TL12'!$C$238:$C$451,$C417,'TL12'!$J$238:$J$451),0),
IF('TL13'!$B$3=J$3,SUMIF('TL13'!$C$10:$C$224,$C417,'TL13'!$J$10:$J$224),0),
IF('TL13'!$B$229=J$3,SUMIF('TL13'!$C$238:$C$451,$C417,'TL13'!$J$238:$J$451),0),
IF('TL14'!$B$3=J$3,SUMIF('TL14'!$C$10:$C$224,$C417,'TL14'!$J$10:$J$224),0),
IF('TL14'!$B$229=J$3,SUMIF('TL14'!$C$238:$C$451,$C417,'TL14'!$J$238:$J$451),0),
IF('TL15'!$B$3=J$3,SUMIF('TL15'!$C$10:$C$224,$C417,'TL15'!$J$10:$J$224),0),
IF('TL15'!$B$229=J$3,SUMIF('TL15'!$C$238:$C$451,$C417,'TL15'!$J$238:$J$451),0),
IF('TL16'!$B$3=J$3,SUMIF('TL16'!$C$10:$C$224,$C417,'TL16'!$J$10:$J$224),0),
IF('TL16'!$B$229=J$3,SUMIF('TL16'!$C$238:$C$451,$C417,'TL16'!$J$238:$J$451),0),
IF('TL17'!$B$3=J$3,SUMIF('TL17'!$C$10:$C$224,$C417,'TL17'!$J$10:$J$224),0),
IF('TL17'!$B$229=J$3,SUMIF('TL17'!$C$238:$C$451,$C417,'TL17'!$J$238:$J$451),0),
IF('TL18'!$B$3=J$3,SUMIF('TL18'!$C$10:$C$224,$C417,'TL18'!$J$10:$J$224),0),
IF('TL18'!$B$229=J$3,SUMIF('TL18'!$C$238:$C$451,$C417,'TL18'!$J$238:$J$451),0),
IF('TL19'!$B$3=J$3,SUMIF('TL19'!$C$10:$C$224,$C417,'TL19'!$J$10:$J$224),0),
IF('TL19'!$B$229=J$3,SUMIF('TL19'!$C$238:$C$451,$C417,'TL19'!$J$238:$J$451),0)
),0)</f>
        <v/>
      </c>
      <c r="K417" s="138">
        <f>IFERROR(SUM(
IF('TL01'!$B$3=K$3,SUMIF('TL01'!$C$10:$C$224,$C417,'TL01'!$J$10:$J$224),0),
IF('TL01'!$B$229=K$3,SUMIF('TL01'!$C$238:$C$451,$C417,'TL01'!$J$238:$J$451),0),
IF('TL02'!$B$3=K$3,SUMIF('TL02'!$C$10:$C$224,$C417,'TL02'!$J$10:$J$224),0),
IF('TL02'!$B$229=K$3,SUMIF('TL02'!$C$238:$C$451,$C417,'TL02'!$J$238:$J$451),0),
IF('TL03'!$B$3=K$3,SUMIF('TL03'!$C$10:$C$224,$C417,'TL03'!$J$10:$J$224),0),
IF('TL03'!$B$229=K$3,SUMIF('TL03'!$C$238:$C$451,$C417,'TL03'!$J$238:$J$451),0),
IF('TL04'!$B$3=K$3,SUMIF('TL04'!$C$10:$C$224,$C417,'TL04'!$J$10:$J$224),0),
IF('TL04'!$B$229=K$3,SUMIF('TL04'!$C$238:$C$451,$C417,'TL04'!$J$238:$J$451),0),
IF('TL05'!$B$3=K$3,SUMIF('TL05'!$C$10:$C$224,$C417,'TL05'!$J$10:$J$224),0),
IF('TL05'!$B$229=K$3,SUMIF('TL05'!$C$238:$C$451,$C417,'TL05'!$J$238:$J$451),0),
IF('TL06'!$B$3=K$3,SUMIF('TL06'!$C$10:$C$224,$C417,'TL06'!$J$10:$J$224),0),
IF('TL06'!$B$229=K$3,SUMIF('TL06'!$C$238:$C$451,$C417,'TL06'!$J$238:$J$451),0),
IF('TL07'!$B$3=K$3,SUMIF('TL07'!$C$10:$C$224,$C417,'TL07'!$J$10:$J$224),0),
IF('TL07'!$B$229=K$3,SUMIF('TL07'!$C$238:$C$451,$C417,'TL07'!$J$238:$J$451),0),
IF('TL08'!$B$3=K$3,SUMIF('TL08'!$C$10:$C$224,$C417,'TL08'!$J$10:$J$224),0),
IF('TL08'!$B$229=K$3,SUMIF('TL08'!$C$238:$C$451,$C417,'TL08'!$J$238:$J$451),0),
IF('TL09'!$B$3=K$3,SUMIF('TL09'!$C$10:$C$224,$C417,'TL09'!$J$10:$J$224),0),
IF('TL09'!$B$229=K$3,SUMIF('TL09'!$C$238:$C$451,$C417,'TL09'!$J$238:$J$451),0),
IF('TL10'!$B$3=K$3,SUMIF('TL10'!$C$10:$C$224,$C417,'TL10'!$J$10:$J$224),0),
IF('TL10'!$B$229=K$3,SUMIF('TL10'!$C$238:$C$451,$C417,'TL10'!$J$238:$J$451),0),
IF('TL11'!$B$3=K$3,SUMIF('TL11'!$C$10:$C$224,$C417,'TL11'!$J$10:$J$224),0),
IF('TL11'!$B$229=K$3,SUMIF('TL11'!$C$238:$C$451,$C417,'TL11'!$J$238:$J$451),0),
IF('TL12'!$B$3=K$3,SUMIF('TL12'!$C$10:$C$224,$C417,'TL12'!$J$10:$J$224),0),
IF('TL12'!$B$229=K$3,SUMIF('TL12'!$C$238:$C$451,$C417,'TL12'!$J$238:$J$451),0),
IF('TL13'!$B$3=K$3,SUMIF('TL13'!$C$10:$C$224,$C417,'TL13'!$J$10:$J$224),0),
IF('TL13'!$B$229=K$3,SUMIF('TL13'!$C$238:$C$451,$C417,'TL13'!$J$238:$J$451),0),
IF('TL14'!$B$3=K$3,SUMIF('TL14'!$C$10:$C$224,$C417,'TL14'!$J$10:$J$224),0),
IF('TL14'!$B$229=K$3,SUMIF('TL14'!$C$238:$C$451,$C417,'TL14'!$J$238:$J$451),0),
IF('TL15'!$B$3=K$3,SUMIF('TL15'!$C$10:$C$224,$C417,'TL15'!$J$10:$J$224),0),
IF('TL15'!$B$229=K$3,SUMIF('TL15'!$C$238:$C$451,$C417,'TL15'!$J$238:$J$451),0),
IF('TL16'!$B$3=K$3,SUMIF('TL16'!$C$10:$C$224,$C417,'TL16'!$J$10:$J$224),0),
IF('TL16'!$B$229=K$3,SUMIF('TL16'!$C$238:$C$451,$C417,'TL16'!$J$238:$J$451),0),
IF('TL17'!$B$3=K$3,SUMIF('TL17'!$C$10:$C$224,$C417,'TL17'!$J$10:$J$224),0),
IF('TL17'!$B$229=K$3,SUMIF('TL17'!$C$238:$C$451,$C417,'TL17'!$J$238:$J$451),0),
IF('TL18'!$B$3=K$3,SUMIF('TL18'!$C$10:$C$224,$C417,'TL18'!$J$10:$J$224),0),
IF('TL18'!$B$229=K$3,SUMIF('TL18'!$C$238:$C$451,$C417,'TL18'!$J$238:$J$451),0),
IF('TL19'!$B$3=K$3,SUMIF('TL19'!$C$10:$C$224,$C417,'TL19'!$J$10:$J$224),0),
IF('TL19'!$B$229=K$3,SUMIF('TL19'!$C$238:$C$451,$C417,'TL19'!$J$238:$J$451),0)
),0)</f>
        <v/>
      </c>
      <c r="L417" s="138">
        <f>IFERROR(SUM(
IF('TL01'!$B$3=L$3,SUMIF('TL01'!$C$10:$C$224,$C417,'TL01'!$J$10:$J$224),0),
IF('TL01'!$B$229=L$3,SUMIF('TL01'!$C$238:$C$451,$C417,'TL01'!$J$238:$J$451),0),
IF('TL02'!$B$3=L$3,SUMIF('TL02'!$C$10:$C$224,$C417,'TL02'!$J$10:$J$224),0),
IF('TL02'!$B$229=L$3,SUMIF('TL02'!$C$238:$C$451,$C417,'TL02'!$J$238:$J$451),0),
IF('TL03'!$B$3=L$3,SUMIF('TL03'!$C$10:$C$224,$C417,'TL03'!$J$10:$J$224),0),
IF('TL03'!$B$229=L$3,SUMIF('TL03'!$C$238:$C$451,$C417,'TL03'!$J$238:$J$451),0),
IF('TL04'!$B$3=L$3,SUMIF('TL04'!$C$10:$C$224,$C417,'TL04'!$J$10:$J$224),0),
IF('TL04'!$B$229=L$3,SUMIF('TL04'!$C$238:$C$451,$C417,'TL04'!$J$238:$J$451),0),
IF('TL05'!$B$3=L$3,SUMIF('TL05'!$C$10:$C$224,$C417,'TL05'!$J$10:$J$224),0),
IF('TL05'!$B$229=L$3,SUMIF('TL05'!$C$238:$C$451,$C417,'TL05'!$J$238:$J$451),0),
IF('TL06'!$B$3=L$3,SUMIF('TL06'!$C$10:$C$224,$C417,'TL06'!$J$10:$J$224),0),
IF('TL06'!$B$229=L$3,SUMIF('TL06'!$C$238:$C$451,$C417,'TL06'!$J$238:$J$451),0),
IF('TL07'!$B$3=L$3,SUMIF('TL07'!$C$10:$C$224,$C417,'TL07'!$J$10:$J$224),0),
IF('TL07'!$B$229=L$3,SUMIF('TL07'!$C$238:$C$451,$C417,'TL07'!$J$238:$J$451),0),
IF('TL08'!$B$3=L$3,SUMIF('TL08'!$C$10:$C$224,$C417,'TL08'!$J$10:$J$224),0),
IF('TL08'!$B$229=L$3,SUMIF('TL08'!$C$238:$C$451,$C417,'TL08'!$J$238:$J$451),0),
IF('TL09'!$B$3=L$3,SUMIF('TL09'!$C$10:$C$224,$C417,'TL09'!$J$10:$J$224),0),
IF('TL09'!$B$229=L$3,SUMIF('TL09'!$C$238:$C$451,$C417,'TL09'!$J$238:$J$451),0),
IF('TL10'!$B$3=L$3,SUMIF('TL10'!$C$10:$C$224,$C417,'TL10'!$J$10:$J$224),0),
IF('TL10'!$B$229=L$3,SUMIF('TL10'!$C$238:$C$451,$C417,'TL10'!$J$238:$J$451),0),
IF('TL11'!$B$3=L$3,SUMIF('TL11'!$C$10:$C$224,$C417,'TL11'!$J$10:$J$224),0),
IF('TL11'!$B$229=L$3,SUMIF('TL11'!$C$238:$C$451,$C417,'TL11'!$J$238:$J$451),0),
IF('TL12'!$B$3=L$3,SUMIF('TL12'!$C$10:$C$224,$C417,'TL12'!$J$10:$J$224),0),
IF('TL12'!$B$229=L$3,SUMIF('TL12'!$C$238:$C$451,$C417,'TL12'!$J$238:$J$451),0),
IF('TL13'!$B$3=L$3,SUMIF('TL13'!$C$10:$C$224,$C417,'TL13'!$J$10:$J$224),0),
IF('TL13'!$B$229=L$3,SUMIF('TL13'!$C$238:$C$451,$C417,'TL13'!$J$238:$J$451),0),
IF('TL14'!$B$3=L$3,SUMIF('TL14'!$C$10:$C$224,$C417,'TL14'!$J$10:$J$224),0),
IF('TL14'!$B$229=L$3,SUMIF('TL14'!$C$238:$C$451,$C417,'TL14'!$J$238:$J$451),0),
IF('TL15'!$B$3=L$3,SUMIF('TL15'!$C$10:$C$224,$C417,'TL15'!$J$10:$J$224),0),
IF('TL15'!$B$229=L$3,SUMIF('TL15'!$C$238:$C$451,$C417,'TL15'!$J$238:$J$451),0),
IF('TL16'!$B$3=L$3,SUMIF('TL16'!$C$10:$C$224,$C417,'TL16'!$J$10:$J$224),0),
IF('TL16'!$B$229=L$3,SUMIF('TL16'!$C$238:$C$451,$C417,'TL16'!$J$238:$J$451),0),
IF('TL17'!$B$3=L$3,SUMIF('TL17'!$C$10:$C$224,$C417,'TL17'!$J$10:$J$224),0),
IF('TL17'!$B$229=L$3,SUMIF('TL17'!$C$238:$C$451,$C417,'TL17'!$J$238:$J$451),0),
IF('TL18'!$B$3=L$3,SUMIF('TL18'!$C$10:$C$224,$C417,'TL18'!$J$10:$J$224),0),
IF('TL18'!$B$229=L$3,SUMIF('TL18'!$C$238:$C$451,$C417,'TL18'!$J$238:$J$451),0),
IF('TL19'!$B$3=L$3,SUMIF('TL19'!$C$10:$C$224,$C417,'TL19'!$J$10:$J$224),0),
IF('TL19'!$B$229=L$3,SUMIF('TL19'!$C$238:$C$451,$C417,'TL19'!$J$238:$J$451),0)
),0)</f>
        <v/>
      </c>
      <c r="M417" s="138">
        <f>IFERROR(SUM(
IF('TL01'!$B$3=M$3,SUMIF('TL01'!$C$10:$C$224,$C417,'TL01'!$J$10:$J$224),0),
IF('TL01'!$B$229=M$3,SUMIF('TL01'!$C$238:$C$451,$C417,'TL01'!$J$238:$J$451),0),
IF('TL02'!$B$3=M$3,SUMIF('TL02'!$C$10:$C$224,$C417,'TL02'!$J$10:$J$224),0),
IF('TL02'!$B$229=M$3,SUMIF('TL02'!$C$238:$C$451,$C417,'TL02'!$J$238:$J$451),0),
IF('TL03'!$B$3=M$3,SUMIF('TL03'!$C$10:$C$224,$C417,'TL03'!$J$10:$J$224),0),
IF('TL03'!$B$229=M$3,SUMIF('TL03'!$C$238:$C$451,$C417,'TL03'!$J$238:$J$451),0),
IF('TL04'!$B$3=M$3,SUMIF('TL04'!$C$10:$C$224,$C417,'TL04'!$J$10:$J$224),0),
IF('TL04'!$B$229=M$3,SUMIF('TL04'!$C$238:$C$451,$C417,'TL04'!$J$238:$J$451),0),
IF('TL05'!$B$3=M$3,SUMIF('TL05'!$C$10:$C$224,$C417,'TL05'!$J$10:$J$224),0),
IF('TL05'!$B$229=M$3,SUMIF('TL05'!$C$238:$C$451,$C417,'TL05'!$J$238:$J$451),0),
IF('TL06'!$B$3=M$3,SUMIF('TL06'!$C$10:$C$224,$C417,'TL06'!$J$10:$J$224),0),
IF('TL06'!$B$229=M$3,SUMIF('TL06'!$C$238:$C$451,$C417,'TL06'!$J$238:$J$451),0),
IF('TL07'!$B$3=M$3,SUMIF('TL07'!$C$10:$C$224,$C417,'TL07'!$J$10:$J$224),0),
IF('TL07'!$B$229=M$3,SUMIF('TL07'!$C$238:$C$451,$C417,'TL07'!$J$238:$J$451),0),
IF('TL08'!$B$3=M$3,SUMIF('TL08'!$C$10:$C$224,$C417,'TL08'!$J$10:$J$224),0),
IF('TL08'!$B$229=M$3,SUMIF('TL08'!$C$238:$C$451,$C417,'TL08'!$J$238:$J$451),0),
IF('TL09'!$B$3=M$3,SUMIF('TL09'!$C$10:$C$224,$C417,'TL09'!$J$10:$J$224),0),
IF('TL09'!$B$229=M$3,SUMIF('TL09'!$C$238:$C$451,$C417,'TL09'!$J$238:$J$451),0),
IF('TL10'!$B$3=M$3,SUMIF('TL10'!$C$10:$C$224,$C417,'TL10'!$J$10:$J$224),0),
IF('TL10'!$B$229=M$3,SUMIF('TL10'!$C$238:$C$451,$C417,'TL10'!$J$238:$J$451),0),
IF('TL11'!$B$3=M$3,SUMIF('TL11'!$C$10:$C$224,$C417,'TL11'!$J$10:$J$224),0),
IF('TL11'!$B$229=M$3,SUMIF('TL11'!$C$238:$C$451,$C417,'TL11'!$J$238:$J$451),0),
IF('TL12'!$B$3=M$3,SUMIF('TL12'!$C$10:$C$224,$C417,'TL12'!$J$10:$J$224),0),
IF('TL12'!$B$229=M$3,SUMIF('TL12'!$C$238:$C$451,$C417,'TL12'!$J$238:$J$451),0),
IF('TL13'!$B$3=M$3,SUMIF('TL13'!$C$10:$C$224,$C417,'TL13'!$J$10:$J$224),0),
IF('TL13'!$B$229=M$3,SUMIF('TL13'!$C$238:$C$451,$C417,'TL13'!$J$238:$J$451),0),
IF('TL14'!$B$3=M$3,SUMIF('TL14'!$C$10:$C$224,$C417,'TL14'!$J$10:$J$224),0),
IF('TL14'!$B$229=M$3,SUMIF('TL14'!$C$238:$C$451,$C417,'TL14'!$J$238:$J$451),0),
IF('TL15'!$B$3=M$3,SUMIF('TL15'!$C$10:$C$224,$C417,'TL15'!$J$10:$J$224),0),
IF('TL15'!$B$229=M$3,SUMIF('TL15'!$C$238:$C$451,$C417,'TL15'!$J$238:$J$451),0),
IF('TL16'!$B$3=M$3,SUMIF('TL16'!$C$10:$C$224,$C417,'TL16'!$J$10:$J$224),0),
IF('TL16'!$B$229=M$3,SUMIF('TL16'!$C$238:$C$451,$C417,'TL16'!$J$238:$J$451),0),
IF('TL17'!$B$3=M$3,SUMIF('TL17'!$C$10:$C$224,$C417,'TL17'!$J$10:$J$224),0),
IF('TL17'!$B$229=M$3,SUMIF('TL17'!$C$238:$C$451,$C417,'TL17'!$J$238:$J$451),0),
IF('TL18'!$B$3=M$3,SUMIF('TL18'!$C$10:$C$224,$C417,'TL18'!$J$10:$J$224),0),
IF('TL18'!$B$229=M$3,SUMIF('TL18'!$C$238:$C$451,$C417,'TL18'!$J$238:$J$451),0),
IF('TL19'!$B$3=M$3,SUMIF('TL19'!$C$10:$C$224,$C417,'TL19'!$J$10:$J$224),0),
IF('TL19'!$B$229=M$3,SUMIF('TL19'!$C$238:$C$451,$C417,'TL19'!$J$238:$J$451),0)
),0)</f>
        <v/>
      </c>
      <c r="N417" s="138">
        <f>IFERROR(SUM(
IF('TL01'!$B$3=N$3,SUMIF('TL01'!$C$10:$C$224,$C417,'TL01'!$J$10:$J$224),0),
IF('TL01'!$B$229=N$3,SUMIF('TL01'!$C$238:$C$451,$C417,'TL01'!$J$238:$J$451),0),
IF('TL02'!$B$3=N$3,SUMIF('TL02'!$C$10:$C$224,$C417,'TL02'!$J$10:$J$224),0),
IF('TL02'!$B$229=N$3,SUMIF('TL02'!$C$238:$C$451,$C417,'TL02'!$J$238:$J$451),0),
IF('TL03'!$B$3=N$3,SUMIF('TL03'!$C$10:$C$224,$C417,'TL03'!$J$10:$J$224),0),
IF('TL03'!$B$229=N$3,SUMIF('TL03'!$C$238:$C$451,$C417,'TL03'!$J$238:$J$451),0),
IF('TL04'!$B$3=N$3,SUMIF('TL04'!$C$10:$C$224,$C417,'TL04'!$J$10:$J$224),0),
IF('TL04'!$B$229=N$3,SUMIF('TL04'!$C$238:$C$451,$C417,'TL04'!$J$238:$J$451),0),
IF('TL05'!$B$3=N$3,SUMIF('TL05'!$C$10:$C$224,$C417,'TL05'!$J$10:$J$224),0),
IF('TL05'!$B$229=N$3,SUMIF('TL05'!$C$238:$C$451,$C417,'TL05'!$J$238:$J$451),0),
IF('TL06'!$B$3=N$3,SUMIF('TL06'!$C$10:$C$224,$C417,'TL06'!$J$10:$J$224),0),
IF('TL06'!$B$229=N$3,SUMIF('TL06'!$C$238:$C$451,$C417,'TL06'!$J$238:$J$451),0),
IF('TL07'!$B$3=N$3,SUMIF('TL07'!$C$10:$C$224,$C417,'TL07'!$J$10:$J$224),0),
IF('TL07'!$B$229=N$3,SUMIF('TL07'!$C$238:$C$451,$C417,'TL07'!$J$238:$J$451),0),
IF('TL08'!$B$3=N$3,SUMIF('TL08'!$C$10:$C$224,$C417,'TL08'!$J$10:$J$224),0),
IF('TL08'!$B$229=N$3,SUMIF('TL08'!$C$238:$C$451,$C417,'TL08'!$J$238:$J$451),0),
IF('TL09'!$B$3=N$3,SUMIF('TL09'!$C$10:$C$224,$C417,'TL09'!$J$10:$J$224),0),
IF('TL09'!$B$229=N$3,SUMIF('TL09'!$C$238:$C$451,$C417,'TL09'!$J$238:$J$451),0),
IF('TL10'!$B$3=N$3,SUMIF('TL10'!$C$10:$C$224,$C417,'TL10'!$J$10:$J$224),0),
IF('TL10'!$B$229=N$3,SUMIF('TL10'!$C$238:$C$451,$C417,'TL10'!$J$238:$J$451),0),
IF('TL11'!$B$3=N$3,SUMIF('TL11'!$C$10:$C$224,$C417,'TL11'!$J$10:$J$224),0),
IF('TL11'!$B$229=N$3,SUMIF('TL11'!$C$238:$C$451,$C417,'TL11'!$J$238:$J$451),0),
IF('TL12'!$B$3=N$3,SUMIF('TL12'!$C$10:$C$224,$C417,'TL12'!$J$10:$J$224),0),
IF('TL12'!$B$229=N$3,SUMIF('TL12'!$C$238:$C$451,$C417,'TL12'!$J$238:$J$451),0),
IF('TL13'!$B$3=N$3,SUMIF('TL13'!$C$10:$C$224,$C417,'TL13'!$J$10:$J$224),0),
IF('TL13'!$B$229=N$3,SUMIF('TL13'!$C$238:$C$451,$C417,'TL13'!$J$238:$J$451),0),
IF('TL14'!$B$3=N$3,SUMIF('TL14'!$C$10:$C$224,$C417,'TL14'!$J$10:$J$224),0),
IF('TL14'!$B$229=N$3,SUMIF('TL14'!$C$238:$C$451,$C417,'TL14'!$J$238:$J$451),0),
IF('TL15'!$B$3=N$3,SUMIF('TL15'!$C$10:$C$224,$C417,'TL15'!$J$10:$J$224),0),
IF('TL15'!$B$229=N$3,SUMIF('TL15'!$C$238:$C$451,$C417,'TL15'!$J$238:$J$451),0),
IF('TL16'!$B$3=N$3,SUMIF('TL16'!$C$10:$C$224,$C417,'TL16'!$J$10:$J$224),0),
IF('TL16'!$B$229=N$3,SUMIF('TL16'!$C$238:$C$451,$C417,'TL16'!$J$238:$J$451),0),
IF('TL17'!$B$3=N$3,SUMIF('TL17'!$C$10:$C$224,$C417,'TL17'!$J$10:$J$224),0),
IF('TL17'!$B$229=N$3,SUMIF('TL17'!$C$238:$C$451,$C417,'TL17'!$J$238:$J$451),0),
IF('TL18'!$B$3=N$3,SUMIF('TL18'!$C$10:$C$224,$C417,'TL18'!$J$10:$J$224),0),
IF('TL18'!$B$229=N$3,SUMIF('TL18'!$C$238:$C$451,$C417,'TL18'!$J$238:$J$451),0),
IF('TL19'!$B$3=N$3,SUMIF('TL19'!$C$10:$C$224,$C417,'TL19'!$J$10:$J$224),0),
IF('TL19'!$B$229=N$3,SUMIF('TL19'!$C$238:$C$451,$C417,'TL19'!$J$238:$J$451),0)
),0)</f>
        <v/>
      </c>
      <c r="O417" s="138">
        <f>IFERROR(SUM(
IF('TL01'!$B$3=O$3,SUMIF('TL01'!$C$10:$C$224,$C417,'TL01'!$J$10:$J$224),0),
IF('TL01'!$B$229=O$3,SUMIF('TL01'!$C$238:$C$451,$C417,'TL01'!$J$238:$J$451),0),
IF('TL02'!$B$3=O$3,SUMIF('TL02'!$C$10:$C$224,$C417,'TL02'!$J$10:$J$224),0),
IF('TL02'!$B$229=O$3,SUMIF('TL02'!$C$238:$C$451,$C417,'TL02'!$J$238:$J$451),0),
IF('TL03'!$B$3=O$3,SUMIF('TL03'!$C$10:$C$224,$C417,'TL03'!$J$10:$J$224),0),
IF('TL03'!$B$229=O$3,SUMIF('TL03'!$C$238:$C$451,$C417,'TL03'!$J$238:$J$451),0),
IF('TL04'!$B$3=O$3,SUMIF('TL04'!$C$10:$C$224,$C417,'TL04'!$J$10:$J$224),0),
IF('TL04'!$B$229=O$3,SUMIF('TL04'!$C$238:$C$451,$C417,'TL04'!$J$238:$J$451),0),
IF('TL05'!$B$3=O$3,SUMIF('TL05'!$C$10:$C$224,$C417,'TL05'!$J$10:$J$224),0),
IF('TL05'!$B$229=O$3,SUMIF('TL05'!$C$238:$C$451,$C417,'TL05'!$J$238:$J$451),0),
IF('TL06'!$B$3=O$3,SUMIF('TL06'!$C$10:$C$224,$C417,'TL06'!$J$10:$J$224),0),
IF('TL06'!$B$229=O$3,SUMIF('TL06'!$C$238:$C$451,$C417,'TL06'!$J$238:$J$451),0),
IF('TL07'!$B$3=O$3,SUMIF('TL07'!$C$10:$C$224,$C417,'TL07'!$J$10:$J$224),0),
IF('TL07'!$B$229=O$3,SUMIF('TL07'!$C$238:$C$451,$C417,'TL07'!$J$238:$J$451),0),
IF('TL08'!$B$3=O$3,SUMIF('TL08'!$C$10:$C$224,$C417,'TL08'!$J$10:$J$224),0),
IF('TL08'!$B$229=O$3,SUMIF('TL08'!$C$238:$C$451,$C417,'TL08'!$J$238:$J$451),0),
IF('TL09'!$B$3=O$3,SUMIF('TL09'!$C$10:$C$224,$C417,'TL09'!$J$10:$J$224),0),
IF('TL09'!$B$229=O$3,SUMIF('TL09'!$C$238:$C$451,$C417,'TL09'!$J$238:$J$451),0),
IF('TL10'!$B$3=O$3,SUMIF('TL10'!$C$10:$C$224,$C417,'TL10'!$J$10:$J$224),0),
IF('TL10'!$B$229=O$3,SUMIF('TL10'!$C$238:$C$451,$C417,'TL10'!$J$238:$J$451),0),
IF('TL11'!$B$3=O$3,SUMIF('TL11'!$C$10:$C$224,$C417,'TL11'!$J$10:$J$224),0),
IF('TL11'!$B$229=O$3,SUMIF('TL11'!$C$238:$C$451,$C417,'TL11'!$J$238:$J$451),0),
IF('TL12'!$B$3=O$3,SUMIF('TL12'!$C$10:$C$224,$C417,'TL12'!$J$10:$J$224),0),
IF('TL12'!$B$229=O$3,SUMIF('TL12'!$C$238:$C$451,$C417,'TL12'!$J$238:$J$451),0),
IF('TL13'!$B$3=O$3,SUMIF('TL13'!$C$10:$C$224,$C417,'TL13'!$J$10:$J$224),0),
IF('TL13'!$B$229=O$3,SUMIF('TL13'!$C$238:$C$451,$C417,'TL13'!$J$238:$J$451),0),
IF('TL14'!$B$3=O$3,SUMIF('TL14'!$C$10:$C$224,$C417,'TL14'!$J$10:$J$224),0),
IF('TL14'!$B$229=O$3,SUMIF('TL14'!$C$238:$C$451,$C417,'TL14'!$J$238:$J$451),0),
IF('TL15'!$B$3=O$3,SUMIF('TL15'!$C$10:$C$224,$C417,'TL15'!$J$10:$J$224),0),
IF('TL15'!$B$229=O$3,SUMIF('TL15'!$C$238:$C$451,$C417,'TL15'!$J$238:$J$451),0),
IF('TL16'!$B$3=O$3,SUMIF('TL16'!$C$10:$C$224,$C417,'TL16'!$J$10:$J$224),0),
IF('TL16'!$B$229=O$3,SUMIF('TL16'!$C$238:$C$451,$C417,'TL16'!$J$238:$J$451),0),
IF('TL17'!$B$3=O$3,SUMIF('TL17'!$C$10:$C$224,$C417,'TL17'!$J$10:$J$224),0),
IF('TL17'!$B$229=O$3,SUMIF('TL17'!$C$238:$C$451,$C417,'TL17'!$J$238:$J$451),0),
IF('TL18'!$B$3=O$3,SUMIF('TL18'!$C$10:$C$224,$C417,'TL18'!$J$10:$J$224),0),
IF('TL18'!$B$229=O$3,SUMIF('TL18'!$C$238:$C$451,$C417,'TL18'!$J$238:$J$451),0),
IF('TL19'!$B$3=O$3,SUMIF('TL19'!$C$10:$C$224,$C417,'TL19'!$J$10:$J$224),0),
IF('TL19'!$B$229=O$3,SUMIF('TL19'!$C$238:$C$451,$C417,'TL19'!$J$238:$J$451),0)
),0)</f>
        <v/>
      </c>
      <c r="P417" s="138">
        <f>IFERROR(SUM(
IF('TL01'!$B$3=P$3,SUMIF('TL01'!$C$10:$C$224,$C417,'TL01'!$J$10:$J$224),0),
IF('TL01'!$B$229=P$3,SUMIF('TL01'!$C$238:$C$451,$C417,'TL01'!$J$238:$J$451),0),
IF('TL02'!$B$3=P$3,SUMIF('TL02'!$C$10:$C$224,$C417,'TL02'!$J$10:$J$224),0),
IF('TL02'!$B$229=P$3,SUMIF('TL02'!$C$238:$C$451,$C417,'TL02'!$J$238:$J$451),0),
IF('TL03'!$B$3=P$3,SUMIF('TL03'!$C$10:$C$224,$C417,'TL03'!$J$10:$J$224),0),
IF('TL03'!$B$229=P$3,SUMIF('TL03'!$C$238:$C$451,$C417,'TL03'!$J$238:$J$451),0),
IF('TL04'!$B$3=P$3,SUMIF('TL04'!$C$10:$C$224,$C417,'TL04'!$J$10:$J$224),0),
IF('TL04'!$B$229=P$3,SUMIF('TL04'!$C$238:$C$451,$C417,'TL04'!$J$238:$J$451),0),
IF('TL05'!$B$3=P$3,SUMIF('TL05'!$C$10:$C$224,$C417,'TL05'!$J$10:$J$224),0),
IF('TL05'!$B$229=P$3,SUMIF('TL05'!$C$238:$C$451,$C417,'TL05'!$J$238:$J$451),0),
IF('TL06'!$B$3=P$3,SUMIF('TL06'!$C$10:$C$224,$C417,'TL06'!$J$10:$J$224),0),
IF('TL06'!$B$229=P$3,SUMIF('TL06'!$C$238:$C$451,$C417,'TL06'!$J$238:$J$451),0),
IF('TL07'!$B$3=P$3,SUMIF('TL07'!$C$10:$C$224,$C417,'TL07'!$J$10:$J$224),0),
IF('TL07'!$B$229=P$3,SUMIF('TL07'!$C$238:$C$451,$C417,'TL07'!$J$238:$J$451),0),
IF('TL08'!$B$3=P$3,SUMIF('TL08'!$C$10:$C$224,$C417,'TL08'!$J$10:$J$224),0),
IF('TL08'!$B$229=P$3,SUMIF('TL08'!$C$238:$C$451,$C417,'TL08'!$J$238:$J$451),0),
IF('TL09'!$B$3=P$3,SUMIF('TL09'!$C$10:$C$224,$C417,'TL09'!$J$10:$J$224),0),
IF('TL09'!$B$229=P$3,SUMIF('TL09'!$C$238:$C$451,$C417,'TL09'!$J$238:$J$451),0),
IF('TL10'!$B$3=P$3,SUMIF('TL10'!$C$10:$C$224,$C417,'TL10'!$J$10:$J$224),0),
IF('TL10'!$B$229=P$3,SUMIF('TL10'!$C$238:$C$451,$C417,'TL10'!$J$238:$J$451),0),
IF('TL11'!$B$3=P$3,SUMIF('TL11'!$C$10:$C$224,$C417,'TL11'!$J$10:$J$224),0),
IF('TL11'!$B$229=P$3,SUMIF('TL11'!$C$238:$C$451,$C417,'TL11'!$J$238:$J$451),0),
IF('TL12'!$B$3=P$3,SUMIF('TL12'!$C$10:$C$224,$C417,'TL12'!$J$10:$J$224),0),
IF('TL12'!$B$229=P$3,SUMIF('TL12'!$C$238:$C$451,$C417,'TL12'!$J$238:$J$451),0),
IF('TL13'!$B$3=P$3,SUMIF('TL13'!$C$10:$C$224,$C417,'TL13'!$J$10:$J$224),0),
IF('TL13'!$B$229=P$3,SUMIF('TL13'!$C$238:$C$451,$C417,'TL13'!$J$238:$J$451),0),
IF('TL14'!$B$3=P$3,SUMIF('TL14'!$C$10:$C$224,$C417,'TL14'!$J$10:$J$224),0),
IF('TL14'!$B$229=P$3,SUMIF('TL14'!$C$238:$C$451,$C417,'TL14'!$J$238:$J$451),0),
IF('TL15'!$B$3=P$3,SUMIF('TL15'!$C$10:$C$224,$C417,'TL15'!$J$10:$J$224),0),
IF('TL15'!$B$229=P$3,SUMIF('TL15'!$C$238:$C$451,$C417,'TL15'!$J$238:$J$451),0),
IF('TL16'!$B$3=P$3,SUMIF('TL16'!$C$10:$C$224,$C417,'TL16'!$J$10:$J$224),0),
IF('TL16'!$B$229=P$3,SUMIF('TL16'!$C$238:$C$451,$C417,'TL16'!$J$238:$J$451),0),
IF('TL17'!$B$3=P$3,SUMIF('TL17'!$C$10:$C$224,$C417,'TL17'!$J$10:$J$224),0),
IF('TL17'!$B$229=P$3,SUMIF('TL17'!$C$238:$C$451,$C417,'TL17'!$J$238:$J$451),0),
IF('TL18'!$B$3=P$3,SUMIF('TL18'!$C$10:$C$224,$C417,'TL18'!$J$10:$J$224),0),
IF('TL18'!$B$229=P$3,SUMIF('TL18'!$C$238:$C$451,$C417,'TL18'!$J$238:$J$451),0),
IF('TL19'!$B$3=P$3,SUMIF('TL19'!$C$10:$C$224,$C417,'TL19'!$J$10:$J$224),0),
IF('TL19'!$B$229=P$3,SUMIF('TL19'!$C$238:$C$451,$C417,'TL19'!$J$238:$J$451),0)
),0)</f>
        <v/>
      </c>
      <c r="Q417" s="138">
        <f>IFERROR(SUM(
IF('TL01'!$B$3=Q$3,SUMIF('TL01'!$C$10:$C$224,$C417,'TL01'!$J$10:$J$224),0),
IF('TL01'!$B$229=Q$3,SUMIF('TL01'!$C$238:$C$451,$C417,'TL01'!$J$238:$J$451),0),
IF('TL02'!$B$3=Q$3,SUMIF('TL02'!$C$10:$C$224,$C417,'TL02'!$J$10:$J$224),0),
IF('TL02'!$B$229=Q$3,SUMIF('TL02'!$C$238:$C$451,$C417,'TL02'!$J$238:$J$451),0),
IF('TL03'!$B$3=Q$3,SUMIF('TL03'!$C$10:$C$224,$C417,'TL03'!$J$10:$J$224),0),
IF('TL03'!$B$229=Q$3,SUMIF('TL03'!$C$238:$C$451,$C417,'TL03'!$J$238:$J$451),0),
IF('TL04'!$B$3=Q$3,SUMIF('TL04'!$C$10:$C$224,$C417,'TL04'!$J$10:$J$224),0),
IF('TL04'!$B$229=Q$3,SUMIF('TL04'!$C$238:$C$451,$C417,'TL04'!$J$238:$J$451),0),
IF('TL05'!$B$3=Q$3,SUMIF('TL05'!$C$10:$C$224,$C417,'TL05'!$J$10:$J$224),0),
IF('TL05'!$B$229=Q$3,SUMIF('TL05'!$C$238:$C$451,$C417,'TL05'!$J$238:$J$451),0),
IF('TL06'!$B$3=Q$3,SUMIF('TL06'!$C$10:$C$224,$C417,'TL06'!$J$10:$J$224),0),
IF('TL06'!$B$229=Q$3,SUMIF('TL06'!$C$238:$C$451,$C417,'TL06'!$J$238:$J$451),0),
IF('TL07'!$B$3=Q$3,SUMIF('TL07'!$C$10:$C$224,$C417,'TL07'!$J$10:$J$224),0),
IF('TL07'!$B$229=Q$3,SUMIF('TL07'!$C$238:$C$451,$C417,'TL07'!$J$238:$J$451),0),
IF('TL08'!$B$3=Q$3,SUMIF('TL08'!$C$10:$C$224,$C417,'TL08'!$J$10:$J$224),0),
IF('TL08'!$B$229=Q$3,SUMIF('TL08'!$C$238:$C$451,$C417,'TL08'!$J$238:$J$451),0),
IF('TL09'!$B$3=Q$3,SUMIF('TL09'!$C$10:$C$224,$C417,'TL09'!$J$10:$J$224),0),
IF('TL09'!$B$229=Q$3,SUMIF('TL09'!$C$238:$C$451,$C417,'TL09'!$J$238:$J$451),0),
IF('TL10'!$B$3=Q$3,SUMIF('TL10'!$C$10:$C$224,$C417,'TL10'!$J$10:$J$224),0),
IF('TL10'!$B$229=Q$3,SUMIF('TL10'!$C$238:$C$451,$C417,'TL10'!$J$238:$J$451),0),
IF('TL11'!$B$3=Q$3,SUMIF('TL11'!$C$10:$C$224,$C417,'TL11'!$J$10:$J$224),0),
IF('TL11'!$B$229=Q$3,SUMIF('TL11'!$C$238:$C$451,$C417,'TL11'!$J$238:$J$451),0),
IF('TL12'!$B$3=Q$3,SUMIF('TL12'!$C$10:$C$224,$C417,'TL12'!$J$10:$J$224),0),
IF('TL12'!$B$229=Q$3,SUMIF('TL12'!$C$238:$C$451,$C417,'TL12'!$J$238:$J$451),0),
IF('TL13'!$B$3=Q$3,SUMIF('TL13'!$C$10:$C$224,$C417,'TL13'!$J$10:$J$224),0),
IF('TL13'!$B$229=Q$3,SUMIF('TL13'!$C$238:$C$451,$C417,'TL13'!$J$238:$J$451),0),
IF('TL14'!$B$3=Q$3,SUMIF('TL14'!$C$10:$C$224,$C417,'TL14'!$J$10:$J$224),0),
IF('TL14'!$B$229=Q$3,SUMIF('TL14'!$C$238:$C$451,$C417,'TL14'!$J$238:$J$451),0),
IF('TL15'!$B$3=Q$3,SUMIF('TL15'!$C$10:$C$224,$C417,'TL15'!$J$10:$J$224),0),
IF('TL15'!$B$229=Q$3,SUMIF('TL15'!$C$238:$C$451,$C417,'TL15'!$J$238:$J$451),0),
IF('TL16'!$B$3=Q$3,SUMIF('TL16'!$C$10:$C$224,$C417,'TL16'!$J$10:$J$224),0),
IF('TL16'!$B$229=Q$3,SUMIF('TL16'!$C$238:$C$451,$C417,'TL16'!$J$238:$J$451),0),
IF('TL17'!$B$3=Q$3,SUMIF('TL17'!$C$10:$C$224,$C417,'TL17'!$J$10:$J$224),0),
IF('TL17'!$B$229=Q$3,SUMIF('TL17'!$C$238:$C$451,$C417,'TL17'!$J$238:$J$451),0),
IF('TL18'!$B$3=Q$3,SUMIF('TL18'!$C$10:$C$224,$C417,'TL18'!$J$10:$J$224),0),
IF('TL18'!$B$229=Q$3,SUMIF('TL18'!$C$238:$C$451,$C417,'TL18'!$J$238:$J$451),0),
IF('TL19'!$B$3=Q$3,SUMIF('TL19'!$C$10:$C$224,$C417,'TL19'!$J$10:$J$224),0),
IF('TL19'!$B$229=Q$3,SUMIF('TL19'!$C$238:$C$451,$C417,'TL19'!$J$238:$J$451),0)
),0)</f>
        <v/>
      </c>
      <c r="R417" s="139">
        <f>IFERROR(
SUM(
SUMIF('TL01'!C:C,C417,'TL01'!J:J),
SUMIF('TL02'!C:C,C417,'TL02'!I:I),
SUMIF('TL03'!C:C,C417,'TL03'!I:I),
SUMIF('TL04'!C:C,C417,'TL04'!I:I),
SUMIF('TL05'!C:C,C417,'TL05'!I:I),
SUMIF('TL06'!C:C,C417,'TL06'!I:I),
SUMIF('TL07'!C:C,C417,'TL07'!I:I),
SUMIF('TL08'!C:C,C417,'TL08'!I:I),
SUMIF('TL09'!C:C,C417,'TL09'!I:I),
SUMIF('TL10'!C:C,C417,'TL10'!I:I),
SUMIF('TL11'!C:C,C417,'TL11'!I:I),
SUMIF('TL12'!C:C,C417,'TL12'!I:I),
SUMIF('TL13'!C:C,C417,'TL13'!I:I),
SUMIF('TL14'!C:C,C417,'TL14'!I:I),
SUMIF('TL15'!C:C,C417,'TL15'!I:I),
SUMIF('TL16'!C:C,C417,'TL16'!I:I),
SUMIF('TL17'!C:C,C417,'TL17'!I:I),
SUMIF('TL18'!C:C,C417,'TL18'!I:I))
,0)</f>
        <v/>
      </c>
      <c r="S417" s="142">
        <f>'CUSTO OPERAÇÃO'!M21</f>
        <v/>
      </c>
      <c r="T417" s="139" t="n"/>
      <c r="U417" s="143">
        <f>MAX(0,R417-T417)</f>
        <v/>
      </c>
      <c r="V417" s="144">
        <f>U417*S417</f>
        <v/>
      </c>
    </row>
    <row r="418" hidden="1" ht="15.75" customHeight="1" s="297">
      <c r="A418" s="138" t="n"/>
      <c r="B418" s="155" t="n"/>
      <c r="C418" s="138" t="n"/>
      <c r="D418" s="138" t="n"/>
      <c r="E418" s="139" t="n"/>
      <c r="F418" s="138" t="inlineStr">
        <is>
          <t>R$/Ha</t>
        </is>
      </c>
      <c r="G418" s="139" t="n"/>
      <c r="H418" s="140">
        <f>'CUSTO OPERAÇÃO'!J22</f>
        <v/>
      </c>
      <c r="I418" s="156" t="n"/>
      <c r="J418" s="138">
        <f>IFERROR(SUM(
IF('TL01'!$B$3=J$3,SUMIF('TL01'!$C$10:$C$224,$C418,'TL01'!$J$10:$J$224),0),
IF('TL01'!$B$229=J$3,SUMIF('TL01'!$C$238:$C$451,$C418,'TL01'!$J$238:$J$451),0),
IF('TL02'!$B$3=J$3,SUMIF('TL02'!$C$10:$C$224,$C418,'TL02'!$J$10:$J$224),0),
IF('TL02'!$B$229=J$3,SUMIF('TL02'!$C$238:$C$451,$C418,'TL02'!$J$238:$J$451),0),
IF('TL03'!$B$3=J$3,SUMIF('TL03'!$C$10:$C$224,$C418,'TL03'!$J$10:$J$224),0),
IF('TL03'!$B$229=J$3,SUMIF('TL03'!$C$238:$C$451,$C418,'TL03'!$J$238:$J$451),0),
IF('TL04'!$B$3=J$3,SUMIF('TL04'!$C$10:$C$224,$C418,'TL04'!$J$10:$J$224),0),
IF('TL04'!$B$229=J$3,SUMIF('TL04'!$C$238:$C$451,$C418,'TL04'!$J$238:$J$451),0),
IF('TL05'!$B$3=J$3,SUMIF('TL05'!$C$10:$C$224,$C418,'TL05'!$J$10:$J$224),0),
IF('TL05'!$B$229=J$3,SUMIF('TL05'!$C$238:$C$451,$C418,'TL05'!$J$238:$J$451),0),
IF('TL06'!$B$3=J$3,SUMIF('TL06'!$C$10:$C$224,$C418,'TL06'!$J$10:$J$224),0),
IF('TL06'!$B$229=J$3,SUMIF('TL06'!$C$238:$C$451,$C418,'TL06'!$J$238:$J$451),0),
IF('TL07'!$B$3=J$3,SUMIF('TL07'!$C$10:$C$224,$C418,'TL07'!$J$10:$J$224),0),
IF('TL07'!$B$229=J$3,SUMIF('TL07'!$C$238:$C$451,$C418,'TL07'!$J$238:$J$451),0),
IF('TL08'!$B$3=J$3,SUMIF('TL08'!$C$10:$C$224,$C418,'TL08'!$J$10:$J$224),0),
IF('TL08'!$B$229=J$3,SUMIF('TL08'!$C$238:$C$451,$C418,'TL08'!$J$238:$J$451),0),
IF('TL09'!$B$3=J$3,SUMIF('TL09'!$C$10:$C$224,$C418,'TL09'!$J$10:$J$224),0),
IF('TL09'!$B$229=J$3,SUMIF('TL09'!$C$238:$C$451,$C418,'TL09'!$J$238:$J$451),0),
IF('TL10'!$B$3=J$3,SUMIF('TL10'!$C$10:$C$224,$C418,'TL10'!$J$10:$J$224),0),
IF('TL10'!$B$229=J$3,SUMIF('TL10'!$C$238:$C$451,$C418,'TL10'!$J$238:$J$451),0),
IF('TL11'!$B$3=J$3,SUMIF('TL11'!$C$10:$C$224,$C418,'TL11'!$J$10:$J$224),0),
IF('TL11'!$B$229=J$3,SUMIF('TL11'!$C$238:$C$451,$C418,'TL11'!$J$238:$J$451),0),
IF('TL12'!$B$3=J$3,SUMIF('TL12'!$C$10:$C$224,$C418,'TL12'!$J$10:$J$224),0),
IF('TL12'!$B$229=J$3,SUMIF('TL12'!$C$238:$C$451,$C418,'TL12'!$J$238:$J$451),0),
IF('TL13'!$B$3=J$3,SUMIF('TL13'!$C$10:$C$224,$C418,'TL13'!$J$10:$J$224),0),
IF('TL13'!$B$229=J$3,SUMIF('TL13'!$C$238:$C$451,$C418,'TL13'!$J$238:$J$451),0),
IF('TL14'!$B$3=J$3,SUMIF('TL14'!$C$10:$C$224,$C418,'TL14'!$J$10:$J$224),0),
IF('TL14'!$B$229=J$3,SUMIF('TL14'!$C$238:$C$451,$C418,'TL14'!$J$238:$J$451),0),
IF('TL15'!$B$3=J$3,SUMIF('TL15'!$C$10:$C$224,$C418,'TL15'!$J$10:$J$224),0),
IF('TL15'!$B$229=J$3,SUMIF('TL15'!$C$238:$C$451,$C418,'TL15'!$J$238:$J$451),0),
IF('TL16'!$B$3=J$3,SUMIF('TL16'!$C$10:$C$224,$C418,'TL16'!$J$10:$J$224),0),
IF('TL16'!$B$229=J$3,SUMIF('TL16'!$C$238:$C$451,$C418,'TL16'!$J$238:$J$451),0),
IF('TL17'!$B$3=J$3,SUMIF('TL17'!$C$10:$C$224,$C418,'TL17'!$J$10:$J$224),0),
IF('TL17'!$B$229=J$3,SUMIF('TL17'!$C$238:$C$451,$C418,'TL17'!$J$238:$J$451),0),
IF('TL18'!$B$3=J$3,SUMIF('TL18'!$C$10:$C$224,$C418,'TL18'!$J$10:$J$224),0),
IF('TL18'!$B$229=J$3,SUMIF('TL18'!$C$238:$C$451,$C418,'TL18'!$J$238:$J$451),0),
IF('TL19'!$B$3=J$3,SUMIF('TL19'!$C$10:$C$224,$C418,'TL19'!$J$10:$J$224),0),
IF('TL19'!$B$229=J$3,SUMIF('TL19'!$C$238:$C$451,$C418,'TL19'!$J$238:$J$451),0)
),0)</f>
        <v/>
      </c>
      <c r="K418" s="138">
        <f>IFERROR(SUM(
IF('TL01'!$B$3=K$3,SUMIF('TL01'!$C$10:$C$224,$C418,'TL01'!$J$10:$J$224),0),
IF('TL01'!$B$229=K$3,SUMIF('TL01'!$C$238:$C$451,$C418,'TL01'!$J$238:$J$451),0),
IF('TL02'!$B$3=K$3,SUMIF('TL02'!$C$10:$C$224,$C418,'TL02'!$J$10:$J$224),0),
IF('TL02'!$B$229=K$3,SUMIF('TL02'!$C$238:$C$451,$C418,'TL02'!$J$238:$J$451),0),
IF('TL03'!$B$3=K$3,SUMIF('TL03'!$C$10:$C$224,$C418,'TL03'!$J$10:$J$224),0),
IF('TL03'!$B$229=K$3,SUMIF('TL03'!$C$238:$C$451,$C418,'TL03'!$J$238:$J$451),0),
IF('TL04'!$B$3=K$3,SUMIF('TL04'!$C$10:$C$224,$C418,'TL04'!$J$10:$J$224),0),
IF('TL04'!$B$229=K$3,SUMIF('TL04'!$C$238:$C$451,$C418,'TL04'!$J$238:$J$451),0),
IF('TL05'!$B$3=K$3,SUMIF('TL05'!$C$10:$C$224,$C418,'TL05'!$J$10:$J$224),0),
IF('TL05'!$B$229=K$3,SUMIF('TL05'!$C$238:$C$451,$C418,'TL05'!$J$238:$J$451),0),
IF('TL06'!$B$3=K$3,SUMIF('TL06'!$C$10:$C$224,$C418,'TL06'!$J$10:$J$224),0),
IF('TL06'!$B$229=K$3,SUMIF('TL06'!$C$238:$C$451,$C418,'TL06'!$J$238:$J$451),0),
IF('TL07'!$B$3=K$3,SUMIF('TL07'!$C$10:$C$224,$C418,'TL07'!$J$10:$J$224),0),
IF('TL07'!$B$229=K$3,SUMIF('TL07'!$C$238:$C$451,$C418,'TL07'!$J$238:$J$451),0),
IF('TL08'!$B$3=K$3,SUMIF('TL08'!$C$10:$C$224,$C418,'TL08'!$J$10:$J$224),0),
IF('TL08'!$B$229=K$3,SUMIF('TL08'!$C$238:$C$451,$C418,'TL08'!$J$238:$J$451),0),
IF('TL09'!$B$3=K$3,SUMIF('TL09'!$C$10:$C$224,$C418,'TL09'!$J$10:$J$224),0),
IF('TL09'!$B$229=K$3,SUMIF('TL09'!$C$238:$C$451,$C418,'TL09'!$J$238:$J$451),0),
IF('TL10'!$B$3=K$3,SUMIF('TL10'!$C$10:$C$224,$C418,'TL10'!$J$10:$J$224),0),
IF('TL10'!$B$229=K$3,SUMIF('TL10'!$C$238:$C$451,$C418,'TL10'!$J$238:$J$451),0),
IF('TL11'!$B$3=K$3,SUMIF('TL11'!$C$10:$C$224,$C418,'TL11'!$J$10:$J$224),0),
IF('TL11'!$B$229=K$3,SUMIF('TL11'!$C$238:$C$451,$C418,'TL11'!$J$238:$J$451),0),
IF('TL12'!$B$3=K$3,SUMIF('TL12'!$C$10:$C$224,$C418,'TL12'!$J$10:$J$224),0),
IF('TL12'!$B$229=K$3,SUMIF('TL12'!$C$238:$C$451,$C418,'TL12'!$J$238:$J$451),0),
IF('TL13'!$B$3=K$3,SUMIF('TL13'!$C$10:$C$224,$C418,'TL13'!$J$10:$J$224),0),
IF('TL13'!$B$229=K$3,SUMIF('TL13'!$C$238:$C$451,$C418,'TL13'!$J$238:$J$451),0),
IF('TL14'!$B$3=K$3,SUMIF('TL14'!$C$10:$C$224,$C418,'TL14'!$J$10:$J$224),0),
IF('TL14'!$B$229=K$3,SUMIF('TL14'!$C$238:$C$451,$C418,'TL14'!$J$238:$J$451),0),
IF('TL15'!$B$3=K$3,SUMIF('TL15'!$C$10:$C$224,$C418,'TL15'!$J$10:$J$224),0),
IF('TL15'!$B$229=K$3,SUMIF('TL15'!$C$238:$C$451,$C418,'TL15'!$J$238:$J$451),0),
IF('TL16'!$B$3=K$3,SUMIF('TL16'!$C$10:$C$224,$C418,'TL16'!$J$10:$J$224),0),
IF('TL16'!$B$229=K$3,SUMIF('TL16'!$C$238:$C$451,$C418,'TL16'!$J$238:$J$451),0),
IF('TL17'!$B$3=K$3,SUMIF('TL17'!$C$10:$C$224,$C418,'TL17'!$J$10:$J$224),0),
IF('TL17'!$B$229=K$3,SUMIF('TL17'!$C$238:$C$451,$C418,'TL17'!$J$238:$J$451),0),
IF('TL18'!$B$3=K$3,SUMIF('TL18'!$C$10:$C$224,$C418,'TL18'!$J$10:$J$224),0),
IF('TL18'!$B$229=K$3,SUMIF('TL18'!$C$238:$C$451,$C418,'TL18'!$J$238:$J$451),0),
IF('TL19'!$B$3=K$3,SUMIF('TL19'!$C$10:$C$224,$C418,'TL19'!$J$10:$J$224),0),
IF('TL19'!$B$229=K$3,SUMIF('TL19'!$C$238:$C$451,$C418,'TL19'!$J$238:$J$451),0)
),0)</f>
        <v/>
      </c>
      <c r="L418" s="138">
        <f>IFERROR(SUM(
IF('TL01'!$B$3=L$3,SUMIF('TL01'!$C$10:$C$224,$C418,'TL01'!$J$10:$J$224),0),
IF('TL01'!$B$229=L$3,SUMIF('TL01'!$C$238:$C$451,$C418,'TL01'!$J$238:$J$451),0),
IF('TL02'!$B$3=L$3,SUMIF('TL02'!$C$10:$C$224,$C418,'TL02'!$J$10:$J$224),0),
IF('TL02'!$B$229=L$3,SUMIF('TL02'!$C$238:$C$451,$C418,'TL02'!$J$238:$J$451),0),
IF('TL03'!$B$3=L$3,SUMIF('TL03'!$C$10:$C$224,$C418,'TL03'!$J$10:$J$224),0),
IF('TL03'!$B$229=L$3,SUMIF('TL03'!$C$238:$C$451,$C418,'TL03'!$J$238:$J$451),0),
IF('TL04'!$B$3=L$3,SUMIF('TL04'!$C$10:$C$224,$C418,'TL04'!$J$10:$J$224),0),
IF('TL04'!$B$229=L$3,SUMIF('TL04'!$C$238:$C$451,$C418,'TL04'!$J$238:$J$451),0),
IF('TL05'!$B$3=L$3,SUMIF('TL05'!$C$10:$C$224,$C418,'TL05'!$J$10:$J$224),0),
IF('TL05'!$B$229=L$3,SUMIF('TL05'!$C$238:$C$451,$C418,'TL05'!$J$238:$J$451),0),
IF('TL06'!$B$3=L$3,SUMIF('TL06'!$C$10:$C$224,$C418,'TL06'!$J$10:$J$224),0),
IF('TL06'!$B$229=L$3,SUMIF('TL06'!$C$238:$C$451,$C418,'TL06'!$J$238:$J$451),0),
IF('TL07'!$B$3=L$3,SUMIF('TL07'!$C$10:$C$224,$C418,'TL07'!$J$10:$J$224),0),
IF('TL07'!$B$229=L$3,SUMIF('TL07'!$C$238:$C$451,$C418,'TL07'!$J$238:$J$451),0),
IF('TL08'!$B$3=L$3,SUMIF('TL08'!$C$10:$C$224,$C418,'TL08'!$J$10:$J$224),0),
IF('TL08'!$B$229=L$3,SUMIF('TL08'!$C$238:$C$451,$C418,'TL08'!$J$238:$J$451),0),
IF('TL09'!$B$3=L$3,SUMIF('TL09'!$C$10:$C$224,$C418,'TL09'!$J$10:$J$224),0),
IF('TL09'!$B$229=L$3,SUMIF('TL09'!$C$238:$C$451,$C418,'TL09'!$J$238:$J$451),0),
IF('TL10'!$B$3=L$3,SUMIF('TL10'!$C$10:$C$224,$C418,'TL10'!$J$10:$J$224),0),
IF('TL10'!$B$229=L$3,SUMIF('TL10'!$C$238:$C$451,$C418,'TL10'!$J$238:$J$451),0),
IF('TL11'!$B$3=L$3,SUMIF('TL11'!$C$10:$C$224,$C418,'TL11'!$J$10:$J$224),0),
IF('TL11'!$B$229=L$3,SUMIF('TL11'!$C$238:$C$451,$C418,'TL11'!$J$238:$J$451),0),
IF('TL12'!$B$3=L$3,SUMIF('TL12'!$C$10:$C$224,$C418,'TL12'!$J$10:$J$224),0),
IF('TL12'!$B$229=L$3,SUMIF('TL12'!$C$238:$C$451,$C418,'TL12'!$J$238:$J$451),0),
IF('TL13'!$B$3=L$3,SUMIF('TL13'!$C$10:$C$224,$C418,'TL13'!$J$10:$J$224),0),
IF('TL13'!$B$229=L$3,SUMIF('TL13'!$C$238:$C$451,$C418,'TL13'!$J$238:$J$451),0),
IF('TL14'!$B$3=L$3,SUMIF('TL14'!$C$10:$C$224,$C418,'TL14'!$J$10:$J$224),0),
IF('TL14'!$B$229=L$3,SUMIF('TL14'!$C$238:$C$451,$C418,'TL14'!$J$238:$J$451),0),
IF('TL15'!$B$3=L$3,SUMIF('TL15'!$C$10:$C$224,$C418,'TL15'!$J$10:$J$224),0),
IF('TL15'!$B$229=L$3,SUMIF('TL15'!$C$238:$C$451,$C418,'TL15'!$J$238:$J$451),0),
IF('TL16'!$B$3=L$3,SUMIF('TL16'!$C$10:$C$224,$C418,'TL16'!$J$10:$J$224),0),
IF('TL16'!$B$229=L$3,SUMIF('TL16'!$C$238:$C$451,$C418,'TL16'!$J$238:$J$451),0),
IF('TL17'!$B$3=L$3,SUMIF('TL17'!$C$10:$C$224,$C418,'TL17'!$J$10:$J$224),0),
IF('TL17'!$B$229=L$3,SUMIF('TL17'!$C$238:$C$451,$C418,'TL17'!$J$238:$J$451),0),
IF('TL18'!$B$3=L$3,SUMIF('TL18'!$C$10:$C$224,$C418,'TL18'!$J$10:$J$224),0),
IF('TL18'!$B$229=L$3,SUMIF('TL18'!$C$238:$C$451,$C418,'TL18'!$J$238:$J$451),0),
IF('TL19'!$B$3=L$3,SUMIF('TL19'!$C$10:$C$224,$C418,'TL19'!$J$10:$J$224),0),
IF('TL19'!$B$229=L$3,SUMIF('TL19'!$C$238:$C$451,$C418,'TL19'!$J$238:$J$451),0)
),0)</f>
        <v/>
      </c>
      <c r="M418" s="138">
        <f>IFERROR(SUM(
IF('TL01'!$B$3=M$3,SUMIF('TL01'!$C$10:$C$224,$C418,'TL01'!$J$10:$J$224),0),
IF('TL01'!$B$229=M$3,SUMIF('TL01'!$C$238:$C$451,$C418,'TL01'!$J$238:$J$451),0),
IF('TL02'!$B$3=M$3,SUMIF('TL02'!$C$10:$C$224,$C418,'TL02'!$J$10:$J$224),0),
IF('TL02'!$B$229=M$3,SUMIF('TL02'!$C$238:$C$451,$C418,'TL02'!$J$238:$J$451),0),
IF('TL03'!$B$3=M$3,SUMIF('TL03'!$C$10:$C$224,$C418,'TL03'!$J$10:$J$224),0),
IF('TL03'!$B$229=M$3,SUMIF('TL03'!$C$238:$C$451,$C418,'TL03'!$J$238:$J$451),0),
IF('TL04'!$B$3=M$3,SUMIF('TL04'!$C$10:$C$224,$C418,'TL04'!$J$10:$J$224),0),
IF('TL04'!$B$229=M$3,SUMIF('TL04'!$C$238:$C$451,$C418,'TL04'!$J$238:$J$451),0),
IF('TL05'!$B$3=M$3,SUMIF('TL05'!$C$10:$C$224,$C418,'TL05'!$J$10:$J$224),0),
IF('TL05'!$B$229=M$3,SUMIF('TL05'!$C$238:$C$451,$C418,'TL05'!$J$238:$J$451),0),
IF('TL06'!$B$3=M$3,SUMIF('TL06'!$C$10:$C$224,$C418,'TL06'!$J$10:$J$224),0),
IF('TL06'!$B$229=M$3,SUMIF('TL06'!$C$238:$C$451,$C418,'TL06'!$J$238:$J$451),0),
IF('TL07'!$B$3=M$3,SUMIF('TL07'!$C$10:$C$224,$C418,'TL07'!$J$10:$J$224),0),
IF('TL07'!$B$229=M$3,SUMIF('TL07'!$C$238:$C$451,$C418,'TL07'!$J$238:$J$451),0),
IF('TL08'!$B$3=M$3,SUMIF('TL08'!$C$10:$C$224,$C418,'TL08'!$J$10:$J$224),0),
IF('TL08'!$B$229=M$3,SUMIF('TL08'!$C$238:$C$451,$C418,'TL08'!$J$238:$J$451),0),
IF('TL09'!$B$3=M$3,SUMIF('TL09'!$C$10:$C$224,$C418,'TL09'!$J$10:$J$224),0),
IF('TL09'!$B$229=M$3,SUMIF('TL09'!$C$238:$C$451,$C418,'TL09'!$J$238:$J$451),0),
IF('TL10'!$B$3=M$3,SUMIF('TL10'!$C$10:$C$224,$C418,'TL10'!$J$10:$J$224),0),
IF('TL10'!$B$229=M$3,SUMIF('TL10'!$C$238:$C$451,$C418,'TL10'!$J$238:$J$451),0),
IF('TL11'!$B$3=M$3,SUMIF('TL11'!$C$10:$C$224,$C418,'TL11'!$J$10:$J$224),0),
IF('TL11'!$B$229=M$3,SUMIF('TL11'!$C$238:$C$451,$C418,'TL11'!$J$238:$J$451),0),
IF('TL12'!$B$3=M$3,SUMIF('TL12'!$C$10:$C$224,$C418,'TL12'!$J$10:$J$224),0),
IF('TL12'!$B$229=M$3,SUMIF('TL12'!$C$238:$C$451,$C418,'TL12'!$J$238:$J$451),0),
IF('TL13'!$B$3=M$3,SUMIF('TL13'!$C$10:$C$224,$C418,'TL13'!$J$10:$J$224),0),
IF('TL13'!$B$229=M$3,SUMIF('TL13'!$C$238:$C$451,$C418,'TL13'!$J$238:$J$451),0),
IF('TL14'!$B$3=M$3,SUMIF('TL14'!$C$10:$C$224,$C418,'TL14'!$J$10:$J$224),0),
IF('TL14'!$B$229=M$3,SUMIF('TL14'!$C$238:$C$451,$C418,'TL14'!$J$238:$J$451),0),
IF('TL15'!$B$3=M$3,SUMIF('TL15'!$C$10:$C$224,$C418,'TL15'!$J$10:$J$224),0),
IF('TL15'!$B$229=M$3,SUMIF('TL15'!$C$238:$C$451,$C418,'TL15'!$J$238:$J$451),0),
IF('TL16'!$B$3=M$3,SUMIF('TL16'!$C$10:$C$224,$C418,'TL16'!$J$10:$J$224),0),
IF('TL16'!$B$229=M$3,SUMIF('TL16'!$C$238:$C$451,$C418,'TL16'!$J$238:$J$451),0),
IF('TL17'!$B$3=M$3,SUMIF('TL17'!$C$10:$C$224,$C418,'TL17'!$J$10:$J$224),0),
IF('TL17'!$B$229=M$3,SUMIF('TL17'!$C$238:$C$451,$C418,'TL17'!$J$238:$J$451),0),
IF('TL18'!$B$3=M$3,SUMIF('TL18'!$C$10:$C$224,$C418,'TL18'!$J$10:$J$224),0),
IF('TL18'!$B$229=M$3,SUMIF('TL18'!$C$238:$C$451,$C418,'TL18'!$J$238:$J$451),0),
IF('TL19'!$B$3=M$3,SUMIF('TL19'!$C$10:$C$224,$C418,'TL19'!$J$10:$J$224),0),
IF('TL19'!$B$229=M$3,SUMIF('TL19'!$C$238:$C$451,$C418,'TL19'!$J$238:$J$451),0)
),0)</f>
        <v/>
      </c>
      <c r="N418" s="138">
        <f>IFERROR(SUM(
IF('TL01'!$B$3=N$3,SUMIF('TL01'!$C$10:$C$224,$C418,'TL01'!$J$10:$J$224),0),
IF('TL01'!$B$229=N$3,SUMIF('TL01'!$C$238:$C$451,$C418,'TL01'!$J$238:$J$451),0),
IF('TL02'!$B$3=N$3,SUMIF('TL02'!$C$10:$C$224,$C418,'TL02'!$J$10:$J$224),0),
IF('TL02'!$B$229=N$3,SUMIF('TL02'!$C$238:$C$451,$C418,'TL02'!$J$238:$J$451),0),
IF('TL03'!$B$3=N$3,SUMIF('TL03'!$C$10:$C$224,$C418,'TL03'!$J$10:$J$224),0),
IF('TL03'!$B$229=N$3,SUMIF('TL03'!$C$238:$C$451,$C418,'TL03'!$J$238:$J$451),0),
IF('TL04'!$B$3=N$3,SUMIF('TL04'!$C$10:$C$224,$C418,'TL04'!$J$10:$J$224),0),
IF('TL04'!$B$229=N$3,SUMIF('TL04'!$C$238:$C$451,$C418,'TL04'!$J$238:$J$451),0),
IF('TL05'!$B$3=N$3,SUMIF('TL05'!$C$10:$C$224,$C418,'TL05'!$J$10:$J$224),0),
IF('TL05'!$B$229=N$3,SUMIF('TL05'!$C$238:$C$451,$C418,'TL05'!$J$238:$J$451),0),
IF('TL06'!$B$3=N$3,SUMIF('TL06'!$C$10:$C$224,$C418,'TL06'!$J$10:$J$224),0),
IF('TL06'!$B$229=N$3,SUMIF('TL06'!$C$238:$C$451,$C418,'TL06'!$J$238:$J$451),0),
IF('TL07'!$B$3=N$3,SUMIF('TL07'!$C$10:$C$224,$C418,'TL07'!$J$10:$J$224),0),
IF('TL07'!$B$229=N$3,SUMIF('TL07'!$C$238:$C$451,$C418,'TL07'!$J$238:$J$451),0),
IF('TL08'!$B$3=N$3,SUMIF('TL08'!$C$10:$C$224,$C418,'TL08'!$J$10:$J$224),0),
IF('TL08'!$B$229=N$3,SUMIF('TL08'!$C$238:$C$451,$C418,'TL08'!$J$238:$J$451),0),
IF('TL09'!$B$3=N$3,SUMIF('TL09'!$C$10:$C$224,$C418,'TL09'!$J$10:$J$224),0),
IF('TL09'!$B$229=N$3,SUMIF('TL09'!$C$238:$C$451,$C418,'TL09'!$J$238:$J$451),0),
IF('TL10'!$B$3=N$3,SUMIF('TL10'!$C$10:$C$224,$C418,'TL10'!$J$10:$J$224),0),
IF('TL10'!$B$229=N$3,SUMIF('TL10'!$C$238:$C$451,$C418,'TL10'!$J$238:$J$451),0),
IF('TL11'!$B$3=N$3,SUMIF('TL11'!$C$10:$C$224,$C418,'TL11'!$J$10:$J$224),0),
IF('TL11'!$B$229=N$3,SUMIF('TL11'!$C$238:$C$451,$C418,'TL11'!$J$238:$J$451),0),
IF('TL12'!$B$3=N$3,SUMIF('TL12'!$C$10:$C$224,$C418,'TL12'!$J$10:$J$224),0),
IF('TL12'!$B$229=N$3,SUMIF('TL12'!$C$238:$C$451,$C418,'TL12'!$J$238:$J$451),0),
IF('TL13'!$B$3=N$3,SUMIF('TL13'!$C$10:$C$224,$C418,'TL13'!$J$10:$J$224),0),
IF('TL13'!$B$229=N$3,SUMIF('TL13'!$C$238:$C$451,$C418,'TL13'!$J$238:$J$451),0),
IF('TL14'!$B$3=N$3,SUMIF('TL14'!$C$10:$C$224,$C418,'TL14'!$J$10:$J$224),0),
IF('TL14'!$B$229=N$3,SUMIF('TL14'!$C$238:$C$451,$C418,'TL14'!$J$238:$J$451),0),
IF('TL15'!$B$3=N$3,SUMIF('TL15'!$C$10:$C$224,$C418,'TL15'!$J$10:$J$224),0),
IF('TL15'!$B$229=N$3,SUMIF('TL15'!$C$238:$C$451,$C418,'TL15'!$J$238:$J$451),0),
IF('TL16'!$B$3=N$3,SUMIF('TL16'!$C$10:$C$224,$C418,'TL16'!$J$10:$J$224),0),
IF('TL16'!$B$229=N$3,SUMIF('TL16'!$C$238:$C$451,$C418,'TL16'!$J$238:$J$451),0),
IF('TL17'!$B$3=N$3,SUMIF('TL17'!$C$10:$C$224,$C418,'TL17'!$J$10:$J$224),0),
IF('TL17'!$B$229=N$3,SUMIF('TL17'!$C$238:$C$451,$C418,'TL17'!$J$238:$J$451),0),
IF('TL18'!$B$3=N$3,SUMIF('TL18'!$C$10:$C$224,$C418,'TL18'!$J$10:$J$224),0),
IF('TL18'!$B$229=N$3,SUMIF('TL18'!$C$238:$C$451,$C418,'TL18'!$J$238:$J$451),0),
IF('TL19'!$B$3=N$3,SUMIF('TL19'!$C$10:$C$224,$C418,'TL19'!$J$10:$J$224),0),
IF('TL19'!$B$229=N$3,SUMIF('TL19'!$C$238:$C$451,$C418,'TL19'!$J$238:$J$451),0)
),0)</f>
        <v/>
      </c>
      <c r="O418" s="138">
        <f>IFERROR(SUM(
IF('TL01'!$B$3=O$3,SUMIF('TL01'!$C$10:$C$224,$C418,'TL01'!$J$10:$J$224),0),
IF('TL01'!$B$229=O$3,SUMIF('TL01'!$C$238:$C$451,$C418,'TL01'!$J$238:$J$451),0),
IF('TL02'!$B$3=O$3,SUMIF('TL02'!$C$10:$C$224,$C418,'TL02'!$J$10:$J$224),0),
IF('TL02'!$B$229=O$3,SUMIF('TL02'!$C$238:$C$451,$C418,'TL02'!$J$238:$J$451),0),
IF('TL03'!$B$3=O$3,SUMIF('TL03'!$C$10:$C$224,$C418,'TL03'!$J$10:$J$224),0),
IF('TL03'!$B$229=O$3,SUMIF('TL03'!$C$238:$C$451,$C418,'TL03'!$J$238:$J$451),0),
IF('TL04'!$B$3=O$3,SUMIF('TL04'!$C$10:$C$224,$C418,'TL04'!$J$10:$J$224),0),
IF('TL04'!$B$229=O$3,SUMIF('TL04'!$C$238:$C$451,$C418,'TL04'!$J$238:$J$451),0),
IF('TL05'!$B$3=O$3,SUMIF('TL05'!$C$10:$C$224,$C418,'TL05'!$J$10:$J$224),0),
IF('TL05'!$B$229=O$3,SUMIF('TL05'!$C$238:$C$451,$C418,'TL05'!$J$238:$J$451),0),
IF('TL06'!$B$3=O$3,SUMIF('TL06'!$C$10:$C$224,$C418,'TL06'!$J$10:$J$224),0),
IF('TL06'!$B$229=O$3,SUMIF('TL06'!$C$238:$C$451,$C418,'TL06'!$J$238:$J$451),0),
IF('TL07'!$B$3=O$3,SUMIF('TL07'!$C$10:$C$224,$C418,'TL07'!$J$10:$J$224),0),
IF('TL07'!$B$229=O$3,SUMIF('TL07'!$C$238:$C$451,$C418,'TL07'!$J$238:$J$451),0),
IF('TL08'!$B$3=O$3,SUMIF('TL08'!$C$10:$C$224,$C418,'TL08'!$J$10:$J$224),0),
IF('TL08'!$B$229=O$3,SUMIF('TL08'!$C$238:$C$451,$C418,'TL08'!$J$238:$J$451),0),
IF('TL09'!$B$3=O$3,SUMIF('TL09'!$C$10:$C$224,$C418,'TL09'!$J$10:$J$224),0),
IF('TL09'!$B$229=O$3,SUMIF('TL09'!$C$238:$C$451,$C418,'TL09'!$J$238:$J$451),0),
IF('TL10'!$B$3=O$3,SUMIF('TL10'!$C$10:$C$224,$C418,'TL10'!$J$10:$J$224),0),
IF('TL10'!$B$229=O$3,SUMIF('TL10'!$C$238:$C$451,$C418,'TL10'!$J$238:$J$451),0),
IF('TL11'!$B$3=O$3,SUMIF('TL11'!$C$10:$C$224,$C418,'TL11'!$J$10:$J$224),0),
IF('TL11'!$B$229=O$3,SUMIF('TL11'!$C$238:$C$451,$C418,'TL11'!$J$238:$J$451),0),
IF('TL12'!$B$3=O$3,SUMIF('TL12'!$C$10:$C$224,$C418,'TL12'!$J$10:$J$224),0),
IF('TL12'!$B$229=O$3,SUMIF('TL12'!$C$238:$C$451,$C418,'TL12'!$J$238:$J$451),0),
IF('TL13'!$B$3=O$3,SUMIF('TL13'!$C$10:$C$224,$C418,'TL13'!$J$10:$J$224),0),
IF('TL13'!$B$229=O$3,SUMIF('TL13'!$C$238:$C$451,$C418,'TL13'!$J$238:$J$451),0),
IF('TL14'!$B$3=O$3,SUMIF('TL14'!$C$10:$C$224,$C418,'TL14'!$J$10:$J$224),0),
IF('TL14'!$B$229=O$3,SUMIF('TL14'!$C$238:$C$451,$C418,'TL14'!$J$238:$J$451),0),
IF('TL15'!$B$3=O$3,SUMIF('TL15'!$C$10:$C$224,$C418,'TL15'!$J$10:$J$224),0),
IF('TL15'!$B$229=O$3,SUMIF('TL15'!$C$238:$C$451,$C418,'TL15'!$J$238:$J$451),0),
IF('TL16'!$B$3=O$3,SUMIF('TL16'!$C$10:$C$224,$C418,'TL16'!$J$10:$J$224),0),
IF('TL16'!$B$229=O$3,SUMIF('TL16'!$C$238:$C$451,$C418,'TL16'!$J$238:$J$451),0),
IF('TL17'!$B$3=O$3,SUMIF('TL17'!$C$10:$C$224,$C418,'TL17'!$J$10:$J$224),0),
IF('TL17'!$B$229=O$3,SUMIF('TL17'!$C$238:$C$451,$C418,'TL17'!$J$238:$J$451),0),
IF('TL18'!$B$3=O$3,SUMIF('TL18'!$C$10:$C$224,$C418,'TL18'!$J$10:$J$224),0),
IF('TL18'!$B$229=O$3,SUMIF('TL18'!$C$238:$C$451,$C418,'TL18'!$J$238:$J$451),0),
IF('TL19'!$B$3=O$3,SUMIF('TL19'!$C$10:$C$224,$C418,'TL19'!$J$10:$J$224),0),
IF('TL19'!$B$229=O$3,SUMIF('TL19'!$C$238:$C$451,$C418,'TL19'!$J$238:$J$451),0)
),0)</f>
        <v/>
      </c>
      <c r="P418" s="138">
        <f>IFERROR(SUM(
IF('TL01'!$B$3=P$3,SUMIF('TL01'!$C$10:$C$224,$C418,'TL01'!$J$10:$J$224),0),
IF('TL01'!$B$229=P$3,SUMIF('TL01'!$C$238:$C$451,$C418,'TL01'!$J$238:$J$451),0),
IF('TL02'!$B$3=P$3,SUMIF('TL02'!$C$10:$C$224,$C418,'TL02'!$J$10:$J$224),0),
IF('TL02'!$B$229=P$3,SUMIF('TL02'!$C$238:$C$451,$C418,'TL02'!$J$238:$J$451),0),
IF('TL03'!$B$3=P$3,SUMIF('TL03'!$C$10:$C$224,$C418,'TL03'!$J$10:$J$224),0),
IF('TL03'!$B$229=P$3,SUMIF('TL03'!$C$238:$C$451,$C418,'TL03'!$J$238:$J$451),0),
IF('TL04'!$B$3=P$3,SUMIF('TL04'!$C$10:$C$224,$C418,'TL04'!$J$10:$J$224),0),
IF('TL04'!$B$229=P$3,SUMIF('TL04'!$C$238:$C$451,$C418,'TL04'!$J$238:$J$451),0),
IF('TL05'!$B$3=P$3,SUMIF('TL05'!$C$10:$C$224,$C418,'TL05'!$J$10:$J$224),0),
IF('TL05'!$B$229=P$3,SUMIF('TL05'!$C$238:$C$451,$C418,'TL05'!$J$238:$J$451),0),
IF('TL06'!$B$3=P$3,SUMIF('TL06'!$C$10:$C$224,$C418,'TL06'!$J$10:$J$224),0),
IF('TL06'!$B$229=P$3,SUMIF('TL06'!$C$238:$C$451,$C418,'TL06'!$J$238:$J$451),0),
IF('TL07'!$B$3=P$3,SUMIF('TL07'!$C$10:$C$224,$C418,'TL07'!$J$10:$J$224),0),
IF('TL07'!$B$229=P$3,SUMIF('TL07'!$C$238:$C$451,$C418,'TL07'!$J$238:$J$451),0),
IF('TL08'!$B$3=P$3,SUMIF('TL08'!$C$10:$C$224,$C418,'TL08'!$J$10:$J$224),0),
IF('TL08'!$B$229=P$3,SUMIF('TL08'!$C$238:$C$451,$C418,'TL08'!$J$238:$J$451),0),
IF('TL09'!$B$3=P$3,SUMIF('TL09'!$C$10:$C$224,$C418,'TL09'!$J$10:$J$224),0),
IF('TL09'!$B$229=P$3,SUMIF('TL09'!$C$238:$C$451,$C418,'TL09'!$J$238:$J$451),0),
IF('TL10'!$B$3=P$3,SUMIF('TL10'!$C$10:$C$224,$C418,'TL10'!$J$10:$J$224),0),
IF('TL10'!$B$229=P$3,SUMIF('TL10'!$C$238:$C$451,$C418,'TL10'!$J$238:$J$451),0),
IF('TL11'!$B$3=P$3,SUMIF('TL11'!$C$10:$C$224,$C418,'TL11'!$J$10:$J$224),0),
IF('TL11'!$B$229=P$3,SUMIF('TL11'!$C$238:$C$451,$C418,'TL11'!$J$238:$J$451),0),
IF('TL12'!$B$3=P$3,SUMIF('TL12'!$C$10:$C$224,$C418,'TL12'!$J$10:$J$224),0),
IF('TL12'!$B$229=P$3,SUMIF('TL12'!$C$238:$C$451,$C418,'TL12'!$J$238:$J$451),0),
IF('TL13'!$B$3=P$3,SUMIF('TL13'!$C$10:$C$224,$C418,'TL13'!$J$10:$J$224),0),
IF('TL13'!$B$229=P$3,SUMIF('TL13'!$C$238:$C$451,$C418,'TL13'!$J$238:$J$451),0),
IF('TL14'!$B$3=P$3,SUMIF('TL14'!$C$10:$C$224,$C418,'TL14'!$J$10:$J$224),0),
IF('TL14'!$B$229=P$3,SUMIF('TL14'!$C$238:$C$451,$C418,'TL14'!$J$238:$J$451),0),
IF('TL15'!$B$3=P$3,SUMIF('TL15'!$C$10:$C$224,$C418,'TL15'!$J$10:$J$224),0),
IF('TL15'!$B$229=P$3,SUMIF('TL15'!$C$238:$C$451,$C418,'TL15'!$J$238:$J$451),0),
IF('TL16'!$B$3=P$3,SUMIF('TL16'!$C$10:$C$224,$C418,'TL16'!$J$10:$J$224),0),
IF('TL16'!$B$229=P$3,SUMIF('TL16'!$C$238:$C$451,$C418,'TL16'!$J$238:$J$451),0),
IF('TL17'!$B$3=P$3,SUMIF('TL17'!$C$10:$C$224,$C418,'TL17'!$J$10:$J$224),0),
IF('TL17'!$B$229=P$3,SUMIF('TL17'!$C$238:$C$451,$C418,'TL17'!$J$238:$J$451),0),
IF('TL18'!$B$3=P$3,SUMIF('TL18'!$C$10:$C$224,$C418,'TL18'!$J$10:$J$224),0),
IF('TL18'!$B$229=P$3,SUMIF('TL18'!$C$238:$C$451,$C418,'TL18'!$J$238:$J$451),0),
IF('TL19'!$B$3=P$3,SUMIF('TL19'!$C$10:$C$224,$C418,'TL19'!$J$10:$J$224),0),
IF('TL19'!$B$229=P$3,SUMIF('TL19'!$C$238:$C$451,$C418,'TL19'!$J$238:$J$451),0)
),0)</f>
        <v/>
      </c>
      <c r="Q418" s="138">
        <f>IFERROR(SUM(
IF('TL01'!$B$3=Q$3,SUMIF('TL01'!$C$10:$C$224,$C418,'TL01'!$J$10:$J$224),0),
IF('TL01'!$B$229=Q$3,SUMIF('TL01'!$C$238:$C$451,$C418,'TL01'!$J$238:$J$451),0),
IF('TL02'!$B$3=Q$3,SUMIF('TL02'!$C$10:$C$224,$C418,'TL02'!$J$10:$J$224),0),
IF('TL02'!$B$229=Q$3,SUMIF('TL02'!$C$238:$C$451,$C418,'TL02'!$J$238:$J$451),0),
IF('TL03'!$B$3=Q$3,SUMIF('TL03'!$C$10:$C$224,$C418,'TL03'!$J$10:$J$224),0),
IF('TL03'!$B$229=Q$3,SUMIF('TL03'!$C$238:$C$451,$C418,'TL03'!$J$238:$J$451),0),
IF('TL04'!$B$3=Q$3,SUMIF('TL04'!$C$10:$C$224,$C418,'TL04'!$J$10:$J$224),0),
IF('TL04'!$B$229=Q$3,SUMIF('TL04'!$C$238:$C$451,$C418,'TL04'!$J$238:$J$451),0),
IF('TL05'!$B$3=Q$3,SUMIF('TL05'!$C$10:$C$224,$C418,'TL05'!$J$10:$J$224),0),
IF('TL05'!$B$229=Q$3,SUMIF('TL05'!$C$238:$C$451,$C418,'TL05'!$J$238:$J$451),0),
IF('TL06'!$B$3=Q$3,SUMIF('TL06'!$C$10:$C$224,$C418,'TL06'!$J$10:$J$224),0),
IF('TL06'!$B$229=Q$3,SUMIF('TL06'!$C$238:$C$451,$C418,'TL06'!$J$238:$J$451),0),
IF('TL07'!$B$3=Q$3,SUMIF('TL07'!$C$10:$C$224,$C418,'TL07'!$J$10:$J$224),0),
IF('TL07'!$B$229=Q$3,SUMIF('TL07'!$C$238:$C$451,$C418,'TL07'!$J$238:$J$451),0),
IF('TL08'!$B$3=Q$3,SUMIF('TL08'!$C$10:$C$224,$C418,'TL08'!$J$10:$J$224),0),
IF('TL08'!$B$229=Q$3,SUMIF('TL08'!$C$238:$C$451,$C418,'TL08'!$J$238:$J$451),0),
IF('TL09'!$B$3=Q$3,SUMIF('TL09'!$C$10:$C$224,$C418,'TL09'!$J$10:$J$224),0),
IF('TL09'!$B$229=Q$3,SUMIF('TL09'!$C$238:$C$451,$C418,'TL09'!$J$238:$J$451),0),
IF('TL10'!$B$3=Q$3,SUMIF('TL10'!$C$10:$C$224,$C418,'TL10'!$J$10:$J$224),0),
IF('TL10'!$B$229=Q$3,SUMIF('TL10'!$C$238:$C$451,$C418,'TL10'!$J$238:$J$451),0),
IF('TL11'!$B$3=Q$3,SUMIF('TL11'!$C$10:$C$224,$C418,'TL11'!$J$10:$J$224),0),
IF('TL11'!$B$229=Q$3,SUMIF('TL11'!$C$238:$C$451,$C418,'TL11'!$J$238:$J$451),0),
IF('TL12'!$B$3=Q$3,SUMIF('TL12'!$C$10:$C$224,$C418,'TL12'!$J$10:$J$224),0),
IF('TL12'!$B$229=Q$3,SUMIF('TL12'!$C$238:$C$451,$C418,'TL12'!$J$238:$J$451),0),
IF('TL13'!$B$3=Q$3,SUMIF('TL13'!$C$10:$C$224,$C418,'TL13'!$J$10:$J$224),0),
IF('TL13'!$B$229=Q$3,SUMIF('TL13'!$C$238:$C$451,$C418,'TL13'!$J$238:$J$451),0),
IF('TL14'!$B$3=Q$3,SUMIF('TL14'!$C$10:$C$224,$C418,'TL14'!$J$10:$J$224),0),
IF('TL14'!$B$229=Q$3,SUMIF('TL14'!$C$238:$C$451,$C418,'TL14'!$J$238:$J$451),0),
IF('TL15'!$B$3=Q$3,SUMIF('TL15'!$C$10:$C$224,$C418,'TL15'!$J$10:$J$224),0),
IF('TL15'!$B$229=Q$3,SUMIF('TL15'!$C$238:$C$451,$C418,'TL15'!$J$238:$J$451),0),
IF('TL16'!$B$3=Q$3,SUMIF('TL16'!$C$10:$C$224,$C418,'TL16'!$J$10:$J$224),0),
IF('TL16'!$B$229=Q$3,SUMIF('TL16'!$C$238:$C$451,$C418,'TL16'!$J$238:$J$451),0),
IF('TL17'!$B$3=Q$3,SUMIF('TL17'!$C$10:$C$224,$C418,'TL17'!$J$10:$J$224),0),
IF('TL17'!$B$229=Q$3,SUMIF('TL17'!$C$238:$C$451,$C418,'TL17'!$J$238:$J$451),0),
IF('TL18'!$B$3=Q$3,SUMIF('TL18'!$C$10:$C$224,$C418,'TL18'!$J$10:$J$224),0),
IF('TL18'!$B$229=Q$3,SUMIF('TL18'!$C$238:$C$451,$C418,'TL18'!$J$238:$J$451),0),
IF('TL19'!$B$3=Q$3,SUMIF('TL19'!$C$10:$C$224,$C418,'TL19'!$J$10:$J$224),0),
IF('TL19'!$B$229=Q$3,SUMIF('TL19'!$C$238:$C$451,$C418,'TL19'!$J$238:$J$451),0)
),0)</f>
        <v/>
      </c>
      <c r="R418" s="139">
        <f>IFERROR(
SUM(
SUMIF('TL01'!C:C,C418,'TL01'!J:J),
SUMIF('TL02'!C:C,C418,'TL02'!I:I),
SUMIF('TL03'!C:C,C418,'TL03'!I:I),
SUMIF('TL04'!C:C,C418,'TL04'!I:I),
SUMIF('TL05'!C:C,C418,'TL05'!I:I),
SUMIF('TL06'!C:C,C418,'TL06'!I:I),
SUMIF('TL07'!C:C,C418,'TL07'!I:I),
SUMIF('TL08'!C:C,C418,'TL08'!I:I),
SUMIF('TL09'!C:C,C418,'TL09'!I:I),
SUMIF('TL10'!C:C,C418,'TL10'!I:I),
SUMIF('TL11'!C:C,C418,'TL11'!I:I),
SUMIF('TL12'!C:C,C418,'TL12'!I:I),
SUMIF('TL13'!C:C,C418,'TL13'!I:I),
SUMIF('TL14'!C:C,C418,'TL14'!I:I),
SUMIF('TL15'!C:C,C418,'TL15'!I:I),
SUMIF('TL16'!C:C,C418,'TL16'!I:I),
SUMIF('TL17'!C:C,C418,'TL17'!I:I),
SUMIF('TL18'!C:C,C418,'TL18'!I:I))
,0)</f>
        <v/>
      </c>
      <c r="S418" s="142">
        <f>'CUSTO OPERAÇÃO'!M22</f>
        <v/>
      </c>
      <c r="T418" s="139" t="n"/>
      <c r="U418" s="143">
        <f>MAX(0,R418-T418)</f>
        <v/>
      </c>
      <c r="V418" s="144">
        <f>U418*S418</f>
        <v/>
      </c>
    </row>
    <row r="419" hidden="1" ht="15.75" customHeight="1" s="297">
      <c r="A419" s="138" t="n"/>
      <c r="B419" s="155" t="n"/>
      <c r="C419" s="138" t="n"/>
      <c r="D419" s="138" t="n"/>
      <c r="E419" s="139" t="n"/>
      <c r="F419" s="138" t="inlineStr">
        <is>
          <t>R$/Ha</t>
        </is>
      </c>
      <c r="G419" s="139" t="n"/>
      <c r="H419" s="140">
        <f>'CUSTO OPERAÇÃO'!J23</f>
        <v/>
      </c>
      <c r="I419" s="156" t="n"/>
      <c r="J419" s="138">
        <f>IFERROR(SUM(
IF('TL01'!$B$3=J$3,SUMIF('TL01'!$C$10:$C$224,$C419,'TL01'!$J$10:$J$224),0),
IF('TL01'!$B$229=J$3,SUMIF('TL01'!$C$238:$C$451,$C419,'TL01'!$J$238:$J$451),0),
IF('TL02'!$B$3=J$3,SUMIF('TL02'!$C$10:$C$224,$C419,'TL02'!$J$10:$J$224),0),
IF('TL02'!$B$229=J$3,SUMIF('TL02'!$C$238:$C$451,$C419,'TL02'!$J$238:$J$451),0),
IF('TL03'!$B$3=J$3,SUMIF('TL03'!$C$10:$C$224,$C419,'TL03'!$J$10:$J$224),0),
IF('TL03'!$B$229=J$3,SUMIF('TL03'!$C$238:$C$451,$C419,'TL03'!$J$238:$J$451),0),
IF('TL04'!$B$3=J$3,SUMIF('TL04'!$C$10:$C$224,$C419,'TL04'!$J$10:$J$224),0),
IF('TL04'!$B$229=J$3,SUMIF('TL04'!$C$238:$C$451,$C419,'TL04'!$J$238:$J$451),0),
IF('TL05'!$B$3=J$3,SUMIF('TL05'!$C$10:$C$224,$C419,'TL05'!$J$10:$J$224),0),
IF('TL05'!$B$229=J$3,SUMIF('TL05'!$C$238:$C$451,$C419,'TL05'!$J$238:$J$451),0),
IF('TL06'!$B$3=J$3,SUMIF('TL06'!$C$10:$C$224,$C419,'TL06'!$J$10:$J$224),0),
IF('TL06'!$B$229=J$3,SUMIF('TL06'!$C$238:$C$451,$C419,'TL06'!$J$238:$J$451),0),
IF('TL07'!$B$3=J$3,SUMIF('TL07'!$C$10:$C$224,$C419,'TL07'!$J$10:$J$224),0),
IF('TL07'!$B$229=J$3,SUMIF('TL07'!$C$238:$C$451,$C419,'TL07'!$J$238:$J$451),0),
IF('TL08'!$B$3=J$3,SUMIF('TL08'!$C$10:$C$224,$C419,'TL08'!$J$10:$J$224),0),
IF('TL08'!$B$229=J$3,SUMIF('TL08'!$C$238:$C$451,$C419,'TL08'!$J$238:$J$451),0),
IF('TL09'!$B$3=J$3,SUMIF('TL09'!$C$10:$C$224,$C419,'TL09'!$J$10:$J$224),0),
IF('TL09'!$B$229=J$3,SUMIF('TL09'!$C$238:$C$451,$C419,'TL09'!$J$238:$J$451),0),
IF('TL10'!$B$3=J$3,SUMIF('TL10'!$C$10:$C$224,$C419,'TL10'!$J$10:$J$224),0),
IF('TL10'!$B$229=J$3,SUMIF('TL10'!$C$238:$C$451,$C419,'TL10'!$J$238:$J$451),0),
IF('TL11'!$B$3=J$3,SUMIF('TL11'!$C$10:$C$224,$C419,'TL11'!$J$10:$J$224),0),
IF('TL11'!$B$229=J$3,SUMIF('TL11'!$C$238:$C$451,$C419,'TL11'!$J$238:$J$451),0),
IF('TL12'!$B$3=J$3,SUMIF('TL12'!$C$10:$C$224,$C419,'TL12'!$J$10:$J$224),0),
IF('TL12'!$B$229=J$3,SUMIF('TL12'!$C$238:$C$451,$C419,'TL12'!$J$238:$J$451),0),
IF('TL13'!$B$3=J$3,SUMIF('TL13'!$C$10:$C$224,$C419,'TL13'!$J$10:$J$224),0),
IF('TL13'!$B$229=J$3,SUMIF('TL13'!$C$238:$C$451,$C419,'TL13'!$J$238:$J$451),0),
IF('TL14'!$B$3=J$3,SUMIF('TL14'!$C$10:$C$224,$C419,'TL14'!$J$10:$J$224),0),
IF('TL14'!$B$229=J$3,SUMIF('TL14'!$C$238:$C$451,$C419,'TL14'!$J$238:$J$451),0),
IF('TL15'!$B$3=J$3,SUMIF('TL15'!$C$10:$C$224,$C419,'TL15'!$J$10:$J$224),0),
IF('TL15'!$B$229=J$3,SUMIF('TL15'!$C$238:$C$451,$C419,'TL15'!$J$238:$J$451),0),
IF('TL16'!$B$3=J$3,SUMIF('TL16'!$C$10:$C$224,$C419,'TL16'!$J$10:$J$224),0),
IF('TL16'!$B$229=J$3,SUMIF('TL16'!$C$238:$C$451,$C419,'TL16'!$J$238:$J$451),0),
IF('TL17'!$B$3=J$3,SUMIF('TL17'!$C$10:$C$224,$C419,'TL17'!$J$10:$J$224),0),
IF('TL17'!$B$229=J$3,SUMIF('TL17'!$C$238:$C$451,$C419,'TL17'!$J$238:$J$451),0),
IF('TL18'!$B$3=J$3,SUMIF('TL18'!$C$10:$C$224,$C419,'TL18'!$J$10:$J$224),0),
IF('TL18'!$B$229=J$3,SUMIF('TL18'!$C$238:$C$451,$C419,'TL18'!$J$238:$J$451),0),
IF('TL19'!$B$3=J$3,SUMIF('TL19'!$C$10:$C$224,$C419,'TL19'!$J$10:$J$224),0),
IF('TL19'!$B$229=J$3,SUMIF('TL19'!$C$238:$C$451,$C419,'TL19'!$J$238:$J$451),0)
),0)</f>
        <v/>
      </c>
      <c r="K419" s="138">
        <f>IFERROR(SUM(
IF('TL01'!$B$3=K$3,SUMIF('TL01'!$C$10:$C$224,$C419,'TL01'!$J$10:$J$224),0),
IF('TL01'!$B$229=K$3,SUMIF('TL01'!$C$238:$C$451,$C419,'TL01'!$J$238:$J$451),0),
IF('TL02'!$B$3=K$3,SUMIF('TL02'!$C$10:$C$224,$C419,'TL02'!$J$10:$J$224),0),
IF('TL02'!$B$229=K$3,SUMIF('TL02'!$C$238:$C$451,$C419,'TL02'!$J$238:$J$451),0),
IF('TL03'!$B$3=K$3,SUMIF('TL03'!$C$10:$C$224,$C419,'TL03'!$J$10:$J$224),0),
IF('TL03'!$B$229=K$3,SUMIF('TL03'!$C$238:$C$451,$C419,'TL03'!$J$238:$J$451),0),
IF('TL04'!$B$3=K$3,SUMIF('TL04'!$C$10:$C$224,$C419,'TL04'!$J$10:$J$224),0),
IF('TL04'!$B$229=K$3,SUMIF('TL04'!$C$238:$C$451,$C419,'TL04'!$J$238:$J$451),0),
IF('TL05'!$B$3=K$3,SUMIF('TL05'!$C$10:$C$224,$C419,'TL05'!$J$10:$J$224),0),
IF('TL05'!$B$229=K$3,SUMIF('TL05'!$C$238:$C$451,$C419,'TL05'!$J$238:$J$451),0),
IF('TL06'!$B$3=K$3,SUMIF('TL06'!$C$10:$C$224,$C419,'TL06'!$J$10:$J$224),0),
IF('TL06'!$B$229=K$3,SUMIF('TL06'!$C$238:$C$451,$C419,'TL06'!$J$238:$J$451),0),
IF('TL07'!$B$3=K$3,SUMIF('TL07'!$C$10:$C$224,$C419,'TL07'!$J$10:$J$224),0),
IF('TL07'!$B$229=K$3,SUMIF('TL07'!$C$238:$C$451,$C419,'TL07'!$J$238:$J$451),0),
IF('TL08'!$B$3=K$3,SUMIF('TL08'!$C$10:$C$224,$C419,'TL08'!$J$10:$J$224),0),
IF('TL08'!$B$229=K$3,SUMIF('TL08'!$C$238:$C$451,$C419,'TL08'!$J$238:$J$451),0),
IF('TL09'!$B$3=K$3,SUMIF('TL09'!$C$10:$C$224,$C419,'TL09'!$J$10:$J$224),0),
IF('TL09'!$B$229=K$3,SUMIF('TL09'!$C$238:$C$451,$C419,'TL09'!$J$238:$J$451),0),
IF('TL10'!$B$3=K$3,SUMIF('TL10'!$C$10:$C$224,$C419,'TL10'!$J$10:$J$224),0),
IF('TL10'!$B$229=K$3,SUMIF('TL10'!$C$238:$C$451,$C419,'TL10'!$J$238:$J$451),0),
IF('TL11'!$B$3=K$3,SUMIF('TL11'!$C$10:$C$224,$C419,'TL11'!$J$10:$J$224),0),
IF('TL11'!$B$229=K$3,SUMIF('TL11'!$C$238:$C$451,$C419,'TL11'!$J$238:$J$451),0),
IF('TL12'!$B$3=K$3,SUMIF('TL12'!$C$10:$C$224,$C419,'TL12'!$J$10:$J$224),0),
IF('TL12'!$B$229=K$3,SUMIF('TL12'!$C$238:$C$451,$C419,'TL12'!$J$238:$J$451),0),
IF('TL13'!$B$3=K$3,SUMIF('TL13'!$C$10:$C$224,$C419,'TL13'!$J$10:$J$224),0),
IF('TL13'!$B$229=K$3,SUMIF('TL13'!$C$238:$C$451,$C419,'TL13'!$J$238:$J$451),0),
IF('TL14'!$B$3=K$3,SUMIF('TL14'!$C$10:$C$224,$C419,'TL14'!$J$10:$J$224),0),
IF('TL14'!$B$229=K$3,SUMIF('TL14'!$C$238:$C$451,$C419,'TL14'!$J$238:$J$451),0),
IF('TL15'!$B$3=K$3,SUMIF('TL15'!$C$10:$C$224,$C419,'TL15'!$J$10:$J$224),0),
IF('TL15'!$B$229=K$3,SUMIF('TL15'!$C$238:$C$451,$C419,'TL15'!$J$238:$J$451),0),
IF('TL16'!$B$3=K$3,SUMIF('TL16'!$C$10:$C$224,$C419,'TL16'!$J$10:$J$224),0),
IF('TL16'!$B$229=K$3,SUMIF('TL16'!$C$238:$C$451,$C419,'TL16'!$J$238:$J$451),0),
IF('TL17'!$B$3=K$3,SUMIF('TL17'!$C$10:$C$224,$C419,'TL17'!$J$10:$J$224),0),
IF('TL17'!$B$229=K$3,SUMIF('TL17'!$C$238:$C$451,$C419,'TL17'!$J$238:$J$451),0),
IF('TL18'!$B$3=K$3,SUMIF('TL18'!$C$10:$C$224,$C419,'TL18'!$J$10:$J$224),0),
IF('TL18'!$B$229=K$3,SUMIF('TL18'!$C$238:$C$451,$C419,'TL18'!$J$238:$J$451),0),
IF('TL19'!$B$3=K$3,SUMIF('TL19'!$C$10:$C$224,$C419,'TL19'!$J$10:$J$224),0),
IF('TL19'!$B$229=K$3,SUMIF('TL19'!$C$238:$C$451,$C419,'TL19'!$J$238:$J$451),0)
),0)</f>
        <v/>
      </c>
      <c r="L419" s="138">
        <f>IFERROR(SUM(
IF('TL01'!$B$3=L$3,SUMIF('TL01'!$C$10:$C$224,$C419,'TL01'!$J$10:$J$224),0),
IF('TL01'!$B$229=L$3,SUMIF('TL01'!$C$238:$C$451,$C419,'TL01'!$J$238:$J$451),0),
IF('TL02'!$B$3=L$3,SUMIF('TL02'!$C$10:$C$224,$C419,'TL02'!$J$10:$J$224),0),
IF('TL02'!$B$229=L$3,SUMIF('TL02'!$C$238:$C$451,$C419,'TL02'!$J$238:$J$451),0),
IF('TL03'!$B$3=L$3,SUMIF('TL03'!$C$10:$C$224,$C419,'TL03'!$J$10:$J$224),0),
IF('TL03'!$B$229=L$3,SUMIF('TL03'!$C$238:$C$451,$C419,'TL03'!$J$238:$J$451),0),
IF('TL04'!$B$3=L$3,SUMIF('TL04'!$C$10:$C$224,$C419,'TL04'!$J$10:$J$224),0),
IF('TL04'!$B$229=L$3,SUMIF('TL04'!$C$238:$C$451,$C419,'TL04'!$J$238:$J$451),0),
IF('TL05'!$B$3=L$3,SUMIF('TL05'!$C$10:$C$224,$C419,'TL05'!$J$10:$J$224),0),
IF('TL05'!$B$229=L$3,SUMIF('TL05'!$C$238:$C$451,$C419,'TL05'!$J$238:$J$451),0),
IF('TL06'!$B$3=L$3,SUMIF('TL06'!$C$10:$C$224,$C419,'TL06'!$J$10:$J$224),0),
IF('TL06'!$B$229=L$3,SUMIF('TL06'!$C$238:$C$451,$C419,'TL06'!$J$238:$J$451),0),
IF('TL07'!$B$3=L$3,SUMIF('TL07'!$C$10:$C$224,$C419,'TL07'!$J$10:$J$224),0),
IF('TL07'!$B$229=L$3,SUMIF('TL07'!$C$238:$C$451,$C419,'TL07'!$J$238:$J$451),0),
IF('TL08'!$B$3=L$3,SUMIF('TL08'!$C$10:$C$224,$C419,'TL08'!$J$10:$J$224),0),
IF('TL08'!$B$229=L$3,SUMIF('TL08'!$C$238:$C$451,$C419,'TL08'!$J$238:$J$451),0),
IF('TL09'!$B$3=L$3,SUMIF('TL09'!$C$10:$C$224,$C419,'TL09'!$J$10:$J$224),0),
IF('TL09'!$B$229=L$3,SUMIF('TL09'!$C$238:$C$451,$C419,'TL09'!$J$238:$J$451),0),
IF('TL10'!$B$3=L$3,SUMIF('TL10'!$C$10:$C$224,$C419,'TL10'!$J$10:$J$224),0),
IF('TL10'!$B$229=L$3,SUMIF('TL10'!$C$238:$C$451,$C419,'TL10'!$J$238:$J$451),0),
IF('TL11'!$B$3=L$3,SUMIF('TL11'!$C$10:$C$224,$C419,'TL11'!$J$10:$J$224),0),
IF('TL11'!$B$229=L$3,SUMIF('TL11'!$C$238:$C$451,$C419,'TL11'!$J$238:$J$451),0),
IF('TL12'!$B$3=L$3,SUMIF('TL12'!$C$10:$C$224,$C419,'TL12'!$J$10:$J$224),0),
IF('TL12'!$B$229=L$3,SUMIF('TL12'!$C$238:$C$451,$C419,'TL12'!$J$238:$J$451),0),
IF('TL13'!$B$3=L$3,SUMIF('TL13'!$C$10:$C$224,$C419,'TL13'!$J$10:$J$224),0),
IF('TL13'!$B$229=L$3,SUMIF('TL13'!$C$238:$C$451,$C419,'TL13'!$J$238:$J$451),0),
IF('TL14'!$B$3=L$3,SUMIF('TL14'!$C$10:$C$224,$C419,'TL14'!$J$10:$J$224),0),
IF('TL14'!$B$229=L$3,SUMIF('TL14'!$C$238:$C$451,$C419,'TL14'!$J$238:$J$451),0),
IF('TL15'!$B$3=L$3,SUMIF('TL15'!$C$10:$C$224,$C419,'TL15'!$J$10:$J$224),0),
IF('TL15'!$B$229=L$3,SUMIF('TL15'!$C$238:$C$451,$C419,'TL15'!$J$238:$J$451),0),
IF('TL16'!$B$3=L$3,SUMIF('TL16'!$C$10:$C$224,$C419,'TL16'!$J$10:$J$224),0),
IF('TL16'!$B$229=L$3,SUMIF('TL16'!$C$238:$C$451,$C419,'TL16'!$J$238:$J$451),0),
IF('TL17'!$B$3=L$3,SUMIF('TL17'!$C$10:$C$224,$C419,'TL17'!$J$10:$J$224),0),
IF('TL17'!$B$229=L$3,SUMIF('TL17'!$C$238:$C$451,$C419,'TL17'!$J$238:$J$451),0),
IF('TL18'!$B$3=L$3,SUMIF('TL18'!$C$10:$C$224,$C419,'TL18'!$J$10:$J$224),0),
IF('TL18'!$B$229=L$3,SUMIF('TL18'!$C$238:$C$451,$C419,'TL18'!$J$238:$J$451),0),
IF('TL19'!$B$3=L$3,SUMIF('TL19'!$C$10:$C$224,$C419,'TL19'!$J$10:$J$224),0),
IF('TL19'!$B$229=L$3,SUMIF('TL19'!$C$238:$C$451,$C419,'TL19'!$J$238:$J$451),0)
),0)</f>
        <v/>
      </c>
      <c r="M419" s="138">
        <f>IFERROR(SUM(
IF('TL01'!$B$3=M$3,SUMIF('TL01'!$C$10:$C$224,$C419,'TL01'!$J$10:$J$224),0),
IF('TL01'!$B$229=M$3,SUMIF('TL01'!$C$238:$C$451,$C419,'TL01'!$J$238:$J$451),0),
IF('TL02'!$B$3=M$3,SUMIF('TL02'!$C$10:$C$224,$C419,'TL02'!$J$10:$J$224),0),
IF('TL02'!$B$229=M$3,SUMIF('TL02'!$C$238:$C$451,$C419,'TL02'!$J$238:$J$451),0),
IF('TL03'!$B$3=M$3,SUMIF('TL03'!$C$10:$C$224,$C419,'TL03'!$J$10:$J$224),0),
IF('TL03'!$B$229=M$3,SUMIF('TL03'!$C$238:$C$451,$C419,'TL03'!$J$238:$J$451),0),
IF('TL04'!$B$3=M$3,SUMIF('TL04'!$C$10:$C$224,$C419,'TL04'!$J$10:$J$224),0),
IF('TL04'!$B$229=M$3,SUMIF('TL04'!$C$238:$C$451,$C419,'TL04'!$J$238:$J$451),0),
IF('TL05'!$B$3=M$3,SUMIF('TL05'!$C$10:$C$224,$C419,'TL05'!$J$10:$J$224),0),
IF('TL05'!$B$229=M$3,SUMIF('TL05'!$C$238:$C$451,$C419,'TL05'!$J$238:$J$451),0),
IF('TL06'!$B$3=M$3,SUMIF('TL06'!$C$10:$C$224,$C419,'TL06'!$J$10:$J$224),0),
IF('TL06'!$B$229=M$3,SUMIF('TL06'!$C$238:$C$451,$C419,'TL06'!$J$238:$J$451),0),
IF('TL07'!$B$3=M$3,SUMIF('TL07'!$C$10:$C$224,$C419,'TL07'!$J$10:$J$224),0),
IF('TL07'!$B$229=M$3,SUMIF('TL07'!$C$238:$C$451,$C419,'TL07'!$J$238:$J$451),0),
IF('TL08'!$B$3=M$3,SUMIF('TL08'!$C$10:$C$224,$C419,'TL08'!$J$10:$J$224),0),
IF('TL08'!$B$229=M$3,SUMIF('TL08'!$C$238:$C$451,$C419,'TL08'!$J$238:$J$451),0),
IF('TL09'!$B$3=M$3,SUMIF('TL09'!$C$10:$C$224,$C419,'TL09'!$J$10:$J$224),0),
IF('TL09'!$B$229=M$3,SUMIF('TL09'!$C$238:$C$451,$C419,'TL09'!$J$238:$J$451),0),
IF('TL10'!$B$3=M$3,SUMIF('TL10'!$C$10:$C$224,$C419,'TL10'!$J$10:$J$224),0),
IF('TL10'!$B$229=M$3,SUMIF('TL10'!$C$238:$C$451,$C419,'TL10'!$J$238:$J$451),0),
IF('TL11'!$B$3=M$3,SUMIF('TL11'!$C$10:$C$224,$C419,'TL11'!$J$10:$J$224),0),
IF('TL11'!$B$229=M$3,SUMIF('TL11'!$C$238:$C$451,$C419,'TL11'!$J$238:$J$451),0),
IF('TL12'!$B$3=M$3,SUMIF('TL12'!$C$10:$C$224,$C419,'TL12'!$J$10:$J$224),0),
IF('TL12'!$B$229=M$3,SUMIF('TL12'!$C$238:$C$451,$C419,'TL12'!$J$238:$J$451),0),
IF('TL13'!$B$3=M$3,SUMIF('TL13'!$C$10:$C$224,$C419,'TL13'!$J$10:$J$224),0),
IF('TL13'!$B$229=M$3,SUMIF('TL13'!$C$238:$C$451,$C419,'TL13'!$J$238:$J$451),0),
IF('TL14'!$B$3=M$3,SUMIF('TL14'!$C$10:$C$224,$C419,'TL14'!$J$10:$J$224),0),
IF('TL14'!$B$229=M$3,SUMIF('TL14'!$C$238:$C$451,$C419,'TL14'!$J$238:$J$451),0),
IF('TL15'!$B$3=M$3,SUMIF('TL15'!$C$10:$C$224,$C419,'TL15'!$J$10:$J$224),0),
IF('TL15'!$B$229=M$3,SUMIF('TL15'!$C$238:$C$451,$C419,'TL15'!$J$238:$J$451),0),
IF('TL16'!$B$3=M$3,SUMIF('TL16'!$C$10:$C$224,$C419,'TL16'!$J$10:$J$224),0),
IF('TL16'!$B$229=M$3,SUMIF('TL16'!$C$238:$C$451,$C419,'TL16'!$J$238:$J$451),0),
IF('TL17'!$B$3=M$3,SUMIF('TL17'!$C$10:$C$224,$C419,'TL17'!$J$10:$J$224),0),
IF('TL17'!$B$229=M$3,SUMIF('TL17'!$C$238:$C$451,$C419,'TL17'!$J$238:$J$451),0),
IF('TL18'!$B$3=M$3,SUMIF('TL18'!$C$10:$C$224,$C419,'TL18'!$J$10:$J$224),0),
IF('TL18'!$B$229=M$3,SUMIF('TL18'!$C$238:$C$451,$C419,'TL18'!$J$238:$J$451),0),
IF('TL19'!$B$3=M$3,SUMIF('TL19'!$C$10:$C$224,$C419,'TL19'!$J$10:$J$224),0),
IF('TL19'!$B$229=M$3,SUMIF('TL19'!$C$238:$C$451,$C419,'TL19'!$J$238:$J$451),0)
),0)</f>
        <v/>
      </c>
      <c r="N419" s="138">
        <f>IFERROR(SUM(
IF('TL01'!$B$3=N$3,SUMIF('TL01'!$C$10:$C$224,$C419,'TL01'!$J$10:$J$224),0),
IF('TL01'!$B$229=N$3,SUMIF('TL01'!$C$238:$C$451,$C419,'TL01'!$J$238:$J$451),0),
IF('TL02'!$B$3=N$3,SUMIF('TL02'!$C$10:$C$224,$C419,'TL02'!$J$10:$J$224),0),
IF('TL02'!$B$229=N$3,SUMIF('TL02'!$C$238:$C$451,$C419,'TL02'!$J$238:$J$451),0),
IF('TL03'!$B$3=N$3,SUMIF('TL03'!$C$10:$C$224,$C419,'TL03'!$J$10:$J$224),0),
IF('TL03'!$B$229=N$3,SUMIF('TL03'!$C$238:$C$451,$C419,'TL03'!$J$238:$J$451),0),
IF('TL04'!$B$3=N$3,SUMIF('TL04'!$C$10:$C$224,$C419,'TL04'!$J$10:$J$224),0),
IF('TL04'!$B$229=N$3,SUMIF('TL04'!$C$238:$C$451,$C419,'TL04'!$J$238:$J$451),0),
IF('TL05'!$B$3=N$3,SUMIF('TL05'!$C$10:$C$224,$C419,'TL05'!$J$10:$J$224),0),
IF('TL05'!$B$229=N$3,SUMIF('TL05'!$C$238:$C$451,$C419,'TL05'!$J$238:$J$451),0),
IF('TL06'!$B$3=N$3,SUMIF('TL06'!$C$10:$C$224,$C419,'TL06'!$J$10:$J$224),0),
IF('TL06'!$B$229=N$3,SUMIF('TL06'!$C$238:$C$451,$C419,'TL06'!$J$238:$J$451),0),
IF('TL07'!$B$3=N$3,SUMIF('TL07'!$C$10:$C$224,$C419,'TL07'!$J$10:$J$224),0),
IF('TL07'!$B$229=N$3,SUMIF('TL07'!$C$238:$C$451,$C419,'TL07'!$J$238:$J$451),0),
IF('TL08'!$B$3=N$3,SUMIF('TL08'!$C$10:$C$224,$C419,'TL08'!$J$10:$J$224),0),
IF('TL08'!$B$229=N$3,SUMIF('TL08'!$C$238:$C$451,$C419,'TL08'!$J$238:$J$451),0),
IF('TL09'!$B$3=N$3,SUMIF('TL09'!$C$10:$C$224,$C419,'TL09'!$J$10:$J$224),0),
IF('TL09'!$B$229=N$3,SUMIF('TL09'!$C$238:$C$451,$C419,'TL09'!$J$238:$J$451),0),
IF('TL10'!$B$3=N$3,SUMIF('TL10'!$C$10:$C$224,$C419,'TL10'!$J$10:$J$224),0),
IF('TL10'!$B$229=N$3,SUMIF('TL10'!$C$238:$C$451,$C419,'TL10'!$J$238:$J$451),0),
IF('TL11'!$B$3=N$3,SUMIF('TL11'!$C$10:$C$224,$C419,'TL11'!$J$10:$J$224),0),
IF('TL11'!$B$229=N$3,SUMIF('TL11'!$C$238:$C$451,$C419,'TL11'!$J$238:$J$451),0),
IF('TL12'!$B$3=N$3,SUMIF('TL12'!$C$10:$C$224,$C419,'TL12'!$J$10:$J$224),0),
IF('TL12'!$B$229=N$3,SUMIF('TL12'!$C$238:$C$451,$C419,'TL12'!$J$238:$J$451),0),
IF('TL13'!$B$3=N$3,SUMIF('TL13'!$C$10:$C$224,$C419,'TL13'!$J$10:$J$224),0),
IF('TL13'!$B$229=N$3,SUMIF('TL13'!$C$238:$C$451,$C419,'TL13'!$J$238:$J$451),0),
IF('TL14'!$B$3=N$3,SUMIF('TL14'!$C$10:$C$224,$C419,'TL14'!$J$10:$J$224),0),
IF('TL14'!$B$229=N$3,SUMIF('TL14'!$C$238:$C$451,$C419,'TL14'!$J$238:$J$451),0),
IF('TL15'!$B$3=N$3,SUMIF('TL15'!$C$10:$C$224,$C419,'TL15'!$J$10:$J$224),0),
IF('TL15'!$B$229=N$3,SUMIF('TL15'!$C$238:$C$451,$C419,'TL15'!$J$238:$J$451),0),
IF('TL16'!$B$3=N$3,SUMIF('TL16'!$C$10:$C$224,$C419,'TL16'!$J$10:$J$224),0),
IF('TL16'!$B$229=N$3,SUMIF('TL16'!$C$238:$C$451,$C419,'TL16'!$J$238:$J$451),0),
IF('TL17'!$B$3=N$3,SUMIF('TL17'!$C$10:$C$224,$C419,'TL17'!$J$10:$J$224),0),
IF('TL17'!$B$229=N$3,SUMIF('TL17'!$C$238:$C$451,$C419,'TL17'!$J$238:$J$451),0),
IF('TL18'!$B$3=N$3,SUMIF('TL18'!$C$10:$C$224,$C419,'TL18'!$J$10:$J$224),0),
IF('TL18'!$B$229=N$3,SUMIF('TL18'!$C$238:$C$451,$C419,'TL18'!$J$238:$J$451),0),
IF('TL19'!$B$3=N$3,SUMIF('TL19'!$C$10:$C$224,$C419,'TL19'!$J$10:$J$224),0),
IF('TL19'!$B$229=N$3,SUMIF('TL19'!$C$238:$C$451,$C419,'TL19'!$J$238:$J$451),0)
),0)</f>
        <v/>
      </c>
      <c r="O419" s="138">
        <f>IFERROR(SUM(
IF('TL01'!$B$3=O$3,SUMIF('TL01'!$C$10:$C$224,$C419,'TL01'!$J$10:$J$224),0),
IF('TL01'!$B$229=O$3,SUMIF('TL01'!$C$238:$C$451,$C419,'TL01'!$J$238:$J$451),0),
IF('TL02'!$B$3=O$3,SUMIF('TL02'!$C$10:$C$224,$C419,'TL02'!$J$10:$J$224),0),
IF('TL02'!$B$229=O$3,SUMIF('TL02'!$C$238:$C$451,$C419,'TL02'!$J$238:$J$451),0),
IF('TL03'!$B$3=O$3,SUMIF('TL03'!$C$10:$C$224,$C419,'TL03'!$J$10:$J$224),0),
IF('TL03'!$B$229=O$3,SUMIF('TL03'!$C$238:$C$451,$C419,'TL03'!$J$238:$J$451),0),
IF('TL04'!$B$3=O$3,SUMIF('TL04'!$C$10:$C$224,$C419,'TL04'!$J$10:$J$224),0),
IF('TL04'!$B$229=O$3,SUMIF('TL04'!$C$238:$C$451,$C419,'TL04'!$J$238:$J$451),0),
IF('TL05'!$B$3=O$3,SUMIF('TL05'!$C$10:$C$224,$C419,'TL05'!$J$10:$J$224),0),
IF('TL05'!$B$229=O$3,SUMIF('TL05'!$C$238:$C$451,$C419,'TL05'!$J$238:$J$451),0),
IF('TL06'!$B$3=O$3,SUMIF('TL06'!$C$10:$C$224,$C419,'TL06'!$J$10:$J$224),0),
IF('TL06'!$B$229=O$3,SUMIF('TL06'!$C$238:$C$451,$C419,'TL06'!$J$238:$J$451),0),
IF('TL07'!$B$3=O$3,SUMIF('TL07'!$C$10:$C$224,$C419,'TL07'!$J$10:$J$224),0),
IF('TL07'!$B$229=O$3,SUMIF('TL07'!$C$238:$C$451,$C419,'TL07'!$J$238:$J$451),0),
IF('TL08'!$B$3=O$3,SUMIF('TL08'!$C$10:$C$224,$C419,'TL08'!$J$10:$J$224),0),
IF('TL08'!$B$229=O$3,SUMIF('TL08'!$C$238:$C$451,$C419,'TL08'!$J$238:$J$451),0),
IF('TL09'!$B$3=O$3,SUMIF('TL09'!$C$10:$C$224,$C419,'TL09'!$J$10:$J$224),0),
IF('TL09'!$B$229=O$3,SUMIF('TL09'!$C$238:$C$451,$C419,'TL09'!$J$238:$J$451),0),
IF('TL10'!$B$3=O$3,SUMIF('TL10'!$C$10:$C$224,$C419,'TL10'!$J$10:$J$224),0),
IF('TL10'!$B$229=O$3,SUMIF('TL10'!$C$238:$C$451,$C419,'TL10'!$J$238:$J$451),0),
IF('TL11'!$B$3=O$3,SUMIF('TL11'!$C$10:$C$224,$C419,'TL11'!$J$10:$J$224),0),
IF('TL11'!$B$229=O$3,SUMIF('TL11'!$C$238:$C$451,$C419,'TL11'!$J$238:$J$451),0),
IF('TL12'!$B$3=O$3,SUMIF('TL12'!$C$10:$C$224,$C419,'TL12'!$J$10:$J$224),0),
IF('TL12'!$B$229=O$3,SUMIF('TL12'!$C$238:$C$451,$C419,'TL12'!$J$238:$J$451),0),
IF('TL13'!$B$3=O$3,SUMIF('TL13'!$C$10:$C$224,$C419,'TL13'!$J$10:$J$224),0),
IF('TL13'!$B$229=O$3,SUMIF('TL13'!$C$238:$C$451,$C419,'TL13'!$J$238:$J$451),0),
IF('TL14'!$B$3=O$3,SUMIF('TL14'!$C$10:$C$224,$C419,'TL14'!$J$10:$J$224),0),
IF('TL14'!$B$229=O$3,SUMIF('TL14'!$C$238:$C$451,$C419,'TL14'!$J$238:$J$451),0),
IF('TL15'!$B$3=O$3,SUMIF('TL15'!$C$10:$C$224,$C419,'TL15'!$J$10:$J$224),0),
IF('TL15'!$B$229=O$3,SUMIF('TL15'!$C$238:$C$451,$C419,'TL15'!$J$238:$J$451),0),
IF('TL16'!$B$3=O$3,SUMIF('TL16'!$C$10:$C$224,$C419,'TL16'!$J$10:$J$224),0),
IF('TL16'!$B$229=O$3,SUMIF('TL16'!$C$238:$C$451,$C419,'TL16'!$J$238:$J$451),0),
IF('TL17'!$B$3=O$3,SUMIF('TL17'!$C$10:$C$224,$C419,'TL17'!$J$10:$J$224),0),
IF('TL17'!$B$229=O$3,SUMIF('TL17'!$C$238:$C$451,$C419,'TL17'!$J$238:$J$451),0),
IF('TL18'!$B$3=O$3,SUMIF('TL18'!$C$10:$C$224,$C419,'TL18'!$J$10:$J$224),0),
IF('TL18'!$B$229=O$3,SUMIF('TL18'!$C$238:$C$451,$C419,'TL18'!$J$238:$J$451),0),
IF('TL19'!$B$3=O$3,SUMIF('TL19'!$C$10:$C$224,$C419,'TL19'!$J$10:$J$224),0),
IF('TL19'!$B$229=O$3,SUMIF('TL19'!$C$238:$C$451,$C419,'TL19'!$J$238:$J$451),0)
),0)</f>
        <v/>
      </c>
      <c r="P419" s="138">
        <f>IFERROR(SUM(
IF('TL01'!$B$3=P$3,SUMIF('TL01'!$C$10:$C$224,$C419,'TL01'!$J$10:$J$224),0),
IF('TL01'!$B$229=P$3,SUMIF('TL01'!$C$238:$C$451,$C419,'TL01'!$J$238:$J$451),0),
IF('TL02'!$B$3=P$3,SUMIF('TL02'!$C$10:$C$224,$C419,'TL02'!$J$10:$J$224),0),
IF('TL02'!$B$229=P$3,SUMIF('TL02'!$C$238:$C$451,$C419,'TL02'!$J$238:$J$451),0),
IF('TL03'!$B$3=P$3,SUMIF('TL03'!$C$10:$C$224,$C419,'TL03'!$J$10:$J$224),0),
IF('TL03'!$B$229=P$3,SUMIF('TL03'!$C$238:$C$451,$C419,'TL03'!$J$238:$J$451),0),
IF('TL04'!$B$3=P$3,SUMIF('TL04'!$C$10:$C$224,$C419,'TL04'!$J$10:$J$224),0),
IF('TL04'!$B$229=P$3,SUMIF('TL04'!$C$238:$C$451,$C419,'TL04'!$J$238:$J$451),0),
IF('TL05'!$B$3=P$3,SUMIF('TL05'!$C$10:$C$224,$C419,'TL05'!$J$10:$J$224),0),
IF('TL05'!$B$229=P$3,SUMIF('TL05'!$C$238:$C$451,$C419,'TL05'!$J$238:$J$451),0),
IF('TL06'!$B$3=P$3,SUMIF('TL06'!$C$10:$C$224,$C419,'TL06'!$J$10:$J$224),0),
IF('TL06'!$B$229=P$3,SUMIF('TL06'!$C$238:$C$451,$C419,'TL06'!$J$238:$J$451),0),
IF('TL07'!$B$3=P$3,SUMIF('TL07'!$C$10:$C$224,$C419,'TL07'!$J$10:$J$224),0),
IF('TL07'!$B$229=P$3,SUMIF('TL07'!$C$238:$C$451,$C419,'TL07'!$J$238:$J$451),0),
IF('TL08'!$B$3=P$3,SUMIF('TL08'!$C$10:$C$224,$C419,'TL08'!$J$10:$J$224),0),
IF('TL08'!$B$229=P$3,SUMIF('TL08'!$C$238:$C$451,$C419,'TL08'!$J$238:$J$451),0),
IF('TL09'!$B$3=P$3,SUMIF('TL09'!$C$10:$C$224,$C419,'TL09'!$J$10:$J$224),0),
IF('TL09'!$B$229=P$3,SUMIF('TL09'!$C$238:$C$451,$C419,'TL09'!$J$238:$J$451),0),
IF('TL10'!$B$3=P$3,SUMIF('TL10'!$C$10:$C$224,$C419,'TL10'!$J$10:$J$224),0),
IF('TL10'!$B$229=P$3,SUMIF('TL10'!$C$238:$C$451,$C419,'TL10'!$J$238:$J$451),0),
IF('TL11'!$B$3=P$3,SUMIF('TL11'!$C$10:$C$224,$C419,'TL11'!$J$10:$J$224),0),
IF('TL11'!$B$229=P$3,SUMIF('TL11'!$C$238:$C$451,$C419,'TL11'!$J$238:$J$451),0),
IF('TL12'!$B$3=P$3,SUMIF('TL12'!$C$10:$C$224,$C419,'TL12'!$J$10:$J$224),0),
IF('TL12'!$B$229=P$3,SUMIF('TL12'!$C$238:$C$451,$C419,'TL12'!$J$238:$J$451),0),
IF('TL13'!$B$3=P$3,SUMIF('TL13'!$C$10:$C$224,$C419,'TL13'!$J$10:$J$224),0),
IF('TL13'!$B$229=P$3,SUMIF('TL13'!$C$238:$C$451,$C419,'TL13'!$J$238:$J$451),0),
IF('TL14'!$B$3=P$3,SUMIF('TL14'!$C$10:$C$224,$C419,'TL14'!$J$10:$J$224),0),
IF('TL14'!$B$229=P$3,SUMIF('TL14'!$C$238:$C$451,$C419,'TL14'!$J$238:$J$451),0),
IF('TL15'!$B$3=P$3,SUMIF('TL15'!$C$10:$C$224,$C419,'TL15'!$J$10:$J$224),0),
IF('TL15'!$B$229=P$3,SUMIF('TL15'!$C$238:$C$451,$C419,'TL15'!$J$238:$J$451),0),
IF('TL16'!$B$3=P$3,SUMIF('TL16'!$C$10:$C$224,$C419,'TL16'!$J$10:$J$224),0),
IF('TL16'!$B$229=P$3,SUMIF('TL16'!$C$238:$C$451,$C419,'TL16'!$J$238:$J$451),0),
IF('TL17'!$B$3=P$3,SUMIF('TL17'!$C$10:$C$224,$C419,'TL17'!$J$10:$J$224),0),
IF('TL17'!$B$229=P$3,SUMIF('TL17'!$C$238:$C$451,$C419,'TL17'!$J$238:$J$451),0),
IF('TL18'!$B$3=P$3,SUMIF('TL18'!$C$10:$C$224,$C419,'TL18'!$J$10:$J$224),0),
IF('TL18'!$B$229=P$3,SUMIF('TL18'!$C$238:$C$451,$C419,'TL18'!$J$238:$J$451),0),
IF('TL19'!$B$3=P$3,SUMIF('TL19'!$C$10:$C$224,$C419,'TL19'!$J$10:$J$224),0),
IF('TL19'!$B$229=P$3,SUMIF('TL19'!$C$238:$C$451,$C419,'TL19'!$J$238:$J$451),0)
),0)</f>
        <v/>
      </c>
      <c r="Q419" s="138">
        <f>IFERROR(SUM(
IF('TL01'!$B$3=Q$3,SUMIF('TL01'!$C$10:$C$224,$C419,'TL01'!$J$10:$J$224),0),
IF('TL01'!$B$229=Q$3,SUMIF('TL01'!$C$238:$C$451,$C419,'TL01'!$J$238:$J$451),0),
IF('TL02'!$B$3=Q$3,SUMIF('TL02'!$C$10:$C$224,$C419,'TL02'!$J$10:$J$224),0),
IF('TL02'!$B$229=Q$3,SUMIF('TL02'!$C$238:$C$451,$C419,'TL02'!$J$238:$J$451),0),
IF('TL03'!$B$3=Q$3,SUMIF('TL03'!$C$10:$C$224,$C419,'TL03'!$J$10:$J$224),0),
IF('TL03'!$B$229=Q$3,SUMIF('TL03'!$C$238:$C$451,$C419,'TL03'!$J$238:$J$451),0),
IF('TL04'!$B$3=Q$3,SUMIF('TL04'!$C$10:$C$224,$C419,'TL04'!$J$10:$J$224),0),
IF('TL04'!$B$229=Q$3,SUMIF('TL04'!$C$238:$C$451,$C419,'TL04'!$J$238:$J$451),0),
IF('TL05'!$B$3=Q$3,SUMIF('TL05'!$C$10:$C$224,$C419,'TL05'!$J$10:$J$224),0),
IF('TL05'!$B$229=Q$3,SUMIF('TL05'!$C$238:$C$451,$C419,'TL05'!$J$238:$J$451),0),
IF('TL06'!$B$3=Q$3,SUMIF('TL06'!$C$10:$C$224,$C419,'TL06'!$J$10:$J$224),0),
IF('TL06'!$B$229=Q$3,SUMIF('TL06'!$C$238:$C$451,$C419,'TL06'!$J$238:$J$451),0),
IF('TL07'!$B$3=Q$3,SUMIF('TL07'!$C$10:$C$224,$C419,'TL07'!$J$10:$J$224),0),
IF('TL07'!$B$229=Q$3,SUMIF('TL07'!$C$238:$C$451,$C419,'TL07'!$J$238:$J$451),0),
IF('TL08'!$B$3=Q$3,SUMIF('TL08'!$C$10:$C$224,$C419,'TL08'!$J$10:$J$224),0),
IF('TL08'!$B$229=Q$3,SUMIF('TL08'!$C$238:$C$451,$C419,'TL08'!$J$238:$J$451),0),
IF('TL09'!$B$3=Q$3,SUMIF('TL09'!$C$10:$C$224,$C419,'TL09'!$J$10:$J$224),0),
IF('TL09'!$B$229=Q$3,SUMIF('TL09'!$C$238:$C$451,$C419,'TL09'!$J$238:$J$451),0),
IF('TL10'!$B$3=Q$3,SUMIF('TL10'!$C$10:$C$224,$C419,'TL10'!$J$10:$J$224),0),
IF('TL10'!$B$229=Q$3,SUMIF('TL10'!$C$238:$C$451,$C419,'TL10'!$J$238:$J$451),0),
IF('TL11'!$B$3=Q$3,SUMIF('TL11'!$C$10:$C$224,$C419,'TL11'!$J$10:$J$224),0),
IF('TL11'!$B$229=Q$3,SUMIF('TL11'!$C$238:$C$451,$C419,'TL11'!$J$238:$J$451),0),
IF('TL12'!$B$3=Q$3,SUMIF('TL12'!$C$10:$C$224,$C419,'TL12'!$J$10:$J$224),0),
IF('TL12'!$B$229=Q$3,SUMIF('TL12'!$C$238:$C$451,$C419,'TL12'!$J$238:$J$451),0),
IF('TL13'!$B$3=Q$3,SUMIF('TL13'!$C$10:$C$224,$C419,'TL13'!$J$10:$J$224),0),
IF('TL13'!$B$229=Q$3,SUMIF('TL13'!$C$238:$C$451,$C419,'TL13'!$J$238:$J$451),0),
IF('TL14'!$B$3=Q$3,SUMIF('TL14'!$C$10:$C$224,$C419,'TL14'!$J$10:$J$224),0),
IF('TL14'!$B$229=Q$3,SUMIF('TL14'!$C$238:$C$451,$C419,'TL14'!$J$238:$J$451),0),
IF('TL15'!$B$3=Q$3,SUMIF('TL15'!$C$10:$C$224,$C419,'TL15'!$J$10:$J$224),0),
IF('TL15'!$B$229=Q$3,SUMIF('TL15'!$C$238:$C$451,$C419,'TL15'!$J$238:$J$451),0),
IF('TL16'!$B$3=Q$3,SUMIF('TL16'!$C$10:$C$224,$C419,'TL16'!$J$10:$J$224),0),
IF('TL16'!$B$229=Q$3,SUMIF('TL16'!$C$238:$C$451,$C419,'TL16'!$J$238:$J$451),0),
IF('TL17'!$B$3=Q$3,SUMIF('TL17'!$C$10:$C$224,$C419,'TL17'!$J$10:$J$224),0),
IF('TL17'!$B$229=Q$3,SUMIF('TL17'!$C$238:$C$451,$C419,'TL17'!$J$238:$J$451),0),
IF('TL18'!$B$3=Q$3,SUMIF('TL18'!$C$10:$C$224,$C419,'TL18'!$J$10:$J$224),0),
IF('TL18'!$B$229=Q$3,SUMIF('TL18'!$C$238:$C$451,$C419,'TL18'!$J$238:$J$451),0),
IF('TL19'!$B$3=Q$3,SUMIF('TL19'!$C$10:$C$224,$C419,'TL19'!$J$10:$J$224),0),
IF('TL19'!$B$229=Q$3,SUMIF('TL19'!$C$238:$C$451,$C419,'TL19'!$J$238:$J$451),0)
),0)</f>
        <v/>
      </c>
      <c r="R419" s="139">
        <f>IFERROR(
SUM(
SUMIF('TL01'!C:C,C419,'TL01'!J:J),
SUMIF('TL02'!C:C,C419,'TL02'!I:I),
SUMIF('TL03'!C:C,C419,'TL03'!I:I),
SUMIF('TL04'!C:C,C419,'TL04'!I:I),
SUMIF('TL05'!C:C,C419,'TL05'!I:I),
SUMIF('TL06'!C:C,C419,'TL06'!I:I),
SUMIF('TL07'!C:C,C419,'TL07'!I:I),
SUMIF('TL08'!C:C,C419,'TL08'!I:I),
SUMIF('TL09'!C:C,C419,'TL09'!I:I),
SUMIF('TL10'!C:C,C419,'TL10'!I:I),
SUMIF('TL11'!C:C,C419,'TL11'!I:I),
SUMIF('TL12'!C:C,C419,'TL12'!I:I),
SUMIF('TL13'!C:C,C419,'TL13'!I:I),
SUMIF('TL14'!C:C,C419,'TL14'!I:I),
SUMIF('TL15'!C:C,C419,'TL15'!I:I),
SUMIF('TL16'!C:C,C419,'TL16'!I:I),
SUMIF('TL17'!C:C,C419,'TL17'!I:I),
SUMIF('TL18'!C:C,C419,'TL18'!I:I))
,0)</f>
        <v/>
      </c>
      <c r="S419" s="142">
        <f>'CUSTO OPERAÇÃO'!M23</f>
        <v/>
      </c>
      <c r="T419" s="139" t="n"/>
      <c r="U419" s="143">
        <f>MAX(0,R419-T419)</f>
        <v/>
      </c>
      <c r="V419" s="144">
        <f>U419*S419</f>
        <v/>
      </c>
    </row>
    <row r="420" hidden="1" ht="15.75" customHeight="1" s="297">
      <c r="A420" s="138" t="n"/>
      <c r="B420" s="155" t="n"/>
      <c r="C420" s="138" t="n"/>
      <c r="D420" s="138" t="n"/>
      <c r="E420" s="139" t="n"/>
      <c r="F420" s="138" t="inlineStr">
        <is>
          <t>R$/Ha</t>
        </is>
      </c>
      <c r="G420" s="139" t="n"/>
      <c r="H420" s="140">
        <f>'CUSTO OPERAÇÃO'!J24</f>
        <v/>
      </c>
      <c r="I420" s="156" t="n"/>
      <c r="J420" s="138">
        <f>IFERROR(SUM(
IF('TL01'!$B$3=J$3,SUMIF('TL01'!$C$10:$C$224,$C420,'TL01'!$J$10:$J$224),0),
IF('TL01'!$B$229=J$3,SUMIF('TL01'!$C$238:$C$451,$C420,'TL01'!$J$238:$J$451),0),
IF('TL02'!$B$3=J$3,SUMIF('TL02'!$C$10:$C$224,$C420,'TL02'!$J$10:$J$224),0),
IF('TL02'!$B$229=J$3,SUMIF('TL02'!$C$238:$C$451,$C420,'TL02'!$J$238:$J$451),0),
IF('TL03'!$B$3=J$3,SUMIF('TL03'!$C$10:$C$224,$C420,'TL03'!$J$10:$J$224),0),
IF('TL03'!$B$229=J$3,SUMIF('TL03'!$C$238:$C$451,$C420,'TL03'!$J$238:$J$451),0),
IF('TL04'!$B$3=J$3,SUMIF('TL04'!$C$10:$C$224,$C420,'TL04'!$J$10:$J$224),0),
IF('TL04'!$B$229=J$3,SUMIF('TL04'!$C$238:$C$451,$C420,'TL04'!$J$238:$J$451),0),
IF('TL05'!$B$3=J$3,SUMIF('TL05'!$C$10:$C$224,$C420,'TL05'!$J$10:$J$224),0),
IF('TL05'!$B$229=J$3,SUMIF('TL05'!$C$238:$C$451,$C420,'TL05'!$J$238:$J$451),0),
IF('TL06'!$B$3=J$3,SUMIF('TL06'!$C$10:$C$224,$C420,'TL06'!$J$10:$J$224),0),
IF('TL06'!$B$229=J$3,SUMIF('TL06'!$C$238:$C$451,$C420,'TL06'!$J$238:$J$451),0),
IF('TL07'!$B$3=J$3,SUMIF('TL07'!$C$10:$C$224,$C420,'TL07'!$J$10:$J$224),0),
IF('TL07'!$B$229=J$3,SUMIF('TL07'!$C$238:$C$451,$C420,'TL07'!$J$238:$J$451),0),
IF('TL08'!$B$3=J$3,SUMIF('TL08'!$C$10:$C$224,$C420,'TL08'!$J$10:$J$224),0),
IF('TL08'!$B$229=J$3,SUMIF('TL08'!$C$238:$C$451,$C420,'TL08'!$J$238:$J$451),0),
IF('TL09'!$B$3=J$3,SUMIF('TL09'!$C$10:$C$224,$C420,'TL09'!$J$10:$J$224),0),
IF('TL09'!$B$229=J$3,SUMIF('TL09'!$C$238:$C$451,$C420,'TL09'!$J$238:$J$451),0),
IF('TL10'!$B$3=J$3,SUMIF('TL10'!$C$10:$C$224,$C420,'TL10'!$J$10:$J$224),0),
IF('TL10'!$B$229=J$3,SUMIF('TL10'!$C$238:$C$451,$C420,'TL10'!$J$238:$J$451),0),
IF('TL11'!$B$3=J$3,SUMIF('TL11'!$C$10:$C$224,$C420,'TL11'!$J$10:$J$224),0),
IF('TL11'!$B$229=J$3,SUMIF('TL11'!$C$238:$C$451,$C420,'TL11'!$J$238:$J$451),0),
IF('TL12'!$B$3=J$3,SUMIF('TL12'!$C$10:$C$224,$C420,'TL12'!$J$10:$J$224),0),
IF('TL12'!$B$229=J$3,SUMIF('TL12'!$C$238:$C$451,$C420,'TL12'!$J$238:$J$451),0),
IF('TL13'!$B$3=J$3,SUMIF('TL13'!$C$10:$C$224,$C420,'TL13'!$J$10:$J$224),0),
IF('TL13'!$B$229=J$3,SUMIF('TL13'!$C$238:$C$451,$C420,'TL13'!$J$238:$J$451),0),
IF('TL14'!$B$3=J$3,SUMIF('TL14'!$C$10:$C$224,$C420,'TL14'!$J$10:$J$224),0),
IF('TL14'!$B$229=J$3,SUMIF('TL14'!$C$238:$C$451,$C420,'TL14'!$J$238:$J$451),0),
IF('TL15'!$B$3=J$3,SUMIF('TL15'!$C$10:$C$224,$C420,'TL15'!$J$10:$J$224),0),
IF('TL15'!$B$229=J$3,SUMIF('TL15'!$C$238:$C$451,$C420,'TL15'!$J$238:$J$451),0),
IF('TL16'!$B$3=J$3,SUMIF('TL16'!$C$10:$C$224,$C420,'TL16'!$J$10:$J$224),0),
IF('TL16'!$B$229=J$3,SUMIF('TL16'!$C$238:$C$451,$C420,'TL16'!$J$238:$J$451),0),
IF('TL17'!$B$3=J$3,SUMIF('TL17'!$C$10:$C$224,$C420,'TL17'!$J$10:$J$224),0),
IF('TL17'!$B$229=J$3,SUMIF('TL17'!$C$238:$C$451,$C420,'TL17'!$J$238:$J$451),0),
IF('TL18'!$B$3=J$3,SUMIF('TL18'!$C$10:$C$224,$C420,'TL18'!$J$10:$J$224),0),
IF('TL18'!$B$229=J$3,SUMIF('TL18'!$C$238:$C$451,$C420,'TL18'!$J$238:$J$451),0),
IF('TL19'!$B$3=J$3,SUMIF('TL19'!$C$10:$C$224,$C420,'TL19'!$J$10:$J$224),0),
IF('TL19'!$B$229=J$3,SUMIF('TL19'!$C$238:$C$451,$C420,'TL19'!$J$238:$J$451),0)
),0)</f>
        <v/>
      </c>
      <c r="K420" s="138">
        <f>IFERROR(SUM(
IF('TL01'!$B$3=K$3,SUMIF('TL01'!$C$10:$C$224,$C420,'TL01'!$J$10:$J$224),0),
IF('TL01'!$B$229=K$3,SUMIF('TL01'!$C$238:$C$451,$C420,'TL01'!$J$238:$J$451),0),
IF('TL02'!$B$3=K$3,SUMIF('TL02'!$C$10:$C$224,$C420,'TL02'!$J$10:$J$224),0),
IF('TL02'!$B$229=K$3,SUMIF('TL02'!$C$238:$C$451,$C420,'TL02'!$J$238:$J$451),0),
IF('TL03'!$B$3=K$3,SUMIF('TL03'!$C$10:$C$224,$C420,'TL03'!$J$10:$J$224),0),
IF('TL03'!$B$229=K$3,SUMIF('TL03'!$C$238:$C$451,$C420,'TL03'!$J$238:$J$451),0),
IF('TL04'!$B$3=K$3,SUMIF('TL04'!$C$10:$C$224,$C420,'TL04'!$J$10:$J$224),0),
IF('TL04'!$B$229=K$3,SUMIF('TL04'!$C$238:$C$451,$C420,'TL04'!$J$238:$J$451),0),
IF('TL05'!$B$3=K$3,SUMIF('TL05'!$C$10:$C$224,$C420,'TL05'!$J$10:$J$224),0),
IF('TL05'!$B$229=K$3,SUMIF('TL05'!$C$238:$C$451,$C420,'TL05'!$J$238:$J$451),0),
IF('TL06'!$B$3=K$3,SUMIF('TL06'!$C$10:$C$224,$C420,'TL06'!$J$10:$J$224),0),
IF('TL06'!$B$229=K$3,SUMIF('TL06'!$C$238:$C$451,$C420,'TL06'!$J$238:$J$451),0),
IF('TL07'!$B$3=K$3,SUMIF('TL07'!$C$10:$C$224,$C420,'TL07'!$J$10:$J$224),0),
IF('TL07'!$B$229=K$3,SUMIF('TL07'!$C$238:$C$451,$C420,'TL07'!$J$238:$J$451),0),
IF('TL08'!$B$3=K$3,SUMIF('TL08'!$C$10:$C$224,$C420,'TL08'!$J$10:$J$224),0),
IF('TL08'!$B$229=K$3,SUMIF('TL08'!$C$238:$C$451,$C420,'TL08'!$J$238:$J$451),0),
IF('TL09'!$B$3=K$3,SUMIF('TL09'!$C$10:$C$224,$C420,'TL09'!$J$10:$J$224),0),
IF('TL09'!$B$229=K$3,SUMIF('TL09'!$C$238:$C$451,$C420,'TL09'!$J$238:$J$451),0),
IF('TL10'!$B$3=K$3,SUMIF('TL10'!$C$10:$C$224,$C420,'TL10'!$J$10:$J$224),0),
IF('TL10'!$B$229=K$3,SUMIF('TL10'!$C$238:$C$451,$C420,'TL10'!$J$238:$J$451),0),
IF('TL11'!$B$3=K$3,SUMIF('TL11'!$C$10:$C$224,$C420,'TL11'!$J$10:$J$224),0),
IF('TL11'!$B$229=K$3,SUMIF('TL11'!$C$238:$C$451,$C420,'TL11'!$J$238:$J$451),0),
IF('TL12'!$B$3=K$3,SUMIF('TL12'!$C$10:$C$224,$C420,'TL12'!$J$10:$J$224),0),
IF('TL12'!$B$229=K$3,SUMIF('TL12'!$C$238:$C$451,$C420,'TL12'!$J$238:$J$451),0),
IF('TL13'!$B$3=K$3,SUMIF('TL13'!$C$10:$C$224,$C420,'TL13'!$J$10:$J$224),0),
IF('TL13'!$B$229=K$3,SUMIF('TL13'!$C$238:$C$451,$C420,'TL13'!$J$238:$J$451),0),
IF('TL14'!$B$3=K$3,SUMIF('TL14'!$C$10:$C$224,$C420,'TL14'!$J$10:$J$224),0),
IF('TL14'!$B$229=K$3,SUMIF('TL14'!$C$238:$C$451,$C420,'TL14'!$J$238:$J$451),0),
IF('TL15'!$B$3=K$3,SUMIF('TL15'!$C$10:$C$224,$C420,'TL15'!$J$10:$J$224),0),
IF('TL15'!$B$229=K$3,SUMIF('TL15'!$C$238:$C$451,$C420,'TL15'!$J$238:$J$451),0),
IF('TL16'!$B$3=K$3,SUMIF('TL16'!$C$10:$C$224,$C420,'TL16'!$J$10:$J$224),0),
IF('TL16'!$B$229=K$3,SUMIF('TL16'!$C$238:$C$451,$C420,'TL16'!$J$238:$J$451),0),
IF('TL17'!$B$3=K$3,SUMIF('TL17'!$C$10:$C$224,$C420,'TL17'!$J$10:$J$224),0),
IF('TL17'!$B$229=K$3,SUMIF('TL17'!$C$238:$C$451,$C420,'TL17'!$J$238:$J$451),0),
IF('TL18'!$B$3=K$3,SUMIF('TL18'!$C$10:$C$224,$C420,'TL18'!$J$10:$J$224),0),
IF('TL18'!$B$229=K$3,SUMIF('TL18'!$C$238:$C$451,$C420,'TL18'!$J$238:$J$451),0),
IF('TL19'!$B$3=K$3,SUMIF('TL19'!$C$10:$C$224,$C420,'TL19'!$J$10:$J$224),0),
IF('TL19'!$B$229=K$3,SUMIF('TL19'!$C$238:$C$451,$C420,'TL19'!$J$238:$J$451),0)
),0)</f>
        <v/>
      </c>
      <c r="L420" s="138">
        <f>IFERROR(SUM(
IF('TL01'!$B$3=L$3,SUMIF('TL01'!$C$10:$C$224,$C420,'TL01'!$J$10:$J$224),0),
IF('TL01'!$B$229=L$3,SUMIF('TL01'!$C$238:$C$451,$C420,'TL01'!$J$238:$J$451),0),
IF('TL02'!$B$3=L$3,SUMIF('TL02'!$C$10:$C$224,$C420,'TL02'!$J$10:$J$224),0),
IF('TL02'!$B$229=L$3,SUMIF('TL02'!$C$238:$C$451,$C420,'TL02'!$J$238:$J$451),0),
IF('TL03'!$B$3=L$3,SUMIF('TL03'!$C$10:$C$224,$C420,'TL03'!$J$10:$J$224),0),
IF('TL03'!$B$229=L$3,SUMIF('TL03'!$C$238:$C$451,$C420,'TL03'!$J$238:$J$451),0),
IF('TL04'!$B$3=L$3,SUMIF('TL04'!$C$10:$C$224,$C420,'TL04'!$J$10:$J$224),0),
IF('TL04'!$B$229=L$3,SUMIF('TL04'!$C$238:$C$451,$C420,'TL04'!$J$238:$J$451),0),
IF('TL05'!$B$3=L$3,SUMIF('TL05'!$C$10:$C$224,$C420,'TL05'!$J$10:$J$224),0),
IF('TL05'!$B$229=L$3,SUMIF('TL05'!$C$238:$C$451,$C420,'TL05'!$J$238:$J$451),0),
IF('TL06'!$B$3=L$3,SUMIF('TL06'!$C$10:$C$224,$C420,'TL06'!$J$10:$J$224),0),
IF('TL06'!$B$229=L$3,SUMIF('TL06'!$C$238:$C$451,$C420,'TL06'!$J$238:$J$451),0),
IF('TL07'!$B$3=L$3,SUMIF('TL07'!$C$10:$C$224,$C420,'TL07'!$J$10:$J$224),0),
IF('TL07'!$B$229=L$3,SUMIF('TL07'!$C$238:$C$451,$C420,'TL07'!$J$238:$J$451),0),
IF('TL08'!$B$3=L$3,SUMIF('TL08'!$C$10:$C$224,$C420,'TL08'!$J$10:$J$224),0),
IF('TL08'!$B$229=L$3,SUMIF('TL08'!$C$238:$C$451,$C420,'TL08'!$J$238:$J$451),0),
IF('TL09'!$B$3=L$3,SUMIF('TL09'!$C$10:$C$224,$C420,'TL09'!$J$10:$J$224),0),
IF('TL09'!$B$229=L$3,SUMIF('TL09'!$C$238:$C$451,$C420,'TL09'!$J$238:$J$451),0),
IF('TL10'!$B$3=L$3,SUMIF('TL10'!$C$10:$C$224,$C420,'TL10'!$J$10:$J$224),0),
IF('TL10'!$B$229=L$3,SUMIF('TL10'!$C$238:$C$451,$C420,'TL10'!$J$238:$J$451),0),
IF('TL11'!$B$3=L$3,SUMIF('TL11'!$C$10:$C$224,$C420,'TL11'!$J$10:$J$224),0),
IF('TL11'!$B$229=L$3,SUMIF('TL11'!$C$238:$C$451,$C420,'TL11'!$J$238:$J$451),0),
IF('TL12'!$B$3=L$3,SUMIF('TL12'!$C$10:$C$224,$C420,'TL12'!$J$10:$J$224),0),
IF('TL12'!$B$229=L$3,SUMIF('TL12'!$C$238:$C$451,$C420,'TL12'!$J$238:$J$451),0),
IF('TL13'!$B$3=L$3,SUMIF('TL13'!$C$10:$C$224,$C420,'TL13'!$J$10:$J$224),0),
IF('TL13'!$B$229=L$3,SUMIF('TL13'!$C$238:$C$451,$C420,'TL13'!$J$238:$J$451),0),
IF('TL14'!$B$3=L$3,SUMIF('TL14'!$C$10:$C$224,$C420,'TL14'!$J$10:$J$224),0),
IF('TL14'!$B$229=L$3,SUMIF('TL14'!$C$238:$C$451,$C420,'TL14'!$J$238:$J$451),0),
IF('TL15'!$B$3=L$3,SUMIF('TL15'!$C$10:$C$224,$C420,'TL15'!$J$10:$J$224),0),
IF('TL15'!$B$229=L$3,SUMIF('TL15'!$C$238:$C$451,$C420,'TL15'!$J$238:$J$451),0),
IF('TL16'!$B$3=L$3,SUMIF('TL16'!$C$10:$C$224,$C420,'TL16'!$J$10:$J$224),0),
IF('TL16'!$B$229=L$3,SUMIF('TL16'!$C$238:$C$451,$C420,'TL16'!$J$238:$J$451),0),
IF('TL17'!$B$3=L$3,SUMIF('TL17'!$C$10:$C$224,$C420,'TL17'!$J$10:$J$224),0),
IF('TL17'!$B$229=L$3,SUMIF('TL17'!$C$238:$C$451,$C420,'TL17'!$J$238:$J$451),0),
IF('TL18'!$B$3=L$3,SUMIF('TL18'!$C$10:$C$224,$C420,'TL18'!$J$10:$J$224),0),
IF('TL18'!$B$229=L$3,SUMIF('TL18'!$C$238:$C$451,$C420,'TL18'!$J$238:$J$451),0),
IF('TL19'!$B$3=L$3,SUMIF('TL19'!$C$10:$C$224,$C420,'TL19'!$J$10:$J$224),0),
IF('TL19'!$B$229=L$3,SUMIF('TL19'!$C$238:$C$451,$C420,'TL19'!$J$238:$J$451),0)
),0)</f>
        <v/>
      </c>
      <c r="M420" s="138">
        <f>IFERROR(SUM(
IF('TL01'!$B$3=M$3,SUMIF('TL01'!$C$10:$C$224,$C420,'TL01'!$J$10:$J$224),0),
IF('TL01'!$B$229=M$3,SUMIF('TL01'!$C$238:$C$451,$C420,'TL01'!$J$238:$J$451),0),
IF('TL02'!$B$3=M$3,SUMIF('TL02'!$C$10:$C$224,$C420,'TL02'!$J$10:$J$224),0),
IF('TL02'!$B$229=M$3,SUMIF('TL02'!$C$238:$C$451,$C420,'TL02'!$J$238:$J$451),0),
IF('TL03'!$B$3=M$3,SUMIF('TL03'!$C$10:$C$224,$C420,'TL03'!$J$10:$J$224),0),
IF('TL03'!$B$229=M$3,SUMIF('TL03'!$C$238:$C$451,$C420,'TL03'!$J$238:$J$451),0),
IF('TL04'!$B$3=M$3,SUMIF('TL04'!$C$10:$C$224,$C420,'TL04'!$J$10:$J$224),0),
IF('TL04'!$B$229=M$3,SUMIF('TL04'!$C$238:$C$451,$C420,'TL04'!$J$238:$J$451),0),
IF('TL05'!$B$3=M$3,SUMIF('TL05'!$C$10:$C$224,$C420,'TL05'!$J$10:$J$224),0),
IF('TL05'!$B$229=M$3,SUMIF('TL05'!$C$238:$C$451,$C420,'TL05'!$J$238:$J$451),0),
IF('TL06'!$B$3=M$3,SUMIF('TL06'!$C$10:$C$224,$C420,'TL06'!$J$10:$J$224),0),
IF('TL06'!$B$229=M$3,SUMIF('TL06'!$C$238:$C$451,$C420,'TL06'!$J$238:$J$451),0),
IF('TL07'!$B$3=M$3,SUMIF('TL07'!$C$10:$C$224,$C420,'TL07'!$J$10:$J$224),0),
IF('TL07'!$B$229=M$3,SUMIF('TL07'!$C$238:$C$451,$C420,'TL07'!$J$238:$J$451),0),
IF('TL08'!$B$3=M$3,SUMIF('TL08'!$C$10:$C$224,$C420,'TL08'!$J$10:$J$224),0),
IF('TL08'!$B$229=M$3,SUMIF('TL08'!$C$238:$C$451,$C420,'TL08'!$J$238:$J$451),0),
IF('TL09'!$B$3=M$3,SUMIF('TL09'!$C$10:$C$224,$C420,'TL09'!$J$10:$J$224),0),
IF('TL09'!$B$229=M$3,SUMIF('TL09'!$C$238:$C$451,$C420,'TL09'!$J$238:$J$451),0),
IF('TL10'!$B$3=M$3,SUMIF('TL10'!$C$10:$C$224,$C420,'TL10'!$J$10:$J$224),0),
IF('TL10'!$B$229=M$3,SUMIF('TL10'!$C$238:$C$451,$C420,'TL10'!$J$238:$J$451),0),
IF('TL11'!$B$3=M$3,SUMIF('TL11'!$C$10:$C$224,$C420,'TL11'!$J$10:$J$224),0),
IF('TL11'!$B$229=M$3,SUMIF('TL11'!$C$238:$C$451,$C420,'TL11'!$J$238:$J$451),0),
IF('TL12'!$B$3=M$3,SUMIF('TL12'!$C$10:$C$224,$C420,'TL12'!$J$10:$J$224),0),
IF('TL12'!$B$229=M$3,SUMIF('TL12'!$C$238:$C$451,$C420,'TL12'!$J$238:$J$451),0),
IF('TL13'!$B$3=M$3,SUMIF('TL13'!$C$10:$C$224,$C420,'TL13'!$J$10:$J$224),0),
IF('TL13'!$B$229=M$3,SUMIF('TL13'!$C$238:$C$451,$C420,'TL13'!$J$238:$J$451),0),
IF('TL14'!$B$3=M$3,SUMIF('TL14'!$C$10:$C$224,$C420,'TL14'!$J$10:$J$224),0),
IF('TL14'!$B$229=M$3,SUMIF('TL14'!$C$238:$C$451,$C420,'TL14'!$J$238:$J$451),0),
IF('TL15'!$B$3=M$3,SUMIF('TL15'!$C$10:$C$224,$C420,'TL15'!$J$10:$J$224),0),
IF('TL15'!$B$229=M$3,SUMIF('TL15'!$C$238:$C$451,$C420,'TL15'!$J$238:$J$451),0),
IF('TL16'!$B$3=M$3,SUMIF('TL16'!$C$10:$C$224,$C420,'TL16'!$J$10:$J$224),0),
IF('TL16'!$B$229=M$3,SUMIF('TL16'!$C$238:$C$451,$C420,'TL16'!$J$238:$J$451),0),
IF('TL17'!$B$3=M$3,SUMIF('TL17'!$C$10:$C$224,$C420,'TL17'!$J$10:$J$224),0),
IF('TL17'!$B$229=M$3,SUMIF('TL17'!$C$238:$C$451,$C420,'TL17'!$J$238:$J$451),0),
IF('TL18'!$B$3=M$3,SUMIF('TL18'!$C$10:$C$224,$C420,'TL18'!$J$10:$J$224),0),
IF('TL18'!$B$229=M$3,SUMIF('TL18'!$C$238:$C$451,$C420,'TL18'!$J$238:$J$451),0),
IF('TL19'!$B$3=M$3,SUMIF('TL19'!$C$10:$C$224,$C420,'TL19'!$J$10:$J$224),0),
IF('TL19'!$B$229=M$3,SUMIF('TL19'!$C$238:$C$451,$C420,'TL19'!$J$238:$J$451),0)
),0)</f>
        <v/>
      </c>
      <c r="N420" s="138">
        <f>IFERROR(SUM(
IF('TL01'!$B$3=N$3,SUMIF('TL01'!$C$10:$C$224,$C420,'TL01'!$J$10:$J$224),0),
IF('TL01'!$B$229=N$3,SUMIF('TL01'!$C$238:$C$451,$C420,'TL01'!$J$238:$J$451),0),
IF('TL02'!$B$3=N$3,SUMIF('TL02'!$C$10:$C$224,$C420,'TL02'!$J$10:$J$224),0),
IF('TL02'!$B$229=N$3,SUMIF('TL02'!$C$238:$C$451,$C420,'TL02'!$J$238:$J$451),0),
IF('TL03'!$B$3=N$3,SUMIF('TL03'!$C$10:$C$224,$C420,'TL03'!$J$10:$J$224),0),
IF('TL03'!$B$229=N$3,SUMIF('TL03'!$C$238:$C$451,$C420,'TL03'!$J$238:$J$451),0),
IF('TL04'!$B$3=N$3,SUMIF('TL04'!$C$10:$C$224,$C420,'TL04'!$J$10:$J$224),0),
IF('TL04'!$B$229=N$3,SUMIF('TL04'!$C$238:$C$451,$C420,'TL04'!$J$238:$J$451),0),
IF('TL05'!$B$3=N$3,SUMIF('TL05'!$C$10:$C$224,$C420,'TL05'!$J$10:$J$224),0),
IF('TL05'!$B$229=N$3,SUMIF('TL05'!$C$238:$C$451,$C420,'TL05'!$J$238:$J$451),0),
IF('TL06'!$B$3=N$3,SUMIF('TL06'!$C$10:$C$224,$C420,'TL06'!$J$10:$J$224),0),
IF('TL06'!$B$229=N$3,SUMIF('TL06'!$C$238:$C$451,$C420,'TL06'!$J$238:$J$451),0),
IF('TL07'!$B$3=N$3,SUMIF('TL07'!$C$10:$C$224,$C420,'TL07'!$J$10:$J$224),0),
IF('TL07'!$B$229=N$3,SUMIF('TL07'!$C$238:$C$451,$C420,'TL07'!$J$238:$J$451),0),
IF('TL08'!$B$3=N$3,SUMIF('TL08'!$C$10:$C$224,$C420,'TL08'!$J$10:$J$224),0),
IF('TL08'!$B$229=N$3,SUMIF('TL08'!$C$238:$C$451,$C420,'TL08'!$J$238:$J$451),0),
IF('TL09'!$B$3=N$3,SUMIF('TL09'!$C$10:$C$224,$C420,'TL09'!$J$10:$J$224),0),
IF('TL09'!$B$229=N$3,SUMIF('TL09'!$C$238:$C$451,$C420,'TL09'!$J$238:$J$451),0),
IF('TL10'!$B$3=N$3,SUMIF('TL10'!$C$10:$C$224,$C420,'TL10'!$J$10:$J$224),0),
IF('TL10'!$B$229=N$3,SUMIF('TL10'!$C$238:$C$451,$C420,'TL10'!$J$238:$J$451),0),
IF('TL11'!$B$3=N$3,SUMIF('TL11'!$C$10:$C$224,$C420,'TL11'!$J$10:$J$224),0),
IF('TL11'!$B$229=N$3,SUMIF('TL11'!$C$238:$C$451,$C420,'TL11'!$J$238:$J$451),0),
IF('TL12'!$B$3=N$3,SUMIF('TL12'!$C$10:$C$224,$C420,'TL12'!$J$10:$J$224),0),
IF('TL12'!$B$229=N$3,SUMIF('TL12'!$C$238:$C$451,$C420,'TL12'!$J$238:$J$451),0),
IF('TL13'!$B$3=N$3,SUMIF('TL13'!$C$10:$C$224,$C420,'TL13'!$J$10:$J$224),0),
IF('TL13'!$B$229=N$3,SUMIF('TL13'!$C$238:$C$451,$C420,'TL13'!$J$238:$J$451),0),
IF('TL14'!$B$3=N$3,SUMIF('TL14'!$C$10:$C$224,$C420,'TL14'!$J$10:$J$224),0),
IF('TL14'!$B$229=N$3,SUMIF('TL14'!$C$238:$C$451,$C420,'TL14'!$J$238:$J$451),0),
IF('TL15'!$B$3=N$3,SUMIF('TL15'!$C$10:$C$224,$C420,'TL15'!$J$10:$J$224),0),
IF('TL15'!$B$229=N$3,SUMIF('TL15'!$C$238:$C$451,$C420,'TL15'!$J$238:$J$451),0),
IF('TL16'!$B$3=N$3,SUMIF('TL16'!$C$10:$C$224,$C420,'TL16'!$J$10:$J$224),0),
IF('TL16'!$B$229=N$3,SUMIF('TL16'!$C$238:$C$451,$C420,'TL16'!$J$238:$J$451),0),
IF('TL17'!$B$3=N$3,SUMIF('TL17'!$C$10:$C$224,$C420,'TL17'!$J$10:$J$224),0),
IF('TL17'!$B$229=N$3,SUMIF('TL17'!$C$238:$C$451,$C420,'TL17'!$J$238:$J$451),0),
IF('TL18'!$B$3=N$3,SUMIF('TL18'!$C$10:$C$224,$C420,'TL18'!$J$10:$J$224),0),
IF('TL18'!$B$229=N$3,SUMIF('TL18'!$C$238:$C$451,$C420,'TL18'!$J$238:$J$451),0),
IF('TL19'!$B$3=N$3,SUMIF('TL19'!$C$10:$C$224,$C420,'TL19'!$J$10:$J$224),0),
IF('TL19'!$B$229=N$3,SUMIF('TL19'!$C$238:$C$451,$C420,'TL19'!$J$238:$J$451),0)
),0)</f>
        <v/>
      </c>
      <c r="O420" s="138">
        <f>IFERROR(SUM(
IF('TL01'!$B$3=O$3,SUMIF('TL01'!$C$10:$C$224,$C420,'TL01'!$J$10:$J$224),0),
IF('TL01'!$B$229=O$3,SUMIF('TL01'!$C$238:$C$451,$C420,'TL01'!$J$238:$J$451),0),
IF('TL02'!$B$3=O$3,SUMIF('TL02'!$C$10:$C$224,$C420,'TL02'!$J$10:$J$224),0),
IF('TL02'!$B$229=O$3,SUMIF('TL02'!$C$238:$C$451,$C420,'TL02'!$J$238:$J$451),0),
IF('TL03'!$B$3=O$3,SUMIF('TL03'!$C$10:$C$224,$C420,'TL03'!$J$10:$J$224),0),
IF('TL03'!$B$229=O$3,SUMIF('TL03'!$C$238:$C$451,$C420,'TL03'!$J$238:$J$451),0),
IF('TL04'!$B$3=O$3,SUMIF('TL04'!$C$10:$C$224,$C420,'TL04'!$J$10:$J$224),0),
IF('TL04'!$B$229=O$3,SUMIF('TL04'!$C$238:$C$451,$C420,'TL04'!$J$238:$J$451),0),
IF('TL05'!$B$3=O$3,SUMIF('TL05'!$C$10:$C$224,$C420,'TL05'!$J$10:$J$224),0),
IF('TL05'!$B$229=O$3,SUMIF('TL05'!$C$238:$C$451,$C420,'TL05'!$J$238:$J$451),0),
IF('TL06'!$B$3=O$3,SUMIF('TL06'!$C$10:$C$224,$C420,'TL06'!$J$10:$J$224),0),
IF('TL06'!$B$229=O$3,SUMIF('TL06'!$C$238:$C$451,$C420,'TL06'!$J$238:$J$451),0),
IF('TL07'!$B$3=O$3,SUMIF('TL07'!$C$10:$C$224,$C420,'TL07'!$J$10:$J$224),0),
IF('TL07'!$B$229=O$3,SUMIF('TL07'!$C$238:$C$451,$C420,'TL07'!$J$238:$J$451),0),
IF('TL08'!$B$3=O$3,SUMIF('TL08'!$C$10:$C$224,$C420,'TL08'!$J$10:$J$224),0),
IF('TL08'!$B$229=O$3,SUMIF('TL08'!$C$238:$C$451,$C420,'TL08'!$J$238:$J$451),0),
IF('TL09'!$B$3=O$3,SUMIF('TL09'!$C$10:$C$224,$C420,'TL09'!$J$10:$J$224),0),
IF('TL09'!$B$229=O$3,SUMIF('TL09'!$C$238:$C$451,$C420,'TL09'!$J$238:$J$451),0),
IF('TL10'!$B$3=O$3,SUMIF('TL10'!$C$10:$C$224,$C420,'TL10'!$J$10:$J$224),0),
IF('TL10'!$B$229=O$3,SUMIF('TL10'!$C$238:$C$451,$C420,'TL10'!$J$238:$J$451),0),
IF('TL11'!$B$3=O$3,SUMIF('TL11'!$C$10:$C$224,$C420,'TL11'!$J$10:$J$224),0),
IF('TL11'!$B$229=O$3,SUMIF('TL11'!$C$238:$C$451,$C420,'TL11'!$J$238:$J$451),0),
IF('TL12'!$B$3=O$3,SUMIF('TL12'!$C$10:$C$224,$C420,'TL12'!$J$10:$J$224),0),
IF('TL12'!$B$229=O$3,SUMIF('TL12'!$C$238:$C$451,$C420,'TL12'!$J$238:$J$451),0),
IF('TL13'!$B$3=O$3,SUMIF('TL13'!$C$10:$C$224,$C420,'TL13'!$J$10:$J$224),0),
IF('TL13'!$B$229=O$3,SUMIF('TL13'!$C$238:$C$451,$C420,'TL13'!$J$238:$J$451),0),
IF('TL14'!$B$3=O$3,SUMIF('TL14'!$C$10:$C$224,$C420,'TL14'!$J$10:$J$224),0),
IF('TL14'!$B$229=O$3,SUMIF('TL14'!$C$238:$C$451,$C420,'TL14'!$J$238:$J$451),0),
IF('TL15'!$B$3=O$3,SUMIF('TL15'!$C$10:$C$224,$C420,'TL15'!$J$10:$J$224),0),
IF('TL15'!$B$229=O$3,SUMIF('TL15'!$C$238:$C$451,$C420,'TL15'!$J$238:$J$451),0),
IF('TL16'!$B$3=O$3,SUMIF('TL16'!$C$10:$C$224,$C420,'TL16'!$J$10:$J$224),0),
IF('TL16'!$B$229=O$3,SUMIF('TL16'!$C$238:$C$451,$C420,'TL16'!$J$238:$J$451),0),
IF('TL17'!$B$3=O$3,SUMIF('TL17'!$C$10:$C$224,$C420,'TL17'!$J$10:$J$224),0),
IF('TL17'!$B$229=O$3,SUMIF('TL17'!$C$238:$C$451,$C420,'TL17'!$J$238:$J$451),0),
IF('TL18'!$B$3=O$3,SUMIF('TL18'!$C$10:$C$224,$C420,'TL18'!$J$10:$J$224),0),
IF('TL18'!$B$229=O$3,SUMIF('TL18'!$C$238:$C$451,$C420,'TL18'!$J$238:$J$451),0),
IF('TL19'!$B$3=O$3,SUMIF('TL19'!$C$10:$C$224,$C420,'TL19'!$J$10:$J$224),0),
IF('TL19'!$B$229=O$3,SUMIF('TL19'!$C$238:$C$451,$C420,'TL19'!$J$238:$J$451),0)
),0)</f>
        <v/>
      </c>
      <c r="P420" s="138">
        <f>IFERROR(SUM(
IF('TL01'!$B$3=P$3,SUMIF('TL01'!$C$10:$C$224,$C420,'TL01'!$J$10:$J$224),0),
IF('TL01'!$B$229=P$3,SUMIF('TL01'!$C$238:$C$451,$C420,'TL01'!$J$238:$J$451),0),
IF('TL02'!$B$3=P$3,SUMIF('TL02'!$C$10:$C$224,$C420,'TL02'!$J$10:$J$224),0),
IF('TL02'!$B$229=P$3,SUMIF('TL02'!$C$238:$C$451,$C420,'TL02'!$J$238:$J$451),0),
IF('TL03'!$B$3=P$3,SUMIF('TL03'!$C$10:$C$224,$C420,'TL03'!$J$10:$J$224),0),
IF('TL03'!$B$229=P$3,SUMIF('TL03'!$C$238:$C$451,$C420,'TL03'!$J$238:$J$451),0),
IF('TL04'!$B$3=P$3,SUMIF('TL04'!$C$10:$C$224,$C420,'TL04'!$J$10:$J$224),0),
IF('TL04'!$B$229=P$3,SUMIF('TL04'!$C$238:$C$451,$C420,'TL04'!$J$238:$J$451),0),
IF('TL05'!$B$3=P$3,SUMIF('TL05'!$C$10:$C$224,$C420,'TL05'!$J$10:$J$224),0),
IF('TL05'!$B$229=P$3,SUMIF('TL05'!$C$238:$C$451,$C420,'TL05'!$J$238:$J$451),0),
IF('TL06'!$B$3=P$3,SUMIF('TL06'!$C$10:$C$224,$C420,'TL06'!$J$10:$J$224),0),
IF('TL06'!$B$229=P$3,SUMIF('TL06'!$C$238:$C$451,$C420,'TL06'!$J$238:$J$451),0),
IF('TL07'!$B$3=P$3,SUMIF('TL07'!$C$10:$C$224,$C420,'TL07'!$J$10:$J$224),0),
IF('TL07'!$B$229=P$3,SUMIF('TL07'!$C$238:$C$451,$C420,'TL07'!$J$238:$J$451),0),
IF('TL08'!$B$3=P$3,SUMIF('TL08'!$C$10:$C$224,$C420,'TL08'!$J$10:$J$224),0),
IF('TL08'!$B$229=P$3,SUMIF('TL08'!$C$238:$C$451,$C420,'TL08'!$J$238:$J$451),0),
IF('TL09'!$B$3=P$3,SUMIF('TL09'!$C$10:$C$224,$C420,'TL09'!$J$10:$J$224),0),
IF('TL09'!$B$229=P$3,SUMIF('TL09'!$C$238:$C$451,$C420,'TL09'!$J$238:$J$451),0),
IF('TL10'!$B$3=P$3,SUMIF('TL10'!$C$10:$C$224,$C420,'TL10'!$J$10:$J$224),0),
IF('TL10'!$B$229=P$3,SUMIF('TL10'!$C$238:$C$451,$C420,'TL10'!$J$238:$J$451),0),
IF('TL11'!$B$3=P$3,SUMIF('TL11'!$C$10:$C$224,$C420,'TL11'!$J$10:$J$224),0),
IF('TL11'!$B$229=P$3,SUMIF('TL11'!$C$238:$C$451,$C420,'TL11'!$J$238:$J$451),0),
IF('TL12'!$B$3=P$3,SUMIF('TL12'!$C$10:$C$224,$C420,'TL12'!$J$10:$J$224),0),
IF('TL12'!$B$229=P$3,SUMIF('TL12'!$C$238:$C$451,$C420,'TL12'!$J$238:$J$451),0),
IF('TL13'!$B$3=P$3,SUMIF('TL13'!$C$10:$C$224,$C420,'TL13'!$J$10:$J$224),0),
IF('TL13'!$B$229=P$3,SUMIF('TL13'!$C$238:$C$451,$C420,'TL13'!$J$238:$J$451),0),
IF('TL14'!$B$3=P$3,SUMIF('TL14'!$C$10:$C$224,$C420,'TL14'!$J$10:$J$224),0),
IF('TL14'!$B$229=P$3,SUMIF('TL14'!$C$238:$C$451,$C420,'TL14'!$J$238:$J$451),0),
IF('TL15'!$B$3=P$3,SUMIF('TL15'!$C$10:$C$224,$C420,'TL15'!$J$10:$J$224),0),
IF('TL15'!$B$229=P$3,SUMIF('TL15'!$C$238:$C$451,$C420,'TL15'!$J$238:$J$451),0),
IF('TL16'!$B$3=P$3,SUMIF('TL16'!$C$10:$C$224,$C420,'TL16'!$J$10:$J$224),0),
IF('TL16'!$B$229=P$3,SUMIF('TL16'!$C$238:$C$451,$C420,'TL16'!$J$238:$J$451),0),
IF('TL17'!$B$3=P$3,SUMIF('TL17'!$C$10:$C$224,$C420,'TL17'!$J$10:$J$224),0),
IF('TL17'!$B$229=P$3,SUMIF('TL17'!$C$238:$C$451,$C420,'TL17'!$J$238:$J$451),0),
IF('TL18'!$B$3=P$3,SUMIF('TL18'!$C$10:$C$224,$C420,'TL18'!$J$10:$J$224),0),
IF('TL18'!$B$229=P$3,SUMIF('TL18'!$C$238:$C$451,$C420,'TL18'!$J$238:$J$451),0),
IF('TL19'!$B$3=P$3,SUMIF('TL19'!$C$10:$C$224,$C420,'TL19'!$J$10:$J$224),0),
IF('TL19'!$B$229=P$3,SUMIF('TL19'!$C$238:$C$451,$C420,'TL19'!$J$238:$J$451),0)
),0)</f>
        <v/>
      </c>
      <c r="Q420" s="138">
        <f>IFERROR(SUM(
IF('TL01'!$B$3=Q$3,SUMIF('TL01'!$C$10:$C$224,$C420,'TL01'!$J$10:$J$224),0),
IF('TL01'!$B$229=Q$3,SUMIF('TL01'!$C$238:$C$451,$C420,'TL01'!$J$238:$J$451),0),
IF('TL02'!$B$3=Q$3,SUMIF('TL02'!$C$10:$C$224,$C420,'TL02'!$J$10:$J$224),0),
IF('TL02'!$B$229=Q$3,SUMIF('TL02'!$C$238:$C$451,$C420,'TL02'!$J$238:$J$451),0),
IF('TL03'!$B$3=Q$3,SUMIF('TL03'!$C$10:$C$224,$C420,'TL03'!$J$10:$J$224),0),
IF('TL03'!$B$229=Q$3,SUMIF('TL03'!$C$238:$C$451,$C420,'TL03'!$J$238:$J$451),0),
IF('TL04'!$B$3=Q$3,SUMIF('TL04'!$C$10:$C$224,$C420,'TL04'!$J$10:$J$224),0),
IF('TL04'!$B$229=Q$3,SUMIF('TL04'!$C$238:$C$451,$C420,'TL04'!$J$238:$J$451),0),
IF('TL05'!$B$3=Q$3,SUMIF('TL05'!$C$10:$C$224,$C420,'TL05'!$J$10:$J$224),0),
IF('TL05'!$B$229=Q$3,SUMIF('TL05'!$C$238:$C$451,$C420,'TL05'!$J$238:$J$451),0),
IF('TL06'!$B$3=Q$3,SUMIF('TL06'!$C$10:$C$224,$C420,'TL06'!$J$10:$J$224),0),
IF('TL06'!$B$229=Q$3,SUMIF('TL06'!$C$238:$C$451,$C420,'TL06'!$J$238:$J$451),0),
IF('TL07'!$B$3=Q$3,SUMIF('TL07'!$C$10:$C$224,$C420,'TL07'!$J$10:$J$224),0),
IF('TL07'!$B$229=Q$3,SUMIF('TL07'!$C$238:$C$451,$C420,'TL07'!$J$238:$J$451),0),
IF('TL08'!$B$3=Q$3,SUMIF('TL08'!$C$10:$C$224,$C420,'TL08'!$J$10:$J$224),0),
IF('TL08'!$B$229=Q$3,SUMIF('TL08'!$C$238:$C$451,$C420,'TL08'!$J$238:$J$451),0),
IF('TL09'!$B$3=Q$3,SUMIF('TL09'!$C$10:$C$224,$C420,'TL09'!$J$10:$J$224),0),
IF('TL09'!$B$229=Q$3,SUMIF('TL09'!$C$238:$C$451,$C420,'TL09'!$J$238:$J$451),0),
IF('TL10'!$B$3=Q$3,SUMIF('TL10'!$C$10:$C$224,$C420,'TL10'!$J$10:$J$224),0),
IF('TL10'!$B$229=Q$3,SUMIF('TL10'!$C$238:$C$451,$C420,'TL10'!$J$238:$J$451),0),
IF('TL11'!$B$3=Q$3,SUMIF('TL11'!$C$10:$C$224,$C420,'TL11'!$J$10:$J$224),0),
IF('TL11'!$B$229=Q$3,SUMIF('TL11'!$C$238:$C$451,$C420,'TL11'!$J$238:$J$451),0),
IF('TL12'!$B$3=Q$3,SUMIF('TL12'!$C$10:$C$224,$C420,'TL12'!$J$10:$J$224),0),
IF('TL12'!$B$229=Q$3,SUMIF('TL12'!$C$238:$C$451,$C420,'TL12'!$J$238:$J$451),0),
IF('TL13'!$B$3=Q$3,SUMIF('TL13'!$C$10:$C$224,$C420,'TL13'!$J$10:$J$224),0),
IF('TL13'!$B$229=Q$3,SUMIF('TL13'!$C$238:$C$451,$C420,'TL13'!$J$238:$J$451),0),
IF('TL14'!$B$3=Q$3,SUMIF('TL14'!$C$10:$C$224,$C420,'TL14'!$J$10:$J$224),0),
IF('TL14'!$B$229=Q$3,SUMIF('TL14'!$C$238:$C$451,$C420,'TL14'!$J$238:$J$451),0),
IF('TL15'!$B$3=Q$3,SUMIF('TL15'!$C$10:$C$224,$C420,'TL15'!$J$10:$J$224),0),
IF('TL15'!$B$229=Q$3,SUMIF('TL15'!$C$238:$C$451,$C420,'TL15'!$J$238:$J$451),0),
IF('TL16'!$B$3=Q$3,SUMIF('TL16'!$C$10:$C$224,$C420,'TL16'!$J$10:$J$224),0),
IF('TL16'!$B$229=Q$3,SUMIF('TL16'!$C$238:$C$451,$C420,'TL16'!$J$238:$J$451),0),
IF('TL17'!$B$3=Q$3,SUMIF('TL17'!$C$10:$C$224,$C420,'TL17'!$J$10:$J$224),0),
IF('TL17'!$B$229=Q$3,SUMIF('TL17'!$C$238:$C$451,$C420,'TL17'!$J$238:$J$451),0),
IF('TL18'!$B$3=Q$3,SUMIF('TL18'!$C$10:$C$224,$C420,'TL18'!$J$10:$J$224),0),
IF('TL18'!$B$229=Q$3,SUMIF('TL18'!$C$238:$C$451,$C420,'TL18'!$J$238:$J$451),0),
IF('TL19'!$B$3=Q$3,SUMIF('TL19'!$C$10:$C$224,$C420,'TL19'!$J$10:$J$224),0),
IF('TL19'!$B$229=Q$3,SUMIF('TL19'!$C$238:$C$451,$C420,'TL19'!$J$238:$J$451),0)
),0)</f>
        <v/>
      </c>
      <c r="R420" s="139">
        <f>IFERROR(
SUM(
SUMIF('TL01'!C:C,C420,'TL01'!J:J),
SUMIF('TL02'!C:C,C420,'TL02'!I:I),
SUMIF('TL03'!C:C,C420,'TL03'!I:I),
SUMIF('TL04'!C:C,C420,'TL04'!I:I),
SUMIF('TL05'!C:C,C420,'TL05'!I:I),
SUMIF('TL06'!C:C,C420,'TL06'!I:I),
SUMIF('TL07'!C:C,C420,'TL07'!I:I),
SUMIF('TL08'!C:C,C420,'TL08'!I:I),
SUMIF('TL09'!C:C,C420,'TL09'!I:I),
SUMIF('TL10'!C:C,C420,'TL10'!I:I),
SUMIF('TL11'!C:C,C420,'TL11'!I:I),
SUMIF('TL12'!C:C,C420,'TL12'!I:I),
SUMIF('TL13'!C:C,C420,'TL13'!I:I),
SUMIF('TL14'!C:C,C420,'TL14'!I:I),
SUMIF('TL15'!C:C,C420,'TL15'!I:I),
SUMIF('TL16'!C:C,C420,'TL16'!I:I),
SUMIF('TL17'!C:C,C420,'TL17'!I:I),
SUMIF('TL18'!C:C,C420,'TL18'!I:I))
,0)</f>
        <v/>
      </c>
      <c r="S420" s="142">
        <f>'CUSTO OPERAÇÃO'!M24</f>
        <v/>
      </c>
      <c r="T420" s="139" t="n"/>
      <c r="U420" s="143">
        <f>MAX(0,R420-T420)</f>
        <v/>
      </c>
      <c r="V420" s="144">
        <f>U420*S420</f>
        <v/>
      </c>
    </row>
    <row r="421" hidden="1" ht="15.75" customHeight="1" s="297">
      <c r="A421" s="138" t="n"/>
      <c r="B421" s="155" t="n"/>
      <c r="C421" s="138" t="n"/>
      <c r="D421" s="138" t="n"/>
      <c r="E421" s="139" t="n"/>
      <c r="F421" s="138" t="inlineStr">
        <is>
          <t>R$/Ha</t>
        </is>
      </c>
      <c r="G421" s="139" t="n"/>
      <c r="H421" s="140">
        <f>'CUSTO OPERAÇÃO'!J25</f>
        <v/>
      </c>
      <c r="I421" s="156" t="n"/>
      <c r="J421" s="138">
        <f>IFERROR(SUM(
IF('TL01'!$B$3=J$3,SUMIF('TL01'!$C$10:$C$224,$C421,'TL01'!$J$10:$J$224),0),
IF('TL01'!$B$229=J$3,SUMIF('TL01'!$C$238:$C$451,$C421,'TL01'!$J$238:$J$451),0),
IF('TL02'!$B$3=J$3,SUMIF('TL02'!$C$10:$C$224,$C421,'TL02'!$J$10:$J$224),0),
IF('TL02'!$B$229=J$3,SUMIF('TL02'!$C$238:$C$451,$C421,'TL02'!$J$238:$J$451),0),
IF('TL03'!$B$3=J$3,SUMIF('TL03'!$C$10:$C$224,$C421,'TL03'!$J$10:$J$224),0),
IF('TL03'!$B$229=J$3,SUMIF('TL03'!$C$238:$C$451,$C421,'TL03'!$J$238:$J$451),0),
IF('TL04'!$B$3=J$3,SUMIF('TL04'!$C$10:$C$224,$C421,'TL04'!$J$10:$J$224),0),
IF('TL04'!$B$229=J$3,SUMIF('TL04'!$C$238:$C$451,$C421,'TL04'!$J$238:$J$451),0),
IF('TL05'!$B$3=J$3,SUMIF('TL05'!$C$10:$C$224,$C421,'TL05'!$J$10:$J$224),0),
IF('TL05'!$B$229=J$3,SUMIF('TL05'!$C$238:$C$451,$C421,'TL05'!$J$238:$J$451),0),
IF('TL06'!$B$3=J$3,SUMIF('TL06'!$C$10:$C$224,$C421,'TL06'!$J$10:$J$224),0),
IF('TL06'!$B$229=J$3,SUMIF('TL06'!$C$238:$C$451,$C421,'TL06'!$J$238:$J$451),0),
IF('TL07'!$B$3=J$3,SUMIF('TL07'!$C$10:$C$224,$C421,'TL07'!$J$10:$J$224),0),
IF('TL07'!$B$229=J$3,SUMIF('TL07'!$C$238:$C$451,$C421,'TL07'!$J$238:$J$451),0),
IF('TL08'!$B$3=J$3,SUMIF('TL08'!$C$10:$C$224,$C421,'TL08'!$J$10:$J$224),0),
IF('TL08'!$B$229=J$3,SUMIF('TL08'!$C$238:$C$451,$C421,'TL08'!$J$238:$J$451),0),
IF('TL09'!$B$3=J$3,SUMIF('TL09'!$C$10:$C$224,$C421,'TL09'!$J$10:$J$224),0),
IF('TL09'!$B$229=J$3,SUMIF('TL09'!$C$238:$C$451,$C421,'TL09'!$J$238:$J$451),0),
IF('TL10'!$B$3=J$3,SUMIF('TL10'!$C$10:$C$224,$C421,'TL10'!$J$10:$J$224),0),
IF('TL10'!$B$229=J$3,SUMIF('TL10'!$C$238:$C$451,$C421,'TL10'!$J$238:$J$451),0),
IF('TL11'!$B$3=J$3,SUMIF('TL11'!$C$10:$C$224,$C421,'TL11'!$J$10:$J$224),0),
IF('TL11'!$B$229=J$3,SUMIF('TL11'!$C$238:$C$451,$C421,'TL11'!$J$238:$J$451),0),
IF('TL12'!$B$3=J$3,SUMIF('TL12'!$C$10:$C$224,$C421,'TL12'!$J$10:$J$224),0),
IF('TL12'!$B$229=J$3,SUMIF('TL12'!$C$238:$C$451,$C421,'TL12'!$J$238:$J$451),0),
IF('TL13'!$B$3=J$3,SUMIF('TL13'!$C$10:$C$224,$C421,'TL13'!$J$10:$J$224),0),
IF('TL13'!$B$229=J$3,SUMIF('TL13'!$C$238:$C$451,$C421,'TL13'!$J$238:$J$451),0),
IF('TL14'!$B$3=J$3,SUMIF('TL14'!$C$10:$C$224,$C421,'TL14'!$J$10:$J$224),0),
IF('TL14'!$B$229=J$3,SUMIF('TL14'!$C$238:$C$451,$C421,'TL14'!$J$238:$J$451),0),
IF('TL15'!$B$3=J$3,SUMIF('TL15'!$C$10:$C$224,$C421,'TL15'!$J$10:$J$224),0),
IF('TL15'!$B$229=J$3,SUMIF('TL15'!$C$238:$C$451,$C421,'TL15'!$J$238:$J$451),0),
IF('TL16'!$B$3=J$3,SUMIF('TL16'!$C$10:$C$224,$C421,'TL16'!$J$10:$J$224),0),
IF('TL16'!$B$229=J$3,SUMIF('TL16'!$C$238:$C$451,$C421,'TL16'!$J$238:$J$451),0),
IF('TL17'!$B$3=J$3,SUMIF('TL17'!$C$10:$C$224,$C421,'TL17'!$J$10:$J$224),0),
IF('TL17'!$B$229=J$3,SUMIF('TL17'!$C$238:$C$451,$C421,'TL17'!$J$238:$J$451),0),
IF('TL18'!$B$3=J$3,SUMIF('TL18'!$C$10:$C$224,$C421,'TL18'!$J$10:$J$224),0),
IF('TL18'!$B$229=J$3,SUMIF('TL18'!$C$238:$C$451,$C421,'TL18'!$J$238:$J$451),0),
IF('TL19'!$B$3=J$3,SUMIF('TL19'!$C$10:$C$224,$C421,'TL19'!$J$10:$J$224),0),
IF('TL19'!$B$229=J$3,SUMIF('TL19'!$C$238:$C$451,$C421,'TL19'!$J$238:$J$451),0)
),0)</f>
        <v/>
      </c>
      <c r="K421" s="138">
        <f>IFERROR(SUM(
IF('TL01'!$B$3=K$3,SUMIF('TL01'!$C$10:$C$224,$C421,'TL01'!$J$10:$J$224),0),
IF('TL01'!$B$229=K$3,SUMIF('TL01'!$C$238:$C$451,$C421,'TL01'!$J$238:$J$451),0),
IF('TL02'!$B$3=K$3,SUMIF('TL02'!$C$10:$C$224,$C421,'TL02'!$J$10:$J$224),0),
IF('TL02'!$B$229=K$3,SUMIF('TL02'!$C$238:$C$451,$C421,'TL02'!$J$238:$J$451),0),
IF('TL03'!$B$3=K$3,SUMIF('TL03'!$C$10:$C$224,$C421,'TL03'!$J$10:$J$224),0),
IF('TL03'!$B$229=K$3,SUMIF('TL03'!$C$238:$C$451,$C421,'TL03'!$J$238:$J$451),0),
IF('TL04'!$B$3=K$3,SUMIF('TL04'!$C$10:$C$224,$C421,'TL04'!$J$10:$J$224),0),
IF('TL04'!$B$229=K$3,SUMIF('TL04'!$C$238:$C$451,$C421,'TL04'!$J$238:$J$451),0),
IF('TL05'!$B$3=K$3,SUMIF('TL05'!$C$10:$C$224,$C421,'TL05'!$J$10:$J$224),0),
IF('TL05'!$B$229=K$3,SUMIF('TL05'!$C$238:$C$451,$C421,'TL05'!$J$238:$J$451),0),
IF('TL06'!$B$3=K$3,SUMIF('TL06'!$C$10:$C$224,$C421,'TL06'!$J$10:$J$224),0),
IF('TL06'!$B$229=K$3,SUMIF('TL06'!$C$238:$C$451,$C421,'TL06'!$J$238:$J$451),0),
IF('TL07'!$B$3=K$3,SUMIF('TL07'!$C$10:$C$224,$C421,'TL07'!$J$10:$J$224),0),
IF('TL07'!$B$229=K$3,SUMIF('TL07'!$C$238:$C$451,$C421,'TL07'!$J$238:$J$451),0),
IF('TL08'!$B$3=K$3,SUMIF('TL08'!$C$10:$C$224,$C421,'TL08'!$J$10:$J$224),0),
IF('TL08'!$B$229=K$3,SUMIF('TL08'!$C$238:$C$451,$C421,'TL08'!$J$238:$J$451),0),
IF('TL09'!$B$3=K$3,SUMIF('TL09'!$C$10:$C$224,$C421,'TL09'!$J$10:$J$224),0),
IF('TL09'!$B$229=K$3,SUMIF('TL09'!$C$238:$C$451,$C421,'TL09'!$J$238:$J$451),0),
IF('TL10'!$B$3=K$3,SUMIF('TL10'!$C$10:$C$224,$C421,'TL10'!$J$10:$J$224),0),
IF('TL10'!$B$229=K$3,SUMIF('TL10'!$C$238:$C$451,$C421,'TL10'!$J$238:$J$451),0),
IF('TL11'!$B$3=K$3,SUMIF('TL11'!$C$10:$C$224,$C421,'TL11'!$J$10:$J$224),0),
IF('TL11'!$B$229=K$3,SUMIF('TL11'!$C$238:$C$451,$C421,'TL11'!$J$238:$J$451),0),
IF('TL12'!$B$3=K$3,SUMIF('TL12'!$C$10:$C$224,$C421,'TL12'!$J$10:$J$224),0),
IF('TL12'!$B$229=K$3,SUMIF('TL12'!$C$238:$C$451,$C421,'TL12'!$J$238:$J$451),0),
IF('TL13'!$B$3=K$3,SUMIF('TL13'!$C$10:$C$224,$C421,'TL13'!$J$10:$J$224),0),
IF('TL13'!$B$229=K$3,SUMIF('TL13'!$C$238:$C$451,$C421,'TL13'!$J$238:$J$451),0),
IF('TL14'!$B$3=K$3,SUMIF('TL14'!$C$10:$C$224,$C421,'TL14'!$J$10:$J$224),0),
IF('TL14'!$B$229=K$3,SUMIF('TL14'!$C$238:$C$451,$C421,'TL14'!$J$238:$J$451),0),
IF('TL15'!$B$3=K$3,SUMIF('TL15'!$C$10:$C$224,$C421,'TL15'!$J$10:$J$224),0),
IF('TL15'!$B$229=K$3,SUMIF('TL15'!$C$238:$C$451,$C421,'TL15'!$J$238:$J$451),0),
IF('TL16'!$B$3=K$3,SUMIF('TL16'!$C$10:$C$224,$C421,'TL16'!$J$10:$J$224),0),
IF('TL16'!$B$229=K$3,SUMIF('TL16'!$C$238:$C$451,$C421,'TL16'!$J$238:$J$451),0),
IF('TL17'!$B$3=K$3,SUMIF('TL17'!$C$10:$C$224,$C421,'TL17'!$J$10:$J$224),0),
IF('TL17'!$B$229=K$3,SUMIF('TL17'!$C$238:$C$451,$C421,'TL17'!$J$238:$J$451),0),
IF('TL18'!$B$3=K$3,SUMIF('TL18'!$C$10:$C$224,$C421,'TL18'!$J$10:$J$224),0),
IF('TL18'!$B$229=K$3,SUMIF('TL18'!$C$238:$C$451,$C421,'TL18'!$J$238:$J$451),0),
IF('TL19'!$B$3=K$3,SUMIF('TL19'!$C$10:$C$224,$C421,'TL19'!$J$10:$J$224),0),
IF('TL19'!$B$229=K$3,SUMIF('TL19'!$C$238:$C$451,$C421,'TL19'!$J$238:$J$451),0)
),0)</f>
        <v/>
      </c>
      <c r="L421" s="138">
        <f>IFERROR(SUM(
IF('TL01'!$B$3=L$3,SUMIF('TL01'!$C$10:$C$224,$C421,'TL01'!$J$10:$J$224),0),
IF('TL01'!$B$229=L$3,SUMIF('TL01'!$C$238:$C$451,$C421,'TL01'!$J$238:$J$451),0),
IF('TL02'!$B$3=L$3,SUMIF('TL02'!$C$10:$C$224,$C421,'TL02'!$J$10:$J$224),0),
IF('TL02'!$B$229=L$3,SUMIF('TL02'!$C$238:$C$451,$C421,'TL02'!$J$238:$J$451),0),
IF('TL03'!$B$3=L$3,SUMIF('TL03'!$C$10:$C$224,$C421,'TL03'!$J$10:$J$224),0),
IF('TL03'!$B$229=L$3,SUMIF('TL03'!$C$238:$C$451,$C421,'TL03'!$J$238:$J$451),0),
IF('TL04'!$B$3=L$3,SUMIF('TL04'!$C$10:$C$224,$C421,'TL04'!$J$10:$J$224),0),
IF('TL04'!$B$229=L$3,SUMIF('TL04'!$C$238:$C$451,$C421,'TL04'!$J$238:$J$451),0),
IF('TL05'!$B$3=L$3,SUMIF('TL05'!$C$10:$C$224,$C421,'TL05'!$J$10:$J$224),0),
IF('TL05'!$B$229=L$3,SUMIF('TL05'!$C$238:$C$451,$C421,'TL05'!$J$238:$J$451),0),
IF('TL06'!$B$3=L$3,SUMIF('TL06'!$C$10:$C$224,$C421,'TL06'!$J$10:$J$224),0),
IF('TL06'!$B$229=L$3,SUMIF('TL06'!$C$238:$C$451,$C421,'TL06'!$J$238:$J$451),0),
IF('TL07'!$B$3=L$3,SUMIF('TL07'!$C$10:$C$224,$C421,'TL07'!$J$10:$J$224),0),
IF('TL07'!$B$229=L$3,SUMIF('TL07'!$C$238:$C$451,$C421,'TL07'!$J$238:$J$451),0),
IF('TL08'!$B$3=L$3,SUMIF('TL08'!$C$10:$C$224,$C421,'TL08'!$J$10:$J$224),0),
IF('TL08'!$B$229=L$3,SUMIF('TL08'!$C$238:$C$451,$C421,'TL08'!$J$238:$J$451),0),
IF('TL09'!$B$3=L$3,SUMIF('TL09'!$C$10:$C$224,$C421,'TL09'!$J$10:$J$224),0),
IF('TL09'!$B$229=L$3,SUMIF('TL09'!$C$238:$C$451,$C421,'TL09'!$J$238:$J$451),0),
IF('TL10'!$B$3=L$3,SUMIF('TL10'!$C$10:$C$224,$C421,'TL10'!$J$10:$J$224),0),
IF('TL10'!$B$229=L$3,SUMIF('TL10'!$C$238:$C$451,$C421,'TL10'!$J$238:$J$451),0),
IF('TL11'!$B$3=L$3,SUMIF('TL11'!$C$10:$C$224,$C421,'TL11'!$J$10:$J$224),0),
IF('TL11'!$B$229=L$3,SUMIF('TL11'!$C$238:$C$451,$C421,'TL11'!$J$238:$J$451),0),
IF('TL12'!$B$3=L$3,SUMIF('TL12'!$C$10:$C$224,$C421,'TL12'!$J$10:$J$224),0),
IF('TL12'!$B$229=L$3,SUMIF('TL12'!$C$238:$C$451,$C421,'TL12'!$J$238:$J$451),0),
IF('TL13'!$B$3=L$3,SUMIF('TL13'!$C$10:$C$224,$C421,'TL13'!$J$10:$J$224),0),
IF('TL13'!$B$229=L$3,SUMIF('TL13'!$C$238:$C$451,$C421,'TL13'!$J$238:$J$451),0),
IF('TL14'!$B$3=L$3,SUMIF('TL14'!$C$10:$C$224,$C421,'TL14'!$J$10:$J$224),0),
IF('TL14'!$B$229=L$3,SUMIF('TL14'!$C$238:$C$451,$C421,'TL14'!$J$238:$J$451),0),
IF('TL15'!$B$3=L$3,SUMIF('TL15'!$C$10:$C$224,$C421,'TL15'!$J$10:$J$224),0),
IF('TL15'!$B$229=L$3,SUMIF('TL15'!$C$238:$C$451,$C421,'TL15'!$J$238:$J$451),0),
IF('TL16'!$B$3=L$3,SUMIF('TL16'!$C$10:$C$224,$C421,'TL16'!$J$10:$J$224),0),
IF('TL16'!$B$229=L$3,SUMIF('TL16'!$C$238:$C$451,$C421,'TL16'!$J$238:$J$451),0),
IF('TL17'!$B$3=L$3,SUMIF('TL17'!$C$10:$C$224,$C421,'TL17'!$J$10:$J$224),0),
IF('TL17'!$B$229=L$3,SUMIF('TL17'!$C$238:$C$451,$C421,'TL17'!$J$238:$J$451),0),
IF('TL18'!$B$3=L$3,SUMIF('TL18'!$C$10:$C$224,$C421,'TL18'!$J$10:$J$224),0),
IF('TL18'!$B$229=L$3,SUMIF('TL18'!$C$238:$C$451,$C421,'TL18'!$J$238:$J$451),0),
IF('TL19'!$B$3=L$3,SUMIF('TL19'!$C$10:$C$224,$C421,'TL19'!$J$10:$J$224),0),
IF('TL19'!$B$229=L$3,SUMIF('TL19'!$C$238:$C$451,$C421,'TL19'!$J$238:$J$451),0)
),0)</f>
        <v/>
      </c>
      <c r="M421" s="138">
        <f>IFERROR(SUM(
IF('TL01'!$B$3=M$3,SUMIF('TL01'!$C$10:$C$224,$C421,'TL01'!$J$10:$J$224),0),
IF('TL01'!$B$229=M$3,SUMIF('TL01'!$C$238:$C$451,$C421,'TL01'!$J$238:$J$451),0),
IF('TL02'!$B$3=M$3,SUMIF('TL02'!$C$10:$C$224,$C421,'TL02'!$J$10:$J$224),0),
IF('TL02'!$B$229=M$3,SUMIF('TL02'!$C$238:$C$451,$C421,'TL02'!$J$238:$J$451),0),
IF('TL03'!$B$3=M$3,SUMIF('TL03'!$C$10:$C$224,$C421,'TL03'!$J$10:$J$224),0),
IF('TL03'!$B$229=M$3,SUMIF('TL03'!$C$238:$C$451,$C421,'TL03'!$J$238:$J$451),0),
IF('TL04'!$B$3=M$3,SUMIF('TL04'!$C$10:$C$224,$C421,'TL04'!$J$10:$J$224),0),
IF('TL04'!$B$229=M$3,SUMIF('TL04'!$C$238:$C$451,$C421,'TL04'!$J$238:$J$451),0),
IF('TL05'!$B$3=M$3,SUMIF('TL05'!$C$10:$C$224,$C421,'TL05'!$J$10:$J$224),0),
IF('TL05'!$B$229=M$3,SUMIF('TL05'!$C$238:$C$451,$C421,'TL05'!$J$238:$J$451),0),
IF('TL06'!$B$3=M$3,SUMIF('TL06'!$C$10:$C$224,$C421,'TL06'!$J$10:$J$224),0),
IF('TL06'!$B$229=M$3,SUMIF('TL06'!$C$238:$C$451,$C421,'TL06'!$J$238:$J$451),0),
IF('TL07'!$B$3=M$3,SUMIF('TL07'!$C$10:$C$224,$C421,'TL07'!$J$10:$J$224),0),
IF('TL07'!$B$229=M$3,SUMIF('TL07'!$C$238:$C$451,$C421,'TL07'!$J$238:$J$451),0),
IF('TL08'!$B$3=M$3,SUMIF('TL08'!$C$10:$C$224,$C421,'TL08'!$J$10:$J$224),0),
IF('TL08'!$B$229=M$3,SUMIF('TL08'!$C$238:$C$451,$C421,'TL08'!$J$238:$J$451),0),
IF('TL09'!$B$3=M$3,SUMIF('TL09'!$C$10:$C$224,$C421,'TL09'!$J$10:$J$224),0),
IF('TL09'!$B$229=M$3,SUMIF('TL09'!$C$238:$C$451,$C421,'TL09'!$J$238:$J$451),0),
IF('TL10'!$B$3=M$3,SUMIF('TL10'!$C$10:$C$224,$C421,'TL10'!$J$10:$J$224),0),
IF('TL10'!$B$229=M$3,SUMIF('TL10'!$C$238:$C$451,$C421,'TL10'!$J$238:$J$451),0),
IF('TL11'!$B$3=M$3,SUMIF('TL11'!$C$10:$C$224,$C421,'TL11'!$J$10:$J$224),0),
IF('TL11'!$B$229=M$3,SUMIF('TL11'!$C$238:$C$451,$C421,'TL11'!$J$238:$J$451),0),
IF('TL12'!$B$3=M$3,SUMIF('TL12'!$C$10:$C$224,$C421,'TL12'!$J$10:$J$224),0),
IF('TL12'!$B$229=M$3,SUMIF('TL12'!$C$238:$C$451,$C421,'TL12'!$J$238:$J$451),0),
IF('TL13'!$B$3=M$3,SUMIF('TL13'!$C$10:$C$224,$C421,'TL13'!$J$10:$J$224),0),
IF('TL13'!$B$229=M$3,SUMIF('TL13'!$C$238:$C$451,$C421,'TL13'!$J$238:$J$451),0),
IF('TL14'!$B$3=M$3,SUMIF('TL14'!$C$10:$C$224,$C421,'TL14'!$J$10:$J$224),0),
IF('TL14'!$B$229=M$3,SUMIF('TL14'!$C$238:$C$451,$C421,'TL14'!$J$238:$J$451),0),
IF('TL15'!$B$3=M$3,SUMIF('TL15'!$C$10:$C$224,$C421,'TL15'!$J$10:$J$224),0),
IF('TL15'!$B$229=M$3,SUMIF('TL15'!$C$238:$C$451,$C421,'TL15'!$J$238:$J$451),0),
IF('TL16'!$B$3=M$3,SUMIF('TL16'!$C$10:$C$224,$C421,'TL16'!$J$10:$J$224),0),
IF('TL16'!$B$229=M$3,SUMIF('TL16'!$C$238:$C$451,$C421,'TL16'!$J$238:$J$451),0),
IF('TL17'!$B$3=M$3,SUMIF('TL17'!$C$10:$C$224,$C421,'TL17'!$J$10:$J$224),0),
IF('TL17'!$B$229=M$3,SUMIF('TL17'!$C$238:$C$451,$C421,'TL17'!$J$238:$J$451),0),
IF('TL18'!$B$3=M$3,SUMIF('TL18'!$C$10:$C$224,$C421,'TL18'!$J$10:$J$224),0),
IF('TL18'!$B$229=M$3,SUMIF('TL18'!$C$238:$C$451,$C421,'TL18'!$J$238:$J$451),0),
IF('TL19'!$B$3=M$3,SUMIF('TL19'!$C$10:$C$224,$C421,'TL19'!$J$10:$J$224),0),
IF('TL19'!$B$229=M$3,SUMIF('TL19'!$C$238:$C$451,$C421,'TL19'!$J$238:$J$451),0)
),0)</f>
        <v/>
      </c>
      <c r="N421" s="138">
        <f>IFERROR(SUM(
IF('TL01'!$B$3=N$3,SUMIF('TL01'!$C$10:$C$224,$C421,'TL01'!$J$10:$J$224),0),
IF('TL01'!$B$229=N$3,SUMIF('TL01'!$C$238:$C$451,$C421,'TL01'!$J$238:$J$451),0),
IF('TL02'!$B$3=N$3,SUMIF('TL02'!$C$10:$C$224,$C421,'TL02'!$J$10:$J$224),0),
IF('TL02'!$B$229=N$3,SUMIF('TL02'!$C$238:$C$451,$C421,'TL02'!$J$238:$J$451),0),
IF('TL03'!$B$3=N$3,SUMIF('TL03'!$C$10:$C$224,$C421,'TL03'!$J$10:$J$224),0),
IF('TL03'!$B$229=N$3,SUMIF('TL03'!$C$238:$C$451,$C421,'TL03'!$J$238:$J$451),0),
IF('TL04'!$B$3=N$3,SUMIF('TL04'!$C$10:$C$224,$C421,'TL04'!$J$10:$J$224),0),
IF('TL04'!$B$229=N$3,SUMIF('TL04'!$C$238:$C$451,$C421,'TL04'!$J$238:$J$451),0),
IF('TL05'!$B$3=N$3,SUMIF('TL05'!$C$10:$C$224,$C421,'TL05'!$J$10:$J$224),0),
IF('TL05'!$B$229=N$3,SUMIF('TL05'!$C$238:$C$451,$C421,'TL05'!$J$238:$J$451),0),
IF('TL06'!$B$3=N$3,SUMIF('TL06'!$C$10:$C$224,$C421,'TL06'!$J$10:$J$224),0),
IF('TL06'!$B$229=N$3,SUMIF('TL06'!$C$238:$C$451,$C421,'TL06'!$J$238:$J$451),0),
IF('TL07'!$B$3=N$3,SUMIF('TL07'!$C$10:$C$224,$C421,'TL07'!$J$10:$J$224),0),
IF('TL07'!$B$229=N$3,SUMIF('TL07'!$C$238:$C$451,$C421,'TL07'!$J$238:$J$451),0),
IF('TL08'!$B$3=N$3,SUMIF('TL08'!$C$10:$C$224,$C421,'TL08'!$J$10:$J$224),0),
IF('TL08'!$B$229=N$3,SUMIF('TL08'!$C$238:$C$451,$C421,'TL08'!$J$238:$J$451),0),
IF('TL09'!$B$3=N$3,SUMIF('TL09'!$C$10:$C$224,$C421,'TL09'!$J$10:$J$224),0),
IF('TL09'!$B$229=N$3,SUMIF('TL09'!$C$238:$C$451,$C421,'TL09'!$J$238:$J$451),0),
IF('TL10'!$B$3=N$3,SUMIF('TL10'!$C$10:$C$224,$C421,'TL10'!$J$10:$J$224),0),
IF('TL10'!$B$229=N$3,SUMIF('TL10'!$C$238:$C$451,$C421,'TL10'!$J$238:$J$451),0),
IF('TL11'!$B$3=N$3,SUMIF('TL11'!$C$10:$C$224,$C421,'TL11'!$J$10:$J$224),0),
IF('TL11'!$B$229=N$3,SUMIF('TL11'!$C$238:$C$451,$C421,'TL11'!$J$238:$J$451),0),
IF('TL12'!$B$3=N$3,SUMIF('TL12'!$C$10:$C$224,$C421,'TL12'!$J$10:$J$224),0),
IF('TL12'!$B$229=N$3,SUMIF('TL12'!$C$238:$C$451,$C421,'TL12'!$J$238:$J$451),0),
IF('TL13'!$B$3=N$3,SUMIF('TL13'!$C$10:$C$224,$C421,'TL13'!$J$10:$J$224),0),
IF('TL13'!$B$229=N$3,SUMIF('TL13'!$C$238:$C$451,$C421,'TL13'!$J$238:$J$451),0),
IF('TL14'!$B$3=N$3,SUMIF('TL14'!$C$10:$C$224,$C421,'TL14'!$J$10:$J$224),0),
IF('TL14'!$B$229=N$3,SUMIF('TL14'!$C$238:$C$451,$C421,'TL14'!$J$238:$J$451),0),
IF('TL15'!$B$3=N$3,SUMIF('TL15'!$C$10:$C$224,$C421,'TL15'!$J$10:$J$224),0),
IF('TL15'!$B$229=N$3,SUMIF('TL15'!$C$238:$C$451,$C421,'TL15'!$J$238:$J$451),0),
IF('TL16'!$B$3=N$3,SUMIF('TL16'!$C$10:$C$224,$C421,'TL16'!$J$10:$J$224),0),
IF('TL16'!$B$229=N$3,SUMIF('TL16'!$C$238:$C$451,$C421,'TL16'!$J$238:$J$451),0),
IF('TL17'!$B$3=N$3,SUMIF('TL17'!$C$10:$C$224,$C421,'TL17'!$J$10:$J$224),0),
IF('TL17'!$B$229=N$3,SUMIF('TL17'!$C$238:$C$451,$C421,'TL17'!$J$238:$J$451),0),
IF('TL18'!$B$3=N$3,SUMIF('TL18'!$C$10:$C$224,$C421,'TL18'!$J$10:$J$224),0),
IF('TL18'!$B$229=N$3,SUMIF('TL18'!$C$238:$C$451,$C421,'TL18'!$J$238:$J$451),0),
IF('TL19'!$B$3=N$3,SUMIF('TL19'!$C$10:$C$224,$C421,'TL19'!$J$10:$J$224),0),
IF('TL19'!$B$229=N$3,SUMIF('TL19'!$C$238:$C$451,$C421,'TL19'!$J$238:$J$451),0)
),0)</f>
        <v/>
      </c>
      <c r="O421" s="138">
        <f>IFERROR(SUM(
IF('TL01'!$B$3=O$3,SUMIF('TL01'!$C$10:$C$224,$C421,'TL01'!$J$10:$J$224),0),
IF('TL01'!$B$229=O$3,SUMIF('TL01'!$C$238:$C$451,$C421,'TL01'!$J$238:$J$451),0),
IF('TL02'!$B$3=O$3,SUMIF('TL02'!$C$10:$C$224,$C421,'TL02'!$J$10:$J$224),0),
IF('TL02'!$B$229=O$3,SUMIF('TL02'!$C$238:$C$451,$C421,'TL02'!$J$238:$J$451),0),
IF('TL03'!$B$3=O$3,SUMIF('TL03'!$C$10:$C$224,$C421,'TL03'!$J$10:$J$224),0),
IF('TL03'!$B$229=O$3,SUMIF('TL03'!$C$238:$C$451,$C421,'TL03'!$J$238:$J$451),0),
IF('TL04'!$B$3=O$3,SUMIF('TL04'!$C$10:$C$224,$C421,'TL04'!$J$10:$J$224),0),
IF('TL04'!$B$229=O$3,SUMIF('TL04'!$C$238:$C$451,$C421,'TL04'!$J$238:$J$451),0),
IF('TL05'!$B$3=O$3,SUMIF('TL05'!$C$10:$C$224,$C421,'TL05'!$J$10:$J$224),0),
IF('TL05'!$B$229=O$3,SUMIF('TL05'!$C$238:$C$451,$C421,'TL05'!$J$238:$J$451),0),
IF('TL06'!$B$3=O$3,SUMIF('TL06'!$C$10:$C$224,$C421,'TL06'!$J$10:$J$224),0),
IF('TL06'!$B$229=O$3,SUMIF('TL06'!$C$238:$C$451,$C421,'TL06'!$J$238:$J$451),0),
IF('TL07'!$B$3=O$3,SUMIF('TL07'!$C$10:$C$224,$C421,'TL07'!$J$10:$J$224),0),
IF('TL07'!$B$229=O$3,SUMIF('TL07'!$C$238:$C$451,$C421,'TL07'!$J$238:$J$451),0),
IF('TL08'!$B$3=O$3,SUMIF('TL08'!$C$10:$C$224,$C421,'TL08'!$J$10:$J$224),0),
IF('TL08'!$B$229=O$3,SUMIF('TL08'!$C$238:$C$451,$C421,'TL08'!$J$238:$J$451),0),
IF('TL09'!$B$3=O$3,SUMIF('TL09'!$C$10:$C$224,$C421,'TL09'!$J$10:$J$224),0),
IF('TL09'!$B$229=O$3,SUMIF('TL09'!$C$238:$C$451,$C421,'TL09'!$J$238:$J$451),0),
IF('TL10'!$B$3=O$3,SUMIF('TL10'!$C$10:$C$224,$C421,'TL10'!$J$10:$J$224),0),
IF('TL10'!$B$229=O$3,SUMIF('TL10'!$C$238:$C$451,$C421,'TL10'!$J$238:$J$451),0),
IF('TL11'!$B$3=O$3,SUMIF('TL11'!$C$10:$C$224,$C421,'TL11'!$J$10:$J$224),0),
IF('TL11'!$B$229=O$3,SUMIF('TL11'!$C$238:$C$451,$C421,'TL11'!$J$238:$J$451),0),
IF('TL12'!$B$3=O$3,SUMIF('TL12'!$C$10:$C$224,$C421,'TL12'!$J$10:$J$224),0),
IF('TL12'!$B$229=O$3,SUMIF('TL12'!$C$238:$C$451,$C421,'TL12'!$J$238:$J$451),0),
IF('TL13'!$B$3=O$3,SUMIF('TL13'!$C$10:$C$224,$C421,'TL13'!$J$10:$J$224),0),
IF('TL13'!$B$229=O$3,SUMIF('TL13'!$C$238:$C$451,$C421,'TL13'!$J$238:$J$451),0),
IF('TL14'!$B$3=O$3,SUMIF('TL14'!$C$10:$C$224,$C421,'TL14'!$J$10:$J$224),0),
IF('TL14'!$B$229=O$3,SUMIF('TL14'!$C$238:$C$451,$C421,'TL14'!$J$238:$J$451),0),
IF('TL15'!$B$3=O$3,SUMIF('TL15'!$C$10:$C$224,$C421,'TL15'!$J$10:$J$224),0),
IF('TL15'!$B$229=O$3,SUMIF('TL15'!$C$238:$C$451,$C421,'TL15'!$J$238:$J$451),0),
IF('TL16'!$B$3=O$3,SUMIF('TL16'!$C$10:$C$224,$C421,'TL16'!$J$10:$J$224),0),
IF('TL16'!$B$229=O$3,SUMIF('TL16'!$C$238:$C$451,$C421,'TL16'!$J$238:$J$451),0),
IF('TL17'!$B$3=O$3,SUMIF('TL17'!$C$10:$C$224,$C421,'TL17'!$J$10:$J$224),0),
IF('TL17'!$B$229=O$3,SUMIF('TL17'!$C$238:$C$451,$C421,'TL17'!$J$238:$J$451),0),
IF('TL18'!$B$3=O$3,SUMIF('TL18'!$C$10:$C$224,$C421,'TL18'!$J$10:$J$224),0),
IF('TL18'!$B$229=O$3,SUMIF('TL18'!$C$238:$C$451,$C421,'TL18'!$J$238:$J$451),0),
IF('TL19'!$B$3=O$3,SUMIF('TL19'!$C$10:$C$224,$C421,'TL19'!$J$10:$J$224),0),
IF('TL19'!$B$229=O$3,SUMIF('TL19'!$C$238:$C$451,$C421,'TL19'!$J$238:$J$451),0)
),0)</f>
        <v/>
      </c>
      <c r="P421" s="138">
        <f>IFERROR(SUM(
IF('TL01'!$B$3=P$3,SUMIF('TL01'!$C$10:$C$224,$C421,'TL01'!$J$10:$J$224),0),
IF('TL01'!$B$229=P$3,SUMIF('TL01'!$C$238:$C$451,$C421,'TL01'!$J$238:$J$451),0),
IF('TL02'!$B$3=P$3,SUMIF('TL02'!$C$10:$C$224,$C421,'TL02'!$J$10:$J$224),0),
IF('TL02'!$B$229=P$3,SUMIF('TL02'!$C$238:$C$451,$C421,'TL02'!$J$238:$J$451),0),
IF('TL03'!$B$3=P$3,SUMIF('TL03'!$C$10:$C$224,$C421,'TL03'!$J$10:$J$224),0),
IF('TL03'!$B$229=P$3,SUMIF('TL03'!$C$238:$C$451,$C421,'TL03'!$J$238:$J$451),0),
IF('TL04'!$B$3=P$3,SUMIF('TL04'!$C$10:$C$224,$C421,'TL04'!$J$10:$J$224),0),
IF('TL04'!$B$229=P$3,SUMIF('TL04'!$C$238:$C$451,$C421,'TL04'!$J$238:$J$451),0),
IF('TL05'!$B$3=P$3,SUMIF('TL05'!$C$10:$C$224,$C421,'TL05'!$J$10:$J$224),0),
IF('TL05'!$B$229=P$3,SUMIF('TL05'!$C$238:$C$451,$C421,'TL05'!$J$238:$J$451),0),
IF('TL06'!$B$3=P$3,SUMIF('TL06'!$C$10:$C$224,$C421,'TL06'!$J$10:$J$224),0),
IF('TL06'!$B$229=P$3,SUMIF('TL06'!$C$238:$C$451,$C421,'TL06'!$J$238:$J$451),0),
IF('TL07'!$B$3=P$3,SUMIF('TL07'!$C$10:$C$224,$C421,'TL07'!$J$10:$J$224),0),
IF('TL07'!$B$229=P$3,SUMIF('TL07'!$C$238:$C$451,$C421,'TL07'!$J$238:$J$451),0),
IF('TL08'!$B$3=P$3,SUMIF('TL08'!$C$10:$C$224,$C421,'TL08'!$J$10:$J$224),0),
IF('TL08'!$B$229=P$3,SUMIF('TL08'!$C$238:$C$451,$C421,'TL08'!$J$238:$J$451),0),
IF('TL09'!$B$3=P$3,SUMIF('TL09'!$C$10:$C$224,$C421,'TL09'!$J$10:$J$224),0),
IF('TL09'!$B$229=P$3,SUMIF('TL09'!$C$238:$C$451,$C421,'TL09'!$J$238:$J$451),0),
IF('TL10'!$B$3=P$3,SUMIF('TL10'!$C$10:$C$224,$C421,'TL10'!$J$10:$J$224),0),
IF('TL10'!$B$229=P$3,SUMIF('TL10'!$C$238:$C$451,$C421,'TL10'!$J$238:$J$451),0),
IF('TL11'!$B$3=P$3,SUMIF('TL11'!$C$10:$C$224,$C421,'TL11'!$J$10:$J$224),0),
IF('TL11'!$B$229=P$3,SUMIF('TL11'!$C$238:$C$451,$C421,'TL11'!$J$238:$J$451),0),
IF('TL12'!$B$3=P$3,SUMIF('TL12'!$C$10:$C$224,$C421,'TL12'!$J$10:$J$224),0),
IF('TL12'!$B$229=P$3,SUMIF('TL12'!$C$238:$C$451,$C421,'TL12'!$J$238:$J$451),0),
IF('TL13'!$B$3=P$3,SUMIF('TL13'!$C$10:$C$224,$C421,'TL13'!$J$10:$J$224),0),
IF('TL13'!$B$229=P$3,SUMIF('TL13'!$C$238:$C$451,$C421,'TL13'!$J$238:$J$451),0),
IF('TL14'!$B$3=P$3,SUMIF('TL14'!$C$10:$C$224,$C421,'TL14'!$J$10:$J$224),0),
IF('TL14'!$B$229=P$3,SUMIF('TL14'!$C$238:$C$451,$C421,'TL14'!$J$238:$J$451),0),
IF('TL15'!$B$3=P$3,SUMIF('TL15'!$C$10:$C$224,$C421,'TL15'!$J$10:$J$224),0),
IF('TL15'!$B$229=P$3,SUMIF('TL15'!$C$238:$C$451,$C421,'TL15'!$J$238:$J$451),0),
IF('TL16'!$B$3=P$3,SUMIF('TL16'!$C$10:$C$224,$C421,'TL16'!$J$10:$J$224),0),
IF('TL16'!$B$229=P$3,SUMIF('TL16'!$C$238:$C$451,$C421,'TL16'!$J$238:$J$451),0),
IF('TL17'!$B$3=P$3,SUMIF('TL17'!$C$10:$C$224,$C421,'TL17'!$J$10:$J$224),0),
IF('TL17'!$B$229=P$3,SUMIF('TL17'!$C$238:$C$451,$C421,'TL17'!$J$238:$J$451),0),
IF('TL18'!$B$3=P$3,SUMIF('TL18'!$C$10:$C$224,$C421,'TL18'!$J$10:$J$224),0),
IF('TL18'!$B$229=P$3,SUMIF('TL18'!$C$238:$C$451,$C421,'TL18'!$J$238:$J$451),0),
IF('TL19'!$B$3=P$3,SUMIF('TL19'!$C$10:$C$224,$C421,'TL19'!$J$10:$J$224),0),
IF('TL19'!$B$229=P$3,SUMIF('TL19'!$C$238:$C$451,$C421,'TL19'!$J$238:$J$451),0)
),0)</f>
        <v/>
      </c>
      <c r="Q421" s="138">
        <f>IFERROR(SUM(
IF('TL01'!$B$3=Q$3,SUMIF('TL01'!$C$10:$C$224,$C421,'TL01'!$J$10:$J$224),0),
IF('TL01'!$B$229=Q$3,SUMIF('TL01'!$C$238:$C$451,$C421,'TL01'!$J$238:$J$451),0),
IF('TL02'!$B$3=Q$3,SUMIF('TL02'!$C$10:$C$224,$C421,'TL02'!$J$10:$J$224),0),
IF('TL02'!$B$229=Q$3,SUMIF('TL02'!$C$238:$C$451,$C421,'TL02'!$J$238:$J$451),0),
IF('TL03'!$B$3=Q$3,SUMIF('TL03'!$C$10:$C$224,$C421,'TL03'!$J$10:$J$224),0),
IF('TL03'!$B$229=Q$3,SUMIF('TL03'!$C$238:$C$451,$C421,'TL03'!$J$238:$J$451),0),
IF('TL04'!$B$3=Q$3,SUMIF('TL04'!$C$10:$C$224,$C421,'TL04'!$J$10:$J$224),0),
IF('TL04'!$B$229=Q$3,SUMIF('TL04'!$C$238:$C$451,$C421,'TL04'!$J$238:$J$451),0),
IF('TL05'!$B$3=Q$3,SUMIF('TL05'!$C$10:$C$224,$C421,'TL05'!$J$10:$J$224),0),
IF('TL05'!$B$229=Q$3,SUMIF('TL05'!$C$238:$C$451,$C421,'TL05'!$J$238:$J$451),0),
IF('TL06'!$B$3=Q$3,SUMIF('TL06'!$C$10:$C$224,$C421,'TL06'!$J$10:$J$224),0),
IF('TL06'!$B$229=Q$3,SUMIF('TL06'!$C$238:$C$451,$C421,'TL06'!$J$238:$J$451),0),
IF('TL07'!$B$3=Q$3,SUMIF('TL07'!$C$10:$C$224,$C421,'TL07'!$J$10:$J$224),0),
IF('TL07'!$B$229=Q$3,SUMIF('TL07'!$C$238:$C$451,$C421,'TL07'!$J$238:$J$451),0),
IF('TL08'!$B$3=Q$3,SUMIF('TL08'!$C$10:$C$224,$C421,'TL08'!$J$10:$J$224),0),
IF('TL08'!$B$229=Q$3,SUMIF('TL08'!$C$238:$C$451,$C421,'TL08'!$J$238:$J$451),0),
IF('TL09'!$B$3=Q$3,SUMIF('TL09'!$C$10:$C$224,$C421,'TL09'!$J$10:$J$224),0),
IF('TL09'!$B$229=Q$3,SUMIF('TL09'!$C$238:$C$451,$C421,'TL09'!$J$238:$J$451),0),
IF('TL10'!$B$3=Q$3,SUMIF('TL10'!$C$10:$C$224,$C421,'TL10'!$J$10:$J$224),0),
IF('TL10'!$B$229=Q$3,SUMIF('TL10'!$C$238:$C$451,$C421,'TL10'!$J$238:$J$451),0),
IF('TL11'!$B$3=Q$3,SUMIF('TL11'!$C$10:$C$224,$C421,'TL11'!$J$10:$J$224),0),
IF('TL11'!$B$229=Q$3,SUMIF('TL11'!$C$238:$C$451,$C421,'TL11'!$J$238:$J$451),0),
IF('TL12'!$B$3=Q$3,SUMIF('TL12'!$C$10:$C$224,$C421,'TL12'!$J$10:$J$224),0),
IF('TL12'!$B$229=Q$3,SUMIF('TL12'!$C$238:$C$451,$C421,'TL12'!$J$238:$J$451),0),
IF('TL13'!$B$3=Q$3,SUMIF('TL13'!$C$10:$C$224,$C421,'TL13'!$J$10:$J$224),0),
IF('TL13'!$B$229=Q$3,SUMIF('TL13'!$C$238:$C$451,$C421,'TL13'!$J$238:$J$451),0),
IF('TL14'!$B$3=Q$3,SUMIF('TL14'!$C$10:$C$224,$C421,'TL14'!$J$10:$J$224),0),
IF('TL14'!$B$229=Q$3,SUMIF('TL14'!$C$238:$C$451,$C421,'TL14'!$J$238:$J$451),0),
IF('TL15'!$B$3=Q$3,SUMIF('TL15'!$C$10:$C$224,$C421,'TL15'!$J$10:$J$224),0),
IF('TL15'!$B$229=Q$3,SUMIF('TL15'!$C$238:$C$451,$C421,'TL15'!$J$238:$J$451),0),
IF('TL16'!$B$3=Q$3,SUMIF('TL16'!$C$10:$C$224,$C421,'TL16'!$J$10:$J$224),0),
IF('TL16'!$B$229=Q$3,SUMIF('TL16'!$C$238:$C$451,$C421,'TL16'!$J$238:$J$451),0),
IF('TL17'!$B$3=Q$3,SUMIF('TL17'!$C$10:$C$224,$C421,'TL17'!$J$10:$J$224),0),
IF('TL17'!$B$229=Q$3,SUMIF('TL17'!$C$238:$C$451,$C421,'TL17'!$J$238:$J$451),0),
IF('TL18'!$B$3=Q$3,SUMIF('TL18'!$C$10:$C$224,$C421,'TL18'!$J$10:$J$224),0),
IF('TL18'!$B$229=Q$3,SUMIF('TL18'!$C$238:$C$451,$C421,'TL18'!$J$238:$J$451),0),
IF('TL19'!$B$3=Q$3,SUMIF('TL19'!$C$10:$C$224,$C421,'TL19'!$J$10:$J$224),0),
IF('TL19'!$B$229=Q$3,SUMIF('TL19'!$C$238:$C$451,$C421,'TL19'!$J$238:$J$451),0)
),0)</f>
        <v/>
      </c>
      <c r="R421" s="139">
        <f>IFERROR(
SUM(
SUMIF('TL01'!C:C,C421,'TL01'!J:J),
SUMIF('TL02'!C:C,C421,'TL02'!I:I),
SUMIF('TL03'!C:C,C421,'TL03'!I:I),
SUMIF('TL04'!C:C,C421,'TL04'!I:I),
SUMIF('TL05'!C:C,C421,'TL05'!I:I),
SUMIF('TL06'!C:C,C421,'TL06'!I:I),
SUMIF('TL07'!C:C,C421,'TL07'!I:I),
SUMIF('TL08'!C:C,C421,'TL08'!I:I),
SUMIF('TL09'!C:C,C421,'TL09'!I:I),
SUMIF('TL10'!C:C,C421,'TL10'!I:I),
SUMIF('TL11'!C:C,C421,'TL11'!I:I),
SUMIF('TL12'!C:C,C421,'TL12'!I:I),
SUMIF('TL13'!C:C,C421,'TL13'!I:I),
SUMIF('TL14'!C:C,C421,'TL14'!I:I),
SUMIF('TL15'!C:C,C421,'TL15'!I:I),
SUMIF('TL16'!C:C,C421,'TL16'!I:I),
SUMIF('TL17'!C:C,C421,'TL17'!I:I),
SUMIF('TL18'!C:C,C421,'TL18'!I:I))
,0)</f>
        <v/>
      </c>
      <c r="S421" s="142">
        <f>'CUSTO OPERAÇÃO'!M25</f>
        <v/>
      </c>
      <c r="T421" s="139" t="n"/>
      <c r="U421" s="143">
        <f>MAX(0,R421-T421)</f>
        <v/>
      </c>
      <c r="V421" s="144">
        <f>U421*S421</f>
        <v/>
      </c>
    </row>
    <row r="422" hidden="1" ht="15.75" customHeight="1" s="297">
      <c r="A422" s="138" t="n"/>
      <c r="B422" s="155" t="n"/>
      <c r="C422" s="138" t="n"/>
      <c r="D422" s="138" t="n"/>
      <c r="E422" s="139" t="n"/>
      <c r="F422" s="138" t="inlineStr">
        <is>
          <t>R$/Ha</t>
        </is>
      </c>
      <c r="G422" s="139" t="n"/>
      <c r="H422" s="140">
        <f>'CUSTO OPERAÇÃO'!J26</f>
        <v/>
      </c>
      <c r="I422" s="156" t="n"/>
      <c r="J422" s="138">
        <f>IFERROR(SUM(
IF('TL01'!$B$3=J$3,SUMIF('TL01'!$C$10:$C$224,$C422,'TL01'!$J$10:$J$224),0),
IF('TL01'!$B$229=J$3,SUMIF('TL01'!$C$238:$C$451,$C422,'TL01'!$J$238:$J$451),0),
IF('TL02'!$B$3=J$3,SUMIF('TL02'!$C$10:$C$224,$C422,'TL02'!$J$10:$J$224),0),
IF('TL02'!$B$229=J$3,SUMIF('TL02'!$C$238:$C$451,$C422,'TL02'!$J$238:$J$451),0),
IF('TL03'!$B$3=J$3,SUMIF('TL03'!$C$10:$C$224,$C422,'TL03'!$J$10:$J$224),0),
IF('TL03'!$B$229=J$3,SUMIF('TL03'!$C$238:$C$451,$C422,'TL03'!$J$238:$J$451),0),
IF('TL04'!$B$3=J$3,SUMIF('TL04'!$C$10:$C$224,$C422,'TL04'!$J$10:$J$224),0),
IF('TL04'!$B$229=J$3,SUMIF('TL04'!$C$238:$C$451,$C422,'TL04'!$J$238:$J$451),0),
IF('TL05'!$B$3=J$3,SUMIF('TL05'!$C$10:$C$224,$C422,'TL05'!$J$10:$J$224),0),
IF('TL05'!$B$229=J$3,SUMIF('TL05'!$C$238:$C$451,$C422,'TL05'!$J$238:$J$451),0),
IF('TL06'!$B$3=J$3,SUMIF('TL06'!$C$10:$C$224,$C422,'TL06'!$J$10:$J$224),0),
IF('TL06'!$B$229=J$3,SUMIF('TL06'!$C$238:$C$451,$C422,'TL06'!$J$238:$J$451),0),
IF('TL07'!$B$3=J$3,SUMIF('TL07'!$C$10:$C$224,$C422,'TL07'!$J$10:$J$224),0),
IF('TL07'!$B$229=J$3,SUMIF('TL07'!$C$238:$C$451,$C422,'TL07'!$J$238:$J$451),0),
IF('TL08'!$B$3=J$3,SUMIF('TL08'!$C$10:$C$224,$C422,'TL08'!$J$10:$J$224),0),
IF('TL08'!$B$229=J$3,SUMIF('TL08'!$C$238:$C$451,$C422,'TL08'!$J$238:$J$451),0),
IF('TL09'!$B$3=J$3,SUMIF('TL09'!$C$10:$C$224,$C422,'TL09'!$J$10:$J$224),0),
IF('TL09'!$B$229=J$3,SUMIF('TL09'!$C$238:$C$451,$C422,'TL09'!$J$238:$J$451),0),
IF('TL10'!$B$3=J$3,SUMIF('TL10'!$C$10:$C$224,$C422,'TL10'!$J$10:$J$224),0),
IF('TL10'!$B$229=J$3,SUMIF('TL10'!$C$238:$C$451,$C422,'TL10'!$J$238:$J$451),0),
IF('TL11'!$B$3=J$3,SUMIF('TL11'!$C$10:$C$224,$C422,'TL11'!$J$10:$J$224),0),
IF('TL11'!$B$229=J$3,SUMIF('TL11'!$C$238:$C$451,$C422,'TL11'!$J$238:$J$451),0),
IF('TL12'!$B$3=J$3,SUMIF('TL12'!$C$10:$C$224,$C422,'TL12'!$J$10:$J$224),0),
IF('TL12'!$B$229=J$3,SUMIF('TL12'!$C$238:$C$451,$C422,'TL12'!$J$238:$J$451),0),
IF('TL13'!$B$3=J$3,SUMIF('TL13'!$C$10:$C$224,$C422,'TL13'!$J$10:$J$224),0),
IF('TL13'!$B$229=J$3,SUMIF('TL13'!$C$238:$C$451,$C422,'TL13'!$J$238:$J$451),0),
IF('TL14'!$B$3=J$3,SUMIF('TL14'!$C$10:$C$224,$C422,'TL14'!$J$10:$J$224),0),
IF('TL14'!$B$229=J$3,SUMIF('TL14'!$C$238:$C$451,$C422,'TL14'!$J$238:$J$451),0),
IF('TL15'!$B$3=J$3,SUMIF('TL15'!$C$10:$C$224,$C422,'TL15'!$J$10:$J$224),0),
IF('TL15'!$B$229=J$3,SUMIF('TL15'!$C$238:$C$451,$C422,'TL15'!$J$238:$J$451),0),
IF('TL16'!$B$3=J$3,SUMIF('TL16'!$C$10:$C$224,$C422,'TL16'!$J$10:$J$224),0),
IF('TL16'!$B$229=J$3,SUMIF('TL16'!$C$238:$C$451,$C422,'TL16'!$J$238:$J$451),0),
IF('TL17'!$B$3=J$3,SUMIF('TL17'!$C$10:$C$224,$C422,'TL17'!$J$10:$J$224),0),
IF('TL17'!$B$229=J$3,SUMIF('TL17'!$C$238:$C$451,$C422,'TL17'!$J$238:$J$451),0),
IF('TL18'!$B$3=J$3,SUMIF('TL18'!$C$10:$C$224,$C422,'TL18'!$J$10:$J$224),0),
IF('TL18'!$B$229=J$3,SUMIF('TL18'!$C$238:$C$451,$C422,'TL18'!$J$238:$J$451),0),
IF('TL19'!$B$3=J$3,SUMIF('TL19'!$C$10:$C$224,$C422,'TL19'!$J$10:$J$224),0),
IF('TL19'!$B$229=J$3,SUMIF('TL19'!$C$238:$C$451,$C422,'TL19'!$J$238:$J$451),0)
),0)</f>
        <v/>
      </c>
      <c r="K422" s="138">
        <f>IFERROR(SUM(
IF('TL01'!$B$3=K$3,SUMIF('TL01'!$C$10:$C$224,$C422,'TL01'!$J$10:$J$224),0),
IF('TL01'!$B$229=K$3,SUMIF('TL01'!$C$238:$C$451,$C422,'TL01'!$J$238:$J$451),0),
IF('TL02'!$B$3=K$3,SUMIF('TL02'!$C$10:$C$224,$C422,'TL02'!$J$10:$J$224),0),
IF('TL02'!$B$229=K$3,SUMIF('TL02'!$C$238:$C$451,$C422,'TL02'!$J$238:$J$451),0),
IF('TL03'!$B$3=K$3,SUMIF('TL03'!$C$10:$C$224,$C422,'TL03'!$J$10:$J$224),0),
IF('TL03'!$B$229=K$3,SUMIF('TL03'!$C$238:$C$451,$C422,'TL03'!$J$238:$J$451),0),
IF('TL04'!$B$3=K$3,SUMIF('TL04'!$C$10:$C$224,$C422,'TL04'!$J$10:$J$224),0),
IF('TL04'!$B$229=K$3,SUMIF('TL04'!$C$238:$C$451,$C422,'TL04'!$J$238:$J$451),0),
IF('TL05'!$B$3=K$3,SUMIF('TL05'!$C$10:$C$224,$C422,'TL05'!$J$10:$J$224),0),
IF('TL05'!$B$229=K$3,SUMIF('TL05'!$C$238:$C$451,$C422,'TL05'!$J$238:$J$451),0),
IF('TL06'!$B$3=K$3,SUMIF('TL06'!$C$10:$C$224,$C422,'TL06'!$J$10:$J$224),0),
IF('TL06'!$B$229=K$3,SUMIF('TL06'!$C$238:$C$451,$C422,'TL06'!$J$238:$J$451),0),
IF('TL07'!$B$3=K$3,SUMIF('TL07'!$C$10:$C$224,$C422,'TL07'!$J$10:$J$224),0),
IF('TL07'!$B$229=K$3,SUMIF('TL07'!$C$238:$C$451,$C422,'TL07'!$J$238:$J$451),0),
IF('TL08'!$B$3=K$3,SUMIF('TL08'!$C$10:$C$224,$C422,'TL08'!$J$10:$J$224),0),
IF('TL08'!$B$229=K$3,SUMIF('TL08'!$C$238:$C$451,$C422,'TL08'!$J$238:$J$451),0),
IF('TL09'!$B$3=K$3,SUMIF('TL09'!$C$10:$C$224,$C422,'TL09'!$J$10:$J$224),0),
IF('TL09'!$B$229=K$3,SUMIF('TL09'!$C$238:$C$451,$C422,'TL09'!$J$238:$J$451),0),
IF('TL10'!$B$3=K$3,SUMIF('TL10'!$C$10:$C$224,$C422,'TL10'!$J$10:$J$224),0),
IF('TL10'!$B$229=K$3,SUMIF('TL10'!$C$238:$C$451,$C422,'TL10'!$J$238:$J$451),0),
IF('TL11'!$B$3=K$3,SUMIF('TL11'!$C$10:$C$224,$C422,'TL11'!$J$10:$J$224),0),
IF('TL11'!$B$229=K$3,SUMIF('TL11'!$C$238:$C$451,$C422,'TL11'!$J$238:$J$451),0),
IF('TL12'!$B$3=K$3,SUMIF('TL12'!$C$10:$C$224,$C422,'TL12'!$J$10:$J$224),0),
IF('TL12'!$B$229=K$3,SUMIF('TL12'!$C$238:$C$451,$C422,'TL12'!$J$238:$J$451),0),
IF('TL13'!$B$3=K$3,SUMIF('TL13'!$C$10:$C$224,$C422,'TL13'!$J$10:$J$224),0),
IF('TL13'!$B$229=K$3,SUMIF('TL13'!$C$238:$C$451,$C422,'TL13'!$J$238:$J$451),0),
IF('TL14'!$B$3=K$3,SUMIF('TL14'!$C$10:$C$224,$C422,'TL14'!$J$10:$J$224),0),
IF('TL14'!$B$229=K$3,SUMIF('TL14'!$C$238:$C$451,$C422,'TL14'!$J$238:$J$451),0),
IF('TL15'!$B$3=K$3,SUMIF('TL15'!$C$10:$C$224,$C422,'TL15'!$J$10:$J$224),0),
IF('TL15'!$B$229=K$3,SUMIF('TL15'!$C$238:$C$451,$C422,'TL15'!$J$238:$J$451),0),
IF('TL16'!$B$3=K$3,SUMIF('TL16'!$C$10:$C$224,$C422,'TL16'!$J$10:$J$224),0),
IF('TL16'!$B$229=K$3,SUMIF('TL16'!$C$238:$C$451,$C422,'TL16'!$J$238:$J$451),0),
IF('TL17'!$B$3=K$3,SUMIF('TL17'!$C$10:$C$224,$C422,'TL17'!$J$10:$J$224),0),
IF('TL17'!$B$229=K$3,SUMIF('TL17'!$C$238:$C$451,$C422,'TL17'!$J$238:$J$451),0),
IF('TL18'!$B$3=K$3,SUMIF('TL18'!$C$10:$C$224,$C422,'TL18'!$J$10:$J$224),0),
IF('TL18'!$B$229=K$3,SUMIF('TL18'!$C$238:$C$451,$C422,'TL18'!$J$238:$J$451),0),
IF('TL19'!$B$3=K$3,SUMIF('TL19'!$C$10:$C$224,$C422,'TL19'!$J$10:$J$224),0),
IF('TL19'!$B$229=K$3,SUMIF('TL19'!$C$238:$C$451,$C422,'TL19'!$J$238:$J$451),0)
),0)</f>
        <v/>
      </c>
      <c r="L422" s="138">
        <f>IFERROR(SUM(
IF('TL01'!$B$3=L$3,SUMIF('TL01'!$C$10:$C$224,$C422,'TL01'!$J$10:$J$224),0),
IF('TL01'!$B$229=L$3,SUMIF('TL01'!$C$238:$C$451,$C422,'TL01'!$J$238:$J$451),0),
IF('TL02'!$B$3=L$3,SUMIF('TL02'!$C$10:$C$224,$C422,'TL02'!$J$10:$J$224),0),
IF('TL02'!$B$229=L$3,SUMIF('TL02'!$C$238:$C$451,$C422,'TL02'!$J$238:$J$451),0),
IF('TL03'!$B$3=L$3,SUMIF('TL03'!$C$10:$C$224,$C422,'TL03'!$J$10:$J$224),0),
IF('TL03'!$B$229=L$3,SUMIF('TL03'!$C$238:$C$451,$C422,'TL03'!$J$238:$J$451),0),
IF('TL04'!$B$3=L$3,SUMIF('TL04'!$C$10:$C$224,$C422,'TL04'!$J$10:$J$224),0),
IF('TL04'!$B$229=L$3,SUMIF('TL04'!$C$238:$C$451,$C422,'TL04'!$J$238:$J$451),0),
IF('TL05'!$B$3=L$3,SUMIF('TL05'!$C$10:$C$224,$C422,'TL05'!$J$10:$J$224),0),
IF('TL05'!$B$229=L$3,SUMIF('TL05'!$C$238:$C$451,$C422,'TL05'!$J$238:$J$451),0),
IF('TL06'!$B$3=L$3,SUMIF('TL06'!$C$10:$C$224,$C422,'TL06'!$J$10:$J$224),0),
IF('TL06'!$B$229=L$3,SUMIF('TL06'!$C$238:$C$451,$C422,'TL06'!$J$238:$J$451),0),
IF('TL07'!$B$3=L$3,SUMIF('TL07'!$C$10:$C$224,$C422,'TL07'!$J$10:$J$224),0),
IF('TL07'!$B$229=L$3,SUMIF('TL07'!$C$238:$C$451,$C422,'TL07'!$J$238:$J$451),0),
IF('TL08'!$B$3=L$3,SUMIF('TL08'!$C$10:$C$224,$C422,'TL08'!$J$10:$J$224),0),
IF('TL08'!$B$229=L$3,SUMIF('TL08'!$C$238:$C$451,$C422,'TL08'!$J$238:$J$451),0),
IF('TL09'!$B$3=L$3,SUMIF('TL09'!$C$10:$C$224,$C422,'TL09'!$J$10:$J$224),0),
IF('TL09'!$B$229=L$3,SUMIF('TL09'!$C$238:$C$451,$C422,'TL09'!$J$238:$J$451),0),
IF('TL10'!$B$3=L$3,SUMIF('TL10'!$C$10:$C$224,$C422,'TL10'!$J$10:$J$224),0),
IF('TL10'!$B$229=L$3,SUMIF('TL10'!$C$238:$C$451,$C422,'TL10'!$J$238:$J$451),0),
IF('TL11'!$B$3=L$3,SUMIF('TL11'!$C$10:$C$224,$C422,'TL11'!$J$10:$J$224),0),
IF('TL11'!$B$229=L$3,SUMIF('TL11'!$C$238:$C$451,$C422,'TL11'!$J$238:$J$451),0),
IF('TL12'!$B$3=L$3,SUMIF('TL12'!$C$10:$C$224,$C422,'TL12'!$J$10:$J$224),0),
IF('TL12'!$B$229=L$3,SUMIF('TL12'!$C$238:$C$451,$C422,'TL12'!$J$238:$J$451),0),
IF('TL13'!$B$3=L$3,SUMIF('TL13'!$C$10:$C$224,$C422,'TL13'!$J$10:$J$224),0),
IF('TL13'!$B$229=L$3,SUMIF('TL13'!$C$238:$C$451,$C422,'TL13'!$J$238:$J$451),0),
IF('TL14'!$B$3=L$3,SUMIF('TL14'!$C$10:$C$224,$C422,'TL14'!$J$10:$J$224),0),
IF('TL14'!$B$229=L$3,SUMIF('TL14'!$C$238:$C$451,$C422,'TL14'!$J$238:$J$451),0),
IF('TL15'!$B$3=L$3,SUMIF('TL15'!$C$10:$C$224,$C422,'TL15'!$J$10:$J$224),0),
IF('TL15'!$B$229=L$3,SUMIF('TL15'!$C$238:$C$451,$C422,'TL15'!$J$238:$J$451),0),
IF('TL16'!$B$3=L$3,SUMIF('TL16'!$C$10:$C$224,$C422,'TL16'!$J$10:$J$224),0),
IF('TL16'!$B$229=L$3,SUMIF('TL16'!$C$238:$C$451,$C422,'TL16'!$J$238:$J$451),0),
IF('TL17'!$B$3=L$3,SUMIF('TL17'!$C$10:$C$224,$C422,'TL17'!$J$10:$J$224),0),
IF('TL17'!$B$229=L$3,SUMIF('TL17'!$C$238:$C$451,$C422,'TL17'!$J$238:$J$451),0),
IF('TL18'!$B$3=L$3,SUMIF('TL18'!$C$10:$C$224,$C422,'TL18'!$J$10:$J$224),0),
IF('TL18'!$B$229=L$3,SUMIF('TL18'!$C$238:$C$451,$C422,'TL18'!$J$238:$J$451),0),
IF('TL19'!$B$3=L$3,SUMIF('TL19'!$C$10:$C$224,$C422,'TL19'!$J$10:$J$224),0),
IF('TL19'!$B$229=L$3,SUMIF('TL19'!$C$238:$C$451,$C422,'TL19'!$J$238:$J$451),0)
),0)</f>
        <v/>
      </c>
      <c r="M422" s="138">
        <f>IFERROR(SUM(
IF('TL01'!$B$3=M$3,SUMIF('TL01'!$C$10:$C$224,$C422,'TL01'!$J$10:$J$224),0),
IF('TL01'!$B$229=M$3,SUMIF('TL01'!$C$238:$C$451,$C422,'TL01'!$J$238:$J$451),0),
IF('TL02'!$B$3=M$3,SUMIF('TL02'!$C$10:$C$224,$C422,'TL02'!$J$10:$J$224),0),
IF('TL02'!$B$229=M$3,SUMIF('TL02'!$C$238:$C$451,$C422,'TL02'!$J$238:$J$451),0),
IF('TL03'!$B$3=M$3,SUMIF('TL03'!$C$10:$C$224,$C422,'TL03'!$J$10:$J$224),0),
IF('TL03'!$B$229=M$3,SUMIF('TL03'!$C$238:$C$451,$C422,'TL03'!$J$238:$J$451),0),
IF('TL04'!$B$3=M$3,SUMIF('TL04'!$C$10:$C$224,$C422,'TL04'!$J$10:$J$224),0),
IF('TL04'!$B$229=M$3,SUMIF('TL04'!$C$238:$C$451,$C422,'TL04'!$J$238:$J$451),0),
IF('TL05'!$B$3=M$3,SUMIF('TL05'!$C$10:$C$224,$C422,'TL05'!$J$10:$J$224),0),
IF('TL05'!$B$229=M$3,SUMIF('TL05'!$C$238:$C$451,$C422,'TL05'!$J$238:$J$451),0),
IF('TL06'!$B$3=M$3,SUMIF('TL06'!$C$10:$C$224,$C422,'TL06'!$J$10:$J$224),0),
IF('TL06'!$B$229=M$3,SUMIF('TL06'!$C$238:$C$451,$C422,'TL06'!$J$238:$J$451),0),
IF('TL07'!$B$3=M$3,SUMIF('TL07'!$C$10:$C$224,$C422,'TL07'!$J$10:$J$224),0),
IF('TL07'!$B$229=M$3,SUMIF('TL07'!$C$238:$C$451,$C422,'TL07'!$J$238:$J$451),0),
IF('TL08'!$B$3=M$3,SUMIF('TL08'!$C$10:$C$224,$C422,'TL08'!$J$10:$J$224),0),
IF('TL08'!$B$229=M$3,SUMIF('TL08'!$C$238:$C$451,$C422,'TL08'!$J$238:$J$451),0),
IF('TL09'!$B$3=M$3,SUMIF('TL09'!$C$10:$C$224,$C422,'TL09'!$J$10:$J$224),0),
IF('TL09'!$B$229=M$3,SUMIF('TL09'!$C$238:$C$451,$C422,'TL09'!$J$238:$J$451),0),
IF('TL10'!$B$3=M$3,SUMIF('TL10'!$C$10:$C$224,$C422,'TL10'!$J$10:$J$224),0),
IF('TL10'!$B$229=M$3,SUMIF('TL10'!$C$238:$C$451,$C422,'TL10'!$J$238:$J$451),0),
IF('TL11'!$B$3=M$3,SUMIF('TL11'!$C$10:$C$224,$C422,'TL11'!$J$10:$J$224),0),
IF('TL11'!$B$229=M$3,SUMIF('TL11'!$C$238:$C$451,$C422,'TL11'!$J$238:$J$451),0),
IF('TL12'!$B$3=M$3,SUMIF('TL12'!$C$10:$C$224,$C422,'TL12'!$J$10:$J$224),0),
IF('TL12'!$B$229=M$3,SUMIF('TL12'!$C$238:$C$451,$C422,'TL12'!$J$238:$J$451),0),
IF('TL13'!$B$3=M$3,SUMIF('TL13'!$C$10:$C$224,$C422,'TL13'!$J$10:$J$224),0),
IF('TL13'!$B$229=M$3,SUMIF('TL13'!$C$238:$C$451,$C422,'TL13'!$J$238:$J$451),0),
IF('TL14'!$B$3=M$3,SUMIF('TL14'!$C$10:$C$224,$C422,'TL14'!$J$10:$J$224),0),
IF('TL14'!$B$229=M$3,SUMIF('TL14'!$C$238:$C$451,$C422,'TL14'!$J$238:$J$451),0),
IF('TL15'!$B$3=M$3,SUMIF('TL15'!$C$10:$C$224,$C422,'TL15'!$J$10:$J$224),0),
IF('TL15'!$B$229=M$3,SUMIF('TL15'!$C$238:$C$451,$C422,'TL15'!$J$238:$J$451),0),
IF('TL16'!$B$3=M$3,SUMIF('TL16'!$C$10:$C$224,$C422,'TL16'!$J$10:$J$224),0),
IF('TL16'!$B$229=M$3,SUMIF('TL16'!$C$238:$C$451,$C422,'TL16'!$J$238:$J$451),0),
IF('TL17'!$B$3=M$3,SUMIF('TL17'!$C$10:$C$224,$C422,'TL17'!$J$10:$J$224),0),
IF('TL17'!$B$229=M$3,SUMIF('TL17'!$C$238:$C$451,$C422,'TL17'!$J$238:$J$451),0),
IF('TL18'!$B$3=M$3,SUMIF('TL18'!$C$10:$C$224,$C422,'TL18'!$J$10:$J$224),0),
IF('TL18'!$B$229=M$3,SUMIF('TL18'!$C$238:$C$451,$C422,'TL18'!$J$238:$J$451),0),
IF('TL19'!$B$3=M$3,SUMIF('TL19'!$C$10:$C$224,$C422,'TL19'!$J$10:$J$224),0),
IF('TL19'!$B$229=M$3,SUMIF('TL19'!$C$238:$C$451,$C422,'TL19'!$J$238:$J$451),0)
),0)</f>
        <v/>
      </c>
      <c r="N422" s="138">
        <f>IFERROR(SUM(
IF('TL01'!$B$3=N$3,SUMIF('TL01'!$C$10:$C$224,$C422,'TL01'!$J$10:$J$224),0),
IF('TL01'!$B$229=N$3,SUMIF('TL01'!$C$238:$C$451,$C422,'TL01'!$J$238:$J$451),0),
IF('TL02'!$B$3=N$3,SUMIF('TL02'!$C$10:$C$224,$C422,'TL02'!$J$10:$J$224),0),
IF('TL02'!$B$229=N$3,SUMIF('TL02'!$C$238:$C$451,$C422,'TL02'!$J$238:$J$451),0),
IF('TL03'!$B$3=N$3,SUMIF('TL03'!$C$10:$C$224,$C422,'TL03'!$J$10:$J$224),0),
IF('TL03'!$B$229=N$3,SUMIF('TL03'!$C$238:$C$451,$C422,'TL03'!$J$238:$J$451),0),
IF('TL04'!$B$3=N$3,SUMIF('TL04'!$C$10:$C$224,$C422,'TL04'!$J$10:$J$224),0),
IF('TL04'!$B$229=N$3,SUMIF('TL04'!$C$238:$C$451,$C422,'TL04'!$J$238:$J$451),0),
IF('TL05'!$B$3=N$3,SUMIF('TL05'!$C$10:$C$224,$C422,'TL05'!$J$10:$J$224),0),
IF('TL05'!$B$229=N$3,SUMIF('TL05'!$C$238:$C$451,$C422,'TL05'!$J$238:$J$451),0),
IF('TL06'!$B$3=N$3,SUMIF('TL06'!$C$10:$C$224,$C422,'TL06'!$J$10:$J$224),0),
IF('TL06'!$B$229=N$3,SUMIF('TL06'!$C$238:$C$451,$C422,'TL06'!$J$238:$J$451),0),
IF('TL07'!$B$3=N$3,SUMIF('TL07'!$C$10:$C$224,$C422,'TL07'!$J$10:$J$224),0),
IF('TL07'!$B$229=N$3,SUMIF('TL07'!$C$238:$C$451,$C422,'TL07'!$J$238:$J$451),0),
IF('TL08'!$B$3=N$3,SUMIF('TL08'!$C$10:$C$224,$C422,'TL08'!$J$10:$J$224),0),
IF('TL08'!$B$229=N$3,SUMIF('TL08'!$C$238:$C$451,$C422,'TL08'!$J$238:$J$451),0),
IF('TL09'!$B$3=N$3,SUMIF('TL09'!$C$10:$C$224,$C422,'TL09'!$J$10:$J$224),0),
IF('TL09'!$B$229=N$3,SUMIF('TL09'!$C$238:$C$451,$C422,'TL09'!$J$238:$J$451),0),
IF('TL10'!$B$3=N$3,SUMIF('TL10'!$C$10:$C$224,$C422,'TL10'!$J$10:$J$224),0),
IF('TL10'!$B$229=N$3,SUMIF('TL10'!$C$238:$C$451,$C422,'TL10'!$J$238:$J$451),0),
IF('TL11'!$B$3=N$3,SUMIF('TL11'!$C$10:$C$224,$C422,'TL11'!$J$10:$J$224),0),
IF('TL11'!$B$229=N$3,SUMIF('TL11'!$C$238:$C$451,$C422,'TL11'!$J$238:$J$451),0),
IF('TL12'!$B$3=N$3,SUMIF('TL12'!$C$10:$C$224,$C422,'TL12'!$J$10:$J$224),0),
IF('TL12'!$B$229=N$3,SUMIF('TL12'!$C$238:$C$451,$C422,'TL12'!$J$238:$J$451),0),
IF('TL13'!$B$3=N$3,SUMIF('TL13'!$C$10:$C$224,$C422,'TL13'!$J$10:$J$224),0),
IF('TL13'!$B$229=N$3,SUMIF('TL13'!$C$238:$C$451,$C422,'TL13'!$J$238:$J$451),0),
IF('TL14'!$B$3=N$3,SUMIF('TL14'!$C$10:$C$224,$C422,'TL14'!$J$10:$J$224),0),
IF('TL14'!$B$229=N$3,SUMIF('TL14'!$C$238:$C$451,$C422,'TL14'!$J$238:$J$451),0),
IF('TL15'!$B$3=N$3,SUMIF('TL15'!$C$10:$C$224,$C422,'TL15'!$J$10:$J$224),0),
IF('TL15'!$B$229=N$3,SUMIF('TL15'!$C$238:$C$451,$C422,'TL15'!$J$238:$J$451),0),
IF('TL16'!$B$3=N$3,SUMIF('TL16'!$C$10:$C$224,$C422,'TL16'!$J$10:$J$224),0),
IF('TL16'!$B$229=N$3,SUMIF('TL16'!$C$238:$C$451,$C422,'TL16'!$J$238:$J$451),0),
IF('TL17'!$B$3=N$3,SUMIF('TL17'!$C$10:$C$224,$C422,'TL17'!$J$10:$J$224),0),
IF('TL17'!$B$229=N$3,SUMIF('TL17'!$C$238:$C$451,$C422,'TL17'!$J$238:$J$451),0),
IF('TL18'!$B$3=N$3,SUMIF('TL18'!$C$10:$C$224,$C422,'TL18'!$J$10:$J$224),0),
IF('TL18'!$B$229=N$3,SUMIF('TL18'!$C$238:$C$451,$C422,'TL18'!$J$238:$J$451),0),
IF('TL19'!$B$3=N$3,SUMIF('TL19'!$C$10:$C$224,$C422,'TL19'!$J$10:$J$224),0),
IF('TL19'!$B$229=N$3,SUMIF('TL19'!$C$238:$C$451,$C422,'TL19'!$J$238:$J$451),0)
),0)</f>
        <v/>
      </c>
      <c r="O422" s="138">
        <f>IFERROR(SUM(
IF('TL01'!$B$3=O$3,SUMIF('TL01'!$C$10:$C$224,$C422,'TL01'!$J$10:$J$224),0),
IF('TL01'!$B$229=O$3,SUMIF('TL01'!$C$238:$C$451,$C422,'TL01'!$J$238:$J$451),0),
IF('TL02'!$B$3=O$3,SUMIF('TL02'!$C$10:$C$224,$C422,'TL02'!$J$10:$J$224),0),
IF('TL02'!$B$229=O$3,SUMIF('TL02'!$C$238:$C$451,$C422,'TL02'!$J$238:$J$451),0),
IF('TL03'!$B$3=O$3,SUMIF('TL03'!$C$10:$C$224,$C422,'TL03'!$J$10:$J$224),0),
IF('TL03'!$B$229=O$3,SUMIF('TL03'!$C$238:$C$451,$C422,'TL03'!$J$238:$J$451),0),
IF('TL04'!$B$3=O$3,SUMIF('TL04'!$C$10:$C$224,$C422,'TL04'!$J$10:$J$224),0),
IF('TL04'!$B$229=O$3,SUMIF('TL04'!$C$238:$C$451,$C422,'TL04'!$J$238:$J$451),0),
IF('TL05'!$B$3=O$3,SUMIF('TL05'!$C$10:$C$224,$C422,'TL05'!$J$10:$J$224),0),
IF('TL05'!$B$229=O$3,SUMIF('TL05'!$C$238:$C$451,$C422,'TL05'!$J$238:$J$451),0),
IF('TL06'!$B$3=O$3,SUMIF('TL06'!$C$10:$C$224,$C422,'TL06'!$J$10:$J$224),0),
IF('TL06'!$B$229=O$3,SUMIF('TL06'!$C$238:$C$451,$C422,'TL06'!$J$238:$J$451),0),
IF('TL07'!$B$3=O$3,SUMIF('TL07'!$C$10:$C$224,$C422,'TL07'!$J$10:$J$224),0),
IF('TL07'!$B$229=O$3,SUMIF('TL07'!$C$238:$C$451,$C422,'TL07'!$J$238:$J$451),0),
IF('TL08'!$B$3=O$3,SUMIF('TL08'!$C$10:$C$224,$C422,'TL08'!$J$10:$J$224),0),
IF('TL08'!$B$229=O$3,SUMIF('TL08'!$C$238:$C$451,$C422,'TL08'!$J$238:$J$451),0),
IF('TL09'!$B$3=O$3,SUMIF('TL09'!$C$10:$C$224,$C422,'TL09'!$J$10:$J$224),0),
IF('TL09'!$B$229=O$3,SUMIF('TL09'!$C$238:$C$451,$C422,'TL09'!$J$238:$J$451),0),
IF('TL10'!$B$3=O$3,SUMIF('TL10'!$C$10:$C$224,$C422,'TL10'!$J$10:$J$224),0),
IF('TL10'!$B$229=O$3,SUMIF('TL10'!$C$238:$C$451,$C422,'TL10'!$J$238:$J$451),0),
IF('TL11'!$B$3=O$3,SUMIF('TL11'!$C$10:$C$224,$C422,'TL11'!$J$10:$J$224),0),
IF('TL11'!$B$229=O$3,SUMIF('TL11'!$C$238:$C$451,$C422,'TL11'!$J$238:$J$451),0),
IF('TL12'!$B$3=O$3,SUMIF('TL12'!$C$10:$C$224,$C422,'TL12'!$J$10:$J$224),0),
IF('TL12'!$B$229=O$3,SUMIF('TL12'!$C$238:$C$451,$C422,'TL12'!$J$238:$J$451),0),
IF('TL13'!$B$3=O$3,SUMIF('TL13'!$C$10:$C$224,$C422,'TL13'!$J$10:$J$224),0),
IF('TL13'!$B$229=O$3,SUMIF('TL13'!$C$238:$C$451,$C422,'TL13'!$J$238:$J$451),0),
IF('TL14'!$B$3=O$3,SUMIF('TL14'!$C$10:$C$224,$C422,'TL14'!$J$10:$J$224),0),
IF('TL14'!$B$229=O$3,SUMIF('TL14'!$C$238:$C$451,$C422,'TL14'!$J$238:$J$451),0),
IF('TL15'!$B$3=O$3,SUMIF('TL15'!$C$10:$C$224,$C422,'TL15'!$J$10:$J$224),0),
IF('TL15'!$B$229=O$3,SUMIF('TL15'!$C$238:$C$451,$C422,'TL15'!$J$238:$J$451),0),
IF('TL16'!$B$3=O$3,SUMIF('TL16'!$C$10:$C$224,$C422,'TL16'!$J$10:$J$224),0),
IF('TL16'!$B$229=O$3,SUMIF('TL16'!$C$238:$C$451,$C422,'TL16'!$J$238:$J$451),0),
IF('TL17'!$B$3=O$3,SUMIF('TL17'!$C$10:$C$224,$C422,'TL17'!$J$10:$J$224),0),
IF('TL17'!$B$229=O$3,SUMIF('TL17'!$C$238:$C$451,$C422,'TL17'!$J$238:$J$451),0),
IF('TL18'!$B$3=O$3,SUMIF('TL18'!$C$10:$C$224,$C422,'TL18'!$J$10:$J$224),0),
IF('TL18'!$B$229=O$3,SUMIF('TL18'!$C$238:$C$451,$C422,'TL18'!$J$238:$J$451),0),
IF('TL19'!$B$3=O$3,SUMIF('TL19'!$C$10:$C$224,$C422,'TL19'!$J$10:$J$224),0),
IF('TL19'!$B$229=O$3,SUMIF('TL19'!$C$238:$C$451,$C422,'TL19'!$J$238:$J$451),0)
),0)</f>
        <v/>
      </c>
      <c r="P422" s="138">
        <f>IFERROR(SUM(
IF('TL01'!$B$3=P$3,SUMIF('TL01'!$C$10:$C$224,$C422,'TL01'!$J$10:$J$224),0),
IF('TL01'!$B$229=P$3,SUMIF('TL01'!$C$238:$C$451,$C422,'TL01'!$J$238:$J$451),0),
IF('TL02'!$B$3=P$3,SUMIF('TL02'!$C$10:$C$224,$C422,'TL02'!$J$10:$J$224),0),
IF('TL02'!$B$229=P$3,SUMIF('TL02'!$C$238:$C$451,$C422,'TL02'!$J$238:$J$451),0),
IF('TL03'!$B$3=P$3,SUMIF('TL03'!$C$10:$C$224,$C422,'TL03'!$J$10:$J$224),0),
IF('TL03'!$B$229=P$3,SUMIF('TL03'!$C$238:$C$451,$C422,'TL03'!$J$238:$J$451),0),
IF('TL04'!$B$3=P$3,SUMIF('TL04'!$C$10:$C$224,$C422,'TL04'!$J$10:$J$224),0),
IF('TL04'!$B$229=P$3,SUMIF('TL04'!$C$238:$C$451,$C422,'TL04'!$J$238:$J$451),0),
IF('TL05'!$B$3=P$3,SUMIF('TL05'!$C$10:$C$224,$C422,'TL05'!$J$10:$J$224),0),
IF('TL05'!$B$229=P$3,SUMIF('TL05'!$C$238:$C$451,$C422,'TL05'!$J$238:$J$451),0),
IF('TL06'!$B$3=P$3,SUMIF('TL06'!$C$10:$C$224,$C422,'TL06'!$J$10:$J$224),0),
IF('TL06'!$B$229=P$3,SUMIF('TL06'!$C$238:$C$451,$C422,'TL06'!$J$238:$J$451),0),
IF('TL07'!$B$3=P$3,SUMIF('TL07'!$C$10:$C$224,$C422,'TL07'!$J$10:$J$224),0),
IF('TL07'!$B$229=P$3,SUMIF('TL07'!$C$238:$C$451,$C422,'TL07'!$J$238:$J$451),0),
IF('TL08'!$B$3=P$3,SUMIF('TL08'!$C$10:$C$224,$C422,'TL08'!$J$10:$J$224),0),
IF('TL08'!$B$229=P$3,SUMIF('TL08'!$C$238:$C$451,$C422,'TL08'!$J$238:$J$451),0),
IF('TL09'!$B$3=P$3,SUMIF('TL09'!$C$10:$C$224,$C422,'TL09'!$J$10:$J$224),0),
IF('TL09'!$B$229=P$3,SUMIF('TL09'!$C$238:$C$451,$C422,'TL09'!$J$238:$J$451),0),
IF('TL10'!$B$3=P$3,SUMIF('TL10'!$C$10:$C$224,$C422,'TL10'!$J$10:$J$224),0),
IF('TL10'!$B$229=P$3,SUMIF('TL10'!$C$238:$C$451,$C422,'TL10'!$J$238:$J$451),0),
IF('TL11'!$B$3=P$3,SUMIF('TL11'!$C$10:$C$224,$C422,'TL11'!$J$10:$J$224),0),
IF('TL11'!$B$229=P$3,SUMIF('TL11'!$C$238:$C$451,$C422,'TL11'!$J$238:$J$451),0),
IF('TL12'!$B$3=P$3,SUMIF('TL12'!$C$10:$C$224,$C422,'TL12'!$J$10:$J$224),0),
IF('TL12'!$B$229=P$3,SUMIF('TL12'!$C$238:$C$451,$C422,'TL12'!$J$238:$J$451),0),
IF('TL13'!$B$3=P$3,SUMIF('TL13'!$C$10:$C$224,$C422,'TL13'!$J$10:$J$224),0),
IF('TL13'!$B$229=P$3,SUMIF('TL13'!$C$238:$C$451,$C422,'TL13'!$J$238:$J$451),0),
IF('TL14'!$B$3=P$3,SUMIF('TL14'!$C$10:$C$224,$C422,'TL14'!$J$10:$J$224),0),
IF('TL14'!$B$229=P$3,SUMIF('TL14'!$C$238:$C$451,$C422,'TL14'!$J$238:$J$451),0),
IF('TL15'!$B$3=P$3,SUMIF('TL15'!$C$10:$C$224,$C422,'TL15'!$J$10:$J$224),0),
IF('TL15'!$B$229=P$3,SUMIF('TL15'!$C$238:$C$451,$C422,'TL15'!$J$238:$J$451),0),
IF('TL16'!$B$3=P$3,SUMIF('TL16'!$C$10:$C$224,$C422,'TL16'!$J$10:$J$224),0),
IF('TL16'!$B$229=P$3,SUMIF('TL16'!$C$238:$C$451,$C422,'TL16'!$J$238:$J$451),0),
IF('TL17'!$B$3=P$3,SUMIF('TL17'!$C$10:$C$224,$C422,'TL17'!$J$10:$J$224),0),
IF('TL17'!$B$229=P$3,SUMIF('TL17'!$C$238:$C$451,$C422,'TL17'!$J$238:$J$451),0),
IF('TL18'!$B$3=P$3,SUMIF('TL18'!$C$10:$C$224,$C422,'TL18'!$J$10:$J$224),0),
IF('TL18'!$B$229=P$3,SUMIF('TL18'!$C$238:$C$451,$C422,'TL18'!$J$238:$J$451),0),
IF('TL19'!$B$3=P$3,SUMIF('TL19'!$C$10:$C$224,$C422,'TL19'!$J$10:$J$224),0),
IF('TL19'!$B$229=P$3,SUMIF('TL19'!$C$238:$C$451,$C422,'TL19'!$J$238:$J$451),0)
),0)</f>
        <v/>
      </c>
      <c r="Q422" s="138">
        <f>IFERROR(SUM(
IF('TL01'!$B$3=Q$3,SUMIF('TL01'!$C$10:$C$224,$C422,'TL01'!$J$10:$J$224),0),
IF('TL01'!$B$229=Q$3,SUMIF('TL01'!$C$238:$C$451,$C422,'TL01'!$J$238:$J$451),0),
IF('TL02'!$B$3=Q$3,SUMIF('TL02'!$C$10:$C$224,$C422,'TL02'!$J$10:$J$224),0),
IF('TL02'!$B$229=Q$3,SUMIF('TL02'!$C$238:$C$451,$C422,'TL02'!$J$238:$J$451),0),
IF('TL03'!$B$3=Q$3,SUMIF('TL03'!$C$10:$C$224,$C422,'TL03'!$J$10:$J$224),0),
IF('TL03'!$B$229=Q$3,SUMIF('TL03'!$C$238:$C$451,$C422,'TL03'!$J$238:$J$451),0),
IF('TL04'!$B$3=Q$3,SUMIF('TL04'!$C$10:$C$224,$C422,'TL04'!$J$10:$J$224),0),
IF('TL04'!$B$229=Q$3,SUMIF('TL04'!$C$238:$C$451,$C422,'TL04'!$J$238:$J$451),0),
IF('TL05'!$B$3=Q$3,SUMIF('TL05'!$C$10:$C$224,$C422,'TL05'!$J$10:$J$224),0),
IF('TL05'!$B$229=Q$3,SUMIF('TL05'!$C$238:$C$451,$C422,'TL05'!$J$238:$J$451),0),
IF('TL06'!$B$3=Q$3,SUMIF('TL06'!$C$10:$C$224,$C422,'TL06'!$J$10:$J$224),0),
IF('TL06'!$B$229=Q$3,SUMIF('TL06'!$C$238:$C$451,$C422,'TL06'!$J$238:$J$451),0),
IF('TL07'!$B$3=Q$3,SUMIF('TL07'!$C$10:$C$224,$C422,'TL07'!$J$10:$J$224),0),
IF('TL07'!$B$229=Q$3,SUMIF('TL07'!$C$238:$C$451,$C422,'TL07'!$J$238:$J$451),0),
IF('TL08'!$B$3=Q$3,SUMIF('TL08'!$C$10:$C$224,$C422,'TL08'!$J$10:$J$224),0),
IF('TL08'!$B$229=Q$3,SUMIF('TL08'!$C$238:$C$451,$C422,'TL08'!$J$238:$J$451),0),
IF('TL09'!$B$3=Q$3,SUMIF('TL09'!$C$10:$C$224,$C422,'TL09'!$J$10:$J$224),0),
IF('TL09'!$B$229=Q$3,SUMIF('TL09'!$C$238:$C$451,$C422,'TL09'!$J$238:$J$451),0),
IF('TL10'!$B$3=Q$3,SUMIF('TL10'!$C$10:$C$224,$C422,'TL10'!$J$10:$J$224),0),
IF('TL10'!$B$229=Q$3,SUMIF('TL10'!$C$238:$C$451,$C422,'TL10'!$J$238:$J$451),0),
IF('TL11'!$B$3=Q$3,SUMIF('TL11'!$C$10:$C$224,$C422,'TL11'!$J$10:$J$224),0),
IF('TL11'!$B$229=Q$3,SUMIF('TL11'!$C$238:$C$451,$C422,'TL11'!$J$238:$J$451),0),
IF('TL12'!$B$3=Q$3,SUMIF('TL12'!$C$10:$C$224,$C422,'TL12'!$J$10:$J$224),0),
IF('TL12'!$B$229=Q$3,SUMIF('TL12'!$C$238:$C$451,$C422,'TL12'!$J$238:$J$451),0),
IF('TL13'!$B$3=Q$3,SUMIF('TL13'!$C$10:$C$224,$C422,'TL13'!$J$10:$J$224),0),
IF('TL13'!$B$229=Q$3,SUMIF('TL13'!$C$238:$C$451,$C422,'TL13'!$J$238:$J$451),0),
IF('TL14'!$B$3=Q$3,SUMIF('TL14'!$C$10:$C$224,$C422,'TL14'!$J$10:$J$224),0),
IF('TL14'!$B$229=Q$3,SUMIF('TL14'!$C$238:$C$451,$C422,'TL14'!$J$238:$J$451),0),
IF('TL15'!$B$3=Q$3,SUMIF('TL15'!$C$10:$C$224,$C422,'TL15'!$J$10:$J$224),0),
IF('TL15'!$B$229=Q$3,SUMIF('TL15'!$C$238:$C$451,$C422,'TL15'!$J$238:$J$451),0),
IF('TL16'!$B$3=Q$3,SUMIF('TL16'!$C$10:$C$224,$C422,'TL16'!$J$10:$J$224),0),
IF('TL16'!$B$229=Q$3,SUMIF('TL16'!$C$238:$C$451,$C422,'TL16'!$J$238:$J$451),0),
IF('TL17'!$B$3=Q$3,SUMIF('TL17'!$C$10:$C$224,$C422,'TL17'!$J$10:$J$224),0),
IF('TL17'!$B$229=Q$3,SUMIF('TL17'!$C$238:$C$451,$C422,'TL17'!$J$238:$J$451),0),
IF('TL18'!$B$3=Q$3,SUMIF('TL18'!$C$10:$C$224,$C422,'TL18'!$J$10:$J$224),0),
IF('TL18'!$B$229=Q$3,SUMIF('TL18'!$C$238:$C$451,$C422,'TL18'!$J$238:$J$451),0),
IF('TL19'!$B$3=Q$3,SUMIF('TL19'!$C$10:$C$224,$C422,'TL19'!$J$10:$J$224),0),
IF('TL19'!$B$229=Q$3,SUMIF('TL19'!$C$238:$C$451,$C422,'TL19'!$J$238:$J$451),0)
),0)</f>
        <v/>
      </c>
      <c r="R422" s="139">
        <f>IFERROR(
SUM(
SUMIF('TL01'!C:C,C422,'TL01'!J:J),
SUMIF('TL02'!C:C,C422,'TL02'!I:I),
SUMIF('TL03'!C:C,C422,'TL03'!I:I),
SUMIF('TL04'!C:C,C422,'TL04'!I:I),
SUMIF('TL05'!C:C,C422,'TL05'!I:I),
SUMIF('TL06'!C:C,C422,'TL06'!I:I),
SUMIF('TL07'!C:C,C422,'TL07'!I:I),
SUMIF('TL08'!C:C,C422,'TL08'!I:I),
SUMIF('TL09'!C:C,C422,'TL09'!I:I),
SUMIF('TL10'!C:C,C422,'TL10'!I:I),
SUMIF('TL11'!C:C,C422,'TL11'!I:I),
SUMIF('TL12'!C:C,C422,'TL12'!I:I),
SUMIF('TL13'!C:C,C422,'TL13'!I:I),
SUMIF('TL14'!C:C,C422,'TL14'!I:I),
SUMIF('TL15'!C:C,C422,'TL15'!I:I),
SUMIF('TL16'!C:C,C422,'TL16'!I:I),
SUMIF('TL17'!C:C,C422,'TL17'!I:I),
SUMIF('TL18'!C:C,C422,'TL18'!I:I))
,0)</f>
        <v/>
      </c>
      <c r="S422" s="142">
        <f>'CUSTO OPERAÇÃO'!M26</f>
        <v/>
      </c>
      <c r="T422" s="139" t="n"/>
      <c r="U422" s="143">
        <f>MAX(0,R422-T422)</f>
        <v/>
      </c>
      <c r="V422" s="144">
        <f>U422*S422</f>
        <v/>
      </c>
    </row>
    <row r="423" hidden="1" ht="15.75" customHeight="1" s="297">
      <c r="A423" s="138" t="n"/>
      <c r="B423" s="155" t="n"/>
      <c r="C423" s="138" t="n"/>
      <c r="D423" s="138" t="n"/>
      <c r="E423" s="139" t="n"/>
      <c r="F423" s="138" t="inlineStr">
        <is>
          <t>R$/Ha</t>
        </is>
      </c>
      <c r="G423" s="139" t="n"/>
      <c r="H423" s="140">
        <f>'CUSTO OPERAÇÃO'!J27</f>
        <v/>
      </c>
      <c r="I423" s="156" t="n"/>
      <c r="J423" s="138">
        <f>IFERROR(SUM(
IF('TL01'!$B$3=J$3,SUMIF('TL01'!$C$10:$C$224,$C423,'TL01'!$J$10:$J$224),0),
IF('TL01'!$B$229=J$3,SUMIF('TL01'!$C$238:$C$451,$C423,'TL01'!$J$238:$J$451),0),
IF('TL02'!$B$3=J$3,SUMIF('TL02'!$C$10:$C$224,$C423,'TL02'!$J$10:$J$224),0),
IF('TL02'!$B$229=J$3,SUMIF('TL02'!$C$238:$C$451,$C423,'TL02'!$J$238:$J$451),0),
IF('TL03'!$B$3=J$3,SUMIF('TL03'!$C$10:$C$224,$C423,'TL03'!$J$10:$J$224),0),
IF('TL03'!$B$229=J$3,SUMIF('TL03'!$C$238:$C$451,$C423,'TL03'!$J$238:$J$451),0),
IF('TL04'!$B$3=J$3,SUMIF('TL04'!$C$10:$C$224,$C423,'TL04'!$J$10:$J$224),0),
IF('TL04'!$B$229=J$3,SUMIF('TL04'!$C$238:$C$451,$C423,'TL04'!$J$238:$J$451),0),
IF('TL05'!$B$3=J$3,SUMIF('TL05'!$C$10:$C$224,$C423,'TL05'!$J$10:$J$224),0),
IF('TL05'!$B$229=J$3,SUMIF('TL05'!$C$238:$C$451,$C423,'TL05'!$J$238:$J$451),0),
IF('TL06'!$B$3=J$3,SUMIF('TL06'!$C$10:$C$224,$C423,'TL06'!$J$10:$J$224),0),
IF('TL06'!$B$229=J$3,SUMIF('TL06'!$C$238:$C$451,$C423,'TL06'!$J$238:$J$451),0),
IF('TL07'!$B$3=J$3,SUMIF('TL07'!$C$10:$C$224,$C423,'TL07'!$J$10:$J$224),0),
IF('TL07'!$B$229=J$3,SUMIF('TL07'!$C$238:$C$451,$C423,'TL07'!$J$238:$J$451),0),
IF('TL08'!$B$3=J$3,SUMIF('TL08'!$C$10:$C$224,$C423,'TL08'!$J$10:$J$224),0),
IF('TL08'!$B$229=J$3,SUMIF('TL08'!$C$238:$C$451,$C423,'TL08'!$J$238:$J$451),0),
IF('TL09'!$B$3=J$3,SUMIF('TL09'!$C$10:$C$224,$C423,'TL09'!$J$10:$J$224),0),
IF('TL09'!$B$229=J$3,SUMIF('TL09'!$C$238:$C$451,$C423,'TL09'!$J$238:$J$451),0),
IF('TL10'!$B$3=J$3,SUMIF('TL10'!$C$10:$C$224,$C423,'TL10'!$J$10:$J$224),0),
IF('TL10'!$B$229=J$3,SUMIF('TL10'!$C$238:$C$451,$C423,'TL10'!$J$238:$J$451),0),
IF('TL11'!$B$3=J$3,SUMIF('TL11'!$C$10:$C$224,$C423,'TL11'!$J$10:$J$224),0),
IF('TL11'!$B$229=J$3,SUMIF('TL11'!$C$238:$C$451,$C423,'TL11'!$J$238:$J$451),0),
IF('TL12'!$B$3=J$3,SUMIF('TL12'!$C$10:$C$224,$C423,'TL12'!$J$10:$J$224),0),
IF('TL12'!$B$229=J$3,SUMIF('TL12'!$C$238:$C$451,$C423,'TL12'!$J$238:$J$451),0),
IF('TL13'!$B$3=J$3,SUMIF('TL13'!$C$10:$C$224,$C423,'TL13'!$J$10:$J$224),0),
IF('TL13'!$B$229=J$3,SUMIF('TL13'!$C$238:$C$451,$C423,'TL13'!$J$238:$J$451),0),
IF('TL14'!$B$3=J$3,SUMIF('TL14'!$C$10:$C$224,$C423,'TL14'!$J$10:$J$224),0),
IF('TL14'!$B$229=J$3,SUMIF('TL14'!$C$238:$C$451,$C423,'TL14'!$J$238:$J$451),0),
IF('TL15'!$B$3=J$3,SUMIF('TL15'!$C$10:$C$224,$C423,'TL15'!$J$10:$J$224),0),
IF('TL15'!$B$229=J$3,SUMIF('TL15'!$C$238:$C$451,$C423,'TL15'!$J$238:$J$451),0),
IF('TL16'!$B$3=J$3,SUMIF('TL16'!$C$10:$C$224,$C423,'TL16'!$J$10:$J$224),0),
IF('TL16'!$B$229=J$3,SUMIF('TL16'!$C$238:$C$451,$C423,'TL16'!$J$238:$J$451),0),
IF('TL17'!$B$3=J$3,SUMIF('TL17'!$C$10:$C$224,$C423,'TL17'!$J$10:$J$224),0),
IF('TL17'!$B$229=J$3,SUMIF('TL17'!$C$238:$C$451,$C423,'TL17'!$J$238:$J$451),0),
IF('TL18'!$B$3=J$3,SUMIF('TL18'!$C$10:$C$224,$C423,'TL18'!$J$10:$J$224),0),
IF('TL18'!$B$229=J$3,SUMIF('TL18'!$C$238:$C$451,$C423,'TL18'!$J$238:$J$451),0),
IF('TL19'!$B$3=J$3,SUMIF('TL19'!$C$10:$C$224,$C423,'TL19'!$J$10:$J$224),0),
IF('TL19'!$B$229=J$3,SUMIF('TL19'!$C$238:$C$451,$C423,'TL19'!$J$238:$J$451),0)
),0)</f>
        <v/>
      </c>
      <c r="K423" s="138">
        <f>IFERROR(SUM(
IF('TL01'!$B$3=K$3,SUMIF('TL01'!$C$10:$C$224,$C423,'TL01'!$J$10:$J$224),0),
IF('TL01'!$B$229=K$3,SUMIF('TL01'!$C$238:$C$451,$C423,'TL01'!$J$238:$J$451),0),
IF('TL02'!$B$3=K$3,SUMIF('TL02'!$C$10:$C$224,$C423,'TL02'!$J$10:$J$224),0),
IF('TL02'!$B$229=K$3,SUMIF('TL02'!$C$238:$C$451,$C423,'TL02'!$J$238:$J$451),0),
IF('TL03'!$B$3=K$3,SUMIF('TL03'!$C$10:$C$224,$C423,'TL03'!$J$10:$J$224),0),
IF('TL03'!$B$229=K$3,SUMIF('TL03'!$C$238:$C$451,$C423,'TL03'!$J$238:$J$451),0),
IF('TL04'!$B$3=K$3,SUMIF('TL04'!$C$10:$C$224,$C423,'TL04'!$J$10:$J$224),0),
IF('TL04'!$B$229=K$3,SUMIF('TL04'!$C$238:$C$451,$C423,'TL04'!$J$238:$J$451),0),
IF('TL05'!$B$3=K$3,SUMIF('TL05'!$C$10:$C$224,$C423,'TL05'!$J$10:$J$224),0),
IF('TL05'!$B$229=K$3,SUMIF('TL05'!$C$238:$C$451,$C423,'TL05'!$J$238:$J$451),0),
IF('TL06'!$B$3=K$3,SUMIF('TL06'!$C$10:$C$224,$C423,'TL06'!$J$10:$J$224),0),
IF('TL06'!$B$229=K$3,SUMIF('TL06'!$C$238:$C$451,$C423,'TL06'!$J$238:$J$451),0),
IF('TL07'!$B$3=K$3,SUMIF('TL07'!$C$10:$C$224,$C423,'TL07'!$J$10:$J$224),0),
IF('TL07'!$B$229=K$3,SUMIF('TL07'!$C$238:$C$451,$C423,'TL07'!$J$238:$J$451),0),
IF('TL08'!$B$3=K$3,SUMIF('TL08'!$C$10:$C$224,$C423,'TL08'!$J$10:$J$224),0),
IF('TL08'!$B$229=K$3,SUMIF('TL08'!$C$238:$C$451,$C423,'TL08'!$J$238:$J$451),0),
IF('TL09'!$B$3=K$3,SUMIF('TL09'!$C$10:$C$224,$C423,'TL09'!$J$10:$J$224),0),
IF('TL09'!$B$229=K$3,SUMIF('TL09'!$C$238:$C$451,$C423,'TL09'!$J$238:$J$451),0),
IF('TL10'!$B$3=K$3,SUMIF('TL10'!$C$10:$C$224,$C423,'TL10'!$J$10:$J$224),0),
IF('TL10'!$B$229=K$3,SUMIF('TL10'!$C$238:$C$451,$C423,'TL10'!$J$238:$J$451),0),
IF('TL11'!$B$3=K$3,SUMIF('TL11'!$C$10:$C$224,$C423,'TL11'!$J$10:$J$224),0),
IF('TL11'!$B$229=K$3,SUMIF('TL11'!$C$238:$C$451,$C423,'TL11'!$J$238:$J$451),0),
IF('TL12'!$B$3=K$3,SUMIF('TL12'!$C$10:$C$224,$C423,'TL12'!$J$10:$J$224),0),
IF('TL12'!$B$229=K$3,SUMIF('TL12'!$C$238:$C$451,$C423,'TL12'!$J$238:$J$451),0),
IF('TL13'!$B$3=K$3,SUMIF('TL13'!$C$10:$C$224,$C423,'TL13'!$J$10:$J$224),0),
IF('TL13'!$B$229=K$3,SUMIF('TL13'!$C$238:$C$451,$C423,'TL13'!$J$238:$J$451),0),
IF('TL14'!$B$3=K$3,SUMIF('TL14'!$C$10:$C$224,$C423,'TL14'!$J$10:$J$224),0),
IF('TL14'!$B$229=K$3,SUMIF('TL14'!$C$238:$C$451,$C423,'TL14'!$J$238:$J$451),0),
IF('TL15'!$B$3=K$3,SUMIF('TL15'!$C$10:$C$224,$C423,'TL15'!$J$10:$J$224),0),
IF('TL15'!$B$229=K$3,SUMIF('TL15'!$C$238:$C$451,$C423,'TL15'!$J$238:$J$451),0),
IF('TL16'!$B$3=K$3,SUMIF('TL16'!$C$10:$C$224,$C423,'TL16'!$J$10:$J$224),0),
IF('TL16'!$B$229=K$3,SUMIF('TL16'!$C$238:$C$451,$C423,'TL16'!$J$238:$J$451),0),
IF('TL17'!$B$3=K$3,SUMIF('TL17'!$C$10:$C$224,$C423,'TL17'!$J$10:$J$224),0),
IF('TL17'!$B$229=K$3,SUMIF('TL17'!$C$238:$C$451,$C423,'TL17'!$J$238:$J$451),0),
IF('TL18'!$B$3=K$3,SUMIF('TL18'!$C$10:$C$224,$C423,'TL18'!$J$10:$J$224),0),
IF('TL18'!$B$229=K$3,SUMIF('TL18'!$C$238:$C$451,$C423,'TL18'!$J$238:$J$451),0),
IF('TL19'!$B$3=K$3,SUMIF('TL19'!$C$10:$C$224,$C423,'TL19'!$J$10:$J$224),0),
IF('TL19'!$B$229=K$3,SUMIF('TL19'!$C$238:$C$451,$C423,'TL19'!$J$238:$J$451),0)
),0)</f>
        <v/>
      </c>
      <c r="L423" s="138">
        <f>IFERROR(SUM(
IF('TL01'!$B$3=L$3,SUMIF('TL01'!$C$10:$C$224,$C423,'TL01'!$J$10:$J$224),0),
IF('TL01'!$B$229=L$3,SUMIF('TL01'!$C$238:$C$451,$C423,'TL01'!$J$238:$J$451),0),
IF('TL02'!$B$3=L$3,SUMIF('TL02'!$C$10:$C$224,$C423,'TL02'!$J$10:$J$224),0),
IF('TL02'!$B$229=L$3,SUMIF('TL02'!$C$238:$C$451,$C423,'TL02'!$J$238:$J$451),0),
IF('TL03'!$B$3=L$3,SUMIF('TL03'!$C$10:$C$224,$C423,'TL03'!$J$10:$J$224),0),
IF('TL03'!$B$229=L$3,SUMIF('TL03'!$C$238:$C$451,$C423,'TL03'!$J$238:$J$451),0),
IF('TL04'!$B$3=L$3,SUMIF('TL04'!$C$10:$C$224,$C423,'TL04'!$J$10:$J$224),0),
IF('TL04'!$B$229=L$3,SUMIF('TL04'!$C$238:$C$451,$C423,'TL04'!$J$238:$J$451),0),
IF('TL05'!$B$3=L$3,SUMIF('TL05'!$C$10:$C$224,$C423,'TL05'!$J$10:$J$224),0),
IF('TL05'!$B$229=L$3,SUMIF('TL05'!$C$238:$C$451,$C423,'TL05'!$J$238:$J$451),0),
IF('TL06'!$B$3=L$3,SUMIF('TL06'!$C$10:$C$224,$C423,'TL06'!$J$10:$J$224),0),
IF('TL06'!$B$229=L$3,SUMIF('TL06'!$C$238:$C$451,$C423,'TL06'!$J$238:$J$451),0),
IF('TL07'!$B$3=L$3,SUMIF('TL07'!$C$10:$C$224,$C423,'TL07'!$J$10:$J$224),0),
IF('TL07'!$B$229=L$3,SUMIF('TL07'!$C$238:$C$451,$C423,'TL07'!$J$238:$J$451),0),
IF('TL08'!$B$3=L$3,SUMIF('TL08'!$C$10:$C$224,$C423,'TL08'!$J$10:$J$224),0),
IF('TL08'!$B$229=L$3,SUMIF('TL08'!$C$238:$C$451,$C423,'TL08'!$J$238:$J$451),0),
IF('TL09'!$B$3=L$3,SUMIF('TL09'!$C$10:$C$224,$C423,'TL09'!$J$10:$J$224),0),
IF('TL09'!$B$229=L$3,SUMIF('TL09'!$C$238:$C$451,$C423,'TL09'!$J$238:$J$451),0),
IF('TL10'!$B$3=L$3,SUMIF('TL10'!$C$10:$C$224,$C423,'TL10'!$J$10:$J$224),0),
IF('TL10'!$B$229=L$3,SUMIF('TL10'!$C$238:$C$451,$C423,'TL10'!$J$238:$J$451),0),
IF('TL11'!$B$3=L$3,SUMIF('TL11'!$C$10:$C$224,$C423,'TL11'!$J$10:$J$224),0),
IF('TL11'!$B$229=L$3,SUMIF('TL11'!$C$238:$C$451,$C423,'TL11'!$J$238:$J$451),0),
IF('TL12'!$B$3=L$3,SUMIF('TL12'!$C$10:$C$224,$C423,'TL12'!$J$10:$J$224),0),
IF('TL12'!$B$229=L$3,SUMIF('TL12'!$C$238:$C$451,$C423,'TL12'!$J$238:$J$451),0),
IF('TL13'!$B$3=L$3,SUMIF('TL13'!$C$10:$C$224,$C423,'TL13'!$J$10:$J$224),0),
IF('TL13'!$B$229=L$3,SUMIF('TL13'!$C$238:$C$451,$C423,'TL13'!$J$238:$J$451),0),
IF('TL14'!$B$3=L$3,SUMIF('TL14'!$C$10:$C$224,$C423,'TL14'!$J$10:$J$224),0),
IF('TL14'!$B$229=L$3,SUMIF('TL14'!$C$238:$C$451,$C423,'TL14'!$J$238:$J$451),0),
IF('TL15'!$B$3=L$3,SUMIF('TL15'!$C$10:$C$224,$C423,'TL15'!$J$10:$J$224),0),
IF('TL15'!$B$229=L$3,SUMIF('TL15'!$C$238:$C$451,$C423,'TL15'!$J$238:$J$451),0),
IF('TL16'!$B$3=L$3,SUMIF('TL16'!$C$10:$C$224,$C423,'TL16'!$J$10:$J$224),0),
IF('TL16'!$B$229=L$3,SUMIF('TL16'!$C$238:$C$451,$C423,'TL16'!$J$238:$J$451),0),
IF('TL17'!$B$3=L$3,SUMIF('TL17'!$C$10:$C$224,$C423,'TL17'!$J$10:$J$224),0),
IF('TL17'!$B$229=L$3,SUMIF('TL17'!$C$238:$C$451,$C423,'TL17'!$J$238:$J$451),0),
IF('TL18'!$B$3=L$3,SUMIF('TL18'!$C$10:$C$224,$C423,'TL18'!$J$10:$J$224),0),
IF('TL18'!$B$229=L$3,SUMIF('TL18'!$C$238:$C$451,$C423,'TL18'!$J$238:$J$451),0),
IF('TL19'!$B$3=L$3,SUMIF('TL19'!$C$10:$C$224,$C423,'TL19'!$J$10:$J$224),0),
IF('TL19'!$B$229=L$3,SUMIF('TL19'!$C$238:$C$451,$C423,'TL19'!$J$238:$J$451),0)
),0)</f>
        <v/>
      </c>
      <c r="M423" s="138">
        <f>IFERROR(SUM(
IF('TL01'!$B$3=M$3,SUMIF('TL01'!$C$10:$C$224,$C423,'TL01'!$J$10:$J$224),0),
IF('TL01'!$B$229=M$3,SUMIF('TL01'!$C$238:$C$451,$C423,'TL01'!$J$238:$J$451),0),
IF('TL02'!$B$3=M$3,SUMIF('TL02'!$C$10:$C$224,$C423,'TL02'!$J$10:$J$224),0),
IF('TL02'!$B$229=M$3,SUMIF('TL02'!$C$238:$C$451,$C423,'TL02'!$J$238:$J$451),0),
IF('TL03'!$B$3=M$3,SUMIF('TL03'!$C$10:$C$224,$C423,'TL03'!$J$10:$J$224),0),
IF('TL03'!$B$229=M$3,SUMIF('TL03'!$C$238:$C$451,$C423,'TL03'!$J$238:$J$451),0),
IF('TL04'!$B$3=M$3,SUMIF('TL04'!$C$10:$C$224,$C423,'TL04'!$J$10:$J$224),0),
IF('TL04'!$B$229=M$3,SUMIF('TL04'!$C$238:$C$451,$C423,'TL04'!$J$238:$J$451),0),
IF('TL05'!$B$3=M$3,SUMIF('TL05'!$C$10:$C$224,$C423,'TL05'!$J$10:$J$224),0),
IF('TL05'!$B$229=M$3,SUMIF('TL05'!$C$238:$C$451,$C423,'TL05'!$J$238:$J$451),0),
IF('TL06'!$B$3=M$3,SUMIF('TL06'!$C$10:$C$224,$C423,'TL06'!$J$10:$J$224),0),
IF('TL06'!$B$229=M$3,SUMIF('TL06'!$C$238:$C$451,$C423,'TL06'!$J$238:$J$451),0),
IF('TL07'!$B$3=M$3,SUMIF('TL07'!$C$10:$C$224,$C423,'TL07'!$J$10:$J$224),0),
IF('TL07'!$B$229=M$3,SUMIF('TL07'!$C$238:$C$451,$C423,'TL07'!$J$238:$J$451),0),
IF('TL08'!$B$3=M$3,SUMIF('TL08'!$C$10:$C$224,$C423,'TL08'!$J$10:$J$224),0),
IF('TL08'!$B$229=M$3,SUMIF('TL08'!$C$238:$C$451,$C423,'TL08'!$J$238:$J$451),0),
IF('TL09'!$B$3=M$3,SUMIF('TL09'!$C$10:$C$224,$C423,'TL09'!$J$10:$J$224),0),
IF('TL09'!$B$229=M$3,SUMIF('TL09'!$C$238:$C$451,$C423,'TL09'!$J$238:$J$451),0),
IF('TL10'!$B$3=M$3,SUMIF('TL10'!$C$10:$C$224,$C423,'TL10'!$J$10:$J$224),0),
IF('TL10'!$B$229=M$3,SUMIF('TL10'!$C$238:$C$451,$C423,'TL10'!$J$238:$J$451),0),
IF('TL11'!$B$3=M$3,SUMIF('TL11'!$C$10:$C$224,$C423,'TL11'!$J$10:$J$224),0),
IF('TL11'!$B$229=M$3,SUMIF('TL11'!$C$238:$C$451,$C423,'TL11'!$J$238:$J$451),0),
IF('TL12'!$B$3=M$3,SUMIF('TL12'!$C$10:$C$224,$C423,'TL12'!$J$10:$J$224),0),
IF('TL12'!$B$229=M$3,SUMIF('TL12'!$C$238:$C$451,$C423,'TL12'!$J$238:$J$451),0),
IF('TL13'!$B$3=M$3,SUMIF('TL13'!$C$10:$C$224,$C423,'TL13'!$J$10:$J$224),0),
IF('TL13'!$B$229=M$3,SUMIF('TL13'!$C$238:$C$451,$C423,'TL13'!$J$238:$J$451),0),
IF('TL14'!$B$3=M$3,SUMIF('TL14'!$C$10:$C$224,$C423,'TL14'!$J$10:$J$224),0),
IF('TL14'!$B$229=M$3,SUMIF('TL14'!$C$238:$C$451,$C423,'TL14'!$J$238:$J$451),0),
IF('TL15'!$B$3=M$3,SUMIF('TL15'!$C$10:$C$224,$C423,'TL15'!$J$10:$J$224),0),
IF('TL15'!$B$229=M$3,SUMIF('TL15'!$C$238:$C$451,$C423,'TL15'!$J$238:$J$451),0),
IF('TL16'!$B$3=M$3,SUMIF('TL16'!$C$10:$C$224,$C423,'TL16'!$J$10:$J$224),0),
IF('TL16'!$B$229=M$3,SUMIF('TL16'!$C$238:$C$451,$C423,'TL16'!$J$238:$J$451),0),
IF('TL17'!$B$3=M$3,SUMIF('TL17'!$C$10:$C$224,$C423,'TL17'!$J$10:$J$224),0),
IF('TL17'!$B$229=M$3,SUMIF('TL17'!$C$238:$C$451,$C423,'TL17'!$J$238:$J$451),0),
IF('TL18'!$B$3=M$3,SUMIF('TL18'!$C$10:$C$224,$C423,'TL18'!$J$10:$J$224),0),
IF('TL18'!$B$229=M$3,SUMIF('TL18'!$C$238:$C$451,$C423,'TL18'!$J$238:$J$451),0),
IF('TL19'!$B$3=M$3,SUMIF('TL19'!$C$10:$C$224,$C423,'TL19'!$J$10:$J$224),0),
IF('TL19'!$B$229=M$3,SUMIF('TL19'!$C$238:$C$451,$C423,'TL19'!$J$238:$J$451),0)
),0)</f>
        <v/>
      </c>
      <c r="N423" s="138">
        <f>IFERROR(SUM(
IF('TL01'!$B$3=N$3,SUMIF('TL01'!$C$10:$C$224,$C423,'TL01'!$J$10:$J$224),0),
IF('TL01'!$B$229=N$3,SUMIF('TL01'!$C$238:$C$451,$C423,'TL01'!$J$238:$J$451),0),
IF('TL02'!$B$3=N$3,SUMIF('TL02'!$C$10:$C$224,$C423,'TL02'!$J$10:$J$224),0),
IF('TL02'!$B$229=N$3,SUMIF('TL02'!$C$238:$C$451,$C423,'TL02'!$J$238:$J$451),0),
IF('TL03'!$B$3=N$3,SUMIF('TL03'!$C$10:$C$224,$C423,'TL03'!$J$10:$J$224),0),
IF('TL03'!$B$229=N$3,SUMIF('TL03'!$C$238:$C$451,$C423,'TL03'!$J$238:$J$451),0),
IF('TL04'!$B$3=N$3,SUMIF('TL04'!$C$10:$C$224,$C423,'TL04'!$J$10:$J$224),0),
IF('TL04'!$B$229=N$3,SUMIF('TL04'!$C$238:$C$451,$C423,'TL04'!$J$238:$J$451),0),
IF('TL05'!$B$3=N$3,SUMIF('TL05'!$C$10:$C$224,$C423,'TL05'!$J$10:$J$224),0),
IF('TL05'!$B$229=N$3,SUMIF('TL05'!$C$238:$C$451,$C423,'TL05'!$J$238:$J$451),0),
IF('TL06'!$B$3=N$3,SUMIF('TL06'!$C$10:$C$224,$C423,'TL06'!$J$10:$J$224),0),
IF('TL06'!$B$229=N$3,SUMIF('TL06'!$C$238:$C$451,$C423,'TL06'!$J$238:$J$451),0),
IF('TL07'!$B$3=N$3,SUMIF('TL07'!$C$10:$C$224,$C423,'TL07'!$J$10:$J$224),0),
IF('TL07'!$B$229=N$3,SUMIF('TL07'!$C$238:$C$451,$C423,'TL07'!$J$238:$J$451),0),
IF('TL08'!$B$3=N$3,SUMIF('TL08'!$C$10:$C$224,$C423,'TL08'!$J$10:$J$224),0),
IF('TL08'!$B$229=N$3,SUMIF('TL08'!$C$238:$C$451,$C423,'TL08'!$J$238:$J$451),0),
IF('TL09'!$B$3=N$3,SUMIF('TL09'!$C$10:$C$224,$C423,'TL09'!$J$10:$J$224),0),
IF('TL09'!$B$229=N$3,SUMIF('TL09'!$C$238:$C$451,$C423,'TL09'!$J$238:$J$451),0),
IF('TL10'!$B$3=N$3,SUMIF('TL10'!$C$10:$C$224,$C423,'TL10'!$J$10:$J$224),0),
IF('TL10'!$B$229=N$3,SUMIF('TL10'!$C$238:$C$451,$C423,'TL10'!$J$238:$J$451),0),
IF('TL11'!$B$3=N$3,SUMIF('TL11'!$C$10:$C$224,$C423,'TL11'!$J$10:$J$224),0),
IF('TL11'!$B$229=N$3,SUMIF('TL11'!$C$238:$C$451,$C423,'TL11'!$J$238:$J$451),0),
IF('TL12'!$B$3=N$3,SUMIF('TL12'!$C$10:$C$224,$C423,'TL12'!$J$10:$J$224),0),
IF('TL12'!$B$229=N$3,SUMIF('TL12'!$C$238:$C$451,$C423,'TL12'!$J$238:$J$451),0),
IF('TL13'!$B$3=N$3,SUMIF('TL13'!$C$10:$C$224,$C423,'TL13'!$J$10:$J$224),0),
IF('TL13'!$B$229=N$3,SUMIF('TL13'!$C$238:$C$451,$C423,'TL13'!$J$238:$J$451),0),
IF('TL14'!$B$3=N$3,SUMIF('TL14'!$C$10:$C$224,$C423,'TL14'!$J$10:$J$224),0),
IF('TL14'!$B$229=N$3,SUMIF('TL14'!$C$238:$C$451,$C423,'TL14'!$J$238:$J$451),0),
IF('TL15'!$B$3=N$3,SUMIF('TL15'!$C$10:$C$224,$C423,'TL15'!$J$10:$J$224),0),
IF('TL15'!$B$229=N$3,SUMIF('TL15'!$C$238:$C$451,$C423,'TL15'!$J$238:$J$451),0),
IF('TL16'!$B$3=N$3,SUMIF('TL16'!$C$10:$C$224,$C423,'TL16'!$J$10:$J$224),0),
IF('TL16'!$B$229=N$3,SUMIF('TL16'!$C$238:$C$451,$C423,'TL16'!$J$238:$J$451),0),
IF('TL17'!$B$3=N$3,SUMIF('TL17'!$C$10:$C$224,$C423,'TL17'!$J$10:$J$224),0),
IF('TL17'!$B$229=N$3,SUMIF('TL17'!$C$238:$C$451,$C423,'TL17'!$J$238:$J$451),0),
IF('TL18'!$B$3=N$3,SUMIF('TL18'!$C$10:$C$224,$C423,'TL18'!$J$10:$J$224),0),
IF('TL18'!$B$229=N$3,SUMIF('TL18'!$C$238:$C$451,$C423,'TL18'!$J$238:$J$451),0),
IF('TL19'!$B$3=N$3,SUMIF('TL19'!$C$10:$C$224,$C423,'TL19'!$J$10:$J$224),0),
IF('TL19'!$B$229=N$3,SUMIF('TL19'!$C$238:$C$451,$C423,'TL19'!$J$238:$J$451),0)
),0)</f>
        <v/>
      </c>
      <c r="O423" s="138">
        <f>IFERROR(SUM(
IF('TL01'!$B$3=O$3,SUMIF('TL01'!$C$10:$C$224,$C423,'TL01'!$J$10:$J$224),0),
IF('TL01'!$B$229=O$3,SUMIF('TL01'!$C$238:$C$451,$C423,'TL01'!$J$238:$J$451),0),
IF('TL02'!$B$3=O$3,SUMIF('TL02'!$C$10:$C$224,$C423,'TL02'!$J$10:$J$224),0),
IF('TL02'!$B$229=O$3,SUMIF('TL02'!$C$238:$C$451,$C423,'TL02'!$J$238:$J$451),0),
IF('TL03'!$B$3=O$3,SUMIF('TL03'!$C$10:$C$224,$C423,'TL03'!$J$10:$J$224),0),
IF('TL03'!$B$229=O$3,SUMIF('TL03'!$C$238:$C$451,$C423,'TL03'!$J$238:$J$451),0),
IF('TL04'!$B$3=O$3,SUMIF('TL04'!$C$10:$C$224,$C423,'TL04'!$J$10:$J$224),0),
IF('TL04'!$B$229=O$3,SUMIF('TL04'!$C$238:$C$451,$C423,'TL04'!$J$238:$J$451),0),
IF('TL05'!$B$3=O$3,SUMIF('TL05'!$C$10:$C$224,$C423,'TL05'!$J$10:$J$224),0),
IF('TL05'!$B$229=O$3,SUMIF('TL05'!$C$238:$C$451,$C423,'TL05'!$J$238:$J$451),0),
IF('TL06'!$B$3=O$3,SUMIF('TL06'!$C$10:$C$224,$C423,'TL06'!$J$10:$J$224),0),
IF('TL06'!$B$229=O$3,SUMIF('TL06'!$C$238:$C$451,$C423,'TL06'!$J$238:$J$451),0),
IF('TL07'!$B$3=O$3,SUMIF('TL07'!$C$10:$C$224,$C423,'TL07'!$J$10:$J$224),0),
IF('TL07'!$B$229=O$3,SUMIF('TL07'!$C$238:$C$451,$C423,'TL07'!$J$238:$J$451),0),
IF('TL08'!$B$3=O$3,SUMIF('TL08'!$C$10:$C$224,$C423,'TL08'!$J$10:$J$224),0),
IF('TL08'!$B$229=O$3,SUMIF('TL08'!$C$238:$C$451,$C423,'TL08'!$J$238:$J$451),0),
IF('TL09'!$B$3=O$3,SUMIF('TL09'!$C$10:$C$224,$C423,'TL09'!$J$10:$J$224),0),
IF('TL09'!$B$229=O$3,SUMIF('TL09'!$C$238:$C$451,$C423,'TL09'!$J$238:$J$451),0),
IF('TL10'!$B$3=O$3,SUMIF('TL10'!$C$10:$C$224,$C423,'TL10'!$J$10:$J$224),0),
IF('TL10'!$B$229=O$3,SUMIF('TL10'!$C$238:$C$451,$C423,'TL10'!$J$238:$J$451),0),
IF('TL11'!$B$3=O$3,SUMIF('TL11'!$C$10:$C$224,$C423,'TL11'!$J$10:$J$224),0),
IF('TL11'!$B$229=O$3,SUMIF('TL11'!$C$238:$C$451,$C423,'TL11'!$J$238:$J$451),0),
IF('TL12'!$B$3=O$3,SUMIF('TL12'!$C$10:$C$224,$C423,'TL12'!$J$10:$J$224),0),
IF('TL12'!$B$229=O$3,SUMIF('TL12'!$C$238:$C$451,$C423,'TL12'!$J$238:$J$451),0),
IF('TL13'!$B$3=O$3,SUMIF('TL13'!$C$10:$C$224,$C423,'TL13'!$J$10:$J$224),0),
IF('TL13'!$B$229=O$3,SUMIF('TL13'!$C$238:$C$451,$C423,'TL13'!$J$238:$J$451),0),
IF('TL14'!$B$3=O$3,SUMIF('TL14'!$C$10:$C$224,$C423,'TL14'!$J$10:$J$224),0),
IF('TL14'!$B$229=O$3,SUMIF('TL14'!$C$238:$C$451,$C423,'TL14'!$J$238:$J$451),0),
IF('TL15'!$B$3=O$3,SUMIF('TL15'!$C$10:$C$224,$C423,'TL15'!$J$10:$J$224),0),
IF('TL15'!$B$229=O$3,SUMIF('TL15'!$C$238:$C$451,$C423,'TL15'!$J$238:$J$451),0),
IF('TL16'!$B$3=O$3,SUMIF('TL16'!$C$10:$C$224,$C423,'TL16'!$J$10:$J$224),0),
IF('TL16'!$B$229=O$3,SUMIF('TL16'!$C$238:$C$451,$C423,'TL16'!$J$238:$J$451),0),
IF('TL17'!$B$3=O$3,SUMIF('TL17'!$C$10:$C$224,$C423,'TL17'!$J$10:$J$224),0),
IF('TL17'!$B$229=O$3,SUMIF('TL17'!$C$238:$C$451,$C423,'TL17'!$J$238:$J$451),0),
IF('TL18'!$B$3=O$3,SUMIF('TL18'!$C$10:$C$224,$C423,'TL18'!$J$10:$J$224),0),
IF('TL18'!$B$229=O$3,SUMIF('TL18'!$C$238:$C$451,$C423,'TL18'!$J$238:$J$451),0),
IF('TL19'!$B$3=O$3,SUMIF('TL19'!$C$10:$C$224,$C423,'TL19'!$J$10:$J$224),0),
IF('TL19'!$B$229=O$3,SUMIF('TL19'!$C$238:$C$451,$C423,'TL19'!$J$238:$J$451),0)
),0)</f>
        <v/>
      </c>
      <c r="P423" s="138">
        <f>IFERROR(SUM(
IF('TL01'!$B$3=P$3,SUMIF('TL01'!$C$10:$C$224,$C423,'TL01'!$J$10:$J$224),0),
IF('TL01'!$B$229=P$3,SUMIF('TL01'!$C$238:$C$451,$C423,'TL01'!$J$238:$J$451),0),
IF('TL02'!$B$3=P$3,SUMIF('TL02'!$C$10:$C$224,$C423,'TL02'!$J$10:$J$224),0),
IF('TL02'!$B$229=P$3,SUMIF('TL02'!$C$238:$C$451,$C423,'TL02'!$J$238:$J$451),0),
IF('TL03'!$B$3=P$3,SUMIF('TL03'!$C$10:$C$224,$C423,'TL03'!$J$10:$J$224),0),
IF('TL03'!$B$229=P$3,SUMIF('TL03'!$C$238:$C$451,$C423,'TL03'!$J$238:$J$451),0),
IF('TL04'!$B$3=P$3,SUMIF('TL04'!$C$10:$C$224,$C423,'TL04'!$J$10:$J$224),0),
IF('TL04'!$B$229=P$3,SUMIF('TL04'!$C$238:$C$451,$C423,'TL04'!$J$238:$J$451),0),
IF('TL05'!$B$3=P$3,SUMIF('TL05'!$C$10:$C$224,$C423,'TL05'!$J$10:$J$224),0),
IF('TL05'!$B$229=P$3,SUMIF('TL05'!$C$238:$C$451,$C423,'TL05'!$J$238:$J$451),0),
IF('TL06'!$B$3=P$3,SUMIF('TL06'!$C$10:$C$224,$C423,'TL06'!$J$10:$J$224),0),
IF('TL06'!$B$229=P$3,SUMIF('TL06'!$C$238:$C$451,$C423,'TL06'!$J$238:$J$451),0),
IF('TL07'!$B$3=P$3,SUMIF('TL07'!$C$10:$C$224,$C423,'TL07'!$J$10:$J$224),0),
IF('TL07'!$B$229=P$3,SUMIF('TL07'!$C$238:$C$451,$C423,'TL07'!$J$238:$J$451),0),
IF('TL08'!$B$3=P$3,SUMIF('TL08'!$C$10:$C$224,$C423,'TL08'!$J$10:$J$224),0),
IF('TL08'!$B$229=P$3,SUMIF('TL08'!$C$238:$C$451,$C423,'TL08'!$J$238:$J$451),0),
IF('TL09'!$B$3=P$3,SUMIF('TL09'!$C$10:$C$224,$C423,'TL09'!$J$10:$J$224),0),
IF('TL09'!$B$229=P$3,SUMIF('TL09'!$C$238:$C$451,$C423,'TL09'!$J$238:$J$451),0),
IF('TL10'!$B$3=P$3,SUMIF('TL10'!$C$10:$C$224,$C423,'TL10'!$J$10:$J$224),0),
IF('TL10'!$B$229=P$3,SUMIF('TL10'!$C$238:$C$451,$C423,'TL10'!$J$238:$J$451),0),
IF('TL11'!$B$3=P$3,SUMIF('TL11'!$C$10:$C$224,$C423,'TL11'!$J$10:$J$224),0),
IF('TL11'!$B$229=P$3,SUMIF('TL11'!$C$238:$C$451,$C423,'TL11'!$J$238:$J$451),0),
IF('TL12'!$B$3=P$3,SUMIF('TL12'!$C$10:$C$224,$C423,'TL12'!$J$10:$J$224),0),
IF('TL12'!$B$229=P$3,SUMIF('TL12'!$C$238:$C$451,$C423,'TL12'!$J$238:$J$451),0),
IF('TL13'!$B$3=P$3,SUMIF('TL13'!$C$10:$C$224,$C423,'TL13'!$J$10:$J$224),0),
IF('TL13'!$B$229=P$3,SUMIF('TL13'!$C$238:$C$451,$C423,'TL13'!$J$238:$J$451),0),
IF('TL14'!$B$3=P$3,SUMIF('TL14'!$C$10:$C$224,$C423,'TL14'!$J$10:$J$224),0),
IF('TL14'!$B$229=P$3,SUMIF('TL14'!$C$238:$C$451,$C423,'TL14'!$J$238:$J$451),0),
IF('TL15'!$B$3=P$3,SUMIF('TL15'!$C$10:$C$224,$C423,'TL15'!$J$10:$J$224),0),
IF('TL15'!$B$229=P$3,SUMIF('TL15'!$C$238:$C$451,$C423,'TL15'!$J$238:$J$451),0),
IF('TL16'!$B$3=P$3,SUMIF('TL16'!$C$10:$C$224,$C423,'TL16'!$J$10:$J$224),0),
IF('TL16'!$B$229=P$3,SUMIF('TL16'!$C$238:$C$451,$C423,'TL16'!$J$238:$J$451),0),
IF('TL17'!$B$3=P$3,SUMIF('TL17'!$C$10:$C$224,$C423,'TL17'!$J$10:$J$224),0),
IF('TL17'!$B$229=P$3,SUMIF('TL17'!$C$238:$C$451,$C423,'TL17'!$J$238:$J$451),0),
IF('TL18'!$B$3=P$3,SUMIF('TL18'!$C$10:$C$224,$C423,'TL18'!$J$10:$J$224),0),
IF('TL18'!$B$229=P$3,SUMIF('TL18'!$C$238:$C$451,$C423,'TL18'!$J$238:$J$451),0),
IF('TL19'!$B$3=P$3,SUMIF('TL19'!$C$10:$C$224,$C423,'TL19'!$J$10:$J$224),0),
IF('TL19'!$B$229=P$3,SUMIF('TL19'!$C$238:$C$451,$C423,'TL19'!$J$238:$J$451),0)
),0)</f>
        <v/>
      </c>
      <c r="Q423" s="138">
        <f>IFERROR(SUM(
IF('TL01'!$B$3=Q$3,SUMIF('TL01'!$C$10:$C$224,$C423,'TL01'!$J$10:$J$224),0),
IF('TL01'!$B$229=Q$3,SUMIF('TL01'!$C$238:$C$451,$C423,'TL01'!$J$238:$J$451),0),
IF('TL02'!$B$3=Q$3,SUMIF('TL02'!$C$10:$C$224,$C423,'TL02'!$J$10:$J$224),0),
IF('TL02'!$B$229=Q$3,SUMIF('TL02'!$C$238:$C$451,$C423,'TL02'!$J$238:$J$451),0),
IF('TL03'!$B$3=Q$3,SUMIF('TL03'!$C$10:$C$224,$C423,'TL03'!$J$10:$J$224),0),
IF('TL03'!$B$229=Q$3,SUMIF('TL03'!$C$238:$C$451,$C423,'TL03'!$J$238:$J$451),0),
IF('TL04'!$B$3=Q$3,SUMIF('TL04'!$C$10:$C$224,$C423,'TL04'!$J$10:$J$224),0),
IF('TL04'!$B$229=Q$3,SUMIF('TL04'!$C$238:$C$451,$C423,'TL04'!$J$238:$J$451),0),
IF('TL05'!$B$3=Q$3,SUMIF('TL05'!$C$10:$C$224,$C423,'TL05'!$J$10:$J$224),0),
IF('TL05'!$B$229=Q$3,SUMIF('TL05'!$C$238:$C$451,$C423,'TL05'!$J$238:$J$451),0),
IF('TL06'!$B$3=Q$3,SUMIF('TL06'!$C$10:$C$224,$C423,'TL06'!$J$10:$J$224),0),
IF('TL06'!$B$229=Q$3,SUMIF('TL06'!$C$238:$C$451,$C423,'TL06'!$J$238:$J$451),0),
IF('TL07'!$B$3=Q$3,SUMIF('TL07'!$C$10:$C$224,$C423,'TL07'!$J$10:$J$224),0),
IF('TL07'!$B$229=Q$3,SUMIF('TL07'!$C$238:$C$451,$C423,'TL07'!$J$238:$J$451),0),
IF('TL08'!$B$3=Q$3,SUMIF('TL08'!$C$10:$C$224,$C423,'TL08'!$J$10:$J$224),0),
IF('TL08'!$B$229=Q$3,SUMIF('TL08'!$C$238:$C$451,$C423,'TL08'!$J$238:$J$451),0),
IF('TL09'!$B$3=Q$3,SUMIF('TL09'!$C$10:$C$224,$C423,'TL09'!$J$10:$J$224),0),
IF('TL09'!$B$229=Q$3,SUMIF('TL09'!$C$238:$C$451,$C423,'TL09'!$J$238:$J$451),0),
IF('TL10'!$B$3=Q$3,SUMIF('TL10'!$C$10:$C$224,$C423,'TL10'!$J$10:$J$224),0),
IF('TL10'!$B$229=Q$3,SUMIF('TL10'!$C$238:$C$451,$C423,'TL10'!$J$238:$J$451),0),
IF('TL11'!$B$3=Q$3,SUMIF('TL11'!$C$10:$C$224,$C423,'TL11'!$J$10:$J$224),0),
IF('TL11'!$B$229=Q$3,SUMIF('TL11'!$C$238:$C$451,$C423,'TL11'!$J$238:$J$451),0),
IF('TL12'!$B$3=Q$3,SUMIF('TL12'!$C$10:$C$224,$C423,'TL12'!$J$10:$J$224),0),
IF('TL12'!$B$229=Q$3,SUMIF('TL12'!$C$238:$C$451,$C423,'TL12'!$J$238:$J$451),0),
IF('TL13'!$B$3=Q$3,SUMIF('TL13'!$C$10:$C$224,$C423,'TL13'!$J$10:$J$224),0),
IF('TL13'!$B$229=Q$3,SUMIF('TL13'!$C$238:$C$451,$C423,'TL13'!$J$238:$J$451),0),
IF('TL14'!$B$3=Q$3,SUMIF('TL14'!$C$10:$C$224,$C423,'TL14'!$J$10:$J$224),0),
IF('TL14'!$B$229=Q$3,SUMIF('TL14'!$C$238:$C$451,$C423,'TL14'!$J$238:$J$451),0),
IF('TL15'!$B$3=Q$3,SUMIF('TL15'!$C$10:$C$224,$C423,'TL15'!$J$10:$J$224),0),
IF('TL15'!$B$229=Q$3,SUMIF('TL15'!$C$238:$C$451,$C423,'TL15'!$J$238:$J$451),0),
IF('TL16'!$B$3=Q$3,SUMIF('TL16'!$C$10:$C$224,$C423,'TL16'!$J$10:$J$224),0),
IF('TL16'!$B$229=Q$3,SUMIF('TL16'!$C$238:$C$451,$C423,'TL16'!$J$238:$J$451),0),
IF('TL17'!$B$3=Q$3,SUMIF('TL17'!$C$10:$C$224,$C423,'TL17'!$J$10:$J$224),0),
IF('TL17'!$B$229=Q$3,SUMIF('TL17'!$C$238:$C$451,$C423,'TL17'!$J$238:$J$451),0),
IF('TL18'!$B$3=Q$3,SUMIF('TL18'!$C$10:$C$224,$C423,'TL18'!$J$10:$J$224),0),
IF('TL18'!$B$229=Q$3,SUMIF('TL18'!$C$238:$C$451,$C423,'TL18'!$J$238:$J$451),0),
IF('TL19'!$B$3=Q$3,SUMIF('TL19'!$C$10:$C$224,$C423,'TL19'!$J$10:$J$224),0),
IF('TL19'!$B$229=Q$3,SUMIF('TL19'!$C$238:$C$451,$C423,'TL19'!$J$238:$J$451),0)
),0)</f>
        <v/>
      </c>
      <c r="R423" s="139">
        <f>IFERROR(
SUM(
SUMIF('TL01'!C:C,C423,'TL01'!J:J),
SUMIF('TL02'!C:C,C423,'TL02'!I:I),
SUMIF('TL03'!C:C,C423,'TL03'!I:I),
SUMIF('TL04'!C:C,C423,'TL04'!I:I),
SUMIF('TL05'!C:C,C423,'TL05'!I:I),
SUMIF('TL06'!C:C,C423,'TL06'!I:I),
SUMIF('TL07'!C:C,C423,'TL07'!I:I),
SUMIF('TL08'!C:C,C423,'TL08'!I:I),
SUMIF('TL09'!C:C,C423,'TL09'!I:I),
SUMIF('TL10'!C:C,C423,'TL10'!I:I),
SUMIF('TL11'!C:C,C423,'TL11'!I:I),
SUMIF('TL12'!C:C,C423,'TL12'!I:I),
SUMIF('TL13'!C:C,C423,'TL13'!I:I),
SUMIF('TL14'!C:C,C423,'TL14'!I:I),
SUMIF('TL15'!C:C,C423,'TL15'!I:I),
SUMIF('TL16'!C:C,C423,'TL16'!I:I),
SUMIF('TL17'!C:C,C423,'TL17'!I:I),
SUMIF('TL18'!C:C,C423,'TL18'!I:I))
,0)</f>
        <v/>
      </c>
      <c r="S423" s="142">
        <f>'CUSTO OPERAÇÃO'!M27</f>
        <v/>
      </c>
      <c r="T423" s="139" t="n"/>
      <c r="U423" s="143">
        <f>MAX(0,R423-T423)</f>
        <v/>
      </c>
      <c r="V423" s="144">
        <f>U423*S423</f>
        <v/>
      </c>
    </row>
    <row r="424" hidden="1" ht="15.75" customHeight="1" s="297">
      <c r="A424" s="138" t="n"/>
      <c r="B424" s="155" t="n"/>
      <c r="C424" s="138" t="n"/>
      <c r="D424" s="138" t="n"/>
      <c r="E424" s="139" t="n"/>
      <c r="F424" s="138" t="inlineStr">
        <is>
          <t>R$/Ha</t>
        </is>
      </c>
      <c r="G424" s="139" t="n"/>
      <c r="H424" s="140">
        <f>'CUSTO OPERAÇÃO'!J28</f>
        <v/>
      </c>
      <c r="I424" s="156" t="n"/>
      <c r="J424" s="138">
        <f>IFERROR(SUM(
IF('TL01'!$B$3=J$3,SUMIF('TL01'!$C$10:$C$224,$C424,'TL01'!$J$10:$J$224),0),
IF('TL01'!$B$229=J$3,SUMIF('TL01'!$C$238:$C$451,$C424,'TL01'!$J$238:$J$451),0),
IF('TL02'!$B$3=J$3,SUMIF('TL02'!$C$10:$C$224,$C424,'TL02'!$J$10:$J$224),0),
IF('TL02'!$B$229=J$3,SUMIF('TL02'!$C$238:$C$451,$C424,'TL02'!$J$238:$J$451),0),
IF('TL03'!$B$3=J$3,SUMIF('TL03'!$C$10:$C$224,$C424,'TL03'!$J$10:$J$224),0),
IF('TL03'!$B$229=J$3,SUMIF('TL03'!$C$238:$C$451,$C424,'TL03'!$J$238:$J$451),0),
IF('TL04'!$B$3=J$3,SUMIF('TL04'!$C$10:$C$224,$C424,'TL04'!$J$10:$J$224),0),
IF('TL04'!$B$229=J$3,SUMIF('TL04'!$C$238:$C$451,$C424,'TL04'!$J$238:$J$451),0),
IF('TL05'!$B$3=J$3,SUMIF('TL05'!$C$10:$C$224,$C424,'TL05'!$J$10:$J$224),0),
IF('TL05'!$B$229=J$3,SUMIF('TL05'!$C$238:$C$451,$C424,'TL05'!$J$238:$J$451),0),
IF('TL06'!$B$3=J$3,SUMIF('TL06'!$C$10:$C$224,$C424,'TL06'!$J$10:$J$224),0),
IF('TL06'!$B$229=J$3,SUMIF('TL06'!$C$238:$C$451,$C424,'TL06'!$J$238:$J$451),0),
IF('TL07'!$B$3=J$3,SUMIF('TL07'!$C$10:$C$224,$C424,'TL07'!$J$10:$J$224),0),
IF('TL07'!$B$229=J$3,SUMIF('TL07'!$C$238:$C$451,$C424,'TL07'!$J$238:$J$451),0),
IF('TL08'!$B$3=J$3,SUMIF('TL08'!$C$10:$C$224,$C424,'TL08'!$J$10:$J$224),0),
IF('TL08'!$B$229=J$3,SUMIF('TL08'!$C$238:$C$451,$C424,'TL08'!$J$238:$J$451),0),
IF('TL09'!$B$3=J$3,SUMIF('TL09'!$C$10:$C$224,$C424,'TL09'!$J$10:$J$224),0),
IF('TL09'!$B$229=J$3,SUMIF('TL09'!$C$238:$C$451,$C424,'TL09'!$J$238:$J$451),0),
IF('TL10'!$B$3=J$3,SUMIF('TL10'!$C$10:$C$224,$C424,'TL10'!$J$10:$J$224),0),
IF('TL10'!$B$229=J$3,SUMIF('TL10'!$C$238:$C$451,$C424,'TL10'!$J$238:$J$451),0),
IF('TL11'!$B$3=J$3,SUMIF('TL11'!$C$10:$C$224,$C424,'TL11'!$J$10:$J$224),0),
IF('TL11'!$B$229=J$3,SUMIF('TL11'!$C$238:$C$451,$C424,'TL11'!$J$238:$J$451),0),
IF('TL12'!$B$3=J$3,SUMIF('TL12'!$C$10:$C$224,$C424,'TL12'!$J$10:$J$224),0),
IF('TL12'!$B$229=J$3,SUMIF('TL12'!$C$238:$C$451,$C424,'TL12'!$J$238:$J$451),0),
IF('TL13'!$B$3=J$3,SUMIF('TL13'!$C$10:$C$224,$C424,'TL13'!$J$10:$J$224),0),
IF('TL13'!$B$229=J$3,SUMIF('TL13'!$C$238:$C$451,$C424,'TL13'!$J$238:$J$451),0),
IF('TL14'!$B$3=J$3,SUMIF('TL14'!$C$10:$C$224,$C424,'TL14'!$J$10:$J$224),0),
IF('TL14'!$B$229=J$3,SUMIF('TL14'!$C$238:$C$451,$C424,'TL14'!$J$238:$J$451),0),
IF('TL15'!$B$3=J$3,SUMIF('TL15'!$C$10:$C$224,$C424,'TL15'!$J$10:$J$224),0),
IF('TL15'!$B$229=J$3,SUMIF('TL15'!$C$238:$C$451,$C424,'TL15'!$J$238:$J$451),0),
IF('TL16'!$B$3=J$3,SUMIF('TL16'!$C$10:$C$224,$C424,'TL16'!$J$10:$J$224),0),
IF('TL16'!$B$229=J$3,SUMIF('TL16'!$C$238:$C$451,$C424,'TL16'!$J$238:$J$451),0),
IF('TL17'!$B$3=J$3,SUMIF('TL17'!$C$10:$C$224,$C424,'TL17'!$J$10:$J$224),0),
IF('TL17'!$B$229=J$3,SUMIF('TL17'!$C$238:$C$451,$C424,'TL17'!$J$238:$J$451),0),
IF('TL18'!$B$3=J$3,SUMIF('TL18'!$C$10:$C$224,$C424,'TL18'!$J$10:$J$224),0),
IF('TL18'!$B$229=J$3,SUMIF('TL18'!$C$238:$C$451,$C424,'TL18'!$J$238:$J$451),0),
IF('TL19'!$B$3=J$3,SUMIF('TL19'!$C$10:$C$224,$C424,'TL19'!$J$10:$J$224),0),
IF('TL19'!$B$229=J$3,SUMIF('TL19'!$C$238:$C$451,$C424,'TL19'!$J$238:$J$451),0)
),0)</f>
        <v/>
      </c>
      <c r="K424" s="138">
        <f>IFERROR(SUM(
IF('TL01'!$B$3=K$3,SUMIF('TL01'!$C$10:$C$224,$C424,'TL01'!$J$10:$J$224),0),
IF('TL01'!$B$229=K$3,SUMIF('TL01'!$C$238:$C$451,$C424,'TL01'!$J$238:$J$451),0),
IF('TL02'!$B$3=K$3,SUMIF('TL02'!$C$10:$C$224,$C424,'TL02'!$J$10:$J$224),0),
IF('TL02'!$B$229=K$3,SUMIF('TL02'!$C$238:$C$451,$C424,'TL02'!$J$238:$J$451),0),
IF('TL03'!$B$3=K$3,SUMIF('TL03'!$C$10:$C$224,$C424,'TL03'!$J$10:$J$224),0),
IF('TL03'!$B$229=K$3,SUMIF('TL03'!$C$238:$C$451,$C424,'TL03'!$J$238:$J$451),0),
IF('TL04'!$B$3=K$3,SUMIF('TL04'!$C$10:$C$224,$C424,'TL04'!$J$10:$J$224),0),
IF('TL04'!$B$229=K$3,SUMIF('TL04'!$C$238:$C$451,$C424,'TL04'!$J$238:$J$451),0),
IF('TL05'!$B$3=K$3,SUMIF('TL05'!$C$10:$C$224,$C424,'TL05'!$J$10:$J$224),0),
IF('TL05'!$B$229=K$3,SUMIF('TL05'!$C$238:$C$451,$C424,'TL05'!$J$238:$J$451),0),
IF('TL06'!$B$3=K$3,SUMIF('TL06'!$C$10:$C$224,$C424,'TL06'!$J$10:$J$224),0),
IF('TL06'!$B$229=K$3,SUMIF('TL06'!$C$238:$C$451,$C424,'TL06'!$J$238:$J$451),0),
IF('TL07'!$B$3=K$3,SUMIF('TL07'!$C$10:$C$224,$C424,'TL07'!$J$10:$J$224),0),
IF('TL07'!$B$229=K$3,SUMIF('TL07'!$C$238:$C$451,$C424,'TL07'!$J$238:$J$451),0),
IF('TL08'!$B$3=K$3,SUMIF('TL08'!$C$10:$C$224,$C424,'TL08'!$J$10:$J$224),0),
IF('TL08'!$B$229=K$3,SUMIF('TL08'!$C$238:$C$451,$C424,'TL08'!$J$238:$J$451),0),
IF('TL09'!$B$3=K$3,SUMIF('TL09'!$C$10:$C$224,$C424,'TL09'!$J$10:$J$224),0),
IF('TL09'!$B$229=K$3,SUMIF('TL09'!$C$238:$C$451,$C424,'TL09'!$J$238:$J$451),0),
IF('TL10'!$B$3=K$3,SUMIF('TL10'!$C$10:$C$224,$C424,'TL10'!$J$10:$J$224),0),
IF('TL10'!$B$229=K$3,SUMIF('TL10'!$C$238:$C$451,$C424,'TL10'!$J$238:$J$451),0),
IF('TL11'!$B$3=K$3,SUMIF('TL11'!$C$10:$C$224,$C424,'TL11'!$J$10:$J$224),0),
IF('TL11'!$B$229=K$3,SUMIF('TL11'!$C$238:$C$451,$C424,'TL11'!$J$238:$J$451),0),
IF('TL12'!$B$3=K$3,SUMIF('TL12'!$C$10:$C$224,$C424,'TL12'!$J$10:$J$224),0),
IF('TL12'!$B$229=K$3,SUMIF('TL12'!$C$238:$C$451,$C424,'TL12'!$J$238:$J$451),0),
IF('TL13'!$B$3=K$3,SUMIF('TL13'!$C$10:$C$224,$C424,'TL13'!$J$10:$J$224),0),
IF('TL13'!$B$229=K$3,SUMIF('TL13'!$C$238:$C$451,$C424,'TL13'!$J$238:$J$451),0),
IF('TL14'!$B$3=K$3,SUMIF('TL14'!$C$10:$C$224,$C424,'TL14'!$J$10:$J$224),0),
IF('TL14'!$B$229=K$3,SUMIF('TL14'!$C$238:$C$451,$C424,'TL14'!$J$238:$J$451),0),
IF('TL15'!$B$3=K$3,SUMIF('TL15'!$C$10:$C$224,$C424,'TL15'!$J$10:$J$224),0),
IF('TL15'!$B$229=K$3,SUMIF('TL15'!$C$238:$C$451,$C424,'TL15'!$J$238:$J$451),0),
IF('TL16'!$B$3=K$3,SUMIF('TL16'!$C$10:$C$224,$C424,'TL16'!$J$10:$J$224),0),
IF('TL16'!$B$229=K$3,SUMIF('TL16'!$C$238:$C$451,$C424,'TL16'!$J$238:$J$451),0),
IF('TL17'!$B$3=K$3,SUMIF('TL17'!$C$10:$C$224,$C424,'TL17'!$J$10:$J$224),0),
IF('TL17'!$B$229=K$3,SUMIF('TL17'!$C$238:$C$451,$C424,'TL17'!$J$238:$J$451),0),
IF('TL18'!$B$3=K$3,SUMIF('TL18'!$C$10:$C$224,$C424,'TL18'!$J$10:$J$224),0),
IF('TL18'!$B$229=K$3,SUMIF('TL18'!$C$238:$C$451,$C424,'TL18'!$J$238:$J$451),0),
IF('TL19'!$B$3=K$3,SUMIF('TL19'!$C$10:$C$224,$C424,'TL19'!$J$10:$J$224),0),
IF('TL19'!$B$229=K$3,SUMIF('TL19'!$C$238:$C$451,$C424,'TL19'!$J$238:$J$451),0)
),0)</f>
        <v/>
      </c>
      <c r="L424" s="138">
        <f>IFERROR(SUM(
IF('TL01'!$B$3=L$3,SUMIF('TL01'!$C$10:$C$224,$C424,'TL01'!$J$10:$J$224),0),
IF('TL01'!$B$229=L$3,SUMIF('TL01'!$C$238:$C$451,$C424,'TL01'!$J$238:$J$451),0),
IF('TL02'!$B$3=L$3,SUMIF('TL02'!$C$10:$C$224,$C424,'TL02'!$J$10:$J$224),0),
IF('TL02'!$B$229=L$3,SUMIF('TL02'!$C$238:$C$451,$C424,'TL02'!$J$238:$J$451),0),
IF('TL03'!$B$3=L$3,SUMIF('TL03'!$C$10:$C$224,$C424,'TL03'!$J$10:$J$224),0),
IF('TL03'!$B$229=L$3,SUMIF('TL03'!$C$238:$C$451,$C424,'TL03'!$J$238:$J$451),0),
IF('TL04'!$B$3=L$3,SUMIF('TL04'!$C$10:$C$224,$C424,'TL04'!$J$10:$J$224),0),
IF('TL04'!$B$229=L$3,SUMIF('TL04'!$C$238:$C$451,$C424,'TL04'!$J$238:$J$451),0),
IF('TL05'!$B$3=L$3,SUMIF('TL05'!$C$10:$C$224,$C424,'TL05'!$J$10:$J$224),0),
IF('TL05'!$B$229=L$3,SUMIF('TL05'!$C$238:$C$451,$C424,'TL05'!$J$238:$J$451),0),
IF('TL06'!$B$3=L$3,SUMIF('TL06'!$C$10:$C$224,$C424,'TL06'!$J$10:$J$224),0),
IF('TL06'!$B$229=L$3,SUMIF('TL06'!$C$238:$C$451,$C424,'TL06'!$J$238:$J$451),0),
IF('TL07'!$B$3=L$3,SUMIF('TL07'!$C$10:$C$224,$C424,'TL07'!$J$10:$J$224),0),
IF('TL07'!$B$229=L$3,SUMIF('TL07'!$C$238:$C$451,$C424,'TL07'!$J$238:$J$451),0),
IF('TL08'!$B$3=L$3,SUMIF('TL08'!$C$10:$C$224,$C424,'TL08'!$J$10:$J$224),0),
IF('TL08'!$B$229=L$3,SUMIF('TL08'!$C$238:$C$451,$C424,'TL08'!$J$238:$J$451),0),
IF('TL09'!$B$3=L$3,SUMIF('TL09'!$C$10:$C$224,$C424,'TL09'!$J$10:$J$224),0),
IF('TL09'!$B$229=L$3,SUMIF('TL09'!$C$238:$C$451,$C424,'TL09'!$J$238:$J$451),0),
IF('TL10'!$B$3=L$3,SUMIF('TL10'!$C$10:$C$224,$C424,'TL10'!$J$10:$J$224),0),
IF('TL10'!$B$229=L$3,SUMIF('TL10'!$C$238:$C$451,$C424,'TL10'!$J$238:$J$451),0),
IF('TL11'!$B$3=L$3,SUMIF('TL11'!$C$10:$C$224,$C424,'TL11'!$J$10:$J$224),0),
IF('TL11'!$B$229=L$3,SUMIF('TL11'!$C$238:$C$451,$C424,'TL11'!$J$238:$J$451),0),
IF('TL12'!$B$3=L$3,SUMIF('TL12'!$C$10:$C$224,$C424,'TL12'!$J$10:$J$224),0),
IF('TL12'!$B$229=L$3,SUMIF('TL12'!$C$238:$C$451,$C424,'TL12'!$J$238:$J$451),0),
IF('TL13'!$B$3=L$3,SUMIF('TL13'!$C$10:$C$224,$C424,'TL13'!$J$10:$J$224),0),
IF('TL13'!$B$229=L$3,SUMIF('TL13'!$C$238:$C$451,$C424,'TL13'!$J$238:$J$451),0),
IF('TL14'!$B$3=L$3,SUMIF('TL14'!$C$10:$C$224,$C424,'TL14'!$J$10:$J$224),0),
IF('TL14'!$B$229=L$3,SUMIF('TL14'!$C$238:$C$451,$C424,'TL14'!$J$238:$J$451),0),
IF('TL15'!$B$3=L$3,SUMIF('TL15'!$C$10:$C$224,$C424,'TL15'!$J$10:$J$224),0),
IF('TL15'!$B$229=L$3,SUMIF('TL15'!$C$238:$C$451,$C424,'TL15'!$J$238:$J$451),0),
IF('TL16'!$B$3=L$3,SUMIF('TL16'!$C$10:$C$224,$C424,'TL16'!$J$10:$J$224),0),
IF('TL16'!$B$229=L$3,SUMIF('TL16'!$C$238:$C$451,$C424,'TL16'!$J$238:$J$451),0),
IF('TL17'!$B$3=L$3,SUMIF('TL17'!$C$10:$C$224,$C424,'TL17'!$J$10:$J$224),0),
IF('TL17'!$B$229=L$3,SUMIF('TL17'!$C$238:$C$451,$C424,'TL17'!$J$238:$J$451),0),
IF('TL18'!$B$3=L$3,SUMIF('TL18'!$C$10:$C$224,$C424,'TL18'!$J$10:$J$224),0),
IF('TL18'!$B$229=L$3,SUMIF('TL18'!$C$238:$C$451,$C424,'TL18'!$J$238:$J$451),0),
IF('TL19'!$B$3=L$3,SUMIF('TL19'!$C$10:$C$224,$C424,'TL19'!$J$10:$J$224),0),
IF('TL19'!$B$229=L$3,SUMIF('TL19'!$C$238:$C$451,$C424,'TL19'!$J$238:$J$451),0)
),0)</f>
        <v/>
      </c>
      <c r="M424" s="138">
        <f>IFERROR(SUM(
IF('TL01'!$B$3=M$3,SUMIF('TL01'!$C$10:$C$224,$C424,'TL01'!$J$10:$J$224),0),
IF('TL01'!$B$229=M$3,SUMIF('TL01'!$C$238:$C$451,$C424,'TL01'!$J$238:$J$451),0),
IF('TL02'!$B$3=M$3,SUMIF('TL02'!$C$10:$C$224,$C424,'TL02'!$J$10:$J$224),0),
IF('TL02'!$B$229=M$3,SUMIF('TL02'!$C$238:$C$451,$C424,'TL02'!$J$238:$J$451),0),
IF('TL03'!$B$3=M$3,SUMIF('TL03'!$C$10:$C$224,$C424,'TL03'!$J$10:$J$224),0),
IF('TL03'!$B$229=M$3,SUMIF('TL03'!$C$238:$C$451,$C424,'TL03'!$J$238:$J$451),0),
IF('TL04'!$B$3=M$3,SUMIF('TL04'!$C$10:$C$224,$C424,'TL04'!$J$10:$J$224),0),
IF('TL04'!$B$229=M$3,SUMIF('TL04'!$C$238:$C$451,$C424,'TL04'!$J$238:$J$451),0),
IF('TL05'!$B$3=M$3,SUMIF('TL05'!$C$10:$C$224,$C424,'TL05'!$J$10:$J$224),0),
IF('TL05'!$B$229=M$3,SUMIF('TL05'!$C$238:$C$451,$C424,'TL05'!$J$238:$J$451),0),
IF('TL06'!$B$3=M$3,SUMIF('TL06'!$C$10:$C$224,$C424,'TL06'!$J$10:$J$224),0),
IF('TL06'!$B$229=M$3,SUMIF('TL06'!$C$238:$C$451,$C424,'TL06'!$J$238:$J$451),0),
IF('TL07'!$B$3=M$3,SUMIF('TL07'!$C$10:$C$224,$C424,'TL07'!$J$10:$J$224),0),
IF('TL07'!$B$229=M$3,SUMIF('TL07'!$C$238:$C$451,$C424,'TL07'!$J$238:$J$451),0),
IF('TL08'!$B$3=M$3,SUMIF('TL08'!$C$10:$C$224,$C424,'TL08'!$J$10:$J$224),0),
IF('TL08'!$B$229=M$3,SUMIF('TL08'!$C$238:$C$451,$C424,'TL08'!$J$238:$J$451),0),
IF('TL09'!$B$3=M$3,SUMIF('TL09'!$C$10:$C$224,$C424,'TL09'!$J$10:$J$224),0),
IF('TL09'!$B$229=M$3,SUMIF('TL09'!$C$238:$C$451,$C424,'TL09'!$J$238:$J$451),0),
IF('TL10'!$B$3=M$3,SUMIF('TL10'!$C$10:$C$224,$C424,'TL10'!$J$10:$J$224),0),
IF('TL10'!$B$229=M$3,SUMIF('TL10'!$C$238:$C$451,$C424,'TL10'!$J$238:$J$451),0),
IF('TL11'!$B$3=M$3,SUMIF('TL11'!$C$10:$C$224,$C424,'TL11'!$J$10:$J$224),0),
IF('TL11'!$B$229=M$3,SUMIF('TL11'!$C$238:$C$451,$C424,'TL11'!$J$238:$J$451),0),
IF('TL12'!$B$3=M$3,SUMIF('TL12'!$C$10:$C$224,$C424,'TL12'!$J$10:$J$224),0),
IF('TL12'!$B$229=M$3,SUMIF('TL12'!$C$238:$C$451,$C424,'TL12'!$J$238:$J$451),0),
IF('TL13'!$B$3=M$3,SUMIF('TL13'!$C$10:$C$224,$C424,'TL13'!$J$10:$J$224),0),
IF('TL13'!$B$229=M$3,SUMIF('TL13'!$C$238:$C$451,$C424,'TL13'!$J$238:$J$451),0),
IF('TL14'!$B$3=M$3,SUMIF('TL14'!$C$10:$C$224,$C424,'TL14'!$J$10:$J$224),0),
IF('TL14'!$B$229=M$3,SUMIF('TL14'!$C$238:$C$451,$C424,'TL14'!$J$238:$J$451),0),
IF('TL15'!$B$3=M$3,SUMIF('TL15'!$C$10:$C$224,$C424,'TL15'!$J$10:$J$224),0),
IF('TL15'!$B$229=M$3,SUMIF('TL15'!$C$238:$C$451,$C424,'TL15'!$J$238:$J$451),0),
IF('TL16'!$B$3=M$3,SUMIF('TL16'!$C$10:$C$224,$C424,'TL16'!$J$10:$J$224),0),
IF('TL16'!$B$229=M$3,SUMIF('TL16'!$C$238:$C$451,$C424,'TL16'!$J$238:$J$451),0),
IF('TL17'!$B$3=M$3,SUMIF('TL17'!$C$10:$C$224,$C424,'TL17'!$J$10:$J$224),0),
IF('TL17'!$B$229=M$3,SUMIF('TL17'!$C$238:$C$451,$C424,'TL17'!$J$238:$J$451),0),
IF('TL18'!$B$3=M$3,SUMIF('TL18'!$C$10:$C$224,$C424,'TL18'!$J$10:$J$224),0),
IF('TL18'!$B$229=M$3,SUMIF('TL18'!$C$238:$C$451,$C424,'TL18'!$J$238:$J$451),0),
IF('TL19'!$B$3=M$3,SUMIF('TL19'!$C$10:$C$224,$C424,'TL19'!$J$10:$J$224),0),
IF('TL19'!$B$229=M$3,SUMIF('TL19'!$C$238:$C$451,$C424,'TL19'!$J$238:$J$451),0)
),0)</f>
        <v/>
      </c>
      <c r="N424" s="138">
        <f>IFERROR(SUM(
IF('TL01'!$B$3=N$3,SUMIF('TL01'!$C$10:$C$224,$C424,'TL01'!$J$10:$J$224),0),
IF('TL01'!$B$229=N$3,SUMIF('TL01'!$C$238:$C$451,$C424,'TL01'!$J$238:$J$451),0),
IF('TL02'!$B$3=N$3,SUMIF('TL02'!$C$10:$C$224,$C424,'TL02'!$J$10:$J$224),0),
IF('TL02'!$B$229=N$3,SUMIF('TL02'!$C$238:$C$451,$C424,'TL02'!$J$238:$J$451),0),
IF('TL03'!$B$3=N$3,SUMIF('TL03'!$C$10:$C$224,$C424,'TL03'!$J$10:$J$224),0),
IF('TL03'!$B$229=N$3,SUMIF('TL03'!$C$238:$C$451,$C424,'TL03'!$J$238:$J$451),0),
IF('TL04'!$B$3=N$3,SUMIF('TL04'!$C$10:$C$224,$C424,'TL04'!$J$10:$J$224),0),
IF('TL04'!$B$229=N$3,SUMIF('TL04'!$C$238:$C$451,$C424,'TL04'!$J$238:$J$451),0),
IF('TL05'!$B$3=N$3,SUMIF('TL05'!$C$10:$C$224,$C424,'TL05'!$J$10:$J$224),0),
IF('TL05'!$B$229=N$3,SUMIF('TL05'!$C$238:$C$451,$C424,'TL05'!$J$238:$J$451),0),
IF('TL06'!$B$3=N$3,SUMIF('TL06'!$C$10:$C$224,$C424,'TL06'!$J$10:$J$224),0),
IF('TL06'!$B$229=N$3,SUMIF('TL06'!$C$238:$C$451,$C424,'TL06'!$J$238:$J$451),0),
IF('TL07'!$B$3=N$3,SUMIF('TL07'!$C$10:$C$224,$C424,'TL07'!$J$10:$J$224),0),
IF('TL07'!$B$229=N$3,SUMIF('TL07'!$C$238:$C$451,$C424,'TL07'!$J$238:$J$451),0),
IF('TL08'!$B$3=N$3,SUMIF('TL08'!$C$10:$C$224,$C424,'TL08'!$J$10:$J$224),0),
IF('TL08'!$B$229=N$3,SUMIF('TL08'!$C$238:$C$451,$C424,'TL08'!$J$238:$J$451),0),
IF('TL09'!$B$3=N$3,SUMIF('TL09'!$C$10:$C$224,$C424,'TL09'!$J$10:$J$224),0),
IF('TL09'!$B$229=N$3,SUMIF('TL09'!$C$238:$C$451,$C424,'TL09'!$J$238:$J$451),0),
IF('TL10'!$B$3=N$3,SUMIF('TL10'!$C$10:$C$224,$C424,'TL10'!$J$10:$J$224),0),
IF('TL10'!$B$229=N$3,SUMIF('TL10'!$C$238:$C$451,$C424,'TL10'!$J$238:$J$451),0),
IF('TL11'!$B$3=N$3,SUMIF('TL11'!$C$10:$C$224,$C424,'TL11'!$J$10:$J$224),0),
IF('TL11'!$B$229=N$3,SUMIF('TL11'!$C$238:$C$451,$C424,'TL11'!$J$238:$J$451),0),
IF('TL12'!$B$3=N$3,SUMIF('TL12'!$C$10:$C$224,$C424,'TL12'!$J$10:$J$224),0),
IF('TL12'!$B$229=N$3,SUMIF('TL12'!$C$238:$C$451,$C424,'TL12'!$J$238:$J$451),0),
IF('TL13'!$B$3=N$3,SUMIF('TL13'!$C$10:$C$224,$C424,'TL13'!$J$10:$J$224),0),
IF('TL13'!$B$229=N$3,SUMIF('TL13'!$C$238:$C$451,$C424,'TL13'!$J$238:$J$451),0),
IF('TL14'!$B$3=N$3,SUMIF('TL14'!$C$10:$C$224,$C424,'TL14'!$J$10:$J$224),0),
IF('TL14'!$B$229=N$3,SUMIF('TL14'!$C$238:$C$451,$C424,'TL14'!$J$238:$J$451),0),
IF('TL15'!$B$3=N$3,SUMIF('TL15'!$C$10:$C$224,$C424,'TL15'!$J$10:$J$224),0),
IF('TL15'!$B$229=N$3,SUMIF('TL15'!$C$238:$C$451,$C424,'TL15'!$J$238:$J$451),0),
IF('TL16'!$B$3=N$3,SUMIF('TL16'!$C$10:$C$224,$C424,'TL16'!$J$10:$J$224),0),
IF('TL16'!$B$229=N$3,SUMIF('TL16'!$C$238:$C$451,$C424,'TL16'!$J$238:$J$451),0),
IF('TL17'!$B$3=N$3,SUMIF('TL17'!$C$10:$C$224,$C424,'TL17'!$J$10:$J$224),0),
IF('TL17'!$B$229=N$3,SUMIF('TL17'!$C$238:$C$451,$C424,'TL17'!$J$238:$J$451),0),
IF('TL18'!$B$3=N$3,SUMIF('TL18'!$C$10:$C$224,$C424,'TL18'!$J$10:$J$224),0),
IF('TL18'!$B$229=N$3,SUMIF('TL18'!$C$238:$C$451,$C424,'TL18'!$J$238:$J$451),0),
IF('TL19'!$B$3=N$3,SUMIF('TL19'!$C$10:$C$224,$C424,'TL19'!$J$10:$J$224),0),
IF('TL19'!$B$229=N$3,SUMIF('TL19'!$C$238:$C$451,$C424,'TL19'!$J$238:$J$451),0)
),0)</f>
        <v/>
      </c>
      <c r="O424" s="138">
        <f>IFERROR(SUM(
IF('TL01'!$B$3=O$3,SUMIF('TL01'!$C$10:$C$224,$C424,'TL01'!$J$10:$J$224),0),
IF('TL01'!$B$229=O$3,SUMIF('TL01'!$C$238:$C$451,$C424,'TL01'!$J$238:$J$451),0),
IF('TL02'!$B$3=O$3,SUMIF('TL02'!$C$10:$C$224,$C424,'TL02'!$J$10:$J$224),0),
IF('TL02'!$B$229=O$3,SUMIF('TL02'!$C$238:$C$451,$C424,'TL02'!$J$238:$J$451),0),
IF('TL03'!$B$3=O$3,SUMIF('TL03'!$C$10:$C$224,$C424,'TL03'!$J$10:$J$224),0),
IF('TL03'!$B$229=O$3,SUMIF('TL03'!$C$238:$C$451,$C424,'TL03'!$J$238:$J$451),0),
IF('TL04'!$B$3=O$3,SUMIF('TL04'!$C$10:$C$224,$C424,'TL04'!$J$10:$J$224),0),
IF('TL04'!$B$229=O$3,SUMIF('TL04'!$C$238:$C$451,$C424,'TL04'!$J$238:$J$451),0),
IF('TL05'!$B$3=O$3,SUMIF('TL05'!$C$10:$C$224,$C424,'TL05'!$J$10:$J$224),0),
IF('TL05'!$B$229=O$3,SUMIF('TL05'!$C$238:$C$451,$C424,'TL05'!$J$238:$J$451),0),
IF('TL06'!$B$3=O$3,SUMIF('TL06'!$C$10:$C$224,$C424,'TL06'!$J$10:$J$224),0),
IF('TL06'!$B$229=O$3,SUMIF('TL06'!$C$238:$C$451,$C424,'TL06'!$J$238:$J$451),0),
IF('TL07'!$B$3=O$3,SUMIF('TL07'!$C$10:$C$224,$C424,'TL07'!$J$10:$J$224),0),
IF('TL07'!$B$229=O$3,SUMIF('TL07'!$C$238:$C$451,$C424,'TL07'!$J$238:$J$451),0),
IF('TL08'!$B$3=O$3,SUMIF('TL08'!$C$10:$C$224,$C424,'TL08'!$J$10:$J$224),0),
IF('TL08'!$B$229=O$3,SUMIF('TL08'!$C$238:$C$451,$C424,'TL08'!$J$238:$J$451),0),
IF('TL09'!$B$3=O$3,SUMIF('TL09'!$C$10:$C$224,$C424,'TL09'!$J$10:$J$224),0),
IF('TL09'!$B$229=O$3,SUMIF('TL09'!$C$238:$C$451,$C424,'TL09'!$J$238:$J$451),0),
IF('TL10'!$B$3=O$3,SUMIF('TL10'!$C$10:$C$224,$C424,'TL10'!$J$10:$J$224),0),
IF('TL10'!$B$229=O$3,SUMIF('TL10'!$C$238:$C$451,$C424,'TL10'!$J$238:$J$451),0),
IF('TL11'!$B$3=O$3,SUMIF('TL11'!$C$10:$C$224,$C424,'TL11'!$J$10:$J$224),0),
IF('TL11'!$B$229=O$3,SUMIF('TL11'!$C$238:$C$451,$C424,'TL11'!$J$238:$J$451),0),
IF('TL12'!$B$3=O$3,SUMIF('TL12'!$C$10:$C$224,$C424,'TL12'!$J$10:$J$224),0),
IF('TL12'!$B$229=O$3,SUMIF('TL12'!$C$238:$C$451,$C424,'TL12'!$J$238:$J$451),0),
IF('TL13'!$B$3=O$3,SUMIF('TL13'!$C$10:$C$224,$C424,'TL13'!$J$10:$J$224),0),
IF('TL13'!$B$229=O$3,SUMIF('TL13'!$C$238:$C$451,$C424,'TL13'!$J$238:$J$451),0),
IF('TL14'!$B$3=O$3,SUMIF('TL14'!$C$10:$C$224,$C424,'TL14'!$J$10:$J$224),0),
IF('TL14'!$B$229=O$3,SUMIF('TL14'!$C$238:$C$451,$C424,'TL14'!$J$238:$J$451),0),
IF('TL15'!$B$3=O$3,SUMIF('TL15'!$C$10:$C$224,$C424,'TL15'!$J$10:$J$224),0),
IF('TL15'!$B$229=O$3,SUMIF('TL15'!$C$238:$C$451,$C424,'TL15'!$J$238:$J$451),0),
IF('TL16'!$B$3=O$3,SUMIF('TL16'!$C$10:$C$224,$C424,'TL16'!$J$10:$J$224),0),
IF('TL16'!$B$229=O$3,SUMIF('TL16'!$C$238:$C$451,$C424,'TL16'!$J$238:$J$451),0),
IF('TL17'!$B$3=O$3,SUMIF('TL17'!$C$10:$C$224,$C424,'TL17'!$J$10:$J$224),0),
IF('TL17'!$B$229=O$3,SUMIF('TL17'!$C$238:$C$451,$C424,'TL17'!$J$238:$J$451),0),
IF('TL18'!$B$3=O$3,SUMIF('TL18'!$C$10:$C$224,$C424,'TL18'!$J$10:$J$224),0),
IF('TL18'!$B$229=O$3,SUMIF('TL18'!$C$238:$C$451,$C424,'TL18'!$J$238:$J$451),0),
IF('TL19'!$B$3=O$3,SUMIF('TL19'!$C$10:$C$224,$C424,'TL19'!$J$10:$J$224),0),
IF('TL19'!$B$229=O$3,SUMIF('TL19'!$C$238:$C$451,$C424,'TL19'!$J$238:$J$451),0)
),0)</f>
        <v/>
      </c>
      <c r="P424" s="138">
        <f>IFERROR(SUM(
IF('TL01'!$B$3=P$3,SUMIF('TL01'!$C$10:$C$224,$C424,'TL01'!$J$10:$J$224),0),
IF('TL01'!$B$229=P$3,SUMIF('TL01'!$C$238:$C$451,$C424,'TL01'!$J$238:$J$451),0),
IF('TL02'!$B$3=P$3,SUMIF('TL02'!$C$10:$C$224,$C424,'TL02'!$J$10:$J$224),0),
IF('TL02'!$B$229=P$3,SUMIF('TL02'!$C$238:$C$451,$C424,'TL02'!$J$238:$J$451),0),
IF('TL03'!$B$3=P$3,SUMIF('TL03'!$C$10:$C$224,$C424,'TL03'!$J$10:$J$224),0),
IF('TL03'!$B$229=P$3,SUMIF('TL03'!$C$238:$C$451,$C424,'TL03'!$J$238:$J$451),0),
IF('TL04'!$B$3=P$3,SUMIF('TL04'!$C$10:$C$224,$C424,'TL04'!$J$10:$J$224),0),
IF('TL04'!$B$229=P$3,SUMIF('TL04'!$C$238:$C$451,$C424,'TL04'!$J$238:$J$451),0),
IF('TL05'!$B$3=P$3,SUMIF('TL05'!$C$10:$C$224,$C424,'TL05'!$J$10:$J$224),0),
IF('TL05'!$B$229=P$3,SUMIF('TL05'!$C$238:$C$451,$C424,'TL05'!$J$238:$J$451),0),
IF('TL06'!$B$3=P$3,SUMIF('TL06'!$C$10:$C$224,$C424,'TL06'!$J$10:$J$224),0),
IF('TL06'!$B$229=P$3,SUMIF('TL06'!$C$238:$C$451,$C424,'TL06'!$J$238:$J$451),0),
IF('TL07'!$B$3=P$3,SUMIF('TL07'!$C$10:$C$224,$C424,'TL07'!$J$10:$J$224),0),
IF('TL07'!$B$229=P$3,SUMIF('TL07'!$C$238:$C$451,$C424,'TL07'!$J$238:$J$451),0),
IF('TL08'!$B$3=P$3,SUMIF('TL08'!$C$10:$C$224,$C424,'TL08'!$J$10:$J$224),0),
IF('TL08'!$B$229=P$3,SUMIF('TL08'!$C$238:$C$451,$C424,'TL08'!$J$238:$J$451),0),
IF('TL09'!$B$3=P$3,SUMIF('TL09'!$C$10:$C$224,$C424,'TL09'!$J$10:$J$224),0),
IF('TL09'!$B$229=P$3,SUMIF('TL09'!$C$238:$C$451,$C424,'TL09'!$J$238:$J$451),0),
IF('TL10'!$B$3=P$3,SUMIF('TL10'!$C$10:$C$224,$C424,'TL10'!$J$10:$J$224),0),
IF('TL10'!$B$229=P$3,SUMIF('TL10'!$C$238:$C$451,$C424,'TL10'!$J$238:$J$451),0),
IF('TL11'!$B$3=P$3,SUMIF('TL11'!$C$10:$C$224,$C424,'TL11'!$J$10:$J$224),0),
IF('TL11'!$B$229=P$3,SUMIF('TL11'!$C$238:$C$451,$C424,'TL11'!$J$238:$J$451),0),
IF('TL12'!$B$3=P$3,SUMIF('TL12'!$C$10:$C$224,$C424,'TL12'!$J$10:$J$224),0),
IF('TL12'!$B$229=P$3,SUMIF('TL12'!$C$238:$C$451,$C424,'TL12'!$J$238:$J$451),0),
IF('TL13'!$B$3=P$3,SUMIF('TL13'!$C$10:$C$224,$C424,'TL13'!$J$10:$J$224),0),
IF('TL13'!$B$229=P$3,SUMIF('TL13'!$C$238:$C$451,$C424,'TL13'!$J$238:$J$451),0),
IF('TL14'!$B$3=P$3,SUMIF('TL14'!$C$10:$C$224,$C424,'TL14'!$J$10:$J$224),0),
IF('TL14'!$B$229=P$3,SUMIF('TL14'!$C$238:$C$451,$C424,'TL14'!$J$238:$J$451),0),
IF('TL15'!$B$3=P$3,SUMIF('TL15'!$C$10:$C$224,$C424,'TL15'!$J$10:$J$224),0),
IF('TL15'!$B$229=P$3,SUMIF('TL15'!$C$238:$C$451,$C424,'TL15'!$J$238:$J$451),0),
IF('TL16'!$B$3=P$3,SUMIF('TL16'!$C$10:$C$224,$C424,'TL16'!$J$10:$J$224),0),
IF('TL16'!$B$229=P$3,SUMIF('TL16'!$C$238:$C$451,$C424,'TL16'!$J$238:$J$451),0),
IF('TL17'!$B$3=P$3,SUMIF('TL17'!$C$10:$C$224,$C424,'TL17'!$J$10:$J$224),0),
IF('TL17'!$B$229=P$3,SUMIF('TL17'!$C$238:$C$451,$C424,'TL17'!$J$238:$J$451),0),
IF('TL18'!$B$3=P$3,SUMIF('TL18'!$C$10:$C$224,$C424,'TL18'!$J$10:$J$224),0),
IF('TL18'!$B$229=P$3,SUMIF('TL18'!$C$238:$C$451,$C424,'TL18'!$J$238:$J$451),0),
IF('TL19'!$B$3=P$3,SUMIF('TL19'!$C$10:$C$224,$C424,'TL19'!$J$10:$J$224),0),
IF('TL19'!$B$229=P$3,SUMIF('TL19'!$C$238:$C$451,$C424,'TL19'!$J$238:$J$451),0)
),0)</f>
        <v/>
      </c>
      <c r="Q424" s="138">
        <f>IFERROR(SUM(
IF('TL01'!$B$3=Q$3,SUMIF('TL01'!$C$10:$C$224,$C424,'TL01'!$J$10:$J$224),0),
IF('TL01'!$B$229=Q$3,SUMIF('TL01'!$C$238:$C$451,$C424,'TL01'!$J$238:$J$451),0),
IF('TL02'!$B$3=Q$3,SUMIF('TL02'!$C$10:$C$224,$C424,'TL02'!$J$10:$J$224),0),
IF('TL02'!$B$229=Q$3,SUMIF('TL02'!$C$238:$C$451,$C424,'TL02'!$J$238:$J$451),0),
IF('TL03'!$B$3=Q$3,SUMIF('TL03'!$C$10:$C$224,$C424,'TL03'!$J$10:$J$224),0),
IF('TL03'!$B$229=Q$3,SUMIF('TL03'!$C$238:$C$451,$C424,'TL03'!$J$238:$J$451),0),
IF('TL04'!$B$3=Q$3,SUMIF('TL04'!$C$10:$C$224,$C424,'TL04'!$J$10:$J$224),0),
IF('TL04'!$B$229=Q$3,SUMIF('TL04'!$C$238:$C$451,$C424,'TL04'!$J$238:$J$451),0),
IF('TL05'!$B$3=Q$3,SUMIF('TL05'!$C$10:$C$224,$C424,'TL05'!$J$10:$J$224),0),
IF('TL05'!$B$229=Q$3,SUMIF('TL05'!$C$238:$C$451,$C424,'TL05'!$J$238:$J$451),0),
IF('TL06'!$B$3=Q$3,SUMIF('TL06'!$C$10:$C$224,$C424,'TL06'!$J$10:$J$224),0),
IF('TL06'!$B$229=Q$3,SUMIF('TL06'!$C$238:$C$451,$C424,'TL06'!$J$238:$J$451),0),
IF('TL07'!$B$3=Q$3,SUMIF('TL07'!$C$10:$C$224,$C424,'TL07'!$J$10:$J$224),0),
IF('TL07'!$B$229=Q$3,SUMIF('TL07'!$C$238:$C$451,$C424,'TL07'!$J$238:$J$451),0),
IF('TL08'!$B$3=Q$3,SUMIF('TL08'!$C$10:$C$224,$C424,'TL08'!$J$10:$J$224),0),
IF('TL08'!$B$229=Q$3,SUMIF('TL08'!$C$238:$C$451,$C424,'TL08'!$J$238:$J$451),0),
IF('TL09'!$B$3=Q$3,SUMIF('TL09'!$C$10:$C$224,$C424,'TL09'!$J$10:$J$224),0),
IF('TL09'!$B$229=Q$3,SUMIF('TL09'!$C$238:$C$451,$C424,'TL09'!$J$238:$J$451),0),
IF('TL10'!$B$3=Q$3,SUMIF('TL10'!$C$10:$C$224,$C424,'TL10'!$J$10:$J$224),0),
IF('TL10'!$B$229=Q$3,SUMIF('TL10'!$C$238:$C$451,$C424,'TL10'!$J$238:$J$451),0),
IF('TL11'!$B$3=Q$3,SUMIF('TL11'!$C$10:$C$224,$C424,'TL11'!$J$10:$J$224),0),
IF('TL11'!$B$229=Q$3,SUMIF('TL11'!$C$238:$C$451,$C424,'TL11'!$J$238:$J$451),0),
IF('TL12'!$B$3=Q$3,SUMIF('TL12'!$C$10:$C$224,$C424,'TL12'!$J$10:$J$224),0),
IF('TL12'!$B$229=Q$3,SUMIF('TL12'!$C$238:$C$451,$C424,'TL12'!$J$238:$J$451),0),
IF('TL13'!$B$3=Q$3,SUMIF('TL13'!$C$10:$C$224,$C424,'TL13'!$J$10:$J$224),0),
IF('TL13'!$B$229=Q$3,SUMIF('TL13'!$C$238:$C$451,$C424,'TL13'!$J$238:$J$451),0),
IF('TL14'!$B$3=Q$3,SUMIF('TL14'!$C$10:$C$224,$C424,'TL14'!$J$10:$J$224),0),
IF('TL14'!$B$229=Q$3,SUMIF('TL14'!$C$238:$C$451,$C424,'TL14'!$J$238:$J$451),0),
IF('TL15'!$B$3=Q$3,SUMIF('TL15'!$C$10:$C$224,$C424,'TL15'!$J$10:$J$224),0),
IF('TL15'!$B$229=Q$3,SUMIF('TL15'!$C$238:$C$451,$C424,'TL15'!$J$238:$J$451),0),
IF('TL16'!$B$3=Q$3,SUMIF('TL16'!$C$10:$C$224,$C424,'TL16'!$J$10:$J$224),0),
IF('TL16'!$B$229=Q$3,SUMIF('TL16'!$C$238:$C$451,$C424,'TL16'!$J$238:$J$451),0),
IF('TL17'!$B$3=Q$3,SUMIF('TL17'!$C$10:$C$224,$C424,'TL17'!$J$10:$J$224),0),
IF('TL17'!$B$229=Q$3,SUMIF('TL17'!$C$238:$C$451,$C424,'TL17'!$J$238:$J$451),0),
IF('TL18'!$B$3=Q$3,SUMIF('TL18'!$C$10:$C$224,$C424,'TL18'!$J$10:$J$224),0),
IF('TL18'!$B$229=Q$3,SUMIF('TL18'!$C$238:$C$451,$C424,'TL18'!$J$238:$J$451),0),
IF('TL19'!$B$3=Q$3,SUMIF('TL19'!$C$10:$C$224,$C424,'TL19'!$J$10:$J$224),0),
IF('TL19'!$B$229=Q$3,SUMIF('TL19'!$C$238:$C$451,$C424,'TL19'!$J$238:$J$451),0)
),0)</f>
        <v/>
      </c>
      <c r="R424" s="139">
        <f>IFERROR(
SUM(
SUMIF('TL01'!C:C,C424,'TL01'!J:J),
SUMIF('TL02'!C:C,C424,'TL02'!I:I),
SUMIF('TL03'!C:C,C424,'TL03'!I:I),
SUMIF('TL04'!C:C,C424,'TL04'!I:I),
SUMIF('TL05'!C:C,C424,'TL05'!I:I),
SUMIF('TL06'!C:C,C424,'TL06'!I:I),
SUMIF('TL07'!C:C,C424,'TL07'!I:I),
SUMIF('TL08'!C:C,C424,'TL08'!I:I),
SUMIF('TL09'!C:C,C424,'TL09'!I:I),
SUMIF('TL10'!C:C,C424,'TL10'!I:I),
SUMIF('TL11'!C:C,C424,'TL11'!I:I),
SUMIF('TL12'!C:C,C424,'TL12'!I:I),
SUMIF('TL13'!C:C,C424,'TL13'!I:I),
SUMIF('TL14'!C:C,C424,'TL14'!I:I),
SUMIF('TL15'!C:C,C424,'TL15'!I:I),
SUMIF('TL16'!C:C,C424,'TL16'!I:I),
SUMIF('TL17'!C:C,C424,'TL17'!I:I),
SUMIF('TL18'!C:C,C424,'TL18'!I:I))
,0)</f>
        <v/>
      </c>
      <c r="S424" s="142">
        <f>'CUSTO OPERAÇÃO'!M28</f>
        <v/>
      </c>
      <c r="T424" s="139" t="n"/>
      <c r="U424" s="143">
        <f>MAX(0,R424-T424)</f>
        <v/>
      </c>
      <c r="V424" s="144">
        <f>U424*S424</f>
        <v/>
      </c>
    </row>
    <row r="425" hidden="1" ht="15.75" customHeight="1" s="297">
      <c r="A425" s="138" t="n"/>
      <c r="B425" s="155" t="n"/>
      <c r="C425" s="138" t="n"/>
      <c r="D425" s="138" t="n"/>
      <c r="E425" s="139" t="n"/>
      <c r="F425" s="138" t="inlineStr">
        <is>
          <t>R$/Ha</t>
        </is>
      </c>
      <c r="G425" s="139" t="n"/>
      <c r="H425" s="140">
        <f>'CUSTO OPERAÇÃO'!J29</f>
        <v/>
      </c>
      <c r="I425" s="156" t="n"/>
      <c r="J425" s="138">
        <f>IFERROR(SUM(
IF('TL01'!$B$3=J$3,SUMIF('TL01'!$C$10:$C$224,$C425,'TL01'!$J$10:$J$224),0),
IF('TL01'!$B$229=J$3,SUMIF('TL01'!$C$238:$C$451,$C425,'TL01'!$J$238:$J$451),0),
IF('TL02'!$B$3=J$3,SUMIF('TL02'!$C$10:$C$224,$C425,'TL02'!$J$10:$J$224),0),
IF('TL02'!$B$229=J$3,SUMIF('TL02'!$C$238:$C$451,$C425,'TL02'!$J$238:$J$451),0),
IF('TL03'!$B$3=J$3,SUMIF('TL03'!$C$10:$C$224,$C425,'TL03'!$J$10:$J$224),0),
IF('TL03'!$B$229=J$3,SUMIF('TL03'!$C$238:$C$451,$C425,'TL03'!$J$238:$J$451),0),
IF('TL04'!$B$3=J$3,SUMIF('TL04'!$C$10:$C$224,$C425,'TL04'!$J$10:$J$224),0),
IF('TL04'!$B$229=J$3,SUMIF('TL04'!$C$238:$C$451,$C425,'TL04'!$J$238:$J$451),0),
IF('TL05'!$B$3=J$3,SUMIF('TL05'!$C$10:$C$224,$C425,'TL05'!$J$10:$J$224),0),
IF('TL05'!$B$229=J$3,SUMIF('TL05'!$C$238:$C$451,$C425,'TL05'!$J$238:$J$451),0),
IF('TL06'!$B$3=J$3,SUMIF('TL06'!$C$10:$C$224,$C425,'TL06'!$J$10:$J$224),0),
IF('TL06'!$B$229=J$3,SUMIF('TL06'!$C$238:$C$451,$C425,'TL06'!$J$238:$J$451),0),
IF('TL07'!$B$3=J$3,SUMIF('TL07'!$C$10:$C$224,$C425,'TL07'!$J$10:$J$224),0),
IF('TL07'!$B$229=J$3,SUMIF('TL07'!$C$238:$C$451,$C425,'TL07'!$J$238:$J$451),0),
IF('TL08'!$B$3=J$3,SUMIF('TL08'!$C$10:$C$224,$C425,'TL08'!$J$10:$J$224),0),
IF('TL08'!$B$229=J$3,SUMIF('TL08'!$C$238:$C$451,$C425,'TL08'!$J$238:$J$451),0),
IF('TL09'!$B$3=J$3,SUMIF('TL09'!$C$10:$C$224,$C425,'TL09'!$J$10:$J$224),0),
IF('TL09'!$B$229=J$3,SUMIF('TL09'!$C$238:$C$451,$C425,'TL09'!$J$238:$J$451),0),
IF('TL10'!$B$3=J$3,SUMIF('TL10'!$C$10:$C$224,$C425,'TL10'!$J$10:$J$224),0),
IF('TL10'!$B$229=J$3,SUMIF('TL10'!$C$238:$C$451,$C425,'TL10'!$J$238:$J$451),0),
IF('TL11'!$B$3=J$3,SUMIF('TL11'!$C$10:$C$224,$C425,'TL11'!$J$10:$J$224),0),
IF('TL11'!$B$229=J$3,SUMIF('TL11'!$C$238:$C$451,$C425,'TL11'!$J$238:$J$451),0),
IF('TL12'!$B$3=J$3,SUMIF('TL12'!$C$10:$C$224,$C425,'TL12'!$J$10:$J$224),0),
IF('TL12'!$B$229=J$3,SUMIF('TL12'!$C$238:$C$451,$C425,'TL12'!$J$238:$J$451),0),
IF('TL13'!$B$3=J$3,SUMIF('TL13'!$C$10:$C$224,$C425,'TL13'!$J$10:$J$224),0),
IF('TL13'!$B$229=J$3,SUMIF('TL13'!$C$238:$C$451,$C425,'TL13'!$J$238:$J$451),0),
IF('TL14'!$B$3=J$3,SUMIF('TL14'!$C$10:$C$224,$C425,'TL14'!$J$10:$J$224),0),
IF('TL14'!$B$229=J$3,SUMIF('TL14'!$C$238:$C$451,$C425,'TL14'!$J$238:$J$451),0),
IF('TL15'!$B$3=J$3,SUMIF('TL15'!$C$10:$C$224,$C425,'TL15'!$J$10:$J$224),0),
IF('TL15'!$B$229=J$3,SUMIF('TL15'!$C$238:$C$451,$C425,'TL15'!$J$238:$J$451),0),
IF('TL16'!$B$3=J$3,SUMIF('TL16'!$C$10:$C$224,$C425,'TL16'!$J$10:$J$224),0),
IF('TL16'!$B$229=J$3,SUMIF('TL16'!$C$238:$C$451,$C425,'TL16'!$J$238:$J$451),0),
IF('TL17'!$B$3=J$3,SUMIF('TL17'!$C$10:$C$224,$C425,'TL17'!$J$10:$J$224),0),
IF('TL17'!$B$229=J$3,SUMIF('TL17'!$C$238:$C$451,$C425,'TL17'!$J$238:$J$451),0),
IF('TL18'!$B$3=J$3,SUMIF('TL18'!$C$10:$C$224,$C425,'TL18'!$J$10:$J$224),0),
IF('TL18'!$B$229=J$3,SUMIF('TL18'!$C$238:$C$451,$C425,'TL18'!$J$238:$J$451),0),
IF('TL19'!$B$3=J$3,SUMIF('TL19'!$C$10:$C$224,$C425,'TL19'!$J$10:$J$224),0),
IF('TL19'!$B$229=J$3,SUMIF('TL19'!$C$238:$C$451,$C425,'TL19'!$J$238:$J$451),0)
),0)</f>
        <v/>
      </c>
      <c r="K425" s="138">
        <f>IFERROR(SUM(
IF('TL01'!$B$3=K$3,SUMIF('TL01'!$C$10:$C$224,$C425,'TL01'!$J$10:$J$224),0),
IF('TL01'!$B$229=K$3,SUMIF('TL01'!$C$238:$C$451,$C425,'TL01'!$J$238:$J$451),0),
IF('TL02'!$B$3=K$3,SUMIF('TL02'!$C$10:$C$224,$C425,'TL02'!$J$10:$J$224),0),
IF('TL02'!$B$229=K$3,SUMIF('TL02'!$C$238:$C$451,$C425,'TL02'!$J$238:$J$451),0),
IF('TL03'!$B$3=K$3,SUMIF('TL03'!$C$10:$C$224,$C425,'TL03'!$J$10:$J$224),0),
IF('TL03'!$B$229=K$3,SUMIF('TL03'!$C$238:$C$451,$C425,'TL03'!$J$238:$J$451),0),
IF('TL04'!$B$3=K$3,SUMIF('TL04'!$C$10:$C$224,$C425,'TL04'!$J$10:$J$224),0),
IF('TL04'!$B$229=K$3,SUMIF('TL04'!$C$238:$C$451,$C425,'TL04'!$J$238:$J$451),0),
IF('TL05'!$B$3=K$3,SUMIF('TL05'!$C$10:$C$224,$C425,'TL05'!$J$10:$J$224),0),
IF('TL05'!$B$229=K$3,SUMIF('TL05'!$C$238:$C$451,$C425,'TL05'!$J$238:$J$451),0),
IF('TL06'!$B$3=K$3,SUMIF('TL06'!$C$10:$C$224,$C425,'TL06'!$J$10:$J$224),0),
IF('TL06'!$B$229=K$3,SUMIF('TL06'!$C$238:$C$451,$C425,'TL06'!$J$238:$J$451),0),
IF('TL07'!$B$3=K$3,SUMIF('TL07'!$C$10:$C$224,$C425,'TL07'!$J$10:$J$224),0),
IF('TL07'!$B$229=K$3,SUMIF('TL07'!$C$238:$C$451,$C425,'TL07'!$J$238:$J$451),0),
IF('TL08'!$B$3=K$3,SUMIF('TL08'!$C$10:$C$224,$C425,'TL08'!$J$10:$J$224),0),
IF('TL08'!$B$229=K$3,SUMIF('TL08'!$C$238:$C$451,$C425,'TL08'!$J$238:$J$451),0),
IF('TL09'!$B$3=K$3,SUMIF('TL09'!$C$10:$C$224,$C425,'TL09'!$J$10:$J$224),0),
IF('TL09'!$B$229=K$3,SUMIF('TL09'!$C$238:$C$451,$C425,'TL09'!$J$238:$J$451),0),
IF('TL10'!$B$3=K$3,SUMIF('TL10'!$C$10:$C$224,$C425,'TL10'!$J$10:$J$224),0),
IF('TL10'!$B$229=K$3,SUMIF('TL10'!$C$238:$C$451,$C425,'TL10'!$J$238:$J$451),0),
IF('TL11'!$B$3=K$3,SUMIF('TL11'!$C$10:$C$224,$C425,'TL11'!$J$10:$J$224),0),
IF('TL11'!$B$229=K$3,SUMIF('TL11'!$C$238:$C$451,$C425,'TL11'!$J$238:$J$451),0),
IF('TL12'!$B$3=K$3,SUMIF('TL12'!$C$10:$C$224,$C425,'TL12'!$J$10:$J$224),0),
IF('TL12'!$B$229=K$3,SUMIF('TL12'!$C$238:$C$451,$C425,'TL12'!$J$238:$J$451),0),
IF('TL13'!$B$3=K$3,SUMIF('TL13'!$C$10:$C$224,$C425,'TL13'!$J$10:$J$224),0),
IF('TL13'!$B$229=K$3,SUMIF('TL13'!$C$238:$C$451,$C425,'TL13'!$J$238:$J$451),0),
IF('TL14'!$B$3=K$3,SUMIF('TL14'!$C$10:$C$224,$C425,'TL14'!$J$10:$J$224),0),
IF('TL14'!$B$229=K$3,SUMIF('TL14'!$C$238:$C$451,$C425,'TL14'!$J$238:$J$451),0),
IF('TL15'!$B$3=K$3,SUMIF('TL15'!$C$10:$C$224,$C425,'TL15'!$J$10:$J$224),0),
IF('TL15'!$B$229=K$3,SUMIF('TL15'!$C$238:$C$451,$C425,'TL15'!$J$238:$J$451),0),
IF('TL16'!$B$3=K$3,SUMIF('TL16'!$C$10:$C$224,$C425,'TL16'!$J$10:$J$224),0),
IF('TL16'!$B$229=K$3,SUMIF('TL16'!$C$238:$C$451,$C425,'TL16'!$J$238:$J$451),0),
IF('TL17'!$B$3=K$3,SUMIF('TL17'!$C$10:$C$224,$C425,'TL17'!$J$10:$J$224),0),
IF('TL17'!$B$229=K$3,SUMIF('TL17'!$C$238:$C$451,$C425,'TL17'!$J$238:$J$451),0),
IF('TL18'!$B$3=K$3,SUMIF('TL18'!$C$10:$C$224,$C425,'TL18'!$J$10:$J$224),0),
IF('TL18'!$B$229=K$3,SUMIF('TL18'!$C$238:$C$451,$C425,'TL18'!$J$238:$J$451),0),
IF('TL19'!$B$3=K$3,SUMIF('TL19'!$C$10:$C$224,$C425,'TL19'!$J$10:$J$224),0),
IF('TL19'!$B$229=K$3,SUMIF('TL19'!$C$238:$C$451,$C425,'TL19'!$J$238:$J$451),0)
),0)</f>
        <v/>
      </c>
      <c r="L425" s="138">
        <f>IFERROR(SUM(
IF('TL01'!$B$3=L$3,SUMIF('TL01'!$C$10:$C$224,$C425,'TL01'!$J$10:$J$224),0),
IF('TL01'!$B$229=L$3,SUMIF('TL01'!$C$238:$C$451,$C425,'TL01'!$J$238:$J$451),0),
IF('TL02'!$B$3=L$3,SUMIF('TL02'!$C$10:$C$224,$C425,'TL02'!$J$10:$J$224),0),
IF('TL02'!$B$229=L$3,SUMIF('TL02'!$C$238:$C$451,$C425,'TL02'!$J$238:$J$451),0),
IF('TL03'!$B$3=L$3,SUMIF('TL03'!$C$10:$C$224,$C425,'TL03'!$J$10:$J$224),0),
IF('TL03'!$B$229=L$3,SUMIF('TL03'!$C$238:$C$451,$C425,'TL03'!$J$238:$J$451),0),
IF('TL04'!$B$3=L$3,SUMIF('TL04'!$C$10:$C$224,$C425,'TL04'!$J$10:$J$224),0),
IF('TL04'!$B$229=L$3,SUMIF('TL04'!$C$238:$C$451,$C425,'TL04'!$J$238:$J$451),0),
IF('TL05'!$B$3=L$3,SUMIF('TL05'!$C$10:$C$224,$C425,'TL05'!$J$10:$J$224),0),
IF('TL05'!$B$229=L$3,SUMIF('TL05'!$C$238:$C$451,$C425,'TL05'!$J$238:$J$451),0),
IF('TL06'!$B$3=L$3,SUMIF('TL06'!$C$10:$C$224,$C425,'TL06'!$J$10:$J$224),0),
IF('TL06'!$B$229=L$3,SUMIF('TL06'!$C$238:$C$451,$C425,'TL06'!$J$238:$J$451),0),
IF('TL07'!$B$3=L$3,SUMIF('TL07'!$C$10:$C$224,$C425,'TL07'!$J$10:$J$224),0),
IF('TL07'!$B$229=L$3,SUMIF('TL07'!$C$238:$C$451,$C425,'TL07'!$J$238:$J$451),0),
IF('TL08'!$B$3=L$3,SUMIF('TL08'!$C$10:$C$224,$C425,'TL08'!$J$10:$J$224),0),
IF('TL08'!$B$229=L$3,SUMIF('TL08'!$C$238:$C$451,$C425,'TL08'!$J$238:$J$451),0),
IF('TL09'!$B$3=L$3,SUMIF('TL09'!$C$10:$C$224,$C425,'TL09'!$J$10:$J$224),0),
IF('TL09'!$B$229=L$3,SUMIF('TL09'!$C$238:$C$451,$C425,'TL09'!$J$238:$J$451),0),
IF('TL10'!$B$3=L$3,SUMIF('TL10'!$C$10:$C$224,$C425,'TL10'!$J$10:$J$224),0),
IF('TL10'!$B$229=L$3,SUMIF('TL10'!$C$238:$C$451,$C425,'TL10'!$J$238:$J$451),0),
IF('TL11'!$B$3=L$3,SUMIF('TL11'!$C$10:$C$224,$C425,'TL11'!$J$10:$J$224),0),
IF('TL11'!$B$229=L$3,SUMIF('TL11'!$C$238:$C$451,$C425,'TL11'!$J$238:$J$451),0),
IF('TL12'!$B$3=L$3,SUMIF('TL12'!$C$10:$C$224,$C425,'TL12'!$J$10:$J$224),0),
IF('TL12'!$B$229=L$3,SUMIF('TL12'!$C$238:$C$451,$C425,'TL12'!$J$238:$J$451),0),
IF('TL13'!$B$3=L$3,SUMIF('TL13'!$C$10:$C$224,$C425,'TL13'!$J$10:$J$224),0),
IF('TL13'!$B$229=L$3,SUMIF('TL13'!$C$238:$C$451,$C425,'TL13'!$J$238:$J$451),0),
IF('TL14'!$B$3=L$3,SUMIF('TL14'!$C$10:$C$224,$C425,'TL14'!$J$10:$J$224),0),
IF('TL14'!$B$229=L$3,SUMIF('TL14'!$C$238:$C$451,$C425,'TL14'!$J$238:$J$451),0),
IF('TL15'!$B$3=L$3,SUMIF('TL15'!$C$10:$C$224,$C425,'TL15'!$J$10:$J$224),0),
IF('TL15'!$B$229=L$3,SUMIF('TL15'!$C$238:$C$451,$C425,'TL15'!$J$238:$J$451),0),
IF('TL16'!$B$3=L$3,SUMIF('TL16'!$C$10:$C$224,$C425,'TL16'!$J$10:$J$224),0),
IF('TL16'!$B$229=L$3,SUMIF('TL16'!$C$238:$C$451,$C425,'TL16'!$J$238:$J$451),0),
IF('TL17'!$B$3=L$3,SUMIF('TL17'!$C$10:$C$224,$C425,'TL17'!$J$10:$J$224),0),
IF('TL17'!$B$229=L$3,SUMIF('TL17'!$C$238:$C$451,$C425,'TL17'!$J$238:$J$451),0),
IF('TL18'!$B$3=L$3,SUMIF('TL18'!$C$10:$C$224,$C425,'TL18'!$J$10:$J$224),0),
IF('TL18'!$B$229=L$3,SUMIF('TL18'!$C$238:$C$451,$C425,'TL18'!$J$238:$J$451),0),
IF('TL19'!$B$3=L$3,SUMIF('TL19'!$C$10:$C$224,$C425,'TL19'!$J$10:$J$224),0),
IF('TL19'!$B$229=L$3,SUMIF('TL19'!$C$238:$C$451,$C425,'TL19'!$J$238:$J$451),0)
),0)</f>
        <v/>
      </c>
      <c r="M425" s="138">
        <f>IFERROR(SUM(
IF('TL01'!$B$3=M$3,SUMIF('TL01'!$C$10:$C$224,$C425,'TL01'!$J$10:$J$224),0),
IF('TL01'!$B$229=M$3,SUMIF('TL01'!$C$238:$C$451,$C425,'TL01'!$J$238:$J$451),0),
IF('TL02'!$B$3=M$3,SUMIF('TL02'!$C$10:$C$224,$C425,'TL02'!$J$10:$J$224),0),
IF('TL02'!$B$229=M$3,SUMIF('TL02'!$C$238:$C$451,$C425,'TL02'!$J$238:$J$451),0),
IF('TL03'!$B$3=M$3,SUMIF('TL03'!$C$10:$C$224,$C425,'TL03'!$J$10:$J$224),0),
IF('TL03'!$B$229=M$3,SUMIF('TL03'!$C$238:$C$451,$C425,'TL03'!$J$238:$J$451),0),
IF('TL04'!$B$3=M$3,SUMIF('TL04'!$C$10:$C$224,$C425,'TL04'!$J$10:$J$224),0),
IF('TL04'!$B$229=M$3,SUMIF('TL04'!$C$238:$C$451,$C425,'TL04'!$J$238:$J$451),0),
IF('TL05'!$B$3=M$3,SUMIF('TL05'!$C$10:$C$224,$C425,'TL05'!$J$10:$J$224),0),
IF('TL05'!$B$229=M$3,SUMIF('TL05'!$C$238:$C$451,$C425,'TL05'!$J$238:$J$451),0),
IF('TL06'!$B$3=M$3,SUMIF('TL06'!$C$10:$C$224,$C425,'TL06'!$J$10:$J$224),0),
IF('TL06'!$B$229=M$3,SUMIF('TL06'!$C$238:$C$451,$C425,'TL06'!$J$238:$J$451),0),
IF('TL07'!$B$3=M$3,SUMIF('TL07'!$C$10:$C$224,$C425,'TL07'!$J$10:$J$224),0),
IF('TL07'!$B$229=M$3,SUMIF('TL07'!$C$238:$C$451,$C425,'TL07'!$J$238:$J$451),0),
IF('TL08'!$B$3=M$3,SUMIF('TL08'!$C$10:$C$224,$C425,'TL08'!$J$10:$J$224),0),
IF('TL08'!$B$229=M$3,SUMIF('TL08'!$C$238:$C$451,$C425,'TL08'!$J$238:$J$451),0),
IF('TL09'!$B$3=M$3,SUMIF('TL09'!$C$10:$C$224,$C425,'TL09'!$J$10:$J$224),0),
IF('TL09'!$B$229=M$3,SUMIF('TL09'!$C$238:$C$451,$C425,'TL09'!$J$238:$J$451),0),
IF('TL10'!$B$3=M$3,SUMIF('TL10'!$C$10:$C$224,$C425,'TL10'!$J$10:$J$224),0),
IF('TL10'!$B$229=M$3,SUMIF('TL10'!$C$238:$C$451,$C425,'TL10'!$J$238:$J$451),0),
IF('TL11'!$B$3=M$3,SUMIF('TL11'!$C$10:$C$224,$C425,'TL11'!$J$10:$J$224),0),
IF('TL11'!$B$229=M$3,SUMIF('TL11'!$C$238:$C$451,$C425,'TL11'!$J$238:$J$451),0),
IF('TL12'!$B$3=M$3,SUMIF('TL12'!$C$10:$C$224,$C425,'TL12'!$J$10:$J$224),0),
IF('TL12'!$B$229=M$3,SUMIF('TL12'!$C$238:$C$451,$C425,'TL12'!$J$238:$J$451),0),
IF('TL13'!$B$3=M$3,SUMIF('TL13'!$C$10:$C$224,$C425,'TL13'!$J$10:$J$224),0),
IF('TL13'!$B$229=M$3,SUMIF('TL13'!$C$238:$C$451,$C425,'TL13'!$J$238:$J$451),0),
IF('TL14'!$B$3=M$3,SUMIF('TL14'!$C$10:$C$224,$C425,'TL14'!$J$10:$J$224),0),
IF('TL14'!$B$229=M$3,SUMIF('TL14'!$C$238:$C$451,$C425,'TL14'!$J$238:$J$451),0),
IF('TL15'!$B$3=M$3,SUMIF('TL15'!$C$10:$C$224,$C425,'TL15'!$J$10:$J$224),0),
IF('TL15'!$B$229=M$3,SUMIF('TL15'!$C$238:$C$451,$C425,'TL15'!$J$238:$J$451),0),
IF('TL16'!$B$3=M$3,SUMIF('TL16'!$C$10:$C$224,$C425,'TL16'!$J$10:$J$224),0),
IF('TL16'!$B$229=M$3,SUMIF('TL16'!$C$238:$C$451,$C425,'TL16'!$J$238:$J$451),0),
IF('TL17'!$B$3=M$3,SUMIF('TL17'!$C$10:$C$224,$C425,'TL17'!$J$10:$J$224),0),
IF('TL17'!$B$229=M$3,SUMIF('TL17'!$C$238:$C$451,$C425,'TL17'!$J$238:$J$451),0),
IF('TL18'!$B$3=M$3,SUMIF('TL18'!$C$10:$C$224,$C425,'TL18'!$J$10:$J$224),0),
IF('TL18'!$B$229=M$3,SUMIF('TL18'!$C$238:$C$451,$C425,'TL18'!$J$238:$J$451),0),
IF('TL19'!$B$3=M$3,SUMIF('TL19'!$C$10:$C$224,$C425,'TL19'!$J$10:$J$224),0),
IF('TL19'!$B$229=M$3,SUMIF('TL19'!$C$238:$C$451,$C425,'TL19'!$J$238:$J$451),0)
),0)</f>
        <v/>
      </c>
      <c r="N425" s="138">
        <f>IFERROR(SUM(
IF('TL01'!$B$3=N$3,SUMIF('TL01'!$C$10:$C$224,$C425,'TL01'!$J$10:$J$224),0),
IF('TL01'!$B$229=N$3,SUMIF('TL01'!$C$238:$C$451,$C425,'TL01'!$J$238:$J$451),0),
IF('TL02'!$B$3=N$3,SUMIF('TL02'!$C$10:$C$224,$C425,'TL02'!$J$10:$J$224),0),
IF('TL02'!$B$229=N$3,SUMIF('TL02'!$C$238:$C$451,$C425,'TL02'!$J$238:$J$451),0),
IF('TL03'!$B$3=N$3,SUMIF('TL03'!$C$10:$C$224,$C425,'TL03'!$J$10:$J$224),0),
IF('TL03'!$B$229=N$3,SUMIF('TL03'!$C$238:$C$451,$C425,'TL03'!$J$238:$J$451),0),
IF('TL04'!$B$3=N$3,SUMIF('TL04'!$C$10:$C$224,$C425,'TL04'!$J$10:$J$224),0),
IF('TL04'!$B$229=N$3,SUMIF('TL04'!$C$238:$C$451,$C425,'TL04'!$J$238:$J$451),0),
IF('TL05'!$B$3=N$3,SUMIF('TL05'!$C$10:$C$224,$C425,'TL05'!$J$10:$J$224),0),
IF('TL05'!$B$229=N$3,SUMIF('TL05'!$C$238:$C$451,$C425,'TL05'!$J$238:$J$451),0),
IF('TL06'!$B$3=N$3,SUMIF('TL06'!$C$10:$C$224,$C425,'TL06'!$J$10:$J$224),0),
IF('TL06'!$B$229=N$3,SUMIF('TL06'!$C$238:$C$451,$C425,'TL06'!$J$238:$J$451),0),
IF('TL07'!$B$3=N$3,SUMIF('TL07'!$C$10:$C$224,$C425,'TL07'!$J$10:$J$224),0),
IF('TL07'!$B$229=N$3,SUMIF('TL07'!$C$238:$C$451,$C425,'TL07'!$J$238:$J$451),0),
IF('TL08'!$B$3=N$3,SUMIF('TL08'!$C$10:$C$224,$C425,'TL08'!$J$10:$J$224),0),
IF('TL08'!$B$229=N$3,SUMIF('TL08'!$C$238:$C$451,$C425,'TL08'!$J$238:$J$451),0),
IF('TL09'!$B$3=N$3,SUMIF('TL09'!$C$10:$C$224,$C425,'TL09'!$J$10:$J$224),0),
IF('TL09'!$B$229=N$3,SUMIF('TL09'!$C$238:$C$451,$C425,'TL09'!$J$238:$J$451),0),
IF('TL10'!$B$3=N$3,SUMIF('TL10'!$C$10:$C$224,$C425,'TL10'!$J$10:$J$224),0),
IF('TL10'!$B$229=N$3,SUMIF('TL10'!$C$238:$C$451,$C425,'TL10'!$J$238:$J$451),0),
IF('TL11'!$B$3=N$3,SUMIF('TL11'!$C$10:$C$224,$C425,'TL11'!$J$10:$J$224),0),
IF('TL11'!$B$229=N$3,SUMIF('TL11'!$C$238:$C$451,$C425,'TL11'!$J$238:$J$451),0),
IF('TL12'!$B$3=N$3,SUMIF('TL12'!$C$10:$C$224,$C425,'TL12'!$J$10:$J$224),0),
IF('TL12'!$B$229=N$3,SUMIF('TL12'!$C$238:$C$451,$C425,'TL12'!$J$238:$J$451),0),
IF('TL13'!$B$3=N$3,SUMIF('TL13'!$C$10:$C$224,$C425,'TL13'!$J$10:$J$224),0),
IF('TL13'!$B$229=N$3,SUMIF('TL13'!$C$238:$C$451,$C425,'TL13'!$J$238:$J$451),0),
IF('TL14'!$B$3=N$3,SUMIF('TL14'!$C$10:$C$224,$C425,'TL14'!$J$10:$J$224),0),
IF('TL14'!$B$229=N$3,SUMIF('TL14'!$C$238:$C$451,$C425,'TL14'!$J$238:$J$451),0),
IF('TL15'!$B$3=N$3,SUMIF('TL15'!$C$10:$C$224,$C425,'TL15'!$J$10:$J$224),0),
IF('TL15'!$B$229=N$3,SUMIF('TL15'!$C$238:$C$451,$C425,'TL15'!$J$238:$J$451),0),
IF('TL16'!$B$3=N$3,SUMIF('TL16'!$C$10:$C$224,$C425,'TL16'!$J$10:$J$224),0),
IF('TL16'!$B$229=N$3,SUMIF('TL16'!$C$238:$C$451,$C425,'TL16'!$J$238:$J$451),0),
IF('TL17'!$B$3=N$3,SUMIF('TL17'!$C$10:$C$224,$C425,'TL17'!$J$10:$J$224),0),
IF('TL17'!$B$229=N$3,SUMIF('TL17'!$C$238:$C$451,$C425,'TL17'!$J$238:$J$451),0),
IF('TL18'!$B$3=N$3,SUMIF('TL18'!$C$10:$C$224,$C425,'TL18'!$J$10:$J$224),0),
IF('TL18'!$B$229=N$3,SUMIF('TL18'!$C$238:$C$451,$C425,'TL18'!$J$238:$J$451),0),
IF('TL19'!$B$3=N$3,SUMIF('TL19'!$C$10:$C$224,$C425,'TL19'!$J$10:$J$224),0),
IF('TL19'!$B$229=N$3,SUMIF('TL19'!$C$238:$C$451,$C425,'TL19'!$J$238:$J$451),0)
),0)</f>
        <v/>
      </c>
      <c r="O425" s="138">
        <f>IFERROR(SUM(
IF('TL01'!$B$3=O$3,SUMIF('TL01'!$C$10:$C$224,$C425,'TL01'!$J$10:$J$224),0),
IF('TL01'!$B$229=O$3,SUMIF('TL01'!$C$238:$C$451,$C425,'TL01'!$J$238:$J$451),0),
IF('TL02'!$B$3=O$3,SUMIF('TL02'!$C$10:$C$224,$C425,'TL02'!$J$10:$J$224),0),
IF('TL02'!$B$229=O$3,SUMIF('TL02'!$C$238:$C$451,$C425,'TL02'!$J$238:$J$451),0),
IF('TL03'!$B$3=O$3,SUMIF('TL03'!$C$10:$C$224,$C425,'TL03'!$J$10:$J$224),0),
IF('TL03'!$B$229=O$3,SUMIF('TL03'!$C$238:$C$451,$C425,'TL03'!$J$238:$J$451),0),
IF('TL04'!$B$3=O$3,SUMIF('TL04'!$C$10:$C$224,$C425,'TL04'!$J$10:$J$224),0),
IF('TL04'!$B$229=O$3,SUMIF('TL04'!$C$238:$C$451,$C425,'TL04'!$J$238:$J$451),0),
IF('TL05'!$B$3=O$3,SUMIF('TL05'!$C$10:$C$224,$C425,'TL05'!$J$10:$J$224),0),
IF('TL05'!$B$229=O$3,SUMIF('TL05'!$C$238:$C$451,$C425,'TL05'!$J$238:$J$451),0),
IF('TL06'!$B$3=O$3,SUMIF('TL06'!$C$10:$C$224,$C425,'TL06'!$J$10:$J$224),0),
IF('TL06'!$B$229=O$3,SUMIF('TL06'!$C$238:$C$451,$C425,'TL06'!$J$238:$J$451),0),
IF('TL07'!$B$3=O$3,SUMIF('TL07'!$C$10:$C$224,$C425,'TL07'!$J$10:$J$224),0),
IF('TL07'!$B$229=O$3,SUMIF('TL07'!$C$238:$C$451,$C425,'TL07'!$J$238:$J$451),0),
IF('TL08'!$B$3=O$3,SUMIF('TL08'!$C$10:$C$224,$C425,'TL08'!$J$10:$J$224),0),
IF('TL08'!$B$229=O$3,SUMIF('TL08'!$C$238:$C$451,$C425,'TL08'!$J$238:$J$451),0),
IF('TL09'!$B$3=O$3,SUMIF('TL09'!$C$10:$C$224,$C425,'TL09'!$J$10:$J$224),0),
IF('TL09'!$B$229=O$3,SUMIF('TL09'!$C$238:$C$451,$C425,'TL09'!$J$238:$J$451),0),
IF('TL10'!$B$3=O$3,SUMIF('TL10'!$C$10:$C$224,$C425,'TL10'!$J$10:$J$224),0),
IF('TL10'!$B$229=O$3,SUMIF('TL10'!$C$238:$C$451,$C425,'TL10'!$J$238:$J$451),0),
IF('TL11'!$B$3=O$3,SUMIF('TL11'!$C$10:$C$224,$C425,'TL11'!$J$10:$J$224),0),
IF('TL11'!$B$229=O$3,SUMIF('TL11'!$C$238:$C$451,$C425,'TL11'!$J$238:$J$451),0),
IF('TL12'!$B$3=O$3,SUMIF('TL12'!$C$10:$C$224,$C425,'TL12'!$J$10:$J$224),0),
IF('TL12'!$B$229=O$3,SUMIF('TL12'!$C$238:$C$451,$C425,'TL12'!$J$238:$J$451),0),
IF('TL13'!$B$3=O$3,SUMIF('TL13'!$C$10:$C$224,$C425,'TL13'!$J$10:$J$224),0),
IF('TL13'!$B$229=O$3,SUMIF('TL13'!$C$238:$C$451,$C425,'TL13'!$J$238:$J$451),0),
IF('TL14'!$B$3=O$3,SUMIF('TL14'!$C$10:$C$224,$C425,'TL14'!$J$10:$J$224),0),
IF('TL14'!$B$229=O$3,SUMIF('TL14'!$C$238:$C$451,$C425,'TL14'!$J$238:$J$451),0),
IF('TL15'!$B$3=O$3,SUMIF('TL15'!$C$10:$C$224,$C425,'TL15'!$J$10:$J$224),0),
IF('TL15'!$B$229=O$3,SUMIF('TL15'!$C$238:$C$451,$C425,'TL15'!$J$238:$J$451),0),
IF('TL16'!$B$3=O$3,SUMIF('TL16'!$C$10:$C$224,$C425,'TL16'!$J$10:$J$224),0),
IF('TL16'!$B$229=O$3,SUMIF('TL16'!$C$238:$C$451,$C425,'TL16'!$J$238:$J$451),0),
IF('TL17'!$B$3=O$3,SUMIF('TL17'!$C$10:$C$224,$C425,'TL17'!$J$10:$J$224),0),
IF('TL17'!$B$229=O$3,SUMIF('TL17'!$C$238:$C$451,$C425,'TL17'!$J$238:$J$451),0),
IF('TL18'!$B$3=O$3,SUMIF('TL18'!$C$10:$C$224,$C425,'TL18'!$J$10:$J$224),0),
IF('TL18'!$B$229=O$3,SUMIF('TL18'!$C$238:$C$451,$C425,'TL18'!$J$238:$J$451),0),
IF('TL19'!$B$3=O$3,SUMIF('TL19'!$C$10:$C$224,$C425,'TL19'!$J$10:$J$224),0),
IF('TL19'!$B$229=O$3,SUMIF('TL19'!$C$238:$C$451,$C425,'TL19'!$J$238:$J$451),0)
),0)</f>
        <v/>
      </c>
      <c r="P425" s="138">
        <f>IFERROR(SUM(
IF('TL01'!$B$3=P$3,SUMIF('TL01'!$C$10:$C$224,$C425,'TL01'!$J$10:$J$224),0),
IF('TL01'!$B$229=P$3,SUMIF('TL01'!$C$238:$C$451,$C425,'TL01'!$J$238:$J$451),0),
IF('TL02'!$B$3=P$3,SUMIF('TL02'!$C$10:$C$224,$C425,'TL02'!$J$10:$J$224),0),
IF('TL02'!$B$229=P$3,SUMIF('TL02'!$C$238:$C$451,$C425,'TL02'!$J$238:$J$451),0),
IF('TL03'!$B$3=P$3,SUMIF('TL03'!$C$10:$C$224,$C425,'TL03'!$J$10:$J$224),0),
IF('TL03'!$B$229=P$3,SUMIF('TL03'!$C$238:$C$451,$C425,'TL03'!$J$238:$J$451),0),
IF('TL04'!$B$3=P$3,SUMIF('TL04'!$C$10:$C$224,$C425,'TL04'!$J$10:$J$224),0),
IF('TL04'!$B$229=P$3,SUMIF('TL04'!$C$238:$C$451,$C425,'TL04'!$J$238:$J$451),0),
IF('TL05'!$B$3=P$3,SUMIF('TL05'!$C$10:$C$224,$C425,'TL05'!$J$10:$J$224),0),
IF('TL05'!$B$229=P$3,SUMIF('TL05'!$C$238:$C$451,$C425,'TL05'!$J$238:$J$451),0),
IF('TL06'!$B$3=P$3,SUMIF('TL06'!$C$10:$C$224,$C425,'TL06'!$J$10:$J$224),0),
IF('TL06'!$B$229=P$3,SUMIF('TL06'!$C$238:$C$451,$C425,'TL06'!$J$238:$J$451),0),
IF('TL07'!$B$3=P$3,SUMIF('TL07'!$C$10:$C$224,$C425,'TL07'!$J$10:$J$224),0),
IF('TL07'!$B$229=P$3,SUMIF('TL07'!$C$238:$C$451,$C425,'TL07'!$J$238:$J$451),0),
IF('TL08'!$B$3=P$3,SUMIF('TL08'!$C$10:$C$224,$C425,'TL08'!$J$10:$J$224),0),
IF('TL08'!$B$229=P$3,SUMIF('TL08'!$C$238:$C$451,$C425,'TL08'!$J$238:$J$451),0),
IF('TL09'!$B$3=P$3,SUMIF('TL09'!$C$10:$C$224,$C425,'TL09'!$J$10:$J$224),0),
IF('TL09'!$B$229=P$3,SUMIF('TL09'!$C$238:$C$451,$C425,'TL09'!$J$238:$J$451),0),
IF('TL10'!$B$3=P$3,SUMIF('TL10'!$C$10:$C$224,$C425,'TL10'!$J$10:$J$224),0),
IF('TL10'!$B$229=P$3,SUMIF('TL10'!$C$238:$C$451,$C425,'TL10'!$J$238:$J$451),0),
IF('TL11'!$B$3=P$3,SUMIF('TL11'!$C$10:$C$224,$C425,'TL11'!$J$10:$J$224),0),
IF('TL11'!$B$229=P$3,SUMIF('TL11'!$C$238:$C$451,$C425,'TL11'!$J$238:$J$451),0),
IF('TL12'!$B$3=P$3,SUMIF('TL12'!$C$10:$C$224,$C425,'TL12'!$J$10:$J$224),0),
IF('TL12'!$B$229=P$3,SUMIF('TL12'!$C$238:$C$451,$C425,'TL12'!$J$238:$J$451),0),
IF('TL13'!$B$3=P$3,SUMIF('TL13'!$C$10:$C$224,$C425,'TL13'!$J$10:$J$224),0),
IF('TL13'!$B$229=P$3,SUMIF('TL13'!$C$238:$C$451,$C425,'TL13'!$J$238:$J$451),0),
IF('TL14'!$B$3=P$3,SUMIF('TL14'!$C$10:$C$224,$C425,'TL14'!$J$10:$J$224),0),
IF('TL14'!$B$229=P$3,SUMIF('TL14'!$C$238:$C$451,$C425,'TL14'!$J$238:$J$451),0),
IF('TL15'!$B$3=P$3,SUMIF('TL15'!$C$10:$C$224,$C425,'TL15'!$J$10:$J$224),0),
IF('TL15'!$B$229=P$3,SUMIF('TL15'!$C$238:$C$451,$C425,'TL15'!$J$238:$J$451),0),
IF('TL16'!$B$3=P$3,SUMIF('TL16'!$C$10:$C$224,$C425,'TL16'!$J$10:$J$224),0),
IF('TL16'!$B$229=P$3,SUMIF('TL16'!$C$238:$C$451,$C425,'TL16'!$J$238:$J$451),0),
IF('TL17'!$B$3=P$3,SUMIF('TL17'!$C$10:$C$224,$C425,'TL17'!$J$10:$J$224),0),
IF('TL17'!$B$229=P$3,SUMIF('TL17'!$C$238:$C$451,$C425,'TL17'!$J$238:$J$451),0),
IF('TL18'!$B$3=P$3,SUMIF('TL18'!$C$10:$C$224,$C425,'TL18'!$J$10:$J$224),0),
IF('TL18'!$B$229=P$3,SUMIF('TL18'!$C$238:$C$451,$C425,'TL18'!$J$238:$J$451),0),
IF('TL19'!$B$3=P$3,SUMIF('TL19'!$C$10:$C$224,$C425,'TL19'!$J$10:$J$224),0),
IF('TL19'!$B$229=P$3,SUMIF('TL19'!$C$238:$C$451,$C425,'TL19'!$J$238:$J$451),0)
),0)</f>
        <v/>
      </c>
      <c r="Q425" s="138">
        <f>IFERROR(SUM(
IF('TL01'!$B$3=Q$3,SUMIF('TL01'!$C$10:$C$224,$C425,'TL01'!$J$10:$J$224),0),
IF('TL01'!$B$229=Q$3,SUMIF('TL01'!$C$238:$C$451,$C425,'TL01'!$J$238:$J$451),0),
IF('TL02'!$B$3=Q$3,SUMIF('TL02'!$C$10:$C$224,$C425,'TL02'!$J$10:$J$224),0),
IF('TL02'!$B$229=Q$3,SUMIF('TL02'!$C$238:$C$451,$C425,'TL02'!$J$238:$J$451),0),
IF('TL03'!$B$3=Q$3,SUMIF('TL03'!$C$10:$C$224,$C425,'TL03'!$J$10:$J$224),0),
IF('TL03'!$B$229=Q$3,SUMIF('TL03'!$C$238:$C$451,$C425,'TL03'!$J$238:$J$451),0),
IF('TL04'!$B$3=Q$3,SUMIF('TL04'!$C$10:$C$224,$C425,'TL04'!$J$10:$J$224),0),
IF('TL04'!$B$229=Q$3,SUMIF('TL04'!$C$238:$C$451,$C425,'TL04'!$J$238:$J$451),0),
IF('TL05'!$B$3=Q$3,SUMIF('TL05'!$C$10:$C$224,$C425,'TL05'!$J$10:$J$224),0),
IF('TL05'!$B$229=Q$3,SUMIF('TL05'!$C$238:$C$451,$C425,'TL05'!$J$238:$J$451),0),
IF('TL06'!$B$3=Q$3,SUMIF('TL06'!$C$10:$C$224,$C425,'TL06'!$J$10:$J$224),0),
IF('TL06'!$B$229=Q$3,SUMIF('TL06'!$C$238:$C$451,$C425,'TL06'!$J$238:$J$451),0),
IF('TL07'!$B$3=Q$3,SUMIF('TL07'!$C$10:$C$224,$C425,'TL07'!$J$10:$J$224),0),
IF('TL07'!$B$229=Q$3,SUMIF('TL07'!$C$238:$C$451,$C425,'TL07'!$J$238:$J$451),0),
IF('TL08'!$B$3=Q$3,SUMIF('TL08'!$C$10:$C$224,$C425,'TL08'!$J$10:$J$224),0),
IF('TL08'!$B$229=Q$3,SUMIF('TL08'!$C$238:$C$451,$C425,'TL08'!$J$238:$J$451),0),
IF('TL09'!$B$3=Q$3,SUMIF('TL09'!$C$10:$C$224,$C425,'TL09'!$J$10:$J$224),0),
IF('TL09'!$B$229=Q$3,SUMIF('TL09'!$C$238:$C$451,$C425,'TL09'!$J$238:$J$451),0),
IF('TL10'!$B$3=Q$3,SUMIF('TL10'!$C$10:$C$224,$C425,'TL10'!$J$10:$J$224),0),
IF('TL10'!$B$229=Q$3,SUMIF('TL10'!$C$238:$C$451,$C425,'TL10'!$J$238:$J$451),0),
IF('TL11'!$B$3=Q$3,SUMIF('TL11'!$C$10:$C$224,$C425,'TL11'!$J$10:$J$224),0),
IF('TL11'!$B$229=Q$3,SUMIF('TL11'!$C$238:$C$451,$C425,'TL11'!$J$238:$J$451),0),
IF('TL12'!$B$3=Q$3,SUMIF('TL12'!$C$10:$C$224,$C425,'TL12'!$J$10:$J$224),0),
IF('TL12'!$B$229=Q$3,SUMIF('TL12'!$C$238:$C$451,$C425,'TL12'!$J$238:$J$451),0),
IF('TL13'!$B$3=Q$3,SUMIF('TL13'!$C$10:$C$224,$C425,'TL13'!$J$10:$J$224),0),
IF('TL13'!$B$229=Q$3,SUMIF('TL13'!$C$238:$C$451,$C425,'TL13'!$J$238:$J$451),0),
IF('TL14'!$B$3=Q$3,SUMIF('TL14'!$C$10:$C$224,$C425,'TL14'!$J$10:$J$224),0),
IF('TL14'!$B$229=Q$3,SUMIF('TL14'!$C$238:$C$451,$C425,'TL14'!$J$238:$J$451),0),
IF('TL15'!$B$3=Q$3,SUMIF('TL15'!$C$10:$C$224,$C425,'TL15'!$J$10:$J$224),0),
IF('TL15'!$B$229=Q$3,SUMIF('TL15'!$C$238:$C$451,$C425,'TL15'!$J$238:$J$451),0),
IF('TL16'!$B$3=Q$3,SUMIF('TL16'!$C$10:$C$224,$C425,'TL16'!$J$10:$J$224),0),
IF('TL16'!$B$229=Q$3,SUMIF('TL16'!$C$238:$C$451,$C425,'TL16'!$J$238:$J$451),0),
IF('TL17'!$B$3=Q$3,SUMIF('TL17'!$C$10:$C$224,$C425,'TL17'!$J$10:$J$224),0),
IF('TL17'!$B$229=Q$3,SUMIF('TL17'!$C$238:$C$451,$C425,'TL17'!$J$238:$J$451),0),
IF('TL18'!$B$3=Q$3,SUMIF('TL18'!$C$10:$C$224,$C425,'TL18'!$J$10:$J$224),0),
IF('TL18'!$B$229=Q$3,SUMIF('TL18'!$C$238:$C$451,$C425,'TL18'!$J$238:$J$451),0),
IF('TL19'!$B$3=Q$3,SUMIF('TL19'!$C$10:$C$224,$C425,'TL19'!$J$10:$J$224),0),
IF('TL19'!$B$229=Q$3,SUMIF('TL19'!$C$238:$C$451,$C425,'TL19'!$J$238:$J$451),0)
),0)</f>
        <v/>
      </c>
      <c r="R425" s="139">
        <f>IFERROR(
SUM(
SUMIF('TL01'!C:C,C425,'TL01'!J:J),
SUMIF('TL02'!C:C,C425,'TL02'!I:I),
SUMIF('TL03'!C:C,C425,'TL03'!I:I),
SUMIF('TL04'!C:C,C425,'TL04'!I:I),
SUMIF('TL05'!C:C,C425,'TL05'!I:I),
SUMIF('TL06'!C:C,C425,'TL06'!I:I),
SUMIF('TL07'!C:C,C425,'TL07'!I:I),
SUMIF('TL08'!C:C,C425,'TL08'!I:I),
SUMIF('TL09'!C:C,C425,'TL09'!I:I),
SUMIF('TL10'!C:C,C425,'TL10'!I:I),
SUMIF('TL11'!C:C,C425,'TL11'!I:I),
SUMIF('TL12'!C:C,C425,'TL12'!I:I),
SUMIF('TL13'!C:C,C425,'TL13'!I:I),
SUMIF('TL14'!C:C,C425,'TL14'!I:I),
SUMIF('TL15'!C:C,C425,'TL15'!I:I),
SUMIF('TL16'!C:C,C425,'TL16'!I:I),
SUMIF('TL17'!C:C,C425,'TL17'!I:I),
SUMIF('TL18'!C:C,C425,'TL18'!I:I))
,0)</f>
        <v/>
      </c>
      <c r="S425" s="142">
        <f>'CUSTO OPERAÇÃO'!M29</f>
        <v/>
      </c>
      <c r="T425" s="139" t="n"/>
      <c r="U425" s="143">
        <f>MAX(0,R425-T425)</f>
        <v/>
      </c>
      <c r="V425" s="144">
        <f>U425*S425</f>
        <v/>
      </c>
    </row>
    <row r="426" hidden="1" ht="15.75" customHeight="1" s="297">
      <c r="A426" s="138" t="n"/>
      <c r="B426" s="155" t="n"/>
      <c r="C426" s="138" t="n"/>
      <c r="D426" s="138" t="n"/>
      <c r="E426" s="139" t="n"/>
      <c r="F426" s="138" t="inlineStr">
        <is>
          <t>R$/Ha</t>
        </is>
      </c>
      <c r="G426" s="139" t="n"/>
      <c r="H426" s="140">
        <f>'CUSTO OPERAÇÃO'!J30</f>
        <v/>
      </c>
      <c r="I426" s="156" t="n"/>
      <c r="J426" s="138">
        <f>IFERROR(SUM(
IF('TL01'!$B$3=J$3,SUMIF('TL01'!$C$10:$C$224,$C426,'TL01'!$J$10:$J$224),0),
IF('TL01'!$B$229=J$3,SUMIF('TL01'!$C$238:$C$451,$C426,'TL01'!$J$238:$J$451),0),
IF('TL02'!$B$3=J$3,SUMIF('TL02'!$C$10:$C$224,$C426,'TL02'!$J$10:$J$224),0),
IF('TL02'!$B$229=J$3,SUMIF('TL02'!$C$238:$C$451,$C426,'TL02'!$J$238:$J$451),0),
IF('TL03'!$B$3=J$3,SUMIF('TL03'!$C$10:$C$224,$C426,'TL03'!$J$10:$J$224),0),
IF('TL03'!$B$229=J$3,SUMIF('TL03'!$C$238:$C$451,$C426,'TL03'!$J$238:$J$451),0),
IF('TL04'!$B$3=J$3,SUMIF('TL04'!$C$10:$C$224,$C426,'TL04'!$J$10:$J$224),0),
IF('TL04'!$B$229=J$3,SUMIF('TL04'!$C$238:$C$451,$C426,'TL04'!$J$238:$J$451),0),
IF('TL05'!$B$3=J$3,SUMIF('TL05'!$C$10:$C$224,$C426,'TL05'!$J$10:$J$224),0),
IF('TL05'!$B$229=J$3,SUMIF('TL05'!$C$238:$C$451,$C426,'TL05'!$J$238:$J$451),0),
IF('TL06'!$B$3=J$3,SUMIF('TL06'!$C$10:$C$224,$C426,'TL06'!$J$10:$J$224),0),
IF('TL06'!$B$229=J$3,SUMIF('TL06'!$C$238:$C$451,$C426,'TL06'!$J$238:$J$451),0),
IF('TL07'!$B$3=J$3,SUMIF('TL07'!$C$10:$C$224,$C426,'TL07'!$J$10:$J$224),0),
IF('TL07'!$B$229=J$3,SUMIF('TL07'!$C$238:$C$451,$C426,'TL07'!$J$238:$J$451),0),
IF('TL08'!$B$3=J$3,SUMIF('TL08'!$C$10:$C$224,$C426,'TL08'!$J$10:$J$224),0),
IF('TL08'!$B$229=J$3,SUMIF('TL08'!$C$238:$C$451,$C426,'TL08'!$J$238:$J$451),0),
IF('TL09'!$B$3=J$3,SUMIF('TL09'!$C$10:$C$224,$C426,'TL09'!$J$10:$J$224),0),
IF('TL09'!$B$229=J$3,SUMIF('TL09'!$C$238:$C$451,$C426,'TL09'!$J$238:$J$451),0),
IF('TL10'!$B$3=J$3,SUMIF('TL10'!$C$10:$C$224,$C426,'TL10'!$J$10:$J$224),0),
IF('TL10'!$B$229=J$3,SUMIF('TL10'!$C$238:$C$451,$C426,'TL10'!$J$238:$J$451),0),
IF('TL11'!$B$3=J$3,SUMIF('TL11'!$C$10:$C$224,$C426,'TL11'!$J$10:$J$224),0),
IF('TL11'!$B$229=J$3,SUMIF('TL11'!$C$238:$C$451,$C426,'TL11'!$J$238:$J$451),0),
IF('TL12'!$B$3=J$3,SUMIF('TL12'!$C$10:$C$224,$C426,'TL12'!$J$10:$J$224),0),
IF('TL12'!$B$229=J$3,SUMIF('TL12'!$C$238:$C$451,$C426,'TL12'!$J$238:$J$451),0),
IF('TL13'!$B$3=J$3,SUMIF('TL13'!$C$10:$C$224,$C426,'TL13'!$J$10:$J$224),0),
IF('TL13'!$B$229=J$3,SUMIF('TL13'!$C$238:$C$451,$C426,'TL13'!$J$238:$J$451),0),
IF('TL14'!$B$3=J$3,SUMIF('TL14'!$C$10:$C$224,$C426,'TL14'!$J$10:$J$224),0),
IF('TL14'!$B$229=J$3,SUMIF('TL14'!$C$238:$C$451,$C426,'TL14'!$J$238:$J$451),0),
IF('TL15'!$B$3=J$3,SUMIF('TL15'!$C$10:$C$224,$C426,'TL15'!$J$10:$J$224),0),
IF('TL15'!$B$229=J$3,SUMIF('TL15'!$C$238:$C$451,$C426,'TL15'!$J$238:$J$451),0),
IF('TL16'!$B$3=J$3,SUMIF('TL16'!$C$10:$C$224,$C426,'TL16'!$J$10:$J$224),0),
IF('TL16'!$B$229=J$3,SUMIF('TL16'!$C$238:$C$451,$C426,'TL16'!$J$238:$J$451),0),
IF('TL17'!$B$3=J$3,SUMIF('TL17'!$C$10:$C$224,$C426,'TL17'!$J$10:$J$224),0),
IF('TL17'!$B$229=J$3,SUMIF('TL17'!$C$238:$C$451,$C426,'TL17'!$J$238:$J$451),0),
IF('TL18'!$B$3=J$3,SUMIF('TL18'!$C$10:$C$224,$C426,'TL18'!$J$10:$J$224),0),
IF('TL18'!$B$229=J$3,SUMIF('TL18'!$C$238:$C$451,$C426,'TL18'!$J$238:$J$451),0),
IF('TL19'!$B$3=J$3,SUMIF('TL19'!$C$10:$C$224,$C426,'TL19'!$J$10:$J$224),0),
IF('TL19'!$B$229=J$3,SUMIF('TL19'!$C$238:$C$451,$C426,'TL19'!$J$238:$J$451),0)
),0)</f>
        <v/>
      </c>
      <c r="K426" s="138">
        <f>IFERROR(SUM(
IF('TL01'!$B$3=K$3,SUMIF('TL01'!$C$10:$C$224,$C426,'TL01'!$J$10:$J$224),0),
IF('TL01'!$B$229=K$3,SUMIF('TL01'!$C$238:$C$451,$C426,'TL01'!$J$238:$J$451),0),
IF('TL02'!$B$3=K$3,SUMIF('TL02'!$C$10:$C$224,$C426,'TL02'!$J$10:$J$224),0),
IF('TL02'!$B$229=K$3,SUMIF('TL02'!$C$238:$C$451,$C426,'TL02'!$J$238:$J$451),0),
IF('TL03'!$B$3=K$3,SUMIF('TL03'!$C$10:$C$224,$C426,'TL03'!$J$10:$J$224),0),
IF('TL03'!$B$229=K$3,SUMIF('TL03'!$C$238:$C$451,$C426,'TL03'!$J$238:$J$451),0),
IF('TL04'!$B$3=K$3,SUMIF('TL04'!$C$10:$C$224,$C426,'TL04'!$J$10:$J$224),0),
IF('TL04'!$B$229=K$3,SUMIF('TL04'!$C$238:$C$451,$C426,'TL04'!$J$238:$J$451),0),
IF('TL05'!$B$3=K$3,SUMIF('TL05'!$C$10:$C$224,$C426,'TL05'!$J$10:$J$224),0),
IF('TL05'!$B$229=K$3,SUMIF('TL05'!$C$238:$C$451,$C426,'TL05'!$J$238:$J$451),0),
IF('TL06'!$B$3=K$3,SUMIF('TL06'!$C$10:$C$224,$C426,'TL06'!$J$10:$J$224),0),
IF('TL06'!$B$229=K$3,SUMIF('TL06'!$C$238:$C$451,$C426,'TL06'!$J$238:$J$451),0),
IF('TL07'!$B$3=K$3,SUMIF('TL07'!$C$10:$C$224,$C426,'TL07'!$J$10:$J$224),0),
IF('TL07'!$B$229=K$3,SUMIF('TL07'!$C$238:$C$451,$C426,'TL07'!$J$238:$J$451),0),
IF('TL08'!$B$3=K$3,SUMIF('TL08'!$C$10:$C$224,$C426,'TL08'!$J$10:$J$224),0),
IF('TL08'!$B$229=K$3,SUMIF('TL08'!$C$238:$C$451,$C426,'TL08'!$J$238:$J$451),0),
IF('TL09'!$B$3=K$3,SUMIF('TL09'!$C$10:$C$224,$C426,'TL09'!$J$10:$J$224),0),
IF('TL09'!$B$229=K$3,SUMIF('TL09'!$C$238:$C$451,$C426,'TL09'!$J$238:$J$451),0),
IF('TL10'!$B$3=K$3,SUMIF('TL10'!$C$10:$C$224,$C426,'TL10'!$J$10:$J$224),0),
IF('TL10'!$B$229=K$3,SUMIF('TL10'!$C$238:$C$451,$C426,'TL10'!$J$238:$J$451),0),
IF('TL11'!$B$3=K$3,SUMIF('TL11'!$C$10:$C$224,$C426,'TL11'!$J$10:$J$224),0),
IF('TL11'!$B$229=K$3,SUMIF('TL11'!$C$238:$C$451,$C426,'TL11'!$J$238:$J$451),0),
IF('TL12'!$B$3=K$3,SUMIF('TL12'!$C$10:$C$224,$C426,'TL12'!$J$10:$J$224),0),
IF('TL12'!$B$229=K$3,SUMIF('TL12'!$C$238:$C$451,$C426,'TL12'!$J$238:$J$451),0),
IF('TL13'!$B$3=K$3,SUMIF('TL13'!$C$10:$C$224,$C426,'TL13'!$J$10:$J$224),0),
IF('TL13'!$B$229=K$3,SUMIF('TL13'!$C$238:$C$451,$C426,'TL13'!$J$238:$J$451),0),
IF('TL14'!$B$3=K$3,SUMIF('TL14'!$C$10:$C$224,$C426,'TL14'!$J$10:$J$224),0),
IF('TL14'!$B$229=K$3,SUMIF('TL14'!$C$238:$C$451,$C426,'TL14'!$J$238:$J$451),0),
IF('TL15'!$B$3=K$3,SUMIF('TL15'!$C$10:$C$224,$C426,'TL15'!$J$10:$J$224),0),
IF('TL15'!$B$229=K$3,SUMIF('TL15'!$C$238:$C$451,$C426,'TL15'!$J$238:$J$451),0),
IF('TL16'!$B$3=K$3,SUMIF('TL16'!$C$10:$C$224,$C426,'TL16'!$J$10:$J$224),0),
IF('TL16'!$B$229=K$3,SUMIF('TL16'!$C$238:$C$451,$C426,'TL16'!$J$238:$J$451),0),
IF('TL17'!$B$3=K$3,SUMIF('TL17'!$C$10:$C$224,$C426,'TL17'!$J$10:$J$224),0),
IF('TL17'!$B$229=K$3,SUMIF('TL17'!$C$238:$C$451,$C426,'TL17'!$J$238:$J$451),0),
IF('TL18'!$B$3=K$3,SUMIF('TL18'!$C$10:$C$224,$C426,'TL18'!$J$10:$J$224),0),
IF('TL18'!$B$229=K$3,SUMIF('TL18'!$C$238:$C$451,$C426,'TL18'!$J$238:$J$451),0),
IF('TL19'!$B$3=K$3,SUMIF('TL19'!$C$10:$C$224,$C426,'TL19'!$J$10:$J$224),0),
IF('TL19'!$B$229=K$3,SUMIF('TL19'!$C$238:$C$451,$C426,'TL19'!$J$238:$J$451),0)
),0)</f>
        <v/>
      </c>
      <c r="L426" s="138">
        <f>IFERROR(SUM(
IF('TL01'!$B$3=L$3,SUMIF('TL01'!$C$10:$C$224,$C426,'TL01'!$J$10:$J$224),0),
IF('TL01'!$B$229=L$3,SUMIF('TL01'!$C$238:$C$451,$C426,'TL01'!$J$238:$J$451),0),
IF('TL02'!$B$3=L$3,SUMIF('TL02'!$C$10:$C$224,$C426,'TL02'!$J$10:$J$224),0),
IF('TL02'!$B$229=L$3,SUMIF('TL02'!$C$238:$C$451,$C426,'TL02'!$J$238:$J$451),0),
IF('TL03'!$B$3=L$3,SUMIF('TL03'!$C$10:$C$224,$C426,'TL03'!$J$10:$J$224),0),
IF('TL03'!$B$229=L$3,SUMIF('TL03'!$C$238:$C$451,$C426,'TL03'!$J$238:$J$451),0),
IF('TL04'!$B$3=L$3,SUMIF('TL04'!$C$10:$C$224,$C426,'TL04'!$J$10:$J$224),0),
IF('TL04'!$B$229=L$3,SUMIF('TL04'!$C$238:$C$451,$C426,'TL04'!$J$238:$J$451),0),
IF('TL05'!$B$3=L$3,SUMIF('TL05'!$C$10:$C$224,$C426,'TL05'!$J$10:$J$224),0),
IF('TL05'!$B$229=L$3,SUMIF('TL05'!$C$238:$C$451,$C426,'TL05'!$J$238:$J$451),0),
IF('TL06'!$B$3=L$3,SUMIF('TL06'!$C$10:$C$224,$C426,'TL06'!$J$10:$J$224),0),
IF('TL06'!$B$229=L$3,SUMIF('TL06'!$C$238:$C$451,$C426,'TL06'!$J$238:$J$451),0),
IF('TL07'!$B$3=L$3,SUMIF('TL07'!$C$10:$C$224,$C426,'TL07'!$J$10:$J$224),0),
IF('TL07'!$B$229=L$3,SUMIF('TL07'!$C$238:$C$451,$C426,'TL07'!$J$238:$J$451),0),
IF('TL08'!$B$3=L$3,SUMIF('TL08'!$C$10:$C$224,$C426,'TL08'!$J$10:$J$224),0),
IF('TL08'!$B$229=L$3,SUMIF('TL08'!$C$238:$C$451,$C426,'TL08'!$J$238:$J$451),0),
IF('TL09'!$B$3=L$3,SUMIF('TL09'!$C$10:$C$224,$C426,'TL09'!$J$10:$J$224),0),
IF('TL09'!$B$229=L$3,SUMIF('TL09'!$C$238:$C$451,$C426,'TL09'!$J$238:$J$451),0),
IF('TL10'!$B$3=L$3,SUMIF('TL10'!$C$10:$C$224,$C426,'TL10'!$J$10:$J$224),0),
IF('TL10'!$B$229=L$3,SUMIF('TL10'!$C$238:$C$451,$C426,'TL10'!$J$238:$J$451),0),
IF('TL11'!$B$3=L$3,SUMIF('TL11'!$C$10:$C$224,$C426,'TL11'!$J$10:$J$224),0),
IF('TL11'!$B$229=L$3,SUMIF('TL11'!$C$238:$C$451,$C426,'TL11'!$J$238:$J$451),0),
IF('TL12'!$B$3=L$3,SUMIF('TL12'!$C$10:$C$224,$C426,'TL12'!$J$10:$J$224),0),
IF('TL12'!$B$229=L$3,SUMIF('TL12'!$C$238:$C$451,$C426,'TL12'!$J$238:$J$451),0),
IF('TL13'!$B$3=L$3,SUMIF('TL13'!$C$10:$C$224,$C426,'TL13'!$J$10:$J$224),0),
IF('TL13'!$B$229=L$3,SUMIF('TL13'!$C$238:$C$451,$C426,'TL13'!$J$238:$J$451),0),
IF('TL14'!$B$3=L$3,SUMIF('TL14'!$C$10:$C$224,$C426,'TL14'!$J$10:$J$224),0),
IF('TL14'!$B$229=L$3,SUMIF('TL14'!$C$238:$C$451,$C426,'TL14'!$J$238:$J$451),0),
IF('TL15'!$B$3=L$3,SUMIF('TL15'!$C$10:$C$224,$C426,'TL15'!$J$10:$J$224),0),
IF('TL15'!$B$229=L$3,SUMIF('TL15'!$C$238:$C$451,$C426,'TL15'!$J$238:$J$451),0),
IF('TL16'!$B$3=L$3,SUMIF('TL16'!$C$10:$C$224,$C426,'TL16'!$J$10:$J$224),0),
IF('TL16'!$B$229=L$3,SUMIF('TL16'!$C$238:$C$451,$C426,'TL16'!$J$238:$J$451),0),
IF('TL17'!$B$3=L$3,SUMIF('TL17'!$C$10:$C$224,$C426,'TL17'!$J$10:$J$224),0),
IF('TL17'!$B$229=L$3,SUMIF('TL17'!$C$238:$C$451,$C426,'TL17'!$J$238:$J$451),0),
IF('TL18'!$B$3=L$3,SUMIF('TL18'!$C$10:$C$224,$C426,'TL18'!$J$10:$J$224),0),
IF('TL18'!$B$229=L$3,SUMIF('TL18'!$C$238:$C$451,$C426,'TL18'!$J$238:$J$451),0),
IF('TL19'!$B$3=L$3,SUMIF('TL19'!$C$10:$C$224,$C426,'TL19'!$J$10:$J$224),0),
IF('TL19'!$B$229=L$3,SUMIF('TL19'!$C$238:$C$451,$C426,'TL19'!$J$238:$J$451),0)
),0)</f>
        <v/>
      </c>
      <c r="M426" s="138">
        <f>IFERROR(SUM(
IF('TL01'!$B$3=M$3,SUMIF('TL01'!$C$10:$C$224,$C426,'TL01'!$J$10:$J$224),0),
IF('TL01'!$B$229=M$3,SUMIF('TL01'!$C$238:$C$451,$C426,'TL01'!$J$238:$J$451),0),
IF('TL02'!$B$3=M$3,SUMIF('TL02'!$C$10:$C$224,$C426,'TL02'!$J$10:$J$224),0),
IF('TL02'!$B$229=M$3,SUMIF('TL02'!$C$238:$C$451,$C426,'TL02'!$J$238:$J$451),0),
IF('TL03'!$B$3=M$3,SUMIF('TL03'!$C$10:$C$224,$C426,'TL03'!$J$10:$J$224),0),
IF('TL03'!$B$229=M$3,SUMIF('TL03'!$C$238:$C$451,$C426,'TL03'!$J$238:$J$451),0),
IF('TL04'!$B$3=M$3,SUMIF('TL04'!$C$10:$C$224,$C426,'TL04'!$J$10:$J$224),0),
IF('TL04'!$B$229=M$3,SUMIF('TL04'!$C$238:$C$451,$C426,'TL04'!$J$238:$J$451),0),
IF('TL05'!$B$3=M$3,SUMIF('TL05'!$C$10:$C$224,$C426,'TL05'!$J$10:$J$224),0),
IF('TL05'!$B$229=M$3,SUMIF('TL05'!$C$238:$C$451,$C426,'TL05'!$J$238:$J$451),0),
IF('TL06'!$B$3=M$3,SUMIF('TL06'!$C$10:$C$224,$C426,'TL06'!$J$10:$J$224),0),
IF('TL06'!$B$229=M$3,SUMIF('TL06'!$C$238:$C$451,$C426,'TL06'!$J$238:$J$451),0),
IF('TL07'!$B$3=M$3,SUMIF('TL07'!$C$10:$C$224,$C426,'TL07'!$J$10:$J$224),0),
IF('TL07'!$B$229=M$3,SUMIF('TL07'!$C$238:$C$451,$C426,'TL07'!$J$238:$J$451),0),
IF('TL08'!$B$3=M$3,SUMIF('TL08'!$C$10:$C$224,$C426,'TL08'!$J$10:$J$224),0),
IF('TL08'!$B$229=M$3,SUMIF('TL08'!$C$238:$C$451,$C426,'TL08'!$J$238:$J$451),0),
IF('TL09'!$B$3=M$3,SUMIF('TL09'!$C$10:$C$224,$C426,'TL09'!$J$10:$J$224),0),
IF('TL09'!$B$229=M$3,SUMIF('TL09'!$C$238:$C$451,$C426,'TL09'!$J$238:$J$451),0),
IF('TL10'!$B$3=M$3,SUMIF('TL10'!$C$10:$C$224,$C426,'TL10'!$J$10:$J$224),0),
IF('TL10'!$B$229=M$3,SUMIF('TL10'!$C$238:$C$451,$C426,'TL10'!$J$238:$J$451),0),
IF('TL11'!$B$3=M$3,SUMIF('TL11'!$C$10:$C$224,$C426,'TL11'!$J$10:$J$224),0),
IF('TL11'!$B$229=M$3,SUMIF('TL11'!$C$238:$C$451,$C426,'TL11'!$J$238:$J$451),0),
IF('TL12'!$B$3=M$3,SUMIF('TL12'!$C$10:$C$224,$C426,'TL12'!$J$10:$J$224),0),
IF('TL12'!$B$229=M$3,SUMIF('TL12'!$C$238:$C$451,$C426,'TL12'!$J$238:$J$451),0),
IF('TL13'!$B$3=M$3,SUMIF('TL13'!$C$10:$C$224,$C426,'TL13'!$J$10:$J$224),0),
IF('TL13'!$B$229=M$3,SUMIF('TL13'!$C$238:$C$451,$C426,'TL13'!$J$238:$J$451),0),
IF('TL14'!$B$3=M$3,SUMIF('TL14'!$C$10:$C$224,$C426,'TL14'!$J$10:$J$224),0),
IF('TL14'!$B$229=M$3,SUMIF('TL14'!$C$238:$C$451,$C426,'TL14'!$J$238:$J$451),0),
IF('TL15'!$B$3=M$3,SUMIF('TL15'!$C$10:$C$224,$C426,'TL15'!$J$10:$J$224),0),
IF('TL15'!$B$229=M$3,SUMIF('TL15'!$C$238:$C$451,$C426,'TL15'!$J$238:$J$451),0),
IF('TL16'!$B$3=M$3,SUMIF('TL16'!$C$10:$C$224,$C426,'TL16'!$J$10:$J$224),0),
IF('TL16'!$B$229=M$3,SUMIF('TL16'!$C$238:$C$451,$C426,'TL16'!$J$238:$J$451),0),
IF('TL17'!$B$3=M$3,SUMIF('TL17'!$C$10:$C$224,$C426,'TL17'!$J$10:$J$224),0),
IF('TL17'!$B$229=M$3,SUMIF('TL17'!$C$238:$C$451,$C426,'TL17'!$J$238:$J$451),0),
IF('TL18'!$B$3=M$3,SUMIF('TL18'!$C$10:$C$224,$C426,'TL18'!$J$10:$J$224),0),
IF('TL18'!$B$229=M$3,SUMIF('TL18'!$C$238:$C$451,$C426,'TL18'!$J$238:$J$451),0),
IF('TL19'!$B$3=M$3,SUMIF('TL19'!$C$10:$C$224,$C426,'TL19'!$J$10:$J$224),0),
IF('TL19'!$B$229=M$3,SUMIF('TL19'!$C$238:$C$451,$C426,'TL19'!$J$238:$J$451),0)
),0)</f>
        <v/>
      </c>
      <c r="N426" s="138">
        <f>IFERROR(SUM(
IF('TL01'!$B$3=N$3,SUMIF('TL01'!$C$10:$C$224,$C426,'TL01'!$J$10:$J$224),0),
IF('TL01'!$B$229=N$3,SUMIF('TL01'!$C$238:$C$451,$C426,'TL01'!$J$238:$J$451),0),
IF('TL02'!$B$3=N$3,SUMIF('TL02'!$C$10:$C$224,$C426,'TL02'!$J$10:$J$224),0),
IF('TL02'!$B$229=N$3,SUMIF('TL02'!$C$238:$C$451,$C426,'TL02'!$J$238:$J$451),0),
IF('TL03'!$B$3=N$3,SUMIF('TL03'!$C$10:$C$224,$C426,'TL03'!$J$10:$J$224),0),
IF('TL03'!$B$229=N$3,SUMIF('TL03'!$C$238:$C$451,$C426,'TL03'!$J$238:$J$451),0),
IF('TL04'!$B$3=N$3,SUMIF('TL04'!$C$10:$C$224,$C426,'TL04'!$J$10:$J$224),0),
IF('TL04'!$B$229=N$3,SUMIF('TL04'!$C$238:$C$451,$C426,'TL04'!$J$238:$J$451),0),
IF('TL05'!$B$3=N$3,SUMIF('TL05'!$C$10:$C$224,$C426,'TL05'!$J$10:$J$224),0),
IF('TL05'!$B$229=N$3,SUMIF('TL05'!$C$238:$C$451,$C426,'TL05'!$J$238:$J$451),0),
IF('TL06'!$B$3=N$3,SUMIF('TL06'!$C$10:$C$224,$C426,'TL06'!$J$10:$J$224),0),
IF('TL06'!$B$229=N$3,SUMIF('TL06'!$C$238:$C$451,$C426,'TL06'!$J$238:$J$451),0),
IF('TL07'!$B$3=N$3,SUMIF('TL07'!$C$10:$C$224,$C426,'TL07'!$J$10:$J$224),0),
IF('TL07'!$B$229=N$3,SUMIF('TL07'!$C$238:$C$451,$C426,'TL07'!$J$238:$J$451),0),
IF('TL08'!$B$3=N$3,SUMIF('TL08'!$C$10:$C$224,$C426,'TL08'!$J$10:$J$224),0),
IF('TL08'!$B$229=N$3,SUMIF('TL08'!$C$238:$C$451,$C426,'TL08'!$J$238:$J$451),0),
IF('TL09'!$B$3=N$3,SUMIF('TL09'!$C$10:$C$224,$C426,'TL09'!$J$10:$J$224),0),
IF('TL09'!$B$229=N$3,SUMIF('TL09'!$C$238:$C$451,$C426,'TL09'!$J$238:$J$451),0),
IF('TL10'!$B$3=N$3,SUMIF('TL10'!$C$10:$C$224,$C426,'TL10'!$J$10:$J$224),0),
IF('TL10'!$B$229=N$3,SUMIF('TL10'!$C$238:$C$451,$C426,'TL10'!$J$238:$J$451),0),
IF('TL11'!$B$3=N$3,SUMIF('TL11'!$C$10:$C$224,$C426,'TL11'!$J$10:$J$224),0),
IF('TL11'!$B$229=N$3,SUMIF('TL11'!$C$238:$C$451,$C426,'TL11'!$J$238:$J$451),0),
IF('TL12'!$B$3=N$3,SUMIF('TL12'!$C$10:$C$224,$C426,'TL12'!$J$10:$J$224),0),
IF('TL12'!$B$229=N$3,SUMIF('TL12'!$C$238:$C$451,$C426,'TL12'!$J$238:$J$451),0),
IF('TL13'!$B$3=N$3,SUMIF('TL13'!$C$10:$C$224,$C426,'TL13'!$J$10:$J$224),0),
IF('TL13'!$B$229=N$3,SUMIF('TL13'!$C$238:$C$451,$C426,'TL13'!$J$238:$J$451),0),
IF('TL14'!$B$3=N$3,SUMIF('TL14'!$C$10:$C$224,$C426,'TL14'!$J$10:$J$224),0),
IF('TL14'!$B$229=N$3,SUMIF('TL14'!$C$238:$C$451,$C426,'TL14'!$J$238:$J$451),0),
IF('TL15'!$B$3=N$3,SUMIF('TL15'!$C$10:$C$224,$C426,'TL15'!$J$10:$J$224),0),
IF('TL15'!$B$229=N$3,SUMIF('TL15'!$C$238:$C$451,$C426,'TL15'!$J$238:$J$451),0),
IF('TL16'!$B$3=N$3,SUMIF('TL16'!$C$10:$C$224,$C426,'TL16'!$J$10:$J$224),0),
IF('TL16'!$B$229=N$3,SUMIF('TL16'!$C$238:$C$451,$C426,'TL16'!$J$238:$J$451),0),
IF('TL17'!$B$3=N$3,SUMIF('TL17'!$C$10:$C$224,$C426,'TL17'!$J$10:$J$224),0),
IF('TL17'!$B$229=N$3,SUMIF('TL17'!$C$238:$C$451,$C426,'TL17'!$J$238:$J$451),0),
IF('TL18'!$B$3=N$3,SUMIF('TL18'!$C$10:$C$224,$C426,'TL18'!$J$10:$J$224),0),
IF('TL18'!$B$229=N$3,SUMIF('TL18'!$C$238:$C$451,$C426,'TL18'!$J$238:$J$451),0),
IF('TL19'!$B$3=N$3,SUMIF('TL19'!$C$10:$C$224,$C426,'TL19'!$J$10:$J$224),0),
IF('TL19'!$B$229=N$3,SUMIF('TL19'!$C$238:$C$451,$C426,'TL19'!$J$238:$J$451),0)
),0)</f>
        <v/>
      </c>
      <c r="O426" s="138">
        <f>IFERROR(SUM(
IF('TL01'!$B$3=O$3,SUMIF('TL01'!$C$10:$C$224,$C426,'TL01'!$J$10:$J$224),0),
IF('TL01'!$B$229=O$3,SUMIF('TL01'!$C$238:$C$451,$C426,'TL01'!$J$238:$J$451),0),
IF('TL02'!$B$3=O$3,SUMIF('TL02'!$C$10:$C$224,$C426,'TL02'!$J$10:$J$224),0),
IF('TL02'!$B$229=O$3,SUMIF('TL02'!$C$238:$C$451,$C426,'TL02'!$J$238:$J$451),0),
IF('TL03'!$B$3=O$3,SUMIF('TL03'!$C$10:$C$224,$C426,'TL03'!$J$10:$J$224),0),
IF('TL03'!$B$229=O$3,SUMIF('TL03'!$C$238:$C$451,$C426,'TL03'!$J$238:$J$451),0),
IF('TL04'!$B$3=O$3,SUMIF('TL04'!$C$10:$C$224,$C426,'TL04'!$J$10:$J$224),0),
IF('TL04'!$B$229=O$3,SUMIF('TL04'!$C$238:$C$451,$C426,'TL04'!$J$238:$J$451),0),
IF('TL05'!$B$3=O$3,SUMIF('TL05'!$C$10:$C$224,$C426,'TL05'!$J$10:$J$224),0),
IF('TL05'!$B$229=O$3,SUMIF('TL05'!$C$238:$C$451,$C426,'TL05'!$J$238:$J$451),0),
IF('TL06'!$B$3=O$3,SUMIF('TL06'!$C$10:$C$224,$C426,'TL06'!$J$10:$J$224),0),
IF('TL06'!$B$229=O$3,SUMIF('TL06'!$C$238:$C$451,$C426,'TL06'!$J$238:$J$451),0),
IF('TL07'!$B$3=O$3,SUMIF('TL07'!$C$10:$C$224,$C426,'TL07'!$J$10:$J$224),0),
IF('TL07'!$B$229=O$3,SUMIF('TL07'!$C$238:$C$451,$C426,'TL07'!$J$238:$J$451),0),
IF('TL08'!$B$3=O$3,SUMIF('TL08'!$C$10:$C$224,$C426,'TL08'!$J$10:$J$224),0),
IF('TL08'!$B$229=O$3,SUMIF('TL08'!$C$238:$C$451,$C426,'TL08'!$J$238:$J$451),0),
IF('TL09'!$B$3=O$3,SUMIF('TL09'!$C$10:$C$224,$C426,'TL09'!$J$10:$J$224),0),
IF('TL09'!$B$229=O$3,SUMIF('TL09'!$C$238:$C$451,$C426,'TL09'!$J$238:$J$451),0),
IF('TL10'!$B$3=O$3,SUMIF('TL10'!$C$10:$C$224,$C426,'TL10'!$J$10:$J$224),0),
IF('TL10'!$B$229=O$3,SUMIF('TL10'!$C$238:$C$451,$C426,'TL10'!$J$238:$J$451),0),
IF('TL11'!$B$3=O$3,SUMIF('TL11'!$C$10:$C$224,$C426,'TL11'!$J$10:$J$224),0),
IF('TL11'!$B$229=O$3,SUMIF('TL11'!$C$238:$C$451,$C426,'TL11'!$J$238:$J$451),0),
IF('TL12'!$B$3=O$3,SUMIF('TL12'!$C$10:$C$224,$C426,'TL12'!$J$10:$J$224),0),
IF('TL12'!$B$229=O$3,SUMIF('TL12'!$C$238:$C$451,$C426,'TL12'!$J$238:$J$451),0),
IF('TL13'!$B$3=O$3,SUMIF('TL13'!$C$10:$C$224,$C426,'TL13'!$J$10:$J$224),0),
IF('TL13'!$B$229=O$3,SUMIF('TL13'!$C$238:$C$451,$C426,'TL13'!$J$238:$J$451),0),
IF('TL14'!$B$3=O$3,SUMIF('TL14'!$C$10:$C$224,$C426,'TL14'!$J$10:$J$224),0),
IF('TL14'!$B$229=O$3,SUMIF('TL14'!$C$238:$C$451,$C426,'TL14'!$J$238:$J$451),0),
IF('TL15'!$B$3=O$3,SUMIF('TL15'!$C$10:$C$224,$C426,'TL15'!$J$10:$J$224),0),
IF('TL15'!$B$229=O$3,SUMIF('TL15'!$C$238:$C$451,$C426,'TL15'!$J$238:$J$451),0),
IF('TL16'!$B$3=O$3,SUMIF('TL16'!$C$10:$C$224,$C426,'TL16'!$J$10:$J$224),0),
IF('TL16'!$B$229=O$3,SUMIF('TL16'!$C$238:$C$451,$C426,'TL16'!$J$238:$J$451),0),
IF('TL17'!$B$3=O$3,SUMIF('TL17'!$C$10:$C$224,$C426,'TL17'!$J$10:$J$224),0),
IF('TL17'!$B$229=O$3,SUMIF('TL17'!$C$238:$C$451,$C426,'TL17'!$J$238:$J$451),0),
IF('TL18'!$B$3=O$3,SUMIF('TL18'!$C$10:$C$224,$C426,'TL18'!$J$10:$J$224),0),
IF('TL18'!$B$229=O$3,SUMIF('TL18'!$C$238:$C$451,$C426,'TL18'!$J$238:$J$451),0),
IF('TL19'!$B$3=O$3,SUMIF('TL19'!$C$10:$C$224,$C426,'TL19'!$J$10:$J$224),0),
IF('TL19'!$B$229=O$3,SUMIF('TL19'!$C$238:$C$451,$C426,'TL19'!$J$238:$J$451),0)
),0)</f>
        <v/>
      </c>
      <c r="P426" s="138">
        <f>IFERROR(SUM(
IF('TL01'!$B$3=P$3,SUMIF('TL01'!$C$10:$C$224,$C426,'TL01'!$J$10:$J$224),0),
IF('TL01'!$B$229=P$3,SUMIF('TL01'!$C$238:$C$451,$C426,'TL01'!$J$238:$J$451),0),
IF('TL02'!$B$3=P$3,SUMIF('TL02'!$C$10:$C$224,$C426,'TL02'!$J$10:$J$224),0),
IF('TL02'!$B$229=P$3,SUMIF('TL02'!$C$238:$C$451,$C426,'TL02'!$J$238:$J$451),0),
IF('TL03'!$B$3=P$3,SUMIF('TL03'!$C$10:$C$224,$C426,'TL03'!$J$10:$J$224),0),
IF('TL03'!$B$229=P$3,SUMIF('TL03'!$C$238:$C$451,$C426,'TL03'!$J$238:$J$451),0),
IF('TL04'!$B$3=P$3,SUMIF('TL04'!$C$10:$C$224,$C426,'TL04'!$J$10:$J$224),0),
IF('TL04'!$B$229=P$3,SUMIF('TL04'!$C$238:$C$451,$C426,'TL04'!$J$238:$J$451),0),
IF('TL05'!$B$3=P$3,SUMIF('TL05'!$C$10:$C$224,$C426,'TL05'!$J$10:$J$224),0),
IF('TL05'!$B$229=P$3,SUMIF('TL05'!$C$238:$C$451,$C426,'TL05'!$J$238:$J$451),0),
IF('TL06'!$B$3=P$3,SUMIF('TL06'!$C$10:$C$224,$C426,'TL06'!$J$10:$J$224),0),
IF('TL06'!$B$229=P$3,SUMIF('TL06'!$C$238:$C$451,$C426,'TL06'!$J$238:$J$451),0),
IF('TL07'!$B$3=P$3,SUMIF('TL07'!$C$10:$C$224,$C426,'TL07'!$J$10:$J$224),0),
IF('TL07'!$B$229=P$3,SUMIF('TL07'!$C$238:$C$451,$C426,'TL07'!$J$238:$J$451),0),
IF('TL08'!$B$3=P$3,SUMIF('TL08'!$C$10:$C$224,$C426,'TL08'!$J$10:$J$224),0),
IF('TL08'!$B$229=P$3,SUMIF('TL08'!$C$238:$C$451,$C426,'TL08'!$J$238:$J$451),0),
IF('TL09'!$B$3=P$3,SUMIF('TL09'!$C$10:$C$224,$C426,'TL09'!$J$10:$J$224),0),
IF('TL09'!$B$229=P$3,SUMIF('TL09'!$C$238:$C$451,$C426,'TL09'!$J$238:$J$451),0),
IF('TL10'!$B$3=P$3,SUMIF('TL10'!$C$10:$C$224,$C426,'TL10'!$J$10:$J$224),0),
IF('TL10'!$B$229=P$3,SUMIF('TL10'!$C$238:$C$451,$C426,'TL10'!$J$238:$J$451),0),
IF('TL11'!$B$3=P$3,SUMIF('TL11'!$C$10:$C$224,$C426,'TL11'!$J$10:$J$224),0),
IF('TL11'!$B$229=P$3,SUMIF('TL11'!$C$238:$C$451,$C426,'TL11'!$J$238:$J$451),0),
IF('TL12'!$B$3=P$3,SUMIF('TL12'!$C$10:$C$224,$C426,'TL12'!$J$10:$J$224),0),
IF('TL12'!$B$229=P$3,SUMIF('TL12'!$C$238:$C$451,$C426,'TL12'!$J$238:$J$451),0),
IF('TL13'!$B$3=P$3,SUMIF('TL13'!$C$10:$C$224,$C426,'TL13'!$J$10:$J$224),0),
IF('TL13'!$B$229=P$3,SUMIF('TL13'!$C$238:$C$451,$C426,'TL13'!$J$238:$J$451),0),
IF('TL14'!$B$3=P$3,SUMIF('TL14'!$C$10:$C$224,$C426,'TL14'!$J$10:$J$224),0),
IF('TL14'!$B$229=P$3,SUMIF('TL14'!$C$238:$C$451,$C426,'TL14'!$J$238:$J$451),0),
IF('TL15'!$B$3=P$3,SUMIF('TL15'!$C$10:$C$224,$C426,'TL15'!$J$10:$J$224),0),
IF('TL15'!$B$229=P$3,SUMIF('TL15'!$C$238:$C$451,$C426,'TL15'!$J$238:$J$451),0),
IF('TL16'!$B$3=P$3,SUMIF('TL16'!$C$10:$C$224,$C426,'TL16'!$J$10:$J$224),0),
IF('TL16'!$B$229=P$3,SUMIF('TL16'!$C$238:$C$451,$C426,'TL16'!$J$238:$J$451),0),
IF('TL17'!$B$3=P$3,SUMIF('TL17'!$C$10:$C$224,$C426,'TL17'!$J$10:$J$224),0),
IF('TL17'!$B$229=P$3,SUMIF('TL17'!$C$238:$C$451,$C426,'TL17'!$J$238:$J$451),0),
IF('TL18'!$B$3=P$3,SUMIF('TL18'!$C$10:$C$224,$C426,'TL18'!$J$10:$J$224),0),
IF('TL18'!$B$229=P$3,SUMIF('TL18'!$C$238:$C$451,$C426,'TL18'!$J$238:$J$451),0),
IF('TL19'!$B$3=P$3,SUMIF('TL19'!$C$10:$C$224,$C426,'TL19'!$J$10:$J$224),0),
IF('TL19'!$B$229=P$3,SUMIF('TL19'!$C$238:$C$451,$C426,'TL19'!$J$238:$J$451),0)
),0)</f>
        <v/>
      </c>
      <c r="Q426" s="138">
        <f>IFERROR(SUM(
IF('TL01'!$B$3=Q$3,SUMIF('TL01'!$C$10:$C$224,$C426,'TL01'!$J$10:$J$224),0),
IF('TL01'!$B$229=Q$3,SUMIF('TL01'!$C$238:$C$451,$C426,'TL01'!$J$238:$J$451),0),
IF('TL02'!$B$3=Q$3,SUMIF('TL02'!$C$10:$C$224,$C426,'TL02'!$J$10:$J$224),0),
IF('TL02'!$B$229=Q$3,SUMIF('TL02'!$C$238:$C$451,$C426,'TL02'!$J$238:$J$451),0),
IF('TL03'!$B$3=Q$3,SUMIF('TL03'!$C$10:$C$224,$C426,'TL03'!$J$10:$J$224),0),
IF('TL03'!$B$229=Q$3,SUMIF('TL03'!$C$238:$C$451,$C426,'TL03'!$J$238:$J$451),0),
IF('TL04'!$B$3=Q$3,SUMIF('TL04'!$C$10:$C$224,$C426,'TL04'!$J$10:$J$224),0),
IF('TL04'!$B$229=Q$3,SUMIF('TL04'!$C$238:$C$451,$C426,'TL04'!$J$238:$J$451),0),
IF('TL05'!$B$3=Q$3,SUMIF('TL05'!$C$10:$C$224,$C426,'TL05'!$J$10:$J$224),0),
IF('TL05'!$B$229=Q$3,SUMIF('TL05'!$C$238:$C$451,$C426,'TL05'!$J$238:$J$451),0),
IF('TL06'!$B$3=Q$3,SUMIF('TL06'!$C$10:$C$224,$C426,'TL06'!$J$10:$J$224),0),
IF('TL06'!$B$229=Q$3,SUMIF('TL06'!$C$238:$C$451,$C426,'TL06'!$J$238:$J$451),0),
IF('TL07'!$B$3=Q$3,SUMIF('TL07'!$C$10:$C$224,$C426,'TL07'!$J$10:$J$224),0),
IF('TL07'!$B$229=Q$3,SUMIF('TL07'!$C$238:$C$451,$C426,'TL07'!$J$238:$J$451),0),
IF('TL08'!$B$3=Q$3,SUMIF('TL08'!$C$10:$C$224,$C426,'TL08'!$J$10:$J$224),0),
IF('TL08'!$B$229=Q$3,SUMIF('TL08'!$C$238:$C$451,$C426,'TL08'!$J$238:$J$451),0),
IF('TL09'!$B$3=Q$3,SUMIF('TL09'!$C$10:$C$224,$C426,'TL09'!$J$10:$J$224),0),
IF('TL09'!$B$229=Q$3,SUMIF('TL09'!$C$238:$C$451,$C426,'TL09'!$J$238:$J$451),0),
IF('TL10'!$B$3=Q$3,SUMIF('TL10'!$C$10:$C$224,$C426,'TL10'!$J$10:$J$224),0),
IF('TL10'!$B$229=Q$3,SUMIF('TL10'!$C$238:$C$451,$C426,'TL10'!$J$238:$J$451),0),
IF('TL11'!$B$3=Q$3,SUMIF('TL11'!$C$10:$C$224,$C426,'TL11'!$J$10:$J$224),0),
IF('TL11'!$B$229=Q$3,SUMIF('TL11'!$C$238:$C$451,$C426,'TL11'!$J$238:$J$451),0),
IF('TL12'!$B$3=Q$3,SUMIF('TL12'!$C$10:$C$224,$C426,'TL12'!$J$10:$J$224),0),
IF('TL12'!$B$229=Q$3,SUMIF('TL12'!$C$238:$C$451,$C426,'TL12'!$J$238:$J$451),0),
IF('TL13'!$B$3=Q$3,SUMIF('TL13'!$C$10:$C$224,$C426,'TL13'!$J$10:$J$224),0),
IF('TL13'!$B$229=Q$3,SUMIF('TL13'!$C$238:$C$451,$C426,'TL13'!$J$238:$J$451),0),
IF('TL14'!$B$3=Q$3,SUMIF('TL14'!$C$10:$C$224,$C426,'TL14'!$J$10:$J$224),0),
IF('TL14'!$B$229=Q$3,SUMIF('TL14'!$C$238:$C$451,$C426,'TL14'!$J$238:$J$451),0),
IF('TL15'!$B$3=Q$3,SUMIF('TL15'!$C$10:$C$224,$C426,'TL15'!$J$10:$J$224),0),
IF('TL15'!$B$229=Q$3,SUMIF('TL15'!$C$238:$C$451,$C426,'TL15'!$J$238:$J$451),0),
IF('TL16'!$B$3=Q$3,SUMIF('TL16'!$C$10:$C$224,$C426,'TL16'!$J$10:$J$224),0),
IF('TL16'!$B$229=Q$3,SUMIF('TL16'!$C$238:$C$451,$C426,'TL16'!$J$238:$J$451),0),
IF('TL17'!$B$3=Q$3,SUMIF('TL17'!$C$10:$C$224,$C426,'TL17'!$J$10:$J$224),0),
IF('TL17'!$B$229=Q$3,SUMIF('TL17'!$C$238:$C$451,$C426,'TL17'!$J$238:$J$451),0),
IF('TL18'!$B$3=Q$3,SUMIF('TL18'!$C$10:$C$224,$C426,'TL18'!$J$10:$J$224),0),
IF('TL18'!$B$229=Q$3,SUMIF('TL18'!$C$238:$C$451,$C426,'TL18'!$J$238:$J$451),0),
IF('TL19'!$B$3=Q$3,SUMIF('TL19'!$C$10:$C$224,$C426,'TL19'!$J$10:$J$224),0),
IF('TL19'!$B$229=Q$3,SUMIF('TL19'!$C$238:$C$451,$C426,'TL19'!$J$238:$J$451),0)
),0)</f>
        <v/>
      </c>
      <c r="R426" s="139">
        <f>IFERROR(
SUM(
SUMIF('TL01'!C:C,C426,'TL01'!J:J),
SUMIF('TL02'!C:C,C426,'TL02'!I:I),
SUMIF('TL03'!C:C,C426,'TL03'!I:I),
SUMIF('TL04'!C:C,C426,'TL04'!I:I),
SUMIF('TL05'!C:C,C426,'TL05'!I:I),
SUMIF('TL06'!C:C,C426,'TL06'!I:I),
SUMIF('TL07'!C:C,C426,'TL07'!I:I),
SUMIF('TL08'!C:C,C426,'TL08'!I:I),
SUMIF('TL09'!C:C,C426,'TL09'!I:I),
SUMIF('TL10'!C:C,C426,'TL10'!I:I),
SUMIF('TL11'!C:C,C426,'TL11'!I:I),
SUMIF('TL12'!C:C,C426,'TL12'!I:I),
SUMIF('TL13'!C:C,C426,'TL13'!I:I),
SUMIF('TL14'!C:C,C426,'TL14'!I:I),
SUMIF('TL15'!C:C,C426,'TL15'!I:I),
SUMIF('TL16'!C:C,C426,'TL16'!I:I),
SUMIF('TL17'!C:C,C426,'TL17'!I:I),
SUMIF('TL18'!C:C,C426,'TL18'!I:I))
,0)</f>
        <v/>
      </c>
      <c r="S426" s="142">
        <f>'CUSTO OPERAÇÃO'!M30</f>
        <v/>
      </c>
      <c r="T426" s="139" t="n"/>
      <c r="U426" s="143">
        <f>MAX(0,R426-T426)</f>
        <v/>
      </c>
      <c r="V426" s="144">
        <f>U426*S426</f>
        <v/>
      </c>
    </row>
    <row r="427" hidden="1" ht="15.75" customHeight="1" s="297">
      <c r="A427" s="138" t="n"/>
      <c r="B427" s="155" t="n"/>
      <c r="C427" s="138" t="n"/>
      <c r="D427" s="138" t="n"/>
      <c r="E427" s="139" t="n"/>
      <c r="F427" s="138" t="inlineStr">
        <is>
          <t>R$/Ha</t>
        </is>
      </c>
      <c r="G427" s="139" t="n"/>
      <c r="H427" s="139">
        <f>'CUSTO OPERAÇÃO'!J31</f>
        <v/>
      </c>
      <c r="I427" s="156" t="n"/>
      <c r="J427" s="138">
        <f>IFERROR(SUM(
IF('TL01'!$B$3=J$3,SUMIF('TL01'!$C$10:$C$224,$C427,'TL01'!$J$10:$J$224),0),
IF('TL01'!$B$229=J$3,SUMIF('TL01'!$C$238:$C$451,$C427,'TL01'!$J$238:$J$451),0),
IF('TL02'!$B$3=J$3,SUMIF('TL02'!$C$10:$C$224,$C427,'TL02'!$J$10:$J$224),0),
IF('TL02'!$B$229=J$3,SUMIF('TL02'!$C$238:$C$451,$C427,'TL02'!$J$238:$J$451),0),
IF('TL03'!$B$3=J$3,SUMIF('TL03'!$C$10:$C$224,$C427,'TL03'!$J$10:$J$224),0),
IF('TL03'!$B$229=J$3,SUMIF('TL03'!$C$238:$C$451,$C427,'TL03'!$J$238:$J$451),0),
IF('TL04'!$B$3=J$3,SUMIF('TL04'!$C$10:$C$224,$C427,'TL04'!$J$10:$J$224),0),
IF('TL04'!$B$229=J$3,SUMIF('TL04'!$C$238:$C$451,$C427,'TL04'!$J$238:$J$451),0),
IF('TL05'!$B$3=J$3,SUMIF('TL05'!$C$10:$C$224,$C427,'TL05'!$J$10:$J$224),0),
IF('TL05'!$B$229=J$3,SUMIF('TL05'!$C$238:$C$451,$C427,'TL05'!$J$238:$J$451),0),
IF('TL06'!$B$3=J$3,SUMIF('TL06'!$C$10:$C$224,$C427,'TL06'!$J$10:$J$224),0),
IF('TL06'!$B$229=J$3,SUMIF('TL06'!$C$238:$C$451,$C427,'TL06'!$J$238:$J$451),0),
IF('TL07'!$B$3=J$3,SUMIF('TL07'!$C$10:$C$224,$C427,'TL07'!$J$10:$J$224),0),
IF('TL07'!$B$229=J$3,SUMIF('TL07'!$C$238:$C$451,$C427,'TL07'!$J$238:$J$451),0),
IF('TL08'!$B$3=J$3,SUMIF('TL08'!$C$10:$C$224,$C427,'TL08'!$J$10:$J$224),0),
IF('TL08'!$B$229=J$3,SUMIF('TL08'!$C$238:$C$451,$C427,'TL08'!$J$238:$J$451),0),
IF('TL09'!$B$3=J$3,SUMIF('TL09'!$C$10:$C$224,$C427,'TL09'!$J$10:$J$224),0),
IF('TL09'!$B$229=J$3,SUMIF('TL09'!$C$238:$C$451,$C427,'TL09'!$J$238:$J$451),0),
IF('TL10'!$B$3=J$3,SUMIF('TL10'!$C$10:$C$224,$C427,'TL10'!$J$10:$J$224),0),
IF('TL10'!$B$229=J$3,SUMIF('TL10'!$C$238:$C$451,$C427,'TL10'!$J$238:$J$451),0),
IF('TL11'!$B$3=J$3,SUMIF('TL11'!$C$10:$C$224,$C427,'TL11'!$J$10:$J$224),0),
IF('TL11'!$B$229=J$3,SUMIF('TL11'!$C$238:$C$451,$C427,'TL11'!$J$238:$J$451),0),
IF('TL12'!$B$3=J$3,SUMIF('TL12'!$C$10:$C$224,$C427,'TL12'!$J$10:$J$224),0),
IF('TL12'!$B$229=J$3,SUMIF('TL12'!$C$238:$C$451,$C427,'TL12'!$J$238:$J$451),0),
IF('TL13'!$B$3=J$3,SUMIF('TL13'!$C$10:$C$224,$C427,'TL13'!$J$10:$J$224),0),
IF('TL13'!$B$229=J$3,SUMIF('TL13'!$C$238:$C$451,$C427,'TL13'!$J$238:$J$451),0),
IF('TL14'!$B$3=J$3,SUMIF('TL14'!$C$10:$C$224,$C427,'TL14'!$J$10:$J$224),0),
IF('TL14'!$B$229=J$3,SUMIF('TL14'!$C$238:$C$451,$C427,'TL14'!$J$238:$J$451),0),
IF('TL15'!$B$3=J$3,SUMIF('TL15'!$C$10:$C$224,$C427,'TL15'!$J$10:$J$224),0),
IF('TL15'!$B$229=J$3,SUMIF('TL15'!$C$238:$C$451,$C427,'TL15'!$J$238:$J$451),0),
IF('TL16'!$B$3=J$3,SUMIF('TL16'!$C$10:$C$224,$C427,'TL16'!$J$10:$J$224),0),
IF('TL16'!$B$229=J$3,SUMIF('TL16'!$C$238:$C$451,$C427,'TL16'!$J$238:$J$451),0),
IF('TL17'!$B$3=J$3,SUMIF('TL17'!$C$10:$C$224,$C427,'TL17'!$J$10:$J$224),0),
IF('TL17'!$B$229=J$3,SUMIF('TL17'!$C$238:$C$451,$C427,'TL17'!$J$238:$J$451),0),
IF('TL18'!$B$3=J$3,SUMIF('TL18'!$C$10:$C$224,$C427,'TL18'!$J$10:$J$224),0),
IF('TL18'!$B$229=J$3,SUMIF('TL18'!$C$238:$C$451,$C427,'TL18'!$J$238:$J$451),0),
IF('TL19'!$B$3=J$3,SUMIF('TL19'!$C$10:$C$224,$C427,'TL19'!$J$10:$J$224),0),
IF('TL19'!$B$229=J$3,SUMIF('TL19'!$C$238:$C$451,$C427,'TL19'!$J$238:$J$451),0)
),0)</f>
        <v/>
      </c>
      <c r="K427" s="138">
        <f>IFERROR(SUM(
IF('TL01'!$B$3=K$3,SUMIF('TL01'!$C$10:$C$224,$C427,'TL01'!$J$10:$J$224),0),
IF('TL01'!$B$229=K$3,SUMIF('TL01'!$C$238:$C$451,$C427,'TL01'!$J$238:$J$451),0),
IF('TL02'!$B$3=K$3,SUMIF('TL02'!$C$10:$C$224,$C427,'TL02'!$J$10:$J$224),0),
IF('TL02'!$B$229=K$3,SUMIF('TL02'!$C$238:$C$451,$C427,'TL02'!$J$238:$J$451),0),
IF('TL03'!$B$3=K$3,SUMIF('TL03'!$C$10:$C$224,$C427,'TL03'!$J$10:$J$224),0),
IF('TL03'!$B$229=K$3,SUMIF('TL03'!$C$238:$C$451,$C427,'TL03'!$J$238:$J$451),0),
IF('TL04'!$B$3=K$3,SUMIF('TL04'!$C$10:$C$224,$C427,'TL04'!$J$10:$J$224),0),
IF('TL04'!$B$229=K$3,SUMIF('TL04'!$C$238:$C$451,$C427,'TL04'!$J$238:$J$451),0),
IF('TL05'!$B$3=K$3,SUMIF('TL05'!$C$10:$C$224,$C427,'TL05'!$J$10:$J$224),0),
IF('TL05'!$B$229=K$3,SUMIF('TL05'!$C$238:$C$451,$C427,'TL05'!$J$238:$J$451),0),
IF('TL06'!$B$3=K$3,SUMIF('TL06'!$C$10:$C$224,$C427,'TL06'!$J$10:$J$224),0),
IF('TL06'!$B$229=K$3,SUMIF('TL06'!$C$238:$C$451,$C427,'TL06'!$J$238:$J$451),0),
IF('TL07'!$B$3=K$3,SUMIF('TL07'!$C$10:$C$224,$C427,'TL07'!$J$10:$J$224),0),
IF('TL07'!$B$229=K$3,SUMIF('TL07'!$C$238:$C$451,$C427,'TL07'!$J$238:$J$451),0),
IF('TL08'!$B$3=K$3,SUMIF('TL08'!$C$10:$C$224,$C427,'TL08'!$J$10:$J$224),0),
IF('TL08'!$B$229=K$3,SUMIF('TL08'!$C$238:$C$451,$C427,'TL08'!$J$238:$J$451),0),
IF('TL09'!$B$3=K$3,SUMIF('TL09'!$C$10:$C$224,$C427,'TL09'!$J$10:$J$224),0),
IF('TL09'!$B$229=K$3,SUMIF('TL09'!$C$238:$C$451,$C427,'TL09'!$J$238:$J$451),0),
IF('TL10'!$B$3=K$3,SUMIF('TL10'!$C$10:$C$224,$C427,'TL10'!$J$10:$J$224),0),
IF('TL10'!$B$229=K$3,SUMIF('TL10'!$C$238:$C$451,$C427,'TL10'!$J$238:$J$451),0),
IF('TL11'!$B$3=K$3,SUMIF('TL11'!$C$10:$C$224,$C427,'TL11'!$J$10:$J$224),0),
IF('TL11'!$B$229=K$3,SUMIF('TL11'!$C$238:$C$451,$C427,'TL11'!$J$238:$J$451),0),
IF('TL12'!$B$3=K$3,SUMIF('TL12'!$C$10:$C$224,$C427,'TL12'!$J$10:$J$224),0),
IF('TL12'!$B$229=K$3,SUMIF('TL12'!$C$238:$C$451,$C427,'TL12'!$J$238:$J$451),0),
IF('TL13'!$B$3=K$3,SUMIF('TL13'!$C$10:$C$224,$C427,'TL13'!$J$10:$J$224),0),
IF('TL13'!$B$229=K$3,SUMIF('TL13'!$C$238:$C$451,$C427,'TL13'!$J$238:$J$451),0),
IF('TL14'!$B$3=K$3,SUMIF('TL14'!$C$10:$C$224,$C427,'TL14'!$J$10:$J$224),0),
IF('TL14'!$B$229=K$3,SUMIF('TL14'!$C$238:$C$451,$C427,'TL14'!$J$238:$J$451),0),
IF('TL15'!$B$3=K$3,SUMIF('TL15'!$C$10:$C$224,$C427,'TL15'!$J$10:$J$224),0),
IF('TL15'!$B$229=K$3,SUMIF('TL15'!$C$238:$C$451,$C427,'TL15'!$J$238:$J$451),0),
IF('TL16'!$B$3=K$3,SUMIF('TL16'!$C$10:$C$224,$C427,'TL16'!$J$10:$J$224),0),
IF('TL16'!$B$229=K$3,SUMIF('TL16'!$C$238:$C$451,$C427,'TL16'!$J$238:$J$451),0),
IF('TL17'!$B$3=K$3,SUMIF('TL17'!$C$10:$C$224,$C427,'TL17'!$J$10:$J$224),0),
IF('TL17'!$B$229=K$3,SUMIF('TL17'!$C$238:$C$451,$C427,'TL17'!$J$238:$J$451),0),
IF('TL18'!$B$3=K$3,SUMIF('TL18'!$C$10:$C$224,$C427,'TL18'!$J$10:$J$224),0),
IF('TL18'!$B$229=K$3,SUMIF('TL18'!$C$238:$C$451,$C427,'TL18'!$J$238:$J$451),0),
IF('TL19'!$B$3=K$3,SUMIF('TL19'!$C$10:$C$224,$C427,'TL19'!$J$10:$J$224),0),
IF('TL19'!$B$229=K$3,SUMIF('TL19'!$C$238:$C$451,$C427,'TL19'!$J$238:$J$451),0)
),0)</f>
        <v/>
      </c>
      <c r="L427" s="138">
        <f>IFERROR(SUM(
IF('TL01'!$B$3=L$3,SUMIF('TL01'!$C$10:$C$224,$C427,'TL01'!$J$10:$J$224),0),
IF('TL01'!$B$229=L$3,SUMIF('TL01'!$C$238:$C$451,$C427,'TL01'!$J$238:$J$451),0),
IF('TL02'!$B$3=L$3,SUMIF('TL02'!$C$10:$C$224,$C427,'TL02'!$J$10:$J$224),0),
IF('TL02'!$B$229=L$3,SUMIF('TL02'!$C$238:$C$451,$C427,'TL02'!$J$238:$J$451),0),
IF('TL03'!$B$3=L$3,SUMIF('TL03'!$C$10:$C$224,$C427,'TL03'!$J$10:$J$224),0),
IF('TL03'!$B$229=L$3,SUMIF('TL03'!$C$238:$C$451,$C427,'TL03'!$J$238:$J$451),0),
IF('TL04'!$B$3=L$3,SUMIF('TL04'!$C$10:$C$224,$C427,'TL04'!$J$10:$J$224),0),
IF('TL04'!$B$229=L$3,SUMIF('TL04'!$C$238:$C$451,$C427,'TL04'!$J$238:$J$451),0),
IF('TL05'!$B$3=L$3,SUMIF('TL05'!$C$10:$C$224,$C427,'TL05'!$J$10:$J$224),0),
IF('TL05'!$B$229=L$3,SUMIF('TL05'!$C$238:$C$451,$C427,'TL05'!$J$238:$J$451),0),
IF('TL06'!$B$3=L$3,SUMIF('TL06'!$C$10:$C$224,$C427,'TL06'!$J$10:$J$224),0),
IF('TL06'!$B$229=L$3,SUMIF('TL06'!$C$238:$C$451,$C427,'TL06'!$J$238:$J$451),0),
IF('TL07'!$B$3=L$3,SUMIF('TL07'!$C$10:$C$224,$C427,'TL07'!$J$10:$J$224),0),
IF('TL07'!$B$229=L$3,SUMIF('TL07'!$C$238:$C$451,$C427,'TL07'!$J$238:$J$451),0),
IF('TL08'!$B$3=L$3,SUMIF('TL08'!$C$10:$C$224,$C427,'TL08'!$J$10:$J$224),0),
IF('TL08'!$B$229=L$3,SUMIF('TL08'!$C$238:$C$451,$C427,'TL08'!$J$238:$J$451),0),
IF('TL09'!$B$3=L$3,SUMIF('TL09'!$C$10:$C$224,$C427,'TL09'!$J$10:$J$224),0),
IF('TL09'!$B$229=L$3,SUMIF('TL09'!$C$238:$C$451,$C427,'TL09'!$J$238:$J$451),0),
IF('TL10'!$B$3=L$3,SUMIF('TL10'!$C$10:$C$224,$C427,'TL10'!$J$10:$J$224),0),
IF('TL10'!$B$229=L$3,SUMIF('TL10'!$C$238:$C$451,$C427,'TL10'!$J$238:$J$451),0),
IF('TL11'!$B$3=L$3,SUMIF('TL11'!$C$10:$C$224,$C427,'TL11'!$J$10:$J$224),0),
IF('TL11'!$B$229=L$3,SUMIF('TL11'!$C$238:$C$451,$C427,'TL11'!$J$238:$J$451),0),
IF('TL12'!$B$3=L$3,SUMIF('TL12'!$C$10:$C$224,$C427,'TL12'!$J$10:$J$224),0),
IF('TL12'!$B$229=L$3,SUMIF('TL12'!$C$238:$C$451,$C427,'TL12'!$J$238:$J$451),0),
IF('TL13'!$B$3=L$3,SUMIF('TL13'!$C$10:$C$224,$C427,'TL13'!$J$10:$J$224),0),
IF('TL13'!$B$229=L$3,SUMIF('TL13'!$C$238:$C$451,$C427,'TL13'!$J$238:$J$451),0),
IF('TL14'!$B$3=L$3,SUMIF('TL14'!$C$10:$C$224,$C427,'TL14'!$J$10:$J$224),0),
IF('TL14'!$B$229=L$3,SUMIF('TL14'!$C$238:$C$451,$C427,'TL14'!$J$238:$J$451),0),
IF('TL15'!$B$3=L$3,SUMIF('TL15'!$C$10:$C$224,$C427,'TL15'!$J$10:$J$224),0),
IF('TL15'!$B$229=L$3,SUMIF('TL15'!$C$238:$C$451,$C427,'TL15'!$J$238:$J$451),0),
IF('TL16'!$B$3=L$3,SUMIF('TL16'!$C$10:$C$224,$C427,'TL16'!$J$10:$J$224),0),
IF('TL16'!$B$229=L$3,SUMIF('TL16'!$C$238:$C$451,$C427,'TL16'!$J$238:$J$451),0),
IF('TL17'!$B$3=L$3,SUMIF('TL17'!$C$10:$C$224,$C427,'TL17'!$J$10:$J$224),0),
IF('TL17'!$B$229=L$3,SUMIF('TL17'!$C$238:$C$451,$C427,'TL17'!$J$238:$J$451),0),
IF('TL18'!$B$3=L$3,SUMIF('TL18'!$C$10:$C$224,$C427,'TL18'!$J$10:$J$224),0),
IF('TL18'!$B$229=L$3,SUMIF('TL18'!$C$238:$C$451,$C427,'TL18'!$J$238:$J$451),0),
IF('TL19'!$B$3=L$3,SUMIF('TL19'!$C$10:$C$224,$C427,'TL19'!$J$10:$J$224),0),
IF('TL19'!$B$229=L$3,SUMIF('TL19'!$C$238:$C$451,$C427,'TL19'!$J$238:$J$451),0)
),0)</f>
        <v/>
      </c>
      <c r="M427" s="138">
        <f>IFERROR(SUM(
IF('TL01'!$B$3=M$3,SUMIF('TL01'!$C$10:$C$224,$C427,'TL01'!$J$10:$J$224),0),
IF('TL01'!$B$229=M$3,SUMIF('TL01'!$C$238:$C$451,$C427,'TL01'!$J$238:$J$451),0),
IF('TL02'!$B$3=M$3,SUMIF('TL02'!$C$10:$C$224,$C427,'TL02'!$J$10:$J$224),0),
IF('TL02'!$B$229=M$3,SUMIF('TL02'!$C$238:$C$451,$C427,'TL02'!$J$238:$J$451),0),
IF('TL03'!$B$3=M$3,SUMIF('TL03'!$C$10:$C$224,$C427,'TL03'!$J$10:$J$224),0),
IF('TL03'!$B$229=M$3,SUMIF('TL03'!$C$238:$C$451,$C427,'TL03'!$J$238:$J$451),0),
IF('TL04'!$B$3=M$3,SUMIF('TL04'!$C$10:$C$224,$C427,'TL04'!$J$10:$J$224),0),
IF('TL04'!$B$229=M$3,SUMIF('TL04'!$C$238:$C$451,$C427,'TL04'!$J$238:$J$451),0),
IF('TL05'!$B$3=M$3,SUMIF('TL05'!$C$10:$C$224,$C427,'TL05'!$J$10:$J$224),0),
IF('TL05'!$B$229=M$3,SUMIF('TL05'!$C$238:$C$451,$C427,'TL05'!$J$238:$J$451),0),
IF('TL06'!$B$3=M$3,SUMIF('TL06'!$C$10:$C$224,$C427,'TL06'!$J$10:$J$224),0),
IF('TL06'!$B$229=M$3,SUMIF('TL06'!$C$238:$C$451,$C427,'TL06'!$J$238:$J$451),0),
IF('TL07'!$B$3=M$3,SUMIF('TL07'!$C$10:$C$224,$C427,'TL07'!$J$10:$J$224),0),
IF('TL07'!$B$229=M$3,SUMIF('TL07'!$C$238:$C$451,$C427,'TL07'!$J$238:$J$451),0),
IF('TL08'!$B$3=M$3,SUMIF('TL08'!$C$10:$C$224,$C427,'TL08'!$J$10:$J$224),0),
IF('TL08'!$B$229=M$3,SUMIF('TL08'!$C$238:$C$451,$C427,'TL08'!$J$238:$J$451),0),
IF('TL09'!$B$3=M$3,SUMIF('TL09'!$C$10:$C$224,$C427,'TL09'!$J$10:$J$224),0),
IF('TL09'!$B$229=M$3,SUMIF('TL09'!$C$238:$C$451,$C427,'TL09'!$J$238:$J$451),0),
IF('TL10'!$B$3=M$3,SUMIF('TL10'!$C$10:$C$224,$C427,'TL10'!$J$10:$J$224),0),
IF('TL10'!$B$229=M$3,SUMIF('TL10'!$C$238:$C$451,$C427,'TL10'!$J$238:$J$451),0),
IF('TL11'!$B$3=M$3,SUMIF('TL11'!$C$10:$C$224,$C427,'TL11'!$J$10:$J$224),0),
IF('TL11'!$B$229=M$3,SUMIF('TL11'!$C$238:$C$451,$C427,'TL11'!$J$238:$J$451),0),
IF('TL12'!$B$3=M$3,SUMIF('TL12'!$C$10:$C$224,$C427,'TL12'!$J$10:$J$224),0),
IF('TL12'!$B$229=M$3,SUMIF('TL12'!$C$238:$C$451,$C427,'TL12'!$J$238:$J$451),0),
IF('TL13'!$B$3=M$3,SUMIF('TL13'!$C$10:$C$224,$C427,'TL13'!$J$10:$J$224),0),
IF('TL13'!$B$229=M$3,SUMIF('TL13'!$C$238:$C$451,$C427,'TL13'!$J$238:$J$451),0),
IF('TL14'!$B$3=M$3,SUMIF('TL14'!$C$10:$C$224,$C427,'TL14'!$J$10:$J$224),0),
IF('TL14'!$B$229=M$3,SUMIF('TL14'!$C$238:$C$451,$C427,'TL14'!$J$238:$J$451),0),
IF('TL15'!$B$3=M$3,SUMIF('TL15'!$C$10:$C$224,$C427,'TL15'!$J$10:$J$224),0),
IF('TL15'!$B$229=M$3,SUMIF('TL15'!$C$238:$C$451,$C427,'TL15'!$J$238:$J$451),0),
IF('TL16'!$B$3=M$3,SUMIF('TL16'!$C$10:$C$224,$C427,'TL16'!$J$10:$J$224),0),
IF('TL16'!$B$229=M$3,SUMIF('TL16'!$C$238:$C$451,$C427,'TL16'!$J$238:$J$451),0),
IF('TL17'!$B$3=M$3,SUMIF('TL17'!$C$10:$C$224,$C427,'TL17'!$J$10:$J$224),0),
IF('TL17'!$B$229=M$3,SUMIF('TL17'!$C$238:$C$451,$C427,'TL17'!$J$238:$J$451),0),
IF('TL18'!$B$3=M$3,SUMIF('TL18'!$C$10:$C$224,$C427,'TL18'!$J$10:$J$224),0),
IF('TL18'!$B$229=M$3,SUMIF('TL18'!$C$238:$C$451,$C427,'TL18'!$J$238:$J$451),0),
IF('TL19'!$B$3=M$3,SUMIF('TL19'!$C$10:$C$224,$C427,'TL19'!$J$10:$J$224),0),
IF('TL19'!$B$229=M$3,SUMIF('TL19'!$C$238:$C$451,$C427,'TL19'!$J$238:$J$451),0)
),0)</f>
        <v/>
      </c>
      <c r="N427" s="138">
        <f>IFERROR(SUM(
IF('TL01'!$B$3=N$3,SUMIF('TL01'!$C$10:$C$224,$C427,'TL01'!$J$10:$J$224),0),
IF('TL01'!$B$229=N$3,SUMIF('TL01'!$C$238:$C$451,$C427,'TL01'!$J$238:$J$451),0),
IF('TL02'!$B$3=N$3,SUMIF('TL02'!$C$10:$C$224,$C427,'TL02'!$J$10:$J$224),0),
IF('TL02'!$B$229=N$3,SUMIF('TL02'!$C$238:$C$451,$C427,'TL02'!$J$238:$J$451),0),
IF('TL03'!$B$3=N$3,SUMIF('TL03'!$C$10:$C$224,$C427,'TL03'!$J$10:$J$224),0),
IF('TL03'!$B$229=N$3,SUMIF('TL03'!$C$238:$C$451,$C427,'TL03'!$J$238:$J$451),0),
IF('TL04'!$B$3=N$3,SUMIF('TL04'!$C$10:$C$224,$C427,'TL04'!$J$10:$J$224),0),
IF('TL04'!$B$229=N$3,SUMIF('TL04'!$C$238:$C$451,$C427,'TL04'!$J$238:$J$451),0),
IF('TL05'!$B$3=N$3,SUMIF('TL05'!$C$10:$C$224,$C427,'TL05'!$J$10:$J$224),0),
IF('TL05'!$B$229=N$3,SUMIF('TL05'!$C$238:$C$451,$C427,'TL05'!$J$238:$J$451),0),
IF('TL06'!$B$3=N$3,SUMIF('TL06'!$C$10:$C$224,$C427,'TL06'!$J$10:$J$224),0),
IF('TL06'!$B$229=N$3,SUMIF('TL06'!$C$238:$C$451,$C427,'TL06'!$J$238:$J$451),0),
IF('TL07'!$B$3=N$3,SUMIF('TL07'!$C$10:$C$224,$C427,'TL07'!$J$10:$J$224),0),
IF('TL07'!$B$229=N$3,SUMIF('TL07'!$C$238:$C$451,$C427,'TL07'!$J$238:$J$451),0),
IF('TL08'!$B$3=N$3,SUMIF('TL08'!$C$10:$C$224,$C427,'TL08'!$J$10:$J$224),0),
IF('TL08'!$B$229=N$3,SUMIF('TL08'!$C$238:$C$451,$C427,'TL08'!$J$238:$J$451),0),
IF('TL09'!$B$3=N$3,SUMIF('TL09'!$C$10:$C$224,$C427,'TL09'!$J$10:$J$224),0),
IF('TL09'!$B$229=N$3,SUMIF('TL09'!$C$238:$C$451,$C427,'TL09'!$J$238:$J$451),0),
IF('TL10'!$B$3=N$3,SUMIF('TL10'!$C$10:$C$224,$C427,'TL10'!$J$10:$J$224),0),
IF('TL10'!$B$229=N$3,SUMIF('TL10'!$C$238:$C$451,$C427,'TL10'!$J$238:$J$451),0),
IF('TL11'!$B$3=N$3,SUMIF('TL11'!$C$10:$C$224,$C427,'TL11'!$J$10:$J$224),0),
IF('TL11'!$B$229=N$3,SUMIF('TL11'!$C$238:$C$451,$C427,'TL11'!$J$238:$J$451),0),
IF('TL12'!$B$3=N$3,SUMIF('TL12'!$C$10:$C$224,$C427,'TL12'!$J$10:$J$224),0),
IF('TL12'!$B$229=N$3,SUMIF('TL12'!$C$238:$C$451,$C427,'TL12'!$J$238:$J$451),0),
IF('TL13'!$B$3=N$3,SUMIF('TL13'!$C$10:$C$224,$C427,'TL13'!$J$10:$J$224),0),
IF('TL13'!$B$229=N$3,SUMIF('TL13'!$C$238:$C$451,$C427,'TL13'!$J$238:$J$451),0),
IF('TL14'!$B$3=N$3,SUMIF('TL14'!$C$10:$C$224,$C427,'TL14'!$J$10:$J$224),0),
IF('TL14'!$B$229=N$3,SUMIF('TL14'!$C$238:$C$451,$C427,'TL14'!$J$238:$J$451),0),
IF('TL15'!$B$3=N$3,SUMIF('TL15'!$C$10:$C$224,$C427,'TL15'!$J$10:$J$224),0),
IF('TL15'!$B$229=N$3,SUMIF('TL15'!$C$238:$C$451,$C427,'TL15'!$J$238:$J$451),0),
IF('TL16'!$B$3=N$3,SUMIF('TL16'!$C$10:$C$224,$C427,'TL16'!$J$10:$J$224),0),
IF('TL16'!$B$229=N$3,SUMIF('TL16'!$C$238:$C$451,$C427,'TL16'!$J$238:$J$451),0),
IF('TL17'!$B$3=N$3,SUMIF('TL17'!$C$10:$C$224,$C427,'TL17'!$J$10:$J$224),0),
IF('TL17'!$B$229=N$3,SUMIF('TL17'!$C$238:$C$451,$C427,'TL17'!$J$238:$J$451),0),
IF('TL18'!$B$3=N$3,SUMIF('TL18'!$C$10:$C$224,$C427,'TL18'!$J$10:$J$224),0),
IF('TL18'!$B$229=N$3,SUMIF('TL18'!$C$238:$C$451,$C427,'TL18'!$J$238:$J$451),0),
IF('TL19'!$B$3=N$3,SUMIF('TL19'!$C$10:$C$224,$C427,'TL19'!$J$10:$J$224),0),
IF('TL19'!$B$229=N$3,SUMIF('TL19'!$C$238:$C$451,$C427,'TL19'!$J$238:$J$451),0)
),0)</f>
        <v/>
      </c>
      <c r="O427" s="138">
        <f>IFERROR(SUM(
IF('TL01'!$B$3=O$3,SUMIF('TL01'!$C$10:$C$224,$C427,'TL01'!$J$10:$J$224),0),
IF('TL01'!$B$229=O$3,SUMIF('TL01'!$C$238:$C$451,$C427,'TL01'!$J$238:$J$451),0),
IF('TL02'!$B$3=O$3,SUMIF('TL02'!$C$10:$C$224,$C427,'TL02'!$J$10:$J$224),0),
IF('TL02'!$B$229=O$3,SUMIF('TL02'!$C$238:$C$451,$C427,'TL02'!$J$238:$J$451),0),
IF('TL03'!$B$3=O$3,SUMIF('TL03'!$C$10:$C$224,$C427,'TL03'!$J$10:$J$224),0),
IF('TL03'!$B$229=O$3,SUMIF('TL03'!$C$238:$C$451,$C427,'TL03'!$J$238:$J$451),0),
IF('TL04'!$B$3=O$3,SUMIF('TL04'!$C$10:$C$224,$C427,'TL04'!$J$10:$J$224),0),
IF('TL04'!$B$229=O$3,SUMIF('TL04'!$C$238:$C$451,$C427,'TL04'!$J$238:$J$451),0),
IF('TL05'!$B$3=O$3,SUMIF('TL05'!$C$10:$C$224,$C427,'TL05'!$J$10:$J$224),0),
IF('TL05'!$B$229=O$3,SUMIF('TL05'!$C$238:$C$451,$C427,'TL05'!$J$238:$J$451),0),
IF('TL06'!$B$3=O$3,SUMIF('TL06'!$C$10:$C$224,$C427,'TL06'!$J$10:$J$224),0),
IF('TL06'!$B$229=O$3,SUMIF('TL06'!$C$238:$C$451,$C427,'TL06'!$J$238:$J$451),0),
IF('TL07'!$B$3=O$3,SUMIF('TL07'!$C$10:$C$224,$C427,'TL07'!$J$10:$J$224),0),
IF('TL07'!$B$229=O$3,SUMIF('TL07'!$C$238:$C$451,$C427,'TL07'!$J$238:$J$451),0),
IF('TL08'!$B$3=O$3,SUMIF('TL08'!$C$10:$C$224,$C427,'TL08'!$J$10:$J$224),0),
IF('TL08'!$B$229=O$3,SUMIF('TL08'!$C$238:$C$451,$C427,'TL08'!$J$238:$J$451),0),
IF('TL09'!$B$3=O$3,SUMIF('TL09'!$C$10:$C$224,$C427,'TL09'!$J$10:$J$224),0),
IF('TL09'!$B$229=O$3,SUMIF('TL09'!$C$238:$C$451,$C427,'TL09'!$J$238:$J$451),0),
IF('TL10'!$B$3=O$3,SUMIF('TL10'!$C$10:$C$224,$C427,'TL10'!$J$10:$J$224),0),
IF('TL10'!$B$229=O$3,SUMIF('TL10'!$C$238:$C$451,$C427,'TL10'!$J$238:$J$451),0),
IF('TL11'!$B$3=O$3,SUMIF('TL11'!$C$10:$C$224,$C427,'TL11'!$J$10:$J$224),0),
IF('TL11'!$B$229=O$3,SUMIF('TL11'!$C$238:$C$451,$C427,'TL11'!$J$238:$J$451),0),
IF('TL12'!$B$3=O$3,SUMIF('TL12'!$C$10:$C$224,$C427,'TL12'!$J$10:$J$224),0),
IF('TL12'!$B$229=O$3,SUMIF('TL12'!$C$238:$C$451,$C427,'TL12'!$J$238:$J$451),0),
IF('TL13'!$B$3=O$3,SUMIF('TL13'!$C$10:$C$224,$C427,'TL13'!$J$10:$J$224),0),
IF('TL13'!$B$229=O$3,SUMIF('TL13'!$C$238:$C$451,$C427,'TL13'!$J$238:$J$451),0),
IF('TL14'!$B$3=O$3,SUMIF('TL14'!$C$10:$C$224,$C427,'TL14'!$J$10:$J$224),0),
IF('TL14'!$B$229=O$3,SUMIF('TL14'!$C$238:$C$451,$C427,'TL14'!$J$238:$J$451),0),
IF('TL15'!$B$3=O$3,SUMIF('TL15'!$C$10:$C$224,$C427,'TL15'!$J$10:$J$224),0),
IF('TL15'!$B$229=O$3,SUMIF('TL15'!$C$238:$C$451,$C427,'TL15'!$J$238:$J$451),0),
IF('TL16'!$B$3=O$3,SUMIF('TL16'!$C$10:$C$224,$C427,'TL16'!$J$10:$J$224),0),
IF('TL16'!$B$229=O$3,SUMIF('TL16'!$C$238:$C$451,$C427,'TL16'!$J$238:$J$451),0),
IF('TL17'!$B$3=O$3,SUMIF('TL17'!$C$10:$C$224,$C427,'TL17'!$J$10:$J$224),0),
IF('TL17'!$B$229=O$3,SUMIF('TL17'!$C$238:$C$451,$C427,'TL17'!$J$238:$J$451),0),
IF('TL18'!$B$3=O$3,SUMIF('TL18'!$C$10:$C$224,$C427,'TL18'!$J$10:$J$224),0),
IF('TL18'!$B$229=O$3,SUMIF('TL18'!$C$238:$C$451,$C427,'TL18'!$J$238:$J$451),0),
IF('TL19'!$B$3=O$3,SUMIF('TL19'!$C$10:$C$224,$C427,'TL19'!$J$10:$J$224),0),
IF('TL19'!$B$229=O$3,SUMIF('TL19'!$C$238:$C$451,$C427,'TL19'!$J$238:$J$451),0)
),0)</f>
        <v/>
      </c>
      <c r="P427" s="138">
        <f>IFERROR(SUM(
IF('TL01'!$B$3=P$3,SUMIF('TL01'!$C$10:$C$224,$C427,'TL01'!$J$10:$J$224),0),
IF('TL01'!$B$229=P$3,SUMIF('TL01'!$C$238:$C$451,$C427,'TL01'!$J$238:$J$451),0),
IF('TL02'!$B$3=P$3,SUMIF('TL02'!$C$10:$C$224,$C427,'TL02'!$J$10:$J$224),0),
IF('TL02'!$B$229=P$3,SUMIF('TL02'!$C$238:$C$451,$C427,'TL02'!$J$238:$J$451),0),
IF('TL03'!$B$3=P$3,SUMIF('TL03'!$C$10:$C$224,$C427,'TL03'!$J$10:$J$224),0),
IF('TL03'!$B$229=P$3,SUMIF('TL03'!$C$238:$C$451,$C427,'TL03'!$J$238:$J$451),0),
IF('TL04'!$B$3=P$3,SUMIF('TL04'!$C$10:$C$224,$C427,'TL04'!$J$10:$J$224),0),
IF('TL04'!$B$229=P$3,SUMIF('TL04'!$C$238:$C$451,$C427,'TL04'!$J$238:$J$451),0),
IF('TL05'!$B$3=P$3,SUMIF('TL05'!$C$10:$C$224,$C427,'TL05'!$J$10:$J$224),0),
IF('TL05'!$B$229=P$3,SUMIF('TL05'!$C$238:$C$451,$C427,'TL05'!$J$238:$J$451),0),
IF('TL06'!$B$3=P$3,SUMIF('TL06'!$C$10:$C$224,$C427,'TL06'!$J$10:$J$224),0),
IF('TL06'!$B$229=P$3,SUMIF('TL06'!$C$238:$C$451,$C427,'TL06'!$J$238:$J$451),0),
IF('TL07'!$B$3=P$3,SUMIF('TL07'!$C$10:$C$224,$C427,'TL07'!$J$10:$J$224),0),
IF('TL07'!$B$229=P$3,SUMIF('TL07'!$C$238:$C$451,$C427,'TL07'!$J$238:$J$451),0),
IF('TL08'!$B$3=P$3,SUMIF('TL08'!$C$10:$C$224,$C427,'TL08'!$J$10:$J$224),0),
IF('TL08'!$B$229=P$3,SUMIF('TL08'!$C$238:$C$451,$C427,'TL08'!$J$238:$J$451),0),
IF('TL09'!$B$3=P$3,SUMIF('TL09'!$C$10:$C$224,$C427,'TL09'!$J$10:$J$224),0),
IF('TL09'!$B$229=P$3,SUMIF('TL09'!$C$238:$C$451,$C427,'TL09'!$J$238:$J$451),0),
IF('TL10'!$B$3=P$3,SUMIF('TL10'!$C$10:$C$224,$C427,'TL10'!$J$10:$J$224),0),
IF('TL10'!$B$229=P$3,SUMIF('TL10'!$C$238:$C$451,$C427,'TL10'!$J$238:$J$451),0),
IF('TL11'!$B$3=P$3,SUMIF('TL11'!$C$10:$C$224,$C427,'TL11'!$J$10:$J$224),0),
IF('TL11'!$B$229=P$3,SUMIF('TL11'!$C$238:$C$451,$C427,'TL11'!$J$238:$J$451),0),
IF('TL12'!$B$3=P$3,SUMIF('TL12'!$C$10:$C$224,$C427,'TL12'!$J$10:$J$224),0),
IF('TL12'!$B$229=P$3,SUMIF('TL12'!$C$238:$C$451,$C427,'TL12'!$J$238:$J$451),0),
IF('TL13'!$B$3=P$3,SUMIF('TL13'!$C$10:$C$224,$C427,'TL13'!$J$10:$J$224),0),
IF('TL13'!$B$229=P$3,SUMIF('TL13'!$C$238:$C$451,$C427,'TL13'!$J$238:$J$451),0),
IF('TL14'!$B$3=P$3,SUMIF('TL14'!$C$10:$C$224,$C427,'TL14'!$J$10:$J$224),0),
IF('TL14'!$B$229=P$3,SUMIF('TL14'!$C$238:$C$451,$C427,'TL14'!$J$238:$J$451),0),
IF('TL15'!$B$3=P$3,SUMIF('TL15'!$C$10:$C$224,$C427,'TL15'!$J$10:$J$224),0),
IF('TL15'!$B$229=P$3,SUMIF('TL15'!$C$238:$C$451,$C427,'TL15'!$J$238:$J$451),0),
IF('TL16'!$B$3=P$3,SUMIF('TL16'!$C$10:$C$224,$C427,'TL16'!$J$10:$J$224),0),
IF('TL16'!$B$229=P$3,SUMIF('TL16'!$C$238:$C$451,$C427,'TL16'!$J$238:$J$451),0),
IF('TL17'!$B$3=P$3,SUMIF('TL17'!$C$10:$C$224,$C427,'TL17'!$J$10:$J$224),0),
IF('TL17'!$B$229=P$3,SUMIF('TL17'!$C$238:$C$451,$C427,'TL17'!$J$238:$J$451),0),
IF('TL18'!$B$3=P$3,SUMIF('TL18'!$C$10:$C$224,$C427,'TL18'!$J$10:$J$224),0),
IF('TL18'!$B$229=P$3,SUMIF('TL18'!$C$238:$C$451,$C427,'TL18'!$J$238:$J$451),0),
IF('TL19'!$B$3=P$3,SUMIF('TL19'!$C$10:$C$224,$C427,'TL19'!$J$10:$J$224),0),
IF('TL19'!$B$229=P$3,SUMIF('TL19'!$C$238:$C$451,$C427,'TL19'!$J$238:$J$451),0)
),0)</f>
        <v/>
      </c>
      <c r="Q427" s="138">
        <f>IFERROR(SUM(
IF('TL01'!$B$3=Q$3,SUMIF('TL01'!$C$10:$C$224,$C427,'TL01'!$J$10:$J$224),0),
IF('TL01'!$B$229=Q$3,SUMIF('TL01'!$C$238:$C$451,$C427,'TL01'!$J$238:$J$451),0),
IF('TL02'!$B$3=Q$3,SUMIF('TL02'!$C$10:$C$224,$C427,'TL02'!$J$10:$J$224),0),
IF('TL02'!$B$229=Q$3,SUMIF('TL02'!$C$238:$C$451,$C427,'TL02'!$J$238:$J$451),0),
IF('TL03'!$B$3=Q$3,SUMIF('TL03'!$C$10:$C$224,$C427,'TL03'!$J$10:$J$224),0),
IF('TL03'!$B$229=Q$3,SUMIF('TL03'!$C$238:$C$451,$C427,'TL03'!$J$238:$J$451),0),
IF('TL04'!$B$3=Q$3,SUMIF('TL04'!$C$10:$C$224,$C427,'TL04'!$J$10:$J$224),0),
IF('TL04'!$B$229=Q$3,SUMIF('TL04'!$C$238:$C$451,$C427,'TL04'!$J$238:$J$451),0),
IF('TL05'!$B$3=Q$3,SUMIF('TL05'!$C$10:$C$224,$C427,'TL05'!$J$10:$J$224),0),
IF('TL05'!$B$229=Q$3,SUMIF('TL05'!$C$238:$C$451,$C427,'TL05'!$J$238:$J$451),0),
IF('TL06'!$B$3=Q$3,SUMIF('TL06'!$C$10:$C$224,$C427,'TL06'!$J$10:$J$224),0),
IF('TL06'!$B$229=Q$3,SUMIF('TL06'!$C$238:$C$451,$C427,'TL06'!$J$238:$J$451),0),
IF('TL07'!$B$3=Q$3,SUMIF('TL07'!$C$10:$C$224,$C427,'TL07'!$J$10:$J$224),0),
IF('TL07'!$B$229=Q$3,SUMIF('TL07'!$C$238:$C$451,$C427,'TL07'!$J$238:$J$451),0),
IF('TL08'!$B$3=Q$3,SUMIF('TL08'!$C$10:$C$224,$C427,'TL08'!$J$10:$J$224),0),
IF('TL08'!$B$229=Q$3,SUMIF('TL08'!$C$238:$C$451,$C427,'TL08'!$J$238:$J$451),0),
IF('TL09'!$B$3=Q$3,SUMIF('TL09'!$C$10:$C$224,$C427,'TL09'!$J$10:$J$224),0),
IF('TL09'!$B$229=Q$3,SUMIF('TL09'!$C$238:$C$451,$C427,'TL09'!$J$238:$J$451),0),
IF('TL10'!$B$3=Q$3,SUMIF('TL10'!$C$10:$C$224,$C427,'TL10'!$J$10:$J$224),0),
IF('TL10'!$B$229=Q$3,SUMIF('TL10'!$C$238:$C$451,$C427,'TL10'!$J$238:$J$451),0),
IF('TL11'!$B$3=Q$3,SUMIF('TL11'!$C$10:$C$224,$C427,'TL11'!$J$10:$J$224),0),
IF('TL11'!$B$229=Q$3,SUMIF('TL11'!$C$238:$C$451,$C427,'TL11'!$J$238:$J$451),0),
IF('TL12'!$B$3=Q$3,SUMIF('TL12'!$C$10:$C$224,$C427,'TL12'!$J$10:$J$224),0),
IF('TL12'!$B$229=Q$3,SUMIF('TL12'!$C$238:$C$451,$C427,'TL12'!$J$238:$J$451),0),
IF('TL13'!$B$3=Q$3,SUMIF('TL13'!$C$10:$C$224,$C427,'TL13'!$J$10:$J$224),0),
IF('TL13'!$B$229=Q$3,SUMIF('TL13'!$C$238:$C$451,$C427,'TL13'!$J$238:$J$451),0),
IF('TL14'!$B$3=Q$3,SUMIF('TL14'!$C$10:$C$224,$C427,'TL14'!$J$10:$J$224),0),
IF('TL14'!$B$229=Q$3,SUMIF('TL14'!$C$238:$C$451,$C427,'TL14'!$J$238:$J$451),0),
IF('TL15'!$B$3=Q$3,SUMIF('TL15'!$C$10:$C$224,$C427,'TL15'!$J$10:$J$224),0),
IF('TL15'!$B$229=Q$3,SUMIF('TL15'!$C$238:$C$451,$C427,'TL15'!$J$238:$J$451),0),
IF('TL16'!$B$3=Q$3,SUMIF('TL16'!$C$10:$C$224,$C427,'TL16'!$J$10:$J$224),0),
IF('TL16'!$B$229=Q$3,SUMIF('TL16'!$C$238:$C$451,$C427,'TL16'!$J$238:$J$451),0),
IF('TL17'!$B$3=Q$3,SUMIF('TL17'!$C$10:$C$224,$C427,'TL17'!$J$10:$J$224),0),
IF('TL17'!$B$229=Q$3,SUMIF('TL17'!$C$238:$C$451,$C427,'TL17'!$J$238:$J$451),0),
IF('TL18'!$B$3=Q$3,SUMIF('TL18'!$C$10:$C$224,$C427,'TL18'!$J$10:$J$224),0),
IF('TL18'!$B$229=Q$3,SUMIF('TL18'!$C$238:$C$451,$C427,'TL18'!$J$238:$J$451),0),
IF('TL19'!$B$3=Q$3,SUMIF('TL19'!$C$10:$C$224,$C427,'TL19'!$J$10:$J$224),0),
IF('TL19'!$B$229=Q$3,SUMIF('TL19'!$C$238:$C$451,$C427,'TL19'!$J$238:$J$451),0)
),0)</f>
        <v/>
      </c>
      <c r="R427" s="139">
        <f>IFERROR(
SUM(
SUMIF('TL01'!C:C,C427,'TL01'!J:J),
SUMIF('TL02'!C:C,C427,'TL02'!I:I),
SUMIF('TL03'!C:C,C427,'TL03'!I:I),
SUMIF('TL04'!C:C,C427,'TL04'!I:I),
SUMIF('TL05'!C:C,C427,'TL05'!I:I),
SUMIF('TL06'!C:C,C427,'TL06'!I:I),
SUMIF('TL07'!C:C,C427,'TL07'!I:I),
SUMIF('TL08'!C:C,C427,'TL08'!I:I),
SUMIF('TL09'!C:C,C427,'TL09'!I:I),
SUMIF('TL10'!C:C,C427,'TL10'!I:I),
SUMIF('TL11'!C:C,C427,'TL11'!I:I),
SUMIF('TL12'!C:C,C427,'TL12'!I:I),
SUMIF('TL13'!C:C,C427,'TL13'!I:I),
SUMIF('TL14'!C:C,C427,'TL14'!I:I),
SUMIF('TL15'!C:C,C427,'TL15'!I:I),
SUMIF('TL16'!C:C,C427,'TL16'!I:I),
SUMIF('TL17'!C:C,C427,'TL17'!I:I),
SUMIF('TL18'!C:C,C427,'TL18'!I:I))
,0)</f>
        <v/>
      </c>
      <c r="S427" s="142">
        <f>'CUSTO OPERAÇÃO'!M31</f>
        <v/>
      </c>
      <c r="T427" s="139" t="n"/>
      <c r="U427" s="143">
        <f>MAX(0,R427-T427)</f>
        <v/>
      </c>
      <c r="V427" s="144">
        <f>U427*S427</f>
        <v/>
      </c>
    </row>
    <row r="428" hidden="1" ht="15.75" customHeight="1" s="297">
      <c r="A428" s="138" t="n"/>
      <c r="B428" s="155" t="n"/>
      <c r="C428" s="138" t="n"/>
      <c r="D428" s="138" t="n"/>
      <c r="E428" s="139" t="n"/>
      <c r="F428" s="138" t="inlineStr">
        <is>
          <t>R$/Ha</t>
        </is>
      </c>
      <c r="G428" s="139" t="n"/>
      <c r="H428" s="139">
        <f>'CUSTO OPERAÇÃO'!J32</f>
        <v/>
      </c>
      <c r="I428" s="156" t="n"/>
      <c r="J428" s="138">
        <f>IFERROR(SUM(
IF('TL01'!$B$3=J$3,SUMIF('TL01'!$C$10:$C$224,$C428,'TL01'!$J$10:$J$224),0),
IF('TL01'!$B$229=J$3,SUMIF('TL01'!$C$238:$C$451,$C428,'TL01'!$J$238:$J$451),0),
IF('TL02'!$B$3=J$3,SUMIF('TL02'!$C$10:$C$224,$C428,'TL02'!$J$10:$J$224),0),
IF('TL02'!$B$229=J$3,SUMIF('TL02'!$C$238:$C$451,$C428,'TL02'!$J$238:$J$451),0),
IF('TL03'!$B$3=J$3,SUMIF('TL03'!$C$10:$C$224,$C428,'TL03'!$J$10:$J$224),0),
IF('TL03'!$B$229=J$3,SUMIF('TL03'!$C$238:$C$451,$C428,'TL03'!$J$238:$J$451),0),
IF('TL04'!$B$3=J$3,SUMIF('TL04'!$C$10:$C$224,$C428,'TL04'!$J$10:$J$224),0),
IF('TL04'!$B$229=J$3,SUMIF('TL04'!$C$238:$C$451,$C428,'TL04'!$J$238:$J$451),0),
IF('TL05'!$B$3=J$3,SUMIF('TL05'!$C$10:$C$224,$C428,'TL05'!$J$10:$J$224),0),
IF('TL05'!$B$229=J$3,SUMIF('TL05'!$C$238:$C$451,$C428,'TL05'!$J$238:$J$451),0),
IF('TL06'!$B$3=J$3,SUMIF('TL06'!$C$10:$C$224,$C428,'TL06'!$J$10:$J$224),0),
IF('TL06'!$B$229=J$3,SUMIF('TL06'!$C$238:$C$451,$C428,'TL06'!$J$238:$J$451),0),
IF('TL07'!$B$3=J$3,SUMIF('TL07'!$C$10:$C$224,$C428,'TL07'!$J$10:$J$224),0),
IF('TL07'!$B$229=J$3,SUMIF('TL07'!$C$238:$C$451,$C428,'TL07'!$J$238:$J$451),0),
IF('TL08'!$B$3=J$3,SUMIF('TL08'!$C$10:$C$224,$C428,'TL08'!$J$10:$J$224),0),
IF('TL08'!$B$229=J$3,SUMIF('TL08'!$C$238:$C$451,$C428,'TL08'!$J$238:$J$451),0),
IF('TL09'!$B$3=J$3,SUMIF('TL09'!$C$10:$C$224,$C428,'TL09'!$J$10:$J$224),0),
IF('TL09'!$B$229=J$3,SUMIF('TL09'!$C$238:$C$451,$C428,'TL09'!$J$238:$J$451),0),
IF('TL10'!$B$3=J$3,SUMIF('TL10'!$C$10:$C$224,$C428,'TL10'!$J$10:$J$224),0),
IF('TL10'!$B$229=J$3,SUMIF('TL10'!$C$238:$C$451,$C428,'TL10'!$J$238:$J$451),0),
IF('TL11'!$B$3=J$3,SUMIF('TL11'!$C$10:$C$224,$C428,'TL11'!$J$10:$J$224),0),
IF('TL11'!$B$229=J$3,SUMIF('TL11'!$C$238:$C$451,$C428,'TL11'!$J$238:$J$451),0),
IF('TL12'!$B$3=J$3,SUMIF('TL12'!$C$10:$C$224,$C428,'TL12'!$J$10:$J$224),0),
IF('TL12'!$B$229=J$3,SUMIF('TL12'!$C$238:$C$451,$C428,'TL12'!$J$238:$J$451),0),
IF('TL13'!$B$3=J$3,SUMIF('TL13'!$C$10:$C$224,$C428,'TL13'!$J$10:$J$224),0),
IF('TL13'!$B$229=J$3,SUMIF('TL13'!$C$238:$C$451,$C428,'TL13'!$J$238:$J$451),0),
IF('TL14'!$B$3=J$3,SUMIF('TL14'!$C$10:$C$224,$C428,'TL14'!$J$10:$J$224),0),
IF('TL14'!$B$229=J$3,SUMIF('TL14'!$C$238:$C$451,$C428,'TL14'!$J$238:$J$451),0),
IF('TL15'!$B$3=J$3,SUMIF('TL15'!$C$10:$C$224,$C428,'TL15'!$J$10:$J$224),0),
IF('TL15'!$B$229=J$3,SUMIF('TL15'!$C$238:$C$451,$C428,'TL15'!$J$238:$J$451),0),
IF('TL16'!$B$3=J$3,SUMIF('TL16'!$C$10:$C$224,$C428,'TL16'!$J$10:$J$224),0),
IF('TL16'!$B$229=J$3,SUMIF('TL16'!$C$238:$C$451,$C428,'TL16'!$J$238:$J$451),0),
IF('TL17'!$B$3=J$3,SUMIF('TL17'!$C$10:$C$224,$C428,'TL17'!$J$10:$J$224),0),
IF('TL17'!$B$229=J$3,SUMIF('TL17'!$C$238:$C$451,$C428,'TL17'!$J$238:$J$451),0),
IF('TL18'!$B$3=J$3,SUMIF('TL18'!$C$10:$C$224,$C428,'TL18'!$J$10:$J$224),0),
IF('TL18'!$B$229=J$3,SUMIF('TL18'!$C$238:$C$451,$C428,'TL18'!$J$238:$J$451),0),
IF('TL19'!$B$3=J$3,SUMIF('TL19'!$C$10:$C$224,$C428,'TL19'!$J$10:$J$224),0),
IF('TL19'!$B$229=J$3,SUMIF('TL19'!$C$238:$C$451,$C428,'TL19'!$J$238:$J$451),0)
),0)</f>
        <v/>
      </c>
      <c r="K428" s="138">
        <f>IFERROR(SUM(
IF('TL01'!$B$3=K$3,SUMIF('TL01'!$C$10:$C$224,$C428,'TL01'!$J$10:$J$224),0),
IF('TL01'!$B$229=K$3,SUMIF('TL01'!$C$238:$C$451,$C428,'TL01'!$J$238:$J$451),0),
IF('TL02'!$B$3=K$3,SUMIF('TL02'!$C$10:$C$224,$C428,'TL02'!$J$10:$J$224),0),
IF('TL02'!$B$229=K$3,SUMIF('TL02'!$C$238:$C$451,$C428,'TL02'!$J$238:$J$451),0),
IF('TL03'!$B$3=K$3,SUMIF('TL03'!$C$10:$C$224,$C428,'TL03'!$J$10:$J$224),0),
IF('TL03'!$B$229=K$3,SUMIF('TL03'!$C$238:$C$451,$C428,'TL03'!$J$238:$J$451),0),
IF('TL04'!$B$3=K$3,SUMIF('TL04'!$C$10:$C$224,$C428,'TL04'!$J$10:$J$224),0),
IF('TL04'!$B$229=K$3,SUMIF('TL04'!$C$238:$C$451,$C428,'TL04'!$J$238:$J$451),0),
IF('TL05'!$B$3=K$3,SUMIF('TL05'!$C$10:$C$224,$C428,'TL05'!$J$10:$J$224),0),
IF('TL05'!$B$229=K$3,SUMIF('TL05'!$C$238:$C$451,$C428,'TL05'!$J$238:$J$451),0),
IF('TL06'!$B$3=K$3,SUMIF('TL06'!$C$10:$C$224,$C428,'TL06'!$J$10:$J$224),0),
IF('TL06'!$B$229=K$3,SUMIF('TL06'!$C$238:$C$451,$C428,'TL06'!$J$238:$J$451),0),
IF('TL07'!$B$3=K$3,SUMIF('TL07'!$C$10:$C$224,$C428,'TL07'!$J$10:$J$224),0),
IF('TL07'!$B$229=K$3,SUMIF('TL07'!$C$238:$C$451,$C428,'TL07'!$J$238:$J$451),0),
IF('TL08'!$B$3=K$3,SUMIF('TL08'!$C$10:$C$224,$C428,'TL08'!$J$10:$J$224),0),
IF('TL08'!$B$229=K$3,SUMIF('TL08'!$C$238:$C$451,$C428,'TL08'!$J$238:$J$451),0),
IF('TL09'!$B$3=K$3,SUMIF('TL09'!$C$10:$C$224,$C428,'TL09'!$J$10:$J$224),0),
IF('TL09'!$B$229=K$3,SUMIF('TL09'!$C$238:$C$451,$C428,'TL09'!$J$238:$J$451),0),
IF('TL10'!$B$3=K$3,SUMIF('TL10'!$C$10:$C$224,$C428,'TL10'!$J$10:$J$224),0),
IF('TL10'!$B$229=K$3,SUMIF('TL10'!$C$238:$C$451,$C428,'TL10'!$J$238:$J$451),0),
IF('TL11'!$B$3=K$3,SUMIF('TL11'!$C$10:$C$224,$C428,'TL11'!$J$10:$J$224),0),
IF('TL11'!$B$229=K$3,SUMIF('TL11'!$C$238:$C$451,$C428,'TL11'!$J$238:$J$451),0),
IF('TL12'!$B$3=K$3,SUMIF('TL12'!$C$10:$C$224,$C428,'TL12'!$J$10:$J$224),0),
IF('TL12'!$B$229=K$3,SUMIF('TL12'!$C$238:$C$451,$C428,'TL12'!$J$238:$J$451),0),
IF('TL13'!$B$3=K$3,SUMIF('TL13'!$C$10:$C$224,$C428,'TL13'!$J$10:$J$224),0),
IF('TL13'!$B$229=K$3,SUMIF('TL13'!$C$238:$C$451,$C428,'TL13'!$J$238:$J$451),0),
IF('TL14'!$B$3=K$3,SUMIF('TL14'!$C$10:$C$224,$C428,'TL14'!$J$10:$J$224),0),
IF('TL14'!$B$229=K$3,SUMIF('TL14'!$C$238:$C$451,$C428,'TL14'!$J$238:$J$451),0),
IF('TL15'!$B$3=K$3,SUMIF('TL15'!$C$10:$C$224,$C428,'TL15'!$J$10:$J$224),0),
IF('TL15'!$B$229=K$3,SUMIF('TL15'!$C$238:$C$451,$C428,'TL15'!$J$238:$J$451),0),
IF('TL16'!$B$3=K$3,SUMIF('TL16'!$C$10:$C$224,$C428,'TL16'!$J$10:$J$224),0),
IF('TL16'!$B$229=K$3,SUMIF('TL16'!$C$238:$C$451,$C428,'TL16'!$J$238:$J$451),0),
IF('TL17'!$B$3=K$3,SUMIF('TL17'!$C$10:$C$224,$C428,'TL17'!$J$10:$J$224),0),
IF('TL17'!$B$229=K$3,SUMIF('TL17'!$C$238:$C$451,$C428,'TL17'!$J$238:$J$451),0),
IF('TL18'!$B$3=K$3,SUMIF('TL18'!$C$10:$C$224,$C428,'TL18'!$J$10:$J$224),0),
IF('TL18'!$B$229=K$3,SUMIF('TL18'!$C$238:$C$451,$C428,'TL18'!$J$238:$J$451),0),
IF('TL19'!$B$3=K$3,SUMIF('TL19'!$C$10:$C$224,$C428,'TL19'!$J$10:$J$224),0),
IF('TL19'!$B$229=K$3,SUMIF('TL19'!$C$238:$C$451,$C428,'TL19'!$J$238:$J$451),0)
),0)</f>
        <v/>
      </c>
      <c r="L428" s="138">
        <f>IFERROR(SUM(
IF('TL01'!$B$3=L$3,SUMIF('TL01'!$C$10:$C$224,$C428,'TL01'!$J$10:$J$224),0),
IF('TL01'!$B$229=L$3,SUMIF('TL01'!$C$238:$C$451,$C428,'TL01'!$J$238:$J$451),0),
IF('TL02'!$B$3=L$3,SUMIF('TL02'!$C$10:$C$224,$C428,'TL02'!$J$10:$J$224),0),
IF('TL02'!$B$229=L$3,SUMIF('TL02'!$C$238:$C$451,$C428,'TL02'!$J$238:$J$451),0),
IF('TL03'!$B$3=L$3,SUMIF('TL03'!$C$10:$C$224,$C428,'TL03'!$J$10:$J$224),0),
IF('TL03'!$B$229=L$3,SUMIF('TL03'!$C$238:$C$451,$C428,'TL03'!$J$238:$J$451),0),
IF('TL04'!$B$3=L$3,SUMIF('TL04'!$C$10:$C$224,$C428,'TL04'!$J$10:$J$224),0),
IF('TL04'!$B$229=L$3,SUMIF('TL04'!$C$238:$C$451,$C428,'TL04'!$J$238:$J$451),0),
IF('TL05'!$B$3=L$3,SUMIF('TL05'!$C$10:$C$224,$C428,'TL05'!$J$10:$J$224),0),
IF('TL05'!$B$229=L$3,SUMIF('TL05'!$C$238:$C$451,$C428,'TL05'!$J$238:$J$451),0),
IF('TL06'!$B$3=L$3,SUMIF('TL06'!$C$10:$C$224,$C428,'TL06'!$J$10:$J$224),0),
IF('TL06'!$B$229=L$3,SUMIF('TL06'!$C$238:$C$451,$C428,'TL06'!$J$238:$J$451),0),
IF('TL07'!$B$3=L$3,SUMIF('TL07'!$C$10:$C$224,$C428,'TL07'!$J$10:$J$224),0),
IF('TL07'!$B$229=L$3,SUMIF('TL07'!$C$238:$C$451,$C428,'TL07'!$J$238:$J$451),0),
IF('TL08'!$B$3=L$3,SUMIF('TL08'!$C$10:$C$224,$C428,'TL08'!$J$10:$J$224),0),
IF('TL08'!$B$229=L$3,SUMIF('TL08'!$C$238:$C$451,$C428,'TL08'!$J$238:$J$451),0),
IF('TL09'!$B$3=L$3,SUMIF('TL09'!$C$10:$C$224,$C428,'TL09'!$J$10:$J$224),0),
IF('TL09'!$B$229=L$3,SUMIF('TL09'!$C$238:$C$451,$C428,'TL09'!$J$238:$J$451),0),
IF('TL10'!$B$3=L$3,SUMIF('TL10'!$C$10:$C$224,$C428,'TL10'!$J$10:$J$224),0),
IF('TL10'!$B$229=L$3,SUMIF('TL10'!$C$238:$C$451,$C428,'TL10'!$J$238:$J$451),0),
IF('TL11'!$B$3=L$3,SUMIF('TL11'!$C$10:$C$224,$C428,'TL11'!$J$10:$J$224),0),
IF('TL11'!$B$229=L$3,SUMIF('TL11'!$C$238:$C$451,$C428,'TL11'!$J$238:$J$451),0),
IF('TL12'!$B$3=L$3,SUMIF('TL12'!$C$10:$C$224,$C428,'TL12'!$J$10:$J$224),0),
IF('TL12'!$B$229=L$3,SUMIF('TL12'!$C$238:$C$451,$C428,'TL12'!$J$238:$J$451),0),
IF('TL13'!$B$3=L$3,SUMIF('TL13'!$C$10:$C$224,$C428,'TL13'!$J$10:$J$224),0),
IF('TL13'!$B$229=L$3,SUMIF('TL13'!$C$238:$C$451,$C428,'TL13'!$J$238:$J$451),0),
IF('TL14'!$B$3=L$3,SUMIF('TL14'!$C$10:$C$224,$C428,'TL14'!$J$10:$J$224),0),
IF('TL14'!$B$229=L$3,SUMIF('TL14'!$C$238:$C$451,$C428,'TL14'!$J$238:$J$451),0),
IF('TL15'!$B$3=L$3,SUMIF('TL15'!$C$10:$C$224,$C428,'TL15'!$J$10:$J$224),0),
IF('TL15'!$B$229=L$3,SUMIF('TL15'!$C$238:$C$451,$C428,'TL15'!$J$238:$J$451),0),
IF('TL16'!$B$3=L$3,SUMIF('TL16'!$C$10:$C$224,$C428,'TL16'!$J$10:$J$224),0),
IF('TL16'!$B$229=L$3,SUMIF('TL16'!$C$238:$C$451,$C428,'TL16'!$J$238:$J$451),0),
IF('TL17'!$B$3=L$3,SUMIF('TL17'!$C$10:$C$224,$C428,'TL17'!$J$10:$J$224),0),
IF('TL17'!$B$229=L$3,SUMIF('TL17'!$C$238:$C$451,$C428,'TL17'!$J$238:$J$451),0),
IF('TL18'!$B$3=L$3,SUMIF('TL18'!$C$10:$C$224,$C428,'TL18'!$J$10:$J$224),0),
IF('TL18'!$B$229=L$3,SUMIF('TL18'!$C$238:$C$451,$C428,'TL18'!$J$238:$J$451),0),
IF('TL19'!$B$3=L$3,SUMIF('TL19'!$C$10:$C$224,$C428,'TL19'!$J$10:$J$224),0),
IF('TL19'!$B$229=L$3,SUMIF('TL19'!$C$238:$C$451,$C428,'TL19'!$J$238:$J$451),0)
),0)</f>
        <v/>
      </c>
      <c r="M428" s="138">
        <f>IFERROR(SUM(
IF('TL01'!$B$3=M$3,SUMIF('TL01'!$C$10:$C$224,$C428,'TL01'!$J$10:$J$224),0),
IF('TL01'!$B$229=M$3,SUMIF('TL01'!$C$238:$C$451,$C428,'TL01'!$J$238:$J$451),0),
IF('TL02'!$B$3=M$3,SUMIF('TL02'!$C$10:$C$224,$C428,'TL02'!$J$10:$J$224),0),
IF('TL02'!$B$229=M$3,SUMIF('TL02'!$C$238:$C$451,$C428,'TL02'!$J$238:$J$451),0),
IF('TL03'!$B$3=M$3,SUMIF('TL03'!$C$10:$C$224,$C428,'TL03'!$J$10:$J$224),0),
IF('TL03'!$B$229=M$3,SUMIF('TL03'!$C$238:$C$451,$C428,'TL03'!$J$238:$J$451),0),
IF('TL04'!$B$3=M$3,SUMIF('TL04'!$C$10:$C$224,$C428,'TL04'!$J$10:$J$224),0),
IF('TL04'!$B$229=M$3,SUMIF('TL04'!$C$238:$C$451,$C428,'TL04'!$J$238:$J$451),0),
IF('TL05'!$B$3=M$3,SUMIF('TL05'!$C$10:$C$224,$C428,'TL05'!$J$10:$J$224),0),
IF('TL05'!$B$229=M$3,SUMIF('TL05'!$C$238:$C$451,$C428,'TL05'!$J$238:$J$451),0),
IF('TL06'!$B$3=M$3,SUMIF('TL06'!$C$10:$C$224,$C428,'TL06'!$J$10:$J$224),0),
IF('TL06'!$B$229=M$3,SUMIF('TL06'!$C$238:$C$451,$C428,'TL06'!$J$238:$J$451),0),
IF('TL07'!$B$3=M$3,SUMIF('TL07'!$C$10:$C$224,$C428,'TL07'!$J$10:$J$224),0),
IF('TL07'!$B$229=M$3,SUMIF('TL07'!$C$238:$C$451,$C428,'TL07'!$J$238:$J$451),0),
IF('TL08'!$B$3=M$3,SUMIF('TL08'!$C$10:$C$224,$C428,'TL08'!$J$10:$J$224),0),
IF('TL08'!$B$229=M$3,SUMIF('TL08'!$C$238:$C$451,$C428,'TL08'!$J$238:$J$451),0),
IF('TL09'!$B$3=M$3,SUMIF('TL09'!$C$10:$C$224,$C428,'TL09'!$J$10:$J$224),0),
IF('TL09'!$B$229=M$3,SUMIF('TL09'!$C$238:$C$451,$C428,'TL09'!$J$238:$J$451),0),
IF('TL10'!$B$3=M$3,SUMIF('TL10'!$C$10:$C$224,$C428,'TL10'!$J$10:$J$224),0),
IF('TL10'!$B$229=M$3,SUMIF('TL10'!$C$238:$C$451,$C428,'TL10'!$J$238:$J$451),0),
IF('TL11'!$B$3=M$3,SUMIF('TL11'!$C$10:$C$224,$C428,'TL11'!$J$10:$J$224),0),
IF('TL11'!$B$229=M$3,SUMIF('TL11'!$C$238:$C$451,$C428,'TL11'!$J$238:$J$451),0),
IF('TL12'!$B$3=M$3,SUMIF('TL12'!$C$10:$C$224,$C428,'TL12'!$J$10:$J$224),0),
IF('TL12'!$B$229=M$3,SUMIF('TL12'!$C$238:$C$451,$C428,'TL12'!$J$238:$J$451),0),
IF('TL13'!$B$3=M$3,SUMIF('TL13'!$C$10:$C$224,$C428,'TL13'!$J$10:$J$224),0),
IF('TL13'!$B$229=M$3,SUMIF('TL13'!$C$238:$C$451,$C428,'TL13'!$J$238:$J$451),0),
IF('TL14'!$B$3=M$3,SUMIF('TL14'!$C$10:$C$224,$C428,'TL14'!$J$10:$J$224),0),
IF('TL14'!$B$229=M$3,SUMIF('TL14'!$C$238:$C$451,$C428,'TL14'!$J$238:$J$451),0),
IF('TL15'!$B$3=M$3,SUMIF('TL15'!$C$10:$C$224,$C428,'TL15'!$J$10:$J$224),0),
IF('TL15'!$B$229=M$3,SUMIF('TL15'!$C$238:$C$451,$C428,'TL15'!$J$238:$J$451),0),
IF('TL16'!$B$3=M$3,SUMIF('TL16'!$C$10:$C$224,$C428,'TL16'!$J$10:$J$224),0),
IF('TL16'!$B$229=M$3,SUMIF('TL16'!$C$238:$C$451,$C428,'TL16'!$J$238:$J$451),0),
IF('TL17'!$B$3=M$3,SUMIF('TL17'!$C$10:$C$224,$C428,'TL17'!$J$10:$J$224),0),
IF('TL17'!$B$229=M$3,SUMIF('TL17'!$C$238:$C$451,$C428,'TL17'!$J$238:$J$451),0),
IF('TL18'!$B$3=M$3,SUMIF('TL18'!$C$10:$C$224,$C428,'TL18'!$J$10:$J$224),0),
IF('TL18'!$B$229=M$3,SUMIF('TL18'!$C$238:$C$451,$C428,'TL18'!$J$238:$J$451),0),
IF('TL19'!$B$3=M$3,SUMIF('TL19'!$C$10:$C$224,$C428,'TL19'!$J$10:$J$224),0),
IF('TL19'!$B$229=M$3,SUMIF('TL19'!$C$238:$C$451,$C428,'TL19'!$J$238:$J$451),0)
),0)</f>
        <v/>
      </c>
      <c r="N428" s="138">
        <f>IFERROR(SUM(
IF('TL01'!$B$3=N$3,SUMIF('TL01'!$C$10:$C$224,$C428,'TL01'!$J$10:$J$224),0),
IF('TL01'!$B$229=N$3,SUMIF('TL01'!$C$238:$C$451,$C428,'TL01'!$J$238:$J$451),0),
IF('TL02'!$B$3=N$3,SUMIF('TL02'!$C$10:$C$224,$C428,'TL02'!$J$10:$J$224),0),
IF('TL02'!$B$229=N$3,SUMIF('TL02'!$C$238:$C$451,$C428,'TL02'!$J$238:$J$451),0),
IF('TL03'!$B$3=N$3,SUMIF('TL03'!$C$10:$C$224,$C428,'TL03'!$J$10:$J$224),0),
IF('TL03'!$B$229=N$3,SUMIF('TL03'!$C$238:$C$451,$C428,'TL03'!$J$238:$J$451),0),
IF('TL04'!$B$3=N$3,SUMIF('TL04'!$C$10:$C$224,$C428,'TL04'!$J$10:$J$224),0),
IF('TL04'!$B$229=N$3,SUMIF('TL04'!$C$238:$C$451,$C428,'TL04'!$J$238:$J$451),0),
IF('TL05'!$B$3=N$3,SUMIF('TL05'!$C$10:$C$224,$C428,'TL05'!$J$10:$J$224),0),
IF('TL05'!$B$229=N$3,SUMIF('TL05'!$C$238:$C$451,$C428,'TL05'!$J$238:$J$451),0),
IF('TL06'!$B$3=N$3,SUMIF('TL06'!$C$10:$C$224,$C428,'TL06'!$J$10:$J$224),0),
IF('TL06'!$B$229=N$3,SUMIF('TL06'!$C$238:$C$451,$C428,'TL06'!$J$238:$J$451),0),
IF('TL07'!$B$3=N$3,SUMIF('TL07'!$C$10:$C$224,$C428,'TL07'!$J$10:$J$224),0),
IF('TL07'!$B$229=N$3,SUMIF('TL07'!$C$238:$C$451,$C428,'TL07'!$J$238:$J$451),0),
IF('TL08'!$B$3=N$3,SUMIF('TL08'!$C$10:$C$224,$C428,'TL08'!$J$10:$J$224),0),
IF('TL08'!$B$229=N$3,SUMIF('TL08'!$C$238:$C$451,$C428,'TL08'!$J$238:$J$451),0),
IF('TL09'!$B$3=N$3,SUMIF('TL09'!$C$10:$C$224,$C428,'TL09'!$J$10:$J$224),0),
IF('TL09'!$B$229=N$3,SUMIF('TL09'!$C$238:$C$451,$C428,'TL09'!$J$238:$J$451),0),
IF('TL10'!$B$3=N$3,SUMIF('TL10'!$C$10:$C$224,$C428,'TL10'!$J$10:$J$224),0),
IF('TL10'!$B$229=N$3,SUMIF('TL10'!$C$238:$C$451,$C428,'TL10'!$J$238:$J$451),0),
IF('TL11'!$B$3=N$3,SUMIF('TL11'!$C$10:$C$224,$C428,'TL11'!$J$10:$J$224),0),
IF('TL11'!$B$229=N$3,SUMIF('TL11'!$C$238:$C$451,$C428,'TL11'!$J$238:$J$451),0),
IF('TL12'!$B$3=N$3,SUMIF('TL12'!$C$10:$C$224,$C428,'TL12'!$J$10:$J$224),0),
IF('TL12'!$B$229=N$3,SUMIF('TL12'!$C$238:$C$451,$C428,'TL12'!$J$238:$J$451),0),
IF('TL13'!$B$3=N$3,SUMIF('TL13'!$C$10:$C$224,$C428,'TL13'!$J$10:$J$224),0),
IF('TL13'!$B$229=N$3,SUMIF('TL13'!$C$238:$C$451,$C428,'TL13'!$J$238:$J$451),0),
IF('TL14'!$B$3=N$3,SUMIF('TL14'!$C$10:$C$224,$C428,'TL14'!$J$10:$J$224),0),
IF('TL14'!$B$229=N$3,SUMIF('TL14'!$C$238:$C$451,$C428,'TL14'!$J$238:$J$451),0),
IF('TL15'!$B$3=N$3,SUMIF('TL15'!$C$10:$C$224,$C428,'TL15'!$J$10:$J$224),0),
IF('TL15'!$B$229=N$3,SUMIF('TL15'!$C$238:$C$451,$C428,'TL15'!$J$238:$J$451),0),
IF('TL16'!$B$3=N$3,SUMIF('TL16'!$C$10:$C$224,$C428,'TL16'!$J$10:$J$224),0),
IF('TL16'!$B$229=N$3,SUMIF('TL16'!$C$238:$C$451,$C428,'TL16'!$J$238:$J$451),0),
IF('TL17'!$B$3=N$3,SUMIF('TL17'!$C$10:$C$224,$C428,'TL17'!$J$10:$J$224),0),
IF('TL17'!$B$229=N$3,SUMIF('TL17'!$C$238:$C$451,$C428,'TL17'!$J$238:$J$451),0),
IF('TL18'!$B$3=N$3,SUMIF('TL18'!$C$10:$C$224,$C428,'TL18'!$J$10:$J$224),0),
IF('TL18'!$B$229=N$3,SUMIF('TL18'!$C$238:$C$451,$C428,'TL18'!$J$238:$J$451),0),
IF('TL19'!$B$3=N$3,SUMIF('TL19'!$C$10:$C$224,$C428,'TL19'!$J$10:$J$224),0),
IF('TL19'!$B$229=N$3,SUMIF('TL19'!$C$238:$C$451,$C428,'TL19'!$J$238:$J$451),0)
),0)</f>
        <v/>
      </c>
      <c r="O428" s="138">
        <f>IFERROR(SUM(
IF('TL01'!$B$3=O$3,SUMIF('TL01'!$C$10:$C$224,$C428,'TL01'!$J$10:$J$224),0),
IF('TL01'!$B$229=O$3,SUMIF('TL01'!$C$238:$C$451,$C428,'TL01'!$J$238:$J$451),0),
IF('TL02'!$B$3=O$3,SUMIF('TL02'!$C$10:$C$224,$C428,'TL02'!$J$10:$J$224),0),
IF('TL02'!$B$229=O$3,SUMIF('TL02'!$C$238:$C$451,$C428,'TL02'!$J$238:$J$451),0),
IF('TL03'!$B$3=O$3,SUMIF('TL03'!$C$10:$C$224,$C428,'TL03'!$J$10:$J$224),0),
IF('TL03'!$B$229=O$3,SUMIF('TL03'!$C$238:$C$451,$C428,'TL03'!$J$238:$J$451),0),
IF('TL04'!$B$3=O$3,SUMIF('TL04'!$C$10:$C$224,$C428,'TL04'!$J$10:$J$224),0),
IF('TL04'!$B$229=O$3,SUMIF('TL04'!$C$238:$C$451,$C428,'TL04'!$J$238:$J$451),0),
IF('TL05'!$B$3=O$3,SUMIF('TL05'!$C$10:$C$224,$C428,'TL05'!$J$10:$J$224),0),
IF('TL05'!$B$229=O$3,SUMIF('TL05'!$C$238:$C$451,$C428,'TL05'!$J$238:$J$451),0),
IF('TL06'!$B$3=O$3,SUMIF('TL06'!$C$10:$C$224,$C428,'TL06'!$J$10:$J$224),0),
IF('TL06'!$B$229=O$3,SUMIF('TL06'!$C$238:$C$451,$C428,'TL06'!$J$238:$J$451),0),
IF('TL07'!$B$3=O$3,SUMIF('TL07'!$C$10:$C$224,$C428,'TL07'!$J$10:$J$224),0),
IF('TL07'!$B$229=O$3,SUMIF('TL07'!$C$238:$C$451,$C428,'TL07'!$J$238:$J$451),0),
IF('TL08'!$B$3=O$3,SUMIF('TL08'!$C$10:$C$224,$C428,'TL08'!$J$10:$J$224),0),
IF('TL08'!$B$229=O$3,SUMIF('TL08'!$C$238:$C$451,$C428,'TL08'!$J$238:$J$451),0),
IF('TL09'!$B$3=O$3,SUMIF('TL09'!$C$10:$C$224,$C428,'TL09'!$J$10:$J$224),0),
IF('TL09'!$B$229=O$3,SUMIF('TL09'!$C$238:$C$451,$C428,'TL09'!$J$238:$J$451),0),
IF('TL10'!$B$3=O$3,SUMIF('TL10'!$C$10:$C$224,$C428,'TL10'!$J$10:$J$224),0),
IF('TL10'!$B$229=O$3,SUMIF('TL10'!$C$238:$C$451,$C428,'TL10'!$J$238:$J$451),0),
IF('TL11'!$B$3=O$3,SUMIF('TL11'!$C$10:$C$224,$C428,'TL11'!$J$10:$J$224),0),
IF('TL11'!$B$229=O$3,SUMIF('TL11'!$C$238:$C$451,$C428,'TL11'!$J$238:$J$451),0),
IF('TL12'!$B$3=O$3,SUMIF('TL12'!$C$10:$C$224,$C428,'TL12'!$J$10:$J$224),0),
IF('TL12'!$B$229=O$3,SUMIF('TL12'!$C$238:$C$451,$C428,'TL12'!$J$238:$J$451),0),
IF('TL13'!$B$3=O$3,SUMIF('TL13'!$C$10:$C$224,$C428,'TL13'!$J$10:$J$224),0),
IF('TL13'!$B$229=O$3,SUMIF('TL13'!$C$238:$C$451,$C428,'TL13'!$J$238:$J$451),0),
IF('TL14'!$B$3=O$3,SUMIF('TL14'!$C$10:$C$224,$C428,'TL14'!$J$10:$J$224),0),
IF('TL14'!$B$229=O$3,SUMIF('TL14'!$C$238:$C$451,$C428,'TL14'!$J$238:$J$451),0),
IF('TL15'!$B$3=O$3,SUMIF('TL15'!$C$10:$C$224,$C428,'TL15'!$J$10:$J$224),0),
IF('TL15'!$B$229=O$3,SUMIF('TL15'!$C$238:$C$451,$C428,'TL15'!$J$238:$J$451),0),
IF('TL16'!$B$3=O$3,SUMIF('TL16'!$C$10:$C$224,$C428,'TL16'!$J$10:$J$224),0),
IF('TL16'!$B$229=O$3,SUMIF('TL16'!$C$238:$C$451,$C428,'TL16'!$J$238:$J$451),0),
IF('TL17'!$B$3=O$3,SUMIF('TL17'!$C$10:$C$224,$C428,'TL17'!$J$10:$J$224),0),
IF('TL17'!$B$229=O$3,SUMIF('TL17'!$C$238:$C$451,$C428,'TL17'!$J$238:$J$451),0),
IF('TL18'!$B$3=O$3,SUMIF('TL18'!$C$10:$C$224,$C428,'TL18'!$J$10:$J$224),0),
IF('TL18'!$B$229=O$3,SUMIF('TL18'!$C$238:$C$451,$C428,'TL18'!$J$238:$J$451),0),
IF('TL19'!$B$3=O$3,SUMIF('TL19'!$C$10:$C$224,$C428,'TL19'!$J$10:$J$224),0),
IF('TL19'!$B$229=O$3,SUMIF('TL19'!$C$238:$C$451,$C428,'TL19'!$J$238:$J$451),0)
),0)</f>
        <v/>
      </c>
      <c r="P428" s="138">
        <f>IFERROR(SUM(
IF('TL01'!$B$3=P$3,SUMIF('TL01'!$C$10:$C$224,$C428,'TL01'!$J$10:$J$224),0),
IF('TL01'!$B$229=P$3,SUMIF('TL01'!$C$238:$C$451,$C428,'TL01'!$J$238:$J$451),0),
IF('TL02'!$B$3=P$3,SUMIF('TL02'!$C$10:$C$224,$C428,'TL02'!$J$10:$J$224),0),
IF('TL02'!$B$229=P$3,SUMIF('TL02'!$C$238:$C$451,$C428,'TL02'!$J$238:$J$451),0),
IF('TL03'!$B$3=P$3,SUMIF('TL03'!$C$10:$C$224,$C428,'TL03'!$J$10:$J$224),0),
IF('TL03'!$B$229=P$3,SUMIF('TL03'!$C$238:$C$451,$C428,'TL03'!$J$238:$J$451),0),
IF('TL04'!$B$3=P$3,SUMIF('TL04'!$C$10:$C$224,$C428,'TL04'!$J$10:$J$224),0),
IF('TL04'!$B$229=P$3,SUMIF('TL04'!$C$238:$C$451,$C428,'TL04'!$J$238:$J$451),0),
IF('TL05'!$B$3=P$3,SUMIF('TL05'!$C$10:$C$224,$C428,'TL05'!$J$10:$J$224),0),
IF('TL05'!$B$229=P$3,SUMIF('TL05'!$C$238:$C$451,$C428,'TL05'!$J$238:$J$451),0),
IF('TL06'!$B$3=P$3,SUMIF('TL06'!$C$10:$C$224,$C428,'TL06'!$J$10:$J$224),0),
IF('TL06'!$B$229=P$3,SUMIF('TL06'!$C$238:$C$451,$C428,'TL06'!$J$238:$J$451),0),
IF('TL07'!$B$3=P$3,SUMIF('TL07'!$C$10:$C$224,$C428,'TL07'!$J$10:$J$224),0),
IF('TL07'!$B$229=P$3,SUMIF('TL07'!$C$238:$C$451,$C428,'TL07'!$J$238:$J$451),0),
IF('TL08'!$B$3=P$3,SUMIF('TL08'!$C$10:$C$224,$C428,'TL08'!$J$10:$J$224),0),
IF('TL08'!$B$229=P$3,SUMIF('TL08'!$C$238:$C$451,$C428,'TL08'!$J$238:$J$451),0),
IF('TL09'!$B$3=P$3,SUMIF('TL09'!$C$10:$C$224,$C428,'TL09'!$J$10:$J$224),0),
IF('TL09'!$B$229=P$3,SUMIF('TL09'!$C$238:$C$451,$C428,'TL09'!$J$238:$J$451),0),
IF('TL10'!$B$3=P$3,SUMIF('TL10'!$C$10:$C$224,$C428,'TL10'!$J$10:$J$224),0),
IF('TL10'!$B$229=P$3,SUMIF('TL10'!$C$238:$C$451,$C428,'TL10'!$J$238:$J$451),0),
IF('TL11'!$B$3=P$3,SUMIF('TL11'!$C$10:$C$224,$C428,'TL11'!$J$10:$J$224),0),
IF('TL11'!$B$229=P$3,SUMIF('TL11'!$C$238:$C$451,$C428,'TL11'!$J$238:$J$451),0),
IF('TL12'!$B$3=P$3,SUMIF('TL12'!$C$10:$C$224,$C428,'TL12'!$J$10:$J$224),0),
IF('TL12'!$B$229=P$3,SUMIF('TL12'!$C$238:$C$451,$C428,'TL12'!$J$238:$J$451),0),
IF('TL13'!$B$3=P$3,SUMIF('TL13'!$C$10:$C$224,$C428,'TL13'!$J$10:$J$224),0),
IF('TL13'!$B$229=P$3,SUMIF('TL13'!$C$238:$C$451,$C428,'TL13'!$J$238:$J$451),0),
IF('TL14'!$B$3=P$3,SUMIF('TL14'!$C$10:$C$224,$C428,'TL14'!$J$10:$J$224),0),
IF('TL14'!$B$229=P$3,SUMIF('TL14'!$C$238:$C$451,$C428,'TL14'!$J$238:$J$451),0),
IF('TL15'!$B$3=P$3,SUMIF('TL15'!$C$10:$C$224,$C428,'TL15'!$J$10:$J$224),0),
IF('TL15'!$B$229=P$3,SUMIF('TL15'!$C$238:$C$451,$C428,'TL15'!$J$238:$J$451),0),
IF('TL16'!$B$3=P$3,SUMIF('TL16'!$C$10:$C$224,$C428,'TL16'!$J$10:$J$224),0),
IF('TL16'!$B$229=P$3,SUMIF('TL16'!$C$238:$C$451,$C428,'TL16'!$J$238:$J$451),0),
IF('TL17'!$B$3=P$3,SUMIF('TL17'!$C$10:$C$224,$C428,'TL17'!$J$10:$J$224),0),
IF('TL17'!$B$229=P$3,SUMIF('TL17'!$C$238:$C$451,$C428,'TL17'!$J$238:$J$451),0),
IF('TL18'!$B$3=P$3,SUMIF('TL18'!$C$10:$C$224,$C428,'TL18'!$J$10:$J$224),0),
IF('TL18'!$B$229=P$3,SUMIF('TL18'!$C$238:$C$451,$C428,'TL18'!$J$238:$J$451),0),
IF('TL19'!$B$3=P$3,SUMIF('TL19'!$C$10:$C$224,$C428,'TL19'!$J$10:$J$224),0),
IF('TL19'!$B$229=P$3,SUMIF('TL19'!$C$238:$C$451,$C428,'TL19'!$J$238:$J$451),0)
),0)</f>
        <v/>
      </c>
      <c r="Q428" s="138">
        <f>IFERROR(SUM(
IF('TL01'!$B$3=Q$3,SUMIF('TL01'!$C$10:$C$224,$C428,'TL01'!$J$10:$J$224),0),
IF('TL01'!$B$229=Q$3,SUMIF('TL01'!$C$238:$C$451,$C428,'TL01'!$J$238:$J$451),0),
IF('TL02'!$B$3=Q$3,SUMIF('TL02'!$C$10:$C$224,$C428,'TL02'!$J$10:$J$224),0),
IF('TL02'!$B$229=Q$3,SUMIF('TL02'!$C$238:$C$451,$C428,'TL02'!$J$238:$J$451),0),
IF('TL03'!$B$3=Q$3,SUMIF('TL03'!$C$10:$C$224,$C428,'TL03'!$J$10:$J$224),0),
IF('TL03'!$B$229=Q$3,SUMIF('TL03'!$C$238:$C$451,$C428,'TL03'!$J$238:$J$451),0),
IF('TL04'!$B$3=Q$3,SUMIF('TL04'!$C$10:$C$224,$C428,'TL04'!$J$10:$J$224),0),
IF('TL04'!$B$229=Q$3,SUMIF('TL04'!$C$238:$C$451,$C428,'TL04'!$J$238:$J$451),0),
IF('TL05'!$B$3=Q$3,SUMIF('TL05'!$C$10:$C$224,$C428,'TL05'!$J$10:$J$224),0),
IF('TL05'!$B$229=Q$3,SUMIF('TL05'!$C$238:$C$451,$C428,'TL05'!$J$238:$J$451),0),
IF('TL06'!$B$3=Q$3,SUMIF('TL06'!$C$10:$C$224,$C428,'TL06'!$J$10:$J$224),0),
IF('TL06'!$B$229=Q$3,SUMIF('TL06'!$C$238:$C$451,$C428,'TL06'!$J$238:$J$451),0),
IF('TL07'!$B$3=Q$3,SUMIF('TL07'!$C$10:$C$224,$C428,'TL07'!$J$10:$J$224),0),
IF('TL07'!$B$229=Q$3,SUMIF('TL07'!$C$238:$C$451,$C428,'TL07'!$J$238:$J$451),0),
IF('TL08'!$B$3=Q$3,SUMIF('TL08'!$C$10:$C$224,$C428,'TL08'!$J$10:$J$224),0),
IF('TL08'!$B$229=Q$3,SUMIF('TL08'!$C$238:$C$451,$C428,'TL08'!$J$238:$J$451),0),
IF('TL09'!$B$3=Q$3,SUMIF('TL09'!$C$10:$C$224,$C428,'TL09'!$J$10:$J$224),0),
IF('TL09'!$B$229=Q$3,SUMIF('TL09'!$C$238:$C$451,$C428,'TL09'!$J$238:$J$451),0),
IF('TL10'!$B$3=Q$3,SUMIF('TL10'!$C$10:$C$224,$C428,'TL10'!$J$10:$J$224),0),
IF('TL10'!$B$229=Q$3,SUMIF('TL10'!$C$238:$C$451,$C428,'TL10'!$J$238:$J$451),0),
IF('TL11'!$B$3=Q$3,SUMIF('TL11'!$C$10:$C$224,$C428,'TL11'!$J$10:$J$224),0),
IF('TL11'!$B$229=Q$3,SUMIF('TL11'!$C$238:$C$451,$C428,'TL11'!$J$238:$J$451),0),
IF('TL12'!$B$3=Q$3,SUMIF('TL12'!$C$10:$C$224,$C428,'TL12'!$J$10:$J$224),0),
IF('TL12'!$B$229=Q$3,SUMIF('TL12'!$C$238:$C$451,$C428,'TL12'!$J$238:$J$451),0),
IF('TL13'!$B$3=Q$3,SUMIF('TL13'!$C$10:$C$224,$C428,'TL13'!$J$10:$J$224),0),
IF('TL13'!$B$229=Q$3,SUMIF('TL13'!$C$238:$C$451,$C428,'TL13'!$J$238:$J$451),0),
IF('TL14'!$B$3=Q$3,SUMIF('TL14'!$C$10:$C$224,$C428,'TL14'!$J$10:$J$224),0),
IF('TL14'!$B$229=Q$3,SUMIF('TL14'!$C$238:$C$451,$C428,'TL14'!$J$238:$J$451),0),
IF('TL15'!$B$3=Q$3,SUMIF('TL15'!$C$10:$C$224,$C428,'TL15'!$J$10:$J$224),0),
IF('TL15'!$B$229=Q$3,SUMIF('TL15'!$C$238:$C$451,$C428,'TL15'!$J$238:$J$451),0),
IF('TL16'!$B$3=Q$3,SUMIF('TL16'!$C$10:$C$224,$C428,'TL16'!$J$10:$J$224),0),
IF('TL16'!$B$229=Q$3,SUMIF('TL16'!$C$238:$C$451,$C428,'TL16'!$J$238:$J$451),0),
IF('TL17'!$B$3=Q$3,SUMIF('TL17'!$C$10:$C$224,$C428,'TL17'!$J$10:$J$224),0),
IF('TL17'!$B$229=Q$3,SUMIF('TL17'!$C$238:$C$451,$C428,'TL17'!$J$238:$J$451),0),
IF('TL18'!$B$3=Q$3,SUMIF('TL18'!$C$10:$C$224,$C428,'TL18'!$J$10:$J$224),0),
IF('TL18'!$B$229=Q$3,SUMIF('TL18'!$C$238:$C$451,$C428,'TL18'!$J$238:$J$451),0),
IF('TL19'!$B$3=Q$3,SUMIF('TL19'!$C$10:$C$224,$C428,'TL19'!$J$10:$J$224),0),
IF('TL19'!$B$229=Q$3,SUMIF('TL19'!$C$238:$C$451,$C428,'TL19'!$J$238:$J$451),0)
),0)</f>
        <v/>
      </c>
      <c r="R428" s="139">
        <f>IFERROR(
SUM(
SUMIF('TL01'!C:C,C428,'TL01'!J:J),
SUMIF('TL02'!C:C,C428,'TL02'!I:I),
SUMIF('TL03'!C:C,C428,'TL03'!I:I),
SUMIF('TL04'!C:C,C428,'TL04'!I:I),
SUMIF('TL05'!C:C,C428,'TL05'!I:I),
SUMIF('TL06'!C:C,C428,'TL06'!I:I),
SUMIF('TL07'!C:C,C428,'TL07'!I:I),
SUMIF('TL08'!C:C,C428,'TL08'!I:I),
SUMIF('TL09'!C:C,C428,'TL09'!I:I),
SUMIF('TL10'!C:C,C428,'TL10'!I:I),
SUMIF('TL11'!C:C,C428,'TL11'!I:I),
SUMIF('TL12'!C:C,C428,'TL12'!I:I),
SUMIF('TL13'!C:C,C428,'TL13'!I:I),
SUMIF('TL14'!C:C,C428,'TL14'!I:I),
SUMIF('TL15'!C:C,C428,'TL15'!I:I),
SUMIF('TL16'!C:C,C428,'TL16'!I:I),
SUMIF('TL17'!C:C,C428,'TL17'!I:I),
SUMIF('TL18'!C:C,C428,'TL18'!I:I))
,0)</f>
        <v/>
      </c>
      <c r="S428" s="142">
        <f>'CUSTO OPERAÇÃO'!M32</f>
        <v/>
      </c>
      <c r="T428" s="139" t="n"/>
      <c r="U428" s="143">
        <f>MAX(0,R428-T428)</f>
        <v/>
      </c>
      <c r="V428" s="144">
        <f>U428*S428</f>
        <v/>
      </c>
    </row>
    <row r="429" hidden="1" ht="15.75" customHeight="1" s="297">
      <c r="A429" s="138" t="n"/>
      <c r="B429" s="155" t="n"/>
      <c r="C429" s="138" t="n"/>
      <c r="D429" s="138" t="n"/>
      <c r="E429" s="139" t="n"/>
      <c r="F429" s="138" t="inlineStr">
        <is>
          <t>R$/Ha</t>
        </is>
      </c>
      <c r="G429" s="139" t="n"/>
      <c r="H429" s="139">
        <f>'CUSTO OPERAÇÃO'!J33</f>
        <v/>
      </c>
      <c r="I429" s="156" t="n"/>
      <c r="J429" s="138">
        <f>IFERROR(SUM(
IF('TL01'!$B$3=J$3,SUMIF('TL01'!$C$10:$C$224,$C429,'TL01'!$J$10:$J$224),0),
IF('TL01'!$B$229=J$3,SUMIF('TL01'!$C$238:$C$451,$C429,'TL01'!$J$238:$J$451),0),
IF('TL02'!$B$3=J$3,SUMIF('TL02'!$C$10:$C$224,$C429,'TL02'!$J$10:$J$224),0),
IF('TL02'!$B$229=J$3,SUMIF('TL02'!$C$238:$C$451,$C429,'TL02'!$J$238:$J$451),0),
IF('TL03'!$B$3=J$3,SUMIF('TL03'!$C$10:$C$224,$C429,'TL03'!$J$10:$J$224),0),
IF('TL03'!$B$229=J$3,SUMIF('TL03'!$C$238:$C$451,$C429,'TL03'!$J$238:$J$451),0),
IF('TL04'!$B$3=J$3,SUMIF('TL04'!$C$10:$C$224,$C429,'TL04'!$J$10:$J$224),0),
IF('TL04'!$B$229=J$3,SUMIF('TL04'!$C$238:$C$451,$C429,'TL04'!$J$238:$J$451),0),
IF('TL05'!$B$3=J$3,SUMIF('TL05'!$C$10:$C$224,$C429,'TL05'!$J$10:$J$224),0),
IF('TL05'!$B$229=J$3,SUMIF('TL05'!$C$238:$C$451,$C429,'TL05'!$J$238:$J$451),0),
IF('TL06'!$B$3=J$3,SUMIF('TL06'!$C$10:$C$224,$C429,'TL06'!$J$10:$J$224),0),
IF('TL06'!$B$229=J$3,SUMIF('TL06'!$C$238:$C$451,$C429,'TL06'!$J$238:$J$451),0),
IF('TL07'!$B$3=J$3,SUMIF('TL07'!$C$10:$C$224,$C429,'TL07'!$J$10:$J$224),0),
IF('TL07'!$B$229=J$3,SUMIF('TL07'!$C$238:$C$451,$C429,'TL07'!$J$238:$J$451),0),
IF('TL08'!$B$3=J$3,SUMIF('TL08'!$C$10:$C$224,$C429,'TL08'!$J$10:$J$224),0),
IF('TL08'!$B$229=J$3,SUMIF('TL08'!$C$238:$C$451,$C429,'TL08'!$J$238:$J$451),0),
IF('TL09'!$B$3=J$3,SUMIF('TL09'!$C$10:$C$224,$C429,'TL09'!$J$10:$J$224),0),
IF('TL09'!$B$229=J$3,SUMIF('TL09'!$C$238:$C$451,$C429,'TL09'!$J$238:$J$451),0),
IF('TL10'!$B$3=J$3,SUMIF('TL10'!$C$10:$C$224,$C429,'TL10'!$J$10:$J$224),0),
IF('TL10'!$B$229=J$3,SUMIF('TL10'!$C$238:$C$451,$C429,'TL10'!$J$238:$J$451),0),
IF('TL11'!$B$3=J$3,SUMIF('TL11'!$C$10:$C$224,$C429,'TL11'!$J$10:$J$224),0),
IF('TL11'!$B$229=J$3,SUMIF('TL11'!$C$238:$C$451,$C429,'TL11'!$J$238:$J$451),0),
IF('TL12'!$B$3=J$3,SUMIF('TL12'!$C$10:$C$224,$C429,'TL12'!$J$10:$J$224),0),
IF('TL12'!$B$229=J$3,SUMIF('TL12'!$C$238:$C$451,$C429,'TL12'!$J$238:$J$451),0),
IF('TL13'!$B$3=J$3,SUMIF('TL13'!$C$10:$C$224,$C429,'TL13'!$J$10:$J$224),0),
IF('TL13'!$B$229=J$3,SUMIF('TL13'!$C$238:$C$451,$C429,'TL13'!$J$238:$J$451),0),
IF('TL14'!$B$3=J$3,SUMIF('TL14'!$C$10:$C$224,$C429,'TL14'!$J$10:$J$224),0),
IF('TL14'!$B$229=J$3,SUMIF('TL14'!$C$238:$C$451,$C429,'TL14'!$J$238:$J$451),0),
IF('TL15'!$B$3=J$3,SUMIF('TL15'!$C$10:$C$224,$C429,'TL15'!$J$10:$J$224),0),
IF('TL15'!$B$229=J$3,SUMIF('TL15'!$C$238:$C$451,$C429,'TL15'!$J$238:$J$451),0),
IF('TL16'!$B$3=J$3,SUMIF('TL16'!$C$10:$C$224,$C429,'TL16'!$J$10:$J$224),0),
IF('TL16'!$B$229=J$3,SUMIF('TL16'!$C$238:$C$451,$C429,'TL16'!$J$238:$J$451),0),
IF('TL17'!$B$3=J$3,SUMIF('TL17'!$C$10:$C$224,$C429,'TL17'!$J$10:$J$224),0),
IF('TL17'!$B$229=J$3,SUMIF('TL17'!$C$238:$C$451,$C429,'TL17'!$J$238:$J$451),0),
IF('TL18'!$B$3=J$3,SUMIF('TL18'!$C$10:$C$224,$C429,'TL18'!$J$10:$J$224),0),
IF('TL18'!$B$229=J$3,SUMIF('TL18'!$C$238:$C$451,$C429,'TL18'!$J$238:$J$451),0),
IF('TL19'!$B$3=J$3,SUMIF('TL19'!$C$10:$C$224,$C429,'TL19'!$J$10:$J$224),0),
IF('TL19'!$B$229=J$3,SUMIF('TL19'!$C$238:$C$451,$C429,'TL19'!$J$238:$J$451),0)
),0)</f>
        <v/>
      </c>
      <c r="K429" s="138">
        <f>IFERROR(SUM(
IF('TL01'!$B$3=K$3,SUMIF('TL01'!$C$10:$C$224,$C429,'TL01'!$J$10:$J$224),0),
IF('TL01'!$B$229=K$3,SUMIF('TL01'!$C$238:$C$451,$C429,'TL01'!$J$238:$J$451),0),
IF('TL02'!$B$3=K$3,SUMIF('TL02'!$C$10:$C$224,$C429,'TL02'!$J$10:$J$224),0),
IF('TL02'!$B$229=K$3,SUMIF('TL02'!$C$238:$C$451,$C429,'TL02'!$J$238:$J$451),0),
IF('TL03'!$B$3=K$3,SUMIF('TL03'!$C$10:$C$224,$C429,'TL03'!$J$10:$J$224),0),
IF('TL03'!$B$229=K$3,SUMIF('TL03'!$C$238:$C$451,$C429,'TL03'!$J$238:$J$451),0),
IF('TL04'!$B$3=K$3,SUMIF('TL04'!$C$10:$C$224,$C429,'TL04'!$J$10:$J$224),0),
IF('TL04'!$B$229=K$3,SUMIF('TL04'!$C$238:$C$451,$C429,'TL04'!$J$238:$J$451),0),
IF('TL05'!$B$3=K$3,SUMIF('TL05'!$C$10:$C$224,$C429,'TL05'!$J$10:$J$224),0),
IF('TL05'!$B$229=K$3,SUMIF('TL05'!$C$238:$C$451,$C429,'TL05'!$J$238:$J$451),0),
IF('TL06'!$B$3=K$3,SUMIF('TL06'!$C$10:$C$224,$C429,'TL06'!$J$10:$J$224),0),
IF('TL06'!$B$229=K$3,SUMIF('TL06'!$C$238:$C$451,$C429,'TL06'!$J$238:$J$451),0),
IF('TL07'!$B$3=K$3,SUMIF('TL07'!$C$10:$C$224,$C429,'TL07'!$J$10:$J$224),0),
IF('TL07'!$B$229=K$3,SUMIF('TL07'!$C$238:$C$451,$C429,'TL07'!$J$238:$J$451),0),
IF('TL08'!$B$3=K$3,SUMIF('TL08'!$C$10:$C$224,$C429,'TL08'!$J$10:$J$224),0),
IF('TL08'!$B$229=K$3,SUMIF('TL08'!$C$238:$C$451,$C429,'TL08'!$J$238:$J$451),0),
IF('TL09'!$B$3=K$3,SUMIF('TL09'!$C$10:$C$224,$C429,'TL09'!$J$10:$J$224),0),
IF('TL09'!$B$229=K$3,SUMIF('TL09'!$C$238:$C$451,$C429,'TL09'!$J$238:$J$451),0),
IF('TL10'!$B$3=K$3,SUMIF('TL10'!$C$10:$C$224,$C429,'TL10'!$J$10:$J$224),0),
IF('TL10'!$B$229=K$3,SUMIF('TL10'!$C$238:$C$451,$C429,'TL10'!$J$238:$J$451),0),
IF('TL11'!$B$3=K$3,SUMIF('TL11'!$C$10:$C$224,$C429,'TL11'!$J$10:$J$224),0),
IF('TL11'!$B$229=K$3,SUMIF('TL11'!$C$238:$C$451,$C429,'TL11'!$J$238:$J$451),0),
IF('TL12'!$B$3=K$3,SUMIF('TL12'!$C$10:$C$224,$C429,'TL12'!$J$10:$J$224),0),
IF('TL12'!$B$229=K$3,SUMIF('TL12'!$C$238:$C$451,$C429,'TL12'!$J$238:$J$451),0),
IF('TL13'!$B$3=K$3,SUMIF('TL13'!$C$10:$C$224,$C429,'TL13'!$J$10:$J$224),0),
IF('TL13'!$B$229=K$3,SUMIF('TL13'!$C$238:$C$451,$C429,'TL13'!$J$238:$J$451),0),
IF('TL14'!$B$3=K$3,SUMIF('TL14'!$C$10:$C$224,$C429,'TL14'!$J$10:$J$224),0),
IF('TL14'!$B$229=K$3,SUMIF('TL14'!$C$238:$C$451,$C429,'TL14'!$J$238:$J$451),0),
IF('TL15'!$B$3=K$3,SUMIF('TL15'!$C$10:$C$224,$C429,'TL15'!$J$10:$J$224),0),
IF('TL15'!$B$229=K$3,SUMIF('TL15'!$C$238:$C$451,$C429,'TL15'!$J$238:$J$451),0),
IF('TL16'!$B$3=K$3,SUMIF('TL16'!$C$10:$C$224,$C429,'TL16'!$J$10:$J$224),0),
IF('TL16'!$B$229=K$3,SUMIF('TL16'!$C$238:$C$451,$C429,'TL16'!$J$238:$J$451),0),
IF('TL17'!$B$3=K$3,SUMIF('TL17'!$C$10:$C$224,$C429,'TL17'!$J$10:$J$224),0),
IF('TL17'!$B$229=K$3,SUMIF('TL17'!$C$238:$C$451,$C429,'TL17'!$J$238:$J$451),0),
IF('TL18'!$B$3=K$3,SUMIF('TL18'!$C$10:$C$224,$C429,'TL18'!$J$10:$J$224),0),
IF('TL18'!$B$229=K$3,SUMIF('TL18'!$C$238:$C$451,$C429,'TL18'!$J$238:$J$451),0),
IF('TL19'!$B$3=K$3,SUMIF('TL19'!$C$10:$C$224,$C429,'TL19'!$J$10:$J$224),0),
IF('TL19'!$B$229=K$3,SUMIF('TL19'!$C$238:$C$451,$C429,'TL19'!$J$238:$J$451),0)
),0)</f>
        <v/>
      </c>
      <c r="L429" s="138">
        <f>IFERROR(SUM(
IF('TL01'!$B$3=L$3,SUMIF('TL01'!$C$10:$C$224,$C429,'TL01'!$J$10:$J$224),0),
IF('TL01'!$B$229=L$3,SUMIF('TL01'!$C$238:$C$451,$C429,'TL01'!$J$238:$J$451),0),
IF('TL02'!$B$3=L$3,SUMIF('TL02'!$C$10:$C$224,$C429,'TL02'!$J$10:$J$224),0),
IF('TL02'!$B$229=L$3,SUMIF('TL02'!$C$238:$C$451,$C429,'TL02'!$J$238:$J$451),0),
IF('TL03'!$B$3=L$3,SUMIF('TL03'!$C$10:$C$224,$C429,'TL03'!$J$10:$J$224),0),
IF('TL03'!$B$229=L$3,SUMIF('TL03'!$C$238:$C$451,$C429,'TL03'!$J$238:$J$451),0),
IF('TL04'!$B$3=L$3,SUMIF('TL04'!$C$10:$C$224,$C429,'TL04'!$J$10:$J$224),0),
IF('TL04'!$B$229=L$3,SUMIF('TL04'!$C$238:$C$451,$C429,'TL04'!$J$238:$J$451),0),
IF('TL05'!$B$3=L$3,SUMIF('TL05'!$C$10:$C$224,$C429,'TL05'!$J$10:$J$224),0),
IF('TL05'!$B$229=L$3,SUMIF('TL05'!$C$238:$C$451,$C429,'TL05'!$J$238:$J$451),0),
IF('TL06'!$B$3=L$3,SUMIF('TL06'!$C$10:$C$224,$C429,'TL06'!$J$10:$J$224),0),
IF('TL06'!$B$229=L$3,SUMIF('TL06'!$C$238:$C$451,$C429,'TL06'!$J$238:$J$451),0),
IF('TL07'!$B$3=L$3,SUMIF('TL07'!$C$10:$C$224,$C429,'TL07'!$J$10:$J$224),0),
IF('TL07'!$B$229=L$3,SUMIF('TL07'!$C$238:$C$451,$C429,'TL07'!$J$238:$J$451),0),
IF('TL08'!$B$3=L$3,SUMIF('TL08'!$C$10:$C$224,$C429,'TL08'!$J$10:$J$224),0),
IF('TL08'!$B$229=L$3,SUMIF('TL08'!$C$238:$C$451,$C429,'TL08'!$J$238:$J$451),0),
IF('TL09'!$B$3=L$3,SUMIF('TL09'!$C$10:$C$224,$C429,'TL09'!$J$10:$J$224),0),
IF('TL09'!$B$229=L$3,SUMIF('TL09'!$C$238:$C$451,$C429,'TL09'!$J$238:$J$451),0),
IF('TL10'!$B$3=L$3,SUMIF('TL10'!$C$10:$C$224,$C429,'TL10'!$J$10:$J$224),0),
IF('TL10'!$B$229=L$3,SUMIF('TL10'!$C$238:$C$451,$C429,'TL10'!$J$238:$J$451),0),
IF('TL11'!$B$3=L$3,SUMIF('TL11'!$C$10:$C$224,$C429,'TL11'!$J$10:$J$224),0),
IF('TL11'!$B$229=L$3,SUMIF('TL11'!$C$238:$C$451,$C429,'TL11'!$J$238:$J$451),0),
IF('TL12'!$B$3=L$3,SUMIF('TL12'!$C$10:$C$224,$C429,'TL12'!$J$10:$J$224),0),
IF('TL12'!$B$229=L$3,SUMIF('TL12'!$C$238:$C$451,$C429,'TL12'!$J$238:$J$451),0),
IF('TL13'!$B$3=L$3,SUMIF('TL13'!$C$10:$C$224,$C429,'TL13'!$J$10:$J$224),0),
IF('TL13'!$B$229=L$3,SUMIF('TL13'!$C$238:$C$451,$C429,'TL13'!$J$238:$J$451),0),
IF('TL14'!$B$3=L$3,SUMIF('TL14'!$C$10:$C$224,$C429,'TL14'!$J$10:$J$224),0),
IF('TL14'!$B$229=L$3,SUMIF('TL14'!$C$238:$C$451,$C429,'TL14'!$J$238:$J$451),0),
IF('TL15'!$B$3=L$3,SUMIF('TL15'!$C$10:$C$224,$C429,'TL15'!$J$10:$J$224),0),
IF('TL15'!$B$229=L$3,SUMIF('TL15'!$C$238:$C$451,$C429,'TL15'!$J$238:$J$451),0),
IF('TL16'!$B$3=L$3,SUMIF('TL16'!$C$10:$C$224,$C429,'TL16'!$J$10:$J$224),0),
IF('TL16'!$B$229=L$3,SUMIF('TL16'!$C$238:$C$451,$C429,'TL16'!$J$238:$J$451),0),
IF('TL17'!$B$3=L$3,SUMIF('TL17'!$C$10:$C$224,$C429,'TL17'!$J$10:$J$224),0),
IF('TL17'!$B$229=L$3,SUMIF('TL17'!$C$238:$C$451,$C429,'TL17'!$J$238:$J$451),0),
IF('TL18'!$B$3=L$3,SUMIF('TL18'!$C$10:$C$224,$C429,'TL18'!$J$10:$J$224),0),
IF('TL18'!$B$229=L$3,SUMIF('TL18'!$C$238:$C$451,$C429,'TL18'!$J$238:$J$451),0),
IF('TL19'!$B$3=L$3,SUMIF('TL19'!$C$10:$C$224,$C429,'TL19'!$J$10:$J$224),0),
IF('TL19'!$B$229=L$3,SUMIF('TL19'!$C$238:$C$451,$C429,'TL19'!$J$238:$J$451),0)
),0)</f>
        <v/>
      </c>
      <c r="M429" s="138">
        <f>IFERROR(SUM(
IF('TL01'!$B$3=M$3,SUMIF('TL01'!$C$10:$C$224,$C429,'TL01'!$J$10:$J$224),0),
IF('TL01'!$B$229=M$3,SUMIF('TL01'!$C$238:$C$451,$C429,'TL01'!$J$238:$J$451),0),
IF('TL02'!$B$3=M$3,SUMIF('TL02'!$C$10:$C$224,$C429,'TL02'!$J$10:$J$224),0),
IF('TL02'!$B$229=M$3,SUMIF('TL02'!$C$238:$C$451,$C429,'TL02'!$J$238:$J$451),0),
IF('TL03'!$B$3=M$3,SUMIF('TL03'!$C$10:$C$224,$C429,'TL03'!$J$10:$J$224),0),
IF('TL03'!$B$229=M$3,SUMIF('TL03'!$C$238:$C$451,$C429,'TL03'!$J$238:$J$451),0),
IF('TL04'!$B$3=M$3,SUMIF('TL04'!$C$10:$C$224,$C429,'TL04'!$J$10:$J$224),0),
IF('TL04'!$B$229=M$3,SUMIF('TL04'!$C$238:$C$451,$C429,'TL04'!$J$238:$J$451),0),
IF('TL05'!$B$3=M$3,SUMIF('TL05'!$C$10:$C$224,$C429,'TL05'!$J$10:$J$224),0),
IF('TL05'!$B$229=M$3,SUMIF('TL05'!$C$238:$C$451,$C429,'TL05'!$J$238:$J$451),0),
IF('TL06'!$B$3=M$3,SUMIF('TL06'!$C$10:$C$224,$C429,'TL06'!$J$10:$J$224),0),
IF('TL06'!$B$229=M$3,SUMIF('TL06'!$C$238:$C$451,$C429,'TL06'!$J$238:$J$451),0),
IF('TL07'!$B$3=M$3,SUMIF('TL07'!$C$10:$C$224,$C429,'TL07'!$J$10:$J$224),0),
IF('TL07'!$B$229=M$3,SUMIF('TL07'!$C$238:$C$451,$C429,'TL07'!$J$238:$J$451),0),
IF('TL08'!$B$3=M$3,SUMIF('TL08'!$C$10:$C$224,$C429,'TL08'!$J$10:$J$224),0),
IF('TL08'!$B$229=M$3,SUMIF('TL08'!$C$238:$C$451,$C429,'TL08'!$J$238:$J$451),0),
IF('TL09'!$B$3=M$3,SUMIF('TL09'!$C$10:$C$224,$C429,'TL09'!$J$10:$J$224),0),
IF('TL09'!$B$229=M$3,SUMIF('TL09'!$C$238:$C$451,$C429,'TL09'!$J$238:$J$451),0),
IF('TL10'!$B$3=M$3,SUMIF('TL10'!$C$10:$C$224,$C429,'TL10'!$J$10:$J$224),0),
IF('TL10'!$B$229=M$3,SUMIF('TL10'!$C$238:$C$451,$C429,'TL10'!$J$238:$J$451),0),
IF('TL11'!$B$3=M$3,SUMIF('TL11'!$C$10:$C$224,$C429,'TL11'!$J$10:$J$224),0),
IF('TL11'!$B$229=M$3,SUMIF('TL11'!$C$238:$C$451,$C429,'TL11'!$J$238:$J$451),0),
IF('TL12'!$B$3=M$3,SUMIF('TL12'!$C$10:$C$224,$C429,'TL12'!$J$10:$J$224),0),
IF('TL12'!$B$229=M$3,SUMIF('TL12'!$C$238:$C$451,$C429,'TL12'!$J$238:$J$451),0),
IF('TL13'!$B$3=M$3,SUMIF('TL13'!$C$10:$C$224,$C429,'TL13'!$J$10:$J$224),0),
IF('TL13'!$B$229=M$3,SUMIF('TL13'!$C$238:$C$451,$C429,'TL13'!$J$238:$J$451),0),
IF('TL14'!$B$3=M$3,SUMIF('TL14'!$C$10:$C$224,$C429,'TL14'!$J$10:$J$224),0),
IF('TL14'!$B$229=M$3,SUMIF('TL14'!$C$238:$C$451,$C429,'TL14'!$J$238:$J$451),0),
IF('TL15'!$B$3=M$3,SUMIF('TL15'!$C$10:$C$224,$C429,'TL15'!$J$10:$J$224),0),
IF('TL15'!$B$229=M$3,SUMIF('TL15'!$C$238:$C$451,$C429,'TL15'!$J$238:$J$451),0),
IF('TL16'!$B$3=M$3,SUMIF('TL16'!$C$10:$C$224,$C429,'TL16'!$J$10:$J$224),0),
IF('TL16'!$B$229=M$3,SUMIF('TL16'!$C$238:$C$451,$C429,'TL16'!$J$238:$J$451),0),
IF('TL17'!$B$3=M$3,SUMIF('TL17'!$C$10:$C$224,$C429,'TL17'!$J$10:$J$224),0),
IF('TL17'!$B$229=M$3,SUMIF('TL17'!$C$238:$C$451,$C429,'TL17'!$J$238:$J$451),0),
IF('TL18'!$B$3=M$3,SUMIF('TL18'!$C$10:$C$224,$C429,'TL18'!$J$10:$J$224),0),
IF('TL18'!$B$229=M$3,SUMIF('TL18'!$C$238:$C$451,$C429,'TL18'!$J$238:$J$451),0),
IF('TL19'!$B$3=M$3,SUMIF('TL19'!$C$10:$C$224,$C429,'TL19'!$J$10:$J$224),0),
IF('TL19'!$B$229=M$3,SUMIF('TL19'!$C$238:$C$451,$C429,'TL19'!$J$238:$J$451),0)
),0)</f>
        <v/>
      </c>
      <c r="N429" s="138">
        <f>IFERROR(SUM(
IF('TL01'!$B$3=N$3,SUMIF('TL01'!$C$10:$C$224,$C429,'TL01'!$J$10:$J$224),0),
IF('TL01'!$B$229=N$3,SUMIF('TL01'!$C$238:$C$451,$C429,'TL01'!$J$238:$J$451),0),
IF('TL02'!$B$3=N$3,SUMIF('TL02'!$C$10:$C$224,$C429,'TL02'!$J$10:$J$224),0),
IF('TL02'!$B$229=N$3,SUMIF('TL02'!$C$238:$C$451,$C429,'TL02'!$J$238:$J$451),0),
IF('TL03'!$B$3=N$3,SUMIF('TL03'!$C$10:$C$224,$C429,'TL03'!$J$10:$J$224),0),
IF('TL03'!$B$229=N$3,SUMIF('TL03'!$C$238:$C$451,$C429,'TL03'!$J$238:$J$451),0),
IF('TL04'!$B$3=N$3,SUMIF('TL04'!$C$10:$C$224,$C429,'TL04'!$J$10:$J$224),0),
IF('TL04'!$B$229=N$3,SUMIF('TL04'!$C$238:$C$451,$C429,'TL04'!$J$238:$J$451),0),
IF('TL05'!$B$3=N$3,SUMIF('TL05'!$C$10:$C$224,$C429,'TL05'!$J$10:$J$224),0),
IF('TL05'!$B$229=N$3,SUMIF('TL05'!$C$238:$C$451,$C429,'TL05'!$J$238:$J$451),0),
IF('TL06'!$B$3=N$3,SUMIF('TL06'!$C$10:$C$224,$C429,'TL06'!$J$10:$J$224),0),
IF('TL06'!$B$229=N$3,SUMIF('TL06'!$C$238:$C$451,$C429,'TL06'!$J$238:$J$451),0),
IF('TL07'!$B$3=N$3,SUMIF('TL07'!$C$10:$C$224,$C429,'TL07'!$J$10:$J$224),0),
IF('TL07'!$B$229=N$3,SUMIF('TL07'!$C$238:$C$451,$C429,'TL07'!$J$238:$J$451),0),
IF('TL08'!$B$3=N$3,SUMIF('TL08'!$C$10:$C$224,$C429,'TL08'!$J$10:$J$224),0),
IF('TL08'!$B$229=N$3,SUMIF('TL08'!$C$238:$C$451,$C429,'TL08'!$J$238:$J$451),0),
IF('TL09'!$B$3=N$3,SUMIF('TL09'!$C$10:$C$224,$C429,'TL09'!$J$10:$J$224),0),
IF('TL09'!$B$229=N$3,SUMIF('TL09'!$C$238:$C$451,$C429,'TL09'!$J$238:$J$451),0),
IF('TL10'!$B$3=N$3,SUMIF('TL10'!$C$10:$C$224,$C429,'TL10'!$J$10:$J$224),0),
IF('TL10'!$B$229=N$3,SUMIF('TL10'!$C$238:$C$451,$C429,'TL10'!$J$238:$J$451),0),
IF('TL11'!$B$3=N$3,SUMIF('TL11'!$C$10:$C$224,$C429,'TL11'!$J$10:$J$224),0),
IF('TL11'!$B$229=N$3,SUMIF('TL11'!$C$238:$C$451,$C429,'TL11'!$J$238:$J$451),0),
IF('TL12'!$B$3=N$3,SUMIF('TL12'!$C$10:$C$224,$C429,'TL12'!$J$10:$J$224),0),
IF('TL12'!$B$229=N$3,SUMIF('TL12'!$C$238:$C$451,$C429,'TL12'!$J$238:$J$451),0),
IF('TL13'!$B$3=N$3,SUMIF('TL13'!$C$10:$C$224,$C429,'TL13'!$J$10:$J$224),0),
IF('TL13'!$B$229=N$3,SUMIF('TL13'!$C$238:$C$451,$C429,'TL13'!$J$238:$J$451),0),
IF('TL14'!$B$3=N$3,SUMIF('TL14'!$C$10:$C$224,$C429,'TL14'!$J$10:$J$224),0),
IF('TL14'!$B$229=N$3,SUMIF('TL14'!$C$238:$C$451,$C429,'TL14'!$J$238:$J$451),0),
IF('TL15'!$B$3=N$3,SUMIF('TL15'!$C$10:$C$224,$C429,'TL15'!$J$10:$J$224),0),
IF('TL15'!$B$229=N$3,SUMIF('TL15'!$C$238:$C$451,$C429,'TL15'!$J$238:$J$451),0),
IF('TL16'!$B$3=N$3,SUMIF('TL16'!$C$10:$C$224,$C429,'TL16'!$J$10:$J$224),0),
IF('TL16'!$B$229=N$3,SUMIF('TL16'!$C$238:$C$451,$C429,'TL16'!$J$238:$J$451),0),
IF('TL17'!$B$3=N$3,SUMIF('TL17'!$C$10:$C$224,$C429,'TL17'!$J$10:$J$224),0),
IF('TL17'!$B$229=N$3,SUMIF('TL17'!$C$238:$C$451,$C429,'TL17'!$J$238:$J$451),0),
IF('TL18'!$B$3=N$3,SUMIF('TL18'!$C$10:$C$224,$C429,'TL18'!$J$10:$J$224),0),
IF('TL18'!$B$229=N$3,SUMIF('TL18'!$C$238:$C$451,$C429,'TL18'!$J$238:$J$451),0),
IF('TL19'!$B$3=N$3,SUMIF('TL19'!$C$10:$C$224,$C429,'TL19'!$J$10:$J$224),0),
IF('TL19'!$B$229=N$3,SUMIF('TL19'!$C$238:$C$451,$C429,'TL19'!$J$238:$J$451),0)
),0)</f>
        <v/>
      </c>
      <c r="O429" s="138">
        <f>IFERROR(SUM(
IF('TL01'!$B$3=O$3,SUMIF('TL01'!$C$10:$C$224,$C429,'TL01'!$J$10:$J$224),0),
IF('TL01'!$B$229=O$3,SUMIF('TL01'!$C$238:$C$451,$C429,'TL01'!$J$238:$J$451),0),
IF('TL02'!$B$3=O$3,SUMIF('TL02'!$C$10:$C$224,$C429,'TL02'!$J$10:$J$224),0),
IF('TL02'!$B$229=O$3,SUMIF('TL02'!$C$238:$C$451,$C429,'TL02'!$J$238:$J$451),0),
IF('TL03'!$B$3=O$3,SUMIF('TL03'!$C$10:$C$224,$C429,'TL03'!$J$10:$J$224),0),
IF('TL03'!$B$229=O$3,SUMIF('TL03'!$C$238:$C$451,$C429,'TL03'!$J$238:$J$451),0),
IF('TL04'!$B$3=O$3,SUMIF('TL04'!$C$10:$C$224,$C429,'TL04'!$J$10:$J$224),0),
IF('TL04'!$B$229=O$3,SUMIF('TL04'!$C$238:$C$451,$C429,'TL04'!$J$238:$J$451),0),
IF('TL05'!$B$3=O$3,SUMIF('TL05'!$C$10:$C$224,$C429,'TL05'!$J$10:$J$224),0),
IF('TL05'!$B$229=O$3,SUMIF('TL05'!$C$238:$C$451,$C429,'TL05'!$J$238:$J$451),0),
IF('TL06'!$B$3=O$3,SUMIF('TL06'!$C$10:$C$224,$C429,'TL06'!$J$10:$J$224),0),
IF('TL06'!$B$229=O$3,SUMIF('TL06'!$C$238:$C$451,$C429,'TL06'!$J$238:$J$451),0),
IF('TL07'!$B$3=O$3,SUMIF('TL07'!$C$10:$C$224,$C429,'TL07'!$J$10:$J$224),0),
IF('TL07'!$B$229=O$3,SUMIF('TL07'!$C$238:$C$451,$C429,'TL07'!$J$238:$J$451),0),
IF('TL08'!$B$3=O$3,SUMIF('TL08'!$C$10:$C$224,$C429,'TL08'!$J$10:$J$224),0),
IF('TL08'!$B$229=O$3,SUMIF('TL08'!$C$238:$C$451,$C429,'TL08'!$J$238:$J$451),0),
IF('TL09'!$B$3=O$3,SUMIF('TL09'!$C$10:$C$224,$C429,'TL09'!$J$10:$J$224),0),
IF('TL09'!$B$229=O$3,SUMIF('TL09'!$C$238:$C$451,$C429,'TL09'!$J$238:$J$451),0),
IF('TL10'!$B$3=O$3,SUMIF('TL10'!$C$10:$C$224,$C429,'TL10'!$J$10:$J$224),0),
IF('TL10'!$B$229=O$3,SUMIF('TL10'!$C$238:$C$451,$C429,'TL10'!$J$238:$J$451),0),
IF('TL11'!$B$3=O$3,SUMIF('TL11'!$C$10:$C$224,$C429,'TL11'!$J$10:$J$224),0),
IF('TL11'!$B$229=O$3,SUMIF('TL11'!$C$238:$C$451,$C429,'TL11'!$J$238:$J$451),0),
IF('TL12'!$B$3=O$3,SUMIF('TL12'!$C$10:$C$224,$C429,'TL12'!$J$10:$J$224),0),
IF('TL12'!$B$229=O$3,SUMIF('TL12'!$C$238:$C$451,$C429,'TL12'!$J$238:$J$451),0),
IF('TL13'!$B$3=O$3,SUMIF('TL13'!$C$10:$C$224,$C429,'TL13'!$J$10:$J$224),0),
IF('TL13'!$B$229=O$3,SUMIF('TL13'!$C$238:$C$451,$C429,'TL13'!$J$238:$J$451),0),
IF('TL14'!$B$3=O$3,SUMIF('TL14'!$C$10:$C$224,$C429,'TL14'!$J$10:$J$224),0),
IF('TL14'!$B$229=O$3,SUMIF('TL14'!$C$238:$C$451,$C429,'TL14'!$J$238:$J$451),0),
IF('TL15'!$B$3=O$3,SUMIF('TL15'!$C$10:$C$224,$C429,'TL15'!$J$10:$J$224),0),
IF('TL15'!$B$229=O$3,SUMIF('TL15'!$C$238:$C$451,$C429,'TL15'!$J$238:$J$451),0),
IF('TL16'!$B$3=O$3,SUMIF('TL16'!$C$10:$C$224,$C429,'TL16'!$J$10:$J$224),0),
IF('TL16'!$B$229=O$3,SUMIF('TL16'!$C$238:$C$451,$C429,'TL16'!$J$238:$J$451),0),
IF('TL17'!$B$3=O$3,SUMIF('TL17'!$C$10:$C$224,$C429,'TL17'!$J$10:$J$224),0),
IF('TL17'!$B$229=O$3,SUMIF('TL17'!$C$238:$C$451,$C429,'TL17'!$J$238:$J$451),0),
IF('TL18'!$B$3=O$3,SUMIF('TL18'!$C$10:$C$224,$C429,'TL18'!$J$10:$J$224),0),
IF('TL18'!$B$229=O$3,SUMIF('TL18'!$C$238:$C$451,$C429,'TL18'!$J$238:$J$451),0),
IF('TL19'!$B$3=O$3,SUMIF('TL19'!$C$10:$C$224,$C429,'TL19'!$J$10:$J$224),0),
IF('TL19'!$B$229=O$3,SUMIF('TL19'!$C$238:$C$451,$C429,'TL19'!$J$238:$J$451),0)
),0)</f>
        <v/>
      </c>
      <c r="P429" s="138">
        <f>IFERROR(SUM(
IF('TL01'!$B$3=P$3,SUMIF('TL01'!$C$10:$C$224,$C429,'TL01'!$J$10:$J$224),0),
IF('TL01'!$B$229=P$3,SUMIF('TL01'!$C$238:$C$451,$C429,'TL01'!$J$238:$J$451),0),
IF('TL02'!$B$3=P$3,SUMIF('TL02'!$C$10:$C$224,$C429,'TL02'!$J$10:$J$224),0),
IF('TL02'!$B$229=P$3,SUMIF('TL02'!$C$238:$C$451,$C429,'TL02'!$J$238:$J$451),0),
IF('TL03'!$B$3=P$3,SUMIF('TL03'!$C$10:$C$224,$C429,'TL03'!$J$10:$J$224),0),
IF('TL03'!$B$229=P$3,SUMIF('TL03'!$C$238:$C$451,$C429,'TL03'!$J$238:$J$451),0),
IF('TL04'!$B$3=P$3,SUMIF('TL04'!$C$10:$C$224,$C429,'TL04'!$J$10:$J$224),0),
IF('TL04'!$B$229=P$3,SUMIF('TL04'!$C$238:$C$451,$C429,'TL04'!$J$238:$J$451),0),
IF('TL05'!$B$3=P$3,SUMIF('TL05'!$C$10:$C$224,$C429,'TL05'!$J$10:$J$224),0),
IF('TL05'!$B$229=P$3,SUMIF('TL05'!$C$238:$C$451,$C429,'TL05'!$J$238:$J$451),0),
IF('TL06'!$B$3=P$3,SUMIF('TL06'!$C$10:$C$224,$C429,'TL06'!$J$10:$J$224),0),
IF('TL06'!$B$229=P$3,SUMIF('TL06'!$C$238:$C$451,$C429,'TL06'!$J$238:$J$451),0),
IF('TL07'!$B$3=P$3,SUMIF('TL07'!$C$10:$C$224,$C429,'TL07'!$J$10:$J$224),0),
IF('TL07'!$B$229=P$3,SUMIF('TL07'!$C$238:$C$451,$C429,'TL07'!$J$238:$J$451),0),
IF('TL08'!$B$3=P$3,SUMIF('TL08'!$C$10:$C$224,$C429,'TL08'!$J$10:$J$224),0),
IF('TL08'!$B$229=P$3,SUMIF('TL08'!$C$238:$C$451,$C429,'TL08'!$J$238:$J$451),0),
IF('TL09'!$B$3=P$3,SUMIF('TL09'!$C$10:$C$224,$C429,'TL09'!$J$10:$J$224),0),
IF('TL09'!$B$229=P$3,SUMIF('TL09'!$C$238:$C$451,$C429,'TL09'!$J$238:$J$451),0),
IF('TL10'!$B$3=P$3,SUMIF('TL10'!$C$10:$C$224,$C429,'TL10'!$J$10:$J$224),0),
IF('TL10'!$B$229=P$3,SUMIF('TL10'!$C$238:$C$451,$C429,'TL10'!$J$238:$J$451),0),
IF('TL11'!$B$3=P$3,SUMIF('TL11'!$C$10:$C$224,$C429,'TL11'!$J$10:$J$224),0),
IF('TL11'!$B$229=P$3,SUMIF('TL11'!$C$238:$C$451,$C429,'TL11'!$J$238:$J$451),0),
IF('TL12'!$B$3=P$3,SUMIF('TL12'!$C$10:$C$224,$C429,'TL12'!$J$10:$J$224),0),
IF('TL12'!$B$229=P$3,SUMIF('TL12'!$C$238:$C$451,$C429,'TL12'!$J$238:$J$451),0),
IF('TL13'!$B$3=P$3,SUMIF('TL13'!$C$10:$C$224,$C429,'TL13'!$J$10:$J$224),0),
IF('TL13'!$B$229=P$3,SUMIF('TL13'!$C$238:$C$451,$C429,'TL13'!$J$238:$J$451),0),
IF('TL14'!$B$3=P$3,SUMIF('TL14'!$C$10:$C$224,$C429,'TL14'!$J$10:$J$224),0),
IF('TL14'!$B$229=P$3,SUMIF('TL14'!$C$238:$C$451,$C429,'TL14'!$J$238:$J$451),0),
IF('TL15'!$B$3=P$3,SUMIF('TL15'!$C$10:$C$224,$C429,'TL15'!$J$10:$J$224),0),
IF('TL15'!$B$229=P$3,SUMIF('TL15'!$C$238:$C$451,$C429,'TL15'!$J$238:$J$451),0),
IF('TL16'!$B$3=P$3,SUMIF('TL16'!$C$10:$C$224,$C429,'TL16'!$J$10:$J$224),0),
IF('TL16'!$B$229=P$3,SUMIF('TL16'!$C$238:$C$451,$C429,'TL16'!$J$238:$J$451),0),
IF('TL17'!$B$3=P$3,SUMIF('TL17'!$C$10:$C$224,$C429,'TL17'!$J$10:$J$224),0),
IF('TL17'!$B$229=P$3,SUMIF('TL17'!$C$238:$C$451,$C429,'TL17'!$J$238:$J$451),0),
IF('TL18'!$B$3=P$3,SUMIF('TL18'!$C$10:$C$224,$C429,'TL18'!$J$10:$J$224),0),
IF('TL18'!$B$229=P$3,SUMIF('TL18'!$C$238:$C$451,$C429,'TL18'!$J$238:$J$451),0),
IF('TL19'!$B$3=P$3,SUMIF('TL19'!$C$10:$C$224,$C429,'TL19'!$J$10:$J$224),0),
IF('TL19'!$B$229=P$3,SUMIF('TL19'!$C$238:$C$451,$C429,'TL19'!$J$238:$J$451),0)
),0)</f>
        <v/>
      </c>
      <c r="Q429" s="138">
        <f>IFERROR(SUM(
IF('TL01'!$B$3=Q$3,SUMIF('TL01'!$C$10:$C$224,$C429,'TL01'!$J$10:$J$224),0),
IF('TL01'!$B$229=Q$3,SUMIF('TL01'!$C$238:$C$451,$C429,'TL01'!$J$238:$J$451),0),
IF('TL02'!$B$3=Q$3,SUMIF('TL02'!$C$10:$C$224,$C429,'TL02'!$J$10:$J$224),0),
IF('TL02'!$B$229=Q$3,SUMIF('TL02'!$C$238:$C$451,$C429,'TL02'!$J$238:$J$451),0),
IF('TL03'!$B$3=Q$3,SUMIF('TL03'!$C$10:$C$224,$C429,'TL03'!$J$10:$J$224),0),
IF('TL03'!$B$229=Q$3,SUMIF('TL03'!$C$238:$C$451,$C429,'TL03'!$J$238:$J$451),0),
IF('TL04'!$B$3=Q$3,SUMIF('TL04'!$C$10:$C$224,$C429,'TL04'!$J$10:$J$224),0),
IF('TL04'!$B$229=Q$3,SUMIF('TL04'!$C$238:$C$451,$C429,'TL04'!$J$238:$J$451),0),
IF('TL05'!$B$3=Q$3,SUMIF('TL05'!$C$10:$C$224,$C429,'TL05'!$J$10:$J$224),0),
IF('TL05'!$B$229=Q$3,SUMIF('TL05'!$C$238:$C$451,$C429,'TL05'!$J$238:$J$451),0),
IF('TL06'!$B$3=Q$3,SUMIF('TL06'!$C$10:$C$224,$C429,'TL06'!$J$10:$J$224),0),
IF('TL06'!$B$229=Q$3,SUMIF('TL06'!$C$238:$C$451,$C429,'TL06'!$J$238:$J$451),0),
IF('TL07'!$B$3=Q$3,SUMIF('TL07'!$C$10:$C$224,$C429,'TL07'!$J$10:$J$224),0),
IF('TL07'!$B$229=Q$3,SUMIF('TL07'!$C$238:$C$451,$C429,'TL07'!$J$238:$J$451),0),
IF('TL08'!$B$3=Q$3,SUMIF('TL08'!$C$10:$C$224,$C429,'TL08'!$J$10:$J$224),0),
IF('TL08'!$B$229=Q$3,SUMIF('TL08'!$C$238:$C$451,$C429,'TL08'!$J$238:$J$451),0),
IF('TL09'!$B$3=Q$3,SUMIF('TL09'!$C$10:$C$224,$C429,'TL09'!$J$10:$J$224),0),
IF('TL09'!$B$229=Q$3,SUMIF('TL09'!$C$238:$C$451,$C429,'TL09'!$J$238:$J$451),0),
IF('TL10'!$B$3=Q$3,SUMIF('TL10'!$C$10:$C$224,$C429,'TL10'!$J$10:$J$224),0),
IF('TL10'!$B$229=Q$3,SUMIF('TL10'!$C$238:$C$451,$C429,'TL10'!$J$238:$J$451),0),
IF('TL11'!$B$3=Q$3,SUMIF('TL11'!$C$10:$C$224,$C429,'TL11'!$J$10:$J$224),0),
IF('TL11'!$B$229=Q$3,SUMIF('TL11'!$C$238:$C$451,$C429,'TL11'!$J$238:$J$451),0),
IF('TL12'!$B$3=Q$3,SUMIF('TL12'!$C$10:$C$224,$C429,'TL12'!$J$10:$J$224),0),
IF('TL12'!$B$229=Q$3,SUMIF('TL12'!$C$238:$C$451,$C429,'TL12'!$J$238:$J$451),0),
IF('TL13'!$B$3=Q$3,SUMIF('TL13'!$C$10:$C$224,$C429,'TL13'!$J$10:$J$224),0),
IF('TL13'!$B$229=Q$3,SUMIF('TL13'!$C$238:$C$451,$C429,'TL13'!$J$238:$J$451),0),
IF('TL14'!$B$3=Q$3,SUMIF('TL14'!$C$10:$C$224,$C429,'TL14'!$J$10:$J$224),0),
IF('TL14'!$B$229=Q$3,SUMIF('TL14'!$C$238:$C$451,$C429,'TL14'!$J$238:$J$451),0),
IF('TL15'!$B$3=Q$3,SUMIF('TL15'!$C$10:$C$224,$C429,'TL15'!$J$10:$J$224),0),
IF('TL15'!$B$229=Q$3,SUMIF('TL15'!$C$238:$C$451,$C429,'TL15'!$J$238:$J$451),0),
IF('TL16'!$B$3=Q$3,SUMIF('TL16'!$C$10:$C$224,$C429,'TL16'!$J$10:$J$224),0),
IF('TL16'!$B$229=Q$3,SUMIF('TL16'!$C$238:$C$451,$C429,'TL16'!$J$238:$J$451),0),
IF('TL17'!$B$3=Q$3,SUMIF('TL17'!$C$10:$C$224,$C429,'TL17'!$J$10:$J$224),0),
IF('TL17'!$B$229=Q$3,SUMIF('TL17'!$C$238:$C$451,$C429,'TL17'!$J$238:$J$451),0),
IF('TL18'!$B$3=Q$3,SUMIF('TL18'!$C$10:$C$224,$C429,'TL18'!$J$10:$J$224),0),
IF('TL18'!$B$229=Q$3,SUMIF('TL18'!$C$238:$C$451,$C429,'TL18'!$J$238:$J$451),0),
IF('TL19'!$B$3=Q$3,SUMIF('TL19'!$C$10:$C$224,$C429,'TL19'!$J$10:$J$224),0),
IF('TL19'!$B$229=Q$3,SUMIF('TL19'!$C$238:$C$451,$C429,'TL19'!$J$238:$J$451),0)
),0)</f>
        <v/>
      </c>
      <c r="R429" s="139">
        <f>IFERROR(
SUM(
SUMIF('TL01'!C:C,C429,'TL01'!J:J),
SUMIF('TL02'!C:C,C429,'TL02'!I:I),
SUMIF('TL03'!C:C,C429,'TL03'!I:I),
SUMIF('TL04'!C:C,C429,'TL04'!I:I),
SUMIF('TL05'!C:C,C429,'TL05'!I:I),
SUMIF('TL06'!C:C,C429,'TL06'!I:I),
SUMIF('TL07'!C:C,C429,'TL07'!I:I),
SUMIF('TL08'!C:C,C429,'TL08'!I:I),
SUMIF('TL09'!C:C,C429,'TL09'!I:I),
SUMIF('TL10'!C:C,C429,'TL10'!I:I),
SUMIF('TL11'!C:C,C429,'TL11'!I:I),
SUMIF('TL12'!C:C,C429,'TL12'!I:I),
SUMIF('TL13'!C:C,C429,'TL13'!I:I),
SUMIF('TL14'!C:C,C429,'TL14'!I:I),
SUMIF('TL15'!C:C,C429,'TL15'!I:I),
SUMIF('TL16'!C:C,C429,'TL16'!I:I),
SUMIF('TL17'!C:C,C429,'TL17'!I:I),
SUMIF('TL18'!C:C,C429,'TL18'!I:I))
,0)</f>
        <v/>
      </c>
      <c r="S429" s="142">
        <f>'CUSTO OPERAÇÃO'!M33</f>
        <v/>
      </c>
      <c r="T429" s="139" t="n"/>
      <c r="U429" s="143">
        <f>MAX(0,R429-T429)</f>
        <v/>
      </c>
      <c r="V429" s="144">
        <f>U429*S429</f>
        <v/>
      </c>
    </row>
    <row r="430" hidden="1" ht="15.75" customHeight="1" s="297">
      <c r="A430" s="138" t="n"/>
      <c r="B430" s="155" t="n"/>
      <c r="C430" s="138" t="n"/>
      <c r="D430" s="138" t="n"/>
      <c r="E430" s="139" t="n"/>
      <c r="F430" s="138" t="inlineStr">
        <is>
          <t>R$/Ha</t>
        </is>
      </c>
      <c r="G430" s="139" t="n"/>
      <c r="H430" s="139">
        <f>'CUSTO OPERAÇÃO'!J34</f>
        <v/>
      </c>
      <c r="I430" s="156" t="n"/>
      <c r="J430" s="138">
        <f>IFERROR(SUM(
IF('TL01'!$B$3=J$3,SUMIF('TL01'!$C$10:$C$224,$C430,'TL01'!$J$10:$J$224),0),
IF('TL01'!$B$229=J$3,SUMIF('TL01'!$C$238:$C$451,$C430,'TL01'!$J$238:$J$451),0),
IF('TL02'!$B$3=J$3,SUMIF('TL02'!$C$10:$C$224,$C430,'TL02'!$J$10:$J$224),0),
IF('TL02'!$B$229=J$3,SUMIF('TL02'!$C$238:$C$451,$C430,'TL02'!$J$238:$J$451),0),
IF('TL03'!$B$3=J$3,SUMIF('TL03'!$C$10:$C$224,$C430,'TL03'!$J$10:$J$224),0),
IF('TL03'!$B$229=J$3,SUMIF('TL03'!$C$238:$C$451,$C430,'TL03'!$J$238:$J$451),0),
IF('TL04'!$B$3=J$3,SUMIF('TL04'!$C$10:$C$224,$C430,'TL04'!$J$10:$J$224),0),
IF('TL04'!$B$229=J$3,SUMIF('TL04'!$C$238:$C$451,$C430,'TL04'!$J$238:$J$451),0),
IF('TL05'!$B$3=J$3,SUMIF('TL05'!$C$10:$C$224,$C430,'TL05'!$J$10:$J$224),0),
IF('TL05'!$B$229=J$3,SUMIF('TL05'!$C$238:$C$451,$C430,'TL05'!$J$238:$J$451),0),
IF('TL06'!$B$3=J$3,SUMIF('TL06'!$C$10:$C$224,$C430,'TL06'!$J$10:$J$224),0),
IF('TL06'!$B$229=J$3,SUMIF('TL06'!$C$238:$C$451,$C430,'TL06'!$J$238:$J$451),0),
IF('TL07'!$B$3=J$3,SUMIF('TL07'!$C$10:$C$224,$C430,'TL07'!$J$10:$J$224),0),
IF('TL07'!$B$229=J$3,SUMIF('TL07'!$C$238:$C$451,$C430,'TL07'!$J$238:$J$451),0),
IF('TL08'!$B$3=J$3,SUMIF('TL08'!$C$10:$C$224,$C430,'TL08'!$J$10:$J$224),0),
IF('TL08'!$B$229=J$3,SUMIF('TL08'!$C$238:$C$451,$C430,'TL08'!$J$238:$J$451),0),
IF('TL09'!$B$3=J$3,SUMIF('TL09'!$C$10:$C$224,$C430,'TL09'!$J$10:$J$224),0),
IF('TL09'!$B$229=J$3,SUMIF('TL09'!$C$238:$C$451,$C430,'TL09'!$J$238:$J$451),0),
IF('TL10'!$B$3=J$3,SUMIF('TL10'!$C$10:$C$224,$C430,'TL10'!$J$10:$J$224),0),
IF('TL10'!$B$229=J$3,SUMIF('TL10'!$C$238:$C$451,$C430,'TL10'!$J$238:$J$451),0),
IF('TL11'!$B$3=J$3,SUMIF('TL11'!$C$10:$C$224,$C430,'TL11'!$J$10:$J$224),0),
IF('TL11'!$B$229=J$3,SUMIF('TL11'!$C$238:$C$451,$C430,'TL11'!$J$238:$J$451),0),
IF('TL12'!$B$3=J$3,SUMIF('TL12'!$C$10:$C$224,$C430,'TL12'!$J$10:$J$224),0),
IF('TL12'!$B$229=J$3,SUMIF('TL12'!$C$238:$C$451,$C430,'TL12'!$J$238:$J$451),0),
IF('TL13'!$B$3=J$3,SUMIF('TL13'!$C$10:$C$224,$C430,'TL13'!$J$10:$J$224),0),
IF('TL13'!$B$229=J$3,SUMIF('TL13'!$C$238:$C$451,$C430,'TL13'!$J$238:$J$451),0),
IF('TL14'!$B$3=J$3,SUMIF('TL14'!$C$10:$C$224,$C430,'TL14'!$J$10:$J$224),0),
IF('TL14'!$B$229=J$3,SUMIF('TL14'!$C$238:$C$451,$C430,'TL14'!$J$238:$J$451),0),
IF('TL15'!$B$3=J$3,SUMIF('TL15'!$C$10:$C$224,$C430,'TL15'!$J$10:$J$224),0),
IF('TL15'!$B$229=J$3,SUMIF('TL15'!$C$238:$C$451,$C430,'TL15'!$J$238:$J$451),0),
IF('TL16'!$B$3=J$3,SUMIF('TL16'!$C$10:$C$224,$C430,'TL16'!$J$10:$J$224),0),
IF('TL16'!$B$229=J$3,SUMIF('TL16'!$C$238:$C$451,$C430,'TL16'!$J$238:$J$451),0),
IF('TL17'!$B$3=J$3,SUMIF('TL17'!$C$10:$C$224,$C430,'TL17'!$J$10:$J$224),0),
IF('TL17'!$B$229=J$3,SUMIF('TL17'!$C$238:$C$451,$C430,'TL17'!$J$238:$J$451),0),
IF('TL18'!$B$3=J$3,SUMIF('TL18'!$C$10:$C$224,$C430,'TL18'!$J$10:$J$224),0),
IF('TL18'!$B$229=J$3,SUMIF('TL18'!$C$238:$C$451,$C430,'TL18'!$J$238:$J$451),0),
IF('TL19'!$B$3=J$3,SUMIF('TL19'!$C$10:$C$224,$C430,'TL19'!$J$10:$J$224),0),
IF('TL19'!$B$229=J$3,SUMIF('TL19'!$C$238:$C$451,$C430,'TL19'!$J$238:$J$451),0)
),0)</f>
        <v/>
      </c>
      <c r="K430" s="138">
        <f>IFERROR(SUM(
IF('TL01'!$B$3=K$3,SUMIF('TL01'!$C$10:$C$224,$C430,'TL01'!$J$10:$J$224),0),
IF('TL01'!$B$229=K$3,SUMIF('TL01'!$C$238:$C$451,$C430,'TL01'!$J$238:$J$451),0),
IF('TL02'!$B$3=K$3,SUMIF('TL02'!$C$10:$C$224,$C430,'TL02'!$J$10:$J$224),0),
IF('TL02'!$B$229=K$3,SUMIF('TL02'!$C$238:$C$451,$C430,'TL02'!$J$238:$J$451),0),
IF('TL03'!$B$3=K$3,SUMIF('TL03'!$C$10:$C$224,$C430,'TL03'!$J$10:$J$224),0),
IF('TL03'!$B$229=K$3,SUMIF('TL03'!$C$238:$C$451,$C430,'TL03'!$J$238:$J$451),0),
IF('TL04'!$B$3=K$3,SUMIF('TL04'!$C$10:$C$224,$C430,'TL04'!$J$10:$J$224),0),
IF('TL04'!$B$229=K$3,SUMIF('TL04'!$C$238:$C$451,$C430,'TL04'!$J$238:$J$451),0),
IF('TL05'!$B$3=K$3,SUMIF('TL05'!$C$10:$C$224,$C430,'TL05'!$J$10:$J$224),0),
IF('TL05'!$B$229=K$3,SUMIF('TL05'!$C$238:$C$451,$C430,'TL05'!$J$238:$J$451),0),
IF('TL06'!$B$3=K$3,SUMIF('TL06'!$C$10:$C$224,$C430,'TL06'!$J$10:$J$224),0),
IF('TL06'!$B$229=K$3,SUMIF('TL06'!$C$238:$C$451,$C430,'TL06'!$J$238:$J$451),0),
IF('TL07'!$B$3=K$3,SUMIF('TL07'!$C$10:$C$224,$C430,'TL07'!$J$10:$J$224),0),
IF('TL07'!$B$229=K$3,SUMIF('TL07'!$C$238:$C$451,$C430,'TL07'!$J$238:$J$451),0),
IF('TL08'!$B$3=K$3,SUMIF('TL08'!$C$10:$C$224,$C430,'TL08'!$J$10:$J$224),0),
IF('TL08'!$B$229=K$3,SUMIF('TL08'!$C$238:$C$451,$C430,'TL08'!$J$238:$J$451),0),
IF('TL09'!$B$3=K$3,SUMIF('TL09'!$C$10:$C$224,$C430,'TL09'!$J$10:$J$224),0),
IF('TL09'!$B$229=K$3,SUMIF('TL09'!$C$238:$C$451,$C430,'TL09'!$J$238:$J$451),0),
IF('TL10'!$B$3=K$3,SUMIF('TL10'!$C$10:$C$224,$C430,'TL10'!$J$10:$J$224),0),
IF('TL10'!$B$229=K$3,SUMIF('TL10'!$C$238:$C$451,$C430,'TL10'!$J$238:$J$451),0),
IF('TL11'!$B$3=K$3,SUMIF('TL11'!$C$10:$C$224,$C430,'TL11'!$J$10:$J$224),0),
IF('TL11'!$B$229=K$3,SUMIF('TL11'!$C$238:$C$451,$C430,'TL11'!$J$238:$J$451),0),
IF('TL12'!$B$3=K$3,SUMIF('TL12'!$C$10:$C$224,$C430,'TL12'!$J$10:$J$224),0),
IF('TL12'!$B$229=K$3,SUMIF('TL12'!$C$238:$C$451,$C430,'TL12'!$J$238:$J$451),0),
IF('TL13'!$B$3=K$3,SUMIF('TL13'!$C$10:$C$224,$C430,'TL13'!$J$10:$J$224),0),
IF('TL13'!$B$229=K$3,SUMIF('TL13'!$C$238:$C$451,$C430,'TL13'!$J$238:$J$451),0),
IF('TL14'!$B$3=K$3,SUMIF('TL14'!$C$10:$C$224,$C430,'TL14'!$J$10:$J$224),0),
IF('TL14'!$B$229=K$3,SUMIF('TL14'!$C$238:$C$451,$C430,'TL14'!$J$238:$J$451),0),
IF('TL15'!$B$3=K$3,SUMIF('TL15'!$C$10:$C$224,$C430,'TL15'!$J$10:$J$224),0),
IF('TL15'!$B$229=K$3,SUMIF('TL15'!$C$238:$C$451,$C430,'TL15'!$J$238:$J$451),0),
IF('TL16'!$B$3=K$3,SUMIF('TL16'!$C$10:$C$224,$C430,'TL16'!$J$10:$J$224),0),
IF('TL16'!$B$229=K$3,SUMIF('TL16'!$C$238:$C$451,$C430,'TL16'!$J$238:$J$451),0),
IF('TL17'!$B$3=K$3,SUMIF('TL17'!$C$10:$C$224,$C430,'TL17'!$J$10:$J$224),0),
IF('TL17'!$B$229=K$3,SUMIF('TL17'!$C$238:$C$451,$C430,'TL17'!$J$238:$J$451),0),
IF('TL18'!$B$3=K$3,SUMIF('TL18'!$C$10:$C$224,$C430,'TL18'!$J$10:$J$224),0),
IF('TL18'!$B$229=K$3,SUMIF('TL18'!$C$238:$C$451,$C430,'TL18'!$J$238:$J$451),0),
IF('TL19'!$B$3=K$3,SUMIF('TL19'!$C$10:$C$224,$C430,'TL19'!$J$10:$J$224),0),
IF('TL19'!$B$229=K$3,SUMIF('TL19'!$C$238:$C$451,$C430,'TL19'!$J$238:$J$451),0)
),0)</f>
        <v/>
      </c>
      <c r="L430" s="138">
        <f>IFERROR(SUM(
IF('TL01'!$B$3=L$3,SUMIF('TL01'!$C$10:$C$224,$C430,'TL01'!$J$10:$J$224),0),
IF('TL01'!$B$229=L$3,SUMIF('TL01'!$C$238:$C$451,$C430,'TL01'!$J$238:$J$451),0),
IF('TL02'!$B$3=L$3,SUMIF('TL02'!$C$10:$C$224,$C430,'TL02'!$J$10:$J$224),0),
IF('TL02'!$B$229=L$3,SUMIF('TL02'!$C$238:$C$451,$C430,'TL02'!$J$238:$J$451),0),
IF('TL03'!$B$3=L$3,SUMIF('TL03'!$C$10:$C$224,$C430,'TL03'!$J$10:$J$224),0),
IF('TL03'!$B$229=L$3,SUMIF('TL03'!$C$238:$C$451,$C430,'TL03'!$J$238:$J$451),0),
IF('TL04'!$B$3=L$3,SUMIF('TL04'!$C$10:$C$224,$C430,'TL04'!$J$10:$J$224),0),
IF('TL04'!$B$229=L$3,SUMIF('TL04'!$C$238:$C$451,$C430,'TL04'!$J$238:$J$451),0),
IF('TL05'!$B$3=L$3,SUMIF('TL05'!$C$10:$C$224,$C430,'TL05'!$J$10:$J$224),0),
IF('TL05'!$B$229=L$3,SUMIF('TL05'!$C$238:$C$451,$C430,'TL05'!$J$238:$J$451),0),
IF('TL06'!$B$3=L$3,SUMIF('TL06'!$C$10:$C$224,$C430,'TL06'!$J$10:$J$224),0),
IF('TL06'!$B$229=L$3,SUMIF('TL06'!$C$238:$C$451,$C430,'TL06'!$J$238:$J$451),0),
IF('TL07'!$B$3=L$3,SUMIF('TL07'!$C$10:$C$224,$C430,'TL07'!$J$10:$J$224),0),
IF('TL07'!$B$229=L$3,SUMIF('TL07'!$C$238:$C$451,$C430,'TL07'!$J$238:$J$451),0),
IF('TL08'!$B$3=L$3,SUMIF('TL08'!$C$10:$C$224,$C430,'TL08'!$J$10:$J$224),0),
IF('TL08'!$B$229=L$3,SUMIF('TL08'!$C$238:$C$451,$C430,'TL08'!$J$238:$J$451),0),
IF('TL09'!$B$3=L$3,SUMIF('TL09'!$C$10:$C$224,$C430,'TL09'!$J$10:$J$224),0),
IF('TL09'!$B$229=L$3,SUMIF('TL09'!$C$238:$C$451,$C430,'TL09'!$J$238:$J$451),0),
IF('TL10'!$B$3=L$3,SUMIF('TL10'!$C$10:$C$224,$C430,'TL10'!$J$10:$J$224),0),
IF('TL10'!$B$229=L$3,SUMIF('TL10'!$C$238:$C$451,$C430,'TL10'!$J$238:$J$451),0),
IF('TL11'!$B$3=L$3,SUMIF('TL11'!$C$10:$C$224,$C430,'TL11'!$J$10:$J$224),0),
IF('TL11'!$B$229=L$3,SUMIF('TL11'!$C$238:$C$451,$C430,'TL11'!$J$238:$J$451),0),
IF('TL12'!$B$3=L$3,SUMIF('TL12'!$C$10:$C$224,$C430,'TL12'!$J$10:$J$224),0),
IF('TL12'!$B$229=L$3,SUMIF('TL12'!$C$238:$C$451,$C430,'TL12'!$J$238:$J$451),0),
IF('TL13'!$B$3=L$3,SUMIF('TL13'!$C$10:$C$224,$C430,'TL13'!$J$10:$J$224),0),
IF('TL13'!$B$229=L$3,SUMIF('TL13'!$C$238:$C$451,$C430,'TL13'!$J$238:$J$451),0),
IF('TL14'!$B$3=L$3,SUMIF('TL14'!$C$10:$C$224,$C430,'TL14'!$J$10:$J$224),0),
IF('TL14'!$B$229=L$3,SUMIF('TL14'!$C$238:$C$451,$C430,'TL14'!$J$238:$J$451),0),
IF('TL15'!$B$3=L$3,SUMIF('TL15'!$C$10:$C$224,$C430,'TL15'!$J$10:$J$224),0),
IF('TL15'!$B$229=L$3,SUMIF('TL15'!$C$238:$C$451,$C430,'TL15'!$J$238:$J$451),0),
IF('TL16'!$B$3=L$3,SUMIF('TL16'!$C$10:$C$224,$C430,'TL16'!$J$10:$J$224),0),
IF('TL16'!$B$229=L$3,SUMIF('TL16'!$C$238:$C$451,$C430,'TL16'!$J$238:$J$451),0),
IF('TL17'!$B$3=L$3,SUMIF('TL17'!$C$10:$C$224,$C430,'TL17'!$J$10:$J$224),0),
IF('TL17'!$B$229=L$3,SUMIF('TL17'!$C$238:$C$451,$C430,'TL17'!$J$238:$J$451),0),
IF('TL18'!$B$3=L$3,SUMIF('TL18'!$C$10:$C$224,$C430,'TL18'!$J$10:$J$224),0),
IF('TL18'!$B$229=L$3,SUMIF('TL18'!$C$238:$C$451,$C430,'TL18'!$J$238:$J$451),0),
IF('TL19'!$B$3=L$3,SUMIF('TL19'!$C$10:$C$224,$C430,'TL19'!$J$10:$J$224),0),
IF('TL19'!$B$229=L$3,SUMIF('TL19'!$C$238:$C$451,$C430,'TL19'!$J$238:$J$451),0)
),0)</f>
        <v/>
      </c>
      <c r="M430" s="138">
        <f>IFERROR(SUM(
IF('TL01'!$B$3=M$3,SUMIF('TL01'!$C$10:$C$224,$C430,'TL01'!$J$10:$J$224),0),
IF('TL01'!$B$229=M$3,SUMIF('TL01'!$C$238:$C$451,$C430,'TL01'!$J$238:$J$451),0),
IF('TL02'!$B$3=M$3,SUMIF('TL02'!$C$10:$C$224,$C430,'TL02'!$J$10:$J$224),0),
IF('TL02'!$B$229=M$3,SUMIF('TL02'!$C$238:$C$451,$C430,'TL02'!$J$238:$J$451),0),
IF('TL03'!$B$3=M$3,SUMIF('TL03'!$C$10:$C$224,$C430,'TL03'!$J$10:$J$224),0),
IF('TL03'!$B$229=M$3,SUMIF('TL03'!$C$238:$C$451,$C430,'TL03'!$J$238:$J$451),0),
IF('TL04'!$B$3=M$3,SUMIF('TL04'!$C$10:$C$224,$C430,'TL04'!$J$10:$J$224),0),
IF('TL04'!$B$229=M$3,SUMIF('TL04'!$C$238:$C$451,$C430,'TL04'!$J$238:$J$451),0),
IF('TL05'!$B$3=M$3,SUMIF('TL05'!$C$10:$C$224,$C430,'TL05'!$J$10:$J$224),0),
IF('TL05'!$B$229=M$3,SUMIF('TL05'!$C$238:$C$451,$C430,'TL05'!$J$238:$J$451),0),
IF('TL06'!$B$3=M$3,SUMIF('TL06'!$C$10:$C$224,$C430,'TL06'!$J$10:$J$224),0),
IF('TL06'!$B$229=M$3,SUMIF('TL06'!$C$238:$C$451,$C430,'TL06'!$J$238:$J$451),0),
IF('TL07'!$B$3=M$3,SUMIF('TL07'!$C$10:$C$224,$C430,'TL07'!$J$10:$J$224),0),
IF('TL07'!$B$229=M$3,SUMIF('TL07'!$C$238:$C$451,$C430,'TL07'!$J$238:$J$451),0),
IF('TL08'!$B$3=M$3,SUMIF('TL08'!$C$10:$C$224,$C430,'TL08'!$J$10:$J$224),0),
IF('TL08'!$B$229=M$3,SUMIF('TL08'!$C$238:$C$451,$C430,'TL08'!$J$238:$J$451),0),
IF('TL09'!$B$3=M$3,SUMIF('TL09'!$C$10:$C$224,$C430,'TL09'!$J$10:$J$224),0),
IF('TL09'!$B$229=M$3,SUMIF('TL09'!$C$238:$C$451,$C430,'TL09'!$J$238:$J$451),0),
IF('TL10'!$B$3=M$3,SUMIF('TL10'!$C$10:$C$224,$C430,'TL10'!$J$10:$J$224),0),
IF('TL10'!$B$229=M$3,SUMIF('TL10'!$C$238:$C$451,$C430,'TL10'!$J$238:$J$451),0),
IF('TL11'!$B$3=M$3,SUMIF('TL11'!$C$10:$C$224,$C430,'TL11'!$J$10:$J$224),0),
IF('TL11'!$B$229=M$3,SUMIF('TL11'!$C$238:$C$451,$C430,'TL11'!$J$238:$J$451),0),
IF('TL12'!$B$3=M$3,SUMIF('TL12'!$C$10:$C$224,$C430,'TL12'!$J$10:$J$224),0),
IF('TL12'!$B$229=M$3,SUMIF('TL12'!$C$238:$C$451,$C430,'TL12'!$J$238:$J$451),0),
IF('TL13'!$B$3=M$3,SUMIF('TL13'!$C$10:$C$224,$C430,'TL13'!$J$10:$J$224),0),
IF('TL13'!$B$229=M$3,SUMIF('TL13'!$C$238:$C$451,$C430,'TL13'!$J$238:$J$451),0),
IF('TL14'!$B$3=M$3,SUMIF('TL14'!$C$10:$C$224,$C430,'TL14'!$J$10:$J$224),0),
IF('TL14'!$B$229=M$3,SUMIF('TL14'!$C$238:$C$451,$C430,'TL14'!$J$238:$J$451),0),
IF('TL15'!$B$3=M$3,SUMIF('TL15'!$C$10:$C$224,$C430,'TL15'!$J$10:$J$224),0),
IF('TL15'!$B$229=M$3,SUMIF('TL15'!$C$238:$C$451,$C430,'TL15'!$J$238:$J$451),0),
IF('TL16'!$B$3=M$3,SUMIF('TL16'!$C$10:$C$224,$C430,'TL16'!$J$10:$J$224),0),
IF('TL16'!$B$229=M$3,SUMIF('TL16'!$C$238:$C$451,$C430,'TL16'!$J$238:$J$451),0),
IF('TL17'!$B$3=M$3,SUMIF('TL17'!$C$10:$C$224,$C430,'TL17'!$J$10:$J$224),0),
IF('TL17'!$B$229=M$3,SUMIF('TL17'!$C$238:$C$451,$C430,'TL17'!$J$238:$J$451),0),
IF('TL18'!$B$3=M$3,SUMIF('TL18'!$C$10:$C$224,$C430,'TL18'!$J$10:$J$224),0),
IF('TL18'!$B$229=M$3,SUMIF('TL18'!$C$238:$C$451,$C430,'TL18'!$J$238:$J$451),0),
IF('TL19'!$B$3=M$3,SUMIF('TL19'!$C$10:$C$224,$C430,'TL19'!$J$10:$J$224),0),
IF('TL19'!$B$229=M$3,SUMIF('TL19'!$C$238:$C$451,$C430,'TL19'!$J$238:$J$451),0)
),0)</f>
        <v/>
      </c>
      <c r="N430" s="138">
        <f>IFERROR(SUM(
IF('TL01'!$B$3=N$3,SUMIF('TL01'!$C$10:$C$224,$C430,'TL01'!$J$10:$J$224),0),
IF('TL01'!$B$229=N$3,SUMIF('TL01'!$C$238:$C$451,$C430,'TL01'!$J$238:$J$451),0),
IF('TL02'!$B$3=N$3,SUMIF('TL02'!$C$10:$C$224,$C430,'TL02'!$J$10:$J$224),0),
IF('TL02'!$B$229=N$3,SUMIF('TL02'!$C$238:$C$451,$C430,'TL02'!$J$238:$J$451),0),
IF('TL03'!$B$3=N$3,SUMIF('TL03'!$C$10:$C$224,$C430,'TL03'!$J$10:$J$224),0),
IF('TL03'!$B$229=N$3,SUMIF('TL03'!$C$238:$C$451,$C430,'TL03'!$J$238:$J$451),0),
IF('TL04'!$B$3=N$3,SUMIF('TL04'!$C$10:$C$224,$C430,'TL04'!$J$10:$J$224),0),
IF('TL04'!$B$229=N$3,SUMIF('TL04'!$C$238:$C$451,$C430,'TL04'!$J$238:$J$451),0),
IF('TL05'!$B$3=N$3,SUMIF('TL05'!$C$10:$C$224,$C430,'TL05'!$J$10:$J$224),0),
IF('TL05'!$B$229=N$3,SUMIF('TL05'!$C$238:$C$451,$C430,'TL05'!$J$238:$J$451),0),
IF('TL06'!$B$3=N$3,SUMIF('TL06'!$C$10:$C$224,$C430,'TL06'!$J$10:$J$224),0),
IF('TL06'!$B$229=N$3,SUMIF('TL06'!$C$238:$C$451,$C430,'TL06'!$J$238:$J$451),0),
IF('TL07'!$B$3=N$3,SUMIF('TL07'!$C$10:$C$224,$C430,'TL07'!$J$10:$J$224),0),
IF('TL07'!$B$229=N$3,SUMIF('TL07'!$C$238:$C$451,$C430,'TL07'!$J$238:$J$451),0),
IF('TL08'!$B$3=N$3,SUMIF('TL08'!$C$10:$C$224,$C430,'TL08'!$J$10:$J$224),0),
IF('TL08'!$B$229=N$3,SUMIF('TL08'!$C$238:$C$451,$C430,'TL08'!$J$238:$J$451),0),
IF('TL09'!$B$3=N$3,SUMIF('TL09'!$C$10:$C$224,$C430,'TL09'!$J$10:$J$224),0),
IF('TL09'!$B$229=N$3,SUMIF('TL09'!$C$238:$C$451,$C430,'TL09'!$J$238:$J$451),0),
IF('TL10'!$B$3=N$3,SUMIF('TL10'!$C$10:$C$224,$C430,'TL10'!$J$10:$J$224),0),
IF('TL10'!$B$229=N$3,SUMIF('TL10'!$C$238:$C$451,$C430,'TL10'!$J$238:$J$451),0),
IF('TL11'!$B$3=N$3,SUMIF('TL11'!$C$10:$C$224,$C430,'TL11'!$J$10:$J$224),0),
IF('TL11'!$B$229=N$3,SUMIF('TL11'!$C$238:$C$451,$C430,'TL11'!$J$238:$J$451),0),
IF('TL12'!$B$3=N$3,SUMIF('TL12'!$C$10:$C$224,$C430,'TL12'!$J$10:$J$224),0),
IF('TL12'!$B$229=N$3,SUMIF('TL12'!$C$238:$C$451,$C430,'TL12'!$J$238:$J$451),0),
IF('TL13'!$B$3=N$3,SUMIF('TL13'!$C$10:$C$224,$C430,'TL13'!$J$10:$J$224),0),
IF('TL13'!$B$229=N$3,SUMIF('TL13'!$C$238:$C$451,$C430,'TL13'!$J$238:$J$451),0),
IF('TL14'!$B$3=N$3,SUMIF('TL14'!$C$10:$C$224,$C430,'TL14'!$J$10:$J$224),0),
IF('TL14'!$B$229=N$3,SUMIF('TL14'!$C$238:$C$451,$C430,'TL14'!$J$238:$J$451),0),
IF('TL15'!$B$3=N$3,SUMIF('TL15'!$C$10:$C$224,$C430,'TL15'!$J$10:$J$224),0),
IF('TL15'!$B$229=N$3,SUMIF('TL15'!$C$238:$C$451,$C430,'TL15'!$J$238:$J$451),0),
IF('TL16'!$B$3=N$3,SUMIF('TL16'!$C$10:$C$224,$C430,'TL16'!$J$10:$J$224),0),
IF('TL16'!$B$229=N$3,SUMIF('TL16'!$C$238:$C$451,$C430,'TL16'!$J$238:$J$451),0),
IF('TL17'!$B$3=N$3,SUMIF('TL17'!$C$10:$C$224,$C430,'TL17'!$J$10:$J$224),0),
IF('TL17'!$B$229=N$3,SUMIF('TL17'!$C$238:$C$451,$C430,'TL17'!$J$238:$J$451),0),
IF('TL18'!$B$3=N$3,SUMIF('TL18'!$C$10:$C$224,$C430,'TL18'!$J$10:$J$224),0),
IF('TL18'!$B$229=N$3,SUMIF('TL18'!$C$238:$C$451,$C430,'TL18'!$J$238:$J$451),0),
IF('TL19'!$B$3=N$3,SUMIF('TL19'!$C$10:$C$224,$C430,'TL19'!$J$10:$J$224),0),
IF('TL19'!$B$229=N$3,SUMIF('TL19'!$C$238:$C$451,$C430,'TL19'!$J$238:$J$451),0)
),0)</f>
        <v/>
      </c>
      <c r="O430" s="138">
        <f>IFERROR(SUM(
IF('TL01'!$B$3=O$3,SUMIF('TL01'!$C$10:$C$224,$C430,'TL01'!$J$10:$J$224),0),
IF('TL01'!$B$229=O$3,SUMIF('TL01'!$C$238:$C$451,$C430,'TL01'!$J$238:$J$451),0),
IF('TL02'!$B$3=O$3,SUMIF('TL02'!$C$10:$C$224,$C430,'TL02'!$J$10:$J$224),0),
IF('TL02'!$B$229=O$3,SUMIF('TL02'!$C$238:$C$451,$C430,'TL02'!$J$238:$J$451),0),
IF('TL03'!$B$3=O$3,SUMIF('TL03'!$C$10:$C$224,$C430,'TL03'!$J$10:$J$224),0),
IF('TL03'!$B$229=O$3,SUMIF('TL03'!$C$238:$C$451,$C430,'TL03'!$J$238:$J$451),0),
IF('TL04'!$B$3=O$3,SUMIF('TL04'!$C$10:$C$224,$C430,'TL04'!$J$10:$J$224),0),
IF('TL04'!$B$229=O$3,SUMIF('TL04'!$C$238:$C$451,$C430,'TL04'!$J$238:$J$451),0),
IF('TL05'!$B$3=O$3,SUMIF('TL05'!$C$10:$C$224,$C430,'TL05'!$J$10:$J$224),0),
IF('TL05'!$B$229=O$3,SUMIF('TL05'!$C$238:$C$451,$C430,'TL05'!$J$238:$J$451),0),
IF('TL06'!$B$3=O$3,SUMIF('TL06'!$C$10:$C$224,$C430,'TL06'!$J$10:$J$224),0),
IF('TL06'!$B$229=O$3,SUMIF('TL06'!$C$238:$C$451,$C430,'TL06'!$J$238:$J$451),0),
IF('TL07'!$B$3=O$3,SUMIF('TL07'!$C$10:$C$224,$C430,'TL07'!$J$10:$J$224),0),
IF('TL07'!$B$229=O$3,SUMIF('TL07'!$C$238:$C$451,$C430,'TL07'!$J$238:$J$451),0),
IF('TL08'!$B$3=O$3,SUMIF('TL08'!$C$10:$C$224,$C430,'TL08'!$J$10:$J$224),0),
IF('TL08'!$B$229=O$3,SUMIF('TL08'!$C$238:$C$451,$C430,'TL08'!$J$238:$J$451),0),
IF('TL09'!$B$3=O$3,SUMIF('TL09'!$C$10:$C$224,$C430,'TL09'!$J$10:$J$224),0),
IF('TL09'!$B$229=O$3,SUMIF('TL09'!$C$238:$C$451,$C430,'TL09'!$J$238:$J$451),0),
IF('TL10'!$B$3=O$3,SUMIF('TL10'!$C$10:$C$224,$C430,'TL10'!$J$10:$J$224),0),
IF('TL10'!$B$229=O$3,SUMIF('TL10'!$C$238:$C$451,$C430,'TL10'!$J$238:$J$451),0),
IF('TL11'!$B$3=O$3,SUMIF('TL11'!$C$10:$C$224,$C430,'TL11'!$J$10:$J$224),0),
IF('TL11'!$B$229=O$3,SUMIF('TL11'!$C$238:$C$451,$C430,'TL11'!$J$238:$J$451),0),
IF('TL12'!$B$3=O$3,SUMIF('TL12'!$C$10:$C$224,$C430,'TL12'!$J$10:$J$224),0),
IF('TL12'!$B$229=O$3,SUMIF('TL12'!$C$238:$C$451,$C430,'TL12'!$J$238:$J$451),0),
IF('TL13'!$B$3=O$3,SUMIF('TL13'!$C$10:$C$224,$C430,'TL13'!$J$10:$J$224),0),
IF('TL13'!$B$229=O$3,SUMIF('TL13'!$C$238:$C$451,$C430,'TL13'!$J$238:$J$451),0),
IF('TL14'!$B$3=O$3,SUMIF('TL14'!$C$10:$C$224,$C430,'TL14'!$J$10:$J$224),0),
IF('TL14'!$B$229=O$3,SUMIF('TL14'!$C$238:$C$451,$C430,'TL14'!$J$238:$J$451),0),
IF('TL15'!$B$3=O$3,SUMIF('TL15'!$C$10:$C$224,$C430,'TL15'!$J$10:$J$224),0),
IF('TL15'!$B$229=O$3,SUMIF('TL15'!$C$238:$C$451,$C430,'TL15'!$J$238:$J$451),0),
IF('TL16'!$B$3=O$3,SUMIF('TL16'!$C$10:$C$224,$C430,'TL16'!$J$10:$J$224),0),
IF('TL16'!$B$229=O$3,SUMIF('TL16'!$C$238:$C$451,$C430,'TL16'!$J$238:$J$451),0),
IF('TL17'!$B$3=O$3,SUMIF('TL17'!$C$10:$C$224,$C430,'TL17'!$J$10:$J$224),0),
IF('TL17'!$B$229=O$3,SUMIF('TL17'!$C$238:$C$451,$C430,'TL17'!$J$238:$J$451),0),
IF('TL18'!$B$3=O$3,SUMIF('TL18'!$C$10:$C$224,$C430,'TL18'!$J$10:$J$224),0),
IF('TL18'!$B$229=O$3,SUMIF('TL18'!$C$238:$C$451,$C430,'TL18'!$J$238:$J$451),0),
IF('TL19'!$B$3=O$3,SUMIF('TL19'!$C$10:$C$224,$C430,'TL19'!$J$10:$J$224),0),
IF('TL19'!$B$229=O$3,SUMIF('TL19'!$C$238:$C$451,$C430,'TL19'!$J$238:$J$451),0)
),0)</f>
        <v/>
      </c>
      <c r="P430" s="138">
        <f>IFERROR(SUM(
IF('TL01'!$B$3=P$3,SUMIF('TL01'!$C$10:$C$224,$C430,'TL01'!$J$10:$J$224),0),
IF('TL01'!$B$229=P$3,SUMIF('TL01'!$C$238:$C$451,$C430,'TL01'!$J$238:$J$451),0),
IF('TL02'!$B$3=P$3,SUMIF('TL02'!$C$10:$C$224,$C430,'TL02'!$J$10:$J$224),0),
IF('TL02'!$B$229=P$3,SUMIF('TL02'!$C$238:$C$451,$C430,'TL02'!$J$238:$J$451),0),
IF('TL03'!$B$3=P$3,SUMIF('TL03'!$C$10:$C$224,$C430,'TL03'!$J$10:$J$224),0),
IF('TL03'!$B$229=P$3,SUMIF('TL03'!$C$238:$C$451,$C430,'TL03'!$J$238:$J$451),0),
IF('TL04'!$B$3=P$3,SUMIF('TL04'!$C$10:$C$224,$C430,'TL04'!$J$10:$J$224),0),
IF('TL04'!$B$229=P$3,SUMIF('TL04'!$C$238:$C$451,$C430,'TL04'!$J$238:$J$451),0),
IF('TL05'!$B$3=P$3,SUMIF('TL05'!$C$10:$C$224,$C430,'TL05'!$J$10:$J$224),0),
IF('TL05'!$B$229=P$3,SUMIF('TL05'!$C$238:$C$451,$C430,'TL05'!$J$238:$J$451),0),
IF('TL06'!$B$3=P$3,SUMIF('TL06'!$C$10:$C$224,$C430,'TL06'!$J$10:$J$224),0),
IF('TL06'!$B$229=P$3,SUMIF('TL06'!$C$238:$C$451,$C430,'TL06'!$J$238:$J$451),0),
IF('TL07'!$B$3=P$3,SUMIF('TL07'!$C$10:$C$224,$C430,'TL07'!$J$10:$J$224),0),
IF('TL07'!$B$229=P$3,SUMIF('TL07'!$C$238:$C$451,$C430,'TL07'!$J$238:$J$451),0),
IF('TL08'!$B$3=P$3,SUMIF('TL08'!$C$10:$C$224,$C430,'TL08'!$J$10:$J$224),0),
IF('TL08'!$B$229=P$3,SUMIF('TL08'!$C$238:$C$451,$C430,'TL08'!$J$238:$J$451),0),
IF('TL09'!$B$3=P$3,SUMIF('TL09'!$C$10:$C$224,$C430,'TL09'!$J$10:$J$224),0),
IF('TL09'!$B$229=P$3,SUMIF('TL09'!$C$238:$C$451,$C430,'TL09'!$J$238:$J$451),0),
IF('TL10'!$B$3=P$3,SUMIF('TL10'!$C$10:$C$224,$C430,'TL10'!$J$10:$J$224),0),
IF('TL10'!$B$229=P$3,SUMIF('TL10'!$C$238:$C$451,$C430,'TL10'!$J$238:$J$451),0),
IF('TL11'!$B$3=P$3,SUMIF('TL11'!$C$10:$C$224,$C430,'TL11'!$J$10:$J$224),0),
IF('TL11'!$B$229=P$3,SUMIF('TL11'!$C$238:$C$451,$C430,'TL11'!$J$238:$J$451),0),
IF('TL12'!$B$3=P$3,SUMIF('TL12'!$C$10:$C$224,$C430,'TL12'!$J$10:$J$224),0),
IF('TL12'!$B$229=P$3,SUMIF('TL12'!$C$238:$C$451,$C430,'TL12'!$J$238:$J$451),0),
IF('TL13'!$B$3=P$3,SUMIF('TL13'!$C$10:$C$224,$C430,'TL13'!$J$10:$J$224),0),
IF('TL13'!$B$229=P$3,SUMIF('TL13'!$C$238:$C$451,$C430,'TL13'!$J$238:$J$451),0),
IF('TL14'!$B$3=P$3,SUMIF('TL14'!$C$10:$C$224,$C430,'TL14'!$J$10:$J$224),0),
IF('TL14'!$B$229=P$3,SUMIF('TL14'!$C$238:$C$451,$C430,'TL14'!$J$238:$J$451),0),
IF('TL15'!$B$3=P$3,SUMIF('TL15'!$C$10:$C$224,$C430,'TL15'!$J$10:$J$224),0),
IF('TL15'!$B$229=P$3,SUMIF('TL15'!$C$238:$C$451,$C430,'TL15'!$J$238:$J$451),0),
IF('TL16'!$B$3=P$3,SUMIF('TL16'!$C$10:$C$224,$C430,'TL16'!$J$10:$J$224),0),
IF('TL16'!$B$229=P$3,SUMIF('TL16'!$C$238:$C$451,$C430,'TL16'!$J$238:$J$451),0),
IF('TL17'!$B$3=P$3,SUMIF('TL17'!$C$10:$C$224,$C430,'TL17'!$J$10:$J$224),0),
IF('TL17'!$B$229=P$3,SUMIF('TL17'!$C$238:$C$451,$C430,'TL17'!$J$238:$J$451),0),
IF('TL18'!$B$3=P$3,SUMIF('TL18'!$C$10:$C$224,$C430,'TL18'!$J$10:$J$224),0),
IF('TL18'!$B$229=P$3,SUMIF('TL18'!$C$238:$C$451,$C430,'TL18'!$J$238:$J$451),0),
IF('TL19'!$B$3=P$3,SUMIF('TL19'!$C$10:$C$224,$C430,'TL19'!$J$10:$J$224),0),
IF('TL19'!$B$229=P$3,SUMIF('TL19'!$C$238:$C$451,$C430,'TL19'!$J$238:$J$451),0)
),0)</f>
        <v/>
      </c>
      <c r="Q430" s="138">
        <f>IFERROR(SUM(
IF('TL01'!$B$3=Q$3,SUMIF('TL01'!$C$10:$C$224,$C430,'TL01'!$J$10:$J$224),0),
IF('TL01'!$B$229=Q$3,SUMIF('TL01'!$C$238:$C$451,$C430,'TL01'!$J$238:$J$451),0),
IF('TL02'!$B$3=Q$3,SUMIF('TL02'!$C$10:$C$224,$C430,'TL02'!$J$10:$J$224),0),
IF('TL02'!$B$229=Q$3,SUMIF('TL02'!$C$238:$C$451,$C430,'TL02'!$J$238:$J$451),0),
IF('TL03'!$B$3=Q$3,SUMIF('TL03'!$C$10:$C$224,$C430,'TL03'!$J$10:$J$224),0),
IF('TL03'!$B$229=Q$3,SUMIF('TL03'!$C$238:$C$451,$C430,'TL03'!$J$238:$J$451),0),
IF('TL04'!$B$3=Q$3,SUMIF('TL04'!$C$10:$C$224,$C430,'TL04'!$J$10:$J$224),0),
IF('TL04'!$B$229=Q$3,SUMIF('TL04'!$C$238:$C$451,$C430,'TL04'!$J$238:$J$451),0),
IF('TL05'!$B$3=Q$3,SUMIF('TL05'!$C$10:$C$224,$C430,'TL05'!$J$10:$J$224),0),
IF('TL05'!$B$229=Q$3,SUMIF('TL05'!$C$238:$C$451,$C430,'TL05'!$J$238:$J$451),0),
IF('TL06'!$B$3=Q$3,SUMIF('TL06'!$C$10:$C$224,$C430,'TL06'!$J$10:$J$224),0),
IF('TL06'!$B$229=Q$3,SUMIF('TL06'!$C$238:$C$451,$C430,'TL06'!$J$238:$J$451),0),
IF('TL07'!$B$3=Q$3,SUMIF('TL07'!$C$10:$C$224,$C430,'TL07'!$J$10:$J$224),0),
IF('TL07'!$B$229=Q$3,SUMIF('TL07'!$C$238:$C$451,$C430,'TL07'!$J$238:$J$451),0),
IF('TL08'!$B$3=Q$3,SUMIF('TL08'!$C$10:$C$224,$C430,'TL08'!$J$10:$J$224),0),
IF('TL08'!$B$229=Q$3,SUMIF('TL08'!$C$238:$C$451,$C430,'TL08'!$J$238:$J$451),0),
IF('TL09'!$B$3=Q$3,SUMIF('TL09'!$C$10:$C$224,$C430,'TL09'!$J$10:$J$224),0),
IF('TL09'!$B$229=Q$3,SUMIF('TL09'!$C$238:$C$451,$C430,'TL09'!$J$238:$J$451),0),
IF('TL10'!$B$3=Q$3,SUMIF('TL10'!$C$10:$C$224,$C430,'TL10'!$J$10:$J$224),0),
IF('TL10'!$B$229=Q$3,SUMIF('TL10'!$C$238:$C$451,$C430,'TL10'!$J$238:$J$451),0),
IF('TL11'!$B$3=Q$3,SUMIF('TL11'!$C$10:$C$224,$C430,'TL11'!$J$10:$J$224),0),
IF('TL11'!$B$229=Q$3,SUMIF('TL11'!$C$238:$C$451,$C430,'TL11'!$J$238:$J$451),0),
IF('TL12'!$B$3=Q$3,SUMIF('TL12'!$C$10:$C$224,$C430,'TL12'!$J$10:$J$224),0),
IF('TL12'!$B$229=Q$3,SUMIF('TL12'!$C$238:$C$451,$C430,'TL12'!$J$238:$J$451),0),
IF('TL13'!$B$3=Q$3,SUMIF('TL13'!$C$10:$C$224,$C430,'TL13'!$J$10:$J$224),0),
IF('TL13'!$B$229=Q$3,SUMIF('TL13'!$C$238:$C$451,$C430,'TL13'!$J$238:$J$451),0),
IF('TL14'!$B$3=Q$3,SUMIF('TL14'!$C$10:$C$224,$C430,'TL14'!$J$10:$J$224),0),
IF('TL14'!$B$229=Q$3,SUMIF('TL14'!$C$238:$C$451,$C430,'TL14'!$J$238:$J$451),0),
IF('TL15'!$B$3=Q$3,SUMIF('TL15'!$C$10:$C$224,$C430,'TL15'!$J$10:$J$224),0),
IF('TL15'!$B$229=Q$3,SUMIF('TL15'!$C$238:$C$451,$C430,'TL15'!$J$238:$J$451),0),
IF('TL16'!$B$3=Q$3,SUMIF('TL16'!$C$10:$C$224,$C430,'TL16'!$J$10:$J$224),0),
IF('TL16'!$B$229=Q$3,SUMIF('TL16'!$C$238:$C$451,$C430,'TL16'!$J$238:$J$451),0),
IF('TL17'!$B$3=Q$3,SUMIF('TL17'!$C$10:$C$224,$C430,'TL17'!$J$10:$J$224),0),
IF('TL17'!$B$229=Q$3,SUMIF('TL17'!$C$238:$C$451,$C430,'TL17'!$J$238:$J$451),0),
IF('TL18'!$B$3=Q$3,SUMIF('TL18'!$C$10:$C$224,$C430,'TL18'!$J$10:$J$224),0),
IF('TL18'!$B$229=Q$3,SUMIF('TL18'!$C$238:$C$451,$C430,'TL18'!$J$238:$J$451),0),
IF('TL19'!$B$3=Q$3,SUMIF('TL19'!$C$10:$C$224,$C430,'TL19'!$J$10:$J$224),0),
IF('TL19'!$B$229=Q$3,SUMIF('TL19'!$C$238:$C$451,$C430,'TL19'!$J$238:$J$451),0)
),0)</f>
        <v/>
      </c>
      <c r="R430" s="139">
        <f>IFERROR(
SUM(
SUMIF('TL01'!C:C,C430,'TL01'!J:J),
SUMIF('TL02'!C:C,C430,'TL02'!I:I),
SUMIF('TL03'!C:C,C430,'TL03'!I:I),
SUMIF('TL04'!C:C,C430,'TL04'!I:I),
SUMIF('TL05'!C:C,C430,'TL05'!I:I),
SUMIF('TL06'!C:C,C430,'TL06'!I:I),
SUMIF('TL07'!C:C,C430,'TL07'!I:I),
SUMIF('TL08'!C:C,C430,'TL08'!I:I),
SUMIF('TL09'!C:C,C430,'TL09'!I:I),
SUMIF('TL10'!C:C,C430,'TL10'!I:I),
SUMIF('TL11'!C:C,C430,'TL11'!I:I),
SUMIF('TL12'!C:C,C430,'TL12'!I:I),
SUMIF('TL13'!C:C,C430,'TL13'!I:I),
SUMIF('TL14'!C:C,C430,'TL14'!I:I),
SUMIF('TL15'!C:C,C430,'TL15'!I:I),
SUMIF('TL16'!C:C,C430,'TL16'!I:I),
SUMIF('TL17'!C:C,C430,'TL17'!I:I),
SUMIF('TL18'!C:C,C430,'TL18'!I:I))
,0)</f>
        <v/>
      </c>
      <c r="S430" s="142">
        <f>'CUSTO OPERAÇÃO'!M34</f>
        <v/>
      </c>
      <c r="T430" s="139" t="n"/>
      <c r="U430" s="143">
        <f>MAX(0,R430-T430)</f>
        <v/>
      </c>
      <c r="V430" s="144">
        <f>U430*S430</f>
        <v/>
      </c>
    </row>
    <row r="431" hidden="1" ht="15.75" customHeight="1" s="297">
      <c r="A431" s="138" t="n"/>
      <c r="B431" s="155" t="n"/>
      <c r="C431" s="138" t="n"/>
      <c r="D431" s="138" t="n"/>
      <c r="E431" s="139" t="n"/>
      <c r="F431" s="138" t="inlineStr">
        <is>
          <t>R$/Ha</t>
        </is>
      </c>
      <c r="G431" s="139" t="n"/>
      <c r="H431" s="139">
        <f>'CUSTO OPERAÇÃO'!J35</f>
        <v/>
      </c>
      <c r="I431" s="156" t="n"/>
      <c r="J431" s="138">
        <f>IFERROR(SUM(
IF('TL01'!$B$3=J$3,SUMIF('TL01'!$C$10:$C$224,$C431,'TL01'!$J$10:$J$224),0),
IF('TL01'!$B$229=J$3,SUMIF('TL01'!$C$238:$C$451,$C431,'TL01'!$J$238:$J$451),0),
IF('TL02'!$B$3=J$3,SUMIF('TL02'!$C$10:$C$224,$C431,'TL02'!$J$10:$J$224),0),
IF('TL02'!$B$229=J$3,SUMIF('TL02'!$C$238:$C$451,$C431,'TL02'!$J$238:$J$451),0),
IF('TL03'!$B$3=J$3,SUMIF('TL03'!$C$10:$C$224,$C431,'TL03'!$J$10:$J$224),0),
IF('TL03'!$B$229=J$3,SUMIF('TL03'!$C$238:$C$451,$C431,'TL03'!$J$238:$J$451),0),
IF('TL04'!$B$3=J$3,SUMIF('TL04'!$C$10:$C$224,$C431,'TL04'!$J$10:$J$224),0),
IF('TL04'!$B$229=J$3,SUMIF('TL04'!$C$238:$C$451,$C431,'TL04'!$J$238:$J$451),0),
IF('TL05'!$B$3=J$3,SUMIF('TL05'!$C$10:$C$224,$C431,'TL05'!$J$10:$J$224),0),
IF('TL05'!$B$229=J$3,SUMIF('TL05'!$C$238:$C$451,$C431,'TL05'!$J$238:$J$451),0),
IF('TL06'!$B$3=J$3,SUMIF('TL06'!$C$10:$C$224,$C431,'TL06'!$J$10:$J$224),0),
IF('TL06'!$B$229=J$3,SUMIF('TL06'!$C$238:$C$451,$C431,'TL06'!$J$238:$J$451),0),
IF('TL07'!$B$3=J$3,SUMIF('TL07'!$C$10:$C$224,$C431,'TL07'!$J$10:$J$224),0),
IF('TL07'!$B$229=J$3,SUMIF('TL07'!$C$238:$C$451,$C431,'TL07'!$J$238:$J$451),0),
IF('TL08'!$B$3=J$3,SUMIF('TL08'!$C$10:$C$224,$C431,'TL08'!$J$10:$J$224),0),
IF('TL08'!$B$229=J$3,SUMIF('TL08'!$C$238:$C$451,$C431,'TL08'!$J$238:$J$451),0),
IF('TL09'!$B$3=J$3,SUMIF('TL09'!$C$10:$C$224,$C431,'TL09'!$J$10:$J$224),0),
IF('TL09'!$B$229=J$3,SUMIF('TL09'!$C$238:$C$451,$C431,'TL09'!$J$238:$J$451),0),
IF('TL10'!$B$3=J$3,SUMIF('TL10'!$C$10:$C$224,$C431,'TL10'!$J$10:$J$224),0),
IF('TL10'!$B$229=J$3,SUMIF('TL10'!$C$238:$C$451,$C431,'TL10'!$J$238:$J$451),0),
IF('TL11'!$B$3=J$3,SUMIF('TL11'!$C$10:$C$224,$C431,'TL11'!$J$10:$J$224),0),
IF('TL11'!$B$229=J$3,SUMIF('TL11'!$C$238:$C$451,$C431,'TL11'!$J$238:$J$451),0),
IF('TL12'!$B$3=J$3,SUMIF('TL12'!$C$10:$C$224,$C431,'TL12'!$J$10:$J$224),0),
IF('TL12'!$B$229=J$3,SUMIF('TL12'!$C$238:$C$451,$C431,'TL12'!$J$238:$J$451),0),
IF('TL13'!$B$3=J$3,SUMIF('TL13'!$C$10:$C$224,$C431,'TL13'!$J$10:$J$224),0),
IF('TL13'!$B$229=J$3,SUMIF('TL13'!$C$238:$C$451,$C431,'TL13'!$J$238:$J$451),0),
IF('TL14'!$B$3=J$3,SUMIF('TL14'!$C$10:$C$224,$C431,'TL14'!$J$10:$J$224),0),
IF('TL14'!$B$229=J$3,SUMIF('TL14'!$C$238:$C$451,$C431,'TL14'!$J$238:$J$451),0),
IF('TL15'!$B$3=J$3,SUMIF('TL15'!$C$10:$C$224,$C431,'TL15'!$J$10:$J$224),0),
IF('TL15'!$B$229=J$3,SUMIF('TL15'!$C$238:$C$451,$C431,'TL15'!$J$238:$J$451),0),
IF('TL16'!$B$3=J$3,SUMIF('TL16'!$C$10:$C$224,$C431,'TL16'!$J$10:$J$224),0),
IF('TL16'!$B$229=J$3,SUMIF('TL16'!$C$238:$C$451,$C431,'TL16'!$J$238:$J$451),0),
IF('TL17'!$B$3=J$3,SUMIF('TL17'!$C$10:$C$224,$C431,'TL17'!$J$10:$J$224),0),
IF('TL17'!$B$229=J$3,SUMIF('TL17'!$C$238:$C$451,$C431,'TL17'!$J$238:$J$451),0),
IF('TL18'!$B$3=J$3,SUMIF('TL18'!$C$10:$C$224,$C431,'TL18'!$J$10:$J$224),0),
IF('TL18'!$B$229=J$3,SUMIF('TL18'!$C$238:$C$451,$C431,'TL18'!$J$238:$J$451),0),
IF('TL19'!$B$3=J$3,SUMIF('TL19'!$C$10:$C$224,$C431,'TL19'!$J$10:$J$224),0),
IF('TL19'!$B$229=J$3,SUMIF('TL19'!$C$238:$C$451,$C431,'TL19'!$J$238:$J$451),0)
),0)</f>
        <v/>
      </c>
      <c r="K431" s="138">
        <f>IFERROR(SUM(
IF('TL01'!$B$3=K$3,SUMIF('TL01'!$C$10:$C$224,$C431,'TL01'!$J$10:$J$224),0),
IF('TL01'!$B$229=K$3,SUMIF('TL01'!$C$238:$C$451,$C431,'TL01'!$J$238:$J$451),0),
IF('TL02'!$B$3=K$3,SUMIF('TL02'!$C$10:$C$224,$C431,'TL02'!$J$10:$J$224),0),
IF('TL02'!$B$229=K$3,SUMIF('TL02'!$C$238:$C$451,$C431,'TL02'!$J$238:$J$451),0),
IF('TL03'!$B$3=K$3,SUMIF('TL03'!$C$10:$C$224,$C431,'TL03'!$J$10:$J$224),0),
IF('TL03'!$B$229=K$3,SUMIF('TL03'!$C$238:$C$451,$C431,'TL03'!$J$238:$J$451),0),
IF('TL04'!$B$3=K$3,SUMIF('TL04'!$C$10:$C$224,$C431,'TL04'!$J$10:$J$224),0),
IF('TL04'!$B$229=K$3,SUMIF('TL04'!$C$238:$C$451,$C431,'TL04'!$J$238:$J$451),0),
IF('TL05'!$B$3=K$3,SUMIF('TL05'!$C$10:$C$224,$C431,'TL05'!$J$10:$J$224),0),
IF('TL05'!$B$229=K$3,SUMIF('TL05'!$C$238:$C$451,$C431,'TL05'!$J$238:$J$451),0),
IF('TL06'!$B$3=K$3,SUMIF('TL06'!$C$10:$C$224,$C431,'TL06'!$J$10:$J$224),0),
IF('TL06'!$B$229=K$3,SUMIF('TL06'!$C$238:$C$451,$C431,'TL06'!$J$238:$J$451),0),
IF('TL07'!$B$3=K$3,SUMIF('TL07'!$C$10:$C$224,$C431,'TL07'!$J$10:$J$224),0),
IF('TL07'!$B$229=K$3,SUMIF('TL07'!$C$238:$C$451,$C431,'TL07'!$J$238:$J$451),0),
IF('TL08'!$B$3=K$3,SUMIF('TL08'!$C$10:$C$224,$C431,'TL08'!$J$10:$J$224),0),
IF('TL08'!$B$229=K$3,SUMIF('TL08'!$C$238:$C$451,$C431,'TL08'!$J$238:$J$451),0),
IF('TL09'!$B$3=K$3,SUMIF('TL09'!$C$10:$C$224,$C431,'TL09'!$J$10:$J$224),0),
IF('TL09'!$B$229=K$3,SUMIF('TL09'!$C$238:$C$451,$C431,'TL09'!$J$238:$J$451),0),
IF('TL10'!$B$3=K$3,SUMIF('TL10'!$C$10:$C$224,$C431,'TL10'!$J$10:$J$224),0),
IF('TL10'!$B$229=K$3,SUMIF('TL10'!$C$238:$C$451,$C431,'TL10'!$J$238:$J$451),0),
IF('TL11'!$B$3=K$3,SUMIF('TL11'!$C$10:$C$224,$C431,'TL11'!$J$10:$J$224),0),
IF('TL11'!$B$229=K$3,SUMIF('TL11'!$C$238:$C$451,$C431,'TL11'!$J$238:$J$451),0),
IF('TL12'!$B$3=K$3,SUMIF('TL12'!$C$10:$C$224,$C431,'TL12'!$J$10:$J$224),0),
IF('TL12'!$B$229=K$3,SUMIF('TL12'!$C$238:$C$451,$C431,'TL12'!$J$238:$J$451),0),
IF('TL13'!$B$3=K$3,SUMIF('TL13'!$C$10:$C$224,$C431,'TL13'!$J$10:$J$224),0),
IF('TL13'!$B$229=K$3,SUMIF('TL13'!$C$238:$C$451,$C431,'TL13'!$J$238:$J$451),0),
IF('TL14'!$B$3=K$3,SUMIF('TL14'!$C$10:$C$224,$C431,'TL14'!$J$10:$J$224),0),
IF('TL14'!$B$229=K$3,SUMIF('TL14'!$C$238:$C$451,$C431,'TL14'!$J$238:$J$451),0),
IF('TL15'!$B$3=K$3,SUMIF('TL15'!$C$10:$C$224,$C431,'TL15'!$J$10:$J$224),0),
IF('TL15'!$B$229=K$3,SUMIF('TL15'!$C$238:$C$451,$C431,'TL15'!$J$238:$J$451),0),
IF('TL16'!$B$3=K$3,SUMIF('TL16'!$C$10:$C$224,$C431,'TL16'!$J$10:$J$224),0),
IF('TL16'!$B$229=K$3,SUMIF('TL16'!$C$238:$C$451,$C431,'TL16'!$J$238:$J$451),0),
IF('TL17'!$B$3=K$3,SUMIF('TL17'!$C$10:$C$224,$C431,'TL17'!$J$10:$J$224),0),
IF('TL17'!$B$229=K$3,SUMIF('TL17'!$C$238:$C$451,$C431,'TL17'!$J$238:$J$451),0),
IF('TL18'!$B$3=K$3,SUMIF('TL18'!$C$10:$C$224,$C431,'TL18'!$J$10:$J$224),0),
IF('TL18'!$B$229=K$3,SUMIF('TL18'!$C$238:$C$451,$C431,'TL18'!$J$238:$J$451),0),
IF('TL19'!$B$3=K$3,SUMIF('TL19'!$C$10:$C$224,$C431,'TL19'!$J$10:$J$224),0),
IF('TL19'!$B$229=K$3,SUMIF('TL19'!$C$238:$C$451,$C431,'TL19'!$J$238:$J$451),0)
),0)</f>
        <v/>
      </c>
      <c r="L431" s="138">
        <f>IFERROR(SUM(
IF('TL01'!$B$3=L$3,SUMIF('TL01'!$C$10:$C$224,$C431,'TL01'!$J$10:$J$224),0),
IF('TL01'!$B$229=L$3,SUMIF('TL01'!$C$238:$C$451,$C431,'TL01'!$J$238:$J$451),0),
IF('TL02'!$B$3=L$3,SUMIF('TL02'!$C$10:$C$224,$C431,'TL02'!$J$10:$J$224),0),
IF('TL02'!$B$229=L$3,SUMIF('TL02'!$C$238:$C$451,$C431,'TL02'!$J$238:$J$451),0),
IF('TL03'!$B$3=L$3,SUMIF('TL03'!$C$10:$C$224,$C431,'TL03'!$J$10:$J$224),0),
IF('TL03'!$B$229=L$3,SUMIF('TL03'!$C$238:$C$451,$C431,'TL03'!$J$238:$J$451),0),
IF('TL04'!$B$3=L$3,SUMIF('TL04'!$C$10:$C$224,$C431,'TL04'!$J$10:$J$224),0),
IF('TL04'!$B$229=L$3,SUMIF('TL04'!$C$238:$C$451,$C431,'TL04'!$J$238:$J$451),0),
IF('TL05'!$B$3=L$3,SUMIF('TL05'!$C$10:$C$224,$C431,'TL05'!$J$10:$J$224),0),
IF('TL05'!$B$229=L$3,SUMIF('TL05'!$C$238:$C$451,$C431,'TL05'!$J$238:$J$451),0),
IF('TL06'!$B$3=L$3,SUMIF('TL06'!$C$10:$C$224,$C431,'TL06'!$J$10:$J$224),0),
IF('TL06'!$B$229=L$3,SUMIF('TL06'!$C$238:$C$451,$C431,'TL06'!$J$238:$J$451),0),
IF('TL07'!$B$3=L$3,SUMIF('TL07'!$C$10:$C$224,$C431,'TL07'!$J$10:$J$224),0),
IF('TL07'!$B$229=L$3,SUMIF('TL07'!$C$238:$C$451,$C431,'TL07'!$J$238:$J$451),0),
IF('TL08'!$B$3=L$3,SUMIF('TL08'!$C$10:$C$224,$C431,'TL08'!$J$10:$J$224),0),
IF('TL08'!$B$229=L$3,SUMIF('TL08'!$C$238:$C$451,$C431,'TL08'!$J$238:$J$451),0),
IF('TL09'!$B$3=L$3,SUMIF('TL09'!$C$10:$C$224,$C431,'TL09'!$J$10:$J$224),0),
IF('TL09'!$B$229=L$3,SUMIF('TL09'!$C$238:$C$451,$C431,'TL09'!$J$238:$J$451),0),
IF('TL10'!$B$3=L$3,SUMIF('TL10'!$C$10:$C$224,$C431,'TL10'!$J$10:$J$224),0),
IF('TL10'!$B$229=L$3,SUMIF('TL10'!$C$238:$C$451,$C431,'TL10'!$J$238:$J$451),0),
IF('TL11'!$B$3=L$3,SUMIF('TL11'!$C$10:$C$224,$C431,'TL11'!$J$10:$J$224),0),
IF('TL11'!$B$229=L$3,SUMIF('TL11'!$C$238:$C$451,$C431,'TL11'!$J$238:$J$451),0),
IF('TL12'!$B$3=L$3,SUMIF('TL12'!$C$10:$C$224,$C431,'TL12'!$J$10:$J$224),0),
IF('TL12'!$B$229=L$3,SUMIF('TL12'!$C$238:$C$451,$C431,'TL12'!$J$238:$J$451),0),
IF('TL13'!$B$3=L$3,SUMIF('TL13'!$C$10:$C$224,$C431,'TL13'!$J$10:$J$224),0),
IF('TL13'!$B$229=L$3,SUMIF('TL13'!$C$238:$C$451,$C431,'TL13'!$J$238:$J$451),0),
IF('TL14'!$B$3=L$3,SUMIF('TL14'!$C$10:$C$224,$C431,'TL14'!$J$10:$J$224),0),
IF('TL14'!$B$229=L$3,SUMIF('TL14'!$C$238:$C$451,$C431,'TL14'!$J$238:$J$451),0),
IF('TL15'!$B$3=L$3,SUMIF('TL15'!$C$10:$C$224,$C431,'TL15'!$J$10:$J$224),0),
IF('TL15'!$B$229=L$3,SUMIF('TL15'!$C$238:$C$451,$C431,'TL15'!$J$238:$J$451),0),
IF('TL16'!$B$3=L$3,SUMIF('TL16'!$C$10:$C$224,$C431,'TL16'!$J$10:$J$224),0),
IF('TL16'!$B$229=L$3,SUMIF('TL16'!$C$238:$C$451,$C431,'TL16'!$J$238:$J$451),0),
IF('TL17'!$B$3=L$3,SUMIF('TL17'!$C$10:$C$224,$C431,'TL17'!$J$10:$J$224),0),
IF('TL17'!$B$229=L$3,SUMIF('TL17'!$C$238:$C$451,$C431,'TL17'!$J$238:$J$451),0),
IF('TL18'!$B$3=L$3,SUMIF('TL18'!$C$10:$C$224,$C431,'TL18'!$J$10:$J$224),0),
IF('TL18'!$B$229=L$3,SUMIF('TL18'!$C$238:$C$451,$C431,'TL18'!$J$238:$J$451),0),
IF('TL19'!$B$3=L$3,SUMIF('TL19'!$C$10:$C$224,$C431,'TL19'!$J$10:$J$224),0),
IF('TL19'!$B$229=L$3,SUMIF('TL19'!$C$238:$C$451,$C431,'TL19'!$J$238:$J$451),0)
),0)</f>
        <v/>
      </c>
      <c r="M431" s="138">
        <f>IFERROR(SUM(
IF('TL01'!$B$3=M$3,SUMIF('TL01'!$C$10:$C$224,$C431,'TL01'!$J$10:$J$224),0),
IF('TL01'!$B$229=M$3,SUMIF('TL01'!$C$238:$C$451,$C431,'TL01'!$J$238:$J$451),0),
IF('TL02'!$B$3=M$3,SUMIF('TL02'!$C$10:$C$224,$C431,'TL02'!$J$10:$J$224),0),
IF('TL02'!$B$229=M$3,SUMIF('TL02'!$C$238:$C$451,$C431,'TL02'!$J$238:$J$451),0),
IF('TL03'!$B$3=M$3,SUMIF('TL03'!$C$10:$C$224,$C431,'TL03'!$J$10:$J$224),0),
IF('TL03'!$B$229=M$3,SUMIF('TL03'!$C$238:$C$451,$C431,'TL03'!$J$238:$J$451),0),
IF('TL04'!$B$3=M$3,SUMIF('TL04'!$C$10:$C$224,$C431,'TL04'!$J$10:$J$224),0),
IF('TL04'!$B$229=M$3,SUMIF('TL04'!$C$238:$C$451,$C431,'TL04'!$J$238:$J$451),0),
IF('TL05'!$B$3=M$3,SUMIF('TL05'!$C$10:$C$224,$C431,'TL05'!$J$10:$J$224),0),
IF('TL05'!$B$229=M$3,SUMIF('TL05'!$C$238:$C$451,$C431,'TL05'!$J$238:$J$451),0),
IF('TL06'!$B$3=M$3,SUMIF('TL06'!$C$10:$C$224,$C431,'TL06'!$J$10:$J$224),0),
IF('TL06'!$B$229=M$3,SUMIF('TL06'!$C$238:$C$451,$C431,'TL06'!$J$238:$J$451),0),
IF('TL07'!$B$3=M$3,SUMIF('TL07'!$C$10:$C$224,$C431,'TL07'!$J$10:$J$224),0),
IF('TL07'!$B$229=M$3,SUMIF('TL07'!$C$238:$C$451,$C431,'TL07'!$J$238:$J$451),0),
IF('TL08'!$B$3=M$3,SUMIF('TL08'!$C$10:$C$224,$C431,'TL08'!$J$10:$J$224),0),
IF('TL08'!$B$229=M$3,SUMIF('TL08'!$C$238:$C$451,$C431,'TL08'!$J$238:$J$451),0),
IF('TL09'!$B$3=M$3,SUMIF('TL09'!$C$10:$C$224,$C431,'TL09'!$J$10:$J$224),0),
IF('TL09'!$B$229=M$3,SUMIF('TL09'!$C$238:$C$451,$C431,'TL09'!$J$238:$J$451),0),
IF('TL10'!$B$3=M$3,SUMIF('TL10'!$C$10:$C$224,$C431,'TL10'!$J$10:$J$224),0),
IF('TL10'!$B$229=M$3,SUMIF('TL10'!$C$238:$C$451,$C431,'TL10'!$J$238:$J$451),0),
IF('TL11'!$B$3=M$3,SUMIF('TL11'!$C$10:$C$224,$C431,'TL11'!$J$10:$J$224),0),
IF('TL11'!$B$229=M$3,SUMIF('TL11'!$C$238:$C$451,$C431,'TL11'!$J$238:$J$451),0),
IF('TL12'!$B$3=M$3,SUMIF('TL12'!$C$10:$C$224,$C431,'TL12'!$J$10:$J$224),0),
IF('TL12'!$B$229=M$3,SUMIF('TL12'!$C$238:$C$451,$C431,'TL12'!$J$238:$J$451),0),
IF('TL13'!$B$3=M$3,SUMIF('TL13'!$C$10:$C$224,$C431,'TL13'!$J$10:$J$224),0),
IF('TL13'!$B$229=M$3,SUMIF('TL13'!$C$238:$C$451,$C431,'TL13'!$J$238:$J$451),0),
IF('TL14'!$B$3=M$3,SUMIF('TL14'!$C$10:$C$224,$C431,'TL14'!$J$10:$J$224),0),
IF('TL14'!$B$229=M$3,SUMIF('TL14'!$C$238:$C$451,$C431,'TL14'!$J$238:$J$451),0),
IF('TL15'!$B$3=M$3,SUMIF('TL15'!$C$10:$C$224,$C431,'TL15'!$J$10:$J$224),0),
IF('TL15'!$B$229=M$3,SUMIF('TL15'!$C$238:$C$451,$C431,'TL15'!$J$238:$J$451),0),
IF('TL16'!$B$3=M$3,SUMIF('TL16'!$C$10:$C$224,$C431,'TL16'!$J$10:$J$224),0),
IF('TL16'!$B$229=M$3,SUMIF('TL16'!$C$238:$C$451,$C431,'TL16'!$J$238:$J$451),0),
IF('TL17'!$B$3=M$3,SUMIF('TL17'!$C$10:$C$224,$C431,'TL17'!$J$10:$J$224),0),
IF('TL17'!$B$229=M$3,SUMIF('TL17'!$C$238:$C$451,$C431,'TL17'!$J$238:$J$451),0),
IF('TL18'!$B$3=M$3,SUMIF('TL18'!$C$10:$C$224,$C431,'TL18'!$J$10:$J$224),0),
IF('TL18'!$B$229=M$3,SUMIF('TL18'!$C$238:$C$451,$C431,'TL18'!$J$238:$J$451),0),
IF('TL19'!$B$3=M$3,SUMIF('TL19'!$C$10:$C$224,$C431,'TL19'!$J$10:$J$224),0),
IF('TL19'!$B$229=M$3,SUMIF('TL19'!$C$238:$C$451,$C431,'TL19'!$J$238:$J$451),0)
),0)</f>
        <v/>
      </c>
      <c r="N431" s="138">
        <f>IFERROR(SUM(
IF('TL01'!$B$3=N$3,SUMIF('TL01'!$C$10:$C$224,$C431,'TL01'!$J$10:$J$224),0),
IF('TL01'!$B$229=N$3,SUMIF('TL01'!$C$238:$C$451,$C431,'TL01'!$J$238:$J$451),0),
IF('TL02'!$B$3=N$3,SUMIF('TL02'!$C$10:$C$224,$C431,'TL02'!$J$10:$J$224),0),
IF('TL02'!$B$229=N$3,SUMIF('TL02'!$C$238:$C$451,$C431,'TL02'!$J$238:$J$451),0),
IF('TL03'!$B$3=N$3,SUMIF('TL03'!$C$10:$C$224,$C431,'TL03'!$J$10:$J$224),0),
IF('TL03'!$B$229=N$3,SUMIF('TL03'!$C$238:$C$451,$C431,'TL03'!$J$238:$J$451),0),
IF('TL04'!$B$3=N$3,SUMIF('TL04'!$C$10:$C$224,$C431,'TL04'!$J$10:$J$224),0),
IF('TL04'!$B$229=N$3,SUMIF('TL04'!$C$238:$C$451,$C431,'TL04'!$J$238:$J$451),0),
IF('TL05'!$B$3=N$3,SUMIF('TL05'!$C$10:$C$224,$C431,'TL05'!$J$10:$J$224),0),
IF('TL05'!$B$229=N$3,SUMIF('TL05'!$C$238:$C$451,$C431,'TL05'!$J$238:$J$451),0),
IF('TL06'!$B$3=N$3,SUMIF('TL06'!$C$10:$C$224,$C431,'TL06'!$J$10:$J$224),0),
IF('TL06'!$B$229=N$3,SUMIF('TL06'!$C$238:$C$451,$C431,'TL06'!$J$238:$J$451),0),
IF('TL07'!$B$3=N$3,SUMIF('TL07'!$C$10:$C$224,$C431,'TL07'!$J$10:$J$224),0),
IF('TL07'!$B$229=N$3,SUMIF('TL07'!$C$238:$C$451,$C431,'TL07'!$J$238:$J$451),0),
IF('TL08'!$B$3=N$3,SUMIF('TL08'!$C$10:$C$224,$C431,'TL08'!$J$10:$J$224),0),
IF('TL08'!$B$229=N$3,SUMIF('TL08'!$C$238:$C$451,$C431,'TL08'!$J$238:$J$451),0),
IF('TL09'!$B$3=N$3,SUMIF('TL09'!$C$10:$C$224,$C431,'TL09'!$J$10:$J$224),0),
IF('TL09'!$B$229=N$3,SUMIF('TL09'!$C$238:$C$451,$C431,'TL09'!$J$238:$J$451),0),
IF('TL10'!$B$3=N$3,SUMIF('TL10'!$C$10:$C$224,$C431,'TL10'!$J$10:$J$224),0),
IF('TL10'!$B$229=N$3,SUMIF('TL10'!$C$238:$C$451,$C431,'TL10'!$J$238:$J$451),0),
IF('TL11'!$B$3=N$3,SUMIF('TL11'!$C$10:$C$224,$C431,'TL11'!$J$10:$J$224),0),
IF('TL11'!$B$229=N$3,SUMIF('TL11'!$C$238:$C$451,$C431,'TL11'!$J$238:$J$451),0),
IF('TL12'!$B$3=N$3,SUMIF('TL12'!$C$10:$C$224,$C431,'TL12'!$J$10:$J$224),0),
IF('TL12'!$B$229=N$3,SUMIF('TL12'!$C$238:$C$451,$C431,'TL12'!$J$238:$J$451),0),
IF('TL13'!$B$3=N$3,SUMIF('TL13'!$C$10:$C$224,$C431,'TL13'!$J$10:$J$224),0),
IF('TL13'!$B$229=N$3,SUMIF('TL13'!$C$238:$C$451,$C431,'TL13'!$J$238:$J$451),0),
IF('TL14'!$B$3=N$3,SUMIF('TL14'!$C$10:$C$224,$C431,'TL14'!$J$10:$J$224),0),
IF('TL14'!$B$229=N$3,SUMIF('TL14'!$C$238:$C$451,$C431,'TL14'!$J$238:$J$451),0),
IF('TL15'!$B$3=N$3,SUMIF('TL15'!$C$10:$C$224,$C431,'TL15'!$J$10:$J$224),0),
IF('TL15'!$B$229=N$3,SUMIF('TL15'!$C$238:$C$451,$C431,'TL15'!$J$238:$J$451),0),
IF('TL16'!$B$3=N$3,SUMIF('TL16'!$C$10:$C$224,$C431,'TL16'!$J$10:$J$224),0),
IF('TL16'!$B$229=N$3,SUMIF('TL16'!$C$238:$C$451,$C431,'TL16'!$J$238:$J$451),0),
IF('TL17'!$B$3=N$3,SUMIF('TL17'!$C$10:$C$224,$C431,'TL17'!$J$10:$J$224),0),
IF('TL17'!$B$229=N$3,SUMIF('TL17'!$C$238:$C$451,$C431,'TL17'!$J$238:$J$451),0),
IF('TL18'!$B$3=N$3,SUMIF('TL18'!$C$10:$C$224,$C431,'TL18'!$J$10:$J$224),0),
IF('TL18'!$B$229=N$3,SUMIF('TL18'!$C$238:$C$451,$C431,'TL18'!$J$238:$J$451),0),
IF('TL19'!$B$3=N$3,SUMIF('TL19'!$C$10:$C$224,$C431,'TL19'!$J$10:$J$224),0),
IF('TL19'!$B$229=N$3,SUMIF('TL19'!$C$238:$C$451,$C431,'TL19'!$J$238:$J$451),0)
),0)</f>
        <v/>
      </c>
      <c r="O431" s="138">
        <f>IFERROR(SUM(
IF('TL01'!$B$3=O$3,SUMIF('TL01'!$C$10:$C$224,$C431,'TL01'!$J$10:$J$224),0),
IF('TL01'!$B$229=O$3,SUMIF('TL01'!$C$238:$C$451,$C431,'TL01'!$J$238:$J$451),0),
IF('TL02'!$B$3=O$3,SUMIF('TL02'!$C$10:$C$224,$C431,'TL02'!$J$10:$J$224),0),
IF('TL02'!$B$229=O$3,SUMIF('TL02'!$C$238:$C$451,$C431,'TL02'!$J$238:$J$451),0),
IF('TL03'!$B$3=O$3,SUMIF('TL03'!$C$10:$C$224,$C431,'TL03'!$J$10:$J$224),0),
IF('TL03'!$B$229=O$3,SUMIF('TL03'!$C$238:$C$451,$C431,'TL03'!$J$238:$J$451),0),
IF('TL04'!$B$3=O$3,SUMIF('TL04'!$C$10:$C$224,$C431,'TL04'!$J$10:$J$224),0),
IF('TL04'!$B$229=O$3,SUMIF('TL04'!$C$238:$C$451,$C431,'TL04'!$J$238:$J$451),0),
IF('TL05'!$B$3=O$3,SUMIF('TL05'!$C$10:$C$224,$C431,'TL05'!$J$10:$J$224),0),
IF('TL05'!$B$229=O$3,SUMIF('TL05'!$C$238:$C$451,$C431,'TL05'!$J$238:$J$451),0),
IF('TL06'!$B$3=O$3,SUMIF('TL06'!$C$10:$C$224,$C431,'TL06'!$J$10:$J$224),0),
IF('TL06'!$B$229=O$3,SUMIF('TL06'!$C$238:$C$451,$C431,'TL06'!$J$238:$J$451),0),
IF('TL07'!$B$3=O$3,SUMIF('TL07'!$C$10:$C$224,$C431,'TL07'!$J$10:$J$224),0),
IF('TL07'!$B$229=O$3,SUMIF('TL07'!$C$238:$C$451,$C431,'TL07'!$J$238:$J$451),0),
IF('TL08'!$B$3=O$3,SUMIF('TL08'!$C$10:$C$224,$C431,'TL08'!$J$10:$J$224),0),
IF('TL08'!$B$229=O$3,SUMIF('TL08'!$C$238:$C$451,$C431,'TL08'!$J$238:$J$451),0),
IF('TL09'!$B$3=O$3,SUMIF('TL09'!$C$10:$C$224,$C431,'TL09'!$J$10:$J$224),0),
IF('TL09'!$B$229=O$3,SUMIF('TL09'!$C$238:$C$451,$C431,'TL09'!$J$238:$J$451),0),
IF('TL10'!$B$3=O$3,SUMIF('TL10'!$C$10:$C$224,$C431,'TL10'!$J$10:$J$224),0),
IF('TL10'!$B$229=O$3,SUMIF('TL10'!$C$238:$C$451,$C431,'TL10'!$J$238:$J$451),0),
IF('TL11'!$B$3=O$3,SUMIF('TL11'!$C$10:$C$224,$C431,'TL11'!$J$10:$J$224),0),
IF('TL11'!$B$229=O$3,SUMIF('TL11'!$C$238:$C$451,$C431,'TL11'!$J$238:$J$451),0),
IF('TL12'!$B$3=O$3,SUMIF('TL12'!$C$10:$C$224,$C431,'TL12'!$J$10:$J$224),0),
IF('TL12'!$B$229=O$3,SUMIF('TL12'!$C$238:$C$451,$C431,'TL12'!$J$238:$J$451),0),
IF('TL13'!$B$3=O$3,SUMIF('TL13'!$C$10:$C$224,$C431,'TL13'!$J$10:$J$224),0),
IF('TL13'!$B$229=O$3,SUMIF('TL13'!$C$238:$C$451,$C431,'TL13'!$J$238:$J$451),0),
IF('TL14'!$B$3=O$3,SUMIF('TL14'!$C$10:$C$224,$C431,'TL14'!$J$10:$J$224),0),
IF('TL14'!$B$229=O$3,SUMIF('TL14'!$C$238:$C$451,$C431,'TL14'!$J$238:$J$451),0),
IF('TL15'!$B$3=O$3,SUMIF('TL15'!$C$10:$C$224,$C431,'TL15'!$J$10:$J$224),0),
IF('TL15'!$B$229=O$3,SUMIF('TL15'!$C$238:$C$451,$C431,'TL15'!$J$238:$J$451),0),
IF('TL16'!$B$3=O$3,SUMIF('TL16'!$C$10:$C$224,$C431,'TL16'!$J$10:$J$224),0),
IF('TL16'!$B$229=O$3,SUMIF('TL16'!$C$238:$C$451,$C431,'TL16'!$J$238:$J$451),0),
IF('TL17'!$B$3=O$3,SUMIF('TL17'!$C$10:$C$224,$C431,'TL17'!$J$10:$J$224),0),
IF('TL17'!$B$229=O$3,SUMIF('TL17'!$C$238:$C$451,$C431,'TL17'!$J$238:$J$451),0),
IF('TL18'!$B$3=O$3,SUMIF('TL18'!$C$10:$C$224,$C431,'TL18'!$J$10:$J$224),0),
IF('TL18'!$B$229=O$3,SUMIF('TL18'!$C$238:$C$451,$C431,'TL18'!$J$238:$J$451),0),
IF('TL19'!$B$3=O$3,SUMIF('TL19'!$C$10:$C$224,$C431,'TL19'!$J$10:$J$224),0),
IF('TL19'!$B$229=O$3,SUMIF('TL19'!$C$238:$C$451,$C431,'TL19'!$J$238:$J$451),0)
),0)</f>
        <v/>
      </c>
      <c r="P431" s="138">
        <f>IFERROR(SUM(
IF('TL01'!$B$3=P$3,SUMIF('TL01'!$C$10:$C$224,$C431,'TL01'!$J$10:$J$224),0),
IF('TL01'!$B$229=P$3,SUMIF('TL01'!$C$238:$C$451,$C431,'TL01'!$J$238:$J$451),0),
IF('TL02'!$B$3=P$3,SUMIF('TL02'!$C$10:$C$224,$C431,'TL02'!$J$10:$J$224),0),
IF('TL02'!$B$229=P$3,SUMIF('TL02'!$C$238:$C$451,$C431,'TL02'!$J$238:$J$451),0),
IF('TL03'!$B$3=P$3,SUMIF('TL03'!$C$10:$C$224,$C431,'TL03'!$J$10:$J$224),0),
IF('TL03'!$B$229=P$3,SUMIF('TL03'!$C$238:$C$451,$C431,'TL03'!$J$238:$J$451),0),
IF('TL04'!$B$3=P$3,SUMIF('TL04'!$C$10:$C$224,$C431,'TL04'!$J$10:$J$224),0),
IF('TL04'!$B$229=P$3,SUMIF('TL04'!$C$238:$C$451,$C431,'TL04'!$J$238:$J$451),0),
IF('TL05'!$B$3=P$3,SUMIF('TL05'!$C$10:$C$224,$C431,'TL05'!$J$10:$J$224),0),
IF('TL05'!$B$229=P$3,SUMIF('TL05'!$C$238:$C$451,$C431,'TL05'!$J$238:$J$451),0),
IF('TL06'!$B$3=P$3,SUMIF('TL06'!$C$10:$C$224,$C431,'TL06'!$J$10:$J$224),0),
IF('TL06'!$B$229=P$3,SUMIF('TL06'!$C$238:$C$451,$C431,'TL06'!$J$238:$J$451),0),
IF('TL07'!$B$3=P$3,SUMIF('TL07'!$C$10:$C$224,$C431,'TL07'!$J$10:$J$224),0),
IF('TL07'!$B$229=P$3,SUMIF('TL07'!$C$238:$C$451,$C431,'TL07'!$J$238:$J$451),0),
IF('TL08'!$B$3=P$3,SUMIF('TL08'!$C$10:$C$224,$C431,'TL08'!$J$10:$J$224),0),
IF('TL08'!$B$229=P$3,SUMIF('TL08'!$C$238:$C$451,$C431,'TL08'!$J$238:$J$451),0),
IF('TL09'!$B$3=P$3,SUMIF('TL09'!$C$10:$C$224,$C431,'TL09'!$J$10:$J$224),0),
IF('TL09'!$B$229=P$3,SUMIF('TL09'!$C$238:$C$451,$C431,'TL09'!$J$238:$J$451),0),
IF('TL10'!$B$3=P$3,SUMIF('TL10'!$C$10:$C$224,$C431,'TL10'!$J$10:$J$224),0),
IF('TL10'!$B$229=P$3,SUMIF('TL10'!$C$238:$C$451,$C431,'TL10'!$J$238:$J$451),0),
IF('TL11'!$B$3=P$3,SUMIF('TL11'!$C$10:$C$224,$C431,'TL11'!$J$10:$J$224),0),
IF('TL11'!$B$229=P$3,SUMIF('TL11'!$C$238:$C$451,$C431,'TL11'!$J$238:$J$451),0),
IF('TL12'!$B$3=P$3,SUMIF('TL12'!$C$10:$C$224,$C431,'TL12'!$J$10:$J$224),0),
IF('TL12'!$B$229=P$3,SUMIF('TL12'!$C$238:$C$451,$C431,'TL12'!$J$238:$J$451),0),
IF('TL13'!$B$3=P$3,SUMIF('TL13'!$C$10:$C$224,$C431,'TL13'!$J$10:$J$224),0),
IF('TL13'!$B$229=P$3,SUMIF('TL13'!$C$238:$C$451,$C431,'TL13'!$J$238:$J$451),0),
IF('TL14'!$B$3=P$3,SUMIF('TL14'!$C$10:$C$224,$C431,'TL14'!$J$10:$J$224),0),
IF('TL14'!$B$229=P$3,SUMIF('TL14'!$C$238:$C$451,$C431,'TL14'!$J$238:$J$451),0),
IF('TL15'!$B$3=P$3,SUMIF('TL15'!$C$10:$C$224,$C431,'TL15'!$J$10:$J$224),0),
IF('TL15'!$B$229=P$3,SUMIF('TL15'!$C$238:$C$451,$C431,'TL15'!$J$238:$J$451),0),
IF('TL16'!$B$3=P$3,SUMIF('TL16'!$C$10:$C$224,$C431,'TL16'!$J$10:$J$224),0),
IF('TL16'!$B$229=P$3,SUMIF('TL16'!$C$238:$C$451,$C431,'TL16'!$J$238:$J$451),0),
IF('TL17'!$B$3=P$3,SUMIF('TL17'!$C$10:$C$224,$C431,'TL17'!$J$10:$J$224),0),
IF('TL17'!$B$229=P$3,SUMIF('TL17'!$C$238:$C$451,$C431,'TL17'!$J$238:$J$451),0),
IF('TL18'!$B$3=P$3,SUMIF('TL18'!$C$10:$C$224,$C431,'TL18'!$J$10:$J$224),0),
IF('TL18'!$B$229=P$3,SUMIF('TL18'!$C$238:$C$451,$C431,'TL18'!$J$238:$J$451),0),
IF('TL19'!$B$3=P$3,SUMIF('TL19'!$C$10:$C$224,$C431,'TL19'!$J$10:$J$224),0),
IF('TL19'!$B$229=P$3,SUMIF('TL19'!$C$238:$C$451,$C431,'TL19'!$J$238:$J$451),0)
),0)</f>
        <v/>
      </c>
      <c r="Q431" s="138">
        <f>IFERROR(SUM(
IF('TL01'!$B$3=Q$3,SUMIF('TL01'!$C$10:$C$224,$C431,'TL01'!$J$10:$J$224),0),
IF('TL01'!$B$229=Q$3,SUMIF('TL01'!$C$238:$C$451,$C431,'TL01'!$J$238:$J$451),0),
IF('TL02'!$B$3=Q$3,SUMIF('TL02'!$C$10:$C$224,$C431,'TL02'!$J$10:$J$224),0),
IF('TL02'!$B$229=Q$3,SUMIF('TL02'!$C$238:$C$451,$C431,'TL02'!$J$238:$J$451),0),
IF('TL03'!$B$3=Q$3,SUMIF('TL03'!$C$10:$C$224,$C431,'TL03'!$J$10:$J$224),0),
IF('TL03'!$B$229=Q$3,SUMIF('TL03'!$C$238:$C$451,$C431,'TL03'!$J$238:$J$451),0),
IF('TL04'!$B$3=Q$3,SUMIF('TL04'!$C$10:$C$224,$C431,'TL04'!$J$10:$J$224),0),
IF('TL04'!$B$229=Q$3,SUMIF('TL04'!$C$238:$C$451,$C431,'TL04'!$J$238:$J$451),0),
IF('TL05'!$B$3=Q$3,SUMIF('TL05'!$C$10:$C$224,$C431,'TL05'!$J$10:$J$224),0),
IF('TL05'!$B$229=Q$3,SUMIF('TL05'!$C$238:$C$451,$C431,'TL05'!$J$238:$J$451),0),
IF('TL06'!$B$3=Q$3,SUMIF('TL06'!$C$10:$C$224,$C431,'TL06'!$J$10:$J$224),0),
IF('TL06'!$B$229=Q$3,SUMIF('TL06'!$C$238:$C$451,$C431,'TL06'!$J$238:$J$451),0),
IF('TL07'!$B$3=Q$3,SUMIF('TL07'!$C$10:$C$224,$C431,'TL07'!$J$10:$J$224),0),
IF('TL07'!$B$229=Q$3,SUMIF('TL07'!$C$238:$C$451,$C431,'TL07'!$J$238:$J$451),0),
IF('TL08'!$B$3=Q$3,SUMIF('TL08'!$C$10:$C$224,$C431,'TL08'!$J$10:$J$224),0),
IF('TL08'!$B$229=Q$3,SUMIF('TL08'!$C$238:$C$451,$C431,'TL08'!$J$238:$J$451),0),
IF('TL09'!$B$3=Q$3,SUMIF('TL09'!$C$10:$C$224,$C431,'TL09'!$J$10:$J$224),0),
IF('TL09'!$B$229=Q$3,SUMIF('TL09'!$C$238:$C$451,$C431,'TL09'!$J$238:$J$451),0),
IF('TL10'!$B$3=Q$3,SUMIF('TL10'!$C$10:$C$224,$C431,'TL10'!$J$10:$J$224),0),
IF('TL10'!$B$229=Q$3,SUMIF('TL10'!$C$238:$C$451,$C431,'TL10'!$J$238:$J$451),0),
IF('TL11'!$B$3=Q$3,SUMIF('TL11'!$C$10:$C$224,$C431,'TL11'!$J$10:$J$224),0),
IF('TL11'!$B$229=Q$3,SUMIF('TL11'!$C$238:$C$451,$C431,'TL11'!$J$238:$J$451),0),
IF('TL12'!$B$3=Q$3,SUMIF('TL12'!$C$10:$C$224,$C431,'TL12'!$J$10:$J$224),0),
IF('TL12'!$B$229=Q$3,SUMIF('TL12'!$C$238:$C$451,$C431,'TL12'!$J$238:$J$451),0),
IF('TL13'!$B$3=Q$3,SUMIF('TL13'!$C$10:$C$224,$C431,'TL13'!$J$10:$J$224),0),
IF('TL13'!$B$229=Q$3,SUMIF('TL13'!$C$238:$C$451,$C431,'TL13'!$J$238:$J$451),0),
IF('TL14'!$B$3=Q$3,SUMIF('TL14'!$C$10:$C$224,$C431,'TL14'!$J$10:$J$224),0),
IF('TL14'!$B$229=Q$3,SUMIF('TL14'!$C$238:$C$451,$C431,'TL14'!$J$238:$J$451),0),
IF('TL15'!$B$3=Q$3,SUMIF('TL15'!$C$10:$C$224,$C431,'TL15'!$J$10:$J$224),0),
IF('TL15'!$B$229=Q$3,SUMIF('TL15'!$C$238:$C$451,$C431,'TL15'!$J$238:$J$451),0),
IF('TL16'!$B$3=Q$3,SUMIF('TL16'!$C$10:$C$224,$C431,'TL16'!$J$10:$J$224),0),
IF('TL16'!$B$229=Q$3,SUMIF('TL16'!$C$238:$C$451,$C431,'TL16'!$J$238:$J$451),0),
IF('TL17'!$B$3=Q$3,SUMIF('TL17'!$C$10:$C$224,$C431,'TL17'!$J$10:$J$224),0),
IF('TL17'!$B$229=Q$3,SUMIF('TL17'!$C$238:$C$451,$C431,'TL17'!$J$238:$J$451),0),
IF('TL18'!$B$3=Q$3,SUMIF('TL18'!$C$10:$C$224,$C431,'TL18'!$J$10:$J$224),0),
IF('TL18'!$B$229=Q$3,SUMIF('TL18'!$C$238:$C$451,$C431,'TL18'!$J$238:$J$451),0),
IF('TL19'!$B$3=Q$3,SUMIF('TL19'!$C$10:$C$224,$C431,'TL19'!$J$10:$J$224),0),
IF('TL19'!$B$229=Q$3,SUMIF('TL19'!$C$238:$C$451,$C431,'TL19'!$J$238:$J$451),0)
),0)</f>
        <v/>
      </c>
      <c r="R431" s="139">
        <f>IFERROR(
SUM(
SUMIF('TL01'!C:C,C431,'TL01'!J:J),
SUMIF('TL02'!C:C,C431,'TL02'!I:I),
SUMIF('TL03'!C:C,C431,'TL03'!I:I),
SUMIF('TL04'!C:C,C431,'TL04'!I:I),
SUMIF('TL05'!C:C,C431,'TL05'!I:I),
SUMIF('TL06'!C:C,C431,'TL06'!I:I),
SUMIF('TL07'!C:C,C431,'TL07'!I:I),
SUMIF('TL08'!C:C,C431,'TL08'!I:I),
SUMIF('TL09'!C:C,C431,'TL09'!I:I),
SUMIF('TL10'!C:C,C431,'TL10'!I:I),
SUMIF('TL11'!C:C,C431,'TL11'!I:I),
SUMIF('TL12'!C:C,C431,'TL12'!I:I),
SUMIF('TL13'!C:C,C431,'TL13'!I:I),
SUMIF('TL14'!C:C,C431,'TL14'!I:I),
SUMIF('TL15'!C:C,C431,'TL15'!I:I),
SUMIF('TL16'!C:C,C431,'TL16'!I:I),
SUMIF('TL17'!C:C,C431,'TL17'!I:I),
SUMIF('TL18'!C:C,C431,'TL18'!I:I))
,0)</f>
        <v/>
      </c>
      <c r="S431" s="142">
        <f>'CUSTO OPERAÇÃO'!M35</f>
        <v/>
      </c>
      <c r="T431" s="139" t="n"/>
      <c r="U431" s="143">
        <f>MAX(0,R431-T431)</f>
        <v/>
      </c>
      <c r="V431" s="144">
        <f>U431*S431</f>
        <v/>
      </c>
    </row>
    <row r="432" hidden="1" ht="15.75" customHeight="1" s="297">
      <c r="A432" s="138" t="n"/>
      <c r="B432" s="155" t="n"/>
      <c r="C432" s="138" t="n"/>
      <c r="D432" s="138" t="n"/>
      <c r="E432" s="139" t="n"/>
      <c r="F432" s="138" t="inlineStr">
        <is>
          <t>R$/Ha</t>
        </is>
      </c>
      <c r="G432" s="139" t="n"/>
      <c r="H432" s="139">
        <f>'CUSTO OPERAÇÃO'!J36</f>
        <v/>
      </c>
      <c r="I432" s="156" t="n"/>
      <c r="J432" s="138">
        <f>IFERROR(SUM(
IF('TL01'!$B$3=J$3,SUMIF('TL01'!$C$10:$C$224,$C432,'TL01'!$J$10:$J$224),0),
IF('TL01'!$B$229=J$3,SUMIF('TL01'!$C$238:$C$451,$C432,'TL01'!$J$238:$J$451),0),
IF('TL02'!$B$3=J$3,SUMIF('TL02'!$C$10:$C$224,$C432,'TL02'!$J$10:$J$224),0),
IF('TL02'!$B$229=J$3,SUMIF('TL02'!$C$238:$C$451,$C432,'TL02'!$J$238:$J$451),0),
IF('TL03'!$B$3=J$3,SUMIF('TL03'!$C$10:$C$224,$C432,'TL03'!$J$10:$J$224),0),
IF('TL03'!$B$229=J$3,SUMIF('TL03'!$C$238:$C$451,$C432,'TL03'!$J$238:$J$451),0),
IF('TL04'!$B$3=J$3,SUMIF('TL04'!$C$10:$C$224,$C432,'TL04'!$J$10:$J$224),0),
IF('TL04'!$B$229=J$3,SUMIF('TL04'!$C$238:$C$451,$C432,'TL04'!$J$238:$J$451),0),
IF('TL05'!$B$3=J$3,SUMIF('TL05'!$C$10:$C$224,$C432,'TL05'!$J$10:$J$224),0),
IF('TL05'!$B$229=J$3,SUMIF('TL05'!$C$238:$C$451,$C432,'TL05'!$J$238:$J$451),0),
IF('TL06'!$B$3=J$3,SUMIF('TL06'!$C$10:$C$224,$C432,'TL06'!$J$10:$J$224),0),
IF('TL06'!$B$229=J$3,SUMIF('TL06'!$C$238:$C$451,$C432,'TL06'!$J$238:$J$451),0),
IF('TL07'!$B$3=J$3,SUMIF('TL07'!$C$10:$C$224,$C432,'TL07'!$J$10:$J$224),0),
IF('TL07'!$B$229=J$3,SUMIF('TL07'!$C$238:$C$451,$C432,'TL07'!$J$238:$J$451),0),
IF('TL08'!$B$3=J$3,SUMIF('TL08'!$C$10:$C$224,$C432,'TL08'!$J$10:$J$224),0),
IF('TL08'!$B$229=J$3,SUMIF('TL08'!$C$238:$C$451,$C432,'TL08'!$J$238:$J$451),0),
IF('TL09'!$B$3=J$3,SUMIF('TL09'!$C$10:$C$224,$C432,'TL09'!$J$10:$J$224),0),
IF('TL09'!$B$229=J$3,SUMIF('TL09'!$C$238:$C$451,$C432,'TL09'!$J$238:$J$451),0),
IF('TL10'!$B$3=J$3,SUMIF('TL10'!$C$10:$C$224,$C432,'TL10'!$J$10:$J$224),0),
IF('TL10'!$B$229=J$3,SUMIF('TL10'!$C$238:$C$451,$C432,'TL10'!$J$238:$J$451),0),
IF('TL11'!$B$3=J$3,SUMIF('TL11'!$C$10:$C$224,$C432,'TL11'!$J$10:$J$224),0),
IF('TL11'!$B$229=J$3,SUMIF('TL11'!$C$238:$C$451,$C432,'TL11'!$J$238:$J$451),0),
IF('TL12'!$B$3=J$3,SUMIF('TL12'!$C$10:$C$224,$C432,'TL12'!$J$10:$J$224),0),
IF('TL12'!$B$229=J$3,SUMIF('TL12'!$C$238:$C$451,$C432,'TL12'!$J$238:$J$451),0),
IF('TL13'!$B$3=J$3,SUMIF('TL13'!$C$10:$C$224,$C432,'TL13'!$J$10:$J$224),0),
IF('TL13'!$B$229=J$3,SUMIF('TL13'!$C$238:$C$451,$C432,'TL13'!$J$238:$J$451),0),
IF('TL14'!$B$3=J$3,SUMIF('TL14'!$C$10:$C$224,$C432,'TL14'!$J$10:$J$224),0),
IF('TL14'!$B$229=J$3,SUMIF('TL14'!$C$238:$C$451,$C432,'TL14'!$J$238:$J$451),0),
IF('TL15'!$B$3=J$3,SUMIF('TL15'!$C$10:$C$224,$C432,'TL15'!$J$10:$J$224),0),
IF('TL15'!$B$229=J$3,SUMIF('TL15'!$C$238:$C$451,$C432,'TL15'!$J$238:$J$451),0),
IF('TL16'!$B$3=J$3,SUMIF('TL16'!$C$10:$C$224,$C432,'TL16'!$J$10:$J$224),0),
IF('TL16'!$B$229=J$3,SUMIF('TL16'!$C$238:$C$451,$C432,'TL16'!$J$238:$J$451),0),
IF('TL17'!$B$3=J$3,SUMIF('TL17'!$C$10:$C$224,$C432,'TL17'!$J$10:$J$224),0),
IF('TL17'!$B$229=J$3,SUMIF('TL17'!$C$238:$C$451,$C432,'TL17'!$J$238:$J$451),0),
IF('TL18'!$B$3=J$3,SUMIF('TL18'!$C$10:$C$224,$C432,'TL18'!$J$10:$J$224),0),
IF('TL18'!$B$229=J$3,SUMIF('TL18'!$C$238:$C$451,$C432,'TL18'!$J$238:$J$451),0),
IF('TL19'!$B$3=J$3,SUMIF('TL19'!$C$10:$C$224,$C432,'TL19'!$J$10:$J$224),0),
IF('TL19'!$B$229=J$3,SUMIF('TL19'!$C$238:$C$451,$C432,'TL19'!$J$238:$J$451),0)
),0)</f>
        <v/>
      </c>
      <c r="K432" s="138">
        <f>IFERROR(SUM(
IF('TL01'!$B$3=K$3,SUMIF('TL01'!$C$10:$C$224,$C432,'TL01'!$J$10:$J$224),0),
IF('TL01'!$B$229=K$3,SUMIF('TL01'!$C$238:$C$451,$C432,'TL01'!$J$238:$J$451),0),
IF('TL02'!$B$3=K$3,SUMIF('TL02'!$C$10:$C$224,$C432,'TL02'!$J$10:$J$224),0),
IF('TL02'!$B$229=K$3,SUMIF('TL02'!$C$238:$C$451,$C432,'TL02'!$J$238:$J$451),0),
IF('TL03'!$B$3=K$3,SUMIF('TL03'!$C$10:$C$224,$C432,'TL03'!$J$10:$J$224),0),
IF('TL03'!$B$229=K$3,SUMIF('TL03'!$C$238:$C$451,$C432,'TL03'!$J$238:$J$451),0),
IF('TL04'!$B$3=K$3,SUMIF('TL04'!$C$10:$C$224,$C432,'TL04'!$J$10:$J$224),0),
IF('TL04'!$B$229=K$3,SUMIF('TL04'!$C$238:$C$451,$C432,'TL04'!$J$238:$J$451),0),
IF('TL05'!$B$3=K$3,SUMIF('TL05'!$C$10:$C$224,$C432,'TL05'!$J$10:$J$224),0),
IF('TL05'!$B$229=K$3,SUMIF('TL05'!$C$238:$C$451,$C432,'TL05'!$J$238:$J$451),0),
IF('TL06'!$B$3=K$3,SUMIF('TL06'!$C$10:$C$224,$C432,'TL06'!$J$10:$J$224),0),
IF('TL06'!$B$229=K$3,SUMIF('TL06'!$C$238:$C$451,$C432,'TL06'!$J$238:$J$451),0),
IF('TL07'!$B$3=K$3,SUMIF('TL07'!$C$10:$C$224,$C432,'TL07'!$J$10:$J$224),0),
IF('TL07'!$B$229=K$3,SUMIF('TL07'!$C$238:$C$451,$C432,'TL07'!$J$238:$J$451),0),
IF('TL08'!$B$3=K$3,SUMIF('TL08'!$C$10:$C$224,$C432,'TL08'!$J$10:$J$224),0),
IF('TL08'!$B$229=K$3,SUMIF('TL08'!$C$238:$C$451,$C432,'TL08'!$J$238:$J$451),0),
IF('TL09'!$B$3=K$3,SUMIF('TL09'!$C$10:$C$224,$C432,'TL09'!$J$10:$J$224),0),
IF('TL09'!$B$229=K$3,SUMIF('TL09'!$C$238:$C$451,$C432,'TL09'!$J$238:$J$451),0),
IF('TL10'!$B$3=K$3,SUMIF('TL10'!$C$10:$C$224,$C432,'TL10'!$J$10:$J$224),0),
IF('TL10'!$B$229=K$3,SUMIF('TL10'!$C$238:$C$451,$C432,'TL10'!$J$238:$J$451),0),
IF('TL11'!$B$3=K$3,SUMIF('TL11'!$C$10:$C$224,$C432,'TL11'!$J$10:$J$224),0),
IF('TL11'!$B$229=K$3,SUMIF('TL11'!$C$238:$C$451,$C432,'TL11'!$J$238:$J$451),0),
IF('TL12'!$B$3=K$3,SUMIF('TL12'!$C$10:$C$224,$C432,'TL12'!$J$10:$J$224),0),
IF('TL12'!$B$229=K$3,SUMIF('TL12'!$C$238:$C$451,$C432,'TL12'!$J$238:$J$451),0),
IF('TL13'!$B$3=K$3,SUMIF('TL13'!$C$10:$C$224,$C432,'TL13'!$J$10:$J$224),0),
IF('TL13'!$B$229=K$3,SUMIF('TL13'!$C$238:$C$451,$C432,'TL13'!$J$238:$J$451),0),
IF('TL14'!$B$3=K$3,SUMIF('TL14'!$C$10:$C$224,$C432,'TL14'!$J$10:$J$224),0),
IF('TL14'!$B$229=K$3,SUMIF('TL14'!$C$238:$C$451,$C432,'TL14'!$J$238:$J$451),0),
IF('TL15'!$B$3=K$3,SUMIF('TL15'!$C$10:$C$224,$C432,'TL15'!$J$10:$J$224),0),
IF('TL15'!$B$229=K$3,SUMIF('TL15'!$C$238:$C$451,$C432,'TL15'!$J$238:$J$451),0),
IF('TL16'!$B$3=K$3,SUMIF('TL16'!$C$10:$C$224,$C432,'TL16'!$J$10:$J$224),0),
IF('TL16'!$B$229=K$3,SUMIF('TL16'!$C$238:$C$451,$C432,'TL16'!$J$238:$J$451),0),
IF('TL17'!$B$3=K$3,SUMIF('TL17'!$C$10:$C$224,$C432,'TL17'!$J$10:$J$224),0),
IF('TL17'!$B$229=K$3,SUMIF('TL17'!$C$238:$C$451,$C432,'TL17'!$J$238:$J$451),0),
IF('TL18'!$B$3=K$3,SUMIF('TL18'!$C$10:$C$224,$C432,'TL18'!$J$10:$J$224),0),
IF('TL18'!$B$229=K$3,SUMIF('TL18'!$C$238:$C$451,$C432,'TL18'!$J$238:$J$451),0),
IF('TL19'!$B$3=K$3,SUMIF('TL19'!$C$10:$C$224,$C432,'TL19'!$J$10:$J$224),0),
IF('TL19'!$B$229=K$3,SUMIF('TL19'!$C$238:$C$451,$C432,'TL19'!$J$238:$J$451),0)
),0)</f>
        <v/>
      </c>
      <c r="L432" s="138">
        <f>IFERROR(SUM(
IF('TL01'!$B$3=L$3,SUMIF('TL01'!$C$10:$C$224,$C432,'TL01'!$J$10:$J$224),0),
IF('TL01'!$B$229=L$3,SUMIF('TL01'!$C$238:$C$451,$C432,'TL01'!$J$238:$J$451),0),
IF('TL02'!$B$3=L$3,SUMIF('TL02'!$C$10:$C$224,$C432,'TL02'!$J$10:$J$224),0),
IF('TL02'!$B$229=L$3,SUMIF('TL02'!$C$238:$C$451,$C432,'TL02'!$J$238:$J$451),0),
IF('TL03'!$B$3=L$3,SUMIF('TL03'!$C$10:$C$224,$C432,'TL03'!$J$10:$J$224),0),
IF('TL03'!$B$229=L$3,SUMIF('TL03'!$C$238:$C$451,$C432,'TL03'!$J$238:$J$451),0),
IF('TL04'!$B$3=L$3,SUMIF('TL04'!$C$10:$C$224,$C432,'TL04'!$J$10:$J$224),0),
IF('TL04'!$B$229=L$3,SUMIF('TL04'!$C$238:$C$451,$C432,'TL04'!$J$238:$J$451),0),
IF('TL05'!$B$3=L$3,SUMIF('TL05'!$C$10:$C$224,$C432,'TL05'!$J$10:$J$224),0),
IF('TL05'!$B$229=L$3,SUMIF('TL05'!$C$238:$C$451,$C432,'TL05'!$J$238:$J$451),0),
IF('TL06'!$B$3=L$3,SUMIF('TL06'!$C$10:$C$224,$C432,'TL06'!$J$10:$J$224),0),
IF('TL06'!$B$229=L$3,SUMIF('TL06'!$C$238:$C$451,$C432,'TL06'!$J$238:$J$451),0),
IF('TL07'!$B$3=L$3,SUMIF('TL07'!$C$10:$C$224,$C432,'TL07'!$J$10:$J$224),0),
IF('TL07'!$B$229=L$3,SUMIF('TL07'!$C$238:$C$451,$C432,'TL07'!$J$238:$J$451),0),
IF('TL08'!$B$3=L$3,SUMIF('TL08'!$C$10:$C$224,$C432,'TL08'!$J$10:$J$224),0),
IF('TL08'!$B$229=L$3,SUMIF('TL08'!$C$238:$C$451,$C432,'TL08'!$J$238:$J$451),0),
IF('TL09'!$B$3=L$3,SUMIF('TL09'!$C$10:$C$224,$C432,'TL09'!$J$10:$J$224),0),
IF('TL09'!$B$229=L$3,SUMIF('TL09'!$C$238:$C$451,$C432,'TL09'!$J$238:$J$451),0),
IF('TL10'!$B$3=L$3,SUMIF('TL10'!$C$10:$C$224,$C432,'TL10'!$J$10:$J$224),0),
IF('TL10'!$B$229=L$3,SUMIF('TL10'!$C$238:$C$451,$C432,'TL10'!$J$238:$J$451),0),
IF('TL11'!$B$3=L$3,SUMIF('TL11'!$C$10:$C$224,$C432,'TL11'!$J$10:$J$224),0),
IF('TL11'!$B$229=L$3,SUMIF('TL11'!$C$238:$C$451,$C432,'TL11'!$J$238:$J$451),0),
IF('TL12'!$B$3=L$3,SUMIF('TL12'!$C$10:$C$224,$C432,'TL12'!$J$10:$J$224),0),
IF('TL12'!$B$229=L$3,SUMIF('TL12'!$C$238:$C$451,$C432,'TL12'!$J$238:$J$451),0),
IF('TL13'!$B$3=L$3,SUMIF('TL13'!$C$10:$C$224,$C432,'TL13'!$J$10:$J$224),0),
IF('TL13'!$B$229=L$3,SUMIF('TL13'!$C$238:$C$451,$C432,'TL13'!$J$238:$J$451),0),
IF('TL14'!$B$3=L$3,SUMIF('TL14'!$C$10:$C$224,$C432,'TL14'!$J$10:$J$224),0),
IF('TL14'!$B$229=L$3,SUMIF('TL14'!$C$238:$C$451,$C432,'TL14'!$J$238:$J$451),0),
IF('TL15'!$B$3=L$3,SUMIF('TL15'!$C$10:$C$224,$C432,'TL15'!$J$10:$J$224),0),
IF('TL15'!$B$229=L$3,SUMIF('TL15'!$C$238:$C$451,$C432,'TL15'!$J$238:$J$451),0),
IF('TL16'!$B$3=L$3,SUMIF('TL16'!$C$10:$C$224,$C432,'TL16'!$J$10:$J$224),0),
IF('TL16'!$B$229=L$3,SUMIF('TL16'!$C$238:$C$451,$C432,'TL16'!$J$238:$J$451),0),
IF('TL17'!$B$3=L$3,SUMIF('TL17'!$C$10:$C$224,$C432,'TL17'!$J$10:$J$224),0),
IF('TL17'!$B$229=L$3,SUMIF('TL17'!$C$238:$C$451,$C432,'TL17'!$J$238:$J$451),0),
IF('TL18'!$B$3=L$3,SUMIF('TL18'!$C$10:$C$224,$C432,'TL18'!$J$10:$J$224),0),
IF('TL18'!$B$229=L$3,SUMIF('TL18'!$C$238:$C$451,$C432,'TL18'!$J$238:$J$451),0),
IF('TL19'!$B$3=L$3,SUMIF('TL19'!$C$10:$C$224,$C432,'TL19'!$J$10:$J$224),0),
IF('TL19'!$B$229=L$3,SUMIF('TL19'!$C$238:$C$451,$C432,'TL19'!$J$238:$J$451),0)
),0)</f>
        <v/>
      </c>
      <c r="M432" s="138">
        <f>IFERROR(SUM(
IF('TL01'!$B$3=M$3,SUMIF('TL01'!$C$10:$C$224,$C432,'TL01'!$J$10:$J$224),0),
IF('TL01'!$B$229=M$3,SUMIF('TL01'!$C$238:$C$451,$C432,'TL01'!$J$238:$J$451),0),
IF('TL02'!$B$3=M$3,SUMIF('TL02'!$C$10:$C$224,$C432,'TL02'!$J$10:$J$224),0),
IF('TL02'!$B$229=M$3,SUMIF('TL02'!$C$238:$C$451,$C432,'TL02'!$J$238:$J$451),0),
IF('TL03'!$B$3=M$3,SUMIF('TL03'!$C$10:$C$224,$C432,'TL03'!$J$10:$J$224),0),
IF('TL03'!$B$229=M$3,SUMIF('TL03'!$C$238:$C$451,$C432,'TL03'!$J$238:$J$451),0),
IF('TL04'!$B$3=M$3,SUMIF('TL04'!$C$10:$C$224,$C432,'TL04'!$J$10:$J$224),0),
IF('TL04'!$B$229=M$3,SUMIF('TL04'!$C$238:$C$451,$C432,'TL04'!$J$238:$J$451),0),
IF('TL05'!$B$3=M$3,SUMIF('TL05'!$C$10:$C$224,$C432,'TL05'!$J$10:$J$224),0),
IF('TL05'!$B$229=M$3,SUMIF('TL05'!$C$238:$C$451,$C432,'TL05'!$J$238:$J$451),0),
IF('TL06'!$B$3=M$3,SUMIF('TL06'!$C$10:$C$224,$C432,'TL06'!$J$10:$J$224),0),
IF('TL06'!$B$229=M$3,SUMIF('TL06'!$C$238:$C$451,$C432,'TL06'!$J$238:$J$451),0),
IF('TL07'!$B$3=M$3,SUMIF('TL07'!$C$10:$C$224,$C432,'TL07'!$J$10:$J$224),0),
IF('TL07'!$B$229=M$3,SUMIF('TL07'!$C$238:$C$451,$C432,'TL07'!$J$238:$J$451),0),
IF('TL08'!$B$3=M$3,SUMIF('TL08'!$C$10:$C$224,$C432,'TL08'!$J$10:$J$224),0),
IF('TL08'!$B$229=M$3,SUMIF('TL08'!$C$238:$C$451,$C432,'TL08'!$J$238:$J$451),0),
IF('TL09'!$B$3=M$3,SUMIF('TL09'!$C$10:$C$224,$C432,'TL09'!$J$10:$J$224),0),
IF('TL09'!$B$229=M$3,SUMIF('TL09'!$C$238:$C$451,$C432,'TL09'!$J$238:$J$451),0),
IF('TL10'!$B$3=M$3,SUMIF('TL10'!$C$10:$C$224,$C432,'TL10'!$J$10:$J$224),0),
IF('TL10'!$B$229=M$3,SUMIF('TL10'!$C$238:$C$451,$C432,'TL10'!$J$238:$J$451),0),
IF('TL11'!$B$3=M$3,SUMIF('TL11'!$C$10:$C$224,$C432,'TL11'!$J$10:$J$224),0),
IF('TL11'!$B$229=M$3,SUMIF('TL11'!$C$238:$C$451,$C432,'TL11'!$J$238:$J$451),0),
IF('TL12'!$B$3=M$3,SUMIF('TL12'!$C$10:$C$224,$C432,'TL12'!$J$10:$J$224),0),
IF('TL12'!$B$229=M$3,SUMIF('TL12'!$C$238:$C$451,$C432,'TL12'!$J$238:$J$451),0),
IF('TL13'!$B$3=M$3,SUMIF('TL13'!$C$10:$C$224,$C432,'TL13'!$J$10:$J$224),0),
IF('TL13'!$B$229=M$3,SUMIF('TL13'!$C$238:$C$451,$C432,'TL13'!$J$238:$J$451),0),
IF('TL14'!$B$3=M$3,SUMIF('TL14'!$C$10:$C$224,$C432,'TL14'!$J$10:$J$224),0),
IF('TL14'!$B$229=M$3,SUMIF('TL14'!$C$238:$C$451,$C432,'TL14'!$J$238:$J$451),0),
IF('TL15'!$B$3=M$3,SUMIF('TL15'!$C$10:$C$224,$C432,'TL15'!$J$10:$J$224),0),
IF('TL15'!$B$229=M$3,SUMIF('TL15'!$C$238:$C$451,$C432,'TL15'!$J$238:$J$451),0),
IF('TL16'!$B$3=M$3,SUMIF('TL16'!$C$10:$C$224,$C432,'TL16'!$J$10:$J$224),0),
IF('TL16'!$B$229=M$3,SUMIF('TL16'!$C$238:$C$451,$C432,'TL16'!$J$238:$J$451),0),
IF('TL17'!$B$3=M$3,SUMIF('TL17'!$C$10:$C$224,$C432,'TL17'!$J$10:$J$224),0),
IF('TL17'!$B$229=M$3,SUMIF('TL17'!$C$238:$C$451,$C432,'TL17'!$J$238:$J$451),0),
IF('TL18'!$B$3=M$3,SUMIF('TL18'!$C$10:$C$224,$C432,'TL18'!$J$10:$J$224),0),
IF('TL18'!$B$229=M$3,SUMIF('TL18'!$C$238:$C$451,$C432,'TL18'!$J$238:$J$451),0),
IF('TL19'!$B$3=M$3,SUMIF('TL19'!$C$10:$C$224,$C432,'TL19'!$J$10:$J$224),0),
IF('TL19'!$B$229=M$3,SUMIF('TL19'!$C$238:$C$451,$C432,'TL19'!$J$238:$J$451),0)
),0)</f>
        <v/>
      </c>
      <c r="N432" s="138">
        <f>IFERROR(SUM(
IF('TL01'!$B$3=N$3,SUMIF('TL01'!$C$10:$C$224,$C432,'TL01'!$J$10:$J$224),0),
IF('TL01'!$B$229=N$3,SUMIF('TL01'!$C$238:$C$451,$C432,'TL01'!$J$238:$J$451),0),
IF('TL02'!$B$3=N$3,SUMIF('TL02'!$C$10:$C$224,$C432,'TL02'!$J$10:$J$224),0),
IF('TL02'!$B$229=N$3,SUMIF('TL02'!$C$238:$C$451,$C432,'TL02'!$J$238:$J$451),0),
IF('TL03'!$B$3=N$3,SUMIF('TL03'!$C$10:$C$224,$C432,'TL03'!$J$10:$J$224),0),
IF('TL03'!$B$229=N$3,SUMIF('TL03'!$C$238:$C$451,$C432,'TL03'!$J$238:$J$451),0),
IF('TL04'!$B$3=N$3,SUMIF('TL04'!$C$10:$C$224,$C432,'TL04'!$J$10:$J$224),0),
IF('TL04'!$B$229=N$3,SUMIF('TL04'!$C$238:$C$451,$C432,'TL04'!$J$238:$J$451),0),
IF('TL05'!$B$3=N$3,SUMIF('TL05'!$C$10:$C$224,$C432,'TL05'!$J$10:$J$224),0),
IF('TL05'!$B$229=N$3,SUMIF('TL05'!$C$238:$C$451,$C432,'TL05'!$J$238:$J$451),0),
IF('TL06'!$B$3=N$3,SUMIF('TL06'!$C$10:$C$224,$C432,'TL06'!$J$10:$J$224),0),
IF('TL06'!$B$229=N$3,SUMIF('TL06'!$C$238:$C$451,$C432,'TL06'!$J$238:$J$451),0),
IF('TL07'!$B$3=N$3,SUMIF('TL07'!$C$10:$C$224,$C432,'TL07'!$J$10:$J$224),0),
IF('TL07'!$B$229=N$3,SUMIF('TL07'!$C$238:$C$451,$C432,'TL07'!$J$238:$J$451),0),
IF('TL08'!$B$3=N$3,SUMIF('TL08'!$C$10:$C$224,$C432,'TL08'!$J$10:$J$224),0),
IF('TL08'!$B$229=N$3,SUMIF('TL08'!$C$238:$C$451,$C432,'TL08'!$J$238:$J$451),0),
IF('TL09'!$B$3=N$3,SUMIF('TL09'!$C$10:$C$224,$C432,'TL09'!$J$10:$J$224),0),
IF('TL09'!$B$229=N$3,SUMIF('TL09'!$C$238:$C$451,$C432,'TL09'!$J$238:$J$451),0),
IF('TL10'!$B$3=N$3,SUMIF('TL10'!$C$10:$C$224,$C432,'TL10'!$J$10:$J$224),0),
IF('TL10'!$B$229=N$3,SUMIF('TL10'!$C$238:$C$451,$C432,'TL10'!$J$238:$J$451),0),
IF('TL11'!$B$3=N$3,SUMIF('TL11'!$C$10:$C$224,$C432,'TL11'!$J$10:$J$224),0),
IF('TL11'!$B$229=N$3,SUMIF('TL11'!$C$238:$C$451,$C432,'TL11'!$J$238:$J$451),0),
IF('TL12'!$B$3=N$3,SUMIF('TL12'!$C$10:$C$224,$C432,'TL12'!$J$10:$J$224),0),
IF('TL12'!$B$229=N$3,SUMIF('TL12'!$C$238:$C$451,$C432,'TL12'!$J$238:$J$451),0),
IF('TL13'!$B$3=N$3,SUMIF('TL13'!$C$10:$C$224,$C432,'TL13'!$J$10:$J$224),0),
IF('TL13'!$B$229=N$3,SUMIF('TL13'!$C$238:$C$451,$C432,'TL13'!$J$238:$J$451),0),
IF('TL14'!$B$3=N$3,SUMIF('TL14'!$C$10:$C$224,$C432,'TL14'!$J$10:$J$224),0),
IF('TL14'!$B$229=N$3,SUMIF('TL14'!$C$238:$C$451,$C432,'TL14'!$J$238:$J$451),0),
IF('TL15'!$B$3=N$3,SUMIF('TL15'!$C$10:$C$224,$C432,'TL15'!$J$10:$J$224),0),
IF('TL15'!$B$229=N$3,SUMIF('TL15'!$C$238:$C$451,$C432,'TL15'!$J$238:$J$451),0),
IF('TL16'!$B$3=N$3,SUMIF('TL16'!$C$10:$C$224,$C432,'TL16'!$J$10:$J$224),0),
IF('TL16'!$B$229=N$3,SUMIF('TL16'!$C$238:$C$451,$C432,'TL16'!$J$238:$J$451),0),
IF('TL17'!$B$3=N$3,SUMIF('TL17'!$C$10:$C$224,$C432,'TL17'!$J$10:$J$224),0),
IF('TL17'!$B$229=N$3,SUMIF('TL17'!$C$238:$C$451,$C432,'TL17'!$J$238:$J$451),0),
IF('TL18'!$B$3=N$3,SUMIF('TL18'!$C$10:$C$224,$C432,'TL18'!$J$10:$J$224),0),
IF('TL18'!$B$229=N$3,SUMIF('TL18'!$C$238:$C$451,$C432,'TL18'!$J$238:$J$451),0),
IF('TL19'!$B$3=N$3,SUMIF('TL19'!$C$10:$C$224,$C432,'TL19'!$J$10:$J$224),0),
IF('TL19'!$B$229=N$3,SUMIF('TL19'!$C$238:$C$451,$C432,'TL19'!$J$238:$J$451),0)
),0)</f>
        <v/>
      </c>
      <c r="O432" s="138">
        <f>IFERROR(SUM(
IF('TL01'!$B$3=O$3,SUMIF('TL01'!$C$10:$C$224,$C432,'TL01'!$J$10:$J$224),0),
IF('TL01'!$B$229=O$3,SUMIF('TL01'!$C$238:$C$451,$C432,'TL01'!$J$238:$J$451),0),
IF('TL02'!$B$3=O$3,SUMIF('TL02'!$C$10:$C$224,$C432,'TL02'!$J$10:$J$224),0),
IF('TL02'!$B$229=O$3,SUMIF('TL02'!$C$238:$C$451,$C432,'TL02'!$J$238:$J$451),0),
IF('TL03'!$B$3=O$3,SUMIF('TL03'!$C$10:$C$224,$C432,'TL03'!$J$10:$J$224),0),
IF('TL03'!$B$229=O$3,SUMIF('TL03'!$C$238:$C$451,$C432,'TL03'!$J$238:$J$451),0),
IF('TL04'!$B$3=O$3,SUMIF('TL04'!$C$10:$C$224,$C432,'TL04'!$J$10:$J$224),0),
IF('TL04'!$B$229=O$3,SUMIF('TL04'!$C$238:$C$451,$C432,'TL04'!$J$238:$J$451),0),
IF('TL05'!$B$3=O$3,SUMIF('TL05'!$C$10:$C$224,$C432,'TL05'!$J$10:$J$224),0),
IF('TL05'!$B$229=O$3,SUMIF('TL05'!$C$238:$C$451,$C432,'TL05'!$J$238:$J$451),0),
IF('TL06'!$B$3=O$3,SUMIF('TL06'!$C$10:$C$224,$C432,'TL06'!$J$10:$J$224),0),
IF('TL06'!$B$229=O$3,SUMIF('TL06'!$C$238:$C$451,$C432,'TL06'!$J$238:$J$451),0),
IF('TL07'!$B$3=O$3,SUMIF('TL07'!$C$10:$C$224,$C432,'TL07'!$J$10:$J$224),0),
IF('TL07'!$B$229=O$3,SUMIF('TL07'!$C$238:$C$451,$C432,'TL07'!$J$238:$J$451),0),
IF('TL08'!$B$3=O$3,SUMIF('TL08'!$C$10:$C$224,$C432,'TL08'!$J$10:$J$224),0),
IF('TL08'!$B$229=O$3,SUMIF('TL08'!$C$238:$C$451,$C432,'TL08'!$J$238:$J$451),0),
IF('TL09'!$B$3=O$3,SUMIF('TL09'!$C$10:$C$224,$C432,'TL09'!$J$10:$J$224),0),
IF('TL09'!$B$229=O$3,SUMIF('TL09'!$C$238:$C$451,$C432,'TL09'!$J$238:$J$451),0),
IF('TL10'!$B$3=O$3,SUMIF('TL10'!$C$10:$C$224,$C432,'TL10'!$J$10:$J$224),0),
IF('TL10'!$B$229=O$3,SUMIF('TL10'!$C$238:$C$451,$C432,'TL10'!$J$238:$J$451),0),
IF('TL11'!$B$3=O$3,SUMIF('TL11'!$C$10:$C$224,$C432,'TL11'!$J$10:$J$224),0),
IF('TL11'!$B$229=O$3,SUMIF('TL11'!$C$238:$C$451,$C432,'TL11'!$J$238:$J$451),0),
IF('TL12'!$B$3=O$3,SUMIF('TL12'!$C$10:$C$224,$C432,'TL12'!$J$10:$J$224),0),
IF('TL12'!$B$229=O$3,SUMIF('TL12'!$C$238:$C$451,$C432,'TL12'!$J$238:$J$451),0),
IF('TL13'!$B$3=O$3,SUMIF('TL13'!$C$10:$C$224,$C432,'TL13'!$J$10:$J$224),0),
IF('TL13'!$B$229=O$3,SUMIF('TL13'!$C$238:$C$451,$C432,'TL13'!$J$238:$J$451),0),
IF('TL14'!$B$3=O$3,SUMIF('TL14'!$C$10:$C$224,$C432,'TL14'!$J$10:$J$224),0),
IF('TL14'!$B$229=O$3,SUMIF('TL14'!$C$238:$C$451,$C432,'TL14'!$J$238:$J$451),0),
IF('TL15'!$B$3=O$3,SUMIF('TL15'!$C$10:$C$224,$C432,'TL15'!$J$10:$J$224),0),
IF('TL15'!$B$229=O$3,SUMIF('TL15'!$C$238:$C$451,$C432,'TL15'!$J$238:$J$451),0),
IF('TL16'!$B$3=O$3,SUMIF('TL16'!$C$10:$C$224,$C432,'TL16'!$J$10:$J$224),0),
IF('TL16'!$B$229=O$3,SUMIF('TL16'!$C$238:$C$451,$C432,'TL16'!$J$238:$J$451),0),
IF('TL17'!$B$3=O$3,SUMIF('TL17'!$C$10:$C$224,$C432,'TL17'!$J$10:$J$224),0),
IF('TL17'!$B$229=O$3,SUMIF('TL17'!$C$238:$C$451,$C432,'TL17'!$J$238:$J$451),0),
IF('TL18'!$B$3=O$3,SUMIF('TL18'!$C$10:$C$224,$C432,'TL18'!$J$10:$J$224),0),
IF('TL18'!$B$229=O$3,SUMIF('TL18'!$C$238:$C$451,$C432,'TL18'!$J$238:$J$451),0),
IF('TL19'!$B$3=O$3,SUMIF('TL19'!$C$10:$C$224,$C432,'TL19'!$J$10:$J$224),0),
IF('TL19'!$B$229=O$3,SUMIF('TL19'!$C$238:$C$451,$C432,'TL19'!$J$238:$J$451),0)
),0)</f>
        <v/>
      </c>
      <c r="P432" s="138">
        <f>IFERROR(SUM(
IF('TL01'!$B$3=P$3,SUMIF('TL01'!$C$10:$C$224,$C432,'TL01'!$J$10:$J$224),0),
IF('TL01'!$B$229=P$3,SUMIF('TL01'!$C$238:$C$451,$C432,'TL01'!$J$238:$J$451),0),
IF('TL02'!$B$3=P$3,SUMIF('TL02'!$C$10:$C$224,$C432,'TL02'!$J$10:$J$224),0),
IF('TL02'!$B$229=P$3,SUMIF('TL02'!$C$238:$C$451,$C432,'TL02'!$J$238:$J$451),0),
IF('TL03'!$B$3=P$3,SUMIF('TL03'!$C$10:$C$224,$C432,'TL03'!$J$10:$J$224),0),
IF('TL03'!$B$229=P$3,SUMIF('TL03'!$C$238:$C$451,$C432,'TL03'!$J$238:$J$451),0),
IF('TL04'!$B$3=P$3,SUMIF('TL04'!$C$10:$C$224,$C432,'TL04'!$J$10:$J$224),0),
IF('TL04'!$B$229=P$3,SUMIF('TL04'!$C$238:$C$451,$C432,'TL04'!$J$238:$J$451),0),
IF('TL05'!$B$3=P$3,SUMIF('TL05'!$C$10:$C$224,$C432,'TL05'!$J$10:$J$224),0),
IF('TL05'!$B$229=P$3,SUMIF('TL05'!$C$238:$C$451,$C432,'TL05'!$J$238:$J$451),0),
IF('TL06'!$B$3=P$3,SUMIF('TL06'!$C$10:$C$224,$C432,'TL06'!$J$10:$J$224),0),
IF('TL06'!$B$229=P$3,SUMIF('TL06'!$C$238:$C$451,$C432,'TL06'!$J$238:$J$451),0),
IF('TL07'!$B$3=P$3,SUMIF('TL07'!$C$10:$C$224,$C432,'TL07'!$J$10:$J$224),0),
IF('TL07'!$B$229=P$3,SUMIF('TL07'!$C$238:$C$451,$C432,'TL07'!$J$238:$J$451),0),
IF('TL08'!$B$3=P$3,SUMIF('TL08'!$C$10:$C$224,$C432,'TL08'!$J$10:$J$224),0),
IF('TL08'!$B$229=P$3,SUMIF('TL08'!$C$238:$C$451,$C432,'TL08'!$J$238:$J$451),0),
IF('TL09'!$B$3=P$3,SUMIF('TL09'!$C$10:$C$224,$C432,'TL09'!$J$10:$J$224),0),
IF('TL09'!$B$229=P$3,SUMIF('TL09'!$C$238:$C$451,$C432,'TL09'!$J$238:$J$451),0),
IF('TL10'!$B$3=P$3,SUMIF('TL10'!$C$10:$C$224,$C432,'TL10'!$J$10:$J$224),0),
IF('TL10'!$B$229=P$3,SUMIF('TL10'!$C$238:$C$451,$C432,'TL10'!$J$238:$J$451),0),
IF('TL11'!$B$3=P$3,SUMIF('TL11'!$C$10:$C$224,$C432,'TL11'!$J$10:$J$224),0),
IF('TL11'!$B$229=P$3,SUMIF('TL11'!$C$238:$C$451,$C432,'TL11'!$J$238:$J$451),0),
IF('TL12'!$B$3=P$3,SUMIF('TL12'!$C$10:$C$224,$C432,'TL12'!$J$10:$J$224),0),
IF('TL12'!$B$229=P$3,SUMIF('TL12'!$C$238:$C$451,$C432,'TL12'!$J$238:$J$451),0),
IF('TL13'!$B$3=P$3,SUMIF('TL13'!$C$10:$C$224,$C432,'TL13'!$J$10:$J$224),0),
IF('TL13'!$B$229=P$3,SUMIF('TL13'!$C$238:$C$451,$C432,'TL13'!$J$238:$J$451),0),
IF('TL14'!$B$3=P$3,SUMIF('TL14'!$C$10:$C$224,$C432,'TL14'!$J$10:$J$224),0),
IF('TL14'!$B$229=P$3,SUMIF('TL14'!$C$238:$C$451,$C432,'TL14'!$J$238:$J$451),0),
IF('TL15'!$B$3=P$3,SUMIF('TL15'!$C$10:$C$224,$C432,'TL15'!$J$10:$J$224),0),
IF('TL15'!$B$229=P$3,SUMIF('TL15'!$C$238:$C$451,$C432,'TL15'!$J$238:$J$451),0),
IF('TL16'!$B$3=P$3,SUMIF('TL16'!$C$10:$C$224,$C432,'TL16'!$J$10:$J$224),0),
IF('TL16'!$B$229=P$3,SUMIF('TL16'!$C$238:$C$451,$C432,'TL16'!$J$238:$J$451),0),
IF('TL17'!$B$3=P$3,SUMIF('TL17'!$C$10:$C$224,$C432,'TL17'!$J$10:$J$224),0),
IF('TL17'!$B$229=P$3,SUMIF('TL17'!$C$238:$C$451,$C432,'TL17'!$J$238:$J$451),0),
IF('TL18'!$B$3=P$3,SUMIF('TL18'!$C$10:$C$224,$C432,'TL18'!$J$10:$J$224),0),
IF('TL18'!$B$229=P$3,SUMIF('TL18'!$C$238:$C$451,$C432,'TL18'!$J$238:$J$451),0),
IF('TL19'!$B$3=P$3,SUMIF('TL19'!$C$10:$C$224,$C432,'TL19'!$J$10:$J$224),0),
IF('TL19'!$B$229=P$3,SUMIF('TL19'!$C$238:$C$451,$C432,'TL19'!$J$238:$J$451),0)
),0)</f>
        <v/>
      </c>
      <c r="Q432" s="138">
        <f>IFERROR(SUM(
IF('TL01'!$B$3=Q$3,SUMIF('TL01'!$C$10:$C$224,$C432,'TL01'!$J$10:$J$224),0),
IF('TL01'!$B$229=Q$3,SUMIF('TL01'!$C$238:$C$451,$C432,'TL01'!$J$238:$J$451),0),
IF('TL02'!$B$3=Q$3,SUMIF('TL02'!$C$10:$C$224,$C432,'TL02'!$J$10:$J$224),0),
IF('TL02'!$B$229=Q$3,SUMIF('TL02'!$C$238:$C$451,$C432,'TL02'!$J$238:$J$451),0),
IF('TL03'!$B$3=Q$3,SUMIF('TL03'!$C$10:$C$224,$C432,'TL03'!$J$10:$J$224),0),
IF('TL03'!$B$229=Q$3,SUMIF('TL03'!$C$238:$C$451,$C432,'TL03'!$J$238:$J$451),0),
IF('TL04'!$B$3=Q$3,SUMIF('TL04'!$C$10:$C$224,$C432,'TL04'!$J$10:$J$224),0),
IF('TL04'!$B$229=Q$3,SUMIF('TL04'!$C$238:$C$451,$C432,'TL04'!$J$238:$J$451),0),
IF('TL05'!$B$3=Q$3,SUMIF('TL05'!$C$10:$C$224,$C432,'TL05'!$J$10:$J$224),0),
IF('TL05'!$B$229=Q$3,SUMIF('TL05'!$C$238:$C$451,$C432,'TL05'!$J$238:$J$451),0),
IF('TL06'!$B$3=Q$3,SUMIF('TL06'!$C$10:$C$224,$C432,'TL06'!$J$10:$J$224),0),
IF('TL06'!$B$229=Q$3,SUMIF('TL06'!$C$238:$C$451,$C432,'TL06'!$J$238:$J$451),0),
IF('TL07'!$B$3=Q$3,SUMIF('TL07'!$C$10:$C$224,$C432,'TL07'!$J$10:$J$224),0),
IF('TL07'!$B$229=Q$3,SUMIF('TL07'!$C$238:$C$451,$C432,'TL07'!$J$238:$J$451),0),
IF('TL08'!$B$3=Q$3,SUMIF('TL08'!$C$10:$C$224,$C432,'TL08'!$J$10:$J$224),0),
IF('TL08'!$B$229=Q$3,SUMIF('TL08'!$C$238:$C$451,$C432,'TL08'!$J$238:$J$451),0),
IF('TL09'!$B$3=Q$3,SUMIF('TL09'!$C$10:$C$224,$C432,'TL09'!$J$10:$J$224),0),
IF('TL09'!$B$229=Q$3,SUMIF('TL09'!$C$238:$C$451,$C432,'TL09'!$J$238:$J$451),0),
IF('TL10'!$B$3=Q$3,SUMIF('TL10'!$C$10:$C$224,$C432,'TL10'!$J$10:$J$224),0),
IF('TL10'!$B$229=Q$3,SUMIF('TL10'!$C$238:$C$451,$C432,'TL10'!$J$238:$J$451),0),
IF('TL11'!$B$3=Q$3,SUMIF('TL11'!$C$10:$C$224,$C432,'TL11'!$J$10:$J$224),0),
IF('TL11'!$B$229=Q$3,SUMIF('TL11'!$C$238:$C$451,$C432,'TL11'!$J$238:$J$451),0),
IF('TL12'!$B$3=Q$3,SUMIF('TL12'!$C$10:$C$224,$C432,'TL12'!$J$10:$J$224),0),
IF('TL12'!$B$229=Q$3,SUMIF('TL12'!$C$238:$C$451,$C432,'TL12'!$J$238:$J$451),0),
IF('TL13'!$B$3=Q$3,SUMIF('TL13'!$C$10:$C$224,$C432,'TL13'!$J$10:$J$224),0),
IF('TL13'!$B$229=Q$3,SUMIF('TL13'!$C$238:$C$451,$C432,'TL13'!$J$238:$J$451),0),
IF('TL14'!$B$3=Q$3,SUMIF('TL14'!$C$10:$C$224,$C432,'TL14'!$J$10:$J$224),0),
IF('TL14'!$B$229=Q$3,SUMIF('TL14'!$C$238:$C$451,$C432,'TL14'!$J$238:$J$451),0),
IF('TL15'!$B$3=Q$3,SUMIF('TL15'!$C$10:$C$224,$C432,'TL15'!$J$10:$J$224),0),
IF('TL15'!$B$229=Q$3,SUMIF('TL15'!$C$238:$C$451,$C432,'TL15'!$J$238:$J$451),0),
IF('TL16'!$B$3=Q$3,SUMIF('TL16'!$C$10:$C$224,$C432,'TL16'!$J$10:$J$224),0),
IF('TL16'!$B$229=Q$3,SUMIF('TL16'!$C$238:$C$451,$C432,'TL16'!$J$238:$J$451),0),
IF('TL17'!$B$3=Q$3,SUMIF('TL17'!$C$10:$C$224,$C432,'TL17'!$J$10:$J$224),0),
IF('TL17'!$B$229=Q$3,SUMIF('TL17'!$C$238:$C$451,$C432,'TL17'!$J$238:$J$451),0),
IF('TL18'!$B$3=Q$3,SUMIF('TL18'!$C$10:$C$224,$C432,'TL18'!$J$10:$J$224),0),
IF('TL18'!$B$229=Q$3,SUMIF('TL18'!$C$238:$C$451,$C432,'TL18'!$J$238:$J$451),0),
IF('TL19'!$B$3=Q$3,SUMIF('TL19'!$C$10:$C$224,$C432,'TL19'!$J$10:$J$224),0),
IF('TL19'!$B$229=Q$3,SUMIF('TL19'!$C$238:$C$451,$C432,'TL19'!$J$238:$J$451),0)
),0)</f>
        <v/>
      </c>
      <c r="R432" s="139">
        <f>IFERROR(
SUM(
SUMIF('TL01'!C:C,C432,'TL01'!J:J),
SUMIF('TL02'!C:C,C432,'TL02'!I:I),
SUMIF('TL03'!C:C,C432,'TL03'!I:I),
SUMIF('TL04'!C:C,C432,'TL04'!I:I),
SUMIF('TL05'!C:C,C432,'TL05'!I:I),
SUMIF('TL06'!C:C,C432,'TL06'!I:I),
SUMIF('TL07'!C:C,C432,'TL07'!I:I),
SUMIF('TL08'!C:C,C432,'TL08'!I:I),
SUMIF('TL09'!C:C,C432,'TL09'!I:I),
SUMIF('TL10'!C:C,C432,'TL10'!I:I),
SUMIF('TL11'!C:C,C432,'TL11'!I:I),
SUMIF('TL12'!C:C,C432,'TL12'!I:I),
SUMIF('TL13'!C:C,C432,'TL13'!I:I),
SUMIF('TL14'!C:C,C432,'TL14'!I:I),
SUMIF('TL15'!C:C,C432,'TL15'!I:I),
SUMIF('TL16'!C:C,C432,'TL16'!I:I),
SUMIF('TL17'!C:C,C432,'TL17'!I:I),
SUMIF('TL18'!C:C,C432,'TL18'!I:I))
,0)</f>
        <v/>
      </c>
      <c r="S432" s="142">
        <f>'CUSTO OPERAÇÃO'!M36</f>
        <v/>
      </c>
      <c r="T432" s="139" t="n"/>
      <c r="U432" s="143">
        <f>MAX(0,R432-T432)</f>
        <v/>
      </c>
      <c r="V432" s="144">
        <f>U432*S432</f>
        <v/>
      </c>
    </row>
    <row r="433" hidden="1" ht="15.75" customHeight="1" s="297">
      <c r="A433" s="4" t="inlineStr">
        <is>
          <t>Total</t>
        </is>
      </c>
      <c r="B433" s="125" t="n"/>
      <c r="C433" s="20" t="n"/>
      <c r="D433" s="20" t="n"/>
      <c r="E433" s="9" t="n"/>
      <c r="F433" s="4" t="n"/>
      <c r="G433" s="9" t="n"/>
      <c r="H433" s="9" t="n"/>
      <c r="I433" s="1" t="n"/>
      <c r="J433" s="9">
        <f>IFERROR(SUM(
IF('TL01'!$B$3=J$3,SUMIF('TL01'!$C$10:$C$224,$C433,'TL01'!$J$10:$J$224),0),
IF('TL01'!$B$229=J$3,SUMIF('TL01'!$C$238:$C$451,$C433,'TL01'!$J$238:$J$451),0),
IF('TL02'!$B$3=J$3,SUMIF('TL02'!$C$10:$C$224,$C433,'TL02'!$J$10:$J$224),0),
IF('TL02'!$B$229=J$3,SUMIF('TL02'!$C$238:$C$451,$C433,'TL02'!$J$238:$J$451),0),
IF('TL03'!$B$3=J$3,SUMIF('TL03'!$C$10:$C$224,$C433,'TL03'!$J$10:$J$224),0),
IF('TL03'!$B$229=J$3,SUMIF('TL03'!$C$238:$C$451,$C433,'TL03'!$J$238:$J$451),0),
IF('TL04'!$B$3=J$3,SUMIF('TL04'!$C$10:$C$224,$C433,'TL04'!$J$10:$J$224),0),
IF('TL04'!$B$229=J$3,SUMIF('TL04'!$C$238:$C$451,$C433,'TL04'!$J$238:$J$451),0),
IF('TL05'!$B$3=J$3,SUMIF('TL05'!$C$10:$C$224,$C433,'TL05'!$J$10:$J$224),0),
IF('TL05'!$B$229=J$3,SUMIF('TL05'!$C$238:$C$451,$C433,'TL05'!$J$238:$J$451),0),
IF('TL06'!$B$3=J$3,SUMIF('TL06'!$C$10:$C$224,$C433,'TL06'!$J$10:$J$224),0),
IF('TL06'!$B$229=J$3,SUMIF('TL06'!$C$238:$C$451,$C433,'TL06'!$J$238:$J$451),0),
IF('TL07'!$B$3=J$3,SUMIF('TL07'!$C$10:$C$224,$C433,'TL07'!$J$10:$J$224),0),
IF('TL07'!$B$229=J$3,SUMIF('TL07'!$C$238:$C$451,$C433,'TL07'!$J$238:$J$451),0),
IF('TL08'!$B$3=J$3,SUMIF('TL08'!$C$10:$C$224,$C433,'TL08'!$J$10:$J$224),0),
IF('TL08'!$B$229=J$3,SUMIF('TL08'!$C$238:$C$451,$C433,'TL08'!$J$238:$J$451),0),
IF('TL09'!$B$3=J$3,SUMIF('TL09'!$C$10:$C$224,$C433,'TL09'!$J$10:$J$224),0),
IF('TL09'!$B$229=J$3,SUMIF('TL09'!$C$238:$C$451,$C433,'TL09'!$J$238:$J$451),0),
IF('TL10'!$B$3=J$3,SUMIF('TL10'!$C$10:$C$224,$C433,'TL10'!$J$10:$J$224),0),
IF('TL10'!$B$229=J$3,SUMIF('TL10'!$C$238:$C$451,$C433,'TL10'!$J$238:$J$451),0),
IF('TL11'!$B$3=J$3,SUMIF('TL11'!$C$10:$C$224,$C433,'TL11'!$J$10:$J$224),0),
IF('TL11'!$B$229=J$3,SUMIF('TL11'!$C$238:$C$451,$C433,'TL11'!$J$238:$J$451),0),
IF('TL12'!$B$3=J$3,SUMIF('TL12'!$C$10:$C$224,$C433,'TL12'!$J$10:$J$224),0),
IF('TL12'!$B$229=J$3,SUMIF('TL12'!$C$238:$C$451,$C433,'TL12'!$J$238:$J$451),0),
IF('TL13'!$B$3=J$3,SUMIF('TL13'!$C$10:$C$224,$C433,'TL13'!$J$10:$J$224),0),
IF('TL13'!$B$229=J$3,SUMIF('TL13'!$C$238:$C$451,$C433,'TL13'!$J$238:$J$451),0),
IF('TL14'!$B$3=J$3,SUMIF('TL14'!$C$10:$C$224,$C433,'TL14'!$J$10:$J$224),0),
IF('TL14'!$B$229=J$3,SUMIF('TL14'!$C$238:$C$451,$C433,'TL14'!$J$238:$J$451),0),
IF('TL15'!$B$3=J$3,SUMIF('TL15'!$C$10:$C$224,$C433,'TL15'!$J$10:$J$224),0),
IF('TL15'!$B$229=J$3,SUMIF('TL15'!$C$238:$C$451,$C433,'TL15'!$J$238:$J$451),0),
IF('TL16'!$B$3=J$3,SUMIF('TL16'!$C$10:$C$224,$C433,'TL16'!$J$10:$J$224),0),
IF('TL16'!$B$229=J$3,SUMIF('TL16'!$C$238:$C$451,$C433,'TL16'!$J$238:$J$451),0),
IF('TL17'!$B$3=J$3,SUMIF('TL17'!$C$10:$C$224,$C433,'TL17'!$J$10:$J$224),0),
IF('TL17'!$B$229=J$3,SUMIF('TL17'!$C$238:$C$451,$C433,'TL17'!$J$238:$J$451),0),
IF('TL18'!$B$3=J$3,SUMIF('TL18'!$C$10:$C$224,$C433,'TL18'!$J$10:$J$224),0),
IF('TL18'!$B$229=J$3,SUMIF('TL18'!$C$238:$C$451,$C433,'TL18'!$J$238:$J$451),0),
IF('TL19'!$B$3=J$3,SUMIF('TL19'!$C$10:$C$224,$C433,'TL19'!$J$10:$J$224),0),
IF('TL19'!$B$229=J$3,SUMIF('TL19'!$C$238:$C$451,$C433,'TL19'!$J$238:$J$451),0)
),0)</f>
        <v/>
      </c>
      <c r="K433" s="9">
        <f>IFERROR(SUM(
IF('TL01'!$B$3=K$3,SUMIF('TL01'!$C$10:$C$224,$C433,'TL01'!$J$10:$J$224),0),
IF('TL01'!$B$229=K$3,SUMIF('TL01'!$C$238:$C$451,$C433,'TL01'!$J$238:$J$451),0),
IF('TL02'!$B$3=K$3,SUMIF('TL02'!$C$10:$C$224,$C433,'TL02'!$J$10:$J$224),0),
IF('TL02'!$B$229=K$3,SUMIF('TL02'!$C$238:$C$451,$C433,'TL02'!$J$238:$J$451),0),
IF('TL03'!$B$3=K$3,SUMIF('TL03'!$C$10:$C$224,$C433,'TL03'!$J$10:$J$224),0),
IF('TL03'!$B$229=K$3,SUMIF('TL03'!$C$238:$C$451,$C433,'TL03'!$J$238:$J$451),0),
IF('TL04'!$B$3=K$3,SUMIF('TL04'!$C$10:$C$224,$C433,'TL04'!$J$10:$J$224),0),
IF('TL04'!$B$229=K$3,SUMIF('TL04'!$C$238:$C$451,$C433,'TL04'!$J$238:$J$451),0),
IF('TL05'!$B$3=K$3,SUMIF('TL05'!$C$10:$C$224,$C433,'TL05'!$J$10:$J$224),0),
IF('TL05'!$B$229=K$3,SUMIF('TL05'!$C$238:$C$451,$C433,'TL05'!$J$238:$J$451),0),
IF('TL06'!$B$3=K$3,SUMIF('TL06'!$C$10:$C$224,$C433,'TL06'!$J$10:$J$224),0),
IF('TL06'!$B$229=K$3,SUMIF('TL06'!$C$238:$C$451,$C433,'TL06'!$J$238:$J$451),0),
IF('TL07'!$B$3=K$3,SUMIF('TL07'!$C$10:$C$224,$C433,'TL07'!$J$10:$J$224),0),
IF('TL07'!$B$229=K$3,SUMIF('TL07'!$C$238:$C$451,$C433,'TL07'!$J$238:$J$451),0),
IF('TL08'!$B$3=K$3,SUMIF('TL08'!$C$10:$C$224,$C433,'TL08'!$J$10:$J$224),0),
IF('TL08'!$B$229=K$3,SUMIF('TL08'!$C$238:$C$451,$C433,'TL08'!$J$238:$J$451),0),
IF('TL09'!$B$3=K$3,SUMIF('TL09'!$C$10:$C$224,$C433,'TL09'!$J$10:$J$224),0),
IF('TL09'!$B$229=K$3,SUMIF('TL09'!$C$238:$C$451,$C433,'TL09'!$J$238:$J$451),0),
IF('TL10'!$B$3=K$3,SUMIF('TL10'!$C$10:$C$224,$C433,'TL10'!$J$10:$J$224),0),
IF('TL10'!$B$229=K$3,SUMIF('TL10'!$C$238:$C$451,$C433,'TL10'!$J$238:$J$451),0),
IF('TL11'!$B$3=K$3,SUMIF('TL11'!$C$10:$C$224,$C433,'TL11'!$J$10:$J$224),0),
IF('TL11'!$B$229=K$3,SUMIF('TL11'!$C$238:$C$451,$C433,'TL11'!$J$238:$J$451),0),
IF('TL12'!$B$3=K$3,SUMIF('TL12'!$C$10:$C$224,$C433,'TL12'!$J$10:$J$224),0),
IF('TL12'!$B$229=K$3,SUMIF('TL12'!$C$238:$C$451,$C433,'TL12'!$J$238:$J$451),0),
IF('TL13'!$B$3=K$3,SUMIF('TL13'!$C$10:$C$224,$C433,'TL13'!$J$10:$J$224),0),
IF('TL13'!$B$229=K$3,SUMIF('TL13'!$C$238:$C$451,$C433,'TL13'!$J$238:$J$451),0),
IF('TL14'!$B$3=K$3,SUMIF('TL14'!$C$10:$C$224,$C433,'TL14'!$J$10:$J$224),0),
IF('TL14'!$B$229=K$3,SUMIF('TL14'!$C$238:$C$451,$C433,'TL14'!$J$238:$J$451),0),
IF('TL15'!$B$3=K$3,SUMIF('TL15'!$C$10:$C$224,$C433,'TL15'!$J$10:$J$224),0),
IF('TL15'!$B$229=K$3,SUMIF('TL15'!$C$238:$C$451,$C433,'TL15'!$J$238:$J$451),0),
IF('TL16'!$B$3=K$3,SUMIF('TL16'!$C$10:$C$224,$C433,'TL16'!$J$10:$J$224),0),
IF('TL16'!$B$229=K$3,SUMIF('TL16'!$C$238:$C$451,$C433,'TL16'!$J$238:$J$451),0),
IF('TL17'!$B$3=K$3,SUMIF('TL17'!$C$10:$C$224,$C433,'TL17'!$J$10:$J$224),0),
IF('TL17'!$B$229=K$3,SUMIF('TL17'!$C$238:$C$451,$C433,'TL17'!$J$238:$J$451),0),
IF('TL18'!$B$3=K$3,SUMIF('TL18'!$C$10:$C$224,$C433,'TL18'!$J$10:$J$224),0),
IF('TL18'!$B$229=K$3,SUMIF('TL18'!$C$238:$C$451,$C433,'TL18'!$J$238:$J$451),0),
IF('TL19'!$B$3=K$3,SUMIF('TL19'!$C$10:$C$224,$C433,'TL19'!$J$10:$J$224),0),
IF('TL19'!$B$229=K$3,SUMIF('TL19'!$C$238:$C$451,$C433,'TL19'!$J$238:$J$451),0)
),0)</f>
        <v/>
      </c>
      <c r="L433" s="9">
        <f>IFERROR(SUM(
IF('TL01'!$B$3=L$3,SUMIF('TL01'!$C$10:$C$224,$C433,'TL01'!$J$10:$J$224),0),
IF('TL01'!$B$229=L$3,SUMIF('TL01'!$C$238:$C$451,$C433,'TL01'!$J$238:$J$451),0),
IF('TL02'!$B$3=L$3,SUMIF('TL02'!$C$10:$C$224,$C433,'TL02'!$J$10:$J$224),0),
IF('TL02'!$B$229=L$3,SUMIF('TL02'!$C$238:$C$451,$C433,'TL02'!$J$238:$J$451),0),
IF('TL03'!$B$3=L$3,SUMIF('TL03'!$C$10:$C$224,$C433,'TL03'!$J$10:$J$224),0),
IF('TL03'!$B$229=L$3,SUMIF('TL03'!$C$238:$C$451,$C433,'TL03'!$J$238:$J$451),0),
IF('TL04'!$B$3=L$3,SUMIF('TL04'!$C$10:$C$224,$C433,'TL04'!$J$10:$J$224),0),
IF('TL04'!$B$229=L$3,SUMIF('TL04'!$C$238:$C$451,$C433,'TL04'!$J$238:$J$451),0),
IF('TL05'!$B$3=L$3,SUMIF('TL05'!$C$10:$C$224,$C433,'TL05'!$J$10:$J$224),0),
IF('TL05'!$B$229=L$3,SUMIF('TL05'!$C$238:$C$451,$C433,'TL05'!$J$238:$J$451),0),
IF('TL06'!$B$3=L$3,SUMIF('TL06'!$C$10:$C$224,$C433,'TL06'!$J$10:$J$224),0),
IF('TL06'!$B$229=L$3,SUMIF('TL06'!$C$238:$C$451,$C433,'TL06'!$J$238:$J$451),0),
IF('TL07'!$B$3=L$3,SUMIF('TL07'!$C$10:$C$224,$C433,'TL07'!$J$10:$J$224),0),
IF('TL07'!$B$229=L$3,SUMIF('TL07'!$C$238:$C$451,$C433,'TL07'!$J$238:$J$451),0),
IF('TL08'!$B$3=L$3,SUMIF('TL08'!$C$10:$C$224,$C433,'TL08'!$J$10:$J$224),0),
IF('TL08'!$B$229=L$3,SUMIF('TL08'!$C$238:$C$451,$C433,'TL08'!$J$238:$J$451),0),
IF('TL09'!$B$3=L$3,SUMIF('TL09'!$C$10:$C$224,$C433,'TL09'!$J$10:$J$224),0),
IF('TL09'!$B$229=L$3,SUMIF('TL09'!$C$238:$C$451,$C433,'TL09'!$J$238:$J$451),0),
IF('TL10'!$B$3=L$3,SUMIF('TL10'!$C$10:$C$224,$C433,'TL10'!$J$10:$J$224),0),
IF('TL10'!$B$229=L$3,SUMIF('TL10'!$C$238:$C$451,$C433,'TL10'!$J$238:$J$451),0),
IF('TL11'!$B$3=L$3,SUMIF('TL11'!$C$10:$C$224,$C433,'TL11'!$J$10:$J$224),0),
IF('TL11'!$B$229=L$3,SUMIF('TL11'!$C$238:$C$451,$C433,'TL11'!$J$238:$J$451),0),
IF('TL12'!$B$3=L$3,SUMIF('TL12'!$C$10:$C$224,$C433,'TL12'!$J$10:$J$224),0),
IF('TL12'!$B$229=L$3,SUMIF('TL12'!$C$238:$C$451,$C433,'TL12'!$J$238:$J$451),0),
IF('TL13'!$B$3=L$3,SUMIF('TL13'!$C$10:$C$224,$C433,'TL13'!$J$10:$J$224),0),
IF('TL13'!$B$229=L$3,SUMIF('TL13'!$C$238:$C$451,$C433,'TL13'!$J$238:$J$451),0),
IF('TL14'!$B$3=L$3,SUMIF('TL14'!$C$10:$C$224,$C433,'TL14'!$J$10:$J$224),0),
IF('TL14'!$B$229=L$3,SUMIF('TL14'!$C$238:$C$451,$C433,'TL14'!$J$238:$J$451),0),
IF('TL15'!$B$3=L$3,SUMIF('TL15'!$C$10:$C$224,$C433,'TL15'!$J$10:$J$224),0),
IF('TL15'!$B$229=L$3,SUMIF('TL15'!$C$238:$C$451,$C433,'TL15'!$J$238:$J$451),0),
IF('TL16'!$B$3=L$3,SUMIF('TL16'!$C$10:$C$224,$C433,'TL16'!$J$10:$J$224),0),
IF('TL16'!$B$229=L$3,SUMIF('TL16'!$C$238:$C$451,$C433,'TL16'!$J$238:$J$451),0),
IF('TL17'!$B$3=L$3,SUMIF('TL17'!$C$10:$C$224,$C433,'TL17'!$J$10:$J$224),0),
IF('TL17'!$B$229=L$3,SUMIF('TL17'!$C$238:$C$451,$C433,'TL17'!$J$238:$J$451),0),
IF('TL18'!$B$3=L$3,SUMIF('TL18'!$C$10:$C$224,$C433,'TL18'!$J$10:$J$224),0),
IF('TL18'!$B$229=L$3,SUMIF('TL18'!$C$238:$C$451,$C433,'TL18'!$J$238:$J$451),0),
IF('TL19'!$B$3=L$3,SUMIF('TL19'!$C$10:$C$224,$C433,'TL19'!$J$10:$J$224),0),
IF('TL19'!$B$229=L$3,SUMIF('TL19'!$C$238:$C$451,$C433,'TL19'!$J$238:$J$451),0)
),0)</f>
        <v/>
      </c>
      <c r="M433" s="9">
        <f>IFERROR(SUM(
IF('TL01'!$B$3=M$3,SUMIF('TL01'!$C$10:$C$224,$C433,'TL01'!$J$10:$J$224),0),
IF('TL01'!$B$229=M$3,SUMIF('TL01'!$C$238:$C$451,$C433,'TL01'!$J$238:$J$451),0),
IF('TL02'!$B$3=M$3,SUMIF('TL02'!$C$10:$C$224,$C433,'TL02'!$J$10:$J$224),0),
IF('TL02'!$B$229=M$3,SUMIF('TL02'!$C$238:$C$451,$C433,'TL02'!$J$238:$J$451),0),
IF('TL03'!$B$3=M$3,SUMIF('TL03'!$C$10:$C$224,$C433,'TL03'!$J$10:$J$224),0),
IF('TL03'!$B$229=M$3,SUMIF('TL03'!$C$238:$C$451,$C433,'TL03'!$J$238:$J$451),0),
IF('TL04'!$B$3=M$3,SUMIF('TL04'!$C$10:$C$224,$C433,'TL04'!$J$10:$J$224),0),
IF('TL04'!$B$229=M$3,SUMIF('TL04'!$C$238:$C$451,$C433,'TL04'!$J$238:$J$451),0),
IF('TL05'!$B$3=M$3,SUMIF('TL05'!$C$10:$C$224,$C433,'TL05'!$J$10:$J$224),0),
IF('TL05'!$B$229=M$3,SUMIF('TL05'!$C$238:$C$451,$C433,'TL05'!$J$238:$J$451),0),
IF('TL06'!$B$3=M$3,SUMIF('TL06'!$C$10:$C$224,$C433,'TL06'!$J$10:$J$224),0),
IF('TL06'!$B$229=M$3,SUMIF('TL06'!$C$238:$C$451,$C433,'TL06'!$J$238:$J$451),0),
IF('TL07'!$B$3=M$3,SUMIF('TL07'!$C$10:$C$224,$C433,'TL07'!$J$10:$J$224),0),
IF('TL07'!$B$229=M$3,SUMIF('TL07'!$C$238:$C$451,$C433,'TL07'!$J$238:$J$451),0),
IF('TL08'!$B$3=M$3,SUMIF('TL08'!$C$10:$C$224,$C433,'TL08'!$J$10:$J$224),0),
IF('TL08'!$B$229=M$3,SUMIF('TL08'!$C$238:$C$451,$C433,'TL08'!$J$238:$J$451),0),
IF('TL09'!$B$3=M$3,SUMIF('TL09'!$C$10:$C$224,$C433,'TL09'!$J$10:$J$224),0),
IF('TL09'!$B$229=M$3,SUMIF('TL09'!$C$238:$C$451,$C433,'TL09'!$J$238:$J$451),0),
IF('TL10'!$B$3=M$3,SUMIF('TL10'!$C$10:$C$224,$C433,'TL10'!$J$10:$J$224),0),
IF('TL10'!$B$229=M$3,SUMIF('TL10'!$C$238:$C$451,$C433,'TL10'!$J$238:$J$451),0),
IF('TL11'!$B$3=M$3,SUMIF('TL11'!$C$10:$C$224,$C433,'TL11'!$J$10:$J$224),0),
IF('TL11'!$B$229=M$3,SUMIF('TL11'!$C$238:$C$451,$C433,'TL11'!$J$238:$J$451),0),
IF('TL12'!$B$3=M$3,SUMIF('TL12'!$C$10:$C$224,$C433,'TL12'!$J$10:$J$224),0),
IF('TL12'!$B$229=M$3,SUMIF('TL12'!$C$238:$C$451,$C433,'TL12'!$J$238:$J$451),0),
IF('TL13'!$B$3=M$3,SUMIF('TL13'!$C$10:$C$224,$C433,'TL13'!$J$10:$J$224),0),
IF('TL13'!$B$229=M$3,SUMIF('TL13'!$C$238:$C$451,$C433,'TL13'!$J$238:$J$451),0),
IF('TL14'!$B$3=M$3,SUMIF('TL14'!$C$10:$C$224,$C433,'TL14'!$J$10:$J$224),0),
IF('TL14'!$B$229=M$3,SUMIF('TL14'!$C$238:$C$451,$C433,'TL14'!$J$238:$J$451),0),
IF('TL15'!$B$3=M$3,SUMIF('TL15'!$C$10:$C$224,$C433,'TL15'!$J$10:$J$224),0),
IF('TL15'!$B$229=M$3,SUMIF('TL15'!$C$238:$C$451,$C433,'TL15'!$J$238:$J$451),0),
IF('TL16'!$B$3=M$3,SUMIF('TL16'!$C$10:$C$224,$C433,'TL16'!$J$10:$J$224),0),
IF('TL16'!$B$229=M$3,SUMIF('TL16'!$C$238:$C$451,$C433,'TL16'!$J$238:$J$451),0),
IF('TL17'!$B$3=M$3,SUMIF('TL17'!$C$10:$C$224,$C433,'TL17'!$J$10:$J$224),0),
IF('TL17'!$B$229=M$3,SUMIF('TL17'!$C$238:$C$451,$C433,'TL17'!$J$238:$J$451),0),
IF('TL18'!$B$3=M$3,SUMIF('TL18'!$C$10:$C$224,$C433,'TL18'!$J$10:$J$224),0),
IF('TL18'!$B$229=M$3,SUMIF('TL18'!$C$238:$C$451,$C433,'TL18'!$J$238:$J$451),0),
IF('TL19'!$B$3=M$3,SUMIF('TL19'!$C$10:$C$224,$C433,'TL19'!$J$10:$J$224),0),
IF('TL19'!$B$229=M$3,SUMIF('TL19'!$C$238:$C$451,$C433,'TL19'!$J$238:$J$451),0)
),0)</f>
        <v/>
      </c>
      <c r="N433" s="9">
        <f>IFERROR(SUM(
IF('TL01'!$B$3=N$3,SUMIF('TL01'!$C$10:$C$224,$C433,'TL01'!$J$10:$J$224),0),
IF('TL01'!$B$229=N$3,SUMIF('TL01'!$C$238:$C$451,$C433,'TL01'!$J$238:$J$451),0),
IF('TL02'!$B$3=N$3,SUMIF('TL02'!$C$10:$C$224,$C433,'TL02'!$J$10:$J$224),0),
IF('TL02'!$B$229=N$3,SUMIF('TL02'!$C$238:$C$451,$C433,'TL02'!$J$238:$J$451),0),
IF('TL03'!$B$3=N$3,SUMIF('TL03'!$C$10:$C$224,$C433,'TL03'!$J$10:$J$224),0),
IF('TL03'!$B$229=N$3,SUMIF('TL03'!$C$238:$C$451,$C433,'TL03'!$J$238:$J$451),0),
IF('TL04'!$B$3=N$3,SUMIF('TL04'!$C$10:$C$224,$C433,'TL04'!$J$10:$J$224),0),
IF('TL04'!$B$229=N$3,SUMIF('TL04'!$C$238:$C$451,$C433,'TL04'!$J$238:$J$451),0),
IF('TL05'!$B$3=N$3,SUMIF('TL05'!$C$10:$C$224,$C433,'TL05'!$J$10:$J$224),0),
IF('TL05'!$B$229=N$3,SUMIF('TL05'!$C$238:$C$451,$C433,'TL05'!$J$238:$J$451),0),
IF('TL06'!$B$3=N$3,SUMIF('TL06'!$C$10:$C$224,$C433,'TL06'!$J$10:$J$224),0),
IF('TL06'!$B$229=N$3,SUMIF('TL06'!$C$238:$C$451,$C433,'TL06'!$J$238:$J$451),0),
IF('TL07'!$B$3=N$3,SUMIF('TL07'!$C$10:$C$224,$C433,'TL07'!$J$10:$J$224),0),
IF('TL07'!$B$229=N$3,SUMIF('TL07'!$C$238:$C$451,$C433,'TL07'!$J$238:$J$451),0),
IF('TL08'!$B$3=N$3,SUMIF('TL08'!$C$10:$C$224,$C433,'TL08'!$J$10:$J$224),0),
IF('TL08'!$B$229=N$3,SUMIF('TL08'!$C$238:$C$451,$C433,'TL08'!$J$238:$J$451),0),
IF('TL09'!$B$3=N$3,SUMIF('TL09'!$C$10:$C$224,$C433,'TL09'!$J$10:$J$224),0),
IF('TL09'!$B$229=N$3,SUMIF('TL09'!$C$238:$C$451,$C433,'TL09'!$J$238:$J$451),0),
IF('TL10'!$B$3=N$3,SUMIF('TL10'!$C$10:$C$224,$C433,'TL10'!$J$10:$J$224),0),
IF('TL10'!$B$229=N$3,SUMIF('TL10'!$C$238:$C$451,$C433,'TL10'!$J$238:$J$451),0),
IF('TL11'!$B$3=N$3,SUMIF('TL11'!$C$10:$C$224,$C433,'TL11'!$J$10:$J$224),0),
IF('TL11'!$B$229=N$3,SUMIF('TL11'!$C$238:$C$451,$C433,'TL11'!$J$238:$J$451),0),
IF('TL12'!$B$3=N$3,SUMIF('TL12'!$C$10:$C$224,$C433,'TL12'!$J$10:$J$224),0),
IF('TL12'!$B$229=N$3,SUMIF('TL12'!$C$238:$C$451,$C433,'TL12'!$J$238:$J$451),0),
IF('TL13'!$B$3=N$3,SUMIF('TL13'!$C$10:$C$224,$C433,'TL13'!$J$10:$J$224),0),
IF('TL13'!$B$229=N$3,SUMIF('TL13'!$C$238:$C$451,$C433,'TL13'!$J$238:$J$451),0),
IF('TL14'!$B$3=N$3,SUMIF('TL14'!$C$10:$C$224,$C433,'TL14'!$J$10:$J$224),0),
IF('TL14'!$B$229=N$3,SUMIF('TL14'!$C$238:$C$451,$C433,'TL14'!$J$238:$J$451),0),
IF('TL15'!$B$3=N$3,SUMIF('TL15'!$C$10:$C$224,$C433,'TL15'!$J$10:$J$224),0),
IF('TL15'!$B$229=N$3,SUMIF('TL15'!$C$238:$C$451,$C433,'TL15'!$J$238:$J$451),0),
IF('TL16'!$B$3=N$3,SUMIF('TL16'!$C$10:$C$224,$C433,'TL16'!$J$10:$J$224),0),
IF('TL16'!$B$229=N$3,SUMIF('TL16'!$C$238:$C$451,$C433,'TL16'!$J$238:$J$451),0),
IF('TL17'!$B$3=N$3,SUMIF('TL17'!$C$10:$C$224,$C433,'TL17'!$J$10:$J$224),0),
IF('TL17'!$B$229=N$3,SUMIF('TL17'!$C$238:$C$451,$C433,'TL17'!$J$238:$J$451),0),
IF('TL18'!$B$3=N$3,SUMIF('TL18'!$C$10:$C$224,$C433,'TL18'!$J$10:$J$224),0),
IF('TL18'!$B$229=N$3,SUMIF('TL18'!$C$238:$C$451,$C433,'TL18'!$J$238:$J$451),0),
IF('TL19'!$B$3=N$3,SUMIF('TL19'!$C$10:$C$224,$C433,'TL19'!$J$10:$J$224),0),
IF('TL19'!$B$229=N$3,SUMIF('TL19'!$C$238:$C$451,$C433,'TL19'!$J$238:$J$451),0)
),0)</f>
        <v/>
      </c>
      <c r="O433" s="9">
        <f>IFERROR(SUM(
IF('TL01'!$B$3=O$3,SUMIF('TL01'!$C$10:$C$224,$C433,'TL01'!$J$10:$J$224),0),
IF('TL01'!$B$229=O$3,SUMIF('TL01'!$C$238:$C$451,$C433,'TL01'!$J$238:$J$451),0),
IF('TL02'!$B$3=O$3,SUMIF('TL02'!$C$10:$C$224,$C433,'TL02'!$J$10:$J$224),0),
IF('TL02'!$B$229=O$3,SUMIF('TL02'!$C$238:$C$451,$C433,'TL02'!$J$238:$J$451),0),
IF('TL03'!$B$3=O$3,SUMIF('TL03'!$C$10:$C$224,$C433,'TL03'!$J$10:$J$224),0),
IF('TL03'!$B$229=O$3,SUMIF('TL03'!$C$238:$C$451,$C433,'TL03'!$J$238:$J$451),0),
IF('TL04'!$B$3=O$3,SUMIF('TL04'!$C$10:$C$224,$C433,'TL04'!$J$10:$J$224),0),
IF('TL04'!$B$229=O$3,SUMIF('TL04'!$C$238:$C$451,$C433,'TL04'!$J$238:$J$451),0),
IF('TL05'!$B$3=O$3,SUMIF('TL05'!$C$10:$C$224,$C433,'TL05'!$J$10:$J$224),0),
IF('TL05'!$B$229=O$3,SUMIF('TL05'!$C$238:$C$451,$C433,'TL05'!$J$238:$J$451),0),
IF('TL06'!$B$3=O$3,SUMIF('TL06'!$C$10:$C$224,$C433,'TL06'!$J$10:$J$224),0),
IF('TL06'!$B$229=O$3,SUMIF('TL06'!$C$238:$C$451,$C433,'TL06'!$J$238:$J$451),0),
IF('TL07'!$B$3=O$3,SUMIF('TL07'!$C$10:$C$224,$C433,'TL07'!$J$10:$J$224),0),
IF('TL07'!$B$229=O$3,SUMIF('TL07'!$C$238:$C$451,$C433,'TL07'!$J$238:$J$451),0),
IF('TL08'!$B$3=O$3,SUMIF('TL08'!$C$10:$C$224,$C433,'TL08'!$J$10:$J$224),0),
IF('TL08'!$B$229=O$3,SUMIF('TL08'!$C$238:$C$451,$C433,'TL08'!$J$238:$J$451),0),
IF('TL09'!$B$3=O$3,SUMIF('TL09'!$C$10:$C$224,$C433,'TL09'!$J$10:$J$224),0),
IF('TL09'!$B$229=O$3,SUMIF('TL09'!$C$238:$C$451,$C433,'TL09'!$J$238:$J$451),0),
IF('TL10'!$B$3=O$3,SUMIF('TL10'!$C$10:$C$224,$C433,'TL10'!$J$10:$J$224),0),
IF('TL10'!$B$229=O$3,SUMIF('TL10'!$C$238:$C$451,$C433,'TL10'!$J$238:$J$451),0),
IF('TL11'!$B$3=O$3,SUMIF('TL11'!$C$10:$C$224,$C433,'TL11'!$J$10:$J$224),0),
IF('TL11'!$B$229=O$3,SUMIF('TL11'!$C$238:$C$451,$C433,'TL11'!$J$238:$J$451),0),
IF('TL12'!$B$3=O$3,SUMIF('TL12'!$C$10:$C$224,$C433,'TL12'!$J$10:$J$224),0),
IF('TL12'!$B$229=O$3,SUMIF('TL12'!$C$238:$C$451,$C433,'TL12'!$J$238:$J$451),0),
IF('TL13'!$B$3=O$3,SUMIF('TL13'!$C$10:$C$224,$C433,'TL13'!$J$10:$J$224),0),
IF('TL13'!$B$229=O$3,SUMIF('TL13'!$C$238:$C$451,$C433,'TL13'!$J$238:$J$451),0),
IF('TL14'!$B$3=O$3,SUMIF('TL14'!$C$10:$C$224,$C433,'TL14'!$J$10:$J$224),0),
IF('TL14'!$B$229=O$3,SUMIF('TL14'!$C$238:$C$451,$C433,'TL14'!$J$238:$J$451),0),
IF('TL15'!$B$3=O$3,SUMIF('TL15'!$C$10:$C$224,$C433,'TL15'!$J$10:$J$224),0),
IF('TL15'!$B$229=O$3,SUMIF('TL15'!$C$238:$C$451,$C433,'TL15'!$J$238:$J$451),0),
IF('TL16'!$B$3=O$3,SUMIF('TL16'!$C$10:$C$224,$C433,'TL16'!$J$10:$J$224),0),
IF('TL16'!$B$229=O$3,SUMIF('TL16'!$C$238:$C$451,$C433,'TL16'!$J$238:$J$451),0),
IF('TL17'!$B$3=O$3,SUMIF('TL17'!$C$10:$C$224,$C433,'TL17'!$J$10:$J$224),0),
IF('TL17'!$B$229=O$3,SUMIF('TL17'!$C$238:$C$451,$C433,'TL17'!$J$238:$J$451),0),
IF('TL18'!$B$3=O$3,SUMIF('TL18'!$C$10:$C$224,$C433,'TL18'!$J$10:$J$224),0),
IF('TL18'!$B$229=O$3,SUMIF('TL18'!$C$238:$C$451,$C433,'TL18'!$J$238:$J$451),0),
IF('TL19'!$B$3=O$3,SUMIF('TL19'!$C$10:$C$224,$C433,'TL19'!$J$10:$J$224),0),
IF('TL19'!$B$229=O$3,SUMIF('TL19'!$C$238:$C$451,$C433,'TL19'!$J$238:$J$451),0)
),0)</f>
        <v/>
      </c>
      <c r="P433" s="9">
        <f>IFERROR(SUM(
IF('TL01'!$B$3=P$3,SUMIF('TL01'!$C$10:$C$224,$C433,'TL01'!$J$10:$J$224),0),
IF('TL01'!$B$229=P$3,SUMIF('TL01'!$C$238:$C$451,$C433,'TL01'!$J$238:$J$451),0),
IF('TL02'!$B$3=P$3,SUMIF('TL02'!$C$10:$C$224,$C433,'TL02'!$J$10:$J$224),0),
IF('TL02'!$B$229=P$3,SUMIF('TL02'!$C$238:$C$451,$C433,'TL02'!$J$238:$J$451),0),
IF('TL03'!$B$3=P$3,SUMIF('TL03'!$C$10:$C$224,$C433,'TL03'!$J$10:$J$224),0),
IF('TL03'!$B$229=P$3,SUMIF('TL03'!$C$238:$C$451,$C433,'TL03'!$J$238:$J$451),0),
IF('TL04'!$B$3=P$3,SUMIF('TL04'!$C$10:$C$224,$C433,'TL04'!$J$10:$J$224),0),
IF('TL04'!$B$229=P$3,SUMIF('TL04'!$C$238:$C$451,$C433,'TL04'!$J$238:$J$451),0),
IF('TL05'!$B$3=P$3,SUMIF('TL05'!$C$10:$C$224,$C433,'TL05'!$J$10:$J$224),0),
IF('TL05'!$B$229=P$3,SUMIF('TL05'!$C$238:$C$451,$C433,'TL05'!$J$238:$J$451),0),
IF('TL06'!$B$3=P$3,SUMIF('TL06'!$C$10:$C$224,$C433,'TL06'!$J$10:$J$224),0),
IF('TL06'!$B$229=P$3,SUMIF('TL06'!$C$238:$C$451,$C433,'TL06'!$J$238:$J$451),0),
IF('TL07'!$B$3=P$3,SUMIF('TL07'!$C$10:$C$224,$C433,'TL07'!$J$10:$J$224),0),
IF('TL07'!$B$229=P$3,SUMIF('TL07'!$C$238:$C$451,$C433,'TL07'!$J$238:$J$451),0),
IF('TL08'!$B$3=P$3,SUMIF('TL08'!$C$10:$C$224,$C433,'TL08'!$J$10:$J$224),0),
IF('TL08'!$B$229=P$3,SUMIF('TL08'!$C$238:$C$451,$C433,'TL08'!$J$238:$J$451),0),
IF('TL09'!$B$3=P$3,SUMIF('TL09'!$C$10:$C$224,$C433,'TL09'!$J$10:$J$224),0),
IF('TL09'!$B$229=P$3,SUMIF('TL09'!$C$238:$C$451,$C433,'TL09'!$J$238:$J$451),0),
IF('TL10'!$B$3=P$3,SUMIF('TL10'!$C$10:$C$224,$C433,'TL10'!$J$10:$J$224),0),
IF('TL10'!$B$229=P$3,SUMIF('TL10'!$C$238:$C$451,$C433,'TL10'!$J$238:$J$451),0),
IF('TL11'!$B$3=P$3,SUMIF('TL11'!$C$10:$C$224,$C433,'TL11'!$J$10:$J$224),0),
IF('TL11'!$B$229=P$3,SUMIF('TL11'!$C$238:$C$451,$C433,'TL11'!$J$238:$J$451),0),
IF('TL12'!$B$3=P$3,SUMIF('TL12'!$C$10:$C$224,$C433,'TL12'!$J$10:$J$224),0),
IF('TL12'!$B$229=P$3,SUMIF('TL12'!$C$238:$C$451,$C433,'TL12'!$J$238:$J$451),0),
IF('TL13'!$B$3=P$3,SUMIF('TL13'!$C$10:$C$224,$C433,'TL13'!$J$10:$J$224),0),
IF('TL13'!$B$229=P$3,SUMIF('TL13'!$C$238:$C$451,$C433,'TL13'!$J$238:$J$451),0),
IF('TL14'!$B$3=P$3,SUMIF('TL14'!$C$10:$C$224,$C433,'TL14'!$J$10:$J$224),0),
IF('TL14'!$B$229=P$3,SUMIF('TL14'!$C$238:$C$451,$C433,'TL14'!$J$238:$J$451),0),
IF('TL15'!$B$3=P$3,SUMIF('TL15'!$C$10:$C$224,$C433,'TL15'!$J$10:$J$224),0),
IF('TL15'!$B$229=P$3,SUMIF('TL15'!$C$238:$C$451,$C433,'TL15'!$J$238:$J$451),0),
IF('TL16'!$B$3=P$3,SUMIF('TL16'!$C$10:$C$224,$C433,'TL16'!$J$10:$J$224),0),
IF('TL16'!$B$229=P$3,SUMIF('TL16'!$C$238:$C$451,$C433,'TL16'!$J$238:$J$451),0),
IF('TL17'!$B$3=P$3,SUMIF('TL17'!$C$10:$C$224,$C433,'TL17'!$J$10:$J$224),0),
IF('TL17'!$B$229=P$3,SUMIF('TL17'!$C$238:$C$451,$C433,'TL17'!$J$238:$J$451),0),
IF('TL18'!$B$3=P$3,SUMIF('TL18'!$C$10:$C$224,$C433,'TL18'!$J$10:$J$224),0),
IF('TL18'!$B$229=P$3,SUMIF('TL18'!$C$238:$C$451,$C433,'TL18'!$J$238:$J$451),0),
IF('TL19'!$B$3=P$3,SUMIF('TL19'!$C$10:$C$224,$C433,'TL19'!$J$10:$J$224),0),
IF('TL19'!$B$229=P$3,SUMIF('TL19'!$C$238:$C$451,$C433,'TL19'!$J$238:$J$451),0)
),0)</f>
        <v/>
      </c>
      <c r="Q433" s="9">
        <f>IFERROR(SUM(
IF('TL01'!$B$3=Q$3,SUMIF('TL01'!$C$10:$C$224,$C433,'TL01'!$J$10:$J$224),0),
IF('TL01'!$B$229=Q$3,SUMIF('TL01'!$C$238:$C$451,$C433,'TL01'!$J$238:$J$451),0),
IF('TL02'!$B$3=Q$3,SUMIF('TL02'!$C$10:$C$224,$C433,'TL02'!$J$10:$J$224),0),
IF('TL02'!$B$229=Q$3,SUMIF('TL02'!$C$238:$C$451,$C433,'TL02'!$J$238:$J$451),0),
IF('TL03'!$B$3=Q$3,SUMIF('TL03'!$C$10:$C$224,$C433,'TL03'!$J$10:$J$224),0),
IF('TL03'!$B$229=Q$3,SUMIF('TL03'!$C$238:$C$451,$C433,'TL03'!$J$238:$J$451),0),
IF('TL04'!$B$3=Q$3,SUMIF('TL04'!$C$10:$C$224,$C433,'TL04'!$J$10:$J$224),0),
IF('TL04'!$B$229=Q$3,SUMIF('TL04'!$C$238:$C$451,$C433,'TL04'!$J$238:$J$451),0),
IF('TL05'!$B$3=Q$3,SUMIF('TL05'!$C$10:$C$224,$C433,'TL05'!$J$10:$J$224),0),
IF('TL05'!$B$229=Q$3,SUMIF('TL05'!$C$238:$C$451,$C433,'TL05'!$J$238:$J$451),0),
IF('TL06'!$B$3=Q$3,SUMIF('TL06'!$C$10:$C$224,$C433,'TL06'!$J$10:$J$224),0),
IF('TL06'!$B$229=Q$3,SUMIF('TL06'!$C$238:$C$451,$C433,'TL06'!$J$238:$J$451),0),
IF('TL07'!$B$3=Q$3,SUMIF('TL07'!$C$10:$C$224,$C433,'TL07'!$J$10:$J$224),0),
IF('TL07'!$B$229=Q$3,SUMIF('TL07'!$C$238:$C$451,$C433,'TL07'!$J$238:$J$451),0),
IF('TL08'!$B$3=Q$3,SUMIF('TL08'!$C$10:$C$224,$C433,'TL08'!$J$10:$J$224),0),
IF('TL08'!$B$229=Q$3,SUMIF('TL08'!$C$238:$C$451,$C433,'TL08'!$J$238:$J$451),0),
IF('TL09'!$B$3=Q$3,SUMIF('TL09'!$C$10:$C$224,$C433,'TL09'!$J$10:$J$224),0),
IF('TL09'!$B$229=Q$3,SUMIF('TL09'!$C$238:$C$451,$C433,'TL09'!$J$238:$J$451),0),
IF('TL10'!$B$3=Q$3,SUMIF('TL10'!$C$10:$C$224,$C433,'TL10'!$J$10:$J$224),0),
IF('TL10'!$B$229=Q$3,SUMIF('TL10'!$C$238:$C$451,$C433,'TL10'!$J$238:$J$451),0),
IF('TL11'!$B$3=Q$3,SUMIF('TL11'!$C$10:$C$224,$C433,'TL11'!$J$10:$J$224),0),
IF('TL11'!$B$229=Q$3,SUMIF('TL11'!$C$238:$C$451,$C433,'TL11'!$J$238:$J$451),0),
IF('TL12'!$B$3=Q$3,SUMIF('TL12'!$C$10:$C$224,$C433,'TL12'!$J$10:$J$224),0),
IF('TL12'!$B$229=Q$3,SUMIF('TL12'!$C$238:$C$451,$C433,'TL12'!$J$238:$J$451),0),
IF('TL13'!$B$3=Q$3,SUMIF('TL13'!$C$10:$C$224,$C433,'TL13'!$J$10:$J$224),0),
IF('TL13'!$B$229=Q$3,SUMIF('TL13'!$C$238:$C$451,$C433,'TL13'!$J$238:$J$451),0),
IF('TL14'!$B$3=Q$3,SUMIF('TL14'!$C$10:$C$224,$C433,'TL14'!$J$10:$J$224),0),
IF('TL14'!$B$229=Q$3,SUMIF('TL14'!$C$238:$C$451,$C433,'TL14'!$J$238:$J$451),0),
IF('TL15'!$B$3=Q$3,SUMIF('TL15'!$C$10:$C$224,$C433,'TL15'!$J$10:$J$224),0),
IF('TL15'!$B$229=Q$3,SUMIF('TL15'!$C$238:$C$451,$C433,'TL15'!$J$238:$J$451),0),
IF('TL16'!$B$3=Q$3,SUMIF('TL16'!$C$10:$C$224,$C433,'TL16'!$J$10:$J$224),0),
IF('TL16'!$B$229=Q$3,SUMIF('TL16'!$C$238:$C$451,$C433,'TL16'!$J$238:$J$451),0),
IF('TL17'!$B$3=Q$3,SUMIF('TL17'!$C$10:$C$224,$C433,'TL17'!$J$10:$J$224),0),
IF('TL17'!$B$229=Q$3,SUMIF('TL17'!$C$238:$C$451,$C433,'TL17'!$J$238:$J$451),0),
IF('TL18'!$B$3=Q$3,SUMIF('TL18'!$C$10:$C$224,$C433,'TL18'!$J$10:$J$224),0),
IF('TL18'!$B$229=Q$3,SUMIF('TL18'!$C$238:$C$451,$C433,'TL18'!$J$238:$J$451),0),
IF('TL19'!$B$3=Q$3,SUMIF('TL19'!$C$10:$C$224,$C433,'TL19'!$J$10:$J$224),0),
IF('TL19'!$B$229=Q$3,SUMIF('TL19'!$C$238:$C$451,$C433,'TL19'!$J$238:$J$451),0)
),0)</f>
        <v/>
      </c>
      <c r="R433" s="9">
        <f>IFERROR(
SUM(
SUMIF('TL01'!C:C,C433,'TL01'!J:J),
SUMIF('TL02'!C:C,C433,'TL02'!I:I),
SUMIF('TL03'!C:C,C433,'TL03'!I:I),
SUMIF('TL04'!C:C,C433,'TL04'!I:I),
SUMIF('TL05'!C:C,C433,'TL05'!I:I),
SUMIF('TL06'!C:C,C433,'TL06'!I:I),
SUMIF('TL07'!C:C,C433,'TL07'!I:I),
SUMIF('TL08'!C:C,C433,'TL08'!I:I),
SUMIF('TL09'!C:C,C433,'TL09'!I:I),
SUMIF('TL10'!C:C,C433,'TL10'!I:I),
SUMIF('TL11'!C:C,C433,'TL11'!I:I),
SUMIF('TL12'!C:C,C433,'TL12'!I:I),
SUMIF('TL13'!C:C,C433,'TL13'!I:I),
SUMIF('TL14'!C:C,C433,'TL14'!I:I),
SUMIF('TL15'!C:C,C433,'TL15'!I:I),
SUMIF('TL16'!C:C,C433,'TL16'!I:I),
SUMIF('TL17'!C:C,C433,'TL17'!I:I),
SUMIF('TL18'!C:C,C433,'TL18'!I:I))
,0)</f>
        <v/>
      </c>
      <c r="S433" s="17" t="n"/>
      <c r="T433" s="9" t="n"/>
      <c r="U433" s="92">
        <f>MAX(0,R433-T433)</f>
        <v/>
      </c>
      <c r="V433" s="93">
        <f>U433*S433</f>
        <v/>
      </c>
    </row>
    <row r="434" ht="15.75" customHeight="1" s="297">
      <c r="B434" s="80" t="n"/>
      <c r="E434" s="10" t="n"/>
      <c r="F434" s="10" t="n"/>
      <c r="G434" s="10" t="n"/>
      <c r="H434" s="10" t="n"/>
      <c r="I434" s="81" t="n"/>
      <c r="J434" s="10" t="n"/>
      <c r="K434" s="10" t="n"/>
      <c r="L434" s="10" t="n"/>
      <c r="M434" s="10" t="n"/>
      <c r="N434" s="10" t="n"/>
      <c r="O434" s="10" t="n"/>
      <c r="P434" s="10" t="n"/>
      <c r="Q434" s="10" t="n"/>
      <c r="R434" s="82" t="n"/>
      <c r="S434" s="10" t="n"/>
      <c r="T434" s="10" t="n"/>
      <c r="U434" s="83" t="n"/>
      <c r="V434" s="10" t="n"/>
    </row>
    <row r="435" ht="15.75" customHeight="1" s="297">
      <c r="B435" s="80" t="n"/>
      <c r="E435" s="10" t="n"/>
      <c r="F435" s="10" t="n"/>
      <c r="G435" s="10" t="n"/>
      <c r="H435" s="10" t="n"/>
      <c r="I435" s="81" t="n"/>
      <c r="J435" s="10" t="n"/>
      <c r="K435" s="10" t="n"/>
      <c r="L435" s="10" t="n"/>
      <c r="M435" s="10" t="n"/>
      <c r="N435" s="10" t="n"/>
      <c r="O435" s="10" t="n"/>
      <c r="P435" s="10" t="n"/>
      <c r="Q435" s="10" t="n"/>
      <c r="R435" s="82" t="n"/>
      <c r="S435" s="10" t="n"/>
      <c r="T435" s="10" t="n"/>
      <c r="U435" s="83" t="n"/>
      <c r="V435" s="10" t="n"/>
    </row>
    <row r="436" ht="15.75" customHeight="1" s="297">
      <c r="B436" s="80" t="n"/>
      <c r="E436" s="10" t="n"/>
      <c r="F436" s="10" t="n"/>
      <c r="G436" s="10" t="n"/>
      <c r="H436" s="10" t="n"/>
      <c r="I436" s="81" t="n"/>
      <c r="J436" s="10" t="n"/>
      <c r="K436" s="10" t="n"/>
      <c r="L436" s="10" t="n"/>
      <c r="M436" s="10" t="n"/>
      <c r="N436" s="10" t="n"/>
      <c r="O436" s="10" t="n"/>
      <c r="P436" s="10" t="n"/>
      <c r="Q436" s="10" t="n"/>
      <c r="R436" s="82" t="n"/>
      <c r="S436" s="10" t="n"/>
      <c r="T436" s="10" t="n"/>
      <c r="U436" s="83" t="n"/>
      <c r="V436" s="10" t="n"/>
    </row>
    <row r="437" ht="15.75" customHeight="1" s="297">
      <c r="B437" s="80" t="n"/>
      <c r="E437" s="10" t="n"/>
      <c r="F437" s="10" t="n"/>
      <c r="G437" s="10" t="n"/>
      <c r="H437" s="10" t="n"/>
      <c r="I437" s="81" t="n"/>
      <c r="J437" s="10" t="n"/>
      <c r="K437" s="10" t="n"/>
      <c r="L437" s="10" t="n"/>
      <c r="M437" s="10" t="n"/>
      <c r="N437" s="10" t="n"/>
      <c r="O437" s="10" t="n"/>
      <c r="P437" s="10" t="n"/>
      <c r="Q437" s="10" t="n"/>
      <c r="R437" s="82" t="n"/>
      <c r="S437" s="10" t="n"/>
      <c r="T437" s="10" t="n"/>
      <c r="U437" s="83" t="n"/>
      <c r="V437" s="10" t="n"/>
    </row>
    <row r="438" ht="15.75" customHeight="1" s="297">
      <c r="B438" s="80" t="n"/>
      <c r="E438" s="10" t="n"/>
      <c r="F438" s="10" t="n"/>
      <c r="G438" s="10" t="n"/>
      <c r="H438" s="10" t="n"/>
      <c r="I438" s="81" t="n"/>
      <c r="J438" s="10" t="n"/>
      <c r="K438" s="10" t="n"/>
      <c r="L438" s="10" t="n"/>
      <c r="M438" s="10" t="n"/>
      <c r="N438" s="10" t="n"/>
      <c r="O438" s="10" t="n"/>
      <c r="P438" s="10" t="n"/>
      <c r="Q438" s="10" t="n"/>
      <c r="R438" s="82" t="n"/>
      <c r="S438" s="10" t="n"/>
      <c r="T438" s="10" t="n"/>
      <c r="U438" s="83" t="n"/>
      <c r="V438" s="10" t="n"/>
    </row>
    <row r="439" ht="15.75" customHeight="1" s="297">
      <c r="B439" s="80" t="n"/>
      <c r="E439" s="10" t="n"/>
      <c r="F439" s="10" t="n"/>
      <c r="G439" s="10" t="n"/>
      <c r="H439" s="10" t="n"/>
      <c r="I439" s="81" t="n"/>
      <c r="J439" s="10" t="n"/>
      <c r="K439" s="10" t="n"/>
      <c r="L439" s="10" t="n"/>
      <c r="M439" s="10" t="n"/>
      <c r="N439" s="10" t="n"/>
      <c r="O439" s="10" t="n"/>
      <c r="P439" s="10" t="n"/>
      <c r="Q439" s="10" t="n"/>
      <c r="R439" s="82" t="n"/>
      <c r="S439" s="10" t="n"/>
      <c r="T439" s="10" t="n"/>
      <c r="U439" s="83" t="n"/>
      <c r="V439" s="10" t="n"/>
    </row>
    <row r="440" ht="15.75" customHeight="1" s="297">
      <c r="B440" s="80" t="n"/>
      <c r="E440" s="10" t="n"/>
      <c r="F440" s="10" t="n"/>
      <c r="G440" s="10" t="n"/>
      <c r="H440" s="10" t="n"/>
      <c r="I440" s="81" t="n"/>
      <c r="J440" s="10" t="n"/>
      <c r="K440" s="10" t="n"/>
      <c r="L440" s="10" t="n"/>
      <c r="M440" s="10" t="n"/>
      <c r="N440" s="10" t="n"/>
      <c r="O440" s="10" t="n"/>
      <c r="P440" s="10" t="n"/>
      <c r="Q440" s="10" t="n"/>
      <c r="R440" s="82" t="n"/>
      <c r="S440" s="10" t="n"/>
      <c r="T440" s="10" t="n"/>
      <c r="U440" s="83" t="n"/>
      <c r="V440" s="10" t="n"/>
    </row>
    <row r="441" ht="15.75" customHeight="1" s="297">
      <c r="B441" s="80" t="n"/>
      <c r="E441" s="10" t="n"/>
      <c r="F441" s="10" t="n"/>
      <c r="G441" s="10" t="n"/>
      <c r="H441" s="10" t="n"/>
      <c r="I441" s="81" t="n"/>
      <c r="J441" s="10" t="n"/>
      <c r="K441" s="10" t="n"/>
      <c r="L441" s="10" t="n"/>
      <c r="M441" s="10" t="n"/>
      <c r="N441" s="10" t="n"/>
      <c r="O441" s="10" t="n"/>
      <c r="P441" s="10" t="n"/>
      <c r="Q441" s="10" t="n"/>
      <c r="R441" s="82" t="n"/>
      <c r="S441" s="10" t="n"/>
      <c r="T441" s="10" t="n"/>
      <c r="U441" s="83" t="n"/>
      <c r="V441" s="10" t="n"/>
    </row>
    <row r="442" ht="15.75" customHeight="1" s="297">
      <c r="B442" s="80" t="n"/>
      <c r="E442" s="10" t="n"/>
      <c r="F442" s="10" t="n"/>
      <c r="G442" s="10" t="n"/>
      <c r="H442" s="10" t="n"/>
      <c r="I442" s="81" t="n"/>
      <c r="J442" s="10" t="n"/>
      <c r="K442" s="10" t="n"/>
      <c r="L442" s="10" t="n"/>
      <c r="M442" s="10" t="n"/>
      <c r="N442" s="10" t="n"/>
      <c r="O442" s="10" t="n"/>
      <c r="P442" s="10" t="n"/>
      <c r="Q442" s="10" t="n"/>
      <c r="R442" s="82" t="n"/>
      <c r="S442" s="10" t="n"/>
      <c r="T442" s="10" t="n"/>
      <c r="U442" s="83" t="n"/>
      <c r="V442" s="10" t="n"/>
    </row>
    <row r="443" ht="15.75" customHeight="1" s="297">
      <c r="B443" s="80" t="n"/>
      <c r="E443" s="10" t="n"/>
      <c r="F443" s="10" t="n"/>
      <c r="G443" s="10" t="n"/>
      <c r="H443" s="10" t="n"/>
      <c r="I443" s="81" t="n"/>
      <c r="J443" s="10" t="n"/>
      <c r="K443" s="10" t="n"/>
      <c r="L443" s="10" t="n"/>
      <c r="M443" s="10" t="n"/>
      <c r="N443" s="10" t="n"/>
      <c r="O443" s="10" t="n"/>
      <c r="P443" s="10" t="n"/>
      <c r="Q443" s="10" t="n"/>
      <c r="R443" s="82" t="n"/>
      <c r="S443" s="10" t="n"/>
      <c r="T443" s="10" t="n"/>
      <c r="U443" s="83" t="n"/>
      <c r="V443" s="10" t="n"/>
    </row>
    <row r="444" ht="15.75" customHeight="1" s="297">
      <c r="B444" s="80" t="n"/>
      <c r="E444" s="10" t="n"/>
      <c r="F444" s="10" t="n"/>
      <c r="G444" s="10" t="n"/>
      <c r="H444" s="10" t="n"/>
      <c r="I444" s="81" t="n"/>
      <c r="J444" s="10" t="n"/>
      <c r="K444" s="10" t="n"/>
      <c r="L444" s="10" t="n"/>
      <c r="M444" s="10" t="n"/>
      <c r="N444" s="10" t="n"/>
      <c r="O444" s="10" t="n"/>
      <c r="P444" s="10" t="n"/>
      <c r="Q444" s="10" t="n"/>
      <c r="R444" s="82" t="n"/>
      <c r="S444" s="10" t="n"/>
      <c r="T444" s="10" t="n"/>
      <c r="U444" s="83" t="n"/>
      <c r="V444" s="10" t="n"/>
    </row>
    <row r="445" ht="15.75" customHeight="1" s="297">
      <c r="B445" s="80" t="n"/>
      <c r="E445" s="10" t="n"/>
      <c r="F445" s="10" t="n"/>
      <c r="G445" s="10" t="n"/>
      <c r="H445" s="10" t="n"/>
      <c r="I445" s="81" t="n"/>
      <c r="J445" s="10" t="n"/>
      <c r="K445" s="10" t="n"/>
      <c r="L445" s="10" t="n"/>
      <c r="M445" s="10" t="n"/>
      <c r="N445" s="10" t="n"/>
      <c r="O445" s="10" t="n"/>
      <c r="P445" s="10" t="n"/>
      <c r="Q445" s="10" t="n"/>
      <c r="R445" s="82" t="n"/>
      <c r="S445" s="10" t="n"/>
      <c r="T445" s="10" t="n"/>
      <c r="U445" s="83" t="n"/>
      <c r="V445" s="10" t="n"/>
    </row>
    <row r="446" ht="15.75" customHeight="1" s="297">
      <c r="B446" s="80" t="n"/>
      <c r="E446" s="10" t="n"/>
      <c r="F446" s="10" t="n"/>
      <c r="G446" s="10" t="n"/>
      <c r="H446" s="10" t="n"/>
      <c r="I446" s="81" t="n"/>
      <c r="J446" s="10" t="n"/>
      <c r="K446" s="10" t="n"/>
      <c r="L446" s="10" t="n"/>
      <c r="M446" s="10" t="n"/>
      <c r="N446" s="10" t="n"/>
      <c r="O446" s="10" t="n"/>
      <c r="P446" s="10" t="n"/>
      <c r="Q446" s="10" t="n"/>
      <c r="R446" s="82" t="n"/>
      <c r="S446" s="10" t="n"/>
      <c r="T446" s="10" t="n"/>
      <c r="U446" s="83" t="n"/>
      <c r="V446" s="10" t="n"/>
    </row>
    <row r="447" ht="15.75" customHeight="1" s="297">
      <c r="B447" s="80" t="n"/>
      <c r="E447" s="10" t="n"/>
      <c r="F447" s="10" t="n"/>
      <c r="G447" s="10" t="n"/>
      <c r="H447" s="10" t="n"/>
      <c r="I447" s="81" t="n"/>
      <c r="J447" s="10" t="n"/>
      <c r="K447" s="10" t="n"/>
      <c r="L447" s="10" t="n"/>
      <c r="M447" s="10" t="n"/>
      <c r="N447" s="10" t="n"/>
      <c r="O447" s="10" t="n"/>
      <c r="P447" s="10" t="n"/>
      <c r="Q447" s="10" t="n"/>
      <c r="R447" s="82" t="n"/>
      <c r="S447" s="10" t="n"/>
      <c r="T447" s="10" t="n"/>
      <c r="U447" s="83" t="n"/>
      <c r="V447" s="10" t="n"/>
    </row>
    <row r="448" ht="15.75" customHeight="1" s="297">
      <c r="B448" s="80" t="n"/>
      <c r="E448" s="10" t="n"/>
      <c r="F448" s="10" t="n"/>
      <c r="G448" s="10" t="n"/>
      <c r="H448" s="10" t="n"/>
      <c r="I448" s="81" t="n"/>
      <c r="J448" s="10" t="n"/>
      <c r="K448" s="10" t="n"/>
      <c r="L448" s="10" t="n"/>
      <c r="M448" s="10" t="n"/>
      <c r="N448" s="10" t="n"/>
      <c r="O448" s="10" t="n"/>
      <c r="P448" s="10" t="n"/>
      <c r="Q448" s="10" t="n"/>
      <c r="R448" s="82" t="n"/>
      <c r="S448" s="10" t="n"/>
      <c r="T448" s="10" t="n"/>
      <c r="U448" s="83" t="n"/>
      <c r="V448" s="10" t="n"/>
    </row>
    <row r="449" ht="15.75" customHeight="1" s="297">
      <c r="B449" s="80" t="n"/>
      <c r="E449" s="10" t="n"/>
      <c r="F449" s="10" t="n"/>
      <c r="G449" s="10" t="n"/>
      <c r="H449" s="10" t="n"/>
      <c r="I449" s="81" t="n"/>
      <c r="J449" s="10" t="n"/>
      <c r="K449" s="10" t="n"/>
      <c r="L449" s="10" t="n"/>
      <c r="M449" s="10" t="n"/>
      <c r="N449" s="10" t="n"/>
      <c r="O449" s="10" t="n"/>
      <c r="P449" s="10" t="n"/>
      <c r="Q449" s="10" t="n"/>
      <c r="R449" s="82" t="n"/>
      <c r="S449" s="10" t="n"/>
      <c r="T449" s="10" t="n"/>
      <c r="U449" s="83" t="n"/>
      <c r="V449" s="10" t="n"/>
    </row>
    <row r="450" ht="15.75" customHeight="1" s="297">
      <c r="B450" s="80" t="n"/>
      <c r="E450" s="10" t="n"/>
      <c r="F450" s="10" t="n"/>
      <c r="G450" s="10" t="n"/>
      <c r="H450" s="10" t="n"/>
      <c r="I450" s="81" t="n"/>
      <c r="J450" s="10" t="n"/>
      <c r="K450" s="10" t="n"/>
      <c r="L450" s="10" t="n"/>
      <c r="M450" s="10" t="n"/>
      <c r="N450" s="10" t="n"/>
      <c r="O450" s="10" t="n"/>
      <c r="P450" s="10" t="n"/>
      <c r="Q450" s="10" t="n"/>
      <c r="R450" s="82" t="n"/>
      <c r="S450" s="10" t="n"/>
      <c r="T450" s="10" t="n"/>
      <c r="U450" s="83" t="n"/>
      <c r="V450" s="10" t="n"/>
    </row>
    <row r="451" ht="15.75" customHeight="1" s="297">
      <c r="B451" s="80" t="n"/>
      <c r="E451" s="10" t="n"/>
      <c r="F451" s="10" t="n"/>
      <c r="G451" s="10" t="n"/>
      <c r="H451" s="10" t="n"/>
      <c r="I451" s="81" t="n"/>
      <c r="J451" s="10" t="n"/>
      <c r="K451" s="10" t="n"/>
      <c r="L451" s="10" t="n"/>
      <c r="M451" s="10" t="n"/>
      <c r="N451" s="10" t="n"/>
      <c r="O451" s="10" t="n"/>
      <c r="P451" s="10" t="n"/>
      <c r="Q451" s="10" t="n"/>
      <c r="R451" s="82" t="n"/>
      <c r="S451" s="10" t="n"/>
      <c r="T451" s="10" t="n"/>
      <c r="U451" s="83" t="n"/>
      <c r="V451" s="10" t="n"/>
    </row>
    <row r="452" ht="15.75" customHeight="1" s="297">
      <c r="B452" s="80" t="n"/>
      <c r="E452" s="10" t="n"/>
      <c r="F452" s="10" t="n"/>
      <c r="G452" s="10" t="n"/>
      <c r="H452" s="10" t="n"/>
      <c r="I452" s="81" t="n"/>
      <c r="J452" s="10" t="n"/>
      <c r="K452" s="10" t="n"/>
      <c r="L452" s="10" t="n"/>
      <c r="M452" s="10" t="n"/>
      <c r="N452" s="10" t="n"/>
      <c r="O452" s="10" t="n"/>
      <c r="P452" s="10" t="n"/>
      <c r="Q452" s="10" t="n"/>
      <c r="R452" s="82" t="n"/>
      <c r="S452" s="10" t="n"/>
      <c r="T452" s="10" t="n"/>
      <c r="U452" s="83" t="n"/>
      <c r="V452" s="10" t="n"/>
    </row>
    <row r="453" ht="15.75" customHeight="1" s="297">
      <c r="B453" s="80" t="n"/>
      <c r="E453" s="10" t="n"/>
      <c r="F453" s="10" t="n"/>
      <c r="G453" s="10" t="n"/>
      <c r="H453" s="10" t="n"/>
      <c r="I453" s="81" t="n"/>
      <c r="J453" s="10" t="n"/>
      <c r="K453" s="10" t="n"/>
      <c r="L453" s="10" t="n"/>
      <c r="M453" s="10" t="n"/>
      <c r="N453" s="10" t="n"/>
      <c r="O453" s="10" t="n"/>
      <c r="P453" s="10" t="n"/>
      <c r="Q453" s="10" t="n"/>
      <c r="R453" s="82" t="n"/>
      <c r="S453" s="10" t="n"/>
      <c r="T453" s="10" t="n"/>
      <c r="U453" s="83" t="n"/>
      <c r="V453" s="10" t="n"/>
    </row>
    <row r="454" ht="15.75" customHeight="1" s="297">
      <c r="B454" s="80" t="n"/>
      <c r="E454" s="10" t="n"/>
      <c r="F454" s="10" t="n"/>
      <c r="G454" s="10" t="n"/>
      <c r="H454" s="10" t="n"/>
      <c r="I454" s="81" t="n"/>
      <c r="J454" s="10" t="n"/>
      <c r="K454" s="10" t="n"/>
      <c r="L454" s="10" t="n"/>
      <c r="M454" s="10" t="n"/>
      <c r="N454" s="10" t="n"/>
      <c r="O454" s="10" t="n"/>
      <c r="P454" s="10" t="n"/>
      <c r="Q454" s="10" t="n"/>
      <c r="R454" s="82" t="n"/>
      <c r="S454" s="10" t="n"/>
      <c r="T454" s="10" t="n"/>
      <c r="U454" s="83" t="n"/>
      <c r="V454" s="10" t="n"/>
    </row>
    <row r="455" ht="15.75" customHeight="1" s="297">
      <c r="B455" s="80" t="n"/>
      <c r="E455" s="10" t="n"/>
      <c r="F455" s="10" t="n"/>
      <c r="G455" s="10" t="n"/>
      <c r="H455" s="10" t="n"/>
      <c r="I455" s="81" t="n"/>
      <c r="J455" s="10" t="n"/>
      <c r="K455" s="10" t="n"/>
      <c r="L455" s="10" t="n"/>
      <c r="M455" s="10" t="n"/>
      <c r="N455" s="10" t="n"/>
      <c r="O455" s="10" t="n"/>
      <c r="P455" s="10" t="n"/>
      <c r="Q455" s="10" t="n"/>
      <c r="R455" s="82" t="n"/>
      <c r="S455" s="10" t="n"/>
      <c r="T455" s="10" t="n"/>
      <c r="U455" s="83" t="n"/>
      <c r="V455" s="10" t="n"/>
    </row>
    <row r="456" ht="15.75" customHeight="1" s="297">
      <c r="B456" s="80" t="n"/>
      <c r="E456" s="10" t="n"/>
      <c r="F456" s="10" t="n"/>
      <c r="G456" s="10" t="n"/>
      <c r="H456" s="10" t="n"/>
      <c r="I456" s="81" t="n"/>
      <c r="J456" s="10" t="n"/>
      <c r="K456" s="10" t="n"/>
      <c r="L456" s="10" t="n"/>
      <c r="M456" s="10" t="n"/>
      <c r="N456" s="10" t="n"/>
      <c r="O456" s="10" t="n"/>
      <c r="P456" s="10" t="n"/>
      <c r="Q456" s="10" t="n"/>
      <c r="R456" s="82" t="n"/>
      <c r="S456" s="10" t="n"/>
      <c r="T456" s="10" t="n"/>
      <c r="U456" s="83" t="n"/>
      <c r="V456" s="10" t="n"/>
    </row>
    <row r="457" ht="15.75" customHeight="1" s="297">
      <c r="B457" s="80" t="n"/>
      <c r="E457" s="10" t="n"/>
      <c r="F457" s="10" t="n"/>
      <c r="G457" s="10" t="n"/>
      <c r="H457" s="10" t="n"/>
      <c r="I457" s="81" t="n"/>
      <c r="J457" s="10" t="n"/>
      <c r="K457" s="10" t="n"/>
      <c r="L457" s="10" t="n"/>
      <c r="M457" s="10" t="n"/>
      <c r="N457" s="10" t="n"/>
      <c r="O457" s="10" t="n"/>
      <c r="P457" s="10" t="n"/>
      <c r="Q457" s="10" t="n"/>
      <c r="R457" s="82" t="n"/>
      <c r="S457" s="10" t="n"/>
      <c r="T457" s="10" t="n"/>
      <c r="U457" s="83" t="n"/>
      <c r="V457" s="10" t="n"/>
    </row>
    <row r="458" ht="15.75" customHeight="1" s="297">
      <c r="B458" s="80" t="n"/>
      <c r="E458" s="10" t="n"/>
      <c r="F458" s="10" t="n"/>
      <c r="G458" s="10" t="n"/>
      <c r="H458" s="10" t="n"/>
      <c r="I458" s="81" t="n"/>
      <c r="J458" s="10" t="n"/>
      <c r="K458" s="10" t="n"/>
      <c r="L458" s="10" t="n"/>
      <c r="M458" s="10" t="n"/>
      <c r="N458" s="10" t="n"/>
      <c r="O458" s="10" t="n"/>
      <c r="P458" s="10" t="n"/>
      <c r="Q458" s="10" t="n"/>
      <c r="R458" s="82" t="n"/>
      <c r="S458" s="10" t="n"/>
      <c r="T458" s="10" t="n"/>
      <c r="U458" s="83" t="n"/>
      <c r="V458" s="10" t="n"/>
    </row>
    <row r="459" ht="15.75" customHeight="1" s="297">
      <c r="B459" s="80" t="n"/>
      <c r="E459" s="10" t="n"/>
      <c r="F459" s="10" t="n"/>
      <c r="G459" s="10" t="n"/>
      <c r="H459" s="10" t="n"/>
      <c r="I459" s="81" t="n"/>
      <c r="J459" s="10" t="n"/>
      <c r="K459" s="10" t="n"/>
      <c r="L459" s="10" t="n"/>
      <c r="M459" s="10" t="n"/>
      <c r="N459" s="10" t="n"/>
      <c r="O459" s="10" t="n"/>
      <c r="P459" s="10" t="n"/>
      <c r="Q459" s="10" t="n"/>
      <c r="R459" s="82" t="n"/>
      <c r="S459" s="10" t="n"/>
      <c r="T459" s="10" t="n"/>
      <c r="U459" s="83" t="n"/>
      <c r="V459" s="10" t="n"/>
    </row>
    <row r="460" ht="15.75" customHeight="1" s="297">
      <c r="B460" s="80" t="n"/>
      <c r="E460" s="10" t="n"/>
      <c r="F460" s="10" t="n"/>
      <c r="G460" s="10" t="n"/>
      <c r="H460" s="10" t="n"/>
      <c r="I460" s="81" t="n"/>
      <c r="J460" s="10" t="n"/>
      <c r="K460" s="10" t="n"/>
      <c r="L460" s="10" t="n"/>
      <c r="M460" s="10" t="n"/>
      <c r="N460" s="10" t="n"/>
      <c r="O460" s="10" t="n"/>
      <c r="P460" s="10" t="n"/>
      <c r="Q460" s="10" t="n"/>
      <c r="R460" s="82" t="n"/>
      <c r="S460" s="10" t="n"/>
      <c r="T460" s="10" t="n"/>
      <c r="U460" s="83" t="n"/>
      <c r="V460" s="10" t="n"/>
    </row>
    <row r="461" ht="15.75" customHeight="1" s="297">
      <c r="B461" s="80" t="n"/>
      <c r="E461" s="10" t="n"/>
      <c r="F461" s="10" t="n"/>
      <c r="G461" s="10" t="n"/>
      <c r="H461" s="10" t="n"/>
      <c r="I461" s="81" t="n"/>
      <c r="J461" s="10" t="n"/>
      <c r="K461" s="10" t="n"/>
      <c r="L461" s="10" t="n"/>
      <c r="M461" s="10" t="n"/>
      <c r="N461" s="10" t="n"/>
      <c r="O461" s="10" t="n"/>
      <c r="P461" s="10" t="n"/>
      <c r="Q461" s="10" t="n"/>
      <c r="R461" s="82" t="n"/>
      <c r="S461" s="10" t="n"/>
      <c r="T461" s="10" t="n"/>
      <c r="U461" s="83" t="n"/>
      <c r="V461" s="10" t="n"/>
    </row>
    <row r="462" ht="15.75" customHeight="1" s="297">
      <c r="B462" s="80" t="n"/>
      <c r="E462" s="10" t="n"/>
      <c r="F462" s="10" t="n"/>
      <c r="G462" s="10" t="n"/>
      <c r="H462" s="10" t="n"/>
      <c r="I462" s="81" t="n"/>
      <c r="J462" s="10" t="n"/>
      <c r="K462" s="10" t="n"/>
      <c r="L462" s="10" t="n"/>
      <c r="M462" s="10" t="n"/>
      <c r="N462" s="10" t="n"/>
      <c r="O462" s="10" t="n"/>
      <c r="P462" s="10" t="n"/>
      <c r="Q462" s="10" t="n"/>
      <c r="R462" s="82" t="n"/>
      <c r="S462" s="10" t="n"/>
      <c r="T462" s="10" t="n"/>
      <c r="U462" s="83" t="n"/>
      <c r="V462" s="10" t="n"/>
    </row>
    <row r="463" ht="15.75" customHeight="1" s="297">
      <c r="B463" s="80" t="n"/>
      <c r="E463" s="10" t="n"/>
      <c r="F463" s="10" t="n"/>
      <c r="G463" s="10" t="n"/>
      <c r="H463" s="10" t="n"/>
      <c r="I463" s="81" t="n"/>
      <c r="J463" s="10" t="n"/>
      <c r="K463" s="10" t="n"/>
      <c r="L463" s="10" t="n"/>
      <c r="M463" s="10" t="n"/>
      <c r="N463" s="10" t="n"/>
      <c r="O463" s="10" t="n"/>
      <c r="P463" s="10" t="n"/>
      <c r="Q463" s="10" t="n"/>
      <c r="R463" s="82" t="n"/>
      <c r="S463" s="10" t="n"/>
      <c r="T463" s="10" t="n"/>
      <c r="U463" s="83" t="n"/>
      <c r="V463" s="10" t="n"/>
    </row>
    <row r="464" ht="15.75" customHeight="1" s="297">
      <c r="B464" s="80" t="n"/>
      <c r="E464" s="10" t="n"/>
      <c r="F464" s="10" t="n"/>
      <c r="G464" s="10" t="n"/>
      <c r="H464" s="10" t="n"/>
      <c r="I464" s="81" t="n"/>
      <c r="J464" s="10" t="n"/>
      <c r="K464" s="10" t="n"/>
      <c r="L464" s="10" t="n"/>
      <c r="M464" s="10" t="n"/>
      <c r="N464" s="10" t="n"/>
      <c r="O464" s="10" t="n"/>
      <c r="P464" s="10" t="n"/>
      <c r="Q464" s="10" t="n"/>
      <c r="R464" s="82" t="n"/>
      <c r="S464" s="10" t="n"/>
      <c r="T464" s="10" t="n"/>
      <c r="U464" s="83" t="n"/>
      <c r="V464" s="10" t="n"/>
    </row>
    <row r="465" ht="15.75" customHeight="1" s="297">
      <c r="B465" s="80" t="n"/>
      <c r="E465" s="10" t="n"/>
      <c r="F465" s="10" t="n"/>
      <c r="G465" s="10" t="n"/>
      <c r="H465" s="10" t="n"/>
      <c r="I465" s="81" t="n"/>
      <c r="J465" s="10" t="n"/>
      <c r="K465" s="10" t="n"/>
      <c r="L465" s="10" t="n"/>
      <c r="M465" s="10" t="n"/>
      <c r="N465" s="10" t="n"/>
      <c r="O465" s="10" t="n"/>
      <c r="P465" s="10" t="n"/>
      <c r="Q465" s="10" t="n"/>
      <c r="R465" s="82" t="n"/>
      <c r="S465" s="10" t="n"/>
      <c r="T465" s="10" t="n"/>
      <c r="U465" s="83" t="n"/>
      <c r="V465" s="10" t="n"/>
    </row>
    <row r="466" ht="15.75" customHeight="1" s="297">
      <c r="B466" s="80" t="n"/>
      <c r="E466" s="10" t="n"/>
      <c r="F466" s="10" t="n"/>
      <c r="G466" s="10" t="n"/>
      <c r="H466" s="10" t="n"/>
      <c r="I466" s="81" t="n"/>
      <c r="J466" s="10" t="n"/>
      <c r="K466" s="10" t="n"/>
      <c r="L466" s="10" t="n"/>
      <c r="M466" s="10" t="n"/>
      <c r="N466" s="10" t="n"/>
      <c r="O466" s="10" t="n"/>
      <c r="P466" s="10" t="n"/>
      <c r="Q466" s="10" t="n"/>
      <c r="R466" s="82" t="n"/>
      <c r="S466" s="10" t="n"/>
      <c r="T466" s="10" t="n"/>
      <c r="U466" s="83" t="n"/>
      <c r="V466" s="10" t="n"/>
    </row>
    <row r="467" ht="15.75" customHeight="1" s="297">
      <c r="B467" s="80" t="n"/>
      <c r="E467" s="10" t="n"/>
      <c r="F467" s="10" t="n"/>
      <c r="G467" s="10" t="n"/>
      <c r="H467" s="10" t="n"/>
      <c r="I467" s="81" t="n"/>
      <c r="J467" s="10" t="n"/>
      <c r="K467" s="10" t="n"/>
      <c r="L467" s="10" t="n"/>
      <c r="M467" s="10" t="n"/>
      <c r="N467" s="10" t="n"/>
      <c r="O467" s="10" t="n"/>
      <c r="P467" s="10" t="n"/>
      <c r="Q467" s="10" t="n"/>
      <c r="R467" s="82" t="n"/>
      <c r="S467" s="10" t="n"/>
      <c r="T467" s="10" t="n"/>
      <c r="U467" s="83" t="n"/>
      <c r="V467" s="10" t="n"/>
    </row>
    <row r="468" ht="15.75" customHeight="1" s="297">
      <c r="B468" s="80" t="n"/>
      <c r="E468" s="10" t="n"/>
      <c r="F468" s="10" t="n"/>
      <c r="G468" s="10" t="n"/>
      <c r="H468" s="10" t="n"/>
      <c r="I468" s="81" t="n"/>
      <c r="J468" s="10" t="n"/>
      <c r="K468" s="10" t="n"/>
      <c r="L468" s="10" t="n"/>
      <c r="M468" s="10" t="n"/>
      <c r="N468" s="10" t="n"/>
      <c r="O468" s="10" t="n"/>
      <c r="P468" s="10" t="n"/>
      <c r="Q468" s="10" t="n"/>
      <c r="R468" s="82" t="n"/>
      <c r="S468" s="10" t="n"/>
      <c r="T468" s="10" t="n"/>
      <c r="U468" s="83" t="n"/>
      <c r="V468" s="10" t="n"/>
    </row>
    <row r="469" ht="15.75" customHeight="1" s="297">
      <c r="B469" s="80" t="n"/>
      <c r="E469" s="10" t="n"/>
      <c r="F469" s="10" t="n"/>
      <c r="G469" s="10" t="n"/>
      <c r="H469" s="10" t="n"/>
      <c r="I469" s="81" t="n"/>
      <c r="J469" s="10" t="n"/>
      <c r="K469" s="10" t="n"/>
      <c r="L469" s="10" t="n"/>
      <c r="M469" s="10" t="n"/>
      <c r="N469" s="10" t="n"/>
      <c r="O469" s="10" t="n"/>
      <c r="P469" s="10" t="n"/>
      <c r="Q469" s="10" t="n"/>
      <c r="R469" s="82" t="n"/>
      <c r="S469" s="10" t="n"/>
      <c r="T469" s="10" t="n"/>
      <c r="U469" s="83" t="n"/>
      <c r="V469" s="10" t="n"/>
    </row>
    <row r="470" ht="15.75" customHeight="1" s="297">
      <c r="B470" s="80" t="n"/>
      <c r="E470" s="10" t="n"/>
      <c r="F470" s="10" t="n"/>
      <c r="G470" s="10" t="n"/>
      <c r="H470" s="10" t="n"/>
      <c r="I470" s="81" t="n"/>
      <c r="J470" s="10" t="n"/>
      <c r="K470" s="10" t="n"/>
      <c r="L470" s="10" t="n"/>
      <c r="M470" s="10" t="n"/>
      <c r="N470" s="10" t="n"/>
      <c r="O470" s="10" t="n"/>
      <c r="P470" s="10" t="n"/>
      <c r="Q470" s="10" t="n"/>
      <c r="R470" s="82" t="n"/>
      <c r="S470" s="10" t="n"/>
      <c r="T470" s="10" t="n"/>
      <c r="U470" s="83" t="n"/>
      <c r="V470" s="10" t="n"/>
    </row>
    <row r="471" ht="15.75" customHeight="1" s="297">
      <c r="B471" s="80" t="n"/>
      <c r="E471" s="10" t="n"/>
      <c r="F471" s="10" t="n"/>
      <c r="G471" s="10" t="n"/>
      <c r="H471" s="10" t="n"/>
      <c r="I471" s="81" t="n"/>
      <c r="J471" s="10" t="n"/>
      <c r="K471" s="10" t="n"/>
      <c r="L471" s="10" t="n"/>
      <c r="M471" s="10" t="n"/>
      <c r="N471" s="10" t="n"/>
      <c r="O471" s="10" t="n"/>
      <c r="P471" s="10" t="n"/>
      <c r="Q471" s="10" t="n"/>
      <c r="R471" s="82" t="n"/>
      <c r="S471" s="10" t="n"/>
      <c r="T471" s="10" t="n"/>
      <c r="U471" s="83" t="n"/>
      <c r="V471" s="10" t="n"/>
    </row>
    <row r="472" ht="15.75" customHeight="1" s="297">
      <c r="B472" s="80" t="n"/>
      <c r="E472" s="10" t="n"/>
      <c r="F472" s="10" t="n"/>
      <c r="G472" s="10" t="n"/>
      <c r="H472" s="10" t="n"/>
      <c r="I472" s="81" t="n"/>
      <c r="J472" s="10" t="n"/>
      <c r="K472" s="10" t="n"/>
      <c r="L472" s="10" t="n"/>
      <c r="M472" s="10" t="n"/>
      <c r="N472" s="10" t="n"/>
      <c r="O472" s="10" t="n"/>
      <c r="P472" s="10" t="n"/>
      <c r="Q472" s="10" t="n"/>
      <c r="R472" s="82" t="n"/>
      <c r="S472" s="10" t="n"/>
      <c r="T472" s="10" t="n"/>
      <c r="U472" s="83" t="n"/>
      <c r="V472" s="10" t="n"/>
    </row>
    <row r="473" ht="15.75" customHeight="1" s="297">
      <c r="B473" s="80" t="n"/>
      <c r="E473" s="10" t="n"/>
      <c r="F473" s="10" t="n"/>
      <c r="G473" s="10" t="n"/>
      <c r="H473" s="10" t="n"/>
      <c r="I473" s="81" t="n"/>
      <c r="J473" s="10" t="n"/>
      <c r="K473" s="10" t="n"/>
      <c r="L473" s="10" t="n"/>
      <c r="M473" s="10" t="n"/>
      <c r="N473" s="10" t="n"/>
      <c r="O473" s="10" t="n"/>
      <c r="P473" s="10" t="n"/>
      <c r="Q473" s="10" t="n"/>
      <c r="R473" s="82" t="n"/>
      <c r="S473" s="10" t="n"/>
      <c r="T473" s="10" t="n"/>
      <c r="U473" s="83" t="n"/>
      <c r="V473" s="10" t="n"/>
    </row>
    <row r="474" ht="15.75" customHeight="1" s="297">
      <c r="B474" s="80" t="n"/>
      <c r="E474" s="10" t="n"/>
      <c r="F474" s="10" t="n"/>
      <c r="G474" s="10" t="n"/>
      <c r="H474" s="10" t="n"/>
      <c r="I474" s="81" t="n"/>
      <c r="J474" s="10" t="n"/>
      <c r="K474" s="10" t="n"/>
      <c r="L474" s="10" t="n"/>
      <c r="M474" s="10" t="n"/>
      <c r="N474" s="10" t="n"/>
      <c r="O474" s="10" t="n"/>
      <c r="P474" s="10" t="n"/>
      <c r="Q474" s="10" t="n"/>
      <c r="R474" s="82" t="n"/>
      <c r="S474" s="10" t="n"/>
      <c r="T474" s="10" t="n"/>
      <c r="U474" s="83" t="n"/>
      <c r="V474" s="10" t="n"/>
    </row>
    <row r="475" ht="15.75" customHeight="1" s="297">
      <c r="B475" s="80" t="n"/>
      <c r="E475" s="10" t="n"/>
      <c r="F475" s="10" t="n"/>
      <c r="G475" s="10" t="n"/>
      <c r="H475" s="10" t="n"/>
      <c r="I475" s="81" t="n"/>
      <c r="J475" s="10" t="n"/>
      <c r="K475" s="10" t="n"/>
      <c r="L475" s="10" t="n"/>
      <c r="M475" s="10" t="n"/>
      <c r="N475" s="10" t="n"/>
      <c r="O475" s="10" t="n"/>
      <c r="P475" s="10" t="n"/>
      <c r="Q475" s="10" t="n"/>
      <c r="R475" s="82" t="n"/>
      <c r="S475" s="10" t="n"/>
      <c r="T475" s="10" t="n"/>
      <c r="U475" s="83" t="n"/>
      <c r="V475" s="10" t="n"/>
    </row>
    <row r="476" ht="15.75" customHeight="1" s="297">
      <c r="B476" s="80" t="n"/>
      <c r="E476" s="10" t="n"/>
      <c r="F476" s="10" t="n"/>
      <c r="G476" s="10" t="n"/>
      <c r="H476" s="10" t="n"/>
      <c r="I476" s="81" t="n"/>
      <c r="J476" s="10" t="n"/>
      <c r="K476" s="10" t="n"/>
      <c r="L476" s="10" t="n"/>
      <c r="M476" s="10" t="n"/>
      <c r="N476" s="10" t="n"/>
      <c r="O476" s="10" t="n"/>
      <c r="P476" s="10" t="n"/>
      <c r="Q476" s="10" t="n"/>
      <c r="R476" s="82" t="n"/>
      <c r="S476" s="10" t="n"/>
      <c r="T476" s="10" t="n"/>
      <c r="U476" s="83" t="n"/>
      <c r="V476" s="10" t="n"/>
    </row>
    <row r="477" ht="15.75" customHeight="1" s="297">
      <c r="B477" s="80" t="n"/>
      <c r="E477" s="10" t="n"/>
      <c r="F477" s="10" t="n"/>
      <c r="G477" s="10" t="n"/>
      <c r="H477" s="10" t="n"/>
      <c r="I477" s="81" t="n"/>
      <c r="J477" s="10" t="n"/>
      <c r="K477" s="10" t="n"/>
      <c r="L477" s="10" t="n"/>
      <c r="M477" s="10" t="n"/>
      <c r="N477" s="10" t="n"/>
      <c r="O477" s="10" t="n"/>
      <c r="P477" s="10" t="n"/>
      <c r="Q477" s="10" t="n"/>
      <c r="R477" s="82" t="n"/>
      <c r="S477" s="10" t="n"/>
      <c r="T477" s="10" t="n"/>
      <c r="U477" s="83" t="n"/>
      <c r="V477" s="10" t="n"/>
    </row>
    <row r="478" ht="15.75" customHeight="1" s="297">
      <c r="B478" s="80" t="n"/>
      <c r="E478" s="10" t="n"/>
      <c r="F478" s="10" t="n"/>
      <c r="G478" s="10" t="n"/>
      <c r="H478" s="10" t="n"/>
      <c r="I478" s="81" t="n"/>
      <c r="J478" s="10" t="n"/>
      <c r="K478" s="10" t="n"/>
      <c r="L478" s="10" t="n"/>
      <c r="M478" s="10" t="n"/>
      <c r="N478" s="10" t="n"/>
      <c r="O478" s="10" t="n"/>
      <c r="P478" s="10" t="n"/>
      <c r="Q478" s="10" t="n"/>
      <c r="R478" s="82" t="n"/>
      <c r="S478" s="10" t="n"/>
      <c r="T478" s="10" t="n"/>
      <c r="U478" s="83" t="n"/>
      <c r="V478" s="10" t="n"/>
    </row>
    <row r="479" ht="15.75" customHeight="1" s="297">
      <c r="B479" s="80" t="n"/>
      <c r="E479" s="10" t="n"/>
      <c r="F479" s="10" t="n"/>
      <c r="G479" s="10" t="n"/>
      <c r="H479" s="10" t="n"/>
      <c r="I479" s="81" t="n"/>
      <c r="J479" s="10" t="n"/>
      <c r="K479" s="10" t="n"/>
      <c r="L479" s="10" t="n"/>
      <c r="M479" s="10" t="n"/>
      <c r="N479" s="10" t="n"/>
      <c r="O479" s="10" t="n"/>
      <c r="P479" s="10" t="n"/>
      <c r="Q479" s="10" t="n"/>
      <c r="R479" s="82" t="n"/>
      <c r="S479" s="10" t="n"/>
      <c r="T479" s="10" t="n"/>
      <c r="U479" s="83" t="n"/>
      <c r="V479" s="10" t="n"/>
    </row>
    <row r="480" ht="15.75" customHeight="1" s="297">
      <c r="B480" s="80" t="n"/>
      <c r="E480" s="10" t="n"/>
      <c r="F480" s="10" t="n"/>
      <c r="G480" s="10" t="n"/>
      <c r="H480" s="10" t="n"/>
      <c r="I480" s="81" t="n"/>
      <c r="J480" s="10" t="n"/>
      <c r="K480" s="10" t="n"/>
      <c r="L480" s="10" t="n"/>
      <c r="M480" s="10" t="n"/>
      <c r="N480" s="10" t="n"/>
      <c r="O480" s="10" t="n"/>
      <c r="P480" s="10" t="n"/>
      <c r="Q480" s="10" t="n"/>
      <c r="R480" s="82" t="n"/>
      <c r="S480" s="10" t="n"/>
      <c r="T480" s="10" t="n"/>
      <c r="U480" s="83" t="n"/>
      <c r="V480" s="10" t="n"/>
    </row>
    <row r="481" ht="15.75" customHeight="1" s="297">
      <c r="B481" s="80" t="n"/>
      <c r="E481" s="10" t="n"/>
      <c r="F481" s="10" t="n"/>
      <c r="G481" s="10" t="n"/>
      <c r="H481" s="10" t="n"/>
      <c r="I481" s="81" t="n"/>
      <c r="J481" s="10" t="n"/>
      <c r="K481" s="10" t="n"/>
      <c r="L481" s="10" t="n"/>
      <c r="M481" s="10" t="n"/>
      <c r="N481" s="10" t="n"/>
      <c r="O481" s="10" t="n"/>
      <c r="P481" s="10" t="n"/>
      <c r="Q481" s="10" t="n"/>
      <c r="R481" s="82" t="n"/>
      <c r="S481" s="10" t="n"/>
      <c r="T481" s="10" t="n"/>
      <c r="U481" s="83" t="n"/>
      <c r="V481" s="10" t="n"/>
    </row>
    <row r="482" ht="15.75" customHeight="1" s="297">
      <c r="B482" s="80" t="n"/>
      <c r="E482" s="10" t="n"/>
      <c r="F482" s="10" t="n"/>
      <c r="G482" s="10" t="n"/>
      <c r="H482" s="10" t="n"/>
      <c r="I482" s="81" t="n"/>
      <c r="J482" s="10" t="n"/>
      <c r="K482" s="10" t="n"/>
      <c r="L482" s="10" t="n"/>
      <c r="M482" s="10" t="n"/>
      <c r="N482" s="10" t="n"/>
      <c r="O482" s="10" t="n"/>
      <c r="P482" s="10" t="n"/>
      <c r="Q482" s="10" t="n"/>
      <c r="R482" s="82" t="n"/>
      <c r="S482" s="10" t="n"/>
      <c r="T482" s="10" t="n"/>
      <c r="U482" s="83" t="n"/>
      <c r="V482" s="10" t="n"/>
    </row>
    <row r="483" ht="15.75" customHeight="1" s="297">
      <c r="B483" s="80" t="n"/>
      <c r="E483" s="10" t="n"/>
      <c r="F483" s="10" t="n"/>
      <c r="G483" s="10" t="n"/>
      <c r="H483" s="10" t="n"/>
      <c r="I483" s="81" t="n"/>
      <c r="J483" s="10" t="n"/>
      <c r="K483" s="10" t="n"/>
      <c r="L483" s="10" t="n"/>
      <c r="M483" s="10" t="n"/>
      <c r="N483" s="10" t="n"/>
      <c r="O483" s="10" t="n"/>
      <c r="P483" s="10" t="n"/>
      <c r="Q483" s="10" t="n"/>
      <c r="R483" s="82" t="n"/>
      <c r="S483" s="10" t="n"/>
      <c r="T483" s="10" t="n"/>
      <c r="U483" s="83" t="n"/>
      <c r="V483" s="10" t="n"/>
    </row>
    <row r="484" ht="15.75" customHeight="1" s="297">
      <c r="B484" s="80" t="n"/>
      <c r="E484" s="10" t="n"/>
      <c r="F484" s="10" t="n"/>
      <c r="G484" s="10" t="n"/>
      <c r="H484" s="10" t="n"/>
      <c r="I484" s="81" t="n"/>
      <c r="J484" s="10" t="n"/>
      <c r="K484" s="10" t="n"/>
      <c r="L484" s="10" t="n"/>
      <c r="M484" s="10" t="n"/>
      <c r="N484" s="10" t="n"/>
      <c r="O484" s="10" t="n"/>
      <c r="P484" s="10" t="n"/>
      <c r="Q484" s="10" t="n"/>
      <c r="R484" s="82" t="n"/>
      <c r="S484" s="10" t="n"/>
      <c r="T484" s="10" t="n"/>
      <c r="U484" s="83" t="n"/>
      <c r="V484" s="10" t="n"/>
    </row>
    <row r="485" ht="15.75" customHeight="1" s="297">
      <c r="B485" s="80" t="n"/>
      <c r="E485" s="10" t="n"/>
      <c r="F485" s="10" t="n"/>
      <c r="G485" s="10" t="n"/>
      <c r="H485" s="10" t="n"/>
      <c r="I485" s="81" t="n"/>
      <c r="J485" s="10" t="n"/>
      <c r="K485" s="10" t="n"/>
      <c r="L485" s="10" t="n"/>
      <c r="M485" s="10" t="n"/>
      <c r="N485" s="10" t="n"/>
      <c r="O485" s="10" t="n"/>
      <c r="P485" s="10" t="n"/>
      <c r="Q485" s="10" t="n"/>
      <c r="R485" s="82" t="n"/>
      <c r="S485" s="10" t="n"/>
      <c r="T485" s="10" t="n"/>
      <c r="U485" s="83" t="n"/>
      <c r="V485" s="10" t="n"/>
    </row>
    <row r="486" ht="15.75" customHeight="1" s="297">
      <c r="B486" s="80" t="n"/>
      <c r="E486" s="10" t="n"/>
      <c r="F486" s="10" t="n"/>
      <c r="G486" s="10" t="n"/>
      <c r="H486" s="10" t="n"/>
      <c r="I486" s="81" t="n"/>
      <c r="J486" s="10" t="n"/>
      <c r="K486" s="10" t="n"/>
      <c r="L486" s="10" t="n"/>
      <c r="M486" s="10" t="n"/>
      <c r="N486" s="10" t="n"/>
      <c r="O486" s="10" t="n"/>
      <c r="P486" s="10" t="n"/>
      <c r="Q486" s="10" t="n"/>
      <c r="R486" s="82" t="n"/>
      <c r="S486" s="10" t="n"/>
      <c r="T486" s="10" t="n"/>
      <c r="U486" s="83" t="n"/>
      <c r="V486" s="10" t="n"/>
    </row>
    <row r="487" ht="15.75" customHeight="1" s="297">
      <c r="B487" s="80" t="n"/>
      <c r="E487" s="10" t="n"/>
      <c r="F487" s="10" t="n"/>
      <c r="G487" s="10" t="n"/>
      <c r="H487" s="10" t="n"/>
      <c r="I487" s="81" t="n"/>
      <c r="J487" s="10" t="n"/>
      <c r="K487" s="10" t="n"/>
      <c r="L487" s="10" t="n"/>
      <c r="M487" s="10" t="n"/>
      <c r="N487" s="10" t="n"/>
      <c r="O487" s="10" t="n"/>
      <c r="P487" s="10" t="n"/>
      <c r="Q487" s="10" t="n"/>
      <c r="R487" s="82" t="n"/>
      <c r="S487" s="10" t="n"/>
      <c r="T487" s="10" t="n"/>
      <c r="U487" s="83" t="n"/>
      <c r="V487" s="10" t="n"/>
    </row>
    <row r="488" ht="15.75" customHeight="1" s="297">
      <c r="B488" s="80" t="n"/>
      <c r="E488" s="10" t="n"/>
      <c r="F488" s="10" t="n"/>
      <c r="G488" s="10" t="n"/>
      <c r="H488" s="10" t="n"/>
      <c r="I488" s="81" t="n"/>
      <c r="J488" s="10" t="n"/>
      <c r="K488" s="10" t="n"/>
      <c r="L488" s="10" t="n"/>
      <c r="M488" s="10" t="n"/>
      <c r="N488" s="10" t="n"/>
      <c r="O488" s="10" t="n"/>
      <c r="P488" s="10" t="n"/>
      <c r="Q488" s="10" t="n"/>
      <c r="R488" s="82" t="n"/>
      <c r="S488" s="10" t="n"/>
      <c r="T488" s="10" t="n"/>
      <c r="U488" s="83" t="n"/>
      <c r="V488" s="10" t="n"/>
    </row>
    <row r="489" ht="15.75" customHeight="1" s="297">
      <c r="B489" s="80" t="n"/>
      <c r="E489" s="10" t="n"/>
      <c r="F489" s="10" t="n"/>
      <c r="G489" s="10" t="n"/>
      <c r="H489" s="10" t="n"/>
      <c r="I489" s="81" t="n"/>
      <c r="J489" s="10" t="n"/>
      <c r="K489" s="10" t="n"/>
      <c r="L489" s="10" t="n"/>
      <c r="M489" s="10" t="n"/>
      <c r="N489" s="10" t="n"/>
      <c r="O489" s="10" t="n"/>
      <c r="P489" s="10" t="n"/>
      <c r="Q489" s="10" t="n"/>
      <c r="R489" s="82" t="n"/>
      <c r="S489" s="10" t="n"/>
      <c r="T489" s="10" t="n"/>
      <c r="U489" s="83" t="n"/>
      <c r="V489" s="10" t="n"/>
    </row>
    <row r="490" ht="15.75" customHeight="1" s="297">
      <c r="B490" s="80" t="n"/>
      <c r="E490" s="10" t="n"/>
      <c r="F490" s="10" t="n"/>
      <c r="G490" s="10" t="n"/>
      <c r="H490" s="10" t="n"/>
      <c r="I490" s="81" t="n"/>
      <c r="J490" s="10" t="n"/>
      <c r="K490" s="10" t="n"/>
      <c r="L490" s="10" t="n"/>
      <c r="M490" s="10" t="n"/>
      <c r="N490" s="10" t="n"/>
      <c r="O490" s="10" t="n"/>
      <c r="P490" s="10" t="n"/>
      <c r="Q490" s="10" t="n"/>
      <c r="R490" s="82" t="n"/>
      <c r="S490" s="10" t="n"/>
      <c r="T490" s="10" t="n"/>
      <c r="U490" s="83" t="n"/>
      <c r="V490" s="10" t="n"/>
    </row>
    <row r="491" ht="15.75" customHeight="1" s="297">
      <c r="B491" s="80" t="n"/>
      <c r="E491" s="10" t="n"/>
      <c r="F491" s="10" t="n"/>
      <c r="G491" s="10" t="n"/>
      <c r="H491" s="10" t="n"/>
      <c r="I491" s="81" t="n"/>
      <c r="J491" s="10" t="n"/>
      <c r="K491" s="10" t="n"/>
      <c r="L491" s="10" t="n"/>
      <c r="M491" s="10" t="n"/>
      <c r="N491" s="10" t="n"/>
      <c r="O491" s="10" t="n"/>
      <c r="P491" s="10" t="n"/>
      <c r="Q491" s="10" t="n"/>
      <c r="R491" s="82" t="n"/>
      <c r="S491" s="10" t="n"/>
      <c r="T491" s="10" t="n"/>
      <c r="U491" s="83" t="n"/>
      <c r="V491" s="10" t="n"/>
    </row>
    <row r="492" ht="15.75" customHeight="1" s="297">
      <c r="B492" s="80" t="n"/>
      <c r="E492" s="10" t="n"/>
      <c r="F492" s="10" t="n"/>
      <c r="G492" s="10" t="n"/>
      <c r="H492" s="10" t="n"/>
      <c r="I492" s="81" t="n"/>
      <c r="J492" s="10" t="n"/>
      <c r="K492" s="10" t="n"/>
      <c r="L492" s="10" t="n"/>
      <c r="M492" s="10" t="n"/>
      <c r="N492" s="10" t="n"/>
      <c r="O492" s="10" t="n"/>
      <c r="P492" s="10" t="n"/>
      <c r="Q492" s="10" t="n"/>
      <c r="R492" s="82" t="n"/>
      <c r="S492" s="10" t="n"/>
      <c r="T492" s="10" t="n"/>
      <c r="U492" s="83" t="n"/>
      <c r="V492" s="10" t="n"/>
    </row>
    <row r="493" ht="15.75" customHeight="1" s="297">
      <c r="B493" s="80" t="n"/>
      <c r="E493" s="10" t="n"/>
      <c r="F493" s="10" t="n"/>
      <c r="G493" s="10" t="n"/>
      <c r="H493" s="10" t="n"/>
      <c r="I493" s="81" t="n"/>
      <c r="J493" s="10" t="n"/>
      <c r="K493" s="10" t="n"/>
      <c r="L493" s="10" t="n"/>
      <c r="M493" s="10" t="n"/>
      <c r="N493" s="10" t="n"/>
      <c r="O493" s="10" t="n"/>
      <c r="P493" s="10" t="n"/>
      <c r="Q493" s="10" t="n"/>
      <c r="R493" s="82" t="n"/>
      <c r="S493" s="10" t="n"/>
      <c r="T493" s="10" t="n"/>
      <c r="U493" s="83" t="n"/>
      <c r="V493" s="10" t="n"/>
    </row>
    <row r="494" ht="15.75" customHeight="1" s="297">
      <c r="B494" s="80" t="n"/>
      <c r="E494" s="10" t="n"/>
      <c r="F494" s="10" t="n"/>
      <c r="G494" s="10" t="n"/>
      <c r="H494" s="10" t="n"/>
      <c r="I494" s="81" t="n"/>
      <c r="J494" s="10" t="n"/>
      <c r="K494" s="10" t="n"/>
      <c r="L494" s="10" t="n"/>
      <c r="M494" s="10" t="n"/>
      <c r="N494" s="10" t="n"/>
      <c r="O494" s="10" t="n"/>
      <c r="P494" s="10" t="n"/>
      <c r="Q494" s="10" t="n"/>
      <c r="R494" s="82" t="n"/>
      <c r="S494" s="10" t="n"/>
      <c r="T494" s="10" t="n"/>
      <c r="U494" s="83" t="n"/>
      <c r="V494" s="10" t="n"/>
    </row>
    <row r="495" ht="15.75" customHeight="1" s="297">
      <c r="B495" s="80" t="n"/>
      <c r="E495" s="10" t="n"/>
      <c r="F495" s="10" t="n"/>
      <c r="G495" s="10" t="n"/>
      <c r="H495" s="10" t="n"/>
      <c r="I495" s="81" t="n"/>
      <c r="J495" s="10" t="n"/>
      <c r="K495" s="10" t="n"/>
      <c r="L495" s="10" t="n"/>
      <c r="M495" s="10" t="n"/>
      <c r="N495" s="10" t="n"/>
      <c r="O495" s="10" t="n"/>
      <c r="P495" s="10" t="n"/>
      <c r="Q495" s="10" t="n"/>
      <c r="R495" s="82" t="n"/>
      <c r="S495" s="10" t="n"/>
      <c r="T495" s="10" t="n"/>
      <c r="U495" s="83" t="n"/>
      <c r="V495" s="10" t="n"/>
    </row>
    <row r="496" ht="15.75" customHeight="1" s="297">
      <c r="B496" s="80" t="n"/>
      <c r="E496" s="10" t="n"/>
      <c r="F496" s="10" t="n"/>
      <c r="G496" s="10" t="n"/>
      <c r="H496" s="10" t="n"/>
      <c r="I496" s="81" t="n"/>
      <c r="J496" s="10" t="n"/>
      <c r="K496" s="10" t="n"/>
      <c r="L496" s="10" t="n"/>
      <c r="M496" s="10" t="n"/>
      <c r="N496" s="10" t="n"/>
      <c r="O496" s="10" t="n"/>
      <c r="P496" s="10" t="n"/>
      <c r="Q496" s="10" t="n"/>
      <c r="R496" s="82" t="n"/>
      <c r="S496" s="10" t="n"/>
      <c r="T496" s="10" t="n"/>
      <c r="U496" s="83" t="n"/>
      <c r="V496" s="10" t="n"/>
    </row>
    <row r="497" ht="15.75" customHeight="1" s="297">
      <c r="B497" s="80" t="n"/>
      <c r="E497" s="10" t="n"/>
      <c r="F497" s="10" t="n"/>
      <c r="G497" s="10" t="n"/>
      <c r="H497" s="10" t="n"/>
      <c r="I497" s="81" t="n"/>
      <c r="J497" s="10" t="n"/>
      <c r="K497" s="10" t="n"/>
      <c r="L497" s="10" t="n"/>
      <c r="M497" s="10" t="n"/>
      <c r="N497" s="10" t="n"/>
      <c r="O497" s="10" t="n"/>
      <c r="P497" s="10" t="n"/>
      <c r="Q497" s="10" t="n"/>
      <c r="R497" s="82" t="n"/>
      <c r="S497" s="10" t="n"/>
      <c r="T497" s="10" t="n"/>
      <c r="U497" s="83" t="n"/>
      <c r="V497" s="10" t="n"/>
    </row>
    <row r="498" ht="15.75" customHeight="1" s="297">
      <c r="B498" s="80" t="n"/>
      <c r="E498" s="10" t="n"/>
      <c r="F498" s="10" t="n"/>
      <c r="G498" s="10" t="n"/>
      <c r="H498" s="10" t="n"/>
      <c r="I498" s="81" t="n"/>
      <c r="J498" s="10" t="n"/>
      <c r="K498" s="10" t="n"/>
      <c r="L498" s="10" t="n"/>
      <c r="M498" s="10" t="n"/>
      <c r="N498" s="10" t="n"/>
      <c r="O498" s="10" t="n"/>
      <c r="P498" s="10" t="n"/>
      <c r="Q498" s="10" t="n"/>
      <c r="R498" s="82" t="n"/>
      <c r="S498" s="10" t="n"/>
      <c r="T498" s="10" t="n"/>
      <c r="U498" s="83" t="n"/>
      <c r="V498" s="10" t="n"/>
    </row>
    <row r="499" ht="15.75" customHeight="1" s="297">
      <c r="B499" s="80" t="n"/>
      <c r="E499" s="10" t="n"/>
      <c r="F499" s="10" t="n"/>
      <c r="G499" s="10" t="n"/>
      <c r="H499" s="10" t="n"/>
      <c r="I499" s="81" t="n"/>
      <c r="J499" s="10" t="n"/>
      <c r="K499" s="10" t="n"/>
      <c r="L499" s="10" t="n"/>
      <c r="M499" s="10" t="n"/>
      <c r="N499" s="10" t="n"/>
      <c r="O499" s="10" t="n"/>
      <c r="P499" s="10" t="n"/>
      <c r="Q499" s="10" t="n"/>
      <c r="R499" s="82" t="n"/>
      <c r="S499" s="10" t="n"/>
      <c r="T499" s="10" t="n"/>
      <c r="U499" s="83" t="n"/>
      <c r="V499" s="10" t="n"/>
    </row>
    <row r="500" ht="15.75" customHeight="1" s="297">
      <c r="B500" s="80" t="n"/>
      <c r="E500" s="10" t="n"/>
      <c r="F500" s="10" t="n"/>
      <c r="G500" s="10" t="n"/>
      <c r="H500" s="10" t="n"/>
      <c r="I500" s="81" t="n"/>
      <c r="J500" s="10" t="n"/>
      <c r="K500" s="10" t="n"/>
      <c r="L500" s="10" t="n"/>
      <c r="M500" s="10" t="n"/>
      <c r="N500" s="10" t="n"/>
      <c r="O500" s="10" t="n"/>
      <c r="P500" s="10" t="n"/>
      <c r="Q500" s="10" t="n"/>
      <c r="R500" s="82" t="n"/>
      <c r="S500" s="10" t="n"/>
      <c r="T500" s="10" t="n"/>
      <c r="U500" s="83" t="n"/>
      <c r="V500" s="10" t="n"/>
    </row>
    <row r="501" ht="15.75" customHeight="1" s="297">
      <c r="B501" s="80" t="n"/>
      <c r="E501" s="10" t="n"/>
      <c r="F501" s="10" t="n"/>
      <c r="G501" s="10" t="n"/>
      <c r="H501" s="10" t="n"/>
      <c r="I501" s="81" t="n"/>
      <c r="J501" s="10" t="n"/>
      <c r="K501" s="10" t="n"/>
      <c r="L501" s="10" t="n"/>
      <c r="M501" s="10" t="n"/>
      <c r="N501" s="10" t="n"/>
      <c r="O501" s="10" t="n"/>
      <c r="P501" s="10" t="n"/>
      <c r="Q501" s="10" t="n"/>
      <c r="R501" s="82" t="n"/>
      <c r="S501" s="10" t="n"/>
      <c r="T501" s="10" t="n"/>
      <c r="U501" s="83" t="n"/>
      <c r="V501" s="10" t="n"/>
    </row>
    <row r="502" ht="15.75" customHeight="1" s="297">
      <c r="B502" s="80" t="n"/>
      <c r="E502" s="10" t="n"/>
      <c r="F502" s="10" t="n"/>
      <c r="G502" s="10" t="n"/>
      <c r="H502" s="10" t="n"/>
      <c r="I502" s="81" t="n"/>
      <c r="J502" s="10" t="n"/>
      <c r="K502" s="10" t="n"/>
      <c r="L502" s="10" t="n"/>
      <c r="M502" s="10" t="n"/>
      <c r="N502" s="10" t="n"/>
      <c r="O502" s="10" t="n"/>
      <c r="P502" s="10" t="n"/>
      <c r="Q502" s="10" t="n"/>
      <c r="R502" s="82" t="n"/>
      <c r="S502" s="10" t="n"/>
      <c r="T502" s="10" t="n"/>
      <c r="U502" s="83" t="n"/>
      <c r="V502" s="10" t="n"/>
    </row>
    <row r="503" ht="15.75" customHeight="1" s="297">
      <c r="B503" s="80" t="n"/>
      <c r="E503" s="10" t="n"/>
      <c r="F503" s="10" t="n"/>
      <c r="G503" s="10" t="n"/>
      <c r="H503" s="10" t="n"/>
      <c r="I503" s="81" t="n"/>
      <c r="J503" s="10" t="n"/>
      <c r="K503" s="10" t="n"/>
      <c r="L503" s="10" t="n"/>
      <c r="M503" s="10" t="n"/>
      <c r="N503" s="10" t="n"/>
      <c r="O503" s="10" t="n"/>
      <c r="P503" s="10" t="n"/>
      <c r="Q503" s="10" t="n"/>
      <c r="R503" s="82" t="n"/>
      <c r="S503" s="10" t="n"/>
      <c r="T503" s="10" t="n"/>
      <c r="U503" s="83" t="n"/>
      <c r="V503" s="10" t="n"/>
    </row>
    <row r="504" ht="15.75" customHeight="1" s="297">
      <c r="B504" s="80" t="n"/>
      <c r="E504" s="10" t="n"/>
      <c r="F504" s="10" t="n"/>
      <c r="G504" s="10" t="n"/>
      <c r="H504" s="10" t="n"/>
      <c r="I504" s="81" t="n"/>
      <c r="J504" s="10" t="n"/>
      <c r="K504" s="10" t="n"/>
      <c r="L504" s="10" t="n"/>
      <c r="M504" s="10" t="n"/>
      <c r="N504" s="10" t="n"/>
      <c r="O504" s="10" t="n"/>
      <c r="P504" s="10" t="n"/>
      <c r="Q504" s="10" t="n"/>
      <c r="R504" s="82" t="n"/>
      <c r="S504" s="10" t="n"/>
      <c r="T504" s="10" t="n"/>
      <c r="U504" s="83" t="n"/>
      <c r="V504" s="10" t="n"/>
    </row>
    <row r="505" ht="15.75" customHeight="1" s="297">
      <c r="B505" s="80" t="n"/>
      <c r="E505" s="10" t="n"/>
      <c r="F505" s="10" t="n"/>
      <c r="G505" s="10" t="n"/>
      <c r="H505" s="10" t="n"/>
      <c r="I505" s="81" t="n"/>
      <c r="J505" s="10" t="n"/>
      <c r="K505" s="10" t="n"/>
      <c r="L505" s="10" t="n"/>
      <c r="M505" s="10" t="n"/>
      <c r="N505" s="10" t="n"/>
      <c r="O505" s="10" t="n"/>
      <c r="P505" s="10" t="n"/>
      <c r="Q505" s="10" t="n"/>
      <c r="R505" s="82" t="n"/>
      <c r="S505" s="10" t="n"/>
      <c r="T505" s="10" t="n"/>
      <c r="U505" s="83" t="n"/>
      <c r="V505" s="10" t="n"/>
    </row>
    <row r="506" ht="15.75" customHeight="1" s="297">
      <c r="B506" s="80" t="n"/>
      <c r="E506" s="10" t="n"/>
      <c r="F506" s="10" t="n"/>
      <c r="G506" s="10" t="n"/>
      <c r="H506" s="10" t="n"/>
      <c r="I506" s="81" t="n"/>
      <c r="J506" s="10" t="n"/>
      <c r="K506" s="10" t="n"/>
      <c r="L506" s="10" t="n"/>
      <c r="M506" s="10" t="n"/>
      <c r="N506" s="10" t="n"/>
      <c r="O506" s="10" t="n"/>
      <c r="P506" s="10" t="n"/>
      <c r="Q506" s="10" t="n"/>
      <c r="R506" s="82" t="n"/>
      <c r="S506" s="10" t="n"/>
      <c r="T506" s="10" t="n"/>
      <c r="U506" s="83" t="n"/>
      <c r="V506" s="10" t="n"/>
    </row>
    <row r="507" ht="15.75" customHeight="1" s="297">
      <c r="B507" s="80" t="n"/>
      <c r="E507" s="10" t="n"/>
      <c r="F507" s="10" t="n"/>
      <c r="G507" s="10" t="n"/>
      <c r="H507" s="10" t="n"/>
      <c r="I507" s="81" t="n"/>
      <c r="J507" s="10" t="n"/>
      <c r="K507" s="10" t="n"/>
      <c r="L507" s="10" t="n"/>
      <c r="M507" s="10" t="n"/>
      <c r="N507" s="10" t="n"/>
      <c r="O507" s="10" t="n"/>
      <c r="P507" s="10" t="n"/>
      <c r="Q507" s="10" t="n"/>
      <c r="R507" s="82" t="n"/>
      <c r="S507" s="10" t="n"/>
      <c r="T507" s="10" t="n"/>
      <c r="U507" s="83" t="n"/>
      <c r="V507" s="10" t="n"/>
    </row>
    <row r="508" ht="15.75" customHeight="1" s="297">
      <c r="B508" s="80" t="n"/>
      <c r="E508" s="10" t="n"/>
      <c r="F508" s="10" t="n"/>
      <c r="G508" s="10" t="n"/>
      <c r="H508" s="10" t="n"/>
      <c r="I508" s="81" t="n"/>
      <c r="J508" s="10" t="n"/>
      <c r="K508" s="10" t="n"/>
      <c r="L508" s="10" t="n"/>
      <c r="M508" s="10" t="n"/>
      <c r="N508" s="10" t="n"/>
      <c r="O508" s="10" t="n"/>
      <c r="P508" s="10" t="n"/>
      <c r="Q508" s="10" t="n"/>
      <c r="R508" s="82" t="n"/>
      <c r="S508" s="10" t="n"/>
      <c r="T508" s="10" t="n"/>
      <c r="U508" s="83" t="n"/>
      <c r="V508" s="10" t="n"/>
    </row>
    <row r="509" ht="15.75" customHeight="1" s="297">
      <c r="B509" s="80" t="n"/>
      <c r="E509" s="10" t="n"/>
      <c r="F509" s="10" t="n"/>
      <c r="G509" s="10" t="n"/>
      <c r="H509" s="10" t="n"/>
      <c r="I509" s="81" t="n"/>
      <c r="J509" s="10" t="n"/>
      <c r="K509" s="10" t="n"/>
      <c r="L509" s="10" t="n"/>
      <c r="M509" s="10" t="n"/>
      <c r="N509" s="10" t="n"/>
      <c r="O509" s="10" t="n"/>
      <c r="P509" s="10" t="n"/>
      <c r="Q509" s="10" t="n"/>
      <c r="R509" s="82" t="n"/>
      <c r="S509" s="10" t="n"/>
      <c r="T509" s="10" t="n"/>
      <c r="U509" s="83" t="n"/>
      <c r="V509" s="10" t="n"/>
    </row>
    <row r="510" ht="15.75" customHeight="1" s="297">
      <c r="B510" s="80" t="n"/>
      <c r="E510" s="10" t="n"/>
      <c r="F510" s="10" t="n"/>
      <c r="G510" s="10" t="n"/>
      <c r="H510" s="10" t="n"/>
      <c r="I510" s="81" t="n"/>
      <c r="J510" s="10" t="n"/>
      <c r="K510" s="10" t="n"/>
      <c r="L510" s="10" t="n"/>
      <c r="M510" s="10" t="n"/>
      <c r="N510" s="10" t="n"/>
      <c r="O510" s="10" t="n"/>
      <c r="P510" s="10" t="n"/>
      <c r="Q510" s="10" t="n"/>
      <c r="R510" s="82" t="n"/>
      <c r="S510" s="10" t="n"/>
      <c r="T510" s="10" t="n"/>
      <c r="U510" s="83" t="n"/>
      <c r="V510" s="10" t="n"/>
    </row>
    <row r="511" ht="15.75" customHeight="1" s="297">
      <c r="B511" s="80" t="n"/>
      <c r="E511" s="10" t="n"/>
      <c r="F511" s="10" t="n"/>
      <c r="G511" s="10" t="n"/>
      <c r="H511" s="10" t="n"/>
      <c r="I511" s="81" t="n"/>
      <c r="J511" s="10" t="n"/>
      <c r="K511" s="10" t="n"/>
      <c r="L511" s="10" t="n"/>
      <c r="M511" s="10" t="n"/>
      <c r="N511" s="10" t="n"/>
      <c r="O511" s="10" t="n"/>
      <c r="P511" s="10" t="n"/>
      <c r="Q511" s="10" t="n"/>
      <c r="R511" s="82" t="n"/>
      <c r="S511" s="10" t="n"/>
      <c r="T511" s="10" t="n"/>
      <c r="U511" s="83" t="n"/>
      <c r="V511" s="10" t="n"/>
    </row>
    <row r="512" ht="15.75" customHeight="1" s="297">
      <c r="B512" s="80" t="n"/>
      <c r="E512" s="10" t="n"/>
      <c r="F512" s="10" t="n"/>
      <c r="G512" s="10" t="n"/>
      <c r="H512" s="10" t="n"/>
      <c r="I512" s="81" t="n"/>
      <c r="J512" s="10" t="n"/>
      <c r="K512" s="10" t="n"/>
      <c r="L512" s="10" t="n"/>
      <c r="M512" s="10" t="n"/>
      <c r="N512" s="10" t="n"/>
      <c r="O512" s="10" t="n"/>
      <c r="P512" s="10" t="n"/>
      <c r="Q512" s="10" t="n"/>
      <c r="R512" s="82" t="n"/>
      <c r="S512" s="10" t="n"/>
      <c r="T512" s="10" t="n"/>
      <c r="U512" s="83" t="n"/>
      <c r="V512" s="10" t="n"/>
    </row>
    <row r="513" ht="15.75" customHeight="1" s="297">
      <c r="B513" s="80" t="n"/>
      <c r="E513" s="10" t="n"/>
      <c r="F513" s="10" t="n"/>
      <c r="G513" s="10" t="n"/>
      <c r="H513" s="10" t="n"/>
      <c r="I513" s="81" t="n"/>
      <c r="J513" s="10" t="n"/>
      <c r="K513" s="10" t="n"/>
      <c r="L513" s="10" t="n"/>
      <c r="M513" s="10" t="n"/>
      <c r="N513" s="10" t="n"/>
      <c r="O513" s="10" t="n"/>
      <c r="P513" s="10" t="n"/>
      <c r="Q513" s="10" t="n"/>
      <c r="R513" s="82" t="n"/>
      <c r="S513" s="10" t="n"/>
      <c r="T513" s="10" t="n"/>
      <c r="U513" s="83" t="n"/>
      <c r="V513" s="10" t="n"/>
    </row>
    <row r="514" ht="15.75" customHeight="1" s="297">
      <c r="B514" s="80" t="n"/>
      <c r="E514" s="10" t="n"/>
      <c r="F514" s="10" t="n"/>
      <c r="G514" s="10" t="n"/>
      <c r="H514" s="10" t="n"/>
      <c r="I514" s="81" t="n"/>
      <c r="J514" s="10" t="n"/>
      <c r="K514" s="10" t="n"/>
      <c r="L514" s="10" t="n"/>
      <c r="M514" s="10" t="n"/>
      <c r="N514" s="10" t="n"/>
      <c r="O514" s="10" t="n"/>
      <c r="P514" s="10" t="n"/>
      <c r="Q514" s="10" t="n"/>
      <c r="R514" s="82" t="n"/>
      <c r="S514" s="10" t="n"/>
      <c r="T514" s="10" t="n"/>
      <c r="U514" s="83" t="n"/>
      <c r="V514" s="10" t="n"/>
    </row>
    <row r="515" ht="15.75" customHeight="1" s="297">
      <c r="B515" s="80" t="n"/>
      <c r="E515" s="10" t="n"/>
      <c r="F515" s="10" t="n"/>
      <c r="G515" s="10" t="n"/>
      <c r="H515" s="10" t="n"/>
      <c r="I515" s="81" t="n"/>
      <c r="J515" s="10" t="n"/>
      <c r="K515" s="10" t="n"/>
      <c r="L515" s="10" t="n"/>
      <c r="M515" s="10" t="n"/>
      <c r="N515" s="10" t="n"/>
      <c r="O515" s="10" t="n"/>
      <c r="P515" s="10" t="n"/>
      <c r="Q515" s="10" t="n"/>
      <c r="R515" s="82" t="n"/>
      <c r="S515" s="10" t="n"/>
      <c r="T515" s="10" t="n"/>
      <c r="U515" s="83" t="n"/>
      <c r="V515" s="10" t="n"/>
    </row>
    <row r="516" ht="15.75" customHeight="1" s="297">
      <c r="B516" s="80" t="n"/>
      <c r="E516" s="10" t="n"/>
      <c r="F516" s="10" t="n"/>
      <c r="G516" s="10" t="n"/>
      <c r="H516" s="10" t="n"/>
      <c r="I516" s="81" t="n"/>
      <c r="J516" s="10" t="n"/>
      <c r="K516" s="10" t="n"/>
      <c r="L516" s="10" t="n"/>
      <c r="M516" s="10" t="n"/>
      <c r="N516" s="10" t="n"/>
      <c r="O516" s="10" t="n"/>
      <c r="P516" s="10" t="n"/>
      <c r="Q516" s="10" t="n"/>
      <c r="R516" s="82" t="n"/>
      <c r="S516" s="10" t="n"/>
      <c r="T516" s="10" t="n"/>
      <c r="U516" s="83" t="n"/>
      <c r="V516" s="10" t="n"/>
    </row>
    <row r="517" ht="15.75" customHeight="1" s="297">
      <c r="B517" s="80" t="n"/>
      <c r="E517" s="10" t="n"/>
      <c r="F517" s="10" t="n"/>
      <c r="G517" s="10" t="n"/>
      <c r="H517" s="10" t="n"/>
      <c r="I517" s="81" t="n"/>
      <c r="J517" s="10" t="n"/>
      <c r="K517" s="10" t="n"/>
      <c r="L517" s="10" t="n"/>
      <c r="M517" s="10" t="n"/>
      <c r="N517" s="10" t="n"/>
      <c r="O517" s="10" t="n"/>
      <c r="P517" s="10" t="n"/>
      <c r="Q517" s="10" t="n"/>
      <c r="R517" s="82" t="n"/>
      <c r="S517" s="10" t="n"/>
      <c r="T517" s="10" t="n"/>
      <c r="U517" s="83" t="n"/>
      <c r="V517" s="10" t="n"/>
    </row>
    <row r="518" ht="15.75" customHeight="1" s="297">
      <c r="B518" s="80" t="n"/>
      <c r="E518" s="10" t="n"/>
      <c r="F518" s="10" t="n"/>
      <c r="G518" s="10" t="n"/>
      <c r="H518" s="10" t="n"/>
      <c r="I518" s="81" t="n"/>
      <c r="J518" s="10" t="n"/>
      <c r="K518" s="10" t="n"/>
      <c r="L518" s="10" t="n"/>
      <c r="M518" s="10" t="n"/>
      <c r="N518" s="10" t="n"/>
      <c r="O518" s="10" t="n"/>
      <c r="P518" s="10" t="n"/>
      <c r="Q518" s="10" t="n"/>
      <c r="R518" s="82" t="n"/>
      <c r="S518" s="10" t="n"/>
      <c r="T518" s="10" t="n"/>
      <c r="U518" s="83" t="n"/>
      <c r="V518" s="10" t="n"/>
    </row>
    <row r="519" ht="15.75" customHeight="1" s="297">
      <c r="B519" s="80" t="n"/>
      <c r="E519" s="10" t="n"/>
      <c r="F519" s="10" t="n"/>
      <c r="G519" s="10" t="n"/>
      <c r="H519" s="10" t="n"/>
      <c r="I519" s="81" t="n"/>
      <c r="J519" s="10" t="n"/>
      <c r="K519" s="10" t="n"/>
      <c r="L519" s="10" t="n"/>
      <c r="M519" s="10" t="n"/>
      <c r="N519" s="10" t="n"/>
      <c r="O519" s="10" t="n"/>
      <c r="P519" s="10" t="n"/>
      <c r="Q519" s="10" t="n"/>
      <c r="R519" s="82" t="n"/>
      <c r="S519" s="10" t="n"/>
      <c r="T519" s="10" t="n"/>
      <c r="U519" s="83" t="n"/>
      <c r="V519" s="10" t="n"/>
    </row>
    <row r="520" ht="15.75" customHeight="1" s="297">
      <c r="B520" s="80" t="n"/>
      <c r="E520" s="10" t="n"/>
      <c r="F520" s="10" t="n"/>
      <c r="G520" s="10" t="n"/>
      <c r="H520" s="10" t="n"/>
      <c r="I520" s="81" t="n"/>
      <c r="J520" s="10" t="n"/>
      <c r="K520" s="10" t="n"/>
      <c r="L520" s="10" t="n"/>
      <c r="M520" s="10" t="n"/>
      <c r="N520" s="10" t="n"/>
      <c r="O520" s="10" t="n"/>
      <c r="P520" s="10" t="n"/>
      <c r="Q520" s="10" t="n"/>
      <c r="R520" s="82" t="n"/>
      <c r="S520" s="10" t="n"/>
      <c r="T520" s="10" t="n"/>
      <c r="U520" s="83" t="n"/>
      <c r="V520" s="10" t="n"/>
    </row>
    <row r="521" ht="15.75" customHeight="1" s="297">
      <c r="B521" s="80" t="n"/>
      <c r="E521" s="10" t="n"/>
      <c r="F521" s="10" t="n"/>
      <c r="G521" s="10" t="n"/>
      <c r="H521" s="10" t="n"/>
      <c r="I521" s="81" t="n"/>
      <c r="J521" s="10" t="n"/>
      <c r="K521" s="10" t="n"/>
      <c r="L521" s="10" t="n"/>
      <c r="M521" s="10" t="n"/>
      <c r="N521" s="10" t="n"/>
      <c r="O521" s="10" t="n"/>
      <c r="P521" s="10" t="n"/>
      <c r="Q521" s="10" t="n"/>
      <c r="R521" s="82" t="n"/>
      <c r="S521" s="10" t="n"/>
      <c r="T521" s="10" t="n"/>
      <c r="U521" s="83" t="n"/>
      <c r="V521" s="10" t="n"/>
    </row>
    <row r="522" ht="15.75" customHeight="1" s="297">
      <c r="B522" s="80" t="n"/>
      <c r="E522" s="10" t="n"/>
      <c r="F522" s="10" t="n"/>
      <c r="G522" s="10" t="n"/>
      <c r="H522" s="10" t="n"/>
      <c r="I522" s="81" t="n"/>
      <c r="J522" s="10" t="n"/>
      <c r="K522" s="10" t="n"/>
      <c r="L522" s="10" t="n"/>
      <c r="M522" s="10" t="n"/>
      <c r="N522" s="10" t="n"/>
      <c r="O522" s="10" t="n"/>
      <c r="P522" s="10" t="n"/>
      <c r="Q522" s="10" t="n"/>
      <c r="R522" s="82" t="n"/>
      <c r="S522" s="10" t="n"/>
      <c r="T522" s="10" t="n"/>
      <c r="U522" s="83" t="n"/>
      <c r="V522" s="10" t="n"/>
    </row>
    <row r="523" ht="15.75" customHeight="1" s="297">
      <c r="B523" s="80" t="n"/>
      <c r="E523" s="10" t="n"/>
      <c r="F523" s="10" t="n"/>
      <c r="G523" s="10" t="n"/>
      <c r="H523" s="10" t="n"/>
      <c r="I523" s="81" t="n"/>
      <c r="J523" s="10" t="n"/>
      <c r="K523" s="10" t="n"/>
      <c r="L523" s="10" t="n"/>
      <c r="M523" s="10" t="n"/>
      <c r="N523" s="10" t="n"/>
      <c r="O523" s="10" t="n"/>
      <c r="P523" s="10" t="n"/>
      <c r="Q523" s="10" t="n"/>
      <c r="R523" s="82" t="n"/>
      <c r="S523" s="10" t="n"/>
      <c r="T523" s="10" t="n"/>
      <c r="U523" s="83" t="n"/>
      <c r="V523" s="10" t="n"/>
    </row>
    <row r="524" ht="15.75" customHeight="1" s="297">
      <c r="B524" s="80" t="n"/>
      <c r="E524" s="10" t="n"/>
      <c r="F524" s="10" t="n"/>
      <c r="G524" s="10" t="n"/>
      <c r="H524" s="10" t="n"/>
      <c r="I524" s="81" t="n"/>
      <c r="J524" s="10" t="n"/>
      <c r="K524" s="10" t="n"/>
      <c r="L524" s="10" t="n"/>
      <c r="M524" s="10" t="n"/>
      <c r="N524" s="10" t="n"/>
      <c r="O524" s="10" t="n"/>
      <c r="P524" s="10" t="n"/>
      <c r="Q524" s="10" t="n"/>
      <c r="R524" s="82" t="n"/>
      <c r="S524" s="10" t="n"/>
      <c r="T524" s="10" t="n"/>
      <c r="U524" s="83" t="n"/>
      <c r="V524" s="10" t="n"/>
    </row>
    <row r="525" ht="15.75" customHeight="1" s="297">
      <c r="B525" s="80" t="n"/>
      <c r="E525" s="10" t="n"/>
      <c r="F525" s="10" t="n"/>
      <c r="G525" s="10" t="n"/>
      <c r="H525" s="10" t="n"/>
      <c r="I525" s="81" t="n"/>
      <c r="J525" s="10" t="n"/>
      <c r="K525" s="10" t="n"/>
      <c r="L525" s="10" t="n"/>
      <c r="M525" s="10" t="n"/>
      <c r="N525" s="10" t="n"/>
      <c r="O525" s="10" t="n"/>
      <c r="P525" s="10" t="n"/>
      <c r="Q525" s="10" t="n"/>
      <c r="R525" s="82" t="n"/>
      <c r="S525" s="10" t="n"/>
      <c r="T525" s="10" t="n"/>
      <c r="U525" s="83" t="n"/>
      <c r="V525" s="10" t="n"/>
    </row>
    <row r="526" ht="15.75" customHeight="1" s="297">
      <c r="B526" s="80" t="n"/>
      <c r="E526" s="10" t="n"/>
      <c r="F526" s="10" t="n"/>
      <c r="G526" s="10" t="n"/>
      <c r="H526" s="10" t="n"/>
      <c r="I526" s="81" t="n"/>
      <c r="J526" s="10" t="n"/>
      <c r="K526" s="10" t="n"/>
      <c r="L526" s="10" t="n"/>
      <c r="M526" s="10" t="n"/>
      <c r="N526" s="10" t="n"/>
      <c r="O526" s="10" t="n"/>
      <c r="P526" s="10" t="n"/>
      <c r="Q526" s="10" t="n"/>
      <c r="R526" s="82" t="n"/>
      <c r="S526" s="10" t="n"/>
      <c r="T526" s="10" t="n"/>
      <c r="U526" s="83" t="n"/>
      <c r="V526" s="10" t="n"/>
    </row>
    <row r="527" ht="15.75" customHeight="1" s="297">
      <c r="B527" s="80" t="n"/>
      <c r="E527" s="10" t="n"/>
      <c r="F527" s="10" t="n"/>
      <c r="G527" s="10" t="n"/>
      <c r="H527" s="10" t="n"/>
      <c r="I527" s="81" t="n"/>
      <c r="J527" s="10" t="n"/>
      <c r="K527" s="10" t="n"/>
      <c r="L527" s="10" t="n"/>
      <c r="M527" s="10" t="n"/>
      <c r="N527" s="10" t="n"/>
      <c r="O527" s="10" t="n"/>
      <c r="P527" s="10" t="n"/>
      <c r="Q527" s="10" t="n"/>
      <c r="R527" s="82" t="n"/>
      <c r="S527" s="10" t="n"/>
      <c r="T527" s="10" t="n"/>
      <c r="U527" s="83" t="n"/>
      <c r="V527" s="10" t="n"/>
    </row>
    <row r="528" ht="15.75" customHeight="1" s="297">
      <c r="B528" s="80" t="n"/>
      <c r="E528" s="10" t="n"/>
      <c r="F528" s="10" t="n"/>
      <c r="G528" s="10" t="n"/>
      <c r="H528" s="10" t="n"/>
      <c r="I528" s="81" t="n"/>
      <c r="J528" s="10" t="n"/>
      <c r="K528" s="10" t="n"/>
      <c r="L528" s="10" t="n"/>
      <c r="M528" s="10" t="n"/>
      <c r="N528" s="10" t="n"/>
      <c r="O528" s="10" t="n"/>
      <c r="P528" s="10" t="n"/>
      <c r="Q528" s="10" t="n"/>
      <c r="R528" s="82" t="n"/>
      <c r="S528" s="10" t="n"/>
      <c r="T528" s="10" t="n"/>
      <c r="U528" s="83" t="n"/>
      <c r="V528" s="10" t="n"/>
    </row>
    <row r="529" ht="15.75" customHeight="1" s="297">
      <c r="B529" s="80" t="n"/>
      <c r="E529" s="10" t="n"/>
      <c r="F529" s="10" t="n"/>
      <c r="G529" s="10" t="n"/>
      <c r="H529" s="10" t="n"/>
      <c r="I529" s="81" t="n"/>
      <c r="J529" s="10" t="n"/>
      <c r="K529" s="10" t="n"/>
      <c r="L529" s="10" t="n"/>
      <c r="M529" s="10" t="n"/>
      <c r="N529" s="10" t="n"/>
      <c r="O529" s="10" t="n"/>
      <c r="P529" s="10" t="n"/>
      <c r="Q529" s="10" t="n"/>
      <c r="R529" s="82" t="n"/>
      <c r="S529" s="10" t="n"/>
      <c r="T529" s="10" t="n"/>
      <c r="U529" s="83" t="n"/>
      <c r="V529" s="10" t="n"/>
    </row>
    <row r="530" ht="15.75" customHeight="1" s="297">
      <c r="B530" s="80" t="n"/>
      <c r="E530" s="10" t="n"/>
      <c r="F530" s="10" t="n"/>
      <c r="G530" s="10" t="n"/>
      <c r="H530" s="10" t="n"/>
      <c r="I530" s="81" t="n"/>
      <c r="J530" s="10" t="n"/>
      <c r="K530" s="10" t="n"/>
      <c r="L530" s="10" t="n"/>
      <c r="M530" s="10" t="n"/>
      <c r="N530" s="10" t="n"/>
      <c r="O530" s="10" t="n"/>
      <c r="P530" s="10" t="n"/>
      <c r="Q530" s="10" t="n"/>
      <c r="R530" s="82" t="n"/>
      <c r="S530" s="10" t="n"/>
      <c r="T530" s="10" t="n"/>
      <c r="U530" s="83" t="n"/>
      <c r="V530" s="10" t="n"/>
    </row>
    <row r="531" ht="15.75" customHeight="1" s="297">
      <c r="B531" s="80" t="n"/>
      <c r="E531" s="10" t="n"/>
      <c r="F531" s="10" t="n"/>
      <c r="G531" s="10" t="n"/>
      <c r="H531" s="10" t="n"/>
      <c r="I531" s="81" t="n"/>
      <c r="J531" s="10" t="n"/>
      <c r="K531" s="10" t="n"/>
      <c r="L531" s="10" t="n"/>
      <c r="M531" s="10" t="n"/>
      <c r="N531" s="10" t="n"/>
      <c r="O531" s="10" t="n"/>
      <c r="P531" s="10" t="n"/>
      <c r="Q531" s="10" t="n"/>
      <c r="R531" s="82" t="n"/>
      <c r="S531" s="10" t="n"/>
      <c r="T531" s="10" t="n"/>
      <c r="U531" s="83" t="n"/>
      <c r="V531" s="10" t="n"/>
    </row>
    <row r="532" ht="15.75" customHeight="1" s="297">
      <c r="B532" s="80" t="n"/>
      <c r="E532" s="10" t="n"/>
      <c r="F532" s="10" t="n"/>
      <c r="G532" s="10" t="n"/>
      <c r="H532" s="10" t="n"/>
      <c r="I532" s="81" t="n"/>
      <c r="J532" s="10" t="n"/>
      <c r="K532" s="10" t="n"/>
      <c r="L532" s="10" t="n"/>
      <c r="M532" s="10" t="n"/>
      <c r="N532" s="10" t="n"/>
      <c r="O532" s="10" t="n"/>
      <c r="P532" s="10" t="n"/>
      <c r="Q532" s="10" t="n"/>
      <c r="R532" s="82" t="n"/>
      <c r="S532" s="10" t="n"/>
      <c r="T532" s="10" t="n"/>
      <c r="U532" s="83" t="n"/>
      <c r="V532" s="10" t="n"/>
    </row>
    <row r="533" ht="15.75" customHeight="1" s="297">
      <c r="B533" s="80" t="n"/>
      <c r="E533" s="10" t="n"/>
      <c r="F533" s="10" t="n"/>
      <c r="G533" s="10" t="n"/>
      <c r="H533" s="10" t="n"/>
      <c r="I533" s="81" t="n"/>
      <c r="J533" s="10" t="n"/>
      <c r="K533" s="10" t="n"/>
      <c r="L533" s="10" t="n"/>
      <c r="M533" s="10" t="n"/>
      <c r="N533" s="10" t="n"/>
      <c r="O533" s="10" t="n"/>
      <c r="P533" s="10" t="n"/>
      <c r="Q533" s="10" t="n"/>
      <c r="R533" s="82" t="n"/>
      <c r="S533" s="10" t="n"/>
      <c r="T533" s="10" t="n"/>
      <c r="U533" s="83" t="n"/>
      <c r="V533" s="10" t="n"/>
    </row>
    <row r="534" ht="15.75" customHeight="1" s="297">
      <c r="B534" s="80" t="n"/>
      <c r="E534" s="10" t="n"/>
      <c r="F534" s="10" t="n"/>
      <c r="G534" s="10" t="n"/>
      <c r="H534" s="10" t="n"/>
      <c r="I534" s="81" t="n"/>
      <c r="J534" s="10" t="n"/>
      <c r="K534" s="10" t="n"/>
      <c r="L534" s="10" t="n"/>
      <c r="M534" s="10" t="n"/>
      <c r="N534" s="10" t="n"/>
      <c r="O534" s="10" t="n"/>
      <c r="P534" s="10" t="n"/>
      <c r="Q534" s="10" t="n"/>
      <c r="R534" s="82" t="n"/>
      <c r="S534" s="10" t="n"/>
      <c r="T534" s="10" t="n"/>
      <c r="U534" s="83" t="n"/>
      <c r="V534" s="10" t="n"/>
    </row>
    <row r="535" ht="15.75" customHeight="1" s="297">
      <c r="B535" s="80" t="n"/>
      <c r="E535" s="10" t="n"/>
      <c r="F535" s="10" t="n"/>
      <c r="G535" s="10" t="n"/>
      <c r="H535" s="10" t="n"/>
      <c r="I535" s="81" t="n"/>
      <c r="J535" s="10" t="n"/>
      <c r="K535" s="10" t="n"/>
      <c r="L535" s="10" t="n"/>
      <c r="M535" s="10" t="n"/>
      <c r="N535" s="10" t="n"/>
      <c r="O535" s="10" t="n"/>
      <c r="P535" s="10" t="n"/>
      <c r="Q535" s="10" t="n"/>
      <c r="R535" s="82" t="n"/>
      <c r="S535" s="10" t="n"/>
      <c r="T535" s="10" t="n"/>
      <c r="U535" s="83" t="n"/>
      <c r="V535" s="10" t="n"/>
    </row>
    <row r="536" ht="15.75" customHeight="1" s="297">
      <c r="B536" s="80" t="n"/>
      <c r="E536" s="10" t="n"/>
      <c r="F536" s="10" t="n"/>
      <c r="G536" s="10" t="n"/>
      <c r="H536" s="10" t="n"/>
      <c r="I536" s="81" t="n"/>
      <c r="J536" s="10" t="n"/>
      <c r="K536" s="10" t="n"/>
      <c r="L536" s="10" t="n"/>
      <c r="M536" s="10" t="n"/>
      <c r="N536" s="10" t="n"/>
      <c r="O536" s="10" t="n"/>
      <c r="P536" s="10" t="n"/>
      <c r="Q536" s="10" t="n"/>
      <c r="R536" s="82" t="n"/>
      <c r="S536" s="10" t="n"/>
      <c r="T536" s="10" t="n"/>
      <c r="U536" s="83" t="n"/>
      <c r="V536" s="10" t="n"/>
    </row>
    <row r="537" ht="15.75" customHeight="1" s="297">
      <c r="B537" s="80" t="n"/>
      <c r="E537" s="10" t="n"/>
      <c r="F537" s="10" t="n"/>
      <c r="G537" s="10" t="n"/>
      <c r="H537" s="10" t="n"/>
      <c r="I537" s="81" t="n"/>
      <c r="J537" s="10" t="n"/>
      <c r="K537" s="10" t="n"/>
      <c r="L537" s="10" t="n"/>
      <c r="M537" s="10" t="n"/>
      <c r="N537" s="10" t="n"/>
      <c r="O537" s="10" t="n"/>
      <c r="P537" s="10" t="n"/>
      <c r="Q537" s="10" t="n"/>
      <c r="R537" s="82" t="n"/>
      <c r="S537" s="10" t="n"/>
      <c r="T537" s="10" t="n"/>
      <c r="U537" s="83" t="n"/>
      <c r="V537" s="10" t="n"/>
    </row>
    <row r="538" ht="15.75" customHeight="1" s="297">
      <c r="B538" s="80" t="n"/>
      <c r="E538" s="10" t="n"/>
      <c r="F538" s="10" t="n"/>
      <c r="G538" s="10" t="n"/>
      <c r="H538" s="10" t="n"/>
      <c r="I538" s="81" t="n"/>
      <c r="J538" s="10" t="n"/>
      <c r="K538" s="10" t="n"/>
      <c r="L538" s="10" t="n"/>
      <c r="M538" s="10" t="n"/>
      <c r="N538" s="10" t="n"/>
      <c r="O538" s="10" t="n"/>
      <c r="P538" s="10" t="n"/>
      <c r="Q538" s="10" t="n"/>
      <c r="R538" s="82" t="n"/>
      <c r="S538" s="10" t="n"/>
      <c r="T538" s="10" t="n"/>
      <c r="U538" s="83" t="n"/>
      <c r="V538" s="10" t="n"/>
    </row>
    <row r="539" ht="15.75" customHeight="1" s="297">
      <c r="B539" s="80" t="n"/>
      <c r="E539" s="10" t="n"/>
      <c r="F539" s="10" t="n"/>
      <c r="G539" s="10" t="n"/>
      <c r="H539" s="10" t="n"/>
      <c r="I539" s="81" t="n"/>
      <c r="J539" s="10" t="n"/>
      <c r="K539" s="10" t="n"/>
      <c r="L539" s="10" t="n"/>
      <c r="M539" s="10" t="n"/>
      <c r="N539" s="10" t="n"/>
      <c r="O539" s="10" t="n"/>
      <c r="P539" s="10" t="n"/>
      <c r="Q539" s="10" t="n"/>
      <c r="R539" s="82" t="n"/>
      <c r="S539" s="10" t="n"/>
      <c r="T539" s="10" t="n"/>
      <c r="U539" s="83" t="n"/>
      <c r="V539" s="10" t="n"/>
    </row>
    <row r="540" ht="15.75" customHeight="1" s="297">
      <c r="B540" s="80" t="n"/>
      <c r="E540" s="10" t="n"/>
      <c r="F540" s="10" t="n"/>
      <c r="G540" s="10" t="n"/>
      <c r="H540" s="10" t="n"/>
      <c r="I540" s="81" t="n"/>
      <c r="J540" s="10" t="n"/>
      <c r="K540" s="10" t="n"/>
      <c r="L540" s="10" t="n"/>
      <c r="M540" s="10" t="n"/>
      <c r="N540" s="10" t="n"/>
      <c r="O540" s="10" t="n"/>
      <c r="P540" s="10" t="n"/>
      <c r="Q540" s="10" t="n"/>
      <c r="R540" s="82" t="n"/>
      <c r="S540" s="10" t="n"/>
      <c r="T540" s="10" t="n"/>
      <c r="U540" s="83" t="n"/>
      <c r="V540" s="10" t="n"/>
    </row>
    <row r="541" ht="15.75" customHeight="1" s="297">
      <c r="B541" s="80" t="n"/>
      <c r="E541" s="10" t="n"/>
      <c r="F541" s="10" t="n"/>
      <c r="G541" s="10" t="n"/>
      <c r="H541" s="10" t="n"/>
      <c r="I541" s="81" t="n"/>
      <c r="J541" s="10" t="n"/>
      <c r="K541" s="10" t="n"/>
      <c r="L541" s="10" t="n"/>
      <c r="M541" s="10" t="n"/>
      <c r="N541" s="10" t="n"/>
      <c r="O541" s="10" t="n"/>
      <c r="P541" s="10" t="n"/>
      <c r="Q541" s="10" t="n"/>
      <c r="R541" s="82" t="n"/>
      <c r="S541" s="10" t="n"/>
      <c r="T541" s="10" t="n"/>
      <c r="U541" s="83" t="n"/>
      <c r="V541" s="10" t="n"/>
    </row>
    <row r="542" ht="15.75" customHeight="1" s="297">
      <c r="B542" s="80" t="n"/>
      <c r="E542" s="10" t="n"/>
      <c r="F542" s="10" t="n"/>
      <c r="G542" s="10" t="n"/>
      <c r="H542" s="10" t="n"/>
      <c r="I542" s="81" t="n"/>
      <c r="J542" s="10" t="n"/>
      <c r="K542" s="10" t="n"/>
      <c r="L542" s="10" t="n"/>
      <c r="M542" s="10" t="n"/>
      <c r="N542" s="10" t="n"/>
      <c r="O542" s="10" t="n"/>
      <c r="P542" s="10" t="n"/>
      <c r="Q542" s="10" t="n"/>
      <c r="R542" s="82" t="n"/>
      <c r="S542" s="10" t="n"/>
      <c r="T542" s="10" t="n"/>
      <c r="U542" s="83" t="n"/>
      <c r="V542" s="10" t="n"/>
    </row>
    <row r="543" ht="15.75" customHeight="1" s="297">
      <c r="B543" s="80" t="n"/>
      <c r="E543" s="10" t="n"/>
      <c r="F543" s="10" t="n"/>
      <c r="G543" s="10" t="n"/>
      <c r="H543" s="10" t="n"/>
      <c r="I543" s="81" t="n"/>
      <c r="J543" s="10" t="n"/>
      <c r="K543" s="10" t="n"/>
      <c r="L543" s="10" t="n"/>
      <c r="M543" s="10" t="n"/>
      <c r="N543" s="10" t="n"/>
      <c r="O543" s="10" t="n"/>
      <c r="P543" s="10" t="n"/>
      <c r="Q543" s="10" t="n"/>
      <c r="R543" s="82" t="n"/>
      <c r="S543" s="10" t="n"/>
      <c r="T543" s="10" t="n"/>
      <c r="U543" s="83" t="n"/>
      <c r="V543" s="10" t="n"/>
    </row>
    <row r="544" ht="15.75" customHeight="1" s="297">
      <c r="B544" s="80" t="n"/>
      <c r="E544" s="10" t="n"/>
      <c r="F544" s="10" t="n"/>
      <c r="G544" s="10" t="n"/>
      <c r="H544" s="10" t="n"/>
      <c r="I544" s="81" t="n"/>
      <c r="J544" s="10" t="n"/>
      <c r="K544" s="10" t="n"/>
      <c r="L544" s="10" t="n"/>
      <c r="M544" s="10" t="n"/>
      <c r="N544" s="10" t="n"/>
      <c r="O544" s="10" t="n"/>
      <c r="P544" s="10" t="n"/>
      <c r="Q544" s="10" t="n"/>
      <c r="R544" s="82" t="n"/>
      <c r="S544" s="10" t="n"/>
      <c r="T544" s="10" t="n"/>
      <c r="U544" s="83" t="n"/>
      <c r="V544" s="10" t="n"/>
    </row>
    <row r="545" ht="15.75" customHeight="1" s="297">
      <c r="B545" s="80" t="n"/>
      <c r="E545" s="10" t="n"/>
      <c r="F545" s="10" t="n"/>
      <c r="G545" s="10" t="n"/>
      <c r="H545" s="10" t="n"/>
      <c r="I545" s="81" t="n"/>
      <c r="J545" s="10" t="n"/>
      <c r="K545" s="10" t="n"/>
      <c r="L545" s="10" t="n"/>
      <c r="M545" s="10" t="n"/>
      <c r="N545" s="10" t="n"/>
      <c r="O545" s="10" t="n"/>
      <c r="P545" s="10" t="n"/>
      <c r="Q545" s="10" t="n"/>
      <c r="R545" s="82" t="n"/>
      <c r="S545" s="10" t="n"/>
      <c r="T545" s="10" t="n"/>
      <c r="U545" s="83" t="n"/>
      <c r="V545" s="10" t="n"/>
    </row>
    <row r="546" ht="15.75" customHeight="1" s="297">
      <c r="B546" s="80" t="n"/>
      <c r="E546" s="10" t="n"/>
      <c r="F546" s="10" t="n"/>
      <c r="G546" s="10" t="n"/>
      <c r="H546" s="10" t="n"/>
      <c r="I546" s="81" t="n"/>
      <c r="J546" s="10" t="n"/>
      <c r="K546" s="10" t="n"/>
      <c r="L546" s="10" t="n"/>
      <c r="M546" s="10" t="n"/>
      <c r="N546" s="10" t="n"/>
      <c r="O546" s="10" t="n"/>
      <c r="P546" s="10" t="n"/>
      <c r="Q546" s="10" t="n"/>
      <c r="R546" s="82" t="n"/>
      <c r="S546" s="10" t="n"/>
      <c r="T546" s="10" t="n"/>
      <c r="U546" s="83" t="n"/>
      <c r="V546" s="10" t="n"/>
    </row>
    <row r="547" ht="15.75" customHeight="1" s="297">
      <c r="B547" s="80" t="n"/>
      <c r="E547" s="10" t="n"/>
      <c r="F547" s="10" t="n"/>
      <c r="G547" s="10" t="n"/>
      <c r="H547" s="10" t="n"/>
      <c r="I547" s="81" t="n"/>
      <c r="J547" s="10" t="n"/>
      <c r="K547" s="10" t="n"/>
      <c r="L547" s="10" t="n"/>
      <c r="M547" s="10" t="n"/>
      <c r="N547" s="10" t="n"/>
      <c r="O547" s="10" t="n"/>
      <c r="P547" s="10" t="n"/>
      <c r="Q547" s="10" t="n"/>
      <c r="R547" s="82" t="n"/>
      <c r="S547" s="10" t="n"/>
      <c r="T547" s="10" t="n"/>
      <c r="U547" s="83" t="n"/>
      <c r="V547" s="10" t="n"/>
    </row>
    <row r="548" ht="15.75" customHeight="1" s="297">
      <c r="B548" s="80" t="n"/>
      <c r="E548" s="10" t="n"/>
      <c r="F548" s="10" t="n"/>
      <c r="G548" s="10" t="n"/>
      <c r="H548" s="10" t="n"/>
      <c r="I548" s="81" t="n"/>
      <c r="J548" s="10" t="n"/>
      <c r="K548" s="10" t="n"/>
      <c r="L548" s="10" t="n"/>
      <c r="M548" s="10" t="n"/>
      <c r="N548" s="10" t="n"/>
      <c r="O548" s="10" t="n"/>
      <c r="P548" s="10" t="n"/>
      <c r="Q548" s="10" t="n"/>
      <c r="R548" s="82" t="n"/>
      <c r="S548" s="10" t="n"/>
      <c r="T548" s="10" t="n"/>
      <c r="U548" s="83" t="n"/>
      <c r="V548" s="10" t="n"/>
    </row>
    <row r="549" ht="15.75" customHeight="1" s="297">
      <c r="B549" s="80" t="n"/>
      <c r="E549" s="10" t="n"/>
      <c r="F549" s="10" t="n"/>
      <c r="G549" s="10" t="n"/>
      <c r="H549" s="10" t="n"/>
      <c r="I549" s="81" t="n"/>
      <c r="J549" s="10" t="n"/>
      <c r="K549" s="10" t="n"/>
      <c r="L549" s="10" t="n"/>
      <c r="M549" s="10" t="n"/>
      <c r="N549" s="10" t="n"/>
      <c r="O549" s="10" t="n"/>
      <c r="P549" s="10" t="n"/>
      <c r="Q549" s="10" t="n"/>
      <c r="R549" s="82" t="n"/>
      <c r="S549" s="10" t="n"/>
      <c r="T549" s="10" t="n"/>
      <c r="U549" s="83" t="n"/>
      <c r="V549" s="10" t="n"/>
    </row>
    <row r="550" ht="15.75" customHeight="1" s="297">
      <c r="B550" s="80" t="n"/>
      <c r="E550" s="10" t="n"/>
      <c r="F550" s="10" t="n"/>
      <c r="G550" s="10" t="n"/>
      <c r="H550" s="10" t="n"/>
      <c r="I550" s="81" t="n"/>
      <c r="J550" s="10" t="n"/>
      <c r="K550" s="10" t="n"/>
      <c r="L550" s="10" t="n"/>
      <c r="M550" s="10" t="n"/>
      <c r="N550" s="10" t="n"/>
      <c r="O550" s="10" t="n"/>
      <c r="P550" s="10" t="n"/>
      <c r="Q550" s="10" t="n"/>
      <c r="R550" s="82" t="n"/>
      <c r="S550" s="10" t="n"/>
      <c r="T550" s="10" t="n"/>
      <c r="U550" s="83" t="n"/>
      <c r="V550" s="10" t="n"/>
    </row>
    <row r="551" ht="15.75" customHeight="1" s="297">
      <c r="B551" s="80" t="n"/>
      <c r="E551" s="10" t="n"/>
      <c r="F551" s="10" t="n"/>
      <c r="G551" s="10" t="n"/>
      <c r="H551" s="10" t="n"/>
      <c r="I551" s="81" t="n"/>
      <c r="J551" s="10" t="n"/>
      <c r="K551" s="10" t="n"/>
      <c r="L551" s="10" t="n"/>
      <c r="M551" s="10" t="n"/>
      <c r="N551" s="10" t="n"/>
      <c r="O551" s="10" t="n"/>
      <c r="P551" s="10" t="n"/>
      <c r="Q551" s="10" t="n"/>
      <c r="R551" s="82" t="n"/>
      <c r="S551" s="10" t="n"/>
      <c r="T551" s="10" t="n"/>
      <c r="U551" s="83" t="n"/>
      <c r="V551" s="10" t="n"/>
    </row>
    <row r="552" ht="15.75" customHeight="1" s="297">
      <c r="B552" s="80" t="n"/>
      <c r="E552" s="10" t="n"/>
      <c r="F552" s="10" t="n"/>
      <c r="G552" s="10" t="n"/>
      <c r="H552" s="10" t="n"/>
      <c r="I552" s="81" t="n"/>
      <c r="J552" s="10" t="n"/>
      <c r="K552" s="10" t="n"/>
      <c r="L552" s="10" t="n"/>
      <c r="M552" s="10" t="n"/>
      <c r="N552" s="10" t="n"/>
      <c r="O552" s="10" t="n"/>
      <c r="P552" s="10" t="n"/>
      <c r="Q552" s="10" t="n"/>
      <c r="R552" s="82" t="n"/>
      <c r="S552" s="10" t="n"/>
      <c r="T552" s="10" t="n"/>
      <c r="U552" s="83" t="n"/>
      <c r="V552" s="10" t="n"/>
    </row>
    <row r="553" ht="15.75" customHeight="1" s="297">
      <c r="B553" s="80" t="n"/>
      <c r="E553" s="10" t="n"/>
      <c r="F553" s="10" t="n"/>
      <c r="G553" s="10" t="n"/>
      <c r="H553" s="10" t="n"/>
      <c r="I553" s="81" t="n"/>
      <c r="J553" s="10" t="n"/>
      <c r="K553" s="10" t="n"/>
      <c r="L553" s="10" t="n"/>
      <c r="M553" s="10" t="n"/>
      <c r="N553" s="10" t="n"/>
      <c r="O553" s="10" t="n"/>
      <c r="P553" s="10" t="n"/>
      <c r="Q553" s="10" t="n"/>
      <c r="R553" s="82" t="n"/>
      <c r="S553" s="10" t="n"/>
      <c r="T553" s="10" t="n"/>
      <c r="U553" s="83" t="n"/>
      <c r="V553" s="10" t="n"/>
    </row>
    <row r="554" ht="15.75" customHeight="1" s="297">
      <c r="B554" s="80" t="n"/>
      <c r="E554" s="10" t="n"/>
      <c r="F554" s="10" t="n"/>
      <c r="G554" s="10" t="n"/>
      <c r="H554" s="10" t="n"/>
      <c r="I554" s="81" t="n"/>
      <c r="J554" s="10" t="n"/>
      <c r="K554" s="10" t="n"/>
      <c r="L554" s="10" t="n"/>
      <c r="M554" s="10" t="n"/>
      <c r="N554" s="10" t="n"/>
      <c r="O554" s="10" t="n"/>
      <c r="P554" s="10" t="n"/>
      <c r="Q554" s="10" t="n"/>
      <c r="R554" s="82" t="n"/>
      <c r="S554" s="10" t="n"/>
      <c r="T554" s="10" t="n"/>
      <c r="U554" s="83" t="n"/>
      <c r="V554" s="10" t="n"/>
    </row>
    <row r="555" ht="15.75" customHeight="1" s="297">
      <c r="B555" s="80" t="n"/>
      <c r="E555" s="10" t="n"/>
      <c r="F555" s="10" t="n"/>
      <c r="G555" s="10" t="n"/>
      <c r="H555" s="10" t="n"/>
      <c r="I555" s="81" t="n"/>
      <c r="J555" s="10" t="n"/>
      <c r="K555" s="10" t="n"/>
      <c r="L555" s="10" t="n"/>
      <c r="M555" s="10" t="n"/>
      <c r="N555" s="10" t="n"/>
      <c r="O555" s="10" t="n"/>
      <c r="P555" s="10" t="n"/>
      <c r="Q555" s="10" t="n"/>
      <c r="R555" s="82" t="n"/>
      <c r="S555" s="10" t="n"/>
      <c r="T555" s="10" t="n"/>
      <c r="U555" s="83" t="n"/>
      <c r="V555" s="10" t="n"/>
    </row>
    <row r="556" ht="15.75" customHeight="1" s="297">
      <c r="B556" s="80" t="n"/>
      <c r="E556" s="10" t="n"/>
      <c r="F556" s="10" t="n"/>
      <c r="G556" s="10" t="n"/>
      <c r="H556" s="10" t="n"/>
      <c r="I556" s="81" t="n"/>
      <c r="J556" s="10" t="n"/>
      <c r="K556" s="10" t="n"/>
      <c r="L556" s="10" t="n"/>
      <c r="M556" s="10" t="n"/>
      <c r="N556" s="10" t="n"/>
      <c r="O556" s="10" t="n"/>
      <c r="P556" s="10" t="n"/>
      <c r="Q556" s="10" t="n"/>
      <c r="R556" s="82" t="n"/>
      <c r="S556" s="10" t="n"/>
      <c r="T556" s="10" t="n"/>
      <c r="U556" s="83" t="n"/>
      <c r="V556" s="10" t="n"/>
    </row>
    <row r="557" ht="15.75" customHeight="1" s="297">
      <c r="B557" s="80" t="n"/>
      <c r="E557" s="10" t="n"/>
      <c r="F557" s="10" t="n"/>
      <c r="G557" s="10" t="n"/>
      <c r="H557" s="10" t="n"/>
      <c r="I557" s="81" t="n"/>
      <c r="J557" s="10" t="n"/>
      <c r="K557" s="10" t="n"/>
      <c r="L557" s="10" t="n"/>
      <c r="M557" s="10" t="n"/>
      <c r="N557" s="10" t="n"/>
      <c r="O557" s="10" t="n"/>
      <c r="P557" s="10" t="n"/>
      <c r="Q557" s="10" t="n"/>
      <c r="R557" s="82" t="n"/>
      <c r="S557" s="10" t="n"/>
      <c r="T557" s="10" t="n"/>
      <c r="U557" s="83" t="n"/>
      <c r="V557" s="10" t="n"/>
    </row>
    <row r="558" ht="15.75" customHeight="1" s="297">
      <c r="B558" s="80" t="n"/>
      <c r="E558" s="10" t="n"/>
      <c r="F558" s="10" t="n"/>
      <c r="G558" s="10" t="n"/>
      <c r="H558" s="10" t="n"/>
      <c r="I558" s="81" t="n"/>
      <c r="J558" s="10" t="n"/>
      <c r="K558" s="10" t="n"/>
      <c r="L558" s="10" t="n"/>
      <c r="M558" s="10" t="n"/>
      <c r="N558" s="10" t="n"/>
      <c r="O558" s="10" t="n"/>
      <c r="P558" s="10" t="n"/>
      <c r="Q558" s="10" t="n"/>
      <c r="R558" s="82" t="n"/>
      <c r="S558" s="10" t="n"/>
      <c r="T558" s="10" t="n"/>
      <c r="U558" s="83" t="n"/>
      <c r="V558" s="10" t="n"/>
    </row>
    <row r="559" ht="15.75" customHeight="1" s="297">
      <c r="B559" s="80" t="n"/>
      <c r="E559" s="10" t="n"/>
      <c r="F559" s="10" t="n"/>
      <c r="G559" s="10" t="n"/>
      <c r="H559" s="10" t="n"/>
      <c r="I559" s="81" t="n"/>
      <c r="J559" s="10" t="n"/>
      <c r="K559" s="10" t="n"/>
      <c r="L559" s="10" t="n"/>
      <c r="M559" s="10" t="n"/>
      <c r="N559" s="10" t="n"/>
      <c r="O559" s="10" t="n"/>
      <c r="P559" s="10" t="n"/>
      <c r="Q559" s="10" t="n"/>
      <c r="R559" s="82" t="n"/>
      <c r="S559" s="10" t="n"/>
      <c r="T559" s="10" t="n"/>
      <c r="U559" s="83" t="n"/>
      <c r="V559" s="10" t="n"/>
    </row>
    <row r="560" ht="15.75" customHeight="1" s="297">
      <c r="B560" s="80" t="n"/>
      <c r="E560" s="10" t="n"/>
      <c r="F560" s="10" t="n"/>
      <c r="G560" s="10" t="n"/>
      <c r="H560" s="10" t="n"/>
      <c r="I560" s="81" t="n"/>
      <c r="J560" s="10" t="n"/>
      <c r="K560" s="10" t="n"/>
      <c r="L560" s="10" t="n"/>
      <c r="M560" s="10" t="n"/>
      <c r="N560" s="10" t="n"/>
      <c r="O560" s="10" t="n"/>
      <c r="P560" s="10" t="n"/>
      <c r="Q560" s="10" t="n"/>
      <c r="R560" s="82" t="n"/>
      <c r="S560" s="10" t="n"/>
      <c r="T560" s="10" t="n"/>
      <c r="U560" s="83" t="n"/>
      <c r="V560" s="10" t="n"/>
    </row>
    <row r="561" ht="15.75" customHeight="1" s="297">
      <c r="B561" s="80" t="n"/>
      <c r="E561" s="10" t="n"/>
      <c r="F561" s="10" t="n"/>
      <c r="G561" s="10" t="n"/>
      <c r="H561" s="10" t="n"/>
      <c r="I561" s="81" t="n"/>
      <c r="J561" s="10" t="n"/>
      <c r="K561" s="10" t="n"/>
      <c r="L561" s="10" t="n"/>
      <c r="M561" s="10" t="n"/>
      <c r="N561" s="10" t="n"/>
      <c r="O561" s="10" t="n"/>
      <c r="P561" s="10" t="n"/>
      <c r="Q561" s="10" t="n"/>
      <c r="R561" s="82" t="n"/>
      <c r="S561" s="10" t="n"/>
      <c r="T561" s="10" t="n"/>
      <c r="U561" s="83" t="n"/>
      <c r="V561" s="10" t="n"/>
    </row>
    <row r="562" ht="15.75" customHeight="1" s="297">
      <c r="B562" s="80" t="n"/>
      <c r="E562" s="10" t="n"/>
      <c r="F562" s="10" t="n"/>
      <c r="G562" s="10" t="n"/>
      <c r="H562" s="10" t="n"/>
      <c r="I562" s="81" t="n"/>
      <c r="J562" s="10" t="n"/>
      <c r="K562" s="10" t="n"/>
      <c r="L562" s="10" t="n"/>
      <c r="M562" s="10" t="n"/>
      <c r="N562" s="10" t="n"/>
      <c r="O562" s="10" t="n"/>
      <c r="P562" s="10" t="n"/>
      <c r="Q562" s="10" t="n"/>
      <c r="R562" s="82" t="n"/>
      <c r="S562" s="10" t="n"/>
      <c r="T562" s="10" t="n"/>
      <c r="U562" s="83" t="n"/>
      <c r="V562" s="10" t="n"/>
    </row>
    <row r="563" ht="15.75" customHeight="1" s="297">
      <c r="B563" s="80" t="n"/>
      <c r="E563" s="10" t="n"/>
      <c r="F563" s="10" t="n"/>
      <c r="G563" s="10" t="n"/>
      <c r="H563" s="10" t="n"/>
      <c r="I563" s="81" t="n"/>
      <c r="J563" s="10" t="n"/>
      <c r="K563" s="10" t="n"/>
      <c r="L563" s="10" t="n"/>
      <c r="M563" s="10" t="n"/>
      <c r="N563" s="10" t="n"/>
      <c r="O563" s="10" t="n"/>
      <c r="P563" s="10" t="n"/>
      <c r="Q563" s="10" t="n"/>
      <c r="R563" s="82" t="n"/>
      <c r="S563" s="10" t="n"/>
      <c r="T563" s="10" t="n"/>
      <c r="U563" s="83" t="n"/>
      <c r="V563" s="10" t="n"/>
    </row>
    <row r="564" ht="15.75" customHeight="1" s="297">
      <c r="B564" s="80" t="n"/>
      <c r="E564" s="10" t="n"/>
      <c r="F564" s="10" t="n"/>
      <c r="G564" s="10" t="n"/>
      <c r="H564" s="10" t="n"/>
      <c r="I564" s="81" t="n"/>
      <c r="J564" s="10" t="n"/>
      <c r="K564" s="10" t="n"/>
      <c r="L564" s="10" t="n"/>
      <c r="M564" s="10" t="n"/>
      <c r="N564" s="10" t="n"/>
      <c r="O564" s="10" t="n"/>
      <c r="P564" s="10" t="n"/>
      <c r="Q564" s="10" t="n"/>
      <c r="R564" s="82" t="n"/>
      <c r="S564" s="10" t="n"/>
      <c r="T564" s="10" t="n"/>
      <c r="U564" s="83" t="n"/>
      <c r="V564" s="10" t="n"/>
    </row>
    <row r="565" ht="15.75" customHeight="1" s="297">
      <c r="B565" s="80" t="n"/>
      <c r="E565" s="10" t="n"/>
      <c r="F565" s="10" t="n"/>
      <c r="G565" s="10" t="n"/>
      <c r="H565" s="10" t="n"/>
      <c r="I565" s="81" t="n"/>
      <c r="J565" s="10" t="n"/>
      <c r="K565" s="10" t="n"/>
      <c r="L565" s="10" t="n"/>
      <c r="M565" s="10" t="n"/>
      <c r="N565" s="10" t="n"/>
      <c r="O565" s="10" t="n"/>
      <c r="P565" s="10" t="n"/>
      <c r="Q565" s="10" t="n"/>
      <c r="R565" s="82" t="n"/>
      <c r="S565" s="10" t="n"/>
      <c r="T565" s="10" t="n"/>
      <c r="U565" s="83" t="n"/>
      <c r="V565" s="10" t="n"/>
    </row>
    <row r="566" ht="15.75" customHeight="1" s="297">
      <c r="B566" s="80" t="n"/>
      <c r="E566" s="10" t="n"/>
      <c r="F566" s="10" t="n"/>
      <c r="G566" s="10" t="n"/>
      <c r="H566" s="10" t="n"/>
      <c r="I566" s="81" t="n"/>
      <c r="J566" s="10" t="n"/>
      <c r="K566" s="10" t="n"/>
      <c r="L566" s="10" t="n"/>
      <c r="M566" s="10" t="n"/>
      <c r="N566" s="10" t="n"/>
      <c r="O566" s="10" t="n"/>
      <c r="P566" s="10" t="n"/>
      <c r="Q566" s="10" t="n"/>
      <c r="R566" s="82" t="n"/>
      <c r="S566" s="10" t="n"/>
      <c r="T566" s="10" t="n"/>
      <c r="U566" s="83" t="n"/>
      <c r="V566" s="10" t="n"/>
    </row>
    <row r="567" ht="15.75" customHeight="1" s="297">
      <c r="B567" s="80" t="n"/>
      <c r="E567" s="10" t="n"/>
      <c r="F567" s="10" t="n"/>
      <c r="G567" s="10" t="n"/>
      <c r="H567" s="10" t="n"/>
      <c r="I567" s="81" t="n"/>
      <c r="J567" s="10" t="n"/>
      <c r="K567" s="10" t="n"/>
      <c r="L567" s="10" t="n"/>
      <c r="M567" s="10" t="n"/>
      <c r="N567" s="10" t="n"/>
      <c r="O567" s="10" t="n"/>
      <c r="P567" s="10" t="n"/>
      <c r="Q567" s="10" t="n"/>
      <c r="R567" s="82" t="n"/>
      <c r="S567" s="10" t="n"/>
      <c r="T567" s="10" t="n"/>
      <c r="U567" s="83" t="n"/>
      <c r="V567" s="10" t="n"/>
    </row>
    <row r="568" ht="15.75" customHeight="1" s="297">
      <c r="B568" s="80" t="n"/>
      <c r="E568" s="10" t="n"/>
      <c r="F568" s="10" t="n"/>
      <c r="G568" s="10" t="n"/>
      <c r="H568" s="10" t="n"/>
      <c r="I568" s="81" t="n"/>
      <c r="J568" s="10" t="n"/>
      <c r="K568" s="10" t="n"/>
      <c r="L568" s="10" t="n"/>
      <c r="M568" s="10" t="n"/>
      <c r="N568" s="10" t="n"/>
      <c r="O568" s="10" t="n"/>
      <c r="P568" s="10" t="n"/>
      <c r="Q568" s="10" t="n"/>
      <c r="R568" s="82" t="n"/>
      <c r="S568" s="10" t="n"/>
      <c r="T568" s="10" t="n"/>
      <c r="U568" s="83" t="n"/>
      <c r="V568" s="10" t="n"/>
    </row>
    <row r="569" ht="15.75" customHeight="1" s="297">
      <c r="B569" s="80" t="n"/>
      <c r="E569" s="10" t="n"/>
      <c r="F569" s="10" t="n"/>
      <c r="G569" s="10" t="n"/>
      <c r="H569" s="10" t="n"/>
      <c r="I569" s="81" t="n"/>
      <c r="J569" s="10" t="n"/>
      <c r="K569" s="10" t="n"/>
      <c r="L569" s="10" t="n"/>
      <c r="M569" s="10" t="n"/>
      <c r="N569" s="10" t="n"/>
      <c r="O569" s="10" t="n"/>
      <c r="P569" s="10" t="n"/>
      <c r="Q569" s="10" t="n"/>
      <c r="R569" s="82" t="n"/>
      <c r="S569" s="10" t="n"/>
      <c r="T569" s="10" t="n"/>
      <c r="U569" s="83" t="n"/>
      <c r="V569" s="10" t="n"/>
    </row>
    <row r="570" ht="15.75" customHeight="1" s="297">
      <c r="B570" s="80" t="n"/>
      <c r="E570" s="10" t="n"/>
      <c r="F570" s="10" t="n"/>
      <c r="G570" s="10" t="n"/>
      <c r="H570" s="10" t="n"/>
      <c r="I570" s="81" t="n"/>
      <c r="J570" s="10" t="n"/>
      <c r="K570" s="10" t="n"/>
      <c r="L570" s="10" t="n"/>
      <c r="M570" s="10" t="n"/>
      <c r="N570" s="10" t="n"/>
      <c r="O570" s="10" t="n"/>
      <c r="P570" s="10" t="n"/>
      <c r="Q570" s="10" t="n"/>
      <c r="R570" s="82" t="n"/>
      <c r="S570" s="10" t="n"/>
      <c r="T570" s="10" t="n"/>
      <c r="U570" s="83" t="n"/>
      <c r="V570" s="10" t="n"/>
    </row>
    <row r="571" ht="15.75" customHeight="1" s="297">
      <c r="B571" s="80" t="n"/>
      <c r="E571" s="10" t="n"/>
      <c r="F571" s="10" t="n"/>
      <c r="G571" s="10" t="n"/>
      <c r="H571" s="10" t="n"/>
      <c r="I571" s="81" t="n"/>
      <c r="J571" s="10" t="n"/>
      <c r="K571" s="10" t="n"/>
      <c r="L571" s="10" t="n"/>
      <c r="M571" s="10" t="n"/>
      <c r="N571" s="10" t="n"/>
      <c r="O571" s="10" t="n"/>
      <c r="P571" s="10" t="n"/>
      <c r="Q571" s="10" t="n"/>
      <c r="R571" s="82" t="n"/>
      <c r="S571" s="10" t="n"/>
      <c r="T571" s="10" t="n"/>
      <c r="U571" s="83" t="n"/>
      <c r="V571" s="10" t="n"/>
    </row>
    <row r="572" ht="15.75" customHeight="1" s="297">
      <c r="B572" s="80" t="n"/>
      <c r="E572" s="10" t="n"/>
      <c r="F572" s="10" t="n"/>
      <c r="G572" s="10" t="n"/>
      <c r="H572" s="10" t="n"/>
      <c r="I572" s="81" t="n"/>
      <c r="J572" s="10" t="n"/>
      <c r="K572" s="10" t="n"/>
      <c r="L572" s="10" t="n"/>
      <c r="M572" s="10" t="n"/>
      <c r="N572" s="10" t="n"/>
      <c r="O572" s="10" t="n"/>
      <c r="P572" s="10" t="n"/>
      <c r="Q572" s="10" t="n"/>
      <c r="R572" s="82" t="n"/>
      <c r="S572" s="10" t="n"/>
      <c r="T572" s="10" t="n"/>
      <c r="U572" s="83" t="n"/>
      <c r="V572" s="10" t="n"/>
    </row>
    <row r="573" ht="15.75" customHeight="1" s="297">
      <c r="B573" s="80" t="n"/>
      <c r="E573" s="10" t="n"/>
      <c r="F573" s="10" t="n"/>
      <c r="G573" s="10" t="n"/>
      <c r="H573" s="10" t="n"/>
      <c r="I573" s="81" t="n"/>
      <c r="J573" s="10" t="n"/>
      <c r="K573" s="10" t="n"/>
      <c r="L573" s="10" t="n"/>
      <c r="M573" s="10" t="n"/>
      <c r="N573" s="10" t="n"/>
      <c r="O573" s="10" t="n"/>
      <c r="P573" s="10" t="n"/>
      <c r="Q573" s="10" t="n"/>
      <c r="R573" s="82" t="n"/>
      <c r="S573" s="10" t="n"/>
      <c r="T573" s="10" t="n"/>
      <c r="U573" s="83" t="n"/>
      <c r="V573" s="10" t="n"/>
    </row>
    <row r="574" ht="15.75" customHeight="1" s="297">
      <c r="B574" s="80" t="n"/>
      <c r="E574" s="10" t="n"/>
      <c r="F574" s="10" t="n"/>
      <c r="G574" s="10" t="n"/>
      <c r="H574" s="10" t="n"/>
      <c r="I574" s="81" t="n"/>
      <c r="J574" s="10" t="n"/>
      <c r="K574" s="10" t="n"/>
      <c r="L574" s="10" t="n"/>
      <c r="M574" s="10" t="n"/>
      <c r="N574" s="10" t="n"/>
      <c r="O574" s="10" t="n"/>
      <c r="P574" s="10" t="n"/>
      <c r="Q574" s="10" t="n"/>
      <c r="R574" s="82" t="n"/>
      <c r="S574" s="10" t="n"/>
      <c r="T574" s="10" t="n"/>
      <c r="U574" s="83" t="n"/>
      <c r="V574" s="10" t="n"/>
    </row>
    <row r="575" ht="15.75" customHeight="1" s="297">
      <c r="B575" s="80" t="n"/>
      <c r="E575" s="10" t="n"/>
      <c r="F575" s="10" t="n"/>
      <c r="G575" s="10" t="n"/>
      <c r="H575" s="10" t="n"/>
      <c r="I575" s="81" t="n"/>
      <c r="J575" s="10" t="n"/>
      <c r="K575" s="10" t="n"/>
      <c r="L575" s="10" t="n"/>
      <c r="M575" s="10" t="n"/>
      <c r="N575" s="10" t="n"/>
      <c r="O575" s="10" t="n"/>
      <c r="P575" s="10" t="n"/>
      <c r="Q575" s="10" t="n"/>
      <c r="R575" s="82" t="n"/>
      <c r="S575" s="10" t="n"/>
      <c r="T575" s="10" t="n"/>
      <c r="U575" s="83" t="n"/>
      <c r="V575" s="10" t="n"/>
    </row>
    <row r="576" ht="15.75" customHeight="1" s="297">
      <c r="B576" s="80" t="n"/>
      <c r="E576" s="10" t="n"/>
      <c r="F576" s="10" t="n"/>
      <c r="G576" s="10" t="n"/>
      <c r="H576" s="10" t="n"/>
      <c r="I576" s="81" t="n"/>
      <c r="J576" s="10" t="n"/>
      <c r="K576" s="10" t="n"/>
      <c r="L576" s="10" t="n"/>
      <c r="M576" s="10" t="n"/>
      <c r="N576" s="10" t="n"/>
      <c r="O576" s="10" t="n"/>
      <c r="P576" s="10" t="n"/>
      <c r="Q576" s="10" t="n"/>
      <c r="R576" s="82" t="n"/>
      <c r="S576" s="10" t="n"/>
      <c r="T576" s="10" t="n"/>
      <c r="U576" s="83" t="n"/>
      <c r="V576" s="10" t="n"/>
    </row>
    <row r="577" ht="15.75" customHeight="1" s="297">
      <c r="B577" s="80" t="n"/>
      <c r="E577" s="10" t="n"/>
      <c r="F577" s="10" t="n"/>
      <c r="G577" s="10" t="n"/>
      <c r="H577" s="10" t="n"/>
      <c r="I577" s="81" t="n"/>
      <c r="J577" s="10" t="n"/>
      <c r="K577" s="10" t="n"/>
      <c r="L577" s="10" t="n"/>
      <c r="M577" s="10" t="n"/>
      <c r="N577" s="10" t="n"/>
      <c r="O577" s="10" t="n"/>
      <c r="P577" s="10" t="n"/>
      <c r="Q577" s="10" t="n"/>
      <c r="R577" s="82" t="n"/>
      <c r="S577" s="10" t="n"/>
      <c r="T577" s="10" t="n"/>
      <c r="U577" s="83" t="n"/>
      <c r="V577" s="10" t="n"/>
    </row>
    <row r="578" ht="15.75" customHeight="1" s="297">
      <c r="B578" s="80" t="n"/>
      <c r="E578" s="10" t="n"/>
      <c r="F578" s="10" t="n"/>
      <c r="G578" s="10" t="n"/>
      <c r="H578" s="10" t="n"/>
      <c r="I578" s="81" t="n"/>
      <c r="J578" s="10" t="n"/>
      <c r="K578" s="10" t="n"/>
      <c r="L578" s="10" t="n"/>
      <c r="M578" s="10" t="n"/>
      <c r="N578" s="10" t="n"/>
      <c r="O578" s="10" t="n"/>
      <c r="P578" s="10" t="n"/>
      <c r="Q578" s="10" t="n"/>
      <c r="R578" s="82" t="n"/>
      <c r="S578" s="10" t="n"/>
      <c r="T578" s="10" t="n"/>
      <c r="U578" s="83" t="n"/>
      <c r="V578" s="10" t="n"/>
    </row>
    <row r="579" ht="15.75" customHeight="1" s="297">
      <c r="B579" s="80" t="n"/>
      <c r="E579" s="10" t="n"/>
      <c r="F579" s="10" t="n"/>
      <c r="G579" s="10" t="n"/>
      <c r="H579" s="10" t="n"/>
      <c r="I579" s="81" t="n"/>
      <c r="J579" s="10" t="n"/>
      <c r="K579" s="10" t="n"/>
      <c r="L579" s="10" t="n"/>
      <c r="M579" s="10" t="n"/>
      <c r="N579" s="10" t="n"/>
      <c r="O579" s="10" t="n"/>
      <c r="P579" s="10" t="n"/>
      <c r="Q579" s="10" t="n"/>
      <c r="R579" s="82" t="n"/>
      <c r="S579" s="10" t="n"/>
      <c r="T579" s="10" t="n"/>
      <c r="U579" s="83" t="n"/>
      <c r="V579" s="10" t="n"/>
    </row>
    <row r="580" ht="15.75" customHeight="1" s="297">
      <c r="B580" s="80" t="n"/>
      <c r="E580" s="10" t="n"/>
      <c r="F580" s="10" t="n"/>
      <c r="G580" s="10" t="n"/>
      <c r="H580" s="10" t="n"/>
      <c r="I580" s="81" t="n"/>
      <c r="J580" s="10" t="n"/>
      <c r="K580" s="10" t="n"/>
      <c r="L580" s="10" t="n"/>
      <c r="M580" s="10" t="n"/>
      <c r="N580" s="10" t="n"/>
      <c r="O580" s="10" t="n"/>
      <c r="P580" s="10" t="n"/>
      <c r="Q580" s="10" t="n"/>
      <c r="R580" s="82" t="n"/>
      <c r="S580" s="10" t="n"/>
      <c r="T580" s="10" t="n"/>
      <c r="U580" s="83" t="n"/>
      <c r="V580" s="10" t="n"/>
    </row>
    <row r="581" ht="15.75" customHeight="1" s="297">
      <c r="B581" s="80" t="n"/>
      <c r="E581" s="10" t="n"/>
      <c r="F581" s="10" t="n"/>
      <c r="G581" s="10" t="n"/>
      <c r="H581" s="10" t="n"/>
      <c r="I581" s="81" t="n"/>
      <c r="J581" s="10" t="n"/>
      <c r="K581" s="10" t="n"/>
      <c r="L581" s="10" t="n"/>
      <c r="M581" s="10" t="n"/>
      <c r="N581" s="10" t="n"/>
      <c r="O581" s="10" t="n"/>
      <c r="P581" s="10" t="n"/>
      <c r="Q581" s="10" t="n"/>
      <c r="R581" s="82" t="n"/>
      <c r="S581" s="10" t="n"/>
      <c r="T581" s="10" t="n"/>
      <c r="U581" s="83" t="n"/>
      <c r="V581" s="10" t="n"/>
    </row>
    <row r="582" ht="15.75" customHeight="1" s="297">
      <c r="B582" s="80" t="n"/>
      <c r="E582" s="10" t="n"/>
      <c r="F582" s="10" t="n"/>
      <c r="G582" s="10" t="n"/>
      <c r="H582" s="10" t="n"/>
      <c r="I582" s="81" t="n"/>
      <c r="J582" s="10" t="n"/>
      <c r="K582" s="10" t="n"/>
      <c r="L582" s="10" t="n"/>
      <c r="M582" s="10" t="n"/>
      <c r="N582" s="10" t="n"/>
      <c r="O582" s="10" t="n"/>
      <c r="P582" s="10" t="n"/>
      <c r="Q582" s="10" t="n"/>
      <c r="R582" s="82" t="n"/>
      <c r="S582" s="10" t="n"/>
      <c r="T582" s="10" t="n"/>
      <c r="U582" s="83" t="n"/>
      <c r="V582" s="10" t="n"/>
    </row>
    <row r="583" ht="15.75" customHeight="1" s="297">
      <c r="B583" s="80" t="n"/>
      <c r="E583" s="10" t="n"/>
      <c r="F583" s="10" t="n"/>
      <c r="G583" s="10" t="n"/>
      <c r="H583" s="10" t="n"/>
      <c r="I583" s="81" t="n"/>
      <c r="J583" s="10" t="n"/>
      <c r="K583" s="10" t="n"/>
      <c r="L583" s="10" t="n"/>
      <c r="M583" s="10" t="n"/>
      <c r="N583" s="10" t="n"/>
      <c r="O583" s="10" t="n"/>
      <c r="P583" s="10" t="n"/>
      <c r="Q583" s="10" t="n"/>
      <c r="R583" s="82" t="n"/>
      <c r="S583" s="10" t="n"/>
      <c r="T583" s="10" t="n"/>
      <c r="U583" s="83" t="n"/>
      <c r="V583" s="10" t="n"/>
    </row>
    <row r="584" ht="15.75" customHeight="1" s="297">
      <c r="B584" s="80" t="n"/>
      <c r="E584" s="10" t="n"/>
      <c r="F584" s="10" t="n"/>
      <c r="G584" s="10" t="n"/>
      <c r="H584" s="10" t="n"/>
      <c r="I584" s="81" t="n"/>
      <c r="J584" s="10" t="n"/>
      <c r="K584" s="10" t="n"/>
      <c r="L584" s="10" t="n"/>
      <c r="M584" s="10" t="n"/>
      <c r="N584" s="10" t="n"/>
      <c r="O584" s="10" t="n"/>
      <c r="P584" s="10" t="n"/>
      <c r="Q584" s="10" t="n"/>
      <c r="R584" s="82" t="n"/>
      <c r="S584" s="10" t="n"/>
      <c r="T584" s="10" t="n"/>
      <c r="U584" s="83" t="n"/>
      <c r="V584" s="10" t="n"/>
    </row>
    <row r="585" ht="15.75" customHeight="1" s="297">
      <c r="B585" s="80" t="n"/>
      <c r="E585" s="10" t="n"/>
      <c r="F585" s="10" t="n"/>
      <c r="G585" s="10" t="n"/>
      <c r="H585" s="10" t="n"/>
      <c r="I585" s="81" t="n"/>
      <c r="J585" s="10" t="n"/>
      <c r="K585" s="10" t="n"/>
      <c r="L585" s="10" t="n"/>
      <c r="M585" s="10" t="n"/>
      <c r="N585" s="10" t="n"/>
      <c r="O585" s="10" t="n"/>
      <c r="P585" s="10" t="n"/>
      <c r="Q585" s="10" t="n"/>
      <c r="R585" s="82" t="n"/>
      <c r="S585" s="10" t="n"/>
      <c r="T585" s="10" t="n"/>
      <c r="U585" s="83" t="n"/>
      <c r="V585" s="10" t="n"/>
    </row>
    <row r="586" ht="15.75" customHeight="1" s="297">
      <c r="B586" s="80" t="n"/>
      <c r="E586" s="10" t="n"/>
      <c r="F586" s="10" t="n"/>
      <c r="G586" s="10" t="n"/>
      <c r="H586" s="10" t="n"/>
      <c r="I586" s="81" t="n"/>
      <c r="J586" s="10" t="n"/>
      <c r="K586" s="10" t="n"/>
      <c r="L586" s="10" t="n"/>
      <c r="M586" s="10" t="n"/>
      <c r="N586" s="10" t="n"/>
      <c r="O586" s="10" t="n"/>
      <c r="P586" s="10" t="n"/>
      <c r="Q586" s="10" t="n"/>
      <c r="R586" s="82" t="n"/>
      <c r="S586" s="10" t="n"/>
      <c r="T586" s="10" t="n"/>
      <c r="U586" s="83" t="n"/>
      <c r="V586" s="10" t="n"/>
    </row>
    <row r="587" ht="15.75" customHeight="1" s="297">
      <c r="B587" s="80" t="n"/>
      <c r="E587" s="10" t="n"/>
      <c r="F587" s="10" t="n"/>
      <c r="G587" s="10" t="n"/>
      <c r="H587" s="10" t="n"/>
      <c r="I587" s="81" t="n"/>
      <c r="J587" s="10" t="n"/>
      <c r="K587" s="10" t="n"/>
      <c r="L587" s="10" t="n"/>
      <c r="M587" s="10" t="n"/>
      <c r="N587" s="10" t="n"/>
      <c r="O587" s="10" t="n"/>
      <c r="P587" s="10" t="n"/>
      <c r="Q587" s="10" t="n"/>
      <c r="R587" s="82" t="n"/>
      <c r="S587" s="10" t="n"/>
      <c r="T587" s="10" t="n"/>
      <c r="U587" s="83" t="n"/>
      <c r="V587" s="10" t="n"/>
    </row>
    <row r="588" ht="15.75" customHeight="1" s="297">
      <c r="B588" s="80" t="n"/>
      <c r="E588" s="10" t="n"/>
      <c r="F588" s="10" t="n"/>
      <c r="G588" s="10" t="n"/>
      <c r="H588" s="10" t="n"/>
      <c r="I588" s="81" t="n"/>
      <c r="J588" s="10" t="n"/>
      <c r="K588" s="10" t="n"/>
      <c r="L588" s="10" t="n"/>
      <c r="M588" s="10" t="n"/>
      <c r="N588" s="10" t="n"/>
      <c r="O588" s="10" t="n"/>
      <c r="P588" s="10" t="n"/>
      <c r="Q588" s="10" t="n"/>
      <c r="R588" s="82" t="n"/>
      <c r="S588" s="10" t="n"/>
      <c r="T588" s="10" t="n"/>
      <c r="U588" s="83" t="n"/>
      <c r="V588" s="10" t="n"/>
    </row>
    <row r="589" ht="15.75" customHeight="1" s="297">
      <c r="B589" s="80" t="n"/>
      <c r="E589" s="10" t="n"/>
      <c r="F589" s="10" t="n"/>
      <c r="G589" s="10" t="n"/>
      <c r="H589" s="10" t="n"/>
      <c r="I589" s="81" t="n"/>
      <c r="J589" s="10" t="n"/>
      <c r="K589" s="10" t="n"/>
      <c r="L589" s="10" t="n"/>
      <c r="M589" s="10" t="n"/>
      <c r="N589" s="10" t="n"/>
      <c r="O589" s="10" t="n"/>
      <c r="P589" s="10" t="n"/>
      <c r="Q589" s="10" t="n"/>
      <c r="R589" s="82" t="n"/>
      <c r="S589" s="10" t="n"/>
      <c r="T589" s="10" t="n"/>
      <c r="U589" s="83" t="n"/>
      <c r="V589" s="10" t="n"/>
    </row>
    <row r="590" ht="15.75" customHeight="1" s="297">
      <c r="B590" s="80" t="n"/>
      <c r="E590" s="10" t="n"/>
      <c r="F590" s="10" t="n"/>
      <c r="G590" s="10" t="n"/>
      <c r="H590" s="10" t="n"/>
      <c r="I590" s="81" t="n"/>
      <c r="J590" s="10" t="n"/>
      <c r="K590" s="10" t="n"/>
      <c r="L590" s="10" t="n"/>
      <c r="M590" s="10" t="n"/>
      <c r="N590" s="10" t="n"/>
      <c r="O590" s="10" t="n"/>
      <c r="P590" s="10" t="n"/>
      <c r="Q590" s="10" t="n"/>
      <c r="R590" s="82" t="n"/>
      <c r="S590" s="10" t="n"/>
      <c r="T590" s="10" t="n"/>
      <c r="U590" s="83" t="n"/>
      <c r="V590" s="10" t="n"/>
    </row>
    <row r="591" ht="15.75" customHeight="1" s="297">
      <c r="B591" s="80" t="n"/>
      <c r="E591" s="10" t="n"/>
      <c r="F591" s="10" t="n"/>
      <c r="G591" s="10" t="n"/>
      <c r="H591" s="10" t="n"/>
      <c r="I591" s="81" t="n"/>
      <c r="J591" s="10" t="n"/>
      <c r="K591" s="10" t="n"/>
      <c r="L591" s="10" t="n"/>
      <c r="M591" s="10" t="n"/>
      <c r="N591" s="10" t="n"/>
      <c r="O591" s="10" t="n"/>
      <c r="P591" s="10" t="n"/>
      <c r="Q591" s="10" t="n"/>
      <c r="R591" s="82" t="n"/>
      <c r="S591" s="10" t="n"/>
      <c r="T591" s="10" t="n"/>
      <c r="U591" s="83" t="n"/>
      <c r="V591" s="10" t="n"/>
    </row>
    <row r="592" ht="15.75" customHeight="1" s="297">
      <c r="B592" s="80" t="n"/>
      <c r="E592" s="10" t="n"/>
      <c r="F592" s="10" t="n"/>
      <c r="G592" s="10" t="n"/>
      <c r="H592" s="10" t="n"/>
      <c r="I592" s="81" t="n"/>
      <c r="J592" s="10" t="n"/>
      <c r="K592" s="10" t="n"/>
      <c r="L592" s="10" t="n"/>
      <c r="M592" s="10" t="n"/>
      <c r="N592" s="10" t="n"/>
      <c r="O592" s="10" t="n"/>
      <c r="P592" s="10" t="n"/>
      <c r="Q592" s="10" t="n"/>
      <c r="R592" s="82" t="n"/>
      <c r="S592" s="10" t="n"/>
      <c r="T592" s="10" t="n"/>
      <c r="U592" s="83" t="n"/>
      <c r="V592" s="10" t="n"/>
    </row>
    <row r="593" ht="15.75" customHeight="1" s="297">
      <c r="B593" s="80" t="n"/>
      <c r="E593" s="10" t="n"/>
      <c r="F593" s="10" t="n"/>
      <c r="G593" s="10" t="n"/>
      <c r="H593" s="10" t="n"/>
      <c r="I593" s="81" t="n"/>
      <c r="J593" s="10" t="n"/>
      <c r="K593" s="10" t="n"/>
      <c r="L593" s="10" t="n"/>
      <c r="M593" s="10" t="n"/>
      <c r="N593" s="10" t="n"/>
      <c r="O593" s="10" t="n"/>
      <c r="P593" s="10" t="n"/>
      <c r="Q593" s="10" t="n"/>
      <c r="R593" s="82" t="n"/>
      <c r="S593" s="10" t="n"/>
      <c r="T593" s="10" t="n"/>
      <c r="U593" s="83" t="n"/>
      <c r="V593" s="10" t="n"/>
    </row>
    <row r="594" ht="15.75" customHeight="1" s="297">
      <c r="B594" s="80" t="n"/>
      <c r="E594" s="10" t="n"/>
      <c r="F594" s="10" t="n"/>
      <c r="G594" s="10" t="n"/>
      <c r="H594" s="10" t="n"/>
      <c r="I594" s="81" t="n"/>
      <c r="J594" s="10" t="n"/>
      <c r="K594" s="10" t="n"/>
      <c r="L594" s="10" t="n"/>
      <c r="M594" s="10" t="n"/>
      <c r="N594" s="10" t="n"/>
      <c r="O594" s="10" t="n"/>
      <c r="P594" s="10" t="n"/>
      <c r="Q594" s="10" t="n"/>
      <c r="R594" s="82" t="n"/>
      <c r="S594" s="10" t="n"/>
      <c r="T594" s="10" t="n"/>
      <c r="U594" s="83" t="n"/>
      <c r="V594" s="10" t="n"/>
    </row>
    <row r="595" ht="15.75" customHeight="1" s="297">
      <c r="B595" s="80" t="n"/>
      <c r="E595" s="10" t="n"/>
      <c r="F595" s="10" t="n"/>
      <c r="G595" s="10" t="n"/>
      <c r="H595" s="10" t="n"/>
      <c r="I595" s="81" t="n"/>
      <c r="J595" s="10" t="n"/>
      <c r="K595" s="10" t="n"/>
      <c r="L595" s="10" t="n"/>
      <c r="M595" s="10" t="n"/>
      <c r="N595" s="10" t="n"/>
      <c r="O595" s="10" t="n"/>
      <c r="P595" s="10" t="n"/>
      <c r="Q595" s="10" t="n"/>
      <c r="R595" s="82" t="n"/>
      <c r="S595" s="10" t="n"/>
      <c r="T595" s="10" t="n"/>
      <c r="U595" s="83" t="n"/>
      <c r="V595" s="10" t="n"/>
    </row>
    <row r="596" ht="15.75" customHeight="1" s="297">
      <c r="B596" s="80" t="n"/>
      <c r="E596" s="10" t="n"/>
      <c r="F596" s="10" t="n"/>
      <c r="G596" s="10" t="n"/>
      <c r="H596" s="10" t="n"/>
      <c r="I596" s="81" t="n"/>
      <c r="J596" s="10" t="n"/>
      <c r="K596" s="10" t="n"/>
      <c r="L596" s="10" t="n"/>
      <c r="M596" s="10" t="n"/>
      <c r="N596" s="10" t="n"/>
      <c r="O596" s="10" t="n"/>
      <c r="P596" s="10" t="n"/>
      <c r="Q596" s="10" t="n"/>
      <c r="R596" s="82" t="n"/>
      <c r="S596" s="10" t="n"/>
      <c r="T596" s="10" t="n"/>
      <c r="U596" s="83" t="n"/>
      <c r="V596" s="10" t="n"/>
    </row>
    <row r="597" ht="15.75" customHeight="1" s="297">
      <c r="B597" s="80" t="n"/>
      <c r="E597" s="10" t="n"/>
      <c r="F597" s="10" t="n"/>
      <c r="G597" s="10" t="n"/>
      <c r="H597" s="10" t="n"/>
      <c r="I597" s="81" t="n"/>
      <c r="J597" s="10" t="n"/>
      <c r="K597" s="10" t="n"/>
      <c r="L597" s="10" t="n"/>
      <c r="M597" s="10" t="n"/>
      <c r="N597" s="10" t="n"/>
      <c r="O597" s="10" t="n"/>
      <c r="P597" s="10" t="n"/>
      <c r="Q597" s="10" t="n"/>
      <c r="R597" s="82" t="n"/>
      <c r="S597" s="10" t="n"/>
      <c r="T597" s="10" t="n"/>
      <c r="U597" s="83" t="n"/>
      <c r="V597" s="10" t="n"/>
    </row>
    <row r="598" ht="15.75" customHeight="1" s="297">
      <c r="B598" s="80" t="n"/>
      <c r="E598" s="10" t="n"/>
      <c r="F598" s="10" t="n"/>
      <c r="G598" s="10" t="n"/>
      <c r="H598" s="10" t="n"/>
      <c r="I598" s="81" t="n"/>
      <c r="J598" s="10" t="n"/>
      <c r="K598" s="10" t="n"/>
      <c r="L598" s="10" t="n"/>
      <c r="M598" s="10" t="n"/>
      <c r="N598" s="10" t="n"/>
      <c r="O598" s="10" t="n"/>
      <c r="P598" s="10" t="n"/>
      <c r="Q598" s="10" t="n"/>
      <c r="R598" s="82" t="n"/>
      <c r="S598" s="10" t="n"/>
      <c r="T598" s="10" t="n"/>
      <c r="U598" s="83" t="n"/>
      <c r="V598" s="10" t="n"/>
    </row>
    <row r="599" ht="15.75" customHeight="1" s="297">
      <c r="B599" s="80" t="n"/>
      <c r="E599" s="10" t="n"/>
      <c r="F599" s="10" t="n"/>
      <c r="G599" s="10" t="n"/>
      <c r="H599" s="10" t="n"/>
      <c r="I599" s="81" t="n"/>
      <c r="J599" s="10" t="n"/>
      <c r="K599" s="10" t="n"/>
      <c r="L599" s="10" t="n"/>
      <c r="M599" s="10" t="n"/>
      <c r="N599" s="10" t="n"/>
      <c r="O599" s="10" t="n"/>
      <c r="P599" s="10" t="n"/>
      <c r="Q599" s="10" t="n"/>
      <c r="R599" s="82" t="n"/>
      <c r="S599" s="10" t="n"/>
      <c r="T599" s="10" t="n"/>
      <c r="U599" s="83" t="n"/>
      <c r="V599" s="10" t="n"/>
    </row>
    <row r="600" ht="15.75" customHeight="1" s="297">
      <c r="B600" s="80" t="n"/>
      <c r="E600" s="10" t="n"/>
      <c r="F600" s="10" t="n"/>
      <c r="G600" s="10" t="n"/>
      <c r="H600" s="10" t="n"/>
      <c r="I600" s="81" t="n"/>
      <c r="J600" s="10" t="n"/>
      <c r="K600" s="10" t="n"/>
      <c r="L600" s="10" t="n"/>
      <c r="M600" s="10" t="n"/>
      <c r="N600" s="10" t="n"/>
      <c r="O600" s="10" t="n"/>
      <c r="P600" s="10" t="n"/>
      <c r="Q600" s="10" t="n"/>
      <c r="R600" s="82" t="n"/>
      <c r="S600" s="10" t="n"/>
      <c r="T600" s="10" t="n"/>
      <c r="U600" s="83" t="n"/>
      <c r="V600" s="10" t="n"/>
    </row>
    <row r="601" ht="15.75" customHeight="1" s="297">
      <c r="B601" s="80" t="n"/>
      <c r="E601" s="10" t="n"/>
      <c r="F601" s="10" t="n"/>
      <c r="G601" s="10" t="n"/>
      <c r="H601" s="10" t="n"/>
      <c r="I601" s="81" t="n"/>
      <c r="J601" s="10" t="n"/>
      <c r="K601" s="10" t="n"/>
      <c r="L601" s="10" t="n"/>
      <c r="M601" s="10" t="n"/>
      <c r="N601" s="10" t="n"/>
      <c r="O601" s="10" t="n"/>
      <c r="P601" s="10" t="n"/>
      <c r="Q601" s="10" t="n"/>
      <c r="R601" s="82" t="n"/>
      <c r="S601" s="10" t="n"/>
      <c r="T601" s="10" t="n"/>
      <c r="U601" s="83" t="n"/>
      <c r="V601" s="10" t="n"/>
    </row>
    <row r="602" ht="15.75" customHeight="1" s="297">
      <c r="B602" s="80" t="n"/>
      <c r="E602" s="10" t="n"/>
      <c r="F602" s="10" t="n"/>
      <c r="G602" s="10" t="n"/>
      <c r="H602" s="10" t="n"/>
      <c r="I602" s="81" t="n"/>
      <c r="J602" s="10" t="n"/>
      <c r="K602" s="10" t="n"/>
      <c r="L602" s="10" t="n"/>
      <c r="M602" s="10" t="n"/>
      <c r="N602" s="10" t="n"/>
      <c r="O602" s="10" t="n"/>
      <c r="P602" s="10" t="n"/>
      <c r="Q602" s="10" t="n"/>
      <c r="R602" s="82" t="n"/>
      <c r="S602" s="10" t="n"/>
      <c r="T602" s="10" t="n"/>
      <c r="U602" s="83" t="n"/>
      <c r="V602" s="10" t="n"/>
    </row>
    <row r="603" ht="15.75" customHeight="1" s="297">
      <c r="B603" s="80" t="n"/>
      <c r="E603" s="10" t="n"/>
      <c r="F603" s="10" t="n"/>
      <c r="G603" s="10" t="n"/>
      <c r="H603" s="10" t="n"/>
      <c r="I603" s="81" t="n"/>
      <c r="J603" s="10" t="n"/>
      <c r="K603" s="10" t="n"/>
      <c r="L603" s="10" t="n"/>
      <c r="M603" s="10" t="n"/>
      <c r="N603" s="10" t="n"/>
      <c r="O603" s="10" t="n"/>
      <c r="P603" s="10" t="n"/>
      <c r="Q603" s="10" t="n"/>
      <c r="R603" s="82" t="n"/>
      <c r="S603" s="10" t="n"/>
      <c r="T603" s="10" t="n"/>
      <c r="U603" s="83" t="n"/>
      <c r="V603" s="10" t="n"/>
    </row>
    <row r="604" ht="15.75" customHeight="1" s="297">
      <c r="B604" s="80" t="n"/>
      <c r="E604" s="10" t="n"/>
      <c r="F604" s="10" t="n"/>
      <c r="G604" s="10" t="n"/>
      <c r="H604" s="10" t="n"/>
      <c r="I604" s="81" t="n"/>
      <c r="J604" s="10" t="n"/>
      <c r="K604" s="10" t="n"/>
      <c r="L604" s="10" t="n"/>
      <c r="M604" s="10" t="n"/>
      <c r="N604" s="10" t="n"/>
      <c r="O604" s="10" t="n"/>
      <c r="P604" s="10" t="n"/>
      <c r="Q604" s="10" t="n"/>
      <c r="R604" s="82" t="n"/>
      <c r="S604" s="10" t="n"/>
      <c r="T604" s="10" t="n"/>
      <c r="U604" s="83" t="n"/>
      <c r="V604" s="10" t="n"/>
    </row>
    <row r="605" ht="15.75" customHeight="1" s="297">
      <c r="B605" s="80" t="n"/>
      <c r="E605" s="10" t="n"/>
      <c r="F605" s="10" t="n"/>
      <c r="G605" s="10" t="n"/>
      <c r="H605" s="10" t="n"/>
      <c r="I605" s="81" t="n"/>
      <c r="J605" s="10" t="n"/>
      <c r="K605" s="10" t="n"/>
      <c r="L605" s="10" t="n"/>
      <c r="M605" s="10" t="n"/>
      <c r="N605" s="10" t="n"/>
      <c r="O605" s="10" t="n"/>
      <c r="P605" s="10" t="n"/>
      <c r="Q605" s="10" t="n"/>
      <c r="R605" s="82" t="n"/>
      <c r="S605" s="10" t="n"/>
      <c r="T605" s="10" t="n"/>
      <c r="U605" s="83" t="n"/>
      <c r="V605" s="10" t="n"/>
    </row>
    <row r="606" ht="15.75" customHeight="1" s="297">
      <c r="B606" s="80" t="n"/>
      <c r="E606" s="10" t="n"/>
      <c r="F606" s="10" t="n"/>
      <c r="G606" s="10" t="n"/>
      <c r="H606" s="10" t="n"/>
      <c r="I606" s="81" t="n"/>
      <c r="J606" s="10" t="n"/>
      <c r="K606" s="10" t="n"/>
      <c r="L606" s="10" t="n"/>
      <c r="M606" s="10" t="n"/>
      <c r="N606" s="10" t="n"/>
      <c r="O606" s="10" t="n"/>
      <c r="P606" s="10" t="n"/>
      <c r="Q606" s="10" t="n"/>
      <c r="R606" s="82" t="n"/>
      <c r="S606" s="10" t="n"/>
      <c r="T606" s="10" t="n"/>
      <c r="U606" s="83" t="n"/>
      <c r="V606" s="10" t="n"/>
    </row>
    <row r="607" ht="15.75" customHeight="1" s="297">
      <c r="B607" s="80" t="n"/>
      <c r="E607" s="10" t="n"/>
      <c r="F607" s="10" t="n"/>
      <c r="G607" s="10" t="n"/>
      <c r="H607" s="10" t="n"/>
      <c r="I607" s="81" t="n"/>
      <c r="J607" s="10" t="n"/>
      <c r="K607" s="10" t="n"/>
      <c r="L607" s="10" t="n"/>
      <c r="M607" s="10" t="n"/>
      <c r="N607" s="10" t="n"/>
      <c r="O607" s="10" t="n"/>
      <c r="P607" s="10" t="n"/>
      <c r="Q607" s="10" t="n"/>
      <c r="R607" s="82" t="n"/>
      <c r="S607" s="10" t="n"/>
      <c r="T607" s="10" t="n"/>
      <c r="U607" s="83" t="n"/>
      <c r="V607" s="10" t="n"/>
    </row>
    <row r="608" ht="15.75" customHeight="1" s="297">
      <c r="B608" s="80" t="n"/>
      <c r="E608" s="10" t="n"/>
      <c r="F608" s="10" t="n"/>
      <c r="G608" s="10" t="n"/>
      <c r="H608" s="10" t="n"/>
      <c r="I608" s="81" t="n"/>
      <c r="J608" s="10" t="n"/>
      <c r="K608" s="10" t="n"/>
      <c r="L608" s="10" t="n"/>
      <c r="M608" s="10" t="n"/>
      <c r="N608" s="10" t="n"/>
      <c r="O608" s="10" t="n"/>
      <c r="P608" s="10" t="n"/>
      <c r="Q608" s="10" t="n"/>
      <c r="R608" s="82" t="n"/>
      <c r="S608" s="10" t="n"/>
      <c r="T608" s="10" t="n"/>
      <c r="U608" s="83" t="n"/>
      <c r="V608" s="10" t="n"/>
    </row>
    <row r="609" ht="15.75" customHeight="1" s="297">
      <c r="B609" s="80" t="n"/>
      <c r="E609" s="10" t="n"/>
      <c r="F609" s="10" t="n"/>
      <c r="G609" s="10" t="n"/>
      <c r="H609" s="10" t="n"/>
      <c r="I609" s="81" t="n"/>
      <c r="J609" s="10" t="n"/>
      <c r="K609" s="10" t="n"/>
      <c r="L609" s="10" t="n"/>
      <c r="M609" s="10" t="n"/>
      <c r="N609" s="10" t="n"/>
      <c r="O609" s="10" t="n"/>
      <c r="P609" s="10" t="n"/>
      <c r="Q609" s="10" t="n"/>
      <c r="R609" s="82" t="n"/>
      <c r="S609" s="10" t="n"/>
      <c r="T609" s="10" t="n"/>
      <c r="U609" s="83" t="n"/>
      <c r="V609" s="10" t="n"/>
    </row>
    <row r="610" ht="15.75" customHeight="1" s="297">
      <c r="B610" s="80" t="n"/>
      <c r="E610" s="10" t="n"/>
      <c r="F610" s="10" t="n"/>
      <c r="G610" s="10" t="n"/>
      <c r="H610" s="10" t="n"/>
      <c r="I610" s="81" t="n"/>
      <c r="J610" s="10" t="n"/>
      <c r="K610" s="10" t="n"/>
      <c r="L610" s="10" t="n"/>
      <c r="M610" s="10" t="n"/>
      <c r="N610" s="10" t="n"/>
      <c r="O610" s="10" t="n"/>
      <c r="P610" s="10" t="n"/>
      <c r="Q610" s="10" t="n"/>
      <c r="R610" s="82" t="n"/>
      <c r="S610" s="10" t="n"/>
      <c r="T610" s="10" t="n"/>
      <c r="U610" s="83" t="n"/>
      <c r="V610" s="10" t="n"/>
    </row>
    <row r="611" ht="15.75" customHeight="1" s="297">
      <c r="B611" s="80" t="n"/>
      <c r="E611" s="10" t="n"/>
      <c r="F611" s="10" t="n"/>
      <c r="G611" s="10" t="n"/>
      <c r="H611" s="10" t="n"/>
      <c r="I611" s="81" t="n"/>
      <c r="J611" s="10" t="n"/>
      <c r="K611" s="10" t="n"/>
      <c r="L611" s="10" t="n"/>
      <c r="M611" s="10" t="n"/>
      <c r="N611" s="10" t="n"/>
      <c r="O611" s="10" t="n"/>
      <c r="P611" s="10" t="n"/>
      <c r="Q611" s="10" t="n"/>
      <c r="R611" s="82" t="n"/>
      <c r="S611" s="10" t="n"/>
      <c r="T611" s="10" t="n"/>
      <c r="U611" s="83" t="n"/>
      <c r="V611" s="10" t="n"/>
    </row>
    <row r="612" ht="15.75" customHeight="1" s="297">
      <c r="B612" s="80" t="n"/>
      <c r="E612" s="10" t="n"/>
      <c r="F612" s="10" t="n"/>
      <c r="G612" s="10" t="n"/>
      <c r="H612" s="10" t="n"/>
      <c r="I612" s="81" t="n"/>
      <c r="J612" s="10" t="n"/>
      <c r="K612" s="10" t="n"/>
      <c r="L612" s="10" t="n"/>
      <c r="M612" s="10" t="n"/>
      <c r="N612" s="10" t="n"/>
      <c r="O612" s="10" t="n"/>
      <c r="P612" s="10" t="n"/>
      <c r="Q612" s="10" t="n"/>
      <c r="R612" s="82" t="n"/>
      <c r="S612" s="10" t="n"/>
      <c r="T612" s="10" t="n"/>
      <c r="U612" s="83" t="n"/>
      <c r="V612" s="10" t="n"/>
    </row>
    <row r="613" ht="15.75" customHeight="1" s="297">
      <c r="B613" s="80" t="n"/>
      <c r="E613" s="10" t="n"/>
      <c r="F613" s="10" t="n"/>
      <c r="G613" s="10" t="n"/>
      <c r="H613" s="10" t="n"/>
      <c r="I613" s="81" t="n"/>
      <c r="J613" s="10" t="n"/>
      <c r="K613" s="10" t="n"/>
      <c r="L613" s="10" t="n"/>
      <c r="M613" s="10" t="n"/>
      <c r="N613" s="10" t="n"/>
      <c r="O613" s="10" t="n"/>
      <c r="P613" s="10" t="n"/>
      <c r="Q613" s="10" t="n"/>
      <c r="R613" s="82" t="n"/>
      <c r="S613" s="10" t="n"/>
      <c r="T613" s="10" t="n"/>
      <c r="U613" s="83" t="n"/>
      <c r="V613" s="10" t="n"/>
    </row>
    <row r="614" ht="15.75" customHeight="1" s="297">
      <c r="B614" s="80" t="n"/>
      <c r="E614" s="10" t="n"/>
      <c r="F614" s="10" t="n"/>
      <c r="G614" s="10" t="n"/>
      <c r="H614" s="10" t="n"/>
      <c r="I614" s="81" t="n"/>
      <c r="J614" s="10" t="n"/>
      <c r="K614" s="10" t="n"/>
      <c r="L614" s="10" t="n"/>
      <c r="M614" s="10" t="n"/>
      <c r="N614" s="10" t="n"/>
      <c r="O614" s="10" t="n"/>
      <c r="P614" s="10" t="n"/>
      <c r="Q614" s="10" t="n"/>
      <c r="R614" s="82" t="n"/>
      <c r="S614" s="10" t="n"/>
      <c r="T614" s="10" t="n"/>
      <c r="U614" s="83" t="n"/>
      <c r="V614" s="10" t="n"/>
    </row>
    <row r="615" ht="15.75" customHeight="1" s="297">
      <c r="B615" s="80" t="n"/>
      <c r="E615" s="10" t="n"/>
      <c r="F615" s="10" t="n"/>
      <c r="G615" s="10" t="n"/>
      <c r="H615" s="10" t="n"/>
      <c r="I615" s="81" t="n"/>
      <c r="J615" s="10" t="n"/>
      <c r="K615" s="10" t="n"/>
      <c r="L615" s="10" t="n"/>
      <c r="M615" s="10" t="n"/>
      <c r="N615" s="10" t="n"/>
      <c r="O615" s="10" t="n"/>
      <c r="P615" s="10" t="n"/>
      <c r="Q615" s="10" t="n"/>
      <c r="R615" s="82" t="n"/>
      <c r="S615" s="10" t="n"/>
      <c r="T615" s="10" t="n"/>
      <c r="U615" s="83" t="n"/>
      <c r="V615" s="10" t="n"/>
    </row>
    <row r="616" ht="15.75" customHeight="1" s="297">
      <c r="B616" s="80" t="n"/>
      <c r="E616" s="10" t="n"/>
      <c r="F616" s="10" t="n"/>
      <c r="G616" s="10" t="n"/>
      <c r="H616" s="10" t="n"/>
      <c r="I616" s="81" t="n"/>
      <c r="J616" s="10" t="n"/>
      <c r="K616" s="10" t="n"/>
      <c r="L616" s="10" t="n"/>
      <c r="M616" s="10" t="n"/>
      <c r="N616" s="10" t="n"/>
      <c r="O616" s="10" t="n"/>
      <c r="P616" s="10" t="n"/>
      <c r="Q616" s="10" t="n"/>
      <c r="R616" s="82" t="n"/>
      <c r="S616" s="10" t="n"/>
      <c r="T616" s="10" t="n"/>
      <c r="U616" s="83" t="n"/>
      <c r="V616" s="10" t="n"/>
    </row>
    <row r="617" ht="15.75" customHeight="1" s="297">
      <c r="B617" s="80" t="n"/>
      <c r="E617" s="10" t="n"/>
      <c r="F617" s="10" t="n"/>
      <c r="G617" s="10" t="n"/>
      <c r="H617" s="10" t="n"/>
      <c r="I617" s="81" t="n"/>
      <c r="J617" s="10" t="n"/>
      <c r="K617" s="10" t="n"/>
      <c r="L617" s="10" t="n"/>
      <c r="M617" s="10" t="n"/>
      <c r="N617" s="10" t="n"/>
      <c r="O617" s="10" t="n"/>
      <c r="P617" s="10" t="n"/>
      <c r="Q617" s="10" t="n"/>
      <c r="R617" s="82" t="n"/>
      <c r="S617" s="10" t="n"/>
      <c r="T617" s="10" t="n"/>
      <c r="U617" s="83" t="n"/>
      <c r="V617" s="10" t="n"/>
    </row>
    <row r="618" ht="15.75" customHeight="1" s="297">
      <c r="B618" s="80" t="n"/>
      <c r="E618" s="10" t="n"/>
      <c r="F618" s="10" t="n"/>
      <c r="G618" s="10" t="n"/>
      <c r="H618" s="10" t="n"/>
      <c r="I618" s="81" t="n"/>
      <c r="J618" s="10" t="n"/>
      <c r="K618" s="10" t="n"/>
      <c r="L618" s="10" t="n"/>
      <c r="M618" s="10" t="n"/>
      <c r="N618" s="10" t="n"/>
      <c r="O618" s="10" t="n"/>
      <c r="P618" s="10" t="n"/>
      <c r="Q618" s="10" t="n"/>
      <c r="R618" s="82" t="n"/>
      <c r="S618" s="10" t="n"/>
      <c r="T618" s="10" t="n"/>
      <c r="U618" s="83" t="n"/>
      <c r="V618" s="10" t="n"/>
    </row>
    <row r="619" ht="15.75" customHeight="1" s="297">
      <c r="B619" s="80" t="n"/>
      <c r="E619" s="10" t="n"/>
      <c r="F619" s="10" t="n"/>
      <c r="G619" s="10" t="n"/>
      <c r="H619" s="10" t="n"/>
      <c r="I619" s="81" t="n"/>
      <c r="J619" s="10" t="n"/>
      <c r="K619" s="10" t="n"/>
      <c r="L619" s="10" t="n"/>
      <c r="M619" s="10" t="n"/>
      <c r="N619" s="10" t="n"/>
      <c r="O619" s="10" t="n"/>
      <c r="P619" s="10" t="n"/>
      <c r="Q619" s="10" t="n"/>
      <c r="R619" s="82" t="n"/>
      <c r="S619" s="10" t="n"/>
      <c r="T619" s="10" t="n"/>
      <c r="U619" s="83" t="n"/>
      <c r="V619" s="10" t="n"/>
    </row>
    <row r="620" ht="15.75" customHeight="1" s="297">
      <c r="B620" s="80" t="n"/>
      <c r="E620" s="10" t="n"/>
      <c r="F620" s="10" t="n"/>
      <c r="G620" s="10" t="n"/>
      <c r="H620" s="10" t="n"/>
      <c r="I620" s="81" t="n"/>
      <c r="J620" s="10" t="n"/>
      <c r="K620" s="10" t="n"/>
      <c r="L620" s="10" t="n"/>
      <c r="M620" s="10" t="n"/>
      <c r="N620" s="10" t="n"/>
      <c r="O620" s="10" t="n"/>
      <c r="P620" s="10" t="n"/>
      <c r="Q620" s="10" t="n"/>
      <c r="R620" s="82" t="n"/>
      <c r="S620" s="10" t="n"/>
      <c r="T620" s="10" t="n"/>
      <c r="U620" s="83" t="n"/>
      <c r="V620" s="10" t="n"/>
    </row>
    <row r="621" ht="15.75" customHeight="1" s="297">
      <c r="B621" s="80" t="n"/>
      <c r="E621" s="10" t="n"/>
      <c r="F621" s="10" t="n"/>
      <c r="G621" s="10" t="n"/>
      <c r="H621" s="10" t="n"/>
      <c r="I621" s="81" t="n"/>
      <c r="J621" s="10" t="n"/>
      <c r="K621" s="10" t="n"/>
      <c r="L621" s="10" t="n"/>
      <c r="M621" s="10" t="n"/>
      <c r="N621" s="10" t="n"/>
      <c r="O621" s="10" t="n"/>
      <c r="P621" s="10" t="n"/>
      <c r="Q621" s="10" t="n"/>
      <c r="R621" s="82" t="n"/>
      <c r="S621" s="10" t="n"/>
      <c r="T621" s="10" t="n"/>
      <c r="U621" s="83" t="n"/>
      <c r="V621" s="10" t="n"/>
    </row>
    <row r="622" ht="15.75" customHeight="1" s="297">
      <c r="B622" s="80" t="n"/>
      <c r="E622" s="10" t="n"/>
      <c r="F622" s="10" t="n"/>
      <c r="G622" s="10" t="n"/>
      <c r="H622" s="10" t="n"/>
      <c r="I622" s="81" t="n"/>
      <c r="J622" s="10" t="n"/>
      <c r="K622" s="10" t="n"/>
      <c r="L622" s="10" t="n"/>
      <c r="M622" s="10" t="n"/>
      <c r="N622" s="10" t="n"/>
      <c r="O622" s="10" t="n"/>
      <c r="P622" s="10" t="n"/>
      <c r="Q622" s="10" t="n"/>
      <c r="R622" s="82" t="n"/>
      <c r="S622" s="10" t="n"/>
      <c r="T622" s="10" t="n"/>
      <c r="U622" s="83" t="n"/>
      <c r="V622" s="10" t="n"/>
    </row>
    <row r="623" ht="15.75" customHeight="1" s="297">
      <c r="B623" s="80" t="n"/>
      <c r="E623" s="10" t="n"/>
      <c r="F623" s="10" t="n"/>
      <c r="G623" s="10" t="n"/>
      <c r="H623" s="10" t="n"/>
      <c r="I623" s="81" t="n"/>
      <c r="J623" s="10" t="n"/>
      <c r="K623" s="10" t="n"/>
      <c r="L623" s="10" t="n"/>
      <c r="M623" s="10" t="n"/>
      <c r="N623" s="10" t="n"/>
      <c r="O623" s="10" t="n"/>
      <c r="P623" s="10" t="n"/>
      <c r="Q623" s="10" t="n"/>
      <c r="R623" s="82" t="n"/>
      <c r="S623" s="10" t="n"/>
      <c r="T623" s="10" t="n"/>
      <c r="U623" s="83" t="n"/>
      <c r="V623" s="10" t="n"/>
    </row>
    <row r="624" ht="15.75" customHeight="1" s="297">
      <c r="B624" s="80" t="n"/>
      <c r="E624" s="10" t="n"/>
      <c r="F624" s="10" t="n"/>
      <c r="G624" s="10" t="n"/>
      <c r="H624" s="10" t="n"/>
      <c r="I624" s="81" t="n"/>
      <c r="J624" s="10" t="n"/>
      <c r="K624" s="10" t="n"/>
      <c r="L624" s="10" t="n"/>
      <c r="M624" s="10" t="n"/>
      <c r="N624" s="10" t="n"/>
      <c r="O624" s="10" t="n"/>
      <c r="P624" s="10" t="n"/>
      <c r="Q624" s="10" t="n"/>
      <c r="R624" s="82" t="n"/>
      <c r="S624" s="10" t="n"/>
      <c r="T624" s="10" t="n"/>
      <c r="U624" s="83" t="n"/>
      <c r="V624" s="10" t="n"/>
    </row>
    <row r="625" ht="15.75" customHeight="1" s="297">
      <c r="B625" s="80" t="n"/>
      <c r="E625" s="10" t="n"/>
      <c r="F625" s="10" t="n"/>
      <c r="G625" s="10" t="n"/>
      <c r="H625" s="10" t="n"/>
      <c r="I625" s="81" t="n"/>
      <c r="J625" s="10" t="n"/>
      <c r="K625" s="10" t="n"/>
      <c r="L625" s="10" t="n"/>
      <c r="M625" s="10" t="n"/>
      <c r="N625" s="10" t="n"/>
      <c r="O625" s="10" t="n"/>
      <c r="P625" s="10" t="n"/>
      <c r="Q625" s="10" t="n"/>
      <c r="R625" s="82" t="n"/>
      <c r="S625" s="10" t="n"/>
      <c r="T625" s="10" t="n"/>
      <c r="U625" s="83" t="n"/>
      <c r="V625" s="10" t="n"/>
    </row>
    <row r="626" ht="15.75" customHeight="1" s="297">
      <c r="B626" s="80" t="n"/>
      <c r="E626" s="10" t="n"/>
      <c r="F626" s="10" t="n"/>
      <c r="G626" s="10" t="n"/>
      <c r="H626" s="10" t="n"/>
      <c r="I626" s="81" t="n"/>
      <c r="J626" s="10" t="n"/>
      <c r="K626" s="10" t="n"/>
      <c r="L626" s="10" t="n"/>
      <c r="M626" s="10" t="n"/>
      <c r="N626" s="10" t="n"/>
      <c r="O626" s="10" t="n"/>
      <c r="P626" s="10" t="n"/>
      <c r="Q626" s="10" t="n"/>
      <c r="R626" s="82" t="n"/>
      <c r="S626" s="10" t="n"/>
      <c r="T626" s="10" t="n"/>
      <c r="U626" s="83" t="n"/>
      <c r="V626" s="10" t="n"/>
    </row>
    <row r="627" ht="15.75" customHeight="1" s="297">
      <c r="B627" s="80" t="n"/>
      <c r="E627" s="10" t="n"/>
      <c r="F627" s="10" t="n"/>
      <c r="G627" s="10" t="n"/>
      <c r="H627" s="10" t="n"/>
      <c r="I627" s="81" t="n"/>
      <c r="J627" s="10" t="n"/>
      <c r="K627" s="10" t="n"/>
      <c r="L627" s="10" t="n"/>
      <c r="M627" s="10" t="n"/>
      <c r="N627" s="10" t="n"/>
      <c r="O627" s="10" t="n"/>
      <c r="P627" s="10" t="n"/>
      <c r="Q627" s="10" t="n"/>
      <c r="R627" s="82" t="n"/>
      <c r="S627" s="10" t="n"/>
      <c r="T627" s="10" t="n"/>
      <c r="U627" s="83" t="n"/>
      <c r="V627" s="10" t="n"/>
    </row>
    <row r="628" ht="15.75" customHeight="1" s="297">
      <c r="B628" s="80" t="n"/>
      <c r="E628" s="10" t="n"/>
      <c r="F628" s="10" t="n"/>
      <c r="G628" s="10" t="n"/>
      <c r="H628" s="10" t="n"/>
      <c r="I628" s="81" t="n"/>
      <c r="J628" s="10" t="n"/>
      <c r="K628" s="10" t="n"/>
      <c r="L628" s="10" t="n"/>
      <c r="M628" s="10" t="n"/>
      <c r="N628" s="10" t="n"/>
      <c r="O628" s="10" t="n"/>
      <c r="P628" s="10" t="n"/>
      <c r="Q628" s="10" t="n"/>
      <c r="R628" s="82" t="n"/>
      <c r="S628" s="10" t="n"/>
      <c r="T628" s="10" t="n"/>
      <c r="U628" s="83" t="n"/>
      <c r="V628" s="10" t="n"/>
    </row>
    <row r="629" ht="15.75" customHeight="1" s="297">
      <c r="B629" s="80" t="n"/>
      <c r="E629" s="10" t="n"/>
      <c r="F629" s="10" t="n"/>
      <c r="G629" s="10" t="n"/>
      <c r="H629" s="10" t="n"/>
      <c r="I629" s="81" t="n"/>
      <c r="J629" s="10" t="n"/>
      <c r="K629" s="10" t="n"/>
      <c r="L629" s="10" t="n"/>
      <c r="M629" s="10" t="n"/>
      <c r="N629" s="10" t="n"/>
      <c r="O629" s="10" t="n"/>
      <c r="P629" s="10" t="n"/>
      <c r="Q629" s="10" t="n"/>
      <c r="R629" s="82" t="n"/>
      <c r="S629" s="10" t="n"/>
      <c r="T629" s="10" t="n"/>
      <c r="U629" s="83" t="n"/>
      <c r="V629" s="10" t="n"/>
    </row>
    <row r="630" ht="15.75" customHeight="1" s="297">
      <c r="B630" s="80" t="n"/>
      <c r="E630" s="10" t="n"/>
      <c r="F630" s="10" t="n"/>
      <c r="G630" s="10" t="n"/>
      <c r="H630" s="10" t="n"/>
      <c r="I630" s="81" t="n"/>
      <c r="J630" s="10" t="n"/>
      <c r="K630" s="10" t="n"/>
      <c r="L630" s="10" t="n"/>
      <c r="M630" s="10" t="n"/>
      <c r="N630" s="10" t="n"/>
      <c r="O630" s="10" t="n"/>
      <c r="P630" s="10" t="n"/>
      <c r="Q630" s="10" t="n"/>
      <c r="R630" s="82" t="n"/>
      <c r="S630" s="10" t="n"/>
      <c r="T630" s="10" t="n"/>
      <c r="U630" s="83" t="n"/>
      <c r="V630" s="10" t="n"/>
    </row>
    <row r="631" ht="15.75" customHeight="1" s="297">
      <c r="B631" s="80" t="n"/>
      <c r="E631" s="10" t="n"/>
      <c r="F631" s="10" t="n"/>
      <c r="G631" s="10" t="n"/>
      <c r="H631" s="10" t="n"/>
      <c r="I631" s="81" t="n"/>
      <c r="J631" s="10" t="n"/>
      <c r="K631" s="10" t="n"/>
      <c r="L631" s="10" t="n"/>
      <c r="M631" s="10" t="n"/>
      <c r="N631" s="10" t="n"/>
      <c r="O631" s="10" t="n"/>
      <c r="P631" s="10" t="n"/>
      <c r="Q631" s="10" t="n"/>
      <c r="R631" s="82" t="n"/>
      <c r="S631" s="10" t="n"/>
      <c r="T631" s="10" t="n"/>
      <c r="U631" s="83" t="n"/>
      <c r="V631" s="10" t="n"/>
    </row>
    <row r="632" ht="15.75" customHeight="1" s="297">
      <c r="B632" s="80" t="n"/>
      <c r="E632" s="10" t="n"/>
      <c r="F632" s="10" t="n"/>
      <c r="G632" s="10" t="n"/>
      <c r="H632" s="10" t="n"/>
      <c r="I632" s="81" t="n"/>
      <c r="J632" s="10" t="n"/>
      <c r="K632" s="10" t="n"/>
      <c r="L632" s="10" t="n"/>
      <c r="M632" s="10" t="n"/>
      <c r="N632" s="10" t="n"/>
      <c r="O632" s="10" t="n"/>
      <c r="P632" s="10" t="n"/>
      <c r="Q632" s="10" t="n"/>
      <c r="R632" s="82" t="n"/>
      <c r="S632" s="10" t="n"/>
      <c r="T632" s="10" t="n"/>
      <c r="U632" s="83" t="n"/>
      <c r="V632" s="10" t="n"/>
    </row>
    <row r="633" ht="15.75" customHeight="1" s="297">
      <c r="B633" s="80" t="n"/>
      <c r="E633" s="10" t="n"/>
      <c r="F633" s="10" t="n"/>
      <c r="G633" s="10" t="n"/>
      <c r="H633" s="10" t="n"/>
      <c r="I633" s="81" t="n"/>
      <c r="J633" s="10" t="n"/>
      <c r="K633" s="10" t="n"/>
      <c r="L633" s="10" t="n"/>
      <c r="M633" s="10" t="n"/>
      <c r="N633" s="10" t="n"/>
      <c r="O633" s="10" t="n"/>
      <c r="P633" s="10" t="n"/>
      <c r="Q633" s="10" t="n"/>
      <c r="R633" s="82" t="n"/>
      <c r="S633" s="10" t="n"/>
      <c r="T633" s="10" t="n"/>
      <c r="U633" s="83" t="n"/>
      <c r="V633" s="10" t="n"/>
    </row>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dataValidations count="5">
    <dataValidation sqref="F4:F433" showDropDown="0" showInputMessage="0" showErrorMessage="0" allowBlank="1" type="list">
      <formula1>"L,KG,R$/Ha,PROTEINAS,Ton,SC,5MM,HM"</formula1>
    </dataValidation>
    <dataValidation sqref="B4:B433" showDropDown="0" showInputMessage="0" showErrorMessage="0" allowBlank="1" type="list">
      <formula1>"TS,ADJUVANTE,RC,HERBICIDA,INSETICIDA,NUTRIÇÃO,FUNGICIDA,FERTILIZANTES,CORRETIVOS,SEMENTE,MÁQUINAS,BIOLÓGICOS"</formula1>
    </dataValidation>
    <dataValidation sqref="A4:A433" showDropDown="1" showInputMessage="0" showErrorMessage="1" allowBlank="1" type="list">
      <formula1>"ADAMA,BASF,BAYER,CORTEVA,FMC,SUMITOMO,SYNGENTA,UPL,ALBAUGH,NORTOX,SIPCAM,TECNOMYL,AGROPLACE,ACRESENTE,SOLUBIO,GRAN7,Vittia,Total"</formula1>
    </dataValidation>
    <dataValidation sqref="S4:S433 U4:V433" showDropDown="1" showInputMessage="0" showErrorMessage="0" allowBlank="1" type="custom">
      <formula1>AND(ISNUMBER(S4),(NOT(OR(NOT(ISERROR(DATEVALUE(S4))), AND(ISNUMBER(S4), LEFT(CELL("format", S4))="D")))))</formula1>
    </dataValidation>
    <dataValidation sqref="I4:I433" showDropDown="1" showInputMessage="0" showErrorMessage="1" allowBlank="1" type="list">
      <formula1>"4x5,12x1,1x20,1x25,2x10,5x0,250,1X20,Pallet 960L,Pallet 540L,10x0,35,20X250,12x0,100,4x2,10x0,480,6x0,880,10x0,420,4x5 e 1x20,20x0,500,20x1,1x10,20X1,1x22,5,25x0,200,2X5,10x1,4X5,12X1,10x0,5,2x5,16x1,10X2,10X1,1x15,BAG"</formula1>
    </dataValidation>
  </dataValidations>
  <hyperlinks>
    <hyperlink xmlns:r="http://schemas.openxmlformats.org/officeDocument/2006/relationships" ref="X2" location="gid=942186745" r:id="rId1"/>
  </hyperlinks>
  <pageMargins left="0.511811024" right="0.511811024" top="0.787401575" bottom="0.787401575" header="0" footer="0"/>
  <pageSetup orientation="landscape"/>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0" summaryRight="0"/>
    <pageSetUpPr/>
  </sheetPr>
  <dimension ref="A1:K230"/>
  <sheetViews>
    <sheetView workbookViewId="0">
      <pane ySplit="1" topLeftCell="A2" activePane="bottomLeft" state="frozen"/>
      <selection pane="bottomLeft" activeCell="B3" sqref="B3"/>
    </sheetView>
  </sheetViews>
  <sheetFormatPr baseColWidth="8" defaultColWidth="12.63" defaultRowHeight="15" customHeight="1"/>
  <cols>
    <col width="17.5" customWidth="1" style="297" min="1" max="1"/>
    <col width="18" customWidth="1" style="297" min="2" max="2"/>
    <col width="28.25" customWidth="1" style="297" min="3" max="3"/>
    <col width="26.13" customWidth="1" style="297" min="4" max="4"/>
    <col width="10.63" customWidth="1" style="297" min="5" max="5"/>
    <col width="27.88" customWidth="1" style="297" min="6" max="6"/>
    <col width="17.63" customWidth="1" style="297" min="7" max="7"/>
    <col width="22.38" customWidth="1" style="297" min="8" max="8"/>
    <col width="18" customWidth="1" style="297" min="9" max="9"/>
    <col width="27.63" customWidth="1" style="297" min="10" max="10"/>
  </cols>
  <sheetData>
    <row r="1" ht="22.5" customHeight="1" s="297">
      <c r="A1" s="157" t="inlineStr">
        <is>
          <t>TALHÃO</t>
        </is>
      </c>
      <c r="B1" s="157" t="inlineStr">
        <is>
          <t>NOME</t>
        </is>
      </c>
      <c r="C1" s="157" t="inlineStr">
        <is>
          <t>EMPREENDIMENTO</t>
        </is>
      </c>
      <c r="D1" s="157" t="inlineStr">
        <is>
          <t>PRODUTIVIDADE ESPERADA</t>
        </is>
      </c>
      <c r="E1" s="157" t="inlineStr">
        <is>
          <t>ÁREA</t>
        </is>
      </c>
      <c r="F1" s="158" t="inlineStr">
        <is>
          <t>PRODUÇÃO ESPERADA</t>
        </is>
      </c>
      <c r="G1" s="158" t="inlineStr">
        <is>
          <t>PRODUÇÃO ESPERADA KG</t>
        </is>
      </c>
      <c r="H1" s="158" t="inlineStr">
        <is>
          <t>EMPREEDIMENTO SAFRINHA</t>
        </is>
      </c>
      <c r="I1" s="158" t="inlineStr">
        <is>
          <t>PRODUTIVIDADE</t>
        </is>
      </c>
      <c r="J1" s="158" t="inlineStr">
        <is>
          <t>PRODUTIVIDADE SAFRINHA</t>
        </is>
      </c>
      <c r="K1" s="159" t="inlineStr">
        <is>
          <t>Column 10</t>
        </is>
      </c>
    </row>
    <row r="2" ht="22.5" customHeight="1" s="297">
      <c r="A2" s="160" t="inlineStr">
        <is>
          <t>TL01</t>
        </is>
      </c>
      <c r="B2" s="161" t="inlineStr">
        <is>
          <t>ÁREA 1</t>
        </is>
      </c>
      <c r="C2" s="161" t="inlineStr">
        <is>
          <t>FA-SOJA SEQUEIRO-26/27</t>
        </is>
      </c>
      <c r="D2" s="162" t="n">
        <v>70</v>
      </c>
      <c r="E2" s="163">
        <f>IFERROR(VLOOKUP(B2,LISTA!$M$1:$N$1000,2,0),"")</f>
        <v/>
      </c>
      <c r="F2" s="162">
        <f>E2*D2</f>
        <v/>
      </c>
      <c r="G2" s="164">
        <f>F2*60</f>
        <v/>
      </c>
      <c r="H2" s="161" t="inlineStr">
        <is>
          <t>FA-SORGO SEQUEIRO-27/27</t>
        </is>
      </c>
      <c r="I2" s="162" t="n">
        <v>60</v>
      </c>
      <c r="J2" s="162">
        <f>E2*I2</f>
        <v/>
      </c>
      <c r="K2" s="159" t="n"/>
    </row>
    <row r="3" ht="22.5" customHeight="1" s="297">
      <c r="A3" s="165" t="inlineStr">
        <is>
          <t>TL02</t>
        </is>
      </c>
      <c r="B3" s="161" t="inlineStr">
        <is>
          <t>ESTEVÃO</t>
        </is>
      </c>
      <c r="C3" s="161" t="inlineStr">
        <is>
          <t>FA-SOJA SEQUEIRO-26/27</t>
        </is>
      </c>
      <c r="D3" s="162" t="n">
        <v>70</v>
      </c>
      <c r="E3" s="163">
        <f>IFERROR(VLOOKUP(B3,LISTA!$M$1:$N$1000,2,0),"")</f>
        <v/>
      </c>
      <c r="F3" s="162">
        <f>E3*D3</f>
        <v/>
      </c>
      <c r="G3" s="164">
        <f>F3*60</f>
        <v/>
      </c>
      <c r="H3" s="161" t="inlineStr">
        <is>
          <t>FA-SORGO SEQUEIRO-27/27</t>
        </is>
      </c>
      <c r="I3" s="162" t="n">
        <v>60</v>
      </c>
      <c r="J3" s="162">
        <f>E3*I3</f>
        <v/>
      </c>
      <c r="K3" s="159" t="n"/>
    </row>
    <row r="4" ht="22.5" customHeight="1" s="297">
      <c r="A4" s="165" t="inlineStr">
        <is>
          <t>TL03</t>
        </is>
      </c>
      <c r="B4" s="161" t="inlineStr">
        <is>
          <t>ÁREA 2</t>
        </is>
      </c>
      <c r="C4" s="161" t="inlineStr">
        <is>
          <t>FA-SOJA SEQUEIRO-26/27</t>
        </is>
      </c>
      <c r="D4" s="162" t="n">
        <v>70</v>
      </c>
      <c r="E4" s="163">
        <f>IFERROR(VLOOKUP(B4,LISTA!$M$1:$N$1000,2,0),"")</f>
        <v/>
      </c>
      <c r="F4" s="162">
        <f>E4*D4</f>
        <v/>
      </c>
      <c r="G4" s="164">
        <f>F4*60</f>
        <v/>
      </c>
      <c r="H4" s="161" t="n"/>
      <c r="I4" s="162" t="n"/>
      <c r="J4" s="162">
        <f>E4*I4</f>
        <v/>
      </c>
      <c r="K4" s="159" t="n"/>
    </row>
    <row r="5" ht="22.5" customHeight="1" s="297">
      <c r="A5" s="165" t="inlineStr">
        <is>
          <t>TL04</t>
        </is>
      </c>
      <c r="B5" s="161" t="inlineStr">
        <is>
          <t>ÁREA 2 B</t>
        </is>
      </c>
      <c r="C5" s="161" t="inlineStr">
        <is>
          <t>FA-SOJA SEQUEIRO-26/27</t>
        </is>
      </c>
      <c r="D5" s="162" t="n">
        <v>70</v>
      </c>
      <c r="E5" s="163">
        <f>IFERROR(VLOOKUP(B5,LISTA!$M$1:$N$1000,2,0),"")</f>
        <v/>
      </c>
      <c r="F5" s="162">
        <f>E5*D5</f>
        <v/>
      </c>
      <c r="G5" s="164">
        <f>F5*60</f>
        <v/>
      </c>
      <c r="H5" s="161" t="n"/>
      <c r="I5" s="162" t="n"/>
      <c r="J5" s="162">
        <f>E5*I5</f>
        <v/>
      </c>
      <c r="K5" s="159" t="n"/>
    </row>
    <row r="6" ht="22.5" customHeight="1" s="297">
      <c r="A6" s="165" t="inlineStr">
        <is>
          <t>TL05</t>
        </is>
      </c>
      <c r="B6" s="161" t="inlineStr">
        <is>
          <t>ÁREA 3</t>
        </is>
      </c>
      <c r="C6" s="161" t="inlineStr">
        <is>
          <t>FA-SOJA SEQUEIRO-26/27</t>
        </is>
      </c>
      <c r="D6" s="162" t="n">
        <v>70</v>
      </c>
      <c r="E6" s="163">
        <f>IFERROR(VLOOKUP(B6,LISTA!$M$1:$N$1000,2,0),"")</f>
        <v/>
      </c>
      <c r="F6" s="162">
        <f>E6*D6</f>
        <v/>
      </c>
      <c r="G6" s="164">
        <f>F6*60</f>
        <v/>
      </c>
      <c r="H6" s="161" t="n"/>
      <c r="I6" s="162" t="n"/>
      <c r="J6" s="162">
        <f>E6*I6</f>
        <v/>
      </c>
      <c r="K6" s="159" t="n"/>
    </row>
    <row r="7" ht="22.5" customHeight="1" s="297">
      <c r="A7" s="165" t="inlineStr">
        <is>
          <t>TL06</t>
        </is>
      </c>
      <c r="B7" s="161" t="inlineStr">
        <is>
          <t>CAPOEIRINHA</t>
        </is>
      </c>
      <c r="C7" s="161" t="inlineStr">
        <is>
          <t>FA-SOJA SEQUEIRO-26/27</t>
        </is>
      </c>
      <c r="D7" s="162" t="n">
        <v>70</v>
      </c>
      <c r="E7" s="163">
        <f>IFERROR(VLOOKUP(B7,LISTA!$M$1:$N$1000,2,0),"")</f>
        <v/>
      </c>
      <c r="F7" s="162">
        <f>E7*D7</f>
        <v/>
      </c>
      <c r="G7" s="164">
        <f>F7*60</f>
        <v/>
      </c>
      <c r="H7" s="161" t="n"/>
      <c r="I7" s="162" t="n"/>
      <c r="J7" s="162">
        <f>E7*I7</f>
        <v/>
      </c>
      <c r="K7" s="159" t="n"/>
    </row>
    <row r="8" ht="22.5" customHeight="1" s="297">
      <c r="A8" s="165" t="inlineStr">
        <is>
          <t>TL07</t>
        </is>
      </c>
      <c r="B8" s="161" t="inlineStr">
        <is>
          <t>RONCADOR</t>
        </is>
      </c>
      <c r="C8" s="161" t="inlineStr">
        <is>
          <t>FA-SOJA SEQUEIRO-26/27</t>
        </is>
      </c>
      <c r="D8" s="162" t="n">
        <v>70</v>
      </c>
      <c r="E8" s="163">
        <f>IFERROR(VLOOKUP(B8,LISTA!$M$1:$N$1000,2,0),"")</f>
        <v/>
      </c>
      <c r="F8" s="162">
        <f>E8*D8</f>
        <v/>
      </c>
      <c r="G8" s="164">
        <f>F8*60</f>
        <v/>
      </c>
      <c r="H8" s="161" t="n"/>
      <c r="I8" s="162" t="n"/>
      <c r="J8" s="162">
        <f>E8*I8</f>
        <v/>
      </c>
      <c r="K8" s="159" t="n"/>
    </row>
    <row r="9" ht="22.5" customHeight="1" s="297">
      <c r="A9" s="165" t="inlineStr">
        <is>
          <t>TL08</t>
        </is>
      </c>
      <c r="B9" s="161" t="inlineStr">
        <is>
          <t>BARRO BRANCO</t>
        </is>
      </c>
      <c r="C9" s="161" t="inlineStr">
        <is>
          <t>FA-MILHO SEQUEIRO-26/27</t>
        </is>
      </c>
      <c r="D9" s="162" t="n">
        <v>180</v>
      </c>
      <c r="E9" s="163">
        <f>IFERROR(VLOOKUP(B9,LISTA!$M$1:$N$1000,2,0),"")</f>
        <v/>
      </c>
      <c r="F9" s="162">
        <f>E9*D9</f>
        <v/>
      </c>
      <c r="G9" s="164">
        <f>F9*60</f>
        <v/>
      </c>
      <c r="H9" s="161" t="n"/>
      <c r="I9" s="162" t="n"/>
      <c r="J9" s="162">
        <f>E9*I9</f>
        <v/>
      </c>
      <c r="K9" s="159" t="n"/>
    </row>
    <row r="10" ht="22.5" customHeight="1" s="297">
      <c r="A10" s="165" t="inlineStr">
        <is>
          <t>TL09</t>
        </is>
      </c>
      <c r="B10" s="161" t="n"/>
      <c r="C10" s="161" t="n"/>
      <c r="D10" s="162" t="n"/>
      <c r="E10" s="163">
        <f>IFERROR(VLOOKUP(B10,LISTA!$M$1:$N$1000,2,0),"")</f>
        <v/>
      </c>
      <c r="F10" s="162">
        <f>E10*D10</f>
        <v/>
      </c>
      <c r="G10" s="164">
        <f>F10*60</f>
        <v/>
      </c>
      <c r="H10" s="161" t="n"/>
      <c r="I10" s="162" t="n"/>
      <c r="J10" s="162">
        <f>E10*I10</f>
        <v/>
      </c>
      <c r="K10" s="159" t="n"/>
    </row>
    <row r="11" ht="22.5" customHeight="1" s="297">
      <c r="A11" s="165" t="inlineStr">
        <is>
          <t>TL10</t>
        </is>
      </c>
      <c r="B11" s="161" t="inlineStr">
        <is>
          <t>P200</t>
        </is>
      </c>
      <c r="C11" s="161" t="inlineStr">
        <is>
          <t>FA-SOJA-IRRIGADO-26/27</t>
        </is>
      </c>
      <c r="D11" s="162" t="n">
        <v>70</v>
      </c>
      <c r="E11" s="163">
        <f>IFERROR(VLOOKUP(B11,LISTA!$M$1:$N$1000,2,0),"")</f>
        <v/>
      </c>
      <c r="F11" s="162">
        <f>E11*D11</f>
        <v/>
      </c>
      <c r="G11" s="164">
        <f>F11*60</f>
        <v/>
      </c>
      <c r="H11" s="161" t="inlineStr">
        <is>
          <t>FA-MILHO SEMENTE-27/27</t>
        </is>
      </c>
      <c r="I11" s="162" t="n">
        <v>200</v>
      </c>
      <c r="J11" s="162">
        <f>E11*I11</f>
        <v/>
      </c>
      <c r="K11" s="159" t="n"/>
    </row>
    <row r="12" ht="22.5" customHeight="1" s="297">
      <c r="A12" s="165" t="inlineStr">
        <is>
          <t>TL11</t>
        </is>
      </c>
      <c r="B12" s="161" t="inlineStr">
        <is>
          <t>P120</t>
        </is>
      </c>
      <c r="C12" s="161" t="inlineStr">
        <is>
          <t>FA-SOJA-IRRIGADO-26/27</t>
        </is>
      </c>
      <c r="D12" s="162" t="n">
        <v>70</v>
      </c>
      <c r="E12" s="163">
        <f>IFERROR(VLOOKUP(B12,LISTA!$M$1:$N$1000,2,0),"")</f>
        <v/>
      </c>
      <c r="F12" s="162">
        <f>E12*D12</f>
        <v/>
      </c>
      <c r="G12" s="164">
        <f>F12*60</f>
        <v/>
      </c>
      <c r="H12" s="161" t="n"/>
      <c r="I12" s="162" t="n"/>
      <c r="J12" s="162">
        <f>E12*I12</f>
        <v/>
      </c>
      <c r="K12" s="159" t="n"/>
    </row>
    <row r="13" ht="22.5" customHeight="1" s="297">
      <c r="A13" s="165" t="inlineStr">
        <is>
          <t>TL12</t>
        </is>
      </c>
      <c r="B13" s="161" t="inlineStr">
        <is>
          <t>P 01</t>
        </is>
      </c>
      <c r="C13" s="161" t="inlineStr">
        <is>
          <t>FE-SOJA IRRIGADO-26/27</t>
        </is>
      </c>
      <c r="D13" s="162" t="n">
        <v>65</v>
      </c>
      <c r="E13" s="163">
        <f>IFERROR(VLOOKUP(B13,LISTA!$M$1:$N$1000,2,0),"")</f>
        <v/>
      </c>
      <c r="F13" s="162">
        <f>E13*D13</f>
        <v/>
      </c>
      <c r="G13" s="164">
        <f>F13*60</f>
        <v/>
      </c>
      <c r="H13" s="161" t="n"/>
      <c r="I13" s="162" t="n"/>
      <c r="J13" s="162">
        <f>E13*I13</f>
        <v/>
      </c>
      <c r="K13" s="159" t="n"/>
    </row>
    <row r="14" ht="22.5" customHeight="1" s="297">
      <c r="A14" s="165" t="inlineStr">
        <is>
          <t>TL13</t>
        </is>
      </c>
      <c r="B14" s="161" t="inlineStr">
        <is>
          <t>P 02</t>
        </is>
      </c>
      <c r="C14" s="161" t="inlineStr">
        <is>
          <t>FE-SOJA IRRIGADO-26/27</t>
        </is>
      </c>
      <c r="D14" s="162" t="n">
        <v>65</v>
      </c>
      <c r="E14" s="163">
        <f>IFERROR(VLOOKUP(B14,LISTA!$M$1:$N$1000,2,0),"")</f>
        <v/>
      </c>
      <c r="F14" s="162">
        <f>E14*D14</f>
        <v/>
      </c>
      <c r="G14" s="164">
        <f>F14*60</f>
        <v/>
      </c>
      <c r="H14" s="161" t="n"/>
      <c r="I14" s="162" t="n"/>
      <c r="J14" s="162">
        <f>E14*I14</f>
        <v/>
      </c>
      <c r="K14" s="159" t="n"/>
    </row>
    <row r="15" ht="22.5" customHeight="1" s="297">
      <c r="A15" s="165" t="inlineStr">
        <is>
          <t>TL14</t>
        </is>
      </c>
      <c r="B15" s="161" t="inlineStr">
        <is>
          <t>P 03</t>
        </is>
      </c>
      <c r="C15" s="161" t="inlineStr">
        <is>
          <t>FE-SOJA IRRIGADO-26/27</t>
        </is>
      </c>
      <c r="D15" s="162" t="n">
        <v>65</v>
      </c>
      <c r="E15" s="163">
        <f>IFERROR(VLOOKUP(B15,LISTA!$M$1:$N$1000,2,0),"")</f>
        <v/>
      </c>
      <c r="F15" s="162">
        <f>E15*D15</f>
        <v/>
      </c>
      <c r="G15" s="164">
        <f>F15*60</f>
        <v/>
      </c>
      <c r="H15" s="161" t="n"/>
      <c r="I15" s="162" t="n"/>
      <c r="J15" s="162">
        <f>E15*I15</f>
        <v/>
      </c>
      <c r="K15" s="159" t="n"/>
    </row>
    <row r="16" ht="22.5" customHeight="1" s="297">
      <c r="A16" s="165" t="inlineStr">
        <is>
          <t>TL15</t>
        </is>
      </c>
      <c r="B16" s="161" t="inlineStr">
        <is>
          <t>P 04</t>
        </is>
      </c>
      <c r="C16" s="161" t="inlineStr">
        <is>
          <t>FE-BRACHIARIA-26/27</t>
        </is>
      </c>
      <c r="D16" s="162" t="n">
        <v>65</v>
      </c>
      <c r="E16" s="163">
        <f>IFERROR(VLOOKUP(B16,LISTA!$M$1:$N$1000,2,0),"")</f>
        <v/>
      </c>
      <c r="F16" s="162">
        <f>E16*D16</f>
        <v/>
      </c>
      <c r="G16" s="164">
        <f>F16*60</f>
        <v/>
      </c>
      <c r="H16" s="161" t="n"/>
      <c r="I16" s="162" t="n"/>
      <c r="J16" s="162">
        <f>E16*I16</f>
        <v/>
      </c>
      <c r="K16" s="159" t="n"/>
    </row>
    <row r="17" ht="22.5" customHeight="1" s="297">
      <c r="A17" s="165" t="inlineStr">
        <is>
          <t>TL16</t>
        </is>
      </c>
      <c r="B17" s="161" t="inlineStr">
        <is>
          <t>P 05</t>
        </is>
      </c>
      <c r="C17" s="161" t="inlineStr">
        <is>
          <t>FE-BRACHIARIA-26/27</t>
        </is>
      </c>
      <c r="D17" s="162" t="n">
        <v>65</v>
      </c>
      <c r="E17" s="163" t="n">
        <v>140</v>
      </c>
      <c r="F17" s="162">
        <f>E17*D17</f>
        <v/>
      </c>
      <c r="G17" s="164">
        <f>F17*60</f>
        <v/>
      </c>
      <c r="H17" s="161" t="n"/>
      <c r="I17" s="162" t="n"/>
      <c r="J17" s="162">
        <f>E17*I17</f>
        <v/>
      </c>
      <c r="K17" s="159" t="n"/>
    </row>
    <row r="18" ht="22.5" customHeight="1" s="297">
      <c r="A18" s="165" t="inlineStr">
        <is>
          <t>TL17</t>
        </is>
      </c>
      <c r="B18" s="161" t="inlineStr">
        <is>
          <t>P 06</t>
        </is>
      </c>
      <c r="C18" s="161" t="inlineStr">
        <is>
          <t>FE-SOJA IRRIGADO-26/27</t>
        </is>
      </c>
      <c r="D18" s="162" t="n">
        <v>50</v>
      </c>
      <c r="E18" s="163">
        <f>IFERROR(VLOOKUP(B18,LISTA!$M$1:$N$1000,2,0),"")</f>
        <v/>
      </c>
      <c r="F18" s="162">
        <f>E18*D18</f>
        <v/>
      </c>
      <c r="G18" s="164">
        <f>F18*60</f>
        <v/>
      </c>
      <c r="H18" s="161" t="n"/>
      <c r="I18" s="162" t="n"/>
      <c r="J18" s="162">
        <f>E18*I18</f>
        <v/>
      </c>
      <c r="K18" s="159" t="n"/>
    </row>
    <row r="19" ht="22.5" customHeight="1" s="297">
      <c r="A19" s="165" t="inlineStr">
        <is>
          <t>TL18</t>
        </is>
      </c>
      <c r="B19" s="161" t="inlineStr">
        <is>
          <t>T01</t>
        </is>
      </c>
      <c r="C19" s="161" t="inlineStr">
        <is>
          <t>FE-BRACHIARIA-26/27</t>
        </is>
      </c>
      <c r="D19" s="162" t="n">
        <v>50</v>
      </c>
      <c r="E19" s="163">
        <f>IFERROR(VLOOKUP(B19,LISTA!$M$1:$N$1000,2,0),"")</f>
        <v/>
      </c>
      <c r="F19" s="162">
        <f>E19*D19</f>
        <v/>
      </c>
      <c r="G19" s="164">
        <f>F19*60</f>
        <v/>
      </c>
      <c r="H19" s="161" t="n"/>
      <c r="I19" s="161" t="n"/>
      <c r="J19" s="162">
        <f>E19*I19</f>
        <v/>
      </c>
      <c r="K19" s="159" t="n"/>
    </row>
    <row r="20" ht="22.5" customHeight="1" s="297">
      <c r="A20" s="165" t="inlineStr">
        <is>
          <t>TL19</t>
        </is>
      </c>
      <c r="B20" s="161" t="inlineStr">
        <is>
          <t>T02</t>
        </is>
      </c>
      <c r="C20" s="161" t="inlineStr">
        <is>
          <t>FE-SOJA SEQUEIRO-26/27</t>
        </is>
      </c>
      <c r="D20" s="162" t="n">
        <v>50</v>
      </c>
      <c r="E20" s="163">
        <f>IFERROR(VLOOKUP(B20,LISTA!$M$1:$N$1000,2,0),"")</f>
        <v/>
      </c>
      <c r="F20" s="162">
        <f>E20*D20</f>
        <v/>
      </c>
      <c r="G20" s="164">
        <f>F20*60</f>
        <v/>
      </c>
      <c r="H20" s="161" t="n"/>
      <c r="I20" s="161" t="n"/>
      <c r="J20" s="162">
        <f>E20*I20</f>
        <v/>
      </c>
      <c r="K20" s="159" t="n"/>
    </row>
    <row r="21" ht="22.5" customHeight="1" s="297">
      <c r="A21" s="166" t="inlineStr">
        <is>
          <t>TL20</t>
        </is>
      </c>
      <c r="B21" s="161" t="n"/>
      <c r="C21" s="161" t="n"/>
      <c r="D21" s="162" t="n"/>
      <c r="E21" s="163" t="n"/>
      <c r="F21" s="162" t="n"/>
      <c r="G21" s="164">
        <f>F21*60</f>
        <v/>
      </c>
      <c r="H21" s="161" t="n"/>
      <c r="I21" s="161" t="n"/>
      <c r="J21" s="162">
        <f>E21*I21</f>
        <v/>
      </c>
      <c r="K21" s="159" t="n"/>
    </row>
    <row r="22" ht="22.5" customHeight="1" s="297">
      <c r="A22" s="167" t="n"/>
      <c r="B22" s="161" t="n"/>
      <c r="C22" s="161" t="n"/>
      <c r="D22" s="162" t="n"/>
      <c r="E22" s="163" t="n"/>
      <c r="F22" s="162" t="n"/>
      <c r="G22" s="164" t="n"/>
      <c r="H22" s="161" t="n"/>
      <c r="I22" s="161" t="n"/>
      <c r="J22" s="162">
        <f>E22*I22</f>
        <v/>
      </c>
      <c r="K22" s="159" t="n"/>
    </row>
    <row r="23" ht="22.5" customHeight="1" s="297">
      <c r="A23" s="167" t="n"/>
      <c r="B23" s="161" t="n"/>
      <c r="C23" s="161" t="n"/>
      <c r="D23" s="162" t="n"/>
      <c r="E23" s="163" t="n"/>
      <c r="F23" s="162" t="n"/>
      <c r="G23" s="164" t="n"/>
      <c r="H23" s="161" t="n"/>
      <c r="I23" s="161" t="n"/>
      <c r="J23" s="162">
        <f>E23*I23</f>
        <v/>
      </c>
      <c r="K23" s="159" t="n"/>
    </row>
    <row r="24" ht="22.5" customHeight="1" s="297">
      <c r="A24" s="167" t="n"/>
      <c r="B24" s="161" t="n"/>
      <c r="C24" s="161" t="n"/>
      <c r="D24" s="162" t="n"/>
      <c r="E24" s="163" t="n"/>
      <c r="F24" s="162" t="n"/>
      <c r="G24" s="164" t="n"/>
      <c r="H24" s="161" t="n"/>
      <c r="I24" s="161" t="n"/>
      <c r="J24" s="162">
        <f>E24*I24</f>
        <v/>
      </c>
      <c r="K24" s="159" t="n"/>
    </row>
    <row r="25" ht="22.5" customHeight="1" s="297">
      <c r="A25" s="167" t="n"/>
      <c r="B25" s="161" t="n"/>
      <c r="C25" s="161" t="n"/>
      <c r="D25" s="162" t="n"/>
      <c r="E25" s="163" t="n"/>
      <c r="F25" s="162" t="n"/>
      <c r="G25" s="164" t="n"/>
      <c r="H25" s="161" t="n"/>
      <c r="I25" s="161" t="n"/>
      <c r="J25" s="162">
        <f>E25*I25</f>
        <v/>
      </c>
      <c r="K25" s="159" t="n"/>
    </row>
    <row r="26" ht="22.5" customHeight="1" s="297">
      <c r="A26" s="167" t="n"/>
      <c r="B26" s="161" t="n"/>
      <c r="C26" s="161" t="n"/>
      <c r="D26" s="162" t="n"/>
      <c r="E26" s="163" t="n"/>
      <c r="F26" s="162" t="n"/>
      <c r="G26" s="164" t="n"/>
      <c r="H26" s="161" t="n"/>
      <c r="I26" s="161" t="n"/>
      <c r="J26" s="162">
        <f>E26*I26</f>
        <v/>
      </c>
      <c r="K26" s="159" t="n"/>
    </row>
    <row r="27" ht="22.5" customHeight="1" s="297">
      <c r="A27" s="167" t="n"/>
      <c r="B27" s="161" t="n"/>
      <c r="C27" s="161" t="n"/>
      <c r="D27" s="162" t="n"/>
      <c r="E27" s="161" t="n"/>
      <c r="F27" s="161" t="n"/>
      <c r="G27" s="161" t="n"/>
      <c r="H27" s="161" t="n"/>
      <c r="I27" s="161" t="n"/>
      <c r="J27" s="162">
        <f>E27*I27</f>
        <v/>
      </c>
      <c r="K27" s="159" t="n"/>
    </row>
    <row r="28" ht="22.5" customHeight="1" s="297">
      <c r="A28" s="167" t="n"/>
      <c r="B28" s="161" t="n"/>
      <c r="C28" s="161" t="n"/>
      <c r="D28" s="162" t="n"/>
      <c r="E28" s="161" t="n"/>
      <c r="F28" s="161" t="n"/>
      <c r="G28" s="161" t="n"/>
      <c r="H28" s="161" t="n"/>
      <c r="I28" s="161" t="n"/>
      <c r="J28" s="162">
        <f>E28*I28</f>
        <v/>
      </c>
      <c r="K28" s="159" t="n"/>
    </row>
    <row r="29" ht="22.5" customHeight="1" s="297">
      <c r="A29" s="167" t="n"/>
      <c r="B29" s="161" t="n"/>
      <c r="C29" s="161" t="n"/>
      <c r="D29" s="162" t="n"/>
      <c r="E29" s="161" t="n"/>
      <c r="F29" s="161" t="n"/>
      <c r="G29" s="161" t="n"/>
      <c r="H29" s="161" t="n"/>
      <c r="I29" s="161" t="n"/>
      <c r="J29" s="162">
        <f>E29*I29</f>
        <v/>
      </c>
      <c r="K29" s="159" t="n"/>
    </row>
    <row r="30" ht="22.5" customHeight="1" s="297">
      <c r="A30" s="167" t="n"/>
      <c r="B30" s="161" t="n"/>
      <c r="C30" s="161" t="n"/>
      <c r="D30" s="162" t="n"/>
      <c r="E30" s="161" t="n"/>
      <c r="F30" s="161" t="n"/>
      <c r="G30" s="161" t="n"/>
      <c r="H30" s="161" t="n"/>
      <c r="I30" s="161" t="n"/>
      <c r="J30" s="162">
        <f>E30*I30</f>
        <v/>
      </c>
      <c r="K30" s="159" t="n"/>
    </row>
    <row r="31" ht="15.75" customHeight="1" s="297">
      <c r="A31" s="168" t="n"/>
      <c r="B31" s="159" t="n"/>
      <c r="C31" s="159" t="n"/>
      <c r="D31" s="159" t="n"/>
      <c r="E31" s="159" t="n"/>
      <c r="F31" s="159" t="n"/>
      <c r="G31" s="159" t="n"/>
      <c r="H31" s="159" t="n"/>
      <c r="I31" s="159" t="n"/>
      <c r="J31" s="159" t="n"/>
      <c r="K31" s="159" t="n"/>
    </row>
    <row r="32" ht="15.75" customHeight="1" s="297">
      <c r="A32" s="168" t="n"/>
      <c r="B32" s="159" t="n"/>
      <c r="C32" s="159" t="n"/>
      <c r="D32" s="159" t="n"/>
      <c r="E32" s="159" t="n"/>
      <c r="F32" s="159" t="n"/>
      <c r="G32" s="159" t="n"/>
      <c r="H32" s="159" t="n"/>
      <c r="I32" s="159" t="n"/>
      <c r="J32" s="159" t="n"/>
      <c r="K32" s="159" t="n"/>
    </row>
    <row r="33" ht="15.75" customHeight="1" s="297">
      <c r="A33" s="168" t="n"/>
      <c r="B33" s="159" t="n"/>
      <c r="C33" s="159" t="n"/>
      <c r="D33" s="159" t="n"/>
      <c r="E33" s="159" t="n"/>
      <c r="F33" s="159" t="n"/>
      <c r="G33" s="159" t="n"/>
      <c r="H33" s="159" t="n"/>
      <c r="I33" s="159" t="n"/>
      <c r="J33" s="159" t="n"/>
      <c r="K33" s="159" t="n"/>
    </row>
    <row r="34" ht="15.75" customHeight="1" s="297">
      <c r="A34" s="168" t="n"/>
      <c r="B34" s="159" t="n"/>
      <c r="C34" s="159" t="n"/>
      <c r="D34" s="159" t="n"/>
      <c r="E34" s="159" t="n"/>
      <c r="F34" s="159" t="n"/>
      <c r="G34" s="159" t="n"/>
      <c r="H34" s="159" t="n"/>
      <c r="I34" s="159" t="n"/>
      <c r="J34" s="159" t="n"/>
      <c r="K34" s="159" t="n"/>
    </row>
    <row r="35" ht="15.75" customHeight="1" s="297">
      <c r="A35" s="168" t="n"/>
      <c r="B35" s="159" t="n"/>
      <c r="C35" s="159" t="n"/>
      <c r="D35" s="159" t="n"/>
      <c r="E35" s="159" t="n"/>
      <c r="F35" s="159" t="n"/>
      <c r="G35" s="159" t="n"/>
      <c r="H35" s="159" t="n"/>
      <c r="I35" s="159" t="n"/>
      <c r="J35" s="159" t="n"/>
      <c r="K35" s="159" t="n"/>
    </row>
    <row r="36" ht="15.75" customHeight="1" s="297">
      <c r="A36" s="168" t="n"/>
      <c r="B36" s="159" t="n"/>
      <c r="C36" s="159" t="n"/>
      <c r="D36" s="159" t="n"/>
      <c r="E36" s="159" t="n"/>
      <c r="F36" s="159" t="n"/>
      <c r="G36" s="159" t="n"/>
      <c r="H36" s="159" t="n"/>
      <c r="I36" s="159" t="n"/>
      <c r="J36" s="159" t="n"/>
      <c r="K36" s="159" t="n"/>
    </row>
    <row r="37" ht="15.75" customHeight="1" s="297">
      <c r="A37" s="168" t="n"/>
      <c r="B37" s="159" t="n"/>
      <c r="C37" s="159" t="n"/>
      <c r="D37" s="159" t="n"/>
      <c r="E37" s="159" t="n"/>
      <c r="F37" s="159" t="n"/>
      <c r="G37" s="159" t="n"/>
      <c r="H37" s="159" t="n"/>
      <c r="I37" s="159" t="n"/>
      <c r="J37" s="159" t="n"/>
      <c r="K37" s="159" t="n"/>
    </row>
    <row r="38" ht="15.75" customHeight="1" s="297">
      <c r="A38" s="168" t="n"/>
      <c r="B38" s="159" t="n"/>
      <c r="C38" s="159" t="n"/>
      <c r="D38" s="159" t="n"/>
      <c r="E38" s="159" t="n"/>
      <c r="F38" s="159" t="n"/>
      <c r="G38" s="159" t="n"/>
      <c r="H38" s="159" t="n"/>
      <c r="I38" s="159" t="n"/>
      <c r="J38" s="159" t="n"/>
      <c r="K38" s="159" t="n"/>
    </row>
    <row r="39" ht="15.75" customHeight="1" s="297">
      <c r="A39" s="168" t="n"/>
      <c r="B39" s="159" t="n"/>
      <c r="C39" s="159" t="n"/>
      <c r="D39" s="159" t="n"/>
      <c r="E39" s="159" t="n"/>
      <c r="F39" s="159" t="n"/>
      <c r="G39" s="159" t="n"/>
      <c r="H39" s="159" t="n"/>
      <c r="I39" s="159" t="n"/>
      <c r="J39" s="159" t="n"/>
      <c r="K39" s="159" t="n"/>
    </row>
    <row r="40" ht="15.75" customHeight="1" s="297">
      <c r="A40" s="168" t="n"/>
      <c r="B40" s="159" t="n"/>
      <c r="C40" s="159" t="n"/>
      <c r="D40" s="159" t="n"/>
      <c r="E40" s="159" t="n"/>
      <c r="F40" s="159" t="n"/>
      <c r="G40" s="159" t="n"/>
      <c r="H40" s="159" t="n"/>
      <c r="I40" s="159" t="n"/>
      <c r="J40" s="159" t="n"/>
      <c r="K40" s="159" t="n"/>
    </row>
    <row r="41" ht="15.75" customHeight="1" s="297">
      <c r="A41" s="168" t="n"/>
      <c r="B41" s="159" t="n"/>
      <c r="C41" s="159" t="n"/>
      <c r="D41" s="159" t="n"/>
      <c r="E41" s="159" t="n"/>
      <c r="F41" s="159" t="n"/>
      <c r="G41" s="159" t="n"/>
      <c r="H41" s="159" t="n"/>
      <c r="I41" s="159" t="n"/>
      <c r="J41" s="159" t="n"/>
      <c r="K41" s="159" t="n"/>
    </row>
    <row r="42" ht="15.75" customHeight="1" s="297">
      <c r="A42" s="168" t="n"/>
      <c r="B42" s="159" t="n"/>
      <c r="C42" s="159" t="n"/>
      <c r="D42" s="159" t="n"/>
      <c r="E42" s="159" t="n"/>
      <c r="F42" s="159" t="n"/>
      <c r="G42" s="159" t="n"/>
      <c r="H42" s="159" t="n"/>
      <c r="I42" s="159" t="n"/>
      <c r="J42" s="159" t="n"/>
      <c r="K42" s="159" t="n"/>
    </row>
    <row r="43" ht="15.75" customHeight="1" s="297">
      <c r="A43" s="168" t="n"/>
      <c r="B43" s="159" t="n"/>
      <c r="C43" s="159" t="n"/>
      <c r="D43" s="159" t="n"/>
      <c r="E43" s="159" t="n"/>
      <c r="F43" s="159" t="n"/>
      <c r="G43" s="159" t="n"/>
      <c r="H43" s="159" t="n"/>
      <c r="I43" s="159" t="n"/>
      <c r="J43" s="159" t="n"/>
      <c r="K43" s="159" t="n"/>
    </row>
    <row r="44" ht="15.75" customHeight="1" s="297">
      <c r="A44" s="168" t="n"/>
      <c r="B44" s="159" t="n"/>
      <c r="C44" s="159" t="n"/>
      <c r="D44" s="159" t="n"/>
      <c r="E44" s="159" t="n"/>
      <c r="F44" s="159" t="n"/>
      <c r="G44" s="159" t="n"/>
      <c r="H44" s="159" t="n"/>
      <c r="I44" s="159" t="n"/>
      <c r="J44" s="159" t="n"/>
      <c r="K44" s="159" t="n"/>
    </row>
    <row r="45" ht="15.75" customHeight="1" s="297">
      <c r="A45" s="168" t="n"/>
      <c r="B45" s="159" t="n"/>
      <c r="C45" s="159" t="n"/>
      <c r="D45" s="159" t="n"/>
      <c r="E45" s="159" t="n"/>
      <c r="F45" s="159" t="n"/>
      <c r="G45" s="159" t="n"/>
      <c r="H45" s="159" t="n"/>
      <c r="I45" s="159" t="n"/>
      <c r="J45" s="159" t="n"/>
      <c r="K45" s="159" t="n"/>
    </row>
    <row r="46" ht="15.75" customHeight="1" s="297">
      <c r="A46" s="168" t="n"/>
      <c r="B46" s="159" t="n"/>
      <c r="C46" s="159" t="n"/>
      <c r="D46" s="159" t="n"/>
      <c r="E46" s="159" t="n"/>
      <c r="F46" s="159" t="n"/>
      <c r="G46" s="159" t="n"/>
      <c r="H46" s="159" t="n"/>
      <c r="I46" s="159" t="n"/>
      <c r="J46" s="159" t="n"/>
      <c r="K46" s="159" t="n"/>
    </row>
    <row r="47" ht="15.75" customHeight="1" s="297">
      <c r="A47" s="168" t="n"/>
      <c r="B47" s="159" t="n"/>
      <c r="C47" s="159" t="n"/>
      <c r="D47" s="159" t="n"/>
      <c r="E47" s="159" t="n"/>
      <c r="F47" s="159" t="n"/>
      <c r="G47" s="159" t="n"/>
      <c r="H47" s="159" t="n"/>
      <c r="I47" s="159" t="n"/>
      <c r="J47" s="159" t="n"/>
      <c r="K47" s="159" t="n"/>
    </row>
    <row r="48" ht="15.75" customHeight="1" s="297">
      <c r="A48" s="168" t="n"/>
      <c r="B48" s="159" t="n"/>
      <c r="C48" s="159" t="n"/>
      <c r="D48" s="159" t="n"/>
      <c r="E48" s="159" t="n"/>
      <c r="F48" s="159" t="n"/>
      <c r="G48" s="159" t="n"/>
      <c r="H48" s="159" t="n"/>
      <c r="I48" s="159" t="n"/>
      <c r="J48" s="159" t="n"/>
      <c r="K48" s="159" t="n"/>
    </row>
    <row r="49" ht="15.75" customHeight="1" s="297">
      <c r="A49" s="168" t="n"/>
      <c r="B49" s="159" t="n"/>
      <c r="C49" s="159" t="n"/>
      <c r="D49" s="159" t="n"/>
      <c r="E49" s="159" t="n"/>
      <c r="F49" s="159" t="n"/>
      <c r="G49" s="159" t="n"/>
      <c r="H49" s="159" t="n"/>
      <c r="I49" s="159" t="n"/>
      <c r="J49" s="159" t="n"/>
      <c r="K49" s="159" t="n"/>
    </row>
    <row r="50" ht="15.75" customHeight="1" s="297">
      <c r="A50" s="168" t="n"/>
      <c r="B50" s="159" t="n"/>
      <c r="C50" s="159" t="n"/>
      <c r="D50" s="159" t="n"/>
      <c r="E50" s="159" t="n"/>
      <c r="F50" s="159" t="n"/>
      <c r="G50" s="159" t="n"/>
      <c r="H50" s="159" t="n"/>
      <c r="I50" s="159" t="n"/>
      <c r="J50" s="159" t="n"/>
      <c r="K50" s="159" t="n"/>
    </row>
    <row r="51" ht="15.75" customHeight="1" s="297">
      <c r="A51" s="168" t="n"/>
      <c r="B51" s="159" t="n"/>
      <c r="C51" s="159" t="n"/>
      <c r="D51" s="159" t="n"/>
      <c r="E51" s="159" t="n"/>
      <c r="F51" s="159" t="n"/>
      <c r="G51" s="159" t="n"/>
      <c r="H51" s="159" t="n"/>
      <c r="I51" s="159" t="n"/>
      <c r="J51" s="159" t="n"/>
      <c r="K51" s="159" t="n"/>
    </row>
    <row r="52" ht="15.75" customHeight="1" s="297">
      <c r="A52" s="168" t="n"/>
      <c r="B52" s="159" t="n"/>
      <c r="C52" s="159" t="n"/>
      <c r="D52" s="159" t="n"/>
      <c r="E52" s="159" t="n"/>
      <c r="F52" s="159" t="n"/>
      <c r="G52" s="159" t="n"/>
      <c r="H52" s="159" t="n"/>
      <c r="I52" s="159" t="n"/>
      <c r="J52" s="159" t="n"/>
      <c r="K52" s="159" t="n"/>
    </row>
    <row r="53" ht="15.75" customHeight="1" s="297">
      <c r="A53" s="168" t="n"/>
      <c r="B53" s="159" t="n"/>
      <c r="C53" s="159" t="n"/>
      <c r="D53" s="159" t="n"/>
      <c r="E53" s="159" t="n"/>
      <c r="F53" s="159" t="n"/>
      <c r="G53" s="159" t="n"/>
      <c r="H53" s="159" t="n"/>
      <c r="I53" s="159" t="n"/>
      <c r="J53" s="159" t="n"/>
      <c r="K53" s="159" t="n"/>
    </row>
    <row r="54" ht="15.75" customHeight="1" s="297">
      <c r="A54" s="168" t="n"/>
      <c r="B54" s="159" t="n"/>
      <c r="C54" s="159" t="n"/>
      <c r="D54" s="159" t="n"/>
      <c r="E54" s="159" t="n"/>
      <c r="F54" s="159" t="n"/>
      <c r="G54" s="159" t="n"/>
      <c r="H54" s="159" t="n"/>
      <c r="I54" s="159" t="n"/>
      <c r="J54" s="159" t="n"/>
      <c r="K54" s="159" t="n"/>
    </row>
    <row r="55" ht="15.75" customHeight="1" s="297">
      <c r="A55" s="168" t="n"/>
      <c r="B55" s="159" t="n"/>
      <c r="C55" s="159" t="n"/>
      <c r="D55" s="159" t="n"/>
      <c r="E55" s="159" t="n"/>
      <c r="F55" s="159" t="n"/>
      <c r="G55" s="159" t="n"/>
      <c r="H55" s="159" t="n"/>
      <c r="I55" s="159" t="n"/>
      <c r="J55" s="159" t="n"/>
      <c r="K55" s="159" t="n"/>
    </row>
    <row r="56" ht="15.75" customHeight="1" s="297">
      <c r="A56" s="168" t="n"/>
      <c r="B56" s="159" t="n"/>
      <c r="C56" s="159" t="n"/>
      <c r="D56" s="159" t="n"/>
      <c r="E56" s="159" t="n"/>
      <c r="F56" s="159" t="n"/>
      <c r="G56" s="159" t="n"/>
      <c r="H56" s="159" t="n"/>
      <c r="I56" s="159" t="n"/>
      <c r="J56" s="159" t="n"/>
      <c r="K56" s="159" t="n"/>
    </row>
    <row r="57" ht="15.75" customHeight="1" s="297">
      <c r="A57" s="168" t="n"/>
      <c r="B57" s="159" t="n"/>
      <c r="C57" s="159" t="n"/>
      <c r="D57" s="159" t="n"/>
      <c r="E57" s="159" t="n"/>
      <c r="F57" s="159" t="n"/>
      <c r="G57" s="159" t="n"/>
      <c r="H57" s="159" t="n"/>
      <c r="I57" s="159" t="n"/>
      <c r="J57" s="159" t="n"/>
      <c r="K57" s="159" t="n"/>
    </row>
    <row r="58" ht="15.75" customHeight="1" s="297">
      <c r="A58" s="168" t="n"/>
      <c r="B58" s="159" t="n"/>
      <c r="C58" s="159" t="n"/>
      <c r="D58" s="159" t="n"/>
      <c r="E58" s="159" t="n"/>
      <c r="F58" s="159" t="n"/>
      <c r="G58" s="159" t="n"/>
      <c r="H58" s="159" t="n"/>
      <c r="I58" s="159" t="n"/>
      <c r="J58" s="159" t="n"/>
      <c r="K58" s="159" t="n"/>
    </row>
    <row r="59" ht="15.75" customHeight="1" s="297">
      <c r="A59" s="168" t="n"/>
      <c r="B59" s="159" t="n"/>
      <c r="C59" s="159" t="n"/>
      <c r="D59" s="159" t="n"/>
      <c r="E59" s="159" t="n"/>
      <c r="F59" s="159" t="n"/>
      <c r="G59" s="159" t="n"/>
      <c r="H59" s="159" t="n"/>
      <c r="I59" s="159" t="n"/>
      <c r="J59" s="159" t="n"/>
      <c r="K59" s="159" t="n"/>
    </row>
    <row r="60" ht="15.75" customHeight="1" s="297">
      <c r="A60" s="168" t="n"/>
      <c r="B60" s="159" t="n"/>
      <c r="C60" s="159" t="n"/>
      <c r="D60" s="159" t="n"/>
      <c r="E60" s="159" t="n"/>
      <c r="F60" s="159" t="n"/>
      <c r="G60" s="159" t="n"/>
      <c r="H60" s="159" t="n"/>
      <c r="I60" s="159" t="n"/>
      <c r="J60" s="159" t="n"/>
      <c r="K60" s="159" t="n"/>
    </row>
    <row r="61" ht="15.75" customHeight="1" s="297">
      <c r="A61" s="168" t="n"/>
      <c r="B61" s="159" t="n"/>
      <c r="C61" s="159" t="n"/>
      <c r="D61" s="159" t="n"/>
      <c r="E61" s="159" t="n"/>
      <c r="F61" s="159" t="n"/>
      <c r="G61" s="159" t="n"/>
      <c r="H61" s="159" t="n"/>
      <c r="I61" s="159" t="n"/>
      <c r="J61" s="159" t="n"/>
      <c r="K61" s="159" t="n"/>
    </row>
    <row r="62" ht="15.75" customHeight="1" s="297">
      <c r="A62" s="168" t="n"/>
      <c r="B62" s="159" t="n"/>
      <c r="C62" s="159" t="n"/>
      <c r="D62" s="159" t="n"/>
      <c r="E62" s="159" t="n"/>
      <c r="F62" s="159" t="n"/>
      <c r="G62" s="159" t="n"/>
      <c r="H62" s="159" t="n"/>
      <c r="I62" s="159" t="n"/>
      <c r="J62" s="159" t="n"/>
      <c r="K62" s="159" t="n"/>
    </row>
    <row r="63" ht="15.75" customHeight="1" s="297">
      <c r="A63" s="168" t="n"/>
      <c r="B63" s="159" t="n"/>
      <c r="C63" s="159" t="n"/>
      <c r="D63" s="159" t="n"/>
      <c r="E63" s="159" t="n"/>
      <c r="F63" s="159" t="n"/>
      <c r="G63" s="159" t="n"/>
      <c r="H63" s="159" t="n"/>
      <c r="I63" s="159" t="n"/>
      <c r="J63" s="159" t="n"/>
      <c r="K63" s="159" t="n"/>
    </row>
    <row r="64" ht="15.75" customHeight="1" s="297">
      <c r="A64" s="168" t="n"/>
      <c r="B64" s="159" t="n"/>
      <c r="C64" s="159" t="n"/>
      <c r="D64" s="159" t="n"/>
      <c r="E64" s="159" t="n"/>
      <c r="F64" s="159" t="n"/>
      <c r="G64" s="159" t="n"/>
      <c r="H64" s="159" t="n"/>
      <c r="I64" s="159" t="n"/>
      <c r="J64" s="159" t="n"/>
      <c r="K64" s="159" t="n"/>
    </row>
    <row r="65" ht="15.75" customHeight="1" s="297">
      <c r="A65" s="168" t="n"/>
      <c r="B65" s="159" t="n"/>
      <c r="C65" s="159" t="n"/>
      <c r="D65" s="159" t="n"/>
      <c r="E65" s="159" t="n"/>
      <c r="F65" s="159" t="n"/>
      <c r="G65" s="159" t="n"/>
      <c r="H65" s="159" t="n"/>
      <c r="I65" s="159" t="n"/>
      <c r="J65" s="159" t="n"/>
      <c r="K65" s="159" t="n"/>
    </row>
    <row r="66" ht="15.75" customHeight="1" s="297">
      <c r="A66" s="168" t="n"/>
      <c r="B66" s="159" t="n"/>
      <c r="C66" s="159" t="n"/>
      <c r="D66" s="159" t="n"/>
      <c r="E66" s="159" t="n"/>
      <c r="F66" s="159" t="n"/>
      <c r="G66" s="159" t="n"/>
      <c r="H66" s="159" t="n"/>
      <c r="I66" s="159" t="n"/>
      <c r="J66" s="159" t="n"/>
      <c r="K66" s="159" t="n"/>
    </row>
    <row r="67" ht="15.75" customHeight="1" s="297">
      <c r="A67" s="168" t="n"/>
      <c r="B67" s="159" t="n"/>
      <c r="C67" s="159" t="n"/>
      <c r="D67" s="159" t="n"/>
      <c r="E67" s="159" t="n"/>
      <c r="F67" s="159" t="n"/>
      <c r="G67" s="159" t="n"/>
      <c r="H67" s="159" t="n"/>
      <c r="I67" s="159" t="n"/>
      <c r="J67" s="159" t="n"/>
      <c r="K67" s="159" t="n"/>
    </row>
    <row r="68" ht="15.75" customHeight="1" s="297">
      <c r="A68" s="168" t="n"/>
      <c r="B68" s="159" t="n"/>
      <c r="C68" s="159" t="n"/>
      <c r="D68" s="159" t="n"/>
      <c r="E68" s="159" t="n"/>
      <c r="F68" s="159" t="n"/>
      <c r="G68" s="159" t="n"/>
      <c r="H68" s="159" t="n"/>
      <c r="I68" s="159" t="n"/>
      <c r="J68" s="159" t="n"/>
      <c r="K68" s="159" t="n"/>
    </row>
    <row r="69" ht="15.75" customHeight="1" s="297">
      <c r="A69" s="168" t="n"/>
      <c r="B69" s="159" t="n"/>
      <c r="C69" s="159" t="n"/>
      <c r="D69" s="159" t="n"/>
      <c r="E69" s="159" t="n"/>
      <c r="F69" s="159" t="n"/>
      <c r="G69" s="159" t="n"/>
      <c r="H69" s="159" t="n"/>
      <c r="I69" s="159" t="n"/>
      <c r="J69" s="159" t="n"/>
      <c r="K69" s="159" t="n"/>
    </row>
    <row r="70" ht="15.75" customHeight="1" s="297">
      <c r="A70" s="168" t="n"/>
      <c r="B70" s="159" t="n"/>
      <c r="C70" s="159" t="n"/>
      <c r="D70" s="159" t="n"/>
      <c r="E70" s="159" t="n"/>
      <c r="F70" s="159" t="n"/>
      <c r="G70" s="159" t="n"/>
      <c r="H70" s="159" t="n"/>
      <c r="I70" s="159" t="n"/>
      <c r="J70" s="159" t="n"/>
      <c r="K70" s="159" t="n"/>
    </row>
    <row r="71" ht="15.75" customHeight="1" s="297">
      <c r="A71" s="168" t="n"/>
      <c r="B71" s="159" t="n"/>
      <c r="C71" s="159" t="n"/>
      <c r="D71" s="159" t="n"/>
      <c r="E71" s="159" t="n"/>
      <c r="F71" s="159" t="n"/>
      <c r="G71" s="159" t="n"/>
      <c r="H71" s="159" t="n"/>
      <c r="I71" s="159" t="n"/>
      <c r="J71" s="159" t="n"/>
      <c r="K71" s="159" t="n"/>
    </row>
    <row r="72" ht="15.75" customHeight="1" s="297">
      <c r="A72" s="168" t="n"/>
      <c r="B72" s="159" t="n"/>
      <c r="C72" s="159" t="n"/>
      <c r="D72" s="159" t="n"/>
      <c r="E72" s="159" t="n"/>
      <c r="F72" s="159" t="n"/>
      <c r="G72" s="159" t="n"/>
      <c r="H72" s="159" t="n"/>
      <c r="I72" s="159" t="n"/>
      <c r="J72" s="159" t="n"/>
      <c r="K72" s="159" t="n"/>
    </row>
    <row r="73" ht="15.75" customHeight="1" s="297">
      <c r="A73" s="168" t="n"/>
      <c r="B73" s="159" t="n"/>
      <c r="C73" s="159" t="n"/>
      <c r="D73" s="159" t="n"/>
      <c r="E73" s="159" t="n"/>
      <c r="F73" s="159" t="n"/>
      <c r="G73" s="159" t="n"/>
      <c r="H73" s="159" t="n"/>
      <c r="I73" s="159" t="n"/>
      <c r="J73" s="159" t="n"/>
      <c r="K73" s="159" t="n"/>
    </row>
    <row r="74" ht="15.75" customHeight="1" s="297">
      <c r="A74" s="168" t="n"/>
      <c r="B74" s="159" t="n"/>
      <c r="C74" s="159" t="n"/>
      <c r="D74" s="159" t="n"/>
      <c r="E74" s="159" t="n"/>
      <c r="F74" s="159" t="n"/>
      <c r="G74" s="159" t="n"/>
      <c r="H74" s="159" t="n"/>
      <c r="I74" s="159" t="n"/>
      <c r="J74" s="159" t="n"/>
      <c r="K74" s="159" t="n"/>
    </row>
    <row r="75" ht="15.75" customHeight="1" s="297">
      <c r="A75" s="168" t="n"/>
      <c r="B75" s="159" t="n"/>
      <c r="C75" s="159" t="n"/>
      <c r="D75" s="159" t="n"/>
      <c r="E75" s="159" t="n"/>
      <c r="F75" s="159" t="n"/>
      <c r="G75" s="159" t="n"/>
      <c r="H75" s="159" t="n"/>
      <c r="I75" s="159" t="n"/>
      <c r="J75" s="159" t="n"/>
      <c r="K75" s="159" t="n"/>
    </row>
    <row r="76" ht="15.75" customHeight="1" s="297">
      <c r="A76" s="168" t="n"/>
      <c r="B76" s="159" t="n"/>
      <c r="C76" s="159" t="n"/>
      <c r="D76" s="159" t="n"/>
      <c r="E76" s="159" t="n"/>
      <c r="F76" s="159" t="n"/>
      <c r="G76" s="159" t="n"/>
      <c r="H76" s="159" t="n"/>
      <c r="I76" s="159" t="n"/>
      <c r="J76" s="159" t="n"/>
      <c r="K76" s="159" t="n"/>
    </row>
    <row r="77" ht="15.75" customHeight="1" s="297">
      <c r="A77" s="168" t="n"/>
      <c r="B77" s="159" t="n"/>
      <c r="C77" s="159" t="n"/>
      <c r="D77" s="159" t="n"/>
      <c r="E77" s="159" t="n"/>
      <c r="F77" s="159" t="n"/>
      <c r="G77" s="159" t="n"/>
      <c r="H77" s="159" t="n"/>
      <c r="I77" s="159" t="n"/>
      <c r="J77" s="159" t="n"/>
      <c r="K77" s="159" t="n"/>
    </row>
    <row r="78" ht="15.75" customHeight="1" s="297">
      <c r="A78" s="168" t="n"/>
      <c r="B78" s="159" t="n"/>
      <c r="C78" s="159" t="n"/>
      <c r="D78" s="159" t="n"/>
      <c r="E78" s="159" t="n"/>
      <c r="F78" s="159" t="n"/>
      <c r="G78" s="159" t="n"/>
      <c r="H78" s="159" t="n"/>
      <c r="I78" s="159" t="n"/>
      <c r="J78" s="159" t="n"/>
      <c r="K78" s="159" t="n"/>
    </row>
    <row r="79" ht="15.75" customHeight="1" s="297">
      <c r="A79" s="168" t="n"/>
      <c r="B79" s="159" t="n"/>
      <c r="C79" s="159" t="n"/>
      <c r="D79" s="159" t="n"/>
      <c r="E79" s="159" t="n"/>
      <c r="F79" s="159" t="n"/>
      <c r="G79" s="159" t="n"/>
      <c r="H79" s="159" t="n"/>
      <c r="I79" s="159" t="n"/>
      <c r="J79" s="159" t="n"/>
      <c r="K79" s="159" t="n"/>
    </row>
    <row r="80" ht="15.75" customHeight="1" s="297">
      <c r="A80" s="168" t="n"/>
      <c r="B80" s="159" t="n"/>
      <c r="C80" s="159" t="n"/>
      <c r="D80" s="159" t="n"/>
      <c r="E80" s="159" t="n"/>
      <c r="F80" s="159" t="n"/>
      <c r="G80" s="159" t="n"/>
      <c r="H80" s="159" t="n"/>
      <c r="I80" s="159" t="n"/>
      <c r="J80" s="159" t="n"/>
      <c r="K80" s="159" t="n"/>
    </row>
    <row r="81" ht="15.75" customHeight="1" s="297">
      <c r="A81" s="168" t="n"/>
      <c r="B81" s="159" t="n"/>
      <c r="C81" s="159" t="n"/>
      <c r="D81" s="159" t="n"/>
      <c r="E81" s="159" t="n"/>
      <c r="F81" s="159" t="n"/>
      <c r="G81" s="159" t="n"/>
      <c r="H81" s="159" t="n"/>
      <c r="I81" s="159" t="n"/>
      <c r="J81" s="159" t="n"/>
      <c r="K81" s="159" t="n"/>
    </row>
    <row r="82" ht="15.75" customHeight="1" s="297">
      <c r="A82" s="168" t="n"/>
      <c r="B82" s="159" t="n"/>
      <c r="C82" s="159" t="n"/>
      <c r="D82" s="159" t="n"/>
      <c r="E82" s="159" t="n"/>
      <c r="F82" s="159" t="n"/>
      <c r="G82" s="159" t="n"/>
      <c r="H82" s="159" t="n"/>
      <c r="I82" s="159" t="n"/>
      <c r="J82" s="159" t="n"/>
      <c r="K82" s="159" t="n"/>
    </row>
    <row r="83" ht="15.75" customHeight="1" s="297">
      <c r="A83" s="168" t="n"/>
      <c r="B83" s="159" t="n"/>
      <c r="C83" s="159" t="n"/>
      <c r="D83" s="159" t="n"/>
      <c r="E83" s="159" t="n"/>
      <c r="F83" s="159" t="n"/>
      <c r="G83" s="159" t="n"/>
      <c r="H83" s="159" t="n"/>
      <c r="I83" s="159" t="n"/>
      <c r="J83" s="159" t="n"/>
      <c r="K83" s="159" t="n"/>
    </row>
    <row r="84" ht="15.75" customHeight="1" s="297">
      <c r="A84" s="168" t="n"/>
      <c r="B84" s="159" t="n"/>
      <c r="C84" s="159" t="n"/>
      <c r="D84" s="159" t="n"/>
      <c r="E84" s="159" t="n"/>
      <c r="F84" s="159" t="n"/>
      <c r="G84" s="159" t="n"/>
      <c r="H84" s="159" t="n"/>
      <c r="I84" s="159" t="n"/>
      <c r="J84" s="159" t="n"/>
      <c r="K84" s="159" t="n"/>
    </row>
    <row r="85" ht="15.75" customHeight="1" s="297">
      <c r="A85" s="168" t="n"/>
      <c r="B85" s="159" t="n"/>
      <c r="C85" s="159" t="n"/>
      <c r="D85" s="159" t="n"/>
      <c r="E85" s="159" t="n"/>
      <c r="F85" s="159" t="n"/>
      <c r="G85" s="159" t="n"/>
      <c r="H85" s="159" t="n"/>
      <c r="I85" s="159" t="n"/>
      <c r="J85" s="159" t="n"/>
      <c r="K85" s="159" t="n"/>
    </row>
    <row r="86" ht="15.75" customHeight="1" s="297">
      <c r="A86" s="168" t="n"/>
      <c r="B86" s="159" t="n"/>
      <c r="C86" s="159" t="n"/>
      <c r="D86" s="159" t="n"/>
      <c r="E86" s="159" t="n"/>
      <c r="F86" s="159" t="n"/>
      <c r="G86" s="159" t="n"/>
      <c r="H86" s="159" t="n"/>
      <c r="I86" s="159" t="n"/>
      <c r="J86" s="159" t="n"/>
      <c r="K86" s="159" t="n"/>
    </row>
    <row r="87" ht="15.75" customHeight="1" s="297">
      <c r="A87" s="168" t="n"/>
      <c r="B87" s="159" t="n"/>
      <c r="C87" s="159" t="n"/>
      <c r="D87" s="159" t="n"/>
      <c r="E87" s="159" t="n"/>
      <c r="F87" s="159" t="n"/>
      <c r="G87" s="159" t="n"/>
      <c r="H87" s="159" t="n"/>
      <c r="I87" s="159" t="n"/>
      <c r="J87" s="159" t="n"/>
      <c r="K87" s="159" t="n"/>
    </row>
    <row r="88" ht="15.75" customHeight="1" s="297">
      <c r="A88" s="168" t="n"/>
      <c r="B88" s="159" t="n"/>
      <c r="C88" s="159" t="n"/>
      <c r="D88" s="159" t="n"/>
      <c r="E88" s="159" t="n"/>
      <c r="F88" s="159" t="n"/>
      <c r="G88" s="159" t="n"/>
      <c r="H88" s="159" t="n"/>
      <c r="I88" s="159" t="n"/>
      <c r="J88" s="159" t="n"/>
      <c r="K88" s="159" t="n"/>
    </row>
    <row r="89" ht="15.75" customHeight="1" s="297">
      <c r="A89" s="168" t="n"/>
      <c r="B89" s="159" t="n"/>
      <c r="C89" s="159" t="n"/>
      <c r="D89" s="159" t="n"/>
      <c r="E89" s="159" t="n"/>
      <c r="F89" s="159" t="n"/>
      <c r="G89" s="159" t="n"/>
      <c r="H89" s="159" t="n"/>
      <c r="I89" s="159" t="n"/>
      <c r="J89" s="159" t="n"/>
      <c r="K89" s="159" t="n"/>
    </row>
    <row r="90" ht="15.75" customHeight="1" s="297">
      <c r="A90" s="168" t="n"/>
      <c r="B90" s="159" t="n"/>
      <c r="C90" s="159" t="n"/>
      <c r="D90" s="159" t="n"/>
      <c r="E90" s="159" t="n"/>
      <c r="F90" s="159" t="n"/>
      <c r="G90" s="159" t="n"/>
      <c r="H90" s="159" t="n"/>
      <c r="I90" s="159" t="n"/>
      <c r="J90" s="159" t="n"/>
      <c r="K90" s="159" t="n"/>
    </row>
    <row r="91" ht="15.75" customHeight="1" s="297">
      <c r="A91" s="168" t="n"/>
      <c r="B91" s="159" t="n"/>
      <c r="C91" s="159" t="n"/>
      <c r="D91" s="159" t="n"/>
      <c r="E91" s="159" t="n"/>
      <c r="F91" s="159" t="n"/>
      <c r="G91" s="159" t="n"/>
      <c r="H91" s="159" t="n"/>
      <c r="I91" s="159" t="n"/>
      <c r="J91" s="159" t="n"/>
      <c r="K91" s="159" t="n"/>
    </row>
    <row r="92" ht="15.75" customHeight="1" s="297">
      <c r="A92" s="168" t="n"/>
      <c r="B92" s="159" t="n"/>
      <c r="C92" s="159" t="n"/>
      <c r="D92" s="159" t="n"/>
      <c r="E92" s="159" t="n"/>
      <c r="F92" s="159" t="n"/>
      <c r="G92" s="159" t="n"/>
      <c r="H92" s="159" t="n"/>
      <c r="I92" s="159" t="n"/>
      <c r="J92" s="159" t="n"/>
      <c r="K92" s="159" t="n"/>
    </row>
    <row r="93" ht="15.75" customHeight="1" s="297">
      <c r="A93" s="168" t="n"/>
      <c r="B93" s="159" t="n"/>
      <c r="C93" s="159" t="n"/>
      <c r="D93" s="159" t="n"/>
      <c r="E93" s="159" t="n"/>
      <c r="F93" s="159" t="n"/>
      <c r="G93" s="159" t="n"/>
      <c r="H93" s="159" t="n"/>
      <c r="I93" s="159" t="n"/>
      <c r="J93" s="159" t="n"/>
      <c r="K93" s="159" t="n"/>
    </row>
    <row r="94" ht="15.75" customHeight="1" s="297">
      <c r="A94" s="168" t="n"/>
      <c r="B94" s="159" t="n"/>
      <c r="C94" s="159" t="n"/>
      <c r="D94" s="159" t="n"/>
      <c r="E94" s="159" t="n"/>
      <c r="F94" s="159" t="n"/>
      <c r="G94" s="159" t="n"/>
      <c r="H94" s="159" t="n"/>
      <c r="I94" s="159" t="n"/>
      <c r="J94" s="159" t="n"/>
      <c r="K94" s="159" t="n"/>
    </row>
    <row r="95" ht="15.75" customHeight="1" s="297">
      <c r="A95" s="168" t="n"/>
      <c r="B95" s="159" t="n"/>
      <c r="C95" s="159" t="n"/>
      <c r="D95" s="159" t="n"/>
      <c r="E95" s="159" t="n"/>
      <c r="F95" s="159" t="n"/>
      <c r="G95" s="159" t="n"/>
      <c r="H95" s="159" t="n"/>
      <c r="I95" s="159" t="n"/>
      <c r="J95" s="159" t="n"/>
      <c r="K95" s="159" t="n"/>
    </row>
    <row r="96" ht="15.75" customHeight="1" s="297">
      <c r="A96" s="168" t="n"/>
      <c r="B96" s="159" t="n"/>
      <c r="C96" s="159" t="n"/>
      <c r="D96" s="159" t="n"/>
      <c r="E96" s="159" t="n"/>
      <c r="F96" s="159" t="n"/>
      <c r="G96" s="159" t="n"/>
      <c r="H96" s="159" t="n"/>
      <c r="I96" s="159" t="n"/>
      <c r="J96" s="159" t="n"/>
      <c r="K96" s="159" t="n"/>
    </row>
    <row r="97" ht="15.75" customHeight="1" s="297">
      <c r="A97" s="168" t="n"/>
      <c r="B97" s="159" t="n"/>
      <c r="C97" s="159" t="n"/>
      <c r="D97" s="159" t="n"/>
      <c r="E97" s="159" t="n"/>
      <c r="F97" s="159" t="n"/>
      <c r="G97" s="159" t="n"/>
      <c r="H97" s="159" t="n"/>
      <c r="I97" s="159" t="n"/>
      <c r="J97" s="159" t="n"/>
      <c r="K97" s="159" t="n"/>
    </row>
    <row r="98" ht="15.75" customHeight="1" s="297">
      <c r="A98" s="168" t="n"/>
      <c r="B98" s="159" t="n"/>
      <c r="C98" s="159" t="n"/>
      <c r="D98" s="159" t="n"/>
      <c r="E98" s="159" t="n"/>
      <c r="F98" s="159" t="n"/>
      <c r="G98" s="159" t="n"/>
      <c r="H98" s="159" t="n"/>
      <c r="I98" s="159" t="n"/>
      <c r="J98" s="159" t="n"/>
      <c r="K98" s="159" t="n"/>
    </row>
    <row r="99" ht="15.75" customHeight="1" s="297">
      <c r="A99" s="168" t="n"/>
      <c r="B99" s="159" t="n"/>
      <c r="C99" s="159" t="n"/>
      <c r="D99" s="159" t="n"/>
      <c r="E99" s="159" t="n"/>
      <c r="F99" s="159" t="n"/>
      <c r="G99" s="159" t="n"/>
      <c r="H99" s="159" t="n"/>
      <c r="I99" s="159" t="n"/>
      <c r="J99" s="159" t="n"/>
      <c r="K99" s="159" t="n"/>
    </row>
    <row r="100" ht="15.75" customHeight="1" s="297">
      <c r="A100" s="168" t="n"/>
      <c r="B100" s="159" t="n"/>
      <c r="C100" s="159" t="n"/>
      <c r="D100" s="159" t="n"/>
      <c r="E100" s="159" t="n"/>
      <c r="F100" s="159" t="n"/>
      <c r="G100" s="159" t="n"/>
      <c r="H100" s="159" t="n"/>
      <c r="I100" s="159" t="n"/>
      <c r="J100" s="159" t="n"/>
      <c r="K100" s="159" t="n"/>
    </row>
    <row r="101" ht="15.75" customHeight="1" s="297">
      <c r="A101" s="168" t="n"/>
      <c r="B101" s="159" t="n"/>
      <c r="C101" s="159" t="n"/>
      <c r="D101" s="159" t="n"/>
      <c r="E101" s="159" t="n"/>
      <c r="F101" s="159" t="n"/>
      <c r="G101" s="159" t="n"/>
      <c r="H101" s="159" t="n"/>
      <c r="I101" s="159" t="n"/>
      <c r="J101" s="159" t="n"/>
      <c r="K101" s="159" t="n"/>
    </row>
    <row r="102" ht="15.75" customHeight="1" s="297">
      <c r="A102" s="168" t="n"/>
      <c r="B102" s="159" t="n"/>
      <c r="C102" s="159" t="n"/>
      <c r="D102" s="159" t="n"/>
      <c r="E102" s="159" t="n"/>
      <c r="F102" s="159" t="n"/>
      <c r="G102" s="159" t="n"/>
      <c r="H102" s="159" t="n"/>
      <c r="I102" s="159" t="n"/>
      <c r="J102" s="159" t="n"/>
      <c r="K102" s="159" t="n"/>
    </row>
    <row r="103" ht="15.75" customHeight="1" s="297">
      <c r="A103" s="168" t="n"/>
      <c r="B103" s="159" t="n"/>
      <c r="C103" s="159" t="n"/>
      <c r="D103" s="159" t="n"/>
      <c r="E103" s="159" t="n"/>
      <c r="F103" s="159" t="n"/>
      <c r="G103" s="159" t="n"/>
      <c r="H103" s="159" t="n"/>
      <c r="I103" s="159" t="n"/>
      <c r="J103" s="159" t="n"/>
      <c r="K103" s="159" t="n"/>
    </row>
    <row r="104" ht="15.75" customHeight="1" s="297">
      <c r="A104" s="168" t="n"/>
      <c r="B104" s="159" t="n"/>
      <c r="C104" s="159" t="n"/>
      <c r="D104" s="159" t="n"/>
      <c r="E104" s="159" t="n"/>
      <c r="F104" s="159" t="n"/>
      <c r="G104" s="159" t="n"/>
      <c r="H104" s="159" t="n"/>
      <c r="I104" s="159" t="n"/>
      <c r="J104" s="159" t="n"/>
      <c r="K104" s="159" t="n"/>
    </row>
    <row r="105" ht="15.75" customHeight="1" s="297">
      <c r="A105" s="168" t="n"/>
      <c r="B105" s="159" t="n"/>
      <c r="C105" s="159" t="n"/>
      <c r="D105" s="159" t="n"/>
      <c r="E105" s="159" t="n"/>
      <c r="F105" s="159" t="n"/>
      <c r="G105" s="159" t="n"/>
      <c r="H105" s="159" t="n"/>
      <c r="I105" s="159" t="n"/>
      <c r="J105" s="159" t="n"/>
      <c r="K105" s="159" t="n"/>
    </row>
    <row r="106" ht="15.75" customHeight="1" s="297">
      <c r="A106" s="168" t="n"/>
      <c r="B106" s="159" t="n"/>
      <c r="C106" s="159" t="n"/>
      <c r="D106" s="159" t="n"/>
      <c r="E106" s="159" t="n"/>
      <c r="F106" s="159" t="n"/>
      <c r="G106" s="159" t="n"/>
      <c r="H106" s="159" t="n"/>
      <c r="I106" s="159" t="n"/>
      <c r="J106" s="159" t="n"/>
      <c r="K106" s="159" t="n"/>
    </row>
    <row r="107" ht="15.75" customHeight="1" s="297">
      <c r="A107" s="168" t="n"/>
      <c r="B107" s="159" t="n"/>
      <c r="C107" s="159" t="n"/>
      <c r="D107" s="159" t="n"/>
      <c r="E107" s="159" t="n"/>
      <c r="F107" s="159" t="n"/>
      <c r="G107" s="159" t="n"/>
      <c r="H107" s="159" t="n"/>
      <c r="I107" s="159" t="n"/>
      <c r="J107" s="159" t="n"/>
      <c r="K107" s="159" t="n"/>
    </row>
    <row r="108" ht="15.75" customHeight="1" s="297">
      <c r="A108" s="168" t="n"/>
      <c r="B108" s="159" t="n"/>
      <c r="C108" s="159" t="n"/>
      <c r="D108" s="159" t="n"/>
      <c r="E108" s="159" t="n"/>
      <c r="F108" s="159" t="n"/>
      <c r="G108" s="159" t="n"/>
      <c r="H108" s="159" t="n"/>
      <c r="I108" s="159" t="n"/>
      <c r="J108" s="159" t="n"/>
      <c r="K108" s="159" t="n"/>
    </row>
    <row r="109" ht="15.75" customHeight="1" s="297">
      <c r="A109" s="168" t="n"/>
      <c r="B109" s="159" t="n"/>
      <c r="C109" s="159" t="n"/>
      <c r="D109" s="159" t="n"/>
      <c r="E109" s="159" t="n"/>
      <c r="F109" s="159" t="n"/>
      <c r="G109" s="159" t="n"/>
      <c r="H109" s="159" t="n"/>
      <c r="I109" s="159" t="n"/>
      <c r="J109" s="159" t="n"/>
      <c r="K109" s="159" t="n"/>
    </row>
    <row r="110" ht="15.75" customHeight="1" s="297">
      <c r="A110" s="168" t="n"/>
      <c r="B110" s="159" t="n"/>
      <c r="C110" s="159" t="n"/>
      <c r="D110" s="159" t="n"/>
      <c r="E110" s="159" t="n"/>
      <c r="F110" s="159" t="n"/>
      <c r="G110" s="159" t="n"/>
      <c r="H110" s="159" t="n"/>
      <c r="I110" s="159" t="n"/>
      <c r="J110" s="159" t="n"/>
      <c r="K110" s="159" t="n"/>
    </row>
    <row r="111" ht="15.75" customHeight="1" s="297">
      <c r="A111" s="168" t="n"/>
      <c r="B111" s="159" t="n"/>
      <c r="C111" s="159" t="n"/>
      <c r="D111" s="159" t="n"/>
      <c r="E111" s="159" t="n"/>
      <c r="F111" s="159" t="n"/>
      <c r="G111" s="159" t="n"/>
      <c r="H111" s="159" t="n"/>
      <c r="I111" s="159" t="n"/>
      <c r="J111" s="159" t="n"/>
      <c r="K111" s="159" t="n"/>
    </row>
    <row r="112" ht="15.75" customHeight="1" s="297">
      <c r="A112" s="168" t="n"/>
      <c r="B112" s="159" t="n"/>
      <c r="C112" s="159" t="n"/>
      <c r="D112" s="159" t="n"/>
      <c r="E112" s="159" t="n"/>
      <c r="F112" s="159" t="n"/>
      <c r="G112" s="159" t="n"/>
      <c r="H112" s="159" t="n"/>
      <c r="I112" s="159" t="n"/>
      <c r="J112" s="159" t="n"/>
      <c r="K112" s="159" t="n"/>
    </row>
    <row r="113" ht="15.75" customHeight="1" s="297">
      <c r="A113" s="168" t="n"/>
      <c r="B113" s="159" t="n"/>
      <c r="C113" s="159" t="n"/>
      <c r="D113" s="159" t="n"/>
      <c r="E113" s="159" t="n"/>
      <c r="F113" s="159" t="n"/>
      <c r="G113" s="159" t="n"/>
      <c r="H113" s="159" t="n"/>
      <c r="I113" s="159" t="n"/>
      <c r="J113" s="159" t="n"/>
      <c r="K113" s="159" t="n"/>
    </row>
    <row r="114" ht="15.75" customHeight="1" s="297">
      <c r="A114" s="168" t="n"/>
      <c r="B114" s="159" t="n"/>
      <c r="C114" s="159" t="n"/>
      <c r="D114" s="159" t="n"/>
      <c r="E114" s="159" t="n"/>
      <c r="F114" s="159" t="n"/>
      <c r="G114" s="159" t="n"/>
      <c r="H114" s="159" t="n"/>
      <c r="I114" s="159" t="n"/>
      <c r="J114" s="159" t="n"/>
      <c r="K114" s="159" t="n"/>
    </row>
    <row r="115" ht="15.75" customHeight="1" s="297">
      <c r="A115" s="168" t="n"/>
      <c r="B115" s="159" t="n"/>
      <c r="C115" s="159" t="n"/>
      <c r="D115" s="159" t="n"/>
      <c r="E115" s="159" t="n"/>
      <c r="F115" s="159" t="n"/>
      <c r="G115" s="159" t="n"/>
      <c r="H115" s="159" t="n"/>
      <c r="I115" s="159" t="n"/>
      <c r="J115" s="159" t="n"/>
      <c r="K115" s="159" t="n"/>
    </row>
    <row r="116" ht="15.75" customHeight="1" s="297">
      <c r="A116" s="168" t="n"/>
      <c r="B116" s="159" t="n"/>
      <c r="C116" s="159" t="n"/>
      <c r="D116" s="159" t="n"/>
      <c r="E116" s="159" t="n"/>
      <c r="F116" s="159" t="n"/>
      <c r="G116" s="159" t="n"/>
      <c r="H116" s="159" t="n"/>
      <c r="I116" s="159" t="n"/>
      <c r="J116" s="159" t="n"/>
      <c r="K116" s="159" t="n"/>
    </row>
    <row r="117" ht="15.75" customHeight="1" s="297">
      <c r="A117" s="168" t="n"/>
      <c r="B117" s="159" t="n"/>
      <c r="C117" s="159" t="n"/>
      <c r="D117" s="159" t="n"/>
      <c r="E117" s="159" t="n"/>
      <c r="F117" s="159" t="n"/>
      <c r="G117" s="159" t="n"/>
      <c r="H117" s="159" t="n"/>
      <c r="I117" s="159" t="n"/>
      <c r="J117" s="159" t="n"/>
      <c r="K117" s="159" t="n"/>
    </row>
    <row r="118" ht="15.75" customHeight="1" s="297">
      <c r="A118" s="168" t="n"/>
      <c r="B118" s="159" t="n"/>
      <c r="C118" s="159" t="n"/>
      <c r="D118" s="159" t="n"/>
      <c r="E118" s="159" t="n"/>
      <c r="F118" s="159" t="n"/>
      <c r="G118" s="159" t="n"/>
      <c r="H118" s="159" t="n"/>
      <c r="I118" s="159" t="n"/>
      <c r="J118" s="159" t="n"/>
      <c r="K118" s="159" t="n"/>
    </row>
    <row r="119" ht="15.75" customHeight="1" s="297">
      <c r="A119" s="168" t="n"/>
      <c r="B119" s="159" t="n"/>
      <c r="C119" s="159" t="n"/>
      <c r="D119" s="159" t="n"/>
      <c r="E119" s="159" t="n"/>
      <c r="F119" s="159" t="n"/>
      <c r="G119" s="159" t="n"/>
      <c r="H119" s="159" t="n"/>
      <c r="I119" s="159" t="n"/>
      <c r="J119" s="159" t="n"/>
      <c r="K119" s="159" t="n"/>
    </row>
    <row r="120" ht="15.75" customHeight="1" s="297">
      <c r="A120" s="168" t="n"/>
      <c r="B120" s="159" t="n"/>
      <c r="C120" s="159" t="n"/>
      <c r="D120" s="159" t="n"/>
      <c r="E120" s="159" t="n"/>
      <c r="F120" s="159" t="n"/>
      <c r="G120" s="159" t="n"/>
      <c r="H120" s="159" t="n"/>
      <c r="I120" s="159" t="n"/>
      <c r="J120" s="159" t="n"/>
      <c r="K120" s="159" t="n"/>
    </row>
    <row r="121" ht="15.75" customHeight="1" s="297">
      <c r="A121" s="168" t="n"/>
      <c r="B121" s="159" t="n"/>
      <c r="C121" s="159" t="n"/>
      <c r="D121" s="159" t="n"/>
      <c r="E121" s="159" t="n"/>
      <c r="F121" s="159" t="n"/>
      <c r="G121" s="159" t="n"/>
      <c r="H121" s="159" t="n"/>
      <c r="I121" s="159" t="n"/>
      <c r="J121" s="159" t="n"/>
      <c r="K121" s="159" t="n"/>
    </row>
    <row r="122" ht="15.75" customHeight="1" s="297">
      <c r="A122" s="168" t="n"/>
      <c r="B122" s="159" t="n"/>
      <c r="C122" s="159" t="n"/>
      <c r="D122" s="159" t="n"/>
      <c r="E122" s="159" t="n"/>
      <c r="F122" s="159" t="n"/>
      <c r="G122" s="159" t="n"/>
      <c r="H122" s="159" t="n"/>
      <c r="I122" s="159" t="n"/>
      <c r="J122" s="159" t="n"/>
      <c r="K122" s="159" t="n"/>
    </row>
    <row r="123" ht="15.75" customHeight="1" s="297">
      <c r="A123" s="168" t="n"/>
      <c r="B123" s="159" t="n"/>
      <c r="C123" s="159" t="n"/>
      <c r="D123" s="159" t="n"/>
      <c r="E123" s="159" t="n"/>
      <c r="F123" s="159" t="n"/>
      <c r="G123" s="159" t="n"/>
      <c r="H123" s="159" t="n"/>
      <c r="I123" s="159" t="n"/>
      <c r="J123" s="159" t="n"/>
      <c r="K123" s="159" t="n"/>
    </row>
    <row r="124" ht="15.75" customHeight="1" s="297">
      <c r="A124" s="168" t="n"/>
      <c r="B124" s="159" t="n"/>
      <c r="C124" s="159" t="n"/>
      <c r="D124" s="159" t="n"/>
      <c r="E124" s="159" t="n"/>
      <c r="F124" s="159" t="n"/>
      <c r="G124" s="159" t="n"/>
      <c r="H124" s="159" t="n"/>
      <c r="I124" s="159" t="n"/>
      <c r="J124" s="159" t="n"/>
      <c r="K124" s="159" t="n"/>
    </row>
    <row r="125" ht="15.75" customHeight="1" s="297">
      <c r="A125" s="168" t="n"/>
      <c r="B125" s="159" t="n"/>
      <c r="C125" s="159" t="n"/>
      <c r="D125" s="159" t="n"/>
      <c r="E125" s="159" t="n"/>
      <c r="F125" s="159" t="n"/>
      <c r="G125" s="159" t="n"/>
      <c r="H125" s="159" t="n"/>
      <c r="I125" s="159" t="n"/>
      <c r="J125" s="159" t="n"/>
      <c r="K125" s="159" t="n"/>
    </row>
    <row r="126" ht="15.75" customHeight="1" s="297">
      <c r="A126" s="168" t="n"/>
      <c r="B126" s="159" t="n"/>
      <c r="C126" s="159" t="n"/>
      <c r="D126" s="159" t="n"/>
      <c r="E126" s="159" t="n"/>
      <c r="F126" s="159" t="n"/>
      <c r="G126" s="159" t="n"/>
      <c r="H126" s="159" t="n"/>
      <c r="I126" s="159" t="n"/>
      <c r="J126" s="159" t="n"/>
      <c r="K126" s="159" t="n"/>
    </row>
    <row r="127" ht="15.75" customHeight="1" s="297">
      <c r="A127" s="168" t="n"/>
      <c r="B127" s="159" t="n"/>
      <c r="C127" s="159" t="n"/>
      <c r="D127" s="159" t="n"/>
      <c r="E127" s="159" t="n"/>
      <c r="F127" s="159" t="n"/>
      <c r="G127" s="159" t="n"/>
      <c r="H127" s="159" t="n"/>
      <c r="I127" s="159" t="n"/>
      <c r="J127" s="159" t="n"/>
      <c r="K127" s="159" t="n"/>
    </row>
    <row r="128" ht="15.75" customHeight="1" s="297">
      <c r="A128" s="168" t="n"/>
      <c r="B128" s="159" t="n"/>
      <c r="C128" s="159" t="n"/>
      <c r="D128" s="159" t="n"/>
      <c r="E128" s="159" t="n"/>
      <c r="F128" s="159" t="n"/>
      <c r="G128" s="159" t="n"/>
      <c r="H128" s="159" t="n"/>
      <c r="I128" s="159" t="n"/>
      <c r="J128" s="159" t="n"/>
      <c r="K128" s="159" t="n"/>
    </row>
    <row r="129" ht="15.75" customHeight="1" s="297">
      <c r="A129" s="168" t="n"/>
      <c r="B129" s="159" t="n"/>
      <c r="C129" s="159" t="n"/>
      <c r="D129" s="159" t="n"/>
      <c r="E129" s="159" t="n"/>
      <c r="F129" s="159" t="n"/>
      <c r="G129" s="159" t="n"/>
      <c r="H129" s="159" t="n"/>
      <c r="I129" s="159" t="n"/>
      <c r="J129" s="159" t="n"/>
      <c r="K129" s="159" t="n"/>
    </row>
    <row r="130" ht="15.75" customHeight="1" s="297">
      <c r="A130" s="168" t="n"/>
      <c r="B130" s="159" t="n"/>
      <c r="C130" s="159" t="n"/>
      <c r="D130" s="159" t="n"/>
      <c r="E130" s="159" t="n"/>
      <c r="F130" s="159" t="n"/>
      <c r="G130" s="159" t="n"/>
      <c r="H130" s="159" t="n"/>
      <c r="I130" s="159" t="n"/>
      <c r="J130" s="159" t="n"/>
      <c r="K130" s="159" t="n"/>
    </row>
    <row r="131" ht="15.75" customHeight="1" s="297">
      <c r="A131" s="168" t="n"/>
      <c r="B131" s="159" t="n"/>
      <c r="C131" s="159" t="n"/>
      <c r="D131" s="159" t="n"/>
      <c r="E131" s="159" t="n"/>
      <c r="F131" s="159" t="n"/>
      <c r="G131" s="159" t="n"/>
      <c r="H131" s="159" t="n"/>
      <c r="I131" s="159" t="n"/>
      <c r="J131" s="159" t="n"/>
      <c r="K131" s="159" t="n"/>
    </row>
    <row r="132" ht="15.75" customHeight="1" s="297">
      <c r="A132" s="168" t="n"/>
      <c r="B132" s="159" t="n"/>
      <c r="C132" s="159" t="n"/>
      <c r="D132" s="159" t="n"/>
      <c r="E132" s="159" t="n"/>
      <c r="F132" s="159" t="n"/>
      <c r="G132" s="159" t="n"/>
      <c r="H132" s="159" t="n"/>
      <c r="I132" s="159" t="n"/>
      <c r="J132" s="159" t="n"/>
      <c r="K132" s="159" t="n"/>
    </row>
    <row r="133" ht="15.75" customHeight="1" s="297">
      <c r="A133" s="168" t="n"/>
      <c r="B133" s="159" t="n"/>
      <c r="C133" s="159" t="n"/>
      <c r="D133" s="159" t="n"/>
      <c r="E133" s="159" t="n"/>
      <c r="F133" s="159" t="n"/>
      <c r="G133" s="159" t="n"/>
      <c r="H133" s="159" t="n"/>
      <c r="I133" s="159" t="n"/>
      <c r="J133" s="159" t="n"/>
      <c r="K133" s="159" t="n"/>
    </row>
    <row r="134" ht="15.75" customHeight="1" s="297">
      <c r="A134" s="168" t="n"/>
      <c r="B134" s="159" t="n"/>
      <c r="C134" s="159" t="n"/>
      <c r="D134" s="159" t="n"/>
      <c r="E134" s="159" t="n"/>
      <c r="F134" s="159" t="n"/>
      <c r="G134" s="159" t="n"/>
      <c r="H134" s="159" t="n"/>
      <c r="I134" s="159" t="n"/>
      <c r="J134" s="159" t="n"/>
      <c r="K134" s="159" t="n"/>
    </row>
    <row r="135" ht="15.75" customHeight="1" s="297">
      <c r="A135" s="168" t="n"/>
      <c r="B135" s="159" t="n"/>
      <c r="C135" s="159" t="n"/>
      <c r="D135" s="159" t="n"/>
      <c r="E135" s="159" t="n"/>
      <c r="F135" s="159" t="n"/>
      <c r="G135" s="159" t="n"/>
      <c r="H135" s="159" t="n"/>
      <c r="I135" s="159" t="n"/>
      <c r="J135" s="159" t="n"/>
      <c r="K135" s="159" t="n"/>
    </row>
    <row r="136" ht="15.75" customHeight="1" s="297">
      <c r="A136" s="168" t="n"/>
      <c r="B136" s="159" t="n"/>
      <c r="C136" s="159" t="n"/>
      <c r="D136" s="159" t="n"/>
      <c r="E136" s="159" t="n"/>
      <c r="F136" s="159" t="n"/>
      <c r="G136" s="159" t="n"/>
      <c r="H136" s="159" t="n"/>
      <c r="I136" s="159" t="n"/>
      <c r="J136" s="159" t="n"/>
      <c r="K136" s="159" t="n"/>
    </row>
    <row r="137" ht="15.75" customHeight="1" s="297">
      <c r="A137" s="168" t="n"/>
      <c r="B137" s="159" t="n"/>
      <c r="C137" s="159" t="n"/>
      <c r="D137" s="159" t="n"/>
      <c r="E137" s="159" t="n"/>
      <c r="F137" s="159" t="n"/>
      <c r="G137" s="159" t="n"/>
      <c r="H137" s="159" t="n"/>
      <c r="I137" s="159" t="n"/>
      <c r="J137" s="159" t="n"/>
      <c r="K137" s="159" t="n"/>
    </row>
    <row r="138" ht="15.75" customHeight="1" s="297">
      <c r="A138" s="168" t="n"/>
      <c r="B138" s="159" t="n"/>
      <c r="C138" s="159" t="n"/>
      <c r="D138" s="159" t="n"/>
      <c r="E138" s="159" t="n"/>
      <c r="F138" s="159" t="n"/>
      <c r="G138" s="159" t="n"/>
      <c r="H138" s="159" t="n"/>
      <c r="I138" s="159" t="n"/>
      <c r="J138" s="159" t="n"/>
      <c r="K138" s="159" t="n"/>
    </row>
    <row r="139" ht="15.75" customHeight="1" s="297">
      <c r="A139" s="168" t="n"/>
      <c r="B139" s="159" t="n"/>
      <c r="C139" s="159" t="n"/>
      <c r="D139" s="159" t="n"/>
      <c r="E139" s="159" t="n"/>
      <c r="F139" s="159" t="n"/>
      <c r="G139" s="159" t="n"/>
      <c r="H139" s="159" t="n"/>
      <c r="I139" s="159" t="n"/>
      <c r="J139" s="159" t="n"/>
      <c r="K139" s="159" t="n"/>
    </row>
    <row r="140" ht="15.75" customHeight="1" s="297">
      <c r="A140" s="168" t="n"/>
      <c r="B140" s="159" t="n"/>
      <c r="C140" s="159" t="n"/>
      <c r="D140" s="159" t="n"/>
      <c r="E140" s="159" t="n"/>
      <c r="F140" s="159" t="n"/>
      <c r="G140" s="159" t="n"/>
      <c r="H140" s="159" t="n"/>
      <c r="I140" s="159" t="n"/>
      <c r="J140" s="159" t="n"/>
      <c r="K140" s="159" t="n"/>
    </row>
    <row r="141" ht="15.75" customHeight="1" s="297">
      <c r="A141" s="168" t="n"/>
      <c r="B141" s="159" t="n"/>
      <c r="C141" s="159" t="n"/>
      <c r="D141" s="159" t="n"/>
      <c r="E141" s="159" t="n"/>
      <c r="F141" s="159" t="n"/>
      <c r="G141" s="159" t="n"/>
      <c r="H141" s="159" t="n"/>
      <c r="I141" s="159" t="n"/>
      <c r="J141" s="159" t="n"/>
      <c r="K141" s="159" t="n"/>
    </row>
    <row r="142" ht="15.75" customHeight="1" s="297">
      <c r="A142" s="168" t="n"/>
      <c r="B142" s="159" t="n"/>
      <c r="C142" s="159" t="n"/>
      <c r="D142" s="159" t="n"/>
      <c r="E142" s="159" t="n"/>
      <c r="F142" s="159" t="n"/>
      <c r="G142" s="159" t="n"/>
      <c r="H142" s="159" t="n"/>
      <c r="I142" s="159" t="n"/>
      <c r="J142" s="159" t="n"/>
      <c r="K142" s="159" t="n"/>
    </row>
    <row r="143" ht="15.75" customHeight="1" s="297">
      <c r="A143" s="168" t="n"/>
      <c r="B143" s="159" t="n"/>
      <c r="C143" s="159" t="n"/>
      <c r="D143" s="159" t="n"/>
      <c r="E143" s="159" t="n"/>
      <c r="F143" s="159" t="n"/>
      <c r="G143" s="159" t="n"/>
      <c r="H143" s="159" t="n"/>
      <c r="I143" s="159" t="n"/>
      <c r="J143" s="159" t="n"/>
      <c r="K143" s="159" t="n"/>
    </row>
    <row r="144" ht="15.75" customHeight="1" s="297">
      <c r="A144" s="168" t="n"/>
      <c r="B144" s="159" t="n"/>
      <c r="C144" s="159" t="n"/>
      <c r="D144" s="159" t="n"/>
      <c r="E144" s="159" t="n"/>
      <c r="F144" s="159" t="n"/>
      <c r="G144" s="159" t="n"/>
      <c r="H144" s="159" t="n"/>
      <c r="I144" s="159" t="n"/>
      <c r="J144" s="159" t="n"/>
      <c r="K144" s="159" t="n"/>
    </row>
    <row r="145" ht="15.75" customHeight="1" s="297">
      <c r="A145" s="168" t="n"/>
      <c r="B145" s="159" t="n"/>
      <c r="C145" s="159" t="n"/>
      <c r="D145" s="159" t="n"/>
      <c r="E145" s="159" t="n"/>
      <c r="F145" s="159" t="n"/>
      <c r="G145" s="159" t="n"/>
      <c r="H145" s="159" t="n"/>
      <c r="I145" s="159" t="n"/>
      <c r="J145" s="159" t="n"/>
      <c r="K145" s="159" t="n"/>
    </row>
    <row r="146" ht="15.75" customHeight="1" s="297">
      <c r="A146" s="168" t="n"/>
      <c r="B146" s="159" t="n"/>
      <c r="C146" s="159" t="n"/>
      <c r="D146" s="159" t="n"/>
      <c r="E146" s="159" t="n"/>
      <c r="F146" s="159" t="n"/>
      <c r="G146" s="159" t="n"/>
      <c r="H146" s="159" t="n"/>
      <c r="I146" s="159" t="n"/>
      <c r="J146" s="159" t="n"/>
      <c r="K146" s="159" t="n"/>
    </row>
    <row r="147" ht="15.75" customHeight="1" s="297">
      <c r="A147" s="168" t="n"/>
      <c r="B147" s="159" t="n"/>
      <c r="C147" s="159" t="n"/>
      <c r="D147" s="159" t="n"/>
      <c r="E147" s="159" t="n"/>
      <c r="F147" s="159" t="n"/>
      <c r="G147" s="159" t="n"/>
      <c r="H147" s="159" t="n"/>
      <c r="I147" s="159" t="n"/>
      <c r="J147" s="159" t="n"/>
      <c r="K147" s="159" t="n"/>
    </row>
    <row r="148" ht="15.75" customHeight="1" s="297">
      <c r="A148" s="168" t="n"/>
      <c r="B148" s="159" t="n"/>
      <c r="C148" s="159" t="n"/>
      <c r="D148" s="159" t="n"/>
      <c r="E148" s="159" t="n"/>
      <c r="F148" s="159" t="n"/>
      <c r="G148" s="159" t="n"/>
      <c r="H148" s="159" t="n"/>
      <c r="I148" s="159" t="n"/>
      <c r="J148" s="159" t="n"/>
      <c r="K148" s="159" t="n"/>
    </row>
    <row r="149" ht="15.75" customHeight="1" s="297">
      <c r="A149" s="168" t="n"/>
      <c r="B149" s="159" t="n"/>
      <c r="C149" s="159" t="n"/>
      <c r="D149" s="159" t="n"/>
      <c r="E149" s="159" t="n"/>
      <c r="F149" s="159" t="n"/>
      <c r="G149" s="159" t="n"/>
      <c r="H149" s="159" t="n"/>
      <c r="I149" s="159" t="n"/>
      <c r="J149" s="159" t="n"/>
      <c r="K149" s="159" t="n"/>
    </row>
    <row r="150" ht="15.75" customHeight="1" s="297">
      <c r="A150" s="168" t="n"/>
      <c r="B150" s="159" t="n"/>
      <c r="C150" s="159" t="n"/>
      <c r="D150" s="159" t="n"/>
      <c r="E150" s="159" t="n"/>
      <c r="F150" s="159" t="n"/>
      <c r="G150" s="159" t="n"/>
      <c r="H150" s="159" t="n"/>
      <c r="I150" s="159" t="n"/>
      <c r="J150" s="159" t="n"/>
      <c r="K150" s="159" t="n"/>
    </row>
    <row r="151" ht="15.75" customHeight="1" s="297">
      <c r="A151" s="168" t="n"/>
      <c r="B151" s="159" t="n"/>
      <c r="C151" s="159" t="n"/>
      <c r="D151" s="159" t="n"/>
      <c r="E151" s="159" t="n"/>
      <c r="F151" s="159" t="n"/>
      <c r="G151" s="159" t="n"/>
      <c r="H151" s="159" t="n"/>
      <c r="I151" s="159" t="n"/>
      <c r="J151" s="159" t="n"/>
      <c r="K151" s="159" t="n"/>
    </row>
    <row r="152" ht="15.75" customHeight="1" s="297">
      <c r="A152" s="168" t="n"/>
      <c r="B152" s="159" t="n"/>
      <c r="C152" s="159" t="n"/>
      <c r="D152" s="159" t="n"/>
      <c r="E152" s="159" t="n"/>
      <c r="F152" s="159" t="n"/>
      <c r="G152" s="159" t="n"/>
      <c r="H152" s="159" t="n"/>
      <c r="I152" s="159" t="n"/>
      <c r="J152" s="159" t="n"/>
      <c r="K152" s="159" t="n"/>
    </row>
    <row r="153" ht="15.75" customHeight="1" s="297">
      <c r="A153" s="168" t="n"/>
      <c r="B153" s="159" t="n"/>
      <c r="C153" s="159" t="n"/>
      <c r="D153" s="159" t="n"/>
      <c r="E153" s="159" t="n"/>
      <c r="F153" s="159" t="n"/>
      <c r="G153" s="159" t="n"/>
      <c r="H153" s="159" t="n"/>
      <c r="I153" s="159" t="n"/>
      <c r="J153" s="159" t="n"/>
      <c r="K153" s="159" t="n"/>
    </row>
    <row r="154" ht="15.75" customHeight="1" s="297">
      <c r="A154" s="168" t="n"/>
      <c r="B154" s="159" t="n"/>
      <c r="C154" s="159" t="n"/>
      <c r="D154" s="159" t="n"/>
      <c r="E154" s="159" t="n"/>
      <c r="F154" s="159" t="n"/>
      <c r="G154" s="159" t="n"/>
      <c r="H154" s="159" t="n"/>
      <c r="I154" s="159" t="n"/>
      <c r="J154" s="159" t="n"/>
      <c r="K154" s="159" t="n"/>
    </row>
    <row r="155" ht="15.75" customHeight="1" s="297">
      <c r="A155" s="168" t="n"/>
      <c r="B155" s="159" t="n"/>
      <c r="C155" s="159" t="n"/>
      <c r="D155" s="159" t="n"/>
      <c r="E155" s="159" t="n"/>
      <c r="F155" s="159" t="n"/>
      <c r="G155" s="159" t="n"/>
      <c r="H155" s="159" t="n"/>
      <c r="I155" s="159" t="n"/>
      <c r="J155" s="159" t="n"/>
      <c r="K155" s="159" t="n"/>
    </row>
    <row r="156" ht="15.75" customHeight="1" s="297">
      <c r="A156" s="168" t="n"/>
      <c r="B156" s="159" t="n"/>
      <c r="C156" s="159" t="n"/>
      <c r="D156" s="159" t="n"/>
      <c r="E156" s="159" t="n"/>
      <c r="F156" s="159" t="n"/>
      <c r="G156" s="159" t="n"/>
      <c r="H156" s="159" t="n"/>
      <c r="I156" s="159" t="n"/>
      <c r="J156" s="159" t="n"/>
      <c r="K156" s="159" t="n"/>
    </row>
    <row r="157" ht="15.75" customHeight="1" s="297">
      <c r="A157" s="168" t="n"/>
      <c r="B157" s="159" t="n"/>
      <c r="C157" s="159" t="n"/>
      <c r="D157" s="159" t="n"/>
      <c r="E157" s="159" t="n"/>
      <c r="F157" s="159" t="n"/>
      <c r="G157" s="159" t="n"/>
      <c r="H157" s="159" t="n"/>
      <c r="I157" s="159" t="n"/>
      <c r="J157" s="159" t="n"/>
      <c r="K157" s="159" t="n"/>
    </row>
    <row r="158" ht="15.75" customHeight="1" s="297">
      <c r="A158" s="168" t="n"/>
      <c r="B158" s="159" t="n"/>
      <c r="C158" s="159" t="n"/>
      <c r="D158" s="159" t="n"/>
      <c r="E158" s="159" t="n"/>
      <c r="F158" s="159" t="n"/>
      <c r="G158" s="159" t="n"/>
      <c r="H158" s="159" t="n"/>
      <c r="I158" s="159" t="n"/>
      <c r="J158" s="159" t="n"/>
      <c r="K158" s="159" t="n"/>
    </row>
    <row r="159" ht="15.75" customHeight="1" s="297">
      <c r="A159" s="168" t="n"/>
      <c r="B159" s="159" t="n"/>
      <c r="C159" s="159" t="n"/>
      <c r="D159" s="159" t="n"/>
      <c r="E159" s="159" t="n"/>
      <c r="F159" s="159" t="n"/>
      <c r="G159" s="159" t="n"/>
      <c r="H159" s="159" t="n"/>
      <c r="I159" s="159" t="n"/>
      <c r="J159" s="159" t="n"/>
      <c r="K159" s="159" t="n"/>
    </row>
    <row r="160" ht="15.75" customHeight="1" s="297">
      <c r="A160" s="168" t="n"/>
      <c r="B160" s="159" t="n"/>
      <c r="C160" s="159" t="n"/>
      <c r="D160" s="159" t="n"/>
      <c r="E160" s="159" t="n"/>
      <c r="F160" s="159" t="n"/>
      <c r="G160" s="159" t="n"/>
      <c r="H160" s="159" t="n"/>
      <c r="I160" s="159" t="n"/>
      <c r="J160" s="159" t="n"/>
      <c r="K160" s="159" t="n"/>
    </row>
    <row r="161" ht="15.75" customHeight="1" s="297">
      <c r="A161" s="168" t="n"/>
      <c r="B161" s="159" t="n"/>
      <c r="C161" s="159" t="n"/>
      <c r="D161" s="159" t="n"/>
      <c r="E161" s="159" t="n"/>
      <c r="F161" s="159" t="n"/>
      <c r="G161" s="159" t="n"/>
      <c r="H161" s="159" t="n"/>
      <c r="I161" s="159" t="n"/>
      <c r="J161" s="159" t="n"/>
      <c r="K161" s="159" t="n"/>
    </row>
    <row r="162" ht="15.75" customHeight="1" s="297">
      <c r="A162" s="168" t="n"/>
      <c r="B162" s="159" t="n"/>
      <c r="C162" s="159" t="n"/>
      <c r="D162" s="159" t="n"/>
      <c r="E162" s="159" t="n"/>
      <c r="F162" s="159" t="n"/>
      <c r="G162" s="159" t="n"/>
      <c r="H162" s="159" t="n"/>
      <c r="I162" s="159" t="n"/>
      <c r="J162" s="159" t="n"/>
      <c r="K162" s="159" t="n"/>
    </row>
    <row r="163" ht="15.75" customHeight="1" s="297">
      <c r="A163" s="168" t="n"/>
      <c r="B163" s="159" t="n"/>
      <c r="C163" s="159" t="n"/>
      <c r="D163" s="159" t="n"/>
      <c r="E163" s="159" t="n"/>
      <c r="F163" s="159" t="n"/>
      <c r="G163" s="159" t="n"/>
      <c r="H163" s="159" t="n"/>
      <c r="I163" s="159" t="n"/>
      <c r="J163" s="159" t="n"/>
      <c r="K163" s="159" t="n"/>
    </row>
    <row r="164" ht="15.75" customHeight="1" s="297">
      <c r="A164" s="168" t="n"/>
      <c r="B164" s="159" t="n"/>
      <c r="C164" s="159" t="n"/>
      <c r="D164" s="159" t="n"/>
      <c r="E164" s="159" t="n"/>
      <c r="F164" s="159" t="n"/>
      <c r="G164" s="159" t="n"/>
      <c r="H164" s="159" t="n"/>
      <c r="I164" s="159" t="n"/>
      <c r="J164" s="159" t="n"/>
      <c r="K164" s="159" t="n"/>
    </row>
    <row r="165" ht="15.75" customHeight="1" s="297">
      <c r="A165" s="168" t="n"/>
      <c r="B165" s="159" t="n"/>
      <c r="C165" s="159" t="n"/>
      <c r="D165" s="159" t="n"/>
      <c r="E165" s="159" t="n"/>
      <c r="F165" s="159" t="n"/>
      <c r="G165" s="159" t="n"/>
      <c r="H165" s="159" t="n"/>
      <c r="I165" s="159" t="n"/>
      <c r="J165" s="159" t="n"/>
      <c r="K165" s="159" t="n"/>
    </row>
    <row r="166" ht="15.75" customHeight="1" s="297">
      <c r="A166" s="168" t="n"/>
      <c r="B166" s="159" t="n"/>
      <c r="C166" s="159" t="n"/>
      <c r="D166" s="159" t="n"/>
      <c r="E166" s="159" t="n"/>
      <c r="F166" s="159" t="n"/>
      <c r="G166" s="159" t="n"/>
      <c r="H166" s="159" t="n"/>
      <c r="I166" s="159" t="n"/>
      <c r="J166" s="159" t="n"/>
      <c r="K166" s="159" t="n"/>
    </row>
    <row r="167" ht="15.75" customHeight="1" s="297">
      <c r="A167" s="168" t="n"/>
      <c r="B167" s="159" t="n"/>
      <c r="C167" s="159" t="n"/>
      <c r="D167" s="159" t="n"/>
      <c r="E167" s="159" t="n"/>
      <c r="F167" s="159" t="n"/>
      <c r="G167" s="159" t="n"/>
      <c r="H167" s="159" t="n"/>
      <c r="I167" s="159" t="n"/>
      <c r="J167" s="159" t="n"/>
      <c r="K167" s="159" t="n"/>
    </row>
    <row r="168" ht="15.75" customHeight="1" s="297">
      <c r="A168" s="168" t="n"/>
      <c r="B168" s="159" t="n"/>
      <c r="C168" s="159" t="n"/>
      <c r="D168" s="159" t="n"/>
      <c r="E168" s="159" t="n"/>
      <c r="F168" s="159" t="n"/>
      <c r="G168" s="159" t="n"/>
      <c r="H168" s="159" t="n"/>
      <c r="I168" s="159" t="n"/>
      <c r="J168" s="159" t="n"/>
      <c r="K168" s="159" t="n"/>
    </row>
    <row r="169" ht="15.75" customHeight="1" s="297">
      <c r="A169" s="168" t="n"/>
      <c r="B169" s="159" t="n"/>
      <c r="C169" s="159" t="n"/>
      <c r="D169" s="159" t="n"/>
      <c r="E169" s="159" t="n"/>
      <c r="F169" s="159" t="n"/>
      <c r="G169" s="159" t="n"/>
      <c r="H169" s="159" t="n"/>
      <c r="I169" s="159" t="n"/>
      <c r="J169" s="159" t="n"/>
      <c r="K169" s="159" t="n"/>
    </row>
    <row r="170" ht="15.75" customHeight="1" s="297">
      <c r="A170" s="168" t="n"/>
      <c r="B170" s="159" t="n"/>
      <c r="C170" s="159" t="n"/>
      <c r="D170" s="159" t="n"/>
      <c r="E170" s="159" t="n"/>
      <c r="F170" s="159" t="n"/>
      <c r="G170" s="159" t="n"/>
      <c r="H170" s="159" t="n"/>
      <c r="I170" s="159" t="n"/>
      <c r="J170" s="159" t="n"/>
      <c r="K170" s="159" t="n"/>
    </row>
    <row r="171" ht="15.75" customHeight="1" s="297">
      <c r="A171" s="168" t="n"/>
      <c r="B171" s="159" t="n"/>
      <c r="C171" s="159" t="n"/>
      <c r="D171" s="159" t="n"/>
      <c r="E171" s="159" t="n"/>
      <c r="F171" s="159" t="n"/>
      <c r="G171" s="159" t="n"/>
      <c r="H171" s="159" t="n"/>
      <c r="I171" s="159" t="n"/>
      <c r="J171" s="159" t="n"/>
      <c r="K171" s="159" t="n"/>
    </row>
    <row r="172" ht="15.75" customHeight="1" s="297">
      <c r="A172" s="168" t="n"/>
      <c r="B172" s="159" t="n"/>
      <c r="C172" s="159" t="n"/>
      <c r="D172" s="159" t="n"/>
      <c r="E172" s="159" t="n"/>
      <c r="F172" s="159" t="n"/>
      <c r="G172" s="159" t="n"/>
      <c r="H172" s="159" t="n"/>
      <c r="I172" s="159" t="n"/>
      <c r="J172" s="159" t="n"/>
      <c r="K172" s="159" t="n"/>
    </row>
    <row r="173" ht="15.75" customHeight="1" s="297">
      <c r="A173" s="168" t="n"/>
      <c r="B173" s="159" t="n"/>
      <c r="C173" s="159" t="n"/>
      <c r="D173" s="159" t="n"/>
      <c r="E173" s="159" t="n"/>
      <c r="F173" s="159" t="n"/>
      <c r="G173" s="159" t="n"/>
      <c r="H173" s="159" t="n"/>
      <c r="I173" s="159" t="n"/>
      <c r="J173" s="159" t="n"/>
      <c r="K173" s="159" t="n"/>
    </row>
    <row r="174" ht="15.75" customHeight="1" s="297">
      <c r="A174" s="168" t="n"/>
      <c r="B174" s="159" t="n"/>
      <c r="C174" s="159" t="n"/>
      <c r="D174" s="159" t="n"/>
      <c r="E174" s="159" t="n"/>
      <c r="F174" s="159" t="n"/>
      <c r="G174" s="159" t="n"/>
      <c r="H174" s="159" t="n"/>
      <c r="I174" s="159" t="n"/>
      <c r="J174" s="159" t="n"/>
      <c r="K174" s="159" t="n"/>
    </row>
    <row r="175" ht="15.75" customHeight="1" s="297">
      <c r="A175" s="168" t="n"/>
      <c r="B175" s="159" t="n"/>
      <c r="C175" s="159" t="n"/>
      <c r="D175" s="159" t="n"/>
      <c r="E175" s="159" t="n"/>
      <c r="F175" s="159" t="n"/>
      <c r="G175" s="159" t="n"/>
      <c r="H175" s="159" t="n"/>
      <c r="I175" s="159" t="n"/>
      <c r="J175" s="159" t="n"/>
      <c r="K175" s="159" t="n"/>
    </row>
    <row r="176" ht="15.75" customHeight="1" s="297">
      <c r="A176" s="168" t="n"/>
      <c r="B176" s="159" t="n"/>
      <c r="C176" s="159" t="n"/>
      <c r="D176" s="159" t="n"/>
      <c r="E176" s="159" t="n"/>
      <c r="F176" s="159" t="n"/>
      <c r="G176" s="159" t="n"/>
      <c r="H176" s="159" t="n"/>
      <c r="I176" s="159" t="n"/>
      <c r="J176" s="159" t="n"/>
      <c r="K176" s="159" t="n"/>
    </row>
    <row r="177" ht="15.75" customHeight="1" s="297">
      <c r="A177" s="168" t="n"/>
      <c r="B177" s="159" t="n"/>
      <c r="C177" s="159" t="n"/>
      <c r="D177" s="159" t="n"/>
      <c r="E177" s="159" t="n"/>
      <c r="F177" s="159" t="n"/>
      <c r="G177" s="159" t="n"/>
      <c r="H177" s="159" t="n"/>
      <c r="I177" s="159" t="n"/>
      <c r="J177" s="159" t="n"/>
      <c r="K177" s="159" t="n"/>
    </row>
    <row r="178" ht="15.75" customHeight="1" s="297">
      <c r="A178" s="168" t="n"/>
      <c r="B178" s="159" t="n"/>
      <c r="C178" s="159" t="n"/>
      <c r="D178" s="159" t="n"/>
      <c r="E178" s="159" t="n"/>
      <c r="F178" s="159" t="n"/>
      <c r="G178" s="159" t="n"/>
      <c r="H178" s="159" t="n"/>
      <c r="I178" s="159" t="n"/>
      <c r="J178" s="159" t="n"/>
      <c r="K178" s="159" t="n"/>
    </row>
    <row r="179" ht="15.75" customHeight="1" s="297">
      <c r="A179" s="168" t="n"/>
      <c r="B179" s="159" t="n"/>
      <c r="C179" s="159" t="n"/>
      <c r="D179" s="159" t="n"/>
      <c r="E179" s="159" t="n"/>
      <c r="F179" s="159" t="n"/>
      <c r="G179" s="159" t="n"/>
      <c r="H179" s="159" t="n"/>
      <c r="I179" s="159" t="n"/>
      <c r="J179" s="159" t="n"/>
      <c r="K179" s="159" t="n"/>
    </row>
    <row r="180" ht="15.75" customHeight="1" s="297">
      <c r="A180" s="168" t="n"/>
      <c r="B180" s="159" t="n"/>
      <c r="C180" s="159" t="n"/>
      <c r="D180" s="159" t="n"/>
      <c r="E180" s="159" t="n"/>
      <c r="F180" s="159" t="n"/>
      <c r="G180" s="159" t="n"/>
      <c r="H180" s="159" t="n"/>
      <c r="I180" s="159" t="n"/>
      <c r="J180" s="159" t="n"/>
      <c r="K180" s="159" t="n"/>
    </row>
    <row r="181" ht="15.75" customHeight="1" s="297">
      <c r="A181" s="168" t="n"/>
      <c r="B181" s="159" t="n"/>
      <c r="C181" s="159" t="n"/>
      <c r="D181" s="159" t="n"/>
      <c r="E181" s="159" t="n"/>
      <c r="F181" s="159" t="n"/>
      <c r="G181" s="159" t="n"/>
      <c r="H181" s="159" t="n"/>
      <c r="I181" s="159" t="n"/>
      <c r="J181" s="159" t="n"/>
      <c r="K181" s="159" t="n"/>
    </row>
    <row r="182" ht="15.75" customHeight="1" s="297">
      <c r="A182" s="168" t="n"/>
      <c r="B182" s="159" t="n"/>
      <c r="C182" s="159" t="n"/>
      <c r="D182" s="159" t="n"/>
      <c r="E182" s="159" t="n"/>
      <c r="F182" s="159" t="n"/>
      <c r="G182" s="159" t="n"/>
      <c r="H182" s="159" t="n"/>
      <c r="I182" s="159" t="n"/>
      <c r="J182" s="159" t="n"/>
      <c r="K182" s="159" t="n"/>
    </row>
    <row r="183" ht="15.75" customHeight="1" s="297">
      <c r="A183" s="168" t="n"/>
      <c r="B183" s="159" t="n"/>
      <c r="C183" s="159" t="n"/>
      <c r="D183" s="159" t="n"/>
      <c r="E183" s="159" t="n"/>
      <c r="F183" s="159" t="n"/>
      <c r="G183" s="159" t="n"/>
      <c r="H183" s="159" t="n"/>
      <c r="I183" s="159" t="n"/>
      <c r="J183" s="159" t="n"/>
      <c r="K183" s="159" t="n"/>
    </row>
    <row r="184" ht="15.75" customHeight="1" s="297">
      <c r="A184" s="168" t="n"/>
      <c r="B184" s="159" t="n"/>
      <c r="C184" s="159" t="n"/>
      <c r="D184" s="159" t="n"/>
      <c r="E184" s="159" t="n"/>
      <c r="F184" s="159" t="n"/>
      <c r="G184" s="159" t="n"/>
      <c r="H184" s="159" t="n"/>
      <c r="I184" s="159" t="n"/>
      <c r="J184" s="159" t="n"/>
      <c r="K184" s="159" t="n"/>
    </row>
    <row r="185" ht="15.75" customHeight="1" s="297">
      <c r="A185" s="168" t="n"/>
      <c r="B185" s="159" t="n"/>
      <c r="C185" s="159" t="n"/>
      <c r="D185" s="159" t="n"/>
      <c r="E185" s="159" t="n"/>
      <c r="F185" s="159" t="n"/>
      <c r="G185" s="159" t="n"/>
      <c r="H185" s="159" t="n"/>
      <c r="I185" s="159" t="n"/>
      <c r="J185" s="159" t="n"/>
      <c r="K185" s="159" t="n"/>
    </row>
    <row r="186" ht="15.75" customHeight="1" s="297">
      <c r="A186" s="168" t="n"/>
      <c r="B186" s="159" t="n"/>
      <c r="C186" s="159" t="n"/>
      <c r="D186" s="159" t="n"/>
      <c r="E186" s="159" t="n"/>
      <c r="F186" s="159" t="n"/>
      <c r="G186" s="159" t="n"/>
      <c r="H186" s="159" t="n"/>
      <c r="I186" s="159" t="n"/>
      <c r="J186" s="159" t="n"/>
      <c r="K186" s="159" t="n"/>
    </row>
    <row r="187" ht="15.75" customHeight="1" s="297">
      <c r="A187" s="168" t="n"/>
      <c r="B187" s="159" t="n"/>
      <c r="C187" s="159" t="n"/>
      <c r="D187" s="159" t="n"/>
      <c r="E187" s="159" t="n"/>
      <c r="F187" s="159" t="n"/>
      <c r="G187" s="159" t="n"/>
      <c r="H187" s="159" t="n"/>
      <c r="I187" s="159" t="n"/>
      <c r="J187" s="159" t="n"/>
      <c r="K187" s="159" t="n"/>
    </row>
    <row r="188" ht="15.75" customHeight="1" s="297">
      <c r="A188" s="168" t="n"/>
      <c r="B188" s="159" t="n"/>
      <c r="C188" s="159" t="n"/>
      <c r="D188" s="159" t="n"/>
      <c r="E188" s="159" t="n"/>
      <c r="F188" s="159" t="n"/>
      <c r="G188" s="159" t="n"/>
      <c r="H188" s="159" t="n"/>
      <c r="I188" s="159" t="n"/>
      <c r="J188" s="159" t="n"/>
      <c r="K188" s="159" t="n"/>
    </row>
    <row r="189" ht="15.75" customHeight="1" s="297">
      <c r="A189" s="168" t="n"/>
      <c r="B189" s="159" t="n"/>
      <c r="C189" s="159" t="n"/>
      <c r="D189" s="159" t="n"/>
      <c r="E189" s="159" t="n"/>
      <c r="F189" s="159" t="n"/>
      <c r="G189" s="159" t="n"/>
      <c r="H189" s="159" t="n"/>
      <c r="I189" s="159" t="n"/>
      <c r="J189" s="159" t="n"/>
      <c r="K189" s="159" t="n"/>
    </row>
    <row r="190" ht="15.75" customHeight="1" s="297">
      <c r="A190" s="168" t="n"/>
      <c r="B190" s="159" t="n"/>
      <c r="C190" s="159" t="n"/>
      <c r="D190" s="159" t="n"/>
      <c r="E190" s="159" t="n"/>
      <c r="F190" s="159" t="n"/>
      <c r="G190" s="159" t="n"/>
      <c r="H190" s="159" t="n"/>
      <c r="I190" s="159" t="n"/>
      <c r="J190" s="159" t="n"/>
      <c r="K190" s="159" t="n"/>
    </row>
    <row r="191" ht="15.75" customHeight="1" s="297">
      <c r="A191" s="168" t="n"/>
      <c r="B191" s="159" t="n"/>
      <c r="C191" s="159" t="n"/>
      <c r="D191" s="159" t="n"/>
      <c r="E191" s="159" t="n"/>
      <c r="F191" s="159" t="n"/>
      <c r="G191" s="159" t="n"/>
      <c r="H191" s="159" t="n"/>
      <c r="I191" s="159" t="n"/>
      <c r="J191" s="159" t="n"/>
      <c r="K191" s="159" t="n"/>
    </row>
    <row r="192" ht="15.75" customHeight="1" s="297">
      <c r="A192" s="168" t="n"/>
      <c r="B192" s="159" t="n"/>
      <c r="C192" s="159" t="n"/>
      <c r="D192" s="159" t="n"/>
      <c r="E192" s="159" t="n"/>
      <c r="F192" s="159" t="n"/>
      <c r="G192" s="159" t="n"/>
      <c r="H192" s="159" t="n"/>
      <c r="I192" s="159" t="n"/>
      <c r="J192" s="159" t="n"/>
      <c r="K192" s="159" t="n"/>
    </row>
    <row r="193" ht="15.75" customHeight="1" s="297">
      <c r="A193" s="168" t="n"/>
      <c r="B193" s="159" t="n"/>
      <c r="C193" s="159" t="n"/>
      <c r="D193" s="159" t="n"/>
      <c r="E193" s="159" t="n"/>
      <c r="F193" s="159" t="n"/>
      <c r="G193" s="159" t="n"/>
      <c r="H193" s="159" t="n"/>
      <c r="I193" s="159" t="n"/>
      <c r="J193" s="159" t="n"/>
      <c r="K193" s="159" t="n"/>
    </row>
    <row r="194" ht="15.75" customHeight="1" s="297">
      <c r="A194" s="168" t="n"/>
      <c r="B194" s="159" t="n"/>
      <c r="C194" s="159" t="n"/>
      <c r="D194" s="159" t="n"/>
      <c r="E194" s="159" t="n"/>
      <c r="F194" s="159" t="n"/>
      <c r="G194" s="159" t="n"/>
      <c r="H194" s="159" t="n"/>
      <c r="I194" s="159" t="n"/>
      <c r="J194" s="159" t="n"/>
      <c r="K194" s="159" t="n"/>
    </row>
    <row r="195" ht="15.75" customHeight="1" s="297">
      <c r="A195" s="168" t="n"/>
      <c r="B195" s="159" t="n"/>
      <c r="C195" s="159" t="n"/>
      <c r="D195" s="159" t="n"/>
      <c r="E195" s="159" t="n"/>
      <c r="F195" s="159" t="n"/>
      <c r="G195" s="159" t="n"/>
      <c r="H195" s="159" t="n"/>
      <c r="I195" s="159" t="n"/>
      <c r="J195" s="159" t="n"/>
      <c r="K195" s="159" t="n"/>
    </row>
    <row r="196" ht="15.75" customHeight="1" s="297">
      <c r="A196" s="168" t="n"/>
      <c r="B196" s="159" t="n"/>
      <c r="C196" s="159" t="n"/>
      <c r="D196" s="159" t="n"/>
      <c r="E196" s="159" t="n"/>
      <c r="F196" s="159" t="n"/>
      <c r="G196" s="159" t="n"/>
      <c r="H196" s="159" t="n"/>
      <c r="I196" s="159" t="n"/>
      <c r="J196" s="159" t="n"/>
      <c r="K196" s="159" t="n"/>
    </row>
    <row r="197" ht="15.75" customHeight="1" s="297">
      <c r="A197" s="168" t="n"/>
      <c r="B197" s="159" t="n"/>
      <c r="C197" s="159" t="n"/>
      <c r="D197" s="159" t="n"/>
      <c r="E197" s="159" t="n"/>
      <c r="F197" s="159" t="n"/>
      <c r="G197" s="159" t="n"/>
      <c r="H197" s="159" t="n"/>
      <c r="I197" s="159" t="n"/>
      <c r="J197" s="159" t="n"/>
      <c r="K197" s="159" t="n"/>
    </row>
    <row r="198" ht="15.75" customHeight="1" s="297">
      <c r="A198" s="168" t="n"/>
      <c r="B198" s="159" t="n"/>
      <c r="C198" s="159" t="n"/>
      <c r="D198" s="159" t="n"/>
      <c r="E198" s="159" t="n"/>
      <c r="F198" s="159" t="n"/>
      <c r="G198" s="159" t="n"/>
      <c r="H198" s="159" t="n"/>
      <c r="I198" s="159" t="n"/>
      <c r="J198" s="159" t="n"/>
      <c r="K198" s="159" t="n"/>
    </row>
    <row r="199" ht="15.75" customHeight="1" s="297">
      <c r="A199" s="168" t="n"/>
      <c r="B199" s="159" t="n"/>
      <c r="C199" s="159" t="n"/>
      <c r="D199" s="159" t="n"/>
      <c r="E199" s="159" t="n"/>
      <c r="F199" s="159" t="n"/>
      <c r="G199" s="159" t="n"/>
      <c r="H199" s="159" t="n"/>
      <c r="I199" s="159" t="n"/>
      <c r="J199" s="159" t="n"/>
      <c r="K199" s="159" t="n"/>
    </row>
    <row r="200" ht="15.75" customHeight="1" s="297">
      <c r="A200" s="168" t="n"/>
      <c r="B200" s="159" t="n"/>
      <c r="C200" s="159" t="n"/>
      <c r="D200" s="159" t="n"/>
      <c r="E200" s="159" t="n"/>
      <c r="F200" s="159" t="n"/>
      <c r="G200" s="159" t="n"/>
      <c r="H200" s="159" t="n"/>
      <c r="I200" s="159" t="n"/>
      <c r="J200" s="159" t="n"/>
      <c r="K200" s="159" t="n"/>
    </row>
    <row r="201" ht="15.75" customHeight="1" s="297">
      <c r="A201" s="168" t="n"/>
      <c r="B201" s="159" t="n"/>
      <c r="C201" s="159" t="n"/>
      <c r="D201" s="159" t="n"/>
      <c r="E201" s="159" t="n"/>
      <c r="F201" s="159" t="n"/>
      <c r="G201" s="159" t="n"/>
      <c r="H201" s="159" t="n"/>
      <c r="I201" s="159" t="n"/>
      <c r="J201" s="159" t="n"/>
      <c r="K201" s="159" t="n"/>
    </row>
    <row r="202" ht="15.75" customHeight="1" s="297">
      <c r="A202" s="168" t="n"/>
      <c r="B202" s="159" t="n"/>
      <c r="C202" s="159" t="n"/>
      <c r="D202" s="159" t="n"/>
      <c r="E202" s="159" t="n"/>
      <c r="F202" s="159" t="n"/>
      <c r="G202" s="159" t="n"/>
      <c r="H202" s="159" t="n"/>
      <c r="I202" s="159" t="n"/>
      <c r="J202" s="159" t="n"/>
      <c r="K202" s="159" t="n"/>
    </row>
    <row r="203" ht="15.75" customHeight="1" s="297">
      <c r="A203" s="168" t="n"/>
      <c r="B203" s="159" t="n"/>
      <c r="C203" s="159" t="n"/>
      <c r="D203" s="159" t="n"/>
      <c r="E203" s="159" t="n"/>
      <c r="F203" s="159" t="n"/>
      <c r="G203" s="159" t="n"/>
      <c r="H203" s="159" t="n"/>
      <c r="I203" s="159" t="n"/>
      <c r="J203" s="159" t="n"/>
      <c r="K203" s="159" t="n"/>
    </row>
    <row r="204" ht="15.75" customHeight="1" s="297">
      <c r="A204" s="168" t="n"/>
      <c r="B204" s="159" t="n"/>
      <c r="C204" s="159" t="n"/>
      <c r="D204" s="159" t="n"/>
      <c r="E204" s="159" t="n"/>
      <c r="F204" s="159" t="n"/>
      <c r="G204" s="159" t="n"/>
      <c r="H204" s="159" t="n"/>
      <c r="I204" s="159" t="n"/>
      <c r="J204" s="159" t="n"/>
      <c r="K204" s="159" t="n"/>
    </row>
    <row r="205" ht="15.75" customHeight="1" s="297">
      <c r="A205" s="168" t="n"/>
      <c r="B205" s="159" t="n"/>
      <c r="C205" s="159" t="n"/>
      <c r="D205" s="159" t="n"/>
      <c r="E205" s="159" t="n"/>
      <c r="F205" s="159" t="n"/>
      <c r="G205" s="159" t="n"/>
      <c r="H205" s="159" t="n"/>
      <c r="I205" s="159" t="n"/>
      <c r="J205" s="159" t="n"/>
      <c r="K205" s="159" t="n"/>
    </row>
    <row r="206" ht="15.75" customHeight="1" s="297">
      <c r="A206" s="168" t="n"/>
      <c r="B206" s="159" t="n"/>
      <c r="C206" s="159" t="n"/>
      <c r="D206" s="159" t="n"/>
      <c r="E206" s="159" t="n"/>
      <c r="F206" s="159" t="n"/>
      <c r="G206" s="159" t="n"/>
      <c r="H206" s="159" t="n"/>
      <c r="I206" s="159" t="n"/>
      <c r="J206" s="159" t="n"/>
      <c r="K206" s="159" t="n"/>
    </row>
    <row r="207" ht="15.75" customHeight="1" s="297">
      <c r="A207" s="168" t="n"/>
      <c r="B207" s="159" t="n"/>
      <c r="C207" s="159" t="n"/>
      <c r="D207" s="159" t="n"/>
      <c r="E207" s="159" t="n"/>
      <c r="F207" s="159" t="n"/>
      <c r="G207" s="159" t="n"/>
      <c r="H207" s="159" t="n"/>
      <c r="I207" s="159" t="n"/>
      <c r="J207" s="159" t="n"/>
      <c r="K207" s="159" t="n"/>
    </row>
    <row r="208" ht="15.75" customHeight="1" s="297">
      <c r="A208" s="168" t="n"/>
      <c r="B208" s="159" t="n"/>
      <c r="C208" s="159" t="n"/>
      <c r="D208" s="159" t="n"/>
      <c r="E208" s="159" t="n"/>
      <c r="F208" s="159" t="n"/>
      <c r="G208" s="159" t="n"/>
      <c r="H208" s="159" t="n"/>
      <c r="I208" s="159" t="n"/>
      <c r="J208" s="159" t="n"/>
      <c r="K208" s="159" t="n"/>
    </row>
    <row r="209" ht="15.75" customHeight="1" s="297">
      <c r="A209" s="168" t="n"/>
      <c r="B209" s="159" t="n"/>
      <c r="C209" s="159" t="n"/>
      <c r="D209" s="159" t="n"/>
      <c r="E209" s="159" t="n"/>
      <c r="F209" s="159" t="n"/>
      <c r="G209" s="159" t="n"/>
      <c r="H209" s="159" t="n"/>
      <c r="I209" s="159" t="n"/>
      <c r="J209" s="159" t="n"/>
      <c r="K209" s="159" t="n"/>
    </row>
    <row r="210" ht="15.75" customHeight="1" s="297">
      <c r="A210" s="168" t="n"/>
      <c r="B210" s="159" t="n"/>
      <c r="C210" s="159" t="n"/>
      <c r="D210" s="159" t="n"/>
      <c r="E210" s="159" t="n"/>
      <c r="F210" s="159" t="n"/>
      <c r="G210" s="159" t="n"/>
      <c r="H210" s="159" t="n"/>
      <c r="I210" s="159" t="n"/>
      <c r="J210" s="159" t="n"/>
      <c r="K210" s="159" t="n"/>
    </row>
    <row r="211" ht="15.75" customHeight="1" s="297">
      <c r="A211" s="168" t="n"/>
      <c r="B211" s="159" t="n"/>
      <c r="C211" s="159" t="n"/>
      <c r="D211" s="159" t="n"/>
      <c r="E211" s="159" t="n"/>
      <c r="F211" s="159" t="n"/>
      <c r="G211" s="159" t="n"/>
      <c r="H211" s="159" t="n"/>
      <c r="I211" s="159" t="n"/>
      <c r="J211" s="159" t="n"/>
      <c r="K211" s="159" t="n"/>
    </row>
    <row r="212" ht="15.75" customHeight="1" s="297">
      <c r="A212" s="168" t="n"/>
      <c r="B212" s="159" t="n"/>
      <c r="C212" s="159" t="n"/>
      <c r="D212" s="159" t="n"/>
      <c r="E212" s="159" t="n"/>
      <c r="F212" s="159" t="n"/>
      <c r="G212" s="159" t="n"/>
      <c r="H212" s="159" t="n"/>
      <c r="I212" s="159" t="n"/>
      <c r="J212" s="159" t="n"/>
      <c r="K212" s="159" t="n"/>
    </row>
    <row r="213" ht="15.75" customHeight="1" s="297">
      <c r="A213" s="168" t="n"/>
      <c r="B213" s="159" t="n"/>
      <c r="C213" s="159" t="n"/>
      <c r="D213" s="159" t="n"/>
      <c r="E213" s="159" t="n"/>
      <c r="F213" s="159" t="n"/>
      <c r="G213" s="159" t="n"/>
      <c r="H213" s="159" t="n"/>
      <c r="I213" s="159" t="n"/>
      <c r="J213" s="159" t="n"/>
      <c r="K213" s="159" t="n"/>
    </row>
    <row r="214" ht="15.75" customHeight="1" s="297">
      <c r="A214" s="168" t="n"/>
      <c r="B214" s="159" t="n"/>
      <c r="C214" s="159" t="n"/>
      <c r="D214" s="159" t="n"/>
      <c r="E214" s="159" t="n"/>
      <c r="F214" s="159" t="n"/>
      <c r="G214" s="159" t="n"/>
      <c r="H214" s="159" t="n"/>
      <c r="I214" s="159" t="n"/>
      <c r="J214" s="159" t="n"/>
      <c r="K214" s="159" t="n"/>
    </row>
    <row r="215" ht="15.75" customHeight="1" s="297">
      <c r="A215" s="168" t="n"/>
      <c r="B215" s="159" t="n"/>
      <c r="C215" s="159" t="n"/>
      <c r="D215" s="159" t="n"/>
      <c r="E215" s="159" t="n"/>
      <c r="F215" s="159" t="n"/>
      <c r="G215" s="159" t="n"/>
      <c r="H215" s="159" t="n"/>
      <c r="I215" s="159" t="n"/>
      <c r="J215" s="159" t="n"/>
      <c r="K215" s="159" t="n"/>
    </row>
    <row r="216" ht="15.75" customHeight="1" s="297">
      <c r="A216" s="168" t="n"/>
      <c r="B216" s="159" t="n"/>
      <c r="C216" s="159" t="n"/>
      <c r="D216" s="159" t="n"/>
      <c r="E216" s="159" t="n"/>
      <c r="F216" s="159" t="n"/>
      <c r="G216" s="159" t="n"/>
      <c r="H216" s="159" t="n"/>
      <c r="I216" s="159" t="n"/>
      <c r="J216" s="159" t="n"/>
      <c r="K216" s="159" t="n"/>
    </row>
    <row r="217" ht="15.75" customHeight="1" s="297">
      <c r="A217" s="168" t="n"/>
      <c r="B217" s="159" t="n"/>
      <c r="C217" s="159" t="n"/>
      <c r="D217" s="159" t="n"/>
      <c r="E217" s="159" t="n"/>
      <c r="F217" s="159" t="n"/>
      <c r="G217" s="159" t="n"/>
      <c r="H217" s="159" t="n"/>
      <c r="I217" s="159" t="n"/>
      <c r="J217" s="159" t="n"/>
      <c r="K217" s="159" t="n"/>
    </row>
    <row r="218" ht="15.75" customHeight="1" s="297">
      <c r="A218" s="168" t="n"/>
      <c r="B218" s="159" t="n"/>
      <c r="C218" s="159" t="n"/>
      <c r="D218" s="159" t="n"/>
      <c r="E218" s="159" t="n"/>
      <c r="F218" s="159" t="n"/>
      <c r="G218" s="159" t="n"/>
      <c r="H218" s="159" t="n"/>
      <c r="I218" s="159" t="n"/>
      <c r="J218" s="159" t="n"/>
      <c r="K218" s="159" t="n"/>
    </row>
    <row r="219" ht="15.75" customHeight="1" s="297">
      <c r="A219" s="168" t="n"/>
      <c r="B219" s="159" t="n"/>
      <c r="C219" s="159" t="n"/>
      <c r="D219" s="159" t="n"/>
      <c r="E219" s="159" t="n"/>
      <c r="F219" s="159" t="n"/>
      <c r="G219" s="159" t="n"/>
      <c r="H219" s="159" t="n"/>
      <c r="I219" s="159" t="n"/>
      <c r="J219" s="159" t="n"/>
      <c r="K219" s="159" t="n"/>
    </row>
    <row r="220" ht="15.75" customHeight="1" s="297">
      <c r="A220" s="168" t="n"/>
      <c r="B220" s="159" t="n"/>
      <c r="C220" s="159" t="n"/>
      <c r="D220" s="159" t="n"/>
      <c r="E220" s="159" t="n"/>
      <c r="F220" s="159" t="n"/>
      <c r="G220" s="159" t="n"/>
      <c r="H220" s="159" t="n"/>
      <c r="I220" s="159" t="n"/>
      <c r="J220" s="159" t="n"/>
      <c r="K220" s="159" t="n"/>
    </row>
    <row r="221" ht="15.75" customHeight="1" s="297">
      <c r="A221" s="168" t="n"/>
      <c r="B221" s="159" t="n"/>
      <c r="C221" s="159" t="n"/>
      <c r="D221" s="159" t="n"/>
      <c r="E221" s="159" t="n"/>
      <c r="F221" s="159" t="n"/>
      <c r="G221" s="159" t="n"/>
      <c r="H221" s="159" t="n"/>
      <c r="I221" s="159" t="n"/>
      <c r="J221" s="159" t="n"/>
      <c r="K221" s="159" t="n"/>
    </row>
    <row r="222" ht="15.75" customHeight="1" s="297">
      <c r="A222" s="168" t="n"/>
      <c r="B222" s="159" t="n"/>
      <c r="C222" s="159" t="n"/>
      <c r="D222" s="159" t="n"/>
      <c r="E222" s="159" t="n"/>
      <c r="F222" s="159" t="n"/>
      <c r="G222" s="159" t="n"/>
      <c r="H222" s="159" t="n"/>
      <c r="I222" s="159" t="n"/>
      <c r="J222" s="159" t="n"/>
      <c r="K222" s="159" t="n"/>
    </row>
    <row r="223" ht="15.75" customHeight="1" s="297">
      <c r="A223" s="168" t="n"/>
      <c r="B223" s="159" t="n"/>
      <c r="C223" s="159" t="n"/>
      <c r="D223" s="159" t="n"/>
      <c r="E223" s="159" t="n"/>
      <c r="F223" s="159" t="n"/>
      <c r="G223" s="159" t="n"/>
      <c r="H223" s="159" t="n"/>
      <c r="I223" s="159" t="n"/>
      <c r="J223" s="159" t="n"/>
      <c r="K223" s="159" t="n"/>
    </row>
    <row r="224" ht="15.75" customHeight="1" s="297">
      <c r="A224" s="168" t="n"/>
      <c r="B224" s="159" t="n"/>
      <c r="C224" s="159" t="n"/>
      <c r="D224" s="159" t="n"/>
      <c r="E224" s="159" t="n"/>
      <c r="F224" s="159" t="n"/>
      <c r="G224" s="159" t="n"/>
      <c r="H224" s="159" t="n"/>
      <c r="I224" s="159" t="n"/>
      <c r="J224" s="159" t="n"/>
      <c r="K224" s="159" t="n"/>
    </row>
    <row r="225" ht="15.75" customHeight="1" s="297">
      <c r="A225" s="168" t="n"/>
      <c r="B225" s="159" t="n"/>
      <c r="C225" s="159" t="n"/>
      <c r="D225" s="159" t="n"/>
      <c r="E225" s="159" t="n"/>
      <c r="F225" s="159" t="n"/>
      <c r="G225" s="159" t="n"/>
      <c r="H225" s="159" t="n"/>
      <c r="I225" s="159" t="n"/>
      <c r="J225" s="159" t="n"/>
      <c r="K225" s="159" t="n"/>
    </row>
    <row r="226" ht="15.75" customHeight="1" s="297">
      <c r="A226" s="168" t="n"/>
      <c r="B226" s="159" t="n"/>
      <c r="C226" s="159" t="n"/>
      <c r="D226" s="159" t="n"/>
      <c r="E226" s="159" t="n"/>
      <c r="F226" s="159" t="n"/>
      <c r="G226" s="159" t="n"/>
      <c r="H226" s="159" t="n"/>
      <c r="I226" s="159" t="n"/>
      <c r="J226" s="159" t="n"/>
      <c r="K226" s="159" t="n"/>
    </row>
    <row r="227" ht="15.75" customHeight="1" s="297">
      <c r="A227" s="168" t="n"/>
      <c r="B227" s="159" t="n"/>
      <c r="C227" s="159" t="n"/>
      <c r="D227" s="159" t="n"/>
      <c r="E227" s="159" t="n"/>
      <c r="F227" s="159" t="n"/>
      <c r="G227" s="159" t="n"/>
      <c r="H227" s="159" t="n"/>
      <c r="I227" s="159" t="n"/>
      <c r="J227" s="159" t="n"/>
      <c r="K227" s="159" t="n"/>
    </row>
    <row r="228" ht="15.75" customHeight="1" s="297">
      <c r="A228" s="168" t="n"/>
      <c r="B228" s="159" t="n"/>
      <c r="C228" s="159" t="n"/>
      <c r="D228" s="159" t="n"/>
      <c r="E228" s="159" t="n"/>
      <c r="F228" s="159" t="n"/>
      <c r="G228" s="159" t="n"/>
      <c r="H228" s="159" t="n"/>
      <c r="I228" s="159" t="n"/>
      <c r="J228" s="159" t="n"/>
      <c r="K228" s="159" t="n"/>
    </row>
    <row r="229" ht="15.75" customHeight="1" s="297">
      <c r="A229" s="168" t="n"/>
      <c r="B229" s="159" t="n"/>
      <c r="C229" s="159" t="n"/>
      <c r="D229" s="159" t="n"/>
      <c r="E229" s="159" t="n"/>
      <c r="F229" s="159" t="n"/>
      <c r="G229" s="159" t="n"/>
      <c r="H229" s="159" t="n"/>
      <c r="I229" s="159" t="n"/>
      <c r="J229" s="159" t="n"/>
      <c r="K229" s="159" t="n"/>
    </row>
    <row r="230" ht="15.75" customHeight="1" s="297">
      <c r="A230" s="168" t="n"/>
      <c r="B230" s="159" t="n"/>
      <c r="C230" s="159" t="n"/>
      <c r="D230" s="159" t="n"/>
      <c r="E230" s="159" t="n"/>
      <c r="F230" s="159" t="n"/>
      <c r="G230" s="159" t="n"/>
      <c r="H230" s="159" t="n"/>
      <c r="I230" s="159" t="n"/>
      <c r="J230" s="159" t="n"/>
      <c r="K230" s="159" t="n"/>
    </row>
    <row r="231" ht="15.75" customHeight="1" s="297"/>
    <row r="232" ht="15.75" customHeight="1" s="297"/>
    <row r="233" ht="15.75" customHeight="1" s="297"/>
    <row r="234" ht="15.75" customHeight="1" s="297"/>
    <row r="235" ht="15.75" customHeight="1" s="297"/>
    <row r="236" ht="15.75" customHeight="1" s="297"/>
    <row r="237" ht="15.75" customHeight="1" s="297"/>
    <row r="238" ht="15.75" customHeight="1" s="297"/>
    <row r="239" ht="15.75" customHeight="1" s="297"/>
    <row r="240" ht="15.75" customHeight="1" s="297"/>
    <row r="241" ht="15.75" customHeight="1" s="297"/>
    <row r="242" ht="15.75" customHeight="1" s="297"/>
    <row r="243" ht="15.75" customHeight="1" s="297"/>
    <row r="244" ht="15.75" customHeight="1" s="297"/>
    <row r="245" ht="15.75" customHeight="1" s="297"/>
    <row r="246" ht="15.75" customHeight="1" s="297"/>
    <row r="247" ht="15.75" customHeight="1" s="297"/>
    <row r="248" ht="15.75" customHeight="1" s="297"/>
    <row r="249" ht="15.75" customHeight="1" s="297"/>
    <row r="250" ht="15.75" customHeight="1" s="297"/>
    <row r="251" ht="15.75" customHeight="1" s="297"/>
    <row r="252" ht="15.75" customHeight="1" s="297"/>
    <row r="253" ht="15.75" customHeight="1" s="297"/>
    <row r="254" ht="15.75" customHeight="1" s="297"/>
    <row r="255" ht="15.75" customHeight="1" s="297"/>
    <row r="256" ht="15.75" customHeight="1" s="297"/>
    <row r="257" ht="15.75" customHeight="1" s="297"/>
    <row r="258" ht="15.75" customHeight="1" s="297"/>
    <row r="259" ht="15.75" customHeight="1" s="297"/>
    <row r="260" ht="15.75" customHeight="1" s="297"/>
    <row r="261" ht="15.75" customHeight="1" s="297"/>
    <row r="262" ht="15.75" customHeight="1" s="297"/>
    <row r="263" ht="15.75" customHeight="1" s="297"/>
    <row r="264" ht="15.75" customHeight="1" s="297"/>
    <row r="265" ht="15.75" customHeight="1" s="297"/>
    <row r="266" ht="15.75" customHeight="1" s="297"/>
    <row r="267" ht="15.75" customHeight="1" s="297"/>
    <row r="268" ht="15.75" customHeight="1" s="297"/>
    <row r="269" ht="15.75" customHeight="1" s="297"/>
    <row r="270" ht="15.75" customHeight="1" s="297"/>
    <row r="271" ht="15.75" customHeight="1" s="297"/>
    <row r="272" ht="15.75" customHeight="1" s="297"/>
    <row r="273" ht="15.75" customHeight="1" s="297"/>
    <row r="274" ht="15.75" customHeight="1" s="297"/>
    <row r="275" ht="15.75" customHeight="1" s="297"/>
    <row r="276" ht="15.75" customHeight="1" s="297"/>
    <row r="277" ht="15.75" customHeight="1" s="297"/>
    <row r="278" ht="15.75" customHeight="1" s="297"/>
    <row r="279" ht="15.75" customHeight="1" s="297"/>
    <row r="280" ht="15.75" customHeight="1" s="297"/>
    <row r="281" ht="15.75" customHeight="1" s="297"/>
    <row r="282" ht="15.75" customHeight="1" s="297"/>
    <row r="283" ht="15.75" customHeight="1" s="297"/>
    <row r="284" ht="15.75" customHeight="1" s="297"/>
    <row r="285" ht="15.75" customHeight="1" s="297"/>
    <row r="286" ht="15.75" customHeight="1" s="297"/>
    <row r="287" ht="15.75" customHeight="1" s="297"/>
    <row r="288" ht="15.75" customHeight="1" s="297"/>
    <row r="289" ht="15.75" customHeight="1" s="297"/>
    <row r="290" ht="15.75" customHeight="1" s="297"/>
    <row r="291" ht="15.75" customHeight="1" s="297"/>
    <row r="292" ht="15.75" customHeight="1" s="297"/>
    <row r="293" ht="15.75" customHeight="1" s="297"/>
    <row r="294" ht="15.75" customHeight="1" s="297"/>
    <row r="295" ht="15.75" customHeight="1" s="297"/>
    <row r="296" ht="15.75" customHeight="1" s="297"/>
    <row r="297" ht="15.75" customHeight="1" s="297"/>
    <row r="298" ht="15.75" customHeight="1" s="297"/>
    <row r="299" ht="15.75" customHeight="1" s="297"/>
    <row r="300" ht="15.75" customHeight="1" s="297"/>
    <row r="301" ht="15.75" customHeight="1" s="297"/>
    <row r="302" ht="15.75" customHeight="1" s="297"/>
    <row r="303" ht="15.75" customHeight="1" s="297"/>
    <row r="304" ht="15.75" customHeight="1" s="297"/>
    <row r="305" ht="15.75" customHeight="1" s="297"/>
    <row r="306" ht="15.75" customHeight="1" s="297"/>
    <row r="307" ht="15.75" customHeight="1" s="297"/>
    <row r="308" ht="15.75" customHeight="1" s="297"/>
    <row r="309" ht="15.75" customHeight="1" s="297"/>
    <row r="310" ht="15.75" customHeight="1" s="297"/>
    <row r="311" ht="15.75" customHeight="1" s="297"/>
    <row r="312" ht="15.75" customHeight="1" s="297"/>
    <row r="313" ht="15.75" customHeight="1" s="297"/>
    <row r="314" ht="15.75" customHeight="1" s="297"/>
    <row r="315" ht="15.75" customHeight="1" s="297"/>
    <row r="316" ht="15.75" customHeight="1" s="297"/>
    <row r="317" ht="15.75" customHeight="1" s="297"/>
    <row r="318" ht="15.75" customHeight="1" s="297"/>
    <row r="319" ht="15.75" customHeight="1" s="297"/>
    <row r="320" ht="15.75" customHeight="1" s="297"/>
    <row r="321" ht="15.75" customHeight="1" s="297"/>
    <row r="322" ht="15.75" customHeight="1" s="297"/>
    <row r="323" ht="15.75" customHeight="1" s="297"/>
    <row r="324" ht="15.75" customHeight="1" s="297"/>
    <row r="325" ht="15.75" customHeight="1" s="297"/>
    <row r="326" ht="15.75" customHeight="1" s="297"/>
    <row r="327" ht="15.75" customHeight="1" s="297"/>
    <row r="328" ht="15.75" customHeight="1" s="297"/>
    <row r="329" ht="15.75" customHeight="1" s="297"/>
    <row r="330" ht="15.75" customHeight="1" s="297"/>
    <row r="331" ht="15.75" customHeight="1" s="297"/>
    <row r="332" ht="15.75" customHeight="1" s="297"/>
    <row r="333" ht="15.75" customHeight="1" s="297"/>
    <row r="334" ht="15.75" customHeight="1" s="297"/>
    <row r="335" ht="15.75" customHeight="1" s="297"/>
    <row r="336" ht="15.75" customHeight="1" s="297"/>
    <row r="337" ht="15.75" customHeight="1" s="297"/>
    <row r="338" ht="15.75" customHeight="1" s="297"/>
    <row r="339" ht="15.75" customHeight="1" s="297"/>
    <row r="340" ht="15.75" customHeight="1" s="297"/>
    <row r="341" ht="15.75" customHeight="1" s="297"/>
    <row r="342" ht="15.75" customHeight="1" s="297"/>
    <row r="343" ht="15.75" customHeight="1" s="297"/>
    <row r="344" ht="15.75" customHeight="1" s="297"/>
    <row r="345" ht="15.75" customHeight="1" s="297"/>
    <row r="346" ht="15.75" customHeight="1" s="297"/>
    <row r="347" ht="15.75" customHeight="1" s="297"/>
    <row r="348" ht="15.75" customHeight="1" s="297"/>
    <row r="349" ht="15.75" customHeight="1" s="297"/>
    <row r="350" ht="15.75" customHeight="1" s="297"/>
    <row r="351" ht="15.75" customHeight="1" s="297"/>
    <row r="352" ht="15.75" customHeight="1" s="297"/>
    <row r="353" ht="15.75" customHeight="1" s="297"/>
    <row r="354" ht="15.75" customHeight="1" s="297"/>
    <row r="355" ht="15.75" customHeight="1" s="297"/>
    <row r="356" ht="15.75" customHeight="1" s="297"/>
    <row r="357" ht="15.75" customHeight="1" s="297"/>
    <row r="358" ht="15.75" customHeight="1" s="297"/>
    <row r="359" ht="15.75" customHeight="1" s="297"/>
    <row r="360" ht="15.75" customHeight="1" s="297"/>
    <row r="361" ht="15.75" customHeight="1" s="297"/>
    <row r="362" ht="15.75" customHeight="1" s="297"/>
    <row r="363" ht="15.75" customHeight="1" s="297"/>
    <row r="364" ht="15.75" customHeight="1" s="297"/>
    <row r="365" ht="15.75" customHeight="1" s="297"/>
    <row r="366" ht="15.75" customHeight="1" s="297"/>
    <row r="367" ht="15.75" customHeight="1" s="297"/>
    <row r="368" ht="15.75" customHeight="1" s="297"/>
    <row r="369" ht="15.75" customHeight="1" s="297"/>
    <row r="370" ht="15.75" customHeight="1" s="297"/>
    <row r="371" ht="15.75" customHeight="1" s="297"/>
    <row r="372" ht="15.75" customHeight="1" s="297"/>
    <row r="373" ht="15.75" customHeight="1" s="297"/>
    <row r="374" ht="15.75" customHeight="1" s="297"/>
    <row r="375" ht="15.75" customHeight="1" s="297"/>
    <row r="376" ht="15.75" customHeight="1" s="297"/>
    <row r="377" ht="15.75" customHeight="1" s="297"/>
    <row r="378" ht="15.75" customHeight="1" s="297"/>
    <row r="379" ht="15.75" customHeight="1" s="297"/>
    <row r="380" ht="15.75" customHeight="1" s="297"/>
    <row r="381" ht="15.75" customHeight="1" s="297"/>
    <row r="382" ht="15.75" customHeight="1" s="297"/>
    <row r="383" ht="15.75" customHeight="1" s="297"/>
    <row r="384" ht="15.75" customHeight="1" s="297"/>
    <row r="385" ht="15.75" customHeight="1" s="297"/>
    <row r="386" ht="15.75" customHeight="1" s="297"/>
    <row r="387" ht="15.75" customHeight="1" s="297"/>
    <row r="388" ht="15.75" customHeight="1" s="297"/>
    <row r="389" ht="15.75" customHeight="1" s="297"/>
    <row r="390" ht="15.75" customHeight="1" s="297"/>
    <row r="391" ht="15.75" customHeight="1" s="297"/>
    <row r="392" ht="15.75" customHeight="1" s="297"/>
    <row r="393" ht="15.75" customHeight="1" s="297"/>
    <row r="394" ht="15.75" customHeight="1" s="297"/>
    <row r="395" ht="15.75" customHeight="1" s="297"/>
    <row r="396" ht="15.75" customHeight="1" s="297"/>
    <row r="397" ht="15.75" customHeight="1" s="297"/>
    <row r="398" ht="15.75" customHeight="1" s="297"/>
    <row r="399" ht="15.75" customHeight="1" s="297"/>
    <row r="400" ht="15.75" customHeight="1" s="297"/>
    <row r="401" ht="15.75" customHeight="1" s="297"/>
    <row r="402" ht="15.75" customHeight="1" s="297"/>
    <row r="403" ht="15.75" customHeight="1" s="297"/>
    <row r="404" ht="15.75" customHeight="1" s="297"/>
    <row r="405" ht="15.75" customHeight="1" s="297"/>
    <row r="406" ht="15.75" customHeight="1" s="297"/>
    <row r="407" ht="15.75" customHeight="1" s="297"/>
    <row r="408" ht="15.75" customHeight="1" s="297"/>
    <row r="409" ht="15.75" customHeight="1" s="297"/>
    <row r="410" ht="15.75" customHeight="1" s="297"/>
    <row r="411" ht="15.75" customHeight="1" s="297"/>
    <row r="412" ht="15.75" customHeight="1" s="297"/>
    <row r="413" ht="15.75" customHeight="1" s="297"/>
    <row r="414" ht="15.75" customHeight="1" s="297"/>
    <row r="415" ht="15.75" customHeight="1" s="297"/>
    <row r="416" ht="15.75" customHeight="1" s="297"/>
    <row r="417" ht="15.75" customHeight="1" s="297"/>
    <row r="418" ht="15.75" customHeight="1" s="297"/>
    <row r="419" ht="15.75" customHeight="1" s="297"/>
    <row r="420" ht="15.75" customHeight="1" s="297"/>
    <row r="421" ht="15.75" customHeight="1" s="297"/>
    <row r="422" ht="15.75" customHeight="1" s="297"/>
    <row r="423" ht="15.75" customHeight="1" s="297"/>
    <row r="424" ht="15.75" customHeight="1" s="297"/>
    <row r="425" ht="15.75" customHeight="1" s="297"/>
    <row r="426" ht="15.75" customHeight="1" s="297"/>
    <row r="427" ht="15.75" customHeight="1" s="297"/>
    <row r="428" ht="15.75" customHeight="1" s="297"/>
    <row r="429" ht="15.75" customHeight="1" s="297"/>
    <row r="430" ht="15.75" customHeight="1" s="297"/>
    <row r="431" ht="15.75" customHeight="1" s="297"/>
    <row r="432" ht="15.75" customHeight="1" s="297"/>
    <row r="433" ht="15.75" customHeight="1" s="297"/>
    <row r="434" ht="15.75" customHeight="1" s="297"/>
    <row r="435" ht="15.75" customHeight="1" s="297"/>
    <row r="436" ht="15.75" customHeight="1" s="297"/>
    <row r="437" ht="15.75" customHeight="1" s="297"/>
    <row r="438" ht="15.75" customHeight="1" s="297"/>
    <row r="439" ht="15.75" customHeight="1" s="297"/>
    <row r="440" ht="15.75" customHeight="1" s="297"/>
    <row r="441" ht="15.75" customHeight="1" s="297"/>
    <row r="442" ht="15.75" customHeight="1" s="297"/>
    <row r="443" ht="15.75" customHeight="1" s="297"/>
    <row r="444" ht="15.75" customHeight="1" s="297"/>
    <row r="445" ht="15.75" customHeight="1" s="297"/>
    <row r="446" ht="15.75" customHeight="1" s="297"/>
    <row r="447" ht="15.75" customHeight="1" s="297"/>
    <row r="448" ht="15.75" customHeight="1" s="297"/>
    <row r="449" ht="15.75" customHeight="1" s="297"/>
    <row r="450" ht="15.75" customHeight="1" s="297"/>
    <row r="451" ht="15.75" customHeight="1" s="297"/>
    <row r="452" ht="15.75" customHeight="1" s="297"/>
    <row r="453" ht="15.75" customHeight="1" s="297"/>
    <row r="454" ht="15.75" customHeight="1" s="297"/>
    <row r="455" ht="15.75" customHeight="1" s="297"/>
    <row r="456" ht="15.75" customHeight="1" s="297"/>
    <row r="457" ht="15.75" customHeight="1" s="297"/>
    <row r="458" ht="15.75" customHeight="1" s="297"/>
    <row r="459" ht="15.75" customHeight="1" s="297"/>
    <row r="460" ht="15.75" customHeight="1" s="297"/>
    <row r="461" ht="15.75" customHeight="1" s="297"/>
    <row r="462" ht="15.75" customHeight="1" s="297"/>
    <row r="463" ht="15.75" customHeight="1" s="297"/>
    <row r="464" ht="15.75" customHeight="1" s="297"/>
    <row r="465" ht="15.75" customHeight="1" s="297"/>
    <row r="466" ht="15.75" customHeight="1" s="297"/>
    <row r="467" ht="15.75" customHeight="1" s="297"/>
    <row r="468" ht="15.75" customHeight="1" s="297"/>
    <row r="469" ht="15.75" customHeight="1" s="297"/>
    <row r="470" ht="15.75" customHeight="1" s="297"/>
    <row r="471" ht="15.75" customHeight="1" s="297"/>
    <row r="472" ht="15.75" customHeight="1" s="297"/>
    <row r="473" ht="15.75" customHeight="1" s="297"/>
    <row r="474" ht="15.75" customHeight="1" s="297"/>
    <row r="475" ht="15.75" customHeight="1" s="297"/>
    <row r="476" ht="15.75" customHeight="1" s="297"/>
    <row r="477" ht="15.75" customHeight="1" s="297"/>
    <row r="478" ht="15.75" customHeight="1" s="297"/>
    <row r="479" ht="15.75" customHeight="1" s="297"/>
    <row r="480" ht="15.75" customHeight="1" s="297"/>
    <row r="481" ht="15.75" customHeight="1" s="297"/>
    <row r="482" ht="15.75" customHeight="1" s="297"/>
    <row r="483" ht="15.75" customHeight="1" s="297"/>
    <row r="484" ht="15.75" customHeight="1" s="297"/>
    <row r="485" ht="15.75" customHeight="1" s="297"/>
    <row r="486" ht="15.75" customHeight="1" s="297"/>
    <row r="487" ht="15.75" customHeight="1" s="297"/>
    <row r="488" ht="15.75" customHeight="1" s="297"/>
    <row r="489" ht="15.75" customHeight="1" s="297"/>
    <row r="490" ht="15.75" customHeight="1" s="297"/>
    <row r="491" ht="15.75" customHeight="1" s="297"/>
    <row r="492" ht="15.75" customHeight="1" s="297"/>
    <row r="493" ht="15.75" customHeight="1" s="297"/>
    <row r="494" ht="15.75" customHeight="1" s="297"/>
    <row r="495" ht="15.75" customHeight="1" s="297"/>
    <row r="496" ht="15.75" customHeight="1" s="297"/>
    <row r="497" ht="15.75" customHeight="1" s="297"/>
    <row r="498" ht="15.75" customHeight="1" s="297"/>
    <row r="499" ht="15.75" customHeight="1" s="297"/>
    <row r="500" ht="15.75" customHeight="1" s="297"/>
    <row r="501" ht="15.75" customHeight="1" s="297"/>
    <row r="502" ht="15.75" customHeight="1" s="297"/>
    <row r="503" ht="15.75" customHeight="1" s="297"/>
    <row r="504" ht="15.75" customHeight="1" s="297"/>
    <row r="505" ht="15.75" customHeight="1" s="297"/>
    <row r="506" ht="15.75" customHeight="1" s="297"/>
    <row r="507" ht="15.75" customHeight="1" s="297"/>
    <row r="508" ht="15.75" customHeight="1" s="297"/>
    <row r="509" ht="15.75" customHeight="1" s="297"/>
    <row r="510" ht="15.75" customHeight="1" s="297"/>
    <row r="511" ht="15.75" customHeight="1" s="297"/>
    <row r="512" ht="15.75" customHeight="1" s="297"/>
    <row r="513" ht="15.75" customHeight="1" s="297"/>
    <row r="514" ht="15.75" customHeight="1" s="297"/>
    <row r="515" ht="15.75" customHeight="1" s="297"/>
    <row r="516" ht="15.75" customHeight="1" s="297"/>
    <row r="517" ht="15.75" customHeight="1" s="297"/>
    <row r="518" ht="15.75" customHeight="1" s="297"/>
    <row r="519" ht="15.75" customHeight="1" s="297"/>
    <row r="520" ht="15.75" customHeight="1" s="297"/>
    <row r="521" ht="15.75" customHeight="1" s="297"/>
    <row r="522" ht="15.75" customHeight="1" s="297"/>
    <row r="523" ht="15.75" customHeight="1" s="297"/>
    <row r="524" ht="15.75" customHeight="1" s="297"/>
    <row r="525" ht="15.75" customHeight="1" s="297"/>
    <row r="526" ht="15.75" customHeight="1" s="297"/>
    <row r="527" ht="15.75" customHeight="1" s="297"/>
    <row r="528" ht="15.75" customHeight="1" s="297"/>
    <row r="529" ht="15.75" customHeight="1" s="297"/>
    <row r="530" ht="15.75" customHeight="1" s="297"/>
    <row r="531" ht="15.75" customHeight="1" s="297"/>
    <row r="532" ht="15.75" customHeight="1" s="297"/>
    <row r="533" ht="15.75" customHeight="1" s="297"/>
    <row r="534" ht="15.75" customHeight="1" s="297"/>
    <row r="535" ht="15.75" customHeight="1" s="297"/>
    <row r="536" ht="15.75" customHeight="1" s="297"/>
    <row r="537" ht="15.75" customHeight="1" s="297"/>
    <row r="538" ht="15.75" customHeight="1" s="297"/>
    <row r="539" ht="15.75" customHeight="1" s="297"/>
    <row r="540" ht="15.75" customHeight="1" s="297"/>
    <row r="541" ht="15.75" customHeight="1" s="297"/>
    <row r="542" ht="15.75" customHeight="1" s="297"/>
    <row r="543" ht="15.75" customHeight="1" s="297"/>
    <row r="544" ht="15.75" customHeight="1" s="297"/>
    <row r="545" ht="15.75" customHeight="1" s="297"/>
    <row r="546" ht="15.75" customHeight="1" s="297"/>
    <row r="547" ht="15.75" customHeight="1" s="297"/>
    <row r="548" ht="15.75" customHeight="1" s="297"/>
    <row r="549" ht="15.75" customHeight="1" s="297"/>
    <row r="550" ht="15.75" customHeight="1" s="297"/>
    <row r="551" ht="15.75" customHeight="1" s="297"/>
    <row r="552" ht="15.75" customHeight="1" s="297"/>
    <row r="553" ht="15.75" customHeight="1" s="297"/>
    <row r="554" ht="15.75" customHeight="1" s="297"/>
    <row r="555" ht="15.75" customHeight="1" s="297"/>
    <row r="556" ht="15.75" customHeight="1" s="297"/>
    <row r="557" ht="15.75" customHeight="1" s="297"/>
    <row r="558" ht="15.75" customHeight="1" s="297"/>
    <row r="559" ht="15.75" customHeight="1" s="297"/>
    <row r="560" ht="15.75" customHeight="1" s="297"/>
    <row r="561" ht="15.75" customHeight="1" s="297"/>
    <row r="562" ht="15.75" customHeight="1" s="297"/>
    <row r="563" ht="15.75" customHeight="1" s="297"/>
    <row r="564" ht="15.75" customHeight="1" s="297"/>
    <row r="565" ht="15.75" customHeight="1" s="297"/>
    <row r="566" ht="15.75" customHeight="1" s="297"/>
    <row r="567" ht="15.75" customHeight="1" s="297"/>
    <row r="568" ht="15.75" customHeight="1" s="297"/>
    <row r="569" ht="15.75" customHeight="1" s="297"/>
    <row r="570" ht="15.75" customHeight="1" s="297"/>
    <row r="571" ht="15.75" customHeight="1" s="297"/>
    <row r="572" ht="15.75" customHeight="1" s="297"/>
    <row r="573" ht="15.75" customHeight="1" s="297"/>
    <row r="574" ht="15.75" customHeight="1" s="297"/>
    <row r="575" ht="15.75" customHeight="1" s="297"/>
    <row r="576" ht="15.75" customHeight="1" s="297"/>
    <row r="577" ht="15.75" customHeight="1" s="297"/>
    <row r="578" ht="15.75" customHeight="1" s="297"/>
    <row r="579" ht="15.75" customHeight="1" s="297"/>
    <row r="580" ht="15.75" customHeight="1" s="297"/>
    <row r="581" ht="15.75" customHeight="1" s="297"/>
    <row r="582" ht="15.75" customHeight="1" s="297"/>
    <row r="583" ht="15.75" customHeight="1" s="297"/>
    <row r="584" ht="15.75" customHeight="1" s="297"/>
    <row r="585" ht="15.75" customHeight="1" s="297"/>
    <row r="586" ht="15.75" customHeight="1" s="297"/>
    <row r="587" ht="15.75" customHeight="1" s="297"/>
    <row r="588" ht="15.75" customHeight="1" s="297"/>
    <row r="589" ht="15.75" customHeight="1" s="297"/>
    <row r="590" ht="15.75" customHeight="1" s="297"/>
    <row r="591" ht="15.75" customHeight="1" s="297"/>
    <row r="592" ht="15.75" customHeight="1" s="297"/>
    <row r="593" ht="15.75" customHeight="1" s="297"/>
    <row r="594" ht="15.75" customHeight="1" s="297"/>
    <row r="595" ht="15.75" customHeight="1" s="297"/>
    <row r="596" ht="15.75" customHeight="1" s="297"/>
    <row r="597" ht="15.75" customHeight="1" s="297"/>
    <row r="598" ht="15.75" customHeight="1" s="297"/>
    <row r="599" ht="15.75" customHeight="1" s="297"/>
    <row r="600" ht="15.75" customHeight="1" s="297"/>
    <row r="601" ht="15.75" customHeight="1" s="297"/>
    <row r="602" ht="15.75" customHeight="1" s="297"/>
    <row r="603" ht="15.75" customHeight="1" s="297"/>
    <row r="604" ht="15.75" customHeight="1" s="297"/>
    <row r="605" ht="15.75" customHeight="1" s="297"/>
    <row r="606" ht="15.75" customHeight="1" s="297"/>
    <row r="607" ht="15.75" customHeight="1" s="297"/>
    <row r="608" ht="15.75" customHeight="1" s="297"/>
    <row r="609" ht="15.75" customHeight="1" s="297"/>
    <row r="610" ht="15.75" customHeight="1" s="297"/>
    <row r="611" ht="15.75" customHeight="1" s="297"/>
    <row r="612" ht="15.75" customHeight="1" s="297"/>
    <row r="613" ht="15.75" customHeight="1" s="297"/>
    <row r="614" ht="15.75" customHeight="1" s="297"/>
    <row r="615" ht="15.75" customHeight="1" s="297"/>
    <row r="616" ht="15.75" customHeight="1" s="297"/>
    <row r="617" ht="15.75" customHeight="1" s="297"/>
    <row r="618" ht="15.75" customHeight="1" s="297"/>
    <row r="619" ht="15.75" customHeight="1" s="297"/>
    <row r="620" ht="15.75" customHeight="1" s="297"/>
    <row r="621" ht="15.75" customHeight="1" s="297"/>
    <row r="622" ht="15.75" customHeight="1" s="297"/>
    <row r="623" ht="15.75" customHeight="1" s="297"/>
    <row r="624" ht="15.75" customHeight="1" s="297"/>
    <row r="625" ht="15.75" customHeight="1" s="297"/>
    <row r="626" ht="15.75" customHeight="1" s="297"/>
    <row r="627" ht="15.75" customHeight="1" s="297"/>
    <row r="628" ht="15.75" customHeight="1" s="297"/>
    <row r="629" ht="15.75" customHeight="1" s="297"/>
    <row r="630" ht="15.75" customHeight="1" s="297"/>
    <row r="631" ht="15.75" customHeight="1" s="297"/>
    <row r="632" ht="15.75" customHeight="1" s="297"/>
    <row r="633" ht="15.75" customHeight="1" s="297"/>
    <row r="634" ht="15.75" customHeight="1" s="297"/>
    <row r="635" ht="15.75" customHeight="1" s="297"/>
    <row r="636" ht="15.75" customHeight="1" s="297"/>
    <row r="637" ht="15.75" customHeight="1" s="297"/>
    <row r="638" ht="15.75" customHeight="1" s="297"/>
    <row r="639" ht="15.75" customHeight="1" s="297"/>
    <row r="640" ht="15.75" customHeight="1" s="297"/>
    <row r="641" ht="15.75" customHeight="1" s="297"/>
    <row r="642" ht="15.75" customHeight="1" s="297"/>
    <row r="643" ht="15.75" customHeight="1" s="297"/>
    <row r="644" ht="15.75" customHeight="1" s="297"/>
    <row r="645" ht="15.75" customHeight="1" s="297"/>
    <row r="646" ht="15.75" customHeight="1" s="297"/>
    <row r="647" ht="15.75" customHeight="1" s="297"/>
    <row r="648" ht="15.75" customHeight="1" s="297"/>
    <row r="649" ht="15.75" customHeight="1" s="297"/>
    <row r="650" ht="15.75" customHeight="1" s="297"/>
    <row r="651" ht="15.75" customHeight="1" s="297"/>
    <row r="652" ht="15.75" customHeight="1" s="297"/>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dataValidations count="1">
    <dataValidation sqref="B2:C30 H2:H30" showDropDown="0" showInputMessage="0" showErrorMessage="0" allowBlank="1" type="list">
      <formula1>#REF!</formula1>
    </dataValidation>
  </dataValidations>
  <hyperlinks>
    <hyperlink ref="A2" location="'TL01'!A1" display="TL01"/>
    <hyperlink ref="A3" location="'TL02'!A1" display="TL02"/>
    <hyperlink ref="A4" location="'TL03'!A1" display="TL03"/>
    <hyperlink ref="A5" location="'TL04'!A1" display="TL04"/>
    <hyperlink ref="A6" location="'TL05'!A1" display="TL05"/>
    <hyperlink ref="A7" location="'TL06'!A1" display="TL06"/>
    <hyperlink ref="A8" location="'TL07'!A1" display="TL07"/>
    <hyperlink ref="A9" location="'TL08'!A1" display="TL08"/>
    <hyperlink ref="A10" location="'TL09'!A1" display="TL09"/>
    <hyperlink ref="A11" location="'TL10'!A1" display="TL10"/>
    <hyperlink ref="A12" location="'TL11'!A1" display="TL11"/>
    <hyperlink ref="A13" location="'TL12'!A1" display="TL12"/>
    <hyperlink ref="A14" location="'TL13'!A1" display="TL13"/>
    <hyperlink ref="A15" location="'TL14'!A1" display="TL14"/>
    <hyperlink ref="A16" location="'TL15'!A1" display="TL15"/>
    <hyperlink ref="A17" location="'TL16'!A1" display="TL16"/>
    <hyperlink ref="A18" location="'TL17'!A1" display="TL17"/>
    <hyperlink ref="A19" location="'TL18'!A1" display="TL18"/>
    <hyperlink ref="A20" location="'TL19'!A1" display="TL19"/>
  </hyperlink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pageSetUpPr fitToPage="1"/>
  </sheetPr>
  <dimension ref="A1:X652"/>
  <sheetViews>
    <sheetView workbookViewId="0">
      <selection activeCell="A1" sqref="A1"/>
    </sheetView>
  </sheetViews>
  <sheetFormatPr baseColWidth="8" defaultColWidth="12.63" defaultRowHeight="15" customHeight="1" outlineLevelRow="1"/>
  <cols>
    <col width="16.88" customWidth="1" style="297" min="1" max="1"/>
    <col width="21.5" customWidth="1" style="297" min="2" max="2"/>
    <col width="41.5" customWidth="1" style="297" min="3" max="3"/>
    <col width="38.38" customWidth="1" style="297" min="4" max="4"/>
    <col width="14.88" customWidth="1" style="297" min="5" max="5"/>
    <col width="11.88" customWidth="1" style="297" min="6" max="6"/>
    <col width="8.630000000000001" customWidth="1" style="297" min="7" max="7"/>
    <col width="11" customWidth="1" style="297" min="8" max="8"/>
    <col width="7.88" customWidth="1" style="297" min="9" max="9"/>
    <col width="7.75" customWidth="1" style="297" min="10" max="10"/>
    <col width="12" customWidth="1" style="297" min="11" max="11"/>
    <col width="14.63" customWidth="1" style="297" min="12" max="12"/>
    <col width="14.38" customWidth="1" style="297" min="13" max="21"/>
    <col width="5.25" customWidth="1" style="297" min="22" max="22"/>
    <col width="14.38" customWidth="1" style="297" min="23" max="24"/>
  </cols>
  <sheetData>
    <row r="1">
      <c r="A1" s="169" t="inlineStr">
        <is>
          <t> </t>
        </is>
      </c>
      <c r="B1" s="170">
        <f>'ÁREA PLANTIO'!B2</f>
        <v/>
      </c>
      <c r="C1" s="171" t="inlineStr">
        <is>
          <t>Custo estimado R$/há</t>
        </is>
      </c>
      <c r="D1" s="172">
        <f>$K$225</f>
        <v/>
      </c>
      <c r="E1" s="173" t="n"/>
      <c r="F1" s="174" t="inlineStr">
        <is>
          <t>ÁREA PLANTIO</t>
        </is>
      </c>
      <c r="G1" s="175" t="n"/>
      <c r="H1" s="176" t="n"/>
      <c r="I1" s="176" t="n"/>
      <c r="J1" s="176" t="n"/>
      <c r="K1" s="175" t="n"/>
      <c r="L1" s="177" t="n"/>
      <c r="M1" s="177" t="n"/>
      <c r="N1" s="177" t="n"/>
      <c r="O1" s="177" t="n"/>
      <c r="P1" s="177" t="n"/>
      <c r="Q1" s="177" t="n"/>
      <c r="R1" s="177" t="n"/>
      <c r="S1" s="177" t="n"/>
      <c r="T1" s="177" t="n"/>
      <c r="U1" s="177" t="n"/>
      <c r="V1" s="177" t="n"/>
      <c r="W1" s="177" t="n"/>
      <c r="X1" s="177" t="n"/>
    </row>
    <row r="2">
      <c r="A2" s="178" t="inlineStr">
        <is>
          <t>Área:</t>
        </is>
      </c>
      <c r="B2" s="179">
        <f>'ÁREA PLANTIO'!E2</f>
        <v/>
      </c>
      <c r="C2" s="180" t="inlineStr">
        <is>
          <t>Produtividade estimada Sc/há</t>
        </is>
      </c>
      <c r="D2" s="181">
        <f>'ÁREA PLANTIO'!D2</f>
        <v/>
      </c>
      <c r="E2" s="173" t="n"/>
      <c r="F2" s="173" t="n"/>
      <c r="G2" s="175" t="n"/>
      <c r="H2" s="176" t="n"/>
      <c r="I2" s="176" t="n"/>
      <c r="J2" s="176" t="n"/>
      <c r="K2" s="175" t="n"/>
      <c r="L2" s="177" t="n"/>
      <c r="M2" s="177" t="n"/>
      <c r="N2" s="177" t="n"/>
      <c r="O2" s="177" t="n"/>
      <c r="P2" s="177" t="n"/>
      <c r="Q2" s="177" t="n"/>
      <c r="R2" s="177" t="n"/>
      <c r="S2" s="177" t="n"/>
      <c r="T2" s="177" t="n"/>
      <c r="U2" s="177" t="n"/>
      <c r="V2" s="177" t="n"/>
      <c r="W2" s="177" t="n"/>
      <c r="X2" s="177" t="n"/>
    </row>
    <row r="3">
      <c r="A3" s="178" t="inlineStr">
        <is>
          <t>Empreedimento:</t>
        </is>
      </c>
      <c r="B3" s="176">
        <f>'ÁREA PLANTIO'!C2</f>
        <v/>
      </c>
      <c r="C3" s="180" t="inlineStr">
        <is>
          <t>Custo estimado por SC</t>
        </is>
      </c>
      <c r="D3" s="182">
        <f>D1/D2</f>
        <v/>
      </c>
      <c r="E3" s="173" t="n"/>
      <c r="F3" s="173" t="n"/>
      <c r="G3" s="175" t="n"/>
      <c r="H3" s="176" t="n"/>
      <c r="I3" s="176" t="n"/>
      <c r="J3" s="176" t="n"/>
      <c r="K3" s="175" t="n"/>
      <c r="L3" s="177" t="n"/>
      <c r="M3" s="177" t="n"/>
      <c r="N3" s="177" t="n"/>
      <c r="O3" s="177" t="n"/>
      <c r="P3" s="177" t="n"/>
      <c r="Q3" s="177" t="n"/>
      <c r="R3" s="177" t="n"/>
      <c r="S3" s="177" t="n"/>
      <c r="T3" s="177" t="n"/>
      <c r="U3" s="177" t="n"/>
      <c r="V3" s="177" t="n"/>
      <c r="W3" s="177" t="n"/>
      <c r="X3" s="177" t="n"/>
    </row>
    <row r="4">
      <c r="A4" s="183" t="inlineStr">
        <is>
          <t>Data de plantio:</t>
        </is>
      </c>
      <c r="B4" s="184" t="n">
        <v>45606</v>
      </c>
      <c r="C4" s="185" t="n"/>
      <c r="D4" s="186" t="n"/>
      <c r="E4" s="187" t="n"/>
      <c r="F4" s="173" t="n"/>
      <c r="G4" s="175" t="n"/>
      <c r="H4" s="176" t="n"/>
      <c r="I4" s="176" t="n"/>
      <c r="J4" s="176" t="n"/>
      <c r="K4" s="175" t="n"/>
      <c r="L4" s="177" t="n"/>
      <c r="M4" s="177" t="n"/>
      <c r="N4" s="177" t="n"/>
      <c r="O4" s="177" t="n"/>
      <c r="P4" s="177" t="n"/>
      <c r="Q4" s="177" t="n"/>
      <c r="R4" s="177" t="n"/>
      <c r="S4" s="177" t="n"/>
      <c r="T4" s="177" t="n"/>
      <c r="U4" s="177" t="n"/>
      <c r="V4" s="177" t="n"/>
      <c r="W4" s="177" t="n"/>
      <c r="X4" s="177" t="n"/>
    </row>
    <row r="5">
      <c r="A5" s="177" t="n"/>
      <c r="B5" s="177" t="n"/>
      <c r="C5" s="177" t="n"/>
      <c r="D5" s="177" t="n"/>
      <c r="E5" s="188" t="n"/>
      <c r="F5" s="173" t="n"/>
      <c r="G5" s="175" t="n"/>
      <c r="H5" s="176" t="n"/>
      <c r="I5" s="176" t="n"/>
      <c r="J5" s="176" t="n"/>
      <c r="K5" s="175" t="n"/>
      <c r="L5" s="177" t="n"/>
      <c r="M5" s="177" t="n"/>
      <c r="N5" s="177" t="n"/>
      <c r="O5" s="177" t="n"/>
      <c r="P5" s="177" t="n"/>
      <c r="Q5" s="177" t="n"/>
      <c r="R5" s="177" t="n"/>
      <c r="S5" s="177" t="n"/>
      <c r="T5" s="177" t="n"/>
      <c r="U5" s="177" t="n"/>
      <c r="V5" s="177" t="n"/>
      <c r="W5" s="177" t="n"/>
      <c r="X5" s="177" t="n"/>
    </row>
    <row r="6">
      <c r="A6" s="178" t="n"/>
      <c r="B6" s="176" t="n"/>
      <c r="C6" s="173" t="n"/>
      <c r="D6" s="173" t="n"/>
      <c r="E6" s="173" t="n"/>
      <c r="F6" s="173" t="n"/>
      <c r="G6" s="175" t="n"/>
      <c r="H6" s="176" t="n"/>
      <c r="I6" s="176" t="n"/>
      <c r="J6" s="176" t="n"/>
      <c r="K6" s="175" t="n"/>
      <c r="L6" s="177" t="n"/>
      <c r="M6" s="189" t="inlineStr">
        <is>
          <t> </t>
        </is>
      </c>
      <c r="N6" s="189" t="inlineStr">
        <is>
          <t> </t>
        </is>
      </c>
      <c r="O6" s="189" t="inlineStr">
        <is>
          <t> </t>
        </is>
      </c>
      <c r="P6" s="189" t="inlineStr">
        <is>
          <t> </t>
        </is>
      </c>
      <c r="Q6" s="189" t="inlineStr">
        <is>
          <t> </t>
        </is>
      </c>
      <c r="R6" s="189" t="inlineStr">
        <is>
          <t> </t>
        </is>
      </c>
      <c r="S6" s="177" t="n"/>
      <c r="T6" s="177" t="n"/>
      <c r="U6" s="177" t="n"/>
      <c r="V6" s="177" t="n"/>
      <c r="W6" s="177" t="n"/>
      <c r="X6" s="177" t="n"/>
    </row>
    <row r="7">
      <c r="A7" s="176" t="n"/>
      <c r="B7" s="176" t="n"/>
      <c r="C7" s="173" t="n"/>
      <c r="D7" s="173" t="n"/>
      <c r="E7" s="173" t="n"/>
      <c r="F7" s="173" t="n"/>
      <c r="G7" s="175" t="n"/>
      <c r="H7" s="176" t="n"/>
      <c r="I7" s="176" t="n"/>
      <c r="J7" s="176" t="n"/>
      <c r="K7" s="175" t="n"/>
      <c r="L7" s="177" t="n"/>
      <c r="M7" s="177" t="n"/>
      <c r="N7" s="177" t="n"/>
      <c r="O7" s="177" t="n"/>
      <c r="P7" s="177" t="n"/>
      <c r="Q7" s="177" t="n"/>
      <c r="R7" s="177" t="n"/>
      <c r="S7" s="177" t="n"/>
      <c r="T7" s="177" t="n"/>
      <c r="U7" s="177" t="n"/>
      <c r="V7" s="177" t="n"/>
      <c r="W7" s="177" t="n"/>
      <c r="X7" s="177" t="n"/>
    </row>
    <row r="8">
      <c r="A8" s="176" t="n"/>
      <c r="B8" s="176" t="n"/>
      <c r="C8" s="176" t="n"/>
      <c r="D8" s="176" t="n"/>
      <c r="E8" s="173" t="n"/>
      <c r="F8" s="173" t="n"/>
      <c r="G8" s="175" t="n"/>
      <c r="H8" s="176" t="n"/>
      <c r="I8" s="176" t="n"/>
      <c r="J8" s="176" t="n"/>
      <c r="K8" s="175" t="n"/>
      <c r="L8" s="177" t="n"/>
      <c r="M8" s="177" t="n"/>
      <c r="N8" s="177" t="n"/>
      <c r="O8" s="177" t="n"/>
      <c r="P8" s="177" t="n"/>
      <c r="Q8" s="177" t="n"/>
      <c r="R8" s="177" t="n"/>
      <c r="S8" s="177" t="n"/>
      <c r="T8" s="177" t="n"/>
      <c r="U8" s="177" t="n"/>
      <c r="V8" s="177" t="n"/>
      <c r="W8" s="177" t="n"/>
      <c r="X8" s="177" t="n"/>
    </row>
    <row r="9">
      <c r="A9" s="190" t="inlineStr">
        <is>
          <t>DAP da Operação</t>
        </is>
      </c>
      <c r="B9" s="191" t="inlineStr">
        <is>
          <t>Classe</t>
        </is>
      </c>
      <c r="C9" s="191" t="inlineStr">
        <is>
          <t>Produto</t>
        </is>
      </c>
      <c r="D9" s="190" t="inlineStr">
        <is>
          <t>Ingrediente Ativo</t>
        </is>
      </c>
      <c r="E9" s="190" t="inlineStr">
        <is>
          <t>Concentração</t>
        </is>
      </c>
      <c r="F9" s="190" t="inlineStr">
        <is>
          <t>Unidade</t>
        </is>
      </c>
      <c r="G9" s="192" t="inlineStr">
        <is>
          <t>Bula</t>
        </is>
      </c>
      <c r="H9" s="192" t="inlineStr">
        <is>
          <t>Sugestão</t>
        </is>
      </c>
      <c r="I9" s="192" t="inlineStr">
        <is>
          <t>Dose</t>
        </is>
      </c>
      <c r="J9" s="193" t="inlineStr">
        <is>
          <t>Total</t>
        </is>
      </c>
      <c r="K9" s="194" t="inlineStr">
        <is>
          <t>CUSTO/HA</t>
        </is>
      </c>
      <c r="L9" s="195" t="inlineStr">
        <is>
          <t>VALOR TOTAL</t>
        </is>
      </c>
      <c r="M9" s="177" t="n"/>
      <c r="N9" s="177" t="n"/>
      <c r="O9" s="177" t="n"/>
      <c r="P9" s="177" t="n"/>
      <c r="Q9" s="177" t="n"/>
      <c r="R9" s="177" t="n"/>
      <c r="S9" s="177" t="n"/>
      <c r="T9" s="177" t="n"/>
      <c r="U9" s="177" t="n"/>
      <c r="V9" s="177" t="n"/>
      <c r="W9" s="177" t="n"/>
      <c r="X9" s="177" t="n"/>
    </row>
    <row r="10">
      <c r="A10" s="196" t="inlineStr">
        <is>
          <t>OPERAÇÃO 1</t>
        </is>
      </c>
      <c r="B10" s="197" t="n"/>
      <c r="C10" s="196" t="n"/>
      <c r="D10" s="198" t="inlineStr">
        <is>
          <t>-</t>
        </is>
      </c>
      <c r="E10" s="196" t="n"/>
      <c r="F10" s="196" t="n"/>
      <c r="G10" s="199" t="n"/>
      <c r="H10" s="200" t="n"/>
      <c r="I10" s="201" t="n"/>
      <c r="J10" s="202" t="n"/>
      <c r="K10" s="203">
        <f>SUBTOTAL(9,K11:K24)</f>
        <v/>
      </c>
      <c r="L10" s="203">
        <f>SUBTOTAL(9,L11:L24)</f>
        <v/>
      </c>
      <c r="M10" s="177" t="n"/>
      <c r="N10" s="177" t="n"/>
      <c r="O10" s="177" t="n"/>
      <c r="P10" s="177" t="n"/>
      <c r="Q10" s="177" t="n"/>
      <c r="R10" s="177" t="n"/>
      <c r="S10" s="177" t="n"/>
      <c r="T10" s="177" t="n"/>
      <c r="U10" s="177" t="n"/>
      <c r="V10" s="177" t="n"/>
      <c r="W10" s="177" t="n"/>
      <c r="X10" s="177" t="n"/>
    </row>
    <row r="11" outlineLevel="1" s="297">
      <c r="A11" s="191" t="n"/>
      <c r="B11" s="204" t="inlineStr">
        <is>
          <t>CORRETIVOS</t>
        </is>
      </c>
      <c r="C11" s="191" t="inlineStr">
        <is>
          <t>CALCÁRIO DOLOMITICO</t>
        </is>
      </c>
      <c r="D11" s="205">
        <f>IFERROR(VLOOKUP($C11,'PORTIFÓLIO'!C:V,2,0),"")</f>
        <v/>
      </c>
      <c r="E11" s="190">
        <f>IFERROR(VLOOKUP($C11,'PORTIFÓLIO'!C:V,3,0),"")</f>
        <v/>
      </c>
      <c r="F11" s="190">
        <f>IFERROR(VLOOKUP($C11,'PORTIFÓLIO'!C:V,4,0),"")</f>
        <v/>
      </c>
      <c r="G11" s="206">
        <f>IFERROR(VLOOKUP($C11,'PORTIFÓLIO'!C:V,5,0),"")</f>
        <v/>
      </c>
      <c r="H11" s="207">
        <f t="array" ref="H11">IFERROR(INDEX('PORTIFÓLIO'!$H$4:$H$433,MATCH($C11,'PORTIFÓLIO'!$C$4:$C$433,0)),"")</f>
        <v/>
      </c>
      <c r="I11" s="208" t="n">
        <v>3</v>
      </c>
      <c r="J11" s="209">
        <f>I11*$B$2</f>
        <v/>
      </c>
      <c r="K11" s="210">
        <f t="array" ref="K11">IFERROR(I11*INDEX('PORTIFÓLIO'!$S$4:$S$433,MATCH($C11,'PORTIFÓLIO'!$C$4:$C$433,0)),"")</f>
        <v/>
      </c>
      <c r="L11" s="210">
        <f t="array" ref="L11">IFERROR(J11*INDEX('PORTIFÓLIO'!$S$4:$S$433,MATCH($C11,'PORTIFÓLIO'!$C$4:$C$433,0)),"")</f>
        <v/>
      </c>
      <c r="M11" s="177" t="n"/>
      <c r="N11" s="177" t="n"/>
      <c r="O11" s="177" t="n"/>
      <c r="P11" s="177" t="n"/>
      <c r="Q11" s="177" t="n"/>
      <c r="R11" s="177" t="n"/>
      <c r="S11" s="177" t="n"/>
      <c r="T11" s="177" t="n"/>
      <c r="U11" s="177" t="n"/>
      <c r="V11" s="177">
        <f>IFERROR(__xludf.DUMMYFUNCTION("FILTER('PORTIFÓLIO'!C:C, 'PORTIFÓLIO'!B:B=B11)"),"#REF!")</f>
        <v/>
      </c>
      <c r="W11" s="177" t="n"/>
      <c r="X11" s="177" t="n"/>
    </row>
    <row r="12" outlineLevel="1" s="297">
      <c r="A12" s="191" t="n"/>
      <c r="B12" s="204" t="inlineStr">
        <is>
          <t>FERTILIZANTES</t>
        </is>
      </c>
      <c r="C12" s="191" t="inlineStr">
        <is>
          <t>SUPER DUO</t>
        </is>
      </c>
      <c r="D12" s="205">
        <f>IFERROR(VLOOKUP($C12,'PORTIFÓLIO'!C:V,2,0),"")</f>
        <v/>
      </c>
      <c r="E12" s="190">
        <f>IFERROR(VLOOKUP($C12,'PORTIFÓLIO'!C:V,3,0),"")</f>
        <v/>
      </c>
      <c r="F12" s="190">
        <f>IFERROR(VLOOKUP($C12,'PORTIFÓLIO'!C:V,4,0),"")</f>
        <v/>
      </c>
      <c r="G12" s="206">
        <f>IFERROR(VLOOKUP($C12,'PORTIFÓLIO'!C:V,5,0),"")</f>
        <v/>
      </c>
      <c r="H12" s="207">
        <f t="array" ref="H12">IFERROR(INDEX('PORTIFÓLIO'!$H$4:$H$433,MATCH($C12,'PORTIFÓLIO'!$C$4:$C$433,0)),"")</f>
        <v/>
      </c>
      <c r="I12" s="208" t="n">
        <v>0.5</v>
      </c>
      <c r="J12" s="209">
        <f>I12*$B$2</f>
        <v/>
      </c>
      <c r="K12" s="210">
        <f t="array" ref="K12">IFERROR(I12*INDEX('PORTIFÓLIO'!$S$4:$S$433,MATCH($C12,'PORTIFÓLIO'!$C$4:$C$433,0)),"")</f>
        <v/>
      </c>
      <c r="L12" s="210">
        <f t="array" ref="L12">IFERROR(J12*INDEX('PORTIFÓLIO'!$S$4:$S$433,MATCH($C12,'PORTIFÓLIO'!$C$4:$C$433,0)),"")</f>
        <v/>
      </c>
      <c r="M12" s="177" t="n"/>
      <c r="N12" s="177" t="n"/>
      <c r="O12" s="177" t="n"/>
      <c r="P12" s="177" t="n"/>
      <c r="Q12" s="177" t="n"/>
      <c r="R12" s="177" t="n"/>
      <c r="S12" s="177" t="n"/>
      <c r="T12" s="177" t="n"/>
      <c r="U12" s="177" t="n"/>
      <c r="V12" s="177">
        <f>IFERROR(__xludf.DUMMYFUNCTION("FILTER('PORTIFÓLIO'!C:C, 'PORTIFÓLIO'!B:B=B12)"),"#REF!")</f>
        <v/>
      </c>
      <c r="W12" s="177" t="n"/>
      <c r="X12" s="177" t="n"/>
    </row>
    <row r="13" outlineLevel="1" s="297">
      <c r="A13" s="191" t="n"/>
      <c r="B13" s="204" t="inlineStr">
        <is>
          <t>FERTILIZANTES</t>
        </is>
      </c>
      <c r="C13" s="191" t="inlineStr">
        <is>
          <t>KCL 60%</t>
        </is>
      </c>
      <c r="D13" s="205">
        <f>IFERROR(VLOOKUP($C13,'PORTIFÓLIO'!C:V,2,0),"")</f>
        <v/>
      </c>
      <c r="E13" s="190">
        <f>IFERROR(VLOOKUP($C13,'PORTIFÓLIO'!C:V,3,0),"")</f>
        <v/>
      </c>
      <c r="F13" s="190">
        <f>IFERROR(VLOOKUP($C13,'PORTIFÓLIO'!C:V,4,0),"")</f>
        <v/>
      </c>
      <c r="G13" s="206">
        <f>IFERROR(VLOOKUP($C13,'PORTIFÓLIO'!C:V,5,0),"")</f>
        <v/>
      </c>
      <c r="H13" s="207">
        <f t="array" ref="H13">IFERROR(INDEX('PORTIFÓLIO'!$H$4:$H$433,MATCH($C13,'PORTIFÓLIO'!$C$4:$C$433,0)),"")</f>
        <v/>
      </c>
      <c r="I13" s="208" t="n">
        <v>0.2</v>
      </c>
      <c r="J13" s="209">
        <f>I13*$B$2</f>
        <v/>
      </c>
      <c r="K13" s="210">
        <f t="array" ref="K13">IFERROR(I13*INDEX('PORTIFÓLIO'!$S$4:$S$433,MATCH($C13,'PORTIFÓLIO'!$C$4:$C$433,0)),"")</f>
        <v/>
      </c>
      <c r="L13" s="210">
        <f t="array" ref="L13">IFERROR(J13*INDEX('PORTIFÓLIO'!$S$4:$S$433,MATCH($C13,'PORTIFÓLIO'!$C$4:$C$433,0)),"")</f>
        <v/>
      </c>
      <c r="M13" s="177" t="n"/>
      <c r="N13" s="177" t="n"/>
      <c r="O13" s="177" t="n"/>
      <c r="P13" s="177" t="n"/>
      <c r="Q13" s="177" t="n"/>
      <c r="R13" s="177" t="n"/>
      <c r="S13" s="177" t="n"/>
      <c r="T13" s="177" t="n"/>
      <c r="U13" s="177" t="n"/>
      <c r="V13" s="177">
        <f>IFERROR(__xludf.DUMMYFUNCTION("FILTER('PORTIFÓLIO'!C:C, 'PORTIFÓLIO'!B:B=B13)"),"#REF!")</f>
        <v/>
      </c>
      <c r="W13" s="177" t="n"/>
      <c r="X13" s="177" t="n"/>
    </row>
    <row r="14" outlineLevel="1" s="297">
      <c r="A14" s="190" t="n"/>
      <c r="B14" s="204" t="inlineStr">
        <is>
          <t>FERTILIZANTES</t>
        </is>
      </c>
      <c r="C14" s="191" t="inlineStr">
        <is>
          <t xml:space="preserve">00-01-00+Cu2 Mn8 Zn7 </t>
        </is>
      </c>
      <c r="D14" s="205">
        <f>IFERROR(VLOOKUP($C14,'PORTIFÓLIO'!C:V,2,0),"")</f>
        <v/>
      </c>
      <c r="E14" s="190">
        <f>IFERROR(VLOOKUP($C14,'PORTIFÓLIO'!C:V,3,0),"")</f>
        <v/>
      </c>
      <c r="F14" s="190">
        <f>IFERROR(VLOOKUP($C14,'PORTIFÓLIO'!C:V,4,0),"")</f>
        <v/>
      </c>
      <c r="G14" s="206">
        <f>IFERROR(VLOOKUP($C14,'PORTIFÓLIO'!C:V,5,0),"")</f>
        <v/>
      </c>
      <c r="H14" s="207">
        <f t="array" ref="H14">IFERROR(INDEX('PORTIFÓLIO'!$H$4:$H$433,MATCH($C14,'PORTIFÓLIO'!$C$4:$C$433,0)),"")</f>
        <v/>
      </c>
      <c r="I14" s="208" t="n">
        <v>0.05</v>
      </c>
      <c r="J14" s="209">
        <f>I14*$B$2</f>
        <v/>
      </c>
      <c r="K14" s="210">
        <f t="array" ref="K14">IFERROR(I14*INDEX('PORTIFÓLIO'!$S$4:$S$433,MATCH($C14,'PORTIFÓLIO'!$C$4:$C$433,0)),"")</f>
        <v/>
      </c>
      <c r="L14" s="210">
        <f t="array" ref="L14">IFERROR(J14*INDEX('PORTIFÓLIO'!$S$4:$S$433,MATCH($C14,'PORTIFÓLIO'!$C$4:$C$433,0)),"")</f>
        <v/>
      </c>
      <c r="M14" s="177" t="n"/>
      <c r="N14" s="177" t="n"/>
      <c r="O14" s="177" t="n"/>
      <c r="P14" s="177" t="n"/>
      <c r="Q14" s="177" t="n"/>
      <c r="R14" s="177" t="n"/>
      <c r="S14" s="177" t="n"/>
      <c r="T14" s="177" t="n"/>
      <c r="U14" s="177" t="n"/>
      <c r="V14" s="177">
        <f>IFERROR(__xludf.DUMMYFUNCTION("FILTER('PORTIFÓLIO'!C:C, 'PORTIFÓLIO'!B:B=B14)"),"#REF!")</f>
        <v/>
      </c>
      <c r="W14" s="177" t="n"/>
      <c r="X14" s="177"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16">
        <f t="array" ref="H15">IFERROR(INDEX('PORTIFÓLIO'!$H$4:$H$433,MATCH($C15,'PORTIFÓLIO'!$C$4:$C$433,0)),"")</f>
        <v/>
      </c>
      <c r="I15" s="217"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t="n"/>
      <c r="V15" s="220">
        <f>IFERROR(__xludf.DUMMYFUNCTION("FILTER('PORTIFÓLIO'!C:C, 'PORTIFÓLIO'!B:B=B15)"),"#REF!")</f>
        <v/>
      </c>
      <c r="W15" s="220" t="n"/>
      <c r="X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16">
        <f t="array" ref="H16">IFERROR(INDEX('PORTIFÓLIO'!$H$4:$H$433,MATCH($C16,'PORTIFÓLIO'!$C$4:$C$433,0)),"")</f>
        <v/>
      </c>
      <c r="I16" s="217"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t="n"/>
      <c r="V16" s="220">
        <f>IFERROR(__xludf.DUMMYFUNCTION("FILTER('PORTIFÓLIO'!C:C, 'PORTIFÓLIO'!B:B=B16)"),"#REF!")</f>
        <v/>
      </c>
      <c r="W16" s="220" t="n"/>
      <c r="X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16">
        <f t="array" ref="H17">IFERROR(INDEX('PORTIFÓLIO'!$H$4:$H$433,MATCH($C17,'PORTIFÓLIO'!$C$4:$C$433,0)),"")</f>
        <v/>
      </c>
      <c r="I17" s="217"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t="n"/>
      <c r="V17" s="220">
        <f>IFERROR(__xludf.DUMMYFUNCTION("FILTER('PORTIFÓLIO'!C:C, 'PORTIFÓLIO'!B:B=B17)"),"#REF!")</f>
        <v/>
      </c>
      <c r="W17" s="220" t="n"/>
      <c r="X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16">
        <f t="array" ref="H18">IFERROR(INDEX('PORTIFÓLIO'!$H$4:$H$433,MATCH($C18,'PORTIFÓLIO'!$C$4:$C$433,0)),"")</f>
        <v/>
      </c>
      <c r="I18" s="217"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t="n"/>
      <c r="V18" s="220">
        <f>IFERROR(__xludf.DUMMYFUNCTION("FILTER('PORTIFÓLIO'!C:C, 'PORTIFÓLIO'!B:B=B18)"),"#REF!")</f>
        <v/>
      </c>
      <c r="W18" s="220" t="n"/>
      <c r="X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16">
        <f t="array" ref="H19">IFERROR(INDEX('PORTIFÓLIO'!$H$4:$H$433,MATCH($C19,'PORTIFÓLIO'!$C$4:$C$433,0)),"")</f>
        <v/>
      </c>
      <c r="I19" s="217"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t="n"/>
      <c r="V19" s="220">
        <f>IFERROR(__xludf.DUMMYFUNCTION("FILTER('PORTIFÓLIO'!C:C, 'PORTIFÓLIO'!B:B=B19)"),"")</f>
        <v/>
      </c>
      <c r="W19" s="220" t="n"/>
      <c r="X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16">
        <f t="array" ref="H20">IFERROR(INDEX('PORTIFÓLIO'!$H$4:$H$433,MATCH($C20,'PORTIFÓLIO'!$C$4:$C$433,0)),"")</f>
        <v/>
      </c>
      <c r="I20" s="217"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c r="X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16">
        <f t="array" ref="H21">IFERROR(INDEX('PORTIFÓLIO'!$H$4:$H$433,MATCH($C21,'PORTIFÓLIO'!$C$4:$C$433,0)),"")</f>
        <v/>
      </c>
      <c r="I21" s="217"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c r="X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16">
        <f t="array" ref="H22">IFERROR(INDEX('PORTIFÓLIO'!$H$4:$H$433,MATCH($C22,'PORTIFÓLIO'!$C$4:$C$433,0)),"")</f>
        <v/>
      </c>
      <c r="I22" s="217"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c r="X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16">
        <f t="array" ref="H23">IFERROR(INDEX('PORTIFÓLIO'!$H$4:$H$433,MATCH($C23,'PORTIFÓLIO'!$C$4:$C$433,0)),"")</f>
        <v/>
      </c>
      <c r="I23" s="217"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c r="X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16">
        <f t="array" ref="H24">IFERROR(INDEX('PORTIFÓLIO'!$H$4:$H$433,MATCH($C24,'PORTIFÓLIO'!$C$4:$C$433,0)),"")</f>
        <v/>
      </c>
      <c r="I24" s="217"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c r="X24" s="220" t="n"/>
    </row>
    <row r="25" ht="15.75" customHeight="1" s="297">
      <c r="A25" s="221" t="inlineStr">
        <is>
          <t>OPERAÇÃO 2</t>
        </is>
      </c>
      <c r="B25" s="197" t="n"/>
      <c r="C25" s="196" t="n"/>
      <c r="D25" s="198" t="n"/>
      <c r="E25" s="196" t="n"/>
      <c r="F25" s="196" t="n"/>
      <c r="G25" s="199" t="n"/>
      <c r="H25" s="222" t="n"/>
      <c r="I25" s="201" t="n"/>
      <c r="J25" s="202" t="n"/>
      <c r="K25" s="203">
        <f>SUBTOTAL(9,K26:K39)</f>
        <v/>
      </c>
      <c r="L25" s="203">
        <f>SUBTOTAL(9,L26:L39)</f>
        <v/>
      </c>
      <c r="M25" s="177" t="n"/>
      <c r="N25" s="177" t="n"/>
      <c r="O25" s="177" t="n"/>
      <c r="P25" s="177" t="n"/>
      <c r="Q25" s="177" t="n"/>
      <c r="R25" s="177" t="n"/>
      <c r="S25" s="177" t="n"/>
      <c r="T25" s="177" t="n"/>
      <c r="U25" s="177" t="n"/>
      <c r="V25" s="177" t="n"/>
      <c r="W25" s="177" t="n"/>
      <c r="X25" s="177" t="n"/>
    </row>
    <row r="26" outlineLevel="1" ht="15.75" customHeight="1" s="297">
      <c r="A26" s="191" t="n"/>
      <c r="B26" s="204" t="inlineStr">
        <is>
          <t>HERBICIDA</t>
        </is>
      </c>
      <c r="C26" s="191" t="inlineStr">
        <is>
          <t>ROUNDUP WG</t>
        </is>
      </c>
      <c r="D26" s="205">
        <f>IFERROR(VLOOKUP($C26,'PORTIFÓLIO'!C:V,2,0),"")</f>
        <v/>
      </c>
      <c r="E26" s="190">
        <f>IFERROR(VLOOKUP($C26,'PORTIFÓLIO'!C:V,3,0),"")</f>
        <v/>
      </c>
      <c r="F26" s="190">
        <f>IFERROR(VLOOKUP($C26,'PORTIFÓLIO'!C:V,4,0),"")</f>
        <v/>
      </c>
      <c r="G26" s="223">
        <f>IFERROR(VLOOKUP($C26,'PORTIFÓLIO'!C:V,5,0),"")</f>
        <v/>
      </c>
      <c r="H26" s="207">
        <f t="array" ref="H26">IFERROR(INDEX('PORTIFÓLIO'!$H$4:$H$433,MATCH($C26,'PORTIFÓLIO'!$C$4:$C$433,0)),"")</f>
        <v/>
      </c>
      <c r="I26" s="208" t="n">
        <v>2</v>
      </c>
      <c r="J26" s="209">
        <f>I26*$B$2</f>
        <v/>
      </c>
      <c r="K26" s="210">
        <f t="array" ref="K26">IFERROR(I26*INDEX('PORTIFÓLIO'!$S$4:$S$433,MATCH($C26,'PORTIFÓLIO'!$C$4:$C$433,0)),"")</f>
        <v/>
      </c>
      <c r="L26" s="210">
        <f t="array" ref="L26">IFERROR(J26*INDEX('PORTIFÓLIO'!$S$4:$S$433,MATCH($C26,'PORTIFÓLIO'!$C$4:$C$433,0)),"")</f>
        <v/>
      </c>
      <c r="M26" s="177" t="n"/>
      <c r="N26" s="177" t="n"/>
      <c r="O26" s="177" t="n"/>
      <c r="P26" s="177" t="n"/>
      <c r="Q26" s="177" t="n"/>
      <c r="R26" s="177" t="n"/>
      <c r="S26" s="177" t="n"/>
      <c r="T26" s="177" t="n"/>
      <c r="U26" s="177" t="n"/>
      <c r="V26" s="177" t="n"/>
      <c r="W26" s="177" t="n"/>
      <c r="X26" s="177" t="n"/>
    </row>
    <row r="27" outlineLevel="1" ht="15.75" customHeight="1" s="297">
      <c r="A27" s="190" t="n"/>
      <c r="B27" s="204" t="inlineStr">
        <is>
          <t>HERBICIDA</t>
        </is>
      </c>
      <c r="C27" s="191" t="inlineStr">
        <is>
          <t>ARADDO</t>
        </is>
      </c>
      <c r="D27" s="205">
        <f>IFERROR(VLOOKUP($C27,'PORTIFÓLIO'!C:V,2,0),"")</f>
        <v/>
      </c>
      <c r="E27" s="190">
        <f>IFERROR(VLOOKUP($C27,'PORTIFÓLIO'!C:V,3,0),"")</f>
        <v/>
      </c>
      <c r="F27" s="190">
        <f>IFERROR(VLOOKUP($C27,'PORTIFÓLIO'!C:V,4,0),"")</f>
        <v/>
      </c>
      <c r="G27" s="223">
        <f>IFERROR(VLOOKUP($C27,'PORTIFÓLIO'!C:V,5,0),"")</f>
        <v/>
      </c>
      <c r="H27" s="207">
        <f t="array" ref="H27">IFERROR(INDEX('PORTIFÓLIO'!$H$4:$H$433,MATCH($C27,'PORTIFÓLIO'!$C$4:$C$433,0)),"")</f>
        <v/>
      </c>
      <c r="I27" s="208" t="n">
        <v>0.8</v>
      </c>
      <c r="J27" s="209">
        <f>I27*$B$2</f>
        <v/>
      </c>
      <c r="K27" s="210">
        <f t="array" ref="K27">IFERROR(I27*INDEX('PORTIFÓLIO'!$S$4:$S$433,MATCH($C27,'PORTIFÓLIO'!$C$4:$C$433,0)),"")</f>
        <v/>
      </c>
      <c r="L27" s="210">
        <f t="array" ref="L27">IFERROR(J27*INDEX('PORTIFÓLIO'!$S$4:$S$433,MATCH($C27,'PORTIFÓLIO'!$C$4:$C$433,0)),"")</f>
        <v/>
      </c>
      <c r="M27" s="177" t="n"/>
      <c r="N27" s="177" t="n"/>
      <c r="O27" s="177" t="n"/>
      <c r="P27" s="177" t="n"/>
      <c r="Q27" s="177" t="n"/>
      <c r="R27" s="177" t="n"/>
      <c r="S27" s="177" t="n"/>
      <c r="T27" s="177" t="n"/>
      <c r="U27" s="177" t="n"/>
      <c r="V27" s="177" t="n"/>
      <c r="W27" s="177" t="n"/>
      <c r="X27" s="177" t="n"/>
    </row>
    <row r="28" outlineLevel="1" ht="15.75" customHeight="1" s="297">
      <c r="A28" s="190" t="n"/>
      <c r="B28" s="204" t="inlineStr">
        <is>
          <t>ADJUVANTE</t>
        </is>
      </c>
      <c r="C28" s="191" t="inlineStr">
        <is>
          <t>JOINT ULTRA</t>
        </is>
      </c>
      <c r="D28" s="205">
        <f>IFERROR(VLOOKUP($C28,'PORTIFÓLIO'!C:V,2,0),"")</f>
        <v/>
      </c>
      <c r="E28" s="190">
        <f>IFERROR(VLOOKUP($C28,'PORTIFÓLIO'!C:V,3,0),"")</f>
        <v/>
      </c>
      <c r="F28" s="190">
        <f>IFERROR(VLOOKUP($C28,'PORTIFÓLIO'!C:V,4,0),"")</f>
        <v/>
      </c>
      <c r="G28" s="223">
        <f>IFERROR(VLOOKUP($C28,'PORTIFÓLIO'!C:V,5,0),"")</f>
        <v/>
      </c>
      <c r="H28" s="207">
        <f t="array" ref="H28">IFERROR(INDEX('PORTIFÓLIO'!$H$4:$H$433,MATCH($C28,'PORTIFÓLIO'!$C$4:$C$433,0)),"")</f>
        <v/>
      </c>
      <c r="I28" s="208" t="n">
        <v>0.2</v>
      </c>
      <c r="J28" s="209">
        <f>I28*$B$2</f>
        <v/>
      </c>
      <c r="K28" s="210">
        <f t="array" ref="K28">IFERROR(I28*INDEX('PORTIFÓLIO'!$S$4:$S$433,MATCH($C28,'PORTIFÓLIO'!$C$4:$C$433,0)),"")</f>
        <v/>
      </c>
      <c r="L28" s="210">
        <f t="array" ref="L28">IFERROR(J28*INDEX('PORTIFÓLIO'!$S$4:$S$433,MATCH($C28,'PORTIFÓLIO'!$C$4:$C$433,0)),"")</f>
        <v/>
      </c>
      <c r="M28" s="177" t="n"/>
      <c r="N28" s="177" t="n"/>
      <c r="O28" s="177" t="n"/>
      <c r="P28" s="177" t="n"/>
      <c r="Q28" s="177" t="n"/>
      <c r="R28" s="177" t="n"/>
      <c r="S28" s="177" t="n"/>
      <c r="T28" s="177" t="n"/>
      <c r="U28" s="177" t="n"/>
      <c r="V28" s="177" t="n"/>
      <c r="W28" s="177" t="n"/>
      <c r="X28" s="177" t="n"/>
    </row>
    <row r="29" outlineLevel="1" ht="15.75" customHeight="1" s="297">
      <c r="A29" s="190" t="n"/>
      <c r="B29" s="204" t="inlineStr">
        <is>
          <t>INSETICIDA</t>
        </is>
      </c>
      <c r="C29" s="191" t="inlineStr">
        <is>
          <t>PREMIO</t>
        </is>
      </c>
      <c r="D29" s="205">
        <f>IFERROR(VLOOKUP($C29,'PORTIFÓLIO'!C:V,2,0),"")</f>
        <v/>
      </c>
      <c r="E29" s="190">
        <f>IFERROR(VLOOKUP($C29,'PORTIFÓLIO'!C:V,3,0),"")</f>
        <v/>
      </c>
      <c r="F29" s="190">
        <f>IFERROR(VLOOKUP($C29,'PORTIFÓLIO'!C:V,4,0),"")</f>
        <v/>
      </c>
      <c r="G29" s="223">
        <f>IFERROR(VLOOKUP($C29,'PORTIFÓLIO'!C:V,5,0),"")</f>
        <v/>
      </c>
      <c r="H29" s="207">
        <f t="array" ref="H29">IFERROR(INDEX('PORTIFÓLIO'!$H$4:$H$433,MATCH($C29,'PORTIFÓLIO'!$C$4:$C$433,0)),"")</f>
        <v/>
      </c>
      <c r="I29" s="208" t="n">
        <v>0.04</v>
      </c>
      <c r="J29" s="209">
        <f>I29*$B$2</f>
        <v/>
      </c>
      <c r="K29" s="210">
        <f t="array" ref="K29">IFERROR(I29*INDEX('PORTIFÓLIO'!$S$4:$S$433,MATCH($C29,'PORTIFÓLIO'!$C$4:$C$433,0)),"")</f>
        <v/>
      </c>
      <c r="L29" s="210">
        <f t="array" ref="L29">IFERROR(J29*INDEX('PORTIFÓLIO'!$S$4:$S$433,MATCH($C29,'PORTIFÓLIO'!$C$4:$C$433,0)),"")</f>
        <v/>
      </c>
      <c r="M29" s="177" t="n"/>
      <c r="N29" s="177" t="n"/>
      <c r="O29" s="177" t="n"/>
      <c r="P29" s="177" t="n"/>
      <c r="Q29" s="177" t="n"/>
      <c r="R29" s="177" t="n"/>
      <c r="S29" s="177" t="n"/>
      <c r="T29" s="177" t="n"/>
      <c r="U29" s="177" t="n"/>
      <c r="V29" s="177" t="n"/>
      <c r="W29" s="177" t="n"/>
      <c r="X29" s="177" t="n"/>
    </row>
    <row r="30" outlineLevel="1" ht="15.75" customHeight="1" s="297">
      <c r="A30" s="190" t="n"/>
      <c r="B30" s="204" t="inlineStr">
        <is>
          <t>INSETICIDA</t>
        </is>
      </c>
      <c r="C30" s="191" t="inlineStr">
        <is>
          <t>FIPRONIL 800 WG CCAB</t>
        </is>
      </c>
      <c r="D30" s="205">
        <f>IFERROR(VLOOKUP($C30,'PORTIFÓLIO'!C:V,2,0),"")</f>
        <v/>
      </c>
      <c r="E30" s="190">
        <f>IFERROR(VLOOKUP($C30,'PORTIFÓLIO'!C:V,3,0),"")</f>
        <v/>
      </c>
      <c r="F30" s="190">
        <f>IFERROR(VLOOKUP($C30,'PORTIFÓLIO'!C:V,4,0),"")</f>
        <v/>
      </c>
      <c r="G30" s="223">
        <f>IFERROR(VLOOKUP($C30,'PORTIFÓLIO'!C:V,5,0),"")</f>
        <v/>
      </c>
      <c r="H30" s="207">
        <f t="array" ref="H30">IFERROR(INDEX('PORTIFÓLIO'!$H$4:$H$433,MATCH($C30,'PORTIFÓLIO'!$C$4:$C$433,0)),"")</f>
        <v/>
      </c>
      <c r="I30" s="208" t="n">
        <v>0.04</v>
      </c>
      <c r="J30" s="209">
        <f>I30*$B$2</f>
        <v/>
      </c>
      <c r="K30" s="210">
        <f t="array" ref="K30">IFERROR(I30*INDEX('PORTIFÓLIO'!$S$4:$S$433,MATCH($C30,'PORTIFÓLIO'!$C$4:$C$433,0)),"")</f>
        <v/>
      </c>
      <c r="L30" s="210">
        <f t="array" ref="L30">IFERROR(J30*INDEX('PORTIFÓLIO'!$S$4:$S$433,MATCH($C30,'PORTIFÓLIO'!$C$4:$C$433,0)),"")</f>
        <v/>
      </c>
      <c r="M30" s="177" t="n"/>
      <c r="N30" s="177" t="n"/>
      <c r="O30" s="177" t="n"/>
      <c r="P30" s="177" t="n"/>
      <c r="Q30" s="177" t="n"/>
      <c r="R30" s="177" t="n"/>
      <c r="S30" s="177" t="n"/>
      <c r="T30" s="177" t="n"/>
      <c r="U30" s="177" t="n"/>
      <c r="V30" s="177" t="n"/>
      <c r="W30" s="177" t="n"/>
      <c r="X30" s="177"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16">
        <f t="array" ref="H31">IFERROR(INDEX('PORTIFÓLIO'!$H$4:$H$433,MATCH($C31,'PORTIFÓLIO'!$C$4:$C$433,0)),"")</f>
        <v/>
      </c>
      <c r="I31" s="217"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c r="X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16">
        <f t="array" ref="H32">IFERROR(INDEX('PORTIFÓLIO'!$H$4:$H$433,MATCH($C32,'PORTIFÓLIO'!$C$4:$C$433,0)),"")</f>
        <v/>
      </c>
      <c r="I32" s="224"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c r="X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16">
        <f t="array" ref="H33">IFERROR(INDEX('PORTIFÓLIO'!$H$4:$H$433,MATCH($C33,'PORTIFÓLIO'!$C$4:$C$433,0)),"")</f>
        <v/>
      </c>
      <c r="I33" s="224"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c r="X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16">
        <f t="array" ref="H34">IFERROR(INDEX('PORTIFÓLIO'!$H$4:$H$433,MATCH($C34,'PORTIFÓLIO'!$C$4:$C$433,0)),"")</f>
        <v/>
      </c>
      <c r="I34" s="217"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c r="X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16">
        <f t="array" ref="H35">IFERROR(INDEX('PORTIFÓLIO'!$H$4:$H$433,MATCH($C35,'PORTIFÓLIO'!$C$4:$C$433,0)),"")</f>
        <v/>
      </c>
      <c r="I35" s="224"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c r="X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16">
        <f t="array" ref="H36">IFERROR(INDEX('PORTIFÓLIO'!$H$4:$H$433,MATCH($C36,'PORTIFÓLIO'!$C$4:$C$433,0)),"")</f>
        <v/>
      </c>
      <c r="I36" s="224"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c r="X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16">
        <f t="array" ref="H37">IFERROR(INDEX('PORTIFÓLIO'!$H$4:$H$433,MATCH($C37,'PORTIFÓLIO'!$C$4:$C$433,0)),"")</f>
        <v/>
      </c>
      <c r="I37" s="224"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c r="X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16">
        <f t="array" ref="H38">IFERROR(INDEX('PORTIFÓLIO'!$H$4:$H$433,MATCH($C38,'PORTIFÓLIO'!$C$4:$C$433,0)),"")</f>
        <v/>
      </c>
      <c r="I38" s="224"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c r="X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16">
        <f t="array" ref="H39">IFERROR(INDEX('PORTIFÓLIO'!$H$4:$H$433,MATCH($C39,'PORTIFÓLIO'!$C$4:$C$433,0)),"")</f>
        <v/>
      </c>
      <c r="I39" s="224"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c r="X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16">
        <f t="array" ref="H40">IFERROR(INDEX('PORTIFÓLIO'!$H$4:$H$433,MATCH($C40,'PORTIFÓLIO'!$C$4:$C$433,0)),"")</f>
        <v/>
      </c>
      <c r="I40" s="224"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c r="X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16">
        <f t="array" ref="H41">IFERROR(INDEX('PORTIFÓLIO'!$H$4:$H$433,MATCH($C41,'PORTIFÓLIO'!$C$4:$C$433,0)),"")</f>
        <v/>
      </c>
      <c r="I41" s="224"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c r="X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16">
        <f t="array" ref="H42">IFERROR(INDEX('PORTIFÓLIO'!$H$4:$H$433,MATCH($C42,'PORTIFÓLIO'!$C$4:$C$433,0)),"")</f>
        <v/>
      </c>
      <c r="I42" s="224"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c r="X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16">
        <f t="array" ref="H43">IFERROR(INDEX('PORTIFÓLIO'!$H$4:$H$433,MATCH($C43,'PORTIFÓLIO'!$C$4:$C$433,0)),"")</f>
        <v/>
      </c>
      <c r="I43" s="224"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c r="X43" s="220" t="n"/>
    </row>
    <row r="44" ht="15.75" customHeight="1" s="297">
      <c r="A44" s="221" t="inlineStr">
        <is>
          <t>OPERAÇÃO 3</t>
        </is>
      </c>
      <c r="B44" s="197" t="n"/>
      <c r="C44" s="196" t="n"/>
      <c r="D44" s="198" t="inlineStr">
        <is>
          <t>-</t>
        </is>
      </c>
      <c r="E44" s="196" t="n"/>
      <c r="F44" s="196" t="n"/>
      <c r="G44" s="199" t="n"/>
      <c r="H44" s="222" t="n"/>
      <c r="I44" s="201" t="n"/>
      <c r="J44" s="202" t="n"/>
      <c r="K44" s="203">
        <f>SUBTOTAL(9,K45:K58)</f>
        <v/>
      </c>
      <c r="L44" s="203">
        <f>SUBTOTAL(9,L45:L58)</f>
        <v/>
      </c>
      <c r="M44" s="177" t="n"/>
      <c r="N44" s="177" t="n"/>
      <c r="O44" s="177" t="n"/>
      <c r="P44" s="177" t="n"/>
      <c r="Q44" s="177" t="n"/>
      <c r="R44" s="177" t="n"/>
      <c r="S44" s="177" t="n"/>
      <c r="T44" s="177" t="n"/>
      <c r="U44" s="177" t="n"/>
      <c r="V44" s="177" t="n"/>
      <c r="W44" s="177" t="n"/>
      <c r="X44" s="177" t="n"/>
    </row>
    <row r="45" outlineLevel="1" ht="15.75" customHeight="1" s="297">
      <c r="A45" s="191" t="n"/>
      <c r="B45" s="204" t="inlineStr">
        <is>
          <t>HERBICIDA</t>
        </is>
      </c>
      <c r="C45" s="191" t="inlineStr">
        <is>
          <t>GLUFOSINATO NORTOX 880 SG</t>
        </is>
      </c>
      <c r="D45" s="205">
        <f>IFERROR(VLOOKUP($C45,'PORTIFÓLIO'!C:V,2,0),"")</f>
        <v/>
      </c>
      <c r="E45" s="190">
        <f>IFERROR(VLOOKUP($C45,'PORTIFÓLIO'!C:V,3,0),"")</f>
        <v/>
      </c>
      <c r="F45" s="190">
        <f>IFERROR(VLOOKUP($C45,'PORTIFÓLIO'!C:V,4,0),"")</f>
        <v/>
      </c>
      <c r="G45" s="223">
        <f>IFERROR(VLOOKUP($C45,'PORTIFÓLIO'!C:V,5,0),"")</f>
        <v/>
      </c>
      <c r="H45" s="207">
        <f t="array" ref="H45">IFERROR(INDEX('PORTIFÓLIO'!$H$4:$H$433,MATCH($C45,'PORTIFÓLIO'!$C$4:$C$433,0)),"")</f>
        <v/>
      </c>
      <c r="I45" s="208" t="n">
        <v>0.5</v>
      </c>
      <c r="J45" s="209">
        <f>I45*$B$2</f>
        <v/>
      </c>
      <c r="K45" s="210">
        <f t="array" ref="K45">IFERROR(I45*INDEX('PORTIFÓLIO'!$S$4:$S$433,MATCH($C45,'PORTIFÓLIO'!$C$4:$C$433,0)),"")</f>
        <v/>
      </c>
      <c r="L45" s="210">
        <f t="array" ref="L45">IFERROR(J45*INDEX('PORTIFÓLIO'!$S$4:$S$433,MATCH($C45,'PORTIFÓLIO'!$C$4:$C$433,0)),"")</f>
        <v/>
      </c>
      <c r="M45" s="177" t="n"/>
      <c r="N45" s="177" t="n"/>
      <c r="O45" s="177" t="n"/>
      <c r="P45" s="177" t="n"/>
      <c r="Q45" s="177" t="n"/>
      <c r="R45" s="177" t="n"/>
      <c r="S45" s="177" t="n"/>
      <c r="T45" s="177" t="n"/>
      <c r="U45" s="177" t="n"/>
      <c r="V45" s="177" t="n"/>
      <c r="W45" s="177" t="n"/>
      <c r="X45" s="177" t="n"/>
    </row>
    <row r="46" outlineLevel="1" ht="15.75" customHeight="1" s="297">
      <c r="A46" s="190" t="n"/>
      <c r="B46" s="204" t="inlineStr">
        <is>
          <t>HERBICIDA</t>
        </is>
      </c>
      <c r="C46" s="191" t="inlineStr">
        <is>
          <t>REATOR 360 CS</t>
        </is>
      </c>
      <c r="D46" s="205">
        <f>IFERROR(VLOOKUP($C46,'PORTIFÓLIO'!C:V,2,0),"")</f>
        <v/>
      </c>
      <c r="E46" s="190">
        <f>IFERROR(VLOOKUP($C46,'PORTIFÓLIO'!C:V,3,0),"")</f>
        <v/>
      </c>
      <c r="F46" s="190">
        <f>IFERROR(VLOOKUP($C46,'PORTIFÓLIO'!C:V,4,0),"")</f>
        <v/>
      </c>
      <c r="G46" s="223">
        <f>IFERROR(VLOOKUP($C46,'PORTIFÓLIO'!C:V,5,0),"")</f>
        <v/>
      </c>
      <c r="H46" s="207">
        <f t="array" ref="H46">IFERROR(INDEX('PORTIFÓLIO'!$H$4:$H$433,MATCH($C46,'PORTIFÓLIO'!$C$4:$C$433,0)),"")</f>
        <v/>
      </c>
      <c r="I46" s="208" t="n">
        <v>1</v>
      </c>
      <c r="J46" s="209">
        <f>I46*$B$2</f>
        <v/>
      </c>
      <c r="K46" s="210">
        <f t="array" ref="K46">IFERROR(I46*INDEX('PORTIFÓLIO'!$S$4:$S$433,MATCH($C46,'PORTIFÓLIO'!$C$4:$C$433,0)),"")</f>
        <v/>
      </c>
      <c r="L46" s="210">
        <f t="array" ref="L46">IFERROR(J46*INDEX('PORTIFÓLIO'!$S$4:$S$433,MATCH($C46,'PORTIFÓLIO'!$C$4:$C$433,0)),"")</f>
        <v/>
      </c>
      <c r="M46" s="177" t="n"/>
      <c r="N46" s="177" t="n"/>
      <c r="O46" s="177" t="n"/>
      <c r="P46" s="177" t="n"/>
      <c r="Q46" s="177" t="n"/>
      <c r="R46" s="177" t="n"/>
      <c r="S46" s="177" t="n"/>
      <c r="T46" s="177" t="n"/>
      <c r="U46" s="177" t="n"/>
      <c r="V46" s="177" t="n"/>
      <c r="W46" s="177" t="n"/>
      <c r="X46" s="177" t="n"/>
    </row>
    <row r="47" outlineLevel="1" ht="15.75" customHeight="1" s="297">
      <c r="A47" s="190" t="n"/>
      <c r="B47" s="204" t="inlineStr">
        <is>
          <t>HERBICIDA</t>
        </is>
      </c>
      <c r="C47" s="191" t="inlineStr">
        <is>
          <t>DUAL GOLD</t>
        </is>
      </c>
      <c r="D47" s="205">
        <f>IFERROR(VLOOKUP($C47,'PORTIFÓLIO'!C:V,2,0),"")</f>
        <v/>
      </c>
      <c r="E47" s="190">
        <f>IFERROR(VLOOKUP($C47,'PORTIFÓLIO'!C:V,3,0),"")</f>
        <v/>
      </c>
      <c r="F47" s="190">
        <f>IFERROR(VLOOKUP($C47,'PORTIFÓLIO'!C:V,4,0),"")</f>
        <v/>
      </c>
      <c r="G47" s="223">
        <f>IFERROR(VLOOKUP($C47,'PORTIFÓLIO'!C:V,5,0),"")</f>
        <v/>
      </c>
      <c r="H47" s="207">
        <f t="array" ref="H47">IFERROR(INDEX('PORTIFÓLIO'!$H$4:$H$433,MATCH($C47,'PORTIFÓLIO'!$C$4:$C$433,0)),"")</f>
        <v/>
      </c>
      <c r="I47" s="208" t="n">
        <v>1</v>
      </c>
      <c r="J47" s="209">
        <f>I47*$B$2</f>
        <v/>
      </c>
      <c r="K47" s="210">
        <f t="array" ref="K47">IFERROR(I47*INDEX('PORTIFÓLIO'!$S$4:$S$433,MATCH($C47,'PORTIFÓLIO'!$C$4:$C$433,0)),"")</f>
        <v/>
      </c>
      <c r="L47" s="210">
        <f t="array" ref="L47">IFERROR(J47*INDEX('PORTIFÓLIO'!$S$4:$S$433,MATCH($C47,'PORTIFÓLIO'!$C$4:$C$433,0)),"")</f>
        <v/>
      </c>
      <c r="M47" s="177" t="n"/>
      <c r="N47" s="177" t="n"/>
      <c r="O47" s="177" t="n"/>
      <c r="P47" s="177" t="n"/>
      <c r="Q47" s="177" t="n"/>
      <c r="R47" s="177" t="n"/>
      <c r="S47" s="177" t="n"/>
      <c r="T47" s="177" t="n"/>
      <c r="U47" s="177" t="n"/>
      <c r="V47" s="177" t="n"/>
      <c r="W47" s="177" t="n"/>
      <c r="X47" s="177" t="n"/>
    </row>
    <row r="48" outlineLevel="1" ht="15.75" customHeight="1" s="297">
      <c r="A48" s="190" t="n"/>
      <c r="B48" s="204" t="inlineStr">
        <is>
          <t>ADJUVANTE</t>
        </is>
      </c>
      <c r="C48" s="191" t="inlineStr">
        <is>
          <t>RUMBA</t>
        </is>
      </c>
      <c r="D48" s="205">
        <f>IFERROR(VLOOKUP($C48,'PORTIFÓLIO'!C:V,2,0),"")</f>
        <v/>
      </c>
      <c r="E48" s="190">
        <f>IFERROR(VLOOKUP($C48,'PORTIFÓLIO'!C:V,3,0),"")</f>
        <v/>
      </c>
      <c r="F48" s="190">
        <f>IFERROR(VLOOKUP($C48,'PORTIFÓLIO'!C:V,4,0),"")</f>
        <v/>
      </c>
      <c r="G48" s="223">
        <f>IFERROR(VLOOKUP($C48,'PORTIFÓLIO'!C:V,5,0),"")</f>
        <v/>
      </c>
      <c r="H48" s="207">
        <f t="array" ref="H48">IFERROR(INDEX('PORTIFÓLIO'!$H$4:$H$433,MATCH($C48,'PORTIFÓLIO'!$C$4:$C$433,0)),"")</f>
        <v/>
      </c>
      <c r="I48" s="208" t="n">
        <v>0.2</v>
      </c>
      <c r="J48" s="209">
        <f>I48*$B$2</f>
        <v/>
      </c>
      <c r="K48" s="210">
        <f t="array" ref="K48">IFERROR(I48*INDEX('PORTIFÓLIO'!$S$4:$S$433,MATCH($C48,'PORTIFÓLIO'!$C$4:$C$433,0)),"")</f>
        <v/>
      </c>
      <c r="L48" s="210">
        <f t="array" ref="L48">IFERROR(J48*INDEX('PORTIFÓLIO'!$S$4:$S$433,MATCH($C48,'PORTIFÓLIO'!$C$4:$C$433,0)),"")</f>
        <v/>
      </c>
      <c r="M48" s="177" t="n"/>
      <c r="N48" s="177" t="n"/>
      <c r="O48" s="177" t="n"/>
      <c r="P48" s="177" t="n"/>
      <c r="Q48" s="177" t="n"/>
      <c r="R48" s="177" t="n"/>
      <c r="S48" s="177" t="n"/>
      <c r="T48" s="177" t="n"/>
      <c r="U48" s="177" t="n"/>
      <c r="V48" s="177" t="n"/>
      <c r="W48" s="177" t="n"/>
      <c r="X48" s="177" t="n"/>
    </row>
    <row r="49" outlineLevel="1" ht="15.75" customHeight="1" s="297">
      <c r="A49" s="190" t="n"/>
      <c r="B49" s="204" t="inlineStr">
        <is>
          <t>INSETICIDA</t>
        </is>
      </c>
      <c r="C49" s="191" t="inlineStr">
        <is>
          <t>PREMIO</t>
        </is>
      </c>
      <c r="D49" s="205">
        <f>IFERROR(VLOOKUP($C49,'PORTIFÓLIO'!C:V,2,0),"")</f>
        <v/>
      </c>
      <c r="E49" s="190">
        <f>IFERROR(VLOOKUP($C49,'PORTIFÓLIO'!C:V,3,0),"")</f>
        <v/>
      </c>
      <c r="F49" s="190">
        <f>IFERROR(VLOOKUP($C49,'PORTIFÓLIO'!C:V,4,0),"")</f>
        <v/>
      </c>
      <c r="G49" s="223">
        <f>IFERROR(VLOOKUP($C49,'PORTIFÓLIO'!C:V,5,0),"")</f>
        <v/>
      </c>
      <c r="H49" s="207">
        <f t="array" ref="H49">IFERROR(INDEX('PORTIFÓLIO'!$H$4:$H$433,MATCH($C49,'PORTIFÓLIO'!$C$4:$C$433,0)),"")</f>
        <v/>
      </c>
      <c r="I49" s="208" t="n">
        <v>0.03</v>
      </c>
      <c r="J49" s="209">
        <f>I49*$B$2</f>
        <v/>
      </c>
      <c r="K49" s="210">
        <f t="array" ref="K49">IFERROR(I49*INDEX('PORTIFÓLIO'!$S$4:$S$433,MATCH($C49,'PORTIFÓLIO'!$C$4:$C$433,0)),"")</f>
        <v/>
      </c>
      <c r="L49" s="210">
        <f t="array" ref="L49">IFERROR(J49*INDEX('PORTIFÓLIO'!$S$4:$S$433,MATCH($C49,'PORTIFÓLIO'!$C$4:$C$433,0)),"")</f>
        <v/>
      </c>
      <c r="M49" s="177" t="n"/>
      <c r="N49" s="177" t="n"/>
      <c r="O49" s="177" t="n"/>
      <c r="P49" s="177" t="n"/>
      <c r="Q49" s="177" t="n"/>
      <c r="R49" s="177" t="n"/>
      <c r="S49" s="177" t="n"/>
      <c r="T49" s="177" t="n"/>
      <c r="U49" s="177" t="n"/>
      <c r="V49" s="177" t="n"/>
      <c r="W49" s="177" t="n"/>
      <c r="X49" s="177" t="n"/>
    </row>
    <row r="50" outlineLevel="1" ht="15.75" customHeight="1" s="297">
      <c r="A50" s="211" t="n"/>
      <c r="B50" s="212" t="inlineStr">
        <is>
          <t>NUTRIÇÃO</t>
        </is>
      </c>
      <c r="C50" s="213" t="inlineStr">
        <is>
          <t>BOP</t>
        </is>
      </c>
      <c r="D50" s="214">
        <f>IFERROR(VLOOKUP($C50,'PORTIFÓLIO'!C:V,2,0),"")</f>
        <v/>
      </c>
      <c r="E50" s="211">
        <f>IFERROR(VLOOKUP($C50,'PORTIFÓLIO'!C:V,3,0),"")</f>
        <v/>
      </c>
      <c r="F50" s="211">
        <f>IFERROR(VLOOKUP($C50,'PORTIFÓLIO'!C:V,4,0),"")</f>
        <v/>
      </c>
      <c r="G50" s="215">
        <f>IFERROR(VLOOKUP($C50,'PORTIFÓLIO'!C:V,5,0),"")</f>
        <v/>
      </c>
      <c r="H50" s="216">
        <f t="array" ref="H50">IFERROR(INDEX('PORTIFÓLIO'!$H$4:$H$433,MATCH($C50,'PORTIFÓLIO'!$C$4:$C$433,0)),"")</f>
        <v/>
      </c>
      <c r="I50" s="217" t="n">
        <v>1</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c r="X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16">
        <f t="array" ref="H51">IFERROR(INDEX('PORTIFÓLIO'!$H$4:$H$433,MATCH($C51,'PORTIFÓLIO'!$C$4:$C$433,0)),"")</f>
        <v/>
      </c>
      <c r="I51" s="217"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c r="X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16">
        <f t="array" ref="H52">IFERROR(INDEX('PORTIFÓLIO'!$H$4:$H$433,MATCH($C52,'PORTIFÓLIO'!$C$4:$C$433,0)),"")</f>
        <v/>
      </c>
      <c r="I52" s="224"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c r="X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16">
        <f t="array" ref="H53">IFERROR(INDEX('PORTIFÓLIO'!$H$4:$H$433,MATCH($C53,'PORTIFÓLIO'!$C$4:$C$433,0)),"")</f>
        <v/>
      </c>
      <c r="I53" s="217"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c r="X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16">
        <f t="array" ref="H54">IFERROR(INDEX('PORTIFÓLIO'!$H$4:$H$433,MATCH($C54,'PORTIFÓLIO'!$C$4:$C$433,0)),"")</f>
        <v/>
      </c>
      <c r="I54" s="224"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c r="X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16">
        <f t="array" ref="H55">IFERROR(INDEX('PORTIFÓLIO'!$H$4:$H$433,MATCH($C55,'PORTIFÓLIO'!$C$4:$C$433,0)),"")</f>
        <v/>
      </c>
      <c r="I55" s="224"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c r="X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16">
        <f t="array" ref="H56">IFERROR(INDEX('PORTIFÓLIO'!$H$4:$H$433,MATCH($C56,'PORTIFÓLIO'!$C$4:$C$433,0)),"")</f>
        <v/>
      </c>
      <c r="I56" s="224"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c r="X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16">
        <f t="array" ref="H57">IFERROR(INDEX('PORTIFÓLIO'!$H$4:$H$433,MATCH($C57,'PORTIFÓLIO'!$C$4:$C$433,0)),"")</f>
        <v/>
      </c>
      <c r="I57" s="224"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c r="X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16">
        <f t="array" ref="H58">IFERROR(INDEX('PORTIFÓLIO'!$H$4:$H$433,MATCH($C58,'PORTIFÓLIO'!$C$4:$C$433,0)),"")</f>
        <v/>
      </c>
      <c r="I58" s="224"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c r="X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16">
        <f t="array" ref="H59">IFERROR(INDEX('PORTIFÓLIO'!$H$4:$H$433,MATCH($C59,'PORTIFÓLIO'!$C$4:$C$433,0)),"")</f>
        <v/>
      </c>
      <c r="I59" s="224"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c r="X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16">
        <f t="array" ref="H60">IFERROR(INDEX('PORTIFÓLIO'!$H$4:$H$433,MATCH($C60,'PORTIFÓLIO'!$C$4:$C$433,0)),"")</f>
        <v/>
      </c>
      <c r="I60" s="224"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c r="X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16">
        <f t="array" ref="H61">IFERROR(INDEX('PORTIFÓLIO'!$H$4:$H$433,MATCH($C61,'PORTIFÓLIO'!$C$4:$C$433,0)),"")</f>
        <v/>
      </c>
      <c r="I61" s="224"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c r="X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16">
        <f t="array" ref="H62">IFERROR(INDEX('PORTIFÓLIO'!$H$4:$H$433,MATCH($C62,'PORTIFÓLIO'!$C$4:$C$433,0)),"")</f>
        <v/>
      </c>
      <c r="I62" s="224"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c r="X62" s="220" t="n"/>
    </row>
    <row r="63" ht="15.75" customHeight="1" s="297">
      <c r="A63" s="221" t="inlineStr">
        <is>
          <t>OPERAÇÃO 4</t>
        </is>
      </c>
      <c r="B63" s="197" t="n"/>
      <c r="C63" s="196" t="n"/>
      <c r="D63" s="198" t="n"/>
      <c r="E63" s="196" t="n"/>
      <c r="F63" s="196" t="n"/>
      <c r="G63" s="199" t="n"/>
      <c r="H63" s="222" t="n"/>
      <c r="I63" s="201" t="n"/>
      <c r="J63" s="202" t="n"/>
      <c r="K63" s="203">
        <f>SUBTOTAL(9,K64:K76)</f>
        <v/>
      </c>
      <c r="L63" s="203">
        <f>SUBTOTAL(9,L64:L76)</f>
        <v/>
      </c>
      <c r="M63" s="177" t="n"/>
      <c r="N63" s="177" t="n"/>
      <c r="O63" s="177" t="n"/>
      <c r="P63" s="177" t="n"/>
      <c r="Q63" s="177" t="n"/>
      <c r="R63" s="177" t="n"/>
      <c r="S63" s="177" t="n"/>
      <c r="T63" s="177" t="n"/>
      <c r="U63" s="177" t="n"/>
      <c r="V63" s="177" t="n"/>
      <c r="W63" s="177" t="n"/>
      <c r="X63" s="177" t="n"/>
    </row>
    <row r="64" outlineLevel="1" ht="15.75" customHeight="1" s="297">
      <c r="A64" s="191" t="n"/>
      <c r="B64" s="204" t="inlineStr">
        <is>
          <t>SEMENTE</t>
        </is>
      </c>
      <c r="C64" s="191" t="inlineStr">
        <is>
          <t>BRASMAX OLIMPO</t>
        </is>
      </c>
      <c r="D64" s="205">
        <f>IFERROR(VLOOKUP($C64,'PORTIFÓLIO'!C:V,2,0),"")</f>
        <v/>
      </c>
      <c r="E64" s="190">
        <f>IFERROR(VLOOKUP($C64,'PORTIFÓLIO'!C:V,3,0),"")</f>
        <v/>
      </c>
      <c r="F64" s="190">
        <f>IFERROR(VLOOKUP($C64,'PORTIFÓLIO'!C:V,4,0),"")</f>
        <v/>
      </c>
      <c r="G64" s="223">
        <f>IFERROR(VLOOKUP($C64,'PORTIFÓLIO'!C:V,5,0),"")</f>
        <v/>
      </c>
      <c r="H64" s="207">
        <f t="array" ref="H64">IFERROR(INDEX('PORTIFÓLIO'!$H$4:$H$433,MATCH($C64,'PORTIFÓLIO'!$C$4:$C$433,0)),"")</f>
        <v/>
      </c>
      <c r="I64" s="208" t="n">
        <v>0.04</v>
      </c>
      <c r="J64" s="209">
        <f>I64*$B$2</f>
        <v/>
      </c>
      <c r="K64" s="210">
        <f t="array" ref="K64">IFERROR(I64*INDEX('PORTIFÓLIO'!$S$4:$S$433,MATCH($C64,'PORTIFÓLIO'!$C$4:$C$433,0)),"")</f>
        <v/>
      </c>
      <c r="L64" s="210">
        <f t="array" ref="L64">IFERROR(J64*INDEX('PORTIFÓLIO'!$S$4:$S$433,MATCH($C64,'PORTIFÓLIO'!$C$4:$C$433,0)),"")</f>
        <v/>
      </c>
      <c r="M64" s="177" t="n"/>
      <c r="N64" s="177" t="n"/>
      <c r="O64" s="177" t="n"/>
      <c r="P64" s="177" t="n"/>
      <c r="Q64" s="177" t="n"/>
      <c r="R64" s="177" t="n"/>
      <c r="S64" s="177" t="n"/>
      <c r="T64" s="177" t="n"/>
      <c r="U64" s="177" t="n"/>
      <c r="V64" s="177" t="n"/>
      <c r="W64" s="177" t="n"/>
      <c r="X64" s="177" t="n"/>
    </row>
    <row r="65" outlineLevel="1" ht="15.75" customHeight="1" s="297">
      <c r="A65" s="190" t="n"/>
      <c r="B65" s="204" t="inlineStr">
        <is>
          <t>TS</t>
        </is>
      </c>
      <c r="C65" s="191" t="inlineStr">
        <is>
          <t>CRUISER ADVANCED</t>
        </is>
      </c>
      <c r="D65" s="205">
        <f>IFERROR(VLOOKUP($C65,'PORTIFÓLIO'!C:V,2,0),"")</f>
        <v/>
      </c>
      <c r="E65" s="190">
        <f>IFERROR(VLOOKUP($C65,'PORTIFÓLIO'!C:V,3,0),"")</f>
        <v/>
      </c>
      <c r="F65" s="190">
        <f>IFERROR(VLOOKUP($C65,'PORTIFÓLIO'!C:V,4,0),"")</f>
        <v/>
      </c>
      <c r="G65" s="223">
        <f>IFERROR(VLOOKUP($C65,'PORTIFÓLIO'!C:V,5,0),"")</f>
        <v/>
      </c>
      <c r="H65" s="207">
        <f t="array" ref="H65">IFERROR(INDEX('PORTIFÓLIO'!$H$4:$H$433,MATCH($C65,'PORTIFÓLIO'!$C$4:$C$433,0)),"")</f>
        <v/>
      </c>
      <c r="I65" s="208" t="n">
        <v>0.05</v>
      </c>
      <c r="J65" s="209">
        <f>I65*$B$2</f>
        <v/>
      </c>
      <c r="K65" s="210">
        <f t="array" ref="K65">IFERROR(I65*INDEX('PORTIFÓLIO'!$S$4:$S$433,MATCH($C65,'PORTIFÓLIO'!$C$4:$C$433,0)),"")</f>
        <v/>
      </c>
      <c r="L65" s="210">
        <f t="array" ref="L65">IFERROR(J65*INDEX('PORTIFÓLIO'!$S$4:$S$433,MATCH($C65,'PORTIFÓLIO'!$C$4:$C$433,0)),"")</f>
        <v/>
      </c>
      <c r="M65" s="177" t="n"/>
      <c r="N65" s="177" t="n"/>
      <c r="O65" s="177" t="n"/>
      <c r="P65" s="177" t="n"/>
      <c r="Q65" s="177" t="n"/>
      <c r="R65" s="177" t="n"/>
      <c r="S65" s="177" t="n"/>
      <c r="T65" s="177" t="n"/>
      <c r="U65" s="177" t="n"/>
      <c r="V65" s="177" t="n"/>
      <c r="W65" s="177" t="n"/>
      <c r="X65" s="177" t="n"/>
    </row>
    <row r="66" outlineLevel="1" ht="15.75" customHeight="1" s="297">
      <c r="A66" s="190" t="n"/>
      <c r="B66" s="204" t="inlineStr">
        <is>
          <t>TS</t>
        </is>
      </c>
      <c r="C66" s="191" t="inlineStr">
        <is>
          <t>SPECTRO</t>
        </is>
      </c>
      <c r="D66" s="205">
        <f>IFERROR(VLOOKUP($C66,'PORTIFÓLIO'!C:V,2,0),"")</f>
        <v/>
      </c>
      <c r="E66" s="190">
        <f>IFERROR(VLOOKUP($C66,'PORTIFÓLIO'!C:V,3,0),"")</f>
        <v/>
      </c>
      <c r="F66" s="190">
        <f>IFERROR(VLOOKUP($C66,'PORTIFÓLIO'!C:V,4,0),"")</f>
        <v/>
      </c>
      <c r="G66" s="223">
        <f>IFERROR(VLOOKUP($C66,'PORTIFÓLIO'!C:V,5,0),"")</f>
        <v/>
      </c>
      <c r="H66" s="207">
        <f t="array" ref="H66">IFERROR(INDEX('PORTIFÓLIO'!$H$4:$H$433,MATCH($C66,'PORTIFÓLIO'!$C$4:$C$433,0)),"")</f>
        <v/>
      </c>
      <c r="I66" s="208" t="n">
        <v>0.02</v>
      </c>
      <c r="J66" s="209">
        <f>I66*$B$2</f>
        <v/>
      </c>
      <c r="K66" s="210">
        <f t="array" ref="K66">IFERROR(I66*INDEX('PORTIFÓLIO'!$S$4:$S$433,MATCH($C66,'PORTIFÓLIO'!$C$4:$C$433,0)),"")</f>
        <v/>
      </c>
      <c r="L66" s="210">
        <f t="array" ref="L66">IFERROR(J66*INDEX('PORTIFÓLIO'!$S$4:$S$433,MATCH($C66,'PORTIFÓLIO'!$C$4:$C$433,0)),"")</f>
        <v/>
      </c>
      <c r="M66" s="177" t="n"/>
      <c r="N66" s="177" t="n"/>
      <c r="O66" s="177" t="n"/>
      <c r="P66" s="177" t="n"/>
      <c r="Q66" s="177" t="n"/>
      <c r="R66" s="177" t="n"/>
      <c r="S66" s="177" t="n"/>
      <c r="T66" s="177" t="n"/>
      <c r="U66" s="177" t="n"/>
      <c r="V66" s="177" t="n"/>
      <c r="W66" s="177" t="n"/>
      <c r="X66" s="177" t="n"/>
    </row>
    <row r="67" outlineLevel="1" ht="15.75" customHeight="1" s="297">
      <c r="A67" s="190" t="n"/>
      <c r="B67" s="204" t="inlineStr">
        <is>
          <t>TS</t>
        </is>
      </c>
      <c r="C67" s="191" t="inlineStr">
        <is>
          <t>VICTRATO</t>
        </is>
      </c>
      <c r="D67" s="205">
        <f>IFERROR(VLOOKUP($C67,'PORTIFÓLIO'!C:V,2,0),"")</f>
        <v/>
      </c>
      <c r="E67" s="190">
        <f>IFERROR(VLOOKUP($C67,'PORTIFÓLIO'!C:V,3,0),"")</f>
        <v/>
      </c>
      <c r="F67" s="190">
        <f>IFERROR(VLOOKUP($C67,'PORTIFÓLIO'!C:V,4,0),"")</f>
        <v/>
      </c>
      <c r="G67" s="223">
        <f>IFERROR(VLOOKUP($C67,'PORTIFÓLIO'!C:V,5,0),"")</f>
        <v/>
      </c>
      <c r="H67" s="207">
        <f t="array" ref="H67">IFERROR(INDEX('PORTIFÓLIO'!$H$4:$H$433,MATCH($C67,'PORTIFÓLIO'!$C$4:$C$433,0)),"")</f>
        <v/>
      </c>
      <c r="I67" s="208" t="n">
        <v>0.02</v>
      </c>
      <c r="J67" s="209">
        <f>I67*$B$2</f>
        <v/>
      </c>
      <c r="K67" s="210">
        <f t="array" ref="K67">IFERROR(I67*INDEX('PORTIFÓLIO'!$S$4:$S$433,MATCH($C67,'PORTIFÓLIO'!$C$4:$C$433,0)),"")</f>
        <v/>
      </c>
      <c r="L67" s="210">
        <f t="array" ref="L67">IFERROR(J67*INDEX('PORTIFÓLIO'!$S$4:$S$433,MATCH($C67,'PORTIFÓLIO'!$C$4:$C$433,0)),"")</f>
        <v/>
      </c>
      <c r="M67" s="177" t="n"/>
      <c r="N67" s="177" t="n"/>
      <c r="O67" s="177" t="n"/>
      <c r="P67" s="177" t="n"/>
      <c r="Q67" s="177" t="n"/>
      <c r="R67" s="177" t="n"/>
      <c r="S67" s="177" t="n"/>
      <c r="T67" s="177" t="n"/>
      <c r="U67" s="177" t="n"/>
      <c r="V67" s="177" t="n"/>
      <c r="W67" s="177" t="n"/>
      <c r="X67" s="177"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16">
        <f t="array" ref="H68">IFERROR(INDEX('PORTIFÓLIO'!$H$4:$H$433,MATCH($C68,'PORTIFÓLIO'!$C$4:$C$433,0)),"")</f>
        <v/>
      </c>
      <c r="I68" s="217"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c r="X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16">
        <f t="array" ref="H69">IFERROR(INDEX('PORTIFÓLIO'!$H$4:$H$433,MATCH($C69,'PORTIFÓLIO'!$C$4:$C$433,0)),"")</f>
        <v/>
      </c>
      <c r="I69" s="217"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c r="X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16">
        <f t="array" ref="H70">IFERROR(INDEX('PORTIFÓLIO'!$H$4:$H$433,MATCH($C70,'PORTIFÓLIO'!$C$4:$C$433,0)),"")</f>
        <v/>
      </c>
      <c r="I70" s="217"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c r="X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16">
        <f t="array" ref="H71">IFERROR(INDEX('PORTIFÓLIO'!$H$4:$H$433,MATCH($C71,'PORTIFÓLIO'!$C$4:$C$433,0)),"")</f>
        <v/>
      </c>
      <c r="I71" s="217"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c r="X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16">
        <f t="array" ref="H72">IFERROR(INDEX('PORTIFÓLIO'!$H$4:$H$433,MATCH($C72,'PORTIFÓLIO'!$C$4:$C$433,0)),"")</f>
        <v/>
      </c>
      <c r="I72" s="217"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c r="X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16">
        <f t="array" ref="H73">IFERROR(INDEX('PORTIFÓLIO'!$H$4:$H$433,MATCH($C73,'PORTIFÓLIO'!$C$4:$C$433,0)),"")</f>
        <v/>
      </c>
      <c r="I73" s="224"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c r="X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16">
        <f t="array" ref="H74">IFERROR(INDEX('PORTIFÓLIO'!$H$4:$H$433,MATCH($C74,'PORTIFÓLIO'!$C$4:$C$433,0)),"")</f>
        <v/>
      </c>
      <c r="I74" s="224"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c r="X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16">
        <f t="array" ref="H75">IFERROR(INDEX('PORTIFÓLIO'!$H$4:$H$433,MATCH($C75,'PORTIFÓLIO'!$C$4:$C$433,0)),"")</f>
        <v/>
      </c>
      <c r="I75" s="224"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c r="X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16">
        <f t="array" ref="H76">IFERROR(INDEX('PORTIFÓLIO'!$H$4:$H$433,MATCH($C76,'PORTIFÓLIO'!$C$4:$C$433,0)),"")</f>
        <v/>
      </c>
      <c r="I76" s="224"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c r="X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16">
        <f t="array" ref="H77">IFERROR(INDEX('PORTIFÓLIO'!$H$4:$H$433,MATCH($C77,'PORTIFÓLIO'!$C$4:$C$433,0)),"")</f>
        <v/>
      </c>
      <c r="I77" s="224"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c r="X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16">
        <f t="array" ref="H78">IFERROR(INDEX('PORTIFÓLIO'!$H$4:$H$433,MATCH($C78,'PORTIFÓLIO'!$C$4:$C$433,0)),"")</f>
        <v/>
      </c>
      <c r="I78" s="224"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c r="X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16">
        <f t="array" ref="H79">IFERROR(INDEX('PORTIFÓLIO'!$H$4:$H$433,MATCH($C79,'PORTIFÓLIO'!$C$4:$C$433,0)),"")</f>
        <v/>
      </c>
      <c r="I79" s="224"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c r="X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16">
        <f t="array" ref="H80">IFERROR(INDEX('PORTIFÓLIO'!$H$4:$H$433,MATCH($C80,'PORTIFÓLIO'!$C$4:$C$433,0)),"")</f>
        <v/>
      </c>
      <c r="I80" s="224"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c r="X80" s="220" t="n"/>
    </row>
    <row r="81" ht="15.75" customHeight="1" s="297">
      <c r="A81" s="221" t="inlineStr">
        <is>
          <t>OPERAÇÃO 5</t>
        </is>
      </c>
      <c r="B81" s="197" t="n"/>
      <c r="C81" s="196" t="n"/>
      <c r="D81" s="198" t="inlineStr">
        <is>
          <t>-</t>
        </is>
      </c>
      <c r="E81" s="196" t="n"/>
      <c r="F81" s="196" t="n"/>
      <c r="G81" s="199" t="n"/>
      <c r="H81" s="222" t="n"/>
      <c r="I81" s="201" t="n"/>
      <c r="J81" s="202" t="n"/>
      <c r="K81" s="203">
        <f>SUBTOTAL(9,K82:K95)</f>
        <v/>
      </c>
      <c r="L81" s="203">
        <f>SUBTOTAL(9,L82:L95)</f>
        <v/>
      </c>
      <c r="M81" s="177" t="n"/>
      <c r="N81" s="177" t="n"/>
      <c r="O81" s="177" t="n"/>
      <c r="P81" s="177" t="n"/>
      <c r="Q81" s="177" t="n"/>
      <c r="R81" s="177" t="n"/>
      <c r="S81" s="177" t="n"/>
      <c r="T81" s="177" t="n"/>
      <c r="U81" s="177" t="n"/>
      <c r="V81" s="177" t="n"/>
      <c r="W81" s="177" t="n"/>
      <c r="X81" s="177" t="n"/>
    </row>
    <row r="82" outlineLevel="1" ht="15.75" customHeight="1" s="297">
      <c r="A82" s="191" t="n"/>
      <c r="B82" s="204" t="inlineStr">
        <is>
          <t>HERBICIDA</t>
        </is>
      </c>
      <c r="C82" s="191" t="inlineStr">
        <is>
          <t>ROUNDUP WG</t>
        </is>
      </c>
      <c r="D82" s="205">
        <f>IFERROR(VLOOKUP($C82,'PORTIFÓLIO'!C:V,2,0),"")</f>
        <v/>
      </c>
      <c r="E82" s="190">
        <f>IFERROR(VLOOKUP($C82,'PORTIFÓLIO'!C:V,3,0),"")</f>
        <v/>
      </c>
      <c r="F82" s="190">
        <f>IFERROR(VLOOKUP($C82,'PORTIFÓLIO'!C:V,4,0),"")</f>
        <v/>
      </c>
      <c r="G82" s="223">
        <f>IFERROR(VLOOKUP($C82,'PORTIFÓLIO'!C:V,5,0),"")</f>
        <v/>
      </c>
      <c r="H82" s="207">
        <f t="array" ref="H82">IFERROR(INDEX('PORTIFÓLIO'!$H$4:$H$433,MATCH($C82,'PORTIFÓLIO'!$C$4:$C$433,0)),"")</f>
        <v/>
      </c>
      <c r="I82" s="208" t="n">
        <v>2</v>
      </c>
      <c r="J82" s="209">
        <f>I82*$B$2</f>
        <v/>
      </c>
      <c r="K82" s="210">
        <f t="array" ref="K82">IFERROR(I82*INDEX('PORTIFÓLIO'!$S$4:$S$433,MATCH($C82,'PORTIFÓLIO'!$C$4:$C$433,0)),"")</f>
        <v/>
      </c>
      <c r="L82" s="210">
        <f t="array" ref="L82">IFERROR(J82*INDEX('PORTIFÓLIO'!$S$4:$S$433,MATCH($C82,'PORTIFÓLIO'!$C$4:$C$433,0)),"")</f>
        <v/>
      </c>
      <c r="M82" s="177" t="n"/>
      <c r="N82" s="177" t="n"/>
      <c r="O82" s="177" t="n"/>
      <c r="P82" s="177" t="n"/>
      <c r="Q82" s="177" t="n"/>
      <c r="R82" s="177" t="n"/>
      <c r="S82" s="177" t="n"/>
      <c r="T82" s="177" t="n"/>
      <c r="U82" s="177" t="n"/>
      <c r="V82" s="177" t="n"/>
      <c r="W82" s="177" t="n"/>
      <c r="X82" s="177" t="n"/>
    </row>
    <row r="83" outlineLevel="1" ht="15.75" customHeight="1" s="297">
      <c r="A83" s="190" t="n"/>
      <c r="B83" s="204" t="inlineStr">
        <is>
          <t>HERBICIDA</t>
        </is>
      </c>
      <c r="C83" s="191" t="inlineStr">
        <is>
          <t>CLETODIM 240 EC BRILLIANCE</t>
        </is>
      </c>
      <c r="D83" s="205">
        <f>IFERROR(VLOOKUP($C83,'PORTIFÓLIO'!C:V,2,0),"")</f>
        <v/>
      </c>
      <c r="E83" s="190">
        <f>IFERROR(VLOOKUP($C83,'PORTIFÓLIO'!C:V,3,0),"")</f>
        <v/>
      </c>
      <c r="F83" s="190">
        <f>IFERROR(VLOOKUP($C83,'PORTIFÓLIO'!C:V,4,0),"")</f>
        <v/>
      </c>
      <c r="G83" s="223">
        <f>IFERROR(VLOOKUP($C83,'PORTIFÓLIO'!C:V,5,0),"")</f>
        <v/>
      </c>
      <c r="H83" s="207">
        <f t="array" ref="H83">IFERROR(INDEX('PORTIFÓLIO'!$H$4:$H$433,MATCH($C83,'PORTIFÓLIO'!$C$4:$C$433,0)),"")</f>
        <v/>
      </c>
      <c r="I83" s="208" t="n">
        <v>0.4</v>
      </c>
      <c r="J83" s="209">
        <f>I83*$B$2</f>
        <v/>
      </c>
      <c r="K83" s="210">
        <f t="array" ref="K83">IFERROR(I83*INDEX('PORTIFÓLIO'!$S$4:$S$433,MATCH($C83,'PORTIFÓLIO'!$C$4:$C$433,0)),"")</f>
        <v/>
      </c>
      <c r="L83" s="210">
        <f t="array" ref="L83">IFERROR(J83*INDEX('PORTIFÓLIO'!$S$4:$S$433,MATCH($C83,'PORTIFÓLIO'!$C$4:$C$433,0)),"")</f>
        <v/>
      </c>
      <c r="M83" s="177" t="n"/>
      <c r="N83" s="177" t="n"/>
      <c r="O83" s="177" t="n"/>
      <c r="P83" s="177" t="n"/>
      <c r="Q83" s="177" t="n"/>
      <c r="R83" s="177" t="n"/>
      <c r="S83" s="177" t="n"/>
      <c r="T83" s="177" t="n"/>
      <c r="U83" s="177" t="n"/>
      <c r="V83" s="177" t="n"/>
      <c r="W83" s="177" t="n"/>
      <c r="X83" s="177" t="n"/>
    </row>
    <row r="84" outlineLevel="1" ht="15.75" customHeight="1" s="297">
      <c r="A84" s="190" t="n"/>
      <c r="B84" s="204" t="inlineStr">
        <is>
          <t>FUNGICIDA</t>
        </is>
      </c>
      <c r="C84" s="191" t="inlineStr">
        <is>
          <t>CHARRUA 430 SC</t>
        </is>
      </c>
      <c r="D84" s="205">
        <f>IFERROR(VLOOKUP($C84,'PORTIFÓLIO'!C:V,2,0),"")</f>
        <v/>
      </c>
      <c r="E84" s="190">
        <f>IFERROR(VLOOKUP($C84,'PORTIFÓLIO'!C:V,3,0),"")</f>
        <v/>
      </c>
      <c r="F84" s="190">
        <f>IFERROR(VLOOKUP($C84,'PORTIFÓLIO'!C:V,4,0),"")</f>
        <v/>
      </c>
      <c r="G84" s="223">
        <f>IFERROR(VLOOKUP($C84,'PORTIFÓLIO'!C:V,5,0),"")</f>
        <v/>
      </c>
      <c r="H84" s="207">
        <f t="array" ref="H84">IFERROR(INDEX('PORTIFÓLIO'!$H$4:$H$433,MATCH($C84,'PORTIFÓLIO'!$C$4:$C$433,0)),"")</f>
        <v/>
      </c>
      <c r="I84" s="208" t="n">
        <v>0.4</v>
      </c>
      <c r="J84" s="209">
        <f>I84*$B$2</f>
        <v/>
      </c>
      <c r="K84" s="210">
        <f t="array" ref="K84">IFERROR(I84*INDEX('PORTIFÓLIO'!$S$4:$S$433,MATCH($C84,'PORTIFÓLIO'!$C$4:$C$433,0)),"")</f>
        <v/>
      </c>
      <c r="L84" s="210">
        <f t="array" ref="L84">IFERROR(J84*INDEX('PORTIFÓLIO'!$S$4:$S$433,MATCH($C84,'PORTIFÓLIO'!$C$4:$C$433,0)),"")</f>
        <v/>
      </c>
      <c r="M84" s="177" t="n"/>
      <c r="N84" s="177" t="n"/>
      <c r="O84" s="177" t="n"/>
      <c r="P84" s="177" t="n"/>
      <c r="Q84" s="177" t="n"/>
      <c r="R84" s="177" t="n"/>
      <c r="S84" s="177" t="n"/>
      <c r="T84" s="177" t="n"/>
      <c r="U84" s="177" t="n"/>
      <c r="V84" s="177" t="n"/>
      <c r="W84" s="177" t="n"/>
      <c r="X84" s="177" t="n"/>
    </row>
    <row r="85" outlineLevel="1" ht="15.75" customHeight="1" s="297">
      <c r="A85" s="190" t="n"/>
      <c r="B85" s="204" t="inlineStr">
        <is>
          <t>ADJUVANTE</t>
        </is>
      </c>
      <c r="C85" s="191" t="inlineStr">
        <is>
          <t>RUMBA</t>
        </is>
      </c>
      <c r="D85" s="205">
        <f>IFERROR(VLOOKUP($C85,'PORTIFÓLIO'!C:V,2,0),"")</f>
        <v/>
      </c>
      <c r="E85" s="190">
        <f>IFERROR(VLOOKUP($C85,'PORTIFÓLIO'!C:V,3,0),"")</f>
        <v/>
      </c>
      <c r="F85" s="190">
        <f>IFERROR(VLOOKUP($C85,'PORTIFÓLIO'!C:V,4,0),"")</f>
        <v/>
      </c>
      <c r="G85" s="223">
        <f>IFERROR(VLOOKUP($C85,'PORTIFÓLIO'!C:V,5,0),"")</f>
        <v/>
      </c>
      <c r="H85" s="207">
        <f t="array" ref="H85">IFERROR(INDEX('PORTIFÓLIO'!$H$4:$H$433,MATCH($C85,'PORTIFÓLIO'!$C$4:$C$433,0)),"")</f>
        <v/>
      </c>
      <c r="I85" s="208" t="n">
        <v>0.2</v>
      </c>
      <c r="J85" s="209">
        <f>I85*$B$2</f>
        <v/>
      </c>
      <c r="K85" s="210">
        <f t="array" ref="K85">IFERROR(I85*INDEX('PORTIFÓLIO'!$S$4:$S$433,MATCH($C85,'PORTIFÓLIO'!$C$4:$C$433,0)),"")</f>
        <v/>
      </c>
      <c r="L85" s="210">
        <f t="array" ref="L85">IFERROR(J85*INDEX('PORTIFÓLIO'!$S$4:$S$433,MATCH($C85,'PORTIFÓLIO'!$C$4:$C$433,0)),"")</f>
        <v/>
      </c>
      <c r="M85" s="177" t="n"/>
      <c r="N85" s="177" t="n"/>
      <c r="O85" s="177" t="n"/>
      <c r="P85" s="177" t="n"/>
      <c r="Q85" s="177" t="n"/>
      <c r="R85" s="177" t="n"/>
      <c r="S85" s="177" t="n"/>
      <c r="T85" s="177" t="n"/>
      <c r="U85" s="177" t="n"/>
      <c r="V85" s="177" t="n"/>
      <c r="W85" s="177" t="n"/>
      <c r="X85" s="177" t="n"/>
    </row>
    <row r="86" outlineLevel="1" ht="15.75" customHeight="1" s="297">
      <c r="A86" s="211" t="n"/>
      <c r="B86" s="212" t="inlineStr">
        <is>
          <t>NUTRIÇÃO</t>
        </is>
      </c>
      <c r="C86" s="213" t="inlineStr">
        <is>
          <t>AMINOS Mn</t>
        </is>
      </c>
      <c r="D86" s="214">
        <f>IFERROR(VLOOKUP($C86,'PORTIFÓLIO'!C:V,2,0),"")</f>
        <v/>
      </c>
      <c r="E86" s="211">
        <f>IFERROR(VLOOKUP($C86,'PORTIFÓLIO'!C:V,3,0),"")</f>
        <v/>
      </c>
      <c r="F86" s="211">
        <f>IFERROR(VLOOKUP($C86,'PORTIFÓLIO'!C:V,4,0),"")</f>
        <v/>
      </c>
      <c r="G86" s="215">
        <f>IFERROR(VLOOKUP($C86,'PORTIFÓLIO'!C:V,5,0),"")</f>
        <v/>
      </c>
      <c r="H86" s="216">
        <f t="array" ref="H86">IFERROR(INDEX('PORTIFÓLIO'!$H$4:$H$433,MATCH($C86,'PORTIFÓLIO'!$C$4:$C$433,0)),"")</f>
        <v/>
      </c>
      <c r="I86" s="217" t="n">
        <v>0.5</v>
      </c>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c r="X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16">
        <f t="array" ref="H87">IFERROR(INDEX('PORTIFÓLIO'!$H$4:$H$433,MATCH($C87,'PORTIFÓLIO'!$C$4:$C$433,0)),"")</f>
        <v/>
      </c>
      <c r="I87" s="224"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c r="X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16">
        <f t="array" ref="H88">IFERROR(INDEX('PORTIFÓLIO'!$H$4:$H$433,MATCH($C88,'PORTIFÓLIO'!$C$4:$C$433,0)),"")</f>
        <v/>
      </c>
      <c r="I88" s="224"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c r="X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16">
        <f t="array" ref="H89">IFERROR(INDEX('PORTIFÓLIO'!$H$4:$H$433,MATCH($C89,'PORTIFÓLIO'!$C$4:$C$433,0)),"")</f>
        <v/>
      </c>
      <c r="I89" s="224"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c r="X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16">
        <f t="array" ref="H90">IFERROR(INDEX('PORTIFÓLIO'!$H$4:$H$433,MATCH($C90,'PORTIFÓLIO'!$C$4:$C$433,0)),"")</f>
        <v/>
      </c>
      <c r="I90" s="217"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c r="X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16">
        <f t="array" ref="H91">IFERROR(INDEX('PORTIFÓLIO'!$H$4:$H$433,MATCH($C91,'PORTIFÓLIO'!$C$4:$C$433,0)),"")</f>
        <v/>
      </c>
      <c r="I91" s="224"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c r="X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16">
        <f t="array" ref="H92">IFERROR(INDEX('PORTIFÓLIO'!$H$4:$H$433,MATCH($C92,'PORTIFÓLIO'!$C$4:$C$433,0)),"")</f>
        <v/>
      </c>
      <c r="I92" s="224"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c r="X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16">
        <f t="array" ref="H93">IFERROR(INDEX('PORTIFÓLIO'!$H$4:$H$433,MATCH($C93,'PORTIFÓLIO'!$C$4:$C$433,0)),"")</f>
        <v/>
      </c>
      <c r="I93" s="224"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c r="X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16">
        <f t="array" ref="H94">IFERROR(INDEX('PORTIFÓLIO'!$H$4:$H$433,MATCH($C94,'PORTIFÓLIO'!$C$4:$C$433,0)),"")</f>
        <v/>
      </c>
      <c r="I94" s="224"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c r="X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16">
        <f t="array" ref="H95">IFERROR(INDEX('PORTIFÓLIO'!$H$4:$H$433,MATCH($C95,'PORTIFÓLIO'!$C$4:$C$433,0)),"")</f>
        <v/>
      </c>
      <c r="I95" s="224"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c r="X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16">
        <f t="array" ref="H96">IFERROR(INDEX('PORTIFÓLIO'!$H$4:$H$433,MATCH($C96,'PORTIFÓLIO'!$C$4:$C$433,0)),"")</f>
        <v/>
      </c>
      <c r="I96" s="224"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c r="X96" s="220" t="n"/>
    </row>
    <row r="97" ht="15.75" customHeight="1" s="297">
      <c r="A97" s="221" t="inlineStr">
        <is>
          <t>OPERAÇÃO 6</t>
        </is>
      </c>
      <c r="B97" s="197" t="n"/>
      <c r="C97" s="196" t="n"/>
      <c r="D97" s="198" t="n"/>
      <c r="E97" s="196" t="n"/>
      <c r="F97" s="196" t="n"/>
      <c r="G97" s="199" t="n"/>
      <c r="H97" s="222" t="n"/>
      <c r="I97" s="201" t="n"/>
      <c r="J97" s="202" t="n"/>
      <c r="K97" s="203">
        <f>SUBTOTAL(9,K98:K111)</f>
        <v/>
      </c>
      <c r="L97" s="203">
        <f>SUBTOTAL(9,L98:L111)</f>
        <v/>
      </c>
      <c r="M97" s="177" t="n"/>
      <c r="N97" s="177" t="n"/>
      <c r="O97" s="177" t="n"/>
      <c r="P97" s="177" t="n"/>
      <c r="Q97" s="177" t="n"/>
      <c r="R97" s="177" t="n"/>
      <c r="S97" s="177" t="n"/>
      <c r="T97" s="177" t="n"/>
      <c r="U97" s="177" t="n"/>
      <c r="V97" s="177" t="n"/>
      <c r="W97" s="177" t="n"/>
      <c r="X97" s="177" t="n"/>
    </row>
    <row r="98" outlineLevel="1" ht="15.75" customHeight="1" s="297">
      <c r="A98" s="191" t="n"/>
      <c r="B98" s="204" t="inlineStr">
        <is>
          <t>FUNGICIDA</t>
        </is>
      </c>
      <c r="C98" s="191" t="inlineStr">
        <is>
          <t>BELYAN</t>
        </is>
      </c>
      <c r="D98" s="205">
        <f>IFERROR(VLOOKUP($C98,'PORTIFÓLIO'!C:V,2,0),"")</f>
        <v/>
      </c>
      <c r="E98" s="190">
        <f>IFERROR(VLOOKUP($C98,'PORTIFÓLIO'!C:V,3,0),"")</f>
        <v/>
      </c>
      <c r="F98" s="190">
        <f>IFERROR(VLOOKUP($C98,'PORTIFÓLIO'!C:V,4,0),"")</f>
        <v/>
      </c>
      <c r="G98" s="223">
        <f>IFERROR(VLOOKUP($C98,'PORTIFÓLIO'!C:V,5,0),"")</f>
        <v/>
      </c>
      <c r="H98" s="207">
        <f t="array" ref="H98">IFERROR(INDEX('PORTIFÓLIO'!$H$4:$H$433,MATCH($C98,'PORTIFÓLIO'!$C$4:$C$433,0)),"")</f>
        <v/>
      </c>
      <c r="I98" s="208" t="n">
        <v>0.7</v>
      </c>
      <c r="J98" s="209">
        <f>I98*$B$2</f>
        <v/>
      </c>
      <c r="K98" s="210">
        <f t="array" ref="K98">IFERROR(I98*INDEX('PORTIFÓLIO'!$S$4:$S$433,MATCH($C98,'PORTIFÓLIO'!$C$4:$C$433,0)),"")</f>
        <v/>
      </c>
      <c r="L98" s="210">
        <f t="array" ref="L98">IFERROR(J98*INDEX('PORTIFÓLIO'!$S$4:$S$433,MATCH($C98,'PORTIFÓLIO'!$C$4:$C$433,0)),"")</f>
        <v/>
      </c>
      <c r="M98" s="177" t="n"/>
      <c r="N98" s="177" t="n"/>
      <c r="O98" s="177" t="n"/>
      <c r="P98" s="177" t="n"/>
      <c r="Q98" s="177" t="n"/>
      <c r="R98" s="177" t="n"/>
      <c r="S98" s="177" t="n"/>
      <c r="T98" s="177" t="n"/>
      <c r="U98" s="177" t="n"/>
      <c r="V98" s="177" t="n"/>
      <c r="W98" s="177" t="n"/>
      <c r="X98" s="177" t="n"/>
    </row>
    <row r="99" outlineLevel="1" ht="15.75" customHeight="1" s="297">
      <c r="A99" s="190" t="n"/>
      <c r="B99" s="204" t="inlineStr">
        <is>
          <t>FUNGICIDA</t>
        </is>
      </c>
      <c r="C99" s="191" t="inlineStr">
        <is>
          <t>FLUAZINAM NORTOX 500 SC</t>
        </is>
      </c>
      <c r="D99" s="205">
        <f>IFERROR(VLOOKUP($C99,'PORTIFÓLIO'!C:V,2,0),"")</f>
        <v/>
      </c>
      <c r="E99" s="190">
        <f>IFERROR(VLOOKUP($C99,'PORTIFÓLIO'!C:V,3,0),"")</f>
        <v/>
      </c>
      <c r="F99" s="190">
        <f>IFERROR(VLOOKUP($C99,'PORTIFÓLIO'!C:V,4,0),"")</f>
        <v/>
      </c>
      <c r="G99" s="223">
        <f>IFERROR(VLOOKUP($C99,'PORTIFÓLIO'!C:V,5,0),"")</f>
        <v/>
      </c>
      <c r="H99" s="207">
        <f t="array" ref="H99">IFERROR(INDEX('PORTIFÓLIO'!$H$4:$H$433,MATCH($C99,'PORTIFÓLIO'!$C$4:$C$433,0)),"")</f>
        <v/>
      </c>
      <c r="I99" s="208" t="n">
        <v>1</v>
      </c>
      <c r="J99" s="209">
        <f>I99*$B$2</f>
        <v/>
      </c>
      <c r="K99" s="210">
        <f t="array" ref="K99">IFERROR(I99*INDEX('PORTIFÓLIO'!$S$4:$S$433,MATCH($C99,'PORTIFÓLIO'!$C$4:$C$433,0)),"")</f>
        <v/>
      </c>
      <c r="L99" s="210">
        <f t="array" ref="L99">IFERROR(J99*INDEX('PORTIFÓLIO'!$S$4:$S$433,MATCH($C99,'PORTIFÓLIO'!$C$4:$C$433,0)),"")</f>
        <v/>
      </c>
      <c r="M99" s="177" t="n"/>
      <c r="N99" s="177" t="n"/>
      <c r="O99" s="177" t="n"/>
      <c r="P99" s="177" t="n"/>
      <c r="Q99" s="177" t="n"/>
      <c r="R99" s="177" t="n"/>
      <c r="S99" s="177" t="n"/>
      <c r="T99" s="177" t="n"/>
      <c r="U99" s="177" t="n"/>
      <c r="V99" s="177" t="n"/>
      <c r="W99" s="177" t="n"/>
      <c r="X99" s="177" t="n"/>
    </row>
    <row r="100" outlineLevel="1" ht="15.75" customHeight="1" s="297">
      <c r="A100" s="190" t="n"/>
      <c r="B100" s="204" t="inlineStr">
        <is>
          <t>INSETICIDA</t>
        </is>
      </c>
      <c r="C100" s="191" t="inlineStr">
        <is>
          <t>TALSTAR 400</t>
        </is>
      </c>
      <c r="D100" s="205">
        <f>IFERROR(VLOOKUP($C100,'PORTIFÓLIO'!C:V,2,0),"")</f>
        <v/>
      </c>
      <c r="E100" s="190">
        <f>IFERROR(VLOOKUP($C100,'PORTIFÓLIO'!C:V,3,0),"")</f>
        <v/>
      </c>
      <c r="F100" s="190">
        <f>IFERROR(VLOOKUP($C100,'PORTIFÓLIO'!C:V,4,0),"")</f>
        <v/>
      </c>
      <c r="G100" s="223">
        <f>IFERROR(VLOOKUP($C100,'PORTIFÓLIO'!C:V,5,0),"")</f>
        <v/>
      </c>
      <c r="H100" s="207">
        <f t="array" ref="H100">IFERROR(INDEX('PORTIFÓLIO'!$H$4:$H$433,MATCH($C100,'PORTIFÓLIO'!$C$4:$C$433,0)),"")</f>
        <v/>
      </c>
      <c r="I100" s="208" t="n">
        <v>0.05</v>
      </c>
      <c r="J100" s="209">
        <f>I100*$B$2</f>
        <v/>
      </c>
      <c r="K100" s="210">
        <f t="array" ref="K100">IFERROR(I100*INDEX('PORTIFÓLIO'!$S$4:$S$433,MATCH($C100,'PORTIFÓLIO'!$C$4:$C$433,0)),"")</f>
        <v/>
      </c>
      <c r="L100" s="210">
        <f t="array" ref="L100">IFERROR(J100*INDEX('PORTIFÓLIO'!$S$4:$S$433,MATCH($C100,'PORTIFÓLIO'!$C$4:$C$433,0)),"")</f>
        <v/>
      </c>
      <c r="M100" s="177" t="n"/>
      <c r="N100" s="177" t="n"/>
      <c r="O100" s="177" t="n"/>
      <c r="P100" s="177" t="n"/>
      <c r="Q100" s="177" t="n"/>
      <c r="R100" s="177" t="n"/>
      <c r="S100" s="177" t="n"/>
      <c r="T100" s="177" t="n"/>
      <c r="U100" s="177" t="n"/>
      <c r="V100" s="177" t="n"/>
      <c r="W100" s="177" t="n"/>
      <c r="X100" s="177" t="n"/>
    </row>
    <row r="101" outlineLevel="1" ht="15.75" customHeight="1" s="297">
      <c r="A101" s="190" t="n"/>
      <c r="B101" s="204" t="inlineStr">
        <is>
          <t>INSETICIDA</t>
        </is>
      </c>
      <c r="C101" s="191" t="inlineStr">
        <is>
          <t>IMIDACLOPRID NORTOX 480 SC</t>
        </is>
      </c>
      <c r="D101" s="205">
        <f>IFERROR(VLOOKUP($C101,'PORTIFÓLIO'!C:V,2,0),"")</f>
        <v/>
      </c>
      <c r="E101" s="190">
        <f>IFERROR(VLOOKUP($C101,'PORTIFÓLIO'!C:V,3,0),"")</f>
        <v/>
      </c>
      <c r="F101" s="190">
        <f>IFERROR(VLOOKUP($C101,'PORTIFÓLIO'!C:V,4,0),"")</f>
        <v/>
      </c>
      <c r="G101" s="223">
        <f>IFERROR(VLOOKUP($C101,'PORTIFÓLIO'!C:V,5,0),"")</f>
        <v/>
      </c>
      <c r="H101" s="207">
        <f t="array" ref="H101">IFERROR(INDEX('PORTIFÓLIO'!$H$4:$H$433,MATCH($C101,'PORTIFÓLIO'!$C$4:$C$433,0)),"")</f>
        <v/>
      </c>
      <c r="I101" s="208" t="n">
        <v>0.25</v>
      </c>
      <c r="J101" s="209">
        <f>I101*$B$2</f>
        <v/>
      </c>
      <c r="K101" s="210">
        <f t="array" ref="K101">IFERROR(I101*INDEX('PORTIFÓLIO'!$S$4:$S$433,MATCH($C101,'PORTIFÓLIO'!$C$4:$C$433,0)),"")</f>
        <v/>
      </c>
      <c r="L101" s="210">
        <f t="array" ref="L101">IFERROR(J101*INDEX('PORTIFÓLIO'!$S$4:$S$433,MATCH($C101,'PORTIFÓLIO'!$C$4:$C$433,0)),"")</f>
        <v/>
      </c>
      <c r="M101" s="177" t="n"/>
      <c r="N101" s="177" t="n"/>
      <c r="O101" s="177" t="n"/>
      <c r="P101" s="177" t="n"/>
      <c r="Q101" s="177" t="n"/>
      <c r="R101" s="177" t="n"/>
      <c r="S101" s="177" t="n"/>
      <c r="T101" s="177" t="n"/>
      <c r="U101" s="177" t="n"/>
      <c r="V101" s="177" t="n"/>
      <c r="W101" s="177" t="n"/>
      <c r="X101" s="177" t="n"/>
    </row>
    <row r="102" outlineLevel="1" ht="15.75" customHeight="1" s="297">
      <c r="A102" s="190" t="n"/>
      <c r="B102" s="204" t="inlineStr">
        <is>
          <t>INSETICIDA</t>
        </is>
      </c>
      <c r="C102" s="191" t="inlineStr">
        <is>
          <t>DIFLUBENZURON CCAB 480 SC</t>
        </is>
      </c>
      <c r="D102" s="205">
        <f>IFERROR(VLOOKUP($C102,'PORTIFÓLIO'!C:V,2,0),"")</f>
        <v/>
      </c>
      <c r="E102" s="190">
        <f>IFERROR(VLOOKUP($C102,'PORTIFÓLIO'!C:V,3,0),"")</f>
        <v/>
      </c>
      <c r="F102" s="190">
        <f>IFERROR(VLOOKUP($C102,'PORTIFÓLIO'!C:V,4,0),"")</f>
        <v/>
      </c>
      <c r="G102" s="223">
        <f>IFERROR(VLOOKUP($C102,'PORTIFÓLIO'!C:V,5,0),"")</f>
        <v/>
      </c>
      <c r="H102" s="207">
        <f t="array" ref="H102">IFERROR(INDEX('PORTIFÓLIO'!$H$4:$H$433,MATCH($C102,'PORTIFÓLIO'!$C$4:$C$433,0)),"")</f>
        <v/>
      </c>
      <c r="I102" s="208" t="n">
        <v>0.05</v>
      </c>
      <c r="J102" s="209">
        <f>I102*$B$2</f>
        <v/>
      </c>
      <c r="K102" s="210">
        <f t="array" ref="K102">IFERROR(I102*INDEX('PORTIFÓLIO'!$S$4:$S$433,MATCH($C102,'PORTIFÓLIO'!$C$4:$C$433,0)),"")</f>
        <v/>
      </c>
      <c r="L102" s="210">
        <f t="array" ref="L102">IFERROR(J102*INDEX('PORTIFÓLIO'!$S$4:$S$433,MATCH($C102,'PORTIFÓLIO'!$C$4:$C$433,0)),"")</f>
        <v/>
      </c>
      <c r="M102" s="177" t="n"/>
      <c r="N102" s="177" t="n"/>
      <c r="O102" s="177" t="n"/>
      <c r="P102" s="177" t="n"/>
      <c r="Q102" s="177" t="n"/>
      <c r="R102" s="177" t="n"/>
      <c r="S102" s="177" t="n"/>
      <c r="T102" s="177" t="n"/>
      <c r="U102" s="177" t="n"/>
      <c r="V102" s="177" t="n"/>
      <c r="W102" s="177" t="n"/>
      <c r="X102" s="177" t="n"/>
    </row>
    <row r="103" outlineLevel="1" ht="15.75" customHeight="1" s="297">
      <c r="A103" s="190" t="n"/>
      <c r="B103" s="204" t="inlineStr">
        <is>
          <t>ADJUVANTE</t>
        </is>
      </c>
      <c r="C103" s="191" t="inlineStr">
        <is>
          <t>RUMBA</t>
        </is>
      </c>
      <c r="D103" s="205">
        <f>IFERROR(VLOOKUP($C103,'PORTIFÓLIO'!C:V,2,0),"")</f>
        <v/>
      </c>
      <c r="E103" s="190">
        <f>IFERROR(VLOOKUP($C103,'PORTIFÓLIO'!C:V,3,0),"")</f>
        <v/>
      </c>
      <c r="F103" s="190">
        <f>IFERROR(VLOOKUP($C103,'PORTIFÓLIO'!C:V,4,0),"")</f>
        <v/>
      </c>
      <c r="G103" s="223">
        <f>IFERROR(VLOOKUP($C103,'PORTIFÓLIO'!C:V,5,0),"")</f>
        <v/>
      </c>
      <c r="H103" s="207">
        <f t="array" ref="H103">IFERROR(INDEX('PORTIFÓLIO'!$H$4:$H$433,MATCH($C103,'PORTIFÓLIO'!$C$4:$C$433,0)),"")</f>
        <v/>
      </c>
      <c r="I103" s="208" t="n">
        <v>0.2</v>
      </c>
      <c r="J103" s="209">
        <f>I103*$B$2</f>
        <v/>
      </c>
      <c r="K103" s="210">
        <f t="array" ref="K103">IFERROR(I103*INDEX('PORTIFÓLIO'!$S$4:$S$433,MATCH($C103,'PORTIFÓLIO'!$C$4:$C$433,0)),"")</f>
        <v/>
      </c>
      <c r="L103" s="210">
        <f t="array" ref="L103">IFERROR(J103*INDEX('PORTIFÓLIO'!$S$4:$S$433,MATCH($C103,'PORTIFÓLIO'!$C$4:$C$433,0)),"")</f>
        <v/>
      </c>
      <c r="M103" s="177" t="n"/>
      <c r="N103" s="177" t="n"/>
      <c r="O103" s="177" t="n"/>
      <c r="P103" s="177" t="n"/>
      <c r="Q103" s="177" t="n"/>
      <c r="R103" s="177" t="n"/>
      <c r="S103" s="177" t="n"/>
      <c r="T103" s="177" t="n"/>
      <c r="U103" s="177" t="n"/>
      <c r="V103" s="177" t="n"/>
      <c r="W103" s="177" t="n"/>
      <c r="X103" s="177" t="n"/>
    </row>
    <row r="104" outlineLevel="1" ht="15.75" customHeight="1" s="297">
      <c r="A104" s="190" t="n"/>
      <c r="B104" s="204" t="inlineStr">
        <is>
          <t>FUNGICIDA</t>
        </is>
      </c>
      <c r="C104" s="191" t="inlineStr">
        <is>
          <t>MANCOZEB CCAB 750 WG</t>
        </is>
      </c>
      <c r="D104" s="205">
        <f>IFERROR(VLOOKUP($C104,'PORTIFÓLIO'!C:V,2,0),"")</f>
        <v/>
      </c>
      <c r="E104" s="190">
        <f>IFERROR(VLOOKUP($C104,'PORTIFÓLIO'!C:V,3,0),"")</f>
        <v/>
      </c>
      <c r="F104" s="190">
        <f>IFERROR(VLOOKUP($C104,'PORTIFÓLIO'!C:V,4,0),"")</f>
        <v/>
      </c>
      <c r="G104" s="223">
        <f>IFERROR(VLOOKUP($C104,'PORTIFÓLIO'!C:V,5,0),"")</f>
        <v/>
      </c>
      <c r="H104" s="207">
        <f t="array" ref="H104">IFERROR(INDEX('PORTIFÓLIO'!$H$4:$H$433,MATCH($C104,'PORTIFÓLIO'!$C$4:$C$433,0)),"")</f>
        <v/>
      </c>
      <c r="I104" s="208" t="n">
        <v>1.5</v>
      </c>
      <c r="J104" s="209">
        <f>I104*$B$2</f>
        <v/>
      </c>
      <c r="K104" s="210">
        <f t="array" ref="K104">IFERROR(I104*INDEX('PORTIFÓLIO'!$S$4:$S$433,MATCH($C104,'PORTIFÓLIO'!$C$4:$C$433,0)),"")</f>
        <v/>
      </c>
      <c r="L104" s="210">
        <f t="array" ref="L104">IFERROR(J104*INDEX('PORTIFÓLIO'!$S$4:$S$433,MATCH($C104,'PORTIFÓLIO'!$C$4:$C$433,0)),"")</f>
        <v/>
      </c>
      <c r="M104" s="177" t="n"/>
      <c r="N104" s="177" t="n"/>
      <c r="O104" s="177" t="n"/>
      <c r="P104" s="177" t="n"/>
      <c r="Q104" s="177" t="n"/>
      <c r="R104" s="177" t="n"/>
      <c r="S104" s="177" t="n"/>
      <c r="T104" s="177" t="n"/>
      <c r="U104" s="177" t="n"/>
      <c r="V104" s="177" t="n"/>
      <c r="W104" s="177" t="n"/>
      <c r="X104" s="177"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16">
        <f t="array" ref="H105">IFERROR(INDEX('PORTIFÓLIO'!$H$4:$H$433,MATCH($C105,'PORTIFÓLIO'!$C$4:$C$433,0)),"")</f>
        <v/>
      </c>
      <c r="I105" s="224"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c r="X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16">
        <f t="array" ref="H106">IFERROR(INDEX('PORTIFÓLIO'!$H$4:$H$433,MATCH($C106,'PORTIFÓLIO'!$C$4:$C$433,0)),"")</f>
        <v/>
      </c>
      <c r="I106" s="217"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c r="X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16">
        <f t="array" ref="H107">IFERROR(INDEX('PORTIFÓLIO'!$H$4:$H$433,MATCH($C107,'PORTIFÓLIO'!$C$4:$C$433,0)),"")</f>
        <v/>
      </c>
      <c r="I107" s="224"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c r="X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16">
        <f t="array" ref="H108">IFERROR(INDEX('PORTIFÓLIO'!$H$4:$H$433,MATCH($C108,'PORTIFÓLIO'!$C$4:$C$433,0)),"")</f>
        <v/>
      </c>
      <c r="I108" s="224"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c r="X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16">
        <f t="array" ref="H109">IFERROR(INDEX('PORTIFÓLIO'!$H$4:$H$433,MATCH($C109,'PORTIFÓLIO'!$C$4:$C$433,0)),"")</f>
        <v/>
      </c>
      <c r="I109" s="224"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c r="X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16">
        <f t="array" ref="H110">IFERROR(INDEX('PORTIFÓLIO'!$H$4:$H$433,MATCH($C110,'PORTIFÓLIO'!$C$4:$C$433,0)),"")</f>
        <v/>
      </c>
      <c r="I110" s="224"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c r="X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16">
        <f t="array" ref="H111">IFERROR(INDEX('PORTIFÓLIO'!$H$4:$H$433,MATCH($C111,'PORTIFÓLIO'!$C$4:$C$433,0)),"")</f>
        <v/>
      </c>
      <c r="I111" s="224"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c r="X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16">
        <f t="array" ref="H112">IFERROR(INDEX('PORTIFÓLIO'!$H$4:$H$433,MATCH($C112,'PORTIFÓLIO'!$C$4:$C$433,0)),"")</f>
        <v/>
      </c>
      <c r="I112" s="224"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c r="X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16">
        <f t="array" ref="H113">IFERROR(INDEX('PORTIFÓLIO'!$H$4:$H$433,MATCH($C113,'PORTIFÓLIO'!$C$4:$C$433,0)),"")</f>
        <v/>
      </c>
      <c r="I113" s="224"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c r="X113" s="220" t="n"/>
    </row>
    <row r="114" ht="15.75" customHeight="1" s="297">
      <c r="A114" s="221" t="inlineStr">
        <is>
          <t>OPERAÇÃO 7</t>
        </is>
      </c>
      <c r="B114" s="197" t="n"/>
      <c r="C114" s="196" t="n"/>
      <c r="D114" s="198" t="n"/>
      <c r="E114" s="196" t="n"/>
      <c r="F114" s="196" t="n"/>
      <c r="G114" s="199" t="n"/>
      <c r="H114" s="222" t="n"/>
      <c r="I114" s="201" t="n"/>
      <c r="J114" s="202" t="n"/>
      <c r="K114" s="203">
        <f>SUBTOTAL(9,K115:K128)</f>
        <v/>
      </c>
      <c r="L114" s="203">
        <f>SUBTOTAL(9,L115:L128)</f>
        <v/>
      </c>
      <c r="M114" s="177" t="n"/>
      <c r="N114" s="177" t="n"/>
      <c r="O114" s="177" t="n"/>
      <c r="P114" s="177" t="n"/>
      <c r="Q114" s="177" t="n"/>
      <c r="R114" s="177" t="n"/>
      <c r="S114" s="177" t="n"/>
      <c r="T114" s="177" t="n"/>
      <c r="U114" s="177" t="n"/>
      <c r="V114" s="177" t="n"/>
      <c r="W114" s="177" t="n"/>
      <c r="X114" s="177" t="n"/>
    </row>
    <row r="115" outlineLevel="1" ht="15.75" customHeight="1" s="297">
      <c r="A115" s="191" t="n"/>
      <c r="B115" s="204" t="inlineStr">
        <is>
          <t>FUNGICIDA</t>
        </is>
      </c>
      <c r="C115" s="226" t="inlineStr">
        <is>
          <t>FOX XPRO</t>
        </is>
      </c>
      <c r="D115" s="205">
        <f>IFERROR(VLOOKUP($C115,'PORTIFÓLIO'!C:V,2,0),"")</f>
        <v/>
      </c>
      <c r="E115" s="190">
        <f>IFERROR(VLOOKUP($C115,'PORTIFÓLIO'!C:V,3,0),"")</f>
        <v/>
      </c>
      <c r="F115" s="190">
        <f>IFERROR(VLOOKUP($C115,'PORTIFÓLIO'!C:V,4,0),"")</f>
        <v/>
      </c>
      <c r="G115" s="223">
        <f>IFERROR(VLOOKUP($C115,'PORTIFÓLIO'!C:V,5,0),"")</f>
        <v/>
      </c>
      <c r="H115" s="207">
        <f t="array" ref="H115">IFERROR(INDEX('PORTIFÓLIO'!$H$4:$H$433,MATCH($C115,'PORTIFÓLIO'!$C$4:$C$433,0)),"")</f>
        <v/>
      </c>
      <c r="I115" s="208" t="n">
        <v>0.5</v>
      </c>
      <c r="J115" s="209">
        <f>I115*$B$2</f>
        <v/>
      </c>
      <c r="K115" s="210">
        <f t="array" ref="K115">IFERROR(I115*INDEX('PORTIFÓLIO'!$S$4:$S$433,MATCH($C115,'PORTIFÓLIO'!$C$4:$C$433,0)),"")</f>
        <v/>
      </c>
      <c r="L115" s="210">
        <f t="array" ref="L115">IFERROR(J115*INDEX('PORTIFÓLIO'!$S$4:$S$433,MATCH($C115,'PORTIFÓLIO'!$C$4:$C$433,0)),"")</f>
        <v/>
      </c>
      <c r="M115" s="177" t="n"/>
      <c r="N115" s="177" t="n"/>
      <c r="O115" s="177" t="n"/>
      <c r="P115" s="177" t="n"/>
      <c r="Q115" s="177" t="n"/>
      <c r="R115" s="177" t="n"/>
      <c r="S115" s="177" t="n"/>
      <c r="T115" s="177" t="n"/>
      <c r="U115" s="177" t="n"/>
      <c r="V115" s="177" t="n"/>
      <c r="W115" s="177" t="n"/>
      <c r="X115" s="177" t="n"/>
    </row>
    <row r="116" outlineLevel="1" ht="15.75" customHeight="1" s="297">
      <c r="A116" s="190" t="n"/>
      <c r="B116" s="204" t="inlineStr">
        <is>
          <t>FUNGICIDA</t>
        </is>
      </c>
      <c r="C116" s="226" t="inlineStr">
        <is>
          <t>FLUAZINAM NORTOX 500 SC</t>
        </is>
      </c>
      <c r="D116" s="205">
        <f>IFERROR(VLOOKUP($C116,'PORTIFÓLIO'!C:V,2,0),"")</f>
        <v/>
      </c>
      <c r="E116" s="190">
        <f>IFERROR(VLOOKUP($C116,'PORTIFÓLIO'!C:V,3,0),"")</f>
        <v/>
      </c>
      <c r="F116" s="190">
        <f>IFERROR(VLOOKUP($C116,'PORTIFÓLIO'!C:V,4,0),"")</f>
        <v/>
      </c>
      <c r="G116" s="223">
        <f>IFERROR(VLOOKUP($C116,'PORTIFÓLIO'!C:V,5,0),"")</f>
        <v/>
      </c>
      <c r="H116" s="207">
        <f t="array" ref="H116">IFERROR(INDEX('PORTIFÓLIO'!$H$4:$H$433,MATCH($C116,'PORTIFÓLIO'!$C$4:$C$433,0)),"")</f>
        <v/>
      </c>
      <c r="I116" s="208" t="n">
        <v>1</v>
      </c>
      <c r="J116" s="209">
        <f>I116*$B$2</f>
        <v/>
      </c>
      <c r="K116" s="210">
        <f t="array" ref="K116">IFERROR(I116*INDEX('PORTIFÓLIO'!$S$4:$S$433,MATCH($C116,'PORTIFÓLIO'!$C$4:$C$433,0)),"")</f>
        <v/>
      </c>
      <c r="L116" s="210">
        <f t="array" ref="L116">IFERROR(J116*INDEX('PORTIFÓLIO'!$S$4:$S$433,MATCH($C116,'PORTIFÓLIO'!$C$4:$C$433,0)),"")</f>
        <v/>
      </c>
      <c r="M116" s="177" t="n"/>
      <c r="N116" s="177" t="n"/>
      <c r="O116" s="177" t="n"/>
      <c r="P116" s="177" t="n"/>
      <c r="Q116" s="177" t="n"/>
      <c r="R116" s="177" t="n"/>
      <c r="S116" s="177" t="n"/>
      <c r="T116" s="177" t="n"/>
      <c r="U116" s="177" t="n"/>
      <c r="V116" s="177" t="n"/>
      <c r="W116" s="177" t="n"/>
      <c r="X116" s="177" t="n"/>
    </row>
    <row r="117" outlineLevel="1" ht="15.75" customHeight="1" s="297">
      <c r="A117" s="190" t="n"/>
      <c r="B117" s="204" t="inlineStr">
        <is>
          <t>FUNGICIDA</t>
        </is>
      </c>
      <c r="C117" s="226" t="inlineStr">
        <is>
          <t>MANCOZEB CCAB 750 WG</t>
        </is>
      </c>
      <c r="D117" s="205">
        <f>IFERROR(VLOOKUP($C117,'PORTIFÓLIO'!C:V,2,0),"")</f>
        <v/>
      </c>
      <c r="E117" s="190">
        <f>IFERROR(VLOOKUP($C117,'PORTIFÓLIO'!C:V,3,0),"")</f>
        <v/>
      </c>
      <c r="F117" s="190">
        <f>IFERROR(VLOOKUP($C117,'PORTIFÓLIO'!C:V,4,0),"")</f>
        <v/>
      </c>
      <c r="G117" s="223">
        <f>IFERROR(VLOOKUP($C117,'PORTIFÓLIO'!C:V,5,0),"")</f>
        <v/>
      </c>
      <c r="H117" s="207">
        <f t="array" ref="H117">IFERROR(INDEX('PORTIFÓLIO'!$H$4:$H$433,MATCH($C117,'PORTIFÓLIO'!$C$4:$C$433,0)),"")</f>
        <v/>
      </c>
      <c r="I117" s="208" t="n">
        <v>1.5</v>
      </c>
      <c r="J117" s="209">
        <f>I117*$B$2</f>
        <v/>
      </c>
      <c r="K117" s="210">
        <f t="array" ref="K117">IFERROR(I117*INDEX('PORTIFÓLIO'!$S$4:$S$433,MATCH($C117,'PORTIFÓLIO'!$C$4:$C$433,0)),"")</f>
        <v/>
      </c>
      <c r="L117" s="210">
        <f t="array" ref="L117">IFERROR(J117*INDEX('PORTIFÓLIO'!$S$4:$S$433,MATCH($C117,'PORTIFÓLIO'!$C$4:$C$433,0)),"")</f>
        <v/>
      </c>
      <c r="M117" s="177" t="n"/>
      <c r="N117" s="177" t="n"/>
      <c r="O117" s="177" t="n"/>
      <c r="P117" s="177" t="n"/>
      <c r="Q117" s="177" t="n"/>
      <c r="R117" s="177" t="n"/>
      <c r="S117" s="177" t="n"/>
      <c r="T117" s="177" t="n"/>
      <c r="U117" s="177" t="n"/>
      <c r="V117" s="177" t="n"/>
      <c r="W117" s="177" t="n"/>
      <c r="X117" s="177" t="n"/>
    </row>
    <row r="118" outlineLevel="1" ht="15.75" customHeight="1" s="297">
      <c r="A118" s="190" t="n"/>
      <c r="B118" s="204" t="inlineStr">
        <is>
          <t>INSETICIDA</t>
        </is>
      </c>
      <c r="C118" s="226" t="inlineStr">
        <is>
          <t>MAGNUM</t>
        </is>
      </c>
      <c r="D118" s="205">
        <f>IFERROR(VLOOKUP($C118,'PORTIFÓLIO'!C:V,2,0),"")</f>
        <v/>
      </c>
      <c r="E118" s="190">
        <f>IFERROR(VLOOKUP($C118,'PORTIFÓLIO'!C:V,3,0),"")</f>
        <v/>
      </c>
      <c r="F118" s="190">
        <f>IFERROR(VLOOKUP($C118,'PORTIFÓLIO'!C:V,4,0),"")</f>
        <v/>
      </c>
      <c r="G118" s="223">
        <f>IFERROR(VLOOKUP($C118,'PORTIFÓLIO'!C:V,5,0),"")</f>
        <v/>
      </c>
      <c r="H118" s="207">
        <f t="array" ref="H118">IFERROR(INDEX('PORTIFÓLIO'!$H$4:$H$433,MATCH($C118,'PORTIFÓLIO'!$C$4:$C$433,0)),"")</f>
        <v/>
      </c>
      <c r="I118" s="208" t="n">
        <v>0.6</v>
      </c>
      <c r="J118" s="209">
        <f>I118*$B$2</f>
        <v/>
      </c>
      <c r="K118" s="210">
        <f t="array" ref="K118">IFERROR(I118*INDEX('PORTIFÓLIO'!$S$4:$S$433,MATCH($C118,'PORTIFÓLIO'!$C$4:$C$433,0)),"")</f>
        <v/>
      </c>
      <c r="L118" s="210">
        <f t="array" ref="L118">IFERROR(J118*INDEX('PORTIFÓLIO'!$S$4:$S$433,MATCH($C118,'PORTIFÓLIO'!$C$4:$C$433,0)),"")</f>
        <v/>
      </c>
      <c r="M118" s="177" t="n"/>
      <c r="N118" s="177" t="n"/>
      <c r="O118" s="177" t="n"/>
      <c r="P118" s="177" t="n"/>
      <c r="Q118" s="177" t="n"/>
      <c r="R118" s="177" t="n"/>
      <c r="S118" s="177" t="n"/>
      <c r="T118" s="177" t="n"/>
      <c r="U118" s="177" t="n"/>
      <c r="V118" s="177" t="n"/>
      <c r="W118" s="177" t="n"/>
      <c r="X118" s="177" t="n"/>
    </row>
    <row r="119" outlineLevel="1" ht="15.75" customHeight="1" s="297">
      <c r="A119" s="190" t="n"/>
      <c r="B119" s="204" t="inlineStr">
        <is>
          <t>INSETICIDA</t>
        </is>
      </c>
      <c r="C119" s="226" t="inlineStr">
        <is>
          <t>DIFLUBENZURON CCAB 480 SC</t>
        </is>
      </c>
      <c r="D119" s="205">
        <f>IFERROR(VLOOKUP($C119,'PORTIFÓLIO'!C:V,2,0),"")</f>
        <v/>
      </c>
      <c r="E119" s="190">
        <f>IFERROR(VLOOKUP($C119,'PORTIFÓLIO'!C:V,3,0),"")</f>
        <v/>
      </c>
      <c r="F119" s="190">
        <f>IFERROR(VLOOKUP($C119,'PORTIFÓLIO'!C:V,4,0),"")</f>
        <v/>
      </c>
      <c r="G119" s="223">
        <f>IFERROR(VLOOKUP($C119,'PORTIFÓLIO'!C:V,5,0),"")</f>
        <v/>
      </c>
      <c r="H119" s="207">
        <f t="array" ref="H119">IFERROR(INDEX('PORTIFÓLIO'!$H$4:$H$433,MATCH($C119,'PORTIFÓLIO'!$C$4:$C$433,0)),"")</f>
        <v/>
      </c>
      <c r="I119" s="208" t="n">
        <v>0.05</v>
      </c>
      <c r="J119" s="209">
        <f>I119*$B$2</f>
        <v/>
      </c>
      <c r="K119" s="210">
        <f t="array" ref="K119">IFERROR(I119*INDEX('PORTIFÓLIO'!$S$4:$S$433,MATCH($C119,'PORTIFÓLIO'!$C$4:$C$433,0)),"")</f>
        <v/>
      </c>
      <c r="L119" s="210">
        <f t="array" ref="L119">IFERROR(J119*INDEX('PORTIFÓLIO'!$S$4:$S$433,MATCH($C119,'PORTIFÓLIO'!$C$4:$C$433,0)),"")</f>
        <v/>
      </c>
      <c r="M119" s="177" t="n"/>
      <c r="N119" s="177" t="n"/>
      <c r="O119" s="177" t="n"/>
      <c r="P119" s="177" t="n"/>
      <c r="Q119" s="177" t="n"/>
      <c r="R119" s="177" t="n"/>
      <c r="S119" s="177" t="n"/>
      <c r="T119" s="177" t="n"/>
      <c r="U119" s="177" t="n"/>
      <c r="V119" s="177" t="n"/>
      <c r="W119" s="177" t="n"/>
      <c r="X119" s="177" t="n"/>
    </row>
    <row r="120" outlineLevel="1" ht="15.75" customHeight="1" s="297">
      <c r="A120" s="190" t="n"/>
      <c r="B120" s="204" t="inlineStr">
        <is>
          <t>ADJUVANTE</t>
        </is>
      </c>
      <c r="C120" s="191" t="inlineStr">
        <is>
          <t>RUMBA</t>
        </is>
      </c>
      <c r="D120" s="205">
        <f>IFERROR(VLOOKUP($C120,'PORTIFÓLIO'!C:V,2,0),"")</f>
        <v/>
      </c>
      <c r="E120" s="190">
        <f>IFERROR(VLOOKUP($C120,'PORTIFÓLIO'!C:V,3,0),"")</f>
        <v/>
      </c>
      <c r="F120" s="190">
        <f>IFERROR(VLOOKUP($C120,'PORTIFÓLIO'!C:V,4,0),"")</f>
        <v/>
      </c>
      <c r="G120" s="223">
        <f>IFERROR(VLOOKUP($C120,'PORTIFÓLIO'!C:V,5,0),"")</f>
        <v/>
      </c>
      <c r="H120" s="207">
        <f t="array" ref="H120">IFERROR(INDEX('PORTIFÓLIO'!$H$4:$H$433,MATCH($C120,'PORTIFÓLIO'!$C$4:$C$433,0)),"")</f>
        <v/>
      </c>
      <c r="I120" s="208" t="n">
        <v>0.2</v>
      </c>
      <c r="J120" s="209">
        <f>I120*$B$2</f>
        <v/>
      </c>
      <c r="K120" s="210">
        <f t="array" ref="K120">IFERROR(I120*INDEX('PORTIFÓLIO'!$S$4:$S$433,MATCH($C120,'PORTIFÓLIO'!$C$4:$C$433,0)),"")</f>
        <v/>
      </c>
      <c r="L120" s="210">
        <f t="array" ref="L120">IFERROR(J120*INDEX('PORTIFÓLIO'!$S$4:$S$433,MATCH($C120,'PORTIFÓLIO'!$C$4:$C$433,0)),"")</f>
        <v/>
      </c>
      <c r="M120" s="177" t="n"/>
      <c r="N120" s="177" t="n"/>
      <c r="O120" s="177" t="n"/>
      <c r="P120" s="177" t="n"/>
      <c r="Q120" s="177" t="n"/>
      <c r="R120" s="177" t="n"/>
      <c r="S120" s="177" t="n"/>
      <c r="T120" s="177" t="n"/>
      <c r="U120" s="177" t="n"/>
      <c r="V120" s="177" t="n"/>
      <c r="W120" s="177" t="n"/>
      <c r="X120" s="177"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16">
        <f t="array" ref="H121">IFERROR(INDEX('PORTIFÓLIO'!$H$4:$H$433,MATCH($C121,'PORTIFÓLIO'!$C$4:$C$433,0)),"")</f>
        <v/>
      </c>
      <c r="I121" s="217"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c r="X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16">
        <f t="array" ref="H122">IFERROR(INDEX('PORTIFÓLIO'!$H$4:$H$433,MATCH($C122,'PORTIFÓLIO'!$C$4:$C$433,0)),"")</f>
        <v/>
      </c>
      <c r="I122" s="217"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c r="X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16">
        <f t="array" ref="H123">IFERROR(INDEX('PORTIFÓLIO'!$H$4:$H$433,MATCH($C123,'PORTIFÓLIO'!$C$4:$C$433,0)),"")</f>
        <v/>
      </c>
      <c r="I123" s="217"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c r="X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16">
        <f t="array" ref="H124">IFERROR(INDEX('PORTIFÓLIO'!$H$4:$H$433,MATCH($C124,'PORTIFÓLIO'!$C$4:$C$433,0)),"")</f>
        <v/>
      </c>
      <c r="I124" s="224"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c r="X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16">
        <f t="array" ref="H125">IFERROR(INDEX('PORTIFÓLIO'!$H$4:$H$433,MATCH($C125,'PORTIFÓLIO'!$C$4:$C$433,0)),"")</f>
        <v/>
      </c>
      <c r="I125" s="224"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c r="X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16">
        <f t="array" ref="H126">IFERROR(INDEX('PORTIFÓLIO'!$H$4:$H$433,MATCH($C126,'PORTIFÓLIO'!$C$4:$C$433,0)),"")</f>
        <v/>
      </c>
      <c r="I126" s="224"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c r="X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16">
        <f t="array" ref="H127">IFERROR(INDEX('PORTIFÓLIO'!$H$4:$H$433,MATCH($C127,'PORTIFÓLIO'!$C$4:$C$433,0)),"")</f>
        <v/>
      </c>
      <c r="I127" s="224"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c r="X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16">
        <f t="array" ref="H128">IFERROR(INDEX('PORTIFÓLIO'!$H$4:$H$433,MATCH($C128,'PORTIFÓLIO'!$C$4:$C$433,0)),"")</f>
        <v/>
      </c>
      <c r="I128" s="224"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c r="X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16">
        <f t="array" ref="H129">IFERROR(INDEX('PORTIFÓLIO'!$H$4:$H$433,MATCH($C129,'PORTIFÓLIO'!$C$4:$C$433,0)),"")</f>
        <v/>
      </c>
      <c r="I129" s="224"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c r="X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16">
        <f t="array" ref="H130">IFERROR(INDEX('PORTIFÓLIO'!$H$4:$H$433,MATCH($C130,'PORTIFÓLIO'!$C$4:$C$433,0)),"")</f>
        <v/>
      </c>
      <c r="I130" s="224"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c r="X130" s="220" t="n"/>
    </row>
    <row r="131" ht="15.75" customHeight="1" s="297">
      <c r="A131" s="221" t="inlineStr">
        <is>
          <t>OPERAÇÃO 8</t>
        </is>
      </c>
      <c r="B131" s="197" t="n"/>
      <c r="C131" s="196" t="n"/>
      <c r="D131" s="198" t="n"/>
      <c r="E131" s="196" t="n"/>
      <c r="F131" s="196" t="n"/>
      <c r="G131" s="199" t="n"/>
      <c r="H131" s="222" t="n"/>
      <c r="I131" s="201" t="n"/>
      <c r="J131" s="202" t="n"/>
      <c r="K131" s="203">
        <f>SUBTOTAL(9,K132:K145)</f>
        <v/>
      </c>
      <c r="L131" s="203">
        <f>SUBTOTAL(9,L132:L145)</f>
        <v/>
      </c>
      <c r="M131" s="177" t="n"/>
      <c r="N131" s="177" t="n"/>
      <c r="O131" s="177" t="n"/>
      <c r="P131" s="177" t="n"/>
      <c r="Q131" s="177" t="n"/>
      <c r="R131" s="177" t="n"/>
      <c r="S131" s="177" t="n"/>
      <c r="T131" s="177" t="n"/>
      <c r="U131" s="177" t="n"/>
      <c r="V131" s="177" t="n"/>
      <c r="W131" s="177" t="n"/>
      <c r="X131" s="177" t="n"/>
    </row>
    <row r="132" outlineLevel="1" ht="15.75" customHeight="1" s="297">
      <c r="A132" s="191" t="n"/>
      <c r="B132" s="204" t="inlineStr">
        <is>
          <t>FUNGICIDA</t>
        </is>
      </c>
      <c r="C132" s="191" t="inlineStr">
        <is>
          <t>APROACH POWER</t>
        </is>
      </c>
      <c r="D132" s="205">
        <f>IFERROR(VLOOKUP($C132,'PORTIFÓLIO'!C:V,2,0),"")</f>
        <v/>
      </c>
      <c r="E132" s="190">
        <f>IFERROR(VLOOKUP($C132,'PORTIFÓLIO'!C:V,3,0),"")</f>
        <v/>
      </c>
      <c r="F132" s="190">
        <f>IFERROR(VLOOKUP($C132,'PORTIFÓLIO'!C:V,4,0),"")</f>
        <v/>
      </c>
      <c r="G132" s="223">
        <f>IFERROR(VLOOKUP($C132,'PORTIFÓLIO'!C:V,5,0),"")</f>
        <v/>
      </c>
      <c r="H132" s="207">
        <f t="array" ref="H132">IFERROR(INDEX('PORTIFÓLIO'!$H$4:$H$433,MATCH($C132,'PORTIFÓLIO'!$C$4:$C$433,0)),"")</f>
        <v/>
      </c>
      <c r="I132" s="208" t="n">
        <v>0.6</v>
      </c>
      <c r="J132" s="209">
        <f>I132*$B$2</f>
        <v/>
      </c>
      <c r="K132" s="210">
        <f t="array" ref="K132">IFERROR(I132*INDEX('PORTIFÓLIO'!$S$4:$S$433,MATCH($C132,'PORTIFÓLIO'!$C$4:$C$433,0)),"")</f>
        <v/>
      </c>
      <c r="L132" s="210">
        <f t="array" ref="L132">IFERROR(J132*INDEX('PORTIFÓLIO'!$S$4:$S$433,MATCH($C132,'PORTIFÓLIO'!$C$4:$C$433,0)),"")</f>
        <v/>
      </c>
      <c r="M132" s="177" t="n"/>
      <c r="N132" s="177" t="n"/>
      <c r="O132" s="177" t="n"/>
      <c r="P132" s="177" t="n"/>
      <c r="Q132" s="177" t="n"/>
      <c r="R132" s="177" t="n"/>
      <c r="S132" s="177" t="n"/>
      <c r="T132" s="177" t="n"/>
      <c r="U132" s="177" t="n"/>
      <c r="V132" s="177" t="n"/>
      <c r="W132" s="177" t="n"/>
      <c r="X132" s="177" t="n"/>
    </row>
    <row r="133" outlineLevel="1" ht="15.75" customHeight="1" s="297">
      <c r="A133" s="190" t="n"/>
      <c r="B133" s="204" t="inlineStr">
        <is>
          <t>FUNGICIDA</t>
        </is>
      </c>
      <c r="C133" s="191" t="inlineStr">
        <is>
          <t>MANCOZEB CCAB 750 WG</t>
        </is>
      </c>
      <c r="D133" s="205">
        <f>IFERROR(VLOOKUP($C133,'PORTIFÓLIO'!C:V,2,0),"")</f>
        <v/>
      </c>
      <c r="E133" s="190">
        <f>IFERROR(VLOOKUP($C133,'PORTIFÓLIO'!C:V,3,0),"")</f>
        <v/>
      </c>
      <c r="F133" s="190">
        <f>IFERROR(VLOOKUP($C133,'PORTIFÓLIO'!C:V,4,0),"")</f>
        <v/>
      </c>
      <c r="G133" s="223">
        <f>IFERROR(VLOOKUP($C133,'PORTIFÓLIO'!C:V,5,0),"")</f>
        <v/>
      </c>
      <c r="H133" s="207">
        <f t="array" ref="H133">IFERROR(INDEX('PORTIFÓLIO'!$H$4:$H$433,MATCH($C133,'PORTIFÓLIO'!$C$4:$C$433,0)),"")</f>
        <v/>
      </c>
      <c r="I133" s="208" t="n">
        <v>1.5</v>
      </c>
      <c r="J133" s="209">
        <f>I133*$B$2</f>
        <v/>
      </c>
      <c r="K133" s="210">
        <f t="array" ref="K133">IFERROR(I133*INDEX('PORTIFÓLIO'!$S$4:$S$433,MATCH($C133,'PORTIFÓLIO'!$C$4:$C$433,0)),"")</f>
        <v/>
      </c>
      <c r="L133" s="210">
        <f t="array" ref="L133">IFERROR(J133*INDEX('PORTIFÓLIO'!$S$4:$S$433,MATCH($C133,'PORTIFÓLIO'!$C$4:$C$433,0)),"")</f>
        <v/>
      </c>
      <c r="M133" s="177" t="n"/>
      <c r="N133" s="177" t="n"/>
      <c r="O133" s="177" t="n"/>
      <c r="P133" s="177" t="n"/>
      <c r="Q133" s="177" t="n"/>
      <c r="R133" s="177" t="n"/>
      <c r="S133" s="177" t="n"/>
      <c r="T133" s="177" t="n"/>
      <c r="U133" s="177" t="n"/>
      <c r="V133" s="177" t="n"/>
      <c r="W133" s="177" t="n"/>
      <c r="X133" s="177" t="n"/>
    </row>
    <row r="134" outlineLevel="1" ht="15.75" customHeight="1" s="297">
      <c r="A134" s="190" t="n"/>
      <c r="B134" s="204" t="inlineStr">
        <is>
          <t>INSETICIDA</t>
        </is>
      </c>
      <c r="C134" s="191" t="inlineStr">
        <is>
          <t>VERDAVIS</t>
        </is>
      </c>
      <c r="D134" s="205">
        <f>IFERROR(VLOOKUP($C134,'PORTIFÓLIO'!C:V,2,0),"")</f>
        <v/>
      </c>
      <c r="E134" s="190">
        <f>IFERROR(VLOOKUP($C134,'PORTIFÓLIO'!C:V,3,0),"")</f>
        <v/>
      </c>
      <c r="F134" s="190">
        <f>IFERROR(VLOOKUP($C134,'PORTIFÓLIO'!C:V,4,0),"")</f>
        <v/>
      </c>
      <c r="G134" s="223">
        <f>IFERROR(VLOOKUP($C134,'PORTIFÓLIO'!C:V,5,0),"")</f>
        <v/>
      </c>
      <c r="H134" s="207">
        <f t="array" ref="H134">IFERROR(INDEX('PORTIFÓLIO'!$H$4:$H$433,MATCH($C134,'PORTIFÓLIO'!$C$4:$C$433,0)),"")</f>
        <v/>
      </c>
      <c r="I134" s="208" t="n">
        <v>0.25</v>
      </c>
      <c r="J134" s="209">
        <f>I134*$B$2</f>
        <v/>
      </c>
      <c r="K134" s="210">
        <f t="array" ref="K134">IFERROR(I134*INDEX('PORTIFÓLIO'!$S$4:$S$433,MATCH($C134,'PORTIFÓLIO'!$C$4:$C$433,0)),"")</f>
        <v/>
      </c>
      <c r="L134" s="210">
        <f t="array" ref="L134">IFERROR(J134*INDEX('PORTIFÓLIO'!$S$4:$S$433,MATCH($C134,'PORTIFÓLIO'!$C$4:$C$433,0)),"")</f>
        <v/>
      </c>
      <c r="M134" s="177" t="n"/>
      <c r="N134" s="177" t="n"/>
      <c r="O134" s="177" t="n"/>
      <c r="P134" s="177" t="n"/>
      <c r="Q134" s="177" t="n"/>
      <c r="R134" s="177" t="n"/>
      <c r="S134" s="177" t="n"/>
      <c r="T134" s="177" t="n"/>
      <c r="U134" s="177" t="n"/>
      <c r="V134" s="177" t="n"/>
      <c r="W134" s="177" t="n"/>
      <c r="X134" s="177" t="n"/>
    </row>
    <row r="135" outlineLevel="1" ht="15.75" customHeight="1" s="297">
      <c r="A135" s="190" t="n"/>
      <c r="B135" s="204" t="inlineStr">
        <is>
          <t>ADJUVANTE</t>
        </is>
      </c>
      <c r="C135" s="191" t="inlineStr">
        <is>
          <t>AUREO</t>
        </is>
      </c>
      <c r="D135" s="205">
        <f>IFERROR(VLOOKUP($C135,'PORTIFÓLIO'!C:V,2,0),"")</f>
        <v/>
      </c>
      <c r="E135" s="190">
        <f>IFERROR(VLOOKUP($C135,'PORTIFÓLIO'!C:V,3,0),"")</f>
        <v/>
      </c>
      <c r="F135" s="190">
        <f>IFERROR(VLOOKUP($C135,'PORTIFÓLIO'!C:V,4,0),"")</f>
        <v/>
      </c>
      <c r="G135" s="223">
        <f>IFERROR(VLOOKUP($C135,'PORTIFÓLIO'!C:V,5,0),"")</f>
        <v/>
      </c>
      <c r="H135" s="207">
        <f t="array" ref="H135">IFERROR(INDEX('PORTIFÓLIO'!$H$4:$H$433,MATCH($C135,'PORTIFÓLIO'!$C$4:$C$433,0)),"")</f>
        <v/>
      </c>
      <c r="I135" s="208" t="n">
        <v>0.2</v>
      </c>
      <c r="J135" s="209">
        <f>I135*$B$2</f>
        <v/>
      </c>
      <c r="K135" s="210">
        <f t="array" ref="K135">IFERROR(I135*INDEX('PORTIFÓLIO'!$S$4:$S$433,MATCH($C135,'PORTIFÓLIO'!$C$4:$C$433,0)),"")</f>
        <v/>
      </c>
      <c r="L135" s="210">
        <f t="array" ref="L135">IFERROR(J135*INDEX('PORTIFÓLIO'!$S$4:$S$433,MATCH($C135,'PORTIFÓLIO'!$C$4:$C$433,0)),"")</f>
        <v/>
      </c>
      <c r="M135" s="177" t="n"/>
      <c r="N135" s="177" t="n"/>
      <c r="O135" s="177" t="n"/>
      <c r="P135" s="177" t="n"/>
      <c r="Q135" s="177" t="n"/>
      <c r="R135" s="177" t="n"/>
      <c r="S135" s="177" t="n"/>
      <c r="T135" s="177" t="n"/>
      <c r="U135" s="177" t="n"/>
      <c r="V135" s="177" t="n"/>
      <c r="W135" s="177" t="n"/>
      <c r="X135" s="177"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16">
        <f t="array" ref="H136">IFERROR(INDEX('PORTIFÓLIO'!$H$4:$H$433,MATCH($C136,'PORTIFÓLIO'!$C$4:$C$433,0)),"")</f>
        <v/>
      </c>
      <c r="I136" s="224"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c r="X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16">
        <f t="array" ref="H137">IFERROR(INDEX('PORTIFÓLIO'!$H$4:$H$433,MATCH($C137,'PORTIFÓLIO'!$C$4:$C$433,0)),"")</f>
        <v/>
      </c>
      <c r="I137" s="224"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c r="X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16">
        <f t="array" ref="H138">IFERROR(INDEX('PORTIFÓLIO'!$H$4:$H$433,MATCH($C138,'PORTIFÓLIO'!$C$4:$C$433,0)),"")</f>
        <v/>
      </c>
      <c r="I138" s="224"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c r="X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16">
        <f t="array" ref="H139">IFERROR(INDEX('PORTIFÓLIO'!$H$4:$H$433,MATCH($C139,'PORTIFÓLIO'!$C$4:$C$433,0)),"")</f>
        <v/>
      </c>
      <c r="I139" s="224"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c r="X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16">
        <f t="array" ref="H140">IFERROR(INDEX('PORTIFÓLIO'!$H$4:$H$433,MATCH($C140,'PORTIFÓLIO'!$C$4:$C$433,0)),"")</f>
        <v/>
      </c>
      <c r="I140" s="217"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c r="X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16">
        <f t="array" ref="H141">IFERROR(INDEX('PORTIFÓLIO'!$H$4:$H$433,MATCH($C141,'PORTIFÓLIO'!$C$4:$C$433,0)),"")</f>
        <v/>
      </c>
      <c r="I141" s="224"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c r="X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16">
        <f t="array" ref="H142">IFERROR(INDEX('PORTIFÓLIO'!$H$4:$H$433,MATCH($C142,'PORTIFÓLIO'!$C$4:$C$433,0)),"")</f>
        <v/>
      </c>
      <c r="I142" s="224"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c r="X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16">
        <f t="array" ref="H143">IFERROR(INDEX('PORTIFÓLIO'!$H$4:$H$433,MATCH($C143,'PORTIFÓLIO'!$C$4:$C$433,0)),"")</f>
        <v/>
      </c>
      <c r="I143" s="224"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c r="X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16">
        <f t="array" ref="H144">IFERROR(INDEX('PORTIFÓLIO'!$H$4:$H$433,MATCH($C144,'PORTIFÓLIO'!$C$4:$C$433,0)),"")</f>
        <v/>
      </c>
      <c r="I144" s="224"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c r="X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16">
        <f t="array" ref="H145">IFERROR(INDEX('PORTIFÓLIO'!$H$4:$H$433,MATCH($C145,'PORTIFÓLIO'!$C$4:$C$433,0)),"")</f>
        <v/>
      </c>
      <c r="I145" s="224"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c r="X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16">
        <f t="array" ref="H146">IFERROR(INDEX('PORTIFÓLIO'!$H$4:$H$433,MATCH($C146,'PORTIFÓLIO'!$C$4:$C$433,0)),"")</f>
        <v/>
      </c>
      <c r="I146" s="224"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c r="X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16">
        <f t="array" ref="H147">IFERROR(INDEX('PORTIFÓLIO'!$H$4:$H$433,MATCH($C147,'PORTIFÓLIO'!$C$4:$C$433,0)),"")</f>
        <v/>
      </c>
      <c r="I147" s="224"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c r="X147" s="220" t="n"/>
    </row>
    <row r="148" ht="15.75" customHeight="1" s="297">
      <c r="A148" s="221" t="inlineStr">
        <is>
          <t>OPERAÇÃO 9</t>
        </is>
      </c>
      <c r="B148" s="197" t="n"/>
      <c r="C148" s="196" t="n"/>
      <c r="D148" s="198" t="n"/>
      <c r="E148" s="196" t="n"/>
      <c r="F148" s="196" t="n"/>
      <c r="G148" s="199" t="n"/>
      <c r="H148" s="222" t="n"/>
      <c r="I148" s="201" t="n"/>
      <c r="J148" s="202" t="n"/>
      <c r="K148" s="203">
        <f>SUBTOTAL(9,K149:K162)</f>
        <v/>
      </c>
      <c r="L148" s="203">
        <f>SUBTOTAL(9,L149:L162)</f>
        <v/>
      </c>
      <c r="M148" s="177" t="n"/>
      <c r="N148" s="177" t="n"/>
      <c r="O148" s="177" t="n"/>
      <c r="P148" s="177" t="n"/>
      <c r="Q148" s="177" t="n"/>
      <c r="R148" s="177" t="n"/>
      <c r="S148" s="177" t="n"/>
      <c r="T148" s="177" t="n"/>
      <c r="U148" s="177" t="n"/>
      <c r="V148" s="177" t="n"/>
      <c r="W148" s="177" t="n"/>
      <c r="X148" s="177" t="n"/>
    </row>
    <row r="149" outlineLevel="1" ht="15.75" customHeight="1" s="297">
      <c r="A149" s="191" t="n"/>
      <c r="B149" s="204" t="inlineStr">
        <is>
          <t>FUNGICIDA</t>
        </is>
      </c>
      <c r="C149" s="191" t="inlineStr">
        <is>
          <t>CYPRESS 400 EC</t>
        </is>
      </c>
      <c r="D149" s="205">
        <f>IFERROR(VLOOKUP($C149,'PORTIFÓLIO'!C:V,2,0),"")</f>
        <v/>
      </c>
      <c r="E149" s="190">
        <f>IFERROR(VLOOKUP($C149,'PORTIFÓLIO'!C:V,3,0),"")</f>
        <v/>
      </c>
      <c r="F149" s="190">
        <f>IFERROR(VLOOKUP($C149,'PORTIFÓLIO'!C:V,4,0),"")</f>
        <v/>
      </c>
      <c r="G149" s="223">
        <f>IFERROR(VLOOKUP($C149,'PORTIFÓLIO'!C:V,5,0),"")</f>
        <v/>
      </c>
      <c r="H149" s="207">
        <f t="array" ref="H149">IFERROR(INDEX('PORTIFÓLIO'!$H$4:$H$433,MATCH($C149,'PORTIFÓLIO'!$C$4:$C$433,0)),"")</f>
        <v/>
      </c>
      <c r="I149" s="208" t="n">
        <v>0.5</v>
      </c>
      <c r="J149" s="209">
        <f>I149*$B$2</f>
        <v/>
      </c>
      <c r="K149" s="210">
        <f t="array" ref="K149">IFERROR(I149*INDEX('PORTIFÓLIO'!$S$4:$S$433,MATCH($C149,'PORTIFÓLIO'!$C$4:$C$433,0)),"")</f>
        <v/>
      </c>
      <c r="L149" s="210">
        <f t="array" ref="L149">IFERROR(J149*INDEX('PORTIFÓLIO'!$S$4:$S$433,MATCH($C149,'PORTIFÓLIO'!$C$4:$C$433,0)),"")</f>
        <v/>
      </c>
      <c r="M149" s="177" t="n"/>
      <c r="N149" s="177" t="n"/>
      <c r="O149" s="177" t="n"/>
      <c r="P149" s="177" t="n"/>
      <c r="Q149" s="177" t="n"/>
      <c r="R149" s="177" t="n"/>
      <c r="S149" s="177" t="n"/>
      <c r="T149" s="177" t="n"/>
      <c r="U149" s="177" t="n"/>
      <c r="V149" s="177" t="n"/>
      <c r="W149" s="177" t="n"/>
      <c r="X149" s="177" t="n"/>
    </row>
    <row r="150" outlineLevel="1" ht="15.75" customHeight="1" s="297">
      <c r="A150" s="190" t="n"/>
      <c r="B150" s="204" t="inlineStr">
        <is>
          <t>FUNGICIDA</t>
        </is>
      </c>
      <c r="C150" s="191" t="inlineStr">
        <is>
          <t>BRAVONIL 720</t>
        </is>
      </c>
      <c r="D150" s="205">
        <f>IFERROR(VLOOKUP($C150,'PORTIFÓLIO'!C:V,2,0),"")</f>
        <v/>
      </c>
      <c r="E150" s="190">
        <f>IFERROR(VLOOKUP($C150,'PORTIFÓLIO'!C:V,3,0),"")</f>
        <v/>
      </c>
      <c r="F150" s="190">
        <f>IFERROR(VLOOKUP($C150,'PORTIFÓLIO'!C:V,4,0),"")</f>
        <v/>
      </c>
      <c r="G150" s="223">
        <f>IFERROR(VLOOKUP($C150,'PORTIFÓLIO'!C:V,5,0),"")</f>
        <v/>
      </c>
      <c r="H150" s="207">
        <f t="array" ref="H150">IFERROR(INDEX('PORTIFÓLIO'!$H$4:$H$433,MATCH($C150,'PORTIFÓLIO'!$C$4:$C$433,0)),"")</f>
        <v/>
      </c>
      <c r="I150" s="208" t="n">
        <v>1.5</v>
      </c>
      <c r="J150" s="209">
        <f>I150*$B$2</f>
        <v/>
      </c>
      <c r="K150" s="210">
        <f t="array" ref="K150">IFERROR(I150*INDEX('PORTIFÓLIO'!$S$4:$S$433,MATCH($C150,'PORTIFÓLIO'!$C$4:$C$433,0)),"")</f>
        <v/>
      </c>
      <c r="L150" s="210">
        <f t="array" ref="L150">IFERROR(J150*INDEX('PORTIFÓLIO'!$S$4:$S$433,MATCH($C150,'PORTIFÓLIO'!$C$4:$C$433,0)),"")</f>
        <v/>
      </c>
      <c r="M150" s="177" t="n"/>
      <c r="N150" s="177" t="n"/>
      <c r="O150" s="177" t="n"/>
      <c r="P150" s="177" t="n"/>
      <c r="Q150" s="177" t="n"/>
      <c r="R150" s="177" t="n"/>
      <c r="S150" s="177" t="n"/>
      <c r="T150" s="177" t="n"/>
      <c r="U150" s="177" t="n"/>
      <c r="V150" s="177" t="n"/>
      <c r="W150" s="177" t="n"/>
      <c r="X150" s="177" t="n"/>
    </row>
    <row r="151" outlineLevel="1" ht="15.75" customHeight="1" s="297">
      <c r="A151" s="190" t="n"/>
      <c r="B151" s="204" t="inlineStr">
        <is>
          <t>ADJUVANTE</t>
        </is>
      </c>
      <c r="C151" s="191" t="inlineStr">
        <is>
          <t>AUREO</t>
        </is>
      </c>
      <c r="D151" s="205">
        <f>IFERROR(VLOOKUP($C151,'PORTIFÓLIO'!C:V,2,0),"")</f>
        <v/>
      </c>
      <c r="E151" s="190">
        <f>IFERROR(VLOOKUP($C151,'PORTIFÓLIO'!C:V,3,0),"")</f>
        <v/>
      </c>
      <c r="F151" s="190">
        <f>IFERROR(VLOOKUP($C151,'PORTIFÓLIO'!C:V,4,0),"")</f>
        <v/>
      </c>
      <c r="G151" s="223">
        <f>IFERROR(VLOOKUP($C151,'PORTIFÓLIO'!C:V,5,0),"")</f>
        <v/>
      </c>
      <c r="H151" s="207">
        <f t="array" ref="H151">IFERROR(INDEX('PORTIFÓLIO'!$H$4:$H$433,MATCH($C151,'PORTIFÓLIO'!$C$4:$C$433,0)),"")</f>
        <v/>
      </c>
      <c r="I151" s="208" t="n">
        <v>0.2</v>
      </c>
      <c r="J151" s="209">
        <f>I151*$B$2</f>
        <v/>
      </c>
      <c r="K151" s="210">
        <f t="array" ref="K151">IFERROR(I151*INDEX('PORTIFÓLIO'!$S$4:$S$433,MATCH($C151,'PORTIFÓLIO'!$C$4:$C$433,0)),"")</f>
        <v/>
      </c>
      <c r="L151" s="210">
        <f t="array" ref="L151">IFERROR(J151*INDEX('PORTIFÓLIO'!$S$4:$S$433,MATCH($C151,'PORTIFÓLIO'!$C$4:$C$433,0)),"")</f>
        <v/>
      </c>
      <c r="M151" s="177" t="n"/>
      <c r="N151" s="177" t="n"/>
      <c r="O151" s="177" t="n"/>
      <c r="P151" s="177" t="n"/>
      <c r="Q151" s="177" t="n"/>
      <c r="R151" s="177" t="n"/>
      <c r="S151" s="177" t="n"/>
      <c r="T151" s="177" t="n"/>
      <c r="U151" s="177" t="n"/>
      <c r="V151" s="177" t="n"/>
      <c r="W151" s="177" t="n"/>
      <c r="X151" s="177"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16">
        <f t="array" ref="H152">IFERROR(INDEX('PORTIFÓLIO'!$H$4:$H$433,MATCH($C152,'PORTIFÓLIO'!$C$4:$C$433,0)),"")</f>
        <v/>
      </c>
      <c r="I152" s="217"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c r="X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16">
        <f t="array" ref="H153">IFERROR(INDEX('PORTIFÓLIO'!$H$4:$H$433,MATCH($C153,'PORTIFÓLIO'!$C$4:$C$433,0)),"")</f>
        <v/>
      </c>
      <c r="I153" s="217"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c r="X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16">
        <f t="array" ref="H154">IFERROR(INDEX('PORTIFÓLIO'!$H$4:$H$433,MATCH($C154,'PORTIFÓLIO'!$C$4:$C$433,0)),"")</f>
        <v/>
      </c>
      <c r="I154" s="224"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c r="X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16">
        <f t="array" ref="H155">IFERROR(INDEX('PORTIFÓLIO'!$H$4:$H$433,MATCH($C155,'PORTIFÓLIO'!$C$4:$C$433,0)),"")</f>
        <v/>
      </c>
      <c r="I155" s="224"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c r="X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16">
        <f t="array" ref="H156">IFERROR(INDEX('PORTIFÓLIO'!$H$4:$H$433,MATCH($C156,'PORTIFÓLIO'!$C$4:$C$433,0)),"")</f>
        <v/>
      </c>
      <c r="I156" s="224"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c r="X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16">
        <f t="array" ref="H157">IFERROR(INDEX('PORTIFÓLIO'!$H$4:$H$433,MATCH($C157,'PORTIFÓLIO'!$C$4:$C$433,0)),"")</f>
        <v/>
      </c>
      <c r="I157" s="217"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c r="X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16">
        <f t="array" ref="H158">IFERROR(INDEX('PORTIFÓLIO'!$H$4:$H$433,MATCH($C158,'PORTIFÓLIO'!$C$4:$C$433,0)),"")</f>
        <v/>
      </c>
      <c r="I158" s="224"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c r="X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16">
        <f t="array" ref="H159">IFERROR(INDEX('PORTIFÓLIO'!$H$4:$H$433,MATCH($C159,'PORTIFÓLIO'!$C$4:$C$433,0)),"")</f>
        <v/>
      </c>
      <c r="I159" s="224"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c r="X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16">
        <f t="array" ref="H160">IFERROR(INDEX('PORTIFÓLIO'!$H$4:$H$433,MATCH($C160,'PORTIFÓLIO'!$C$4:$C$433,0)),"")</f>
        <v/>
      </c>
      <c r="I160" s="224"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c r="X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16">
        <f t="array" ref="H161">IFERROR(INDEX('PORTIFÓLIO'!$H$4:$H$433,MATCH($C161,'PORTIFÓLIO'!$C$4:$C$433,0)),"")</f>
        <v/>
      </c>
      <c r="I161" s="224"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c r="X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16">
        <f t="array" ref="H162">IFERROR(INDEX('PORTIFÓLIO'!$H$4:$H$433,MATCH($C162,'PORTIFÓLIO'!$C$4:$C$433,0)),"")</f>
        <v/>
      </c>
      <c r="I162" s="224"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c r="X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16">
        <f t="array" ref="H163">IFERROR(INDEX('PORTIFÓLIO'!$H$4:$H$433,MATCH($C163,'PORTIFÓLIO'!$C$4:$C$433,0)),"")</f>
        <v/>
      </c>
      <c r="I163" s="224"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c r="X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16">
        <f t="array" ref="H164">IFERROR(INDEX('PORTIFÓLIO'!$H$4:$H$433,MATCH($C164,'PORTIFÓLIO'!$C$4:$C$433,0)),"")</f>
        <v/>
      </c>
      <c r="I164" s="224"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c r="X164" s="220" t="n"/>
    </row>
    <row r="165" ht="15.75" customHeight="1" s="297">
      <c r="A165" s="221" t="inlineStr">
        <is>
          <t>OPERAÇÃO 10</t>
        </is>
      </c>
      <c r="B165" s="197" t="n"/>
      <c r="C165" s="196" t="n"/>
      <c r="D165" s="198" t="n"/>
      <c r="E165" s="196" t="n"/>
      <c r="F165" s="196" t="n"/>
      <c r="G165" s="199" t="n"/>
      <c r="H165" s="222" t="n"/>
      <c r="I165" s="201" t="n"/>
      <c r="J165" s="202" t="n"/>
      <c r="K165" s="203">
        <f>SUBTOTAL(9,K166:K179)</f>
        <v/>
      </c>
      <c r="L165" s="203">
        <f>SUBTOTAL(9,L166:L179)</f>
        <v/>
      </c>
      <c r="M165" s="177" t="n"/>
      <c r="N165" s="177" t="n"/>
      <c r="O165" s="177" t="n"/>
      <c r="P165" s="177" t="n"/>
      <c r="Q165" s="177" t="n"/>
      <c r="R165" s="177" t="n"/>
      <c r="S165" s="177" t="n"/>
      <c r="T165" s="177" t="n"/>
      <c r="U165" s="177" t="n"/>
      <c r="V165" s="177" t="n"/>
      <c r="W165" s="177" t="n"/>
      <c r="X165" s="177" t="n"/>
    </row>
    <row r="166" outlineLevel="1" ht="15.75" customHeight="1" s="297">
      <c r="A166" s="191" t="n"/>
      <c r="B166" s="204" t="inlineStr">
        <is>
          <t>HERBICIDA</t>
        </is>
      </c>
      <c r="C166" s="191" t="inlineStr">
        <is>
          <t>REGLONE</t>
        </is>
      </c>
      <c r="D166" s="205">
        <f>IFERROR(VLOOKUP($C166,'PORTIFÓLIO'!C:V,2,0),"")</f>
        <v/>
      </c>
      <c r="E166" s="190">
        <f>IFERROR(VLOOKUP($C166,'PORTIFÓLIO'!C:V,3,0),"")</f>
        <v/>
      </c>
      <c r="F166" s="190">
        <f>IFERROR(VLOOKUP($C166,'PORTIFÓLIO'!C:V,4,0),"")</f>
        <v/>
      </c>
      <c r="G166" s="223">
        <f>IFERROR(VLOOKUP($C166,'PORTIFÓLIO'!C:V,5,0),"")</f>
        <v/>
      </c>
      <c r="H166" s="207">
        <f t="array" ref="H166">IFERROR(INDEX('PORTIFÓLIO'!$H$4:$H$433,MATCH($C166,'PORTIFÓLIO'!$C$4:$C$433,0)),"")</f>
        <v/>
      </c>
      <c r="I166" s="208" t="n">
        <v>2</v>
      </c>
      <c r="J166" s="209">
        <f>I166*$B$2</f>
        <v/>
      </c>
      <c r="K166" s="210">
        <f t="array" ref="K166">IFERROR(I166*INDEX('PORTIFÓLIO'!$S$4:$S$433,MATCH($C166,'PORTIFÓLIO'!$C$4:$C$433,0)),"")</f>
        <v/>
      </c>
      <c r="L166" s="210">
        <f t="array" ref="L166">IFERROR(J166*INDEX('PORTIFÓLIO'!$S$4:$S$433,MATCH($C166,'PORTIFÓLIO'!$C$4:$C$433,0)),"")</f>
        <v/>
      </c>
      <c r="M166" s="177" t="n"/>
      <c r="N166" s="177" t="n"/>
      <c r="O166" s="177" t="n"/>
      <c r="P166" s="177" t="n"/>
      <c r="Q166" s="177" t="n"/>
      <c r="R166" s="177" t="n"/>
      <c r="S166" s="177" t="n"/>
      <c r="T166" s="177" t="n"/>
      <c r="U166" s="177" t="n"/>
      <c r="V166" s="177" t="n"/>
      <c r="W166" s="177" t="n"/>
      <c r="X166" s="177" t="n"/>
    </row>
    <row r="167" outlineLevel="1" ht="15.75" customHeight="1" s="297">
      <c r="A167" s="190" t="n"/>
      <c r="B167" s="204" t="inlineStr">
        <is>
          <t>ADJUVANTE</t>
        </is>
      </c>
      <c r="C167" s="191" t="inlineStr">
        <is>
          <t>AUREO</t>
        </is>
      </c>
      <c r="D167" s="205">
        <f>IFERROR(VLOOKUP($C167,'PORTIFÓLIO'!C:V,2,0),"")</f>
        <v/>
      </c>
      <c r="E167" s="190">
        <f>IFERROR(VLOOKUP($C167,'PORTIFÓLIO'!C:V,3,0),"")</f>
        <v/>
      </c>
      <c r="F167" s="190">
        <f>IFERROR(VLOOKUP($C167,'PORTIFÓLIO'!C:V,4,0),"")</f>
        <v/>
      </c>
      <c r="G167" s="223">
        <f>IFERROR(VLOOKUP($C167,'PORTIFÓLIO'!C:V,5,0),"")</f>
        <v/>
      </c>
      <c r="H167" s="207">
        <f t="array" ref="H167">IFERROR(INDEX('PORTIFÓLIO'!$H$4:$H$433,MATCH($C167,'PORTIFÓLIO'!$C$4:$C$433,0)),"")</f>
        <v/>
      </c>
      <c r="I167" s="208" t="n">
        <v>0.2</v>
      </c>
      <c r="J167" s="209">
        <f>I167*$B$2</f>
        <v/>
      </c>
      <c r="K167" s="210">
        <f t="array" ref="K167">IFERROR(I167*INDEX('PORTIFÓLIO'!$S$4:$S$433,MATCH($C167,'PORTIFÓLIO'!$C$4:$C$433,0)),"")</f>
        <v/>
      </c>
      <c r="L167" s="210">
        <f t="array" ref="L167">IFERROR(J167*INDEX('PORTIFÓLIO'!$S$4:$S$433,MATCH($C167,'PORTIFÓLIO'!$C$4:$C$433,0)),"")</f>
        <v/>
      </c>
      <c r="M167" s="177" t="n"/>
      <c r="N167" s="177" t="n"/>
      <c r="O167" s="177" t="n"/>
      <c r="P167" s="177" t="n"/>
      <c r="Q167" s="177" t="n"/>
      <c r="R167" s="177" t="n"/>
      <c r="S167" s="177" t="n"/>
      <c r="T167" s="177" t="n"/>
      <c r="U167" s="177" t="n"/>
      <c r="V167" s="177" t="n"/>
      <c r="W167" s="177" t="n"/>
      <c r="X167" s="177"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16">
        <f t="array" ref="H168">IFERROR(INDEX('PORTIFÓLIO'!$H$4:$H$433,MATCH($C168,'PORTIFÓLIO'!$C$4:$C$433,0)),"")</f>
        <v/>
      </c>
      <c r="I168" s="217" t="n">
        <v>1.5</v>
      </c>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c r="X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16">
        <f t="array" ref="H169">IFERROR(INDEX('PORTIFÓLIO'!$H$4:$H$433,MATCH($C169,'PORTIFÓLIO'!$C$4:$C$433,0)),"")</f>
        <v/>
      </c>
      <c r="I169" s="224"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c r="X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16">
        <f t="array" ref="H170">IFERROR(INDEX('PORTIFÓLIO'!$H$4:$H$433,MATCH($C170,'PORTIFÓLIO'!$C$4:$C$433,0)),"")</f>
        <v/>
      </c>
      <c r="I170" s="224"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c r="X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16">
        <f t="array" ref="H171">IFERROR(INDEX('PORTIFÓLIO'!$H$4:$H$433,MATCH($C171,'PORTIFÓLIO'!$C$4:$C$433,0)),"")</f>
        <v/>
      </c>
      <c r="I171" s="224"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c r="X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16">
        <f t="array" ref="H172">IFERROR(INDEX('PORTIFÓLIO'!$H$4:$H$433,MATCH($C172,'PORTIFÓLIO'!$C$4:$C$433,0)),"")</f>
        <v/>
      </c>
      <c r="I172" s="224"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c r="X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16">
        <f t="array" ref="H173">IFERROR(INDEX('PORTIFÓLIO'!$H$4:$H$433,MATCH($C173,'PORTIFÓLIO'!$C$4:$C$433,0)),"")</f>
        <v/>
      </c>
      <c r="I173" s="224"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c r="X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16">
        <f t="array" ref="H174">IFERROR(INDEX('PORTIFÓLIO'!$H$4:$H$433,MATCH($C174,'PORTIFÓLIO'!$C$4:$C$433,0)),"")</f>
        <v/>
      </c>
      <c r="I174" s="217"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c r="X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16">
        <f t="array" ref="H175">IFERROR(INDEX('PORTIFÓLIO'!$H$4:$H$433,MATCH($C175,'PORTIFÓLIO'!$C$4:$C$433,0)),"")</f>
        <v/>
      </c>
      <c r="I175" s="224"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c r="X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16">
        <f t="array" ref="H176">IFERROR(INDEX('PORTIFÓLIO'!$H$4:$H$433,MATCH($C176,'PORTIFÓLIO'!$C$4:$C$433,0)),"")</f>
        <v/>
      </c>
      <c r="I176" s="224"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c r="X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16">
        <f t="array" ref="H177">IFERROR(INDEX('PORTIFÓLIO'!$H$4:$H$433,MATCH($C177,'PORTIFÓLIO'!$C$4:$C$433,0)),"")</f>
        <v/>
      </c>
      <c r="I177" s="224"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c r="X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16">
        <f t="array" ref="H178">IFERROR(INDEX('PORTIFÓLIO'!$H$4:$H$433,MATCH($C178,'PORTIFÓLIO'!$C$4:$C$433,0)),"")</f>
        <v/>
      </c>
      <c r="I178" s="224"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c r="X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16">
        <f t="array" ref="H179">IFERROR(INDEX('PORTIFÓLIO'!$H$4:$H$433,MATCH($C179,'PORTIFÓLIO'!$C$4:$C$433,0)),"")</f>
        <v/>
      </c>
      <c r="I179" s="224"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c r="X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16">
        <f t="array" ref="H180">IFERROR(INDEX('PORTIFÓLIO'!$H$4:$H$433,MATCH($C180,'PORTIFÓLIO'!$C$4:$C$433,0)),"")</f>
        <v/>
      </c>
      <c r="I180" s="224"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c r="X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16">
        <f t="array" ref="H181">IFERROR(INDEX('PORTIFÓLIO'!$H$4:$H$433,MATCH($C181,'PORTIFÓLIO'!$C$4:$C$433,0)),"")</f>
        <v/>
      </c>
      <c r="I181" s="224"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c r="X181" s="220" t="n"/>
    </row>
    <row r="182" ht="15.75" customHeight="1" s="297">
      <c r="A182" s="221" t="inlineStr">
        <is>
          <t>OPERAÇÃO 11</t>
        </is>
      </c>
      <c r="B182" s="197" t="n"/>
      <c r="C182" s="196" t="n"/>
      <c r="D182" s="198" t="n"/>
      <c r="E182" s="196" t="n"/>
      <c r="F182" s="196" t="n"/>
      <c r="G182" s="199" t="n"/>
      <c r="H182" s="222" t="n"/>
      <c r="I182" s="201" t="n"/>
      <c r="J182" s="202" t="n"/>
      <c r="K182" s="203">
        <f>SUBTOTAL(9,K183:K196)</f>
        <v/>
      </c>
      <c r="L182" s="203">
        <f>SUBTOTAL(9,L183:L196)</f>
        <v/>
      </c>
      <c r="M182" s="177" t="n"/>
      <c r="N182" s="177" t="n"/>
      <c r="O182" s="177" t="n"/>
      <c r="P182" s="177" t="n"/>
      <c r="Q182" s="177" t="n"/>
      <c r="R182" s="177" t="n"/>
      <c r="S182" s="177" t="n"/>
      <c r="T182" s="177" t="n"/>
      <c r="U182" s="177" t="n"/>
      <c r="V182" s="177" t="n"/>
      <c r="W182" s="177" t="n"/>
      <c r="X182" s="177" t="n"/>
    </row>
    <row r="183" outlineLevel="1" ht="15.75" customHeight="1" s="297">
      <c r="A183" s="191" t="n"/>
      <c r="B183" s="204" t="inlineStr">
        <is>
          <t>MÁQUINAS</t>
        </is>
      </c>
      <c r="C183" s="191" t="inlineStr">
        <is>
          <t>TRATOR-JD 7500 + BRUTUS 12000</t>
        </is>
      </c>
      <c r="D183" s="205">
        <f>IFERROR(VLOOKUP($C183,'PORTIFÓLIO'!C:V,2,0),"")</f>
        <v/>
      </c>
      <c r="E183" s="190">
        <f>IFERROR(VLOOKUP($C183,'PORTIFÓLIO'!C:V,3,0),"")</f>
        <v/>
      </c>
      <c r="F183" s="190">
        <f>IFERROR(VLOOKUP($C183,'PORTIFÓLIO'!C:V,4,0),"")</f>
        <v/>
      </c>
      <c r="G183" s="206">
        <f t="array" ref="G183">IFERROR(INDEX('PORTIFÓLIO'!$H$4:$H$433,MATCH($C183,'PORTIFÓLIO'!$C$4:$C$433,0)),"")</f>
        <v/>
      </c>
      <c r="H183" s="207">
        <f t="array" ref="H183">IFERROR(INDEX('PORTIFÓLIO'!$H$4:$H$433,MATCH($C183,'PORTIFÓLIO'!$C$4:$C$433,0)),"")</f>
        <v/>
      </c>
      <c r="I183" s="208" t="n">
        <v>0.32</v>
      </c>
      <c r="J183" s="209">
        <f>I183*$B$2</f>
        <v/>
      </c>
      <c r="K183" s="210">
        <f t="array" ref="K183">IFERROR(I183*INDEX('PORTIFÓLIO'!$S$4:$S$433,MATCH($C183,'PORTIFÓLIO'!$C$4:$C$433,0)),"")</f>
        <v/>
      </c>
      <c r="L183" s="210">
        <f t="array" ref="L183">IFERROR(J183*INDEX('PORTIFÓLIO'!$S$4:$S$433,MATCH($C183,'PORTIFÓLIO'!$C$4:$C$433,0)),"")</f>
        <v/>
      </c>
      <c r="M183" s="177" t="n"/>
      <c r="N183" s="177" t="n"/>
      <c r="O183" s="177" t="n"/>
      <c r="P183" s="177" t="n"/>
      <c r="Q183" s="177" t="n"/>
      <c r="R183" s="177" t="n"/>
      <c r="S183" s="177" t="n"/>
      <c r="T183" s="177" t="n"/>
      <c r="U183" s="177" t="n"/>
      <c r="V183" s="177" t="n"/>
      <c r="W183" s="177" t="n"/>
      <c r="X183" s="177" t="n"/>
    </row>
    <row r="184" outlineLevel="1" ht="15.75" customHeight="1" s="297">
      <c r="A184" s="190" t="n"/>
      <c r="B184" s="204" t="inlineStr">
        <is>
          <t>MÁQUINAS</t>
        </is>
      </c>
      <c r="C184" s="191" t="inlineStr">
        <is>
          <t>TRATOR-JD 7500 + ADUBADORA HERCULES 10000</t>
        </is>
      </c>
      <c r="D184" s="205">
        <f>IFERROR(VLOOKUP($C184,'PORTIFÓLIO'!C:V,2,0),"")</f>
        <v/>
      </c>
      <c r="E184" s="190">
        <f>IFERROR(VLOOKUP($C184,'PORTIFÓLIO'!C:V,3,0),"")</f>
        <v/>
      </c>
      <c r="F184" s="190">
        <f>IFERROR(VLOOKUP($C184,'PORTIFÓLIO'!C:V,4,0),"")</f>
        <v/>
      </c>
      <c r="G184" s="206">
        <f t="array" ref="G184">IFERROR(INDEX('PORTIFÓLIO'!$H$4:$H$433,MATCH($C184,'PORTIFÓLIO'!$C$4:$C$433,0)),"")</f>
        <v/>
      </c>
      <c r="H184" s="207">
        <f t="array" ref="H184">IFERROR(INDEX('PORTIFÓLIO'!$H$4:$H$433,MATCH($C184,'PORTIFÓLIO'!$C$4:$C$433,0)),"")</f>
        <v/>
      </c>
      <c r="I184" s="228">
        <f>G184*4</f>
        <v/>
      </c>
      <c r="J184" s="209">
        <f>I184*$B$2</f>
        <v/>
      </c>
      <c r="K184" s="210">
        <f t="array" ref="K184">IFERROR(I184*INDEX('PORTIFÓLIO'!$S$4:$S$433,MATCH($C184,'PORTIFÓLIO'!$C$4:$C$433,0)),"")</f>
        <v/>
      </c>
      <c r="L184" s="210">
        <f t="array" ref="L184">IFERROR(J184*INDEX('PORTIFÓLIO'!$S$4:$S$433,MATCH($C184,'PORTIFÓLIO'!$C$4:$C$433,0)),"")</f>
        <v/>
      </c>
      <c r="M184" s="177" t="n"/>
      <c r="N184" s="177" t="n"/>
      <c r="O184" s="177" t="n"/>
      <c r="P184" s="177" t="n"/>
      <c r="Q184" s="177" t="n"/>
      <c r="R184" s="177" t="n"/>
      <c r="S184" s="177" t="n"/>
      <c r="T184" s="177" t="n"/>
      <c r="U184" s="177" t="n"/>
      <c r="V184" s="177" t="n"/>
      <c r="W184" s="177" t="n"/>
      <c r="X184" s="177" t="n"/>
    </row>
    <row r="185" outlineLevel="1" ht="15.75" customHeight="1" s="297">
      <c r="A185" s="190" t="n"/>
      <c r="B185" s="204" t="inlineStr">
        <is>
          <t>MÁQUINAS</t>
        </is>
      </c>
      <c r="C185" s="191" t="inlineStr">
        <is>
          <t>PULVERIZADOR- JD4730 + PULVERIZADOR- JD4730</t>
        </is>
      </c>
      <c r="D185" s="205">
        <f>IFERROR(VLOOKUP($C185,'PORTIFÓLIO'!C:V,2,0),"")</f>
        <v/>
      </c>
      <c r="E185" s="190">
        <f>IFERROR(VLOOKUP($C185,'PORTIFÓLIO'!C:V,3,0),"")</f>
        <v/>
      </c>
      <c r="F185" s="190">
        <f>IFERROR(VLOOKUP($C185,'PORTIFÓLIO'!C:V,4,0),"")</f>
        <v/>
      </c>
      <c r="G185" s="206">
        <f t="array" ref="G185">IFERROR(INDEX('PORTIFÓLIO'!$H$4:$H$433,MATCH($C185,'PORTIFÓLIO'!$C$4:$C$433,0)),"")</f>
        <v/>
      </c>
      <c r="H185" s="207">
        <f t="array" ref="H185">IFERROR(INDEX('PORTIFÓLIO'!$H$4:$H$433,MATCH($C185,'PORTIFÓLIO'!$C$4:$C$433,0)),"")</f>
        <v/>
      </c>
      <c r="I185" s="228">
        <f>G185*3</f>
        <v/>
      </c>
      <c r="J185" s="209">
        <f>I185*$B$2</f>
        <v/>
      </c>
      <c r="K185" s="210">
        <f t="array" ref="K185">IFERROR(I185*INDEX('PORTIFÓLIO'!$S$4:$S$433,MATCH($C185,'PORTIFÓLIO'!$C$4:$C$433,0)),"")</f>
        <v/>
      </c>
      <c r="L185" s="210">
        <f t="array" ref="L185">IFERROR(J185*INDEX('PORTIFÓLIO'!$S$4:$S$433,MATCH($C185,'PORTIFÓLIO'!$C$4:$C$433,0)),"")</f>
        <v/>
      </c>
      <c r="M185" s="177" t="n"/>
      <c r="N185" s="177" t="n"/>
      <c r="O185" s="177" t="n"/>
      <c r="P185" s="177" t="n"/>
      <c r="Q185" s="177" t="n"/>
      <c r="R185" s="177" t="n"/>
      <c r="S185" s="177" t="n"/>
      <c r="T185" s="177" t="n"/>
      <c r="U185" s="177" t="n"/>
      <c r="V185" s="177" t="n"/>
      <c r="W185" s="177" t="n"/>
      <c r="X185" s="177" t="n"/>
    </row>
    <row r="186" outlineLevel="1" ht="15.75" customHeight="1" s="297">
      <c r="A186" s="190" t="n"/>
      <c r="B186" s="204" t="inlineStr">
        <is>
          <t>MÁQUINAS</t>
        </is>
      </c>
      <c r="C186" s="191" t="inlineStr">
        <is>
          <t>AIR TRATOR AT-502B + AIR TRATOR AT-502B</t>
        </is>
      </c>
      <c r="D186" s="205">
        <f>IFERROR(VLOOKUP($C186,'PORTIFÓLIO'!C:V,2,0),"")</f>
        <v/>
      </c>
      <c r="E186" s="190">
        <f>IFERROR(VLOOKUP($C186,'PORTIFÓLIO'!C:V,3,0),"")</f>
        <v/>
      </c>
      <c r="F186" s="190">
        <f>IFERROR(VLOOKUP($C186,'PORTIFÓLIO'!C:V,4,0),"")</f>
        <v/>
      </c>
      <c r="G186" s="206">
        <f t="array" ref="G186">IFERROR(INDEX('PORTIFÓLIO'!$H$4:$H$433,MATCH($C186,'PORTIFÓLIO'!$C$4:$C$433,0)),"")</f>
        <v/>
      </c>
      <c r="H186" s="207">
        <f t="array" ref="H186">IFERROR(INDEX('PORTIFÓLIO'!$H$4:$H$433,MATCH($C186,'PORTIFÓLIO'!$C$4:$C$433,0)),"")</f>
        <v/>
      </c>
      <c r="I186" s="228">
        <f>G186*5</f>
        <v/>
      </c>
      <c r="J186" s="209">
        <f>I186*$B$2</f>
        <v/>
      </c>
      <c r="K186" s="210">
        <f t="array" ref="K186">IFERROR(I186*INDEX('PORTIFÓLIO'!$S$4:$S$433,MATCH($C186,'PORTIFÓLIO'!$C$4:$C$433,0)),"")</f>
        <v/>
      </c>
      <c r="L186" s="210">
        <f t="array" ref="L186">IFERROR(J186*INDEX('PORTIFÓLIO'!$S$4:$S$433,MATCH($C186,'PORTIFÓLIO'!$C$4:$C$433,0)),"")</f>
        <v/>
      </c>
      <c r="M186" s="177" t="n"/>
      <c r="N186" s="177" t="n"/>
      <c r="O186" s="177" t="n"/>
      <c r="P186" s="177" t="n"/>
      <c r="Q186" s="177" t="n"/>
      <c r="R186" s="177" t="n"/>
      <c r="S186" s="177" t="n"/>
      <c r="T186" s="177" t="n"/>
      <c r="U186" s="177" t="n"/>
      <c r="V186" s="177" t="n"/>
      <c r="W186" s="177" t="n"/>
      <c r="X186" s="177" t="n"/>
    </row>
    <row r="187" outlineLevel="1" ht="15.75" customHeight="1" s="297">
      <c r="A187" s="190" t="n"/>
      <c r="B187" s="204" t="inlineStr">
        <is>
          <t>MÁQUINAS</t>
        </is>
      </c>
      <c r="C187" s="191" t="inlineStr">
        <is>
          <t>CASE STEIGER 420 + HORSCH MAESTRO DUO 36.50</t>
        </is>
      </c>
      <c r="D187" s="205">
        <f>IFERROR(VLOOKUP($C187,'PORTIFÓLIO'!C:V,2,0),"")</f>
        <v/>
      </c>
      <c r="E187" s="190">
        <f>IFERROR(VLOOKUP($C187,'PORTIFÓLIO'!C:V,3,0),"")</f>
        <v/>
      </c>
      <c r="F187" s="190">
        <f>IFERROR(VLOOKUP($C187,'PORTIFÓLIO'!C:V,4,0),"")</f>
        <v/>
      </c>
      <c r="G187" s="206">
        <f t="array" ref="G187">IFERROR(INDEX('PORTIFÓLIO'!$H$4:$H$433,MATCH($C187,'PORTIFÓLIO'!$C$4:$C$433,0)),"")</f>
        <v/>
      </c>
      <c r="H187" s="207">
        <f t="array" ref="H187">IFERROR(INDEX('PORTIFÓLIO'!$H$4:$H$433,MATCH($C187,'PORTIFÓLIO'!$C$4:$C$433,0)),"")</f>
        <v/>
      </c>
      <c r="I187" s="208" t="n">
        <v>0.081</v>
      </c>
      <c r="J187" s="209">
        <f>I187*$B$2</f>
        <v/>
      </c>
      <c r="K187" s="210">
        <f t="array" ref="K187">IFERROR(I187*INDEX('PORTIFÓLIO'!$S$4:$S$433,MATCH($C187,'PORTIFÓLIO'!$C$4:$C$433,0)),"")</f>
        <v/>
      </c>
      <c r="L187" s="210">
        <f t="array" ref="L187">IFERROR(J187*INDEX('PORTIFÓLIO'!$S$4:$S$433,MATCH($C187,'PORTIFÓLIO'!$C$4:$C$433,0)),"")</f>
        <v/>
      </c>
      <c r="M187" s="177" t="n"/>
      <c r="N187" s="177" t="n"/>
      <c r="O187" s="177" t="n"/>
      <c r="P187" s="177" t="n"/>
      <c r="Q187" s="177" t="n"/>
      <c r="R187" s="177" t="n"/>
      <c r="S187" s="177" t="n"/>
      <c r="T187" s="177" t="n"/>
      <c r="U187" s="177" t="n"/>
      <c r="V187" s="177" t="n"/>
      <c r="W187" s="177" t="n"/>
      <c r="X187" s="177" t="n"/>
    </row>
    <row r="188" outlineLevel="1" ht="15.75" customHeight="1" s="297">
      <c r="A188" s="190" t="n"/>
      <c r="B188" s="204" t="inlineStr">
        <is>
          <t>MÁQUINAS</t>
        </is>
      </c>
      <c r="C188" s="191" t="inlineStr">
        <is>
          <t>CR 8.90 NEW HOLLAND + 880 CF45</t>
        </is>
      </c>
      <c r="D188" s="205">
        <f>IFERROR(VLOOKUP($C188,'PORTIFÓLIO'!C:V,2,0),"")</f>
        <v/>
      </c>
      <c r="E188" s="190">
        <f>IFERROR(VLOOKUP($C188,'PORTIFÓLIO'!C:V,3,0),"")</f>
        <v/>
      </c>
      <c r="F188" s="190">
        <f>IFERROR(VLOOKUP($C188,'PORTIFÓLIO'!C:V,4,0),"")</f>
        <v/>
      </c>
      <c r="G188" s="206">
        <f t="array" ref="G188">IFERROR(INDEX('PORTIFÓLIO'!$H$4:$H$433,MATCH($C188,'PORTIFÓLIO'!$C$4:$C$433,0)),"")</f>
        <v/>
      </c>
      <c r="H188" s="207">
        <f t="array" ref="H188">IFERROR(INDEX('PORTIFÓLIO'!$H$4:$H$433,MATCH($C188,'PORTIFÓLIO'!$C$4:$C$433,0)),"")</f>
        <v/>
      </c>
      <c r="I188" s="208" t="n">
        <v>0.15</v>
      </c>
      <c r="J188" s="209">
        <f>I188*$B$2</f>
        <v/>
      </c>
      <c r="K188" s="210">
        <f t="array" ref="K188">IFERROR(I188*INDEX('PORTIFÓLIO'!$S$4:$S$433,MATCH($C188,'PORTIFÓLIO'!$C$4:$C$433,0)),"")</f>
        <v/>
      </c>
      <c r="L188" s="210">
        <f t="array" ref="L188">IFERROR(J188*INDEX('PORTIFÓLIO'!$S$4:$S$433,MATCH($C188,'PORTIFÓLIO'!$C$4:$C$433,0)),"")</f>
        <v/>
      </c>
      <c r="M188" s="177" t="n"/>
      <c r="N188" s="177" t="n"/>
      <c r="O188" s="177" t="n"/>
      <c r="P188" s="177" t="n"/>
      <c r="Q188" s="177" t="n"/>
      <c r="R188" s="177" t="n"/>
      <c r="S188" s="177" t="n"/>
      <c r="T188" s="177" t="n"/>
      <c r="U188" s="177" t="n"/>
      <c r="V188" s="177" t="n"/>
      <c r="W188" s="177" t="n"/>
      <c r="X188" s="177" t="n"/>
    </row>
    <row r="189" outlineLevel="1" ht="15.75" customHeight="1" s="297">
      <c r="A189" s="190" t="n"/>
      <c r="B189" s="204" t="inlineStr">
        <is>
          <t>MÁQUINAS</t>
        </is>
      </c>
      <c r="C189" s="191" t="inlineStr">
        <is>
          <t>VOLVO NH380 + CAÇAMBA 430SC</t>
        </is>
      </c>
      <c r="D189" s="205">
        <f>IFERROR(VLOOKUP($C189,'PORTIFÓLIO'!C:V,2,0),"")</f>
        <v/>
      </c>
      <c r="E189" s="190">
        <f>IFERROR(VLOOKUP($C189,'PORTIFÓLIO'!C:V,3,0),"")</f>
        <v/>
      </c>
      <c r="F189" s="190">
        <f>IFERROR(VLOOKUP($C189,'PORTIFÓLIO'!C:V,4,0),"")</f>
        <v/>
      </c>
      <c r="G189" s="206">
        <f t="array" ref="G189">IFERROR(INDEX('PORTIFÓLIO'!$H$4:$H$433,MATCH($C189,'PORTIFÓLIO'!$C$4:$C$433,0)),"")</f>
        <v/>
      </c>
      <c r="H189" s="207">
        <f t="array" ref="H189">IFERROR(INDEX('PORTIFÓLIO'!$H$4:$H$433,MATCH($C189,'PORTIFÓLIO'!$C$4:$C$433,0)),"")</f>
        <v/>
      </c>
      <c r="I189" s="208" t="n">
        <v>0.1</v>
      </c>
      <c r="J189" s="209">
        <f>I189*$B$2</f>
        <v/>
      </c>
      <c r="K189" s="210">
        <f t="array" ref="K189">IFERROR(I189*INDEX('PORTIFÓLIO'!$S$4:$S$433,MATCH($C189,'PORTIFÓLIO'!$C$4:$C$433,0)),"")</f>
        <v/>
      </c>
      <c r="L189" s="210">
        <f t="array" ref="L189">IFERROR(J189*INDEX('PORTIFÓLIO'!$S$4:$S$433,MATCH($C189,'PORTIFÓLIO'!$C$4:$C$433,0)),"")</f>
        <v/>
      </c>
      <c r="M189" s="177" t="n"/>
      <c r="N189" s="177" t="n"/>
      <c r="O189" s="177" t="n"/>
      <c r="P189" s="177" t="n"/>
      <c r="Q189" s="177" t="n"/>
      <c r="R189" s="177" t="n"/>
      <c r="S189" s="177" t="n"/>
      <c r="T189" s="177" t="n"/>
      <c r="U189" s="177" t="n"/>
      <c r="V189" s="177" t="n"/>
      <c r="W189" s="177" t="n"/>
      <c r="X189" s="177"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16">
        <f t="array" ref="H190">IFERROR(INDEX('PORTIFÓLIO'!$H$4:$H$433,MATCH($C190,'PORTIFÓLIO'!$C$4:$C$433,0)),"")</f>
        <v/>
      </c>
      <c r="I190" s="224"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c r="X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16">
        <f t="array" ref="H191">IFERROR(INDEX('PORTIFÓLIO'!$H$4:$H$433,MATCH($C191,'PORTIFÓLIO'!$C$4:$C$433,0)),"")</f>
        <v/>
      </c>
      <c r="I191" s="217"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c r="X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16">
        <f t="array" ref="H192">IFERROR(INDEX('PORTIFÓLIO'!$H$4:$H$433,MATCH($C192,'PORTIFÓLIO'!$C$4:$C$433,0)),"")</f>
        <v/>
      </c>
      <c r="I192" s="224"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c r="X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16">
        <f t="array" ref="H193">IFERROR(INDEX('PORTIFÓLIO'!$H$4:$H$433,MATCH($C193,'PORTIFÓLIO'!$C$4:$C$433,0)),"")</f>
        <v/>
      </c>
      <c r="I193" s="224"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c r="X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16">
        <f t="array" ref="H194">IFERROR(INDEX('PORTIFÓLIO'!$H$4:$H$433,MATCH($C194,'PORTIFÓLIO'!$C$4:$C$433,0)),"")</f>
        <v/>
      </c>
      <c r="I194" s="224"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c r="X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16">
        <f t="array" ref="H195">IFERROR(INDEX('PORTIFÓLIO'!$H$4:$H$433,MATCH($C195,'PORTIFÓLIO'!$C$4:$C$433,0)),"")</f>
        <v/>
      </c>
      <c r="I195" s="224"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c r="X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16">
        <f t="array" ref="H196">IFERROR(INDEX('PORTIFÓLIO'!$H$4:$H$433,MATCH($C196,'PORTIFÓLIO'!$C$4:$C$433,0)),"")</f>
        <v/>
      </c>
      <c r="I196" s="224"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c r="X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16">
        <f t="array" ref="H197">IFERROR(INDEX('PORTIFÓLIO'!$H$4:$H$433,MATCH($C197,'PORTIFÓLIO'!$C$4:$C$433,0)),"")</f>
        <v/>
      </c>
      <c r="I197" s="224"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c r="X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16">
        <f t="array" ref="H198">IFERROR(INDEX('PORTIFÓLIO'!$H$4:$H$433,MATCH($C198,'PORTIFÓLIO'!$C$4:$C$433,0)),"")</f>
        <v/>
      </c>
      <c r="I198" s="224"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c r="X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16">
        <f t="array" ref="H199">IFERROR(INDEX('PORTIFÓLIO'!$H$4:$H$433,MATCH($C199,'PORTIFÓLIO'!$C$4:$C$433,0)),"")</f>
        <v/>
      </c>
      <c r="I199" s="224"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c r="X199" s="220" t="n"/>
    </row>
    <row r="200" ht="15.75" customHeight="1" s="297">
      <c r="A200" s="229" t="inlineStr">
        <is>
          <t>OPERAÇÃO 12</t>
        </is>
      </c>
      <c r="B200" s="230" t="n"/>
      <c r="C200" s="231" t="n"/>
      <c r="D200" s="232" t="n"/>
      <c r="E200" s="231" t="n"/>
      <c r="F200" s="231" t="n"/>
      <c r="G200" s="233" t="n"/>
      <c r="H200" s="234" t="n"/>
      <c r="I200" s="235" t="n"/>
      <c r="J200" s="236" t="n"/>
      <c r="K200" s="237">
        <f>SUBTOTAL(9,K201:K214)</f>
        <v/>
      </c>
      <c r="L200" s="237">
        <f>SUBTOTAL(9,L201:L214)</f>
        <v/>
      </c>
      <c r="M200" s="220" t="n"/>
      <c r="N200" s="220" t="n"/>
      <c r="O200" s="220" t="n"/>
      <c r="P200" s="220" t="n"/>
      <c r="Q200" s="220" t="n"/>
      <c r="R200" s="220" t="n"/>
      <c r="S200" s="220" t="n"/>
      <c r="T200" s="220" t="n"/>
      <c r="U200" s="220" t="n"/>
      <c r="V200" s="220" t="n"/>
      <c r="W200" s="220" t="n"/>
      <c r="X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16">
        <f t="array" ref="H201">IFERROR(INDEX('PORTIFÓLIO'!$H$4:$H$433,MATCH($C201,'PORTIFÓLIO'!$C$4:$C$433,0)),"")</f>
        <v/>
      </c>
      <c r="I201" s="217" t="n"/>
      <c r="J201" s="218">
        <f>I201*$B$2</f>
        <v/>
      </c>
      <c r="K201" s="219">
        <f t="array" ref="K201">IFERROR(I201*INDEX('PORTIFÓLIO'!$S$4:$S$433,MATCH($C201,'PORTIFÓLIO'!$C$4:$C$433,0)),"")</f>
        <v/>
      </c>
      <c r="L201" s="219">
        <f t="array" ref="L201">IFERROR(J201*INDEX('PORTIFÓLIO'!$S$4:$S$433,MATCH($C201,'PORTIFÓLIO'!$C$4:$C$433,0)),"")</f>
        <v/>
      </c>
      <c r="M201" s="220" t="n"/>
      <c r="N201" s="220" t="n"/>
      <c r="O201" s="220" t="n"/>
      <c r="P201" s="220" t="n"/>
      <c r="Q201" s="220" t="n"/>
      <c r="R201" s="220" t="n"/>
      <c r="S201" s="220" t="n"/>
      <c r="T201" s="220" t="n"/>
      <c r="U201" s="220" t="n"/>
      <c r="V201" s="220" t="n"/>
      <c r="W201" s="220" t="n"/>
      <c r="X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16">
        <f t="array" ref="H202">IFERROR(INDEX('PORTIFÓLIO'!$H$4:$H$433,MATCH($C202,'PORTIFÓLIO'!$C$4:$C$433,0)),"")</f>
        <v/>
      </c>
      <c r="I202" s="217" t="n"/>
      <c r="J202" s="218">
        <f>I202*$B$2</f>
        <v/>
      </c>
      <c r="K202" s="219">
        <f t="array" ref="K202">IFERROR(I202*INDEX('PORTIFÓLIO'!$S$4:$S$433,MATCH($C202,'PORTIFÓLIO'!$C$4:$C$433,0)),"")</f>
        <v/>
      </c>
      <c r="L202" s="219">
        <f t="array" ref="L202">IFERROR(J202*INDEX('PORTIFÓLIO'!$S$4:$S$433,MATCH($C202,'PORTIFÓLIO'!$C$4:$C$433,0)),"")</f>
        <v/>
      </c>
      <c r="M202" s="220" t="n"/>
      <c r="N202" s="220" t="n"/>
      <c r="O202" s="220" t="n"/>
      <c r="P202" s="220" t="n"/>
      <c r="Q202" s="220" t="n"/>
      <c r="R202" s="220" t="n"/>
      <c r="S202" s="220" t="n"/>
      <c r="T202" s="220" t="n"/>
      <c r="U202" s="220" t="n"/>
      <c r="V202" s="220" t="n"/>
      <c r="W202" s="220" t="n"/>
      <c r="X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16">
        <f t="array" ref="H203">IFERROR(INDEX('PORTIFÓLIO'!$H$4:$H$433,MATCH($C203,'PORTIFÓLIO'!$C$4:$C$433,0)),"")</f>
        <v/>
      </c>
      <c r="I203" s="217" t="n"/>
      <c r="J203" s="218">
        <f>I203*$B$2</f>
        <v/>
      </c>
      <c r="K203" s="219">
        <f t="array" ref="K203">IFERROR(I203*INDEX('PORTIFÓLIO'!$S$4:$S$433,MATCH($C203,'PORTIFÓLIO'!$C$4:$C$433,0)),"")</f>
        <v/>
      </c>
      <c r="L203" s="219">
        <f t="array" ref="L203">IFERROR(J203*INDEX('PORTIFÓLIO'!$S$4:$S$433,MATCH($C203,'PORTIFÓLIO'!$C$4:$C$433,0)),"")</f>
        <v/>
      </c>
      <c r="M203" s="220" t="n"/>
      <c r="N203" s="220" t="n"/>
      <c r="O203" s="220" t="n"/>
      <c r="P203" s="220" t="n"/>
      <c r="Q203" s="220" t="n"/>
      <c r="R203" s="220" t="n"/>
      <c r="S203" s="220" t="n"/>
      <c r="T203" s="220" t="n"/>
      <c r="U203" s="220" t="n"/>
      <c r="V203" s="220" t="n"/>
      <c r="W203" s="220" t="n"/>
      <c r="X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16">
        <f t="array" ref="H204">IFERROR(INDEX('PORTIFÓLIO'!$H$4:$H$433,MATCH($C204,'PORTIFÓLIO'!$C$4:$C$433,0)),"")</f>
        <v/>
      </c>
      <c r="I204" s="217" t="n"/>
      <c r="J204" s="218">
        <f>I204*$B$2</f>
        <v/>
      </c>
      <c r="K204" s="219">
        <f t="array" ref="K204">IFERROR(I204*INDEX('PORTIFÓLIO'!$S$4:$S$433,MATCH($C204,'PORTIFÓLIO'!$C$4:$C$433,0)),"")</f>
        <v/>
      </c>
      <c r="L204" s="219">
        <f t="array" ref="L204">IFERROR(J204*INDEX('PORTIFÓLIO'!$S$4:$S$433,MATCH($C204,'PORTIFÓLIO'!$C$4:$C$433,0)),"")</f>
        <v/>
      </c>
      <c r="M204" s="220" t="n"/>
      <c r="N204" s="220" t="n"/>
      <c r="O204" s="220" t="n"/>
      <c r="P204" s="220" t="n"/>
      <c r="Q204" s="220" t="n"/>
      <c r="R204" s="220" t="n"/>
      <c r="S204" s="220" t="n"/>
      <c r="T204" s="220" t="n"/>
      <c r="U204" s="220" t="n"/>
      <c r="V204" s="220" t="n"/>
      <c r="W204" s="220" t="n"/>
      <c r="X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16">
        <f t="array" ref="H205">IFERROR(INDEX('PORTIFÓLIO'!$H$4:$H$433,MATCH($C205,'PORTIFÓLIO'!$C$4:$C$433,0)),"")</f>
        <v/>
      </c>
      <c r="I205" s="217" t="n"/>
      <c r="J205" s="218">
        <f>I205*$B$2</f>
        <v/>
      </c>
      <c r="K205" s="219">
        <f t="array" ref="K205">IFERROR(I205*INDEX('PORTIFÓLIO'!$S$4:$S$433,MATCH($C205,'PORTIFÓLIO'!$C$4:$C$433,0)),"")</f>
        <v/>
      </c>
      <c r="L205" s="219">
        <f t="array" ref="L205">IFERROR(J205*INDEX('PORTIFÓLIO'!$S$4:$S$433,MATCH($C205,'PORTIFÓLIO'!$C$4:$C$433,0)),"")</f>
        <v/>
      </c>
      <c r="M205" s="220" t="n"/>
      <c r="N205" s="220" t="n"/>
      <c r="O205" s="220" t="n"/>
      <c r="P205" s="220" t="n"/>
      <c r="Q205" s="220" t="n"/>
      <c r="R205" s="220" t="n"/>
      <c r="S205" s="220" t="n"/>
      <c r="T205" s="220" t="n"/>
      <c r="U205" s="220" t="n"/>
      <c r="V205" s="220" t="n"/>
      <c r="W205" s="220" t="n"/>
      <c r="X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16">
        <f t="array" ref="H206">IFERROR(INDEX('PORTIFÓLIO'!$H$4:$H$433,MATCH($C206,'PORTIFÓLIO'!$C$4:$C$433,0)),"")</f>
        <v/>
      </c>
      <c r="I206" s="224" t="n"/>
      <c r="J206" s="218">
        <f>I206*$B$2</f>
        <v/>
      </c>
      <c r="K206" s="219">
        <f t="array" ref="K206">IFERROR(I206*INDEX('PORTIFÓLIO'!$S$4:$S$433,MATCH($C206,'PORTIFÓLIO'!$C$4:$C$433,0)),"")</f>
        <v/>
      </c>
      <c r="L206" s="219">
        <f t="array" ref="L206">IFERROR(J206*INDEX('PORTIFÓLIO'!$S$4:$S$433,MATCH($C206,'PORTIFÓLIO'!$C$4:$C$433,0)),"")</f>
        <v/>
      </c>
      <c r="M206" s="220" t="n"/>
      <c r="N206" s="220" t="n"/>
      <c r="O206" s="220" t="n"/>
      <c r="P206" s="220" t="n"/>
      <c r="Q206" s="220" t="n"/>
      <c r="R206" s="220" t="n"/>
      <c r="S206" s="220" t="n"/>
      <c r="T206" s="220" t="n"/>
      <c r="U206" s="220" t="n"/>
      <c r="V206" s="220" t="n"/>
      <c r="W206" s="220" t="n"/>
      <c r="X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16">
        <f t="array" ref="H207">IFERROR(INDEX('PORTIFÓLIO'!$H$4:$H$433,MATCH($C207,'PORTIFÓLIO'!$C$4:$C$433,0)),"")</f>
        <v/>
      </c>
      <c r="I207" s="224" t="n"/>
      <c r="J207" s="218">
        <f>I207*$B$2</f>
        <v/>
      </c>
      <c r="K207" s="219">
        <f t="array" ref="K207">IFERROR(I207*INDEX('PORTIFÓLIO'!$S$4:$S$433,MATCH($C207,'PORTIFÓLIO'!$C$4:$C$433,0)),"")</f>
        <v/>
      </c>
      <c r="L207" s="219">
        <f t="array" ref="L207">IFERROR(J207*INDEX('PORTIFÓLIO'!$S$4:$S$433,MATCH($C207,'PORTIFÓLIO'!$C$4:$C$433,0)),"")</f>
        <v/>
      </c>
      <c r="M207" s="220" t="n"/>
      <c r="N207" s="220" t="n"/>
      <c r="O207" s="220" t="n"/>
      <c r="P207" s="220" t="n"/>
      <c r="Q207" s="220" t="n"/>
      <c r="R207" s="220" t="n"/>
      <c r="S207" s="220" t="n"/>
      <c r="T207" s="220" t="n"/>
      <c r="U207" s="220" t="n"/>
      <c r="V207" s="220" t="n"/>
      <c r="W207" s="220" t="n"/>
      <c r="X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16">
        <f t="array" ref="H208">IFERROR(INDEX('PORTIFÓLIO'!$H$4:$H$433,MATCH($C208,'PORTIFÓLIO'!$C$4:$C$433,0)),"")</f>
        <v/>
      </c>
      <c r="I208" s="224" t="n"/>
      <c r="J208" s="218">
        <f>I208*$B$2</f>
        <v/>
      </c>
      <c r="K208" s="219">
        <f t="array" ref="K208">IFERROR(I208*INDEX('PORTIFÓLIO'!$S$4:$S$433,MATCH($C208,'PORTIFÓLIO'!$C$4:$C$433,0)),"")</f>
        <v/>
      </c>
      <c r="L208" s="219">
        <f t="array" ref="L208">IFERROR(J208*INDEX('PORTIFÓLIO'!$S$4:$S$433,MATCH($C208,'PORTIFÓLIO'!$C$4:$C$433,0)),"")</f>
        <v/>
      </c>
      <c r="M208" s="220" t="n"/>
      <c r="N208" s="220" t="n"/>
      <c r="O208" s="220" t="n"/>
      <c r="P208" s="220" t="n"/>
      <c r="Q208" s="220" t="n"/>
      <c r="R208" s="220" t="n"/>
      <c r="S208" s="220" t="n"/>
      <c r="T208" s="220" t="n"/>
      <c r="U208" s="220" t="n"/>
      <c r="V208" s="220" t="n"/>
      <c r="W208" s="220" t="n"/>
      <c r="X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16">
        <f t="array" ref="H209">IFERROR(INDEX('PORTIFÓLIO'!$H$4:$H$433,MATCH($C209,'PORTIFÓLIO'!$C$4:$C$433,0)),"")</f>
        <v/>
      </c>
      <c r="I209" s="224" t="n"/>
      <c r="J209" s="218">
        <f>I209*$B$2</f>
        <v/>
      </c>
      <c r="K209" s="219">
        <f t="array" ref="K209">IFERROR(I209*INDEX('PORTIFÓLIO'!$S$4:$S$433,MATCH($C209,'PORTIFÓLIO'!$C$4:$C$433,0)),"")</f>
        <v/>
      </c>
      <c r="L209" s="219">
        <f t="array" ref="L209">IFERROR(J209*INDEX('PORTIFÓLIO'!$S$4:$S$433,MATCH($C209,'PORTIFÓLIO'!$C$4:$C$433,0)),"")</f>
        <v/>
      </c>
      <c r="M209" s="220" t="n"/>
      <c r="N209" s="220" t="n"/>
      <c r="O209" s="220" t="n"/>
      <c r="P209" s="220" t="n"/>
      <c r="Q209" s="220" t="n"/>
      <c r="R209" s="220" t="n"/>
      <c r="S209" s="220" t="n"/>
      <c r="T209" s="220" t="n"/>
      <c r="U209" s="220" t="n"/>
      <c r="V209" s="220" t="n"/>
      <c r="W209" s="220" t="n"/>
      <c r="X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16">
        <f t="array" ref="H210">IFERROR(INDEX('PORTIFÓLIO'!$H$4:$H$433,MATCH($C210,'PORTIFÓLIO'!$C$4:$C$433,0)),"")</f>
        <v/>
      </c>
      <c r="I210" s="224" t="n"/>
      <c r="J210" s="218">
        <f>I210*$B$2</f>
        <v/>
      </c>
      <c r="K210" s="219">
        <f t="array" ref="K210">IFERROR(I210*INDEX('PORTIFÓLIO'!$S$4:$S$433,MATCH($C210,'PORTIFÓLIO'!$C$4:$C$433,0)),"")</f>
        <v/>
      </c>
      <c r="L210" s="219">
        <f t="array" ref="L210">IFERROR(J210*INDEX('PORTIFÓLIO'!$S$4:$S$433,MATCH($C210,'PORTIFÓLIO'!$C$4:$C$433,0)),"")</f>
        <v/>
      </c>
      <c r="M210" s="220" t="n"/>
      <c r="N210" s="220" t="n"/>
      <c r="O210" s="220" t="n"/>
      <c r="P210" s="220" t="n"/>
      <c r="Q210" s="220" t="n"/>
      <c r="R210" s="220" t="n"/>
      <c r="S210" s="220" t="n"/>
      <c r="T210" s="220" t="n"/>
      <c r="U210" s="220" t="n"/>
      <c r="V210" s="220" t="n"/>
      <c r="W210" s="220" t="n"/>
      <c r="X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16">
        <f t="array" ref="H211">IFERROR(INDEX('PORTIFÓLIO'!$H$4:$H$433,MATCH($C211,'PORTIFÓLIO'!$C$4:$C$433,0)),"")</f>
        <v/>
      </c>
      <c r="I211" s="224" t="n"/>
      <c r="J211" s="218">
        <f>I211*$B$2</f>
        <v/>
      </c>
      <c r="K211" s="219">
        <f t="array" ref="K211">IFERROR(I211*INDEX('PORTIFÓLIO'!$S$4:$S$433,MATCH($C211,'PORTIFÓLIO'!$C$4:$C$433,0)),"")</f>
        <v/>
      </c>
      <c r="L211" s="219">
        <f t="array" ref="L211">IFERROR(J211*INDEX('PORTIFÓLIO'!$S$4:$S$433,MATCH($C211,'PORTIFÓLIO'!$C$4:$C$433,0)),"")</f>
        <v/>
      </c>
      <c r="M211" s="220" t="n"/>
      <c r="N211" s="220" t="n"/>
      <c r="O211" s="220" t="n"/>
      <c r="P211" s="220" t="n"/>
      <c r="Q211" s="220" t="n"/>
      <c r="R211" s="220" t="n"/>
      <c r="S211" s="220" t="n"/>
      <c r="T211" s="220" t="n"/>
      <c r="U211" s="220" t="n"/>
      <c r="V211" s="220" t="n"/>
      <c r="W211" s="220" t="n"/>
      <c r="X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16">
        <f t="array" ref="H212">IFERROR(INDEX('PORTIFÓLIO'!$H$4:$H$433,MATCH($C212,'PORTIFÓLIO'!$C$4:$C$433,0)),"")</f>
        <v/>
      </c>
      <c r="I212" s="224" t="n"/>
      <c r="J212" s="218">
        <f>I212*$B$2</f>
        <v/>
      </c>
      <c r="K212" s="219">
        <f t="array" ref="K212">IFERROR(I212*INDEX('PORTIFÓLIO'!$S$4:$S$433,MATCH($C212,'PORTIFÓLIO'!$C$4:$C$433,0)),"")</f>
        <v/>
      </c>
      <c r="L212" s="219">
        <f t="array" ref="L212">IFERROR(J212*INDEX('PORTIFÓLIO'!$S$4:$S$433,MATCH($C212,'PORTIFÓLIO'!$C$4:$C$433,0)),"")</f>
        <v/>
      </c>
      <c r="M212" s="220" t="n"/>
      <c r="N212" s="220" t="n"/>
      <c r="O212" s="220" t="n"/>
      <c r="P212" s="220" t="n"/>
      <c r="Q212" s="220" t="n"/>
      <c r="R212" s="220" t="n"/>
      <c r="S212" s="220" t="n"/>
      <c r="T212" s="220" t="n"/>
      <c r="U212" s="220" t="n"/>
      <c r="V212" s="220" t="n"/>
      <c r="W212" s="220" t="n"/>
      <c r="X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16">
        <f t="array" ref="H213">IFERROR(INDEX('PORTIFÓLIO'!$H$4:$H$433,MATCH($C213,'PORTIFÓLIO'!$C$4:$C$433,0)),"")</f>
        <v/>
      </c>
      <c r="I213" s="224" t="n"/>
      <c r="J213" s="218">
        <f>I213*$B$2</f>
        <v/>
      </c>
      <c r="K213" s="219">
        <f t="array" ref="K213">IFERROR(I213*INDEX('PORTIFÓLIO'!$S$4:$S$433,MATCH($C213,'PORTIFÓLIO'!$C$4:$C$433,0)),"")</f>
        <v/>
      </c>
      <c r="L213" s="219">
        <f t="array" ref="L213">IFERROR(J213*INDEX('PORTIFÓLIO'!$S$4:$S$433,MATCH($C213,'PORTIFÓLIO'!$C$4:$C$433,0)),"")</f>
        <v/>
      </c>
      <c r="M213" s="220" t="n"/>
      <c r="N213" s="220" t="n"/>
      <c r="O213" s="220" t="n"/>
      <c r="P213" s="220" t="n"/>
      <c r="Q213" s="220" t="n"/>
      <c r="R213" s="220" t="n"/>
      <c r="S213" s="220" t="n"/>
      <c r="T213" s="220" t="n"/>
      <c r="U213" s="220" t="n"/>
      <c r="V213" s="220" t="n"/>
      <c r="W213" s="220" t="n"/>
      <c r="X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16">
        <f t="array" ref="H214">IFERROR(INDEX('PORTIFÓLIO'!$H$4:$H$433,MATCH($C214,'PORTIFÓLIO'!$C$4:$C$433,0)),"")</f>
        <v/>
      </c>
      <c r="I214" s="224" t="n"/>
      <c r="J214" s="218">
        <f>I214*$B$2</f>
        <v/>
      </c>
      <c r="K214" s="219">
        <f t="array" ref="K214">IFERROR(I214*INDEX('PORTIFÓLIO'!$S$4:$S$433,MATCH($C214,'PORTIFÓLIO'!$C$4:$C$433,0)),"")</f>
        <v/>
      </c>
      <c r="L214" s="219">
        <f t="array" ref="L214">IFERROR(J214*INDEX('PORTIFÓLIO'!$S$4:$S$433,MATCH($C214,'PORTIFÓLIO'!$C$4:$C$433,0)),"")</f>
        <v/>
      </c>
      <c r="M214" s="220" t="n"/>
      <c r="N214" s="220" t="n"/>
      <c r="O214" s="220" t="n"/>
      <c r="P214" s="220" t="n"/>
      <c r="Q214" s="220" t="n"/>
      <c r="R214" s="220" t="n"/>
      <c r="S214" s="220" t="n"/>
      <c r="T214" s="220" t="n"/>
      <c r="U214" s="220" t="n"/>
      <c r="V214" s="220" t="n"/>
      <c r="W214" s="220" t="n"/>
      <c r="X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16">
        <f t="array" ref="H215">IFERROR(INDEX('PORTIFÓLIO'!$H$4:$H$433,MATCH($C215,'PORTIFÓLIO'!$C$4:$C$433,0)),"")</f>
        <v/>
      </c>
      <c r="I215" s="224" t="n"/>
      <c r="J215" s="218">
        <f>I215*$B$2</f>
        <v/>
      </c>
      <c r="K215" s="219">
        <f t="array" ref="K215">IFERROR(I215*INDEX('PORTIFÓLIO'!$S$4:$S$433,MATCH($C215,'PORTIFÓLIO'!$C$4:$C$433,0)),"")</f>
        <v/>
      </c>
      <c r="L215" s="219">
        <f t="array" ref="L215">IFERROR(J215*INDEX('PORTIFÓLIO'!$S$4:$S$433,MATCH($C215,'PORTIFÓLIO'!$C$4:$C$433,0)),"")</f>
        <v/>
      </c>
      <c r="M215" s="220" t="n"/>
      <c r="N215" s="220" t="n"/>
      <c r="O215" s="220" t="n"/>
      <c r="P215" s="220" t="n"/>
      <c r="Q215" s="220" t="n"/>
      <c r="R215" s="220" t="n"/>
      <c r="S215" s="220" t="n"/>
      <c r="T215" s="220" t="n"/>
      <c r="U215" s="220" t="n"/>
      <c r="V215" s="220" t="n"/>
      <c r="W215" s="220" t="n"/>
      <c r="X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16">
        <f t="array" ref="H216">IFERROR(INDEX('PORTIFÓLIO'!$H$4:$H$433,MATCH($C216,'PORTIFÓLIO'!$C$4:$C$433,0)),"")</f>
        <v/>
      </c>
      <c r="I216" s="224" t="n"/>
      <c r="J216" s="218">
        <f>I216*$B$2</f>
        <v/>
      </c>
      <c r="K216" s="219">
        <f t="array" ref="K216">IFERROR(I216*INDEX('PORTIFÓLIO'!$S$4:$S$433,MATCH($C216,'PORTIFÓLIO'!$C$4:$C$433,0)),"")</f>
        <v/>
      </c>
      <c r="L216" s="219">
        <f t="array" ref="L216">IFERROR(J216*INDEX('PORTIFÓLIO'!$S$4:$S$433,MATCH($C216,'PORTIFÓLIO'!$C$4:$C$433,0)),"")</f>
        <v/>
      </c>
      <c r="M216" s="220" t="n"/>
      <c r="N216" s="220" t="n"/>
      <c r="O216" s="220" t="n"/>
      <c r="P216" s="220" t="n"/>
      <c r="Q216" s="220" t="n"/>
      <c r="R216" s="220" t="n"/>
      <c r="S216" s="220" t="n"/>
      <c r="T216" s="220" t="n"/>
      <c r="U216" s="220" t="n"/>
      <c r="V216" s="220" t="n"/>
      <c r="W216" s="220" t="n"/>
      <c r="X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16">
        <f t="array" ref="H217">IFERROR(INDEX('PORTIFÓLIO'!$H$4:$H$433,MATCH($C217,'PORTIFÓLIO'!$C$4:$C$433,0)),"")</f>
        <v/>
      </c>
      <c r="I217" s="224" t="n"/>
      <c r="J217" s="218">
        <f>I217*$B$2</f>
        <v/>
      </c>
      <c r="K217" s="219">
        <f t="array" ref="K217">IFERROR(I217*INDEX('PORTIFÓLIO'!$S$4:$S$433,MATCH($C217,'PORTIFÓLIO'!$C$4:$C$433,0)),"")</f>
        <v/>
      </c>
      <c r="L217" s="219">
        <f t="array" ref="L217">IFERROR(J217*INDEX('PORTIFÓLIO'!$S$4:$S$433,MATCH($C217,'PORTIFÓLIO'!$C$4:$C$433,0)),"")</f>
        <v/>
      </c>
      <c r="M217" s="220" t="n"/>
      <c r="N217" s="220" t="n"/>
      <c r="O217" s="220" t="n"/>
      <c r="P217" s="220" t="n"/>
      <c r="Q217" s="220" t="n"/>
      <c r="R217" s="220" t="n"/>
      <c r="S217" s="220" t="n"/>
      <c r="T217" s="220" t="n"/>
      <c r="U217" s="220" t="n"/>
      <c r="V217" s="220" t="n"/>
      <c r="W217" s="220" t="n"/>
      <c r="X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16">
        <f t="array" ref="H218">IFERROR(INDEX('PORTIFÓLIO'!$H$4:$H$433,MATCH($C218,'PORTIFÓLIO'!$C$4:$C$433,0)),"")</f>
        <v/>
      </c>
      <c r="I218" s="224" t="n"/>
      <c r="J218" s="218">
        <f>I218*$B$2</f>
        <v/>
      </c>
      <c r="K218" s="219">
        <f t="array" ref="K218">IFERROR(I218*INDEX('PORTIFÓLIO'!$S$4:$S$433,MATCH($C218,'PORTIFÓLIO'!$C$4:$C$433,0)),"")</f>
        <v/>
      </c>
      <c r="L218" s="219">
        <f t="array" ref="L218">IFERROR(J218*INDEX('PORTIFÓLIO'!$S$4:$S$433,MATCH($C218,'PORTIFÓLIO'!$C$4:$C$433,0)),"")</f>
        <v/>
      </c>
      <c r="M218" s="220" t="n"/>
      <c r="N218" s="220" t="n"/>
      <c r="O218" s="220" t="n"/>
      <c r="P218" s="220" t="n"/>
      <c r="Q218" s="220" t="n"/>
      <c r="R218" s="220" t="n"/>
      <c r="S218" s="220" t="n"/>
      <c r="T218" s="220" t="n"/>
      <c r="U218" s="220" t="n"/>
      <c r="V218" s="220" t="n"/>
      <c r="W218" s="220" t="n"/>
      <c r="X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16">
        <f t="array" ref="H219">IFERROR(INDEX('PORTIFÓLIO'!$H$4:$H$433,MATCH($C219,'PORTIFÓLIO'!$C$4:$C$433,0)),"")</f>
        <v/>
      </c>
      <c r="I219" s="224" t="n"/>
      <c r="J219" s="218">
        <f>I219*$B$2</f>
        <v/>
      </c>
      <c r="K219" s="219">
        <f t="array" ref="K219">IFERROR(I219*INDEX('PORTIFÓLIO'!$S$4:$S$433,MATCH($C219,'PORTIFÓLIO'!$C$4:$C$433,0)),"")</f>
        <v/>
      </c>
      <c r="L219" s="219">
        <f t="array" ref="L219">IFERROR(J219*INDEX('PORTIFÓLIO'!$S$4:$S$433,MATCH($C219,'PORTIFÓLIO'!$C$4:$C$433,0)),"")</f>
        <v/>
      </c>
      <c r="M219" s="220" t="n"/>
      <c r="N219" s="220" t="n"/>
      <c r="O219" s="220" t="n"/>
      <c r="P219" s="220" t="n"/>
      <c r="Q219" s="220" t="n"/>
      <c r="R219" s="220" t="n"/>
      <c r="S219" s="220" t="n"/>
      <c r="T219" s="220" t="n"/>
      <c r="U219" s="220" t="n"/>
      <c r="V219" s="220" t="n"/>
      <c r="W219" s="220" t="n"/>
      <c r="X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16">
        <f t="array" ref="H220">IFERROR(INDEX('PORTIFÓLIO'!$H$4:$H$433,MATCH($C220,'PORTIFÓLIO'!$C$4:$C$433,0)),"")</f>
        <v/>
      </c>
      <c r="I220" s="224" t="n"/>
      <c r="J220" s="218">
        <f>I220*$B$2</f>
        <v/>
      </c>
      <c r="K220" s="219">
        <f t="array" ref="K220">IFERROR(I220*INDEX('PORTIFÓLIO'!$S$4:$S$433,MATCH($C220,'PORTIFÓLIO'!$C$4:$C$433,0)),"")</f>
        <v/>
      </c>
      <c r="L220" s="219">
        <f t="array" ref="L220">IFERROR(J220*INDEX('PORTIFÓLIO'!$S$4:$S$433,MATCH($C220,'PORTIFÓLIO'!$C$4:$C$433,0)),"")</f>
        <v/>
      </c>
      <c r="M220" s="220" t="n"/>
      <c r="N220" s="220" t="n"/>
      <c r="O220" s="220" t="n"/>
      <c r="P220" s="220" t="n"/>
      <c r="Q220" s="220" t="n"/>
      <c r="R220" s="220" t="n"/>
      <c r="S220" s="220" t="n"/>
      <c r="T220" s="220" t="n"/>
      <c r="U220" s="220" t="n"/>
      <c r="V220" s="220" t="n"/>
      <c r="W220" s="220" t="n"/>
      <c r="X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16">
        <f t="array" ref="H221">IFERROR(INDEX('PORTIFÓLIO'!$H$4:$H$433,MATCH($C221,'PORTIFÓLIO'!$C$4:$C$433,0)),"")</f>
        <v/>
      </c>
      <c r="I221" s="224" t="n"/>
      <c r="J221" s="218">
        <f>I221*$B$2</f>
        <v/>
      </c>
      <c r="K221" s="219">
        <f t="array" ref="K221">IFERROR(I221*INDEX('PORTIFÓLIO'!$S$4:$S$433,MATCH($C221,'PORTIFÓLIO'!$C$4:$C$433,0)),"")</f>
        <v/>
      </c>
      <c r="L221" s="219">
        <f t="array" ref="L221">IFERROR(J221*INDEX('PORTIFÓLIO'!$S$4:$S$433,MATCH($C221,'PORTIFÓLIO'!$C$4:$C$433,0)),"")</f>
        <v/>
      </c>
      <c r="M221" s="220" t="n"/>
      <c r="N221" s="220" t="n"/>
      <c r="O221" s="220" t="n"/>
      <c r="P221" s="220" t="n"/>
      <c r="Q221" s="220" t="n"/>
      <c r="R221" s="220" t="n"/>
      <c r="S221" s="220" t="n"/>
      <c r="T221" s="220" t="n"/>
      <c r="U221" s="220" t="n"/>
      <c r="V221" s="220" t="n"/>
      <c r="W221" s="220" t="n"/>
      <c r="X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16">
        <f t="array" ref="H222">IFERROR(INDEX('PORTIFÓLIO'!$H$4:$H$433,MATCH($C222,'PORTIFÓLIO'!$C$4:$C$433,0)),"")</f>
        <v/>
      </c>
      <c r="I222" s="224" t="n"/>
      <c r="J222" s="218">
        <f>I222*$B$2</f>
        <v/>
      </c>
      <c r="K222" s="219">
        <f t="array" ref="K222">IFERROR(I222*INDEX('PORTIFÓLIO'!$S$4:$S$433,MATCH($C222,'PORTIFÓLIO'!$C$4:$C$433,0)),"")</f>
        <v/>
      </c>
      <c r="L222" s="219">
        <f t="array" ref="L222">IFERROR(J222*INDEX('PORTIFÓLIO'!$S$4:$S$433,MATCH($C222,'PORTIFÓLIO'!$C$4:$C$433,0)),"")</f>
        <v/>
      </c>
      <c r="M222" s="220" t="n"/>
      <c r="N222" s="220" t="n"/>
      <c r="O222" s="220" t="n"/>
      <c r="P222" s="220" t="n"/>
      <c r="Q222" s="220" t="n"/>
      <c r="R222" s="220" t="n"/>
      <c r="S222" s="220" t="n"/>
      <c r="T222" s="220" t="n"/>
      <c r="U222" s="220" t="n"/>
      <c r="V222" s="220" t="n"/>
      <c r="W222" s="220" t="n"/>
      <c r="X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16">
        <f t="array" ref="H223">IFERROR(INDEX('PORTIFÓLIO'!$H$4:$H$433,MATCH($C223,'PORTIFÓLIO'!$C$4:$C$433,0)),"")</f>
        <v/>
      </c>
      <c r="I223" s="224" t="n"/>
      <c r="J223" s="218">
        <f>I223*$B$2</f>
        <v/>
      </c>
      <c r="K223" s="219">
        <f t="array" ref="K223">IFERROR(I223*INDEX('PORTIFÓLIO'!$S$4:$S$433,MATCH($C223,'PORTIFÓLIO'!$C$4:$C$433,0)),"")</f>
        <v/>
      </c>
      <c r="L223" s="219">
        <f t="array" ref="L223">IFERROR(J223*INDEX('PORTIFÓLIO'!$S$4:$S$433,MATCH($C223,'PORTIFÓLIO'!$C$4:$C$433,0)),"")</f>
        <v/>
      </c>
      <c r="M223" s="220" t="n"/>
      <c r="N223" s="220" t="n"/>
      <c r="O223" s="220" t="n"/>
      <c r="P223" s="220" t="n"/>
      <c r="Q223" s="220" t="n"/>
      <c r="R223" s="220" t="n"/>
      <c r="S223" s="220" t="n"/>
      <c r="T223" s="220" t="n"/>
      <c r="U223" s="220" t="n"/>
      <c r="V223" s="220" t="n"/>
      <c r="W223" s="220" t="n"/>
      <c r="X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16">
        <f t="array" ref="H224">IFERROR(INDEX('PORTIFÓLIO'!$H$4:$H$433,MATCH($C224,'PORTIFÓLIO'!$C$4:$C$433,0)),"")</f>
        <v/>
      </c>
      <c r="I224" s="224" t="n"/>
      <c r="J224" s="218">
        <f>I224*$B$2</f>
        <v/>
      </c>
      <c r="K224" s="219">
        <f t="array" ref="K224">IFERROR(I224*INDEX('PORTIFÓLIO'!$S$4:$S$433,MATCH($C224,'PORTIFÓLIO'!$C$4:$C$433,0)),"")</f>
        <v/>
      </c>
      <c r="L224" s="219">
        <f t="array" ref="L224">IFERROR(J224*INDEX('PORTIFÓLIO'!$S$4:$S$433,MATCH($C224,'PORTIFÓLIO'!$C$4:$C$433,0)),"")</f>
        <v/>
      </c>
      <c r="M224" s="220" t="n"/>
      <c r="N224" s="220" t="n"/>
      <c r="O224" s="220" t="n"/>
      <c r="P224" s="220" t="n"/>
      <c r="Q224" s="220" t="n"/>
      <c r="R224" s="220" t="n"/>
      <c r="S224" s="220" t="n"/>
      <c r="T224" s="220" t="n"/>
      <c r="U224" s="220" t="n"/>
      <c r="V224" s="220" t="n"/>
      <c r="W224" s="220" t="n"/>
      <c r="X224" s="220" t="n"/>
    </row>
    <row r="225" ht="15.75" customHeight="1" s="297">
      <c r="A225" s="238" t="n"/>
      <c r="B225" s="238" t="n"/>
      <c r="C225" s="238" t="n"/>
      <c r="D225" s="238" t="n"/>
      <c r="E225" s="238" t="n"/>
      <c r="F225" s="238" t="n"/>
      <c r="G225" s="206" t="n"/>
      <c r="H225" s="192">
        <f t="array" ref="H225">IFERROR(INDEX('PORTIFÓLIO'!$H$4:$H$433,MATCH($C225,'PORTIFÓLIO'!$C$4:$C$433,0)),"")</f>
        <v/>
      </c>
      <c r="I225" s="190" t="n"/>
      <c r="J225" s="238" t="n"/>
      <c r="K225" s="239">
        <f>SUBTOTAL(9,K10:K200)</f>
        <v/>
      </c>
      <c r="L225" s="239">
        <f>SUBTOTAL(9,L10:L200)</f>
        <v/>
      </c>
      <c r="M225" s="177" t="n"/>
      <c r="N225" s="177" t="n"/>
      <c r="O225" s="177" t="n"/>
      <c r="P225" s="177" t="n"/>
      <c r="Q225" s="177" t="n"/>
      <c r="R225" s="177" t="n"/>
      <c r="S225" s="177" t="n"/>
      <c r="T225" s="177" t="n"/>
      <c r="U225" s="177" t="n"/>
      <c r="V225" s="177" t="n"/>
      <c r="W225" s="177" t="n"/>
      <c r="X225" s="177" t="n"/>
    </row>
    <row r="226" ht="15.75" customHeight="1" s="297">
      <c r="A226" s="240" t="n"/>
      <c r="B226" s="240" t="n"/>
      <c r="C226" s="240" t="n"/>
      <c r="D226" s="240" t="n"/>
      <c r="E226" s="240" t="n"/>
      <c r="F226" s="240" t="n"/>
      <c r="G226" s="241" t="n"/>
      <c r="H226" s="241" t="n"/>
      <c r="I226" s="242" t="n"/>
      <c r="J226" s="240" t="n"/>
      <c r="K226" s="240" t="n"/>
      <c r="L226" s="240" t="n"/>
      <c r="M226" s="240" t="n"/>
      <c r="N226" s="240" t="n"/>
      <c r="O226" s="240" t="n"/>
      <c r="P226" s="240" t="n"/>
      <c r="Q226" s="240" t="n"/>
      <c r="R226" s="240" t="n"/>
      <c r="S226" s="240" t="n"/>
      <c r="T226" s="240" t="n"/>
      <c r="U226" s="240" t="n"/>
      <c r="V226" s="240" t="n"/>
      <c r="W226" s="240" t="n"/>
      <c r="X226" s="240" t="n"/>
    </row>
    <row r="227" ht="15.75" customHeight="1" s="297">
      <c r="A227" s="178" t="inlineStr">
        <is>
          <t>Talhão:</t>
        </is>
      </c>
      <c r="B227" s="170">
        <f>'ÁREA PLANTIO'!B2</f>
        <v/>
      </c>
      <c r="C227" s="171" t="inlineStr">
        <is>
          <t>Custo estimado R$/há</t>
        </is>
      </c>
      <c r="D227" s="172">
        <f>$K$452</f>
        <v/>
      </c>
      <c r="E227" s="173" t="n"/>
      <c r="F227" s="174" t="inlineStr">
        <is>
          <t>ÁREA PLANTIO</t>
        </is>
      </c>
      <c r="G227" s="175" t="n"/>
      <c r="H227" s="243">
        <f t="array" ref="H227">IFERROR(INDEX('PORTIFÓLIO'!$H$4:$H$433,MATCH($C227,'PORTIFÓLIO'!$C$4:$C$433,0)),"")</f>
        <v/>
      </c>
      <c r="I227" s="176" t="n"/>
      <c r="J227" s="176" t="n"/>
      <c r="K227" s="175" t="n"/>
      <c r="L227" s="177" t="n"/>
      <c r="M227" s="177" t="n"/>
      <c r="N227" s="177" t="n"/>
      <c r="O227" s="177" t="n"/>
      <c r="P227" s="177" t="n"/>
      <c r="Q227" s="177" t="n"/>
      <c r="R227" s="177" t="n"/>
      <c r="S227" s="177" t="n"/>
      <c r="T227" s="177" t="n"/>
      <c r="U227" s="177" t="n"/>
      <c r="V227" s="177" t="n"/>
      <c r="W227" s="177" t="n"/>
      <c r="X227" s="177" t="n"/>
    </row>
    <row r="228" ht="15.75" customHeight="1" s="297">
      <c r="A228" s="178" t="inlineStr">
        <is>
          <t>Área:</t>
        </is>
      </c>
      <c r="B228" s="179">
        <f>'ÁREA PLANTIO'!E2</f>
        <v/>
      </c>
      <c r="C228" s="180" t="inlineStr">
        <is>
          <t>Produtividade estimada Sc/há</t>
        </is>
      </c>
      <c r="D228" s="181">
        <f>'ÁREA PLANTIO'!I2</f>
        <v/>
      </c>
      <c r="E228" s="173" t="n"/>
      <c r="F228" s="173" t="n"/>
      <c r="G228" s="175" t="n"/>
      <c r="H228" s="243">
        <f t="array" ref="H228">IFERROR(INDEX('PORTIFÓLIO'!$H$4:$H$433,MATCH($C228,'PORTIFÓLIO'!$C$4:$C$433,0)),"")</f>
        <v/>
      </c>
      <c r="I228" s="176" t="n"/>
      <c r="J228" s="176" t="n"/>
      <c r="K228" s="175" t="n"/>
      <c r="L228" s="177" t="n"/>
      <c r="M228" s="177" t="n"/>
      <c r="N228" s="177" t="n"/>
      <c r="O228" s="177" t="n"/>
      <c r="P228" s="177" t="n"/>
      <c r="Q228" s="177" t="n"/>
      <c r="R228" s="177" t="n"/>
      <c r="S228" s="177" t="n"/>
      <c r="T228" s="177" t="n"/>
      <c r="U228" s="177" t="n"/>
      <c r="V228" s="177" t="n"/>
      <c r="W228" s="177" t="n"/>
      <c r="X228" s="177" t="n"/>
    </row>
    <row r="229" ht="15.75" customHeight="1" s="297">
      <c r="A229" s="178" t="inlineStr">
        <is>
          <t>Empreedimento:</t>
        </is>
      </c>
      <c r="B229" s="176">
        <f>'ÁREA PLANTIO'!H2</f>
        <v/>
      </c>
      <c r="C229" s="180" t="inlineStr">
        <is>
          <t>Custo estimado por SC</t>
        </is>
      </c>
      <c r="D229" s="182">
        <f>D227/D228</f>
        <v/>
      </c>
      <c r="E229" s="173" t="n"/>
      <c r="F229" s="173" t="n"/>
      <c r="G229" s="175" t="n"/>
      <c r="H229" s="243">
        <f t="array" ref="H229">IFERROR(INDEX('PORTIFÓLIO'!$H$4:$H$433,MATCH($C229,'PORTIFÓLIO'!$C$4:$C$433,0)),"")</f>
        <v/>
      </c>
      <c r="I229" s="176" t="n"/>
      <c r="J229" s="176" t="n"/>
      <c r="K229" s="175" t="n"/>
      <c r="L229" s="177" t="n"/>
      <c r="M229" s="177" t="n"/>
      <c r="N229" s="177" t="n"/>
      <c r="O229" s="177" t="n"/>
      <c r="P229" s="177" t="n"/>
      <c r="Q229" s="177" t="n"/>
      <c r="R229" s="177" t="n"/>
      <c r="S229" s="177" t="n"/>
      <c r="T229" s="177" t="n"/>
      <c r="U229" s="177" t="n"/>
      <c r="V229" s="177" t="n"/>
      <c r="W229" s="177" t="n"/>
      <c r="X229" s="177" t="n"/>
    </row>
    <row r="230" ht="15.75" customHeight="1" s="297">
      <c r="A230" s="183" t="inlineStr">
        <is>
          <t>Data de plantio:</t>
        </is>
      </c>
      <c r="B230" s="184" t="n">
        <v>45606</v>
      </c>
      <c r="C230" s="185" t="n"/>
      <c r="D230" s="186" t="n"/>
      <c r="E230" s="187" t="n"/>
      <c r="F230" s="173" t="n"/>
      <c r="G230" s="175" t="n"/>
      <c r="H230" s="243">
        <f t="array" ref="H230">IFERROR(INDEX('PORTIFÓLIO'!$H$4:$H$433,MATCH($C230,'PORTIFÓLIO'!$C$4:$C$433,0)),"")</f>
        <v/>
      </c>
      <c r="I230" s="176" t="n"/>
      <c r="J230" s="176" t="n"/>
      <c r="K230" s="175" t="n"/>
      <c r="L230" s="177" t="n"/>
      <c r="M230" s="177" t="n"/>
      <c r="N230" s="177" t="n"/>
      <c r="O230" s="177" t="n"/>
      <c r="P230" s="177" t="n"/>
      <c r="Q230" s="177" t="n"/>
      <c r="R230" s="177" t="n"/>
      <c r="S230" s="177" t="n"/>
      <c r="T230" s="177" t="n"/>
      <c r="U230" s="177" t="n"/>
      <c r="V230" s="177" t="n"/>
      <c r="W230" s="177" t="n"/>
      <c r="X230" s="177" t="n"/>
    </row>
    <row r="231" ht="15.75" customHeight="1" s="297">
      <c r="A231" s="177" t="n"/>
      <c r="B231" s="177" t="n"/>
      <c r="C231" s="177" t="n"/>
      <c r="D231" s="177" t="n"/>
      <c r="E231" s="188" t="n"/>
      <c r="F231" s="173" t="n"/>
      <c r="G231" s="175" t="n"/>
      <c r="H231" s="243">
        <f t="array" ref="H231">IFERROR(INDEX('PORTIFÓLIO'!$H$4:$H$433,MATCH($C231,'PORTIFÓLIO'!$C$4:$C$433,0)),"")</f>
        <v/>
      </c>
      <c r="I231" s="176" t="n"/>
      <c r="J231" s="176" t="n"/>
      <c r="K231" s="175" t="n"/>
      <c r="L231" s="177" t="n"/>
      <c r="M231" s="177" t="n"/>
      <c r="N231" s="177" t="n"/>
      <c r="O231" s="177" t="n"/>
      <c r="P231" s="177" t="n"/>
      <c r="Q231" s="177" t="n"/>
      <c r="R231" s="177" t="n"/>
      <c r="S231" s="177" t="n"/>
      <c r="T231" s="177" t="n"/>
      <c r="U231" s="177" t="n"/>
      <c r="V231" s="177" t="n"/>
      <c r="W231" s="177" t="n"/>
      <c r="X231" s="177" t="n"/>
    </row>
    <row r="232" ht="15.75" customHeight="1" s="297">
      <c r="A232" s="178" t="n"/>
      <c r="B232" s="176" t="n"/>
      <c r="C232" s="173" t="n"/>
      <c r="D232" s="173" t="n"/>
      <c r="E232" s="173" t="n"/>
      <c r="F232" s="173" t="n"/>
      <c r="G232" s="175" t="n"/>
      <c r="H232" s="243">
        <f t="array" ref="H232">IFERROR(INDEX('PORTIFÓLIO'!$H$4:$H$433,MATCH($C232,'PORTIFÓLIO'!$C$4:$C$433,0)),"")</f>
        <v/>
      </c>
      <c r="I232" s="176" t="n"/>
      <c r="J232" s="176" t="n"/>
      <c r="K232" s="175" t="n"/>
      <c r="L232" s="177" t="n"/>
      <c r="M232" s="177" t="n"/>
      <c r="N232" s="177" t="n"/>
      <c r="O232" s="177" t="n"/>
      <c r="P232" s="177" t="n"/>
      <c r="Q232" s="177" t="n"/>
      <c r="R232" s="177" t="n"/>
      <c r="S232" s="177" t="n"/>
      <c r="T232" s="177" t="n"/>
      <c r="U232" s="177" t="n"/>
      <c r="V232" s="177" t="n"/>
      <c r="W232" s="177" t="n"/>
      <c r="X232" s="177" t="n"/>
    </row>
    <row r="233" ht="15.75" customHeight="1" s="297">
      <c r="A233" s="176" t="n"/>
      <c r="B233" s="176" t="n"/>
      <c r="C233" s="173" t="n"/>
      <c r="D233" s="173" t="n"/>
      <c r="E233" s="173" t="n"/>
      <c r="F233" s="173" t="n"/>
      <c r="G233" s="175" t="n"/>
      <c r="H233" s="243">
        <f t="array" ref="H233">IFERROR(INDEX('PORTIFÓLIO'!$H$4:$H$433,MATCH($C233,'PORTIFÓLIO'!$C$4:$C$433,0)),"")</f>
        <v/>
      </c>
      <c r="I233" s="176" t="n"/>
      <c r="J233" s="176" t="n"/>
      <c r="K233" s="175" t="n"/>
      <c r="L233" s="177" t="n"/>
      <c r="M233" s="177" t="n"/>
      <c r="N233" s="177" t="n"/>
      <c r="O233" s="177" t="n"/>
      <c r="P233" s="177" t="n"/>
      <c r="Q233" s="177" t="n"/>
      <c r="R233" s="177" t="n"/>
      <c r="S233" s="177" t="n"/>
      <c r="T233" s="177" t="n"/>
      <c r="U233" s="177" t="n"/>
      <c r="V233" s="177" t="n"/>
      <c r="W233" s="177" t="n"/>
      <c r="X233" s="177" t="n"/>
    </row>
    <row r="234" ht="15.75" customHeight="1" s="297">
      <c r="A234" s="176" t="n"/>
      <c r="B234" s="176" t="n"/>
      <c r="C234" s="176" t="n"/>
      <c r="D234" s="176" t="n"/>
      <c r="E234" s="173" t="n"/>
      <c r="F234" s="173" t="n"/>
      <c r="G234" s="175" t="n"/>
      <c r="H234" s="243">
        <f t="array" ref="H234">IFERROR(INDEX('PORTIFÓLIO'!$H$4:$H$433,MATCH($C234,'PORTIFÓLIO'!$C$4:$C$433,0)),"")</f>
        <v/>
      </c>
      <c r="I234" s="176" t="n"/>
      <c r="J234" s="176" t="n"/>
      <c r="K234" s="175" t="n"/>
      <c r="L234" s="177" t="n"/>
      <c r="M234" s="177" t="n"/>
      <c r="N234" s="177" t="n"/>
      <c r="O234" s="177" t="n"/>
      <c r="P234" s="177" t="n"/>
      <c r="Q234" s="177" t="n"/>
      <c r="R234" s="177" t="n"/>
      <c r="S234" s="177" t="n"/>
      <c r="T234" s="177" t="n"/>
      <c r="U234" s="177" t="n"/>
      <c r="V234" s="177" t="n"/>
      <c r="W234" s="177" t="n"/>
      <c r="X234" s="177" t="n"/>
    </row>
    <row r="235" ht="15.75" customHeight="1" s="297">
      <c r="A235" s="176" t="n"/>
      <c r="B235" s="244" t="n"/>
      <c r="C235" s="244" t="n"/>
      <c r="D235" s="176" t="n"/>
      <c r="E235" s="176" t="n"/>
      <c r="F235" s="176" t="n"/>
      <c r="G235" s="175" t="n"/>
      <c r="H235" s="243" t="n"/>
      <c r="I235" s="243" t="n"/>
      <c r="J235" s="245" t="n"/>
      <c r="K235" s="246" t="n"/>
      <c r="L235" s="189" t="n"/>
      <c r="M235" s="177" t="n"/>
      <c r="N235" s="177" t="n"/>
      <c r="O235" s="177" t="n"/>
      <c r="P235" s="177" t="n"/>
      <c r="Q235" s="177" t="n"/>
      <c r="R235" s="177" t="n"/>
      <c r="S235" s="177" t="n"/>
      <c r="T235" s="177" t="n"/>
      <c r="U235" s="177" t="n"/>
      <c r="V235" s="177" t="n"/>
      <c r="W235" s="177" t="n"/>
      <c r="X235" s="177" t="n"/>
    </row>
    <row r="236" ht="15.75" customHeight="1" s="297">
      <c r="A236" s="190" t="inlineStr">
        <is>
          <t>DAP da Operação</t>
        </is>
      </c>
      <c r="B236" s="191" t="inlineStr">
        <is>
          <t>Classe</t>
        </is>
      </c>
      <c r="C236" s="191" t="inlineStr">
        <is>
          <t>Produto</t>
        </is>
      </c>
      <c r="D236" s="190" t="inlineStr">
        <is>
          <t>Ingrediente Ativo</t>
        </is>
      </c>
      <c r="E236" s="190" t="inlineStr">
        <is>
          <t>Concentração</t>
        </is>
      </c>
      <c r="F236" s="190" t="inlineStr">
        <is>
          <t>Unidade</t>
        </is>
      </c>
      <c r="G236" s="192" t="inlineStr">
        <is>
          <t>Bula</t>
        </is>
      </c>
      <c r="H236" s="192" t="inlineStr">
        <is>
          <t>Sugestão</t>
        </is>
      </c>
      <c r="I236" s="192" t="inlineStr">
        <is>
          <t>Dose</t>
        </is>
      </c>
      <c r="J236" s="193" t="inlineStr">
        <is>
          <t>Total</t>
        </is>
      </c>
      <c r="K236" s="194" t="inlineStr">
        <is>
          <t>CUSTO/HA</t>
        </is>
      </c>
      <c r="L236" s="195" t="inlineStr">
        <is>
          <t>VALOR TOTAL</t>
        </is>
      </c>
      <c r="M236" s="177" t="n"/>
      <c r="N236" s="177" t="n"/>
      <c r="O236" s="177" t="n"/>
      <c r="P236" s="177" t="n"/>
      <c r="Q236" s="177" t="n"/>
      <c r="R236" s="177" t="n"/>
      <c r="S236" s="177" t="n"/>
      <c r="T236" s="177" t="n"/>
      <c r="U236" s="177" t="n"/>
      <c r="V236" s="177" t="n"/>
      <c r="W236" s="177" t="n"/>
      <c r="X236" s="177" t="n"/>
    </row>
    <row r="237" ht="15.75" customHeight="1" s="297">
      <c r="A237" s="196" t="inlineStr">
        <is>
          <t>OPERAÇÃO 1</t>
        </is>
      </c>
      <c r="B237" s="197" t="n"/>
      <c r="C237" s="196" t="n"/>
      <c r="D237" s="198" t="n"/>
      <c r="E237" s="196" t="n"/>
      <c r="F237" s="196" t="n"/>
      <c r="G237" s="199" t="n"/>
      <c r="H237" s="199" t="n"/>
      <c r="I237" s="201" t="n"/>
      <c r="J237" s="202" t="n"/>
      <c r="K237" s="203">
        <f>SUBTOTAL(9,K238:K251)</f>
        <v/>
      </c>
      <c r="L237" s="203">
        <f>SUBTOTAL(9,L238:L251)</f>
        <v/>
      </c>
      <c r="M237" s="177" t="n"/>
      <c r="N237" s="177" t="n"/>
      <c r="O237" s="177" t="n"/>
      <c r="P237" s="177" t="n"/>
      <c r="Q237" s="177" t="n"/>
      <c r="R237" s="177" t="n"/>
      <c r="S237" s="177" t="n"/>
      <c r="T237" s="177" t="n"/>
      <c r="U237" s="177" t="n"/>
      <c r="V237" s="177" t="n"/>
      <c r="W237" s="177" t="n"/>
      <c r="X237" s="177" t="n"/>
    </row>
    <row r="238" outlineLevel="1" ht="15.75" customHeight="1" s="297">
      <c r="A238" s="190" t="n"/>
      <c r="B238" s="204" t="inlineStr">
        <is>
          <t>FERTILIZANTES</t>
        </is>
      </c>
      <c r="C238" s="191" t="inlineStr">
        <is>
          <t>SSP 21</t>
        </is>
      </c>
      <c r="D238" s="205">
        <f>IFERROR(VLOOKUP($C238,'PORTIFÓLIO'!C:V,2,0),"")</f>
        <v/>
      </c>
      <c r="E238" s="190">
        <f>IFERROR(VLOOKUP($C238,'PORTIFÓLIO'!C:V,3,0),"")</f>
        <v/>
      </c>
      <c r="F238" s="190">
        <f>IFERROR(VLOOKUP($C238,'PORTIFÓLIO'!C:V,4,0),"")</f>
        <v/>
      </c>
      <c r="G238" s="206">
        <f>IFERROR(VLOOKUP($C238,'PORTIFÓLIO'!C:V,5,0),"")</f>
        <v/>
      </c>
      <c r="H238" s="247">
        <f t="array" ref="H238">IFERROR(INDEX('PORTIFÓLIO'!$H$4:$H$433,MATCH($C238,'PORTIFÓLIO'!$C$4:$C$433,0)),"")</f>
        <v/>
      </c>
      <c r="I238" s="208" t="n">
        <v>0.2</v>
      </c>
      <c r="J238" s="209">
        <f>I238*$B$2</f>
        <v/>
      </c>
      <c r="K238" s="210">
        <f t="array" ref="K238">IFERROR(I238*INDEX('PORTIFÓLIO'!$S$4:$S$433,MATCH($C238,'PORTIFÓLIO'!$C$4:$C$433,0)),"")</f>
        <v/>
      </c>
      <c r="L238" s="210">
        <f t="array" ref="L238">IFERROR(J238*INDEX('PORTIFÓLIO'!$S$4:$S$433,MATCH($C238,'PORTIFÓLIO'!$C$4:$C$433,0)),"")</f>
        <v/>
      </c>
      <c r="M238" s="177" t="n"/>
      <c r="N238" s="177" t="n"/>
      <c r="O238" s="177" t="n"/>
      <c r="P238" s="177" t="n"/>
      <c r="Q238" s="177" t="n"/>
      <c r="R238" s="177" t="n"/>
      <c r="S238" s="177" t="n"/>
      <c r="T238" s="177" t="n"/>
      <c r="U238" s="177" t="n"/>
      <c r="V238" s="177" t="n"/>
      <c r="W238" s="177" t="n"/>
      <c r="X238" s="177" t="n"/>
    </row>
    <row r="239" outlineLevel="1" ht="15.75" customHeight="1" s="297">
      <c r="A239" s="190" t="n"/>
      <c r="B239" s="204" t="inlineStr">
        <is>
          <t>FERTILIZANTES</t>
        </is>
      </c>
      <c r="C239" s="191" t="inlineStr">
        <is>
          <t>KCL 60%</t>
        </is>
      </c>
      <c r="D239" s="205">
        <f>IFERROR(VLOOKUP($C239,'PORTIFÓLIO'!C:V,2,0),"")</f>
        <v/>
      </c>
      <c r="E239" s="190">
        <f>IFERROR(VLOOKUP($C239,'PORTIFÓLIO'!C:V,3,0),"")</f>
        <v/>
      </c>
      <c r="F239" s="190">
        <f>IFERROR(VLOOKUP($C239,'PORTIFÓLIO'!C:V,4,0),"")</f>
        <v/>
      </c>
      <c r="G239" s="206">
        <f>IFERROR(VLOOKUP($C239,'PORTIFÓLIO'!C:V,5,0),"")</f>
        <v/>
      </c>
      <c r="H239" s="247">
        <f t="array" ref="H239">IFERROR(INDEX('PORTIFÓLIO'!$H$4:$H$433,MATCH($C239,'PORTIFÓLIO'!$C$4:$C$433,0)),"")</f>
        <v/>
      </c>
      <c r="I239" s="208" t="n">
        <v>0.2</v>
      </c>
      <c r="J239" s="209">
        <f>I239*$B$2</f>
        <v/>
      </c>
      <c r="K239" s="210">
        <f t="array" ref="K239">IFERROR(I239*INDEX('PORTIFÓLIO'!$S$4:$S$433,MATCH($C239,'PORTIFÓLIO'!$C$4:$C$433,0)),"")</f>
        <v/>
      </c>
      <c r="L239" s="210">
        <f t="array" ref="L239">IFERROR(J239*INDEX('PORTIFÓLIO'!$S$4:$S$433,MATCH($C239,'PORTIFÓLIO'!$C$4:$C$433,0)),"")</f>
        <v/>
      </c>
      <c r="M239" s="177" t="n"/>
      <c r="N239" s="177" t="n"/>
      <c r="O239" s="177" t="n"/>
      <c r="P239" s="177" t="n"/>
      <c r="Q239" s="177" t="n"/>
      <c r="R239" s="177" t="n"/>
      <c r="S239" s="177" t="n"/>
      <c r="T239" s="177" t="n"/>
      <c r="U239" s="177" t="n"/>
      <c r="V239" s="177" t="n"/>
      <c r="W239" s="177" t="n"/>
      <c r="X239" s="177" t="n"/>
    </row>
    <row r="240" outlineLevel="1" ht="15.75" customHeight="1" s="297">
      <c r="A240" s="190" t="n"/>
      <c r="B240" s="204" t="inlineStr">
        <is>
          <t>FERTILIZANTES</t>
        </is>
      </c>
      <c r="C240" s="191" t="inlineStr">
        <is>
          <t>SULFATO DE AMÔNIO</t>
        </is>
      </c>
      <c r="D240" s="205">
        <f>IFERROR(VLOOKUP($C240,'PORTIFÓLIO'!C:V,2,0),"")</f>
        <v/>
      </c>
      <c r="E240" s="190">
        <f>IFERROR(VLOOKUP($C240,'PORTIFÓLIO'!C:V,3,0),"")</f>
        <v/>
      </c>
      <c r="F240" s="190">
        <f>IFERROR(VLOOKUP($C240,'PORTIFÓLIO'!C:V,4,0),"")</f>
        <v/>
      </c>
      <c r="G240" s="206">
        <f>IFERROR(VLOOKUP($C240,'PORTIFÓLIO'!C:V,5,0),"")</f>
        <v/>
      </c>
      <c r="H240" s="247">
        <f t="array" ref="H240">IFERROR(INDEX('PORTIFÓLIO'!$H$4:$H$433,MATCH($C240,'PORTIFÓLIO'!$C$4:$C$433,0)),"")</f>
        <v/>
      </c>
      <c r="I240" s="208" t="n">
        <v>0.4</v>
      </c>
      <c r="J240" s="209">
        <f>I240*$B$2</f>
        <v/>
      </c>
      <c r="K240" s="210">
        <f t="array" ref="K240">IFERROR(I240*INDEX('PORTIFÓLIO'!$S$4:$S$433,MATCH($C240,'PORTIFÓLIO'!$C$4:$C$433,0)),"")</f>
        <v/>
      </c>
      <c r="L240" s="210">
        <f t="array" ref="L240">IFERROR(J240*INDEX('PORTIFÓLIO'!$S$4:$S$433,MATCH($C240,'PORTIFÓLIO'!$C$4:$C$433,0)),"")</f>
        <v/>
      </c>
      <c r="M240" s="177" t="n"/>
      <c r="N240" s="177" t="n"/>
      <c r="O240" s="177" t="n"/>
      <c r="P240" s="177" t="n"/>
      <c r="Q240" s="177" t="n"/>
      <c r="R240" s="177" t="n"/>
      <c r="S240" s="177" t="n"/>
      <c r="T240" s="177" t="n"/>
      <c r="U240" s="177" t="n"/>
      <c r="V240" s="177" t="n"/>
      <c r="W240" s="177" t="n"/>
      <c r="X240" s="177" t="n"/>
    </row>
    <row r="241" outlineLevel="1" ht="15.75" customHeight="1" s="297">
      <c r="A241" s="190" t="n"/>
      <c r="B241" s="204" t="n"/>
      <c r="C241" s="191" t="n"/>
      <c r="D241" s="205">
        <f>IFERROR(VLOOKUP($C241,'PORTIFÓLIO'!C:V,2,0),"")</f>
        <v/>
      </c>
      <c r="E241" s="190">
        <f>IFERROR(VLOOKUP($C241,'PORTIFÓLIO'!C:V,3,0),"")</f>
        <v/>
      </c>
      <c r="F241" s="190">
        <f>IFERROR(VLOOKUP($C241,'PORTIFÓLIO'!C:V,4,0),"")</f>
        <v/>
      </c>
      <c r="G241" s="206">
        <f>IFERROR(VLOOKUP($C241,'PORTIFÓLIO'!C:V,5,0),"")</f>
        <v/>
      </c>
      <c r="H241" s="247">
        <f t="array" ref="H241">IFERROR(INDEX('PORTIFÓLIO'!$H$4:$H$433,MATCH($C241,'PORTIFÓLIO'!$C$4:$C$433,0)),"")</f>
        <v/>
      </c>
      <c r="I241" s="228" t="n"/>
      <c r="J241" s="209">
        <f>I241*$B$2</f>
        <v/>
      </c>
      <c r="K241" s="210">
        <f t="array" ref="K241">IFERROR(I241*INDEX('PORTIFÓLIO'!$S$4:$S$433,MATCH($C241,'PORTIFÓLIO'!$C$4:$C$433,0)),"")</f>
        <v/>
      </c>
      <c r="L241" s="210">
        <f t="array" ref="L241">IFERROR(J241*INDEX('PORTIFÓLIO'!$S$4:$S$433,MATCH($C241,'PORTIFÓLIO'!$C$4:$C$433,0)),"")</f>
        <v/>
      </c>
      <c r="M241" s="177" t="n"/>
      <c r="N241" s="177" t="n"/>
      <c r="O241" s="177" t="n"/>
      <c r="P241" s="177" t="n"/>
      <c r="Q241" s="177" t="n"/>
      <c r="R241" s="177" t="n"/>
      <c r="S241" s="177" t="n"/>
      <c r="T241" s="177" t="n"/>
      <c r="U241" s="177" t="n"/>
      <c r="V241" s="177" t="n"/>
      <c r="W241" s="177" t="n"/>
      <c r="X241" s="177" t="n"/>
    </row>
    <row r="242" outlineLevel="1" ht="15.75" customHeight="1" s="297">
      <c r="A242" s="190" t="n"/>
      <c r="B242" s="204" t="n"/>
      <c r="C242" s="191" t="n"/>
      <c r="D242" s="205">
        <f>IFERROR(VLOOKUP($C242,'PORTIFÓLIO'!C:V,2,0),"")</f>
        <v/>
      </c>
      <c r="E242" s="190">
        <f>IFERROR(VLOOKUP($C242,'PORTIFÓLIO'!C:V,3,0),"")</f>
        <v/>
      </c>
      <c r="F242" s="190">
        <f>IFERROR(VLOOKUP($C242,'PORTIFÓLIO'!C:V,4,0),"")</f>
        <v/>
      </c>
      <c r="G242" s="206">
        <f>IFERROR(VLOOKUP($C242,'PORTIFÓLIO'!C:V,5,0),"")</f>
        <v/>
      </c>
      <c r="H242" s="247">
        <f t="array" ref="H242">IFERROR(INDEX('PORTIFÓLIO'!$H$4:$H$433,MATCH($C242,'PORTIFÓLIO'!$C$4:$C$433,0)),"")</f>
        <v/>
      </c>
      <c r="I242" s="208" t="n"/>
      <c r="J242" s="209">
        <f>I242*$B$2</f>
        <v/>
      </c>
      <c r="K242" s="210">
        <f t="array" ref="K242">IFERROR(I242*INDEX('PORTIFÓLIO'!$S$4:$S$433,MATCH($C242,'PORTIFÓLIO'!$C$4:$C$433,0)),"")</f>
        <v/>
      </c>
      <c r="L242" s="210">
        <f t="array" ref="L242">IFERROR(J242*INDEX('PORTIFÓLIO'!$S$4:$S$433,MATCH($C242,'PORTIFÓLIO'!$C$4:$C$433,0)),"")</f>
        <v/>
      </c>
      <c r="M242" s="177" t="n"/>
      <c r="N242" s="177" t="n"/>
      <c r="O242" s="177" t="n"/>
      <c r="P242" s="177" t="n"/>
      <c r="Q242" s="177" t="n"/>
      <c r="R242" s="177" t="n"/>
      <c r="S242" s="177" t="n"/>
      <c r="T242" s="177" t="n"/>
      <c r="U242" s="177" t="n"/>
      <c r="V242" s="177" t="n"/>
      <c r="W242" s="177" t="n"/>
      <c r="X242" s="177" t="n"/>
    </row>
    <row r="243" outlineLevel="1" ht="15.75" customHeight="1" s="297">
      <c r="A243" s="190" t="n"/>
      <c r="B243" s="204" t="n"/>
      <c r="C243" s="191" t="n"/>
      <c r="D243" s="205">
        <f>IFERROR(VLOOKUP($C243,'PORTIFÓLIO'!C:V,2,0),"")</f>
        <v/>
      </c>
      <c r="E243" s="190">
        <f>IFERROR(VLOOKUP($C243,'PORTIFÓLIO'!C:V,3,0),"")</f>
        <v/>
      </c>
      <c r="F243" s="190">
        <f>IFERROR(VLOOKUP($C243,'PORTIFÓLIO'!C:V,4,0),"")</f>
        <v/>
      </c>
      <c r="G243" s="206">
        <f>IFERROR(VLOOKUP($C243,'PORTIFÓLIO'!C:V,5,0),"")</f>
        <v/>
      </c>
      <c r="H243" s="247">
        <f t="array" ref="H243">IFERROR(INDEX('PORTIFÓLIO'!$H$4:$H$433,MATCH($C243,'PORTIFÓLIO'!$C$4:$C$433,0)),"")</f>
        <v/>
      </c>
      <c r="I243" s="228" t="n"/>
      <c r="J243" s="209">
        <f>I243*$B$2</f>
        <v/>
      </c>
      <c r="K243" s="210">
        <f t="array" ref="K243">IFERROR(I243*INDEX('PORTIFÓLIO'!$S$4:$S$433,MATCH($C243,'PORTIFÓLIO'!$C$4:$C$433,0)),"")</f>
        <v/>
      </c>
      <c r="L243" s="210">
        <f t="array" ref="L243">IFERROR(J243*INDEX('PORTIFÓLIO'!$S$4:$S$433,MATCH($C243,'PORTIFÓLIO'!$C$4:$C$433,0)),"")</f>
        <v/>
      </c>
      <c r="M243" s="177" t="n"/>
      <c r="N243" s="177" t="n"/>
      <c r="O243" s="177" t="n"/>
      <c r="P243" s="177" t="n"/>
      <c r="Q243" s="177" t="n"/>
      <c r="R243" s="177" t="n"/>
      <c r="S243" s="177" t="n"/>
      <c r="T243" s="177" t="n"/>
      <c r="U243" s="177" t="n"/>
      <c r="V243" s="177" t="n"/>
      <c r="W243" s="177" t="n"/>
      <c r="X243" s="177" t="n"/>
    </row>
    <row r="244" outlineLevel="1" ht="15.75" customHeight="1" s="297">
      <c r="A244" s="190" t="n"/>
      <c r="B244" s="204" t="n"/>
      <c r="C244" s="191" t="n"/>
      <c r="D244" s="205">
        <f>IFERROR(VLOOKUP($C244,'PORTIFÓLIO'!C:V,2,0),"")</f>
        <v/>
      </c>
      <c r="E244" s="190">
        <f>IFERROR(VLOOKUP($C244,'PORTIFÓLIO'!C:V,3,0),"")</f>
        <v/>
      </c>
      <c r="F244" s="190">
        <f>IFERROR(VLOOKUP($C244,'PORTIFÓLIO'!C:V,4,0),"")</f>
        <v/>
      </c>
      <c r="G244" s="206">
        <f>IFERROR(VLOOKUP($C244,'PORTIFÓLIO'!C:V,5,0),"")</f>
        <v/>
      </c>
      <c r="H244" s="247">
        <f t="array" ref="H244">IFERROR(INDEX('PORTIFÓLIO'!$H$4:$H$433,MATCH($C244,'PORTIFÓLIO'!$C$4:$C$433,0)),"")</f>
        <v/>
      </c>
      <c r="I244" s="228" t="n"/>
      <c r="J244" s="209">
        <f>I244*$B$2</f>
        <v/>
      </c>
      <c r="K244" s="210">
        <f t="array" ref="K244">IFERROR(I244*INDEX('PORTIFÓLIO'!$S$4:$S$433,MATCH($C244,'PORTIFÓLIO'!$C$4:$C$433,0)),"")</f>
        <v/>
      </c>
      <c r="L244" s="210">
        <f t="array" ref="L244">IFERROR(J244*INDEX('PORTIFÓLIO'!$S$4:$S$433,MATCH($C244,'PORTIFÓLIO'!$C$4:$C$433,0)),"")</f>
        <v/>
      </c>
      <c r="M244" s="177" t="n"/>
      <c r="N244" s="177" t="n"/>
      <c r="O244" s="177" t="n"/>
      <c r="P244" s="177" t="n"/>
      <c r="Q244" s="177" t="n"/>
      <c r="R244" s="177" t="n"/>
      <c r="S244" s="177" t="n"/>
      <c r="T244" s="177" t="n"/>
      <c r="U244" s="177" t="n"/>
      <c r="V244" s="177" t="n"/>
      <c r="W244" s="177" t="n"/>
      <c r="X244" s="177" t="n"/>
    </row>
    <row r="245" outlineLevel="1" ht="15.75" customHeight="1" s="297">
      <c r="A245" s="190" t="n"/>
      <c r="B245" s="204" t="n"/>
      <c r="C245" s="191" t="n"/>
      <c r="D245" s="205">
        <f>IFERROR(VLOOKUP($C245,'PORTIFÓLIO'!C:V,2,0),"")</f>
        <v/>
      </c>
      <c r="E245" s="190">
        <f>IFERROR(VLOOKUP($C245,'PORTIFÓLIO'!C:V,3,0),"")</f>
        <v/>
      </c>
      <c r="F245" s="190">
        <f>IFERROR(VLOOKUP($C245,'PORTIFÓLIO'!C:V,4,0),"")</f>
        <v/>
      </c>
      <c r="G245" s="206">
        <f>IFERROR(VLOOKUP($C245,'PORTIFÓLIO'!C:V,5,0),"")</f>
        <v/>
      </c>
      <c r="H245" s="247">
        <f t="array" ref="H245">IFERROR(INDEX('PORTIFÓLIO'!$H$4:$H$433,MATCH($C245,'PORTIFÓLIO'!$C$4:$C$433,0)),"")</f>
        <v/>
      </c>
      <c r="I245" s="228" t="n"/>
      <c r="J245" s="209">
        <f>I245*$B$2</f>
        <v/>
      </c>
      <c r="K245" s="210">
        <f t="array" ref="K245">IFERROR(I245*INDEX('PORTIFÓLIO'!$S$4:$S$433,MATCH($C245,'PORTIFÓLIO'!$C$4:$C$433,0)),"")</f>
        <v/>
      </c>
      <c r="L245" s="210">
        <f t="array" ref="L245">IFERROR(J245*INDEX('PORTIFÓLIO'!$S$4:$S$433,MATCH($C245,'PORTIFÓLIO'!$C$4:$C$433,0)),"")</f>
        <v/>
      </c>
      <c r="M245" s="177" t="n"/>
      <c r="N245" s="177" t="n"/>
      <c r="O245" s="177" t="n"/>
      <c r="P245" s="177" t="n"/>
      <c r="Q245" s="177" t="n"/>
      <c r="R245" s="177" t="n"/>
      <c r="S245" s="177" t="n"/>
      <c r="T245" s="177" t="n"/>
      <c r="U245" s="177" t="n"/>
      <c r="V245" s="177" t="n"/>
      <c r="W245" s="177" t="n"/>
      <c r="X245" s="177" t="n"/>
    </row>
    <row r="246" outlineLevel="1" ht="15.75" customHeight="1" s="297">
      <c r="A246" s="190" t="n"/>
      <c r="B246" s="204" t="n"/>
      <c r="C246" s="191" t="n"/>
      <c r="D246" s="205">
        <f>IFERROR(VLOOKUP($C246,'PORTIFÓLIO'!C:V,2,0),"")</f>
        <v/>
      </c>
      <c r="E246" s="190">
        <f>IFERROR(VLOOKUP($C246,'PORTIFÓLIO'!C:V,3,0),"")</f>
        <v/>
      </c>
      <c r="F246" s="190">
        <f>IFERROR(VLOOKUP($C246,'PORTIFÓLIO'!C:V,4,0),"")</f>
        <v/>
      </c>
      <c r="G246" s="206">
        <f>IFERROR(VLOOKUP($C246,'PORTIFÓLIO'!C:V,5,0),"")</f>
        <v/>
      </c>
      <c r="H246" s="247">
        <f t="array" ref="H246">IFERROR(INDEX('PORTIFÓLIO'!$H$4:$H$433,MATCH($C246,'PORTIFÓLIO'!$C$4:$C$433,0)),"")</f>
        <v/>
      </c>
      <c r="I246" s="208" t="n"/>
      <c r="J246" s="209">
        <f>I246*$B$2</f>
        <v/>
      </c>
      <c r="K246" s="210">
        <f t="array" ref="K246">IFERROR(I246*INDEX('PORTIFÓLIO'!$S$4:$S$433,MATCH($C246,'PORTIFÓLIO'!$C$4:$C$433,0)),"")</f>
        <v/>
      </c>
      <c r="L246" s="210">
        <f t="array" ref="L246">IFERROR(J246*INDEX('PORTIFÓLIO'!$S$4:$S$433,MATCH($C246,'PORTIFÓLIO'!$C$4:$C$433,0)),"")</f>
        <v/>
      </c>
      <c r="M246" s="177" t="n"/>
      <c r="N246" s="177" t="n"/>
      <c r="O246" s="177" t="n"/>
      <c r="P246" s="177" t="n"/>
      <c r="Q246" s="177" t="n"/>
      <c r="R246" s="177" t="n"/>
      <c r="S246" s="177" t="n"/>
      <c r="T246" s="177" t="n"/>
      <c r="U246" s="177" t="n"/>
      <c r="V246" s="177" t="n"/>
      <c r="W246" s="177" t="n"/>
      <c r="X246" s="177" t="n"/>
    </row>
    <row r="247" outlineLevel="1" ht="15.75" customHeight="1" s="297">
      <c r="A247" s="190" t="n"/>
      <c r="B247" s="204" t="n"/>
      <c r="C247" s="191" t="n"/>
      <c r="D247" s="205">
        <f>IFERROR(VLOOKUP($C247,'PORTIFÓLIO'!C:V,2,0),"")</f>
        <v/>
      </c>
      <c r="E247" s="190">
        <f>IFERROR(VLOOKUP($C247,'PORTIFÓLIO'!C:V,3,0),"")</f>
        <v/>
      </c>
      <c r="F247" s="190">
        <f>IFERROR(VLOOKUP($C247,'PORTIFÓLIO'!C:V,4,0),"")</f>
        <v/>
      </c>
      <c r="G247" s="206">
        <f>IFERROR(VLOOKUP($C247,'PORTIFÓLIO'!C:V,5,0),"")</f>
        <v/>
      </c>
      <c r="H247" s="247">
        <f t="array" ref="H247">IFERROR(INDEX('PORTIFÓLIO'!$H$4:$H$433,MATCH($C247,'PORTIFÓLIO'!$C$4:$C$433,0)),"")</f>
        <v/>
      </c>
      <c r="I247" s="208" t="n"/>
      <c r="J247" s="209">
        <f>I247*$B$2</f>
        <v/>
      </c>
      <c r="K247" s="210">
        <f t="array" ref="K247">IFERROR(I247*INDEX('PORTIFÓLIO'!$S$4:$S$433,MATCH($C247,'PORTIFÓLIO'!$C$4:$C$433,0)),"")</f>
        <v/>
      </c>
      <c r="L247" s="210">
        <f t="array" ref="L247">IFERROR(J247*INDEX('PORTIFÓLIO'!$S$4:$S$433,MATCH($C247,'PORTIFÓLIO'!$C$4:$C$433,0)),"")</f>
        <v/>
      </c>
      <c r="M247" s="177" t="n"/>
      <c r="N247" s="177" t="n"/>
      <c r="O247" s="177" t="n"/>
      <c r="P247" s="177" t="n"/>
      <c r="Q247" s="177" t="n"/>
      <c r="R247" s="177" t="n"/>
      <c r="S247" s="177" t="n"/>
      <c r="T247" s="177" t="n"/>
      <c r="U247" s="177" t="n"/>
      <c r="V247" s="177" t="n"/>
      <c r="W247" s="177" t="n"/>
      <c r="X247" s="177" t="n"/>
    </row>
    <row r="248" outlineLevel="1" ht="15.75" customHeight="1" s="297">
      <c r="A248" s="190" t="n"/>
      <c r="B248" s="204" t="n"/>
      <c r="C248" s="191" t="n"/>
      <c r="D248" s="205">
        <f>IFERROR(VLOOKUP($C248,'PORTIFÓLIO'!C:V,2,0),"")</f>
        <v/>
      </c>
      <c r="E248" s="190">
        <f>IFERROR(VLOOKUP($C248,'PORTIFÓLIO'!C:V,3,0),"")</f>
        <v/>
      </c>
      <c r="F248" s="190">
        <f>IFERROR(VLOOKUP($C248,'PORTIFÓLIO'!C:V,4,0),"")</f>
        <v/>
      </c>
      <c r="G248" s="206">
        <f>IFERROR(VLOOKUP($C248,'PORTIFÓLIO'!C:V,5,0),"")</f>
        <v/>
      </c>
      <c r="H248" s="247">
        <f t="array" ref="H248">IFERROR(INDEX('PORTIFÓLIO'!$H$4:$H$433,MATCH($C248,'PORTIFÓLIO'!$C$4:$C$433,0)),"")</f>
        <v/>
      </c>
      <c r="I248" s="208" t="n"/>
      <c r="J248" s="209">
        <f>I248*$B$2</f>
        <v/>
      </c>
      <c r="K248" s="210">
        <f t="array" ref="K248">IFERROR(I248*INDEX('PORTIFÓLIO'!$S$4:$S$433,MATCH($C248,'PORTIFÓLIO'!$C$4:$C$433,0)),"")</f>
        <v/>
      </c>
      <c r="L248" s="210">
        <f t="array" ref="L248">IFERROR(J248*INDEX('PORTIFÓLIO'!$S$4:$S$433,MATCH($C248,'PORTIFÓLIO'!$C$4:$C$433,0)),"")</f>
        <v/>
      </c>
      <c r="M248" s="177" t="n"/>
      <c r="N248" s="177" t="n"/>
      <c r="O248" s="177" t="n"/>
      <c r="P248" s="177" t="n"/>
      <c r="Q248" s="177" t="n"/>
      <c r="R248" s="177" t="n"/>
      <c r="S248" s="177" t="n"/>
      <c r="T248" s="177" t="n"/>
      <c r="U248" s="177" t="n"/>
      <c r="V248" s="177" t="n"/>
      <c r="W248" s="177" t="n"/>
      <c r="X248" s="177" t="n"/>
    </row>
    <row r="249" outlineLevel="1" ht="15.75" customHeight="1" s="297">
      <c r="A249" s="190" t="n"/>
      <c r="B249" s="204" t="n"/>
      <c r="C249" s="191" t="n"/>
      <c r="D249" s="205">
        <f>IFERROR(VLOOKUP($C249,'PORTIFÓLIO'!C:V,2,0),"")</f>
        <v/>
      </c>
      <c r="E249" s="190">
        <f>IFERROR(VLOOKUP($C249,'PORTIFÓLIO'!C:V,3,0),"")</f>
        <v/>
      </c>
      <c r="F249" s="190">
        <f>IFERROR(VLOOKUP($C249,'PORTIFÓLIO'!C:V,4,0),"")</f>
        <v/>
      </c>
      <c r="G249" s="206">
        <f>IFERROR(VLOOKUP($C249,'PORTIFÓLIO'!C:V,5,0),"")</f>
        <v/>
      </c>
      <c r="H249" s="247">
        <f t="array" ref="H249">IFERROR(INDEX('PORTIFÓLIO'!$H$4:$H$433,MATCH($C249,'PORTIFÓLIO'!$C$4:$C$433,0)),"")</f>
        <v/>
      </c>
      <c r="I249" s="208" t="n"/>
      <c r="J249" s="209">
        <f>I249*$B$2</f>
        <v/>
      </c>
      <c r="K249" s="210">
        <f t="array" ref="K249">IFERROR(I249*INDEX('PORTIFÓLIO'!$S$4:$S$433,MATCH($C249,'PORTIFÓLIO'!$C$4:$C$433,0)),"")</f>
        <v/>
      </c>
      <c r="L249" s="210">
        <f t="array" ref="L249">IFERROR(J249*INDEX('PORTIFÓLIO'!$S$4:$S$433,MATCH($C249,'PORTIFÓLIO'!$C$4:$C$433,0)),"")</f>
        <v/>
      </c>
      <c r="M249" s="177" t="n"/>
      <c r="N249" s="177" t="n"/>
      <c r="O249" s="177" t="n"/>
      <c r="P249" s="177" t="n"/>
      <c r="Q249" s="177" t="n"/>
      <c r="R249" s="177" t="n"/>
      <c r="S249" s="177" t="n"/>
      <c r="T249" s="177" t="n"/>
      <c r="U249" s="177" t="n"/>
      <c r="V249" s="177" t="n"/>
      <c r="W249" s="177" t="n"/>
      <c r="X249" s="177" t="n"/>
    </row>
    <row r="250" outlineLevel="1" ht="15.75" customHeight="1" s="297">
      <c r="A250" s="190" t="n"/>
      <c r="B250" s="204" t="n"/>
      <c r="C250" s="191" t="n"/>
      <c r="D250" s="205">
        <f>IFERROR(VLOOKUP($C250,'PORTIFÓLIO'!C:V,2,0),"")</f>
        <v/>
      </c>
      <c r="E250" s="190">
        <f>IFERROR(VLOOKUP($C250,'PORTIFÓLIO'!C:V,3,0),"")</f>
        <v/>
      </c>
      <c r="F250" s="190">
        <f>IFERROR(VLOOKUP($C250,'PORTIFÓLIO'!C:V,4,0),"")</f>
        <v/>
      </c>
      <c r="G250" s="206">
        <f>IFERROR(VLOOKUP($C250,'PORTIFÓLIO'!C:V,5,0),"")</f>
        <v/>
      </c>
      <c r="H250" s="247">
        <f t="array" ref="H250">IFERROR(INDEX('PORTIFÓLIO'!$H$4:$H$433,MATCH($C250,'PORTIFÓLIO'!$C$4:$C$433,0)),"")</f>
        <v/>
      </c>
      <c r="I250" s="208" t="n"/>
      <c r="J250" s="209">
        <f>I250*$B$2</f>
        <v/>
      </c>
      <c r="K250" s="210">
        <f t="array" ref="K250">IFERROR(I250*INDEX('PORTIFÓLIO'!$S$4:$S$433,MATCH($C250,'PORTIFÓLIO'!$C$4:$C$433,0)),"")</f>
        <v/>
      </c>
      <c r="L250" s="210">
        <f t="array" ref="L250">IFERROR(J250*INDEX('PORTIFÓLIO'!$S$4:$S$433,MATCH($C250,'PORTIFÓLIO'!$C$4:$C$433,0)),"")</f>
        <v/>
      </c>
      <c r="M250" s="177" t="n"/>
      <c r="N250" s="177" t="n"/>
      <c r="O250" s="177" t="n"/>
      <c r="P250" s="177" t="n"/>
      <c r="Q250" s="177" t="n"/>
      <c r="R250" s="177" t="n"/>
      <c r="S250" s="177" t="n"/>
      <c r="T250" s="177" t="n"/>
      <c r="U250" s="177" t="n"/>
      <c r="V250" s="177" t="n"/>
      <c r="W250" s="177" t="n"/>
      <c r="X250" s="177" t="n"/>
    </row>
    <row r="251" outlineLevel="1" ht="15.75" customHeight="1" s="297">
      <c r="A251" s="190" t="n"/>
      <c r="B251" s="204" t="n"/>
      <c r="C251" s="191" t="n"/>
      <c r="D251" s="205">
        <f>IFERROR(VLOOKUP($C251,'PORTIFÓLIO'!C:V,2,0),"")</f>
        <v/>
      </c>
      <c r="E251" s="190">
        <f>IFERROR(VLOOKUP($C251,'PORTIFÓLIO'!C:V,3,0),"")</f>
        <v/>
      </c>
      <c r="F251" s="190">
        <f>IFERROR(VLOOKUP($C251,'PORTIFÓLIO'!C:V,4,0),"")</f>
        <v/>
      </c>
      <c r="G251" s="206">
        <f>IFERROR(VLOOKUP($C251,'PORTIFÓLIO'!C:V,5,0),"")</f>
        <v/>
      </c>
      <c r="H251" s="247">
        <f t="array" ref="H251">IFERROR(INDEX('PORTIFÓLIO'!$H$4:$H$433,MATCH($C251,'PORTIFÓLIO'!$C$4:$C$433,0)),"")</f>
        <v/>
      </c>
      <c r="I251" s="208" t="n"/>
      <c r="J251" s="209">
        <f>I251*$B$2</f>
        <v/>
      </c>
      <c r="K251" s="210">
        <f t="array" ref="K251">IFERROR(I251*INDEX('PORTIFÓLIO'!$S$4:$S$433,MATCH($C251,'PORTIFÓLIO'!$C$4:$C$433,0)),"")</f>
        <v/>
      </c>
      <c r="L251" s="210">
        <f t="array" ref="L251">IFERROR(J251*INDEX('PORTIFÓLIO'!$S$4:$S$433,MATCH($C251,'PORTIFÓLIO'!$C$4:$C$433,0)),"")</f>
        <v/>
      </c>
      <c r="M251" s="177" t="n"/>
      <c r="N251" s="177" t="n"/>
      <c r="O251" s="177" t="n"/>
      <c r="P251" s="177" t="n"/>
      <c r="Q251" s="177" t="n"/>
      <c r="R251" s="177" t="n"/>
      <c r="S251" s="177" t="n"/>
      <c r="T251" s="177" t="n"/>
      <c r="U251" s="177" t="n"/>
      <c r="V251" s="177" t="n"/>
      <c r="W251" s="177" t="n"/>
      <c r="X251" s="177" t="n"/>
    </row>
    <row r="252" ht="15.75" customHeight="1" s="297">
      <c r="A252" s="221" t="inlineStr">
        <is>
          <t>OPERAÇÃO 2</t>
        </is>
      </c>
      <c r="B252" s="197" t="n"/>
      <c r="C252" s="196" t="n"/>
      <c r="D252" s="198" t="n"/>
      <c r="E252" s="196" t="n"/>
      <c r="F252" s="196" t="n"/>
      <c r="G252" s="199" t="n"/>
      <c r="H252" s="199" t="n"/>
      <c r="I252" s="201" t="n"/>
      <c r="J252" s="202" t="n"/>
      <c r="K252" s="203">
        <f>SUBTOTAL(9,K253:K266)</f>
        <v/>
      </c>
      <c r="L252" s="203">
        <f>SUBTOTAL(9,L253:L266)</f>
        <v/>
      </c>
      <c r="M252" s="177" t="n"/>
      <c r="N252" s="177" t="n"/>
      <c r="O252" s="177" t="n"/>
      <c r="P252" s="177" t="n"/>
      <c r="Q252" s="177" t="n"/>
      <c r="R252" s="177" t="n"/>
      <c r="S252" s="177" t="n"/>
      <c r="T252" s="177" t="n"/>
      <c r="U252" s="177" t="n"/>
      <c r="V252" s="177" t="n"/>
      <c r="W252" s="177" t="n"/>
      <c r="X252" s="177" t="n"/>
    </row>
    <row r="253" outlineLevel="1" ht="15.75" customHeight="1" s="297">
      <c r="A253" s="191" t="n"/>
      <c r="B253" s="204" t="inlineStr">
        <is>
          <t>HERBICIDA</t>
        </is>
      </c>
      <c r="C253" s="191" t="inlineStr">
        <is>
          <t>ROUNDUP WG</t>
        </is>
      </c>
      <c r="D253" s="205">
        <f>IFERROR(VLOOKUP($C253,'PORTIFÓLIO'!C:V,2,0),"")</f>
        <v/>
      </c>
      <c r="E253" s="190">
        <f>IFERROR(VLOOKUP($C253,'PORTIFÓLIO'!C:V,3,0),"")</f>
        <v/>
      </c>
      <c r="F253" s="190">
        <f>IFERROR(VLOOKUP($C253,'PORTIFÓLIO'!C:V,4,0),"")</f>
        <v/>
      </c>
      <c r="G253" s="223">
        <f>IFERROR(VLOOKUP($C253,'PORTIFÓLIO'!C:V,5,0),"")</f>
        <v/>
      </c>
      <c r="H253" s="247">
        <f t="array" ref="H253">IFERROR(INDEX('PORTIFÓLIO'!$H$4:$H$433,MATCH($C253,'PORTIFÓLIO'!$C$4:$C$433,0)),"")</f>
        <v/>
      </c>
      <c r="I253" s="208" t="n">
        <v>2</v>
      </c>
      <c r="J253" s="209">
        <f>I253*$B$2</f>
        <v/>
      </c>
      <c r="K253" s="248">
        <f t="array" ref="K253">IFERROR(I253*INDEX('PORTIFÓLIO'!$S$4:$S$433,MATCH($C253,'PORTIFÓLIO'!$C$4:$C$433,0)),"")</f>
        <v/>
      </c>
      <c r="L253" s="248">
        <f t="array" ref="L253">IFERROR(J253*INDEX('PORTIFÓLIO'!$S$4:$S$433,MATCH($C253,'PORTIFÓLIO'!$C$4:$C$433,0)),"")</f>
        <v/>
      </c>
      <c r="M253" s="177" t="n"/>
      <c r="N253" s="177" t="n"/>
      <c r="O253" s="177" t="n"/>
      <c r="P253" s="177" t="n"/>
      <c r="Q253" s="177" t="n"/>
      <c r="R253" s="177" t="n"/>
      <c r="S253" s="177" t="n"/>
      <c r="T253" s="177" t="n"/>
      <c r="U253" s="177" t="n"/>
      <c r="V253" s="177" t="n"/>
      <c r="W253" s="177" t="n"/>
      <c r="X253" s="177" t="n"/>
    </row>
    <row r="254" outlineLevel="1" ht="15.75" customHeight="1" s="297">
      <c r="A254" s="190" t="n"/>
      <c r="B254" s="204" t="inlineStr">
        <is>
          <t>HERBICIDA</t>
        </is>
      </c>
      <c r="C254" s="191" t="inlineStr">
        <is>
          <t>GLUFOS-WYN 880</t>
        </is>
      </c>
      <c r="D254" s="205">
        <f>IFERROR(VLOOKUP($C254,'PORTIFÓLIO'!C:V,2,0),"")</f>
        <v/>
      </c>
      <c r="E254" s="190">
        <f>IFERROR(VLOOKUP($C254,'PORTIFÓLIO'!C:V,3,0),"")</f>
        <v/>
      </c>
      <c r="F254" s="190">
        <f>IFERROR(VLOOKUP($C254,'PORTIFÓLIO'!C:V,4,0),"")</f>
        <v/>
      </c>
      <c r="G254" s="223">
        <f>IFERROR(VLOOKUP($C254,'PORTIFÓLIO'!C:V,5,0),"")</f>
        <v/>
      </c>
      <c r="H254" s="247">
        <f t="array" ref="H254">IFERROR(INDEX('PORTIFÓLIO'!$H$4:$H$433,MATCH($C254,'PORTIFÓLIO'!$C$4:$C$433,0)),"")</f>
        <v/>
      </c>
      <c r="I254" s="208" t="n">
        <v>0.8</v>
      </c>
      <c r="J254" s="209">
        <f>I254*$B$2</f>
        <v/>
      </c>
      <c r="K254" s="248">
        <f t="array" ref="K254">IFERROR(I254*INDEX('PORTIFÓLIO'!$S$4:$S$433,MATCH($C254,'PORTIFÓLIO'!$C$4:$C$433,0)),"")</f>
        <v/>
      </c>
      <c r="L254" s="248">
        <f t="array" ref="L254">IFERROR(J254*INDEX('PORTIFÓLIO'!$S$4:$S$433,MATCH($C254,'PORTIFÓLIO'!$C$4:$C$433,0)),"")</f>
        <v/>
      </c>
      <c r="M254" s="177" t="n"/>
      <c r="N254" s="177" t="n"/>
      <c r="O254" s="177" t="n"/>
      <c r="P254" s="177" t="n"/>
      <c r="Q254" s="177" t="n"/>
      <c r="R254" s="177" t="n"/>
      <c r="S254" s="177" t="n"/>
      <c r="T254" s="177" t="n"/>
      <c r="U254" s="177" t="n"/>
      <c r="V254" s="177" t="n"/>
      <c r="W254" s="177" t="n"/>
      <c r="X254" s="177" t="n"/>
    </row>
    <row r="255" outlineLevel="1" ht="15.75" customHeight="1" s="297">
      <c r="A255" s="190" t="n"/>
      <c r="B255" s="204" t="inlineStr">
        <is>
          <t>ADJUVANTE</t>
        </is>
      </c>
      <c r="C255" s="191" t="inlineStr">
        <is>
          <t>JOINT ULTRA</t>
        </is>
      </c>
      <c r="D255" s="205">
        <f>IFERROR(VLOOKUP($C255,'PORTIFÓLIO'!C:V,2,0),"")</f>
        <v/>
      </c>
      <c r="E255" s="190">
        <f>IFERROR(VLOOKUP($C255,'PORTIFÓLIO'!C:V,3,0),"")</f>
        <v/>
      </c>
      <c r="F255" s="190">
        <f>IFERROR(VLOOKUP($C255,'PORTIFÓLIO'!C:V,4,0),"")</f>
        <v/>
      </c>
      <c r="G255" s="223">
        <f>IFERROR(VLOOKUP($C255,'PORTIFÓLIO'!C:V,5,0),"")</f>
        <v/>
      </c>
      <c r="H255" s="247">
        <f t="array" ref="H255">IFERROR(INDEX('PORTIFÓLIO'!$H$4:$H$433,MATCH($C255,'PORTIFÓLIO'!$C$4:$C$433,0)),"")</f>
        <v/>
      </c>
      <c r="I255" s="208" t="n">
        <v>0.2</v>
      </c>
      <c r="J255" s="209">
        <f>I255*$B$2</f>
        <v/>
      </c>
      <c r="K255" s="248">
        <f t="array" ref="K255">IFERROR(I255*INDEX('PORTIFÓLIO'!$S$4:$S$433,MATCH($C255,'PORTIFÓLIO'!$C$4:$C$433,0)),"")</f>
        <v/>
      </c>
      <c r="L255" s="248">
        <f t="array" ref="L255">IFERROR(J255*INDEX('PORTIFÓLIO'!$S$4:$S$433,MATCH($C255,'PORTIFÓLIO'!$C$4:$C$433,0)),"")</f>
        <v/>
      </c>
      <c r="M255" s="177" t="n"/>
      <c r="N255" s="177" t="n"/>
      <c r="O255" s="177" t="n"/>
      <c r="P255" s="177" t="n"/>
      <c r="Q255" s="177" t="n"/>
      <c r="R255" s="177" t="n"/>
      <c r="S255" s="177" t="n"/>
      <c r="T255" s="177" t="n"/>
      <c r="U255" s="177" t="n"/>
      <c r="V255" s="177" t="n"/>
      <c r="W255" s="177" t="n"/>
      <c r="X255" s="177" t="n"/>
    </row>
    <row r="256" outlineLevel="1" ht="15.75" customHeight="1" s="297">
      <c r="A256" s="190" t="n"/>
      <c r="B256" s="204" t="inlineStr">
        <is>
          <t>HERBICIDA</t>
        </is>
      </c>
      <c r="C256" s="191" t="inlineStr">
        <is>
          <t>DUAL GOLD</t>
        </is>
      </c>
      <c r="D256" s="205">
        <f>IFERROR(VLOOKUP($C256,'PORTIFÓLIO'!C:V,2,0),"")</f>
        <v/>
      </c>
      <c r="E256" s="190">
        <f>IFERROR(VLOOKUP($C256,'PORTIFÓLIO'!C:V,3,0),"")</f>
        <v/>
      </c>
      <c r="F256" s="190">
        <f>IFERROR(VLOOKUP($C256,'PORTIFÓLIO'!C:V,4,0),"")</f>
        <v/>
      </c>
      <c r="G256" s="223">
        <f>IFERROR(VLOOKUP($C256,'PORTIFÓLIO'!C:V,5,0),"")</f>
        <v/>
      </c>
      <c r="H256" s="247">
        <f t="array" ref="H256">IFERROR(INDEX('PORTIFÓLIO'!$H$4:$H$433,MATCH($C256,'PORTIFÓLIO'!$C$4:$C$433,0)),"")</f>
        <v/>
      </c>
      <c r="I256" s="208" t="n">
        <v>1.2</v>
      </c>
      <c r="J256" s="209">
        <f>I256*$B$2</f>
        <v/>
      </c>
      <c r="K256" s="248">
        <f t="array" ref="K256">IFERROR(I256*INDEX('PORTIFÓLIO'!$S$4:$S$433,MATCH($C256,'PORTIFÓLIO'!$C$4:$C$433,0)),"")</f>
        <v/>
      </c>
      <c r="L256" s="248">
        <f t="array" ref="L256">IFERROR(J256*INDEX('PORTIFÓLIO'!$S$4:$S$433,MATCH($C256,'PORTIFÓLIO'!$C$4:$C$433,0)),"")</f>
        <v/>
      </c>
      <c r="M256" s="177" t="n"/>
      <c r="N256" s="177" t="n"/>
      <c r="O256" s="177" t="n"/>
      <c r="P256" s="177" t="n"/>
      <c r="Q256" s="177" t="n"/>
      <c r="R256" s="177" t="n"/>
      <c r="S256" s="177" t="n"/>
      <c r="T256" s="177" t="n"/>
      <c r="U256" s="177" t="n"/>
      <c r="V256" s="177" t="n"/>
      <c r="W256" s="177" t="n"/>
      <c r="X256" s="177" t="n"/>
    </row>
    <row r="257" outlineLevel="1" ht="15.75" customHeight="1" s="297">
      <c r="A257" s="190" t="n"/>
      <c r="B257" s="204" t="n"/>
      <c r="C257" s="191" t="n"/>
      <c r="D257" s="205">
        <f>IFERROR(VLOOKUP($C257,'PORTIFÓLIO'!C:V,2,0),"")</f>
        <v/>
      </c>
      <c r="E257" s="190">
        <f>IFERROR(VLOOKUP($C257,'PORTIFÓLIO'!C:V,3,0),"")</f>
        <v/>
      </c>
      <c r="F257" s="190">
        <f>IFERROR(VLOOKUP($C257,'PORTIFÓLIO'!C:V,4,0),"")</f>
        <v/>
      </c>
      <c r="G257" s="206">
        <f>IFERROR(VLOOKUP($C257,'PORTIFÓLIO'!C:V,5,0),"")</f>
        <v/>
      </c>
      <c r="H257" s="247">
        <f t="array" ref="H257">IFERROR(INDEX('PORTIFÓLIO'!$H$4:$H$433,MATCH($C257,'PORTIFÓLIO'!$C$4:$C$433,0)),"")</f>
        <v/>
      </c>
      <c r="I257" s="228" t="n"/>
      <c r="J257" s="209">
        <f>I257*$B$2</f>
        <v/>
      </c>
      <c r="K257" s="248">
        <f t="array" ref="K257">IFERROR(I257*INDEX('PORTIFÓLIO'!$S$4:$S$433,MATCH($C257,'PORTIFÓLIO'!$C$4:$C$433,0)),"")</f>
        <v/>
      </c>
      <c r="L257" s="248">
        <f t="array" ref="L257">IFERROR(J257*INDEX('PORTIFÓLIO'!$S$4:$S$433,MATCH($C257,'PORTIFÓLIO'!$C$4:$C$433,0)),"")</f>
        <v/>
      </c>
      <c r="M257" s="177" t="n"/>
      <c r="N257" s="177" t="n"/>
      <c r="O257" s="177" t="n"/>
      <c r="P257" s="177" t="n"/>
      <c r="Q257" s="177" t="n"/>
      <c r="R257" s="177" t="n"/>
      <c r="S257" s="177" t="n"/>
      <c r="T257" s="177" t="n"/>
      <c r="U257" s="177" t="n"/>
      <c r="V257" s="177" t="n"/>
      <c r="W257" s="177" t="n"/>
      <c r="X257" s="177" t="n"/>
    </row>
    <row r="258" outlineLevel="1" ht="15.75" customHeight="1" s="297">
      <c r="A258" s="190" t="n"/>
      <c r="B258" s="204" t="n"/>
      <c r="C258" s="191" t="n"/>
      <c r="D258" s="205">
        <f>IFERROR(VLOOKUP($C258,'PORTIFÓLIO'!C:V,2,0),"")</f>
        <v/>
      </c>
      <c r="E258" s="190">
        <f>IFERROR(VLOOKUP($C258,'PORTIFÓLIO'!C:V,3,0),"")</f>
        <v/>
      </c>
      <c r="F258" s="190">
        <f>IFERROR(VLOOKUP($C258,'PORTIFÓLIO'!C:V,4,0),"")</f>
        <v/>
      </c>
      <c r="G258" s="206">
        <f>IFERROR(VLOOKUP($C258,'PORTIFÓLIO'!C:V,5,0),"")</f>
        <v/>
      </c>
      <c r="H258" s="247">
        <f t="array" ref="H258">IFERROR(INDEX('PORTIFÓLIO'!$H$4:$H$433,MATCH($C258,'PORTIFÓLIO'!$C$4:$C$433,0)),"")</f>
        <v/>
      </c>
      <c r="I258" s="228" t="n"/>
      <c r="J258" s="209">
        <f>I258*$B$2</f>
        <v/>
      </c>
      <c r="K258" s="248">
        <f t="array" ref="K258">IFERROR(I258*INDEX('PORTIFÓLIO'!$S$4:$S$433,MATCH($C258,'PORTIFÓLIO'!$C$4:$C$433,0)),"")</f>
        <v/>
      </c>
      <c r="L258" s="248">
        <f t="array" ref="L258">IFERROR(J258*INDEX('PORTIFÓLIO'!$S$4:$S$433,MATCH($C258,'PORTIFÓLIO'!$C$4:$C$433,0)),"")</f>
        <v/>
      </c>
      <c r="M258" s="177" t="n"/>
      <c r="N258" s="177" t="n"/>
      <c r="O258" s="177" t="n"/>
      <c r="P258" s="177" t="n"/>
      <c r="Q258" s="177" t="n"/>
      <c r="R258" s="177" t="n"/>
      <c r="S258" s="177" t="n"/>
      <c r="T258" s="177" t="n"/>
      <c r="U258" s="177" t="n"/>
      <c r="V258" s="177" t="n"/>
      <c r="W258" s="177" t="n"/>
      <c r="X258" s="177" t="n"/>
    </row>
    <row r="259" outlineLevel="1" ht="15.75" customHeight="1" s="297">
      <c r="A259" s="190" t="n"/>
      <c r="B259" s="204" t="n"/>
      <c r="C259" s="191" t="n"/>
      <c r="D259" s="205">
        <f>IFERROR(VLOOKUP($C259,'PORTIFÓLIO'!C:V,2,0),"")</f>
        <v/>
      </c>
      <c r="E259" s="190">
        <f>IFERROR(VLOOKUP($C259,'PORTIFÓLIO'!C:V,3,0),"")</f>
        <v/>
      </c>
      <c r="F259" s="190">
        <f>IFERROR(VLOOKUP($C259,'PORTIFÓLIO'!C:V,4,0),"")</f>
        <v/>
      </c>
      <c r="G259" s="206">
        <f>IFERROR(VLOOKUP($C259,'PORTIFÓLIO'!C:V,5,0),"")</f>
        <v/>
      </c>
      <c r="H259" s="247">
        <f t="array" ref="H259">IFERROR(INDEX('PORTIFÓLIO'!$H$4:$H$433,MATCH($C259,'PORTIFÓLIO'!$C$4:$C$433,0)),"")</f>
        <v/>
      </c>
      <c r="I259" s="228" t="n"/>
      <c r="J259" s="209">
        <f>I259*$B$2</f>
        <v/>
      </c>
      <c r="K259" s="248">
        <f t="array" ref="K259">IFERROR(I259*INDEX('PORTIFÓLIO'!$S$4:$S$433,MATCH($C259,'PORTIFÓLIO'!$C$4:$C$433,0)),"")</f>
        <v/>
      </c>
      <c r="L259" s="248">
        <f t="array" ref="L259">IFERROR(J259*INDEX('PORTIFÓLIO'!$S$4:$S$433,MATCH($C259,'PORTIFÓLIO'!$C$4:$C$433,0)),"")</f>
        <v/>
      </c>
      <c r="M259" s="177" t="n"/>
      <c r="N259" s="177" t="n"/>
      <c r="O259" s="177" t="n"/>
      <c r="P259" s="177" t="n"/>
      <c r="Q259" s="177" t="n"/>
      <c r="R259" s="177" t="n"/>
      <c r="S259" s="177" t="n"/>
      <c r="T259" s="177" t="n"/>
      <c r="U259" s="177" t="n"/>
      <c r="V259" s="177" t="n"/>
      <c r="W259" s="177" t="n"/>
      <c r="X259" s="177" t="n"/>
    </row>
    <row r="260" outlineLevel="1" ht="15.75" customHeight="1" s="297">
      <c r="A260" s="190" t="n"/>
      <c r="B260" s="204" t="n"/>
      <c r="C260" s="191" t="n"/>
      <c r="D260" s="205">
        <f>IFERROR(VLOOKUP($C260,'PORTIFÓLIO'!C:V,2,0),"")</f>
        <v/>
      </c>
      <c r="E260" s="190">
        <f>IFERROR(VLOOKUP($C260,'PORTIFÓLIO'!C:V,3,0),"")</f>
        <v/>
      </c>
      <c r="F260" s="190">
        <f>IFERROR(VLOOKUP($C260,'PORTIFÓLIO'!C:V,4,0),"")</f>
        <v/>
      </c>
      <c r="G260" s="206">
        <f>IFERROR(VLOOKUP($C260,'PORTIFÓLIO'!C:V,5,0),"")</f>
        <v/>
      </c>
      <c r="H260" s="247">
        <f t="array" ref="H260">IFERROR(INDEX('PORTIFÓLIO'!$H$4:$H$433,MATCH($C260,'PORTIFÓLIO'!$C$4:$C$433,0)),"")</f>
        <v/>
      </c>
      <c r="I260" s="228" t="n"/>
      <c r="J260" s="209">
        <f>I260*$B$2</f>
        <v/>
      </c>
      <c r="K260" s="248">
        <f t="array" ref="K260">IFERROR(I260*INDEX('PORTIFÓLIO'!$S$4:$S$433,MATCH($C260,'PORTIFÓLIO'!$C$4:$C$433,0)),"")</f>
        <v/>
      </c>
      <c r="L260" s="248">
        <f t="array" ref="L260">IFERROR(J260*INDEX('PORTIFÓLIO'!$S$4:$S$433,MATCH($C260,'PORTIFÓLIO'!$C$4:$C$433,0)),"")</f>
        <v/>
      </c>
      <c r="M260" s="177" t="n"/>
      <c r="N260" s="177" t="n"/>
      <c r="O260" s="177" t="n"/>
      <c r="P260" s="177" t="n"/>
      <c r="Q260" s="177" t="n"/>
      <c r="R260" s="177" t="n"/>
      <c r="S260" s="177" t="n"/>
      <c r="T260" s="177" t="n"/>
      <c r="U260" s="177" t="n"/>
      <c r="V260" s="177" t="n"/>
      <c r="W260" s="177" t="n"/>
      <c r="X260" s="177" t="n"/>
    </row>
    <row r="261" outlineLevel="1" ht="15.75" customHeight="1" s="297">
      <c r="A261" s="190" t="n"/>
      <c r="B261" s="204" t="n"/>
      <c r="C261" s="191" t="n"/>
      <c r="D261" s="205">
        <f>IFERROR(VLOOKUP($C261,'PORTIFÓLIO'!C:V,2,0),"")</f>
        <v/>
      </c>
      <c r="E261" s="190">
        <f>IFERROR(VLOOKUP($C261,'PORTIFÓLIO'!C:V,3,0),"")</f>
        <v/>
      </c>
      <c r="F261" s="190">
        <f>IFERROR(VLOOKUP($C261,'PORTIFÓLIO'!C:V,4,0),"")</f>
        <v/>
      </c>
      <c r="G261" s="206">
        <f>IFERROR(VLOOKUP($C261,'PORTIFÓLIO'!C:V,5,0),"")</f>
        <v/>
      </c>
      <c r="H261" s="247">
        <f t="array" ref="H261">IFERROR(INDEX('PORTIFÓLIO'!$H$4:$H$433,MATCH($C261,'PORTIFÓLIO'!$C$4:$C$433,0)),"")</f>
        <v/>
      </c>
      <c r="I261" s="208" t="n"/>
      <c r="J261" s="209">
        <f>I261*$B$2</f>
        <v/>
      </c>
      <c r="K261" s="248">
        <f t="array" ref="K261">IFERROR(I261*INDEX('PORTIFÓLIO'!$S$4:$S$433,MATCH($C261,'PORTIFÓLIO'!$C$4:$C$433,0)),"")</f>
        <v/>
      </c>
      <c r="L261" s="248">
        <f t="array" ref="L261">IFERROR(J261*INDEX('PORTIFÓLIO'!$S$4:$S$433,MATCH($C261,'PORTIFÓLIO'!$C$4:$C$433,0)),"")</f>
        <v/>
      </c>
      <c r="M261" s="177" t="n"/>
      <c r="N261" s="177" t="n"/>
      <c r="O261" s="177" t="n"/>
      <c r="P261" s="177" t="n"/>
      <c r="Q261" s="177" t="n"/>
      <c r="R261" s="177" t="n"/>
      <c r="S261" s="177" t="n"/>
      <c r="T261" s="177" t="n"/>
      <c r="U261" s="177" t="n"/>
      <c r="V261" s="177" t="n"/>
      <c r="W261" s="177" t="n"/>
      <c r="X261" s="177" t="n"/>
    </row>
    <row r="262" outlineLevel="1" ht="15.75" customHeight="1" s="297">
      <c r="A262" s="190" t="n"/>
      <c r="B262" s="204" t="n"/>
      <c r="C262" s="191" t="n"/>
      <c r="D262" s="205">
        <f>IFERROR(VLOOKUP($C262,'PORTIFÓLIO'!C:V,2,0),"")</f>
        <v/>
      </c>
      <c r="E262" s="190">
        <f>IFERROR(VLOOKUP($C262,'PORTIFÓLIO'!C:V,3,0),"")</f>
        <v/>
      </c>
      <c r="F262" s="190">
        <f>IFERROR(VLOOKUP($C262,'PORTIFÓLIO'!C:V,4,0),"")</f>
        <v/>
      </c>
      <c r="G262" s="206">
        <f>IFERROR(VLOOKUP($C262,'PORTIFÓLIO'!C:V,5,0),"")</f>
        <v/>
      </c>
      <c r="H262" s="247">
        <f t="array" ref="H262">IFERROR(INDEX('PORTIFÓLIO'!$H$4:$H$433,MATCH($C262,'PORTIFÓLIO'!$C$4:$C$433,0)),"")</f>
        <v/>
      </c>
      <c r="I262" s="228" t="n"/>
      <c r="J262" s="209">
        <f>I262*$B$2</f>
        <v/>
      </c>
      <c r="K262" s="248">
        <f t="array" ref="K262">IFERROR(I262*INDEX('PORTIFÓLIO'!$S$4:$S$433,MATCH($C262,'PORTIFÓLIO'!$C$4:$C$433,0)),"")</f>
        <v/>
      </c>
      <c r="L262" s="248">
        <f t="array" ref="L262">IFERROR(J262*INDEX('PORTIFÓLIO'!$S$4:$S$433,MATCH($C262,'PORTIFÓLIO'!$C$4:$C$433,0)),"")</f>
        <v/>
      </c>
      <c r="M262" s="177" t="n"/>
      <c r="N262" s="177" t="n"/>
      <c r="O262" s="177" t="n"/>
      <c r="P262" s="177" t="n"/>
      <c r="Q262" s="177" t="n"/>
      <c r="R262" s="177" t="n"/>
      <c r="S262" s="177" t="n"/>
      <c r="T262" s="177" t="n"/>
      <c r="U262" s="177" t="n"/>
      <c r="V262" s="177" t="n"/>
      <c r="W262" s="177" t="n"/>
      <c r="X262" s="177" t="n"/>
    </row>
    <row r="263" outlineLevel="1" ht="15.75" customHeight="1" s="297">
      <c r="A263" s="190" t="n"/>
      <c r="B263" s="204" t="n"/>
      <c r="C263" s="191" t="n"/>
      <c r="D263" s="205">
        <f>IFERROR(VLOOKUP($C263,'PORTIFÓLIO'!C:V,2,0),"")</f>
        <v/>
      </c>
      <c r="E263" s="190">
        <f>IFERROR(VLOOKUP($C263,'PORTIFÓLIO'!C:V,3,0),"")</f>
        <v/>
      </c>
      <c r="F263" s="190">
        <f>IFERROR(VLOOKUP($C263,'PORTIFÓLIO'!C:V,4,0),"")</f>
        <v/>
      </c>
      <c r="G263" s="206">
        <f>IFERROR(VLOOKUP($C263,'PORTIFÓLIO'!C:V,5,0),"")</f>
        <v/>
      </c>
      <c r="H263" s="247">
        <f t="array" ref="H263">IFERROR(INDEX('PORTIFÓLIO'!$H$4:$H$433,MATCH($C263,'PORTIFÓLIO'!$C$4:$C$433,0)),"")</f>
        <v/>
      </c>
      <c r="I263" s="228" t="n"/>
      <c r="J263" s="209">
        <f>I263*$B$2</f>
        <v/>
      </c>
      <c r="K263" s="248">
        <f t="array" ref="K263">IFERROR(I263*INDEX('PORTIFÓLIO'!$S$4:$S$433,MATCH($C263,'PORTIFÓLIO'!$C$4:$C$433,0)),"")</f>
        <v/>
      </c>
      <c r="L263" s="248">
        <f t="array" ref="L263">IFERROR(J263*INDEX('PORTIFÓLIO'!$S$4:$S$433,MATCH($C263,'PORTIFÓLIO'!$C$4:$C$433,0)),"")</f>
        <v/>
      </c>
      <c r="M263" s="177" t="n"/>
      <c r="N263" s="177" t="n"/>
      <c r="O263" s="177" t="n"/>
      <c r="P263" s="177" t="n"/>
      <c r="Q263" s="177" t="n"/>
      <c r="R263" s="177" t="n"/>
      <c r="S263" s="177" t="n"/>
      <c r="T263" s="177" t="n"/>
      <c r="U263" s="177" t="n"/>
      <c r="V263" s="177" t="n"/>
      <c r="W263" s="177" t="n"/>
      <c r="X263" s="177" t="n"/>
    </row>
    <row r="264" outlineLevel="1" ht="15.75" customHeight="1" s="297">
      <c r="A264" s="190" t="n"/>
      <c r="B264" s="204" t="n"/>
      <c r="C264" s="191" t="n"/>
      <c r="D264" s="205">
        <f>IFERROR(VLOOKUP($C264,'PORTIFÓLIO'!C:V,2,0),"")</f>
        <v/>
      </c>
      <c r="E264" s="190">
        <f>IFERROR(VLOOKUP($C264,'PORTIFÓLIO'!C:V,3,0),"")</f>
        <v/>
      </c>
      <c r="F264" s="190">
        <f>IFERROR(VLOOKUP($C264,'PORTIFÓLIO'!C:V,4,0),"")</f>
        <v/>
      </c>
      <c r="G264" s="206">
        <f>IFERROR(VLOOKUP($C264,'PORTIFÓLIO'!C:V,5,0),"")</f>
        <v/>
      </c>
      <c r="H264" s="247">
        <f t="array" ref="H264">IFERROR(INDEX('PORTIFÓLIO'!$H$4:$H$433,MATCH($C264,'PORTIFÓLIO'!$C$4:$C$433,0)),"")</f>
        <v/>
      </c>
      <c r="I264" s="228" t="n"/>
      <c r="J264" s="209">
        <f>I264*$B$2</f>
        <v/>
      </c>
      <c r="K264" s="248">
        <f t="array" ref="K264">IFERROR(I264*INDEX('PORTIFÓLIO'!$S$4:$S$433,MATCH($C264,'PORTIFÓLIO'!$C$4:$C$433,0)),"")</f>
        <v/>
      </c>
      <c r="L264" s="248">
        <f t="array" ref="L264">IFERROR(J264*INDEX('PORTIFÓLIO'!$S$4:$S$433,MATCH($C264,'PORTIFÓLIO'!$C$4:$C$433,0)),"")</f>
        <v/>
      </c>
      <c r="M264" s="177" t="n"/>
      <c r="N264" s="177" t="n"/>
      <c r="O264" s="177" t="n"/>
      <c r="P264" s="177" t="n"/>
      <c r="Q264" s="177" t="n"/>
      <c r="R264" s="177" t="n"/>
      <c r="S264" s="177" t="n"/>
      <c r="T264" s="177" t="n"/>
      <c r="U264" s="177" t="n"/>
      <c r="V264" s="177" t="n"/>
      <c r="W264" s="177" t="n"/>
      <c r="X264" s="177" t="n"/>
    </row>
    <row r="265" outlineLevel="1" ht="15.75" customHeight="1" s="297">
      <c r="A265" s="190" t="n"/>
      <c r="B265" s="204" t="n"/>
      <c r="C265" s="191" t="n"/>
      <c r="D265" s="205">
        <f>IFERROR(VLOOKUP($C265,'PORTIFÓLIO'!C:V,2,0),"")</f>
        <v/>
      </c>
      <c r="E265" s="190">
        <f>IFERROR(VLOOKUP($C265,'PORTIFÓLIO'!C:V,3,0),"")</f>
        <v/>
      </c>
      <c r="F265" s="190">
        <f>IFERROR(VLOOKUP($C265,'PORTIFÓLIO'!C:V,4,0),"")</f>
        <v/>
      </c>
      <c r="G265" s="206">
        <f>IFERROR(VLOOKUP($C265,'PORTIFÓLIO'!C:V,5,0),"")</f>
        <v/>
      </c>
      <c r="H265" s="247">
        <f t="array" ref="H265">IFERROR(INDEX('PORTIFÓLIO'!$H$4:$H$433,MATCH($C265,'PORTIFÓLIO'!$C$4:$C$433,0)),"")</f>
        <v/>
      </c>
      <c r="I265" s="228" t="n"/>
      <c r="J265" s="209">
        <f>I265*$B$2</f>
        <v/>
      </c>
      <c r="K265" s="248">
        <f t="array" ref="K265">IFERROR(I265*INDEX('PORTIFÓLIO'!$S$4:$S$433,MATCH($C265,'PORTIFÓLIO'!$C$4:$C$433,0)),"")</f>
        <v/>
      </c>
      <c r="L265" s="248">
        <f t="array" ref="L265">IFERROR(J265*INDEX('PORTIFÓLIO'!$S$4:$S$433,MATCH($C265,'PORTIFÓLIO'!$C$4:$C$433,0)),"")</f>
        <v/>
      </c>
      <c r="M265" s="177" t="n"/>
      <c r="N265" s="177" t="n"/>
      <c r="O265" s="177" t="n"/>
      <c r="P265" s="177" t="n"/>
      <c r="Q265" s="177" t="n"/>
      <c r="R265" s="177" t="n"/>
      <c r="S265" s="177" t="n"/>
      <c r="T265" s="177" t="n"/>
      <c r="U265" s="177" t="n"/>
      <c r="V265" s="177" t="n"/>
      <c r="W265" s="177" t="n"/>
      <c r="X265" s="177" t="n"/>
    </row>
    <row r="266" outlineLevel="1" ht="15.75" customHeight="1" s="297">
      <c r="A266" s="190" t="n"/>
      <c r="B266" s="204" t="n"/>
      <c r="C266" s="191" t="n"/>
      <c r="D266" s="205">
        <f>IFERROR(VLOOKUP($C266,'PORTIFÓLIO'!C:V,2,0),"")</f>
        <v/>
      </c>
      <c r="E266" s="190">
        <f>IFERROR(VLOOKUP($C266,'PORTIFÓLIO'!C:V,3,0),"")</f>
        <v/>
      </c>
      <c r="F266" s="190">
        <f>IFERROR(VLOOKUP($C266,'PORTIFÓLIO'!C:V,4,0),"")</f>
        <v/>
      </c>
      <c r="G266" s="206">
        <f>IFERROR(VLOOKUP($C266,'PORTIFÓLIO'!C:V,5,0),"")</f>
        <v/>
      </c>
      <c r="H266" s="247">
        <f t="array" ref="H266">IFERROR(INDEX('PORTIFÓLIO'!$H$4:$H$433,MATCH($C266,'PORTIFÓLIO'!$C$4:$C$433,0)),"")</f>
        <v/>
      </c>
      <c r="I266" s="228" t="n"/>
      <c r="J266" s="209">
        <f>I266*$B$2</f>
        <v/>
      </c>
      <c r="K266" s="248">
        <f t="array" ref="K266">IFERROR(I266*INDEX('PORTIFÓLIO'!$S$4:$S$433,MATCH($C266,'PORTIFÓLIO'!$C$4:$C$433,0)),"")</f>
        <v/>
      </c>
      <c r="L266" s="248">
        <f t="array" ref="L266">IFERROR(J266*INDEX('PORTIFÓLIO'!$S$4:$S$433,MATCH($C266,'PORTIFÓLIO'!$C$4:$C$433,0)),"")</f>
        <v/>
      </c>
      <c r="M266" s="177" t="n"/>
      <c r="N266" s="177" t="n"/>
      <c r="O266" s="177" t="n"/>
      <c r="P266" s="177" t="n"/>
      <c r="Q266" s="177" t="n"/>
      <c r="R266" s="177" t="n"/>
      <c r="S266" s="177" t="n"/>
      <c r="T266" s="177" t="n"/>
      <c r="U266" s="177" t="n"/>
      <c r="V266" s="177" t="n"/>
      <c r="W266" s="177" t="n"/>
      <c r="X266" s="177" t="n"/>
    </row>
    <row r="267" outlineLevel="1" ht="15.75" customHeight="1" s="297">
      <c r="A267" s="190" t="n"/>
      <c r="B267" s="204" t="n"/>
      <c r="C267" s="191" t="n"/>
      <c r="D267" s="205">
        <f>IFERROR(VLOOKUP($C267,'PORTIFÓLIO'!C:V,2,0),"")</f>
        <v/>
      </c>
      <c r="E267" s="190">
        <f>IFERROR(VLOOKUP($C267,'PORTIFÓLIO'!C:V,3,0),"")</f>
        <v/>
      </c>
      <c r="F267" s="190">
        <f>IFERROR(VLOOKUP($C267,'PORTIFÓLIO'!C:V,4,0),"")</f>
        <v/>
      </c>
      <c r="G267" s="206">
        <f>IFERROR(VLOOKUP($C267,'PORTIFÓLIO'!C:V,5,0),"")</f>
        <v/>
      </c>
      <c r="H267" s="247">
        <f t="array" ref="H267">IFERROR(INDEX('PORTIFÓLIO'!$H$4:$H$433,MATCH($C267,'PORTIFÓLIO'!$C$4:$C$433,0)),"")</f>
        <v/>
      </c>
      <c r="I267" s="228" t="n"/>
      <c r="J267" s="209">
        <f>I267*$B$2</f>
        <v/>
      </c>
      <c r="K267" s="248">
        <f t="array" ref="K267">IFERROR(I267*INDEX('PORTIFÓLIO'!$S$4:$S$433,MATCH($C267,'PORTIFÓLIO'!$C$4:$C$433,0)),"")</f>
        <v/>
      </c>
      <c r="L267" s="248">
        <f t="array" ref="L267">IFERROR(J267*INDEX('PORTIFÓLIO'!$S$4:$S$433,MATCH($C267,'PORTIFÓLIO'!$C$4:$C$433,0)),"")</f>
        <v/>
      </c>
      <c r="M267" s="177" t="n"/>
      <c r="N267" s="177" t="n"/>
      <c r="O267" s="177" t="n"/>
      <c r="P267" s="177" t="n"/>
      <c r="Q267" s="177" t="n"/>
      <c r="R267" s="177" t="n"/>
      <c r="S267" s="177" t="n"/>
      <c r="T267" s="177" t="n"/>
      <c r="U267" s="177" t="n"/>
      <c r="V267" s="177" t="n"/>
      <c r="W267" s="177" t="n"/>
      <c r="X267" s="177" t="n"/>
    </row>
    <row r="268" outlineLevel="1" ht="15.75" customHeight="1" s="297">
      <c r="A268" s="190" t="n"/>
      <c r="B268" s="204" t="n"/>
      <c r="C268" s="191" t="n"/>
      <c r="D268" s="205">
        <f>IFERROR(VLOOKUP($C268,'PORTIFÓLIO'!C:V,2,0),"")</f>
        <v/>
      </c>
      <c r="E268" s="190">
        <f>IFERROR(VLOOKUP($C268,'PORTIFÓLIO'!C:V,3,0),"")</f>
        <v/>
      </c>
      <c r="F268" s="190">
        <f>IFERROR(VLOOKUP($C268,'PORTIFÓLIO'!C:V,4,0),"")</f>
        <v/>
      </c>
      <c r="G268" s="206">
        <f>IFERROR(VLOOKUP($C268,'PORTIFÓLIO'!C:V,5,0),"")</f>
        <v/>
      </c>
      <c r="H268" s="247">
        <f t="array" ref="H268">IFERROR(INDEX('PORTIFÓLIO'!$H$4:$H$433,MATCH($C268,'PORTIFÓLIO'!$C$4:$C$433,0)),"")</f>
        <v/>
      </c>
      <c r="I268" s="228" t="n"/>
      <c r="J268" s="209">
        <f>I268*$B$2</f>
        <v/>
      </c>
      <c r="K268" s="248">
        <f t="array" ref="K268">IFERROR(I268*INDEX('PORTIFÓLIO'!$S$4:$S$433,MATCH($C268,'PORTIFÓLIO'!$C$4:$C$433,0)),"")</f>
        <v/>
      </c>
      <c r="L268" s="248">
        <f t="array" ref="L268">IFERROR(J268*INDEX('PORTIFÓLIO'!$S$4:$S$433,MATCH($C268,'PORTIFÓLIO'!$C$4:$C$433,0)),"")</f>
        <v/>
      </c>
      <c r="M268" s="177" t="n"/>
      <c r="N268" s="177" t="n"/>
      <c r="O268" s="177" t="n"/>
      <c r="P268" s="177" t="n"/>
      <c r="Q268" s="177" t="n"/>
      <c r="R268" s="177" t="n"/>
      <c r="S268" s="177" t="n"/>
      <c r="T268" s="177" t="n"/>
      <c r="U268" s="177" t="n"/>
      <c r="V268" s="177" t="n"/>
      <c r="W268" s="177" t="n"/>
      <c r="X268" s="177" t="n"/>
    </row>
    <row r="269" outlineLevel="1" ht="15.75" customHeight="1" s="297">
      <c r="A269" s="190" t="n"/>
      <c r="B269" s="204" t="n"/>
      <c r="C269" s="191" t="n"/>
      <c r="D269" s="205">
        <f>IFERROR(VLOOKUP($C269,'PORTIFÓLIO'!C:V,2,0),"")</f>
        <v/>
      </c>
      <c r="E269" s="190">
        <f>IFERROR(VLOOKUP($C269,'PORTIFÓLIO'!C:V,3,0),"")</f>
        <v/>
      </c>
      <c r="F269" s="190">
        <f>IFERROR(VLOOKUP($C269,'PORTIFÓLIO'!C:V,4,0),"")</f>
        <v/>
      </c>
      <c r="G269" s="206">
        <f>IFERROR(VLOOKUP($C269,'PORTIFÓLIO'!C:V,5,0),"")</f>
        <v/>
      </c>
      <c r="H269" s="247">
        <f t="array" ref="H269">IFERROR(INDEX('PORTIFÓLIO'!$H$4:$H$433,MATCH($C269,'PORTIFÓLIO'!$C$4:$C$433,0)),"")</f>
        <v/>
      </c>
      <c r="I269" s="228" t="n"/>
      <c r="J269" s="209">
        <f>I269*$B$2</f>
        <v/>
      </c>
      <c r="K269" s="248">
        <f t="array" ref="K269">IFERROR(I269*INDEX('PORTIFÓLIO'!$S$4:$S$433,MATCH($C269,'PORTIFÓLIO'!$C$4:$C$433,0)),"")</f>
        <v/>
      </c>
      <c r="L269" s="248">
        <f t="array" ref="L269">IFERROR(J269*INDEX('PORTIFÓLIO'!$S$4:$S$433,MATCH($C269,'PORTIFÓLIO'!$C$4:$C$433,0)),"")</f>
        <v/>
      </c>
      <c r="M269" s="177" t="n"/>
      <c r="N269" s="177" t="n"/>
      <c r="O269" s="177" t="n"/>
      <c r="P269" s="177" t="n"/>
      <c r="Q269" s="177" t="n"/>
      <c r="R269" s="177" t="n"/>
      <c r="S269" s="177" t="n"/>
      <c r="T269" s="177" t="n"/>
      <c r="U269" s="177" t="n"/>
      <c r="V269" s="177" t="n"/>
      <c r="W269" s="177" t="n"/>
      <c r="X269" s="177" t="n"/>
    </row>
    <row r="270" outlineLevel="1" ht="15.75" customHeight="1" s="297">
      <c r="A270" s="190" t="n"/>
      <c r="B270" s="204" t="n"/>
      <c r="C270" s="191" t="n"/>
      <c r="D270" s="205">
        <f>IFERROR(VLOOKUP($C270,'PORTIFÓLIO'!C:V,2,0),"")</f>
        <v/>
      </c>
      <c r="E270" s="190">
        <f>IFERROR(VLOOKUP($C270,'PORTIFÓLIO'!C:V,3,0),"")</f>
        <v/>
      </c>
      <c r="F270" s="190">
        <f>IFERROR(VLOOKUP($C270,'PORTIFÓLIO'!C:V,4,0),"")</f>
        <v/>
      </c>
      <c r="G270" s="206">
        <f>IFERROR(VLOOKUP($C270,'PORTIFÓLIO'!C:V,5,0),"")</f>
        <v/>
      </c>
      <c r="H270" s="247">
        <f t="array" ref="H270">IFERROR(INDEX('PORTIFÓLIO'!$H$4:$H$433,MATCH($C270,'PORTIFÓLIO'!$C$4:$C$433,0)),"")</f>
        <v/>
      </c>
      <c r="I270" s="228" t="n"/>
      <c r="J270" s="209">
        <f>I270*$B$2</f>
        <v/>
      </c>
      <c r="K270" s="248">
        <f t="array" ref="K270">IFERROR(I270*INDEX('PORTIFÓLIO'!$S$4:$S$433,MATCH($C270,'PORTIFÓLIO'!$C$4:$C$433,0)),"")</f>
        <v/>
      </c>
      <c r="L270" s="248">
        <f t="array" ref="L270">IFERROR(J270*INDEX('PORTIFÓLIO'!$S$4:$S$433,MATCH($C270,'PORTIFÓLIO'!$C$4:$C$433,0)),"")</f>
        <v/>
      </c>
      <c r="M270" s="177" t="n"/>
      <c r="N270" s="177" t="n"/>
      <c r="O270" s="177" t="n"/>
      <c r="P270" s="177" t="n"/>
      <c r="Q270" s="177" t="n"/>
      <c r="R270" s="177" t="n"/>
      <c r="S270" s="177" t="n"/>
      <c r="T270" s="177" t="n"/>
      <c r="U270" s="177" t="n"/>
      <c r="V270" s="177" t="n"/>
      <c r="W270" s="177" t="n"/>
      <c r="X270" s="177" t="n"/>
    </row>
    <row r="271" ht="15.75" customHeight="1" s="297">
      <c r="A271" s="221" t="inlineStr">
        <is>
          <t>OPERAÇÃO 3</t>
        </is>
      </c>
      <c r="B271" s="197" t="n"/>
      <c r="C271" s="196" t="n"/>
      <c r="D271" s="198" t="n"/>
      <c r="E271" s="196" t="n"/>
      <c r="F271" s="196" t="n"/>
      <c r="G271" s="199" t="n"/>
      <c r="H271" s="199" t="n"/>
      <c r="I271" s="201" t="n"/>
      <c r="J271" s="202" t="n"/>
      <c r="K271" s="203">
        <f>SUBTOTAL(9,K272:K285)</f>
        <v/>
      </c>
      <c r="L271" s="203">
        <f>SUBTOTAL(9,L272:L285)</f>
        <v/>
      </c>
      <c r="M271" s="177" t="n"/>
      <c r="N271" s="177" t="n"/>
      <c r="O271" s="177" t="n"/>
      <c r="P271" s="177" t="n"/>
      <c r="Q271" s="177" t="n"/>
      <c r="R271" s="177" t="n"/>
      <c r="S271" s="177" t="n"/>
      <c r="T271" s="177" t="n"/>
      <c r="U271" s="177" t="n"/>
      <c r="V271" s="177" t="n"/>
      <c r="W271" s="177" t="n"/>
      <c r="X271" s="177" t="n"/>
    </row>
    <row r="272" outlineLevel="1" ht="15.75" customHeight="1" s="297">
      <c r="A272" s="191" t="n"/>
      <c r="B272" s="204" t="inlineStr">
        <is>
          <t>SEMENTE</t>
        </is>
      </c>
      <c r="C272" s="191" t="inlineStr">
        <is>
          <t>SEMENTE DE SORGO</t>
        </is>
      </c>
      <c r="D272" s="205">
        <f>IFERROR(VLOOKUP($C272,'PORTIFÓLIO'!C:V,2,0),"")</f>
        <v/>
      </c>
      <c r="E272" s="190">
        <f>IFERROR(VLOOKUP($C272,'PORTIFÓLIO'!C:V,3,0),"")</f>
        <v/>
      </c>
      <c r="F272" s="190">
        <f>IFERROR(VLOOKUP($C272,'PORTIFÓLIO'!C:V,4,0),"")</f>
        <v/>
      </c>
      <c r="G272" s="223">
        <f>IFERROR(VLOOKUP($C272,'PORTIFÓLIO'!C:V,5,0),"")</f>
        <v/>
      </c>
      <c r="H272" s="247">
        <f t="array" ref="H272">IFERROR(INDEX('PORTIFÓLIO'!$H$4:$H$433,MATCH($C272,'PORTIFÓLIO'!$C$4:$C$433,0)),"")</f>
        <v/>
      </c>
      <c r="I272" s="208" t="n">
        <v>0.4</v>
      </c>
      <c r="J272" s="209">
        <f>I272*$B$2</f>
        <v/>
      </c>
      <c r="K272" s="248">
        <f t="array" ref="K272">IFERROR(I272*INDEX('PORTIFÓLIO'!$S$4:$S$433,MATCH($C272,'PORTIFÓLIO'!$C$4:$C$433,0)),"")</f>
        <v/>
      </c>
      <c r="L272" s="248">
        <f t="array" ref="L272">IFERROR(J272*INDEX('PORTIFÓLIO'!$S$4:$S$433,MATCH($C272,'PORTIFÓLIO'!$C$4:$C$433,0)),"")</f>
        <v/>
      </c>
      <c r="M272" s="177" t="n"/>
      <c r="N272" s="177" t="n"/>
      <c r="O272" s="177" t="n"/>
      <c r="P272" s="177" t="n"/>
      <c r="Q272" s="177" t="n"/>
      <c r="R272" s="177" t="n"/>
      <c r="S272" s="177" t="n"/>
      <c r="T272" s="177" t="n"/>
      <c r="U272" s="177" t="n"/>
      <c r="V272" s="177" t="n"/>
      <c r="W272" s="177" t="n"/>
      <c r="X272" s="177" t="n"/>
    </row>
    <row r="273" outlineLevel="1" ht="15.75" customHeight="1" s="297">
      <c r="A273" s="190" t="n"/>
      <c r="B273" s="204" t="inlineStr">
        <is>
          <t>TS</t>
        </is>
      </c>
      <c r="C273" s="191" t="inlineStr">
        <is>
          <t>FORTENZA 600 FS</t>
        </is>
      </c>
      <c r="D273" s="205">
        <f>IFERROR(VLOOKUP($C273,'PORTIFÓLIO'!C:V,2,0),"")</f>
        <v/>
      </c>
      <c r="E273" s="190">
        <f>IFERROR(VLOOKUP($C273,'PORTIFÓLIO'!C:V,3,0),"")</f>
        <v/>
      </c>
      <c r="F273" s="190">
        <f>IFERROR(VLOOKUP($C273,'PORTIFÓLIO'!C:V,4,0),"")</f>
        <v/>
      </c>
      <c r="G273" s="223">
        <f>IFERROR(VLOOKUP($C273,'PORTIFÓLIO'!C:V,5,0),"")</f>
        <v/>
      </c>
      <c r="H273" s="247">
        <f t="array" ref="H273">IFERROR(INDEX('PORTIFÓLIO'!$H$4:$H$433,MATCH($C273,'PORTIFÓLIO'!$C$4:$C$433,0)),"")</f>
        <v/>
      </c>
      <c r="I273" s="208" t="n">
        <v>0.05</v>
      </c>
      <c r="J273" s="209">
        <f>I273*$B$2</f>
        <v/>
      </c>
      <c r="K273" s="248">
        <f t="array" ref="K273">IFERROR(I273*INDEX('PORTIFÓLIO'!$S$4:$S$433,MATCH($C273,'PORTIFÓLIO'!$C$4:$C$433,0)),"")</f>
        <v/>
      </c>
      <c r="L273" s="248">
        <f t="array" ref="L273">IFERROR(J273*INDEX('PORTIFÓLIO'!$S$4:$S$433,MATCH($C273,'PORTIFÓLIO'!$C$4:$C$433,0)),"")</f>
        <v/>
      </c>
      <c r="M273" s="177" t="n"/>
      <c r="N273" s="177" t="n"/>
      <c r="O273" s="177" t="n"/>
      <c r="P273" s="177" t="n"/>
      <c r="Q273" s="177" t="n"/>
      <c r="R273" s="177" t="n"/>
      <c r="S273" s="177" t="n"/>
      <c r="T273" s="177" t="n"/>
      <c r="U273" s="177" t="n"/>
      <c r="V273" s="177" t="n"/>
      <c r="W273" s="177" t="n"/>
      <c r="X273" s="177" t="n"/>
    </row>
    <row r="274" outlineLevel="1" ht="15.75" customHeight="1" s="297">
      <c r="A274" s="190" t="n"/>
      <c r="B274" s="204" t="inlineStr">
        <is>
          <t>TS</t>
        </is>
      </c>
      <c r="C274" s="191" t="inlineStr">
        <is>
          <t>CRUISER ADVANCED</t>
        </is>
      </c>
      <c r="D274" s="205">
        <f>IFERROR(VLOOKUP($C274,'PORTIFÓLIO'!C:V,2,0),"")</f>
        <v/>
      </c>
      <c r="E274" s="190">
        <f>IFERROR(VLOOKUP($C274,'PORTIFÓLIO'!C:V,3,0),"")</f>
        <v/>
      </c>
      <c r="F274" s="190">
        <f>IFERROR(VLOOKUP($C274,'PORTIFÓLIO'!C:V,4,0),"")</f>
        <v/>
      </c>
      <c r="G274" s="223">
        <f>IFERROR(VLOOKUP($C274,'PORTIFÓLIO'!C:V,5,0),"")</f>
        <v/>
      </c>
      <c r="H274" s="247">
        <f t="array" ref="H274">IFERROR(INDEX('PORTIFÓLIO'!$H$4:$H$433,MATCH($C274,'PORTIFÓLIO'!$C$4:$C$433,0)),"")</f>
        <v/>
      </c>
      <c r="I274" s="208" t="n">
        <v>0.05</v>
      </c>
      <c r="J274" s="209">
        <f>I274*$B$2</f>
        <v/>
      </c>
      <c r="K274" s="248">
        <f t="array" ref="K274">IFERROR(I274*INDEX('PORTIFÓLIO'!$S$4:$S$433,MATCH($C274,'PORTIFÓLIO'!$C$4:$C$433,0)),"")</f>
        <v/>
      </c>
      <c r="L274" s="248">
        <f t="array" ref="L274">IFERROR(J274*INDEX('PORTIFÓLIO'!$S$4:$S$433,MATCH($C274,'PORTIFÓLIO'!$C$4:$C$433,0)),"")</f>
        <v/>
      </c>
      <c r="M274" s="177" t="n"/>
      <c r="N274" s="177" t="n"/>
      <c r="O274" s="177" t="n"/>
      <c r="P274" s="177" t="n"/>
      <c r="Q274" s="177" t="n"/>
      <c r="R274" s="177" t="n"/>
      <c r="S274" s="177" t="n"/>
      <c r="T274" s="177" t="n"/>
      <c r="U274" s="177" t="n"/>
      <c r="V274" s="177" t="n"/>
      <c r="W274" s="177" t="n"/>
      <c r="X274" s="177" t="n"/>
    </row>
    <row r="275" outlineLevel="1" ht="15.75" customHeight="1" s="297">
      <c r="A275" s="190" t="n"/>
      <c r="B275" s="204" t="n"/>
      <c r="C275" s="191" t="n"/>
      <c r="D275" s="205">
        <f>IFERROR(VLOOKUP($C275,'PORTIFÓLIO'!C:V,2,0),"")</f>
        <v/>
      </c>
      <c r="E275" s="190">
        <f>IFERROR(VLOOKUP($C275,'PORTIFÓLIO'!C:V,3,0),"")</f>
        <v/>
      </c>
      <c r="F275" s="190">
        <f>IFERROR(VLOOKUP($C275,'PORTIFÓLIO'!C:V,4,0),"")</f>
        <v/>
      </c>
      <c r="G275" s="206">
        <f>IFERROR(VLOOKUP($C275,'PORTIFÓLIO'!C:V,5,0),"")</f>
        <v/>
      </c>
      <c r="H275" s="247">
        <f t="array" ref="H275">IFERROR(INDEX('PORTIFÓLIO'!$H$4:$H$433,MATCH($C275,'PORTIFÓLIO'!$C$4:$C$433,0)),"")</f>
        <v/>
      </c>
      <c r="I275" s="228" t="n"/>
      <c r="J275" s="209">
        <f>I275*$B$2</f>
        <v/>
      </c>
      <c r="K275" s="248">
        <f t="array" ref="K275">IFERROR(I275*INDEX('PORTIFÓLIO'!$S$4:$S$433,MATCH($C275,'PORTIFÓLIO'!$C$4:$C$433,0)),"")</f>
        <v/>
      </c>
      <c r="L275" s="248">
        <f t="array" ref="L275">IFERROR(J275*INDEX('PORTIFÓLIO'!$S$4:$S$433,MATCH($C275,'PORTIFÓLIO'!$C$4:$C$433,0)),"")</f>
        <v/>
      </c>
      <c r="M275" s="177" t="n"/>
      <c r="N275" s="177" t="n"/>
      <c r="O275" s="177" t="n"/>
      <c r="P275" s="177" t="n"/>
      <c r="Q275" s="177" t="n"/>
      <c r="R275" s="177" t="n"/>
      <c r="S275" s="177" t="n"/>
      <c r="T275" s="177" t="n"/>
      <c r="U275" s="177" t="n"/>
      <c r="V275" s="177" t="n"/>
      <c r="W275" s="177" t="n"/>
      <c r="X275" s="177" t="n"/>
    </row>
    <row r="276" outlineLevel="1" ht="15.75" customHeight="1" s="297">
      <c r="A276" s="190" t="n"/>
      <c r="B276" s="204" t="n"/>
      <c r="C276" s="191" t="n"/>
      <c r="D276" s="205">
        <f>IFERROR(VLOOKUP($C276,'PORTIFÓLIO'!C:V,2,0),"")</f>
        <v/>
      </c>
      <c r="E276" s="190">
        <f>IFERROR(VLOOKUP($C276,'PORTIFÓLIO'!C:V,3,0),"")</f>
        <v/>
      </c>
      <c r="F276" s="190">
        <f>IFERROR(VLOOKUP($C276,'PORTIFÓLIO'!C:V,4,0),"")</f>
        <v/>
      </c>
      <c r="G276" s="206">
        <f>IFERROR(VLOOKUP($C276,'PORTIFÓLIO'!C:V,5,0),"")</f>
        <v/>
      </c>
      <c r="H276" s="247">
        <f t="array" ref="H276">IFERROR(INDEX('PORTIFÓLIO'!$H$4:$H$433,MATCH($C276,'PORTIFÓLIO'!$C$4:$C$433,0)),"")</f>
        <v/>
      </c>
      <c r="I276" s="228" t="n"/>
      <c r="J276" s="209">
        <f>I276*$B$2</f>
        <v/>
      </c>
      <c r="K276" s="248">
        <f t="array" ref="K276">IFERROR(I276*INDEX('PORTIFÓLIO'!$S$4:$S$433,MATCH($C276,'PORTIFÓLIO'!$C$4:$C$433,0)),"")</f>
        <v/>
      </c>
      <c r="L276" s="248">
        <f t="array" ref="L276">IFERROR(J276*INDEX('PORTIFÓLIO'!$S$4:$S$433,MATCH($C276,'PORTIFÓLIO'!$C$4:$C$433,0)),"")</f>
        <v/>
      </c>
      <c r="M276" s="177" t="n"/>
      <c r="N276" s="177" t="n"/>
      <c r="O276" s="177" t="n"/>
      <c r="P276" s="177" t="n"/>
      <c r="Q276" s="177" t="n"/>
      <c r="R276" s="177" t="n"/>
      <c r="S276" s="177" t="n"/>
      <c r="T276" s="177" t="n"/>
      <c r="U276" s="177" t="n"/>
      <c r="V276" s="177" t="n"/>
      <c r="W276" s="177" t="n"/>
      <c r="X276" s="177" t="n"/>
    </row>
    <row r="277" outlineLevel="1" ht="15.75" customHeight="1" s="297">
      <c r="A277" s="190" t="n"/>
      <c r="B277" s="204" t="n"/>
      <c r="C277" s="191" t="n"/>
      <c r="D277" s="205">
        <f>IFERROR(VLOOKUP($C277,'PORTIFÓLIO'!C:V,2,0),"")</f>
        <v/>
      </c>
      <c r="E277" s="190">
        <f>IFERROR(VLOOKUP($C277,'PORTIFÓLIO'!C:V,3,0),"")</f>
        <v/>
      </c>
      <c r="F277" s="190">
        <f>IFERROR(VLOOKUP($C277,'PORTIFÓLIO'!C:V,4,0),"")</f>
        <v/>
      </c>
      <c r="G277" s="206">
        <f>IFERROR(VLOOKUP($C277,'PORTIFÓLIO'!C:V,5,0),"")</f>
        <v/>
      </c>
      <c r="H277" s="247">
        <f t="array" ref="H277">IFERROR(INDEX('PORTIFÓLIO'!$H$4:$H$433,MATCH($C277,'PORTIFÓLIO'!$C$4:$C$433,0)),"")</f>
        <v/>
      </c>
      <c r="I277" s="228" t="n"/>
      <c r="J277" s="209">
        <f>I277*$B$2</f>
        <v/>
      </c>
      <c r="K277" s="248">
        <f t="array" ref="K277">IFERROR(I277*INDEX('PORTIFÓLIO'!$S$4:$S$433,MATCH($C277,'PORTIFÓLIO'!$C$4:$C$433,0)),"")</f>
        <v/>
      </c>
      <c r="L277" s="248">
        <f t="array" ref="L277">IFERROR(J277*INDEX('PORTIFÓLIO'!$S$4:$S$433,MATCH($C277,'PORTIFÓLIO'!$C$4:$C$433,0)),"")</f>
        <v/>
      </c>
      <c r="M277" s="177" t="n"/>
      <c r="N277" s="177" t="n"/>
      <c r="O277" s="177" t="n"/>
      <c r="P277" s="177" t="n"/>
      <c r="Q277" s="177" t="n"/>
      <c r="R277" s="177" t="n"/>
      <c r="S277" s="177" t="n"/>
      <c r="T277" s="177" t="n"/>
      <c r="U277" s="177" t="n"/>
      <c r="V277" s="177" t="n"/>
      <c r="W277" s="177" t="n"/>
      <c r="X277" s="177" t="n"/>
    </row>
    <row r="278" outlineLevel="1" ht="15.75" customHeight="1" s="297">
      <c r="A278" s="190" t="n"/>
      <c r="B278" s="204" t="n"/>
      <c r="C278" s="191" t="n"/>
      <c r="D278" s="205">
        <f>IFERROR(VLOOKUP($C278,'PORTIFÓLIO'!C:V,2,0),"")</f>
        <v/>
      </c>
      <c r="E278" s="190">
        <f>IFERROR(VLOOKUP($C278,'PORTIFÓLIO'!C:V,3,0),"")</f>
        <v/>
      </c>
      <c r="F278" s="190">
        <f>IFERROR(VLOOKUP($C278,'PORTIFÓLIO'!C:V,4,0),"")</f>
        <v/>
      </c>
      <c r="G278" s="206">
        <f>IFERROR(VLOOKUP($C278,'PORTIFÓLIO'!C:V,5,0),"")</f>
        <v/>
      </c>
      <c r="H278" s="247">
        <f t="array" ref="H278">IFERROR(INDEX('PORTIFÓLIO'!$H$4:$H$433,MATCH($C278,'PORTIFÓLIO'!$C$4:$C$433,0)),"")</f>
        <v/>
      </c>
      <c r="I278" s="228" t="n"/>
      <c r="J278" s="209">
        <f>I278*$B$2</f>
        <v/>
      </c>
      <c r="K278" s="248">
        <f t="array" ref="K278">IFERROR(I278*INDEX('PORTIFÓLIO'!$S$4:$S$433,MATCH($C278,'PORTIFÓLIO'!$C$4:$C$433,0)),"")</f>
        <v/>
      </c>
      <c r="L278" s="248">
        <f t="array" ref="L278">IFERROR(J278*INDEX('PORTIFÓLIO'!$S$4:$S$433,MATCH($C278,'PORTIFÓLIO'!$C$4:$C$433,0)),"")</f>
        <v/>
      </c>
      <c r="M278" s="177" t="n"/>
      <c r="N278" s="177" t="n"/>
      <c r="O278" s="177" t="n"/>
      <c r="P278" s="177" t="n"/>
      <c r="Q278" s="177" t="n"/>
      <c r="R278" s="177" t="n"/>
      <c r="S278" s="177" t="n"/>
      <c r="T278" s="177" t="n"/>
      <c r="U278" s="177" t="n"/>
      <c r="V278" s="177" t="n"/>
      <c r="W278" s="177" t="n"/>
      <c r="X278" s="177" t="n"/>
    </row>
    <row r="279" outlineLevel="1" ht="15.75" customHeight="1" s="297">
      <c r="A279" s="190" t="n"/>
      <c r="B279" s="204" t="n"/>
      <c r="C279" s="191" t="n"/>
      <c r="D279" s="205">
        <f>IFERROR(VLOOKUP($C279,'PORTIFÓLIO'!C:V,2,0),"")</f>
        <v/>
      </c>
      <c r="E279" s="190">
        <f>IFERROR(VLOOKUP($C279,'PORTIFÓLIO'!C:V,3,0),"")</f>
        <v/>
      </c>
      <c r="F279" s="190">
        <f>IFERROR(VLOOKUP($C279,'PORTIFÓLIO'!C:V,4,0),"")</f>
        <v/>
      </c>
      <c r="G279" s="206">
        <f>IFERROR(VLOOKUP($C279,'PORTIFÓLIO'!C:V,5,0),"")</f>
        <v/>
      </c>
      <c r="H279" s="247">
        <f t="array" ref="H279">IFERROR(INDEX('PORTIFÓLIO'!$H$4:$H$433,MATCH($C279,'PORTIFÓLIO'!$C$4:$C$433,0)),"")</f>
        <v/>
      </c>
      <c r="I279" s="228" t="n"/>
      <c r="J279" s="209">
        <f>I279*$B$2</f>
        <v/>
      </c>
      <c r="K279" s="248">
        <f t="array" ref="K279">IFERROR(I279*INDEX('PORTIFÓLIO'!$S$4:$S$433,MATCH($C279,'PORTIFÓLIO'!$C$4:$C$433,0)),"")</f>
        <v/>
      </c>
      <c r="L279" s="248">
        <f t="array" ref="L279">IFERROR(J279*INDEX('PORTIFÓLIO'!$S$4:$S$433,MATCH($C279,'PORTIFÓLIO'!$C$4:$C$433,0)),"")</f>
        <v/>
      </c>
      <c r="M279" s="177" t="n"/>
      <c r="N279" s="177" t="n"/>
      <c r="O279" s="177" t="n"/>
      <c r="P279" s="177" t="n"/>
      <c r="Q279" s="177" t="n"/>
      <c r="R279" s="177" t="n"/>
      <c r="S279" s="177" t="n"/>
      <c r="T279" s="177" t="n"/>
      <c r="U279" s="177" t="n"/>
      <c r="V279" s="177" t="n"/>
      <c r="W279" s="177" t="n"/>
      <c r="X279" s="177" t="n"/>
    </row>
    <row r="280" outlineLevel="1" ht="15.75" customHeight="1" s="297">
      <c r="A280" s="190" t="n"/>
      <c r="B280" s="204" t="n"/>
      <c r="C280" s="191" t="n"/>
      <c r="D280" s="205">
        <f>IFERROR(VLOOKUP($C280,'PORTIFÓLIO'!C:V,2,0),"")</f>
        <v/>
      </c>
      <c r="E280" s="190">
        <f>IFERROR(VLOOKUP($C280,'PORTIFÓLIO'!C:V,3,0),"")</f>
        <v/>
      </c>
      <c r="F280" s="190">
        <f>IFERROR(VLOOKUP($C280,'PORTIFÓLIO'!C:V,4,0),"")</f>
        <v/>
      </c>
      <c r="G280" s="206">
        <f>IFERROR(VLOOKUP($C280,'PORTIFÓLIO'!C:V,5,0),"")</f>
        <v/>
      </c>
      <c r="H280" s="247">
        <f t="array" ref="H280">IFERROR(INDEX('PORTIFÓLIO'!$H$4:$H$433,MATCH($C280,'PORTIFÓLIO'!$C$4:$C$433,0)),"")</f>
        <v/>
      </c>
      <c r="I280" s="208" t="n"/>
      <c r="J280" s="209">
        <f>I280*$B$2</f>
        <v/>
      </c>
      <c r="K280" s="248">
        <f t="array" ref="K280">IFERROR(I280*INDEX('PORTIFÓLIO'!$S$4:$S$433,MATCH($C280,'PORTIFÓLIO'!$C$4:$C$433,0)),"")</f>
        <v/>
      </c>
      <c r="L280" s="248">
        <f t="array" ref="L280">IFERROR(J280*INDEX('PORTIFÓLIO'!$S$4:$S$433,MATCH($C280,'PORTIFÓLIO'!$C$4:$C$433,0)),"")</f>
        <v/>
      </c>
      <c r="M280" s="177" t="n"/>
      <c r="N280" s="177" t="n"/>
      <c r="O280" s="177" t="n"/>
      <c r="P280" s="177" t="n"/>
      <c r="Q280" s="177" t="n"/>
      <c r="R280" s="177" t="n"/>
      <c r="S280" s="177" t="n"/>
      <c r="T280" s="177" t="n"/>
      <c r="U280" s="177" t="n"/>
      <c r="V280" s="177" t="n"/>
      <c r="W280" s="177" t="n"/>
      <c r="X280" s="177" t="n"/>
    </row>
    <row r="281" outlineLevel="1" ht="15.75" customHeight="1" s="297">
      <c r="A281" s="190" t="n"/>
      <c r="B281" s="204" t="n"/>
      <c r="C281" s="191" t="n"/>
      <c r="D281" s="205">
        <f>IFERROR(VLOOKUP($C281,'PORTIFÓLIO'!C:V,2,0),"")</f>
        <v/>
      </c>
      <c r="E281" s="190">
        <f>IFERROR(VLOOKUP($C281,'PORTIFÓLIO'!C:V,3,0),"")</f>
        <v/>
      </c>
      <c r="F281" s="190">
        <f>IFERROR(VLOOKUP($C281,'PORTIFÓLIO'!C:V,4,0),"")</f>
        <v/>
      </c>
      <c r="G281" s="206">
        <f>IFERROR(VLOOKUP($C281,'PORTIFÓLIO'!C:V,5,0),"")</f>
        <v/>
      </c>
      <c r="H281" s="247">
        <f t="array" ref="H281">IFERROR(INDEX('PORTIFÓLIO'!$H$4:$H$433,MATCH($C281,'PORTIFÓLIO'!$C$4:$C$433,0)),"")</f>
        <v/>
      </c>
      <c r="I281" s="228" t="n"/>
      <c r="J281" s="209">
        <f>I281*$B$2</f>
        <v/>
      </c>
      <c r="K281" s="248">
        <f t="array" ref="K281">IFERROR(I281*INDEX('PORTIFÓLIO'!$S$4:$S$433,MATCH($C281,'PORTIFÓLIO'!$C$4:$C$433,0)),"")</f>
        <v/>
      </c>
      <c r="L281" s="248">
        <f t="array" ref="L281">IFERROR(J281*INDEX('PORTIFÓLIO'!$S$4:$S$433,MATCH($C281,'PORTIFÓLIO'!$C$4:$C$433,0)),"")</f>
        <v/>
      </c>
      <c r="M281" s="177" t="n"/>
      <c r="N281" s="177" t="n"/>
      <c r="O281" s="177" t="n"/>
      <c r="P281" s="177" t="n"/>
      <c r="Q281" s="177" t="n"/>
      <c r="R281" s="177" t="n"/>
      <c r="S281" s="177" t="n"/>
      <c r="T281" s="177" t="n"/>
      <c r="U281" s="177" t="n"/>
      <c r="V281" s="177" t="n"/>
      <c r="W281" s="177" t="n"/>
      <c r="X281" s="177" t="n"/>
    </row>
    <row r="282" outlineLevel="1" ht="15.75" customHeight="1" s="297">
      <c r="A282" s="190" t="n"/>
      <c r="B282" s="204" t="n"/>
      <c r="C282" s="191" t="n"/>
      <c r="D282" s="205">
        <f>IFERROR(VLOOKUP($C282,'PORTIFÓLIO'!C:V,2,0),"")</f>
        <v/>
      </c>
      <c r="E282" s="190">
        <f>IFERROR(VLOOKUP($C282,'PORTIFÓLIO'!C:V,3,0),"")</f>
        <v/>
      </c>
      <c r="F282" s="190">
        <f>IFERROR(VLOOKUP($C282,'PORTIFÓLIO'!C:V,4,0),"")</f>
        <v/>
      </c>
      <c r="G282" s="206">
        <f>IFERROR(VLOOKUP($C282,'PORTIFÓLIO'!C:V,5,0),"")</f>
        <v/>
      </c>
      <c r="H282" s="247">
        <f t="array" ref="H282">IFERROR(INDEX('PORTIFÓLIO'!$H$4:$H$433,MATCH($C282,'PORTIFÓLIO'!$C$4:$C$433,0)),"")</f>
        <v/>
      </c>
      <c r="I282" s="228" t="n"/>
      <c r="J282" s="209">
        <f>I282*$B$2</f>
        <v/>
      </c>
      <c r="K282" s="248">
        <f t="array" ref="K282">IFERROR(I282*INDEX('PORTIFÓLIO'!$S$4:$S$433,MATCH($C282,'PORTIFÓLIO'!$C$4:$C$433,0)),"")</f>
        <v/>
      </c>
      <c r="L282" s="248">
        <f t="array" ref="L282">IFERROR(J282*INDEX('PORTIFÓLIO'!$S$4:$S$433,MATCH($C282,'PORTIFÓLIO'!$C$4:$C$433,0)),"")</f>
        <v/>
      </c>
      <c r="M282" s="177" t="n"/>
      <c r="N282" s="177" t="n"/>
      <c r="O282" s="177" t="n"/>
      <c r="P282" s="177" t="n"/>
      <c r="Q282" s="177" t="n"/>
      <c r="R282" s="177" t="n"/>
      <c r="S282" s="177" t="n"/>
      <c r="T282" s="177" t="n"/>
      <c r="U282" s="177" t="n"/>
      <c r="V282" s="177" t="n"/>
      <c r="W282" s="177" t="n"/>
      <c r="X282" s="177" t="n"/>
    </row>
    <row r="283" outlineLevel="1" ht="15.75" customHeight="1" s="297">
      <c r="A283" s="190" t="n"/>
      <c r="B283" s="204" t="n"/>
      <c r="C283" s="191" t="n"/>
      <c r="D283" s="205">
        <f>IFERROR(VLOOKUP($C283,'PORTIFÓLIO'!C:V,2,0),"")</f>
        <v/>
      </c>
      <c r="E283" s="190">
        <f>IFERROR(VLOOKUP($C283,'PORTIFÓLIO'!C:V,3,0),"")</f>
        <v/>
      </c>
      <c r="F283" s="190">
        <f>IFERROR(VLOOKUP($C283,'PORTIFÓLIO'!C:V,4,0),"")</f>
        <v/>
      </c>
      <c r="G283" s="206">
        <f>IFERROR(VLOOKUP($C283,'PORTIFÓLIO'!C:V,5,0),"")</f>
        <v/>
      </c>
      <c r="H283" s="247">
        <f t="array" ref="H283">IFERROR(INDEX('PORTIFÓLIO'!$H$4:$H$433,MATCH($C283,'PORTIFÓLIO'!$C$4:$C$433,0)),"")</f>
        <v/>
      </c>
      <c r="I283" s="228" t="n"/>
      <c r="J283" s="209">
        <f>I283*$B$2</f>
        <v/>
      </c>
      <c r="K283" s="248">
        <f t="array" ref="K283">IFERROR(I283*INDEX('PORTIFÓLIO'!$S$4:$S$433,MATCH($C283,'PORTIFÓLIO'!$C$4:$C$433,0)),"")</f>
        <v/>
      </c>
      <c r="L283" s="248">
        <f t="array" ref="L283">IFERROR(J283*INDEX('PORTIFÓLIO'!$S$4:$S$433,MATCH($C283,'PORTIFÓLIO'!$C$4:$C$433,0)),"")</f>
        <v/>
      </c>
      <c r="M283" s="177" t="n"/>
      <c r="N283" s="177" t="n"/>
      <c r="O283" s="177" t="n"/>
      <c r="P283" s="177" t="n"/>
      <c r="Q283" s="177" t="n"/>
      <c r="R283" s="177" t="n"/>
      <c r="S283" s="177" t="n"/>
      <c r="T283" s="177" t="n"/>
      <c r="U283" s="177" t="n"/>
      <c r="V283" s="177" t="n"/>
      <c r="W283" s="177" t="n"/>
      <c r="X283" s="177" t="n"/>
    </row>
    <row r="284" outlineLevel="1" ht="15.75" customHeight="1" s="297">
      <c r="A284" s="190" t="n"/>
      <c r="B284" s="204" t="n"/>
      <c r="C284" s="191" t="n"/>
      <c r="D284" s="205">
        <f>IFERROR(VLOOKUP($C284,'PORTIFÓLIO'!C:V,2,0),"")</f>
        <v/>
      </c>
      <c r="E284" s="190">
        <f>IFERROR(VLOOKUP($C284,'PORTIFÓLIO'!C:V,3,0),"")</f>
        <v/>
      </c>
      <c r="F284" s="190">
        <f>IFERROR(VLOOKUP($C284,'PORTIFÓLIO'!C:V,4,0),"")</f>
        <v/>
      </c>
      <c r="G284" s="206">
        <f>IFERROR(VLOOKUP($C284,'PORTIFÓLIO'!C:V,5,0),"")</f>
        <v/>
      </c>
      <c r="H284" s="247">
        <f t="array" ref="H284">IFERROR(INDEX('PORTIFÓLIO'!$H$4:$H$433,MATCH($C284,'PORTIFÓLIO'!$C$4:$C$433,0)),"")</f>
        <v/>
      </c>
      <c r="I284" s="228" t="n"/>
      <c r="J284" s="209">
        <f>I284*$B$2</f>
        <v/>
      </c>
      <c r="K284" s="248">
        <f t="array" ref="K284">IFERROR(I284*INDEX('PORTIFÓLIO'!$S$4:$S$433,MATCH($C284,'PORTIFÓLIO'!$C$4:$C$433,0)),"")</f>
        <v/>
      </c>
      <c r="L284" s="248">
        <f t="array" ref="L284">IFERROR(J284*INDEX('PORTIFÓLIO'!$S$4:$S$433,MATCH($C284,'PORTIFÓLIO'!$C$4:$C$433,0)),"")</f>
        <v/>
      </c>
      <c r="M284" s="177" t="n"/>
      <c r="N284" s="177" t="n"/>
      <c r="O284" s="177" t="n"/>
      <c r="P284" s="177" t="n"/>
      <c r="Q284" s="177" t="n"/>
      <c r="R284" s="177" t="n"/>
      <c r="S284" s="177" t="n"/>
      <c r="T284" s="177" t="n"/>
      <c r="U284" s="177" t="n"/>
      <c r="V284" s="177" t="n"/>
      <c r="W284" s="177" t="n"/>
      <c r="X284" s="177" t="n"/>
    </row>
    <row r="285" outlineLevel="1" ht="15.75" customHeight="1" s="297">
      <c r="A285" s="190" t="n"/>
      <c r="B285" s="204" t="n"/>
      <c r="C285" s="191" t="n"/>
      <c r="D285" s="205">
        <f>IFERROR(VLOOKUP($C285,'PORTIFÓLIO'!C:V,2,0),"")</f>
        <v/>
      </c>
      <c r="E285" s="190">
        <f>IFERROR(VLOOKUP($C285,'PORTIFÓLIO'!C:V,3,0),"")</f>
        <v/>
      </c>
      <c r="F285" s="190">
        <f>IFERROR(VLOOKUP($C285,'PORTIFÓLIO'!C:V,4,0),"")</f>
        <v/>
      </c>
      <c r="G285" s="206">
        <f>IFERROR(VLOOKUP($C285,'PORTIFÓLIO'!C:V,5,0),"")</f>
        <v/>
      </c>
      <c r="H285" s="247">
        <f t="array" ref="H285">IFERROR(INDEX('PORTIFÓLIO'!$H$4:$H$433,MATCH($C285,'PORTIFÓLIO'!$C$4:$C$433,0)),"")</f>
        <v/>
      </c>
      <c r="I285" s="228" t="n"/>
      <c r="J285" s="209">
        <f>I285*$B$2</f>
        <v/>
      </c>
      <c r="K285" s="248">
        <f t="array" ref="K285">IFERROR(I285*INDEX('PORTIFÓLIO'!$S$4:$S$433,MATCH($C285,'PORTIFÓLIO'!$C$4:$C$433,0)),"")</f>
        <v/>
      </c>
      <c r="L285" s="248">
        <f t="array" ref="L285">IFERROR(J285*INDEX('PORTIFÓLIO'!$S$4:$S$433,MATCH($C285,'PORTIFÓLIO'!$C$4:$C$433,0)),"")</f>
        <v/>
      </c>
      <c r="M285" s="177" t="n"/>
      <c r="N285" s="177" t="n"/>
      <c r="O285" s="177" t="n"/>
      <c r="P285" s="177" t="n"/>
      <c r="Q285" s="177" t="n"/>
      <c r="R285" s="177" t="n"/>
      <c r="S285" s="177" t="n"/>
      <c r="T285" s="177" t="n"/>
      <c r="U285" s="177" t="n"/>
      <c r="V285" s="177" t="n"/>
      <c r="W285" s="177" t="n"/>
      <c r="X285" s="177" t="n"/>
    </row>
    <row r="286" outlineLevel="1" ht="15.75" customHeight="1" s="297">
      <c r="A286" s="190" t="n"/>
      <c r="B286" s="204" t="n"/>
      <c r="C286" s="191" t="n"/>
      <c r="D286" s="205">
        <f>IFERROR(VLOOKUP($C286,'PORTIFÓLIO'!C:V,2,0),"")</f>
        <v/>
      </c>
      <c r="E286" s="190">
        <f>IFERROR(VLOOKUP($C286,'PORTIFÓLIO'!C:V,3,0),"")</f>
        <v/>
      </c>
      <c r="F286" s="190">
        <f>IFERROR(VLOOKUP($C286,'PORTIFÓLIO'!C:V,4,0),"")</f>
        <v/>
      </c>
      <c r="G286" s="206">
        <f>IFERROR(VLOOKUP($C286,'PORTIFÓLIO'!C:V,5,0),"")</f>
        <v/>
      </c>
      <c r="H286" s="247">
        <f t="array" ref="H286">IFERROR(INDEX('PORTIFÓLIO'!$H$4:$H$433,MATCH($C286,'PORTIFÓLIO'!$C$4:$C$433,0)),"")</f>
        <v/>
      </c>
      <c r="I286" s="228" t="n"/>
      <c r="J286" s="209">
        <f>I286*$B$2</f>
        <v/>
      </c>
      <c r="K286" s="248">
        <f t="array" ref="K286">IFERROR(I286*INDEX('PORTIFÓLIO'!$S$4:$S$433,MATCH($C286,'PORTIFÓLIO'!$C$4:$C$433,0)),"")</f>
        <v/>
      </c>
      <c r="L286" s="248">
        <f t="array" ref="L286">IFERROR(J286*INDEX('PORTIFÓLIO'!$S$4:$S$433,MATCH($C286,'PORTIFÓLIO'!$C$4:$C$433,0)),"")</f>
        <v/>
      </c>
      <c r="M286" s="177" t="n"/>
      <c r="N286" s="177" t="n"/>
      <c r="O286" s="177" t="n"/>
      <c r="P286" s="177" t="n"/>
      <c r="Q286" s="177" t="n"/>
      <c r="R286" s="177" t="n"/>
      <c r="S286" s="177" t="n"/>
      <c r="T286" s="177" t="n"/>
      <c r="U286" s="177" t="n"/>
      <c r="V286" s="177" t="n"/>
      <c r="W286" s="177" t="n"/>
      <c r="X286" s="177" t="n"/>
    </row>
    <row r="287" outlineLevel="1" ht="15.75" customHeight="1" s="297">
      <c r="A287" s="190" t="n"/>
      <c r="B287" s="204" t="n"/>
      <c r="C287" s="191" t="n"/>
      <c r="D287" s="205">
        <f>IFERROR(VLOOKUP($C287,'PORTIFÓLIO'!C:V,2,0),"")</f>
        <v/>
      </c>
      <c r="E287" s="190">
        <f>IFERROR(VLOOKUP($C287,'PORTIFÓLIO'!C:V,3,0),"")</f>
        <v/>
      </c>
      <c r="F287" s="190">
        <f>IFERROR(VLOOKUP($C287,'PORTIFÓLIO'!C:V,4,0),"")</f>
        <v/>
      </c>
      <c r="G287" s="206">
        <f>IFERROR(VLOOKUP($C287,'PORTIFÓLIO'!C:V,5,0),"")</f>
        <v/>
      </c>
      <c r="H287" s="247">
        <f t="array" ref="H287">IFERROR(INDEX('PORTIFÓLIO'!$H$4:$H$433,MATCH($C287,'PORTIFÓLIO'!$C$4:$C$433,0)),"")</f>
        <v/>
      </c>
      <c r="I287" s="228" t="n"/>
      <c r="J287" s="209">
        <f>I287*$B$2</f>
        <v/>
      </c>
      <c r="K287" s="248">
        <f t="array" ref="K287">IFERROR(I287*INDEX('PORTIFÓLIO'!$S$4:$S$433,MATCH($C287,'PORTIFÓLIO'!$C$4:$C$433,0)),"")</f>
        <v/>
      </c>
      <c r="L287" s="248">
        <f t="array" ref="L287">IFERROR(J287*INDEX('PORTIFÓLIO'!$S$4:$S$433,MATCH($C287,'PORTIFÓLIO'!$C$4:$C$433,0)),"")</f>
        <v/>
      </c>
      <c r="M287" s="177" t="n"/>
      <c r="N287" s="177" t="n"/>
      <c r="O287" s="177" t="n"/>
      <c r="P287" s="177" t="n"/>
      <c r="Q287" s="177" t="n"/>
      <c r="R287" s="177" t="n"/>
      <c r="S287" s="177" t="n"/>
      <c r="T287" s="177" t="n"/>
      <c r="U287" s="177" t="n"/>
      <c r="V287" s="177" t="n"/>
      <c r="W287" s="177" t="n"/>
      <c r="X287" s="177" t="n"/>
    </row>
    <row r="288" outlineLevel="1" ht="15.75" customHeight="1" s="297">
      <c r="A288" s="190" t="n"/>
      <c r="B288" s="204" t="n"/>
      <c r="C288" s="191" t="n"/>
      <c r="D288" s="205">
        <f>IFERROR(VLOOKUP($C288,'PORTIFÓLIO'!C:V,2,0),"")</f>
        <v/>
      </c>
      <c r="E288" s="190">
        <f>IFERROR(VLOOKUP($C288,'PORTIFÓLIO'!C:V,3,0),"")</f>
        <v/>
      </c>
      <c r="F288" s="190">
        <f>IFERROR(VLOOKUP($C288,'PORTIFÓLIO'!C:V,4,0),"")</f>
        <v/>
      </c>
      <c r="G288" s="206">
        <f>IFERROR(VLOOKUP($C288,'PORTIFÓLIO'!C:V,5,0),"")</f>
        <v/>
      </c>
      <c r="H288" s="247">
        <f t="array" ref="H288">IFERROR(INDEX('PORTIFÓLIO'!$H$4:$H$433,MATCH($C288,'PORTIFÓLIO'!$C$4:$C$433,0)),"")</f>
        <v/>
      </c>
      <c r="I288" s="228" t="n"/>
      <c r="J288" s="209">
        <f>I288*$B$2</f>
        <v/>
      </c>
      <c r="K288" s="248">
        <f t="array" ref="K288">IFERROR(I288*INDEX('PORTIFÓLIO'!$S$4:$S$433,MATCH($C288,'PORTIFÓLIO'!$C$4:$C$433,0)),"")</f>
        <v/>
      </c>
      <c r="L288" s="248">
        <f t="array" ref="L288">IFERROR(J288*INDEX('PORTIFÓLIO'!$S$4:$S$433,MATCH($C288,'PORTIFÓLIO'!$C$4:$C$433,0)),"")</f>
        <v/>
      </c>
      <c r="M288" s="177" t="n"/>
      <c r="N288" s="177" t="n"/>
      <c r="O288" s="177" t="n"/>
      <c r="P288" s="177" t="n"/>
      <c r="Q288" s="177" t="n"/>
      <c r="R288" s="177" t="n"/>
      <c r="S288" s="177" t="n"/>
      <c r="T288" s="177" t="n"/>
      <c r="U288" s="177" t="n"/>
      <c r="V288" s="177" t="n"/>
      <c r="W288" s="177" t="n"/>
      <c r="X288" s="177" t="n"/>
    </row>
    <row r="289" outlineLevel="1" ht="15.75" customHeight="1" s="297">
      <c r="A289" s="190" t="n"/>
      <c r="B289" s="204" t="n"/>
      <c r="C289" s="191" t="n"/>
      <c r="D289" s="205">
        <f>IFERROR(VLOOKUP($C289,'PORTIFÓLIO'!C:V,2,0),"")</f>
        <v/>
      </c>
      <c r="E289" s="190">
        <f>IFERROR(VLOOKUP($C289,'PORTIFÓLIO'!C:V,3,0),"")</f>
        <v/>
      </c>
      <c r="F289" s="190">
        <f>IFERROR(VLOOKUP($C289,'PORTIFÓLIO'!C:V,4,0),"")</f>
        <v/>
      </c>
      <c r="G289" s="206">
        <f>IFERROR(VLOOKUP($C289,'PORTIFÓLIO'!C:V,5,0),"")</f>
        <v/>
      </c>
      <c r="H289" s="247">
        <f t="array" ref="H289">IFERROR(INDEX('PORTIFÓLIO'!$H$4:$H$433,MATCH($C289,'PORTIFÓLIO'!$C$4:$C$433,0)),"")</f>
        <v/>
      </c>
      <c r="I289" s="228" t="n"/>
      <c r="J289" s="209">
        <f>I289*$B$2</f>
        <v/>
      </c>
      <c r="K289" s="248">
        <f t="array" ref="K289">IFERROR(I289*INDEX('PORTIFÓLIO'!$S$4:$S$433,MATCH($C289,'PORTIFÓLIO'!$C$4:$C$433,0)),"")</f>
        <v/>
      </c>
      <c r="L289" s="248">
        <f t="array" ref="L289">IFERROR(J289*INDEX('PORTIFÓLIO'!$S$4:$S$433,MATCH($C289,'PORTIFÓLIO'!$C$4:$C$433,0)),"")</f>
        <v/>
      </c>
      <c r="M289" s="177" t="n"/>
      <c r="N289" s="177" t="n"/>
      <c r="O289" s="177" t="n"/>
      <c r="P289" s="177" t="n"/>
      <c r="Q289" s="177" t="n"/>
      <c r="R289" s="177" t="n"/>
      <c r="S289" s="177" t="n"/>
      <c r="T289" s="177" t="n"/>
      <c r="U289" s="177" t="n"/>
      <c r="V289" s="177" t="n"/>
      <c r="W289" s="177" t="n"/>
      <c r="X289" s="177" t="n"/>
    </row>
    <row r="290" ht="15.75" customHeight="1" s="297">
      <c r="A290" s="221" t="inlineStr">
        <is>
          <t>OPERAÇÃO 4</t>
        </is>
      </c>
      <c r="B290" s="197" t="n"/>
      <c r="C290" s="196" t="n"/>
      <c r="D290" s="198" t="n"/>
      <c r="E290" s="196" t="n"/>
      <c r="F290" s="196" t="n"/>
      <c r="G290" s="199" t="n"/>
      <c r="H290" s="199" t="n"/>
      <c r="I290" s="201" t="n"/>
      <c r="J290" s="202" t="n"/>
      <c r="K290" s="203">
        <f>SUBTOTAL(9,K291:K304)</f>
        <v/>
      </c>
      <c r="L290" s="203">
        <f>SUBTOTAL(9,L291:L304)</f>
        <v/>
      </c>
      <c r="M290" s="177" t="n"/>
      <c r="N290" s="177" t="n"/>
      <c r="O290" s="177" t="n"/>
      <c r="P290" s="177" t="n"/>
      <c r="Q290" s="177" t="n"/>
      <c r="R290" s="177" t="n"/>
      <c r="S290" s="177" t="n"/>
      <c r="T290" s="177" t="n"/>
      <c r="U290" s="177" t="n"/>
      <c r="V290" s="177" t="n"/>
      <c r="W290" s="177" t="n"/>
      <c r="X290" s="177" t="n"/>
    </row>
    <row r="291" outlineLevel="1" ht="15.75" customHeight="1" s="297">
      <c r="A291" s="191" t="n"/>
      <c r="B291" s="204" t="inlineStr">
        <is>
          <t>HERBICIDA</t>
        </is>
      </c>
      <c r="C291" s="191" t="inlineStr">
        <is>
          <t>GESAPRIM GRDA</t>
        </is>
      </c>
      <c r="D291" s="205">
        <f>IFERROR(VLOOKUP($C291,'PORTIFÓLIO'!C:V,2,0),"")</f>
        <v/>
      </c>
      <c r="E291" s="190">
        <f>IFERROR(VLOOKUP($C291,'PORTIFÓLIO'!C:V,3,0),"")</f>
        <v/>
      </c>
      <c r="F291" s="190">
        <f>IFERROR(VLOOKUP($C291,'PORTIFÓLIO'!C:V,4,0),"")</f>
        <v/>
      </c>
      <c r="G291" s="223">
        <f>IFERROR(VLOOKUP($C291,'PORTIFÓLIO'!C:V,5,0),"")</f>
        <v/>
      </c>
      <c r="H291" s="247">
        <f t="array" ref="H291">IFERROR(INDEX('PORTIFÓLIO'!$H$4:$H$433,MATCH($C291,'PORTIFÓLIO'!$C$4:$C$433,0)),"")</f>
        <v/>
      </c>
      <c r="I291" s="208" t="n">
        <v>2</v>
      </c>
      <c r="J291" s="209">
        <f>I291*$B$2</f>
        <v/>
      </c>
      <c r="K291" s="248">
        <f t="array" ref="K291">IFERROR(I291*INDEX('PORTIFÓLIO'!$S$4:$S$433,MATCH($C291,'PORTIFÓLIO'!$C$4:$C$433,0)),"")</f>
        <v/>
      </c>
      <c r="L291" s="248">
        <f t="array" ref="L291">IFERROR(J291*INDEX('PORTIFÓLIO'!$S$4:$S$433,MATCH($C291,'PORTIFÓLIO'!$C$4:$C$433,0)),"")</f>
        <v/>
      </c>
      <c r="M291" s="177" t="n"/>
      <c r="N291" s="177" t="n"/>
      <c r="O291" s="177" t="n"/>
      <c r="P291" s="177" t="n"/>
      <c r="Q291" s="177" t="n"/>
      <c r="R291" s="177" t="n"/>
      <c r="S291" s="177" t="n"/>
      <c r="T291" s="177" t="n"/>
      <c r="U291" s="177" t="n"/>
      <c r="V291" s="177" t="n"/>
      <c r="W291" s="177" t="n"/>
      <c r="X291" s="177" t="n"/>
    </row>
    <row r="292" outlineLevel="1" ht="15.75" customHeight="1" s="297">
      <c r="A292" s="190" t="n"/>
      <c r="B292" s="204" t="inlineStr">
        <is>
          <t>INSETICIDA</t>
        </is>
      </c>
      <c r="C292" s="191" t="inlineStr">
        <is>
          <t>ENGEO PLENO S</t>
        </is>
      </c>
      <c r="D292" s="205">
        <f>IFERROR(VLOOKUP($C292,'PORTIFÓLIO'!C:V,2,0),"")</f>
        <v/>
      </c>
      <c r="E292" s="190">
        <f>IFERROR(VLOOKUP($C292,'PORTIFÓLIO'!C:V,3,0),"")</f>
        <v/>
      </c>
      <c r="F292" s="190">
        <f>IFERROR(VLOOKUP($C292,'PORTIFÓLIO'!C:V,4,0),"")</f>
        <v/>
      </c>
      <c r="G292" s="223">
        <f>IFERROR(VLOOKUP($C292,'PORTIFÓLIO'!C:V,5,0),"")</f>
        <v/>
      </c>
      <c r="H292" s="247">
        <f t="array" ref="H292">IFERROR(INDEX('PORTIFÓLIO'!$H$4:$H$433,MATCH($C292,'PORTIFÓLIO'!$C$4:$C$433,0)),"")</f>
        <v/>
      </c>
      <c r="I292" s="208" t="n">
        <v>0.2</v>
      </c>
      <c r="J292" s="209">
        <f>I292*$B$2</f>
        <v/>
      </c>
      <c r="K292" s="248">
        <f t="array" ref="K292">IFERROR(I292*INDEX('PORTIFÓLIO'!$S$4:$S$433,MATCH($C292,'PORTIFÓLIO'!$C$4:$C$433,0)),"")</f>
        <v/>
      </c>
      <c r="L292" s="248">
        <f t="array" ref="L292">IFERROR(J292*INDEX('PORTIFÓLIO'!$S$4:$S$433,MATCH($C292,'PORTIFÓLIO'!$C$4:$C$433,0)),"")</f>
        <v/>
      </c>
      <c r="M292" s="177" t="n"/>
      <c r="N292" s="177" t="n"/>
      <c r="O292" s="177" t="n"/>
      <c r="P292" s="177" t="n"/>
      <c r="Q292" s="177" t="n"/>
      <c r="R292" s="177" t="n"/>
      <c r="S292" s="177" t="n"/>
      <c r="T292" s="177" t="n"/>
      <c r="U292" s="177" t="n"/>
      <c r="V292" s="177" t="n"/>
      <c r="W292" s="177" t="n"/>
      <c r="X292" s="177" t="n"/>
    </row>
    <row r="293" outlineLevel="1" ht="15.75" customHeight="1" s="297">
      <c r="A293" s="190" t="n"/>
      <c r="B293" s="204" t="inlineStr">
        <is>
          <t>INSETICIDA</t>
        </is>
      </c>
      <c r="C293" s="191" t="inlineStr">
        <is>
          <t>CLORFENAPIR NORTOX</t>
        </is>
      </c>
      <c r="D293" s="205">
        <f>IFERROR(VLOOKUP($C293,'PORTIFÓLIO'!C:V,2,0),"")</f>
        <v/>
      </c>
      <c r="E293" s="190">
        <f>IFERROR(VLOOKUP($C293,'PORTIFÓLIO'!C:V,3,0),"")</f>
        <v/>
      </c>
      <c r="F293" s="190">
        <f>IFERROR(VLOOKUP($C293,'PORTIFÓLIO'!C:V,4,0),"")</f>
        <v/>
      </c>
      <c r="G293" s="223">
        <f>IFERROR(VLOOKUP($C293,'PORTIFÓLIO'!C:V,5,0),"")</f>
        <v/>
      </c>
      <c r="H293" s="247">
        <f t="array" ref="H293">IFERROR(INDEX('PORTIFÓLIO'!$H$4:$H$433,MATCH($C293,'PORTIFÓLIO'!$C$4:$C$433,0)),"")</f>
        <v/>
      </c>
      <c r="I293" s="208" t="n">
        <v>1</v>
      </c>
      <c r="J293" s="209">
        <f>I293*$B$2</f>
        <v/>
      </c>
      <c r="K293" s="248">
        <f t="array" ref="K293">IFERROR(I293*INDEX('PORTIFÓLIO'!$S$4:$S$433,MATCH($C293,'PORTIFÓLIO'!$C$4:$C$433,0)),"")</f>
        <v/>
      </c>
      <c r="L293" s="248">
        <f t="array" ref="L293">IFERROR(J293*INDEX('PORTIFÓLIO'!$S$4:$S$433,MATCH($C293,'PORTIFÓLIO'!$C$4:$C$433,0)),"")</f>
        <v/>
      </c>
      <c r="M293" s="177" t="n"/>
      <c r="N293" s="177" t="n"/>
      <c r="O293" s="177" t="n"/>
      <c r="P293" s="177" t="n"/>
      <c r="Q293" s="177" t="n"/>
      <c r="R293" s="177" t="n"/>
      <c r="S293" s="177" t="n"/>
      <c r="T293" s="177" t="n"/>
      <c r="U293" s="177" t="n"/>
      <c r="V293" s="177" t="n"/>
      <c r="W293" s="177" t="n"/>
      <c r="X293" s="177" t="n"/>
    </row>
    <row r="294" outlineLevel="1" ht="15.75" customHeight="1" s="297">
      <c r="A294" s="190" t="n"/>
      <c r="B294" s="204" t="inlineStr">
        <is>
          <t>FUNGICIDA</t>
        </is>
      </c>
      <c r="C294" s="191" t="inlineStr">
        <is>
          <t>AZIMUT</t>
        </is>
      </c>
      <c r="D294" s="205">
        <f>IFERROR(VLOOKUP($C294,'PORTIFÓLIO'!C:V,2,0),"")</f>
        <v/>
      </c>
      <c r="E294" s="190">
        <f>IFERROR(VLOOKUP($C294,'PORTIFÓLIO'!C:V,3,0),"")</f>
        <v/>
      </c>
      <c r="F294" s="190">
        <f>IFERROR(VLOOKUP($C294,'PORTIFÓLIO'!C:V,4,0),"")</f>
        <v/>
      </c>
      <c r="G294" s="223">
        <f>IFERROR(VLOOKUP($C294,'PORTIFÓLIO'!C:V,5,0),"")</f>
        <v/>
      </c>
      <c r="H294" s="247">
        <f t="array" ref="H294">IFERROR(INDEX('PORTIFÓLIO'!$H$4:$H$433,MATCH($C294,'PORTIFÓLIO'!$C$4:$C$433,0)),"")</f>
        <v/>
      </c>
      <c r="I294" s="208" t="n">
        <v>0.5</v>
      </c>
      <c r="J294" s="209">
        <f>I294*$B$2</f>
        <v/>
      </c>
      <c r="K294" s="248">
        <f t="array" ref="K294">IFERROR(I294*INDEX('PORTIFÓLIO'!$S$4:$S$433,MATCH($C294,'PORTIFÓLIO'!$C$4:$C$433,0)),"")</f>
        <v/>
      </c>
      <c r="L294" s="248">
        <f t="array" ref="L294">IFERROR(J294*INDEX('PORTIFÓLIO'!$S$4:$S$433,MATCH($C294,'PORTIFÓLIO'!$C$4:$C$433,0)),"")</f>
        <v/>
      </c>
      <c r="M294" s="177" t="n"/>
      <c r="N294" s="177" t="n"/>
      <c r="O294" s="177" t="n"/>
      <c r="P294" s="177" t="n"/>
      <c r="Q294" s="177" t="n"/>
      <c r="R294" s="177" t="n"/>
      <c r="S294" s="177" t="n"/>
      <c r="T294" s="177" t="n"/>
      <c r="U294" s="177" t="n"/>
      <c r="V294" s="177" t="n"/>
      <c r="W294" s="177" t="n"/>
      <c r="X294" s="177" t="n"/>
    </row>
    <row r="295" outlineLevel="1" ht="15.75" customHeight="1" s="297">
      <c r="A295" s="190" t="n"/>
      <c r="B295" s="204" t="n"/>
      <c r="C295" s="191" t="n"/>
      <c r="D295" s="205">
        <f>IFERROR(VLOOKUP($C295,'PORTIFÓLIO'!C:V,2,0),"")</f>
        <v/>
      </c>
      <c r="E295" s="190">
        <f>IFERROR(VLOOKUP($C295,'PORTIFÓLIO'!C:V,3,0),"")</f>
        <v/>
      </c>
      <c r="F295" s="190">
        <f>IFERROR(VLOOKUP($C295,'PORTIFÓLIO'!C:V,4,0),"")</f>
        <v/>
      </c>
      <c r="G295" s="206">
        <f>IFERROR(VLOOKUP($C295,'PORTIFÓLIO'!C:V,5,0),"")</f>
        <v/>
      </c>
      <c r="H295" s="247">
        <f t="array" ref="H295">IFERROR(INDEX('PORTIFÓLIO'!$H$4:$H$433,MATCH($C295,'PORTIFÓLIO'!$C$4:$C$433,0)),"")</f>
        <v/>
      </c>
      <c r="I295" s="228" t="n"/>
      <c r="J295" s="209">
        <f>I295*$B$2</f>
        <v/>
      </c>
      <c r="K295" s="248">
        <f t="array" ref="K295">IFERROR(I295*INDEX('PORTIFÓLIO'!$S$4:$S$433,MATCH($C295,'PORTIFÓLIO'!$C$4:$C$433,0)),"")</f>
        <v/>
      </c>
      <c r="L295" s="248">
        <f t="array" ref="L295">IFERROR(J295*INDEX('PORTIFÓLIO'!$S$4:$S$433,MATCH($C295,'PORTIFÓLIO'!$C$4:$C$433,0)),"")</f>
        <v/>
      </c>
      <c r="M295" s="177" t="n"/>
      <c r="N295" s="177" t="n"/>
      <c r="O295" s="177" t="n"/>
      <c r="P295" s="177" t="n"/>
      <c r="Q295" s="177" t="n"/>
      <c r="R295" s="177" t="n"/>
      <c r="S295" s="177" t="n"/>
      <c r="T295" s="177" t="n"/>
      <c r="U295" s="177" t="n"/>
      <c r="V295" s="177" t="n"/>
      <c r="W295" s="177" t="n"/>
      <c r="X295" s="177" t="n"/>
    </row>
    <row r="296" outlineLevel="1" ht="15.75" customHeight="1" s="297">
      <c r="A296" s="190" t="n"/>
      <c r="B296" s="204" t="n"/>
      <c r="C296" s="191" t="n"/>
      <c r="D296" s="205">
        <f>IFERROR(VLOOKUP($C296,'PORTIFÓLIO'!C:V,2,0),"")</f>
        <v/>
      </c>
      <c r="E296" s="190">
        <f>IFERROR(VLOOKUP($C296,'PORTIFÓLIO'!C:V,3,0),"")</f>
        <v/>
      </c>
      <c r="F296" s="190">
        <f>IFERROR(VLOOKUP($C296,'PORTIFÓLIO'!C:V,4,0),"")</f>
        <v/>
      </c>
      <c r="G296" s="206">
        <f>IFERROR(VLOOKUP($C296,'PORTIFÓLIO'!C:V,5,0),"")</f>
        <v/>
      </c>
      <c r="H296" s="247">
        <f t="array" ref="H296">IFERROR(INDEX('PORTIFÓLIO'!$H$4:$H$433,MATCH($C296,'PORTIFÓLIO'!$C$4:$C$433,0)),"")</f>
        <v/>
      </c>
      <c r="I296" s="228" t="n"/>
      <c r="J296" s="209">
        <f>I296*$B$2</f>
        <v/>
      </c>
      <c r="K296" s="248">
        <f t="array" ref="K296">IFERROR(I296*INDEX('PORTIFÓLIO'!$S$4:$S$433,MATCH($C296,'PORTIFÓLIO'!$C$4:$C$433,0)),"")</f>
        <v/>
      </c>
      <c r="L296" s="248">
        <f t="array" ref="L296">IFERROR(J296*INDEX('PORTIFÓLIO'!$S$4:$S$433,MATCH($C296,'PORTIFÓLIO'!$C$4:$C$433,0)),"")</f>
        <v/>
      </c>
      <c r="M296" s="177" t="n"/>
      <c r="N296" s="177" t="n"/>
      <c r="O296" s="177" t="n"/>
      <c r="P296" s="177" t="n"/>
      <c r="Q296" s="177" t="n"/>
      <c r="R296" s="177" t="n"/>
      <c r="S296" s="177" t="n"/>
      <c r="T296" s="177" t="n"/>
      <c r="U296" s="177" t="n"/>
      <c r="V296" s="177" t="n"/>
      <c r="W296" s="177" t="n"/>
      <c r="X296" s="177" t="n"/>
    </row>
    <row r="297" outlineLevel="1" ht="15.75" customHeight="1" s="297">
      <c r="A297" s="190" t="n"/>
      <c r="B297" s="204" t="n"/>
      <c r="C297" s="191" t="n"/>
      <c r="D297" s="205">
        <f>IFERROR(VLOOKUP($C297,'PORTIFÓLIO'!C:V,2,0),"")</f>
        <v/>
      </c>
      <c r="E297" s="190">
        <f>IFERROR(VLOOKUP($C297,'PORTIFÓLIO'!C:V,3,0),"")</f>
        <v/>
      </c>
      <c r="F297" s="190">
        <f>IFERROR(VLOOKUP($C297,'PORTIFÓLIO'!C:V,4,0),"")</f>
        <v/>
      </c>
      <c r="G297" s="206">
        <f>IFERROR(VLOOKUP($C297,'PORTIFÓLIO'!C:V,5,0),"")</f>
        <v/>
      </c>
      <c r="H297" s="247">
        <f t="array" ref="H297">IFERROR(INDEX('PORTIFÓLIO'!$H$4:$H$433,MATCH($C297,'PORTIFÓLIO'!$C$4:$C$433,0)),"")</f>
        <v/>
      </c>
      <c r="I297" s="228" t="n"/>
      <c r="J297" s="209">
        <f>I297*$B$2</f>
        <v/>
      </c>
      <c r="K297" s="248">
        <f t="array" ref="K297">IFERROR(I297*INDEX('PORTIFÓLIO'!$S$4:$S$433,MATCH($C297,'PORTIFÓLIO'!$C$4:$C$433,0)),"")</f>
        <v/>
      </c>
      <c r="L297" s="248">
        <f t="array" ref="L297">IFERROR(J297*INDEX('PORTIFÓLIO'!$S$4:$S$433,MATCH($C297,'PORTIFÓLIO'!$C$4:$C$433,0)),"")</f>
        <v/>
      </c>
      <c r="M297" s="177" t="n"/>
      <c r="N297" s="177" t="n"/>
      <c r="O297" s="177" t="n"/>
      <c r="P297" s="177" t="n"/>
      <c r="Q297" s="177" t="n"/>
      <c r="R297" s="177" t="n"/>
      <c r="S297" s="177" t="n"/>
      <c r="T297" s="177" t="n"/>
      <c r="U297" s="177" t="n"/>
      <c r="V297" s="177" t="n"/>
      <c r="W297" s="177" t="n"/>
      <c r="X297" s="177" t="n"/>
    </row>
    <row r="298" outlineLevel="1" ht="15.75" customHeight="1" s="297">
      <c r="A298" s="190" t="n"/>
      <c r="B298" s="204" t="n"/>
      <c r="C298" s="191" t="n"/>
      <c r="D298" s="205">
        <f>IFERROR(VLOOKUP($C298,'PORTIFÓLIO'!C:V,2,0),"")</f>
        <v/>
      </c>
      <c r="E298" s="190">
        <f>IFERROR(VLOOKUP($C298,'PORTIFÓLIO'!C:V,3,0),"")</f>
        <v/>
      </c>
      <c r="F298" s="190">
        <f>IFERROR(VLOOKUP($C298,'PORTIFÓLIO'!C:V,4,0),"")</f>
        <v/>
      </c>
      <c r="G298" s="206">
        <f>IFERROR(VLOOKUP($C298,'PORTIFÓLIO'!C:V,5,0),"")</f>
        <v/>
      </c>
      <c r="H298" s="247">
        <f t="array" ref="H298">IFERROR(INDEX('PORTIFÓLIO'!$H$4:$H$433,MATCH($C298,'PORTIFÓLIO'!$C$4:$C$433,0)),"")</f>
        <v/>
      </c>
      <c r="I298" s="228" t="n"/>
      <c r="J298" s="209">
        <f>I298*$B$2</f>
        <v/>
      </c>
      <c r="K298" s="248">
        <f t="array" ref="K298">IFERROR(I298*INDEX('PORTIFÓLIO'!$S$4:$S$433,MATCH($C298,'PORTIFÓLIO'!$C$4:$C$433,0)),"")</f>
        <v/>
      </c>
      <c r="L298" s="248">
        <f t="array" ref="L298">IFERROR(J298*INDEX('PORTIFÓLIO'!$S$4:$S$433,MATCH($C298,'PORTIFÓLIO'!$C$4:$C$433,0)),"")</f>
        <v/>
      </c>
      <c r="M298" s="177" t="n"/>
      <c r="N298" s="177" t="n"/>
      <c r="O298" s="177" t="n"/>
      <c r="P298" s="177" t="n"/>
      <c r="Q298" s="177" t="n"/>
      <c r="R298" s="177" t="n"/>
      <c r="S298" s="177" t="n"/>
      <c r="T298" s="177" t="n"/>
      <c r="U298" s="177" t="n"/>
      <c r="V298" s="177" t="n"/>
      <c r="W298" s="177" t="n"/>
      <c r="X298" s="177" t="n"/>
    </row>
    <row r="299" outlineLevel="1" ht="15.75" customHeight="1" s="297">
      <c r="A299" s="190" t="n"/>
      <c r="B299" s="204" t="n"/>
      <c r="C299" s="191" t="n"/>
      <c r="D299" s="205">
        <f>IFERROR(VLOOKUP($C299,'PORTIFÓLIO'!C:V,2,0),"")</f>
        <v/>
      </c>
      <c r="E299" s="190">
        <f>IFERROR(VLOOKUP($C299,'PORTIFÓLIO'!C:V,3,0),"")</f>
        <v/>
      </c>
      <c r="F299" s="190">
        <f>IFERROR(VLOOKUP($C299,'PORTIFÓLIO'!C:V,4,0),"")</f>
        <v/>
      </c>
      <c r="G299" s="206">
        <f>IFERROR(VLOOKUP($C299,'PORTIFÓLIO'!C:V,5,0),"")</f>
        <v/>
      </c>
      <c r="H299" s="247">
        <f t="array" ref="H299">IFERROR(INDEX('PORTIFÓLIO'!$H$4:$H$433,MATCH($C299,'PORTIFÓLIO'!$C$4:$C$433,0)),"")</f>
        <v/>
      </c>
      <c r="I299" s="208" t="n"/>
      <c r="J299" s="209">
        <f>I299*$B$2</f>
        <v/>
      </c>
      <c r="K299" s="248">
        <f t="array" ref="K299">IFERROR(I299*INDEX('PORTIFÓLIO'!$S$4:$S$433,MATCH($C299,'PORTIFÓLIO'!$C$4:$C$433,0)),"")</f>
        <v/>
      </c>
      <c r="L299" s="248">
        <f t="array" ref="L299">IFERROR(J299*INDEX('PORTIFÓLIO'!$S$4:$S$433,MATCH($C299,'PORTIFÓLIO'!$C$4:$C$433,0)),"")</f>
        <v/>
      </c>
      <c r="M299" s="177" t="n"/>
      <c r="N299" s="177" t="n"/>
      <c r="O299" s="177" t="n"/>
      <c r="P299" s="177" t="n"/>
      <c r="Q299" s="177" t="n"/>
      <c r="R299" s="177" t="n"/>
      <c r="S299" s="177" t="n"/>
      <c r="T299" s="177" t="n"/>
      <c r="U299" s="177" t="n"/>
      <c r="V299" s="177" t="n"/>
      <c r="W299" s="177" t="n"/>
      <c r="X299" s="177" t="n"/>
    </row>
    <row r="300" outlineLevel="1" ht="15.75" customHeight="1" s="297">
      <c r="A300" s="190" t="n"/>
      <c r="B300" s="204" t="n"/>
      <c r="C300" s="191" t="n"/>
      <c r="D300" s="205">
        <f>IFERROR(VLOOKUP($C300,'PORTIFÓLIO'!C:V,2,0),"")</f>
        <v/>
      </c>
      <c r="E300" s="190">
        <f>IFERROR(VLOOKUP($C300,'PORTIFÓLIO'!C:V,3,0),"")</f>
        <v/>
      </c>
      <c r="F300" s="190">
        <f>IFERROR(VLOOKUP($C300,'PORTIFÓLIO'!C:V,4,0),"")</f>
        <v/>
      </c>
      <c r="G300" s="206">
        <f>IFERROR(VLOOKUP($C300,'PORTIFÓLIO'!C:V,5,0),"")</f>
        <v/>
      </c>
      <c r="H300" s="247">
        <f t="array" ref="H300">IFERROR(INDEX('PORTIFÓLIO'!$H$4:$H$433,MATCH($C300,'PORTIFÓLIO'!$C$4:$C$433,0)),"")</f>
        <v/>
      </c>
      <c r="I300" s="228" t="n"/>
      <c r="J300" s="209">
        <f>I300*$B$2</f>
        <v/>
      </c>
      <c r="K300" s="248">
        <f t="array" ref="K300">IFERROR(I300*INDEX('PORTIFÓLIO'!$S$4:$S$433,MATCH($C300,'PORTIFÓLIO'!$C$4:$C$433,0)),"")</f>
        <v/>
      </c>
      <c r="L300" s="248">
        <f t="array" ref="L300">IFERROR(J300*INDEX('PORTIFÓLIO'!$S$4:$S$433,MATCH($C300,'PORTIFÓLIO'!$C$4:$C$433,0)),"")</f>
        <v/>
      </c>
      <c r="M300" s="177" t="n"/>
      <c r="N300" s="177" t="n"/>
      <c r="O300" s="177" t="n"/>
      <c r="P300" s="177" t="n"/>
      <c r="Q300" s="177" t="n"/>
      <c r="R300" s="177" t="n"/>
      <c r="S300" s="177" t="n"/>
      <c r="T300" s="177" t="n"/>
      <c r="U300" s="177" t="n"/>
      <c r="V300" s="177" t="n"/>
      <c r="W300" s="177" t="n"/>
      <c r="X300" s="177" t="n"/>
    </row>
    <row r="301" outlineLevel="1" ht="15.75" customHeight="1" s="297">
      <c r="A301" s="190" t="n"/>
      <c r="B301" s="204" t="n"/>
      <c r="C301" s="191" t="n"/>
      <c r="D301" s="205">
        <f>IFERROR(VLOOKUP($C301,'PORTIFÓLIO'!C:V,2,0),"")</f>
        <v/>
      </c>
      <c r="E301" s="190">
        <f>IFERROR(VLOOKUP($C301,'PORTIFÓLIO'!C:V,3,0),"")</f>
        <v/>
      </c>
      <c r="F301" s="190">
        <f>IFERROR(VLOOKUP($C301,'PORTIFÓLIO'!C:V,4,0),"")</f>
        <v/>
      </c>
      <c r="G301" s="206">
        <f>IFERROR(VLOOKUP($C301,'PORTIFÓLIO'!C:V,5,0),"")</f>
        <v/>
      </c>
      <c r="H301" s="247">
        <f t="array" ref="H301">IFERROR(INDEX('PORTIFÓLIO'!$H$4:$H$433,MATCH($C301,'PORTIFÓLIO'!$C$4:$C$433,0)),"")</f>
        <v/>
      </c>
      <c r="I301" s="228" t="n"/>
      <c r="J301" s="209">
        <f>I301*$B$2</f>
        <v/>
      </c>
      <c r="K301" s="248">
        <f t="array" ref="K301">IFERROR(I301*INDEX('PORTIFÓLIO'!$S$4:$S$433,MATCH($C301,'PORTIFÓLIO'!$C$4:$C$433,0)),"")</f>
        <v/>
      </c>
      <c r="L301" s="248">
        <f t="array" ref="L301">IFERROR(J301*INDEX('PORTIFÓLIO'!$S$4:$S$433,MATCH($C301,'PORTIFÓLIO'!$C$4:$C$433,0)),"")</f>
        <v/>
      </c>
      <c r="M301" s="177" t="n"/>
      <c r="N301" s="177" t="n"/>
      <c r="O301" s="177" t="n"/>
      <c r="P301" s="177" t="n"/>
      <c r="Q301" s="177" t="n"/>
      <c r="R301" s="177" t="n"/>
      <c r="S301" s="177" t="n"/>
      <c r="T301" s="177" t="n"/>
      <c r="U301" s="177" t="n"/>
      <c r="V301" s="177" t="n"/>
      <c r="W301" s="177" t="n"/>
      <c r="X301" s="177" t="n"/>
    </row>
    <row r="302" outlineLevel="1" ht="15.75" customHeight="1" s="297">
      <c r="A302" s="190" t="n"/>
      <c r="B302" s="204" t="n"/>
      <c r="C302" s="191" t="n"/>
      <c r="D302" s="205">
        <f>IFERROR(VLOOKUP($C302,'PORTIFÓLIO'!C:V,2,0),"")</f>
        <v/>
      </c>
      <c r="E302" s="190">
        <f>IFERROR(VLOOKUP($C302,'PORTIFÓLIO'!C:V,3,0),"")</f>
        <v/>
      </c>
      <c r="F302" s="190">
        <f>IFERROR(VLOOKUP($C302,'PORTIFÓLIO'!C:V,4,0),"")</f>
        <v/>
      </c>
      <c r="G302" s="206">
        <f>IFERROR(VLOOKUP($C302,'PORTIFÓLIO'!C:V,5,0),"")</f>
        <v/>
      </c>
      <c r="H302" s="247">
        <f t="array" ref="H302">IFERROR(INDEX('PORTIFÓLIO'!$H$4:$H$433,MATCH($C302,'PORTIFÓLIO'!$C$4:$C$433,0)),"")</f>
        <v/>
      </c>
      <c r="I302" s="228" t="n"/>
      <c r="J302" s="209">
        <f>I302*$B$2</f>
        <v/>
      </c>
      <c r="K302" s="248">
        <f t="array" ref="K302">IFERROR(I302*INDEX('PORTIFÓLIO'!$S$4:$S$433,MATCH($C302,'PORTIFÓLIO'!$C$4:$C$433,0)),"")</f>
        <v/>
      </c>
      <c r="L302" s="248">
        <f t="array" ref="L302">IFERROR(J302*INDEX('PORTIFÓLIO'!$S$4:$S$433,MATCH($C302,'PORTIFÓLIO'!$C$4:$C$433,0)),"")</f>
        <v/>
      </c>
      <c r="M302" s="177" t="n"/>
      <c r="N302" s="177" t="n"/>
      <c r="O302" s="177" t="n"/>
      <c r="P302" s="177" t="n"/>
      <c r="Q302" s="177" t="n"/>
      <c r="R302" s="177" t="n"/>
      <c r="S302" s="177" t="n"/>
      <c r="T302" s="177" t="n"/>
      <c r="U302" s="177" t="n"/>
      <c r="V302" s="177" t="n"/>
      <c r="W302" s="177" t="n"/>
      <c r="X302" s="177" t="n"/>
    </row>
    <row r="303" outlineLevel="1" ht="15.75" customHeight="1" s="297">
      <c r="A303" s="190" t="n"/>
      <c r="B303" s="204" t="n"/>
      <c r="C303" s="191" t="n"/>
      <c r="D303" s="205">
        <f>IFERROR(VLOOKUP($C303,'PORTIFÓLIO'!C:V,2,0),"")</f>
        <v/>
      </c>
      <c r="E303" s="190">
        <f>IFERROR(VLOOKUP($C303,'PORTIFÓLIO'!C:V,3,0),"")</f>
        <v/>
      </c>
      <c r="F303" s="190">
        <f>IFERROR(VLOOKUP($C303,'PORTIFÓLIO'!C:V,4,0),"")</f>
        <v/>
      </c>
      <c r="G303" s="206">
        <f>IFERROR(VLOOKUP($C303,'PORTIFÓLIO'!C:V,5,0),"")</f>
        <v/>
      </c>
      <c r="H303" s="247">
        <f t="array" ref="H303">IFERROR(INDEX('PORTIFÓLIO'!$H$4:$H$433,MATCH($C303,'PORTIFÓLIO'!$C$4:$C$433,0)),"")</f>
        <v/>
      </c>
      <c r="I303" s="228" t="n"/>
      <c r="J303" s="209">
        <f>I303*$B$2</f>
        <v/>
      </c>
      <c r="K303" s="248">
        <f t="array" ref="K303">IFERROR(I303*INDEX('PORTIFÓLIO'!$S$4:$S$433,MATCH($C303,'PORTIFÓLIO'!$C$4:$C$433,0)),"")</f>
        <v/>
      </c>
      <c r="L303" s="248">
        <f t="array" ref="L303">IFERROR(J303*INDEX('PORTIFÓLIO'!$S$4:$S$433,MATCH($C303,'PORTIFÓLIO'!$C$4:$C$433,0)),"")</f>
        <v/>
      </c>
      <c r="M303" s="177" t="n"/>
      <c r="N303" s="177" t="n"/>
      <c r="O303" s="177" t="n"/>
      <c r="P303" s="177" t="n"/>
      <c r="Q303" s="177" t="n"/>
      <c r="R303" s="177" t="n"/>
      <c r="S303" s="177" t="n"/>
      <c r="T303" s="177" t="n"/>
      <c r="U303" s="177" t="n"/>
      <c r="V303" s="177" t="n"/>
      <c r="W303" s="177" t="n"/>
      <c r="X303" s="177" t="n"/>
    </row>
    <row r="304" outlineLevel="1" ht="15.75" customHeight="1" s="297">
      <c r="A304" s="190" t="n"/>
      <c r="B304" s="204" t="n"/>
      <c r="C304" s="191" t="n"/>
      <c r="D304" s="205">
        <f>IFERROR(VLOOKUP($C304,'PORTIFÓLIO'!C:V,2,0),"")</f>
        <v/>
      </c>
      <c r="E304" s="190">
        <f>IFERROR(VLOOKUP($C304,'PORTIFÓLIO'!C:V,3,0),"")</f>
        <v/>
      </c>
      <c r="F304" s="190">
        <f>IFERROR(VLOOKUP($C304,'PORTIFÓLIO'!C:V,4,0),"")</f>
        <v/>
      </c>
      <c r="G304" s="206">
        <f>IFERROR(VLOOKUP($C304,'PORTIFÓLIO'!C:V,5,0),"")</f>
        <v/>
      </c>
      <c r="H304" s="247">
        <f t="array" ref="H304">IFERROR(INDEX('PORTIFÓLIO'!$H$4:$H$433,MATCH($C304,'PORTIFÓLIO'!$C$4:$C$433,0)),"")</f>
        <v/>
      </c>
      <c r="I304" s="228" t="n"/>
      <c r="J304" s="209">
        <f>I304*$B$2</f>
        <v/>
      </c>
      <c r="K304" s="248">
        <f t="array" ref="K304">IFERROR(I304*INDEX('PORTIFÓLIO'!$S$4:$S$433,MATCH($C304,'PORTIFÓLIO'!$C$4:$C$433,0)),"")</f>
        <v/>
      </c>
      <c r="L304" s="248">
        <f t="array" ref="L304">IFERROR(J304*INDEX('PORTIFÓLIO'!$S$4:$S$433,MATCH($C304,'PORTIFÓLIO'!$C$4:$C$433,0)),"")</f>
        <v/>
      </c>
      <c r="M304" s="177" t="n"/>
      <c r="N304" s="177" t="n"/>
      <c r="O304" s="177" t="n"/>
      <c r="P304" s="177" t="n"/>
      <c r="Q304" s="177" t="n"/>
      <c r="R304" s="177" t="n"/>
      <c r="S304" s="177" t="n"/>
      <c r="T304" s="177" t="n"/>
      <c r="U304" s="177" t="n"/>
      <c r="V304" s="177" t="n"/>
      <c r="W304" s="177" t="n"/>
      <c r="X304" s="177" t="n"/>
    </row>
    <row r="305" outlineLevel="1" ht="15.75" customHeight="1" s="297">
      <c r="A305" s="190" t="n"/>
      <c r="B305" s="204" t="n"/>
      <c r="C305" s="191" t="n"/>
      <c r="D305" s="205">
        <f>IFERROR(VLOOKUP($C305,'PORTIFÓLIO'!C:V,2,0),"")</f>
        <v/>
      </c>
      <c r="E305" s="190">
        <f>IFERROR(VLOOKUP($C305,'PORTIFÓLIO'!C:V,3,0),"")</f>
        <v/>
      </c>
      <c r="F305" s="190">
        <f>IFERROR(VLOOKUP($C305,'PORTIFÓLIO'!C:V,4,0),"")</f>
        <v/>
      </c>
      <c r="G305" s="206">
        <f>IFERROR(VLOOKUP($C305,'PORTIFÓLIO'!C:V,5,0),"")</f>
        <v/>
      </c>
      <c r="H305" s="247">
        <f t="array" ref="H305">IFERROR(INDEX('PORTIFÓLIO'!$H$4:$H$433,MATCH($C305,'PORTIFÓLIO'!$C$4:$C$433,0)),"")</f>
        <v/>
      </c>
      <c r="I305" s="228" t="n"/>
      <c r="J305" s="209">
        <f>I305*$B$2</f>
        <v/>
      </c>
      <c r="K305" s="248">
        <f t="array" ref="K305">IFERROR(I305*INDEX('PORTIFÓLIO'!$S$4:$S$433,MATCH($C305,'PORTIFÓLIO'!$C$4:$C$433,0)),"")</f>
        <v/>
      </c>
      <c r="L305" s="248">
        <f t="array" ref="L305">IFERROR(J305*INDEX('PORTIFÓLIO'!$S$4:$S$433,MATCH($C305,'PORTIFÓLIO'!$C$4:$C$433,0)),"")</f>
        <v/>
      </c>
      <c r="M305" s="177" t="n"/>
      <c r="N305" s="177" t="n"/>
      <c r="O305" s="177" t="n"/>
      <c r="P305" s="177" t="n"/>
      <c r="Q305" s="177" t="n"/>
      <c r="R305" s="177" t="n"/>
      <c r="S305" s="177" t="n"/>
      <c r="T305" s="177" t="n"/>
      <c r="U305" s="177" t="n"/>
      <c r="V305" s="177" t="n"/>
      <c r="W305" s="177" t="n"/>
      <c r="X305" s="177" t="n"/>
    </row>
    <row r="306" outlineLevel="1" ht="15.75" customHeight="1" s="297">
      <c r="A306" s="190" t="n"/>
      <c r="B306" s="204" t="n"/>
      <c r="C306" s="191" t="n"/>
      <c r="D306" s="205">
        <f>IFERROR(VLOOKUP($C306,'PORTIFÓLIO'!C:V,2,0),"")</f>
        <v/>
      </c>
      <c r="E306" s="190">
        <f>IFERROR(VLOOKUP($C306,'PORTIFÓLIO'!C:V,3,0),"")</f>
        <v/>
      </c>
      <c r="F306" s="190">
        <f>IFERROR(VLOOKUP($C306,'PORTIFÓLIO'!C:V,4,0),"")</f>
        <v/>
      </c>
      <c r="G306" s="206">
        <f>IFERROR(VLOOKUP($C306,'PORTIFÓLIO'!C:V,5,0),"")</f>
        <v/>
      </c>
      <c r="H306" s="247">
        <f t="array" ref="H306">IFERROR(INDEX('PORTIFÓLIO'!$H$4:$H$433,MATCH($C306,'PORTIFÓLIO'!$C$4:$C$433,0)),"")</f>
        <v/>
      </c>
      <c r="I306" s="228" t="n"/>
      <c r="J306" s="209">
        <f>I306*$B$2</f>
        <v/>
      </c>
      <c r="K306" s="248">
        <f t="array" ref="K306">IFERROR(I306*INDEX('PORTIFÓLIO'!$S$4:$S$433,MATCH($C306,'PORTIFÓLIO'!$C$4:$C$433,0)),"")</f>
        <v/>
      </c>
      <c r="L306" s="248">
        <f t="array" ref="L306">IFERROR(J306*INDEX('PORTIFÓLIO'!$S$4:$S$433,MATCH($C306,'PORTIFÓLIO'!$C$4:$C$433,0)),"")</f>
        <v/>
      </c>
      <c r="M306" s="177" t="n"/>
      <c r="N306" s="177" t="n"/>
      <c r="O306" s="177" t="n"/>
      <c r="P306" s="177" t="n"/>
      <c r="Q306" s="177" t="n"/>
      <c r="R306" s="177" t="n"/>
      <c r="S306" s="177" t="n"/>
      <c r="T306" s="177" t="n"/>
      <c r="U306" s="177" t="n"/>
      <c r="V306" s="177" t="n"/>
      <c r="W306" s="177" t="n"/>
      <c r="X306" s="177" t="n"/>
    </row>
    <row r="307" outlineLevel="1" ht="15.75" customHeight="1" s="297">
      <c r="A307" s="190" t="n"/>
      <c r="B307" s="204" t="n"/>
      <c r="C307" s="191" t="n"/>
      <c r="D307" s="205">
        <f>IFERROR(VLOOKUP($C307,'PORTIFÓLIO'!C:V,2,0),"")</f>
        <v/>
      </c>
      <c r="E307" s="190">
        <f>IFERROR(VLOOKUP($C307,'PORTIFÓLIO'!C:V,3,0),"")</f>
        <v/>
      </c>
      <c r="F307" s="190">
        <f>IFERROR(VLOOKUP($C307,'PORTIFÓLIO'!C:V,4,0),"")</f>
        <v/>
      </c>
      <c r="G307" s="206">
        <f>IFERROR(VLOOKUP($C307,'PORTIFÓLIO'!C:V,5,0),"")</f>
        <v/>
      </c>
      <c r="H307" s="247">
        <f t="array" ref="H307">IFERROR(INDEX('PORTIFÓLIO'!$H$4:$H$433,MATCH($C307,'PORTIFÓLIO'!$C$4:$C$433,0)),"")</f>
        <v/>
      </c>
      <c r="I307" s="228" t="n"/>
      <c r="J307" s="209">
        <f>I307*$B$2</f>
        <v/>
      </c>
      <c r="K307" s="248">
        <f t="array" ref="K307">IFERROR(I307*INDEX('PORTIFÓLIO'!$S$4:$S$433,MATCH($C307,'PORTIFÓLIO'!$C$4:$C$433,0)),"")</f>
        <v/>
      </c>
      <c r="L307" s="248">
        <f t="array" ref="L307">IFERROR(J307*INDEX('PORTIFÓLIO'!$S$4:$S$433,MATCH($C307,'PORTIFÓLIO'!$C$4:$C$433,0)),"")</f>
        <v/>
      </c>
      <c r="M307" s="177" t="n"/>
      <c r="N307" s="177" t="n"/>
      <c r="O307" s="177" t="n"/>
      <c r="P307" s="177" t="n"/>
      <c r="Q307" s="177" t="n"/>
      <c r="R307" s="177" t="n"/>
      <c r="S307" s="177" t="n"/>
      <c r="T307" s="177" t="n"/>
      <c r="U307" s="177" t="n"/>
      <c r="V307" s="177" t="n"/>
      <c r="W307" s="177" t="n"/>
      <c r="X307" s="177" t="n"/>
    </row>
    <row r="308" ht="15.75" customHeight="1" s="297">
      <c r="A308" s="221" t="inlineStr">
        <is>
          <t>OPERAÇÃO 5</t>
        </is>
      </c>
      <c r="B308" s="197" t="n"/>
      <c r="C308" s="196" t="n"/>
      <c r="D308" s="198" t="n"/>
      <c r="E308" s="196" t="n"/>
      <c r="F308" s="196" t="n"/>
      <c r="G308" s="199" t="n"/>
      <c r="H308" s="199" t="n"/>
      <c r="I308" s="201" t="n"/>
      <c r="J308" s="202" t="n"/>
      <c r="K308" s="203">
        <f>SUBTOTAL(9,K309:K322)</f>
        <v/>
      </c>
      <c r="L308" s="203">
        <f>SUBTOTAL(9,L309:L322)</f>
        <v/>
      </c>
      <c r="M308" s="177" t="n"/>
      <c r="N308" s="177" t="n"/>
      <c r="O308" s="177" t="n"/>
      <c r="P308" s="177" t="n"/>
      <c r="Q308" s="177" t="n"/>
      <c r="R308" s="177" t="n"/>
      <c r="S308" s="177" t="n"/>
      <c r="T308" s="177" t="n"/>
      <c r="U308" s="177" t="n"/>
      <c r="V308" s="177" t="n"/>
      <c r="W308" s="177" t="n"/>
      <c r="X308" s="177" t="n"/>
    </row>
    <row r="309" outlineLevel="1" ht="15.75" customHeight="1" s="297">
      <c r="A309" s="191" t="n"/>
      <c r="B309" s="204" t="n"/>
      <c r="C309" s="191" t="n"/>
      <c r="D309" s="205">
        <f>IFERROR(VLOOKUP($C309,'PORTIFÓLIO'!C:V,2,0),"")</f>
        <v/>
      </c>
      <c r="E309" s="190">
        <f>IFERROR(VLOOKUP($C309,'PORTIFÓLIO'!C:V,3,0),"")</f>
        <v/>
      </c>
      <c r="F309" s="190">
        <f>IFERROR(VLOOKUP($C309,'PORTIFÓLIO'!C:V,4,0),"")</f>
        <v/>
      </c>
      <c r="G309" s="206">
        <f>IFERROR(VLOOKUP($C309,'PORTIFÓLIO'!C:V,5,0),"")</f>
        <v/>
      </c>
      <c r="H309" s="247">
        <f t="array" ref="H309">IFERROR(INDEX('PORTIFÓLIO'!$H$4:$H$433,MATCH($C309,'PORTIFÓLIO'!$C$4:$C$433,0)),"")</f>
        <v/>
      </c>
      <c r="I309" s="208" t="n"/>
      <c r="J309" s="209">
        <f>I309*$B$2</f>
        <v/>
      </c>
      <c r="K309" s="248">
        <f t="array" ref="K309">IFERROR(I309*INDEX('PORTIFÓLIO'!$S$4:$S$433,MATCH($C309,'PORTIFÓLIO'!$C$4:$C$433,0)),"")</f>
        <v/>
      </c>
      <c r="L309" s="248">
        <f t="array" ref="L309">IFERROR(J309*INDEX('PORTIFÓLIO'!$S$4:$S$433,MATCH($C309,'PORTIFÓLIO'!$C$4:$C$433,0)),"")</f>
        <v/>
      </c>
      <c r="M309" s="177" t="n"/>
      <c r="N309" s="177" t="n"/>
      <c r="O309" s="177" t="n"/>
      <c r="P309" s="177" t="n"/>
      <c r="Q309" s="177" t="n"/>
      <c r="R309" s="177" t="n"/>
      <c r="S309" s="177" t="n"/>
      <c r="T309" s="177" t="n"/>
      <c r="U309" s="177" t="n"/>
      <c r="V309" s="177" t="n"/>
      <c r="W309" s="177" t="n"/>
      <c r="X309" s="177" t="n"/>
    </row>
    <row r="310" outlineLevel="1" ht="15.75" customHeight="1" s="297">
      <c r="A310" s="190" t="n"/>
      <c r="B310" s="204" t="n"/>
      <c r="C310" s="191" t="n"/>
      <c r="D310" s="205">
        <f>IFERROR(VLOOKUP($C310,'PORTIFÓLIO'!C:V,2,0),"")</f>
        <v/>
      </c>
      <c r="E310" s="190">
        <f>IFERROR(VLOOKUP($C310,'PORTIFÓLIO'!C:V,3,0),"")</f>
        <v/>
      </c>
      <c r="F310" s="190">
        <f>IFERROR(VLOOKUP($C310,'PORTIFÓLIO'!C:V,4,0),"")</f>
        <v/>
      </c>
      <c r="G310" s="206">
        <f>IFERROR(VLOOKUP($C310,'PORTIFÓLIO'!C:V,5,0),"")</f>
        <v/>
      </c>
      <c r="H310" s="247">
        <f t="array" ref="H310">IFERROR(INDEX('PORTIFÓLIO'!$H$4:$H$433,MATCH($C310,'PORTIFÓLIO'!$C$4:$C$433,0)),"")</f>
        <v/>
      </c>
      <c r="I310" s="228" t="n"/>
      <c r="J310" s="209">
        <f>I310*$B$2</f>
        <v/>
      </c>
      <c r="K310" s="248">
        <f t="array" ref="K310">IFERROR(I310*INDEX('PORTIFÓLIO'!$S$4:$S$433,MATCH($C310,'PORTIFÓLIO'!$C$4:$C$433,0)),"")</f>
        <v/>
      </c>
      <c r="L310" s="248">
        <f t="array" ref="L310">IFERROR(J310*INDEX('PORTIFÓLIO'!$S$4:$S$433,MATCH($C310,'PORTIFÓLIO'!$C$4:$C$433,0)),"")</f>
        <v/>
      </c>
      <c r="M310" s="177" t="n"/>
      <c r="N310" s="177" t="n"/>
      <c r="O310" s="177" t="n"/>
      <c r="P310" s="177" t="n"/>
      <c r="Q310" s="177" t="n"/>
      <c r="R310" s="177" t="n"/>
      <c r="S310" s="177" t="n"/>
      <c r="T310" s="177" t="n"/>
      <c r="U310" s="177" t="n"/>
      <c r="V310" s="177" t="n"/>
      <c r="W310" s="177" t="n"/>
      <c r="X310" s="177" t="n"/>
    </row>
    <row r="311" outlineLevel="1" ht="15.75" customHeight="1" s="297">
      <c r="A311" s="190" t="n"/>
      <c r="B311" s="204" t="n"/>
      <c r="C311" s="191" t="n"/>
      <c r="D311" s="205">
        <f>IFERROR(VLOOKUP($C311,'PORTIFÓLIO'!C:V,2,0),"")</f>
        <v/>
      </c>
      <c r="E311" s="190">
        <f>IFERROR(VLOOKUP($C311,'PORTIFÓLIO'!C:V,3,0),"")</f>
        <v/>
      </c>
      <c r="F311" s="190">
        <f>IFERROR(VLOOKUP($C311,'PORTIFÓLIO'!C:V,4,0),"")</f>
        <v/>
      </c>
      <c r="G311" s="206">
        <f>IFERROR(VLOOKUP($C311,'PORTIFÓLIO'!C:V,5,0),"")</f>
        <v/>
      </c>
      <c r="H311" s="247">
        <f t="array" ref="H311">IFERROR(INDEX('PORTIFÓLIO'!$H$4:$H$433,MATCH($C311,'PORTIFÓLIO'!$C$4:$C$433,0)),"")</f>
        <v/>
      </c>
      <c r="I311" s="228" t="n"/>
      <c r="J311" s="209">
        <f>I311*$B$2</f>
        <v/>
      </c>
      <c r="K311" s="248">
        <f t="array" ref="K311">IFERROR(I311*INDEX('PORTIFÓLIO'!$S$4:$S$433,MATCH($C311,'PORTIFÓLIO'!$C$4:$C$433,0)),"")</f>
        <v/>
      </c>
      <c r="L311" s="248">
        <f t="array" ref="L311">IFERROR(J311*INDEX('PORTIFÓLIO'!$S$4:$S$433,MATCH($C311,'PORTIFÓLIO'!$C$4:$C$433,0)),"")</f>
        <v/>
      </c>
      <c r="M311" s="177" t="n"/>
      <c r="N311" s="177" t="n"/>
      <c r="O311" s="177" t="n"/>
      <c r="P311" s="177" t="n"/>
      <c r="Q311" s="177" t="n"/>
      <c r="R311" s="177" t="n"/>
      <c r="S311" s="177" t="n"/>
      <c r="T311" s="177" t="n"/>
      <c r="U311" s="177" t="n"/>
      <c r="V311" s="177" t="n"/>
      <c r="W311" s="177" t="n"/>
      <c r="X311" s="177" t="n"/>
    </row>
    <row r="312" outlineLevel="1" ht="15.75" customHeight="1" s="297">
      <c r="A312" s="190" t="n"/>
      <c r="B312" s="204" t="n"/>
      <c r="C312" s="191" t="n"/>
      <c r="D312" s="205">
        <f>IFERROR(VLOOKUP($C312,'PORTIFÓLIO'!C:V,2,0),"")</f>
        <v/>
      </c>
      <c r="E312" s="190">
        <f>IFERROR(VLOOKUP($C312,'PORTIFÓLIO'!C:V,3,0),"")</f>
        <v/>
      </c>
      <c r="F312" s="190">
        <f>IFERROR(VLOOKUP($C312,'PORTIFÓLIO'!C:V,4,0),"")</f>
        <v/>
      </c>
      <c r="G312" s="206">
        <f>IFERROR(VLOOKUP($C312,'PORTIFÓLIO'!C:V,5,0),"")</f>
        <v/>
      </c>
      <c r="H312" s="247">
        <f t="array" ref="H312">IFERROR(INDEX('PORTIFÓLIO'!$H$4:$H$433,MATCH($C312,'PORTIFÓLIO'!$C$4:$C$433,0)),"")</f>
        <v/>
      </c>
      <c r="I312" s="228" t="n"/>
      <c r="J312" s="209">
        <f>I312*$B$2</f>
        <v/>
      </c>
      <c r="K312" s="248">
        <f t="array" ref="K312">IFERROR(I312*INDEX('PORTIFÓLIO'!$S$4:$S$433,MATCH($C312,'PORTIFÓLIO'!$C$4:$C$433,0)),"")</f>
        <v/>
      </c>
      <c r="L312" s="248">
        <f t="array" ref="L312">IFERROR(J312*INDEX('PORTIFÓLIO'!$S$4:$S$433,MATCH($C312,'PORTIFÓLIO'!$C$4:$C$433,0)),"")</f>
        <v/>
      </c>
      <c r="M312" s="177" t="n"/>
      <c r="N312" s="177" t="n"/>
      <c r="O312" s="177" t="n"/>
      <c r="P312" s="177" t="n"/>
      <c r="Q312" s="177" t="n"/>
      <c r="R312" s="177" t="n"/>
      <c r="S312" s="177" t="n"/>
      <c r="T312" s="177" t="n"/>
      <c r="U312" s="177" t="n"/>
      <c r="V312" s="177" t="n"/>
      <c r="W312" s="177" t="n"/>
      <c r="X312" s="177" t="n"/>
    </row>
    <row r="313" outlineLevel="1" ht="15.75" customHeight="1" s="297">
      <c r="A313" s="190" t="n"/>
      <c r="B313" s="204" t="n"/>
      <c r="C313" s="191" t="n"/>
      <c r="D313" s="205">
        <f>IFERROR(VLOOKUP($C313,'PORTIFÓLIO'!C:V,2,0),"")</f>
        <v/>
      </c>
      <c r="E313" s="190">
        <f>IFERROR(VLOOKUP($C313,'PORTIFÓLIO'!C:V,3,0),"")</f>
        <v/>
      </c>
      <c r="F313" s="190">
        <f>IFERROR(VLOOKUP($C313,'PORTIFÓLIO'!C:V,4,0),"")</f>
        <v/>
      </c>
      <c r="G313" s="206">
        <f>IFERROR(VLOOKUP($C313,'PORTIFÓLIO'!C:V,5,0),"")</f>
        <v/>
      </c>
      <c r="H313" s="247">
        <f t="array" ref="H313">IFERROR(INDEX('PORTIFÓLIO'!$H$4:$H$433,MATCH($C313,'PORTIFÓLIO'!$C$4:$C$433,0)),"")</f>
        <v/>
      </c>
      <c r="I313" s="228" t="n"/>
      <c r="J313" s="209">
        <f>I313*$B$2</f>
        <v/>
      </c>
      <c r="K313" s="248">
        <f t="array" ref="K313">IFERROR(I313*INDEX('PORTIFÓLIO'!$S$4:$S$433,MATCH($C313,'PORTIFÓLIO'!$C$4:$C$433,0)),"")</f>
        <v/>
      </c>
      <c r="L313" s="248">
        <f t="array" ref="L313">IFERROR(J313*INDEX('PORTIFÓLIO'!$S$4:$S$433,MATCH($C313,'PORTIFÓLIO'!$C$4:$C$433,0)),"")</f>
        <v/>
      </c>
      <c r="M313" s="177" t="n"/>
      <c r="N313" s="177" t="n"/>
      <c r="O313" s="177" t="n"/>
      <c r="P313" s="177" t="n"/>
      <c r="Q313" s="177" t="n"/>
      <c r="R313" s="177" t="n"/>
      <c r="S313" s="177" t="n"/>
      <c r="T313" s="177" t="n"/>
      <c r="U313" s="177" t="n"/>
      <c r="V313" s="177" t="n"/>
      <c r="W313" s="177" t="n"/>
      <c r="X313" s="177" t="n"/>
    </row>
    <row r="314" outlineLevel="1" ht="15.75" customHeight="1" s="297">
      <c r="A314" s="190" t="n"/>
      <c r="B314" s="204" t="n"/>
      <c r="C314" s="191" t="n"/>
      <c r="D314" s="205">
        <f>IFERROR(VLOOKUP($C314,'PORTIFÓLIO'!C:V,2,0),"")</f>
        <v/>
      </c>
      <c r="E314" s="190">
        <f>IFERROR(VLOOKUP($C314,'PORTIFÓLIO'!C:V,3,0),"")</f>
        <v/>
      </c>
      <c r="F314" s="190">
        <f>IFERROR(VLOOKUP($C314,'PORTIFÓLIO'!C:V,4,0),"")</f>
        <v/>
      </c>
      <c r="G314" s="206">
        <f>IFERROR(VLOOKUP($C314,'PORTIFÓLIO'!C:V,5,0),"")</f>
        <v/>
      </c>
      <c r="H314" s="247">
        <f t="array" ref="H314">IFERROR(INDEX('PORTIFÓLIO'!$H$4:$H$433,MATCH($C314,'PORTIFÓLIO'!$C$4:$C$433,0)),"")</f>
        <v/>
      </c>
      <c r="I314" s="228" t="n"/>
      <c r="J314" s="209">
        <f>I314*$B$2</f>
        <v/>
      </c>
      <c r="K314" s="248">
        <f t="array" ref="K314">IFERROR(I314*INDEX('PORTIFÓLIO'!$S$4:$S$433,MATCH($C314,'PORTIFÓLIO'!$C$4:$C$433,0)),"")</f>
        <v/>
      </c>
      <c r="L314" s="248">
        <f t="array" ref="L314">IFERROR(J314*INDEX('PORTIFÓLIO'!$S$4:$S$433,MATCH($C314,'PORTIFÓLIO'!$C$4:$C$433,0)),"")</f>
        <v/>
      </c>
      <c r="M314" s="177" t="n"/>
      <c r="N314" s="177" t="n"/>
      <c r="O314" s="177" t="n"/>
      <c r="P314" s="177" t="n"/>
      <c r="Q314" s="177" t="n"/>
      <c r="R314" s="177" t="n"/>
      <c r="S314" s="177" t="n"/>
      <c r="T314" s="177" t="n"/>
      <c r="U314" s="177" t="n"/>
      <c r="V314" s="177" t="n"/>
      <c r="W314" s="177" t="n"/>
      <c r="X314" s="177" t="n"/>
    </row>
    <row r="315" outlineLevel="1" ht="15.75" customHeight="1" s="297">
      <c r="A315" s="190" t="n"/>
      <c r="B315" s="204" t="n"/>
      <c r="C315" s="191" t="n"/>
      <c r="D315" s="205">
        <f>IFERROR(VLOOKUP($C315,'PORTIFÓLIO'!C:V,2,0),"")</f>
        <v/>
      </c>
      <c r="E315" s="190">
        <f>IFERROR(VLOOKUP($C315,'PORTIFÓLIO'!C:V,3,0),"")</f>
        <v/>
      </c>
      <c r="F315" s="190">
        <f>IFERROR(VLOOKUP($C315,'PORTIFÓLIO'!C:V,4,0),"")</f>
        <v/>
      </c>
      <c r="G315" s="206">
        <f>IFERROR(VLOOKUP($C315,'PORTIFÓLIO'!C:V,5,0),"")</f>
        <v/>
      </c>
      <c r="H315" s="247">
        <f t="array" ref="H315">IFERROR(INDEX('PORTIFÓLIO'!$H$4:$H$433,MATCH($C315,'PORTIFÓLIO'!$C$4:$C$433,0)),"")</f>
        <v/>
      </c>
      <c r="I315" s="228" t="n"/>
      <c r="J315" s="209">
        <f>I315*$B$2</f>
        <v/>
      </c>
      <c r="K315" s="248">
        <f t="array" ref="K315">IFERROR(I315*INDEX('PORTIFÓLIO'!$S$4:$S$433,MATCH($C315,'PORTIFÓLIO'!$C$4:$C$433,0)),"")</f>
        <v/>
      </c>
      <c r="L315" s="248">
        <f t="array" ref="L315">IFERROR(J315*INDEX('PORTIFÓLIO'!$S$4:$S$433,MATCH($C315,'PORTIFÓLIO'!$C$4:$C$433,0)),"")</f>
        <v/>
      </c>
      <c r="M315" s="177" t="n"/>
      <c r="N315" s="177" t="n"/>
      <c r="O315" s="177" t="n"/>
      <c r="P315" s="177" t="n"/>
      <c r="Q315" s="177" t="n"/>
      <c r="R315" s="177" t="n"/>
      <c r="S315" s="177" t="n"/>
      <c r="T315" s="177" t="n"/>
      <c r="U315" s="177" t="n"/>
      <c r="V315" s="177" t="n"/>
      <c r="W315" s="177" t="n"/>
      <c r="X315" s="177" t="n"/>
    </row>
    <row r="316" outlineLevel="1" ht="15.75" customHeight="1" s="297">
      <c r="A316" s="190" t="n"/>
      <c r="B316" s="204" t="n"/>
      <c r="C316" s="191" t="n"/>
      <c r="D316" s="205">
        <f>IFERROR(VLOOKUP($C316,'PORTIFÓLIO'!C:V,2,0),"")</f>
        <v/>
      </c>
      <c r="E316" s="190">
        <f>IFERROR(VLOOKUP($C316,'PORTIFÓLIO'!C:V,3,0),"")</f>
        <v/>
      </c>
      <c r="F316" s="190">
        <f>IFERROR(VLOOKUP($C316,'PORTIFÓLIO'!C:V,4,0),"")</f>
        <v/>
      </c>
      <c r="G316" s="206">
        <f>IFERROR(VLOOKUP($C316,'PORTIFÓLIO'!C:V,5,0),"")</f>
        <v/>
      </c>
      <c r="H316" s="247">
        <f t="array" ref="H316">IFERROR(INDEX('PORTIFÓLIO'!$H$4:$H$433,MATCH($C316,'PORTIFÓLIO'!$C$4:$C$433,0)),"")</f>
        <v/>
      </c>
      <c r="I316" s="228" t="n"/>
      <c r="J316" s="209">
        <f>I316*$B$2</f>
        <v/>
      </c>
      <c r="K316" s="248">
        <f t="array" ref="K316">IFERROR(I316*INDEX('PORTIFÓLIO'!$S$4:$S$433,MATCH($C316,'PORTIFÓLIO'!$C$4:$C$433,0)),"")</f>
        <v/>
      </c>
      <c r="L316" s="248">
        <f t="array" ref="L316">IFERROR(J316*INDEX('PORTIFÓLIO'!$S$4:$S$433,MATCH($C316,'PORTIFÓLIO'!$C$4:$C$433,0)),"")</f>
        <v/>
      </c>
      <c r="M316" s="177" t="n"/>
      <c r="N316" s="177" t="n"/>
      <c r="O316" s="177" t="n"/>
      <c r="P316" s="177" t="n"/>
      <c r="Q316" s="177" t="n"/>
      <c r="R316" s="177" t="n"/>
      <c r="S316" s="177" t="n"/>
      <c r="T316" s="177" t="n"/>
      <c r="U316" s="177" t="n"/>
      <c r="V316" s="177" t="n"/>
      <c r="W316" s="177" t="n"/>
      <c r="X316" s="177" t="n"/>
    </row>
    <row r="317" outlineLevel="1" ht="15.75" customHeight="1" s="297">
      <c r="A317" s="190" t="n"/>
      <c r="B317" s="204" t="n"/>
      <c r="C317" s="191" t="n"/>
      <c r="D317" s="205">
        <f>IFERROR(VLOOKUP($C317,'PORTIFÓLIO'!C:V,2,0),"")</f>
        <v/>
      </c>
      <c r="E317" s="190">
        <f>IFERROR(VLOOKUP($C317,'PORTIFÓLIO'!C:V,3,0),"")</f>
        <v/>
      </c>
      <c r="F317" s="190">
        <f>IFERROR(VLOOKUP($C317,'PORTIFÓLIO'!C:V,4,0),"")</f>
        <v/>
      </c>
      <c r="G317" s="206">
        <f>IFERROR(VLOOKUP($C317,'PORTIFÓLIO'!C:V,5,0),"")</f>
        <v/>
      </c>
      <c r="H317" s="247">
        <f t="array" ref="H317">IFERROR(INDEX('PORTIFÓLIO'!$H$4:$H$433,MATCH($C317,'PORTIFÓLIO'!$C$4:$C$433,0)),"")</f>
        <v/>
      </c>
      <c r="I317" s="208" t="n"/>
      <c r="J317" s="209">
        <f>I317*$B$2</f>
        <v/>
      </c>
      <c r="K317" s="248">
        <f t="array" ref="K317">IFERROR(I317*INDEX('PORTIFÓLIO'!$S$4:$S$433,MATCH($C317,'PORTIFÓLIO'!$C$4:$C$433,0)),"")</f>
        <v/>
      </c>
      <c r="L317" s="248">
        <f t="array" ref="L317">IFERROR(J317*INDEX('PORTIFÓLIO'!$S$4:$S$433,MATCH($C317,'PORTIFÓLIO'!$C$4:$C$433,0)),"")</f>
        <v/>
      </c>
      <c r="M317" s="177" t="n"/>
      <c r="N317" s="177" t="n"/>
      <c r="O317" s="177" t="n"/>
      <c r="P317" s="177" t="n"/>
      <c r="Q317" s="177" t="n"/>
      <c r="R317" s="177" t="n"/>
      <c r="S317" s="177" t="n"/>
      <c r="T317" s="177" t="n"/>
      <c r="U317" s="177" t="n"/>
      <c r="V317" s="177" t="n"/>
      <c r="W317" s="177" t="n"/>
      <c r="X317" s="177" t="n"/>
    </row>
    <row r="318" outlineLevel="1" ht="15.75" customHeight="1" s="297">
      <c r="A318" s="190" t="n"/>
      <c r="B318" s="204" t="n"/>
      <c r="C318" s="191" t="n"/>
      <c r="D318" s="205">
        <f>IFERROR(VLOOKUP($C318,'PORTIFÓLIO'!C:V,2,0),"")</f>
        <v/>
      </c>
      <c r="E318" s="190">
        <f>IFERROR(VLOOKUP($C318,'PORTIFÓLIO'!C:V,3,0),"")</f>
        <v/>
      </c>
      <c r="F318" s="190">
        <f>IFERROR(VLOOKUP($C318,'PORTIFÓLIO'!C:V,4,0),"")</f>
        <v/>
      </c>
      <c r="G318" s="206">
        <f>IFERROR(VLOOKUP($C318,'PORTIFÓLIO'!C:V,5,0),"")</f>
        <v/>
      </c>
      <c r="H318" s="247">
        <f t="array" ref="H318">IFERROR(INDEX('PORTIFÓLIO'!$H$4:$H$433,MATCH($C318,'PORTIFÓLIO'!$C$4:$C$433,0)),"")</f>
        <v/>
      </c>
      <c r="I318" s="228" t="n"/>
      <c r="J318" s="209">
        <f>I318*$B$2</f>
        <v/>
      </c>
      <c r="K318" s="248">
        <f t="array" ref="K318">IFERROR(I318*INDEX('PORTIFÓLIO'!$S$4:$S$433,MATCH($C318,'PORTIFÓLIO'!$C$4:$C$433,0)),"")</f>
        <v/>
      </c>
      <c r="L318" s="248">
        <f t="array" ref="L318">IFERROR(J318*INDEX('PORTIFÓLIO'!$S$4:$S$433,MATCH($C318,'PORTIFÓLIO'!$C$4:$C$433,0)),"")</f>
        <v/>
      </c>
      <c r="M318" s="177" t="n"/>
      <c r="N318" s="177" t="n"/>
      <c r="O318" s="177" t="n"/>
      <c r="P318" s="177" t="n"/>
      <c r="Q318" s="177" t="n"/>
      <c r="R318" s="177" t="n"/>
      <c r="S318" s="177" t="n"/>
      <c r="T318" s="177" t="n"/>
      <c r="U318" s="177" t="n"/>
      <c r="V318" s="177" t="n"/>
      <c r="W318" s="177" t="n"/>
      <c r="X318" s="177" t="n"/>
    </row>
    <row r="319" outlineLevel="1" ht="15.75" customHeight="1" s="297">
      <c r="A319" s="190" t="n"/>
      <c r="B319" s="204" t="n"/>
      <c r="C319" s="191" t="n"/>
      <c r="D319" s="205">
        <f>IFERROR(VLOOKUP($C319,'PORTIFÓLIO'!C:V,2,0),"")</f>
        <v/>
      </c>
      <c r="E319" s="190">
        <f>IFERROR(VLOOKUP($C319,'PORTIFÓLIO'!C:V,3,0),"")</f>
        <v/>
      </c>
      <c r="F319" s="190">
        <f>IFERROR(VLOOKUP($C319,'PORTIFÓLIO'!C:V,4,0),"")</f>
        <v/>
      </c>
      <c r="G319" s="206">
        <f>IFERROR(VLOOKUP($C319,'PORTIFÓLIO'!C:V,5,0),"")</f>
        <v/>
      </c>
      <c r="H319" s="247">
        <f t="array" ref="H319">IFERROR(INDEX('PORTIFÓLIO'!$H$4:$H$433,MATCH($C319,'PORTIFÓLIO'!$C$4:$C$433,0)),"")</f>
        <v/>
      </c>
      <c r="I319" s="228" t="n"/>
      <c r="J319" s="209">
        <f>I319*$B$2</f>
        <v/>
      </c>
      <c r="K319" s="248">
        <f t="array" ref="K319">IFERROR(I319*INDEX('PORTIFÓLIO'!$S$4:$S$433,MATCH($C319,'PORTIFÓLIO'!$C$4:$C$433,0)),"")</f>
        <v/>
      </c>
      <c r="L319" s="248">
        <f t="array" ref="L319">IFERROR(J319*INDEX('PORTIFÓLIO'!$S$4:$S$433,MATCH($C319,'PORTIFÓLIO'!$C$4:$C$433,0)),"")</f>
        <v/>
      </c>
      <c r="M319" s="177" t="n"/>
      <c r="N319" s="177" t="n"/>
      <c r="O319" s="177" t="n"/>
      <c r="P319" s="177" t="n"/>
      <c r="Q319" s="177" t="n"/>
      <c r="R319" s="177" t="n"/>
      <c r="S319" s="177" t="n"/>
      <c r="T319" s="177" t="n"/>
      <c r="U319" s="177" t="n"/>
      <c r="V319" s="177" t="n"/>
      <c r="W319" s="177" t="n"/>
      <c r="X319" s="177" t="n"/>
    </row>
    <row r="320" outlineLevel="1" ht="15.75" customHeight="1" s="297">
      <c r="A320" s="190" t="n"/>
      <c r="B320" s="204" t="n"/>
      <c r="C320" s="191" t="n"/>
      <c r="D320" s="205">
        <f>IFERROR(VLOOKUP($C320,'PORTIFÓLIO'!C:V,2,0),"")</f>
        <v/>
      </c>
      <c r="E320" s="190">
        <f>IFERROR(VLOOKUP($C320,'PORTIFÓLIO'!C:V,3,0),"")</f>
        <v/>
      </c>
      <c r="F320" s="190">
        <f>IFERROR(VLOOKUP($C320,'PORTIFÓLIO'!C:V,4,0),"")</f>
        <v/>
      </c>
      <c r="G320" s="206">
        <f>IFERROR(VLOOKUP($C320,'PORTIFÓLIO'!C:V,5,0),"")</f>
        <v/>
      </c>
      <c r="H320" s="247">
        <f t="array" ref="H320">IFERROR(INDEX('PORTIFÓLIO'!$H$4:$H$433,MATCH($C320,'PORTIFÓLIO'!$C$4:$C$433,0)),"")</f>
        <v/>
      </c>
      <c r="I320" s="228" t="n"/>
      <c r="J320" s="209">
        <f>I320*$B$2</f>
        <v/>
      </c>
      <c r="K320" s="248">
        <f t="array" ref="K320">IFERROR(I320*INDEX('PORTIFÓLIO'!$S$4:$S$433,MATCH($C320,'PORTIFÓLIO'!$C$4:$C$433,0)),"")</f>
        <v/>
      </c>
      <c r="L320" s="248">
        <f t="array" ref="L320">IFERROR(J320*INDEX('PORTIFÓLIO'!$S$4:$S$433,MATCH($C320,'PORTIFÓLIO'!$C$4:$C$433,0)),"")</f>
        <v/>
      </c>
      <c r="M320" s="177" t="n"/>
      <c r="N320" s="177" t="n"/>
      <c r="O320" s="177" t="n"/>
      <c r="P320" s="177" t="n"/>
      <c r="Q320" s="177" t="n"/>
      <c r="R320" s="177" t="n"/>
      <c r="S320" s="177" t="n"/>
      <c r="T320" s="177" t="n"/>
      <c r="U320" s="177" t="n"/>
      <c r="V320" s="177" t="n"/>
      <c r="W320" s="177" t="n"/>
      <c r="X320" s="177" t="n"/>
    </row>
    <row r="321" outlineLevel="1" ht="15.75" customHeight="1" s="297">
      <c r="A321" s="190" t="n"/>
      <c r="B321" s="204" t="n"/>
      <c r="C321" s="191" t="n"/>
      <c r="D321" s="205">
        <f>IFERROR(VLOOKUP($C321,'PORTIFÓLIO'!C:V,2,0),"")</f>
        <v/>
      </c>
      <c r="E321" s="190">
        <f>IFERROR(VLOOKUP($C321,'PORTIFÓLIO'!C:V,3,0),"")</f>
        <v/>
      </c>
      <c r="F321" s="190">
        <f>IFERROR(VLOOKUP($C321,'PORTIFÓLIO'!C:V,4,0),"")</f>
        <v/>
      </c>
      <c r="G321" s="206">
        <f>IFERROR(VLOOKUP($C321,'PORTIFÓLIO'!C:V,5,0),"")</f>
        <v/>
      </c>
      <c r="H321" s="247">
        <f t="array" ref="H321">IFERROR(INDEX('PORTIFÓLIO'!$H$4:$H$433,MATCH($C321,'PORTIFÓLIO'!$C$4:$C$433,0)),"")</f>
        <v/>
      </c>
      <c r="I321" s="228" t="n"/>
      <c r="J321" s="209">
        <f>I321*$B$2</f>
        <v/>
      </c>
      <c r="K321" s="248">
        <f t="array" ref="K321">IFERROR(I321*INDEX('PORTIFÓLIO'!$S$4:$S$433,MATCH($C321,'PORTIFÓLIO'!$C$4:$C$433,0)),"")</f>
        <v/>
      </c>
      <c r="L321" s="248">
        <f t="array" ref="L321">IFERROR(J321*INDEX('PORTIFÓLIO'!$S$4:$S$433,MATCH($C321,'PORTIFÓLIO'!$C$4:$C$433,0)),"")</f>
        <v/>
      </c>
      <c r="M321" s="177" t="n"/>
      <c r="N321" s="177" t="n"/>
      <c r="O321" s="177" t="n"/>
      <c r="P321" s="177" t="n"/>
      <c r="Q321" s="177" t="n"/>
      <c r="R321" s="177" t="n"/>
      <c r="S321" s="177" t="n"/>
      <c r="T321" s="177" t="n"/>
      <c r="U321" s="177" t="n"/>
      <c r="V321" s="177" t="n"/>
      <c r="W321" s="177" t="n"/>
      <c r="X321" s="177" t="n"/>
    </row>
    <row r="322" outlineLevel="1" ht="15.75" customHeight="1" s="297">
      <c r="A322" s="190" t="n"/>
      <c r="B322" s="204" t="n"/>
      <c r="C322" s="191" t="n"/>
      <c r="D322" s="205">
        <f>IFERROR(VLOOKUP($C322,'PORTIFÓLIO'!C:V,2,0),"")</f>
        <v/>
      </c>
      <c r="E322" s="190">
        <f>IFERROR(VLOOKUP($C322,'PORTIFÓLIO'!C:V,3,0),"")</f>
        <v/>
      </c>
      <c r="F322" s="190">
        <f>IFERROR(VLOOKUP($C322,'PORTIFÓLIO'!C:V,4,0),"")</f>
        <v/>
      </c>
      <c r="G322" s="206">
        <f>IFERROR(VLOOKUP($C322,'PORTIFÓLIO'!C:V,5,0),"")</f>
        <v/>
      </c>
      <c r="H322" s="247">
        <f t="array" ref="H322">IFERROR(INDEX('PORTIFÓLIO'!$H$4:$H$433,MATCH($C322,'PORTIFÓLIO'!$C$4:$C$433,0)),"")</f>
        <v/>
      </c>
      <c r="I322" s="228" t="n"/>
      <c r="J322" s="209">
        <f>I322*$B$2</f>
        <v/>
      </c>
      <c r="K322" s="248">
        <f t="array" ref="K322">IFERROR(I322*INDEX('PORTIFÓLIO'!$S$4:$S$433,MATCH($C322,'PORTIFÓLIO'!$C$4:$C$433,0)),"")</f>
        <v/>
      </c>
      <c r="L322" s="248">
        <f t="array" ref="L322">IFERROR(J322*INDEX('PORTIFÓLIO'!$S$4:$S$433,MATCH($C322,'PORTIFÓLIO'!$C$4:$C$433,0)),"")</f>
        <v/>
      </c>
      <c r="M322" s="177" t="n"/>
      <c r="N322" s="177" t="n"/>
      <c r="O322" s="177" t="n"/>
      <c r="P322" s="177" t="n"/>
      <c r="Q322" s="177" t="n"/>
      <c r="R322" s="177" t="n"/>
      <c r="S322" s="177" t="n"/>
      <c r="T322" s="177" t="n"/>
      <c r="U322" s="177" t="n"/>
      <c r="V322" s="177" t="n"/>
      <c r="W322" s="177" t="n"/>
      <c r="X322" s="177" t="n"/>
    </row>
    <row r="323" outlineLevel="1" ht="15.75" customHeight="1" s="297">
      <c r="A323" s="190" t="n"/>
      <c r="B323" s="204" t="n"/>
      <c r="C323" s="191" t="n"/>
      <c r="D323" s="205">
        <f>IFERROR(VLOOKUP($C323,'PORTIFÓLIO'!C:V,2,0),"")</f>
        <v/>
      </c>
      <c r="E323" s="190">
        <f>IFERROR(VLOOKUP($C323,'PORTIFÓLIO'!C:V,3,0),"")</f>
        <v/>
      </c>
      <c r="F323" s="190">
        <f>IFERROR(VLOOKUP($C323,'PORTIFÓLIO'!C:V,4,0),"")</f>
        <v/>
      </c>
      <c r="G323" s="206">
        <f>IFERROR(VLOOKUP($C323,'PORTIFÓLIO'!C:V,5,0),"")</f>
        <v/>
      </c>
      <c r="H323" s="247">
        <f t="array" ref="H323">IFERROR(INDEX('PORTIFÓLIO'!$H$4:$H$433,MATCH($C323,'PORTIFÓLIO'!$C$4:$C$433,0)),"")</f>
        <v/>
      </c>
      <c r="I323" s="228" t="n"/>
      <c r="J323" s="209">
        <f>I323*$B$2</f>
        <v/>
      </c>
      <c r="K323" s="248">
        <f t="array" ref="K323">IFERROR(I323*INDEX('PORTIFÓLIO'!$S$4:$S$433,MATCH($C323,'PORTIFÓLIO'!$C$4:$C$433,0)),"")</f>
        <v/>
      </c>
      <c r="L323" s="248">
        <f t="array" ref="L323">IFERROR(J323*INDEX('PORTIFÓLIO'!$S$4:$S$433,MATCH($C323,'PORTIFÓLIO'!$C$4:$C$433,0)),"")</f>
        <v/>
      </c>
      <c r="M323" s="177" t="n"/>
      <c r="N323" s="177" t="n"/>
      <c r="O323" s="177" t="n"/>
      <c r="P323" s="177" t="n"/>
      <c r="Q323" s="177" t="n"/>
      <c r="R323" s="177" t="n"/>
      <c r="S323" s="177" t="n"/>
      <c r="T323" s="177" t="n"/>
      <c r="U323" s="177" t="n"/>
      <c r="V323" s="177" t="n"/>
      <c r="W323" s="177" t="n"/>
      <c r="X323" s="177" t="n"/>
    </row>
    <row r="324" ht="15.75" customHeight="1" s="297">
      <c r="A324" s="221" t="inlineStr">
        <is>
          <t>OPERAÇÃO 6</t>
        </is>
      </c>
      <c r="B324" s="197" t="n"/>
      <c r="C324" s="196" t="n"/>
      <c r="D324" s="198" t="n"/>
      <c r="E324" s="196" t="n"/>
      <c r="F324" s="196" t="n"/>
      <c r="G324" s="199" t="n"/>
      <c r="H324" s="199" t="n"/>
      <c r="I324" s="201" t="n"/>
      <c r="J324" s="202" t="n"/>
      <c r="K324" s="203">
        <f>SUBTOTAL(9,K325:K338)</f>
        <v/>
      </c>
      <c r="L324" s="203">
        <f>SUBTOTAL(9,L325:L338)</f>
        <v/>
      </c>
      <c r="M324" s="177" t="n"/>
      <c r="N324" s="177" t="n"/>
      <c r="O324" s="177" t="n"/>
      <c r="P324" s="177" t="n"/>
      <c r="Q324" s="177" t="n"/>
      <c r="R324" s="177" t="n"/>
      <c r="S324" s="177" t="n"/>
      <c r="T324" s="177" t="n"/>
      <c r="U324" s="177" t="n"/>
      <c r="V324" s="177" t="n"/>
      <c r="W324" s="177" t="n"/>
      <c r="X324" s="177" t="n"/>
    </row>
    <row r="325" outlineLevel="1" ht="15.75" customHeight="1" s="297">
      <c r="A325" s="191" t="n"/>
      <c r="B325" s="204" t="n"/>
      <c r="C325" s="191" t="n"/>
      <c r="D325" s="205">
        <f>IFERROR(VLOOKUP($C325,'PORTIFÓLIO'!C:V,2,0),"")</f>
        <v/>
      </c>
      <c r="E325" s="190">
        <f>IFERROR(VLOOKUP($C325,'PORTIFÓLIO'!C:V,3,0),"")</f>
        <v/>
      </c>
      <c r="F325" s="190">
        <f>IFERROR(VLOOKUP($C325,'PORTIFÓLIO'!C:V,4,0),"")</f>
        <v/>
      </c>
      <c r="G325" s="206">
        <f>IFERROR(VLOOKUP($C325,'PORTIFÓLIO'!C:V,5,0),"")</f>
        <v/>
      </c>
      <c r="H325" s="247">
        <f t="array" ref="H325">IFERROR(INDEX('PORTIFÓLIO'!$H$4:$H$433,MATCH($C325,'PORTIFÓLIO'!$C$4:$C$433,0)),"")</f>
        <v/>
      </c>
      <c r="I325" s="208" t="n"/>
      <c r="J325" s="209">
        <f>I325*$B$2</f>
        <v/>
      </c>
      <c r="K325" s="248">
        <f t="array" ref="K325">IFERROR(I325*INDEX('PORTIFÓLIO'!$S$4:$S$433,MATCH($C325,'PORTIFÓLIO'!$C$4:$C$433,0)),"")</f>
        <v/>
      </c>
      <c r="L325" s="248">
        <f t="array" ref="L325">IFERROR(J325*INDEX('PORTIFÓLIO'!$S$4:$S$433,MATCH($C325,'PORTIFÓLIO'!$C$4:$C$433,0)),"")</f>
        <v/>
      </c>
      <c r="M325" s="177" t="n"/>
      <c r="N325" s="177" t="n"/>
      <c r="O325" s="177" t="n"/>
      <c r="P325" s="177" t="n"/>
      <c r="Q325" s="177" t="n"/>
      <c r="R325" s="177" t="n"/>
      <c r="S325" s="177" t="n"/>
      <c r="T325" s="177" t="n"/>
      <c r="U325" s="177" t="n"/>
      <c r="V325" s="177" t="n"/>
      <c r="W325" s="177" t="n"/>
      <c r="X325" s="177" t="n"/>
    </row>
    <row r="326" outlineLevel="1" ht="15.75" customHeight="1" s="297">
      <c r="A326" s="190" t="n"/>
      <c r="B326" s="204" t="n"/>
      <c r="C326" s="191" t="n"/>
      <c r="D326" s="205">
        <f>IFERROR(VLOOKUP($C326,'PORTIFÓLIO'!C:V,2,0),"")</f>
        <v/>
      </c>
      <c r="E326" s="190">
        <f>IFERROR(VLOOKUP($C326,'PORTIFÓLIO'!C:V,3,0),"")</f>
        <v/>
      </c>
      <c r="F326" s="190">
        <f>IFERROR(VLOOKUP($C326,'PORTIFÓLIO'!C:V,4,0),"")</f>
        <v/>
      </c>
      <c r="G326" s="206">
        <f>IFERROR(VLOOKUP($C326,'PORTIFÓLIO'!C:V,5,0),"")</f>
        <v/>
      </c>
      <c r="H326" s="247">
        <f t="array" ref="H326">IFERROR(INDEX('PORTIFÓLIO'!$H$4:$H$433,MATCH($C326,'PORTIFÓLIO'!$C$4:$C$433,0)),"")</f>
        <v/>
      </c>
      <c r="I326" s="228" t="n"/>
      <c r="J326" s="209">
        <f>I326*$B$2</f>
        <v/>
      </c>
      <c r="K326" s="248">
        <f t="array" ref="K326">IFERROR(I326*INDEX('PORTIFÓLIO'!$S$4:$S$433,MATCH($C326,'PORTIFÓLIO'!$C$4:$C$433,0)),"")</f>
        <v/>
      </c>
      <c r="L326" s="248">
        <f t="array" ref="L326">IFERROR(J326*INDEX('PORTIFÓLIO'!$S$4:$S$433,MATCH($C326,'PORTIFÓLIO'!$C$4:$C$433,0)),"")</f>
        <v/>
      </c>
      <c r="M326" s="177" t="n"/>
      <c r="N326" s="177" t="n"/>
      <c r="O326" s="177" t="n"/>
      <c r="P326" s="177" t="n"/>
      <c r="Q326" s="177" t="n"/>
      <c r="R326" s="177" t="n"/>
      <c r="S326" s="177" t="n"/>
      <c r="T326" s="177" t="n"/>
      <c r="U326" s="177" t="n"/>
      <c r="V326" s="177" t="n"/>
      <c r="W326" s="177" t="n"/>
      <c r="X326" s="177" t="n"/>
    </row>
    <row r="327" outlineLevel="1" ht="15.75" customHeight="1" s="297">
      <c r="A327" s="190" t="n"/>
      <c r="B327" s="204" t="n"/>
      <c r="C327" s="191" t="n"/>
      <c r="D327" s="205">
        <f>IFERROR(VLOOKUP($C327,'PORTIFÓLIO'!C:V,2,0),"")</f>
        <v/>
      </c>
      <c r="E327" s="190">
        <f>IFERROR(VLOOKUP($C327,'PORTIFÓLIO'!C:V,3,0),"")</f>
        <v/>
      </c>
      <c r="F327" s="190">
        <f>IFERROR(VLOOKUP($C327,'PORTIFÓLIO'!C:V,4,0),"")</f>
        <v/>
      </c>
      <c r="G327" s="206">
        <f>IFERROR(VLOOKUP($C327,'PORTIFÓLIO'!C:V,5,0),"")</f>
        <v/>
      </c>
      <c r="H327" s="247">
        <f t="array" ref="H327">IFERROR(INDEX('PORTIFÓLIO'!$H$4:$H$433,MATCH($C327,'PORTIFÓLIO'!$C$4:$C$433,0)),"")</f>
        <v/>
      </c>
      <c r="I327" s="228" t="n"/>
      <c r="J327" s="209">
        <f>I327*$B$2</f>
        <v/>
      </c>
      <c r="K327" s="248">
        <f t="array" ref="K327">IFERROR(I327*INDEX('PORTIFÓLIO'!$S$4:$S$433,MATCH($C327,'PORTIFÓLIO'!$C$4:$C$433,0)),"")</f>
        <v/>
      </c>
      <c r="L327" s="248">
        <f t="array" ref="L327">IFERROR(J327*INDEX('PORTIFÓLIO'!$S$4:$S$433,MATCH($C327,'PORTIFÓLIO'!$C$4:$C$433,0)),"")</f>
        <v/>
      </c>
      <c r="M327" s="177" t="n"/>
      <c r="N327" s="177" t="n"/>
      <c r="O327" s="177" t="n"/>
      <c r="P327" s="177" t="n"/>
      <c r="Q327" s="177" t="n"/>
      <c r="R327" s="177" t="n"/>
      <c r="S327" s="177" t="n"/>
      <c r="T327" s="177" t="n"/>
      <c r="U327" s="177" t="n"/>
      <c r="V327" s="177" t="n"/>
      <c r="W327" s="177" t="n"/>
      <c r="X327" s="177" t="n"/>
    </row>
    <row r="328" outlineLevel="1" ht="15.75" customHeight="1" s="297">
      <c r="A328" s="190" t="n"/>
      <c r="B328" s="204" t="n"/>
      <c r="C328" s="191" t="n"/>
      <c r="D328" s="205">
        <f>IFERROR(VLOOKUP($C328,'PORTIFÓLIO'!C:V,2,0),"")</f>
        <v/>
      </c>
      <c r="E328" s="190">
        <f>IFERROR(VLOOKUP($C328,'PORTIFÓLIO'!C:V,3,0),"")</f>
        <v/>
      </c>
      <c r="F328" s="190">
        <f>IFERROR(VLOOKUP($C328,'PORTIFÓLIO'!C:V,4,0),"")</f>
        <v/>
      </c>
      <c r="G328" s="206">
        <f>IFERROR(VLOOKUP($C328,'PORTIFÓLIO'!C:V,5,0),"")</f>
        <v/>
      </c>
      <c r="H328" s="247">
        <f t="array" ref="H328">IFERROR(INDEX('PORTIFÓLIO'!$H$4:$H$433,MATCH($C328,'PORTIFÓLIO'!$C$4:$C$433,0)),"")</f>
        <v/>
      </c>
      <c r="I328" s="228" t="n"/>
      <c r="J328" s="209">
        <f>I328*$B$2</f>
        <v/>
      </c>
      <c r="K328" s="248">
        <f t="array" ref="K328">IFERROR(I328*INDEX('PORTIFÓLIO'!$S$4:$S$433,MATCH($C328,'PORTIFÓLIO'!$C$4:$C$433,0)),"")</f>
        <v/>
      </c>
      <c r="L328" s="248">
        <f t="array" ref="L328">IFERROR(J328*INDEX('PORTIFÓLIO'!$S$4:$S$433,MATCH($C328,'PORTIFÓLIO'!$C$4:$C$433,0)),"")</f>
        <v/>
      </c>
      <c r="M328" s="177" t="n"/>
      <c r="N328" s="177" t="n"/>
      <c r="O328" s="177" t="n"/>
      <c r="P328" s="177" t="n"/>
      <c r="Q328" s="177" t="n"/>
      <c r="R328" s="177" t="n"/>
      <c r="S328" s="177" t="n"/>
      <c r="T328" s="177" t="n"/>
      <c r="U328" s="177" t="n"/>
      <c r="V328" s="177" t="n"/>
      <c r="W328" s="177" t="n"/>
      <c r="X328" s="177" t="n"/>
    </row>
    <row r="329" outlineLevel="1" ht="15.75" customHeight="1" s="297">
      <c r="A329" s="190" t="n"/>
      <c r="B329" s="204" t="n"/>
      <c r="C329" s="191" t="n"/>
      <c r="D329" s="205">
        <f>IFERROR(VLOOKUP($C329,'PORTIFÓLIO'!C:V,2,0),"")</f>
        <v/>
      </c>
      <c r="E329" s="190">
        <f>IFERROR(VLOOKUP($C329,'PORTIFÓLIO'!C:V,3,0),"")</f>
        <v/>
      </c>
      <c r="F329" s="190">
        <f>IFERROR(VLOOKUP($C329,'PORTIFÓLIO'!C:V,4,0),"")</f>
        <v/>
      </c>
      <c r="G329" s="206">
        <f>IFERROR(VLOOKUP($C329,'PORTIFÓLIO'!C:V,5,0),"")</f>
        <v/>
      </c>
      <c r="H329" s="247">
        <f t="array" ref="H329">IFERROR(INDEX('PORTIFÓLIO'!$H$4:$H$433,MATCH($C329,'PORTIFÓLIO'!$C$4:$C$433,0)),"")</f>
        <v/>
      </c>
      <c r="I329" s="228" t="n"/>
      <c r="J329" s="209">
        <f>I329*$B$2</f>
        <v/>
      </c>
      <c r="K329" s="248">
        <f t="array" ref="K329">IFERROR(I329*INDEX('PORTIFÓLIO'!$S$4:$S$433,MATCH($C329,'PORTIFÓLIO'!$C$4:$C$433,0)),"")</f>
        <v/>
      </c>
      <c r="L329" s="248">
        <f t="array" ref="L329">IFERROR(J329*INDEX('PORTIFÓLIO'!$S$4:$S$433,MATCH($C329,'PORTIFÓLIO'!$C$4:$C$433,0)),"")</f>
        <v/>
      </c>
      <c r="M329" s="177" t="n"/>
      <c r="N329" s="177" t="n"/>
      <c r="O329" s="177" t="n"/>
      <c r="P329" s="177" t="n"/>
      <c r="Q329" s="177" t="n"/>
      <c r="R329" s="177" t="n"/>
      <c r="S329" s="177" t="n"/>
      <c r="T329" s="177" t="n"/>
      <c r="U329" s="177" t="n"/>
      <c r="V329" s="177" t="n"/>
      <c r="W329" s="177" t="n"/>
      <c r="X329" s="177" t="n"/>
    </row>
    <row r="330" outlineLevel="1" ht="15.75" customHeight="1" s="297">
      <c r="A330" s="190" t="n"/>
      <c r="B330" s="204" t="n"/>
      <c r="C330" s="191" t="n"/>
      <c r="D330" s="205">
        <f>IFERROR(VLOOKUP($C330,'PORTIFÓLIO'!C:V,2,0),"")</f>
        <v/>
      </c>
      <c r="E330" s="190">
        <f>IFERROR(VLOOKUP($C330,'PORTIFÓLIO'!C:V,3,0),"")</f>
        <v/>
      </c>
      <c r="F330" s="190">
        <f>IFERROR(VLOOKUP($C330,'PORTIFÓLIO'!C:V,4,0),"")</f>
        <v/>
      </c>
      <c r="G330" s="206">
        <f>IFERROR(VLOOKUP($C330,'PORTIFÓLIO'!C:V,5,0),"")</f>
        <v/>
      </c>
      <c r="H330" s="247">
        <f t="array" ref="H330">IFERROR(INDEX('PORTIFÓLIO'!$H$4:$H$433,MATCH($C330,'PORTIFÓLIO'!$C$4:$C$433,0)),"")</f>
        <v/>
      </c>
      <c r="I330" s="228" t="n"/>
      <c r="J330" s="209">
        <f>I330*$B$2</f>
        <v/>
      </c>
      <c r="K330" s="248">
        <f t="array" ref="K330">IFERROR(I330*INDEX('PORTIFÓLIO'!$S$4:$S$433,MATCH($C330,'PORTIFÓLIO'!$C$4:$C$433,0)),"")</f>
        <v/>
      </c>
      <c r="L330" s="248">
        <f t="array" ref="L330">IFERROR(J330*INDEX('PORTIFÓLIO'!$S$4:$S$433,MATCH($C330,'PORTIFÓLIO'!$C$4:$C$433,0)),"")</f>
        <v/>
      </c>
      <c r="M330" s="177" t="n"/>
      <c r="N330" s="177" t="n"/>
      <c r="O330" s="177" t="n"/>
      <c r="P330" s="177" t="n"/>
      <c r="Q330" s="177" t="n"/>
      <c r="R330" s="177" t="n"/>
      <c r="S330" s="177" t="n"/>
      <c r="T330" s="177" t="n"/>
      <c r="U330" s="177" t="n"/>
      <c r="V330" s="177" t="n"/>
      <c r="W330" s="177" t="n"/>
      <c r="X330" s="177" t="n"/>
    </row>
    <row r="331" outlineLevel="1" ht="15.75" customHeight="1" s="297">
      <c r="A331" s="190" t="n"/>
      <c r="B331" s="204" t="n"/>
      <c r="C331" s="191" t="n"/>
      <c r="D331" s="205">
        <f>IFERROR(VLOOKUP($C331,'PORTIFÓLIO'!C:V,2,0),"")</f>
        <v/>
      </c>
      <c r="E331" s="190">
        <f>IFERROR(VLOOKUP($C331,'PORTIFÓLIO'!C:V,3,0),"")</f>
        <v/>
      </c>
      <c r="F331" s="190">
        <f>IFERROR(VLOOKUP($C331,'PORTIFÓLIO'!C:V,4,0),"")</f>
        <v/>
      </c>
      <c r="G331" s="206">
        <f>IFERROR(VLOOKUP($C331,'PORTIFÓLIO'!C:V,5,0),"")</f>
        <v/>
      </c>
      <c r="H331" s="247">
        <f t="array" ref="H331">IFERROR(INDEX('PORTIFÓLIO'!$H$4:$H$433,MATCH($C331,'PORTIFÓLIO'!$C$4:$C$433,0)),"")</f>
        <v/>
      </c>
      <c r="I331" s="228" t="n"/>
      <c r="J331" s="209">
        <f>I331*$B$2</f>
        <v/>
      </c>
      <c r="K331" s="248">
        <f t="array" ref="K331">IFERROR(I331*INDEX('PORTIFÓLIO'!$S$4:$S$433,MATCH($C331,'PORTIFÓLIO'!$C$4:$C$433,0)),"")</f>
        <v/>
      </c>
      <c r="L331" s="248">
        <f t="array" ref="L331">IFERROR(J331*INDEX('PORTIFÓLIO'!$S$4:$S$433,MATCH($C331,'PORTIFÓLIO'!$C$4:$C$433,0)),"")</f>
        <v/>
      </c>
      <c r="M331" s="177" t="n"/>
      <c r="N331" s="177" t="n"/>
      <c r="O331" s="177" t="n"/>
      <c r="P331" s="177" t="n"/>
      <c r="Q331" s="177" t="n"/>
      <c r="R331" s="177" t="n"/>
      <c r="S331" s="177" t="n"/>
      <c r="T331" s="177" t="n"/>
      <c r="U331" s="177" t="n"/>
      <c r="V331" s="177" t="n"/>
      <c r="W331" s="177" t="n"/>
      <c r="X331" s="177" t="n"/>
    </row>
    <row r="332" outlineLevel="1" ht="15.75" customHeight="1" s="297">
      <c r="A332" s="190" t="n"/>
      <c r="B332" s="204" t="n"/>
      <c r="C332" s="191" t="n"/>
      <c r="D332" s="205">
        <f>IFERROR(VLOOKUP($C332,'PORTIFÓLIO'!C:V,2,0),"")</f>
        <v/>
      </c>
      <c r="E332" s="190">
        <f>IFERROR(VLOOKUP($C332,'PORTIFÓLIO'!C:V,3,0),"")</f>
        <v/>
      </c>
      <c r="F332" s="190">
        <f>IFERROR(VLOOKUP($C332,'PORTIFÓLIO'!C:V,4,0),"")</f>
        <v/>
      </c>
      <c r="G332" s="206">
        <f>IFERROR(VLOOKUP($C332,'PORTIFÓLIO'!C:V,5,0),"")</f>
        <v/>
      </c>
      <c r="H332" s="247">
        <f t="array" ref="H332">IFERROR(INDEX('PORTIFÓLIO'!$H$4:$H$433,MATCH($C332,'PORTIFÓLIO'!$C$4:$C$433,0)),"")</f>
        <v/>
      </c>
      <c r="I332" s="228" t="n"/>
      <c r="J332" s="209">
        <f>I332*$B$2</f>
        <v/>
      </c>
      <c r="K332" s="248">
        <f t="array" ref="K332">IFERROR(I332*INDEX('PORTIFÓLIO'!$S$4:$S$433,MATCH($C332,'PORTIFÓLIO'!$C$4:$C$433,0)),"")</f>
        <v/>
      </c>
      <c r="L332" s="248">
        <f t="array" ref="L332">IFERROR(J332*INDEX('PORTIFÓLIO'!$S$4:$S$433,MATCH($C332,'PORTIFÓLIO'!$C$4:$C$433,0)),"")</f>
        <v/>
      </c>
      <c r="M332" s="177" t="n"/>
      <c r="N332" s="177" t="n"/>
      <c r="O332" s="177" t="n"/>
      <c r="P332" s="177" t="n"/>
      <c r="Q332" s="177" t="n"/>
      <c r="R332" s="177" t="n"/>
      <c r="S332" s="177" t="n"/>
      <c r="T332" s="177" t="n"/>
      <c r="U332" s="177" t="n"/>
      <c r="V332" s="177" t="n"/>
      <c r="W332" s="177" t="n"/>
      <c r="X332" s="177" t="n"/>
    </row>
    <row r="333" outlineLevel="1" ht="15.75" customHeight="1" s="297">
      <c r="A333" s="190" t="n"/>
      <c r="B333" s="204" t="n"/>
      <c r="C333" s="191" t="n"/>
      <c r="D333" s="205">
        <f>IFERROR(VLOOKUP($C333,'PORTIFÓLIO'!C:V,2,0),"")</f>
        <v/>
      </c>
      <c r="E333" s="190">
        <f>IFERROR(VLOOKUP($C333,'PORTIFÓLIO'!C:V,3,0),"")</f>
        <v/>
      </c>
      <c r="F333" s="190">
        <f>IFERROR(VLOOKUP($C333,'PORTIFÓLIO'!C:V,4,0),"")</f>
        <v/>
      </c>
      <c r="G333" s="206">
        <f>IFERROR(VLOOKUP($C333,'PORTIFÓLIO'!C:V,5,0),"")</f>
        <v/>
      </c>
      <c r="H333" s="247">
        <f t="array" ref="H333">IFERROR(INDEX('PORTIFÓLIO'!$H$4:$H$433,MATCH($C333,'PORTIFÓLIO'!$C$4:$C$433,0)),"")</f>
        <v/>
      </c>
      <c r="I333" s="208" t="n"/>
      <c r="J333" s="209">
        <f>I333*$B$2</f>
        <v/>
      </c>
      <c r="K333" s="248">
        <f t="array" ref="K333">IFERROR(I333*INDEX('PORTIFÓLIO'!$S$4:$S$433,MATCH($C333,'PORTIFÓLIO'!$C$4:$C$433,0)),"")</f>
        <v/>
      </c>
      <c r="L333" s="248">
        <f t="array" ref="L333">IFERROR(J333*INDEX('PORTIFÓLIO'!$S$4:$S$433,MATCH($C333,'PORTIFÓLIO'!$C$4:$C$433,0)),"")</f>
        <v/>
      </c>
      <c r="M333" s="177" t="n"/>
      <c r="N333" s="177" t="n"/>
      <c r="O333" s="177" t="n"/>
      <c r="P333" s="177" t="n"/>
      <c r="Q333" s="177" t="n"/>
      <c r="R333" s="177" t="n"/>
      <c r="S333" s="177" t="n"/>
      <c r="T333" s="177" t="n"/>
      <c r="U333" s="177" t="n"/>
      <c r="V333" s="177" t="n"/>
      <c r="W333" s="177" t="n"/>
      <c r="X333" s="177" t="n"/>
    </row>
    <row r="334" outlineLevel="1" ht="15.75" customHeight="1" s="297">
      <c r="A334" s="190" t="n"/>
      <c r="B334" s="204" t="n"/>
      <c r="C334" s="191" t="n"/>
      <c r="D334" s="205">
        <f>IFERROR(VLOOKUP($C334,'PORTIFÓLIO'!C:V,2,0),"")</f>
        <v/>
      </c>
      <c r="E334" s="190">
        <f>IFERROR(VLOOKUP($C334,'PORTIFÓLIO'!C:V,3,0),"")</f>
        <v/>
      </c>
      <c r="F334" s="190">
        <f>IFERROR(VLOOKUP($C334,'PORTIFÓLIO'!C:V,4,0),"")</f>
        <v/>
      </c>
      <c r="G334" s="206">
        <f>IFERROR(VLOOKUP($C334,'PORTIFÓLIO'!C:V,5,0),"")</f>
        <v/>
      </c>
      <c r="H334" s="247">
        <f t="array" ref="H334">IFERROR(INDEX('PORTIFÓLIO'!$H$4:$H$433,MATCH($C334,'PORTIFÓLIO'!$C$4:$C$433,0)),"")</f>
        <v/>
      </c>
      <c r="I334" s="228" t="n"/>
      <c r="J334" s="209">
        <f>I334*$B$2</f>
        <v/>
      </c>
      <c r="K334" s="248">
        <f t="array" ref="K334">IFERROR(I334*INDEX('PORTIFÓLIO'!$S$4:$S$433,MATCH($C334,'PORTIFÓLIO'!$C$4:$C$433,0)),"")</f>
        <v/>
      </c>
      <c r="L334" s="248">
        <f t="array" ref="L334">IFERROR(J334*INDEX('PORTIFÓLIO'!$S$4:$S$433,MATCH($C334,'PORTIFÓLIO'!$C$4:$C$433,0)),"")</f>
        <v/>
      </c>
      <c r="M334" s="177" t="n"/>
      <c r="N334" s="177" t="n"/>
      <c r="O334" s="177" t="n"/>
      <c r="P334" s="177" t="n"/>
      <c r="Q334" s="177" t="n"/>
      <c r="R334" s="177" t="n"/>
      <c r="S334" s="177" t="n"/>
      <c r="T334" s="177" t="n"/>
      <c r="U334" s="177" t="n"/>
      <c r="V334" s="177" t="n"/>
      <c r="W334" s="177" t="n"/>
      <c r="X334" s="177" t="n"/>
    </row>
    <row r="335" outlineLevel="1" ht="15.75" customHeight="1" s="297">
      <c r="A335" s="190" t="n"/>
      <c r="B335" s="204" t="n"/>
      <c r="C335" s="191" t="n"/>
      <c r="D335" s="205">
        <f>IFERROR(VLOOKUP($C335,'PORTIFÓLIO'!C:V,2,0),"")</f>
        <v/>
      </c>
      <c r="E335" s="190">
        <f>IFERROR(VLOOKUP($C335,'PORTIFÓLIO'!C:V,3,0),"")</f>
        <v/>
      </c>
      <c r="F335" s="190">
        <f>IFERROR(VLOOKUP($C335,'PORTIFÓLIO'!C:V,4,0),"")</f>
        <v/>
      </c>
      <c r="G335" s="206">
        <f>IFERROR(VLOOKUP($C335,'PORTIFÓLIO'!C:V,5,0),"")</f>
        <v/>
      </c>
      <c r="H335" s="247">
        <f t="array" ref="H335">IFERROR(INDEX('PORTIFÓLIO'!$H$4:$H$433,MATCH($C335,'PORTIFÓLIO'!$C$4:$C$433,0)),"")</f>
        <v/>
      </c>
      <c r="I335" s="228" t="n"/>
      <c r="J335" s="209">
        <f>I335*$B$2</f>
        <v/>
      </c>
      <c r="K335" s="248">
        <f t="array" ref="K335">IFERROR(I335*INDEX('PORTIFÓLIO'!$S$4:$S$433,MATCH($C335,'PORTIFÓLIO'!$C$4:$C$433,0)),"")</f>
        <v/>
      </c>
      <c r="L335" s="248">
        <f t="array" ref="L335">IFERROR(J335*INDEX('PORTIFÓLIO'!$S$4:$S$433,MATCH($C335,'PORTIFÓLIO'!$C$4:$C$433,0)),"")</f>
        <v/>
      </c>
      <c r="M335" s="177" t="n"/>
      <c r="N335" s="177" t="n"/>
      <c r="O335" s="177" t="n"/>
      <c r="P335" s="177" t="n"/>
      <c r="Q335" s="177" t="n"/>
      <c r="R335" s="177" t="n"/>
      <c r="S335" s="177" t="n"/>
      <c r="T335" s="177" t="n"/>
      <c r="U335" s="177" t="n"/>
      <c r="V335" s="177" t="n"/>
      <c r="W335" s="177" t="n"/>
      <c r="X335" s="177" t="n"/>
    </row>
    <row r="336" outlineLevel="1" ht="15.75" customHeight="1" s="297">
      <c r="A336" s="190" t="n"/>
      <c r="B336" s="204" t="n"/>
      <c r="C336" s="191" t="n"/>
      <c r="D336" s="205">
        <f>IFERROR(VLOOKUP($C336,'PORTIFÓLIO'!C:V,2,0),"")</f>
        <v/>
      </c>
      <c r="E336" s="190">
        <f>IFERROR(VLOOKUP($C336,'PORTIFÓLIO'!C:V,3,0),"")</f>
        <v/>
      </c>
      <c r="F336" s="190">
        <f>IFERROR(VLOOKUP($C336,'PORTIFÓLIO'!C:V,4,0),"")</f>
        <v/>
      </c>
      <c r="G336" s="206">
        <f>IFERROR(VLOOKUP($C336,'PORTIFÓLIO'!C:V,5,0),"")</f>
        <v/>
      </c>
      <c r="H336" s="247">
        <f t="array" ref="H336">IFERROR(INDEX('PORTIFÓLIO'!$H$4:$H$433,MATCH($C336,'PORTIFÓLIO'!$C$4:$C$433,0)),"")</f>
        <v/>
      </c>
      <c r="I336" s="228" t="n"/>
      <c r="J336" s="209">
        <f>I336*$B$2</f>
        <v/>
      </c>
      <c r="K336" s="248">
        <f t="array" ref="K336">IFERROR(I336*INDEX('PORTIFÓLIO'!$S$4:$S$433,MATCH($C336,'PORTIFÓLIO'!$C$4:$C$433,0)),"")</f>
        <v/>
      </c>
      <c r="L336" s="248">
        <f t="array" ref="L336">IFERROR(J336*INDEX('PORTIFÓLIO'!$S$4:$S$433,MATCH($C336,'PORTIFÓLIO'!$C$4:$C$433,0)),"")</f>
        <v/>
      </c>
      <c r="M336" s="177" t="n"/>
      <c r="N336" s="177" t="n"/>
      <c r="O336" s="177" t="n"/>
      <c r="P336" s="177" t="n"/>
      <c r="Q336" s="177" t="n"/>
      <c r="R336" s="177" t="n"/>
      <c r="S336" s="177" t="n"/>
      <c r="T336" s="177" t="n"/>
      <c r="U336" s="177" t="n"/>
      <c r="V336" s="177" t="n"/>
      <c r="W336" s="177" t="n"/>
      <c r="X336" s="177" t="n"/>
    </row>
    <row r="337" outlineLevel="1" ht="15.75" customHeight="1" s="297">
      <c r="A337" s="190" t="n"/>
      <c r="B337" s="204" t="n"/>
      <c r="C337" s="191" t="n"/>
      <c r="D337" s="205">
        <f>IFERROR(VLOOKUP($C337,'PORTIFÓLIO'!C:V,2,0),"")</f>
        <v/>
      </c>
      <c r="E337" s="190">
        <f>IFERROR(VLOOKUP($C337,'PORTIFÓLIO'!C:V,3,0),"")</f>
        <v/>
      </c>
      <c r="F337" s="190">
        <f>IFERROR(VLOOKUP($C337,'PORTIFÓLIO'!C:V,4,0),"")</f>
        <v/>
      </c>
      <c r="G337" s="206">
        <f>IFERROR(VLOOKUP($C337,'PORTIFÓLIO'!C:V,5,0),"")</f>
        <v/>
      </c>
      <c r="H337" s="247">
        <f t="array" ref="H337">IFERROR(INDEX('PORTIFÓLIO'!$H$4:$H$433,MATCH($C337,'PORTIFÓLIO'!$C$4:$C$433,0)),"")</f>
        <v/>
      </c>
      <c r="I337" s="228" t="n"/>
      <c r="J337" s="209">
        <f>I337*$B$2</f>
        <v/>
      </c>
      <c r="K337" s="248">
        <f t="array" ref="K337">IFERROR(I337*INDEX('PORTIFÓLIO'!$S$4:$S$433,MATCH($C337,'PORTIFÓLIO'!$C$4:$C$433,0)),"")</f>
        <v/>
      </c>
      <c r="L337" s="248">
        <f t="array" ref="L337">IFERROR(J337*INDEX('PORTIFÓLIO'!$S$4:$S$433,MATCH($C337,'PORTIFÓLIO'!$C$4:$C$433,0)),"")</f>
        <v/>
      </c>
      <c r="M337" s="177" t="n"/>
      <c r="N337" s="177" t="n"/>
      <c r="O337" s="177" t="n"/>
      <c r="P337" s="177" t="n"/>
      <c r="Q337" s="177" t="n"/>
      <c r="R337" s="177" t="n"/>
      <c r="S337" s="177" t="n"/>
      <c r="T337" s="177" t="n"/>
      <c r="U337" s="177" t="n"/>
      <c r="V337" s="177" t="n"/>
      <c r="W337" s="177" t="n"/>
      <c r="X337" s="177" t="n"/>
    </row>
    <row r="338" outlineLevel="1" ht="15.75" customHeight="1" s="297">
      <c r="A338" s="190" t="n"/>
      <c r="B338" s="204" t="n"/>
      <c r="C338" s="191" t="n"/>
      <c r="D338" s="205">
        <f>IFERROR(VLOOKUP($C338,'PORTIFÓLIO'!C:V,2,0),"")</f>
        <v/>
      </c>
      <c r="E338" s="190">
        <f>IFERROR(VLOOKUP($C338,'PORTIFÓLIO'!C:V,3,0),"")</f>
        <v/>
      </c>
      <c r="F338" s="190">
        <f>IFERROR(VLOOKUP($C338,'PORTIFÓLIO'!C:V,4,0),"")</f>
        <v/>
      </c>
      <c r="G338" s="206">
        <f>IFERROR(VLOOKUP($C338,'PORTIFÓLIO'!C:V,5,0),"")</f>
        <v/>
      </c>
      <c r="H338" s="247">
        <f t="array" ref="H338">IFERROR(INDEX('PORTIFÓLIO'!$H$4:$H$433,MATCH($C338,'PORTIFÓLIO'!$C$4:$C$433,0)),"")</f>
        <v/>
      </c>
      <c r="I338" s="228" t="n"/>
      <c r="J338" s="209">
        <f>I338*$B$2</f>
        <v/>
      </c>
      <c r="K338" s="248">
        <f t="array" ref="K338">IFERROR(I338*INDEX('PORTIFÓLIO'!$S$4:$S$433,MATCH($C338,'PORTIFÓLIO'!$C$4:$C$433,0)),"")</f>
        <v/>
      </c>
      <c r="L338" s="248">
        <f t="array" ref="L338">IFERROR(J338*INDEX('PORTIFÓLIO'!$S$4:$S$433,MATCH($C338,'PORTIFÓLIO'!$C$4:$C$433,0)),"")</f>
        <v/>
      </c>
      <c r="M338" s="177" t="n"/>
      <c r="N338" s="177" t="n"/>
      <c r="O338" s="177" t="n"/>
      <c r="P338" s="177" t="n"/>
      <c r="Q338" s="177" t="n"/>
      <c r="R338" s="177" t="n"/>
      <c r="S338" s="177" t="n"/>
      <c r="T338" s="177" t="n"/>
      <c r="U338" s="177" t="n"/>
      <c r="V338" s="177" t="n"/>
      <c r="W338" s="177" t="n"/>
      <c r="X338" s="177" t="n"/>
    </row>
    <row r="339" outlineLevel="1" ht="15.75" customHeight="1" s="297">
      <c r="A339" s="190" t="n"/>
      <c r="B339" s="204" t="n"/>
      <c r="C339" s="191" t="n"/>
      <c r="D339" s="205">
        <f>IFERROR(VLOOKUP($C339,'PORTIFÓLIO'!C:V,2,0),"")</f>
        <v/>
      </c>
      <c r="E339" s="190">
        <f>IFERROR(VLOOKUP($C339,'PORTIFÓLIO'!C:V,3,0),"")</f>
        <v/>
      </c>
      <c r="F339" s="190">
        <f>IFERROR(VLOOKUP($C339,'PORTIFÓLIO'!C:V,4,0),"")</f>
        <v/>
      </c>
      <c r="G339" s="206">
        <f>IFERROR(VLOOKUP($C339,'PORTIFÓLIO'!C:V,5,0),"")</f>
        <v/>
      </c>
      <c r="H339" s="247">
        <f t="array" ref="H339">IFERROR(INDEX('PORTIFÓLIO'!$H$4:$H$433,MATCH($C339,'PORTIFÓLIO'!$C$4:$C$433,0)),"")</f>
        <v/>
      </c>
      <c r="I339" s="228" t="n"/>
      <c r="J339" s="209">
        <f>I339*$B$2</f>
        <v/>
      </c>
      <c r="K339" s="248">
        <f t="array" ref="K339">IFERROR(I339*INDEX('PORTIFÓLIO'!$S$4:$S$433,MATCH($C339,'PORTIFÓLIO'!$C$4:$C$433,0)),"")</f>
        <v/>
      </c>
      <c r="L339" s="248">
        <f t="array" ref="L339">IFERROR(J339*INDEX('PORTIFÓLIO'!$S$4:$S$433,MATCH($C339,'PORTIFÓLIO'!$C$4:$C$433,0)),"")</f>
        <v/>
      </c>
      <c r="M339" s="177" t="n"/>
      <c r="N339" s="177" t="n"/>
      <c r="O339" s="177" t="n"/>
      <c r="P339" s="177" t="n"/>
      <c r="Q339" s="177" t="n"/>
      <c r="R339" s="177" t="n"/>
      <c r="S339" s="177" t="n"/>
      <c r="T339" s="177" t="n"/>
      <c r="U339" s="177" t="n"/>
      <c r="V339" s="177" t="n"/>
      <c r="W339" s="177" t="n"/>
      <c r="X339" s="177" t="n"/>
    </row>
    <row r="340" outlineLevel="1" ht="15.75" customHeight="1" s="297">
      <c r="A340" s="190" t="n"/>
      <c r="B340" s="238" t="n"/>
      <c r="C340" s="190" t="n"/>
      <c r="D340" s="205">
        <f>IFERROR(VLOOKUP($C340,'PORTIFÓLIO'!C:V,2,0),"")</f>
        <v/>
      </c>
      <c r="E340" s="190">
        <f>IFERROR(VLOOKUP($C340,'PORTIFÓLIO'!C:V,3,0),"")</f>
        <v/>
      </c>
      <c r="F340" s="190">
        <f>IFERROR(VLOOKUP($C340,'PORTIFÓLIO'!C:V,4,0),"")</f>
        <v/>
      </c>
      <c r="G340" s="206">
        <f>IFERROR(VLOOKUP($C340,'PORTIFÓLIO'!C:V,5,0),"")</f>
        <v/>
      </c>
      <c r="H340" s="247">
        <f t="array" ref="H340">IFERROR(INDEX('PORTIFÓLIO'!$H$4:$H$433,MATCH($C340,'PORTIFÓLIO'!$C$4:$C$433,0)),"")</f>
        <v/>
      </c>
      <c r="I340" s="228" t="n"/>
      <c r="J340" s="209" t="n"/>
      <c r="K340" s="248">
        <f t="array" ref="K340">IFERROR(I340*INDEX('PORTIFÓLIO'!$S$4:$S$433,MATCH($C340,'PORTIFÓLIO'!$C$4:$C$433,0)),"")</f>
        <v/>
      </c>
      <c r="L340" s="248">
        <f t="array" ref="L340">IFERROR(J340*INDEX('PORTIFÓLIO'!$S$4:$S$433,MATCH($C340,'PORTIFÓLIO'!$C$4:$C$433,0)),"")</f>
        <v/>
      </c>
      <c r="M340" s="177" t="n"/>
      <c r="N340" s="177" t="n"/>
      <c r="O340" s="177" t="n"/>
      <c r="P340" s="177" t="n"/>
      <c r="Q340" s="177" t="n"/>
      <c r="R340" s="177" t="n"/>
      <c r="S340" s="177" t="n"/>
      <c r="T340" s="177" t="n"/>
      <c r="U340" s="177" t="n"/>
      <c r="V340" s="177" t="n"/>
      <c r="W340" s="177" t="n"/>
      <c r="X340" s="177" t="n"/>
    </row>
    <row r="341" ht="15.75" customHeight="1" s="297">
      <c r="A341" s="221" t="inlineStr">
        <is>
          <t>OPERAÇÃO 7</t>
        </is>
      </c>
      <c r="B341" s="197" t="n"/>
      <c r="C341" s="196" t="n"/>
      <c r="D341" s="198" t="n"/>
      <c r="E341" s="196" t="n"/>
      <c r="F341" s="196" t="n"/>
      <c r="G341" s="199" t="n"/>
      <c r="H341" s="199" t="n"/>
      <c r="I341" s="201" t="n"/>
      <c r="J341" s="202" t="n"/>
      <c r="K341" s="203">
        <f>SUBTOTAL(9,K342:K355)</f>
        <v/>
      </c>
      <c r="L341" s="203">
        <f>SUBTOTAL(9,L342:L355)</f>
        <v/>
      </c>
      <c r="M341" s="177" t="n"/>
      <c r="N341" s="177" t="n"/>
      <c r="O341" s="177" t="n"/>
      <c r="P341" s="177" t="n"/>
      <c r="Q341" s="177" t="n"/>
      <c r="R341" s="177" t="n"/>
      <c r="S341" s="177" t="n"/>
      <c r="T341" s="177" t="n"/>
      <c r="U341" s="177" t="n"/>
      <c r="V341" s="177" t="n"/>
      <c r="W341" s="177" t="n"/>
      <c r="X341" s="177" t="n"/>
    </row>
    <row r="342" outlineLevel="1" ht="15.75" customHeight="1" s="297">
      <c r="A342" s="191" t="n"/>
      <c r="B342" s="204" t="n"/>
      <c r="C342" s="191" t="n"/>
      <c r="D342" s="205">
        <f>IFERROR(VLOOKUP($C342,'PORTIFÓLIO'!C:V,2,0),"")</f>
        <v/>
      </c>
      <c r="E342" s="190">
        <f>IFERROR(VLOOKUP($C342,'PORTIFÓLIO'!C:V,3,0),"")</f>
        <v/>
      </c>
      <c r="F342" s="190">
        <f>IFERROR(VLOOKUP($C342,'PORTIFÓLIO'!C:V,4,0),"")</f>
        <v/>
      </c>
      <c r="G342" s="206">
        <f>IFERROR(VLOOKUP($C342,'PORTIFÓLIO'!C:V,5,0),"")</f>
        <v/>
      </c>
      <c r="H342" s="247">
        <f t="array" ref="H342">IFERROR(INDEX('PORTIFÓLIO'!$H$4:$H$433,MATCH($C342,'PORTIFÓLIO'!$C$4:$C$433,0)),"")</f>
        <v/>
      </c>
      <c r="I342" s="208" t="n"/>
      <c r="J342" s="209">
        <f>I342*$B$2</f>
        <v/>
      </c>
      <c r="K342" s="248">
        <f t="array" ref="K342">IFERROR(I342*INDEX('PORTIFÓLIO'!$S$4:$S$433,MATCH($C342,'PORTIFÓLIO'!$C$4:$C$433,0)),"")</f>
        <v/>
      </c>
      <c r="L342" s="248">
        <f t="array" ref="L342">IFERROR(J342*INDEX('PORTIFÓLIO'!$S$4:$S$433,MATCH($C342,'PORTIFÓLIO'!$C$4:$C$433,0)),"")</f>
        <v/>
      </c>
      <c r="M342" s="177" t="n"/>
      <c r="N342" s="177" t="n"/>
      <c r="O342" s="177" t="n"/>
      <c r="P342" s="177" t="n"/>
      <c r="Q342" s="177" t="n"/>
      <c r="R342" s="177" t="n"/>
      <c r="S342" s="177" t="n"/>
      <c r="T342" s="177" t="n"/>
      <c r="U342" s="177" t="n"/>
      <c r="V342" s="177" t="n"/>
      <c r="W342" s="177" t="n"/>
      <c r="X342" s="177" t="n"/>
    </row>
    <row r="343" outlineLevel="1" ht="15.75" customHeight="1" s="297">
      <c r="A343" s="190" t="n"/>
      <c r="B343" s="204" t="n"/>
      <c r="C343" s="191" t="n"/>
      <c r="D343" s="205">
        <f>IFERROR(VLOOKUP($C343,'PORTIFÓLIO'!C:V,2,0),"")</f>
        <v/>
      </c>
      <c r="E343" s="190">
        <f>IFERROR(VLOOKUP($C343,'PORTIFÓLIO'!C:V,3,0),"")</f>
        <v/>
      </c>
      <c r="F343" s="190">
        <f>IFERROR(VLOOKUP($C343,'PORTIFÓLIO'!C:V,4,0),"")</f>
        <v/>
      </c>
      <c r="G343" s="206">
        <f>IFERROR(VLOOKUP($C343,'PORTIFÓLIO'!C:V,5,0),"")</f>
        <v/>
      </c>
      <c r="H343" s="247">
        <f t="array" ref="H343">IFERROR(INDEX('PORTIFÓLIO'!$H$4:$H$433,MATCH($C343,'PORTIFÓLIO'!$C$4:$C$433,0)),"")</f>
        <v/>
      </c>
      <c r="I343" s="228" t="n"/>
      <c r="J343" s="209">
        <f>I343*$B$2</f>
        <v/>
      </c>
      <c r="K343" s="248">
        <f t="array" ref="K343">IFERROR(I343*INDEX('PORTIFÓLIO'!$S$4:$S$433,MATCH($C343,'PORTIFÓLIO'!$C$4:$C$433,0)),"")</f>
        <v/>
      </c>
      <c r="L343" s="248">
        <f t="array" ref="L343">IFERROR(J343*INDEX('PORTIFÓLIO'!$S$4:$S$433,MATCH($C343,'PORTIFÓLIO'!$C$4:$C$433,0)),"")</f>
        <v/>
      </c>
      <c r="M343" s="177" t="n"/>
      <c r="N343" s="177" t="n"/>
      <c r="O343" s="177" t="n"/>
      <c r="P343" s="177" t="n"/>
      <c r="Q343" s="177" t="n"/>
      <c r="R343" s="177" t="n"/>
      <c r="S343" s="177" t="n"/>
      <c r="T343" s="177" t="n"/>
      <c r="U343" s="177" t="n"/>
      <c r="V343" s="177" t="n"/>
      <c r="W343" s="177" t="n"/>
      <c r="X343" s="177" t="n"/>
    </row>
    <row r="344" outlineLevel="1" ht="15.75" customHeight="1" s="297">
      <c r="A344" s="190" t="n"/>
      <c r="B344" s="204" t="n"/>
      <c r="C344" s="191" t="n"/>
      <c r="D344" s="205">
        <f>IFERROR(VLOOKUP($C344,'PORTIFÓLIO'!C:V,2,0),"")</f>
        <v/>
      </c>
      <c r="E344" s="190">
        <f>IFERROR(VLOOKUP($C344,'PORTIFÓLIO'!C:V,3,0),"")</f>
        <v/>
      </c>
      <c r="F344" s="190">
        <f>IFERROR(VLOOKUP($C344,'PORTIFÓLIO'!C:V,4,0),"")</f>
        <v/>
      </c>
      <c r="G344" s="206">
        <f>IFERROR(VLOOKUP($C344,'PORTIFÓLIO'!C:V,5,0),"")</f>
        <v/>
      </c>
      <c r="H344" s="247">
        <f t="array" ref="H344">IFERROR(INDEX('PORTIFÓLIO'!$H$4:$H$433,MATCH($C344,'PORTIFÓLIO'!$C$4:$C$433,0)),"")</f>
        <v/>
      </c>
      <c r="I344" s="228" t="n"/>
      <c r="J344" s="209">
        <f>I344*$B$2</f>
        <v/>
      </c>
      <c r="K344" s="248">
        <f t="array" ref="K344">IFERROR(I344*INDEX('PORTIFÓLIO'!$S$4:$S$433,MATCH($C344,'PORTIFÓLIO'!$C$4:$C$433,0)),"")</f>
        <v/>
      </c>
      <c r="L344" s="248">
        <f t="array" ref="L344">IFERROR(J344*INDEX('PORTIFÓLIO'!$S$4:$S$433,MATCH($C344,'PORTIFÓLIO'!$C$4:$C$433,0)),"")</f>
        <v/>
      </c>
      <c r="M344" s="177" t="n"/>
      <c r="N344" s="177" t="n"/>
      <c r="O344" s="177" t="n"/>
      <c r="P344" s="177" t="n"/>
      <c r="Q344" s="177" t="n"/>
      <c r="R344" s="177" t="n"/>
      <c r="S344" s="177" t="n"/>
      <c r="T344" s="177" t="n"/>
      <c r="U344" s="177" t="n"/>
      <c r="V344" s="177" t="n"/>
      <c r="W344" s="177" t="n"/>
      <c r="X344" s="177" t="n"/>
    </row>
    <row r="345" outlineLevel="1" ht="15.75" customHeight="1" s="297">
      <c r="A345" s="190" t="n"/>
      <c r="B345" s="204" t="n"/>
      <c r="C345" s="191" t="n"/>
      <c r="D345" s="205">
        <f>IFERROR(VLOOKUP($C345,'PORTIFÓLIO'!C:V,2,0),"")</f>
        <v/>
      </c>
      <c r="E345" s="190">
        <f>IFERROR(VLOOKUP($C345,'PORTIFÓLIO'!C:V,3,0),"")</f>
        <v/>
      </c>
      <c r="F345" s="190">
        <f>IFERROR(VLOOKUP($C345,'PORTIFÓLIO'!C:V,4,0),"")</f>
        <v/>
      </c>
      <c r="G345" s="206">
        <f>IFERROR(VLOOKUP($C345,'PORTIFÓLIO'!C:V,5,0),"")</f>
        <v/>
      </c>
      <c r="H345" s="247">
        <f t="array" ref="H345">IFERROR(INDEX('PORTIFÓLIO'!$H$4:$H$433,MATCH($C345,'PORTIFÓLIO'!$C$4:$C$433,0)),"")</f>
        <v/>
      </c>
      <c r="I345" s="228" t="n"/>
      <c r="J345" s="209">
        <f>I345*$B$2</f>
        <v/>
      </c>
      <c r="K345" s="248">
        <f t="array" ref="K345">IFERROR(I345*INDEX('PORTIFÓLIO'!$S$4:$S$433,MATCH($C345,'PORTIFÓLIO'!$C$4:$C$433,0)),"")</f>
        <v/>
      </c>
      <c r="L345" s="248">
        <f t="array" ref="L345">IFERROR(J345*INDEX('PORTIFÓLIO'!$S$4:$S$433,MATCH($C345,'PORTIFÓLIO'!$C$4:$C$433,0)),"")</f>
        <v/>
      </c>
      <c r="M345" s="177" t="n"/>
      <c r="N345" s="177" t="n"/>
      <c r="O345" s="177" t="n"/>
      <c r="P345" s="177" t="n"/>
      <c r="Q345" s="177" t="n"/>
      <c r="R345" s="177" t="n"/>
      <c r="S345" s="177" t="n"/>
      <c r="T345" s="177" t="n"/>
      <c r="U345" s="177" t="n"/>
      <c r="V345" s="177" t="n"/>
      <c r="W345" s="177" t="n"/>
      <c r="X345" s="177" t="n"/>
    </row>
    <row r="346" outlineLevel="1" ht="15.75" customHeight="1" s="297">
      <c r="A346" s="190" t="n"/>
      <c r="B346" s="204" t="n"/>
      <c r="C346" s="191" t="n"/>
      <c r="D346" s="205">
        <f>IFERROR(VLOOKUP($C346,'PORTIFÓLIO'!C:V,2,0),"")</f>
        <v/>
      </c>
      <c r="E346" s="190">
        <f>IFERROR(VLOOKUP($C346,'PORTIFÓLIO'!C:V,3,0),"")</f>
        <v/>
      </c>
      <c r="F346" s="190">
        <f>IFERROR(VLOOKUP($C346,'PORTIFÓLIO'!C:V,4,0),"")</f>
        <v/>
      </c>
      <c r="G346" s="206">
        <f>IFERROR(VLOOKUP($C346,'PORTIFÓLIO'!C:V,5,0),"")</f>
        <v/>
      </c>
      <c r="H346" s="247">
        <f t="array" ref="H346">IFERROR(INDEX('PORTIFÓLIO'!$H$4:$H$433,MATCH($C346,'PORTIFÓLIO'!$C$4:$C$433,0)),"")</f>
        <v/>
      </c>
      <c r="I346" s="228" t="n"/>
      <c r="J346" s="209">
        <f>I346*$B$2</f>
        <v/>
      </c>
      <c r="K346" s="248">
        <f t="array" ref="K346">IFERROR(I346*INDEX('PORTIFÓLIO'!$S$4:$S$433,MATCH($C346,'PORTIFÓLIO'!$C$4:$C$433,0)),"")</f>
        <v/>
      </c>
      <c r="L346" s="248">
        <f t="array" ref="L346">IFERROR(J346*INDEX('PORTIFÓLIO'!$S$4:$S$433,MATCH($C346,'PORTIFÓLIO'!$C$4:$C$433,0)),"")</f>
        <v/>
      </c>
      <c r="M346" s="177" t="n"/>
      <c r="N346" s="177" t="n"/>
      <c r="O346" s="177" t="n"/>
      <c r="P346" s="177" t="n"/>
      <c r="Q346" s="177" t="n"/>
      <c r="R346" s="177" t="n"/>
      <c r="S346" s="177" t="n"/>
      <c r="T346" s="177" t="n"/>
      <c r="U346" s="177" t="n"/>
      <c r="V346" s="177" t="n"/>
      <c r="W346" s="177" t="n"/>
      <c r="X346" s="177" t="n"/>
    </row>
    <row r="347" outlineLevel="1" ht="15.75" customHeight="1" s="297">
      <c r="A347" s="190" t="n"/>
      <c r="B347" s="204" t="n"/>
      <c r="C347" s="191" t="n"/>
      <c r="D347" s="205">
        <f>IFERROR(VLOOKUP($C347,'PORTIFÓLIO'!C:V,2,0),"")</f>
        <v/>
      </c>
      <c r="E347" s="190">
        <f>IFERROR(VLOOKUP($C347,'PORTIFÓLIO'!C:V,3,0),"")</f>
        <v/>
      </c>
      <c r="F347" s="190">
        <f>IFERROR(VLOOKUP($C347,'PORTIFÓLIO'!C:V,4,0),"")</f>
        <v/>
      </c>
      <c r="G347" s="206">
        <f>IFERROR(VLOOKUP($C347,'PORTIFÓLIO'!C:V,5,0),"")</f>
        <v/>
      </c>
      <c r="H347" s="247">
        <f t="array" ref="H347">IFERROR(INDEX('PORTIFÓLIO'!$H$4:$H$433,MATCH($C347,'PORTIFÓLIO'!$C$4:$C$433,0)),"")</f>
        <v/>
      </c>
      <c r="I347" s="228" t="n"/>
      <c r="J347" s="209">
        <f>I347*$B$2</f>
        <v/>
      </c>
      <c r="K347" s="248">
        <f t="array" ref="K347">IFERROR(I347*INDEX('PORTIFÓLIO'!$S$4:$S$433,MATCH($C347,'PORTIFÓLIO'!$C$4:$C$433,0)),"")</f>
        <v/>
      </c>
      <c r="L347" s="248">
        <f t="array" ref="L347">IFERROR(J347*INDEX('PORTIFÓLIO'!$S$4:$S$433,MATCH($C347,'PORTIFÓLIO'!$C$4:$C$433,0)),"")</f>
        <v/>
      </c>
      <c r="M347" s="177" t="n"/>
      <c r="N347" s="177" t="n"/>
      <c r="O347" s="177" t="n"/>
      <c r="P347" s="177" t="n"/>
      <c r="Q347" s="177" t="n"/>
      <c r="R347" s="177" t="n"/>
      <c r="S347" s="177" t="n"/>
      <c r="T347" s="177" t="n"/>
      <c r="U347" s="177" t="n"/>
      <c r="V347" s="177" t="n"/>
      <c r="W347" s="177" t="n"/>
      <c r="X347" s="177" t="n"/>
    </row>
    <row r="348" outlineLevel="1" ht="15.75" customHeight="1" s="297">
      <c r="A348" s="190" t="n"/>
      <c r="B348" s="204" t="n"/>
      <c r="C348" s="191" t="n"/>
      <c r="D348" s="205">
        <f>IFERROR(VLOOKUP($C348,'PORTIFÓLIO'!C:V,2,0),"")</f>
        <v/>
      </c>
      <c r="E348" s="190">
        <f>IFERROR(VLOOKUP($C348,'PORTIFÓLIO'!C:V,3,0),"")</f>
        <v/>
      </c>
      <c r="F348" s="190">
        <f>IFERROR(VLOOKUP($C348,'PORTIFÓLIO'!C:V,4,0),"")</f>
        <v/>
      </c>
      <c r="G348" s="206">
        <f>IFERROR(VLOOKUP($C348,'PORTIFÓLIO'!C:V,5,0),"")</f>
        <v/>
      </c>
      <c r="H348" s="247">
        <f t="array" ref="H348">IFERROR(INDEX('PORTIFÓLIO'!$H$4:$H$433,MATCH($C348,'PORTIFÓLIO'!$C$4:$C$433,0)),"")</f>
        <v/>
      </c>
      <c r="I348" s="228" t="n"/>
      <c r="J348" s="209">
        <f>I348*$B$2</f>
        <v/>
      </c>
      <c r="K348" s="248">
        <f t="array" ref="K348">IFERROR(I348*INDEX('PORTIFÓLIO'!$S$4:$S$433,MATCH($C348,'PORTIFÓLIO'!$C$4:$C$433,0)),"")</f>
        <v/>
      </c>
      <c r="L348" s="248">
        <f t="array" ref="L348">IFERROR(J348*INDEX('PORTIFÓLIO'!$S$4:$S$433,MATCH($C348,'PORTIFÓLIO'!$C$4:$C$433,0)),"")</f>
        <v/>
      </c>
      <c r="M348" s="177" t="n"/>
      <c r="N348" s="177" t="n"/>
      <c r="O348" s="177" t="n"/>
      <c r="P348" s="177" t="n"/>
      <c r="Q348" s="177" t="n"/>
      <c r="R348" s="177" t="n"/>
      <c r="S348" s="177" t="n"/>
      <c r="T348" s="177" t="n"/>
      <c r="U348" s="177" t="n"/>
      <c r="V348" s="177" t="n"/>
      <c r="W348" s="177" t="n"/>
      <c r="X348" s="177" t="n"/>
    </row>
    <row r="349" outlineLevel="1" ht="15.75" customHeight="1" s="297">
      <c r="A349" s="190" t="n"/>
      <c r="B349" s="204" t="n"/>
      <c r="C349" s="191" t="n"/>
      <c r="D349" s="205">
        <f>IFERROR(VLOOKUP($C349,'PORTIFÓLIO'!C:V,2,0),"")</f>
        <v/>
      </c>
      <c r="E349" s="190">
        <f>IFERROR(VLOOKUP($C349,'PORTIFÓLIO'!C:V,3,0),"")</f>
        <v/>
      </c>
      <c r="F349" s="190">
        <f>IFERROR(VLOOKUP($C349,'PORTIFÓLIO'!C:V,4,0),"")</f>
        <v/>
      </c>
      <c r="G349" s="206">
        <f>IFERROR(VLOOKUP($C349,'PORTIFÓLIO'!C:V,5,0),"")</f>
        <v/>
      </c>
      <c r="H349" s="247">
        <f t="array" ref="H349">IFERROR(INDEX('PORTIFÓLIO'!$H$4:$H$433,MATCH($C349,'PORTIFÓLIO'!$C$4:$C$433,0)),"")</f>
        <v/>
      </c>
      <c r="I349" s="228" t="n"/>
      <c r="J349" s="209">
        <f>I349*$B$2</f>
        <v/>
      </c>
      <c r="K349" s="248">
        <f t="array" ref="K349">IFERROR(I349*INDEX('PORTIFÓLIO'!$S$4:$S$433,MATCH($C349,'PORTIFÓLIO'!$C$4:$C$433,0)),"")</f>
        <v/>
      </c>
      <c r="L349" s="248">
        <f t="array" ref="L349">IFERROR(J349*INDEX('PORTIFÓLIO'!$S$4:$S$433,MATCH($C349,'PORTIFÓLIO'!$C$4:$C$433,0)),"")</f>
        <v/>
      </c>
      <c r="M349" s="177" t="n"/>
      <c r="N349" s="177" t="n"/>
      <c r="O349" s="177" t="n"/>
      <c r="P349" s="177" t="n"/>
      <c r="Q349" s="177" t="n"/>
      <c r="R349" s="177" t="n"/>
      <c r="S349" s="177" t="n"/>
      <c r="T349" s="177" t="n"/>
      <c r="U349" s="177" t="n"/>
      <c r="V349" s="177" t="n"/>
      <c r="W349" s="177" t="n"/>
      <c r="X349" s="177" t="n"/>
    </row>
    <row r="350" outlineLevel="1" ht="15.75" customHeight="1" s="297">
      <c r="A350" s="190" t="n"/>
      <c r="B350" s="204" t="n"/>
      <c r="C350" s="191" t="n"/>
      <c r="D350" s="205">
        <f>IFERROR(VLOOKUP($C350,'PORTIFÓLIO'!C:V,2,0),"")</f>
        <v/>
      </c>
      <c r="E350" s="190">
        <f>IFERROR(VLOOKUP($C350,'PORTIFÓLIO'!C:V,3,0),"")</f>
        <v/>
      </c>
      <c r="F350" s="190">
        <f>IFERROR(VLOOKUP($C350,'PORTIFÓLIO'!C:V,4,0),"")</f>
        <v/>
      </c>
      <c r="G350" s="206">
        <f>IFERROR(VLOOKUP($C350,'PORTIFÓLIO'!C:V,5,0),"")</f>
        <v/>
      </c>
      <c r="H350" s="247">
        <f t="array" ref="H350">IFERROR(INDEX('PORTIFÓLIO'!$H$4:$H$433,MATCH($C350,'PORTIFÓLIO'!$C$4:$C$433,0)),"")</f>
        <v/>
      </c>
      <c r="I350" s="208" t="n"/>
      <c r="J350" s="209">
        <f>I350*$B$2</f>
        <v/>
      </c>
      <c r="K350" s="248">
        <f t="array" ref="K350">IFERROR(I350*INDEX('PORTIFÓLIO'!$S$4:$S$433,MATCH($C350,'PORTIFÓLIO'!$C$4:$C$433,0)),"")</f>
        <v/>
      </c>
      <c r="L350" s="248">
        <f t="array" ref="L350">IFERROR(J350*INDEX('PORTIFÓLIO'!$S$4:$S$433,MATCH($C350,'PORTIFÓLIO'!$C$4:$C$433,0)),"")</f>
        <v/>
      </c>
      <c r="M350" s="177" t="n"/>
      <c r="N350" s="177" t="n"/>
      <c r="O350" s="177" t="n"/>
      <c r="P350" s="177" t="n"/>
      <c r="Q350" s="177" t="n"/>
      <c r="R350" s="177" t="n"/>
      <c r="S350" s="177" t="n"/>
      <c r="T350" s="177" t="n"/>
      <c r="U350" s="177" t="n"/>
      <c r="V350" s="177" t="n"/>
      <c r="W350" s="177" t="n"/>
      <c r="X350" s="177" t="n"/>
    </row>
    <row r="351" outlineLevel="1" ht="15.75" customHeight="1" s="297">
      <c r="A351" s="190" t="n"/>
      <c r="B351" s="204" t="n"/>
      <c r="C351" s="191" t="n"/>
      <c r="D351" s="205">
        <f>IFERROR(VLOOKUP($C351,'PORTIFÓLIO'!C:V,2,0),"")</f>
        <v/>
      </c>
      <c r="E351" s="190">
        <f>IFERROR(VLOOKUP($C351,'PORTIFÓLIO'!C:V,3,0),"")</f>
        <v/>
      </c>
      <c r="F351" s="190">
        <f>IFERROR(VLOOKUP($C351,'PORTIFÓLIO'!C:V,4,0),"")</f>
        <v/>
      </c>
      <c r="G351" s="206">
        <f>IFERROR(VLOOKUP($C351,'PORTIFÓLIO'!C:V,5,0),"")</f>
        <v/>
      </c>
      <c r="H351" s="247">
        <f t="array" ref="H351">IFERROR(INDEX('PORTIFÓLIO'!$H$4:$H$433,MATCH($C351,'PORTIFÓLIO'!$C$4:$C$433,0)),"")</f>
        <v/>
      </c>
      <c r="I351" s="228" t="n"/>
      <c r="J351" s="209">
        <f>I351*$B$2</f>
        <v/>
      </c>
      <c r="K351" s="248">
        <f t="array" ref="K351">IFERROR(I351*INDEX('PORTIFÓLIO'!$S$4:$S$433,MATCH($C351,'PORTIFÓLIO'!$C$4:$C$433,0)),"")</f>
        <v/>
      </c>
      <c r="L351" s="248">
        <f t="array" ref="L351">IFERROR(J351*INDEX('PORTIFÓLIO'!$S$4:$S$433,MATCH($C351,'PORTIFÓLIO'!$C$4:$C$433,0)),"")</f>
        <v/>
      </c>
      <c r="M351" s="177" t="n"/>
      <c r="N351" s="177" t="n"/>
      <c r="O351" s="177" t="n"/>
      <c r="P351" s="177" t="n"/>
      <c r="Q351" s="177" t="n"/>
      <c r="R351" s="177" t="n"/>
      <c r="S351" s="177" t="n"/>
      <c r="T351" s="177" t="n"/>
      <c r="U351" s="177" t="n"/>
      <c r="V351" s="177" t="n"/>
      <c r="W351" s="177" t="n"/>
      <c r="X351" s="177" t="n"/>
    </row>
    <row r="352" outlineLevel="1" ht="15.75" customHeight="1" s="297">
      <c r="A352" s="190" t="n"/>
      <c r="B352" s="204" t="n"/>
      <c r="C352" s="191" t="n"/>
      <c r="D352" s="205">
        <f>IFERROR(VLOOKUP($C352,'PORTIFÓLIO'!C:V,2,0),"")</f>
        <v/>
      </c>
      <c r="E352" s="190">
        <f>IFERROR(VLOOKUP($C352,'PORTIFÓLIO'!C:V,3,0),"")</f>
        <v/>
      </c>
      <c r="F352" s="190">
        <f>IFERROR(VLOOKUP($C352,'PORTIFÓLIO'!C:V,4,0),"")</f>
        <v/>
      </c>
      <c r="G352" s="206">
        <f>IFERROR(VLOOKUP($C352,'PORTIFÓLIO'!C:V,5,0),"")</f>
        <v/>
      </c>
      <c r="H352" s="247">
        <f t="array" ref="H352">IFERROR(INDEX('PORTIFÓLIO'!$H$4:$H$433,MATCH($C352,'PORTIFÓLIO'!$C$4:$C$433,0)),"")</f>
        <v/>
      </c>
      <c r="I352" s="228" t="n"/>
      <c r="J352" s="209">
        <f>I352*$B$2</f>
        <v/>
      </c>
      <c r="K352" s="248">
        <f t="array" ref="K352">IFERROR(I352*INDEX('PORTIFÓLIO'!$S$4:$S$433,MATCH($C352,'PORTIFÓLIO'!$C$4:$C$433,0)),"")</f>
        <v/>
      </c>
      <c r="L352" s="248">
        <f t="array" ref="L352">IFERROR(J352*INDEX('PORTIFÓLIO'!$S$4:$S$433,MATCH($C352,'PORTIFÓLIO'!$C$4:$C$433,0)),"")</f>
        <v/>
      </c>
      <c r="M352" s="177" t="n"/>
      <c r="N352" s="177" t="n"/>
      <c r="O352" s="177" t="n"/>
      <c r="P352" s="177" t="n"/>
      <c r="Q352" s="177" t="n"/>
      <c r="R352" s="177" t="n"/>
      <c r="S352" s="177" t="n"/>
      <c r="T352" s="177" t="n"/>
      <c r="U352" s="177" t="n"/>
      <c r="V352" s="177" t="n"/>
      <c r="W352" s="177" t="n"/>
      <c r="X352" s="177" t="n"/>
    </row>
    <row r="353" outlineLevel="1" ht="15.75" customHeight="1" s="297">
      <c r="A353" s="190" t="n"/>
      <c r="B353" s="204" t="n"/>
      <c r="C353" s="191" t="n"/>
      <c r="D353" s="205">
        <f>IFERROR(VLOOKUP($C353,'PORTIFÓLIO'!C:V,2,0),"")</f>
        <v/>
      </c>
      <c r="E353" s="190">
        <f>IFERROR(VLOOKUP($C353,'PORTIFÓLIO'!C:V,3,0),"")</f>
        <v/>
      </c>
      <c r="F353" s="190">
        <f>IFERROR(VLOOKUP($C353,'PORTIFÓLIO'!C:V,4,0),"")</f>
        <v/>
      </c>
      <c r="G353" s="206">
        <f>IFERROR(VLOOKUP($C353,'PORTIFÓLIO'!C:V,5,0),"")</f>
        <v/>
      </c>
      <c r="H353" s="247">
        <f t="array" ref="H353">IFERROR(INDEX('PORTIFÓLIO'!$H$4:$H$433,MATCH($C353,'PORTIFÓLIO'!$C$4:$C$433,0)),"")</f>
        <v/>
      </c>
      <c r="I353" s="228" t="n"/>
      <c r="J353" s="209">
        <f>I353*$B$2</f>
        <v/>
      </c>
      <c r="K353" s="248">
        <f t="array" ref="K353">IFERROR(I353*INDEX('PORTIFÓLIO'!$S$4:$S$433,MATCH($C353,'PORTIFÓLIO'!$C$4:$C$433,0)),"")</f>
        <v/>
      </c>
      <c r="L353" s="248">
        <f t="array" ref="L353">IFERROR(J353*INDEX('PORTIFÓLIO'!$S$4:$S$433,MATCH($C353,'PORTIFÓLIO'!$C$4:$C$433,0)),"")</f>
        <v/>
      </c>
      <c r="M353" s="177" t="n"/>
      <c r="N353" s="177" t="n"/>
      <c r="O353" s="177" t="n"/>
      <c r="P353" s="177" t="n"/>
      <c r="Q353" s="177" t="n"/>
      <c r="R353" s="177" t="n"/>
      <c r="S353" s="177" t="n"/>
      <c r="T353" s="177" t="n"/>
      <c r="U353" s="177" t="n"/>
      <c r="V353" s="177" t="n"/>
      <c r="W353" s="177" t="n"/>
      <c r="X353" s="177" t="n"/>
    </row>
    <row r="354" outlineLevel="1" ht="15.75" customHeight="1" s="297">
      <c r="A354" s="190" t="n"/>
      <c r="B354" s="204" t="n"/>
      <c r="C354" s="191" t="n"/>
      <c r="D354" s="205">
        <f>IFERROR(VLOOKUP($C354,'PORTIFÓLIO'!C:V,2,0),"")</f>
        <v/>
      </c>
      <c r="E354" s="190">
        <f>IFERROR(VLOOKUP($C354,'PORTIFÓLIO'!C:V,3,0),"")</f>
        <v/>
      </c>
      <c r="F354" s="190">
        <f>IFERROR(VLOOKUP($C354,'PORTIFÓLIO'!C:V,4,0),"")</f>
        <v/>
      </c>
      <c r="G354" s="206">
        <f>IFERROR(VLOOKUP($C354,'PORTIFÓLIO'!C:V,5,0),"")</f>
        <v/>
      </c>
      <c r="H354" s="247">
        <f t="array" ref="H354">IFERROR(INDEX('PORTIFÓLIO'!$H$4:$H$433,MATCH($C354,'PORTIFÓLIO'!$C$4:$C$433,0)),"")</f>
        <v/>
      </c>
      <c r="I354" s="228" t="n"/>
      <c r="J354" s="209">
        <f>I354*$B$2</f>
        <v/>
      </c>
      <c r="K354" s="248">
        <f t="array" ref="K354">IFERROR(I354*INDEX('PORTIFÓLIO'!$S$4:$S$433,MATCH($C354,'PORTIFÓLIO'!$C$4:$C$433,0)),"")</f>
        <v/>
      </c>
      <c r="L354" s="248">
        <f t="array" ref="L354">IFERROR(J354*INDEX('PORTIFÓLIO'!$S$4:$S$433,MATCH($C354,'PORTIFÓLIO'!$C$4:$C$433,0)),"")</f>
        <v/>
      </c>
      <c r="M354" s="177" t="n"/>
      <c r="N354" s="177" t="n"/>
      <c r="O354" s="177" t="n"/>
      <c r="P354" s="177" t="n"/>
      <c r="Q354" s="177" t="n"/>
      <c r="R354" s="177" t="n"/>
      <c r="S354" s="177" t="n"/>
      <c r="T354" s="177" t="n"/>
      <c r="U354" s="177" t="n"/>
      <c r="V354" s="177" t="n"/>
      <c r="W354" s="177" t="n"/>
      <c r="X354" s="177" t="n"/>
    </row>
    <row r="355" outlineLevel="1" ht="15.75" customHeight="1" s="297">
      <c r="A355" s="190" t="n"/>
      <c r="B355" s="204" t="n"/>
      <c r="C355" s="191" t="n"/>
      <c r="D355" s="205">
        <f>IFERROR(VLOOKUP($C355,'PORTIFÓLIO'!C:V,2,0),"")</f>
        <v/>
      </c>
      <c r="E355" s="190">
        <f>IFERROR(VLOOKUP($C355,'PORTIFÓLIO'!C:V,3,0),"")</f>
        <v/>
      </c>
      <c r="F355" s="190">
        <f>IFERROR(VLOOKUP($C355,'PORTIFÓLIO'!C:V,4,0),"")</f>
        <v/>
      </c>
      <c r="G355" s="206">
        <f>IFERROR(VLOOKUP($C355,'PORTIFÓLIO'!C:V,5,0),"")</f>
        <v/>
      </c>
      <c r="H355" s="247">
        <f t="array" ref="H355">IFERROR(INDEX('PORTIFÓLIO'!$H$4:$H$433,MATCH($C355,'PORTIFÓLIO'!$C$4:$C$433,0)),"")</f>
        <v/>
      </c>
      <c r="I355" s="228" t="n"/>
      <c r="J355" s="209">
        <f>I355*$B$2</f>
        <v/>
      </c>
      <c r="K355" s="248">
        <f t="array" ref="K355">IFERROR(I355*INDEX('PORTIFÓLIO'!$S$4:$S$433,MATCH($C355,'PORTIFÓLIO'!$C$4:$C$433,0)),"")</f>
        <v/>
      </c>
      <c r="L355" s="248">
        <f t="array" ref="L355">IFERROR(J355*INDEX('PORTIFÓLIO'!$S$4:$S$433,MATCH($C355,'PORTIFÓLIO'!$C$4:$C$433,0)),"")</f>
        <v/>
      </c>
      <c r="M355" s="177" t="n"/>
      <c r="N355" s="177" t="n"/>
      <c r="O355" s="177" t="n"/>
      <c r="P355" s="177" t="n"/>
      <c r="Q355" s="177" t="n"/>
      <c r="R355" s="177" t="n"/>
      <c r="S355" s="177" t="n"/>
      <c r="T355" s="177" t="n"/>
      <c r="U355" s="177" t="n"/>
      <c r="V355" s="177" t="n"/>
      <c r="W355" s="177" t="n"/>
      <c r="X355" s="177" t="n"/>
    </row>
    <row r="356" outlineLevel="1" ht="15.75" customHeight="1" s="297">
      <c r="A356" s="190" t="n"/>
      <c r="B356" s="204" t="n"/>
      <c r="C356" s="191" t="n"/>
      <c r="D356" s="205">
        <f>IFERROR(VLOOKUP($C356,'PORTIFÓLIO'!C:V,2,0),"")</f>
        <v/>
      </c>
      <c r="E356" s="190">
        <f>IFERROR(VLOOKUP($C356,'PORTIFÓLIO'!C:V,3,0),"")</f>
        <v/>
      </c>
      <c r="F356" s="190">
        <f>IFERROR(VLOOKUP($C356,'PORTIFÓLIO'!C:V,4,0),"")</f>
        <v/>
      </c>
      <c r="G356" s="206">
        <f>IFERROR(VLOOKUP($C356,'PORTIFÓLIO'!C:V,5,0),"")</f>
        <v/>
      </c>
      <c r="H356" s="247">
        <f t="array" ref="H356">IFERROR(INDEX('PORTIFÓLIO'!$H$4:$H$433,MATCH($C356,'PORTIFÓLIO'!$C$4:$C$433,0)),"")</f>
        <v/>
      </c>
      <c r="I356" s="228" t="n"/>
      <c r="J356" s="209">
        <f>I356*$B$2</f>
        <v/>
      </c>
      <c r="K356" s="248">
        <f t="array" ref="K356">IFERROR(I356*INDEX('PORTIFÓLIO'!$S$4:$S$433,MATCH($C356,'PORTIFÓLIO'!$C$4:$C$433,0)),"")</f>
        <v/>
      </c>
      <c r="L356" s="248">
        <f t="array" ref="L356">IFERROR(J356*INDEX('PORTIFÓLIO'!$S$4:$S$433,MATCH($C356,'PORTIFÓLIO'!$C$4:$C$433,0)),"")</f>
        <v/>
      </c>
      <c r="M356" s="177" t="n"/>
      <c r="N356" s="177" t="n"/>
      <c r="O356" s="177" t="n"/>
      <c r="P356" s="177" t="n"/>
      <c r="Q356" s="177" t="n"/>
      <c r="R356" s="177" t="n"/>
      <c r="S356" s="177" t="n"/>
      <c r="T356" s="177" t="n"/>
      <c r="U356" s="177" t="n"/>
      <c r="V356" s="177" t="n"/>
      <c r="W356" s="177" t="n"/>
      <c r="X356" s="177" t="n"/>
    </row>
    <row r="357" outlineLevel="1" ht="15.75" customHeight="1" s="297">
      <c r="A357" s="190" t="n"/>
      <c r="B357" s="238" t="n"/>
      <c r="C357" s="190" t="n"/>
      <c r="D357" s="205">
        <f>IFERROR(VLOOKUP($C357,'PORTIFÓLIO'!C:V,2,0),"")</f>
        <v/>
      </c>
      <c r="E357" s="190">
        <f>IFERROR(VLOOKUP($C357,'PORTIFÓLIO'!C:V,3,0),"")</f>
        <v/>
      </c>
      <c r="F357" s="190">
        <f>IFERROR(VLOOKUP($C357,'PORTIFÓLIO'!C:V,4,0),"")</f>
        <v/>
      </c>
      <c r="G357" s="206">
        <f>IFERROR(VLOOKUP($C357,'PORTIFÓLIO'!C:V,5,0),"")</f>
        <v/>
      </c>
      <c r="H357" s="247">
        <f t="array" ref="H357">IFERROR(INDEX('PORTIFÓLIO'!$H$4:$H$433,MATCH($C357,'PORTIFÓLIO'!$C$4:$C$433,0)),"")</f>
        <v/>
      </c>
      <c r="I357" s="228" t="n"/>
      <c r="J357" s="209" t="n"/>
      <c r="K357" s="248">
        <f t="array" ref="K357">IFERROR(I357*INDEX('PORTIFÓLIO'!$S$4:$S$433,MATCH($C357,'PORTIFÓLIO'!$C$4:$C$433,0)),"")</f>
        <v/>
      </c>
      <c r="L357" s="248">
        <f t="array" ref="L357">IFERROR(J357*INDEX('PORTIFÓLIO'!$S$4:$S$433,MATCH($C357,'PORTIFÓLIO'!$C$4:$C$433,0)),"")</f>
        <v/>
      </c>
      <c r="M357" s="177" t="n"/>
      <c r="N357" s="177" t="n"/>
      <c r="O357" s="177" t="n"/>
      <c r="P357" s="177" t="n"/>
      <c r="Q357" s="177" t="n"/>
      <c r="R357" s="177" t="n"/>
      <c r="S357" s="177" t="n"/>
      <c r="T357" s="177" t="n"/>
      <c r="U357" s="177" t="n"/>
      <c r="V357" s="177" t="n"/>
      <c r="W357" s="177" t="n"/>
      <c r="X357" s="177" t="n"/>
    </row>
    <row r="358" ht="15.75" customHeight="1" s="297">
      <c r="A358" s="221" t="inlineStr">
        <is>
          <t>OPERAÇÃO 8</t>
        </is>
      </c>
      <c r="B358" s="197" t="n"/>
      <c r="C358" s="196" t="n"/>
      <c r="D358" s="198" t="n"/>
      <c r="E358" s="196" t="n"/>
      <c r="F358" s="196" t="n"/>
      <c r="G358" s="199" t="n"/>
      <c r="H358" s="199" t="n"/>
      <c r="I358" s="201" t="n"/>
      <c r="J358" s="202" t="n"/>
      <c r="K358" s="203">
        <f>SUBTOTAL(9,K359:K372)</f>
        <v/>
      </c>
      <c r="L358" s="203">
        <f>SUBTOTAL(9,L359:L372)</f>
        <v/>
      </c>
      <c r="M358" s="177" t="n"/>
      <c r="N358" s="177" t="n"/>
      <c r="O358" s="177" t="n"/>
      <c r="P358" s="177" t="n"/>
      <c r="Q358" s="177" t="n"/>
      <c r="R358" s="177" t="n"/>
      <c r="S358" s="177" t="n"/>
      <c r="T358" s="177" t="n"/>
      <c r="U358" s="177" t="n"/>
      <c r="V358" s="177" t="n"/>
      <c r="W358" s="177" t="n"/>
      <c r="X358" s="177" t="n"/>
    </row>
    <row r="359" outlineLevel="1" ht="15.75" customHeight="1" s="297">
      <c r="A359" s="191" t="n"/>
      <c r="B359" s="204" t="n"/>
      <c r="C359" s="191" t="n"/>
      <c r="D359" s="205">
        <f>IFERROR(VLOOKUP($C359,'PORTIFÓLIO'!C:V,2,0),"")</f>
        <v/>
      </c>
      <c r="E359" s="190">
        <f>IFERROR(VLOOKUP($C359,'PORTIFÓLIO'!C:V,3,0),"")</f>
        <v/>
      </c>
      <c r="F359" s="190">
        <f>IFERROR(VLOOKUP($C359,'PORTIFÓLIO'!C:V,4,0),"")</f>
        <v/>
      </c>
      <c r="G359" s="206">
        <f>IFERROR(VLOOKUP($C359,'PORTIFÓLIO'!C:V,5,0),"")</f>
        <v/>
      </c>
      <c r="H359" s="247">
        <f t="array" ref="H359">IFERROR(INDEX('PORTIFÓLIO'!$H$4:$H$433,MATCH($C359,'PORTIFÓLIO'!$C$4:$C$433,0)),"")</f>
        <v/>
      </c>
      <c r="I359" s="208" t="n"/>
      <c r="J359" s="209">
        <f>I359*$B$2</f>
        <v/>
      </c>
      <c r="K359" s="248">
        <f t="array" ref="K359">IFERROR(I359*INDEX('PORTIFÓLIO'!$S$4:$S$433,MATCH($C359,'PORTIFÓLIO'!$C$4:$C$433,0)),"")</f>
        <v/>
      </c>
      <c r="L359" s="248">
        <f t="array" ref="L359">IFERROR(J359*INDEX('PORTIFÓLIO'!$S$4:$S$433,MATCH($C359,'PORTIFÓLIO'!$C$4:$C$433,0)),"")</f>
        <v/>
      </c>
      <c r="M359" s="177" t="n"/>
      <c r="N359" s="177" t="n"/>
      <c r="O359" s="177" t="n"/>
      <c r="P359" s="177" t="n"/>
      <c r="Q359" s="177" t="n"/>
      <c r="R359" s="177" t="n"/>
      <c r="S359" s="177" t="n"/>
      <c r="T359" s="177" t="n"/>
      <c r="U359" s="177" t="n"/>
      <c r="V359" s="177" t="n"/>
      <c r="W359" s="177" t="n"/>
      <c r="X359" s="177" t="n"/>
    </row>
    <row r="360" outlineLevel="1" ht="15.75" customHeight="1" s="297">
      <c r="A360" s="190" t="n"/>
      <c r="B360" s="204" t="n"/>
      <c r="C360" s="191" t="n"/>
      <c r="D360" s="205">
        <f>IFERROR(VLOOKUP($C360,'PORTIFÓLIO'!C:V,2,0),"")</f>
        <v/>
      </c>
      <c r="E360" s="190">
        <f>IFERROR(VLOOKUP($C360,'PORTIFÓLIO'!C:V,3,0),"")</f>
        <v/>
      </c>
      <c r="F360" s="190">
        <f>IFERROR(VLOOKUP($C360,'PORTIFÓLIO'!C:V,4,0),"")</f>
        <v/>
      </c>
      <c r="G360" s="206">
        <f>IFERROR(VLOOKUP($C360,'PORTIFÓLIO'!C:V,5,0),"")</f>
        <v/>
      </c>
      <c r="H360" s="247">
        <f t="array" ref="H360">IFERROR(INDEX('PORTIFÓLIO'!$H$4:$H$433,MATCH($C360,'PORTIFÓLIO'!$C$4:$C$433,0)),"")</f>
        <v/>
      </c>
      <c r="I360" s="228" t="n"/>
      <c r="J360" s="209">
        <f>I360*$B$2</f>
        <v/>
      </c>
      <c r="K360" s="248">
        <f t="array" ref="K360">IFERROR(I360*INDEX('PORTIFÓLIO'!$S$4:$S$433,MATCH($C360,'PORTIFÓLIO'!$C$4:$C$433,0)),"")</f>
        <v/>
      </c>
      <c r="L360" s="248">
        <f t="array" ref="L360">IFERROR(J360*INDEX('PORTIFÓLIO'!$S$4:$S$433,MATCH($C360,'PORTIFÓLIO'!$C$4:$C$433,0)),"")</f>
        <v/>
      </c>
      <c r="M360" s="177" t="n"/>
      <c r="N360" s="177" t="n"/>
      <c r="O360" s="177" t="n"/>
      <c r="P360" s="177" t="n"/>
      <c r="Q360" s="177" t="n"/>
      <c r="R360" s="177" t="n"/>
      <c r="S360" s="177" t="n"/>
      <c r="T360" s="177" t="n"/>
      <c r="U360" s="177" t="n"/>
      <c r="V360" s="177" t="n"/>
      <c r="W360" s="177" t="n"/>
      <c r="X360" s="177" t="n"/>
    </row>
    <row r="361" outlineLevel="1" ht="15.75" customHeight="1" s="297">
      <c r="A361" s="190" t="n"/>
      <c r="B361" s="204" t="n"/>
      <c r="C361" s="191" t="n"/>
      <c r="D361" s="205">
        <f>IFERROR(VLOOKUP($C361,'PORTIFÓLIO'!C:V,2,0),"")</f>
        <v/>
      </c>
      <c r="E361" s="190">
        <f>IFERROR(VLOOKUP($C361,'PORTIFÓLIO'!C:V,3,0),"")</f>
        <v/>
      </c>
      <c r="F361" s="190">
        <f>IFERROR(VLOOKUP($C361,'PORTIFÓLIO'!C:V,4,0),"")</f>
        <v/>
      </c>
      <c r="G361" s="206">
        <f>IFERROR(VLOOKUP($C361,'PORTIFÓLIO'!C:V,5,0),"")</f>
        <v/>
      </c>
      <c r="H361" s="247">
        <f t="array" ref="H361">IFERROR(INDEX('PORTIFÓLIO'!$H$4:$H$433,MATCH($C361,'PORTIFÓLIO'!$C$4:$C$433,0)),"")</f>
        <v/>
      </c>
      <c r="I361" s="228" t="n"/>
      <c r="J361" s="209">
        <f>I361*$B$2</f>
        <v/>
      </c>
      <c r="K361" s="248">
        <f t="array" ref="K361">IFERROR(I361*INDEX('PORTIFÓLIO'!$S$4:$S$433,MATCH($C361,'PORTIFÓLIO'!$C$4:$C$433,0)),"")</f>
        <v/>
      </c>
      <c r="L361" s="248">
        <f t="array" ref="L361">IFERROR(J361*INDEX('PORTIFÓLIO'!$S$4:$S$433,MATCH($C361,'PORTIFÓLIO'!$C$4:$C$433,0)),"")</f>
        <v/>
      </c>
      <c r="M361" s="177" t="n"/>
      <c r="N361" s="177" t="n"/>
      <c r="O361" s="177" t="n"/>
      <c r="P361" s="177" t="n"/>
      <c r="Q361" s="177" t="n"/>
      <c r="R361" s="177" t="n"/>
      <c r="S361" s="177" t="n"/>
      <c r="T361" s="177" t="n"/>
      <c r="U361" s="177" t="n"/>
      <c r="V361" s="177" t="n"/>
      <c r="W361" s="177" t="n"/>
      <c r="X361" s="177" t="n"/>
    </row>
    <row r="362" outlineLevel="1" ht="15.75" customHeight="1" s="297">
      <c r="A362" s="190" t="n"/>
      <c r="B362" s="204" t="n"/>
      <c r="C362" s="191" t="n"/>
      <c r="D362" s="205">
        <f>IFERROR(VLOOKUP($C362,'PORTIFÓLIO'!C:V,2,0),"")</f>
        <v/>
      </c>
      <c r="E362" s="190">
        <f>IFERROR(VLOOKUP($C362,'PORTIFÓLIO'!C:V,3,0),"")</f>
        <v/>
      </c>
      <c r="F362" s="190">
        <f>IFERROR(VLOOKUP($C362,'PORTIFÓLIO'!C:V,4,0),"")</f>
        <v/>
      </c>
      <c r="G362" s="206">
        <f>IFERROR(VLOOKUP($C362,'PORTIFÓLIO'!C:V,5,0),"")</f>
        <v/>
      </c>
      <c r="H362" s="247">
        <f t="array" ref="H362">IFERROR(INDEX('PORTIFÓLIO'!$H$4:$H$433,MATCH($C362,'PORTIFÓLIO'!$C$4:$C$433,0)),"")</f>
        <v/>
      </c>
      <c r="I362" s="228" t="n"/>
      <c r="J362" s="209">
        <f>I362*$B$2</f>
        <v/>
      </c>
      <c r="K362" s="248">
        <f t="array" ref="K362">IFERROR(I362*INDEX('PORTIFÓLIO'!$S$4:$S$433,MATCH($C362,'PORTIFÓLIO'!$C$4:$C$433,0)),"")</f>
        <v/>
      </c>
      <c r="L362" s="248">
        <f t="array" ref="L362">IFERROR(J362*INDEX('PORTIFÓLIO'!$S$4:$S$433,MATCH($C362,'PORTIFÓLIO'!$C$4:$C$433,0)),"")</f>
        <v/>
      </c>
      <c r="M362" s="177" t="n"/>
      <c r="N362" s="177" t="n"/>
      <c r="O362" s="177" t="n"/>
      <c r="P362" s="177" t="n"/>
      <c r="Q362" s="177" t="n"/>
      <c r="R362" s="177" t="n"/>
      <c r="S362" s="177" t="n"/>
      <c r="T362" s="177" t="n"/>
      <c r="U362" s="177" t="n"/>
      <c r="V362" s="177" t="n"/>
      <c r="W362" s="177" t="n"/>
      <c r="X362" s="177" t="n"/>
    </row>
    <row r="363" outlineLevel="1" ht="15.75" customHeight="1" s="297">
      <c r="A363" s="190" t="n"/>
      <c r="B363" s="204" t="n"/>
      <c r="C363" s="191" t="n"/>
      <c r="D363" s="205">
        <f>IFERROR(VLOOKUP($C363,'PORTIFÓLIO'!C:V,2,0),"")</f>
        <v/>
      </c>
      <c r="E363" s="190">
        <f>IFERROR(VLOOKUP($C363,'PORTIFÓLIO'!C:V,3,0),"")</f>
        <v/>
      </c>
      <c r="F363" s="190">
        <f>IFERROR(VLOOKUP($C363,'PORTIFÓLIO'!C:V,4,0),"")</f>
        <v/>
      </c>
      <c r="G363" s="206">
        <f>IFERROR(VLOOKUP($C363,'PORTIFÓLIO'!C:V,5,0),"")</f>
        <v/>
      </c>
      <c r="H363" s="247">
        <f t="array" ref="H363">IFERROR(INDEX('PORTIFÓLIO'!$H$4:$H$433,MATCH($C363,'PORTIFÓLIO'!$C$4:$C$433,0)),"")</f>
        <v/>
      </c>
      <c r="I363" s="228" t="n"/>
      <c r="J363" s="209">
        <f>I363*$B$2</f>
        <v/>
      </c>
      <c r="K363" s="248">
        <f t="array" ref="K363">IFERROR(I363*INDEX('PORTIFÓLIO'!$S$4:$S$433,MATCH($C363,'PORTIFÓLIO'!$C$4:$C$433,0)),"")</f>
        <v/>
      </c>
      <c r="L363" s="248">
        <f t="array" ref="L363">IFERROR(J363*INDEX('PORTIFÓLIO'!$S$4:$S$433,MATCH($C363,'PORTIFÓLIO'!$C$4:$C$433,0)),"")</f>
        <v/>
      </c>
      <c r="M363" s="177" t="n"/>
      <c r="N363" s="177" t="n"/>
      <c r="O363" s="177" t="n"/>
      <c r="P363" s="177" t="n"/>
      <c r="Q363" s="177" t="n"/>
      <c r="R363" s="177" t="n"/>
      <c r="S363" s="177" t="n"/>
      <c r="T363" s="177" t="n"/>
      <c r="U363" s="177" t="n"/>
      <c r="V363" s="177" t="n"/>
      <c r="W363" s="177" t="n"/>
      <c r="X363" s="177" t="n"/>
    </row>
    <row r="364" outlineLevel="1" ht="15.75" customHeight="1" s="297">
      <c r="A364" s="190" t="n"/>
      <c r="B364" s="204" t="n"/>
      <c r="C364" s="191" t="n"/>
      <c r="D364" s="205">
        <f>IFERROR(VLOOKUP($C364,'PORTIFÓLIO'!C:V,2,0),"")</f>
        <v/>
      </c>
      <c r="E364" s="190">
        <f>IFERROR(VLOOKUP($C364,'PORTIFÓLIO'!C:V,3,0),"")</f>
        <v/>
      </c>
      <c r="F364" s="190">
        <f>IFERROR(VLOOKUP($C364,'PORTIFÓLIO'!C:V,4,0),"")</f>
        <v/>
      </c>
      <c r="G364" s="206">
        <f>IFERROR(VLOOKUP($C364,'PORTIFÓLIO'!C:V,5,0),"")</f>
        <v/>
      </c>
      <c r="H364" s="247">
        <f t="array" ref="H364">IFERROR(INDEX('PORTIFÓLIO'!$H$4:$H$433,MATCH($C364,'PORTIFÓLIO'!$C$4:$C$433,0)),"")</f>
        <v/>
      </c>
      <c r="I364" s="228" t="n"/>
      <c r="J364" s="209">
        <f>I364*$B$2</f>
        <v/>
      </c>
      <c r="K364" s="248">
        <f t="array" ref="K364">IFERROR(I364*INDEX('PORTIFÓLIO'!$S$4:$S$433,MATCH($C364,'PORTIFÓLIO'!$C$4:$C$433,0)),"")</f>
        <v/>
      </c>
      <c r="L364" s="248">
        <f t="array" ref="L364">IFERROR(J364*INDEX('PORTIFÓLIO'!$S$4:$S$433,MATCH($C364,'PORTIFÓLIO'!$C$4:$C$433,0)),"")</f>
        <v/>
      </c>
      <c r="M364" s="177" t="n"/>
      <c r="N364" s="177" t="n"/>
      <c r="O364" s="177" t="n"/>
      <c r="P364" s="177" t="n"/>
      <c r="Q364" s="177" t="n"/>
      <c r="R364" s="177" t="n"/>
      <c r="S364" s="177" t="n"/>
      <c r="T364" s="177" t="n"/>
      <c r="U364" s="177" t="n"/>
      <c r="V364" s="177" t="n"/>
      <c r="W364" s="177" t="n"/>
      <c r="X364" s="177" t="n"/>
    </row>
    <row r="365" outlineLevel="1" ht="15.75" customHeight="1" s="297">
      <c r="A365" s="190" t="n"/>
      <c r="B365" s="204" t="n"/>
      <c r="C365" s="191" t="n"/>
      <c r="D365" s="205">
        <f>IFERROR(VLOOKUP($C365,'PORTIFÓLIO'!C:V,2,0),"")</f>
        <v/>
      </c>
      <c r="E365" s="190">
        <f>IFERROR(VLOOKUP($C365,'PORTIFÓLIO'!C:V,3,0),"")</f>
        <v/>
      </c>
      <c r="F365" s="190">
        <f>IFERROR(VLOOKUP($C365,'PORTIFÓLIO'!C:V,4,0),"")</f>
        <v/>
      </c>
      <c r="G365" s="206">
        <f>IFERROR(VLOOKUP($C365,'PORTIFÓLIO'!C:V,5,0),"")</f>
        <v/>
      </c>
      <c r="H365" s="247">
        <f t="array" ref="H365">IFERROR(INDEX('PORTIFÓLIO'!$H$4:$H$433,MATCH($C365,'PORTIFÓLIO'!$C$4:$C$433,0)),"")</f>
        <v/>
      </c>
      <c r="I365" s="228" t="n"/>
      <c r="J365" s="209">
        <f>I365*$B$2</f>
        <v/>
      </c>
      <c r="K365" s="248">
        <f t="array" ref="K365">IFERROR(I365*INDEX('PORTIFÓLIO'!$S$4:$S$433,MATCH($C365,'PORTIFÓLIO'!$C$4:$C$433,0)),"")</f>
        <v/>
      </c>
      <c r="L365" s="248">
        <f t="array" ref="L365">IFERROR(J365*INDEX('PORTIFÓLIO'!$S$4:$S$433,MATCH($C365,'PORTIFÓLIO'!$C$4:$C$433,0)),"")</f>
        <v/>
      </c>
      <c r="M365" s="177" t="n"/>
      <c r="N365" s="177" t="n"/>
      <c r="O365" s="177" t="n"/>
      <c r="P365" s="177" t="n"/>
      <c r="Q365" s="177" t="n"/>
      <c r="R365" s="177" t="n"/>
      <c r="S365" s="177" t="n"/>
      <c r="T365" s="177" t="n"/>
      <c r="U365" s="177" t="n"/>
      <c r="V365" s="177" t="n"/>
      <c r="W365" s="177" t="n"/>
      <c r="X365" s="177" t="n"/>
    </row>
    <row r="366" outlineLevel="1" ht="15.75" customHeight="1" s="297">
      <c r="A366" s="190" t="n"/>
      <c r="B366" s="204" t="n"/>
      <c r="C366" s="191" t="n"/>
      <c r="D366" s="205">
        <f>IFERROR(VLOOKUP($C366,'PORTIFÓLIO'!C:V,2,0),"")</f>
        <v/>
      </c>
      <c r="E366" s="190">
        <f>IFERROR(VLOOKUP($C366,'PORTIFÓLIO'!C:V,3,0),"")</f>
        <v/>
      </c>
      <c r="F366" s="190">
        <f>IFERROR(VLOOKUP($C366,'PORTIFÓLIO'!C:V,4,0),"")</f>
        <v/>
      </c>
      <c r="G366" s="206">
        <f>IFERROR(VLOOKUP($C366,'PORTIFÓLIO'!C:V,5,0),"")</f>
        <v/>
      </c>
      <c r="H366" s="247">
        <f t="array" ref="H366">IFERROR(INDEX('PORTIFÓLIO'!$H$4:$H$433,MATCH($C366,'PORTIFÓLIO'!$C$4:$C$433,0)),"")</f>
        <v/>
      </c>
      <c r="I366" s="228" t="n"/>
      <c r="J366" s="209">
        <f>I366*$B$2</f>
        <v/>
      </c>
      <c r="K366" s="248">
        <f t="array" ref="K366">IFERROR(I366*INDEX('PORTIFÓLIO'!$S$4:$S$433,MATCH($C366,'PORTIFÓLIO'!$C$4:$C$433,0)),"")</f>
        <v/>
      </c>
      <c r="L366" s="248">
        <f t="array" ref="L366">IFERROR(J366*INDEX('PORTIFÓLIO'!$S$4:$S$433,MATCH($C366,'PORTIFÓLIO'!$C$4:$C$433,0)),"")</f>
        <v/>
      </c>
      <c r="M366" s="177" t="n"/>
      <c r="N366" s="177" t="n"/>
      <c r="O366" s="177" t="n"/>
      <c r="P366" s="177" t="n"/>
      <c r="Q366" s="177" t="n"/>
      <c r="R366" s="177" t="n"/>
      <c r="S366" s="177" t="n"/>
      <c r="T366" s="177" t="n"/>
      <c r="U366" s="177" t="n"/>
      <c r="V366" s="177" t="n"/>
      <c r="W366" s="177" t="n"/>
      <c r="X366" s="177" t="n"/>
    </row>
    <row r="367" outlineLevel="1" ht="15.75" customHeight="1" s="297">
      <c r="A367" s="190" t="n"/>
      <c r="B367" s="204" t="n"/>
      <c r="C367" s="191" t="n"/>
      <c r="D367" s="205">
        <f>IFERROR(VLOOKUP($C367,'PORTIFÓLIO'!C:V,2,0),"")</f>
        <v/>
      </c>
      <c r="E367" s="190">
        <f>IFERROR(VLOOKUP($C367,'PORTIFÓLIO'!C:V,3,0),"")</f>
        <v/>
      </c>
      <c r="F367" s="190">
        <f>IFERROR(VLOOKUP($C367,'PORTIFÓLIO'!C:V,4,0),"")</f>
        <v/>
      </c>
      <c r="G367" s="206">
        <f>IFERROR(VLOOKUP($C367,'PORTIFÓLIO'!C:V,5,0),"")</f>
        <v/>
      </c>
      <c r="H367" s="247">
        <f t="array" ref="H367">IFERROR(INDEX('PORTIFÓLIO'!$H$4:$H$433,MATCH($C367,'PORTIFÓLIO'!$C$4:$C$433,0)),"")</f>
        <v/>
      </c>
      <c r="I367" s="208" t="n"/>
      <c r="J367" s="209">
        <f>I367*$B$2</f>
        <v/>
      </c>
      <c r="K367" s="248">
        <f t="array" ref="K367">IFERROR(I367*INDEX('PORTIFÓLIO'!$S$4:$S$433,MATCH($C367,'PORTIFÓLIO'!$C$4:$C$433,0)),"")</f>
        <v/>
      </c>
      <c r="L367" s="248">
        <f t="array" ref="L367">IFERROR(J367*INDEX('PORTIFÓLIO'!$S$4:$S$433,MATCH($C367,'PORTIFÓLIO'!$C$4:$C$433,0)),"")</f>
        <v/>
      </c>
      <c r="M367" s="177" t="n"/>
      <c r="N367" s="177" t="n"/>
      <c r="O367" s="177" t="n"/>
      <c r="P367" s="177" t="n"/>
      <c r="Q367" s="177" t="n"/>
      <c r="R367" s="177" t="n"/>
      <c r="S367" s="177" t="n"/>
      <c r="T367" s="177" t="n"/>
      <c r="U367" s="177" t="n"/>
      <c r="V367" s="177" t="n"/>
      <c r="W367" s="177" t="n"/>
      <c r="X367" s="177" t="n"/>
    </row>
    <row r="368" outlineLevel="1" ht="15.75" customHeight="1" s="297">
      <c r="A368" s="190" t="n"/>
      <c r="B368" s="204" t="n"/>
      <c r="C368" s="191" t="n"/>
      <c r="D368" s="205">
        <f>IFERROR(VLOOKUP($C368,'PORTIFÓLIO'!C:V,2,0),"")</f>
        <v/>
      </c>
      <c r="E368" s="190">
        <f>IFERROR(VLOOKUP($C368,'PORTIFÓLIO'!C:V,3,0),"")</f>
        <v/>
      </c>
      <c r="F368" s="190">
        <f>IFERROR(VLOOKUP($C368,'PORTIFÓLIO'!C:V,4,0),"")</f>
        <v/>
      </c>
      <c r="G368" s="206">
        <f>IFERROR(VLOOKUP($C368,'PORTIFÓLIO'!C:V,5,0),"")</f>
        <v/>
      </c>
      <c r="H368" s="247">
        <f t="array" ref="H368">IFERROR(INDEX('PORTIFÓLIO'!$H$4:$H$433,MATCH($C368,'PORTIFÓLIO'!$C$4:$C$433,0)),"")</f>
        <v/>
      </c>
      <c r="I368" s="228" t="n"/>
      <c r="J368" s="209">
        <f>I368*$B$2</f>
        <v/>
      </c>
      <c r="K368" s="248">
        <f t="array" ref="K368">IFERROR(I368*INDEX('PORTIFÓLIO'!$S$4:$S$433,MATCH($C368,'PORTIFÓLIO'!$C$4:$C$433,0)),"")</f>
        <v/>
      </c>
      <c r="L368" s="248">
        <f t="array" ref="L368">IFERROR(J368*INDEX('PORTIFÓLIO'!$S$4:$S$433,MATCH($C368,'PORTIFÓLIO'!$C$4:$C$433,0)),"")</f>
        <v/>
      </c>
      <c r="M368" s="177" t="n"/>
      <c r="N368" s="177" t="n"/>
      <c r="O368" s="177" t="n"/>
      <c r="P368" s="177" t="n"/>
      <c r="Q368" s="177" t="n"/>
      <c r="R368" s="177" t="n"/>
      <c r="S368" s="177" t="n"/>
      <c r="T368" s="177" t="n"/>
      <c r="U368" s="177" t="n"/>
      <c r="V368" s="177" t="n"/>
      <c r="W368" s="177" t="n"/>
      <c r="X368" s="177" t="n"/>
    </row>
    <row r="369" outlineLevel="1" ht="15.75" customHeight="1" s="297">
      <c r="A369" s="190" t="n"/>
      <c r="B369" s="204" t="n"/>
      <c r="C369" s="191" t="n"/>
      <c r="D369" s="205">
        <f>IFERROR(VLOOKUP($C369,'PORTIFÓLIO'!C:V,2,0),"")</f>
        <v/>
      </c>
      <c r="E369" s="190">
        <f>IFERROR(VLOOKUP($C369,'PORTIFÓLIO'!C:V,3,0),"")</f>
        <v/>
      </c>
      <c r="F369" s="190">
        <f>IFERROR(VLOOKUP($C369,'PORTIFÓLIO'!C:V,4,0),"")</f>
        <v/>
      </c>
      <c r="G369" s="206">
        <f>IFERROR(VLOOKUP($C369,'PORTIFÓLIO'!C:V,5,0),"")</f>
        <v/>
      </c>
      <c r="H369" s="247">
        <f t="array" ref="H369">IFERROR(INDEX('PORTIFÓLIO'!$H$4:$H$433,MATCH($C369,'PORTIFÓLIO'!$C$4:$C$433,0)),"")</f>
        <v/>
      </c>
      <c r="I369" s="228" t="n"/>
      <c r="J369" s="209">
        <f>I369*$B$2</f>
        <v/>
      </c>
      <c r="K369" s="248">
        <f t="array" ref="K369">IFERROR(I369*INDEX('PORTIFÓLIO'!$S$4:$S$433,MATCH($C369,'PORTIFÓLIO'!$C$4:$C$433,0)),"")</f>
        <v/>
      </c>
      <c r="L369" s="248">
        <f t="array" ref="L369">IFERROR(J369*INDEX('PORTIFÓLIO'!$S$4:$S$433,MATCH($C369,'PORTIFÓLIO'!$C$4:$C$433,0)),"")</f>
        <v/>
      </c>
      <c r="M369" s="177" t="n"/>
      <c r="N369" s="177" t="n"/>
      <c r="O369" s="177" t="n"/>
      <c r="P369" s="177" t="n"/>
      <c r="Q369" s="177" t="n"/>
      <c r="R369" s="177" t="n"/>
      <c r="S369" s="177" t="n"/>
      <c r="T369" s="177" t="n"/>
      <c r="U369" s="177" t="n"/>
      <c r="V369" s="177" t="n"/>
      <c r="W369" s="177" t="n"/>
      <c r="X369" s="177" t="n"/>
    </row>
    <row r="370" outlineLevel="1" ht="15.75" customHeight="1" s="297">
      <c r="A370" s="190" t="n"/>
      <c r="B370" s="204" t="n"/>
      <c r="C370" s="191" t="n"/>
      <c r="D370" s="205">
        <f>IFERROR(VLOOKUP($C370,'PORTIFÓLIO'!C:V,2,0),"")</f>
        <v/>
      </c>
      <c r="E370" s="190">
        <f>IFERROR(VLOOKUP($C370,'PORTIFÓLIO'!C:V,3,0),"")</f>
        <v/>
      </c>
      <c r="F370" s="190">
        <f>IFERROR(VLOOKUP($C370,'PORTIFÓLIO'!C:V,4,0),"")</f>
        <v/>
      </c>
      <c r="G370" s="206">
        <f>IFERROR(VLOOKUP($C370,'PORTIFÓLIO'!C:V,5,0),"")</f>
        <v/>
      </c>
      <c r="H370" s="247">
        <f t="array" ref="H370">IFERROR(INDEX('PORTIFÓLIO'!$H$4:$H$433,MATCH($C370,'PORTIFÓLIO'!$C$4:$C$433,0)),"")</f>
        <v/>
      </c>
      <c r="I370" s="228" t="n"/>
      <c r="J370" s="209">
        <f>I370*$B$2</f>
        <v/>
      </c>
      <c r="K370" s="248">
        <f t="array" ref="K370">IFERROR(I370*INDEX('PORTIFÓLIO'!$S$4:$S$433,MATCH($C370,'PORTIFÓLIO'!$C$4:$C$433,0)),"")</f>
        <v/>
      </c>
      <c r="L370" s="248">
        <f t="array" ref="L370">IFERROR(J370*INDEX('PORTIFÓLIO'!$S$4:$S$433,MATCH($C370,'PORTIFÓLIO'!$C$4:$C$433,0)),"")</f>
        <v/>
      </c>
      <c r="M370" s="177" t="n"/>
      <c r="N370" s="177" t="n"/>
      <c r="O370" s="177" t="n"/>
      <c r="P370" s="177" t="n"/>
      <c r="Q370" s="177" t="n"/>
      <c r="R370" s="177" t="n"/>
      <c r="S370" s="177" t="n"/>
      <c r="T370" s="177" t="n"/>
      <c r="U370" s="177" t="n"/>
      <c r="V370" s="177" t="n"/>
      <c r="W370" s="177" t="n"/>
      <c r="X370" s="177" t="n"/>
    </row>
    <row r="371" outlineLevel="1" ht="15.75" customHeight="1" s="297">
      <c r="A371" s="190" t="n"/>
      <c r="B371" s="204" t="n"/>
      <c r="C371" s="191" t="n"/>
      <c r="D371" s="205">
        <f>IFERROR(VLOOKUP($C371,'PORTIFÓLIO'!C:V,2,0),"")</f>
        <v/>
      </c>
      <c r="E371" s="190">
        <f>IFERROR(VLOOKUP($C371,'PORTIFÓLIO'!C:V,3,0),"")</f>
        <v/>
      </c>
      <c r="F371" s="190">
        <f>IFERROR(VLOOKUP($C371,'PORTIFÓLIO'!C:V,4,0),"")</f>
        <v/>
      </c>
      <c r="G371" s="206">
        <f>IFERROR(VLOOKUP($C371,'PORTIFÓLIO'!C:V,5,0),"")</f>
        <v/>
      </c>
      <c r="H371" s="247">
        <f t="array" ref="H371">IFERROR(INDEX('PORTIFÓLIO'!$H$4:$H$433,MATCH($C371,'PORTIFÓLIO'!$C$4:$C$433,0)),"")</f>
        <v/>
      </c>
      <c r="I371" s="228" t="n"/>
      <c r="J371" s="209">
        <f>I371*$B$2</f>
        <v/>
      </c>
      <c r="K371" s="248">
        <f t="array" ref="K371">IFERROR(I371*INDEX('PORTIFÓLIO'!$S$4:$S$433,MATCH($C371,'PORTIFÓLIO'!$C$4:$C$433,0)),"")</f>
        <v/>
      </c>
      <c r="L371" s="248">
        <f t="array" ref="L371">IFERROR(J371*INDEX('PORTIFÓLIO'!$S$4:$S$433,MATCH($C371,'PORTIFÓLIO'!$C$4:$C$433,0)),"")</f>
        <v/>
      </c>
      <c r="M371" s="177" t="n"/>
      <c r="N371" s="177" t="n"/>
      <c r="O371" s="177" t="n"/>
      <c r="P371" s="177" t="n"/>
      <c r="Q371" s="177" t="n"/>
      <c r="R371" s="177" t="n"/>
      <c r="S371" s="177" t="n"/>
      <c r="T371" s="177" t="n"/>
      <c r="U371" s="177" t="n"/>
      <c r="V371" s="177" t="n"/>
      <c r="W371" s="177" t="n"/>
      <c r="X371" s="177" t="n"/>
    </row>
    <row r="372" outlineLevel="1" ht="15.75" customHeight="1" s="297">
      <c r="A372" s="190" t="n"/>
      <c r="B372" s="204" t="n"/>
      <c r="C372" s="191" t="n"/>
      <c r="D372" s="205">
        <f>IFERROR(VLOOKUP($C372,'PORTIFÓLIO'!C:V,2,0),"")</f>
        <v/>
      </c>
      <c r="E372" s="190">
        <f>IFERROR(VLOOKUP($C372,'PORTIFÓLIO'!C:V,3,0),"")</f>
        <v/>
      </c>
      <c r="F372" s="190">
        <f>IFERROR(VLOOKUP($C372,'PORTIFÓLIO'!C:V,4,0),"")</f>
        <v/>
      </c>
      <c r="G372" s="206">
        <f>IFERROR(VLOOKUP($C372,'PORTIFÓLIO'!C:V,5,0),"")</f>
        <v/>
      </c>
      <c r="H372" s="247">
        <f t="array" ref="H372">IFERROR(INDEX('PORTIFÓLIO'!$H$4:$H$433,MATCH($C372,'PORTIFÓLIO'!$C$4:$C$433,0)),"")</f>
        <v/>
      </c>
      <c r="I372" s="228" t="n"/>
      <c r="J372" s="209">
        <f>I372*$B$2</f>
        <v/>
      </c>
      <c r="K372" s="248">
        <f t="array" ref="K372">IFERROR(I372*INDEX('PORTIFÓLIO'!$S$4:$S$433,MATCH($C372,'PORTIFÓLIO'!$C$4:$C$433,0)),"")</f>
        <v/>
      </c>
      <c r="L372" s="248">
        <f t="array" ref="L372">IFERROR(J372*INDEX('PORTIFÓLIO'!$S$4:$S$433,MATCH($C372,'PORTIFÓLIO'!$C$4:$C$433,0)),"")</f>
        <v/>
      </c>
      <c r="M372" s="177" t="n"/>
      <c r="N372" s="177" t="n"/>
      <c r="O372" s="177" t="n"/>
      <c r="P372" s="177" t="n"/>
      <c r="Q372" s="177" t="n"/>
      <c r="R372" s="177" t="n"/>
      <c r="S372" s="177" t="n"/>
      <c r="T372" s="177" t="n"/>
      <c r="U372" s="177" t="n"/>
      <c r="V372" s="177" t="n"/>
      <c r="W372" s="177" t="n"/>
      <c r="X372" s="177" t="n"/>
    </row>
    <row r="373" outlineLevel="1" ht="15.75" customHeight="1" s="297">
      <c r="A373" s="190" t="n"/>
      <c r="B373" s="204" t="n"/>
      <c r="C373" s="191" t="n"/>
      <c r="D373" s="205">
        <f>IFERROR(VLOOKUP($C373,'PORTIFÓLIO'!C:V,2,0),"")</f>
        <v/>
      </c>
      <c r="E373" s="190">
        <f>IFERROR(VLOOKUP($C373,'PORTIFÓLIO'!C:V,3,0),"")</f>
        <v/>
      </c>
      <c r="F373" s="190">
        <f>IFERROR(VLOOKUP($C373,'PORTIFÓLIO'!C:V,4,0),"")</f>
        <v/>
      </c>
      <c r="G373" s="206">
        <f>IFERROR(VLOOKUP($C373,'PORTIFÓLIO'!C:V,5,0),"")</f>
        <v/>
      </c>
      <c r="H373" s="247">
        <f t="array" ref="H373">IFERROR(INDEX('PORTIFÓLIO'!$H$4:$H$433,MATCH($C373,'PORTIFÓLIO'!$C$4:$C$433,0)),"")</f>
        <v/>
      </c>
      <c r="I373" s="228" t="n"/>
      <c r="J373" s="209">
        <f>I373*$B$2</f>
        <v/>
      </c>
      <c r="K373" s="248">
        <f t="array" ref="K373">IFERROR(I373*INDEX('PORTIFÓLIO'!$S$4:$S$433,MATCH($C373,'PORTIFÓLIO'!$C$4:$C$433,0)),"")</f>
        <v/>
      </c>
      <c r="L373" s="248">
        <f t="array" ref="L373">IFERROR(J373*INDEX('PORTIFÓLIO'!$S$4:$S$433,MATCH($C373,'PORTIFÓLIO'!$C$4:$C$433,0)),"")</f>
        <v/>
      </c>
      <c r="M373" s="177" t="n"/>
      <c r="N373" s="177" t="n"/>
      <c r="O373" s="177" t="n"/>
      <c r="P373" s="177" t="n"/>
      <c r="Q373" s="177" t="n"/>
      <c r="R373" s="177" t="n"/>
      <c r="S373" s="177" t="n"/>
      <c r="T373" s="177" t="n"/>
      <c r="U373" s="177" t="n"/>
      <c r="V373" s="177" t="n"/>
      <c r="W373" s="177" t="n"/>
      <c r="X373" s="177" t="n"/>
    </row>
    <row r="374" outlineLevel="1" ht="15.75" customHeight="1" s="297">
      <c r="A374" s="190" t="n"/>
      <c r="B374" s="238" t="n"/>
      <c r="C374" s="190" t="n"/>
      <c r="D374" s="205">
        <f>IFERROR(VLOOKUP($C374,'PORTIFÓLIO'!C:V,2,0),"")</f>
        <v/>
      </c>
      <c r="E374" s="190">
        <f>IFERROR(VLOOKUP($C374,'PORTIFÓLIO'!C:V,3,0),"")</f>
        <v/>
      </c>
      <c r="F374" s="190">
        <f>IFERROR(VLOOKUP($C374,'PORTIFÓLIO'!C:V,4,0),"")</f>
        <v/>
      </c>
      <c r="G374" s="206">
        <f>IFERROR(VLOOKUP($C374,'PORTIFÓLIO'!C:V,5,0),"")</f>
        <v/>
      </c>
      <c r="H374" s="247">
        <f t="array" ref="H374">IFERROR(INDEX('PORTIFÓLIO'!$H$4:$H$433,MATCH($C374,'PORTIFÓLIO'!$C$4:$C$433,0)),"")</f>
        <v/>
      </c>
      <c r="I374" s="228" t="n"/>
      <c r="J374" s="209" t="n"/>
      <c r="K374" s="248">
        <f t="array" ref="K374">IFERROR(I374*INDEX('PORTIFÓLIO'!$S$4:$S$433,MATCH($C374,'PORTIFÓLIO'!$C$4:$C$433,0)),"")</f>
        <v/>
      </c>
      <c r="L374" s="248">
        <f t="array" ref="L374">IFERROR(J374*INDEX('PORTIFÓLIO'!$S$4:$S$433,MATCH($C374,'PORTIFÓLIO'!$C$4:$C$433,0)),"")</f>
        <v/>
      </c>
      <c r="M374" s="177" t="n"/>
      <c r="N374" s="177" t="n"/>
      <c r="O374" s="177" t="n"/>
      <c r="P374" s="177" t="n"/>
      <c r="Q374" s="177" t="n"/>
      <c r="R374" s="177" t="n"/>
      <c r="S374" s="177" t="n"/>
      <c r="T374" s="177" t="n"/>
      <c r="U374" s="177" t="n"/>
      <c r="V374" s="177" t="n"/>
      <c r="W374" s="177" t="n"/>
      <c r="X374" s="177" t="n"/>
    </row>
    <row r="375" ht="15.75" customHeight="1" s="297">
      <c r="A375" s="221" t="inlineStr">
        <is>
          <t>OPERAÇÃO 9</t>
        </is>
      </c>
      <c r="B375" s="197" t="n"/>
      <c r="C375" s="196" t="n"/>
      <c r="D375" s="198" t="n"/>
      <c r="E375" s="196" t="n"/>
      <c r="F375" s="196" t="n"/>
      <c r="G375" s="199" t="n"/>
      <c r="H375" s="199" t="n"/>
      <c r="I375" s="201" t="n"/>
      <c r="J375" s="202" t="n"/>
      <c r="K375" s="203">
        <f>SUBTOTAL(9,K376:K389)</f>
        <v/>
      </c>
      <c r="L375" s="203">
        <f>SUBTOTAL(9,L376:L389)</f>
        <v/>
      </c>
      <c r="M375" s="177" t="n"/>
      <c r="N375" s="177" t="n"/>
      <c r="O375" s="177" t="n"/>
      <c r="P375" s="177" t="n"/>
      <c r="Q375" s="177" t="n"/>
      <c r="R375" s="177" t="n"/>
      <c r="S375" s="177" t="n"/>
      <c r="T375" s="177" t="n"/>
      <c r="U375" s="177" t="n"/>
      <c r="V375" s="177" t="n"/>
      <c r="W375" s="177" t="n"/>
      <c r="X375" s="177" t="n"/>
    </row>
    <row r="376" outlineLevel="1" ht="15.75" customHeight="1" s="297">
      <c r="A376" s="191" t="n"/>
      <c r="B376" s="204" t="n"/>
      <c r="C376" s="191" t="n"/>
      <c r="D376" s="205">
        <f>IFERROR(VLOOKUP($C376,'PORTIFÓLIO'!C:V,2,0),"")</f>
        <v/>
      </c>
      <c r="E376" s="190">
        <f>IFERROR(VLOOKUP($C376,'PORTIFÓLIO'!C:V,3,0),"")</f>
        <v/>
      </c>
      <c r="F376" s="190">
        <f>IFERROR(VLOOKUP($C376,'PORTIFÓLIO'!C:V,4,0),"")</f>
        <v/>
      </c>
      <c r="G376" s="206">
        <f>IFERROR(VLOOKUP($C376,'PORTIFÓLIO'!C:V,5,0),"")</f>
        <v/>
      </c>
      <c r="H376" s="247">
        <f t="array" ref="H376">IFERROR(INDEX('PORTIFÓLIO'!$H$4:$H$433,MATCH($C376,'PORTIFÓLIO'!$C$4:$C$433,0)),"")</f>
        <v/>
      </c>
      <c r="I376" s="208" t="n"/>
      <c r="J376" s="209">
        <f>I376*$B$2</f>
        <v/>
      </c>
      <c r="K376" s="248">
        <f t="array" ref="K376">IFERROR(I376*INDEX('PORTIFÓLIO'!$S$4:$S$433,MATCH($C376,'PORTIFÓLIO'!$C$4:$C$433,0)),"")</f>
        <v/>
      </c>
      <c r="L376" s="248">
        <f t="array" ref="L376">IFERROR(J376*INDEX('PORTIFÓLIO'!$S$4:$S$433,MATCH($C376,'PORTIFÓLIO'!$C$4:$C$433,0)),"")</f>
        <v/>
      </c>
      <c r="M376" s="177" t="n"/>
      <c r="N376" s="177" t="n"/>
      <c r="O376" s="177" t="n"/>
      <c r="P376" s="177" t="n"/>
      <c r="Q376" s="177" t="n"/>
      <c r="R376" s="177" t="n"/>
      <c r="S376" s="177" t="n"/>
      <c r="T376" s="177" t="n"/>
      <c r="U376" s="177" t="n"/>
      <c r="V376" s="177" t="n"/>
      <c r="W376" s="177" t="n"/>
      <c r="X376" s="177" t="n"/>
    </row>
    <row r="377" outlineLevel="1" ht="15.75" customHeight="1" s="297">
      <c r="A377" s="190" t="n"/>
      <c r="B377" s="204" t="n"/>
      <c r="C377" s="191" t="n"/>
      <c r="D377" s="205">
        <f>IFERROR(VLOOKUP($C377,'PORTIFÓLIO'!C:V,2,0),"")</f>
        <v/>
      </c>
      <c r="E377" s="190">
        <f>IFERROR(VLOOKUP($C377,'PORTIFÓLIO'!C:V,3,0),"")</f>
        <v/>
      </c>
      <c r="F377" s="190">
        <f>IFERROR(VLOOKUP($C377,'PORTIFÓLIO'!C:V,4,0),"")</f>
        <v/>
      </c>
      <c r="G377" s="206">
        <f>IFERROR(VLOOKUP($C377,'PORTIFÓLIO'!C:V,5,0),"")</f>
        <v/>
      </c>
      <c r="H377" s="247">
        <f t="array" ref="H377">IFERROR(INDEX('PORTIFÓLIO'!$H$4:$H$433,MATCH($C377,'PORTIFÓLIO'!$C$4:$C$433,0)),"")</f>
        <v/>
      </c>
      <c r="I377" s="228" t="n"/>
      <c r="J377" s="209">
        <f>I377*$B$2</f>
        <v/>
      </c>
      <c r="K377" s="248">
        <f t="array" ref="K377">IFERROR(I377*INDEX('PORTIFÓLIO'!$S$4:$S$433,MATCH($C377,'PORTIFÓLIO'!$C$4:$C$433,0)),"")</f>
        <v/>
      </c>
      <c r="L377" s="248">
        <f t="array" ref="L377">IFERROR(J377*INDEX('PORTIFÓLIO'!$S$4:$S$433,MATCH($C377,'PORTIFÓLIO'!$C$4:$C$433,0)),"")</f>
        <v/>
      </c>
      <c r="M377" s="177" t="n"/>
      <c r="N377" s="177" t="n"/>
      <c r="O377" s="177" t="n"/>
      <c r="P377" s="177" t="n"/>
      <c r="Q377" s="177" t="n"/>
      <c r="R377" s="177" t="n"/>
      <c r="S377" s="177" t="n"/>
      <c r="T377" s="177" t="n"/>
      <c r="U377" s="177" t="n"/>
      <c r="V377" s="177" t="n"/>
      <c r="W377" s="177" t="n"/>
      <c r="X377" s="177" t="n"/>
    </row>
    <row r="378" outlineLevel="1" ht="15.75" customHeight="1" s="297">
      <c r="A378" s="190" t="n"/>
      <c r="B378" s="204" t="n"/>
      <c r="C378" s="191" t="n"/>
      <c r="D378" s="205">
        <f>IFERROR(VLOOKUP($C378,'PORTIFÓLIO'!C:V,2,0),"")</f>
        <v/>
      </c>
      <c r="E378" s="190">
        <f>IFERROR(VLOOKUP($C378,'PORTIFÓLIO'!C:V,3,0),"")</f>
        <v/>
      </c>
      <c r="F378" s="190">
        <f>IFERROR(VLOOKUP($C378,'PORTIFÓLIO'!C:V,4,0),"")</f>
        <v/>
      </c>
      <c r="G378" s="206">
        <f>IFERROR(VLOOKUP($C378,'PORTIFÓLIO'!C:V,5,0),"")</f>
        <v/>
      </c>
      <c r="H378" s="247">
        <f t="array" ref="H378">IFERROR(INDEX('PORTIFÓLIO'!$H$4:$H$433,MATCH($C378,'PORTIFÓLIO'!$C$4:$C$433,0)),"")</f>
        <v/>
      </c>
      <c r="I378" s="228" t="n"/>
      <c r="J378" s="209">
        <f>I378*$B$2</f>
        <v/>
      </c>
      <c r="K378" s="248">
        <f t="array" ref="K378">IFERROR(I378*INDEX('PORTIFÓLIO'!$S$4:$S$433,MATCH($C378,'PORTIFÓLIO'!$C$4:$C$433,0)),"")</f>
        <v/>
      </c>
      <c r="L378" s="248">
        <f t="array" ref="L378">IFERROR(J378*INDEX('PORTIFÓLIO'!$S$4:$S$433,MATCH($C378,'PORTIFÓLIO'!$C$4:$C$433,0)),"")</f>
        <v/>
      </c>
      <c r="M378" s="177" t="n"/>
      <c r="N378" s="177" t="n"/>
      <c r="O378" s="177" t="n"/>
      <c r="P378" s="177" t="n"/>
      <c r="Q378" s="177" t="n"/>
      <c r="R378" s="177" t="n"/>
      <c r="S378" s="177" t="n"/>
      <c r="T378" s="177" t="n"/>
      <c r="U378" s="177" t="n"/>
      <c r="V378" s="177" t="n"/>
      <c r="W378" s="177" t="n"/>
      <c r="X378" s="177" t="n"/>
    </row>
    <row r="379" outlineLevel="1" ht="15.75" customHeight="1" s="297">
      <c r="A379" s="190" t="n"/>
      <c r="B379" s="204" t="n"/>
      <c r="C379" s="191" t="n"/>
      <c r="D379" s="205">
        <f>IFERROR(VLOOKUP($C379,'PORTIFÓLIO'!C:V,2,0),"")</f>
        <v/>
      </c>
      <c r="E379" s="190">
        <f>IFERROR(VLOOKUP($C379,'PORTIFÓLIO'!C:V,3,0),"")</f>
        <v/>
      </c>
      <c r="F379" s="190">
        <f>IFERROR(VLOOKUP($C379,'PORTIFÓLIO'!C:V,4,0),"")</f>
        <v/>
      </c>
      <c r="G379" s="206">
        <f>IFERROR(VLOOKUP($C379,'PORTIFÓLIO'!C:V,5,0),"")</f>
        <v/>
      </c>
      <c r="H379" s="247">
        <f t="array" ref="H379">IFERROR(INDEX('PORTIFÓLIO'!$H$4:$H$433,MATCH($C379,'PORTIFÓLIO'!$C$4:$C$433,0)),"")</f>
        <v/>
      </c>
      <c r="I379" s="228" t="n"/>
      <c r="J379" s="209">
        <f>I379*$B$2</f>
        <v/>
      </c>
      <c r="K379" s="248">
        <f t="array" ref="K379">IFERROR(I379*INDEX('PORTIFÓLIO'!$S$4:$S$433,MATCH($C379,'PORTIFÓLIO'!$C$4:$C$433,0)),"")</f>
        <v/>
      </c>
      <c r="L379" s="248">
        <f t="array" ref="L379">IFERROR(J379*INDEX('PORTIFÓLIO'!$S$4:$S$433,MATCH($C379,'PORTIFÓLIO'!$C$4:$C$433,0)),"")</f>
        <v/>
      </c>
      <c r="M379" s="177" t="n"/>
      <c r="N379" s="177" t="n"/>
      <c r="O379" s="177" t="n"/>
      <c r="P379" s="177" t="n"/>
      <c r="Q379" s="177" t="n"/>
      <c r="R379" s="177" t="n"/>
      <c r="S379" s="177" t="n"/>
      <c r="T379" s="177" t="n"/>
      <c r="U379" s="177" t="n"/>
      <c r="V379" s="177" t="n"/>
      <c r="W379" s="177" t="n"/>
      <c r="X379" s="177" t="n"/>
    </row>
    <row r="380" outlineLevel="1" ht="15.75" customHeight="1" s="297">
      <c r="A380" s="190" t="n"/>
      <c r="B380" s="204" t="n"/>
      <c r="C380" s="191" t="n"/>
      <c r="D380" s="205">
        <f>IFERROR(VLOOKUP($C380,'PORTIFÓLIO'!C:V,2,0),"")</f>
        <v/>
      </c>
      <c r="E380" s="190">
        <f>IFERROR(VLOOKUP($C380,'PORTIFÓLIO'!C:V,3,0),"")</f>
        <v/>
      </c>
      <c r="F380" s="190">
        <f>IFERROR(VLOOKUP($C380,'PORTIFÓLIO'!C:V,4,0),"")</f>
        <v/>
      </c>
      <c r="G380" s="206">
        <f>IFERROR(VLOOKUP($C380,'PORTIFÓLIO'!C:V,5,0),"")</f>
        <v/>
      </c>
      <c r="H380" s="247">
        <f t="array" ref="H380">IFERROR(INDEX('PORTIFÓLIO'!$H$4:$H$433,MATCH($C380,'PORTIFÓLIO'!$C$4:$C$433,0)),"")</f>
        <v/>
      </c>
      <c r="I380" s="228" t="n"/>
      <c r="J380" s="209">
        <f>I380*$B$2</f>
        <v/>
      </c>
      <c r="K380" s="248">
        <f t="array" ref="K380">IFERROR(I380*INDEX('PORTIFÓLIO'!$S$4:$S$433,MATCH($C380,'PORTIFÓLIO'!$C$4:$C$433,0)),"")</f>
        <v/>
      </c>
      <c r="L380" s="248">
        <f t="array" ref="L380">IFERROR(J380*INDEX('PORTIFÓLIO'!$S$4:$S$433,MATCH($C380,'PORTIFÓLIO'!$C$4:$C$433,0)),"")</f>
        <v/>
      </c>
      <c r="M380" s="177" t="n"/>
      <c r="N380" s="177" t="n"/>
      <c r="O380" s="177" t="n"/>
      <c r="P380" s="177" t="n"/>
      <c r="Q380" s="177" t="n"/>
      <c r="R380" s="177" t="n"/>
      <c r="S380" s="177" t="n"/>
      <c r="T380" s="177" t="n"/>
      <c r="U380" s="177" t="n"/>
      <c r="V380" s="177" t="n"/>
      <c r="W380" s="177" t="n"/>
      <c r="X380" s="177" t="n"/>
    </row>
    <row r="381" outlineLevel="1" ht="15.75" customHeight="1" s="297">
      <c r="A381" s="190" t="n"/>
      <c r="B381" s="204" t="n"/>
      <c r="C381" s="191" t="n"/>
      <c r="D381" s="205">
        <f>IFERROR(VLOOKUP($C381,'PORTIFÓLIO'!C:V,2,0),"")</f>
        <v/>
      </c>
      <c r="E381" s="190">
        <f>IFERROR(VLOOKUP($C381,'PORTIFÓLIO'!C:V,3,0),"")</f>
        <v/>
      </c>
      <c r="F381" s="190">
        <f>IFERROR(VLOOKUP($C381,'PORTIFÓLIO'!C:V,4,0),"")</f>
        <v/>
      </c>
      <c r="G381" s="206">
        <f>IFERROR(VLOOKUP($C381,'PORTIFÓLIO'!C:V,5,0),"")</f>
        <v/>
      </c>
      <c r="H381" s="247">
        <f t="array" ref="H381">IFERROR(INDEX('PORTIFÓLIO'!$H$4:$H$433,MATCH($C381,'PORTIFÓLIO'!$C$4:$C$433,0)),"")</f>
        <v/>
      </c>
      <c r="I381" s="228" t="n"/>
      <c r="J381" s="209">
        <f>I381*$B$2</f>
        <v/>
      </c>
      <c r="K381" s="248">
        <f t="array" ref="K381">IFERROR(I381*INDEX('PORTIFÓLIO'!$S$4:$S$433,MATCH($C381,'PORTIFÓLIO'!$C$4:$C$433,0)),"")</f>
        <v/>
      </c>
      <c r="L381" s="248">
        <f t="array" ref="L381">IFERROR(J381*INDEX('PORTIFÓLIO'!$S$4:$S$433,MATCH($C381,'PORTIFÓLIO'!$C$4:$C$433,0)),"")</f>
        <v/>
      </c>
      <c r="M381" s="177" t="n"/>
      <c r="N381" s="177" t="n"/>
      <c r="O381" s="177" t="n"/>
      <c r="P381" s="177" t="n"/>
      <c r="Q381" s="177" t="n"/>
      <c r="R381" s="177" t="n"/>
      <c r="S381" s="177" t="n"/>
      <c r="T381" s="177" t="n"/>
      <c r="U381" s="177" t="n"/>
      <c r="V381" s="177" t="n"/>
      <c r="W381" s="177" t="n"/>
      <c r="X381" s="177" t="n"/>
    </row>
    <row r="382" outlineLevel="1" ht="15.75" customHeight="1" s="297">
      <c r="A382" s="190" t="n"/>
      <c r="B382" s="204" t="n"/>
      <c r="C382" s="191" t="n"/>
      <c r="D382" s="205">
        <f>IFERROR(VLOOKUP($C382,'PORTIFÓLIO'!C:V,2,0),"")</f>
        <v/>
      </c>
      <c r="E382" s="190">
        <f>IFERROR(VLOOKUP($C382,'PORTIFÓLIO'!C:V,3,0),"")</f>
        <v/>
      </c>
      <c r="F382" s="190">
        <f>IFERROR(VLOOKUP($C382,'PORTIFÓLIO'!C:V,4,0),"")</f>
        <v/>
      </c>
      <c r="G382" s="206">
        <f>IFERROR(VLOOKUP($C382,'PORTIFÓLIO'!C:V,5,0),"")</f>
        <v/>
      </c>
      <c r="H382" s="247">
        <f t="array" ref="H382">IFERROR(INDEX('PORTIFÓLIO'!$H$4:$H$433,MATCH($C382,'PORTIFÓLIO'!$C$4:$C$433,0)),"")</f>
        <v/>
      </c>
      <c r="I382" s="228" t="n"/>
      <c r="J382" s="209">
        <f>I382*$B$2</f>
        <v/>
      </c>
      <c r="K382" s="248">
        <f t="array" ref="K382">IFERROR(I382*INDEX('PORTIFÓLIO'!$S$4:$S$433,MATCH($C382,'PORTIFÓLIO'!$C$4:$C$433,0)),"")</f>
        <v/>
      </c>
      <c r="L382" s="248">
        <f t="array" ref="L382">IFERROR(J382*INDEX('PORTIFÓLIO'!$S$4:$S$433,MATCH($C382,'PORTIFÓLIO'!$C$4:$C$433,0)),"")</f>
        <v/>
      </c>
      <c r="M382" s="177" t="n"/>
      <c r="N382" s="177" t="n"/>
      <c r="O382" s="177" t="n"/>
      <c r="P382" s="177" t="n"/>
      <c r="Q382" s="177" t="n"/>
      <c r="R382" s="177" t="n"/>
      <c r="S382" s="177" t="n"/>
      <c r="T382" s="177" t="n"/>
      <c r="U382" s="177" t="n"/>
      <c r="V382" s="177" t="n"/>
      <c r="W382" s="177" t="n"/>
      <c r="X382" s="177" t="n"/>
    </row>
    <row r="383" outlineLevel="1" ht="15.75" customHeight="1" s="297">
      <c r="A383" s="190" t="n"/>
      <c r="B383" s="204" t="n"/>
      <c r="C383" s="191" t="n"/>
      <c r="D383" s="205">
        <f>IFERROR(VLOOKUP($C383,'PORTIFÓLIO'!C:V,2,0),"")</f>
        <v/>
      </c>
      <c r="E383" s="190">
        <f>IFERROR(VLOOKUP($C383,'PORTIFÓLIO'!C:V,3,0),"")</f>
        <v/>
      </c>
      <c r="F383" s="190">
        <f>IFERROR(VLOOKUP($C383,'PORTIFÓLIO'!C:V,4,0),"")</f>
        <v/>
      </c>
      <c r="G383" s="206">
        <f>IFERROR(VLOOKUP($C383,'PORTIFÓLIO'!C:V,5,0),"")</f>
        <v/>
      </c>
      <c r="H383" s="247">
        <f t="array" ref="H383">IFERROR(INDEX('PORTIFÓLIO'!$H$4:$H$433,MATCH($C383,'PORTIFÓLIO'!$C$4:$C$433,0)),"")</f>
        <v/>
      </c>
      <c r="I383" s="228" t="n"/>
      <c r="J383" s="209">
        <f>I383*$B$2</f>
        <v/>
      </c>
      <c r="K383" s="248">
        <f t="array" ref="K383">IFERROR(I383*INDEX('PORTIFÓLIO'!$S$4:$S$433,MATCH($C383,'PORTIFÓLIO'!$C$4:$C$433,0)),"")</f>
        <v/>
      </c>
      <c r="L383" s="248">
        <f t="array" ref="L383">IFERROR(J383*INDEX('PORTIFÓLIO'!$S$4:$S$433,MATCH($C383,'PORTIFÓLIO'!$C$4:$C$433,0)),"")</f>
        <v/>
      </c>
      <c r="M383" s="177" t="n"/>
      <c r="N383" s="177" t="n"/>
      <c r="O383" s="177" t="n"/>
      <c r="P383" s="177" t="n"/>
      <c r="Q383" s="177" t="n"/>
      <c r="R383" s="177" t="n"/>
      <c r="S383" s="177" t="n"/>
      <c r="T383" s="177" t="n"/>
      <c r="U383" s="177" t="n"/>
      <c r="V383" s="177" t="n"/>
      <c r="W383" s="177" t="n"/>
      <c r="X383" s="177" t="n"/>
    </row>
    <row r="384" outlineLevel="1" ht="15.75" customHeight="1" s="297">
      <c r="A384" s="190" t="n"/>
      <c r="B384" s="204" t="n"/>
      <c r="C384" s="191" t="n"/>
      <c r="D384" s="205">
        <f>IFERROR(VLOOKUP($C384,'PORTIFÓLIO'!C:V,2,0),"")</f>
        <v/>
      </c>
      <c r="E384" s="190">
        <f>IFERROR(VLOOKUP($C384,'PORTIFÓLIO'!C:V,3,0),"")</f>
        <v/>
      </c>
      <c r="F384" s="190">
        <f>IFERROR(VLOOKUP($C384,'PORTIFÓLIO'!C:V,4,0),"")</f>
        <v/>
      </c>
      <c r="G384" s="206">
        <f>IFERROR(VLOOKUP($C384,'PORTIFÓLIO'!C:V,5,0),"")</f>
        <v/>
      </c>
      <c r="H384" s="247">
        <f t="array" ref="H384">IFERROR(INDEX('PORTIFÓLIO'!$H$4:$H$433,MATCH($C384,'PORTIFÓLIO'!$C$4:$C$433,0)),"")</f>
        <v/>
      </c>
      <c r="I384" s="208" t="n"/>
      <c r="J384" s="209">
        <f>I384*$B$2</f>
        <v/>
      </c>
      <c r="K384" s="248">
        <f t="array" ref="K384">IFERROR(I384*INDEX('PORTIFÓLIO'!$S$4:$S$433,MATCH($C384,'PORTIFÓLIO'!$C$4:$C$433,0)),"")</f>
        <v/>
      </c>
      <c r="L384" s="248">
        <f t="array" ref="L384">IFERROR(J384*INDEX('PORTIFÓLIO'!$S$4:$S$433,MATCH($C384,'PORTIFÓLIO'!$C$4:$C$433,0)),"")</f>
        <v/>
      </c>
      <c r="M384" s="177" t="n"/>
      <c r="N384" s="177" t="n"/>
      <c r="O384" s="177" t="n"/>
      <c r="P384" s="177" t="n"/>
      <c r="Q384" s="177" t="n"/>
      <c r="R384" s="177" t="n"/>
      <c r="S384" s="177" t="n"/>
      <c r="T384" s="177" t="n"/>
      <c r="U384" s="177" t="n"/>
      <c r="V384" s="177" t="n"/>
      <c r="W384" s="177" t="n"/>
      <c r="X384" s="177" t="n"/>
    </row>
    <row r="385" outlineLevel="1" ht="15.75" customHeight="1" s="297">
      <c r="A385" s="190" t="n"/>
      <c r="B385" s="204" t="n"/>
      <c r="C385" s="191" t="n"/>
      <c r="D385" s="205">
        <f>IFERROR(VLOOKUP($C385,'PORTIFÓLIO'!C:V,2,0),"")</f>
        <v/>
      </c>
      <c r="E385" s="190">
        <f>IFERROR(VLOOKUP($C385,'PORTIFÓLIO'!C:V,3,0),"")</f>
        <v/>
      </c>
      <c r="F385" s="190">
        <f>IFERROR(VLOOKUP($C385,'PORTIFÓLIO'!C:V,4,0),"")</f>
        <v/>
      </c>
      <c r="G385" s="206">
        <f>IFERROR(VLOOKUP($C385,'PORTIFÓLIO'!C:V,5,0),"")</f>
        <v/>
      </c>
      <c r="H385" s="247">
        <f t="array" ref="H385">IFERROR(INDEX('PORTIFÓLIO'!$H$4:$H$433,MATCH($C385,'PORTIFÓLIO'!$C$4:$C$433,0)),"")</f>
        <v/>
      </c>
      <c r="I385" s="228" t="n"/>
      <c r="J385" s="209">
        <f>I385*$B$2</f>
        <v/>
      </c>
      <c r="K385" s="248">
        <f t="array" ref="K385">IFERROR(I385*INDEX('PORTIFÓLIO'!$S$4:$S$433,MATCH($C385,'PORTIFÓLIO'!$C$4:$C$433,0)),"")</f>
        <v/>
      </c>
      <c r="L385" s="248">
        <f t="array" ref="L385">IFERROR(J385*INDEX('PORTIFÓLIO'!$S$4:$S$433,MATCH($C385,'PORTIFÓLIO'!$C$4:$C$433,0)),"")</f>
        <v/>
      </c>
      <c r="M385" s="177" t="n"/>
      <c r="N385" s="177" t="n"/>
      <c r="O385" s="177" t="n"/>
      <c r="P385" s="177" t="n"/>
      <c r="Q385" s="177" t="n"/>
      <c r="R385" s="177" t="n"/>
      <c r="S385" s="177" t="n"/>
      <c r="T385" s="177" t="n"/>
      <c r="U385" s="177" t="n"/>
      <c r="V385" s="177" t="n"/>
      <c r="W385" s="177" t="n"/>
      <c r="X385" s="177" t="n"/>
    </row>
    <row r="386" outlineLevel="1" ht="15.75" customHeight="1" s="297">
      <c r="A386" s="190" t="n"/>
      <c r="B386" s="204" t="n"/>
      <c r="C386" s="191" t="n"/>
      <c r="D386" s="205">
        <f>IFERROR(VLOOKUP($C386,'PORTIFÓLIO'!C:V,2,0),"")</f>
        <v/>
      </c>
      <c r="E386" s="190">
        <f>IFERROR(VLOOKUP($C386,'PORTIFÓLIO'!C:V,3,0),"")</f>
        <v/>
      </c>
      <c r="F386" s="190">
        <f>IFERROR(VLOOKUP($C386,'PORTIFÓLIO'!C:V,4,0),"")</f>
        <v/>
      </c>
      <c r="G386" s="206">
        <f>IFERROR(VLOOKUP($C386,'PORTIFÓLIO'!C:V,5,0),"")</f>
        <v/>
      </c>
      <c r="H386" s="247">
        <f t="array" ref="H386">IFERROR(INDEX('PORTIFÓLIO'!$H$4:$H$433,MATCH($C386,'PORTIFÓLIO'!$C$4:$C$433,0)),"")</f>
        <v/>
      </c>
      <c r="I386" s="228" t="n"/>
      <c r="J386" s="209">
        <f>I386*$B$2</f>
        <v/>
      </c>
      <c r="K386" s="248">
        <f t="array" ref="K386">IFERROR(I386*INDEX('PORTIFÓLIO'!$S$4:$S$433,MATCH($C386,'PORTIFÓLIO'!$C$4:$C$433,0)),"")</f>
        <v/>
      </c>
      <c r="L386" s="248">
        <f t="array" ref="L386">IFERROR(J386*INDEX('PORTIFÓLIO'!$S$4:$S$433,MATCH($C386,'PORTIFÓLIO'!$C$4:$C$433,0)),"")</f>
        <v/>
      </c>
      <c r="M386" s="177" t="n"/>
      <c r="N386" s="177" t="n"/>
      <c r="O386" s="177" t="n"/>
      <c r="P386" s="177" t="n"/>
      <c r="Q386" s="177" t="n"/>
      <c r="R386" s="177" t="n"/>
      <c r="S386" s="177" t="n"/>
      <c r="T386" s="177" t="n"/>
      <c r="U386" s="177" t="n"/>
      <c r="V386" s="177" t="n"/>
      <c r="W386" s="177" t="n"/>
      <c r="X386" s="177" t="n"/>
    </row>
    <row r="387" outlineLevel="1" ht="15.75" customHeight="1" s="297">
      <c r="A387" s="190" t="n"/>
      <c r="B387" s="204" t="n"/>
      <c r="C387" s="191" t="n"/>
      <c r="D387" s="205">
        <f>IFERROR(VLOOKUP($C387,'PORTIFÓLIO'!C:V,2,0),"")</f>
        <v/>
      </c>
      <c r="E387" s="190">
        <f>IFERROR(VLOOKUP($C387,'PORTIFÓLIO'!C:V,3,0),"")</f>
        <v/>
      </c>
      <c r="F387" s="190">
        <f>IFERROR(VLOOKUP($C387,'PORTIFÓLIO'!C:V,4,0),"")</f>
        <v/>
      </c>
      <c r="G387" s="206">
        <f>IFERROR(VLOOKUP($C387,'PORTIFÓLIO'!C:V,5,0),"")</f>
        <v/>
      </c>
      <c r="H387" s="247">
        <f t="array" ref="H387">IFERROR(INDEX('PORTIFÓLIO'!$H$4:$H$433,MATCH($C387,'PORTIFÓLIO'!$C$4:$C$433,0)),"")</f>
        <v/>
      </c>
      <c r="I387" s="228" t="n"/>
      <c r="J387" s="209">
        <f>I387*$B$2</f>
        <v/>
      </c>
      <c r="K387" s="248">
        <f t="array" ref="K387">IFERROR(I387*INDEX('PORTIFÓLIO'!$S$4:$S$433,MATCH($C387,'PORTIFÓLIO'!$C$4:$C$433,0)),"")</f>
        <v/>
      </c>
      <c r="L387" s="248">
        <f t="array" ref="L387">IFERROR(J387*INDEX('PORTIFÓLIO'!$S$4:$S$433,MATCH($C387,'PORTIFÓLIO'!$C$4:$C$433,0)),"")</f>
        <v/>
      </c>
      <c r="M387" s="177" t="n"/>
      <c r="N387" s="177" t="n"/>
      <c r="O387" s="177" t="n"/>
      <c r="P387" s="177" t="n"/>
      <c r="Q387" s="177" t="n"/>
      <c r="R387" s="177" t="n"/>
      <c r="S387" s="177" t="n"/>
      <c r="T387" s="177" t="n"/>
      <c r="U387" s="177" t="n"/>
      <c r="V387" s="177" t="n"/>
      <c r="W387" s="177" t="n"/>
      <c r="X387" s="177" t="n"/>
    </row>
    <row r="388" outlineLevel="1" ht="15.75" customHeight="1" s="297">
      <c r="A388" s="190" t="n"/>
      <c r="B388" s="204" t="n"/>
      <c r="C388" s="191" t="n"/>
      <c r="D388" s="205">
        <f>IFERROR(VLOOKUP($C388,'PORTIFÓLIO'!C:V,2,0),"")</f>
        <v/>
      </c>
      <c r="E388" s="190">
        <f>IFERROR(VLOOKUP($C388,'PORTIFÓLIO'!C:V,3,0),"")</f>
        <v/>
      </c>
      <c r="F388" s="190">
        <f>IFERROR(VLOOKUP($C388,'PORTIFÓLIO'!C:V,4,0),"")</f>
        <v/>
      </c>
      <c r="G388" s="206">
        <f>IFERROR(VLOOKUP($C388,'PORTIFÓLIO'!C:V,5,0),"")</f>
        <v/>
      </c>
      <c r="H388" s="247">
        <f t="array" ref="H388">IFERROR(INDEX('PORTIFÓLIO'!$H$4:$H$433,MATCH($C388,'PORTIFÓLIO'!$C$4:$C$433,0)),"")</f>
        <v/>
      </c>
      <c r="I388" s="228" t="n"/>
      <c r="J388" s="209">
        <f>I388*$B$2</f>
        <v/>
      </c>
      <c r="K388" s="248">
        <f t="array" ref="K388">IFERROR(I388*INDEX('PORTIFÓLIO'!$S$4:$S$433,MATCH($C388,'PORTIFÓLIO'!$C$4:$C$433,0)),"")</f>
        <v/>
      </c>
      <c r="L388" s="248">
        <f t="array" ref="L388">IFERROR(J388*INDEX('PORTIFÓLIO'!$S$4:$S$433,MATCH($C388,'PORTIFÓLIO'!$C$4:$C$433,0)),"")</f>
        <v/>
      </c>
      <c r="M388" s="177" t="n"/>
      <c r="N388" s="177" t="n"/>
      <c r="O388" s="177" t="n"/>
      <c r="P388" s="177" t="n"/>
      <c r="Q388" s="177" t="n"/>
      <c r="R388" s="177" t="n"/>
      <c r="S388" s="177" t="n"/>
      <c r="T388" s="177" t="n"/>
      <c r="U388" s="177" t="n"/>
      <c r="V388" s="177" t="n"/>
      <c r="W388" s="177" t="n"/>
      <c r="X388" s="177" t="n"/>
    </row>
    <row r="389" outlineLevel="1" ht="15.75" customHeight="1" s="297">
      <c r="A389" s="190" t="n"/>
      <c r="B389" s="204" t="n"/>
      <c r="C389" s="191" t="n"/>
      <c r="D389" s="205">
        <f>IFERROR(VLOOKUP($C389,'PORTIFÓLIO'!C:V,2,0),"")</f>
        <v/>
      </c>
      <c r="E389" s="190">
        <f>IFERROR(VLOOKUP($C389,'PORTIFÓLIO'!C:V,3,0),"")</f>
        <v/>
      </c>
      <c r="F389" s="190">
        <f>IFERROR(VLOOKUP($C389,'PORTIFÓLIO'!C:V,4,0),"")</f>
        <v/>
      </c>
      <c r="G389" s="206">
        <f>IFERROR(VLOOKUP($C389,'PORTIFÓLIO'!C:V,5,0),"")</f>
        <v/>
      </c>
      <c r="H389" s="247">
        <f t="array" ref="H389">IFERROR(INDEX('PORTIFÓLIO'!$H$4:$H$433,MATCH($C389,'PORTIFÓLIO'!$C$4:$C$433,0)),"")</f>
        <v/>
      </c>
      <c r="I389" s="228" t="n"/>
      <c r="J389" s="209">
        <f>I389*$B$2</f>
        <v/>
      </c>
      <c r="K389" s="248">
        <f t="array" ref="K389">IFERROR(I389*INDEX('PORTIFÓLIO'!$S$4:$S$433,MATCH($C389,'PORTIFÓLIO'!$C$4:$C$433,0)),"")</f>
        <v/>
      </c>
      <c r="L389" s="248">
        <f t="array" ref="L389">IFERROR(J389*INDEX('PORTIFÓLIO'!$S$4:$S$433,MATCH($C389,'PORTIFÓLIO'!$C$4:$C$433,0)),"")</f>
        <v/>
      </c>
      <c r="M389" s="177" t="n"/>
      <c r="N389" s="177" t="n"/>
      <c r="O389" s="177" t="n"/>
      <c r="P389" s="177" t="n"/>
      <c r="Q389" s="177" t="n"/>
      <c r="R389" s="177" t="n"/>
      <c r="S389" s="177" t="n"/>
      <c r="T389" s="177" t="n"/>
      <c r="U389" s="177" t="n"/>
      <c r="V389" s="177" t="n"/>
      <c r="W389" s="177" t="n"/>
      <c r="X389" s="177" t="n"/>
    </row>
    <row r="390" outlineLevel="1" ht="15.75" customHeight="1" s="297">
      <c r="A390" s="190" t="n"/>
      <c r="B390" s="204" t="n"/>
      <c r="C390" s="191" t="n"/>
      <c r="D390" s="205">
        <f>IFERROR(VLOOKUP($C390,'PORTIFÓLIO'!C:V,2,0),"")</f>
        <v/>
      </c>
      <c r="E390" s="190">
        <f>IFERROR(VLOOKUP($C390,'PORTIFÓLIO'!C:V,3,0),"")</f>
        <v/>
      </c>
      <c r="F390" s="190">
        <f>IFERROR(VLOOKUP($C390,'PORTIFÓLIO'!C:V,4,0),"")</f>
        <v/>
      </c>
      <c r="G390" s="206">
        <f>IFERROR(VLOOKUP($C390,'PORTIFÓLIO'!C:V,5,0),"")</f>
        <v/>
      </c>
      <c r="H390" s="247">
        <f t="array" ref="H390">IFERROR(INDEX('PORTIFÓLIO'!$H$4:$H$433,MATCH($C390,'PORTIFÓLIO'!$C$4:$C$433,0)),"")</f>
        <v/>
      </c>
      <c r="I390" s="228" t="n"/>
      <c r="J390" s="209">
        <f>I390*$B$2</f>
        <v/>
      </c>
      <c r="K390" s="248">
        <f t="array" ref="K390">IFERROR(I390*INDEX('PORTIFÓLIO'!$S$4:$S$433,MATCH($C390,'PORTIFÓLIO'!$C$4:$C$433,0)),"")</f>
        <v/>
      </c>
      <c r="L390" s="248">
        <f t="array" ref="L390">IFERROR(J390*INDEX('PORTIFÓLIO'!$S$4:$S$433,MATCH($C390,'PORTIFÓLIO'!$C$4:$C$433,0)),"")</f>
        <v/>
      </c>
      <c r="M390" s="177" t="n"/>
      <c r="N390" s="177" t="n"/>
      <c r="O390" s="177" t="n"/>
      <c r="P390" s="177" t="n"/>
      <c r="Q390" s="177" t="n"/>
      <c r="R390" s="177" t="n"/>
      <c r="S390" s="177" t="n"/>
      <c r="T390" s="177" t="n"/>
      <c r="U390" s="177" t="n"/>
      <c r="V390" s="177" t="n"/>
      <c r="W390" s="177" t="n"/>
      <c r="X390" s="177" t="n"/>
    </row>
    <row r="391" outlineLevel="1" ht="15.75" customHeight="1" s="297">
      <c r="A391" s="190" t="n"/>
      <c r="B391" s="238" t="n"/>
      <c r="C391" s="190" t="n"/>
      <c r="D391" s="205">
        <f>IFERROR(VLOOKUP($C391,'PORTIFÓLIO'!C:V,2,0),"")</f>
        <v/>
      </c>
      <c r="E391" s="190">
        <f>IFERROR(VLOOKUP($C391,'PORTIFÓLIO'!C:V,3,0),"")</f>
        <v/>
      </c>
      <c r="F391" s="190">
        <f>IFERROR(VLOOKUP($C391,'PORTIFÓLIO'!C:V,4,0),"")</f>
        <v/>
      </c>
      <c r="G391" s="206">
        <f>IFERROR(VLOOKUP($C391,'PORTIFÓLIO'!C:V,5,0),"")</f>
        <v/>
      </c>
      <c r="H391" s="247">
        <f t="array" ref="H391">IFERROR(INDEX('PORTIFÓLIO'!$H$4:$H$433,MATCH($C391,'PORTIFÓLIO'!$C$4:$C$433,0)),"")</f>
        <v/>
      </c>
      <c r="I391" s="228" t="n"/>
      <c r="J391" s="209" t="n"/>
      <c r="K391" s="248">
        <f t="array" ref="K391">IFERROR(I391*INDEX('PORTIFÓLIO'!$S$4:$S$433,MATCH($C391,'PORTIFÓLIO'!$C$4:$C$433,0)),"")</f>
        <v/>
      </c>
      <c r="L391" s="248">
        <f t="array" ref="L391">IFERROR(J391*INDEX('PORTIFÓLIO'!$S$4:$S$433,MATCH($C391,'PORTIFÓLIO'!$C$4:$C$433,0)),"")</f>
        <v/>
      </c>
      <c r="M391" s="177" t="n"/>
      <c r="N391" s="177" t="n"/>
      <c r="O391" s="177" t="n"/>
      <c r="P391" s="177" t="n"/>
      <c r="Q391" s="177" t="n"/>
      <c r="R391" s="177" t="n"/>
      <c r="S391" s="177" t="n"/>
      <c r="T391" s="177" t="n"/>
      <c r="U391" s="177" t="n"/>
      <c r="V391" s="177" t="n"/>
      <c r="W391" s="177" t="n"/>
      <c r="X391" s="177" t="n"/>
    </row>
    <row r="392" ht="15.75" customHeight="1" s="297">
      <c r="A392" s="221" t="inlineStr">
        <is>
          <t>OPERAÇÃO 10</t>
        </is>
      </c>
      <c r="B392" s="197" t="n"/>
      <c r="C392" s="196" t="n"/>
      <c r="D392" s="198" t="n"/>
      <c r="E392" s="196" t="n"/>
      <c r="F392" s="196" t="n"/>
      <c r="G392" s="199" t="n"/>
      <c r="H392" s="199" t="n"/>
      <c r="I392" s="201" t="n"/>
      <c r="J392" s="202" t="n"/>
      <c r="K392" s="203">
        <f>SUBTOTAL(9,K393:K406)</f>
        <v/>
      </c>
      <c r="L392" s="203">
        <f>SUBTOTAL(9,L393:L406)</f>
        <v/>
      </c>
      <c r="M392" s="177" t="n"/>
      <c r="N392" s="177" t="n"/>
      <c r="O392" s="177" t="n"/>
      <c r="P392" s="177" t="n"/>
      <c r="Q392" s="177" t="n"/>
      <c r="R392" s="177" t="n"/>
      <c r="S392" s="177" t="n"/>
      <c r="T392" s="177" t="n"/>
      <c r="U392" s="177" t="n"/>
      <c r="V392" s="177" t="n"/>
      <c r="W392" s="177" t="n"/>
      <c r="X392" s="177" t="n"/>
    </row>
    <row r="393" outlineLevel="1" ht="15.75" customHeight="1" s="297">
      <c r="A393" s="191" t="n"/>
      <c r="B393" s="204" t="n"/>
      <c r="C393" s="191" t="n"/>
      <c r="D393" s="205">
        <f>IFERROR(VLOOKUP($C393,'PORTIFÓLIO'!C:V,2,0),"")</f>
        <v/>
      </c>
      <c r="E393" s="190">
        <f>IFERROR(VLOOKUP($C393,'PORTIFÓLIO'!C:V,3,0),"")</f>
        <v/>
      </c>
      <c r="F393" s="190">
        <f>IFERROR(VLOOKUP($C393,'PORTIFÓLIO'!C:V,4,0),"")</f>
        <v/>
      </c>
      <c r="G393" s="206">
        <f>IFERROR(VLOOKUP($C393,'PORTIFÓLIO'!C:V,5,0),"")</f>
        <v/>
      </c>
      <c r="H393" s="247">
        <f t="array" ref="H393">IFERROR(INDEX('PORTIFÓLIO'!$H$4:$H$433,MATCH($C393,'PORTIFÓLIO'!$C$4:$C$433,0)),"")</f>
        <v/>
      </c>
      <c r="I393" s="208" t="n"/>
      <c r="J393" s="209">
        <f>I393*$B$2</f>
        <v/>
      </c>
      <c r="K393" s="248">
        <f t="array" ref="K393">IFERROR(I393*INDEX('PORTIFÓLIO'!$S$4:$S$433,MATCH($C393,'PORTIFÓLIO'!$C$4:$C$433,0)),"")</f>
        <v/>
      </c>
      <c r="L393" s="248">
        <f t="array" ref="L393">IFERROR(J393*INDEX('PORTIFÓLIO'!$S$4:$S$433,MATCH($C393,'PORTIFÓLIO'!$C$4:$C$433,0)),"")</f>
        <v/>
      </c>
      <c r="M393" s="177" t="n"/>
      <c r="N393" s="177" t="n"/>
      <c r="O393" s="177" t="n"/>
      <c r="P393" s="177" t="n"/>
      <c r="Q393" s="177" t="n"/>
      <c r="R393" s="177" t="n"/>
      <c r="S393" s="177" t="n"/>
      <c r="T393" s="177" t="n"/>
      <c r="U393" s="177" t="n"/>
      <c r="V393" s="177" t="n"/>
      <c r="W393" s="177" t="n"/>
      <c r="X393" s="177" t="n"/>
    </row>
    <row r="394" outlineLevel="1" ht="15.75" customHeight="1" s="297">
      <c r="A394" s="190" t="n"/>
      <c r="B394" s="204" t="n"/>
      <c r="C394" s="191" t="n"/>
      <c r="D394" s="205">
        <f>IFERROR(VLOOKUP($C394,'PORTIFÓLIO'!C:V,2,0),"")</f>
        <v/>
      </c>
      <c r="E394" s="190">
        <f>IFERROR(VLOOKUP($C394,'PORTIFÓLIO'!C:V,3,0),"")</f>
        <v/>
      </c>
      <c r="F394" s="190">
        <f>IFERROR(VLOOKUP($C394,'PORTIFÓLIO'!C:V,4,0),"")</f>
        <v/>
      </c>
      <c r="G394" s="206">
        <f>IFERROR(VLOOKUP($C394,'PORTIFÓLIO'!C:V,5,0),"")</f>
        <v/>
      </c>
      <c r="H394" s="247">
        <f t="array" ref="H394">IFERROR(INDEX('PORTIFÓLIO'!$H$4:$H$433,MATCH($C394,'PORTIFÓLIO'!$C$4:$C$433,0)),"")</f>
        <v/>
      </c>
      <c r="I394" s="228" t="n"/>
      <c r="J394" s="209">
        <f>I394*$B$2</f>
        <v/>
      </c>
      <c r="K394" s="248">
        <f t="array" ref="K394">IFERROR(I394*INDEX('PORTIFÓLIO'!$S$4:$S$433,MATCH($C394,'PORTIFÓLIO'!$C$4:$C$433,0)),"")</f>
        <v/>
      </c>
      <c r="L394" s="248">
        <f t="array" ref="L394">IFERROR(J394*INDEX('PORTIFÓLIO'!$S$4:$S$433,MATCH($C394,'PORTIFÓLIO'!$C$4:$C$433,0)),"")</f>
        <v/>
      </c>
      <c r="M394" s="177" t="n"/>
      <c r="N394" s="177" t="n"/>
      <c r="O394" s="177" t="n"/>
      <c r="P394" s="177" t="n"/>
      <c r="Q394" s="177" t="n"/>
      <c r="R394" s="177" t="n"/>
      <c r="S394" s="177" t="n"/>
      <c r="T394" s="177" t="n"/>
      <c r="U394" s="177" t="n"/>
      <c r="V394" s="177" t="n"/>
      <c r="W394" s="177" t="n"/>
      <c r="X394" s="177" t="n"/>
    </row>
    <row r="395" outlineLevel="1" ht="15.75" customHeight="1" s="297">
      <c r="A395" s="190" t="n"/>
      <c r="B395" s="204" t="n"/>
      <c r="C395" s="191" t="n"/>
      <c r="D395" s="205">
        <f>IFERROR(VLOOKUP($C395,'PORTIFÓLIO'!C:V,2,0),"")</f>
        <v/>
      </c>
      <c r="E395" s="190">
        <f>IFERROR(VLOOKUP($C395,'PORTIFÓLIO'!C:V,3,0),"")</f>
        <v/>
      </c>
      <c r="F395" s="190">
        <f>IFERROR(VLOOKUP($C395,'PORTIFÓLIO'!C:V,4,0),"")</f>
        <v/>
      </c>
      <c r="G395" s="206">
        <f>IFERROR(VLOOKUP($C395,'PORTIFÓLIO'!C:V,5,0),"")</f>
        <v/>
      </c>
      <c r="H395" s="247">
        <f t="array" ref="H395">IFERROR(INDEX('PORTIFÓLIO'!$H$4:$H$433,MATCH($C395,'PORTIFÓLIO'!$C$4:$C$433,0)),"")</f>
        <v/>
      </c>
      <c r="I395" s="228" t="n"/>
      <c r="J395" s="209">
        <f>I395*$B$2</f>
        <v/>
      </c>
      <c r="K395" s="248">
        <f t="array" ref="K395">IFERROR(I395*INDEX('PORTIFÓLIO'!$S$4:$S$433,MATCH($C395,'PORTIFÓLIO'!$C$4:$C$433,0)),"")</f>
        <v/>
      </c>
      <c r="L395" s="248">
        <f t="array" ref="L395">IFERROR(J395*INDEX('PORTIFÓLIO'!$S$4:$S$433,MATCH($C395,'PORTIFÓLIO'!$C$4:$C$433,0)),"")</f>
        <v/>
      </c>
      <c r="M395" s="177" t="n"/>
      <c r="N395" s="177" t="n"/>
      <c r="O395" s="177" t="n"/>
      <c r="P395" s="177" t="n"/>
      <c r="Q395" s="177" t="n"/>
      <c r="R395" s="177" t="n"/>
      <c r="S395" s="177" t="n"/>
      <c r="T395" s="177" t="n"/>
      <c r="U395" s="177" t="n"/>
      <c r="V395" s="177" t="n"/>
      <c r="W395" s="177" t="n"/>
      <c r="X395" s="177" t="n"/>
    </row>
    <row r="396" outlineLevel="1" ht="15.75" customHeight="1" s="297">
      <c r="A396" s="190" t="n"/>
      <c r="B396" s="204" t="n"/>
      <c r="C396" s="191" t="n"/>
      <c r="D396" s="205">
        <f>IFERROR(VLOOKUP($C396,'PORTIFÓLIO'!C:V,2,0),"")</f>
        <v/>
      </c>
      <c r="E396" s="190">
        <f>IFERROR(VLOOKUP($C396,'PORTIFÓLIO'!C:V,3,0),"")</f>
        <v/>
      </c>
      <c r="F396" s="190">
        <f>IFERROR(VLOOKUP($C396,'PORTIFÓLIO'!C:V,4,0),"")</f>
        <v/>
      </c>
      <c r="G396" s="206">
        <f>IFERROR(VLOOKUP($C396,'PORTIFÓLIO'!C:V,5,0),"")</f>
        <v/>
      </c>
      <c r="H396" s="247">
        <f t="array" ref="H396">IFERROR(INDEX('PORTIFÓLIO'!$H$4:$H$433,MATCH($C396,'PORTIFÓLIO'!$C$4:$C$433,0)),"")</f>
        <v/>
      </c>
      <c r="I396" s="228" t="n"/>
      <c r="J396" s="209">
        <f>I396*$B$2</f>
        <v/>
      </c>
      <c r="K396" s="248">
        <f t="array" ref="K396">IFERROR(I396*INDEX('PORTIFÓLIO'!$S$4:$S$433,MATCH($C396,'PORTIFÓLIO'!$C$4:$C$433,0)),"")</f>
        <v/>
      </c>
      <c r="L396" s="248">
        <f t="array" ref="L396">IFERROR(J396*INDEX('PORTIFÓLIO'!$S$4:$S$433,MATCH($C396,'PORTIFÓLIO'!$C$4:$C$433,0)),"")</f>
        <v/>
      </c>
      <c r="M396" s="177" t="n"/>
      <c r="N396" s="177" t="n"/>
      <c r="O396" s="177" t="n"/>
      <c r="P396" s="177" t="n"/>
      <c r="Q396" s="177" t="n"/>
      <c r="R396" s="177" t="n"/>
      <c r="S396" s="177" t="n"/>
      <c r="T396" s="177" t="n"/>
      <c r="U396" s="177" t="n"/>
      <c r="V396" s="177" t="n"/>
      <c r="W396" s="177" t="n"/>
      <c r="X396" s="177" t="n"/>
    </row>
    <row r="397" outlineLevel="1" ht="15.75" customHeight="1" s="297">
      <c r="A397" s="190" t="n"/>
      <c r="B397" s="204" t="n"/>
      <c r="C397" s="191" t="n"/>
      <c r="D397" s="205">
        <f>IFERROR(VLOOKUP($C397,'PORTIFÓLIO'!C:V,2,0),"")</f>
        <v/>
      </c>
      <c r="E397" s="190">
        <f>IFERROR(VLOOKUP($C397,'PORTIFÓLIO'!C:V,3,0),"")</f>
        <v/>
      </c>
      <c r="F397" s="190">
        <f>IFERROR(VLOOKUP($C397,'PORTIFÓLIO'!C:V,4,0),"")</f>
        <v/>
      </c>
      <c r="G397" s="206">
        <f>IFERROR(VLOOKUP($C397,'PORTIFÓLIO'!C:V,5,0),"")</f>
        <v/>
      </c>
      <c r="H397" s="247">
        <f t="array" ref="H397">IFERROR(INDEX('PORTIFÓLIO'!$H$4:$H$433,MATCH($C397,'PORTIFÓLIO'!$C$4:$C$433,0)),"")</f>
        <v/>
      </c>
      <c r="I397" s="228" t="n"/>
      <c r="J397" s="209">
        <f>I397*$B$2</f>
        <v/>
      </c>
      <c r="K397" s="248">
        <f t="array" ref="K397">IFERROR(I397*INDEX('PORTIFÓLIO'!$S$4:$S$433,MATCH($C397,'PORTIFÓLIO'!$C$4:$C$433,0)),"")</f>
        <v/>
      </c>
      <c r="L397" s="248">
        <f t="array" ref="L397">IFERROR(J397*INDEX('PORTIFÓLIO'!$S$4:$S$433,MATCH($C397,'PORTIFÓLIO'!$C$4:$C$433,0)),"")</f>
        <v/>
      </c>
      <c r="M397" s="177" t="n"/>
      <c r="N397" s="177" t="n"/>
      <c r="O397" s="177" t="n"/>
      <c r="P397" s="177" t="n"/>
      <c r="Q397" s="177" t="n"/>
      <c r="R397" s="177" t="n"/>
      <c r="S397" s="177" t="n"/>
      <c r="T397" s="177" t="n"/>
      <c r="U397" s="177" t="n"/>
      <c r="V397" s="177" t="n"/>
      <c r="W397" s="177" t="n"/>
      <c r="X397" s="177" t="n"/>
    </row>
    <row r="398" outlineLevel="1" ht="15.75" customHeight="1" s="297">
      <c r="A398" s="190" t="n"/>
      <c r="B398" s="204" t="n"/>
      <c r="C398" s="191" t="n"/>
      <c r="D398" s="205">
        <f>IFERROR(VLOOKUP($C398,'PORTIFÓLIO'!C:V,2,0),"")</f>
        <v/>
      </c>
      <c r="E398" s="190">
        <f>IFERROR(VLOOKUP($C398,'PORTIFÓLIO'!C:V,3,0),"")</f>
        <v/>
      </c>
      <c r="F398" s="190">
        <f>IFERROR(VLOOKUP($C398,'PORTIFÓLIO'!C:V,4,0),"")</f>
        <v/>
      </c>
      <c r="G398" s="206">
        <f>IFERROR(VLOOKUP($C398,'PORTIFÓLIO'!C:V,5,0),"")</f>
        <v/>
      </c>
      <c r="H398" s="247">
        <f t="array" ref="H398">IFERROR(INDEX('PORTIFÓLIO'!$H$4:$H$433,MATCH($C398,'PORTIFÓLIO'!$C$4:$C$433,0)),"")</f>
        <v/>
      </c>
      <c r="I398" s="228" t="n"/>
      <c r="J398" s="209">
        <f>I398*$B$2</f>
        <v/>
      </c>
      <c r="K398" s="248">
        <f t="array" ref="K398">IFERROR(I398*INDEX('PORTIFÓLIO'!$S$4:$S$433,MATCH($C398,'PORTIFÓLIO'!$C$4:$C$433,0)),"")</f>
        <v/>
      </c>
      <c r="L398" s="248">
        <f t="array" ref="L398">IFERROR(J398*INDEX('PORTIFÓLIO'!$S$4:$S$433,MATCH($C398,'PORTIFÓLIO'!$C$4:$C$433,0)),"")</f>
        <v/>
      </c>
      <c r="M398" s="177" t="n"/>
      <c r="N398" s="177" t="n"/>
      <c r="O398" s="177" t="n"/>
      <c r="P398" s="177" t="n"/>
      <c r="Q398" s="177" t="n"/>
      <c r="R398" s="177" t="n"/>
      <c r="S398" s="177" t="n"/>
      <c r="T398" s="177" t="n"/>
      <c r="U398" s="177" t="n"/>
      <c r="V398" s="177" t="n"/>
      <c r="W398" s="177" t="n"/>
      <c r="X398" s="177" t="n"/>
    </row>
    <row r="399" outlineLevel="1" ht="15.75" customHeight="1" s="297">
      <c r="A399" s="190" t="n"/>
      <c r="B399" s="204" t="n"/>
      <c r="C399" s="191" t="n"/>
      <c r="D399" s="205">
        <f>IFERROR(VLOOKUP($C399,'PORTIFÓLIO'!C:V,2,0),"")</f>
        <v/>
      </c>
      <c r="E399" s="190">
        <f>IFERROR(VLOOKUP($C399,'PORTIFÓLIO'!C:V,3,0),"")</f>
        <v/>
      </c>
      <c r="F399" s="190">
        <f>IFERROR(VLOOKUP($C399,'PORTIFÓLIO'!C:V,4,0),"")</f>
        <v/>
      </c>
      <c r="G399" s="206">
        <f>IFERROR(VLOOKUP($C399,'PORTIFÓLIO'!C:V,5,0),"")</f>
        <v/>
      </c>
      <c r="H399" s="247">
        <f t="array" ref="H399">IFERROR(INDEX('PORTIFÓLIO'!$H$4:$H$433,MATCH($C399,'PORTIFÓLIO'!$C$4:$C$433,0)),"")</f>
        <v/>
      </c>
      <c r="I399" s="228" t="n"/>
      <c r="J399" s="209">
        <f>I399*$B$2</f>
        <v/>
      </c>
      <c r="K399" s="248">
        <f t="array" ref="K399">IFERROR(I399*INDEX('PORTIFÓLIO'!$S$4:$S$433,MATCH($C399,'PORTIFÓLIO'!$C$4:$C$433,0)),"")</f>
        <v/>
      </c>
      <c r="L399" s="248">
        <f t="array" ref="L399">IFERROR(J399*INDEX('PORTIFÓLIO'!$S$4:$S$433,MATCH($C399,'PORTIFÓLIO'!$C$4:$C$433,0)),"")</f>
        <v/>
      </c>
      <c r="M399" s="177" t="n"/>
      <c r="N399" s="177" t="n"/>
      <c r="O399" s="177" t="n"/>
      <c r="P399" s="177" t="n"/>
      <c r="Q399" s="177" t="n"/>
      <c r="R399" s="177" t="n"/>
      <c r="S399" s="177" t="n"/>
      <c r="T399" s="177" t="n"/>
      <c r="U399" s="177" t="n"/>
      <c r="V399" s="177" t="n"/>
      <c r="W399" s="177" t="n"/>
      <c r="X399" s="177" t="n"/>
    </row>
    <row r="400" outlineLevel="1" ht="15.75" customHeight="1" s="297">
      <c r="A400" s="190" t="n"/>
      <c r="B400" s="204" t="n"/>
      <c r="C400" s="191" t="n"/>
      <c r="D400" s="205">
        <f>IFERROR(VLOOKUP($C400,'PORTIFÓLIO'!C:V,2,0),"")</f>
        <v/>
      </c>
      <c r="E400" s="190">
        <f>IFERROR(VLOOKUP($C400,'PORTIFÓLIO'!C:V,3,0),"")</f>
        <v/>
      </c>
      <c r="F400" s="190">
        <f>IFERROR(VLOOKUP($C400,'PORTIFÓLIO'!C:V,4,0),"")</f>
        <v/>
      </c>
      <c r="G400" s="206">
        <f>IFERROR(VLOOKUP($C400,'PORTIFÓLIO'!C:V,5,0),"")</f>
        <v/>
      </c>
      <c r="H400" s="247">
        <f t="array" ref="H400">IFERROR(INDEX('PORTIFÓLIO'!$H$4:$H$433,MATCH($C400,'PORTIFÓLIO'!$C$4:$C$433,0)),"")</f>
        <v/>
      </c>
      <c r="I400" s="228" t="n"/>
      <c r="J400" s="209">
        <f>I400*$B$2</f>
        <v/>
      </c>
      <c r="K400" s="248">
        <f t="array" ref="K400">IFERROR(I400*INDEX('PORTIFÓLIO'!$S$4:$S$433,MATCH($C400,'PORTIFÓLIO'!$C$4:$C$433,0)),"")</f>
        <v/>
      </c>
      <c r="L400" s="248">
        <f t="array" ref="L400">IFERROR(J400*INDEX('PORTIFÓLIO'!$S$4:$S$433,MATCH($C400,'PORTIFÓLIO'!$C$4:$C$433,0)),"")</f>
        <v/>
      </c>
      <c r="M400" s="177" t="n"/>
      <c r="N400" s="177" t="n"/>
      <c r="O400" s="177" t="n"/>
      <c r="P400" s="177" t="n"/>
      <c r="Q400" s="177" t="n"/>
      <c r="R400" s="177" t="n"/>
      <c r="S400" s="177" t="n"/>
      <c r="T400" s="177" t="n"/>
      <c r="U400" s="177" t="n"/>
      <c r="V400" s="177" t="n"/>
      <c r="W400" s="177" t="n"/>
      <c r="X400" s="177" t="n"/>
    </row>
    <row r="401" outlineLevel="1" ht="15.75" customHeight="1" s="297">
      <c r="A401" s="190" t="n"/>
      <c r="B401" s="204" t="n"/>
      <c r="C401" s="191" t="n"/>
      <c r="D401" s="205">
        <f>IFERROR(VLOOKUP($C401,'PORTIFÓLIO'!C:V,2,0),"")</f>
        <v/>
      </c>
      <c r="E401" s="190">
        <f>IFERROR(VLOOKUP($C401,'PORTIFÓLIO'!C:V,3,0),"")</f>
        <v/>
      </c>
      <c r="F401" s="190">
        <f>IFERROR(VLOOKUP($C401,'PORTIFÓLIO'!C:V,4,0),"")</f>
        <v/>
      </c>
      <c r="G401" s="206">
        <f>IFERROR(VLOOKUP($C401,'PORTIFÓLIO'!C:V,5,0),"")</f>
        <v/>
      </c>
      <c r="H401" s="247">
        <f t="array" ref="H401">IFERROR(INDEX('PORTIFÓLIO'!$H$4:$H$433,MATCH($C401,'PORTIFÓLIO'!$C$4:$C$433,0)),"")</f>
        <v/>
      </c>
      <c r="I401" s="208" t="n"/>
      <c r="J401" s="209">
        <f>I401*$B$2</f>
        <v/>
      </c>
      <c r="K401" s="248">
        <f t="array" ref="K401">IFERROR(I401*INDEX('PORTIFÓLIO'!$S$4:$S$433,MATCH($C401,'PORTIFÓLIO'!$C$4:$C$433,0)),"")</f>
        <v/>
      </c>
      <c r="L401" s="248">
        <f t="array" ref="L401">IFERROR(J401*INDEX('PORTIFÓLIO'!$S$4:$S$433,MATCH($C401,'PORTIFÓLIO'!$C$4:$C$433,0)),"")</f>
        <v/>
      </c>
      <c r="M401" s="177" t="n"/>
      <c r="N401" s="177" t="n"/>
      <c r="O401" s="177" t="n"/>
      <c r="P401" s="177" t="n"/>
      <c r="Q401" s="177" t="n"/>
      <c r="R401" s="177" t="n"/>
      <c r="S401" s="177" t="n"/>
      <c r="T401" s="177" t="n"/>
      <c r="U401" s="177" t="n"/>
      <c r="V401" s="177" t="n"/>
      <c r="W401" s="177" t="n"/>
      <c r="X401" s="177" t="n"/>
    </row>
    <row r="402" outlineLevel="1" ht="15.75" customHeight="1" s="297">
      <c r="A402" s="190" t="n"/>
      <c r="B402" s="204" t="n"/>
      <c r="C402" s="191" t="n"/>
      <c r="D402" s="205">
        <f>IFERROR(VLOOKUP($C402,'PORTIFÓLIO'!C:V,2,0),"")</f>
        <v/>
      </c>
      <c r="E402" s="190">
        <f>IFERROR(VLOOKUP($C402,'PORTIFÓLIO'!C:V,3,0),"")</f>
        <v/>
      </c>
      <c r="F402" s="190">
        <f>IFERROR(VLOOKUP($C402,'PORTIFÓLIO'!C:V,4,0),"")</f>
        <v/>
      </c>
      <c r="G402" s="206">
        <f>IFERROR(VLOOKUP($C402,'PORTIFÓLIO'!C:V,5,0),"")</f>
        <v/>
      </c>
      <c r="H402" s="247">
        <f t="array" ref="H402">IFERROR(INDEX('PORTIFÓLIO'!$H$4:$H$433,MATCH($C402,'PORTIFÓLIO'!$C$4:$C$433,0)),"")</f>
        <v/>
      </c>
      <c r="I402" s="228" t="n"/>
      <c r="J402" s="209">
        <f>I402*$B$2</f>
        <v/>
      </c>
      <c r="K402" s="248">
        <f t="array" ref="K402">IFERROR(I402*INDEX('PORTIFÓLIO'!$S$4:$S$433,MATCH($C402,'PORTIFÓLIO'!$C$4:$C$433,0)),"")</f>
        <v/>
      </c>
      <c r="L402" s="248">
        <f t="array" ref="L402">IFERROR(J402*INDEX('PORTIFÓLIO'!$S$4:$S$433,MATCH($C402,'PORTIFÓLIO'!$C$4:$C$433,0)),"")</f>
        <v/>
      </c>
      <c r="M402" s="177" t="n"/>
      <c r="N402" s="177" t="n"/>
      <c r="O402" s="177" t="n"/>
      <c r="P402" s="177" t="n"/>
      <c r="Q402" s="177" t="n"/>
      <c r="R402" s="177" t="n"/>
      <c r="S402" s="177" t="n"/>
      <c r="T402" s="177" t="n"/>
      <c r="U402" s="177" t="n"/>
      <c r="V402" s="177" t="n"/>
      <c r="W402" s="177" t="n"/>
      <c r="X402" s="177" t="n"/>
    </row>
    <row r="403" outlineLevel="1" ht="15.75" customHeight="1" s="297">
      <c r="A403" s="190" t="n"/>
      <c r="B403" s="204" t="n"/>
      <c r="C403" s="191" t="n"/>
      <c r="D403" s="205">
        <f>IFERROR(VLOOKUP($C403,'PORTIFÓLIO'!C:V,2,0),"")</f>
        <v/>
      </c>
      <c r="E403" s="190">
        <f>IFERROR(VLOOKUP($C403,'PORTIFÓLIO'!C:V,3,0),"")</f>
        <v/>
      </c>
      <c r="F403" s="190">
        <f>IFERROR(VLOOKUP($C403,'PORTIFÓLIO'!C:V,4,0),"")</f>
        <v/>
      </c>
      <c r="G403" s="206">
        <f>IFERROR(VLOOKUP($C403,'PORTIFÓLIO'!C:V,5,0),"")</f>
        <v/>
      </c>
      <c r="H403" s="247">
        <f t="array" ref="H403">IFERROR(INDEX('PORTIFÓLIO'!$H$4:$H$433,MATCH($C403,'PORTIFÓLIO'!$C$4:$C$433,0)),"")</f>
        <v/>
      </c>
      <c r="I403" s="228" t="n"/>
      <c r="J403" s="209">
        <f>I403*$B$2</f>
        <v/>
      </c>
      <c r="K403" s="248">
        <f t="array" ref="K403">IFERROR(I403*INDEX('PORTIFÓLIO'!$S$4:$S$433,MATCH($C403,'PORTIFÓLIO'!$C$4:$C$433,0)),"")</f>
        <v/>
      </c>
      <c r="L403" s="248">
        <f t="array" ref="L403">IFERROR(J403*INDEX('PORTIFÓLIO'!$S$4:$S$433,MATCH($C403,'PORTIFÓLIO'!$C$4:$C$433,0)),"")</f>
        <v/>
      </c>
      <c r="M403" s="177" t="n"/>
      <c r="N403" s="177" t="n"/>
      <c r="O403" s="177" t="n"/>
      <c r="P403" s="177" t="n"/>
      <c r="Q403" s="177" t="n"/>
      <c r="R403" s="177" t="n"/>
      <c r="S403" s="177" t="n"/>
      <c r="T403" s="177" t="n"/>
      <c r="U403" s="177" t="n"/>
      <c r="V403" s="177" t="n"/>
      <c r="W403" s="177" t="n"/>
      <c r="X403" s="177" t="n"/>
    </row>
    <row r="404" outlineLevel="1" ht="15.75" customHeight="1" s="297">
      <c r="A404" s="190" t="n"/>
      <c r="B404" s="204" t="n"/>
      <c r="C404" s="191" t="n"/>
      <c r="D404" s="205">
        <f>IFERROR(VLOOKUP($C404,'PORTIFÓLIO'!C:V,2,0),"")</f>
        <v/>
      </c>
      <c r="E404" s="190">
        <f>IFERROR(VLOOKUP($C404,'PORTIFÓLIO'!C:V,3,0),"")</f>
        <v/>
      </c>
      <c r="F404" s="190">
        <f>IFERROR(VLOOKUP($C404,'PORTIFÓLIO'!C:V,4,0),"")</f>
        <v/>
      </c>
      <c r="G404" s="206">
        <f>IFERROR(VLOOKUP($C404,'PORTIFÓLIO'!C:V,5,0),"")</f>
        <v/>
      </c>
      <c r="H404" s="247">
        <f t="array" ref="H404">IFERROR(INDEX('PORTIFÓLIO'!$H$4:$H$433,MATCH($C404,'PORTIFÓLIO'!$C$4:$C$433,0)),"")</f>
        <v/>
      </c>
      <c r="I404" s="228" t="n"/>
      <c r="J404" s="209">
        <f>I404*$B$2</f>
        <v/>
      </c>
      <c r="K404" s="248">
        <f t="array" ref="K404">IFERROR(I404*INDEX('PORTIFÓLIO'!$S$4:$S$433,MATCH($C404,'PORTIFÓLIO'!$C$4:$C$433,0)),"")</f>
        <v/>
      </c>
      <c r="L404" s="248">
        <f t="array" ref="L404">IFERROR(J404*INDEX('PORTIFÓLIO'!$S$4:$S$433,MATCH($C404,'PORTIFÓLIO'!$C$4:$C$433,0)),"")</f>
        <v/>
      </c>
      <c r="M404" s="177" t="n"/>
      <c r="N404" s="177" t="n"/>
      <c r="O404" s="177" t="n"/>
      <c r="P404" s="177" t="n"/>
      <c r="Q404" s="177" t="n"/>
      <c r="R404" s="177" t="n"/>
      <c r="S404" s="177" t="n"/>
      <c r="T404" s="177" t="n"/>
      <c r="U404" s="177" t="n"/>
      <c r="V404" s="177" t="n"/>
      <c r="W404" s="177" t="n"/>
      <c r="X404" s="177" t="n"/>
    </row>
    <row r="405" outlineLevel="1" ht="15.75" customHeight="1" s="297">
      <c r="A405" s="190" t="n"/>
      <c r="B405" s="204" t="n"/>
      <c r="C405" s="191" t="n"/>
      <c r="D405" s="205">
        <f>IFERROR(VLOOKUP($C405,'PORTIFÓLIO'!C:V,2,0),"")</f>
        <v/>
      </c>
      <c r="E405" s="190">
        <f>IFERROR(VLOOKUP($C405,'PORTIFÓLIO'!C:V,3,0),"")</f>
        <v/>
      </c>
      <c r="F405" s="190">
        <f>IFERROR(VLOOKUP($C405,'PORTIFÓLIO'!C:V,4,0),"")</f>
        <v/>
      </c>
      <c r="G405" s="206">
        <f>IFERROR(VLOOKUP($C405,'PORTIFÓLIO'!C:V,5,0),"")</f>
        <v/>
      </c>
      <c r="H405" s="247">
        <f t="array" ref="H405">IFERROR(INDEX('PORTIFÓLIO'!$H$4:$H$433,MATCH($C405,'PORTIFÓLIO'!$C$4:$C$433,0)),"")</f>
        <v/>
      </c>
      <c r="I405" s="228" t="n"/>
      <c r="J405" s="209">
        <f>I405*$B$2</f>
        <v/>
      </c>
      <c r="K405" s="248">
        <f t="array" ref="K405">IFERROR(I405*INDEX('PORTIFÓLIO'!$S$4:$S$433,MATCH($C405,'PORTIFÓLIO'!$C$4:$C$433,0)),"")</f>
        <v/>
      </c>
      <c r="L405" s="248">
        <f t="array" ref="L405">IFERROR(J405*INDEX('PORTIFÓLIO'!$S$4:$S$433,MATCH($C405,'PORTIFÓLIO'!$C$4:$C$433,0)),"")</f>
        <v/>
      </c>
      <c r="M405" s="177" t="n"/>
      <c r="N405" s="177" t="n"/>
      <c r="O405" s="177" t="n"/>
      <c r="P405" s="177" t="n"/>
      <c r="Q405" s="177" t="n"/>
      <c r="R405" s="177" t="n"/>
      <c r="S405" s="177" t="n"/>
      <c r="T405" s="177" t="n"/>
      <c r="U405" s="177" t="n"/>
      <c r="V405" s="177" t="n"/>
      <c r="W405" s="177" t="n"/>
      <c r="X405" s="177" t="n"/>
    </row>
    <row r="406" outlineLevel="1" ht="15.75" customHeight="1" s="297">
      <c r="A406" s="190" t="n"/>
      <c r="B406" s="204" t="n"/>
      <c r="C406" s="191" t="n"/>
      <c r="D406" s="205">
        <f>IFERROR(VLOOKUP($C406,'PORTIFÓLIO'!C:V,2,0),"")</f>
        <v/>
      </c>
      <c r="E406" s="190">
        <f>IFERROR(VLOOKUP($C406,'PORTIFÓLIO'!C:V,3,0),"")</f>
        <v/>
      </c>
      <c r="F406" s="190">
        <f>IFERROR(VLOOKUP($C406,'PORTIFÓLIO'!C:V,4,0),"")</f>
        <v/>
      </c>
      <c r="G406" s="206">
        <f>IFERROR(VLOOKUP($C406,'PORTIFÓLIO'!C:V,5,0),"")</f>
        <v/>
      </c>
      <c r="H406" s="247">
        <f t="array" ref="H406">IFERROR(INDEX('PORTIFÓLIO'!$H$4:$H$433,MATCH($C406,'PORTIFÓLIO'!$C$4:$C$433,0)),"")</f>
        <v/>
      </c>
      <c r="I406" s="228" t="n"/>
      <c r="J406" s="209">
        <f>I406*$B$2</f>
        <v/>
      </c>
      <c r="K406" s="248">
        <f t="array" ref="K406">IFERROR(I406*INDEX('PORTIFÓLIO'!$S$4:$S$433,MATCH($C406,'PORTIFÓLIO'!$C$4:$C$433,0)),"")</f>
        <v/>
      </c>
      <c r="L406" s="248">
        <f t="array" ref="L406">IFERROR(J406*INDEX('PORTIFÓLIO'!$S$4:$S$433,MATCH($C406,'PORTIFÓLIO'!$C$4:$C$433,0)),"")</f>
        <v/>
      </c>
      <c r="M406" s="177" t="n"/>
      <c r="N406" s="177" t="n"/>
      <c r="O406" s="177" t="n"/>
      <c r="P406" s="177" t="n"/>
      <c r="Q406" s="177" t="n"/>
      <c r="R406" s="177" t="n"/>
      <c r="S406" s="177" t="n"/>
      <c r="T406" s="177" t="n"/>
      <c r="U406" s="177" t="n"/>
      <c r="V406" s="177" t="n"/>
      <c r="W406" s="177" t="n"/>
      <c r="X406" s="177" t="n"/>
    </row>
    <row r="407" outlineLevel="1" ht="15.75" customHeight="1" s="297">
      <c r="A407" s="190" t="n"/>
      <c r="B407" s="204" t="n"/>
      <c r="C407" s="191" t="n"/>
      <c r="D407" s="205">
        <f>IFERROR(VLOOKUP($C407,'PORTIFÓLIO'!C:V,2,0),"")</f>
        <v/>
      </c>
      <c r="E407" s="190">
        <f>IFERROR(VLOOKUP($C407,'PORTIFÓLIO'!C:V,3,0),"")</f>
        <v/>
      </c>
      <c r="F407" s="190">
        <f>IFERROR(VLOOKUP($C407,'PORTIFÓLIO'!C:V,4,0),"")</f>
        <v/>
      </c>
      <c r="G407" s="206">
        <f>IFERROR(VLOOKUP($C407,'PORTIFÓLIO'!C:V,5,0),"")</f>
        <v/>
      </c>
      <c r="H407" s="247">
        <f t="array" ref="H407">IFERROR(INDEX('PORTIFÓLIO'!$H$4:$H$433,MATCH($C407,'PORTIFÓLIO'!$C$4:$C$433,0)),"")</f>
        <v/>
      </c>
      <c r="I407" s="228" t="n"/>
      <c r="J407" s="209">
        <f>I407*$B$2</f>
        <v/>
      </c>
      <c r="K407" s="248">
        <f t="array" ref="K407">IFERROR(I407*INDEX('PORTIFÓLIO'!$S$4:$S$433,MATCH($C407,'PORTIFÓLIO'!$C$4:$C$433,0)),"")</f>
        <v/>
      </c>
      <c r="L407" s="248">
        <f t="array" ref="L407">IFERROR(J407*INDEX('PORTIFÓLIO'!$S$4:$S$433,MATCH($C407,'PORTIFÓLIO'!$C$4:$C$433,0)),"")</f>
        <v/>
      </c>
      <c r="M407" s="177" t="n"/>
      <c r="N407" s="177" t="n"/>
      <c r="O407" s="177" t="n"/>
      <c r="P407" s="177" t="n"/>
      <c r="Q407" s="177" t="n"/>
      <c r="R407" s="177" t="n"/>
      <c r="S407" s="177" t="n"/>
      <c r="T407" s="177" t="n"/>
      <c r="U407" s="177" t="n"/>
      <c r="V407" s="177" t="n"/>
      <c r="W407" s="177" t="n"/>
      <c r="X407" s="177" t="n"/>
    </row>
    <row r="408" outlineLevel="1" ht="15.75" customHeight="1" s="297">
      <c r="A408" s="190" t="n"/>
      <c r="B408" s="238" t="n"/>
      <c r="C408" s="190" t="n"/>
      <c r="D408" s="205">
        <f>IFERROR(VLOOKUP($C408,'PORTIFÓLIO'!C:V,2,0),"")</f>
        <v/>
      </c>
      <c r="E408" s="190">
        <f>IFERROR(VLOOKUP($C408,'PORTIFÓLIO'!C:V,3,0),"")</f>
        <v/>
      </c>
      <c r="F408" s="190">
        <f>IFERROR(VLOOKUP($C408,'PORTIFÓLIO'!C:V,4,0),"")</f>
        <v/>
      </c>
      <c r="G408" s="206">
        <f>IFERROR(VLOOKUP($C408,'PORTIFÓLIO'!C:V,5,0),"")</f>
        <v/>
      </c>
      <c r="H408" s="247">
        <f t="array" ref="H408">IFERROR(INDEX('PORTIFÓLIO'!$H$4:$H$433,MATCH($C408,'PORTIFÓLIO'!$C$4:$C$433,0)),"")</f>
        <v/>
      </c>
      <c r="I408" s="228" t="n"/>
      <c r="J408" s="209">
        <f>I408*$B$2</f>
        <v/>
      </c>
      <c r="K408" s="248">
        <f t="array" ref="K408">IFERROR(I408*INDEX('PORTIFÓLIO'!$S$4:$S$433,MATCH($C408,'PORTIFÓLIO'!$C$4:$C$433,0)),"")</f>
        <v/>
      </c>
      <c r="L408" s="248">
        <f t="array" ref="L408">IFERROR(J408*INDEX('PORTIFÓLIO'!$S$4:$S$433,MATCH($C408,'PORTIFÓLIO'!$C$4:$C$433,0)),"")</f>
        <v/>
      </c>
      <c r="M408" s="177" t="n"/>
      <c r="N408" s="177" t="n"/>
      <c r="O408" s="177" t="n"/>
      <c r="P408" s="177" t="n"/>
      <c r="Q408" s="177" t="n"/>
      <c r="R408" s="177" t="n"/>
      <c r="S408" s="177" t="n"/>
      <c r="T408" s="177" t="n"/>
      <c r="U408" s="177" t="n"/>
      <c r="V408" s="177" t="n"/>
      <c r="W408" s="177" t="n"/>
      <c r="X408" s="177" t="n"/>
    </row>
    <row r="409" ht="15.75" customHeight="1" s="297">
      <c r="A409" s="221" t="inlineStr">
        <is>
          <t>OPERAÇÃO 11</t>
        </is>
      </c>
      <c r="B409" s="197" t="n"/>
      <c r="C409" s="196" t="n"/>
      <c r="D409" s="198" t="n"/>
      <c r="E409" s="196" t="n"/>
      <c r="F409" s="196" t="n"/>
      <c r="G409" s="199" t="n"/>
      <c r="H409" s="199" t="n"/>
      <c r="I409" s="201" t="n"/>
      <c r="J409" s="202" t="n"/>
      <c r="K409" s="203">
        <f>SUBTOTAL(9,K410:K423)</f>
        <v/>
      </c>
      <c r="L409" s="203">
        <f>SUBTOTAL(9,L410:L423)</f>
        <v/>
      </c>
      <c r="M409" s="177" t="n"/>
      <c r="N409" s="177" t="n"/>
      <c r="O409" s="177" t="n"/>
      <c r="P409" s="177" t="n"/>
      <c r="Q409" s="177" t="n"/>
      <c r="R409" s="177" t="n"/>
      <c r="S409" s="177" t="n"/>
      <c r="T409" s="177" t="n"/>
      <c r="U409" s="177" t="n"/>
      <c r="V409" s="177" t="n"/>
      <c r="W409" s="177" t="n"/>
      <c r="X409" s="177" t="n"/>
    </row>
    <row r="410" outlineLevel="1" ht="15.75" customHeight="1" s="297">
      <c r="A410" s="191" t="n"/>
      <c r="B410" s="204" t="n"/>
      <c r="C410" s="191" t="n"/>
      <c r="D410" s="205">
        <f>IFERROR(VLOOKUP($C410,'PORTIFÓLIO'!C:V,2,0),"")</f>
        <v/>
      </c>
      <c r="E410" s="190">
        <f>IFERROR(VLOOKUP($C410,'PORTIFÓLIO'!C:V,3,0),"")</f>
        <v/>
      </c>
      <c r="F410" s="190">
        <f>IFERROR(VLOOKUP($C410,'PORTIFÓLIO'!C:V,4,0),"")</f>
        <v/>
      </c>
      <c r="G410" s="206">
        <f>IFERROR(VLOOKUP($C410,'PORTIFÓLIO'!C:V,5,0),"")</f>
        <v/>
      </c>
      <c r="H410" s="247">
        <f t="array" ref="H410">IFERROR(INDEX('PORTIFÓLIO'!$H$4:$H$433,MATCH($C410,'PORTIFÓLIO'!$C$4:$C$433,0)),"")</f>
        <v/>
      </c>
      <c r="I410" s="208" t="n"/>
      <c r="J410" s="209">
        <f>I410*$B$2</f>
        <v/>
      </c>
      <c r="K410" s="248">
        <f t="array" ref="K410">IFERROR(I410*INDEX('PORTIFÓLIO'!$S$4:$S$433,MATCH($C410,'PORTIFÓLIO'!$C$4:$C$433,0)),"")</f>
        <v/>
      </c>
      <c r="L410" s="248">
        <f t="array" ref="L410">IFERROR(J410*INDEX('PORTIFÓLIO'!$S$4:$S$433,MATCH($C410,'PORTIFÓLIO'!$C$4:$C$433,0)),"")</f>
        <v/>
      </c>
      <c r="M410" s="177" t="n"/>
      <c r="N410" s="177" t="n"/>
      <c r="O410" s="177" t="n"/>
      <c r="P410" s="177" t="n"/>
      <c r="Q410" s="177" t="n"/>
      <c r="R410" s="177" t="n"/>
      <c r="S410" s="177" t="n"/>
      <c r="T410" s="177" t="n"/>
      <c r="U410" s="177" t="n"/>
      <c r="V410" s="177" t="n"/>
      <c r="W410" s="177" t="n"/>
      <c r="X410" s="177" t="n"/>
    </row>
    <row r="411" outlineLevel="1" ht="15.75" customHeight="1" s="297">
      <c r="A411" s="190" t="n"/>
      <c r="B411" s="204" t="n"/>
      <c r="C411" s="191" t="n"/>
      <c r="D411" s="205">
        <f>IFERROR(VLOOKUP($C411,'PORTIFÓLIO'!C:V,2,0),"")</f>
        <v/>
      </c>
      <c r="E411" s="190">
        <f>IFERROR(VLOOKUP($C411,'PORTIFÓLIO'!C:V,3,0),"")</f>
        <v/>
      </c>
      <c r="F411" s="190">
        <f>IFERROR(VLOOKUP($C411,'PORTIFÓLIO'!C:V,4,0),"")</f>
        <v/>
      </c>
      <c r="G411" s="206">
        <f>IFERROR(VLOOKUP($C411,'PORTIFÓLIO'!C:V,5,0),"")</f>
        <v/>
      </c>
      <c r="H411" s="247">
        <f t="array" ref="H411">IFERROR(INDEX('PORTIFÓLIO'!$H$4:$H$433,MATCH($C411,'PORTIFÓLIO'!$C$4:$C$433,0)),"")</f>
        <v/>
      </c>
      <c r="I411" s="228" t="n"/>
      <c r="J411" s="209">
        <f>I411*$B$2</f>
        <v/>
      </c>
      <c r="K411" s="248">
        <f t="array" ref="K411">IFERROR(I411*INDEX('PORTIFÓLIO'!$S$4:$S$433,MATCH($C411,'PORTIFÓLIO'!$C$4:$C$433,0)),"")</f>
        <v/>
      </c>
      <c r="L411" s="248">
        <f t="array" ref="L411">IFERROR(J411*INDEX('PORTIFÓLIO'!$S$4:$S$433,MATCH($C411,'PORTIFÓLIO'!$C$4:$C$433,0)),"")</f>
        <v/>
      </c>
      <c r="M411" s="177" t="n"/>
      <c r="N411" s="177" t="n"/>
      <c r="O411" s="177" t="n"/>
      <c r="P411" s="177" t="n"/>
      <c r="Q411" s="177" t="n"/>
      <c r="R411" s="177" t="n"/>
      <c r="S411" s="177" t="n"/>
      <c r="T411" s="177" t="n"/>
      <c r="U411" s="177" t="n"/>
      <c r="V411" s="177" t="n"/>
      <c r="W411" s="177" t="n"/>
      <c r="X411" s="177" t="n"/>
    </row>
    <row r="412" outlineLevel="1" ht="15.75" customHeight="1" s="297">
      <c r="A412" s="190" t="n"/>
      <c r="B412" s="204" t="n"/>
      <c r="C412" s="191" t="n"/>
      <c r="D412" s="205">
        <f>IFERROR(VLOOKUP($C412,'PORTIFÓLIO'!C:V,2,0),"")</f>
        <v/>
      </c>
      <c r="E412" s="190">
        <f>IFERROR(VLOOKUP($C412,'PORTIFÓLIO'!C:V,3,0),"")</f>
        <v/>
      </c>
      <c r="F412" s="190">
        <f>IFERROR(VLOOKUP($C412,'PORTIFÓLIO'!C:V,4,0),"")</f>
        <v/>
      </c>
      <c r="G412" s="206">
        <f>IFERROR(VLOOKUP($C412,'PORTIFÓLIO'!C:V,5,0),"")</f>
        <v/>
      </c>
      <c r="H412" s="247">
        <f t="array" ref="H412">IFERROR(INDEX('PORTIFÓLIO'!$H$4:$H$433,MATCH($C412,'PORTIFÓLIO'!$C$4:$C$433,0)),"")</f>
        <v/>
      </c>
      <c r="I412" s="228" t="n"/>
      <c r="J412" s="209">
        <f>I412*$B$2</f>
        <v/>
      </c>
      <c r="K412" s="248">
        <f t="array" ref="K412">IFERROR(I412*INDEX('PORTIFÓLIO'!$S$4:$S$433,MATCH($C412,'PORTIFÓLIO'!$C$4:$C$433,0)),"")</f>
        <v/>
      </c>
      <c r="L412" s="248">
        <f t="array" ref="L412">IFERROR(J412*INDEX('PORTIFÓLIO'!$S$4:$S$433,MATCH($C412,'PORTIFÓLIO'!$C$4:$C$433,0)),"")</f>
        <v/>
      </c>
      <c r="M412" s="177" t="n"/>
      <c r="N412" s="177" t="n"/>
      <c r="O412" s="177" t="n"/>
      <c r="P412" s="177" t="n"/>
      <c r="Q412" s="177" t="n"/>
      <c r="R412" s="177" t="n"/>
      <c r="S412" s="177" t="n"/>
      <c r="T412" s="177" t="n"/>
      <c r="U412" s="177" t="n"/>
      <c r="V412" s="177" t="n"/>
      <c r="W412" s="177" t="n"/>
      <c r="X412" s="177" t="n"/>
    </row>
    <row r="413" outlineLevel="1" ht="15.75" customHeight="1" s="297">
      <c r="A413" s="190" t="n"/>
      <c r="B413" s="204" t="n"/>
      <c r="C413" s="191" t="n"/>
      <c r="D413" s="205">
        <f>IFERROR(VLOOKUP($C413,'PORTIFÓLIO'!C:V,2,0),"")</f>
        <v/>
      </c>
      <c r="E413" s="190">
        <f>IFERROR(VLOOKUP($C413,'PORTIFÓLIO'!C:V,3,0),"")</f>
        <v/>
      </c>
      <c r="F413" s="190">
        <f>IFERROR(VLOOKUP($C413,'PORTIFÓLIO'!C:V,4,0),"")</f>
        <v/>
      </c>
      <c r="G413" s="206">
        <f>IFERROR(VLOOKUP($C413,'PORTIFÓLIO'!C:V,5,0),"")</f>
        <v/>
      </c>
      <c r="H413" s="247">
        <f t="array" ref="H413">IFERROR(INDEX('PORTIFÓLIO'!$H$4:$H$433,MATCH($C413,'PORTIFÓLIO'!$C$4:$C$433,0)),"")</f>
        <v/>
      </c>
      <c r="I413" s="228" t="n"/>
      <c r="J413" s="209">
        <f>I413*$B$2</f>
        <v/>
      </c>
      <c r="K413" s="248">
        <f t="array" ref="K413">IFERROR(I413*INDEX('PORTIFÓLIO'!$S$4:$S$433,MATCH($C413,'PORTIFÓLIO'!$C$4:$C$433,0)),"")</f>
        <v/>
      </c>
      <c r="L413" s="248">
        <f t="array" ref="L413">IFERROR(J413*INDEX('PORTIFÓLIO'!$S$4:$S$433,MATCH($C413,'PORTIFÓLIO'!$C$4:$C$433,0)),"")</f>
        <v/>
      </c>
      <c r="M413" s="177" t="n"/>
      <c r="N413" s="177" t="n"/>
      <c r="O413" s="177" t="n"/>
      <c r="P413" s="177" t="n"/>
      <c r="Q413" s="177" t="n"/>
      <c r="R413" s="177" t="n"/>
      <c r="S413" s="177" t="n"/>
      <c r="T413" s="177" t="n"/>
      <c r="U413" s="177" t="n"/>
      <c r="V413" s="177" t="n"/>
      <c r="W413" s="177" t="n"/>
      <c r="X413" s="177" t="n"/>
    </row>
    <row r="414" outlineLevel="1" ht="15.75" customHeight="1" s="297">
      <c r="A414" s="190" t="n"/>
      <c r="B414" s="204" t="n"/>
      <c r="C414" s="191" t="n"/>
      <c r="D414" s="205">
        <f>IFERROR(VLOOKUP($C414,'PORTIFÓLIO'!C:V,2,0),"")</f>
        <v/>
      </c>
      <c r="E414" s="190">
        <f>IFERROR(VLOOKUP($C414,'PORTIFÓLIO'!C:V,3,0),"")</f>
        <v/>
      </c>
      <c r="F414" s="190">
        <f>IFERROR(VLOOKUP($C414,'PORTIFÓLIO'!C:V,4,0),"")</f>
        <v/>
      </c>
      <c r="G414" s="206">
        <f>IFERROR(VLOOKUP($C414,'PORTIFÓLIO'!C:V,5,0),"")</f>
        <v/>
      </c>
      <c r="H414" s="247">
        <f t="array" ref="H414">IFERROR(INDEX('PORTIFÓLIO'!$H$4:$H$433,MATCH($C414,'PORTIFÓLIO'!$C$4:$C$433,0)),"")</f>
        <v/>
      </c>
      <c r="I414" s="228" t="n"/>
      <c r="J414" s="209">
        <f>I414*$B$2</f>
        <v/>
      </c>
      <c r="K414" s="248">
        <f t="array" ref="K414">IFERROR(I414*INDEX('PORTIFÓLIO'!$S$4:$S$433,MATCH($C414,'PORTIFÓLIO'!$C$4:$C$433,0)),"")</f>
        <v/>
      </c>
      <c r="L414" s="248">
        <f t="array" ref="L414">IFERROR(J414*INDEX('PORTIFÓLIO'!$S$4:$S$433,MATCH($C414,'PORTIFÓLIO'!$C$4:$C$433,0)),"")</f>
        <v/>
      </c>
      <c r="M414" s="177" t="n"/>
      <c r="N414" s="177" t="n"/>
      <c r="O414" s="177" t="n"/>
      <c r="P414" s="177" t="n"/>
      <c r="Q414" s="177" t="n"/>
      <c r="R414" s="177" t="n"/>
      <c r="S414" s="177" t="n"/>
      <c r="T414" s="177" t="n"/>
      <c r="U414" s="177" t="n"/>
      <c r="V414" s="177" t="n"/>
      <c r="W414" s="177" t="n"/>
      <c r="X414" s="177" t="n"/>
    </row>
    <row r="415" outlineLevel="1" ht="15.75" customHeight="1" s="297">
      <c r="A415" s="190" t="n"/>
      <c r="B415" s="204" t="n"/>
      <c r="C415" s="191" t="n"/>
      <c r="D415" s="205">
        <f>IFERROR(VLOOKUP($C415,'PORTIFÓLIO'!C:V,2,0),"")</f>
        <v/>
      </c>
      <c r="E415" s="190">
        <f>IFERROR(VLOOKUP($C415,'PORTIFÓLIO'!C:V,3,0),"")</f>
        <v/>
      </c>
      <c r="F415" s="190">
        <f>IFERROR(VLOOKUP($C415,'PORTIFÓLIO'!C:V,4,0),"")</f>
        <v/>
      </c>
      <c r="G415" s="206">
        <f>IFERROR(VLOOKUP($C415,'PORTIFÓLIO'!C:V,5,0),"")</f>
        <v/>
      </c>
      <c r="H415" s="247">
        <f t="array" ref="H415">IFERROR(INDEX('PORTIFÓLIO'!$H$4:$H$433,MATCH($C415,'PORTIFÓLIO'!$C$4:$C$433,0)),"")</f>
        <v/>
      </c>
      <c r="I415" s="228" t="n"/>
      <c r="J415" s="209">
        <f>I415*$B$2</f>
        <v/>
      </c>
      <c r="K415" s="248">
        <f t="array" ref="K415">IFERROR(I415*INDEX('PORTIFÓLIO'!$S$4:$S$433,MATCH($C415,'PORTIFÓLIO'!$C$4:$C$433,0)),"")</f>
        <v/>
      </c>
      <c r="L415" s="248">
        <f t="array" ref="L415">IFERROR(J415*INDEX('PORTIFÓLIO'!$S$4:$S$433,MATCH($C415,'PORTIFÓLIO'!$C$4:$C$433,0)),"")</f>
        <v/>
      </c>
      <c r="M415" s="177" t="n"/>
      <c r="N415" s="177" t="n"/>
      <c r="O415" s="177" t="n"/>
      <c r="P415" s="177" t="n"/>
      <c r="Q415" s="177" t="n"/>
      <c r="R415" s="177" t="n"/>
      <c r="S415" s="177" t="n"/>
      <c r="T415" s="177" t="n"/>
      <c r="U415" s="177" t="n"/>
      <c r="V415" s="177" t="n"/>
      <c r="W415" s="177" t="n"/>
      <c r="X415" s="177" t="n"/>
    </row>
    <row r="416" outlineLevel="1" ht="15.75" customHeight="1" s="297">
      <c r="A416" s="190" t="n"/>
      <c r="B416" s="204" t="n"/>
      <c r="C416" s="191" t="n"/>
      <c r="D416" s="205">
        <f>IFERROR(VLOOKUP($C416,'PORTIFÓLIO'!C:V,2,0),"")</f>
        <v/>
      </c>
      <c r="E416" s="190">
        <f>IFERROR(VLOOKUP($C416,'PORTIFÓLIO'!C:V,3,0),"")</f>
        <v/>
      </c>
      <c r="F416" s="190">
        <f>IFERROR(VLOOKUP($C416,'PORTIFÓLIO'!C:V,4,0),"")</f>
        <v/>
      </c>
      <c r="G416" s="206">
        <f>IFERROR(VLOOKUP($C416,'PORTIFÓLIO'!C:V,5,0),"")</f>
        <v/>
      </c>
      <c r="H416" s="247">
        <f t="array" ref="H416">IFERROR(INDEX('PORTIFÓLIO'!$H$4:$H$433,MATCH($C416,'PORTIFÓLIO'!$C$4:$C$433,0)),"")</f>
        <v/>
      </c>
      <c r="I416" s="228" t="n"/>
      <c r="J416" s="209">
        <f>I416*$B$2</f>
        <v/>
      </c>
      <c r="K416" s="248">
        <f t="array" ref="K416">IFERROR(I416*INDEX('PORTIFÓLIO'!$S$4:$S$433,MATCH($C416,'PORTIFÓLIO'!$C$4:$C$433,0)),"")</f>
        <v/>
      </c>
      <c r="L416" s="248">
        <f t="array" ref="L416">IFERROR(J416*INDEX('PORTIFÓLIO'!$S$4:$S$433,MATCH($C416,'PORTIFÓLIO'!$C$4:$C$433,0)),"")</f>
        <v/>
      </c>
      <c r="M416" s="177" t="n"/>
      <c r="N416" s="177" t="n"/>
      <c r="O416" s="177" t="n"/>
      <c r="P416" s="177" t="n"/>
      <c r="Q416" s="177" t="n"/>
      <c r="R416" s="177" t="n"/>
      <c r="S416" s="177" t="n"/>
      <c r="T416" s="177" t="n"/>
      <c r="U416" s="177" t="n"/>
      <c r="V416" s="177" t="n"/>
      <c r="W416" s="177" t="n"/>
      <c r="X416" s="177" t="n"/>
    </row>
    <row r="417" outlineLevel="1" ht="15.75" customHeight="1" s="297">
      <c r="A417" s="190" t="n"/>
      <c r="B417" s="204" t="n"/>
      <c r="C417" s="191" t="n"/>
      <c r="D417" s="205">
        <f>IFERROR(VLOOKUP($C417,'PORTIFÓLIO'!C:V,2,0),"")</f>
        <v/>
      </c>
      <c r="E417" s="190">
        <f>IFERROR(VLOOKUP($C417,'PORTIFÓLIO'!C:V,3,0),"")</f>
        <v/>
      </c>
      <c r="F417" s="190">
        <f>IFERROR(VLOOKUP($C417,'PORTIFÓLIO'!C:V,4,0),"")</f>
        <v/>
      </c>
      <c r="G417" s="206">
        <f>IFERROR(VLOOKUP($C417,'PORTIFÓLIO'!C:V,5,0),"")</f>
        <v/>
      </c>
      <c r="H417" s="247">
        <f t="array" ref="H417">IFERROR(INDEX('PORTIFÓLIO'!$H$4:$H$433,MATCH($C417,'PORTIFÓLIO'!$C$4:$C$433,0)),"")</f>
        <v/>
      </c>
      <c r="I417" s="228" t="n"/>
      <c r="J417" s="209">
        <f>I417*$B$2</f>
        <v/>
      </c>
      <c r="K417" s="248">
        <f t="array" ref="K417">IFERROR(I417*INDEX('PORTIFÓLIO'!$S$4:$S$433,MATCH($C417,'PORTIFÓLIO'!$C$4:$C$433,0)),"")</f>
        <v/>
      </c>
      <c r="L417" s="248">
        <f t="array" ref="L417">IFERROR(J417*INDEX('PORTIFÓLIO'!$S$4:$S$433,MATCH($C417,'PORTIFÓLIO'!$C$4:$C$433,0)),"")</f>
        <v/>
      </c>
      <c r="M417" s="177" t="n"/>
      <c r="N417" s="177" t="n"/>
      <c r="O417" s="177" t="n"/>
      <c r="P417" s="177" t="n"/>
      <c r="Q417" s="177" t="n"/>
      <c r="R417" s="177" t="n"/>
      <c r="S417" s="177" t="n"/>
      <c r="T417" s="177" t="n"/>
      <c r="U417" s="177" t="n"/>
      <c r="V417" s="177" t="n"/>
      <c r="W417" s="177" t="n"/>
      <c r="X417" s="177" t="n"/>
    </row>
    <row r="418" outlineLevel="1" ht="15.75" customHeight="1" s="297">
      <c r="A418" s="190" t="n"/>
      <c r="B418" s="204" t="n"/>
      <c r="C418" s="191" t="n"/>
      <c r="D418" s="205">
        <f>IFERROR(VLOOKUP($C418,'PORTIFÓLIO'!C:V,2,0),"")</f>
        <v/>
      </c>
      <c r="E418" s="190">
        <f>IFERROR(VLOOKUP($C418,'PORTIFÓLIO'!C:V,3,0),"")</f>
        <v/>
      </c>
      <c r="F418" s="190">
        <f>IFERROR(VLOOKUP($C418,'PORTIFÓLIO'!C:V,4,0),"")</f>
        <v/>
      </c>
      <c r="G418" s="206">
        <f>IFERROR(VLOOKUP($C418,'PORTIFÓLIO'!C:V,5,0),"")</f>
        <v/>
      </c>
      <c r="H418" s="247">
        <f t="array" ref="H418">IFERROR(INDEX('PORTIFÓLIO'!$H$4:$H$433,MATCH($C418,'PORTIFÓLIO'!$C$4:$C$433,0)),"")</f>
        <v/>
      </c>
      <c r="I418" s="208" t="n"/>
      <c r="J418" s="209">
        <f>I418*$B$2</f>
        <v/>
      </c>
      <c r="K418" s="248">
        <f t="array" ref="K418">IFERROR(I418*INDEX('PORTIFÓLIO'!$S$4:$S$433,MATCH($C418,'PORTIFÓLIO'!$C$4:$C$433,0)),"")</f>
        <v/>
      </c>
      <c r="L418" s="248">
        <f t="array" ref="L418">IFERROR(J418*INDEX('PORTIFÓLIO'!$S$4:$S$433,MATCH($C418,'PORTIFÓLIO'!$C$4:$C$433,0)),"")</f>
        <v/>
      </c>
      <c r="M418" s="177" t="n"/>
      <c r="N418" s="177" t="n"/>
      <c r="O418" s="177" t="n"/>
      <c r="P418" s="177" t="n"/>
      <c r="Q418" s="177" t="n"/>
      <c r="R418" s="177" t="n"/>
      <c r="S418" s="177" t="n"/>
      <c r="T418" s="177" t="n"/>
      <c r="U418" s="177" t="n"/>
      <c r="V418" s="177" t="n"/>
      <c r="W418" s="177" t="n"/>
      <c r="X418" s="177" t="n"/>
    </row>
    <row r="419" outlineLevel="1" ht="15.75" customHeight="1" s="297">
      <c r="A419" s="190" t="n"/>
      <c r="B419" s="204" t="n"/>
      <c r="C419" s="191" t="n"/>
      <c r="D419" s="205">
        <f>IFERROR(VLOOKUP($C419,'PORTIFÓLIO'!C:V,2,0),"")</f>
        <v/>
      </c>
      <c r="E419" s="190">
        <f>IFERROR(VLOOKUP($C419,'PORTIFÓLIO'!C:V,3,0),"")</f>
        <v/>
      </c>
      <c r="F419" s="190">
        <f>IFERROR(VLOOKUP($C419,'PORTIFÓLIO'!C:V,4,0),"")</f>
        <v/>
      </c>
      <c r="G419" s="206">
        <f>IFERROR(VLOOKUP($C419,'PORTIFÓLIO'!C:V,5,0),"")</f>
        <v/>
      </c>
      <c r="H419" s="247">
        <f t="array" ref="H419">IFERROR(INDEX('PORTIFÓLIO'!$H$4:$H$433,MATCH($C419,'PORTIFÓLIO'!$C$4:$C$433,0)),"")</f>
        <v/>
      </c>
      <c r="I419" s="228" t="n"/>
      <c r="J419" s="209">
        <f>I419*$B$2</f>
        <v/>
      </c>
      <c r="K419" s="248">
        <f t="array" ref="K419">IFERROR(I419*INDEX('PORTIFÓLIO'!$S$4:$S$433,MATCH($C419,'PORTIFÓLIO'!$C$4:$C$433,0)),"")</f>
        <v/>
      </c>
      <c r="L419" s="248">
        <f t="array" ref="L419">IFERROR(J419*INDEX('PORTIFÓLIO'!$S$4:$S$433,MATCH($C419,'PORTIFÓLIO'!$C$4:$C$433,0)),"")</f>
        <v/>
      </c>
      <c r="M419" s="177" t="n"/>
      <c r="N419" s="177" t="n"/>
      <c r="O419" s="177" t="n"/>
      <c r="P419" s="177" t="n"/>
      <c r="Q419" s="177" t="n"/>
      <c r="R419" s="177" t="n"/>
      <c r="S419" s="177" t="n"/>
      <c r="T419" s="177" t="n"/>
      <c r="U419" s="177" t="n"/>
      <c r="V419" s="177" t="n"/>
      <c r="W419" s="177" t="n"/>
      <c r="X419" s="177" t="n"/>
    </row>
    <row r="420" outlineLevel="1" ht="15.75" customHeight="1" s="297">
      <c r="A420" s="190" t="n"/>
      <c r="B420" s="204" t="n"/>
      <c r="C420" s="191" t="n"/>
      <c r="D420" s="205">
        <f>IFERROR(VLOOKUP($C420,'PORTIFÓLIO'!C:V,2,0),"")</f>
        <v/>
      </c>
      <c r="E420" s="190">
        <f>IFERROR(VLOOKUP($C420,'PORTIFÓLIO'!C:V,3,0),"")</f>
        <v/>
      </c>
      <c r="F420" s="190">
        <f>IFERROR(VLOOKUP($C420,'PORTIFÓLIO'!C:V,4,0),"")</f>
        <v/>
      </c>
      <c r="G420" s="206">
        <f>IFERROR(VLOOKUP($C420,'PORTIFÓLIO'!C:V,5,0),"")</f>
        <v/>
      </c>
      <c r="H420" s="247">
        <f t="array" ref="H420">IFERROR(INDEX('PORTIFÓLIO'!$H$4:$H$433,MATCH($C420,'PORTIFÓLIO'!$C$4:$C$433,0)),"")</f>
        <v/>
      </c>
      <c r="I420" s="228" t="n"/>
      <c r="J420" s="209">
        <f>I420*$B$2</f>
        <v/>
      </c>
      <c r="K420" s="248">
        <f t="array" ref="K420">IFERROR(I420*INDEX('PORTIFÓLIO'!$S$4:$S$433,MATCH($C420,'PORTIFÓLIO'!$C$4:$C$433,0)),"")</f>
        <v/>
      </c>
      <c r="L420" s="248">
        <f t="array" ref="L420">IFERROR(J420*INDEX('PORTIFÓLIO'!$S$4:$S$433,MATCH($C420,'PORTIFÓLIO'!$C$4:$C$433,0)),"")</f>
        <v/>
      </c>
      <c r="M420" s="177" t="n"/>
      <c r="N420" s="177" t="n"/>
      <c r="O420" s="177" t="n"/>
      <c r="P420" s="177" t="n"/>
      <c r="Q420" s="177" t="n"/>
      <c r="R420" s="177" t="n"/>
      <c r="S420" s="177" t="n"/>
      <c r="T420" s="177" t="n"/>
      <c r="U420" s="177" t="n"/>
      <c r="V420" s="177" t="n"/>
      <c r="W420" s="177" t="n"/>
      <c r="X420" s="177" t="n"/>
    </row>
    <row r="421" outlineLevel="1" ht="15.75" customHeight="1" s="297">
      <c r="A421" s="190" t="n"/>
      <c r="B421" s="204" t="n"/>
      <c r="C421" s="191" t="n"/>
      <c r="D421" s="205">
        <f>IFERROR(VLOOKUP($C421,'PORTIFÓLIO'!C:V,2,0),"")</f>
        <v/>
      </c>
      <c r="E421" s="190">
        <f>IFERROR(VLOOKUP($C421,'PORTIFÓLIO'!C:V,3,0),"")</f>
        <v/>
      </c>
      <c r="F421" s="190">
        <f>IFERROR(VLOOKUP($C421,'PORTIFÓLIO'!C:V,4,0),"")</f>
        <v/>
      </c>
      <c r="G421" s="206">
        <f>IFERROR(VLOOKUP($C421,'PORTIFÓLIO'!C:V,5,0),"")</f>
        <v/>
      </c>
      <c r="H421" s="247">
        <f t="array" ref="H421">IFERROR(INDEX('PORTIFÓLIO'!$H$4:$H$433,MATCH($C421,'PORTIFÓLIO'!$C$4:$C$433,0)),"")</f>
        <v/>
      </c>
      <c r="I421" s="228" t="n"/>
      <c r="J421" s="209">
        <f>I421*$B$2</f>
        <v/>
      </c>
      <c r="K421" s="248">
        <f t="array" ref="K421">IFERROR(I421*INDEX('PORTIFÓLIO'!$S$4:$S$433,MATCH($C421,'PORTIFÓLIO'!$C$4:$C$433,0)),"")</f>
        <v/>
      </c>
      <c r="L421" s="248">
        <f t="array" ref="L421">IFERROR(J421*INDEX('PORTIFÓLIO'!$S$4:$S$433,MATCH($C421,'PORTIFÓLIO'!$C$4:$C$433,0)),"")</f>
        <v/>
      </c>
      <c r="M421" s="177" t="n"/>
      <c r="N421" s="177" t="n"/>
      <c r="O421" s="177" t="n"/>
      <c r="P421" s="177" t="n"/>
      <c r="Q421" s="177" t="n"/>
      <c r="R421" s="177" t="n"/>
      <c r="S421" s="177" t="n"/>
      <c r="T421" s="177" t="n"/>
      <c r="U421" s="177" t="n"/>
      <c r="V421" s="177" t="n"/>
      <c r="W421" s="177" t="n"/>
      <c r="X421" s="177" t="n"/>
    </row>
    <row r="422" outlineLevel="1" ht="15.75" customHeight="1" s="297">
      <c r="A422" s="190" t="n"/>
      <c r="B422" s="204" t="n"/>
      <c r="C422" s="191" t="n"/>
      <c r="D422" s="205">
        <f>IFERROR(VLOOKUP($C422,'PORTIFÓLIO'!C:V,2,0),"")</f>
        <v/>
      </c>
      <c r="E422" s="190">
        <f>IFERROR(VLOOKUP($C422,'PORTIFÓLIO'!C:V,3,0),"")</f>
        <v/>
      </c>
      <c r="F422" s="190">
        <f>IFERROR(VLOOKUP($C422,'PORTIFÓLIO'!C:V,4,0),"")</f>
        <v/>
      </c>
      <c r="G422" s="206">
        <f>IFERROR(VLOOKUP($C422,'PORTIFÓLIO'!C:V,5,0),"")</f>
        <v/>
      </c>
      <c r="H422" s="247">
        <f t="array" ref="H422">IFERROR(INDEX('PORTIFÓLIO'!$H$4:$H$433,MATCH($C422,'PORTIFÓLIO'!$C$4:$C$433,0)),"")</f>
        <v/>
      </c>
      <c r="I422" s="228" t="n"/>
      <c r="J422" s="209">
        <f>I422*$B$2</f>
        <v/>
      </c>
      <c r="K422" s="248">
        <f t="array" ref="K422">IFERROR(I422*INDEX('PORTIFÓLIO'!$S$4:$S$433,MATCH($C422,'PORTIFÓLIO'!$C$4:$C$433,0)),"")</f>
        <v/>
      </c>
      <c r="L422" s="248">
        <f t="array" ref="L422">IFERROR(J422*INDEX('PORTIFÓLIO'!$S$4:$S$433,MATCH($C422,'PORTIFÓLIO'!$C$4:$C$433,0)),"")</f>
        <v/>
      </c>
      <c r="M422" s="177" t="n"/>
      <c r="N422" s="177" t="n"/>
      <c r="O422" s="177" t="n"/>
      <c r="P422" s="177" t="n"/>
      <c r="Q422" s="177" t="n"/>
      <c r="R422" s="177" t="n"/>
      <c r="S422" s="177" t="n"/>
      <c r="T422" s="177" t="n"/>
      <c r="U422" s="177" t="n"/>
      <c r="V422" s="177" t="n"/>
      <c r="W422" s="177" t="n"/>
      <c r="X422" s="177" t="n"/>
    </row>
    <row r="423" outlineLevel="1" ht="15.75" customHeight="1" s="297">
      <c r="A423" s="190" t="n"/>
      <c r="B423" s="204" t="n"/>
      <c r="C423" s="191" t="n"/>
      <c r="D423" s="205">
        <f>IFERROR(VLOOKUP($C423,'PORTIFÓLIO'!C:V,2,0),"")</f>
        <v/>
      </c>
      <c r="E423" s="190">
        <f>IFERROR(VLOOKUP($C423,'PORTIFÓLIO'!C:V,3,0),"")</f>
        <v/>
      </c>
      <c r="F423" s="190">
        <f>IFERROR(VLOOKUP($C423,'PORTIFÓLIO'!C:V,4,0),"")</f>
        <v/>
      </c>
      <c r="G423" s="206">
        <f>IFERROR(VLOOKUP($C423,'PORTIFÓLIO'!C:V,5,0),"")</f>
        <v/>
      </c>
      <c r="H423" s="247">
        <f t="array" ref="H423">IFERROR(INDEX('PORTIFÓLIO'!$H$4:$H$433,MATCH($C423,'PORTIFÓLIO'!$C$4:$C$433,0)),"")</f>
        <v/>
      </c>
      <c r="I423" s="228" t="n"/>
      <c r="J423" s="209">
        <f>I423*$B$2</f>
        <v/>
      </c>
      <c r="K423" s="248">
        <f t="array" ref="K423">IFERROR(I423*INDEX('PORTIFÓLIO'!$S$4:$S$433,MATCH($C423,'PORTIFÓLIO'!$C$4:$C$433,0)),"")</f>
        <v/>
      </c>
      <c r="L423" s="248">
        <f t="array" ref="L423">IFERROR(J423*INDEX('PORTIFÓLIO'!$S$4:$S$433,MATCH($C423,'PORTIFÓLIO'!$C$4:$C$433,0)),"")</f>
        <v/>
      </c>
      <c r="M423" s="177" t="n"/>
      <c r="N423" s="177" t="n"/>
      <c r="O423" s="177" t="n"/>
      <c r="P423" s="177" t="n"/>
      <c r="Q423" s="177" t="n"/>
      <c r="R423" s="177" t="n"/>
      <c r="S423" s="177" t="n"/>
      <c r="T423" s="177" t="n"/>
      <c r="U423" s="177" t="n"/>
      <c r="V423" s="177" t="n"/>
      <c r="W423" s="177" t="n"/>
      <c r="X423" s="177" t="n"/>
    </row>
    <row r="424" outlineLevel="1" ht="15.75" customHeight="1" s="297">
      <c r="A424" s="190" t="n"/>
      <c r="B424" s="204" t="n"/>
      <c r="C424" s="191" t="n"/>
      <c r="D424" s="205">
        <f>IFERROR(VLOOKUP($C424,'PORTIFÓLIO'!C:V,2,0),"")</f>
        <v/>
      </c>
      <c r="E424" s="190">
        <f>IFERROR(VLOOKUP($C424,'PORTIFÓLIO'!C:V,3,0),"")</f>
        <v/>
      </c>
      <c r="F424" s="190">
        <f>IFERROR(VLOOKUP($C424,'PORTIFÓLIO'!C:V,4,0),"")</f>
        <v/>
      </c>
      <c r="G424" s="206">
        <f>IFERROR(VLOOKUP($C424,'PORTIFÓLIO'!C:V,5,0),"")</f>
        <v/>
      </c>
      <c r="H424" s="247">
        <f t="array" ref="H424">IFERROR(INDEX('PORTIFÓLIO'!$H$4:$H$433,MATCH($C424,'PORTIFÓLIO'!$C$4:$C$433,0)),"")</f>
        <v/>
      </c>
      <c r="I424" s="228" t="n"/>
      <c r="J424" s="209">
        <f>I424*$B$2</f>
        <v/>
      </c>
      <c r="K424" s="248">
        <f t="array" ref="K424">IFERROR(I424*INDEX('PORTIFÓLIO'!$S$4:$S$433,MATCH($C424,'PORTIFÓLIO'!$C$4:$C$433,0)),"")</f>
        <v/>
      </c>
      <c r="L424" s="248">
        <f t="array" ref="L424">IFERROR(J424*INDEX('PORTIFÓLIO'!$S$4:$S$433,MATCH($C424,'PORTIFÓLIO'!$C$4:$C$433,0)),"")</f>
        <v/>
      </c>
      <c r="M424" s="177" t="n"/>
      <c r="N424" s="177" t="n"/>
      <c r="O424" s="177" t="n"/>
      <c r="P424" s="177" t="n"/>
      <c r="Q424" s="177" t="n"/>
      <c r="R424" s="177" t="n"/>
      <c r="S424" s="177" t="n"/>
      <c r="T424" s="177" t="n"/>
      <c r="U424" s="177" t="n"/>
      <c r="V424" s="177" t="n"/>
      <c r="W424" s="177" t="n"/>
      <c r="X424" s="177" t="n"/>
    </row>
    <row r="425" outlineLevel="1" ht="15.75" customHeight="1" s="297">
      <c r="A425" s="190" t="n"/>
      <c r="B425" s="238" t="n"/>
      <c r="C425" s="190" t="n"/>
      <c r="D425" s="205">
        <f>IFERROR(VLOOKUP($C425,'PORTIFÓLIO'!C:V,2,0),"")</f>
        <v/>
      </c>
      <c r="E425" s="190">
        <f>IFERROR(VLOOKUP($C425,'PORTIFÓLIO'!C:V,3,0),"")</f>
        <v/>
      </c>
      <c r="F425" s="190">
        <f>IFERROR(VLOOKUP($C425,'PORTIFÓLIO'!C:V,4,0),"")</f>
        <v/>
      </c>
      <c r="G425" s="206">
        <f>IFERROR(VLOOKUP($C425,'PORTIFÓLIO'!C:V,5,0),"")</f>
        <v/>
      </c>
      <c r="H425" s="247">
        <f t="array" ref="H425">IFERROR(INDEX('PORTIFÓLIO'!$H$4:$H$433,MATCH($C425,'PORTIFÓLIO'!$C$4:$C$433,0)),"")</f>
        <v/>
      </c>
      <c r="I425" s="228" t="n"/>
      <c r="J425" s="209">
        <f>I425*$B$2</f>
        <v/>
      </c>
      <c r="K425" s="248">
        <f t="array" ref="K425">IFERROR(I425*INDEX('PORTIFÓLIO'!$S$4:$S$433,MATCH($C425,'PORTIFÓLIO'!$C$4:$C$433,0)),"")</f>
        <v/>
      </c>
      <c r="L425" s="248">
        <f t="array" ref="L425">IFERROR(J425*INDEX('PORTIFÓLIO'!$S$4:$S$433,MATCH($C425,'PORTIFÓLIO'!$C$4:$C$433,0)),"")</f>
        <v/>
      </c>
      <c r="M425" s="177" t="n"/>
      <c r="N425" s="177" t="n"/>
      <c r="O425" s="177" t="n"/>
      <c r="P425" s="177" t="n"/>
      <c r="Q425" s="177" t="n"/>
      <c r="R425" s="177" t="n"/>
      <c r="S425" s="177" t="n"/>
      <c r="T425" s="177" t="n"/>
      <c r="U425" s="177" t="n"/>
      <c r="V425" s="177" t="n"/>
      <c r="W425" s="177" t="n"/>
      <c r="X425" s="177" t="n"/>
    </row>
    <row r="426" outlineLevel="1" ht="15.75" customHeight="1" s="297">
      <c r="A426" s="190" t="n"/>
      <c r="B426" s="238" t="n"/>
      <c r="C426" s="190" t="n"/>
      <c r="D426" s="205">
        <f>IFERROR(VLOOKUP($C426,'PORTIFÓLIO'!C:V,2,0),"")</f>
        <v/>
      </c>
      <c r="E426" s="190">
        <f>IFERROR(VLOOKUP($C426,'PORTIFÓLIO'!C:V,3,0),"")</f>
        <v/>
      </c>
      <c r="F426" s="190">
        <f>IFERROR(VLOOKUP($C426,'PORTIFÓLIO'!C:V,4,0),"")</f>
        <v/>
      </c>
      <c r="G426" s="206">
        <f>IFERROR(VLOOKUP($C426,'PORTIFÓLIO'!C:V,5,0),"")</f>
        <v/>
      </c>
      <c r="H426" s="247">
        <f t="array" ref="H426">IFERROR(INDEX('PORTIFÓLIO'!$H$4:$H$433,MATCH($C426,'PORTIFÓLIO'!$C$4:$C$433,0)),"")</f>
        <v/>
      </c>
      <c r="I426" s="228" t="n"/>
      <c r="J426" s="209">
        <f>I426*$B$2</f>
        <v/>
      </c>
      <c r="K426" s="248">
        <f t="array" ref="K426">IFERROR(I426*INDEX('PORTIFÓLIO'!$S$4:$S$433,MATCH($C426,'PORTIFÓLIO'!$C$4:$C$433,0)),"")</f>
        <v/>
      </c>
      <c r="L426" s="248">
        <f t="array" ref="L426">IFERROR(J426*INDEX('PORTIFÓLIO'!$S$4:$S$433,MATCH($C426,'PORTIFÓLIO'!$C$4:$C$433,0)),"")</f>
        <v/>
      </c>
      <c r="M426" s="177" t="n"/>
      <c r="N426" s="177" t="n"/>
      <c r="O426" s="177" t="n"/>
      <c r="P426" s="177" t="n"/>
      <c r="Q426" s="177" t="n"/>
      <c r="R426" s="177" t="n"/>
      <c r="S426" s="177" t="n"/>
      <c r="T426" s="177" t="n"/>
      <c r="U426" s="177" t="n"/>
      <c r="V426" s="177" t="n"/>
      <c r="W426" s="177" t="n"/>
      <c r="X426" s="177" t="n"/>
    </row>
    <row r="427" ht="15.75" customHeight="1" s="297">
      <c r="A427" s="221" t="inlineStr">
        <is>
          <t>OPERAÇÃO 12</t>
        </is>
      </c>
      <c r="B427" s="197" t="n"/>
      <c r="C427" s="196" t="n"/>
      <c r="D427" s="198" t="n"/>
      <c r="E427" s="196" t="n"/>
      <c r="F427" s="196" t="n"/>
      <c r="G427" s="199" t="n"/>
      <c r="H427" s="199" t="n"/>
      <c r="I427" s="201" t="n"/>
      <c r="J427" s="202" t="n"/>
      <c r="K427" s="203">
        <f>SUBTOTAL(9,K428:K441)</f>
        <v/>
      </c>
      <c r="L427" s="203">
        <f>SUBTOTAL(9,L428:L441)</f>
        <v/>
      </c>
      <c r="M427" s="177" t="n"/>
      <c r="N427" s="177" t="n"/>
      <c r="O427" s="177" t="n"/>
      <c r="P427" s="177" t="n"/>
      <c r="Q427" s="177" t="n"/>
      <c r="R427" s="177" t="n"/>
      <c r="S427" s="177" t="n"/>
      <c r="T427" s="177" t="n"/>
      <c r="U427" s="177" t="n"/>
      <c r="V427" s="177" t="n"/>
      <c r="W427" s="177" t="n"/>
      <c r="X427" s="177" t="n"/>
    </row>
    <row r="428" outlineLevel="1" ht="15.75" customHeight="1" s="297">
      <c r="A428" s="191" t="n"/>
      <c r="B428" s="204" t="n"/>
      <c r="C428" s="191" t="n"/>
      <c r="D428" s="205">
        <f>IFERROR(VLOOKUP($C428,'PORTIFÓLIO'!C:V,2,0),"")</f>
        <v/>
      </c>
      <c r="E428" s="190">
        <f>IFERROR(VLOOKUP($C428,'PORTIFÓLIO'!C:V,3,0),"")</f>
        <v/>
      </c>
      <c r="F428" s="190">
        <f>IFERROR(VLOOKUP($C428,'PORTIFÓLIO'!C:V,4,0),"")</f>
        <v/>
      </c>
      <c r="G428" s="206">
        <f>IFERROR(VLOOKUP($C428,'PORTIFÓLIO'!C:V,5,0),"")</f>
        <v/>
      </c>
      <c r="H428" s="247">
        <f t="array" ref="H428">IFERROR(INDEX('PORTIFÓLIO'!$H$4:$H$433,MATCH($C428,'PORTIFÓLIO'!$C$4:$C$433,0)),"")</f>
        <v/>
      </c>
      <c r="I428" s="228" t="n"/>
      <c r="J428" s="209">
        <f>I428*$B$2</f>
        <v/>
      </c>
      <c r="K428" s="248">
        <f t="array" ref="K428">IFERROR(I428*INDEX('PORTIFÓLIO'!$S$4:$S$433,MATCH($C428,'PORTIFÓLIO'!$C$4:$C$433,0)),"")</f>
        <v/>
      </c>
      <c r="L428" s="248">
        <f t="array" ref="L428">IFERROR(J428*INDEX('PORTIFÓLIO'!$S$4:$S$433,MATCH($C428,'PORTIFÓLIO'!$C$4:$C$433,0)),"")</f>
        <v/>
      </c>
      <c r="M428" s="177" t="n"/>
      <c r="N428" s="177" t="n"/>
      <c r="O428" s="177" t="n"/>
      <c r="P428" s="177" t="n"/>
      <c r="Q428" s="177" t="n"/>
      <c r="R428" s="177" t="n"/>
      <c r="S428" s="177" t="n"/>
      <c r="T428" s="177" t="n"/>
      <c r="U428" s="177" t="n"/>
      <c r="V428" s="177" t="n"/>
      <c r="W428" s="177" t="n"/>
      <c r="X428" s="177" t="n"/>
    </row>
    <row r="429" outlineLevel="1" ht="15.75" customHeight="1" s="297">
      <c r="A429" s="190" t="n"/>
      <c r="B429" s="204" t="n"/>
      <c r="C429" s="191" t="n"/>
      <c r="D429" s="205">
        <f>IFERROR(VLOOKUP($C429,'PORTIFÓLIO'!C:V,2,0),"")</f>
        <v/>
      </c>
      <c r="E429" s="190">
        <f>IFERROR(VLOOKUP($C429,'PORTIFÓLIO'!C:V,3,0),"")</f>
        <v/>
      </c>
      <c r="F429" s="190">
        <f>IFERROR(VLOOKUP($C429,'PORTIFÓLIO'!C:V,4,0),"")</f>
        <v/>
      </c>
      <c r="G429" s="206">
        <f>IFERROR(VLOOKUP($C429,'PORTIFÓLIO'!C:V,5,0),"")</f>
        <v/>
      </c>
      <c r="H429" s="247">
        <f t="array" ref="H429">IFERROR(INDEX('PORTIFÓLIO'!$H$4:$H$433,MATCH($C429,'PORTIFÓLIO'!$C$4:$C$433,0)),"")</f>
        <v/>
      </c>
      <c r="I429" s="228" t="n"/>
      <c r="J429" s="209">
        <f>I429*$B$2</f>
        <v/>
      </c>
      <c r="K429" s="248">
        <f t="array" ref="K429">IFERROR(I429*INDEX('PORTIFÓLIO'!$S$4:$S$433,MATCH($C429,'PORTIFÓLIO'!$C$4:$C$433,0)),"")</f>
        <v/>
      </c>
      <c r="L429" s="248">
        <f t="array" ref="L429">IFERROR(J429*INDEX('PORTIFÓLIO'!$S$4:$S$433,MATCH($C429,'PORTIFÓLIO'!$C$4:$C$433,0)),"")</f>
        <v/>
      </c>
      <c r="M429" s="177" t="n"/>
      <c r="N429" s="177" t="n"/>
      <c r="O429" s="177" t="n"/>
      <c r="P429" s="177" t="n"/>
      <c r="Q429" s="177" t="n"/>
      <c r="R429" s="177" t="n"/>
      <c r="S429" s="177" t="n"/>
      <c r="T429" s="177" t="n"/>
      <c r="U429" s="177" t="n"/>
      <c r="V429" s="177" t="n"/>
      <c r="W429" s="177" t="n"/>
      <c r="X429" s="177" t="n"/>
    </row>
    <row r="430" outlineLevel="1" ht="15.75" customHeight="1" s="297">
      <c r="A430" s="190" t="n"/>
      <c r="B430" s="204" t="n"/>
      <c r="C430" s="191" t="n"/>
      <c r="D430" s="205">
        <f>IFERROR(VLOOKUP($C430,'PORTIFÓLIO'!C:V,2,0),"")</f>
        <v/>
      </c>
      <c r="E430" s="190">
        <f>IFERROR(VLOOKUP($C430,'PORTIFÓLIO'!C:V,3,0),"")</f>
        <v/>
      </c>
      <c r="F430" s="190">
        <f>IFERROR(VLOOKUP($C430,'PORTIFÓLIO'!C:V,4,0),"")</f>
        <v/>
      </c>
      <c r="G430" s="206">
        <f>IFERROR(VLOOKUP($C430,'PORTIFÓLIO'!C:V,5,0),"")</f>
        <v/>
      </c>
      <c r="H430" s="247">
        <f t="array" ref="H430">IFERROR(INDEX('PORTIFÓLIO'!$H$4:$H$433,MATCH($C430,'PORTIFÓLIO'!$C$4:$C$433,0)),"")</f>
        <v/>
      </c>
      <c r="I430" s="228" t="n"/>
      <c r="J430" s="209">
        <f>I430*$B$2</f>
        <v/>
      </c>
      <c r="K430" s="248">
        <f t="array" ref="K430">IFERROR(I430*INDEX('PORTIFÓLIO'!$S$4:$S$433,MATCH($C430,'PORTIFÓLIO'!$C$4:$C$433,0)),"")</f>
        <v/>
      </c>
      <c r="L430" s="248">
        <f t="array" ref="L430">IFERROR(J430*INDEX('PORTIFÓLIO'!$S$4:$S$433,MATCH($C430,'PORTIFÓLIO'!$C$4:$C$433,0)),"")</f>
        <v/>
      </c>
      <c r="M430" s="177" t="n"/>
      <c r="N430" s="177" t="n"/>
      <c r="O430" s="177" t="n"/>
      <c r="P430" s="177" t="n"/>
      <c r="Q430" s="177" t="n"/>
      <c r="R430" s="177" t="n"/>
      <c r="S430" s="177" t="n"/>
      <c r="T430" s="177" t="n"/>
      <c r="U430" s="177" t="n"/>
      <c r="V430" s="177" t="n"/>
      <c r="W430" s="177" t="n"/>
      <c r="X430" s="177" t="n"/>
    </row>
    <row r="431" outlineLevel="1" ht="15.75" customHeight="1" s="297">
      <c r="A431" s="190" t="n"/>
      <c r="B431" s="204" t="n"/>
      <c r="C431" s="191" t="n"/>
      <c r="D431" s="205">
        <f>IFERROR(VLOOKUP($C431,'PORTIFÓLIO'!C:V,2,0),"")</f>
        <v/>
      </c>
      <c r="E431" s="190">
        <f>IFERROR(VLOOKUP($C431,'PORTIFÓLIO'!C:V,3,0),"")</f>
        <v/>
      </c>
      <c r="F431" s="190">
        <f>IFERROR(VLOOKUP($C431,'PORTIFÓLIO'!C:V,4,0),"")</f>
        <v/>
      </c>
      <c r="G431" s="206">
        <f>IFERROR(VLOOKUP($C431,'PORTIFÓLIO'!C:V,5,0),"")</f>
        <v/>
      </c>
      <c r="H431" s="247">
        <f t="array" ref="H431">IFERROR(INDEX('PORTIFÓLIO'!$H$4:$H$433,MATCH($C431,'PORTIFÓLIO'!$C$4:$C$433,0)),"")</f>
        <v/>
      </c>
      <c r="I431" s="228" t="n"/>
      <c r="J431" s="209">
        <f>I431*$B$2</f>
        <v/>
      </c>
      <c r="K431" s="248">
        <f t="array" ref="K431">IFERROR(I431*INDEX('PORTIFÓLIO'!$S$4:$S$433,MATCH($C431,'PORTIFÓLIO'!$C$4:$C$433,0)),"")</f>
        <v/>
      </c>
      <c r="L431" s="248">
        <f t="array" ref="L431">IFERROR(J431*INDEX('PORTIFÓLIO'!$S$4:$S$433,MATCH($C431,'PORTIFÓLIO'!$C$4:$C$433,0)),"")</f>
        <v/>
      </c>
      <c r="M431" s="177" t="n"/>
      <c r="N431" s="177" t="n"/>
      <c r="O431" s="177" t="n"/>
      <c r="P431" s="177" t="n"/>
      <c r="Q431" s="177" t="n"/>
      <c r="R431" s="177" t="n"/>
      <c r="S431" s="177" t="n"/>
      <c r="T431" s="177" t="n"/>
      <c r="U431" s="177" t="n"/>
      <c r="V431" s="177" t="n"/>
      <c r="W431" s="177" t="n"/>
      <c r="X431" s="177" t="n"/>
    </row>
    <row r="432" outlineLevel="1" ht="15.75" customHeight="1" s="297">
      <c r="A432" s="190" t="n"/>
      <c r="B432" s="204" t="n"/>
      <c r="C432" s="191" t="n"/>
      <c r="D432" s="205">
        <f>IFERROR(VLOOKUP($C432,'PORTIFÓLIO'!C:V,2,0),"")</f>
        <v/>
      </c>
      <c r="E432" s="190">
        <f>IFERROR(VLOOKUP($C432,'PORTIFÓLIO'!C:V,3,0),"")</f>
        <v/>
      </c>
      <c r="F432" s="190">
        <f>IFERROR(VLOOKUP($C432,'PORTIFÓLIO'!C:V,4,0),"")</f>
        <v/>
      </c>
      <c r="G432" s="206">
        <f>IFERROR(VLOOKUP($C432,'PORTIFÓLIO'!C:V,5,0),"")</f>
        <v/>
      </c>
      <c r="H432" s="247">
        <f t="array" ref="H432">IFERROR(INDEX('PORTIFÓLIO'!$H$4:$H$433,MATCH($C432,'PORTIFÓLIO'!$C$4:$C$433,0)),"")</f>
        <v/>
      </c>
      <c r="I432" s="228" t="n"/>
      <c r="J432" s="209">
        <f>I432*$B$2</f>
        <v/>
      </c>
      <c r="K432" s="248">
        <f t="array" ref="K432">IFERROR(I432*INDEX('PORTIFÓLIO'!$S$4:$S$433,MATCH($C432,'PORTIFÓLIO'!$C$4:$C$433,0)),"")</f>
        <v/>
      </c>
      <c r="L432" s="248">
        <f t="array" ref="L432">IFERROR(J432*INDEX('PORTIFÓLIO'!$S$4:$S$433,MATCH($C432,'PORTIFÓLIO'!$C$4:$C$433,0)),"")</f>
        <v/>
      </c>
      <c r="M432" s="177" t="n"/>
      <c r="N432" s="177" t="n"/>
      <c r="O432" s="177" t="n"/>
      <c r="P432" s="177" t="n"/>
      <c r="Q432" s="177" t="n"/>
      <c r="R432" s="177" t="n"/>
      <c r="S432" s="177" t="n"/>
      <c r="T432" s="177" t="n"/>
      <c r="U432" s="177" t="n"/>
      <c r="V432" s="177" t="n"/>
      <c r="W432" s="177" t="n"/>
      <c r="X432" s="177" t="n"/>
    </row>
    <row r="433" outlineLevel="1" ht="15.75" customHeight="1" s="297">
      <c r="A433" s="190" t="n"/>
      <c r="B433" s="204" t="n"/>
      <c r="C433" s="191" t="n"/>
      <c r="D433" s="205">
        <f>IFERROR(VLOOKUP($C433,'PORTIFÓLIO'!C:V,2,0),"")</f>
        <v/>
      </c>
      <c r="E433" s="190">
        <f>IFERROR(VLOOKUP($C433,'PORTIFÓLIO'!C:V,3,0),"")</f>
        <v/>
      </c>
      <c r="F433" s="190">
        <f>IFERROR(VLOOKUP($C433,'PORTIFÓLIO'!C:V,4,0),"")</f>
        <v/>
      </c>
      <c r="G433" s="206">
        <f>IFERROR(VLOOKUP($C433,'PORTIFÓLIO'!C:V,5,0),"")</f>
        <v/>
      </c>
      <c r="H433" s="247">
        <f t="array" ref="H433">IFERROR(INDEX('PORTIFÓLIO'!$H$4:$H$433,MATCH($C433,'PORTIFÓLIO'!$C$4:$C$433,0)),"")</f>
        <v/>
      </c>
      <c r="I433" s="228" t="n"/>
      <c r="J433" s="209">
        <f>I433*$B$2</f>
        <v/>
      </c>
      <c r="K433" s="248">
        <f t="array" ref="K433">IFERROR(I433*INDEX('PORTIFÓLIO'!$S$4:$S$433,MATCH($C433,'PORTIFÓLIO'!$C$4:$C$433,0)),"")</f>
        <v/>
      </c>
      <c r="L433" s="248">
        <f t="array" ref="L433">IFERROR(J433*INDEX('PORTIFÓLIO'!$S$4:$S$433,MATCH($C433,'PORTIFÓLIO'!$C$4:$C$433,0)),"")</f>
        <v/>
      </c>
      <c r="M433" s="177" t="n"/>
      <c r="N433" s="177" t="n"/>
      <c r="O433" s="177" t="n"/>
      <c r="P433" s="177" t="n"/>
      <c r="Q433" s="177" t="n"/>
      <c r="R433" s="177" t="n"/>
      <c r="S433" s="177" t="n"/>
      <c r="T433" s="177" t="n"/>
      <c r="U433" s="177" t="n"/>
      <c r="V433" s="177" t="n"/>
      <c r="W433" s="177" t="n"/>
      <c r="X433" s="177" t="n"/>
    </row>
    <row r="434" outlineLevel="1" ht="15.75" customHeight="1" s="297">
      <c r="A434" s="190" t="n"/>
      <c r="B434" s="204" t="n"/>
      <c r="C434" s="191" t="n"/>
      <c r="D434" s="205">
        <f>IFERROR(VLOOKUP($C434,'PORTIFÓLIO'!C:V,2,0),"")</f>
        <v/>
      </c>
      <c r="E434" s="190">
        <f>IFERROR(VLOOKUP($C434,'PORTIFÓLIO'!C:V,3,0),"")</f>
        <v/>
      </c>
      <c r="F434" s="190">
        <f>IFERROR(VLOOKUP($C434,'PORTIFÓLIO'!C:V,4,0),"")</f>
        <v/>
      </c>
      <c r="G434" s="206">
        <f>IFERROR(VLOOKUP($C434,'PORTIFÓLIO'!C:V,5,0),"")</f>
        <v/>
      </c>
      <c r="H434" s="247">
        <f t="array" ref="H434">IFERROR(INDEX('PORTIFÓLIO'!$H$4:$H$433,MATCH($C434,'PORTIFÓLIO'!$C$4:$C$433,0)),"")</f>
        <v/>
      </c>
      <c r="I434" s="228" t="n"/>
      <c r="J434" s="209">
        <f>I434*$B$2</f>
        <v/>
      </c>
      <c r="K434" s="248">
        <f t="array" ref="K434">IFERROR(I434*INDEX('PORTIFÓLIO'!$S$4:$S$433,MATCH($C434,'PORTIFÓLIO'!$C$4:$C$433,0)),"")</f>
        <v/>
      </c>
      <c r="L434" s="248">
        <f t="array" ref="L434">IFERROR(J434*INDEX('PORTIFÓLIO'!$S$4:$S$433,MATCH($C434,'PORTIFÓLIO'!$C$4:$C$433,0)),"")</f>
        <v/>
      </c>
      <c r="M434" s="177" t="n"/>
      <c r="N434" s="177" t="n"/>
      <c r="O434" s="177" t="n"/>
      <c r="P434" s="177" t="n"/>
      <c r="Q434" s="177" t="n"/>
      <c r="R434" s="177" t="n"/>
      <c r="S434" s="177" t="n"/>
      <c r="T434" s="177" t="n"/>
      <c r="U434" s="177" t="n"/>
      <c r="V434" s="177" t="n"/>
      <c r="W434" s="177" t="n"/>
      <c r="X434" s="177" t="n"/>
    </row>
    <row r="435" outlineLevel="1" ht="15.75" customHeight="1" s="297">
      <c r="A435" s="190" t="n"/>
      <c r="B435" s="204" t="n"/>
      <c r="C435" s="191" t="n"/>
      <c r="D435" s="205">
        <f>IFERROR(VLOOKUP($C435,'PORTIFÓLIO'!C:V,2,0),"")</f>
        <v/>
      </c>
      <c r="E435" s="190">
        <f>IFERROR(VLOOKUP($C435,'PORTIFÓLIO'!C:V,3,0),"")</f>
        <v/>
      </c>
      <c r="F435" s="190">
        <f>IFERROR(VLOOKUP($C435,'PORTIFÓLIO'!C:V,4,0),"")</f>
        <v/>
      </c>
      <c r="G435" s="206">
        <f>IFERROR(VLOOKUP($C435,'PORTIFÓLIO'!C:V,5,0),"")</f>
        <v/>
      </c>
      <c r="H435" s="247">
        <f t="array" ref="H435">IFERROR(INDEX('PORTIFÓLIO'!$H$4:$H$433,MATCH($C435,'PORTIFÓLIO'!$C$4:$C$433,0)),"")</f>
        <v/>
      </c>
      <c r="I435" s="228" t="n"/>
      <c r="J435" s="209">
        <f>I435*$B$2</f>
        <v/>
      </c>
      <c r="K435" s="248">
        <f t="array" ref="K435">IFERROR(I435*INDEX('PORTIFÓLIO'!$S$4:$S$433,MATCH($C435,'PORTIFÓLIO'!$C$4:$C$433,0)),"")</f>
        <v/>
      </c>
      <c r="L435" s="248">
        <f t="array" ref="L435">IFERROR(J435*INDEX('PORTIFÓLIO'!$S$4:$S$433,MATCH($C435,'PORTIFÓLIO'!$C$4:$C$433,0)),"")</f>
        <v/>
      </c>
      <c r="M435" s="177" t="n"/>
      <c r="N435" s="177" t="n"/>
      <c r="O435" s="177" t="n"/>
      <c r="P435" s="177" t="n"/>
      <c r="Q435" s="177" t="n"/>
      <c r="R435" s="177" t="n"/>
      <c r="S435" s="177" t="n"/>
      <c r="T435" s="177" t="n"/>
      <c r="U435" s="177" t="n"/>
      <c r="V435" s="177" t="n"/>
      <c r="W435" s="177" t="n"/>
      <c r="X435" s="177" t="n"/>
    </row>
    <row r="436" outlineLevel="1" ht="15.75" customHeight="1" s="297">
      <c r="A436" s="190" t="n"/>
      <c r="B436" s="204" t="n"/>
      <c r="C436" s="191" t="n"/>
      <c r="D436" s="205">
        <f>IFERROR(VLOOKUP($C436,'PORTIFÓLIO'!C:V,2,0),"")</f>
        <v/>
      </c>
      <c r="E436" s="190">
        <f>IFERROR(VLOOKUP($C436,'PORTIFÓLIO'!C:V,3,0),"")</f>
        <v/>
      </c>
      <c r="F436" s="190">
        <f>IFERROR(VLOOKUP($C436,'PORTIFÓLIO'!C:V,4,0),"")</f>
        <v/>
      </c>
      <c r="G436" s="206">
        <f>IFERROR(VLOOKUP($C436,'PORTIFÓLIO'!C:V,5,0),"")</f>
        <v/>
      </c>
      <c r="H436" s="247">
        <f t="array" ref="H436">IFERROR(INDEX('PORTIFÓLIO'!$H$4:$H$433,MATCH($C436,'PORTIFÓLIO'!$C$4:$C$433,0)),"")</f>
        <v/>
      </c>
      <c r="I436" s="228" t="n"/>
      <c r="J436" s="209">
        <f>I436*$B$2</f>
        <v/>
      </c>
      <c r="K436" s="248">
        <f t="array" ref="K436">IFERROR(I436*INDEX('PORTIFÓLIO'!$S$4:$S$433,MATCH($C436,'PORTIFÓLIO'!$C$4:$C$433,0)),"")</f>
        <v/>
      </c>
      <c r="L436" s="248">
        <f t="array" ref="L436">IFERROR(J436*INDEX('PORTIFÓLIO'!$S$4:$S$433,MATCH($C436,'PORTIFÓLIO'!$C$4:$C$433,0)),"")</f>
        <v/>
      </c>
      <c r="M436" s="177" t="n"/>
      <c r="N436" s="177" t="n"/>
      <c r="O436" s="177" t="n"/>
      <c r="P436" s="177" t="n"/>
      <c r="Q436" s="177" t="n"/>
      <c r="R436" s="177" t="n"/>
      <c r="S436" s="177" t="n"/>
      <c r="T436" s="177" t="n"/>
      <c r="U436" s="177" t="n"/>
      <c r="V436" s="177" t="n"/>
      <c r="W436" s="177" t="n"/>
      <c r="X436" s="177" t="n"/>
    </row>
    <row r="437" outlineLevel="1" ht="15.75" customHeight="1" s="297">
      <c r="A437" s="190" t="n"/>
      <c r="B437" s="204" t="n"/>
      <c r="C437" s="191" t="n"/>
      <c r="D437" s="205">
        <f>IFERROR(VLOOKUP($C437,'PORTIFÓLIO'!C:V,2,0),"")</f>
        <v/>
      </c>
      <c r="E437" s="190">
        <f>IFERROR(VLOOKUP($C437,'PORTIFÓLIO'!C:V,3,0),"")</f>
        <v/>
      </c>
      <c r="F437" s="190">
        <f>IFERROR(VLOOKUP($C437,'PORTIFÓLIO'!C:V,4,0),"")</f>
        <v/>
      </c>
      <c r="G437" s="206">
        <f>IFERROR(VLOOKUP($C437,'PORTIFÓLIO'!C:V,5,0),"")</f>
        <v/>
      </c>
      <c r="H437" s="247">
        <f t="array" ref="H437">IFERROR(INDEX('PORTIFÓLIO'!$H$4:$H$433,MATCH($C437,'PORTIFÓLIO'!$C$4:$C$433,0)),"")</f>
        <v/>
      </c>
      <c r="I437" s="228" t="n"/>
      <c r="J437" s="209">
        <f>I437*$B$2</f>
        <v/>
      </c>
      <c r="K437" s="248">
        <f t="array" ref="K437">IFERROR(I437*INDEX('PORTIFÓLIO'!$S$4:$S$433,MATCH($C437,'PORTIFÓLIO'!$C$4:$C$433,0)),"")</f>
        <v/>
      </c>
      <c r="L437" s="248">
        <f t="array" ref="L437">IFERROR(J437*INDEX('PORTIFÓLIO'!$S$4:$S$433,MATCH($C437,'PORTIFÓLIO'!$C$4:$C$433,0)),"")</f>
        <v/>
      </c>
      <c r="M437" s="177" t="n"/>
      <c r="N437" s="177" t="n"/>
      <c r="O437" s="177" t="n"/>
      <c r="P437" s="177" t="n"/>
      <c r="Q437" s="177" t="n"/>
      <c r="R437" s="177" t="n"/>
      <c r="S437" s="177" t="n"/>
      <c r="T437" s="177" t="n"/>
      <c r="U437" s="177" t="n"/>
      <c r="V437" s="177" t="n"/>
      <c r="W437" s="177" t="n"/>
      <c r="X437" s="177" t="n"/>
    </row>
    <row r="438" outlineLevel="1" ht="15.75" customHeight="1" s="297">
      <c r="A438" s="190" t="n"/>
      <c r="B438" s="204" t="n"/>
      <c r="C438" s="191" t="n"/>
      <c r="D438" s="205">
        <f>IFERROR(VLOOKUP($C438,'PORTIFÓLIO'!C:V,2,0),"")</f>
        <v/>
      </c>
      <c r="E438" s="190">
        <f>IFERROR(VLOOKUP($C438,'PORTIFÓLIO'!C:V,3,0),"")</f>
        <v/>
      </c>
      <c r="F438" s="190">
        <f>IFERROR(VLOOKUP($C438,'PORTIFÓLIO'!C:V,4,0),"")</f>
        <v/>
      </c>
      <c r="G438" s="206">
        <f>IFERROR(VLOOKUP($C438,'PORTIFÓLIO'!C:V,5,0),"")</f>
        <v/>
      </c>
      <c r="H438" s="247">
        <f t="array" ref="H438">IFERROR(INDEX('PORTIFÓLIO'!$H$4:$H$433,MATCH($C438,'PORTIFÓLIO'!$C$4:$C$433,0)),"")</f>
        <v/>
      </c>
      <c r="I438" s="228" t="n"/>
      <c r="J438" s="209">
        <f>I438*$B$2</f>
        <v/>
      </c>
      <c r="K438" s="248">
        <f t="array" ref="K438">IFERROR(I438*INDEX('PORTIFÓLIO'!$S$4:$S$433,MATCH($C438,'PORTIFÓLIO'!$C$4:$C$433,0)),"")</f>
        <v/>
      </c>
      <c r="L438" s="248">
        <f t="array" ref="L438">IFERROR(J438*INDEX('PORTIFÓLIO'!$S$4:$S$433,MATCH($C438,'PORTIFÓLIO'!$C$4:$C$433,0)),"")</f>
        <v/>
      </c>
      <c r="M438" s="177" t="n"/>
      <c r="N438" s="177" t="n"/>
      <c r="O438" s="177" t="n"/>
      <c r="P438" s="177" t="n"/>
      <c r="Q438" s="177" t="n"/>
      <c r="R438" s="177" t="n"/>
      <c r="S438" s="177" t="n"/>
      <c r="T438" s="177" t="n"/>
      <c r="U438" s="177" t="n"/>
      <c r="V438" s="177" t="n"/>
      <c r="W438" s="177" t="n"/>
      <c r="X438" s="177" t="n"/>
    </row>
    <row r="439" outlineLevel="1" ht="15.75" customHeight="1" s="297">
      <c r="A439" s="190" t="n"/>
      <c r="B439" s="204" t="n"/>
      <c r="C439" s="191" t="n"/>
      <c r="D439" s="205">
        <f>IFERROR(VLOOKUP($C439,'PORTIFÓLIO'!C:V,2,0),"")</f>
        <v/>
      </c>
      <c r="E439" s="190">
        <f>IFERROR(VLOOKUP($C439,'PORTIFÓLIO'!C:V,3,0),"")</f>
        <v/>
      </c>
      <c r="F439" s="190">
        <f>IFERROR(VLOOKUP($C439,'PORTIFÓLIO'!C:V,4,0),"")</f>
        <v/>
      </c>
      <c r="G439" s="206">
        <f>IFERROR(VLOOKUP($C439,'PORTIFÓLIO'!C:V,5,0),"")</f>
        <v/>
      </c>
      <c r="H439" s="247">
        <f t="array" ref="H439">IFERROR(INDEX('PORTIFÓLIO'!$H$4:$H$433,MATCH($C439,'PORTIFÓLIO'!$C$4:$C$433,0)),"")</f>
        <v/>
      </c>
      <c r="I439" s="228" t="n"/>
      <c r="J439" s="209">
        <f>I439*$B$2</f>
        <v/>
      </c>
      <c r="K439" s="248">
        <f t="array" ref="K439">IFERROR(I439*INDEX('PORTIFÓLIO'!$S$4:$S$433,MATCH($C439,'PORTIFÓLIO'!$C$4:$C$433,0)),"")</f>
        <v/>
      </c>
      <c r="L439" s="248">
        <f t="array" ref="L439">IFERROR(J439*INDEX('PORTIFÓLIO'!$S$4:$S$433,MATCH($C439,'PORTIFÓLIO'!$C$4:$C$433,0)),"")</f>
        <v/>
      </c>
      <c r="M439" s="177" t="n"/>
      <c r="N439" s="177" t="n"/>
      <c r="O439" s="177" t="n"/>
      <c r="P439" s="177" t="n"/>
      <c r="Q439" s="177" t="n"/>
      <c r="R439" s="177" t="n"/>
      <c r="S439" s="177" t="n"/>
      <c r="T439" s="177" t="n"/>
      <c r="U439" s="177" t="n"/>
      <c r="V439" s="177" t="n"/>
      <c r="W439" s="177" t="n"/>
      <c r="X439" s="177" t="n"/>
    </row>
    <row r="440" outlineLevel="1" ht="15.75" customHeight="1" s="297">
      <c r="A440" s="190" t="n"/>
      <c r="B440" s="204" t="n"/>
      <c r="C440" s="191" t="n"/>
      <c r="D440" s="205">
        <f>IFERROR(VLOOKUP($C440,'PORTIFÓLIO'!C:V,2,0),"")</f>
        <v/>
      </c>
      <c r="E440" s="190">
        <f>IFERROR(VLOOKUP($C440,'PORTIFÓLIO'!C:V,3,0),"")</f>
        <v/>
      </c>
      <c r="F440" s="190">
        <f>IFERROR(VLOOKUP($C440,'PORTIFÓLIO'!C:V,4,0),"")</f>
        <v/>
      </c>
      <c r="G440" s="206">
        <f>IFERROR(VLOOKUP($C440,'PORTIFÓLIO'!C:V,5,0),"")</f>
        <v/>
      </c>
      <c r="H440" s="247">
        <f t="array" ref="H440">IFERROR(INDEX('PORTIFÓLIO'!$H$4:$H$433,MATCH($C440,'PORTIFÓLIO'!$C$4:$C$433,0)),"")</f>
        <v/>
      </c>
      <c r="I440" s="228" t="n"/>
      <c r="J440" s="209">
        <f>I440*$B$2</f>
        <v/>
      </c>
      <c r="K440" s="248">
        <f t="array" ref="K440">IFERROR(I440*INDEX('PORTIFÓLIO'!$S$4:$S$433,MATCH($C440,'PORTIFÓLIO'!$C$4:$C$433,0)),"")</f>
        <v/>
      </c>
      <c r="L440" s="248">
        <f t="array" ref="L440">IFERROR(J440*INDEX('PORTIFÓLIO'!$S$4:$S$433,MATCH($C440,'PORTIFÓLIO'!$C$4:$C$433,0)),"")</f>
        <v/>
      </c>
      <c r="M440" s="177" t="n"/>
      <c r="N440" s="177" t="n"/>
      <c r="O440" s="177" t="n"/>
      <c r="P440" s="177" t="n"/>
      <c r="Q440" s="177" t="n"/>
      <c r="R440" s="177" t="n"/>
      <c r="S440" s="177" t="n"/>
      <c r="T440" s="177" t="n"/>
      <c r="U440" s="177" t="n"/>
      <c r="V440" s="177" t="n"/>
      <c r="W440" s="177" t="n"/>
      <c r="X440" s="177" t="n"/>
    </row>
    <row r="441" outlineLevel="1" ht="15.75" customHeight="1" s="297">
      <c r="A441" s="190" t="n"/>
      <c r="B441" s="204" t="n"/>
      <c r="C441" s="191" t="n"/>
      <c r="D441" s="205">
        <f>IFERROR(VLOOKUP($C441,'PORTIFÓLIO'!C:V,2,0),"")</f>
        <v/>
      </c>
      <c r="E441" s="190">
        <f>IFERROR(VLOOKUP($C441,'PORTIFÓLIO'!C:V,3,0),"")</f>
        <v/>
      </c>
      <c r="F441" s="190">
        <f>IFERROR(VLOOKUP($C441,'PORTIFÓLIO'!C:V,4,0),"")</f>
        <v/>
      </c>
      <c r="G441" s="206">
        <f>IFERROR(VLOOKUP($C441,'PORTIFÓLIO'!C:V,5,0),"")</f>
        <v/>
      </c>
      <c r="H441" s="247">
        <f t="array" ref="H441">IFERROR(INDEX('PORTIFÓLIO'!$H$4:$H$433,MATCH($C441,'PORTIFÓLIO'!$C$4:$C$433,0)),"")</f>
        <v/>
      </c>
      <c r="I441" s="228" t="n"/>
      <c r="J441" s="209">
        <f>I441*$B$2</f>
        <v/>
      </c>
      <c r="K441" s="248">
        <f t="array" ref="K441">IFERROR(I441*INDEX('PORTIFÓLIO'!$S$4:$S$433,MATCH($C441,'PORTIFÓLIO'!$C$4:$C$433,0)),"")</f>
        <v/>
      </c>
      <c r="L441" s="248">
        <f t="array" ref="L441">IFERROR(J441*INDEX('PORTIFÓLIO'!$S$4:$S$433,MATCH($C441,'PORTIFÓLIO'!$C$4:$C$433,0)),"")</f>
        <v/>
      </c>
      <c r="M441" s="177" t="n"/>
      <c r="N441" s="177" t="n"/>
      <c r="O441" s="177" t="n"/>
      <c r="P441" s="177" t="n"/>
      <c r="Q441" s="177" t="n"/>
      <c r="R441" s="177" t="n"/>
      <c r="S441" s="177" t="n"/>
      <c r="T441" s="177" t="n"/>
      <c r="U441" s="177" t="n"/>
      <c r="V441" s="177" t="n"/>
      <c r="W441" s="177" t="n"/>
      <c r="X441" s="177" t="n"/>
    </row>
    <row r="442" outlineLevel="1" ht="15.75" customHeight="1" s="297">
      <c r="A442" s="190" t="n"/>
      <c r="B442" s="204" t="n"/>
      <c r="C442" s="191" t="n"/>
      <c r="D442" s="205">
        <f>IFERROR(VLOOKUP($C442,'PORTIFÓLIO'!C:V,2,0),"")</f>
        <v/>
      </c>
      <c r="E442" s="190">
        <f>IFERROR(VLOOKUP($C442,'PORTIFÓLIO'!C:V,3,0),"")</f>
        <v/>
      </c>
      <c r="F442" s="190">
        <f>IFERROR(VLOOKUP($C442,'PORTIFÓLIO'!C:V,4,0),"")</f>
        <v/>
      </c>
      <c r="G442" s="206">
        <f>IFERROR(VLOOKUP($C442,'PORTIFÓLIO'!C:V,5,0),"")</f>
        <v/>
      </c>
      <c r="H442" s="247">
        <f t="array" ref="H442">IFERROR(INDEX('PORTIFÓLIO'!$H$4:$H$433,MATCH($C442,'PORTIFÓLIO'!$C$4:$C$433,0)),"")</f>
        <v/>
      </c>
      <c r="I442" s="228" t="n"/>
      <c r="J442" s="209">
        <f>I442*$B$2</f>
        <v/>
      </c>
      <c r="K442" s="248">
        <f t="array" ref="K442">IFERROR(I442*INDEX('PORTIFÓLIO'!$S$4:$S$433,MATCH($C442,'PORTIFÓLIO'!$C$4:$C$433,0)),"")</f>
        <v/>
      </c>
      <c r="L442" s="248">
        <f t="array" ref="L442">IFERROR(J442*INDEX('PORTIFÓLIO'!$S$4:$S$433,MATCH($C442,'PORTIFÓLIO'!$C$4:$C$433,0)),"")</f>
        <v/>
      </c>
      <c r="M442" s="177" t="n"/>
      <c r="N442" s="177" t="n"/>
      <c r="O442" s="177" t="n"/>
      <c r="P442" s="177" t="n"/>
      <c r="Q442" s="177" t="n"/>
      <c r="R442" s="177" t="n"/>
      <c r="S442" s="177" t="n"/>
      <c r="T442" s="177" t="n"/>
      <c r="U442" s="177" t="n"/>
      <c r="V442" s="177" t="n"/>
      <c r="W442" s="177" t="n"/>
      <c r="X442" s="177" t="n"/>
    </row>
    <row r="443" outlineLevel="1" ht="15.75" customHeight="1" s="297">
      <c r="A443" s="190" t="n"/>
      <c r="B443" s="238" t="n"/>
      <c r="C443" s="190" t="n"/>
      <c r="D443" s="205">
        <f>IFERROR(VLOOKUP($C443,'PORTIFÓLIO'!C:V,2,0),"")</f>
        <v/>
      </c>
      <c r="E443" s="190">
        <f>IFERROR(VLOOKUP($C443,'PORTIFÓLIO'!C:V,3,0),"")</f>
        <v/>
      </c>
      <c r="F443" s="190">
        <f>IFERROR(VLOOKUP($C443,'PORTIFÓLIO'!C:V,4,0),"")</f>
        <v/>
      </c>
      <c r="G443" s="206">
        <f>IFERROR(VLOOKUP($C443,'PORTIFÓLIO'!C:V,5,0),"")</f>
        <v/>
      </c>
      <c r="H443" s="247">
        <f t="array" ref="H443">IFERROR(INDEX('PORTIFÓLIO'!$H$4:$H$433,MATCH($C443,'PORTIFÓLIO'!$C$4:$C$433,0)),"")</f>
        <v/>
      </c>
      <c r="I443" s="228" t="n"/>
      <c r="J443" s="209">
        <f>I443*$B$2</f>
        <v/>
      </c>
      <c r="K443" s="248">
        <f t="array" ref="K443">IFERROR(I443*INDEX('PORTIFÓLIO'!$S$4:$S$433,MATCH($C443,'PORTIFÓLIO'!$C$4:$C$433,0)),"")</f>
        <v/>
      </c>
      <c r="L443" s="248">
        <f t="array" ref="L443">IFERROR(J443*INDEX('PORTIFÓLIO'!$S$4:$S$433,MATCH($C443,'PORTIFÓLIO'!$C$4:$C$433,0)),"")</f>
        <v/>
      </c>
      <c r="M443" s="177" t="n"/>
      <c r="N443" s="177" t="n"/>
      <c r="O443" s="177" t="n"/>
      <c r="P443" s="177" t="n"/>
      <c r="Q443" s="177" t="n"/>
      <c r="R443" s="177" t="n"/>
      <c r="S443" s="177" t="n"/>
      <c r="T443" s="177" t="n"/>
      <c r="U443" s="177" t="n"/>
      <c r="V443" s="177" t="n"/>
      <c r="W443" s="177" t="n"/>
      <c r="X443" s="177" t="n"/>
    </row>
    <row r="444" outlineLevel="1" ht="15.75" customHeight="1" s="297">
      <c r="A444" s="190" t="n"/>
      <c r="B444" s="238" t="n"/>
      <c r="C444" s="190" t="n"/>
      <c r="D444" s="205">
        <f>IFERROR(VLOOKUP($C444,'PORTIFÓLIO'!C:V,2,0),"")</f>
        <v/>
      </c>
      <c r="E444" s="190">
        <f>IFERROR(VLOOKUP($C444,'PORTIFÓLIO'!C:V,3,0),"")</f>
        <v/>
      </c>
      <c r="F444" s="190">
        <f>IFERROR(VLOOKUP($C444,'PORTIFÓLIO'!C:V,4,0),"")</f>
        <v/>
      </c>
      <c r="G444" s="206">
        <f>IFERROR(VLOOKUP($C444,'PORTIFÓLIO'!C:V,5,0),"")</f>
        <v/>
      </c>
      <c r="H444" s="247">
        <f t="array" ref="H444">IFERROR(INDEX('PORTIFÓLIO'!$H$4:$H$433,MATCH($C444,'PORTIFÓLIO'!$C$4:$C$433,0)),"")</f>
        <v/>
      </c>
      <c r="I444" s="228" t="n"/>
      <c r="J444" s="209">
        <f>I444*$B$2</f>
        <v/>
      </c>
      <c r="K444" s="248">
        <f t="array" ref="K444">IFERROR(I444*INDEX('PORTIFÓLIO'!$S$4:$S$433,MATCH($C444,'PORTIFÓLIO'!$C$4:$C$433,0)),"")</f>
        <v/>
      </c>
      <c r="L444" s="248">
        <f t="array" ref="L444">IFERROR(J444*INDEX('PORTIFÓLIO'!$S$4:$S$433,MATCH($C444,'PORTIFÓLIO'!$C$4:$C$433,0)),"")</f>
        <v/>
      </c>
      <c r="M444" s="177" t="n"/>
      <c r="N444" s="177" t="n"/>
      <c r="O444" s="177" t="n"/>
      <c r="P444" s="177" t="n"/>
      <c r="Q444" s="177" t="n"/>
      <c r="R444" s="177" t="n"/>
      <c r="S444" s="177" t="n"/>
      <c r="T444" s="177" t="n"/>
      <c r="U444" s="177" t="n"/>
      <c r="V444" s="177" t="n"/>
      <c r="W444" s="177" t="n"/>
      <c r="X444" s="177" t="n"/>
    </row>
    <row r="445" outlineLevel="1" ht="15.75" customHeight="1" s="297">
      <c r="A445" s="190" t="n"/>
      <c r="B445" s="238" t="n"/>
      <c r="C445" s="190" t="n"/>
      <c r="D445" s="205">
        <f>IFERROR(VLOOKUP($C445,'PORTIFÓLIO'!C:V,2,0),"")</f>
        <v/>
      </c>
      <c r="E445" s="190">
        <f>IFERROR(VLOOKUP($C445,'PORTIFÓLIO'!C:V,3,0),"")</f>
        <v/>
      </c>
      <c r="F445" s="190">
        <f>IFERROR(VLOOKUP($C445,'PORTIFÓLIO'!C:V,4,0),"")</f>
        <v/>
      </c>
      <c r="G445" s="206">
        <f>IFERROR(VLOOKUP($C445,'PORTIFÓLIO'!C:V,5,0),"")</f>
        <v/>
      </c>
      <c r="H445" s="247">
        <f t="array" ref="H445">IFERROR(INDEX('PORTIFÓLIO'!$H$4:$H$433,MATCH($C445,'PORTIFÓLIO'!$C$4:$C$433,0)),"")</f>
        <v/>
      </c>
      <c r="I445" s="228" t="n"/>
      <c r="J445" s="209">
        <f>I445*$B$2</f>
        <v/>
      </c>
      <c r="K445" s="248">
        <f t="array" ref="K445">IFERROR(I445*INDEX('PORTIFÓLIO'!$S$4:$S$433,MATCH($C445,'PORTIFÓLIO'!$C$4:$C$433,0)),"")</f>
        <v/>
      </c>
      <c r="L445" s="248">
        <f t="array" ref="L445">IFERROR(J445*INDEX('PORTIFÓLIO'!$S$4:$S$433,MATCH($C445,'PORTIFÓLIO'!$C$4:$C$433,0)),"")</f>
        <v/>
      </c>
      <c r="M445" s="177" t="n"/>
      <c r="N445" s="177" t="n"/>
      <c r="O445" s="177" t="n"/>
      <c r="P445" s="177" t="n"/>
      <c r="Q445" s="177" t="n"/>
      <c r="R445" s="177" t="n"/>
      <c r="S445" s="177" t="n"/>
      <c r="T445" s="177" t="n"/>
      <c r="U445" s="177" t="n"/>
      <c r="V445" s="177" t="n"/>
      <c r="W445" s="177" t="n"/>
      <c r="X445" s="177" t="n"/>
    </row>
    <row r="446" outlineLevel="1" ht="15.75" customHeight="1" s="297">
      <c r="A446" s="190" t="n"/>
      <c r="B446" s="238" t="n"/>
      <c r="C446" s="190" t="n"/>
      <c r="D446" s="205">
        <f>IFERROR(VLOOKUP($C446,'PORTIFÓLIO'!C:V,2,0),"")</f>
        <v/>
      </c>
      <c r="E446" s="190">
        <f>IFERROR(VLOOKUP($C446,'PORTIFÓLIO'!C:V,3,0),"")</f>
        <v/>
      </c>
      <c r="F446" s="190">
        <f>IFERROR(VLOOKUP($C446,'PORTIFÓLIO'!C:V,4,0),"")</f>
        <v/>
      </c>
      <c r="G446" s="206">
        <f>IFERROR(VLOOKUP($C446,'PORTIFÓLIO'!C:V,5,0),"")</f>
        <v/>
      </c>
      <c r="H446" s="247">
        <f t="array" ref="H446">IFERROR(INDEX('PORTIFÓLIO'!$H$4:$H$433,MATCH($C446,'PORTIFÓLIO'!$C$4:$C$433,0)),"")</f>
        <v/>
      </c>
      <c r="I446" s="228" t="n"/>
      <c r="J446" s="209">
        <f>I446*$B$2</f>
        <v/>
      </c>
      <c r="K446" s="248">
        <f t="array" ref="K446">IFERROR(I446*INDEX('PORTIFÓLIO'!$S$4:$S$433,MATCH($C446,'PORTIFÓLIO'!$C$4:$C$433,0)),"")</f>
        <v/>
      </c>
      <c r="L446" s="248">
        <f t="array" ref="L446">IFERROR(J446*INDEX('PORTIFÓLIO'!$S$4:$S$433,MATCH($C446,'PORTIFÓLIO'!$C$4:$C$433,0)),"")</f>
        <v/>
      </c>
      <c r="M446" s="177" t="n"/>
      <c r="N446" s="177" t="n"/>
      <c r="O446" s="177" t="n"/>
      <c r="P446" s="177" t="n"/>
      <c r="Q446" s="177" t="n"/>
      <c r="R446" s="177" t="n"/>
      <c r="S446" s="177" t="n"/>
      <c r="T446" s="177" t="n"/>
      <c r="U446" s="177" t="n"/>
      <c r="V446" s="177" t="n"/>
      <c r="W446" s="177" t="n"/>
      <c r="X446" s="177" t="n"/>
    </row>
    <row r="447" outlineLevel="1" ht="15.75" customHeight="1" s="297">
      <c r="A447" s="190" t="n"/>
      <c r="B447" s="238" t="n"/>
      <c r="C447" s="190" t="n"/>
      <c r="D447" s="205">
        <f>IFERROR(VLOOKUP($C447,'PORTIFÓLIO'!C:V,2,0),"")</f>
        <v/>
      </c>
      <c r="E447" s="190">
        <f>IFERROR(VLOOKUP($C447,'PORTIFÓLIO'!C:V,3,0),"")</f>
        <v/>
      </c>
      <c r="F447" s="190">
        <f>IFERROR(VLOOKUP($C447,'PORTIFÓLIO'!C:V,4,0),"")</f>
        <v/>
      </c>
      <c r="G447" s="206">
        <f>IFERROR(VLOOKUP($C447,'PORTIFÓLIO'!C:V,5,0),"")</f>
        <v/>
      </c>
      <c r="H447" s="247">
        <f t="array" ref="H447">IFERROR(INDEX('PORTIFÓLIO'!$H$4:$H$433,MATCH($C447,'PORTIFÓLIO'!$C$4:$C$433,0)),"")</f>
        <v/>
      </c>
      <c r="I447" s="228" t="n"/>
      <c r="J447" s="209">
        <f>I447*$B$2</f>
        <v/>
      </c>
      <c r="K447" s="248">
        <f t="array" ref="K447">IFERROR(I447*INDEX('PORTIFÓLIO'!$S$4:$S$433,MATCH($C447,'PORTIFÓLIO'!$C$4:$C$433,0)),"")</f>
        <v/>
      </c>
      <c r="L447" s="248">
        <f t="array" ref="L447">IFERROR(J447*INDEX('PORTIFÓLIO'!$S$4:$S$433,MATCH($C447,'PORTIFÓLIO'!$C$4:$C$433,0)),"")</f>
        <v/>
      </c>
      <c r="M447" s="177" t="n"/>
      <c r="N447" s="177" t="n"/>
      <c r="O447" s="177" t="n"/>
      <c r="P447" s="177" t="n"/>
      <c r="Q447" s="177" t="n"/>
      <c r="R447" s="177" t="n"/>
      <c r="S447" s="177" t="n"/>
      <c r="T447" s="177" t="n"/>
      <c r="U447" s="177" t="n"/>
      <c r="V447" s="177" t="n"/>
      <c r="W447" s="177" t="n"/>
      <c r="X447" s="177" t="n"/>
    </row>
    <row r="448" outlineLevel="1" ht="15.75" customHeight="1" s="297">
      <c r="A448" s="190" t="n"/>
      <c r="B448" s="238" t="n"/>
      <c r="C448" s="190" t="n"/>
      <c r="D448" s="205">
        <f>IFERROR(VLOOKUP($C448,'PORTIFÓLIO'!C:V,2,0),"")</f>
        <v/>
      </c>
      <c r="E448" s="190">
        <f>IFERROR(VLOOKUP($C448,'PORTIFÓLIO'!C:V,3,0),"")</f>
        <v/>
      </c>
      <c r="F448" s="190">
        <f>IFERROR(VLOOKUP($C448,'PORTIFÓLIO'!C:V,4,0),"")</f>
        <v/>
      </c>
      <c r="G448" s="206">
        <f>IFERROR(VLOOKUP($C448,'PORTIFÓLIO'!C:V,5,0),"")</f>
        <v/>
      </c>
      <c r="H448" s="247">
        <f t="array" ref="H448">IFERROR(INDEX('PORTIFÓLIO'!$H$4:$H$433,MATCH($C448,'PORTIFÓLIO'!$C$4:$C$433,0)),"")</f>
        <v/>
      </c>
      <c r="I448" s="228" t="n"/>
      <c r="J448" s="209">
        <f>I448*$B$2</f>
        <v/>
      </c>
      <c r="K448" s="248">
        <f t="array" ref="K448">IFERROR(I448*INDEX('PORTIFÓLIO'!$S$4:$S$433,MATCH($C448,'PORTIFÓLIO'!$C$4:$C$433,0)),"")</f>
        <v/>
      </c>
      <c r="L448" s="248">
        <f t="array" ref="L448">IFERROR(J448*INDEX('PORTIFÓLIO'!$S$4:$S$433,MATCH($C448,'PORTIFÓLIO'!$C$4:$C$433,0)),"")</f>
        <v/>
      </c>
      <c r="M448" s="177" t="n"/>
      <c r="N448" s="177" t="n"/>
      <c r="O448" s="177" t="n"/>
      <c r="P448" s="177" t="n"/>
      <c r="Q448" s="177" t="n"/>
      <c r="R448" s="177" t="n"/>
      <c r="S448" s="177" t="n"/>
      <c r="T448" s="177" t="n"/>
      <c r="U448" s="177" t="n"/>
      <c r="V448" s="177" t="n"/>
      <c r="W448" s="177" t="n"/>
      <c r="X448" s="177" t="n"/>
    </row>
    <row r="449" outlineLevel="1" ht="15.75" customHeight="1" s="297">
      <c r="A449" s="190" t="n"/>
      <c r="B449" s="238" t="n"/>
      <c r="C449" s="190" t="n"/>
      <c r="D449" s="205">
        <f>IFERROR(VLOOKUP($C449,'PORTIFÓLIO'!C:V,2,0),"")</f>
        <v/>
      </c>
      <c r="E449" s="190">
        <f>IFERROR(VLOOKUP($C449,'PORTIFÓLIO'!C:V,3,0),"")</f>
        <v/>
      </c>
      <c r="F449" s="190">
        <f>IFERROR(VLOOKUP($C449,'PORTIFÓLIO'!C:V,4,0),"")</f>
        <v/>
      </c>
      <c r="G449" s="206">
        <f>IFERROR(VLOOKUP($C449,'PORTIFÓLIO'!C:V,5,0),"")</f>
        <v/>
      </c>
      <c r="H449" s="247">
        <f t="array" ref="H449">IFERROR(INDEX('PORTIFÓLIO'!$H$4:$H$433,MATCH($C449,'PORTIFÓLIO'!$C$4:$C$433,0)),"")</f>
        <v/>
      </c>
      <c r="I449" s="228" t="n"/>
      <c r="J449" s="209">
        <f>I449*$B$2</f>
        <v/>
      </c>
      <c r="K449" s="248">
        <f t="array" ref="K449">IFERROR(I449*INDEX('PORTIFÓLIO'!$S$4:$S$433,MATCH($C449,'PORTIFÓLIO'!$C$4:$C$433,0)),"")</f>
        <v/>
      </c>
      <c r="L449" s="248">
        <f t="array" ref="L449">IFERROR(J449*INDEX('PORTIFÓLIO'!$S$4:$S$433,MATCH($C449,'PORTIFÓLIO'!$C$4:$C$433,0)),"")</f>
        <v/>
      </c>
      <c r="M449" s="177" t="n"/>
      <c r="N449" s="177" t="n"/>
      <c r="O449" s="177" t="n"/>
      <c r="P449" s="177" t="n"/>
      <c r="Q449" s="177" t="n"/>
      <c r="R449" s="177" t="n"/>
      <c r="S449" s="177" t="n"/>
      <c r="T449" s="177" t="n"/>
      <c r="U449" s="177" t="n"/>
      <c r="V449" s="177" t="n"/>
      <c r="W449" s="177" t="n"/>
      <c r="X449" s="177" t="n"/>
    </row>
    <row r="450" outlineLevel="1" ht="15.75" customHeight="1" s="297">
      <c r="A450" s="190" t="n"/>
      <c r="B450" s="238" t="n"/>
      <c r="C450" s="190" t="n"/>
      <c r="D450" s="205">
        <f>IFERROR(VLOOKUP($C450,'PORTIFÓLIO'!C:V,2,0),"")</f>
        <v/>
      </c>
      <c r="E450" s="190">
        <f>IFERROR(VLOOKUP($C450,'PORTIFÓLIO'!C:V,3,0),"")</f>
        <v/>
      </c>
      <c r="F450" s="190">
        <f>IFERROR(VLOOKUP($C450,'PORTIFÓLIO'!C:V,4,0),"")</f>
        <v/>
      </c>
      <c r="G450" s="206">
        <f>IFERROR(VLOOKUP($C450,'PORTIFÓLIO'!C:V,5,0),"")</f>
        <v/>
      </c>
      <c r="H450" s="247">
        <f t="array" ref="H450">IFERROR(INDEX('PORTIFÓLIO'!$H$4:$H$433,MATCH($C450,'PORTIFÓLIO'!$C$4:$C$433,0)),"")</f>
        <v/>
      </c>
      <c r="I450" s="228" t="n"/>
      <c r="J450" s="209">
        <f>I450*$B$2</f>
        <v/>
      </c>
      <c r="K450" s="248">
        <f t="array" ref="K450">IFERROR(I450*INDEX('PORTIFÓLIO'!$S$4:$S$433,MATCH($C450,'PORTIFÓLIO'!$C$4:$C$433,0)),"")</f>
        <v/>
      </c>
      <c r="L450" s="248">
        <f t="array" ref="L450">IFERROR(J450*INDEX('PORTIFÓLIO'!$S$4:$S$433,MATCH($C450,'PORTIFÓLIO'!$C$4:$C$433,0)),"")</f>
        <v/>
      </c>
      <c r="M450" s="177" t="n"/>
      <c r="N450" s="177" t="n"/>
      <c r="O450" s="177" t="n"/>
      <c r="P450" s="177" t="n"/>
      <c r="Q450" s="177" t="n"/>
      <c r="R450" s="177" t="n"/>
      <c r="S450" s="177" t="n"/>
      <c r="T450" s="177" t="n"/>
      <c r="U450" s="177" t="n"/>
      <c r="V450" s="177" t="n"/>
      <c r="W450" s="177" t="n"/>
      <c r="X450" s="177" t="n"/>
    </row>
    <row r="451" outlineLevel="1" ht="15.75" customHeight="1" s="297">
      <c r="A451" s="190" t="n"/>
      <c r="B451" s="238" t="n"/>
      <c r="C451" s="190" t="n"/>
      <c r="D451" s="205">
        <f>IFERROR(VLOOKUP($C451,'PORTIFÓLIO'!C:V,2,0),"")</f>
        <v/>
      </c>
      <c r="E451" s="190">
        <f>IFERROR(VLOOKUP($C451,'PORTIFÓLIO'!C:V,3,0),"")</f>
        <v/>
      </c>
      <c r="F451" s="190">
        <f>IFERROR(VLOOKUP($C451,'PORTIFÓLIO'!C:V,4,0),"")</f>
        <v/>
      </c>
      <c r="G451" s="206">
        <f>IFERROR(VLOOKUP($C451,'PORTIFÓLIO'!C:V,5,0),"")</f>
        <v/>
      </c>
      <c r="H451" s="247">
        <f t="array" ref="H451">IFERROR(INDEX('PORTIFÓLIO'!$H$4:$H$433,MATCH($C451,'PORTIFÓLIO'!$C$4:$C$433,0)),"")</f>
        <v/>
      </c>
      <c r="I451" s="228" t="n"/>
      <c r="J451" s="209">
        <f>I451*$B$2</f>
        <v/>
      </c>
      <c r="K451" s="248">
        <f t="array" ref="K451">IFERROR(I451*INDEX('PORTIFÓLIO'!$S$4:$S$433,MATCH($C451,'PORTIFÓLIO'!$C$4:$C$433,0)),"")</f>
        <v/>
      </c>
      <c r="L451" s="248">
        <f t="array" ref="L451">IFERROR(J451*INDEX('PORTIFÓLIO'!$S$4:$S$433,MATCH($C451,'PORTIFÓLIO'!$C$4:$C$433,0)),"")</f>
        <v/>
      </c>
      <c r="M451" s="177" t="n"/>
      <c r="N451" s="177" t="n"/>
      <c r="O451" s="177" t="n"/>
      <c r="P451" s="177" t="n"/>
      <c r="Q451" s="177" t="n"/>
      <c r="R451" s="177" t="n"/>
      <c r="S451" s="177" t="n"/>
      <c r="T451" s="177" t="n"/>
      <c r="U451" s="177" t="n"/>
      <c r="V451" s="177" t="n"/>
      <c r="W451" s="177" t="n"/>
      <c r="X451" s="177" t="n"/>
    </row>
    <row r="452" ht="15.75" customHeight="1" s="297">
      <c r="A452" s="238" t="n"/>
      <c r="B452" s="238" t="n"/>
      <c r="C452" s="238" t="n"/>
      <c r="D452" s="238" t="n"/>
      <c r="E452" s="238" t="n"/>
      <c r="F452" s="238" t="n"/>
      <c r="G452" s="206" t="n"/>
      <c r="H452" s="238" t="n"/>
      <c r="I452" s="190" t="n"/>
      <c r="J452" s="238" t="n"/>
      <c r="K452" s="249">
        <f>SUBTOTAL(9,K237:K427)</f>
        <v/>
      </c>
      <c r="L452" s="249">
        <f>SUBTOTAL(9,L237:L427)</f>
        <v/>
      </c>
      <c r="M452" s="177" t="n"/>
      <c r="N452" s="177" t="n"/>
      <c r="O452" s="177" t="n"/>
      <c r="P452" s="177" t="n"/>
      <c r="Q452" s="177" t="n"/>
      <c r="R452" s="177" t="n"/>
      <c r="S452" s="177" t="n"/>
      <c r="T452" s="177" t="n"/>
      <c r="U452" s="177" t="n"/>
      <c r="V452" s="177" t="n"/>
      <c r="W452" s="177" t="n"/>
      <c r="X452" s="177" t="n"/>
    </row>
    <row r="453" ht="15.75" customHeight="1" s="297">
      <c r="A453" s="177" t="n"/>
      <c r="B453" s="177" t="n"/>
      <c r="C453" s="177" t="n"/>
      <c r="D453" s="177" t="n"/>
      <c r="E453" s="177" t="n"/>
      <c r="F453" s="177" t="n"/>
      <c r="G453" s="250" t="n"/>
      <c r="H453" s="177" t="n"/>
      <c r="I453" s="176" t="n"/>
      <c r="J453" s="177" t="n"/>
      <c r="K453" s="177" t="n"/>
      <c r="L453" s="177" t="n"/>
      <c r="M453" s="177" t="n"/>
      <c r="N453" s="177" t="n"/>
      <c r="O453" s="177" t="n"/>
      <c r="P453" s="177" t="n"/>
      <c r="Q453" s="177" t="n"/>
      <c r="R453" s="177" t="n"/>
      <c r="S453" s="177" t="n"/>
      <c r="T453" s="177" t="n"/>
      <c r="U453" s="177" t="n"/>
      <c r="V453" s="177" t="n"/>
      <c r="W453" s="177" t="n"/>
      <c r="X453" s="177" t="n"/>
    </row>
    <row r="454" ht="15.75" customHeight="1" s="297">
      <c r="A454" s="177" t="n"/>
      <c r="B454" s="177" t="n"/>
      <c r="C454" s="177" t="n"/>
      <c r="D454" s="177" t="n"/>
      <c r="E454" s="177" t="n"/>
      <c r="F454" s="177" t="n"/>
      <c r="G454" s="250" t="n"/>
      <c r="H454" s="177" t="n"/>
      <c r="I454" s="176" t="n"/>
      <c r="J454" s="177" t="n"/>
      <c r="K454" s="177" t="n"/>
      <c r="L454" s="177" t="n"/>
      <c r="M454" s="177" t="n"/>
      <c r="N454" s="177" t="n"/>
      <c r="O454" s="177" t="n"/>
      <c r="P454" s="177" t="n"/>
      <c r="Q454" s="177" t="n"/>
      <c r="R454" s="177" t="n"/>
      <c r="S454" s="177" t="n"/>
      <c r="T454" s="177" t="n"/>
      <c r="U454" s="177" t="n"/>
      <c r="V454" s="177" t="n"/>
      <c r="W454" s="177" t="n"/>
      <c r="X454" s="177" t="n"/>
    </row>
    <row r="455" ht="15.75" customHeight="1" s="297">
      <c r="A455" s="177" t="n"/>
      <c r="B455" s="177" t="n"/>
      <c r="C455" s="177" t="n"/>
      <c r="D455" s="177" t="n"/>
      <c r="E455" s="177" t="n"/>
      <c r="F455" s="177" t="n"/>
      <c r="G455" s="250" t="n"/>
      <c r="H455" s="177" t="n"/>
      <c r="I455" s="176" t="n"/>
      <c r="J455" s="177" t="n"/>
      <c r="K455" s="177" t="n"/>
      <c r="L455" s="177" t="n"/>
      <c r="M455" s="177" t="n"/>
      <c r="N455" s="177" t="n"/>
      <c r="O455" s="177" t="n"/>
      <c r="P455" s="177" t="n"/>
      <c r="Q455" s="177" t="n"/>
      <c r="R455" s="177" t="n"/>
      <c r="S455" s="177" t="n"/>
      <c r="T455" s="177" t="n"/>
      <c r="U455" s="177" t="n"/>
      <c r="V455" s="177" t="n"/>
      <c r="W455" s="177" t="n"/>
      <c r="X455" s="177" t="n"/>
    </row>
    <row r="456" ht="15.75" customHeight="1" s="297">
      <c r="A456" s="177" t="n"/>
      <c r="B456" s="177" t="n"/>
      <c r="C456" s="177" t="n"/>
      <c r="D456" s="177" t="n"/>
      <c r="E456" s="177" t="n"/>
      <c r="F456" s="177" t="n"/>
      <c r="G456" s="250" t="n"/>
      <c r="H456" s="177" t="n"/>
      <c r="I456" s="176" t="n"/>
      <c r="J456" s="177" t="n"/>
      <c r="K456" s="177" t="n"/>
      <c r="L456" s="177" t="n"/>
      <c r="M456" s="177" t="n"/>
      <c r="N456" s="177" t="n"/>
      <c r="O456" s="177" t="n"/>
      <c r="P456" s="177" t="n"/>
      <c r="Q456" s="177" t="n"/>
      <c r="R456" s="177" t="n"/>
      <c r="S456" s="177" t="n"/>
      <c r="T456" s="177" t="n"/>
      <c r="U456" s="177" t="n"/>
      <c r="V456" s="177" t="n"/>
      <c r="W456" s="177" t="n"/>
      <c r="X456" s="177" t="n"/>
    </row>
    <row r="457" ht="15.75" customHeight="1" s="297">
      <c r="A457" s="177" t="n"/>
      <c r="B457" s="177" t="n"/>
      <c r="C457" s="177" t="n"/>
      <c r="D457" s="177" t="n"/>
      <c r="E457" s="177" t="n"/>
      <c r="F457" s="177" t="n"/>
      <c r="G457" s="250" t="n"/>
      <c r="H457" s="177" t="n"/>
      <c r="I457" s="176" t="n"/>
      <c r="J457" s="177" t="n"/>
      <c r="K457" s="177" t="n"/>
      <c r="L457" s="177" t="n"/>
      <c r="M457" s="177" t="n"/>
      <c r="N457" s="177" t="n"/>
      <c r="O457" s="177" t="n"/>
      <c r="P457" s="177" t="n"/>
      <c r="Q457" s="177" t="n"/>
      <c r="R457" s="177" t="n"/>
      <c r="S457" s="177" t="n"/>
      <c r="T457" s="177" t="n"/>
      <c r="U457" s="177" t="n"/>
      <c r="V457" s="177" t="n"/>
      <c r="W457" s="177" t="n"/>
      <c r="X457" s="177" t="n"/>
    </row>
    <row r="458" ht="15.75" customHeight="1" s="297">
      <c r="A458" s="177" t="n"/>
      <c r="B458" s="177" t="n"/>
      <c r="C458" s="177" t="n"/>
      <c r="D458" s="177" t="n"/>
      <c r="E458" s="177" t="n"/>
      <c r="F458" s="177" t="n"/>
      <c r="G458" s="250" t="n"/>
      <c r="H458" s="177" t="n"/>
      <c r="I458" s="176" t="n"/>
      <c r="J458" s="177" t="n"/>
      <c r="K458" s="177" t="n"/>
      <c r="L458" s="177" t="n"/>
      <c r="M458" s="177" t="n"/>
      <c r="N458" s="177" t="n"/>
      <c r="O458" s="177" t="n"/>
      <c r="P458" s="177" t="n"/>
      <c r="Q458" s="177" t="n"/>
      <c r="R458" s="177" t="n"/>
      <c r="S458" s="177" t="n"/>
      <c r="T458" s="177" t="n"/>
      <c r="U458" s="177" t="n"/>
      <c r="V458" s="177" t="n"/>
      <c r="W458" s="177" t="n"/>
      <c r="X458" s="177" t="n"/>
    </row>
    <row r="459" ht="15.75" customHeight="1" s="297">
      <c r="A459" s="177" t="n"/>
      <c r="B459" s="177" t="n"/>
      <c r="C459" s="177" t="n"/>
      <c r="D459" s="177" t="n"/>
      <c r="E459" s="177" t="n"/>
      <c r="F459" s="177" t="n"/>
      <c r="G459" s="250" t="n"/>
      <c r="H459" s="177" t="n"/>
      <c r="I459" s="176" t="n"/>
      <c r="J459" s="177" t="n"/>
      <c r="K459" s="177" t="n"/>
      <c r="L459" s="177" t="n"/>
      <c r="M459" s="177" t="n"/>
      <c r="N459" s="177" t="n"/>
      <c r="O459" s="177" t="n"/>
      <c r="P459" s="177" t="n"/>
      <c r="Q459" s="177" t="n"/>
      <c r="R459" s="177" t="n"/>
      <c r="S459" s="177" t="n"/>
      <c r="T459" s="177" t="n"/>
      <c r="U459" s="177" t="n"/>
      <c r="V459" s="177" t="n"/>
      <c r="W459" s="177" t="n"/>
      <c r="X459" s="177" t="n"/>
    </row>
    <row r="460" ht="15.75" customHeight="1" s="297">
      <c r="A460" s="177" t="n"/>
      <c r="B460" s="177" t="n"/>
      <c r="C460" s="177" t="n"/>
      <c r="D460" s="177" t="n"/>
      <c r="E460" s="177" t="n"/>
      <c r="F460" s="177" t="n"/>
      <c r="G460" s="250" t="n"/>
      <c r="H460" s="177" t="n"/>
      <c r="I460" s="176" t="n"/>
      <c r="J460" s="177" t="n"/>
      <c r="K460" s="177" t="n"/>
      <c r="L460" s="177" t="n"/>
      <c r="M460" s="177" t="n"/>
      <c r="N460" s="177" t="n"/>
      <c r="O460" s="177" t="n"/>
      <c r="P460" s="177" t="n"/>
      <c r="Q460" s="177" t="n"/>
      <c r="R460" s="177" t="n"/>
      <c r="S460" s="177" t="n"/>
      <c r="T460" s="177" t="n"/>
      <c r="U460" s="177" t="n"/>
      <c r="V460" s="177" t="n"/>
      <c r="W460" s="177" t="n"/>
      <c r="X460" s="177" t="n"/>
    </row>
    <row r="461" ht="15.75" customHeight="1" s="297">
      <c r="A461" s="177" t="n"/>
      <c r="B461" s="177" t="n"/>
      <c r="C461" s="177" t="n"/>
      <c r="D461" s="177" t="n"/>
      <c r="E461" s="177" t="n"/>
      <c r="F461" s="177" t="n"/>
      <c r="G461" s="250" t="n"/>
      <c r="H461" s="177" t="n"/>
      <c r="I461" s="176" t="n"/>
      <c r="J461" s="177" t="n"/>
      <c r="K461" s="177" t="n"/>
      <c r="L461" s="177" t="n"/>
      <c r="M461" s="177" t="n"/>
      <c r="N461" s="177" t="n"/>
      <c r="O461" s="177" t="n"/>
      <c r="P461" s="177" t="n"/>
      <c r="Q461" s="177" t="n"/>
      <c r="R461" s="177" t="n"/>
      <c r="S461" s="177" t="n"/>
      <c r="T461" s="177" t="n"/>
      <c r="U461" s="177" t="n"/>
      <c r="V461" s="177" t="n"/>
      <c r="W461" s="177" t="n"/>
      <c r="X461" s="177" t="n"/>
    </row>
    <row r="462" ht="15.75" customHeight="1" s="297">
      <c r="A462" s="177" t="n"/>
      <c r="B462" s="177" t="n"/>
      <c r="C462" s="177" t="n"/>
      <c r="D462" s="177" t="n"/>
      <c r="E462" s="177" t="n"/>
      <c r="F462" s="177" t="n"/>
      <c r="G462" s="250" t="n"/>
      <c r="H462" s="177" t="n"/>
      <c r="I462" s="176" t="n"/>
      <c r="J462" s="177" t="n"/>
      <c r="K462" s="177" t="n"/>
      <c r="L462" s="177" t="n"/>
      <c r="M462" s="177" t="n"/>
      <c r="N462" s="177" t="n"/>
      <c r="O462" s="177" t="n"/>
      <c r="P462" s="177" t="n"/>
      <c r="Q462" s="177" t="n"/>
      <c r="R462" s="177" t="n"/>
      <c r="S462" s="177" t="n"/>
      <c r="T462" s="177" t="n"/>
      <c r="U462" s="177" t="n"/>
      <c r="V462" s="177" t="n"/>
      <c r="W462" s="177" t="n"/>
      <c r="X462" s="177" t="n"/>
    </row>
    <row r="463" ht="15.75" customHeight="1" s="297">
      <c r="A463" s="177" t="n"/>
      <c r="B463" s="177" t="n"/>
      <c r="C463" s="177" t="n"/>
      <c r="D463" s="177" t="n"/>
      <c r="E463" s="177" t="n"/>
      <c r="F463" s="177" t="n"/>
      <c r="G463" s="250" t="n"/>
      <c r="H463" s="177" t="n"/>
      <c r="I463" s="176" t="n"/>
      <c r="J463" s="177" t="n"/>
      <c r="K463" s="177" t="n"/>
      <c r="L463" s="177" t="n"/>
      <c r="M463" s="177" t="n"/>
      <c r="N463" s="177" t="n"/>
      <c r="O463" s="177" t="n"/>
      <c r="P463" s="177" t="n"/>
      <c r="Q463" s="177" t="n"/>
      <c r="R463" s="177" t="n"/>
      <c r="S463" s="177" t="n"/>
      <c r="T463" s="177" t="n"/>
      <c r="U463" s="177" t="n"/>
      <c r="V463" s="177" t="n"/>
      <c r="W463" s="177" t="n"/>
      <c r="X463" s="177" t="n"/>
    </row>
    <row r="464" ht="15.75" customHeight="1" s="297">
      <c r="A464" s="177" t="n"/>
      <c r="B464" s="177" t="n"/>
      <c r="C464" s="177" t="n"/>
      <c r="D464" s="177" t="n"/>
      <c r="E464" s="177" t="n"/>
      <c r="F464" s="177" t="n"/>
      <c r="G464" s="250" t="n"/>
      <c r="H464" s="177" t="n"/>
      <c r="I464" s="176" t="n"/>
      <c r="J464" s="177" t="n"/>
      <c r="K464" s="177" t="n"/>
      <c r="L464" s="177" t="n"/>
      <c r="M464" s="177" t="n"/>
      <c r="N464" s="177" t="n"/>
      <c r="O464" s="177" t="n"/>
      <c r="P464" s="177" t="n"/>
      <c r="Q464" s="177" t="n"/>
      <c r="R464" s="177" t="n"/>
      <c r="S464" s="177" t="n"/>
      <c r="T464" s="177" t="n"/>
      <c r="U464" s="177" t="n"/>
      <c r="V464" s="177" t="n"/>
      <c r="W464" s="177" t="n"/>
      <c r="X464" s="177" t="n"/>
    </row>
    <row r="465" ht="15.75" customHeight="1" s="297">
      <c r="A465" s="177" t="n"/>
      <c r="B465" s="177" t="n"/>
      <c r="C465" s="177" t="n"/>
      <c r="D465" s="177" t="n"/>
      <c r="E465" s="177" t="n"/>
      <c r="F465" s="177" t="n"/>
      <c r="G465" s="250" t="n"/>
      <c r="H465" s="177" t="n"/>
      <c r="I465" s="176" t="n"/>
      <c r="J465" s="177" t="n"/>
      <c r="K465" s="177" t="n"/>
      <c r="L465" s="177" t="n"/>
      <c r="M465" s="177" t="n"/>
      <c r="N465" s="177" t="n"/>
      <c r="O465" s="177" t="n"/>
      <c r="P465" s="177" t="n"/>
      <c r="Q465" s="177" t="n"/>
      <c r="R465" s="177" t="n"/>
      <c r="S465" s="177" t="n"/>
      <c r="T465" s="177" t="n"/>
      <c r="U465" s="177" t="n"/>
      <c r="V465" s="177" t="n"/>
      <c r="W465" s="177" t="n"/>
      <c r="X465" s="177" t="n"/>
    </row>
    <row r="466" ht="15.75" customHeight="1" s="297">
      <c r="A466" s="177" t="n"/>
      <c r="B466" s="177" t="n"/>
      <c r="C466" s="177" t="n"/>
      <c r="D466" s="177" t="n"/>
      <c r="E466" s="177" t="n"/>
      <c r="F466" s="177" t="n"/>
      <c r="G466" s="250" t="n"/>
      <c r="H466" s="177" t="n"/>
      <c r="I466" s="176" t="n"/>
      <c r="J466" s="177" t="n"/>
      <c r="K466" s="177" t="n"/>
      <c r="L466" s="177" t="n"/>
      <c r="M466" s="177" t="n"/>
      <c r="N466" s="177" t="n"/>
      <c r="O466" s="177" t="n"/>
      <c r="P466" s="177" t="n"/>
      <c r="Q466" s="177" t="n"/>
      <c r="R466" s="177" t="n"/>
      <c r="S466" s="177" t="n"/>
      <c r="T466" s="177" t="n"/>
      <c r="U466" s="177" t="n"/>
      <c r="V466" s="177" t="n"/>
      <c r="W466" s="177" t="n"/>
      <c r="X466" s="177" t="n"/>
    </row>
    <row r="467" ht="15.75" customHeight="1" s="297">
      <c r="A467" s="177" t="n"/>
      <c r="B467" s="177" t="n"/>
      <c r="C467" s="177" t="n"/>
      <c r="D467" s="177" t="n"/>
      <c r="E467" s="177" t="n"/>
      <c r="F467" s="177" t="n"/>
      <c r="G467" s="250" t="n"/>
      <c r="H467" s="177" t="n"/>
      <c r="I467" s="176" t="n"/>
      <c r="J467" s="177" t="n"/>
      <c r="K467" s="177" t="n"/>
      <c r="L467" s="177" t="n"/>
      <c r="M467" s="177" t="n"/>
      <c r="N467" s="177" t="n"/>
      <c r="O467" s="177" t="n"/>
      <c r="P467" s="177" t="n"/>
      <c r="Q467" s="177" t="n"/>
      <c r="R467" s="177" t="n"/>
      <c r="S467" s="177" t="n"/>
      <c r="T467" s="177" t="n"/>
      <c r="U467" s="177" t="n"/>
      <c r="V467" s="177" t="n"/>
      <c r="W467" s="177" t="n"/>
      <c r="X467" s="177" t="n"/>
    </row>
    <row r="468" ht="15.75" customHeight="1" s="297">
      <c r="A468" s="177" t="n"/>
      <c r="B468" s="177" t="n"/>
      <c r="C468" s="177" t="n"/>
      <c r="D468" s="177" t="n"/>
      <c r="E468" s="177" t="n"/>
      <c r="F468" s="177" t="n"/>
      <c r="G468" s="250" t="n"/>
      <c r="H468" s="177" t="n"/>
      <c r="I468" s="176" t="n"/>
      <c r="J468" s="177" t="n"/>
      <c r="K468" s="177" t="n"/>
      <c r="L468" s="177" t="n"/>
      <c r="M468" s="177" t="n"/>
      <c r="N468" s="177" t="n"/>
      <c r="O468" s="177" t="n"/>
      <c r="P468" s="177" t="n"/>
      <c r="Q468" s="177" t="n"/>
      <c r="R468" s="177" t="n"/>
      <c r="S468" s="177" t="n"/>
      <c r="T468" s="177" t="n"/>
      <c r="U468" s="177" t="n"/>
      <c r="V468" s="177" t="n"/>
      <c r="W468" s="177" t="n"/>
      <c r="X468" s="177" t="n"/>
    </row>
    <row r="469" ht="15.75" customHeight="1" s="297">
      <c r="A469" s="177" t="n"/>
      <c r="B469" s="177" t="n"/>
      <c r="C469" s="177" t="n"/>
      <c r="D469" s="177" t="n"/>
      <c r="E469" s="177" t="n"/>
      <c r="F469" s="177" t="n"/>
      <c r="G469" s="250" t="n"/>
      <c r="H469" s="177" t="n"/>
      <c r="I469" s="176" t="n"/>
      <c r="J469" s="177" t="n"/>
      <c r="K469" s="177" t="n"/>
      <c r="L469" s="177" t="n"/>
      <c r="M469" s="177" t="n"/>
      <c r="N469" s="177" t="n"/>
      <c r="O469" s="177" t="n"/>
      <c r="P469" s="177" t="n"/>
      <c r="Q469" s="177" t="n"/>
      <c r="R469" s="177" t="n"/>
      <c r="S469" s="177" t="n"/>
      <c r="T469" s="177" t="n"/>
      <c r="U469" s="177" t="n"/>
      <c r="V469" s="177" t="n"/>
      <c r="W469" s="177" t="n"/>
      <c r="X469" s="177" t="n"/>
    </row>
    <row r="470" ht="15.75" customHeight="1" s="297">
      <c r="A470" s="177" t="n"/>
      <c r="B470" s="177" t="n"/>
      <c r="C470" s="177" t="n"/>
      <c r="D470" s="177" t="n"/>
      <c r="E470" s="177" t="n"/>
      <c r="F470" s="177" t="n"/>
      <c r="G470" s="250" t="n"/>
      <c r="H470" s="177" t="n"/>
      <c r="I470" s="176" t="n"/>
      <c r="J470" s="177" t="n"/>
      <c r="K470" s="177" t="n"/>
      <c r="L470" s="177" t="n"/>
      <c r="M470" s="177" t="n"/>
      <c r="N470" s="177" t="n"/>
      <c r="O470" s="177" t="n"/>
      <c r="P470" s="177" t="n"/>
      <c r="Q470" s="177" t="n"/>
      <c r="R470" s="177" t="n"/>
      <c r="S470" s="177" t="n"/>
      <c r="T470" s="177" t="n"/>
      <c r="U470" s="177" t="n"/>
      <c r="V470" s="177" t="n"/>
      <c r="W470" s="177" t="n"/>
      <c r="X470" s="177" t="n"/>
    </row>
    <row r="471" ht="15.75" customHeight="1" s="297">
      <c r="A471" s="177" t="n"/>
      <c r="B471" s="177" t="n"/>
      <c r="C471" s="177" t="n"/>
      <c r="D471" s="177" t="n"/>
      <c r="E471" s="177" t="n"/>
      <c r="F471" s="177" t="n"/>
      <c r="G471" s="250" t="n"/>
      <c r="H471" s="177" t="n"/>
      <c r="I471" s="176" t="n"/>
      <c r="J471" s="177" t="n"/>
      <c r="K471" s="177" t="n"/>
      <c r="L471" s="177" t="n"/>
      <c r="M471" s="177" t="n"/>
      <c r="N471" s="177" t="n"/>
      <c r="O471" s="177" t="n"/>
      <c r="P471" s="177" t="n"/>
      <c r="Q471" s="177" t="n"/>
      <c r="R471" s="177" t="n"/>
      <c r="S471" s="177" t="n"/>
      <c r="T471" s="177" t="n"/>
      <c r="U471" s="177" t="n"/>
      <c r="V471" s="177" t="n"/>
      <c r="W471" s="177" t="n"/>
      <c r="X471" s="177" t="n"/>
    </row>
    <row r="472" ht="15.75" customHeight="1" s="297">
      <c r="A472" s="177" t="n"/>
      <c r="B472" s="177" t="n"/>
      <c r="C472" s="177" t="n"/>
      <c r="D472" s="177" t="n"/>
      <c r="E472" s="177" t="n"/>
      <c r="F472" s="177" t="n"/>
      <c r="G472" s="250" t="n"/>
      <c r="H472" s="177" t="n"/>
      <c r="I472" s="176" t="n"/>
      <c r="J472" s="177" t="n"/>
      <c r="K472" s="177" t="n"/>
      <c r="L472" s="177" t="n"/>
      <c r="M472" s="177" t="n"/>
      <c r="N472" s="177" t="n"/>
      <c r="O472" s="177" t="n"/>
      <c r="P472" s="177" t="n"/>
      <c r="Q472" s="177" t="n"/>
      <c r="R472" s="177" t="n"/>
      <c r="S472" s="177" t="n"/>
      <c r="T472" s="177" t="n"/>
      <c r="U472" s="177" t="n"/>
      <c r="V472" s="177" t="n"/>
      <c r="W472" s="177" t="n"/>
      <c r="X472" s="177" t="n"/>
    </row>
    <row r="473" ht="15.75" customHeight="1" s="297">
      <c r="A473" s="177" t="n"/>
      <c r="B473" s="177" t="n"/>
      <c r="C473" s="177" t="n"/>
      <c r="D473" s="177" t="n"/>
      <c r="E473" s="177" t="n"/>
      <c r="F473" s="177" t="n"/>
      <c r="G473" s="250" t="n"/>
      <c r="H473" s="177" t="n"/>
      <c r="I473" s="176" t="n"/>
      <c r="J473" s="177" t="n"/>
      <c r="K473" s="177" t="n"/>
      <c r="L473" s="177" t="n"/>
      <c r="M473" s="177" t="n"/>
      <c r="N473" s="177" t="n"/>
      <c r="O473" s="177" t="n"/>
      <c r="P473" s="177" t="n"/>
      <c r="Q473" s="177" t="n"/>
      <c r="R473" s="177" t="n"/>
      <c r="S473" s="177" t="n"/>
      <c r="T473" s="177" t="n"/>
      <c r="U473" s="177" t="n"/>
      <c r="V473" s="177" t="n"/>
      <c r="W473" s="177" t="n"/>
      <c r="X473" s="177" t="n"/>
    </row>
    <row r="474" ht="15.75" customHeight="1" s="297">
      <c r="A474" s="177" t="n"/>
      <c r="B474" s="177" t="n"/>
      <c r="C474" s="177" t="n"/>
      <c r="D474" s="177" t="n"/>
      <c r="E474" s="177" t="n"/>
      <c r="F474" s="177" t="n"/>
      <c r="G474" s="250" t="n"/>
      <c r="H474" s="177" t="n"/>
      <c r="I474" s="176" t="n"/>
      <c r="J474" s="177" t="n"/>
      <c r="K474" s="177" t="n"/>
      <c r="L474" s="177" t="n"/>
      <c r="M474" s="177" t="n"/>
      <c r="N474" s="177" t="n"/>
      <c r="O474" s="177" t="n"/>
      <c r="P474" s="177" t="n"/>
      <c r="Q474" s="177" t="n"/>
      <c r="R474" s="177" t="n"/>
      <c r="S474" s="177" t="n"/>
      <c r="T474" s="177" t="n"/>
      <c r="U474" s="177" t="n"/>
      <c r="V474" s="177" t="n"/>
      <c r="W474" s="177" t="n"/>
      <c r="X474" s="177" t="n"/>
    </row>
    <row r="475" ht="15.75" customHeight="1" s="297">
      <c r="A475" s="177" t="n"/>
      <c r="B475" s="177" t="n"/>
      <c r="C475" s="177" t="n"/>
      <c r="D475" s="177" t="n"/>
      <c r="E475" s="177" t="n"/>
      <c r="F475" s="177" t="n"/>
      <c r="G475" s="250" t="n"/>
      <c r="H475" s="177" t="n"/>
      <c r="I475" s="176" t="n"/>
      <c r="J475" s="177" t="n"/>
      <c r="K475" s="177" t="n"/>
      <c r="L475" s="177" t="n"/>
      <c r="M475" s="177" t="n"/>
      <c r="N475" s="177" t="n"/>
      <c r="O475" s="177" t="n"/>
      <c r="P475" s="177" t="n"/>
      <c r="Q475" s="177" t="n"/>
      <c r="R475" s="177" t="n"/>
      <c r="S475" s="177" t="n"/>
      <c r="T475" s="177" t="n"/>
      <c r="U475" s="177" t="n"/>
      <c r="V475" s="177" t="n"/>
      <c r="W475" s="177" t="n"/>
      <c r="X475" s="177" t="n"/>
    </row>
    <row r="476" ht="15.75" customHeight="1" s="297">
      <c r="A476" s="177" t="n"/>
      <c r="B476" s="177" t="n"/>
      <c r="C476" s="177" t="n"/>
      <c r="D476" s="177" t="n"/>
      <c r="E476" s="177" t="n"/>
      <c r="F476" s="177" t="n"/>
      <c r="G476" s="250" t="n"/>
      <c r="H476" s="177" t="n"/>
      <c r="I476" s="176" t="n"/>
      <c r="J476" s="177" t="n"/>
      <c r="K476" s="177" t="n"/>
      <c r="L476" s="177" t="n"/>
      <c r="M476" s="177" t="n"/>
      <c r="N476" s="177" t="n"/>
      <c r="O476" s="177" t="n"/>
      <c r="P476" s="177" t="n"/>
      <c r="Q476" s="177" t="n"/>
      <c r="R476" s="177" t="n"/>
      <c r="S476" s="177" t="n"/>
      <c r="T476" s="177" t="n"/>
      <c r="U476" s="177" t="n"/>
      <c r="V476" s="177" t="n"/>
      <c r="W476" s="177" t="n"/>
      <c r="X476" s="177" t="n"/>
    </row>
    <row r="477" ht="15.75" customHeight="1" s="297">
      <c r="A477" s="177" t="n"/>
      <c r="B477" s="177" t="n"/>
      <c r="C477" s="177" t="n"/>
      <c r="D477" s="177" t="n"/>
      <c r="E477" s="177" t="n"/>
      <c r="F477" s="177" t="n"/>
      <c r="G477" s="250" t="n"/>
      <c r="H477" s="177" t="n"/>
      <c r="I477" s="176" t="n"/>
      <c r="J477" s="177" t="n"/>
      <c r="K477" s="177" t="n"/>
      <c r="L477" s="177" t="n"/>
      <c r="M477" s="177" t="n"/>
      <c r="N477" s="177" t="n"/>
      <c r="O477" s="177" t="n"/>
      <c r="P477" s="177" t="n"/>
      <c r="Q477" s="177" t="n"/>
      <c r="R477" s="177" t="n"/>
      <c r="S477" s="177" t="n"/>
      <c r="T477" s="177" t="n"/>
      <c r="U477" s="177" t="n"/>
      <c r="V477" s="177" t="n"/>
      <c r="W477" s="177" t="n"/>
      <c r="X477" s="177" t="n"/>
    </row>
    <row r="478" ht="15.75" customHeight="1" s="297">
      <c r="A478" s="177" t="n"/>
      <c r="B478" s="177" t="n"/>
      <c r="C478" s="177" t="n"/>
      <c r="D478" s="177" t="n"/>
      <c r="E478" s="177" t="n"/>
      <c r="F478" s="177" t="n"/>
      <c r="G478" s="250" t="n"/>
      <c r="H478" s="177" t="n"/>
      <c r="I478" s="176" t="n"/>
      <c r="J478" s="177" t="n"/>
      <c r="K478" s="177" t="n"/>
      <c r="L478" s="177" t="n"/>
      <c r="M478" s="177" t="n"/>
      <c r="N478" s="177" t="n"/>
      <c r="O478" s="177" t="n"/>
      <c r="P478" s="177" t="n"/>
      <c r="Q478" s="177" t="n"/>
      <c r="R478" s="177" t="n"/>
      <c r="S478" s="177" t="n"/>
      <c r="T478" s="177" t="n"/>
      <c r="U478" s="177" t="n"/>
      <c r="V478" s="177" t="n"/>
      <c r="W478" s="177" t="n"/>
      <c r="X478" s="177" t="n"/>
    </row>
    <row r="479" ht="15.75" customHeight="1" s="297">
      <c r="A479" s="177" t="n"/>
      <c r="B479" s="177" t="n"/>
      <c r="C479" s="177" t="n"/>
      <c r="D479" s="177" t="n"/>
      <c r="E479" s="177" t="n"/>
      <c r="F479" s="177" t="n"/>
      <c r="G479" s="250" t="n"/>
      <c r="H479" s="177" t="n"/>
      <c r="I479" s="176" t="n"/>
      <c r="J479" s="177" t="n"/>
      <c r="K479" s="177" t="n"/>
      <c r="L479" s="177" t="n"/>
      <c r="M479" s="177" t="n"/>
      <c r="N479" s="177" t="n"/>
      <c r="O479" s="177" t="n"/>
      <c r="P479" s="177" t="n"/>
      <c r="Q479" s="177" t="n"/>
      <c r="R479" s="177" t="n"/>
      <c r="S479" s="177" t="n"/>
      <c r="T479" s="177" t="n"/>
      <c r="U479" s="177" t="n"/>
      <c r="V479" s="177" t="n"/>
      <c r="W479" s="177" t="n"/>
      <c r="X479" s="177" t="n"/>
    </row>
    <row r="480" ht="15.75" customHeight="1" s="297">
      <c r="A480" s="177" t="n"/>
      <c r="B480" s="177" t="n"/>
      <c r="C480" s="177" t="n"/>
      <c r="D480" s="177" t="n"/>
      <c r="E480" s="177" t="n"/>
      <c r="F480" s="177" t="n"/>
      <c r="G480" s="250" t="n"/>
      <c r="H480" s="177" t="n"/>
      <c r="I480" s="176" t="n"/>
      <c r="J480" s="177" t="n"/>
      <c r="K480" s="177" t="n"/>
      <c r="L480" s="177" t="n"/>
      <c r="M480" s="177" t="n"/>
      <c r="N480" s="177" t="n"/>
      <c r="O480" s="177" t="n"/>
      <c r="P480" s="177" t="n"/>
      <c r="Q480" s="177" t="n"/>
      <c r="R480" s="177" t="n"/>
      <c r="S480" s="177" t="n"/>
      <c r="T480" s="177" t="n"/>
      <c r="U480" s="177" t="n"/>
      <c r="V480" s="177" t="n"/>
      <c r="W480" s="177" t="n"/>
      <c r="X480" s="177" t="n"/>
    </row>
    <row r="481" ht="15.75" customHeight="1" s="297">
      <c r="A481" s="177" t="n"/>
      <c r="B481" s="177" t="n"/>
      <c r="C481" s="177" t="n"/>
      <c r="D481" s="177" t="n"/>
      <c r="E481" s="177" t="n"/>
      <c r="F481" s="177" t="n"/>
      <c r="G481" s="250" t="n"/>
      <c r="H481" s="177" t="n"/>
      <c r="I481" s="176" t="n"/>
      <c r="J481" s="177" t="n"/>
      <c r="K481" s="177" t="n"/>
      <c r="L481" s="177" t="n"/>
      <c r="M481" s="177" t="n"/>
      <c r="N481" s="177" t="n"/>
      <c r="O481" s="177" t="n"/>
      <c r="P481" s="177" t="n"/>
      <c r="Q481" s="177" t="n"/>
      <c r="R481" s="177" t="n"/>
      <c r="S481" s="177" t="n"/>
      <c r="T481" s="177" t="n"/>
      <c r="U481" s="177" t="n"/>
      <c r="V481" s="177" t="n"/>
      <c r="W481" s="177" t="n"/>
      <c r="X481" s="177" t="n"/>
    </row>
    <row r="482" ht="15.75" customHeight="1" s="297">
      <c r="A482" s="177" t="n"/>
      <c r="B482" s="177" t="n"/>
      <c r="C482" s="177" t="n"/>
      <c r="D482" s="177" t="n"/>
      <c r="E482" s="177" t="n"/>
      <c r="F482" s="177" t="n"/>
      <c r="G482" s="250" t="n"/>
      <c r="H482" s="177" t="n"/>
      <c r="I482" s="176" t="n"/>
      <c r="J482" s="177" t="n"/>
      <c r="K482" s="177" t="n"/>
      <c r="L482" s="177" t="n"/>
      <c r="M482" s="177" t="n"/>
      <c r="N482" s="177" t="n"/>
      <c r="O482" s="177" t="n"/>
      <c r="P482" s="177" t="n"/>
      <c r="Q482" s="177" t="n"/>
      <c r="R482" s="177" t="n"/>
      <c r="S482" s="177" t="n"/>
      <c r="T482" s="177" t="n"/>
      <c r="U482" s="177" t="n"/>
      <c r="V482" s="177" t="n"/>
      <c r="W482" s="177" t="n"/>
      <c r="X482" s="177" t="n"/>
    </row>
    <row r="483" ht="15.75" customHeight="1" s="297">
      <c r="A483" s="177" t="n"/>
      <c r="B483" s="177" t="n"/>
      <c r="C483" s="177" t="n"/>
      <c r="D483" s="177" t="n"/>
      <c r="E483" s="177" t="n"/>
      <c r="F483" s="177" t="n"/>
      <c r="G483" s="250" t="n"/>
      <c r="H483" s="177" t="n"/>
      <c r="I483" s="176" t="n"/>
      <c r="J483" s="177" t="n"/>
      <c r="K483" s="177" t="n"/>
      <c r="L483" s="177" t="n"/>
      <c r="M483" s="177" t="n"/>
      <c r="N483" s="177" t="n"/>
      <c r="O483" s="177" t="n"/>
      <c r="P483" s="177" t="n"/>
      <c r="Q483" s="177" t="n"/>
      <c r="R483" s="177" t="n"/>
      <c r="S483" s="177" t="n"/>
      <c r="T483" s="177" t="n"/>
      <c r="U483" s="177" t="n"/>
      <c r="V483" s="177" t="n"/>
      <c r="W483" s="177" t="n"/>
      <c r="X483" s="177" t="n"/>
    </row>
    <row r="484" ht="15.75" customHeight="1" s="297">
      <c r="A484" s="177" t="n"/>
      <c r="B484" s="177" t="n"/>
      <c r="C484" s="177" t="n"/>
      <c r="D484" s="177" t="n"/>
      <c r="E484" s="177" t="n"/>
      <c r="F484" s="177" t="n"/>
      <c r="G484" s="250" t="n"/>
      <c r="H484" s="177" t="n"/>
      <c r="I484" s="176" t="n"/>
      <c r="J484" s="177" t="n"/>
      <c r="K484" s="177" t="n"/>
      <c r="L484" s="177" t="n"/>
      <c r="M484" s="177" t="n"/>
      <c r="N484" s="177" t="n"/>
      <c r="O484" s="177" t="n"/>
      <c r="P484" s="177" t="n"/>
      <c r="Q484" s="177" t="n"/>
      <c r="R484" s="177" t="n"/>
      <c r="S484" s="177" t="n"/>
      <c r="T484" s="177" t="n"/>
      <c r="U484" s="177" t="n"/>
      <c r="V484" s="177" t="n"/>
      <c r="W484" s="177" t="n"/>
      <c r="X484" s="177" t="n"/>
    </row>
    <row r="485" ht="15.75" customHeight="1" s="297">
      <c r="A485" s="177" t="n"/>
      <c r="B485" s="177" t="n"/>
      <c r="C485" s="177" t="n"/>
      <c r="D485" s="177" t="n"/>
      <c r="E485" s="177" t="n"/>
      <c r="F485" s="177" t="n"/>
      <c r="G485" s="250" t="n"/>
      <c r="H485" s="177" t="n"/>
      <c r="I485" s="176" t="n"/>
      <c r="J485" s="177" t="n"/>
      <c r="K485" s="177" t="n"/>
      <c r="L485" s="177" t="n"/>
      <c r="M485" s="177" t="n"/>
      <c r="N485" s="177" t="n"/>
      <c r="O485" s="177" t="n"/>
      <c r="P485" s="177" t="n"/>
      <c r="Q485" s="177" t="n"/>
      <c r="R485" s="177" t="n"/>
      <c r="S485" s="177" t="n"/>
      <c r="T485" s="177" t="n"/>
      <c r="U485" s="177" t="n"/>
      <c r="V485" s="177" t="n"/>
      <c r="W485" s="177" t="n"/>
      <c r="X485" s="177" t="n"/>
    </row>
    <row r="486" ht="15.75" customHeight="1" s="297">
      <c r="A486" s="177" t="n"/>
      <c r="B486" s="177" t="n"/>
      <c r="C486" s="177" t="n"/>
      <c r="D486" s="177" t="n"/>
      <c r="E486" s="177" t="n"/>
      <c r="F486" s="177" t="n"/>
      <c r="G486" s="250" t="n"/>
      <c r="H486" s="177" t="n"/>
      <c r="I486" s="176" t="n"/>
      <c r="J486" s="177" t="n"/>
      <c r="K486" s="177" t="n"/>
      <c r="L486" s="177" t="n"/>
      <c r="M486" s="177" t="n"/>
      <c r="N486" s="177" t="n"/>
      <c r="O486" s="177" t="n"/>
      <c r="P486" s="177" t="n"/>
      <c r="Q486" s="177" t="n"/>
      <c r="R486" s="177" t="n"/>
      <c r="S486" s="177" t="n"/>
      <c r="T486" s="177" t="n"/>
      <c r="U486" s="177" t="n"/>
      <c r="V486" s="177" t="n"/>
      <c r="W486" s="177" t="n"/>
      <c r="X486" s="177" t="n"/>
    </row>
    <row r="487" ht="15.75" customHeight="1" s="297">
      <c r="A487" s="177" t="n"/>
      <c r="B487" s="177" t="n"/>
      <c r="C487" s="177" t="n"/>
      <c r="D487" s="177" t="n"/>
      <c r="E487" s="177" t="n"/>
      <c r="F487" s="177" t="n"/>
      <c r="G487" s="250" t="n"/>
      <c r="H487" s="177" t="n"/>
      <c r="I487" s="176" t="n"/>
      <c r="J487" s="177" t="n"/>
      <c r="K487" s="177" t="n"/>
      <c r="L487" s="177" t="n"/>
      <c r="M487" s="177" t="n"/>
      <c r="N487" s="177" t="n"/>
      <c r="O487" s="177" t="n"/>
      <c r="P487" s="177" t="n"/>
      <c r="Q487" s="177" t="n"/>
      <c r="R487" s="177" t="n"/>
      <c r="S487" s="177" t="n"/>
      <c r="T487" s="177" t="n"/>
      <c r="U487" s="177" t="n"/>
      <c r="V487" s="177" t="n"/>
      <c r="W487" s="177" t="n"/>
      <c r="X487" s="177" t="n"/>
    </row>
    <row r="488" ht="15.75" customHeight="1" s="297">
      <c r="A488" s="177" t="n"/>
      <c r="B488" s="177" t="n"/>
      <c r="C488" s="177" t="n"/>
      <c r="D488" s="177" t="n"/>
      <c r="E488" s="177" t="n"/>
      <c r="F488" s="177" t="n"/>
      <c r="G488" s="250" t="n"/>
      <c r="H488" s="177" t="n"/>
      <c r="I488" s="176" t="n"/>
      <c r="J488" s="177" t="n"/>
      <c r="K488" s="177" t="n"/>
      <c r="L488" s="177" t="n"/>
      <c r="M488" s="177" t="n"/>
      <c r="N488" s="177" t="n"/>
      <c r="O488" s="177" t="n"/>
      <c r="P488" s="177" t="n"/>
      <c r="Q488" s="177" t="n"/>
      <c r="R488" s="177" t="n"/>
      <c r="S488" s="177" t="n"/>
      <c r="T488" s="177" t="n"/>
      <c r="U488" s="177" t="n"/>
      <c r="V488" s="177" t="n"/>
      <c r="W488" s="177" t="n"/>
      <c r="X488" s="177" t="n"/>
    </row>
    <row r="489" ht="15.75" customHeight="1" s="297">
      <c r="A489" s="177" t="n"/>
      <c r="B489" s="177" t="n"/>
      <c r="C489" s="177" t="n"/>
      <c r="D489" s="177" t="n"/>
      <c r="E489" s="177" t="n"/>
      <c r="F489" s="177" t="n"/>
      <c r="G489" s="250" t="n"/>
      <c r="H489" s="177" t="n"/>
      <c r="I489" s="176" t="n"/>
      <c r="J489" s="177" t="n"/>
      <c r="K489" s="177" t="n"/>
      <c r="L489" s="177" t="n"/>
      <c r="M489" s="177" t="n"/>
      <c r="N489" s="177" t="n"/>
      <c r="O489" s="177" t="n"/>
      <c r="P489" s="177" t="n"/>
      <c r="Q489" s="177" t="n"/>
      <c r="R489" s="177" t="n"/>
      <c r="S489" s="177" t="n"/>
      <c r="T489" s="177" t="n"/>
      <c r="U489" s="177" t="n"/>
      <c r="V489" s="177" t="n"/>
      <c r="W489" s="177" t="n"/>
      <c r="X489" s="177" t="n"/>
    </row>
    <row r="490" ht="15.75" customHeight="1" s="297">
      <c r="A490" s="177" t="n"/>
      <c r="B490" s="177" t="n"/>
      <c r="C490" s="177" t="n"/>
      <c r="D490" s="177" t="n"/>
      <c r="E490" s="177" t="n"/>
      <c r="F490" s="177" t="n"/>
      <c r="G490" s="250" t="n"/>
      <c r="H490" s="177" t="n"/>
      <c r="I490" s="176" t="n"/>
      <c r="J490" s="177" t="n"/>
      <c r="K490" s="177" t="n"/>
      <c r="L490" s="177" t="n"/>
      <c r="M490" s="177" t="n"/>
      <c r="N490" s="177" t="n"/>
      <c r="O490" s="177" t="n"/>
      <c r="P490" s="177" t="n"/>
      <c r="Q490" s="177" t="n"/>
      <c r="R490" s="177" t="n"/>
      <c r="S490" s="177" t="n"/>
      <c r="T490" s="177" t="n"/>
      <c r="U490" s="177" t="n"/>
      <c r="V490" s="177" t="n"/>
      <c r="W490" s="177" t="n"/>
      <c r="X490" s="177" t="n"/>
    </row>
    <row r="491" ht="15.75" customHeight="1" s="297">
      <c r="A491" s="177" t="n"/>
      <c r="B491" s="177" t="n"/>
      <c r="C491" s="177" t="n"/>
      <c r="D491" s="177" t="n"/>
      <c r="E491" s="177" t="n"/>
      <c r="F491" s="177" t="n"/>
      <c r="G491" s="250" t="n"/>
      <c r="H491" s="177" t="n"/>
      <c r="I491" s="176" t="n"/>
      <c r="J491" s="177" t="n"/>
      <c r="K491" s="177" t="n"/>
      <c r="L491" s="177" t="n"/>
      <c r="M491" s="177" t="n"/>
      <c r="N491" s="177" t="n"/>
      <c r="O491" s="177" t="n"/>
      <c r="P491" s="177" t="n"/>
      <c r="Q491" s="177" t="n"/>
      <c r="R491" s="177" t="n"/>
      <c r="S491" s="177" t="n"/>
      <c r="T491" s="177" t="n"/>
      <c r="U491" s="177" t="n"/>
      <c r="V491" s="177" t="n"/>
      <c r="W491" s="177" t="n"/>
      <c r="X491" s="177" t="n"/>
    </row>
    <row r="492" ht="15.75" customHeight="1" s="297">
      <c r="A492" s="177" t="n"/>
      <c r="B492" s="177" t="n"/>
      <c r="C492" s="177" t="n"/>
      <c r="D492" s="177" t="n"/>
      <c r="E492" s="177" t="n"/>
      <c r="F492" s="177" t="n"/>
      <c r="G492" s="250" t="n"/>
      <c r="H492" s="177" t="n"/>
      <c r="I492" s="176" t="n"/>
      <c r="J492" s="177" t="n"/>
      <c r="K492" s="177" t="n"/>
      <c r="L492" s="177" t="n"/>
      <c r="M492" s="177" t="n"/>
      <c r="N492" s="177" t="n"/>
      <c r="O492" s="177" t="n"/>
      <c r="P492" s="177" t="n"/>
      <c r="Q492" s="177" t="n"/>
      <c r="R492" s="177" t="n"/>
      <c r="S492" s="177" t="n"/>
      <c r="T492" s="177" t="n"/>
      <c r="U492" s="177" t="n"/>
      <c r="V492" s="177" t="n"/>
      <c r="W492" s="177" t="n"/>
      <c r="X492" s="177" t="n"/>
    </row>
    <row r="493" ht="15.75" customHeight="1" s="297">
      <c r="A493" s="177" t="n"/>
      <c r="B493" s="177" t="n"/>
      <c r="C493" s="177" t="n"/>
      <c r="D493" s="177" t="n"/>
      <c r="E493" s="177" t="n"/>
      <c r="F493" s="177" t="n"/>
      <c r="G493" s="250" t="n"/>
      <c r="H493" s="177" t="n"/>
      <c r="I493" s="176" t="n"/>
      <c r="J493" s="177" t="n"/>
      <c r="K493" s="177" t="n"/>
      <c r="L493" s="177" t="n"/>
      <c r="M493" s="177" t="n"/>
      <c r="N493" s="177" t="n"/>
      <c r="O493" s="177" t="n"/>
      <c r="P493" s="177" t="n"/>
      <c r="Q493" s="177" t="n"/>
      <c r="R493" s="177" t="n"/>
      <c r="S493" s="177" t="n"/>
      <c r="T493" s="177" t="n"/>
      <c r="U493" s="177" t="n"/>
      <c r="V493" s="177" t="n"/>
      <c r="W493" s="177" t="n"/>
      <c r="X493" s="177" t="n"/>
    </row>
    <row r="494" ht="15.75" customHeight="1" s="297">
      <c r="A494" s="177" t="n"/>
      <c r="B494" s="177" t="n"/>
      <c r="C494" s="177" t="n"/>
      <c r="D494" s="177" t="n"/>
      <c r="E494" s="177" t="n"/>
      <c r="F494" s="177" t="n"/>
      <c r="G494" s="250" t="n"/>
      <c r="H494" s="177" t="n"/>
      <c r="I494" s="176" t="n"/>
      <c r="J494" s="177" t="n"/>
      <c r="K494" s="177" t="n"/>
      <c r="L494" s="177" t="n"/>
      <c r="M494" s="177" t="n"/>
      <c r="N494" s="177" t="n"/>
      <c r="O494" s="177" t="n"/>
      <c r="P494" s="177" t="n"/>
      <c r="Q494" s="177" t="n"/>
      <c r="R494" s="177" t="n"/>
      <c r="S494" s="177" t="n"/>
      <c r="T494" s="177" t="n"/>
      <c r="U494" s="177" t="n"/>
      <c r="V494" s="177" t="n"/>
      <c r="W494" s="177" t="n"/>
      <c r="X494" s="177" t="n"/>
    </row>
    <row r="495" ht="15.75" customHeight="1" s="297">
      <c r="A495" s="177" t="n"/>
      <c r="B495" s="177" t="n"/>
      <c r="C495" s="177" t="n"/>
      <c r="D495" s="177" t="n"/>
      <c r="E495" s="177" t="n"/>
      <c r="F495" s="177" t="n"/>
      <c r="G495" s="250" t="n"/>
      <c r="H495" s="177" t="n"/>
      <c r="I495" s="176" t="n"/>
      <c r="J495" s="177" t="n"/>
      <c r="K495" s="177" t="n"/>
      <c r="L495" s="177" t="n"/>
      <c r="M495" s="177" t="n"/>
      <c r="N495" s="177" t="n"/>
      <c r="O495" s="177" t="n"/>
      <c r="P495" s="177" t="n"/>
      <c r="Q495" s="177" t="n"/>
      <c r="R495" s="177" t="n"/>
      <c r="S495" s="177" t="n"/>
      <c r="T495" s="177" t="n"/>
      <c r="U495" s="177" t="n"/>
      <c r="V495" s="177" t="n"/>
      <c r="W495" s="177" t="n"/>
      <c r="X495" s="177" t="n"/>
    </row>
    <row r="496" ht="15.75" customHeight="1" s="297">
      <c r="A496" s="177" t="n"/>
      <c r="B496" s="177" t="n"/>
      <c r="C496" s="177" t="n"/>
      <c r="D496" s="177" t="n"/>
      <c r="E496" s="177" t="n"/>
      <c r="F496" s="177" t="n"/>
      <c r="G496" s="250" t="n"/>
      <c r="H496" s="177" t="n"/>
      <c r="I496" s="176" t="n"/>
      <c r="J496" s="177" t="n"/>
      <c r="K496" s="177" t="n"/>
      <c r="L496" s="177" t="n"/>
      <c r="M496" s="177" t="n"/>
      <c r="N496" s="177" t="n"/>
      <c r="O496" s="177" t="n"/>
      <c r="P496" s="177" t="n"/>
      <c r="Q496" s="177" t="n"/>
      <c r="R496" s="177" t="n"/>
      <c r="S496" s="177" t="n"/>
      <c r="T496" s="177" t="n"/>
      <c r="U496" s="177" t="n"/>
      <c r="V496" s="177" t="n"/>
      <c r="W496" s="177" t="n"/>
      <c r="X496" s="177" t="n"/>
    </row>
    <row r="497" ht="15.75" customHeight="1" s="297">
      <c r="A497" s="177" t="n"/>
      <c r="B497" s="177" t="n"/>
      <c r="C497" s="177" t="n"/>
      <c r="D497" s="177" t="n"/>
      <c r="E497" s="177" t="n"/>
      <c r="F497" s="177" t="n"/>
      <c r="G497" s="250" t="n"/>
      <c r="H497" s="177" t="n"/>
      <c r="I497" s="176" t="n"/>
      <c r="J497" s="177" t="n"/>
      <c r="K497" s="177" t="n"/>
      <c r="L497" s="177" t="n"/>
      <c r="M497" s="177" t="n"/>
      <c r="N497" s="177" t="n"/>
      <c r="O497" s="177" t="n"/>
      <c r="P497" s="177" t="n"/>
      <c r="Q497" s="177" t="n"/>
      <c r="R497" s="177" t="n"/>
      <c r="S497" s="177" t="n"/>
      <c r="T497" s="177" t="n"/>
      <c r="U497" s="177" t="n"/>
      <c r="V497" s="177" t="n"/>
      <c r="W497" s="177" t="n"/>
      <c r="X497" s="177" t="n"/>
    </row>
    <row r="498" ht="15.75" customHeight="1" s="297">
      <c r="A498" s="177" t="n"/>
      <c r="B498" s="177" t="n"/>
      <c r="C498" s="177" t="n"/>
      <c r="D498" s="177" t="n"/>
      <c r="E498" s="177" t="n"/>
      <c r="F498" s="177" t="n"/>
      <c r="G498" s="250" t="n"/>
      <c r="H498" s="177" t="n"/>
      <c r="I498" s="176" t="n"/>
      <c r="J498" s="177" t="n"/>
      <c r="K498" s="177" t="n"/>
      <c r="L498" s="177" t="n"/>
      <c r="M498" s="177" t="n"/>
      <c r="N498" s="177" t="n"/>
      <c r="O498" s="177" t="n"/>
      <c r="P498" s="177" t="n"/>
      <c r="Q498" s="177" t="n"/>
      <c r="R498" s="177" t="n"/>
      <c r="S498" s="177" t="n"/>
      <c r="T498" s="177" t="n"/>
      <c r="U498" s="177" t="n"/>
      <c r="V498" s="177" t="n"/>
      <c r="W498" s="177" t="n"/>
      <c r="X498" s="177" t="n"/>
    </row>
    <row r="499" ht="15.75" customHeight="1" s="297">
      <c r="A499" s="177" t="n"/>
      <c r="B499" s="177" t="n"/>
      <c r="C499" s="177" t="n"/>
      <c r="D499" s="177" t="n"/>
      <c r="E499" s="177" t="n"/>
      <c r="F499" s="177" t="n"/>
      <c r="G499" s="250" t="n"/>
      <c r="H499" s="177" t="n"/>
      <c r="I499" s="176" t="n"/>
      <c r="J499" s="177" t="n"/>
      <c r="K499" s="177" t="n"/>
      <c r="L499" s="177" t="n"/>
      <c r="M499" s="177" t="n"/>
      <c r="N499" s="177" t="n"/>
      <c r="O499" s="177" t="n"/>
      <c r="P499" s="177" t="n"/>
      <c r="Q499" s="177" t="n"/>
      <c r="R499" s="177" t="n"/>
      <c r="S499" s="177" t="n"/>
      <c r="T499" s="177" t="n"/>
      <c r="U499" s="177" t="n"/>
      <c r="V499" s="177" t="n"/>
      <c r="W499" s="177" t="n"/>
      <c r="X499" s="177" t="n"/>
    </row>
    <row r="500" ht="15.75" customHeight="1" s="297">
      <c r="A500" s="177" t="n"/>
      <c r="B500" s="177" t="n"/>
      <c r="C500" s="177" t="n"/>
      <c r="D500" s="177" t="n"/>
      <c r="E500" s="177" t="n"/>
      <c r="F500" s="177" t="n"/>
      <c r="G500" s="250" t="n"/>
      <c r="H500" s="177" t="n"/>
      <c r="I500" s="176" t="n"/>
      <c r="J500" s="177" t="n"/>
      <c r="K500" s="177" t="n"/>
      <c r="L500" s="177" t="n"/>
      <c r="M500" s="177" t="n"/>
      <c r="N500" s="177" t="n"/>
      <c r="O500" s="177" t="n"/>
      <c r="P500" s="177" t="n"/>
      <c r="Q500" s="177" t="n"/>
      <c r="R500" s="177" t="n"/>
      <c r="S500" s="177" t="n"/>
      <c r="T500" s="177" t="n"/>
      <c r="U500" s="177" t="n"/>
      <c r="V500" s="177" t="n"/>
      <c r="W500" s="177" t="n"/>
      <c r="X500" s="177" t="n"/>
    </row>
    <row r="501" ht="15.75" customHeight="1" s="297">
      <c r="A501" s="177" t="n"/>
      <c r="B501" s="177" t="n"/>
      <c r="C501" s="177" t="n"/>
      <c r="D501" s="177" t="n"/>
      <c r="E501" s="177" t="n"/>
      <c r="F501" s="177" t="n"/>
      <c r="G501" s="250" t="n"/>
      <c r="H501" s="177" t="n"/>
      <c r="I501" s="176" t="n"/>
      <c r="J501" s="177" t="n"/>
      <c r="K501" s="177" t="n"/>
      <c r="L501" s="177" t="n"/>
      <c r="M501" s="177" t="n"/>
      <c r="N501" s="177" t="n"/>
      <c r="O501" s="177" t="n"/>
      <c r="P501" s="177" t="n"/>
      <c r="Q501" s="177" t="n"/>
      <c r="R501" s="177" t="n"/>
      <c r="S501" s="177" t="n"/>
      <c r="T501" s="177" t="n"/>
      <c r="U501" s="177" t="n"/>
      <c r="V501" s="177" t="n"/>
      <c r="W501" s="177" t="n"/>
      <c r="X501" s="177" t="n"/>
    </row>
    <row r="502" ht="15.75" customHeight="1" s="297">
      <c r="A502" s="177" t="n"/>
      <c r="B502" s="177" t="n"/>
      <c r="C502" s="177" t="n"/>
      <c r="D502" s="177" t="n"/>
      <c r="E502" s="177" t="n"/>
      <c r="F502" s="177" t="n"/>
      <c r="G502" s="250" t="n"/>
      <c r="H502" s="177" t="n"/>
      <c r="I502" s="176" t="n"/>
      <c r="J502" s="177" t="n"/>
      <c r="K502" s="177" t="n"/>
      <c r="L502" s="177" t="n"/>
      <c r="M502" s="177" t="n"/>
      <c r="N502" s="177" t="n"/>
      <c r="O502" s="177" t="n"/>
      <c r="P502" s="177" t="n"/>
      <c r="Q502" s="177" t="n"/>
      <c r="R502" s="177" t="n"/>
      <c r="S502" s="177" t="n"/>
      <c r="T502" s="177" t="n"/>
      <c r="U502" s="177" t="n"/>
      <c r="V502" s="177" t="n"/>
      <c r="W502" s="177" t="n"/>
      <c r="X502" s="177" t="n"/>
    </row>
    <row r="503" ht="15.75" customHeight="1" s="297">
      <c r="A503" s="177" t="n"/>
      <c r="B503" s="177" t="n"/>
      <c r="C503" s="177" t="n"/>
      <c r="D503" s="177" t="n"/>
      <c r="E503" s="177" t="n"/>
      <c r="F503" s="177" t="n"/>
      <c r="G503" s="250" t="n"/>
      <c r="H503" s="177" t="n"/>
      <c r="I503" s="176" t="n"/>
      <c r="J503" s="177" t="n"/>
      <c r="K503" s="177" t="n"/>
      <c r="L503" s="177" t="n"/>
      <c r="M503" s="177" t="n"/>
      <c r="N503" s="177" t="n"/>
      <c r="O503" s="177" t="n"/>
      <c r="P503" s="177" t="n"/>
      <c r="Q503" s="177" t="n"/>
      <c r="R503" s="177" t="n"/>
      <c r="S503" s="177" t="n"/>
      <c r="T503" s="177" t="n"/>
      <c r="U503" s="177" t="n"/>
      <c r="V503" s="177" t="n"/>
      <c r="W503" s="177" t="n"/>
      <c r="X503" s="177" t="n"/>
    </row>
    <row r="504" ht="15.75" customHeight="1" s="297">
      <c r="A504" s="177" t="n"/>
      <c r="B504" s="177" t="n"/>
      <c r="C504" s="177" t="n"/>
      <c r="D504" s="177" t="n"/>
      <c r="E504" s="177" t="n"/>
      <c r="F504" s="177" t="n"/>
      <c r="G504" s="250" t="n"/>
      <c r="H504" s="177" t="n"/>
      <c r="I504" s="176" t="n"/>
      <c r="J504" s="177" t="n"/>
      <c r="K504" s="177" t="n"/>
      <c r="L504" s="177" t="n"/>
      <c r="M504" s="177" t="n"/>
      <c r="N504" s="177" t="n"/>
      <c r="O504" s="177" t="n"/>
      <c r="P504" s="177" t="n"/>
      <c r="Q504" s="177" t="n"/>
      <c r="R504" s="177" t="n"/>
      <c r="S504" s="177" t="n"/>
      <c r="T504" s="177" t="n"/>
      <c r="U504" s="177" t="n"/>
      <c r="V504" s="177" t="n"/>
      <c r="W504" s="177" t="n"/>
      <c r="X504" s="177" t="n"/>
    </row>
    <row r="505" ht="15.75" customHeight="1" s="297">
      <c r="A505" s="177" t="n"/>
      <c r="B505" s="177" t="n"/>
      <c r="C505" s="177" t="n"/>
      <c r="D505" s="177" t="n"/>
      <c r="E505" s="177" t="n"/>
      <c r="F505" s="177" t="n"/>
      <c r="G505" s="250" t="n"/>
      <c r="H505" s="177" t="n"/>
      <c r="I505" s="176" t="n"/>
      <c r="J505" s="177" t="n"/>
      <c r="K505" s="177" t="n"/>
      <c r="L505" s="177" t="n"/>
      <c r="M505" s="177" t="n"/>
      <c r="N505" s="177" t="n"/>
      <c r="O505" s="177" t="n"/>
      <c r="P505" s="177" t="n"/>
      <c r="Q505" s="177" t="n"/>
      <c r="R505" s="177" t="n"/>
      <c r="S505" s="177" t="n"/>
      <c r="T505" s="177" t="n"/>
      <c r="U505" s="177" t="n"/>
      <c r="V505" s="177" t="n"/>
      <c r="W505" s="177" t="n"/>
      <c r="X505" s="177" t="n"/>
    </row>
    <row r="506" ht="15.75" customHeight="1" s="297">
      <c r="A506" s="177" t="n"/>
      <c r="B506" s="177" t="n"/>
      <c r="C506" s="177" t="n"/>
      <c r="D506" s="177" t="n"/>
      <c r="E506" s="177" t="n"/>
      <c r="F506" s="177" t="n"/>
      <c r="G506" s="250" t="n"/>
      <c r="H506" s="177" t="n"/>
      <c r="I506" s="176" t="n"/>
      <c r="J506" s="177" t="n"/>
      <c r="K506" s="177" t="n"/>
      <c r="L506" s="177" t="n"/>
      <c r="M506" s="177" t="n"/>
      <c r="N506" s="177" t="n"/>
      <c r="O506" s="177" t="n"/>
      <c r="P506" s="177" t="n"/>
      <c r="Q506" s="177" t="n"/>
      <c r="R506" s="177" t="n"/>
      <c r="S506" s="177" t="n"/>
      <c r="T506" s="177" t="n"/>
      <c r="U506" s="177" t="n"/>
      <c r="V506" s="177" t="n"/>
      <c r="W506" s="177" t="n"/>
      <c r="X506" s="177" t="n"/>
    </row>
    <row r="507" ht="15.75" customHeight="1" s="297">
      <c r="A507" s="177" t="n"/>
      <c r="B507" s="177" t="n"/>
      <c r="C507" s="177" t="n"/>
      <c r="D507" s="177" t="n"/>
      <c r="E507" s="177" t="n"/>
      <c r="F507" s="177" t="n"/>
      <c r="G507" s="250" t="n"/>
      <c r="H507" s="177" t="n"/>
      <c r="I507" s="176" t="n"/>
      <c r="J507" s="177" t="n"/>
      <c r="K507" s="177" t="n"/>
      <c r="L507" s="177" t="n"/>
      <c r="M507" s="177" t="n"/>
      <c r="N507" s="177" t="n"/>
      <c r="O507" s="177" t="n"/>
      <c r="P507" s="177" t="n"/>
      <c r="Q507" s="177" t="n"/>
      <c r="R507" s="177" t="n"/>
      <c r="S507" s="177" t="n"/>
      <c r="T507" s="177" t="n"/>
      <c r="U507" s="177" t="n"/>
      <c r="V507" s="177" t="n"/>
      <c r="W507" s="177" t="n"/>
      <c r="X507" s="177" t="n"/>
    </row>
    <row r="508" ht="15.75" customHeight="1" s="297">
      <c r="A508" s="177" t="n"/>
      <c r="B508" s="177" t="n"/>
      <c r="C508" s="177" t="n"/>
      <c r="D508" s="177" t="n"/>
      <c r="E508" s="177" t="n"/>
      <c r="F508" s="177" t="n"/>
      <c r="G508" s="250" t="n"/>
      <c r="H508" s="177" t="n"/>
      <c r="I508" s="176" t="n"/>
      <c r="J508" s="177" t="n"/>
      <c r="K508" s="177" t="n"/>
      <c r="L508" s="177" t="n"/>
      <c r="M508" s="177" t="n"/>
      <c r="N508" s="177" t="n"/>
      <c r="O508" s="177" t="n"/>
      <c r="P508" s="177" t="n"/>
      <c r="Q508" s="177" t="n"/>
      <c r="R508" s="177" t="n"/>
      <c r="S508" s="177" t="n"/>
      <c r="T508" s="177" t="n"/>
      <c r="U508" s="177" t="n"/>
      <c r="V508" s="177" t="n"/>
      <c r="W508" s="177" t="n"/>
      <c r="X508" s="177" t="n"/>
    </row>
    <row r="509" ht="15.75" customHeight="1" s="297">
      <c r="A509" s="177" t="n"/>
      <c r="B509" s="177" t="n"/>
      <c r="C509" s="177" t="n"/>
      <c r="D509" s="177" t="n"/>
      <c r="E509" s="177" t="n"/>
      <c r="F509" s="177" t="n"/>
      <c r="G509" s="250" t="n"/>
      <c r="H509" s="177" t="n"/>
      <c r="I509" s="176" t="n"/>
      <c r="J509" s="177" t="n"/>
      <c r="K509" s="177" t="n"/>
      <c r="L509" s="177" t="n"/>
      <c r="M509" s="177" t="n"/>
      <c r="N509" s="177" t="n"/>
      <c r="O509" s="177" t="n"/>
      <c r="P509" s="177" t="n"/>
      <c r="Q509" s="177" t="n"/>
      <c r="R509" s="177" t="n"/>
      <c r="S509" s="177" t="n"/>
      <c r="T509" s="177" t="n"/>
      <c r="U509" s="177" t="n"/>
      <c r="V509" s="177" t="n"/>
      <c r="W509" s="177" t="n"/>
      <c r="X509" s="177" t="n"/>
    </row>
    <row r="510" ht="15.75" customHeight="1" s="297">
      <c r="A510" s="177" t="n"/>
      <c r="B510" s="177" t="n"/>
      <c r="C510" s="177" t="n"/>
      <c r="D510" s="177" t="n"/>
      <c r="E510" s="177" t="n"/>
      <c r="F510" s="177" t="n"/>
      <c r="G510" s="250" t="n"/>
      <c r="H510" s="177" t="n"/>
      <c r="I510" s="176" t="n"/>
      <c r="J510" s="177" t="n"/>
      <c r="K510" s="177" t="n"/>
      <c r="L510" s="177" t="n"/>
      <c r="M510" s="177" t="n"/>
      <c r="N510" s="177" t="n"/>
      <c r="O510" s="177" t="n"/>
      <c r="P510" s="177" t="n"/>
      <c r="Q510" s="177" t="n"/>
      <c r="R510" s="177" t="n"/>
      <c r="S510" s="177" t="n"/>
      <c r="T510" s="177" t="n"/>
      <c r="U510" s="177" t="n"/>
      <c r="V510" s="177" t="n"/>
      <c r="W510" s="177" t="n"/>
      <c r="X510" s="177" t="n"/>
    </row>
    <row r="511" ht="15.75" customHeight="1" s="297">
      <c r="A511" s="177" t="n"/>
      <c r="B511" s="177" t="n"/>
      <c r="C511" s="177" t="n"/>
      <c r="D511" s="177" t="n"/>
      <c r="E511" s="177" t="n"/>
      <c r="F511" s="177" t="n"/>
      <c r="G511" s="250" t="n"/>
      <c r="H511" s="177" t="n"/>
      <c r="I511" s="176" t="n"/>
      <c r="J511" s="177" t="n"/>
      <c r="K511" s="177" t="n"/>
      <c r="L511" s="177" t="n"/>
      <c r="M511" s="177" t="n"/>
      <c r="N511" s="177" t="n"/>
      <c r="O511" s="177" t="n"/>
      <c r="P511" s="177" t="n"/>
      <c r="Q511" s="177" t="n"/>
      <c r="R511" s="177" t="n"/>
      <c r="S511" s="177" t="n"/>
      <c r="T511" s="177" t="n"/>
      <c r="U511" s="177" t="n"/>
      <c r="V511" s="177" t="n"/>
      <c r="W511" s="177" t="n"/>
      <c r="X511" s="177" t="n"/>
    </row>
    <row r="512" ht="15.75" customHeight="1" s="297">
      <c r="A512" s="177" t="n"/>
      <c r="B512" s="177" t="n"/>
      <c r="C512" s="177" t="n"/>
      <c r="D512" s="177" t="n"/>
      <c r="E512" s="177" t="n"/>
      <c r="F512" s="177" t="n"/>
      <c r="G512" s="250" t="n"/>
      <c r="H512" s="177" t="n"/>
      <c r="I512" s="176" t="n"/>
      <c r="J512" s="177" t="n"/>
      <c r="K512" s="177" t="n"/>
      <c r="L512" s="177" t="n"/>
      <c r="M512" s="177" t="n"/>
      <c r="N512" s="177" t="n"/>
      <c r="O512" s="177" t="n"/>
      <c r="P512" s="177" t="n"/>
      <c r="Q512" s="177" t="n"/>
      <c r="R512" s="177" t="n"/>
      <c r="S512" s="177" t="n"/>
      <c r="T512" s="177" t="n"/>
      <c r="U512" s="177" t="n"/>
      <c r="V512" s="177" t="n"/>
      <c r="W512" s="177" t="n"/>
      <c r="X512" s="177" t="n"/>
    </row>
    <row r="513" ht="15.75" customHeight="1" s="297">
      <c r="A513" s="177" t="n"/>
      <c r="B513" s="177" t="n"/>
      <c r="C513" s="177" t="n"/>
      <c r="D513" s="177" t="n"/>
      <c r="E513" s="177" t="n"/>
      <c r="F513" s="177" t="n"/>
      <c r="G513" s="250" t="n"/>
      <c r="H513" s="177" t="n"/>
      <c r="I513" s="176" t="n"/>
      <c r="J513" s="177" t="n"/>
      <c r="K513" s="177" t="n"/>
      <c r="L513" s="177" t="n"/>
      <c r="M513" s="177" t="n"/>
      <c r="N513" s="177" t="n"/>
      <c r="O513" s="177" t="n"/>
      <c r="P513" s="177" t="n"/>
      <c r="Q513" s="177" t="n"/>
      <c r="R513" s="177" t="n"/>
      <c r="S513" s="177" t="n"/>
      <c r="T513" s="177" t="n"/>
      <c r="U513" s="177" t="n"/>
      <c r="V513" s="177" t="n"/>
      <c r="W513" s="177" t="n"/>
      <c r="X513" s="177" t="n"/>
    </row>
    <row r="514" ht="15.75" customHeight="1" s="297">
      <c r="A514" s="177" t="n"/>
      <c r="B514" s="177" t="n"/>
      <c r="C514" s="177" t="n"/>
      <c r="D514" s="177" t="n"/>
      <c r="E514" s="177" t="n"/>
      <c r="F514" s="177" t="n"/>
      <c r="G514" s="250" t="n"/>
      <c r="H514" s="177" t="n"/>
      <c r="I514" s="176" t="n"/>
      <c r="J514" s="177" t="n"/>
      <c r="K514" s="177" t="n"/>
      <c r="L514" s="177" t="n"/>
      <c r="M514" s="177" t="n"/>
      <c r="N514" s="177" t="n"/>
      <c r="O514" s="177" t="n"/>
      <c r="P514" s="177" t="n"/>
      <c r="Q514" s="177" t="n"/>
      <c r="R514" s="177" t="n"/>
      <c r="S514" s="177" t="n"/>
      <c r="T514" s="177" t="n"/>
      <c r="U514" s="177" t="n"/>
      <c r="V514" s="177" t="n"/>
      <c r="W514" s="177" t="n"/>
      <c r="X514" s="177" t="n"/>
    </row>
    <row r="515" ht="15.75" customHeight="1" s="297">
      <c r="A515" s="177" t="n"/>
      <c r="B515" s="177" t="n"/>
      <c r="C515" s="177" t="n"/>
      <c r="D515" s="177" t="n"/>
      <c r="E515" s="177" t="n"/>
      <c r="F515" s="177" t="n"/>
      <c r="G515" s="250" t="n"/>
      <c r="H515" s="177" t="n"/>
      <c r="I515" s="176" t="n"/>
      <c r="J515" s="177" t="n"/>
      <c r="K515" s="177" t="n"/>
      <c r="L515" s="177" t="n"/>
      <c r="M515" s="177" t="n"/>
      <c r="N515" s="177" t="n"/>
      <c r="O515" s="177" t="n"/>
      <c r="P515" s="177" t="n"/>
      <c r="Q515" s="177" t="n"/>
      <c r="R515" s="177" t="n"/>
      <c r="S515" s="177" t="n"/>
      <c r="T515" s="177" t="n"/>
      <c r="U515" s="177" t="n"/>
      <c r="V515" s="177" t="n"/>
      <c r="W515" s="177" t="n"/>
      <c r="X515" s="177" t="n"/>
    </row>
    <row r="516" ht="15.75" customHeight="1" s="297">
      <c r="A516" s="177" t="n"/>
      <c r="B516" s="177" t="n"/>
      <c r="C516" s="177" t="n"/>
      <c r="D516" s="177" t="n"/>
      <c r="E516" s="177" t="n"/>
      <c r="F516" s="177" t="n"/>
      <c r="G516" s="250" t="n"/>
      <c r="H516" s="177" t="n"/>
      <c r="I516" s="176" t="n"/>
      <c r="J516" s="177" t="n"/>
      <c r="K516" s="177" t="n"/>
      <c r="L516" s="177" t="n"/>
      <c r="M516" s="177" t="n"/>
      <c r="N516" s="177" t="n"/>
      <c r="O516" s="177" t="n"/>
      <c r="P516" s="177" t="n"/>
      <c r="Q516" s="177" t="n"/>
      <c r="R516" s="177" t="n"/>
      <c r="S516" s="177" t="n"/>
      <c r="T516" s="177" t="n"/>
      <c r="U516" s="177" t="n"/>
      <c r="V516" s="177" t="n"/>
      <c r="W516" s="177" t="n"/>
      <c r="X516" s="177" t="n"/>
    </row>
    <row r="517" ht="15.75" customHeight="1" s="297">
      <c r="A517" s="177" t="n"/>
      <c r="B517" s="177" t="n"/>
      <c r="C517" s="177" t="n"/>
      <c r="D517" s="177" t="n"/>
      <c r="E517" s="177" t="n"/>
      <c r="F517" s="177" t="n"/>
      <c r="G517" s="250" t="n"/>
      <c r="H517" s="177" t="n"/>
      <c r="I517" s="176" t="n"/>
      <c r="J517" s="177" t="n"/>
      <c r="K517" s="177" t="n"/>
      <c r="L517" s="177" t="n"/>
      <c r="M517" s="177" t="n"/>
      <c r="N517" s="177" t="n"/>
      <c r="O517" s="177" t="n"/>
      <c r="P517" s="177" t="n"/>
      <c r="Q517" s="177" t="n"/>
      <c r="R517" s="177" t="n"/>
      <c r="S517" s="177" t="n"/>
      <c r="T517" s="177" t="n"/>
      <c r="U517" s="177" t="n"/>
      <c r="V517" s="177" t="n"/>
      <c r="W517" s="177" t="n"/>
      <c r="X517" s="177" t="n"/>
    </row>
    <row r="518" ht="15.75" customHeight="1" s="297">
      <c r="A518" s="177" t="n"/>
      <c r="B518" s="177" t="n"/>
      <c r="C518" s="177" t="n"/>
      <c r="D518" s="177" t="n"/>
      <c r="E518" s="177" t="n"/>
      <c r="F518" s="177" t="n"/>
      <c r="G518" s="250" t="n"/>
      <c r="H518" s="177" t="n"/>
      <c r="I518" s="176" t="n"/>
      <c r="J518" s="177" t="n"/>
      <c r="K518" s="177" t="n"/>
      <c r="L518" s="177" t="n"/>
      <c r="M518" s="177" t="n"/>
      <c r="N518" s="177" t="n"/>
      <c r="O518" s="177" t="n"/>
      <c r="P518" s="177" t="n"/>
      <c r="Q518" s="177" t="n"/>
      <c r="R518" s="177" t="n"/>
      <c r="S518" s="177" t="n"/>
      <c r="T518" s="177" t="n"/>
      <c r="U518" s="177" t="n"/>
      <c r="V518" s="177" t="n"/>
      <c r="W518" s="177" t="n"/>
      <c r="X518" s="177" t="n"/>
    </row>
    <row r="519" ht="15.75" customHeight="1" s="297">
      <c r="A519" s="177" t="n"/>
      <c r="B519" s="177" t="n"/>
      <c r="C519" s="177" t="n"/>
      <c r="D519" s="177" t="n"/>
      <c r="E519" s="177" t="n"/>
      <c r="F519" s="177" t="n"/>
      <c r="G519" s="250" t="n"/>
      <c r="H519" s="177" t="n"/>
      <c r="I519" s="176" t="n"/>
      <c r="J519" s="177" t="n"/>
      <c r="K519" s="177" t="n"/>
      <c r="L519" s="177" t="n"/>
      <c r="M519" s="177" t="n"/>
      <c r="N519" s="177" t="n"/>
      <c r="O519" s="177" t="n"/>
      <c r="P519" s="177" t="n"/>
      <c r="Q519" s="177" t="n"/>
      <c r="R519" s="177" t="n"/>
      <c r="S519" s="177" t="n"/>
      <c r="T519" s="177" t="n"/>
      <c r="U519" s="177" t="n"/>
      <c r="V519" s="177" t="n"/>
      <c r="W519" s="177" t="n"/>
      <c r="X519" s="177" t="n"/>
    </row>
    <row r="520" ht="15.75" customHeight="1" s="297">
      <c r="A520" s="177" t="n"/>
      <c r="B520" s="177" t="n"/>
      <c r="C520" s="177" t="n"/>
      <c r="D520" s="177" t="n"/>
      <c r="E520" s="177" t="n"/>
      <c r="F520" s="177" t="n"/>
      <c r="G520" s="250" t="n"/>
      <c r="H520" s="177" t="n"/>
      <c r="I520" s="176" t="n"/>
      <c r="J520" s="177" t="n"/>
      <c r="K520" s="177" t="n"/>
      <c r="L520" s="177" t="n"/>
      <c r="M520" s="177" t="n"/>
      <c r="N520" s="177" t="n"/>
      <c r="O520" s="177" t="n"/>
      <c r="P520" s="177" t="n"/>
      <c r="Q520" s="177" t="n"/>
      <c r="R520" s="177" t="n"/>
      <c r="S520" s="177" t="n"/>
      <c r="T520" s="177" t="n"/>
      <c r="U520" s="177" t="n"/>
      <c r="V520" s="177" t="n"/>
      <c r="W520" s="177" t="n"/>
      <c r="X520" s="177" t="n"/>
    </row>
    <row r="521" ht="15.75" customHeight="1" s="297">
      <c r="A521" s="177" t="n"/>
      <c r="B521" s="177" t="n"/>
      <c r="C521" s="177" t="n"/>
      <c r="D521" s="177" t="n"/>
      <c r="E521" s="177" t="n"/>
      <c r="F521" s="177" t="n"/>
      <c r="G521" s="250" t="n"/>
      <c r="H521" s="177" t="n"/>
      <c r="I521" s="176" t="n"/>
      <c r="J521" s="177" t="n"/>
      <c r="K521" s="177" t="n"/>
      <c r="L521" s="177" t="n"/>
      <c r="M521" s="177" t="n"/>
      <c r="N521" s="177" t="n"/>
      <c r="O521" s="177" t="n"/>
      <c r="P521" s="177" t="n"/>
      <c r="Q521" s="177" t="n"/>
      <c r="R521" s="177" t="n"/>
      <c r="S521" s="177" t="n"/>
      <c r="T521" s="177" t="n"/>
      <c r="U521" s="177" t="n"/>
      <c r="V521" s="177" t="n"/>
      <c r="W521" s="177" t="n"/>
      <c r="X521" s="177" t="n"/>
    </row>
    <row r="522" ht="15.75" customHeight="1" s="297">
      <c r="A522" s="177" t="n"/>
      <c r="B522" s="177" t="n"/>
      <c r="C522" s="177" t="n"/>
      <c r="D522" s="177" t="n"/>
      <c r="E522" s="177" t="n"/>
      <c r="F522" s="177" t="n"/>
      <c r="G522" s="250" t="n"/>
      <c r="H522" s="177" t="n"/>
      <c r="I522" s="176" t="n"/>
      <c r="J522" s="177" t="n"/>
      <c r="K522" s="177" t="n"/>
      <c r="L522" s="177" t="n"/>
      <c r="M522" s="177" t="n"/>
      <c r="N522" s="177" t="n"/>
      <c r="O522" s="177" t="n"/>
      <c r="P522" s="177" t="n"/>
      <c r="Q522" s="177" t="n"/>
      <c r="R522" s="177" t="n"/>
      <c r="S522" s="177" t="n"/>
      <c r="T522" s="177" t="n"/>
      <c r="U522" s="177" t="n"/>
      <c r="V522" s="177" t="n"/>
      <c r="W522" s="177" t="n"/>
      <c r="X522" s="177" t="n"/>
    </row>
    <row r="523" ht="15.75" customHeight="1" s="297">
      <c r="A523" s="177" t="n"/>
      <c r="B523" s="177" t="n"/>
      <c r="C523" s="177" t="n"/>
      <c r="D523" s="177" t="n"/>
      <c r="E523" s="177" t="n"/>
      <c r="F523" s="177" t="n"/>
      <c r="G523" s="250" t="n"/>
      <c r="H523" s="177" t="n"/>
      <c r="I523" s="176" t="n"/>
      <c r="J523" s="177" t="n"/>
      <c r="K523" s="177" t="n"/>
      <c r="L523" s="177" t="n"/>
      <c r="M523" s="177" t="n"/>
      <c r="N523" s="177" t="n"/>
      <c r="O523" s="177" t="n"/>
      <c r="P523" s="177" t="n"/>
      <c r="Q523" s="177" t="n"/>
      <c r="R523" s="177" t="n"/>
      <c r="S523" s="177" t="n"/>
      <c r="T523" s="177" t="n"/>
      <c r="U523" s="177" t="n"/>
      <c r="V523" s="177" t="n"/>
      <c r="W523" s="177" t="n"/>
      <c r="X523" s="177" t="n"/>
    </row>
    <row r="524" ht="15.75" customHeight="1" s="297">
      <c r="A524" s="177" t="n"/>
      <c r="B524" s="177" t="n"/>
      <c r="C524" s="177" t="n"/>
      <c r="D524" s="177" t="n"/>
      <c r="E524" s="177" t="n"/>
      <c r="F524" s="177" t="n"/>
      <c r="G524" s="250" t="n"/>
      <c r="H524" s="177" t="n"/>
      <c r="I524" s="176" t="n"/>
      <c r="J524" s="177" t="n"/>
      <c r="K524" s="177" t="n"/>
      <c r="L524" s="177" t="n"/>
      <c r="M524" s="177" t="n"/>
      <c r="N524" s="177" t="n"/>
      <c r="O524" s="177" t="n"/>
      <c r="P524" s="177" t="n"/>
      <c r="Q524" s="177" t="n"/>
      <c r="R524" s="177" t="n"/>
      <c r="S524" s="177" t="n"/>
      <c r="T524" s="177" t="n"/>
      <c r="U524" s="177" t="n"/>
      <c r="V524" s="177" t="n"/>
      <c r="W524" s="177" t="n"/>
      <c r="X524" s="177" t="n"/>
    </row>
    <row r="525" ht="15.75" customHeight="1" s="297">
      <c r="A525" s="177" t="n"/>
      <c r="B525" s="177" t="n"/>
      <c r="C525" s="177" t="n"/>
      <c r="D525" s="177" t="n"/>
      <c r="E525" s="177" t="n"/>
      <c r="F525" s="177" t="n"/>
      <c r="G525" s="250" t="n"/>
      <c r="H525" s="177" t="n"/>
      <c r="I525" s="176" t="n"/>
      <c r="J525" s="177" t="n"/>
      <c r="K525" s="177" t="n"/>
      <c r="L525" s="177" t="n"/>
      <c r="M525" s="177" t="n"/>
      <c r="N525" s="177" t="n"/>
      <c r="O525" s="177" t="n"/>
      <c r="P525" s="177" t="n"/>
      <c r="Q525" s="177" t="n"/>
      <c r="R525" s="177" t="n"/>
      <c r="S525" s="177" t="n"/>
      <c r="T525" s="177" t="n"/>
      <c r="U525" s="177" t="n"/>
      <c r="V525" s="177" t="n"/>
      <c r="W525" s="177" t="n"/>
      <c r="X525" s="177" t="n"/>
    </row>
    <row r="526" ht="15.75" customHeight="1" s="297">
      <c r="A526" s="177" t="n"/>
      <c r="B526" s="177" t="n"/>
      <c r="C526" s="177" t="n"/>
      <c r="D526" s="177" t="n"/>
      <c r="E526" s="177" t="n"/>
      <c r="F526" s="177" t="n"/>
      <c r="G526" s="250" t="n"/>
      <c r="H526" s="177" t="n"/>
      <c r="I526" s="176" t="n"/>
      <c r="J526" s="177" t="n"/>
      <c r="K526" s="177" t="n"/>
      <c r="L526" s="177" t="n"/>
      <c r="M526" s="177" t="n"/>
      <c r="N526" s="177" t="n"/>
      <c r="O526" s="177" t="n"/>
      <c r="P526" s="177" t="n"/>
      <c r="Q526" s="177" t="n"/>
      <c r="R526" s="177" t="n"/>
      <c r="S526" s="177" t="n"/>
      <c r="T526" s="177" t="n"/>
      <c r="U526" s="177" t="n"/>
      <c r="V526" s="177" t="n"/>
      <c r="W526" s="177" t="n"/>
      <c r="X526" s="177" t="n"/>
    </row>
    <row r="527" ht="15.75" customHeight="1" s="297">
      <c r="A527" s="177" t="n"/>
      <c r="B527" s="177" t="n"/>
      <c r="C527" s="177" t="n"/>
      <c r="D527" s="177" t="n"/>
      <c r="E527" s="177" t="n"/>
      <c r="F527" s="177" t="n"/>
      <c r="G527" s="250" t="n"/>
      <c r="H527" s="177" t="n"/>
      <c r="I527" s="176" t="n"/>
      <c r="J527" s="177" t="n"/>
      <c r="K527" s="177" t="n"/>
      <c r="L527" s="177" t="n"/>
      <c r="M527" s="177" t="n"/>
      <c r="N527" s="177" t="n"/>
      <c r="O527" s="177" t="n"/>
      <c r="P527" s="177" t="n"/>
      <c r="Q527" s="177" t="n"/>
      <c r="R527" s="177" t="n"/>
      <c r="S527" s="177" t="n"/>
      <c r="T527" s="177" t="n"/>
      <c r="U527" s="177" t="n"/>
      <c r="V527" s="177" t="n"/>
      <c r="W527" s="177" t="n"/>
      <c r="X527" s="177" t="n"/>
    </row>
    <row r="528" ht="15.75" customHeight="1" s="297">
      <c r="A528" s="177" t="n"/>
      <c r="B528" s="177" t="n"/>
      <c r="C528" s="177" t="n"/>
      <c r="D528" s="177" t="n"/>
      <c r="E528" s="177" t="n"/>
      <c r="F528" s="177" t="n"/>
      <c r="G528" s="250" t="n"/>
      <c r="H528" s="177" t="n"/>
      <c r="I528" s="176" t="n"/>
      <c r="J528" s="177" t="n"/>
      <c r="K528" s="177" t="n"/>
      <c r="L528" s="177" t="n"/>
      <c r="M528" s="177" t="n"/>
      <c r="N528" s="177" t="n"/>
      <c r="O528" s="177" t="n"/>
      <c r="P528" s="177" t="n"/>
      <c r="Q528" s="177" t="n"/>
      <c r="R528" s="177" t="n"/>
      <c r="S528" s="177" t="n"/>
      <c r="T528" s="177" t="n"/>
      <c r="U528" s="177" t="n"/>
      <c r="V528" s="177" t="n"/>
      <c r="W528" s="177" t="n"/>
      <c r="X528" s="177" t="n"/>
    </row>
    <row r="529" ht="15.75" customHeight="1" s="297">
      <c r="A529" s="177" t="n"/>
      <c r="B529" s="177" t="n"/>
      <c r="C529" s="177" t="n"/>
      <c r="D529" s="177" t="n"/>
      <c r="E529" s="177" t="n"/>
      <c r="F529" s="177" t="n"/>
      <c r="G529" s="250" t="n"/>
      <c r="H529" s="177" t="n"/>
      <c r="I529" s="176" t="n"/>
      <c r="J529" s="177" t="n"/>
      <c r="K529" s="177" t="n"/>
      <c r="L529" s="177" t="n"/>
      <c r="M529" s="177" t="n"/>
      <c r="N529" s="177" t="n"/>
      <c r="O529" s="177" t="n"/>
      <c r="P529" s="177" t="n"/>
      <c r="Q529" s="177" t="n"/>
      <c r="R529" s="177" t="n"/>
      <c r="S529" s="177" t="n"/>
      <c r="T529" s="177" t="n"/>
      <c r="U529" s="177" t="n"/>
      <c r="V529" s="177" t="n"/>
      <c r="W529" s="177" t="n"/>
      <c r="X529" s="177" t="n"/>
    </row>
    <row r="530" ht="15.75" customHeight="1" s="297">
      <c r="A530" s="177" t="n"/>
      <c r="B530" s="177" t="n"/>
      <c r="C530" s="177" t="n"/>
      <c r="D530" s="177" t="n"/>
      <c r="E530" s="177" t="n"/>
      <c r="F530" s="177" t="n"/>
      <c r="G530" s="250" t="n"/>
      <c r="H530" s="177" t="n"/>
      <c r="I530" s="176" t="n"/>
      <c r="J530" s="177" t="n"/>
      <c r="K530" s="177" t="n"/>
      <c r="L530" s="177" t="n"/>
      <c r="M530" s="177" t="n"/>
      <c r="N530" s="177" t="n"/>
      <c r="O530" s="177" t="n"/>
      <c r="P530" s="177" t="n"/>
      <c r="Q530" s="177" t="n"/>
      <c r="R530" s="177" t="n"/>
      <c r="S530" s="177" t="n"/>
      <c r="T530" s="177" t="n"/>
      <c r="U530" s="177" t="n"/>
      <c r="V530" s="177" t="n"/>
      <c r="W530" s="177" t="n"/>
      <c r="X530" s="177" t="n"/>
    </row>
    <row r="531" ht="15.75" customHeight="1" s="297">
      <c r="A531" s="177" t="n"/>
      <c r="B531" s="177" t="n"/>
      <c r="C531" s="177" t="n"/>
      <c r="D531" s="177" t="n"/>
      <c r="E531" s="177" t="n"/>
      <c r="F531" s="177" t="n"/>
      <c r="G531" s="250" t="n"/>
      <c r="H531" s="177" t="n"/>
      <c r="I531" s="176" t="n"/>
      <c r="J531" s="177" t="n"/>
      <c r="K531" s="177" t="n"/>
      <c r="L531" s="177" t="n"/>
      <c r="M531" s="177" t="n"/>
      <c r="N531" s="177" t="n"/>
      <c r="O531" s="177" t="n"/>
      <c r="P531" s="177" t="n"/>
      <c r="Q531" s="177" t="n"/>
      <c r="R531" s="177" t="n"/>
      <c r="S531" s="177" t="n"/>
      <c r="T531" s="177" t="n"/>
      <c r="U531" s="177" t="n"/>
      <c r="V531" s="177" t="n"/>
      <c r="W531" s="177" t="n"/>
      <c r="X531" s="177" t="n"/>
    </row>
    <row r="532" ht="15.75" customHeight="1" s="297">
      <c r="A532" s="177" t="n"/>
      <c r="B532" s="177" t="n"/>
      <c r="C532" s="177" t="n"/>
      <c r="D532" s="177" t="n"/>
      <c r="E532" s="177" t="n"/>
      <c r="F532" s="177" t="n"/>
      <c r="G532" s="250" t="n"/>
      <c r="H532" s="177" t="n"/>
      <c r="I532" s="176" t="n"/>
      <c r="J532" s="177" t="n"/>
      <c r="K532" s="177" t="n"/>
      <c r="L532" s="177" t="n"/>
      <c r="M532" s="177" t="n"/>
      <c r="N532" s="177" t="n"/>
      <c r="O532" s="177" t="n"/>
      <c r="P532" s="177" t="n"/>
      <c r="Q532" s="177" t="n"/>
      <c r="R532" s="177" t="n"/>
      <c r="S532" s="177" t="n"/>
      <c r="T532" s="177" t="n"/>
      <c r="U532" s="177" t="n"/>
      <c r="V532" s="177" t="n"/>
      <c r="W532" s="177" t="n"/>
      <c r="X532" s="177" t="n"/>
    </row>
    <row r="533" ht="15.75" customHeight="1" s="297">
      <c r="A533" s="177" t="n"/>
      <c r="B533" s="177" t="n"/>
      <c r="C533" s="177" t="n"/>
      <c r="D533" s="177" t="n"/>
      <c r="E533" s="177" t="n"/>
      <c r="F533" s="177" t="n"/>
      <c r="G533" s="250" t="n"/>
      <c r="H533" s="177" t="n"/>
      <c r="I533" s="176" t="n"/>
      <c r="J533" s="177" t="n"/>
      <c r="K533" s="177" t="n"/>
      <c r="L533" s="177" t="n"/>
      <c r="M533" s="177" t="n"/>
      <c r="N533" s="177" t="n"/>
      <c r="O533" s="177" t="n"/>
      <c r="P533" s="177" t="n"/>
      <c r="Q533" s="177" t="n"/>
      <c r="R533" s="177" t="n"/>
      <c r="S533" s="177" t="n"/>
      <c r="T533" s="177" t="n"/>
      <c r="U533" s="177" t="n"/>
      <c r="V533" s="177" t="n"/>
      <c r="W533" s="177" t="n"/>
      <c r="X533" s="177" t="n"/>
    </row>
    <row r="534" ht="15.75" customHeight="1" s="297">
      <c r="A534" s="177" t="n"/>
      <c r="B534" s="177" t="n"/>
      <c r="C534" s="177" t="n"/>
      <c r="D534" s="177" t="n"/>
      <c r="E534" s="177" t="n"/>
      <c r="F534" s="177" t="n"/>
      <c r="G534" s="250" t="n"/>
      <c r="H534" s="177" t="n"/>
      <c r="I534" s="176" t="n"/>
      <c r="J534" s="177" t="n"/>
      <c r="K534" s="177" t="n"/>
      <c r="L534" s="177" t="n"/>
      <c r="M534" s="177" t="n"/>
      <c r="N534" s="177" t="n"/>
      <c r="O534" s="177" t="n"/>
      <c r="P534" s="177" t="n"/>
      <c r="Q534" s="177" t="n"/>
      <c r="R534" s="177" t="n"/>
      <c r="S534" s="177" t="n"/>
      <c r="T534" s="177" t="n"/>
      <c r="U534" s="177" t="n"/>
      <c r="V534" s="177" t="n"/>
      <c r="W534" s="177" t="n"/>
      <c r="X534" s="177" t="n"/>
    </row>
    <row r="535" ht="15.75" customHeight="1" s="297">
      <c r="A535" s="177" t="n"/>
      <c r="B535" s="177" t="n"/>
      <c r="C535" s="177" t="n"/>
      <c r="D535" s="177" t="n"/>
      <c r="E535" s="177" t="n"/>
      <c r="F535" s="177" t="n"/>
      <c r="G535" s="250" t="n"/>
      <c r="H535" s="177" t="n"/>
      <c r="I535" s="176" t="n"/>
      <c r="J535" s="177" t="n"/>
      <c r="K535" s="177" t="n"/>
      <c r="L535" s="177" t="n"/>
      <c r="M535" s="177" t="n"/>
      <c r="N535" s="177" t="n"/>
      <c r="O535" s="177" t="n"/>
      <c r="P535" s="177" t="n"/>
      <c r="Q535" s="177" t="n"/>
      <c r="R535" s="177" t="n"/>
      <c r="S535" s="177" t="n"/>
      <c r="T535" s="177" t="n"/>
      <c r="U535" s="177" t="n"/>
      <c r="V535" s="177" t="n"/>
      <c r="W535" s="177" t="n"/>
      <c r="X535" s="177" t="n"/>
    </row>
    <row r="536" ht="15.75" customHeight="1" s="297">
      <c r="A536" s="177" t="n"/>
      <c r="B536" s="177" t="n"/>
      <c r="C536" s="177" t="n"/>
      <c r="D536" s="177" t="n"/>
      <c r="E536" s="177" t="n"/>
      <c r="F536" s="177" t="n"/>
      <c r="G536" s="250" t="n"/>
      <c r="H536" s="177" t="n"/>
      <c r="I536" s="176" t="n"/>
      <c r="J536" s="177" t="n"/>
      <c r="K536" s="177" t="n"/>
      <c r="L536" s="177" t="n"/>
      <c r="M536" s="177" t="n"/>
      <c r="N536" s="177" t="n"/>
      <c r="O536" s="177" t="n"/>
      <c r="P536" s="177" t="n"/>
      <c r="Q536" s="177" t="n"/>
      <c r="R536" s="177" t="n"/>
      <c r="S536" s="177" t="n"/>
      <c r="T536" s="177" t="n"/>
      <c r="U536" s="177" t="n"/>
      <c r="V536" s="177" t="n"/>
      <c r="W536" s="177" t="n"/>
      <c r="X536" s="177" t="n"/>
    </row>
    <row r="537" ht="15.75" customHeight="1" s="297">
      <c r="A537" s="177" t="n"/>
      <c r="B537" s="177" t="n"/>
      <c r="C537" s="177" t="n"/>
      <c r="D537" s="177" t="n"/>
      <c r="E537" s="177" t="n"/>
      <c r="F537" s="177" t="n"/>
      <c r="G537" s="250" t="n"/>
      <c r="H537" s="177" t="n"/>
      <c r="I537" s="176" t="n"/>
      <c r="J537" s="177" t="n"/>
      <c r="K537" s="177" t="n"/>
      <c r="L537" s="177" t="n"/>
      <c r="M537" s="177" t="n"/>
      <c r="N537" s="177" t="n"/>
      <c r="O537" s="177" t="n"/>
      <c r="P537" s="177" t="n"/>
      <c r="Q537" s="177" t="n"/>
      <c r="R537" s="177" t="n"/>
      <c r="S537" s="177" t="n"/>
      <c r="T537" s="177" t="n"/>
      <c r="U537" s="177" t="n"/>
      <c r="V537" s="177" t="n"/>
      <c r="W537" s="177" t="n"/>
      <c r="X537" s="177" t="n"/>
    </row>
    <row r="538" ht="15.75" customHeight="1" s="297">
      <c r="A538" s="177" t="n"/>
      <c r="B538" s="177" t="n"/>
      <c r="C538" s="177" t="n"/>
      <c r="D538" s="177" t="n"/>
      <c r="E538" s="177" t="n"/>
      <c r="F538" s="177" t="n"/>
      <c r="G538" s="250" t="n"/>
      <c r="H538" s="177" t="n"/>
      <c r="I538" s="176" t="n"/>
      <c r="J538" s="177" t="n"/>
      <c r="K538" s="177" t="n"/>
      <c r="L538" s="177" t="n"/>
      <c r="M538" s="177" t="n"/>
      <c r="N538" s="177" t="n"/>
      <c r="O538" s="177" t="n"/>
      <c r="P538" s="177" t="n"/>
      <c r="Q538" s="177" t="n"/>
      <c r="R538" s="177" t="n"/>
      <c r="S538" s="177" t="n"/>
      <c r="T538" s="177" t="n"/>
      <c r="U538" s="177" t="n"/>
      <c r="V538" s="177" t="n"/>
      <c r="W538" s="177" t="n"/>
      <c r="X538" s="177" t="n"/>
    </row>
    <row r="539" ht="15.75" customHeight="1" s="297">
      <c r="A539" s="177" t="n"/>
      <c r="B539" s="177" t="n"/>
      <c r="C539" s="177" t="n"/>
      <c r="D539" s="177" t="n"/>
      <c r="E539" s="177" t="n"/>
      <c r="F539" s="177" t="n"/>
      <c r="G539" s="250" t="n"/>
      <c r="H539" s="177" t="n"/>
      <c r="I539" s="176" t="n"/>
      <c r="J539" s="177" t="n"/>
      <c r="K539" s="177" t="n"/>
      <c r="L539" s="177" t="n"/>
      <c r="M539" s="177" t="n"/>
      <c r="N539" s="177" t="n"/>
      <c r="O539" s="177" t="n"/>
      <c r="P539" s="177" t="n"/>
      <c r="Q539" s="177" t="n"/>
      <c r="R539" s="177" t="n"/>
      <c r="S539" s="177" t="n"/>
      <c r="T539" s="177" t="n"/>
      <c r="U539" s="177" t="n"/>
      <c r="V539" s="177" t="n"/>
      <c r="W539" s="177" t="n"/>
      <c r="X539" s="177" t="n"/>
    </row>
    <row r="540" ht="15.75" customHeight="1" s="297">
      <c r="A540" s="177" t="n"/>
      <c r="B540" s="177" t="n"/>
      <c r="C540" s="177" t="n"/>
      <c r="D540" s="177" t="n"/>
      <c r="E540" s="177" t="n"/>
      <c r="F540" s="177" t="n"/>
      <c r="G540" s="250" t="n"/>
      <c r="H540" s="177" t="n"/>
      <c r="I540" s="176" t="n"/>
      <c r="J540" s="177" t="n"/>
      <c r="K540" s="177" t="n"/>
      <c r="L540" s="177" t="n"/>
      <c r="M540" s="177" t="n"/>
      <c r="N540" s="177" t="n"/>
      <c r="O540" s="177" t="n"/>
      <c r="P540" s="177" t="n"/>
      <c r="Q540" s="177" t="n"/>
      <c r="R540" s="177" t="n"/>
      <c r="S540" s="177" t="n"/>
      <c r="T540" s="177" t="n"/>
      <c r="U540" s="177" t="n"/>
      <c r="V540" s="177" t="n"/>
      <c r="W540" s="177" t="n"/>
      <c r="X540" s="177" t="n"/>
    </row>
    <row r="541" ht="15.75" customHeight="1" s="297">
      <c r="A541" s="177" t="n"/>
      <c r="B541" s="177" t="n"/>
      <c r="C541" s="177" t="n"/>
      <c r="D541" s="177" t="n"/>
      <c r="E541" s="177" t="n"/>
      <c r="F541" s="177" t="n"/>
      <c r="G541" s="250" t="n"/>
      <c r="H541" s="177" t="n"/>
      <c r="I541" s="176" t="n"/>
      <c r="J541" s="177" t="n"/>
      <c r="K541" s="177" t="n"/>
      <c r="L541" s="177" t="n"/>
      <c r="M541" s="177" t="n"/>
      <c r="N541" s="177" t="n"/>
      <c r="O541" s="177" t="n"/>
      <c r="P541" s="177" t="n"/>
      <c r="Q541" s="177" t="n"/>
      <c r="R541" s="177" t="n"/>
      <c r="S541" s="177" t="n"/>
      <c r="T541" s="177" t="n"/>
      <c r="U541" s="177" t="n"/>
      <c r="V541" s="177" t="n"/>
      <c r="W541" s="177" t="n"/>
      <c r="X541" s="177" t="n"/>
    </row>
    <row r="542" ht="15.75" customHeight="1" s="297">
      <c r="A542" s="177" t="n"/>
      <c r="B542" s="177" t="n"/>
      <c r="C542" s="177" t="n"/>
      <c r="D542" s="177" t="n"/>
      <c r="E542" s="177" t="n"/>
      <c r="F542" s="177" t="n"/>
      <c r="G542" s="250" t="n"/>
      <c r="H542" s="177" t="n"/>
      <c r="I542" s="176" t="n"/>
      <c r="J542" s="177" t="n"/>
      <c r="K542" s="177" t="n"/>
      <c r="L542" s="177" t="n"/>
      <c r="M542" s="177" t="n"/>
      <c r="N542" s="177" t="n"/>
      <c r="O542" s="177" t="n"/>
      <c r="P542" s="177" t="n"/>
      <c r="Q542" s="177" t="n"/>
      <c r="R542" s="177" t="n"/>
      <c r="S542" s="177" t="n"/>
      <c r="T542" s="177" t="n"/>
      <c r="U542" s="177" t="n"/>
      <c r="V542" s="177" t="n"/>
      <c r="W542" s="177" t="n"/>
      <c r="X542" s="177" t="n"/>
    </row>
    <row r="543" ht="15.75" customHeight="1" s="297">
      <c r="A543" s="177" t="n"/>
      <c r="B543" s="177" t="n"/>
      <c r="C543" s="177" t="n"/>
      <c r="D543" s="177" t="n"/>
      <c r="E543" s="177" t="n"/>
      <c r="F543" s="177" t="n"/>
      <c r="G543" s="250" t="n"/>
      <c r="H543" s="177" t="n"/>
      <c r="I543" s="176" t="n"/>
      <c r="J543" s="177" t="n"/>
      <c r="K543" s="177" t="n"/>
      <c r="L543" s="177" t="n"/>
      <c r="M543" s="177" t="n"/>
      <c r="N543" s="177" t="n"/>
      <c r="O543" s="177" t="n"/>
      <c r="P543" s="177" t="n"/>
      <c r="Q543" s="177" t="n"/>
      <c r="R543" s="177" t="n"/>
      <c r="S543" s="177" t="n"/>
      <c r="T543" s="177" t="n"/>
      <c r="U543" s="177" t="n"/>
      <c r="V543" s="177" t="n"/>
      <c r="W543" s="177" t="n"/>
      <c r="X543" s="177" t="n"/>
    </row>
    <row r="544" ht="15.75" customHeight="1" s="297">
      <c r="A544" s="177" t="n"/>
      <c r="B544" s="177" t="n"/>
      <c r="C544" s="177" t="n"/>
      <c r="D544" s="177" t="n"/>
      <c r="E544" s="177" t="n"/>
      <c r="F544" s="177" t="n"/>
      <c r="G544" s="250" t="n"/>
      <c r="H544" s="177" t="n"/>
      <c r="I544" s="176" t="n"/>
      <c r="J544" s="177" t="n"/>
      <c r="K544" s="177" t="n"/>
      <c r="L544" s="177" t="n"/>
      <c r="M544" s="177" t="n"/>
      <c r="N544" s="177" t="n"/>
      <c r="O544" s="177" t="n"/>
      <c r="P544" s="177" t="n"/>
      <c r="Q544" s="177" t="n"/>
      <c r="R544" s="177" t="n"/>
      <c r="S544" s="177" t="n"/>
      <c r="T544" s="177" t="n"/>
      <c r="U544" s="177" t="n"/>
      <c r="V544" s="177" t="n"/>
      <c r="W544" s="177" t="n"/>
      <c r="X544" s="177" t="n"/>
    </row>
    <row r="545" ht="15.75" customHeight="1" s="297">
      <c r="A545" s="177" t="n"/>
      <c r="B545" s="177" t="n"/>
      <c r="C545" s="177" t="n"/>
      <c r="D545" s="177" t="n"/>
      <c r="E545" s="177" t="n"/>
      <c r="F545" s="177" t="n"/>
      <c r="G545" s="250" t="n"/>
      <c r="H545" s="177" t="n"/>
      <c r="I545" s="176" t="n"/>
      <c r="J545" s="177" t="n"/>
      <c r="K545" s="177" t="n"/>
      <c r="L545" s="177" t="n"/>
      <c r="M545" s="177" t="n"/>
      <c r="N545" s="177" t="n"/>
      <c r="O545" s="177" t="n"/>
      <c r="P545" s="177" t="n"/>
      <c r="Q545" s="177" t="n"/>
      <c r="R545" s="177" t="n"/>
      <c r="S545" s="177" t="n"/>
      <c r="T545" s="177" t="n"/>
      <c r="U545" s="177" t="n"/>
      <c r="V545" s="177" t="n"/>
      <c r="W545" s="177" t="n"/>
      <c r="X545" s="177" t="n"/>
    </row>
    <row r="546" ht="15.75" customHeight="1" s="297">
      <c r="A546" s="177" t="n"/>
      <c r="B546" s="177" t="n"/>
      <c r="C546" s="177" t="n"/>
      <c r="D546" s="177" t="n"/>
      <c r="E546" s="177" t="n"/>
      <c r="F546" s="177" t="n"/>
      <c r="G546" s="250" t="n"/>
      <c r="H546" s="177" t="n"/>
      <c r="I546" s="176" t="n"/>
      <c r="J546" s="177" t="n"/>
      <c r="K546" s="177" t="n"/>
      <c r="L546" s="177" t="n"/>
      <c r="M546" s="177" t="n"/>
      <c r="N546" s="177" t="n"/>
      <c r="O546" s="177" t="n"/>
      <c r="P546" s="177" t="n"/>
      <c r="Q546" s="177" t="n"/>
      <c r="R546" s="177" t="n"/>
      <c r="S546" s="177" t="n"/>
      <c r="T546" s="177" t="n"/>
      <c r="U546" s="177" t="n"/>
      <c r="V546" s="177" t="n"/>
      <c r="W546" s="177" t="n"/>
      <c r="X546" s="177" t="n"/>
    </row>
    <row r="547" ht="15.75" customHeight="1" s="297">
      <c r="A547" s="177" t="n"/>
      <c r="B547" s="177" t="n"/>
      <c r="C547" s="177" t="n"/>
      <c r="D547" s="177" t="n"/>
      <c r="E547" s="177" t="n"/>
      <c r="F547" s="177" t="n"/>
      <c r="G547" s="250" t="n"/>
      <c r="H547" s="177" t="n"/>
      <c r="I547" s="176" t="n"/>
      <c r="J547" s="177" t="n"/>
      <c r="K547" s="177" t="n"/>
      <c r="L547" s="177" t="n"/>
      <c r="M547" s="177" t="n"/>
      <c r="N547" s="177" t="n"/>
      <c r="O547" s="177" t="n"/>
      <c r="P547" s="177" t="n"/>
      <c r="Q547" s="177" t="n"/>
      <c r="R547" s="177" t="n"/>
      <c r="S547" s="177" t="n"/>
      <c r="T547" s="177" t="n"/>
      <c r="U547" s="177" t="n"/>
      <c r="V547" s="177" t="n"/>
      <c r="W547" s="177" t="n"/>
      <c r="X547" s="177" t="n"/>
    </row>
    <row r="548" ht="15.75" customHeight="1" s="297">
      <c r="A548" s="177" t="n"/>
      <c r="B548" s="177" t="n"/>
      <c r="C548" s="177" t="n"/>
      <c r="D548" s="177" t="n"/>
      <c r="E548" s="177" t="n"/>
      <c r="F548" s="177" t="n"/>
      <c r="G548" s="250" t="n"/>
      <c r="H548" s="177" t="n"/>
      <c r="I548" s="176" t="n"/>
      <c r="J548" s="177" t="n"/>
      <c r="K548" s="177" t="n"/>
      <c r="L548" s="177" t="n"/>
      <c r="M548" s="177" t="n"/>
      <c r="N548" s="177" t="n"/>
      <c r="O548" s="177" t="n"/>
      <c r="P548" s="177" t="n"/>
      <c r="Q548" s="177" t="n"/>
      <c r="R548" s="177" t="n"/>
      <c r="S548" s="177" t="n"/>
      <c r="T548" s="177" t="n"/>
      <c r="U548" s="177" t="n"/>
      <c r="V548" s="177" t="n"/>
      <c r="W548" s="177" t="n"/>
      <c r="X548" s="177" t="n"/>
    </row>
    <row r="549" ht="15.75" customHeight="1" s="297">
      <c r="A549" s="177" t="n"/>
      <c r="B549" s="177" t="n"/>
      <c r="C549" s="177" t="n"/>
      <c r="D549" s="177" t="n"/>
      <c r="E549" s="177" t="n"/>
      <c r="F549" s="177" t="n"/>
      <c r="G549" s="250" t="n"/>
      <c r="H549" s="177" t="n"/>
      <c r="I549" s="176" t="n"/>
      <c r="J549" s="177" t="n"/>
      <c r="K549" s="177" t="n"/>
      <c r="L549" s="177" t="n"/>
      <c r="M549" s="177" t="n"/>
      <c r="N549" s="177" t="n"/>
      <c r="O549" s="177" t="n"/>
      <c r="P549" s="177" t="n"/>
      <c r="Q549" s="177" t="n"/>
      <c r="R549" s="177" t="n"/>
      <c r="S549" s="177" t="n"/>
      <c r="T549" s="177" t="n"/>
      <c r="U549" s="177" t="n"/>
      <c r="V549" s="177" t="n"/>
      <c r="W549" s="177" t="n"/>
      <c r="X549" s="177" t="n"/>
    </row>
    <row r="550" ht="15.75" customHeight="1" s="297">
      <c r="A550" s="177" t="n"/>
      <c r="B550" s="177" t="n"/>
      <c r="C550" s="177" t="n"/>
      <c r="D550" s="177" t="n"/>
      <c r="E550" s="177" t="n"/>
      <c r="F550" s="177" t="n"/>
      <c r="G550" s="250" t="n"/>
      <c r="H550" s="177" t="n"/>
      <c r="I550" s="176" t="n"/>
      <c r="J550" s="177" t="n"/>
      <c r="K550" s="177" t="n"/>
      <c r="L550" s="177" t="n"/>
      <c r="M550" s="177" t="n"/>
      <c r="N550" s="177" t="n"/>
      <c r="O550" s="177" t="n"/>
      <c r="P550" s="177" t="n"/>
      <c r="Q550" s="177" t="n"/>
      <c r="R550" s="177" t="n"/>
      <c r="S550" s="177" t="n"/>
      <c r="T550" s="177" t="n"/>
      <c r="U550" s="177" t="n"/>
      <c r="V550" s="177" t="n"/>
      <c r="W550" s="177" t="n"/>
      <c r="X550" s="177" t="n"/>
    </row>
    <row r="551" ht="15.75" customHeight="1" s="297">
      <c r="A551" s="177" t="n"/>
      <c r="B551" s="177" t="n"/>
      <c r="C551" s="177" t="n"/>
      <c r="D551" s="177" t="n"/>
      <c r="E551" s="177" t="n"/>
      <c r="F551" s="177" t="n"/>
      <c r="G551" s="250" t="n"/>
      <c r="H551" s="177" t="n"/>
      <c r="I551" s="176" t="n"/>
      <c r="J551" s="177" t="n"/>
      <c r="K551" s="177" t="n"/>
      <c r="L551" s="177" t="n"/>
      <c r="M551" s="177" t="n"/>
      <c r="N551" s="177" t="n"/>
      <c r="O551" s="177" t="n"/>
      <c r="P551" s="177" t="n"/>
      <c r="Q551" s="177" t="n"/>
      <c r="R551" s="177" t="n"/>
      <c r="S551" s="177" t="n"/>
      <c r="T551" s="177" t="n"/>
      <c r="U551" s="177" t="n"/>
      <c r="V551" s="177" t="n"/>
      <c r="W551" s="177" t="n"/>
      <c r="X551" s="177" t="n"/>
    </row>
    <row r="552" ht="15.75" customHeight="1" s="297">
      <c r="A552" s="177" t="n"/>
      <c r="B552" s="177" t="n"/>
      <c r="C552" s="177" t="n"/>
      <c r="D552" s="177" t="n"/>
      <c r="E552" s="177" t="n"/>
      <c r="F552" s="177" t="n"/>
      <c r="G552" s="250" t="n"/>
      <c r="H552" s="177" t="n"/>
      <c r="I552" s="176" t="n"/>
      <c r="J552" s="177" t="n"/>
      <c r="K552" s="177" t="n"/>
      <c r="L552" s="177" t="n"/>
      <c r="M552" s="177" t="n"/>
      <c r="N552" s="177" t="n"/>
      <c r="O552" s="177" t="n"/>
      <c r="P552" s="177" t="n"/>
      <c r="Q552" s="177" t="n"/>
      <c r="R552" s="177" t="n"/>
      <c r="S552" s="177" t="n"/>
      <c r="T552" s="177" t="n"/>
      <c r="U552" s="177" t="n"/>
      <c r="V552" s="177" t="n"/>
      <c r="W552" s="177" t="n"/>
      <c r="X552" s="177" t="n"/>
    </row>
    <row r="553" ht="15.75" customHeight="1" s="297">
      <c r="A553" s="177" t="n"/>
      <c r="B553" s="177" t="n"/>
      <c r="C553" s="177" t="n"/>
      <c r="D553" s="177" t="n"/>
      <c r="E553" s="177" t="n"/>
      <c r="F553" s="177" t="n"/>
      <c r="G553" s="250" t="n"/>
      <c r="H553" s="177" t="n"/>
      <c r="I553" s="176" t="n"/>
      <c r="J553" s="177" t="n"/>
      <c r="K553" s="177" t="n"/>
      <c r="L553" s="177" t="n"/>
      <c r="M553" s="177" t="n"/>
      <c r="N553" s="177" t="n"/>
      <c r="O553" s="177" t="n"/>
      <c r="P553" s="177" t="n"/>
      <c r="Q553" s="177" t="n"/>
      <c r="R553" s="177" t="n"/>
      <c r="S553" s="177" t="n"/>
      <c r="T553" s="177" t="n"/>
      <c r="U553" s="177" t="n"/>
      <c r="V553" s="177" t="n"/>
      <c r="W553" s="177" t="n"/>
      <c r="X553" s="177" t="n"/>
    </row>
    <row r="554" ht="15.75" customHeight="1" s="297">
      <c r="A554" s="177" t="n"/>
      <c r="B554" s="177" t="n"/>
      <c r="C554" s="177" t="n"/>
      <c r="D554" s="177" t="n"/>
      <c r="E554" s="177" t="n"/>
      <c r="F554" s="177" t="n"/>
      <c r="G554" s="250" t="n"/>
      <c r="H554" s="177" t="n"/>
      <c r="I554" s="176" t="n"/>
      <c r="J554" s="177" t="n"/>
      <c r="K554" s="177" t="n"/>
      <c r="L554" s="177" t="n"/>
      <c r="M554" s="177" t="n"/>
      <c r="N554" s="177" t="n"/>
      <c r="O554" s="177" t="n"/>
      <c r="P554" s="177" t="n"/>
      <c r="Q554" s="177" t="n"/>
      <c r="R554" s="177" t="n"/>
      <c r="S554" s="177" t="n"/>
      <c r="T554" s="177" t="n"/>
      <c r="U554" s="177" t="n"/>
      <c r="V554" s="177" t="n"/>
      <c r="W554" s="177" t="n"/>
      <c r="X554" s="177" t="n"/>
    </row>
    <row r="555" ht="15.75" customHeight="1" s="297">
      <c r="A555" s="177" t="n"/>
      <c r="B555" s="177" t="n"/>
      <c r="C555" s="177" t="n"/>
      <c r="D555" s="177" t="n"/>
      <c r="E555" s="177" t="n"/>
      <c r="F555" s="177" t="n"/>
      <c r="G555" s="250" t="n"/>
      <c r="H555" s="177" t="n"/>
      <c r="I555" s="176" t="n"/>
      <c r="J555" s="177" t="n"/>
      <c r="K555" s="177" t="n"/>
      <c r="L555" s="177" t="n"/>
      <c r="M555" s="177" t="n"/>
      <c r="N555" s="177" t="n"/>
      <c r="O555" s="177" t="n"/>
      <c r="P555" s="177" t="n"/>
      <c r="Q555" s="177" t="n"/>
      <c r="R555" s="177" t="n"/>
      <c r="S555" s="177" t="n"/>
      <c r="T555" s="177" t="n"/>
      <c r="U555" s="177" t="n"/>
      <c r="V555" s="177" t="n"/>
      <c r="W555" s="177" t="n"/>
      <c r="X555" s="177" t="n"/>
    </row>
    <row r="556" ht="15.75" customHeight="1" s="297">
      <c r="A556" s="177" t="n"/>
      <c r="B556" s="177" t="n"/>
      <c r="C556" s="177" t="n"/>
      <c r="D556" s="177" t="n"/>
      <c r="E556" s="177" t="n"/>
      <c r="F556" s="177" t="n"/>
      <c r="G556" s="250" t="n"/>
      <c r="H556" s="177" t="n"/>
      <c r="I556" s="176" t="n"/>
      <c r="J556" s="177" t="n"/>
      <c r="K556" s="177" t="n"/>
      <c r="L556" s="177" t="n"/>
      <c r="M556" s="177" t="n"/>
      <c r="N556" s="177" t="n"/>
      <c r="O556" s="177" t="n"/>
      <c r="P556" s="177" t="n"/>
      <c r="Q556" s="177" t="n"/>
      <c r="R556" s="177" t="n"/>
      <c r="S556" s="177" t="n"/>
      <c r="T556" s="177" t="n"/>
      <c r="U556" s="177" t="n"/>
      <c r="V556" s="177" t="n"/>
      <c r="W556" s="177" t="n"/>
      <c r="X556" s="177" t="n"/>
    </row>
    <row r="557" ht="15.75" customHeight="1" s="297">
      <c r="A557" s="177" t="n"/>
      <c r="B557" s="177" t="n"/>
      <c r="C557" s="177" t="n"/>
      <c r="D557" s="177" t="n"/>
      <c r="E557" s="177" t="n"/>
      <c r="F557" s="177" t="n"/>
      <c r="G557" s="250" t="n"/>
      <c r="H557" s="177" t="n"/>
      <c r="I557" s="176" t="n"/>
      <c r="J557" s="177" t="n"/>
      <c r="K557" s="177" t="n"/>
      <c r="L557" s="177" t="n"/>
      <c r="M557" s="177" t="n"/>
      <c r="N557" s="177" t="n"/>
      <c r="O557" s="177" t="n"/>
      <c r="P557" s="177" t="n"/>
      <c r="Q557" s="177" t="n"/>
      <c r="R557" s="177" t="n"/>
      <c r="S557" s="177" t="n"/>
      <c r="T557" s="177" t="n"/>
      <c r="U557" s="177" t="n"/>
      <c r="V557" s="177" t="n"/>
      <c r="W557" s="177" t="n"/>
      <c r="X557" s="177" t="n"/>
    </row>
    <row r="558" ht="15.75" customHeight="1" s="297">
      <c r="A558" s="177" t="n"/>
      <c r="B558" s="177" t="n"/>
      <c r="C558" s="177" t="n"/>
      <c r="D558" s="177" t="n"/>
      <c r="E558" s="177" t="n"/>
      <c r="F558" s="177" t="n"/>
      <c r="G558" s="250" t="n"/>
      <c r="H558" s="177" t="n"/>
      <c r="I558" s="176" t="n"/>
      <c r="J558" s="177" t="n"/>
      <c r="K558" s="177" t="n"/>
      <c r="L558" s="177" t="n"/>
      <c r="M558" s="177" t="n"/>
      <c r="N558" s="177" t="n"/>
      <c r="O558" s="177" t="n"/>
      <c r="P558" s="177" t="n"/>
      <c r="Q558" s="177" t="n"/>
      <c r="R558" s="177" t="n"/>
      <c r="S558" s="177" t="n"/>
      <c r="T558" s="177" t="n"/>
      <c r="U558" s="177" t="n"/>
      <c r="V558" s="177" t="n"/>
      <c r="W558" s="177" t="n"/>
      <c r="X558" s="177" t="n"/>
    </row>
    <row r="559" ht="15.75" customHeight="1" s="297">
      <c r="A559" s="177" t="n"/>
      <c r="B559" s="177" t="n"/>
      <c r="C559" s="177" t="n"/>
      <c r="D559" s="177" t="n"/>
      <c r="E559" s="177" t="n"/>
      <c r="F559" s="177" t="n"/>
      <c r="G559" s="250" t="n"/>
      <c r="H559" s="177" t="n"/>
      <c r="I559" s="176" t="n"/>
      <c r="J559" s="177" t="n"/>
      <c r="K559" s="177" t="n"/>
      <c r="L559" s="177" t="n"/>
      <c r="M559" s="177" t="n"/>
      <c r="N559" s="177" t="n"/>
      <c r="O559" s="177" t="n"/>
      <c r="P559" s="177" t="n"/>
      <c r="Q559" s="177" t="n"/>
      <c r="R559" s="177" t="n"/>
      <c r="S559" s="177" t="n"/>
      <c r="T559" s="177" t="n"/>
      <c r="U559" s="177" t="n"/>
      <c r="V559" s="177" t="n"/>
      <c r="W559" s="177" t="n"/>
      <c r="X559" s="177" t="n"/>
    </row>
    <row r="560" ht="15.75" customHeight="1" s="297">
      <c r="A560" s="177" t="n"/>
      <c r="B560" s="177" t="n"/>
      <c r="C560" s="177" t="n"/>
      <c r="D560" s="177" t="n"/>
      <c r="E560" s="177" t="n"/>
      <c r="F560" s="177" t="n"/>
      <c r="G560" s="250" t="n"/>
      <c r="H560" s="177" t="n"/>
      <c r="I560" s="176" t="n"/>
      <c r="J560" s="177" t="n"/>
      <c r="K560" s="177" t="n"/>
      <c r="L560" s="177" t="n"/>
      <c r="M560" s="177" t="n"/>
      <c r="N560" s="177" t="n"/>
      <c r="O560" s="177" t="n"/>
      <c r="P560" s="177" t="n"/>
      <c r="Q560" s="177" t="n"/>
      <c r="R560" s="177" t="n"/>
      <c r="S560" s="177" t="n"/>
      <c r="T560" s="177" t="n"/>
      <c r="U560" s="177" t="n"/>
      <c r="V560" s="177" t="n"/>
      <c r="W560" s="177" t="n"/>
      <c r="X560" s="177" t="n"/>
    </row>
    <row r="561" ht="15.75" customHeight="1" s="297">
      <c r="A561" s="177" t="n"/>
      <c r="B561" s="177" t="n"/>
      <c r="C561" s="177" t="n"/>
      <c r="D561" s="177" t="n"/>
      <c r="E561" s="177" t="n"/>
      <c r="F561" s="177" t="n"/>
      <c r="G561" s="250" t="n"/>
      <c r="H561" s="177" t="n"/>
      <c r="I561" s="176" t="n"/>
      <c r="J561" s="177" t="n"/>
      <c r="K561" s="177" t="n"/>
      <c r="L561" s="177" t="n"/>
      <c r="M561" s="177" t="n"/>
      <c r="N561" s="177" t="n"/>
      <c r="O561" s="177" t="n"/>
      <c r="P561" s="177" t="n"/>
      <c r="Q561" s="177" t="n"/>
      <c r="R561" s="177" t="n"/>
      <c r="S561" s="177" t="n"/>
      <c r="T561" s="177" t="n"/>
      <c r="U561" s="177" t="n"/>
      <c r="V561" s="177" t="n"/>
      <c r="W561" s="177" t="n"/>
      <c r="X561" s="177" t="n"/>
    </row>
    <row r="562" ht="15.75" customHeight="1" s="297">
      <c r="A562" s="177" t="n"/>
      <c r="B562" s="177" t="n"/>
      <c r="C562" s="177" t="n"/>
      <c r="D562" s="177" t="n"/>
      <c r="E562" s="177" t="n"/>
      <c r="F562" s="177" t="n"/>
      <c r="G562" s="250" t="n"/>
      <c r="H562" s="177" t="n"/>
      <c r="I562" s="176" t="n"/>
      <c r="J562" s="177" t="n"/>
      <c r="K562" s="177" t="n"/>
      <c r="L562" s="177" t="n"/>
      <c r="M562" s="177" t="n"/>
      <c r="N562" s="177" t="n"/>
      <c r="O562" s="177" t="n"/>
      <c r="P562" s="177" t="n"/>
      <c r="Q562" s="177" t="n"/>
      <c r="R562" s="177" t="n"/>
      <c r="S562" s="177" t="n"/>
      <c r="T562" s="177" t="n"/>
      <c r="U562" s="177" t="n"/>
      <c r="V562" s="177" t="n"/>
      <c r="W562" s="177" t="n"/>
      <c r="X562" s="177" t="n"/>
    </row>
    <row r="563" ht="15.75" customHeight="1" s="297">
      <c r="A563" s="177" t="n"/>
      <c r="B563" s="177" t="n"/>
      <c r="C563" s="177" t="n"/>
      <c r="D563" s="177" t="n"/>
      <c r="E563" s="177" t="n"/>
      <c r="F563" s="177" t="n"/>
      <c r="G563" s="250" t="n"/>
      <c r="H563" s="177" t="n"/>
      <c r="I563" s="176" t="n"/>
      <c r="J563" s="177" t="n"/>
      <c r="K563" s="177" t="n"/>
      <c r="L563" s="177" t="n"/>
      <c r="M563" s="177" t="n"/>
      <c r="N563" s="177" t="n"/>
      <c r="O563" s="177" t="n"/>
      <c r="P563" s="177" t="n"/>
      <c r="Q563" s="177" t="n"/>
      <c r="R563" s="177" t="n"/>
      <c r="S563" s="177" t="n"/>
      <c r="T563" s="177" t="n"/>
      <c r="U563" s="177" t="n"/>
      <c r="V563" s="177" t="n"/>
      <c r="W563" s="177" t="n"/>
      <c r="X563" s="177" t="n"/>
    </row>
    <row r="564" ht="15.75" customHeight="1" s="297">
      <c r="A564" s="177" t="n"/>
      <c r="B564" s="177" t="n"/>
      <c r="C564" s="177" t="n"/>
      <c r="D564" s="177" t="n"/>
      <c r="E564" s="177" t="n"/>
      <c r="F564" s="177" t="n"/>
      <c r="G564" s="250" t="n"/>
      <c r="H564" s="177" t="n"/>
      <c r="I564" s="176" t="n"/>
      <c r="J564" s="177" t="n"/>
      <c r="K564" s="177" t="n"/>
      <c r="L564" s="177" t="n"/>
      <c r="M564" s="177" t="n"/>
      <c r="N564" s="177" t="n"/>
      <c r="O564" s="177" t="n"/>
      <c r="P564" s="177" t="n"/>
      <c r="Q564" s="177" t="n"/>
      <c r="R564" s="177" t="n"/>
      <c r="S564" s="177" t="n"/>
      <c r="T564" s="177" t="n"/>
      <c r="U564" s="177" t="n"/>
      <c r="V564" s="177" t="n"/>
      <c r="W564" s="177" t="n"/>
      <c r="X564" s="177" t="n"/>
    </row>
    <row r="565" ht="15.75" customHeight="1" s="297">
      <c r="A565" s="177" t="n"/>
      <c r="B565" s="177" t="n"/>
      <c r="C565" s="177" t="n"/>
      <c r="D565" s="177" t="n"/>
      <c r="E565" s="177" t="n"/>
      <c r="F565" s="177" t="n"/>
      <c r="G565" s="250" t="n"/>
      <c r="H565" s="177" t="n"/>
      <c r="I565" s="176" t="n"/>
      <c r="J565" s="177" t="n"/>
      <c r="K565" s="177" t="n"/>
      <c r="L565" s="177" t="n"/>
      <c r="M565" s="177" t="n"/>
      <c r="N565" s="177" t="n"/>
      <c r="O565" s="177" t="n"/>
      <c r="P565" s="177" t="n"/>
      <c r="Q565" s="177" t="n"/>
      <c r="R565" s="177" t="n"/>
      <c r="S565" s="177" t="n"/>
      <c r="T565" s="177" t="n"/>
      <c r="U565" s="177" t="n"/>
      <c r="V565" s="177" t="n"/>
      <c r="W565" s="177" t="n"/>
      <c r="X565" s="177" t="n"/>
    </row>
    <row r="566" ht="15.75" customHeight="1" s="297">
      <c r="A566" s="177" t="n"/>
      <c r="B566" s="177" t="n"/>
      <c r="C566" s="177" t="n"/>
      <c r="D566" s="177" t="n"/>
      <c r="E566" s="177" t="n"/>
      <c r="F566" s="177" t="n"/>
      <c r="G566" s="250" t="n"/>
      <c r="H566" s="177" t="n"/>
      <c r="I566" s="176" t="n"/>
      <c r="J566" s="177" t="n"/>
      <c r="K566" s="177" t="n"/>
      <c r="L566" s="177" t="n"/>
      <c r="M566" s="177" t="n"/>
      <c r="N566" s="177" t="n"/>
      <c r="O566" s="177" t="n"/>
      <c r="P566" s="177" t="n"/>
      <c r="Q566" s="177" t="n"/>
      <c r="R566" s="177" t="n"/>
      <c r="S566" s="177" t="n"/>
      <c r="T566" s="177" t="n"/>
      <c r="U566" s="177" t="n"/>
      <c r="V566" s="177" t="n"/>
      <c r="W566" s="177" t="n"/>
      <c r="X566" s="177" t="n"/>
    </row>
    <row r="567" ht="15.75" customHeight="1" s="297">
      <c r="A567" s="177" t="n"/>
      <c r="B567" s="177" t="n"/>
      <c r="C567" s="177" t="n"/>
      <c r="D567" s="177" t="n"/>
      <c r="E567" s="177" t="n"/>
      <c r="F567" s="177" t="n"/>
      <c r="G567" s="250" t="n"/>
      <c r="H567" s="177" t="n"/>
      <c r="I567" s="176" t="n"/>
      <c r="J567" s="177" t="n"/>
      <c r="K567" s="177" t="n"/>
      <c r="L567" s="177" t="n"/>
      <c r="M567" s="177" t="n"/>
      <c r="N567" s="177" t="n"/>
      <c r="O567" s="177" t="n"/>
      <c r="P567" s="177" t="n"/>
      <c r="Q567" s="177" t="n"/>
      <c r="R567" s="177" t="n"/>
      <c r="S567" s="177" t="n"/>
      <c r="T567" s="177" t="n"/>
      <c r="U567" s="177" t="n"/>
      <c r="V567" s="177" t="n"/>
      <c r="W567" s="177" t="n"/>
      <c r="X567" s="177" t="n"/>
    </row>
    <row r="568" ht="15.75" customHeight="1" s="297">
      <c r="A568" s="177" t="n"/>
      <c r="B568" s="177" t="n"/>
      <c r="C568" s="177" t="n"/>
      <c r="D568" s="177" t="n"/>
      <c r="E568" s="177" t="n"/>
      <c r="F568" s="177" t="n"/>
      <c r="G568" s="250" t="n"/>
      <c r="H568" s="177" t="n"/>
      <c r="I568" s="176" t="n"/>
      <c r="J568" s="177" t="n"/>
      <c r="K568" s="177" t="n"/>
      <c r="L568" s="177" t="n"/>
      <c r="M568" s="177" t="n"/>
      <c r="N568" s="177" t="n"/>
      <c r="O568" s="177" t="n"/>
      <c r="P568" s="177" t="n"/>
      <c r="Q568" s="177" t="n"/>
      <c r="R568" s="177" t="n"/>
      <c r="S568" s="177" t="n"/>
      <c r="T568" s="177" t="n"/>
      <c r="U568" s="177" t="n"/>
      <c r="V568" s="177" t="n"/>
      <c r="W568" s="177" t="n"/>
      <c r="X568" s="177" t="n"/>
    </row>
    <row r="569" ht="15.75" customHeight="1" s="297">
      <c r="A569" s="177" t="n"/>
      <c r="B569" s="177" t="n"/>
      <c r="C569" s="177" t="n"/>
      <c r="D569" s="177" t="n"/>
      <c r="E569" s="177" t="n"/>
      <c r="F569" s="177" t="n"/>
      <c r="G569" s="250" t="n"/>
      <c r="H569" s="177" t="n"/>
      <c r="I569" s="176" t="n"/>
      <c r="J569" s="177" t="n"/>
      <c r="K569" s="177" t="n"/>
      <c r="L569" s="177" t="n"/>
      <c r="M569" s="177" t="n"/>
      <c r="N569" s="177" t="n"/>
      <c r="O569" s="177" t="n"/>
      <c r="P569" s="177" t="n"/>
      <c r="Q569" s="177" t="n"/>
      <c r="R569" s="177" t="n"/>
      <c r="S569" s="177" t="n"/>
      <c r="T569" s="177" t="n"/>
      <c r="U569" s="177" t="n"/>
      <c r="V569" s="177" t="n"/>
      <c r="W569" s="177" t="n"/>
      <c r="X569" s="177" t="n"/>
    </row>
    <row r="570" ht="15.75" customHeight="1" s="297">
      <c r="A570" s="177" t="n"/>
      <c r="B570" s="177" t="n"/>
      <c r="C570" s="177" t="n"/>
      <c r="D570" s="177" t="n"/>
      <c r="E570" s="177" t="n"/>
      <c r="F570" s="177" t="n"/>
      <c r="G570" s="250" t="n"/>
      <c r="H570" s="177" t="n"/>
      <c r="I570" s="176" t="n"/>
      <c r="J570" s="177" t="n"/>
      <c r="K570" s="177" t="n"/>
      <c r="L570" s="177" t="n"/>
      <c r="M570" s="177" t="n"/>
      <c r="N570" s="177" t="n"/>
      <c r="O570" s="177" t="n"/>
      <c r="P570" s="177" t="n"/>
      <c r="Q570" s="177" t="n"/>
      <c r="R570" s="177" t="n"/>
      <c r="S570" s="177" t="n"/>
      <c r="T570" s="177" t="n"/>
      <c r="U570" s="177" t="n"/>
      <c r="V570" s="177" t="n"/>
      <c r="W570" s="177" t="n"/>
      <c r="X570" s="177" t="n"/>
    </row>
    <row r="571" ht="15.75" customHeight="1" s="297">
      <c r="A571" s="177" t="n"/>
      <c r="B571" s="177" t="n"/>
      <c r="C571" s="177" t="n"/>
      <c r="D571" s="177" t="n"/>
      <c r="E571" s="177" t="n"/>
      <c r="F571" s="177" t="n"/>
      <c r="G571" s="250" t="n"/>
      <c r="H571" s="177" t="n"/>
      <c r="I571" s="176" t="n"/>
      <c r="J571" s="177" t="n"/>
      <c r="K571" s="177" t="n"/>
      <c r="L571" s="177" t="n"/>
      <c r="M571" s="177" t="n"/>
      <c r="N571" s="177" t="n"/>
      <c r="O571" s="177" t="n"/>
      <c r="P571" s="177" t="n"/>
      <c r="Q571" s="177" t="n"/>
      <c r="R571" s="177" t="n"/>
      <c r="S571" s="177" t="n"/>
      <c r="T571" s="177" t="n"/>
      <c r="U571" s="177" t="n"/>
      <c r="V571" s="177" t="n"/>
      <c r="W571" s="177" t="n"/>
      <c r="X571" s="177" t="n"/>
    </row>
    <row r="572" ht="15.75" customHeight="1" s="297">
      <c r="A572" s="177" t="n"/>
      <c r="B572" s="177" t="n"/>
      <c r="C572" s="177" t="n"/>
      <c r="D572" s="177" t="n"/>
      <c r="E572" s="177" t="n"/>
      <c r="F572" s="177" t="n"/>
      <c r="G572" s="250" t="n"/>
      <c r="H572" s="177" t="n"/>
      <c r="I572" s="176" t="n"/>
      <c r="J572" s="177" t="n"/>
      <c r="K572" s="177" t="n"/>
      <c r="L572" s="177" t="n"/>
      <c r="M572" s="177" t="n"/>
      <c r="N572" s="177" t="n"/>
      <c r="O572" s="177" t="n"/>
      <c r="P572" s="177" t="n"/>
      <c r="Q572" s="177" t="n"/>
      <c r="R572" s="177" t="n"/>
      <c r="S572" s="177" t="n"/>
      <c r="T572" s="177" t="n"/>
      <c r="U572" s="177" t="n"/>
      <c r="V572" s="177" t="n"/>
      <c r="W572" s="177" t="n"/>
      <c r="X572" s="177" t="n"/>
    </row>
    <row r="573" ht="15.75" customHeight="1" s="297">
      <c r="A573" s="177" t="n"/>
      <c r="B573" s="177" t="n"/>
      <c r="C573" s="177" t="n"/>
      <c r="D573" s="177" t="n"/>
      <c r="E573" s="177" t="n"/>
      <c r="F573" s="177" t="n"/>
      <c r="G573" s="250" t="n"/>
      <c r="H573" s="177" t="n"/>
      <c r="I573" s="176" t="n"/>
      <c r="J573" s="177" t="n"/>
      <c r="K573" s="177" t="n"/>
      <c r="L573" s="177" t="n"/>
      <c r="M573" s="177" t="n"/>
      <c r="N573" s="177" t="n"/>
      <c r="O573" s="177" t="n"/>
      <c r="P573" s="177" t="n"/>
      <c r="Q573" s="177" t="n"/>
      <c r="R573" s="177" t="n"/>
      <c r="S573" s="177" t="n"/>
      <c r="T573" s="177" t="n"/>
      <c r="U573" s="177" t="n"/>
      <c r="V573" s="177" t="n"/>
      <c r="W573" s="177" t="n"/>
      <c r="X573" s="177" t="n"/>
    </row>
    <row r="574" ht="15.75" customHeight="1" s="297">
      <c r="A574" s="177" t="n"/>
      <c r="B574" s="177" t="n"/>
      <c r="C574" s="177" t="n"/>
      <c r="D574" s="177" t="n"/>
      <c r="E574" s="177" t="n"/>
      <c r="F574" s="177" t="n"/>
      <c r="G574" s="250" t="n"/>
      <c r="H574" s="177" t="n"/>
      <c r="I574" s="176" t="n"/>
      <c r="J574" s="177" t="n"/>
      <c r="K574" s="177" t="n"/>
      <c r="L574" s="177" t="n"/>
      <c r="M574" s="177" t="n"/>
      <c r="N574" s="177" t="n"/>
      <c r="O574" s="177" t="n"/>
      <c r="P574" s="177" t="n"/>
      <c r="Q574" s="177" t="n"/>
      <c r="R574" s="177" t="n"/>
      <c r="S574" s="177" t="n"/>
      <c r="T574" s="177" t="n"/>
      <c r="U574" s="177" t="n"/>
      <c r="V574" s="177" t="n"/>
      <c r="W574" s="177" t="n"/>
      <c r="X574" s="177" t="n"/>
    </row>
    <row r="575" ht="15.75" customHeight="1" s="297">
      <c r="A575" s="177" t="n"/>
      <c r="B575" s="177" t="n"/>
      <c r="C575" s="177" t="n"/>
      <c r="D575" s="177" t="n"/>
      <c r="E575" s="177" t="n"/>
      <c r="F575" s="177" t="n"/>
      <c r="G575" s="250" t="n"/>
      <c r="H575" s="177" t="n"/>
      <c r="I575" s="176" t="n"/>
      <c r="J575" s="177" t="n"/>
      <c r="K575" s="177" t="n"/>
      <c r="L575" s="177" t="n"/>
      <c r="M575" s="177" t="n"/>
      <c r="N575" s="177" t="n"/>
      <c r="O575" s="177" t="n"/>
      <c r="P575" s="177" t="n"/>
      <c r="Q575" s="177" t="n"/>
      <c r="R575" s="177" t="n"/>
      <c r="S575" s="177" t="n"/>
      <c r="T575" s="177" t="n"/>
      <c r="U575" s="177" t="n"/>
      <c r="V575" s="177" t="n"/>
      <c r="W575" s="177" t="n"/>
      <c r="X575" s="177" t="n"/>
    </row>
    <row r="576" ht="15.75" customHeight="1" s="297">
      <c r="A576" s="177" t="n"/>
      <c r="B576" s="177" t="n"/>
      <c r="C576" s="177" t="n"/>
      <c r="D576" s="177" t="n"/>
      <c r="E576" s="177" t="n"/>
      <c r="F576" s="177" t="n"/>
      <c r="G576" s="250" t="n"/>
      <c r="H576" s="177" t="n"/>
      <c r="I576" s="176" t="n"/>
      <c r="J576" s="177" t="n"/>
      <c r="K576" s="177" t="n"/>
      <c r="L576" s="177" t="n"/>
      <c r="M576" s="177" t="n"/>
      <c r="N576" s="177" t="n"/>
      <c r="O576" s="177" t="n"/>
      <c r="P576" s="177" t="n"/>
      <c r="Q576" s="177" t="n"/>
      <c r="R576" s="177" t="n"/>
      <c r="S576" s="177" t="n"/>
      <c r="T576" s="177" t="n"/>
      <c r="U576" s="177" t="n"/>
      <c r="V576" s="177" t="n"/>
      <c r="W576" s="177" t="n"/>
      <c r="X576" s="177" t="n"/>
    </row>
    <row r="577" ht="15.75" customHeight="1" s="297">
      <c r="A577" s="177" t="n"/>
      <c r="B577" s="177" t="n"/>
      <c r="C577" s="177" t="n"/>
      <c r="D577" s="177" t="n"/>
      <c r="E577" s="177" t="n"/>
      <c r="F577" s="177" t="n"/>
      <c r="G577" s="250" t="n"/>
      <c r="H577" s="177" t="n"/>
      <c r="I577" s="176" t="n"/>
      <c r="J577" s="177" t="n"/>
      <c r="K577" s="177" t="n"/>
      <c r="L577" s="177" t="n"/>
      <c r="M577" s="177" t="n"/>
      <c r="N577" s="177" t="n"/>
      <c r="O577" s="177" t="n"/>
      <c r="P577" s="177" t="n"/>
      <c r="Q577" s="177" t="n"/>
      <c r="R577" s="177" t="n"/>
      <c r="S577" s="177" t="n"/>
      <c r="T577" s="177" t="n"/>
      <c r="U577" s="177" t="n"/>
      <c r="V577" s="177" t="n"/>
      <c r="W577" s="177" t="n"/>
      <c r="X577" s="177" t="n"/>
    </row>
    <row r="578" ht="15.75" customHeight="1" s="297">
      <c r="A578" s="177" t="n"/>
      <c r="B578" s="177" t="n"/>
      <c r="C578" s="177" t="n"/>
      <c r="D578" s="177" t="n"/>
      <c r="E578" s="177" t="n"/>
      <c r="F578" s="177" t="n"/>
      <c r="G578" s="250" t="n"/>
      <c r="H578" s="177" t="n"/>
      <c r="I578" s="176" t="n"/>
      <c r="J578" s="177" t="n"/>
      <c r="K578" s="177" t="n"/>
      <c r="L578" s="177" t="n"/>
      <c r="M578" s="177" t="n"/>
      <c r="N578" s="177" t="n"/>
      <c r="O578" s="177" t="n"/>
      <c r="P578" s="177" t="n"/>
      <c r="Q578" s="177" t="n"/>
      <c r="R578" s="177" t="n"/>
      <c r="S578" s="177" t="n"/>
      <c r="T578" s="177" t="n"/>
      <c r="U578" s="177" t="n"/>
      <c r="V578" s="177" t="n"/>
      <c r="W578" s="177" t="n"/>
      <c r="X578" s="177" t="n"/>
    </row>
    <row r="579" ht="15.75" customHeight="1" s="297">
      <c r="A579" s="177" t="n"/>
      <c r="B579" s="177" t="n"/>
      <c r="C579" s="177" t="n"/>
      <c r="D579" s="177" t="n"/>
      <c r="E579" s="177" t="n"/>
      <c r="F579" s="177" t="n"/>
      <c r="G579" s="250" t="n"/>
      <c r="H579" s="177" t="n"/>
      <c r="I579" s="176" t="n"/>
      <c r="J579" s="177" t="n"/>
      <c r="K579" s="177" t="n"/>
      <c r="L579" s="177" t="n"/>
      <c r="M579" s="177" t="n"/>
      <c r="N579" s="177" t="n"/>
      <c r="O579" s="177" t="n"/>
      <c r="P579" s="177" t="n"/>
      <c r="Q579" s="177" t="n"/>
      <c r="R579" s="177" t="n"/>
      <c r="S579" s="177" t="n"/>
      <c r="T579" s="177" t="n"/>
      <c r="U579" s="177" t="n"/>
      <c r="V579" s="177" t="n"/>
      <c r="W579" s="177" t="n"/>
      <c r="X579" s="177" t="n"/>
    </row>
    <row r="580" ht="15.75" customHeight="1" s="297">
      <c r="A580" s="177" t="n"/>
      <c r="B580" s="177" t="n"/>
      <c r="C580" s="177" t="n"/>
      <c r="D580" s="177" t="n"/>
      <c r="E580" s="177" t="n"/>
      <c r="F580" s="177" t="n"/>
      <c r="G580" s="250" t="n"/>
      <c r="H580" s="177" t="n"/>
      <c r="I580" s="176" t="n"/>
      <c r="J580" s="177" t="n"/>
      <c r="K580" s="177" t="n"/>
      <c r="L580" s="177" t="n"/>
      <c r="M580" s="177" t="n"/>
      <c r="N580" s="177" t="n"/>
      <c r="O580" s="177" t="n"/>
      <c r="P580" s="177" t="n"/>
      <c r="Q580" s="177" t="n"/>
      <c r="R580" s="177" t="n"/>
      <c r="S580" s="177" t="n"/>
      <c r="T580" s="177" t="n"/>
      <c r="U580" s="177" t="n"/>
      <c r="V580" s="177" t="n"/>
      <c r="W580" s="177" t="n"/>
      <c r="X580" s="177" t="n"/>
    </row>
    <row r="581" ht="15.75" customHeight="1" s="297">
      <c r="A581" s="177" t="n"/>
      <c r="B581" s="177" t="n"/>
      <c r="C581" s="177" t="n"/>
      <c r="D581" s="177" t="n"/>
      <c r="E581" s="177" t="n"/>
      <c r="F581" s="177" t="n"/>
      <c r="G581" s="250" t="n"/>
      <c r="H581" s="177" t="n"/>
      <c r="I581" s="176" t="n"/>
      <c r="J581" s="177" t="n"/>
      <c r="K581" s="177" t="n"/>
      <c r="L581" s="177" t="n"/>
      <c r="M581" s="177" t="n"/>
      <c r="N581" s="177" t="n"/>
      <c r="O581" s="177" t="n"/>
      <c r="P581" s="177" t="n"/>
      <c r="Q581" s="177" t="n"/>
      <c r="R581" s="177" t="n"/>
      <c r="S581" s="177" t="n"/>
      <c r="T581" s="177" t="n"/>
      <c r="U581" s="177" t="n"/>
      <c r="V581" s="177" t="n"/>
      <c r="W581" s="177" t="n"/>
      <c r="X581" s="177" t="n"/>
    </row>
    <row r="582" ht="15.75" customHeight="1" s="297">
      <c r="A582" s="177" t="n"/>
      <c r="B582" s="177" t="n"/>
      <c r="C582" s="177" t="n"/>
      <c r="D582" s="177" t="n"/>
      <c r="E582" s="177" t="n"/>
      <c r="F582" s="177" t="n"/>
      <c r="G582" s="250" t="n"/>
      <c r="H582" s="177" t="n"/>
      <c r="I582" s="176" t="n"/>
      <c r="J582" s="177" t="n"/>
      <c r="K582" s="177" t="n"/>
      <c r="L582" s="177" t="n"/>
      <c r="M582" s="177" t="n"/>
      <c r="N582" s="177" t="n"/>
      <c r="O582" s="177" t="n"/>
      <c r="P582" s="177" t="n"/>
      <c r="Q582" s="177" t="n"/>
      <c r="R582" s="177" t="n"/>
      <c r="S582" s="177" t="n"/>
      <c r="T582" s="177" t="n"/>
      <c r="U582" s="177" t="n"/>
      <c r="V582" s="177" t="n"/>
      <c r="W582" s="177" t="n"/>
      <c r="X582" s="177" t="n"/>
    </row>
    <row r="583" ht="15.75" customHeight="1" s="297">
      <c r="A583" s="177" t="n"/>
      <c r="B583" s="177" t="n"/>
      <c r="C583" s="177" t="n"/>
      <c r="D583" s="177" t="n"/>
      <c r="E583" s="177" t="n"/>
      <c r="F583" s="177" t="n"/>
      <c r="G583" s="250" t="n"/>
      <c r="H583" s="177" t="n"/>
      <c r="I583" s="176" t="n"/>
      <c r="J583" s="177" t="n"/>
      <c r="K583" s="177" t="n"/>
      <c r="L583" s="177" t="n"/>
      <c r="M583" s="177" t="n"/>
      <c r="N583" s="177" t="n"/>
      <c r="O583" s="177" t="n"/>
      <c r="P583" s="177" t="n"/>
      <c r="Q583" s="177" t="n"/>
      <c r="R583" s="177" t="n"/>
      <c r="S583" s="177" t="n"/>
      <c r="T583" s="177" t="n"/>
      <c r="U583" s="177" t="n"/>
      <c r="V583" s="177" t="n"/>
      <c r="W583" s="177" t="n"/>
      <c r="X583" s="177" t="n"/>
    </row>
    <row r="584" ht="15.75" customHeight="1" s="297">
      <c r="A584" s="177" t="n"/>
      <c r="B584" s="177" t="n"/>
      <c r="C584" s="177" t="n"/>
      <c r="D584" s="177" t="n"/>
      <c r="E584" s="177" t="n"/>
      <c r="F584" s="177" t="n"/>
      <c r="G584" s="250" t="n"/>
      <c r="H584" s="177" t="n"/>
      <c r="I584" s="176" t="n"/>
      <c r="J584" s="177" t="n"/>
      <c r="K584" s="177" t="n"/>
      <c r="L584" s="177" t="n"/>
      <c r="M584" s="177" t="n"/>
      <c r="N584" s="177" t="n"/>
      <c r="O584" s="177" t="n"/>
      <c r="P584" s="177" t="n"/>
      <c r="Q584" s="177" t="n"/>
      <c r="R584" s="177" t="n"/>
      <c r="S584" s="177" t="n"/>
      <c r="T584" s="177" t="n"/>
      <c r="U584" s="177" t="n"/>
      <c r="V584" s="177" t="n"/>
      <c r="W584" s="177" t="n"/>
      <c r="X584" s="177" t="n"/>
    </row>
    <row r="585" ht="15.75" customHeight="1" s="297">
      <c r="A585" s="177" t="n"/>
      <c r="B585" s="177" t="n"/>
      <c r="C585" s="177" t="n"/>
      <c r="D585" s="177" t="n"/>
      <c r="E585" s="177" t="n"/>
      <c r="F585" s="177" t="n"/>
      <c r="G585" s="250" t="n"/>
      <c r="H585" s="177" t="n"/>
      <c r="I585" s="176" t="n"/>
      <c r="J585" s="177" t="n"/>
      <c r="K585" s="177" t="n"/>
      <c r="L585" s="177" t="n"/>
      <c r="M585" s="177" t="n"/>
      <c r="N585" s="177" t="n"/>
      <c r="O585" s="177" t="n"/>
      <c r="P585" s="177" t="n"/>
      <c r="Q585" s="177" t="n"/>
      <c r="R585" s="177" t="n"/>
      <c r="S585" s="177" t="n"/>
      <c r="T585" s="177" t="n"/>
      <c r="U585" s="177" t="n"/>
      <c r="V585" s="177" t="n"/>
      <c r="W585" s="177" t="n"/>
      <c r="X585" s="177" t="n"/>
    </row>
    <row r="586" ht="15.75" customHeight="1" s="297">
      <c r="A586" s="177" t="n"/>
      <c r="B586" s="177" t="n"/>
      <c r="C586" s="177" t="n"/>
      <c r="D586" s="177" t="n"/>
      <c r="E586" s="177" t="n"/>
      <c r="F586" s="177" t="n"/>
      <c r="G586" s="250" t="n"/>
      <c r="H586" s="177" t="n"/>
      <c r="I586" s="176" t="n"/>
      <c r="J586" s="177" t="n"/>
      <c r="K586" s="177" t="n"/>
      <c r="L586" s="177" t="n"/>
      <c r="M586" s="177" t="n"/>
      <c r="N586" s="177" t="n"/>
      <c r="O586" s="177" t="n"/>
      <c r="P586" s="177" t="n"/>
      <c r="Q586" s="177" t="n"/>
      <c r="R586" s="177" t="n"/>
      <c r="S586" s="177" t="n"/>
      <c r="T586" s="177" t="n"/>
      <c r="U586" s="177" t="n"/>
      <c r="V586" s="177" t="n"/>
      <c r="W586" s="177" t="n"/>
      <c r="X586" s="177" t="n"/>
    </row>
    <row r="587" ht="15.75" customHeight="1" s="297">
      <c r="A587" s="177" t="n"/>
      <c r="B587" s="177" t="n"/>
      <c r="C587" s="177" t="n"/>
      <c r="D587" s="177" t="n"/>
      <c r="E587" s="177" t="n"/>
      <c r="F587" s="177" t="n"/>
      <c r="G587" s="250" t="n"/>
      <c r="H587" s="177" t="n"/>
      <c r="I587" s="176" t="n"/>
      <c r="J587" s="177" t="n"/>
      <c r="K587" s="177" t="n"/>
      <c r="L587" s="177" t="n"/>
      <c r="M587" s="177" t="n"/>
      <c r="N587" s="177" t="n"/>
      <c r="O587" s="177" t="n"/>
      <c r="P587" s="177" t="n"/>
      <c r="Q587" s="177" t="n"/>
      <c r="R587" s="177" t="n"/>
      <c r="S587" s="177" t="n"/>
      <c r="T587" s="177" t="n"/>
      <c r="U587" s="177" t="n"/>
      <c r="V587" s="177" t="n"/>
      <c r="W587" s="177" t="n"/>
      <c r="X587" s="177" t="n"/>
    </row>
    <row r="588" ht="15.75" customHeight="1" s="297">
      <c r="A588" s="177" t="n"/>
      <c r="B588" s="177" t="n"/>
      <c r="C588" s="177" t="n"/>
      <c r="D588" s="177" t="n"/>
      <c r="E588" s="177" t="n"/>
      <c r="F588" s="177" t="n"/>
      <c r="G588" s="250" t="n"/>
      <c r="H588" s="177" t="n"/>
      <c r="I588" s="176" t="n"/>
      <c r="J588" s="177" t="n"/>
      <c r="K588" s="177" t="n"/>
      <c r="L588" s="177" t="n"/>
      <c r="M588" s="177" t="n"/>
      <c r="N588" s="177" t="n"/>
      <c r="O588" s="177" t="n"/>
      <c r="P588" s="177" t="n"/>
      <c r="Q588" s="177" t="n"/>
      <c r="R588" s="177" t="n"/>
      <c r="S588" s="177" t="n"/>
      <c r="T588" s="177" t="n"/>
      <c r="U588" s="177" t="n"/>
      <c r="V588" s="177" t="n"/>
      <c r="W588" s="177" t="n"/>
      <c r="X588" s="177" t="n"/>
    </row>
    <row r="589" ht="15.75" customHeight="1" s="297">
      <c r="A589" s="177" t="n"/>
      <c r="B589" s="177" t="n"/>
      <c r="C589" s="177" t="n"/>
      <c r="D589" s="177" t="n"/>
      <c r="E589" s="177" t="n"/>
      <c r="F589" s="177" t="n"/>
      <c r="G589" s="250" t="n"/>
      <c r="H589" s="177" t="n"/>
      <c r="I589" s="176" t="n"/>
      <c r="J589" s="177" t="n"/>
      <c r="K589" s="177" t="n"/>
      <c r="L589" s="177" t="n"/>
      <c r="M589" s="177" t="n"/>
      <c r="N589" s="177" t="n"/>
      <c r="O589" s="177" t="n"/>
      <c r="P589" s="177" t="n"/>
      <c r="Q589" s="177" t="n"/>
      <c r="R589" s="177" t="n"/>
      <c r="S589" s="177" t="n"/>
      <c r="T589" s="177" t="n"/>
      <c r="U589" s="177" t="n"/>
      <c r="V589" s="177" t="n"/>
      <c r="W589" s="177" t="n"/>
      <c r="X589" s="177" t="n"/>
    </row>
    <row r="590" ht="15.75" customHeight="1" s="297">
      <c r="A590" s="177" t="n"/>
      <c r="B590" s="177" t="n"/>
      <c r="C590" s="177" t="n"/>
      <c r="D590" s="177" t="n"/>
      <c r="E590" s="177" t="n"/>
      <c r="F590" s="177" t="n"/>
      <c r="G590" s="250" t="n"/>
      <c r="H590" s="177" t="n"/>
      <c r="I590" s="176" t="n"/>
      <c r="J590" s="177" t="n"/>
      <c r="K590" s="177" t="n"/>
      <c r="L590" s="177" t="n"/>
      <c r="M590" s="177" t="n"/>
      <c r="N590" s="177" t="n"/>
      <c r="O590" s="177" t="n"/>
      <c r="P590" s="177" t="n"/>
      <c r="Q590" s="177" t="n"/>
      <c r="R590" s="177" t="n"/>
      <c r="S590" s="177" t="n"/>
      <c r="T590" s="177" t="n"/>
      <c r="U590" s="177" t="n"/>
      <c r="V590" s="177" t="n"/>
      <c r="W590" s="177" t="n"/>
      <c r="X590" s="177" t="n"/>
    </row>
    <row r="591" ht="15.75" customHeight="1" s="297">
      <c r="A591" s="177" t="n"/>
      <c r="B591" s="177" t="n"/>
      <c r="C591" s="177" t="n"/>
      <c r="D591" s="177" t="n"/>
      <c r="E591" s="177" t="n"/>
      <c r="F591" s="177" t="n"/>
      <c r="G591" s="250" t="n"/>
      <c r="H591" s="177" t="n"/>
      <c r="I591" s="176" t="n"/>
      <c r="J591" s="177" t="n"/>
      <c r="K591" s="177" t="n"/>
      <c r="L591" s="177" t="n"/>
      <c r="M591" s="177" t="n"/>
      <c r="N591" s="177" t="n"/>
      <c r="O591" s="177" t="n"/>
      <c r="P591" s="177" t="n"/>
      <c r="Q591" s="177" t="n"/>
      <c r="R591" s="177" t="n"/>
      <c r="S591" s="177" t="n"/>
      <c r="T591" s="177" t="n"/>
      <c r="U591" s="177" t="n"/>
      <c r="V591" s="177" t="n"/>
      <c r="W591" s="177" t="n"/>
      <c r="X591" s="177" t="n"/>
    </row>
    <row r="592" ht="15.75" customHeight="1" s="297">
      <c r="A592" s="177" t="n"/>
      <c r="B592" s="177" t="n"/>
      <c r="C592" s="177" t="n"/>
      <c r="D592" s="177" t="n"/>
      <c r="E592" s="177" t="n"/>
      <c r="F592" s="177" t="n"/>
      <c r="G592" s="250" t="n"/>
      <c r="H592" s="177" t="n"/>
      <c r="I592" s="176" t="n"/>
      <c r="J592" s="177" t="n"/>
      <c r="K592" s="177" t="n"/>
      <c r="L592" s="177" t="n"/>
      <c r="M592" s="177" t="n"/>
      <c r="N592" s="177" t="n"/>
      <c r="O592" s="177" t="n"/>
      <c r="P592" s="177" t="n"/>
      <c r="Q592" s="177" t="n"/>
      <c r="R592" s="177" t="n"/>
      <c r="S592" s="177" t="n"/>
      <c r="T592" s="177" t="n"/>
      <c r="U592" s="177" t="n"/>
      <c r="V592" s="177" t="n"/>
      <c r="W592" s="177" t="n"/>
      <c r="X592" s="177" t="n"/>
    </row>
    <row r="593" ht="15.75" customHeight="1" s="297">
      <c r="A593" s="177" t="n"/>
      <c r="B593" s="177" t="n"/>
      <c r="C593" s="177" t="n"/>
      <c r="D593" s="177" t="n"/>
      <c r="E593" s="177" t="n"/>
      <c r="F593" s="177" t="n"/>
      <c r="G593" s="250" t="n"/>
      <c r="H593" s="177" t="n"/>
      <c r="I593" s="176" t="n"/>
      <c r="J593" s="177" t="n"/>
      <c r="K593" s="177" t="n"/>
      <c r="L593" s="177" t="n"/>
      <c r="M593" s="177" t="n"/>
      <c r="N593" s="177" t="n"/>
      <c r="O593" s="177" t="n"/>
      <c r="P593" s="177" t="n"/>
      <c r="Q593" s="177" t="n"/>
      <c r="R593" s="177" t="n"/>
      <c r="S593" s="177" t="n"/>
      <c r="T593" s="177" t="n"/>
      <c r="U593" s="177" t="n"/>
      <c r="V593" s="177" t="n"/>
      <c r="W593" s="177" t="n"/>
      <c r="X593" s="177" t="n"/>
    </row>
    <row r="594" ht="15.75" customHeight="1" s="297">
      <c r="A594" s="177" t="n"/>
      <c r="B594" s="177" t="n"/>
      <c r="C594" s="177" t="n"/>
      <c r="D594" s="177" t="n"/>
      <c r="E594" s="177" t="n"/>
      <c r="F594" s="177" t="n"/>
      <c r="G594" s="250" t="n"/>
      <c r="H594" s="177" t="n"/>
      <c r="I594" s="176" t="n"/>
      <c r="J594" s="177" t="n"/>
      <c r="K594" s="177" t="n"/>
      <c r="L594" s="177" t="n"/>
      <c r="M594" s="177" t="n"/>
      <c r="N594" s="177" t="n"/>
      <c r="O594" s="177" t="n"/>
      <c r="P594" s="177" t="n"/>
      <c r="Q594" s="177" t="n"/>
      <c r="R594" s="177" t="n"/>
      <c r="S594" s="177" t="n"/>
      <c r="T594" s="177" t="n"/>
      <c r="U594" s="177" t="n"/>
      <c r="V594" s="177" t="n"/>
      <c r="W594" s="177" t="n"/>
      <c r="X594" s="177" t="n"/>
    </row>
    <row r="595" ht="15.75" customHeight="1" s="297">
      <c r="A595" s="177" t="n"/>
      <c r="B595" s="177" t="n"/>
      <c r="C595" s="177" t="n"/>
      <c r="D595" s="177" t="n"/>
      <c r="E595" s="177" t="n"/>
      <c r="F595" s="177" t="n"/>
      <c r="G595" s="250" t="n"/>
      <c r="H595" s="177" t="n"/>
      <c r="I595" s="176" t="n"/>
      <c r="J595" s="177" t="n"/>
      <c r="K595" s="177" t="n"/>
      <c r="L595" s="177" t="n"/>
      <c r="M595" s="177" t="n"/>
      <c r="N595" s="177" t="n"/>
      <c r="O595" s="177" t="n"/>
      <c r="P595" s="177" t="n"/>
      <c r="Q595" s="177" t="n"/>
      <c r="R595" s="177" t="n"/>
      <c r="S595" s="177" t="n"/>
      <c r="T595" s="177" t="n"/>
      <c r="U595" s="177" t="n"/>
      <c r="V595" s="177" t="n"/>
      <c r="W595" s="177" t="n"/>
      <c r="X595" s="177" t="n"/>
    </row>
    <row r="596" ht="15.75" customHeight="1" s="297">
      <c r="A596" s="177" t="n"/>
      <c r="B596" s="177" t="n"/>
      <c r="C596" s="177" t="n"/>
      <c r="D596" s="177" t="n"/>
      <c r="E596" s="177" t="n"/>
      <c r="F596" s="177" t="n"/>
      <c r="G596" s="250" t="n"/>
      <c r="H596" s="177" t="n"/>
      <c r="I596" s="176" t="n"/>
      <c r="J596" s="177" t="n"/>
      <c r="K596" s="177" t="n"/>
      <c r="L596" s="177" t="n"/>
      <c r="M596" s="177" t="n"/>
      <c r="N596" s="177" t="n"/>
      <c r="O596" s="177" t="n"/>
      <c r="P596" s="177" t="n"/>
      <c r="Q596" s="177" t="n"/>
      <c r="R596" s="177" t="n"/>
      <c r="S596" s="177" t="n"/>
      <c r="T596" s="177" t="n"/>
      <c r="U596" s="177" t="n"/>
      <c r="V596" s="177" t="n"/>
      <c r="W596" s="177" t="n"/>
      <c r="X596" s="177" t="n"/>
    </row>
    <row r="597" ht="15.75" customHeight="1" s="297">
      <c r="A597" s="177" t="n"/>
      <c r="B597" s="177" t="n"/>
      <c r="C597" s="177" t="n"/>
      <c r="D597" s="177" t="n"/>
      <c r="E597" s="177" t="n"/>
      <c r="F597" s="177" t="n"/>
      <c r="G597" s="250" t="n"/>
      <c r="H597" s="177" t="n"/>
      <c r="I597" s="176" t="n"/>
      <c r="J597" s="177" t="n"/>
      <c r="K597" s="177" t="n"/>
      <c r="L597" s="177" t="n"/>
      <c r="M597" s="177" t="n"/>
      <c r="N597" s="177" t="n"/>
      <c r="O597" s="177" t="n"/>
      <c r="P597" s="177" t="n"/>
      <c r="Q597" s="177" t="n"/>
      <c r="R597" s="177" t="n"/>
      <c r="S597" s="177" t="n"/>
      <c r="T597" s="177" t="n"/>
      <c r="U597" s="177" t="n"/>
      <c r="V597" s="177" t="n"/>
      <c r="W597" s="177" t="n"/>
      <c r="X597" s="177" t="n"/>
    </row>
    <row r="598" ht="15.75" customHeight="1" s="297">
      <c r="A598" s="177" t="n"/>
      <c r="B598" s="177" t="n"/>
      <c r="C598" s="177" t="n"/>
      <c r="D598" s="177" t="n"/>
      <c r="E598" s="177" t="n"/>
      <c r="F598" s="177" t="n"/>
      <c r="G598" s="250" t="n"/>
      <c r="H598" s="177" t="n"/>
      <c r="I598" s="176" t="n"/>
      <c r="J598" s="177" t="n"/>
      <c r="K598" s="177" t="n"/>
      <c r="L598" s="177" t="n"/>
      <c r="M598" s="177" t="n"/>
      <c r="N598" s="177" t="n"/>
      <c r="O598" s="177" t="n"/>
      <c r="P598" s="177" t="n"/>
      <c r="Q598" s="177" t="n"/>
      <c r="R598" s="177" t="n"/>
      <c r="S598" s="177" t="n"/>
      <c r="T598" s="177" t="n"/>
      <c r="U598" s="177" t="n"/>
      <c r="V598" s="177" t="n"/>
      <c r="W598" s="177" t="n"/>
      <c r="X598" s="177" t="n"/>
    </row>
    <row r="599" ht="15.75" customHeight="1" s="297">
      <c r="A599" s="177" t="n"/>
      <c r="B599" s="177" t="n"/>
      <c r="C599" s="177" t="n"/>
      <c r="D599" s="177" t="n"/>
      <c r="E599" s="177" t="n"/>
      <c r="F599" s="177" t="n"/>
      <c r="G599" s="250" t="n"/>
      <c r="H599" s="177" t="n"/>
      <c r="I599" s="176" t="n"/>
      <c r="J599" s="177" t="n"/>
      <c r="K599" s="177" t="n"/>
      <c r="L599" s="177" t="n"/>
      <c r="M599" s="177" t="n"/>
      <c r="N599" s="177" t="n"/>
      <c r="O599" s="177" t="n"/>
      <c r="P599" s="177" t="n"/>
      <c r="Q599" s="177" t="n"/>
      <c r="R599" s="177" t="n"/>
      <c r="S599" s="177" t="n"/>
      <c r="T599" s="177" t="n"/>
      <c r="U599" s="177" t="n"/>
      <c r="V599" s="177" t="n"/>
      <c r="W599" s="177" t="n"/>
      <c r="X599" s="177" t="n"/>
    </row>
    <row r="600" ht="15.75" customHeight="1" s="297">
      <c r="A600" s="177" t="n"/>
      <c r="B600" s="177" t="n"/>
      <c r="C600" s="177" t="n"/>
      <c r="D600" s="177" t="n"/>
      <c r="E600" s="177" t="n"/>
      <c r="F600" s="177" t="n"/>
      <c r="G600" s="250" t="n"/>
      <c r="H600" s="177" t="n"/>
      <c r="I600" s="176" t="n"/>
      <c r="J600" s="177" t="n"/>
      <c r="K600" s="177" t="n"/>
      <c r="L600" s="177" t="n"/>
      <c r="M600" s="177" t="n"/>
      <c r="N600" s="177" t="n"/>
      <c r="O600" s="177" t="n"/>
      <c r="P600" s="177" t="n"/>
      <c r="Q600" s="177" t="n"/>
      <c r="R600" s="177" t="n"/>
      <c r="S600" s="177" t="n"/>
      <c r="T600" s="177" t="n"/>
      <c r="U600" s="177" t="n"/>
      <c r="V600" s="177" t="n"/>
      <c r="W600" s="177" t="n"/>
      <c r="X600" s="177" t="n"/>
    </row>
    <row r="601" ht="15.75" customHeight="1" s="297">
      <c r="A601" s="177" t="n"/>
      <c r="B601" s="177" t="n"/>
      <c r="C601" s="177" t="n"/>
      <c r="D601" s="177" t="n"/>
      <c r="E601" s="177" t="n"/>
      <c r="F601" s="177" t="n"/>
      <c r="G601" s="250" t="n"/>
      <c r="H601" s="177" t="n"/>
      <c r="I601" s="176" t="n"/>
      <c r="J601" s="177" t="n"/>
      <c r="K601" s="177" t="n"/>
      <c r="L601" s="177" t="n"/>
      <c r="M601" s="177" t="n"/>
      <c r="N601" s="177" t="n"/>
      <c r="O601" s="177" t="n"/>
      <c r="P601" s="177" t="n"/>
      <c r="Q601" s="177" t="n"/>
      <c r="R601" s="177" t="n"/>
      <c r="S601" s="177" t="n"/>
      <c r="T601" s="177" t="n"/>
      <c r="U601" s="177" t="n"/>
      <c r="V601" s="177" t="n"/>
      <c r="W601" s="177" t="n"/>
      <c r="X601" s="177" t="n"/>
    </row>
    <row r="602" ht="15.75" customHeight="1" s="297">
      <c r="A602" s="177" t="n"/>
      <c r="B602" s="177" t="n"/>
      <c r="C602" s="177" t="n"/>
      <c r="D602" s="177" t="n"/>
      <c r="E602" s="177" t="n"/>
      <c r="F602" s="177" t="n"/>
      <c r="G602" s="250" t="n"/>
      <c r="H602" s="177" t="n"/>
      <c r="I602" s="176" t="n"/>
      <c r="J602" s="177" t="n"/>
      <c r="K602" s="177" t="n"/>
      <c r="L602" s="177" t="n"/>
      <c r="M602" s="177" t="n"/>
      <c r="N602" s="177" t="n"/>
      <c r="O602" s="177" t="n"/>
      <c r="P602" s="177" t="n"/>
      <c r="Q602" s="177" t="n"/>
      <c r="R602" s="177" t="n"/>
      <c r="S602" s="177" t="n"/>
      <c r="T602" s="177" t="n"/>
      <c r="U602" s="177" t="n"/>
      <c r="V602" s="177" t="n"/>
      <c r="W602" s="177" t="n"/>
      <c r="X602" s="177" t="n"/>
    </row>
    <row r="603" ht="15.75" customHeight="1" s="297">
      <c r="A603" s="177" t="n"/>
      <c r="B603" s="177" t="n"/>
      <c r="C603" s="177" t="n"/>
      <c r="D603" s="177" t="n"/>
      <c r="E603" s="177" t="n"/>
      <c r="F603" s="177" t="n"/>
      <c r="G603" s="250" t="n"/>
      <c r="H603" s="177" t="n"/>
      <c r="I603" s="176" t="n"/>
      <c r="J603" s="177" t="n"/>
      <c r="K603" s="177" t="n"/>
      <c r="L603" s="177" t="n"/>
      <c r="M603" s="177" t="n"/>
      <c r="N603" s="177" t="n"/>
      <c r="O603" s="177" t="n"/>
      <c r="P603" s="177" t="n"/>
      <c r="Q603" s="177" t="n"/>
      <c r="R603" s="177" t="n"/>
      <c r="S603" s="177" t="n"/>
      <c r="T603" s="177" t="n"/>
      <c r="U603" s="177" t="n"/>
      <c r="V603" s="177" t="n"/>
      <c r="W603" s="177" t="n"/>
      <c r="X603" s="177" t="n"/>
    </row>
    <row r="604" ht="15.75" customHeight="1" s="297">
      <c r="A604" s="177" t="n"/>
      <c r="B604" s="177" t="n"/>
      <c r="C604" s="177" t="n"/>
      <c r="D604" s="177" t="n"/>
      <c r="E604" s="177" t="n"/>
      <c r="F604" s="177" t="n"/>
      <c r="G604" s="250" t="n"/>
      <c r="H604" s="177" t="n"/>
      <c r="I604" s="176" t="n"/>
      <c r="J604" s="177" t="n"/>
      <c r="K604" s="177" t="n"/>
      <c r="L604" s="177" t="n"/>
      <c r="M604" s="177" t="n"/>
      <c r="N604" s="177" t="n"/>
      <c r="O604" s="177" t="n"/>
      <c r="P604" s="177" t="n"/>
      <c r="Q604" s="177" t="n"/>
      <c r="R604" s="177" t="n"/>
      <c r="S604" s="177" t="n"/>
      <c r="T604" s="177" t="n"/>
      <c r="U604" s="177" t="n"/>
      <c r="V604" s="177" t="n"/>
      <c r="W604" s="177" t="n"/>
      <c r="X604" s="177" t="n"/>
    </row>
    <row r="605" ht="15.75" customHeight="1" s="297">
      <c r="A605" s="177" t="n"/>
      <c r="B605" s="177" t="n"/>
      <c r="C605" s="177" t="n"/>
      <c r="D605" s="177" t="n"/>
      <c r="E605" s="177" t="n"/>
      <c r="F605" s="177" t="n"/>
      <c r="G605" s="250" t="n"/>
      <c r="H605" s="177" t="n"/>
      <c r="I605" s="176" t="n"/>
      <c r="J605" s="177" t="n"/>
      <c r="K605" s="177" t="n"/>
      <c r="L605" s="177" t="n"/>
      <c r="M605" s="177" t="n"/>
      <c r="N605" s="177" t="n"/>
      <c r="O605" s="177" t="n"/>
      <c r="P605" s="177" t="n"/>
      <c r="Q605" s="177" t="n"/>
      <c r="R605" s="177" t="n"/>
      <c r="S605" s="177" t="n"/>
      <c r="T605" s="177" t="n"/>
      <c r="U605" s="177" t="n"/>
      <c r="V605" s="177" t="n"/>
      <c r="W605" s="177" t="n"/>
      <c r="X605" s="177" t="n"/>
    </row>
    <row r="606" ht="15.75" customHeight="1" s="297">
      <c r="A606" s="177" t="n"/>
      <c r="B606" s="177" t="n"/>
      <c r="C606" s="177" t="n"/>
      <c r="D606" s="177" t="n"/>
      <c r="E606" s="177" t="n"/>
      <c r="F606" s="177" t="n"/>
      <c r="G606" s="250" t="n"/>
      <c r="H606" s="177" t="n"/>
      <c r="I606" s="176" t="n"/>
      <c r="J606" s="177" t="n"/>
      <c r="K606" s="177" t="n"/>
      <c r="L606" s="177" t="n"/>
      <c r="M606" s="177" t="n"/>
      <c r="N606" s="177" t="n"/>
      <c r="O606" s="177" t="n"/>
      <c r="P606" s="177" t="n"/>
      <c r="Q606" s="177" t="n"/>
      <c r="R606" s="177" t="n"/>
      <c r="S606" s="177" t="n"/>
      <c r="T606" s="177" t="n"/>
      <c r="U606" s="177" t="n"/>
      <c r="V606" s="177" t="n"/>
      <c r="W606" s="177" t="n"/>
      <c r="X606" s="177" t="n"/>
    </row>
    <row r="607" ht="15.75" customHeight="1" s="297">
      <c r="A607" s="177" t="n"/>
      <c r="B607" s="177" t="n"/>
      <c r="C607" s="177" t="n"/>
      <c r="D607" s="177" t="n"/>
      <c r="E607" s="177" t="n"/>
      <c r="F607" s="177" t="n"/>
      <c r="G607" s="250" t="n"/>
      <c r="H607" s="177" t="n"/>
      <c r="I607" s="176" t="n"/>
      <c r="J607" s="177" t="n"/>
      <c r="K607" s="177" t="n"/>
      <c r="L607" s="177" t="n"/>
      <c r="M607" s="177" t="n"/>
      <c r="N607" s="177" t="n"/>
      <c r="O607" s="177" t="n"/>
      <c r="P607" s="177" t="n"/>
      <c r="Q607" s="177" t="n"/>
      <c r="R607" s="177" t="n"/>
      <c r="S607" s="177" t="n"/>
      <c r="T607" s="177" t="n"/>
      <c r="U607" s="177" t="n"/>
      <c r="V607" s="177" t="n"/>
      <c r="W607" s="177" t="n"/>
      <c r="X607" s="177" t="n"/>
    </row>
    <row r="608" ht="15.75" customHeight="1" s="297">
      <c r="A608" s="177" t="n"/>
      <c r="B608" s="177" t="n"/>
      <c r="C608" s="177" t="n"/>
      <c r="D608" s="177" t="n"/>
      <c r="E608" s="177" t="n"/>
      <c r="F608" s="177" t="n"/>
      <c r="G608" s="250" t="n"/>
      <c r="H608" s="177" t="n"/>
      <c r="I608" s="176" t="n"/>
      <c r="J608" s="177" t="n"/>
      <c r="K608" s="177" t="n"/>
      <c r="L608" s="177" t="n"/>
      <c r="M608" s="177" t="n"/>
      <c r="N608" s="177" t="n"/>
      <c r="O608" s="177" t="n"/>
      <c r="P608" s="177" t="n"/>
      <c r="Q608" s="177" t="n"/>
      <c r="R608" s="177" t="n"/>
      <c r="S608" s="177" t="n"/>
      <c r="T608" s="177" t="n"/>
      <c r="U608" s="177" t="n"/>
      <c r="V608" s="177" t="n"/>
      <c r="W608" s="177" t="n"/>
      <c r="X608" s="177" t="n"/>
    </row>
    <row r="609" ht="15.75" customHeight="1" s="297">
      <c r="A609" s="177" t="n"/>
      <c r="B609" s="177" t="n"/>
      <c r="C609" s="177" t="n"/>
      <c r="D609" s="177" t="n"/>
      <c r="E609" s="177" t="n"/>
      <c r="F609" s="177" t="n"/>
      <c r="G609" s="250" t="n"/>
      <c r="H609" s="177" t="n"/>
      <c r="I609" s="176" t="n"/>
      <c r="J609" s="177" t="n"/>
      <c r="K609" s="177" t="n"/>
      <c r="L609" s="177" t="n"/>
      <c r="M609" s="177" t="n"/>
      <c r="N609" s="177" t="n"/>
      <c r="O609" s="177" t="n"/>
      <c r="P609" s="177" t="n"/>
      <c r="Q609" s="177" t="n"/>
      <c r="R609" s="177" t="n"/>
      <c r="S609" s="177" t="n"/>
      <c r="T609" s="177" t="n"/>
      <c r="U609" s="177" t="n"/>
      <c r="V609" s="177" t="n"/>
      <c r="W609" s="177" t="n"/>
      <c r="X609" s="177" t="n"/>
    </row>
    <row r="610" ht="15.75" customHeight="1" s="297">
      <c r="A610" s="177" t="n"/>
      <c r="B610" s="177" t="n"/>
      <c r="C610" s="177" t="n"/>
      <c r="D610" s="177" t="n"/>
      <c r="E610" s="177" t="n"/>
      <c r="F610" s="177" t="n"/>
      <c r="G610" s="250" t="n"/>
      <c r="H610" s="177" t="n"/>
      <c r="I610" s="176" t="n"/>
      <c r="J610" s="177" t="n"/>
      <c r="K610" s="177" t="n"/>
      <c r="L610" s="177" t="n"/>
      <c r="M610" s="177" t="n"/>
      <c r="N610" s="177" t="n"/>
      <c r="O610" s="177" t="n"/>
      <c r="P610" s="177" t="n"/>
      <c r="Q610" s="177" t="n"/>
      <c r="R610" s="177" t="n"/>
      <c r="S610" s="177" t="n"/>
      <c r="T610" s="177" t="n"/>
      <c r="U610" s="177" t="n"/>
      <c r="V610" s="177" t="n"/>
      <c r="W610" s="177" t="n"/>
      <c r="X610" s="177" t="n"/>
    </row>
    <row r="611" ht="15.75" customHeight="1" s="297">
      <c r="A611" s="177" t="n"/>
      <c r="B611" s="177" t="n"/>
      <c r="C611" s="177" t="n"/>
      <c r="D611" s="177" t="n"/>
      <c r="E611" s="177" t="n"/>
      <c r="F611" s="177" t="n"/>
      <c r="G611" s="250" t="n"/>
      <c r="H611" s="177" t="n"/>
      <c r="I611" s="176" t="n"/>
      <c r="J611" s="177" t="n"/>
      <c r="K611" s="177" t="n"/>
      <c r="L611" s="177" t="n"/>
      <c r="M611" s="177" t="n"/>
      <c r="N611" s="177" t="n"/>
      <c r="O611" s="177" t="n"/>
      <c r="P611" s="177" t="n"/>
      <c r="Q611" s="177" t="n"/>
      <c r="R611" s="177" t="n"/>
      <c r="S611" s="177" t="n"/>
      <c r="T611" s="177" t="n"/>
      <c r="U611" s="177" t="n"/>
      <c r="V611" s="177" t="n"/>
      <c r="W611" s="177" t="n"/>
      <c r="X611" s="177" t="n"/>
    </row>
    <row r="612" ht="15.75" customHeight="1" s="297">
      <c r="A612" s="177" t="n"/>
      <c r="B612" s="177" t="n"/>
      <c r="C612" s="177" t="n"/>
      <c r="D612" s="177" t="n"/>
      <c r="E612" s="177" t="n"/>
      <c r="F612" s="177" t="n"/>
      <c r="G612" s="250" t="n"/>
      <c r="H612" s="177" t="n"/>
      <c r="I612" s="176" t="n"/>
      <c r="J612" s="177" t="n"/>
      <c r="K612" s="177" t="n"/>
      <c r="L612" s="177" t="n"/>
      <c r="M612" s="177" t="n"/>
      <c r="N612" s="177" t="n"/>
      <c r="O612" s="177" t="n"/>
      <c r="P612" s="177" t="n"/>
      <c r="Q612" s="177" t="n"/>
      <c r="R612" s="177" t="n"/>
      <c r="S612" s="177" t="n"/>
      <c r="T612" s="177" t="n"/>
      <c r="U612" s="177" t="n"/>
      <c r="V612" s="177" t="n"/>
      <c r="W612" s="177" t="n"/>
      <c r="X612" s="177" t="n"/>
    </row>
    <row r="613" ht="15.75" customHeight="1" s="297">
      <c r="A613" s="177" t="n"/>
      <c r="B613" s="177" t="n"/>
      <c r="C613" s="177" t="n"/>
      <c r="D613" s="177" t="n"/>
      <c r="E613" s="177" t="n"/>
      <c r="F613" s="177" t="n"/>
      <c r="G613" s="250" t="n"/>
      <c r="H613" s="177" t="n"/>
      <c r="I613" s="176" t="n"/>
      <c r="J613" s="177" t="n"/>
      <c r="K613" s="177" t="n"/>
      <c r="L613" s="177" t="n"/>
      <c r="M613" s="177" t="n"/>
      <c r="N613" s="177" t="n"/>
      <c r="O613" s="177" t="n"/>
      <c r="P613" s="177" t="n"/>
      <c r="Q613" s="177" t="n"/>
      <c r="R613" s="177" t="n"/>
      <c r="S613" s="177" t="n"/>
      <c r="T613" s="177" t="n"/>
      <c r="U613" s="177" t="n"/>
      <c r="V613" s="177" t="n"/>
      <c r="W613" s="177" t="n"/>
      <c r="X613" s="177" t="n"/>
    </row>
    <row r="614" ht="15.75" customHeight="1" s="297">
      <c r="A614" s="177" t="n"/>
      <c r="B614" s="177" t="n"/>
      <c r="C614" s="177" t="n"/>
      <c r="D614" s="177" t="n"/>
      <c r="E614" s="177" t="n"/>
      <c r="F614" s="177" t="n"/>
      <c r="G614" s="250" t="n"/>
      <c r="H614" s="177" t="n"/>
      <c r="I614" s="176" t="n"/>
      <c r="J614" s="177" t="n"/>
      <c r="K614" s="177" t="n"/>
      <c r="L614" s="177" t="n"/>
      <c r="M614" s="177" t="n"/>
      <c r="N614" s="177" t="n"/>
      <c r="O614" s="177" t="n"/>
      <c r="P614" s="177" t="n"/>
      <c r="Q614" s="177" t="n"/>
      <c r="R614" s="177" t="n"/>
      <c r="S614" s="177" t="n"/>
      <c r="T614" s="177" t="n"/>
      <c r="U614" s="177" t="n"/>
      <c r="V614" s="177" t="n"/>
      <c r="W614" s="177" t="n"/>
      <c r="X614" s="177" t="n"/>
    </row>
    <row r="615" ht="15.75" customHeight="1" s="297">
      <c r="A615" s="177" t="n"/>
      <c r="B615" s="177" t="n"/>
      <c r="C615" s="177" t="n"/>
      <c r="D615" s="177" t="n"/>
      <c r="E615" s="177" t="n"/>
      <c r="F615" s="177" t="n"/>
      <c r="G615" s="250" t="n"/>
      <c r="H615" s="177" t="n"/>
      <c r="I615" s="176" t="n"/>
      <c r="J615" s="177" t="n"/>
      <c r="K615" s="177" t="n"/>
      <c r="L615" s="177" t="n"/>
      <c r="M615" s="177" t="n"/>
      <c r="N615" s="177" t="n"/>
      <c r="O615" s="177" t="n"/>
      <c r="P615" s="177" t="n"/>
      <c r="Q615" s="177" t="n"/>
      <c r="R615" s="177" t="n"/>
      <c r="S615" s="177" t="n"/>
      <c r="T615" s="177" t="n"/>
      <c r="U615" s="177" t="n"/>
      <c r="V615" s="177" t="n"/>
      <c r="W615" s="177" t="n"/>
      <c r="X615" s="177" t="n"/>
    </row>
    <row r="616" ht="15.75" customHeight="1" s="297">
      <c r="A616" s="177" t="n"/>
      <c r="B616" s="177" t="n"/>
      <c r="C616" s="177" t="n"/>
      <c r="D616" s="177" t="n"/>
      <c r="E616" s="177" t="n"/>
      <c r="F616" s="177" t="n"/>
      <c r="G616" s="250" t="n"/>
      <c r="H616" s="177" t="n"/>
      <c r="I616" s="176" t="n"/>
      <c r="J616" s="177" t="n"/>
      <c r="K616" s="177" t="n"/>
      <c r="L616" s="177" t="n"/>
      <c r="M616" s="177" t="n"/>
      <c r="N616" s="177" t="n"/>
      <c r="O616" s="177" t="n"/>
      <c r="P616" s="177" t="n"/>
      <c r="Q616" s="177" t="n"/>
      <c r="R616" s="177" t="n"/>
      <c r="S616" s="177" t="n"/>
      <c r="T616" s="177" t="n"/>
      <c r="U616" s="177" t="n"/>
      <c r="V616" s="177" t="n"/>
      <c r="W616" s="177" t="n"/>
      <c r="X616" s="177" t="n"/>
    </row>
    <row r="617" ht="15.75" customHeight="1" s="297">
      <c r="A617" s="177" t="n"/>
      <c r="B617" s="177" t="n"/>
      <c r="C617" s="177" t="n"/>
      <c r="D617" s="177" t="n"/>
      <c r="E617" s="177" t="n"/>
      <c r="F617" s="177" t="n"/>
      <c r="G617" s="250" t="n"/>
      <c r="H617" s="177" t="n"/>
      <c r="I617" s="176" t="n"/>
      <c r="J617" s="177" t="n"/>
      <c r="K617" s="177" t="n"/>
      <c r="L617" s="177" t="n"/>
      <c r="M617" s="177" t="n"/>
      <c r="N617" s="177" t="n"/>
      <c r="O617" s="177" t="n"/>
      <c r="P617" s="177" t="n"/>
      <c r="Q617" s="177" t="n"/>
      <c r="R617" s="177" t="n"/>
      <c r="S617" s="177" t="n"/>
      <c r="T617" s="177" t="n"/>
      <c r="U617" s="177" t="n"/>
      <c r="V617" s="177" t="n"/>
      <c r="W617" s="177" t="n"/>
      <c r="X617" s="177" t="n"/>
    </row>
    <row r="618" ht="15.75" customHeight="1" s="297">
      <c r="A618" s="177" t="n"/>
      <c r="B618" s="177" t="n"/>
      <c r="C618" s="177" t="n"/>
      <c r="D618" s="177" t="n"/>
      <c r="E618" s="177" t="n"/>
      <c r="F618" s="177" t="n"/>
      <c r="G618" s="250" t="n"/>
      <c r="H618" s="177" t="n"/>
      <c r="I618" s="176" t="n"/>
      <c r="J618" s="177" t="n"/>
      <c r="K618" s="177" t="n"/>
      <c r="L618" s="177" t="n"/>
      <c r="M618" s="177" t="n"/>
      <c r="N618" s="177" t="n"/>
      <c r="O618" s="177" t="n"/>
      <c r="P618" s="177" t="n"/>
      <c r="Q618" s="177" t="n"/>
      <c r="R618" s="177" t="n"/>
      <c r="S618" s="177" t="n"/>
      <c r="T618" s="177" t="n"/>
      <c r="U618" s="177" t="n"/>
      <c r="V618" s="177" t="n"/>
      <c r="W618" s="177" t="n"/>
      <c r="X618" s="177" t="n"/>
    </row>
    <row r="619" ht="15.75" customHeight="1" s="297">
      <c r="A619" s="177" t="n"/>
      <c r="B619" s="177" t="n"/>
      <c r="C619" s="177" t="n"/>
      <c r="D619" s="177" t="n"/>
      <c r="E619" s="177" t="n"/>
      <c r="F619" s="177" t="n"/>
      <c r="G619" s="250" t="n"/>
      <c r="H619" s="177" t="n"/>
      <c r="I619" s="176" t="n"/>
      <c r="J619" s="177" t="n"/>
      <c r="K619" s="177" t="n"/>
      <c r="L619" s="177" t="n"/>
      <c r="M619" s="177" t="n"/>
      <c r="N619" s="177" t="n"/>
      <c r="O619" s="177" t="n"/>
      <c r="P619" s="177" t="n"/>
      <c r="Q619" s="177" t="n"/>
      <c r="R619" s="177" t="n"/>
      <c r="S619" s="177" t="n"/>
      <c r="T619" s="177" t="n"/>
      <c r="U619" s="177" t="n"/>
      <c r="V619" s="177" t="n"/>
      <c r="W619" s="177" t="n"/>
      <c r="X619" s="177" t="n"/>
    </row>
    <row r="620" ht="15.75" customHeight="1" s="297">
      <c r="A620" s="177" t="n"/>
      <c r="B620" s="177" t="n"/>
      <c r="C620" s="177" t="n"/>
      <c r="D620" s="177" t="n"/>
      <c r="E620" s="177" t="n"/>
      <c r="F620" s="177" t="n"/>
      <c r="G620" s="250" t="n"/>
      <c r="H620" s="177" t="n"/>
      <c r="I620" s="176" t="n"/>
      <c r="J620" s="177" t="n"/>
      <c r="K620" s="177" t="n"/>
      <c r="L620" s="177" t="n"/>
      <c r="M620" s="177" t="n"/>
      <c r="N620" s="177" t="n"/>
      <c r="O620" s="177" t="n"/>
      <c r="P620" s="177" t="n"/>
      <c r="Q620" s="177" t="n"/>
      <c r="R620" s="177" t="n"/>
      <c r="S620" s="177" t="n"/>
      <c r="T620" s="177" t="n"/>
      <c r="U620" s="177" t="n"/>
      <c r="V620" s="177" t="n"/>
      <c r="W620" s="177" t="n"/>
      <c r="X620" s="177" t="n"/>
    </row>
    <row r="621" ht="15.75" customHeight="1" s="297">
      <c r="A621" s="177" t="n"/>
      <c r="B621" s="177" t="n"/>
      <c r="C621" s="177" t="n"/>
      <c r="D621" s="177" t="n"/>
      <c r="E621" s="177" t="n"/>
      <c r="F621" s="177" t="n"/>
      <c r="G621" s="250" t="n"/>
      <c r="H621" s="177" t="n"/>
      <c r="I621" s="176" t="n"/>
      <c r="J621" s="177" t="n"/>
      <c r="K621" s="177" t="n"/>
      <c r="L621" s="177" t="n"/>
      <c r="M621" s="177" t="n"/>
      <c r="N621" s="177" t="n"/>
      <c r="O621" s="177" t="n"/>
      <c r="P621" s="177" t="n"/>
      <c r="Q621" s="177" t="n"/>
      <c r="R621" s="177" t="n"/>
      <c r="S621" s="177" t="n"/>
      <c r="T621" s="177" t="n"/>
      <c r="U621" s="177" t="n"/>
      <c r="V621" s="177" t="n"/>
      <c r="W621" s="177" t="n"/>
      <c r="X621" s="177" t="n"/>
    </row>
    <row r="622" ht="15.75" customHeight="1" s="297">
      <c r="A622" s="177" t="n"/>
      <c r="B622" s="177" t="n"/>
      <c r="C622" s="177" t="n"/>
      <c r="D622" s="177" t="n"/>
      <c r="E622" s="177" t="n"/>
      <c r="F622" s="177" t="n"/>
      <c r="G622" s="250" t="n"/>
      <c r="H622" s="177" t="n"/>
      <c r="I622" s="176" t="n"/>
      <c r="J622" s="177" t="n"/>
      <c r="K622" s="177" t="n"/>
      <c r="L622" s="177" t="n"/>
      <c r="M622" s="177" t="n"/>
      <c r="N622" s="177" t="n"/>
      <c r="O622" s="177" t="n"/>
      <c r="P622" s="177" t="n"/>
      <c r="Q622" s="177" t="n"/>
      <c r="R622" s="177" t="n"/>
      <c r="S622" s="177" t="n"/>
      <c r="T622" s="177" t="n"/>
      <c r="U622" s="177" t="n"/>
      <c r="V622" s="177" t="n"/>
      <c r="W622" s="177" t="n"/>
      <c r="X622" s="177" t="n"/>
    </row>
    <row r="623" ht="15.75" customHeight="1" s="297">
      <c r="A623" s="177" t="n"/>
      <c r="B623" s="177" t="n"/>
      <c r="C623" s="177" t="n"/>
      <c r="D623" s="177" t="n"/>
      <c r="E623" s="177" t="n"/>
      <c r="F623" s="177" t="n"/>
      <c r="G623" s="250" t="n"/>
      <c r="H623" s="177" t="n"/>
      <c r="I623" s="176" t="n"/>
      <c r="J623" s="177" t="n"/>
      <c r="K623" s="177" t="n"/>
      <c r="L623" s="177" t="n"/>
      <c r="M623" s="177" t="n"/>
      <c r="N623" s="177" t="n"/>
      <c r="O623" s="177" t="n"/>
      <c r="P623" s="177" t="n"/>
      <c r="Q623" s="177" t="n"/>
      <c r="R623" s="177" t="n"/>
      <c r="S623" s="177" t="n"/>
      <c r="T623" s="177" t="n"/>
      <c r="U623" s="177" t="n"/>
      <c r="V623" s="177" t="n"/>
      <c r="W623" s="177" t="n"/>
      <c r="X623" s="177" t="n"/>
    </row>
    <row r="624" ht="15.75" customHeight="1" s="297">
      <c r="A624" s="177" t="n"/>
      <c r="B624" s="177" t="n"/>
      <c r="C624" s="177" t="n"/>
      <c r="D624" s="177" t="n"/>
      <c r="E624" s="177" t="n"/>
      <c r="F624" s="177" t="n"/>
      <c r="G624" s="250" t="n"/>
      <c r="H624" s="177" t="n"/>
      <c r="I624" s="176" t="n"/>
      <c r="J624" s="177" t="n"/>
      <c r="K624" s="177" t="n"/>
      <c r="L624" s="177" t="n"/>
      <c r="M624" s="177" t="n"/>
      <c r="N624" s="177" t="n"/>
      <c r="O624" s="177" t="n"/>
      <c r="P624" s="177" t="n"/>
      <c r="Q624" s="177" t="n"/>
      <c r="R624" s="177" t="n"/>
      <c r="S624" s="177" t="n"/>
      <c r="T624" s="177" t="n"/>
      <c r="U624" s="177" t="n"/>
      <c r="V624" s="177" t="n"/>
      <c r="W624" s="177" t="n"/>
      <c r="X624" s="177" t="n"/>
    </row>
    <row r="625" ht="15.75" customHeight="1" s="297">
      <c r="A625" s="177" t="n"/>
      <c r="B625" s="177" t="n"/>
      <c r="C625" s="177" t="n"/>
      <c r="D625" s="177" t="n"/>
      <c r="E625" s="177" t="n"/>
      <c r="F625" s="177" t="n"/>
      <c r="G625" s="250" t="n"/>
      <c r="H625" s="177" t="n"/>
      <c r="I625" s="176" t="n"/>
      <c r="J625" s="177" t="n"/>
      <c r="K625" s="177" t="n"/>
      <c r="L625" s="177" t="n"/>
      <c r="M625" s="177" t="n"/>
      <c r="N625" s="177" t="n"/>
      <c r="O625" s="177" t="n"/>
      <c r="P625" s="177" t="n"/>
      <c r="Q625" s="177" t="n"/>
      <c r="R625" s="177" t="n"/>
      <c r="S625" s="177" t="n"/>
      <c r="T625" s="177" t="n"/>
      <c r="U625" s="177" t="n"/>
      <c r="V625" s="177" t="n"/>
      <c r="W625" s="177" t="n"/>
      <c r="X625" s="177" t="n"/>
    </row>
    <row r="626" ht="15.75" customHeight="1" s="297">
      <c r="A626" s="177" t="n"/>
      <c r="B626" s="177" t="n"/>
      <c r="C626" s="177" t="n"/>
      <c r="D626" s="177" t="n"/>
      <c r="E626" s="177" t="n"/>
      <c r="F626" s="177" t="n"/>
      <c r="G626" s="250" t="n"/>
      <c r="H626" s="177" t="n"/>
      <c r="I626" s="176" t="n"/>
      <c r="J626" s="177" t="n"/>
      <c r="K626" s="177" t="n"/>
      <c r="L626" s="177" t="n"/>
      <c r="M626" s="177" t="n"/>
      <c r="N626" s="177" t="n"/>
      <c r="O626" s="177" t="n"/>
      <c r="P626" s="177" t="n"/>
      <c r="Q626" s="177" t="n"/>
      <c r="R626" s="177" t="n"/>
      <c r="S626" s="177" t="n"/>
      <c r="T626" s="177" t="n"/>
      <c r="U626" s="177" t="n"/>
      <c r="V626" s="177" t="n"/>
      <c r="W626" s="177" t="n"/>
      <c r="X626" s="177" t="n"/>
    </row>
    <row r="627" ht="15.75" customHeight="1" s="297">
      <c r="A627" s="177" t="n"/>
      <c r="B627" s="177" t="n"/>
      <c r="C627" s="177" t="n"/>
      <c r="D627" s="177" t="n"/>
      <c r="E627" s="177" t="n"/>
      <c r="F627" s="177" t="n"/>
      <c r="G627" s="250" t="n"/>
      <c r="H627" s="177" t="n"/>
      <c r="I627" s="176" t="n"/>
      <c r="J627" s="177" t="n"/>
      <c r="K627" s="177" t="n"/>
      <c r="L627" s="177" t="n"/>
      <c r="M627" s="177" t="n"/>
      <c r="N627" s="177" t="n"/>
      <c r="O627" s="177" t="n"/>
      <c r="P627" s="177" t="n"/>
      <c r="Q627" s="177" t="n"/>
      <c r="R627" s="177" t="n"/>
      <c r="S627" s="177" t="n"/>
      <c r="T627" s="177" t="n"/>
      <c r="U627" s="177" t="n"/>
      <c r="V627" s="177" t="n"/>
      <c r="W627" s="177" t="n"/>
      <c r="X627" s="177" t="n"/>
    </row>
    <row r="628" ht="15.75" customHeight="1" s="297">
      <c r="A628" s="177" t="n"/>
      <c r="B628" s="177" t="n"/>
      <c r="C628" s="177" t="n"/>
      <c r="D628" s="177" t="n"/>
      <c r="E628" s="177" t="n"/>
      <c r="F628" s="177" t="n"/>
      <c r="G628" s="250" t="n"/>
      <c r="H628" s="177" t="n"/>
      <c r="I628" s="176" t="n"/>
      <c r="J628" s="177" t="n"/>
      <c r="K628" s="177" t="n"/>
      <c r="L628" s="177" t="n"/>
      <c r="M628" s="177" t="n"/>
      <c r="N628" s="177" t="n"/>
      <c r="O628" s="177" t="n"/>
      <c r="P628" s="177" t="n"/>
      <c r="Q628" s="177" t="n"/>
      <c r="R628" s="177" t="n"/>
      <c r="S628" s="177" t="n"/>
      <c r="T628" s="177" t="n"/>
      <c r="U628" s="177" t="n"/>
      <c r="V628" s="177" t="n"/>
      <c r="W628" s="177" t="n"/>
      <c r="X628" s="177" t="n"/>
    </row>
    <row r="629" ht="15.75" customHeight="1" s="297">
      <c r="A629" s="177" t="n"/>
      <c r="B629" s="177" t="n"/>
      <c r="C629" s="177" t="n"/>
      <c r="D629" s="177" t="n"/>
      <c r="E629" s="177" t="n"/>
      <c r="F629" s="177" t="n"/>
      <c r="G629" s="250" t="n"/>
      <c r="H629" s="177" t="n"/>
      <c r="I629" s="176" t="n"/>
      <c r="J629" s="177" t="n"/>
      <c r="K629" s="177" t="n"/>
      <c r="L629" s="177" t="n"/>
      <c r="M629" s="177" t="n"/>
      <c r="N629" s="177" t="n"/>
      <c r="O629" s="177" t="n"/>
      <c r="P629" s="177" t="n"/>
      <c r="Q629" s="177" t="n"/>
      <c r="R629" s="177" t="n"/>
      <c r="S629" s="177" t="n"/>
      <c r="T629" s="177" t="n"/>
      <c r="U629" s="177" t="n"/>
      <c r="V629" s="177" t="n"/>
      <c r="W629" s="177" t="n"/>
      <c r="X629" s="177" t="n"/>
    </row>
    <row r="630" ht="15.75" customHeight="1" s="297">
      <c r="A630" s="177" t="n"/>
      <c r="B630" s="177" t="n"/>
      <c r="C630" s="177" t="n"/>
      <c r="D630" s="177" t="n"/>
      <c r="E630" s="177" t="n"/>
      <c r="F630" s="177" t="n"/>
      <c r="G630" s="250" t="n"/>
      <c r="H630" s="177" t="n"/>
      <c r="I630" s="176" t="n"/>
      <c r="J630" s="177" t="n"/>
      <c r="K630" s="177" t="n"/>
      <c r="L630" s="177" t="n"/>
      <c r="M630" s="177" t="n"/>
      <c r="N630" s="177" t="n"/>
      <c r="O630" s="177" t="n"/>
      <c r="P630" s="177" t="n"/>
      <c r="Q630" s="177" t="n"/>
      <c r="R630" s="177" t="n"/>
      <c r="S630" s="177" t="n"/>
      <c r="T630" s="177" t="n"/>
      <c r="U630" s="177" t="n"/>
      <c r="V630" s="177" t="n"/>
      <c r="W630" s="177" t="n"/>
      <c r="X630" s="177" t="n"/>
    </row>
    <row r="631" ht="15.75" customHeight="1" s="297">
      <c r="A631" s="177" t="n"/>
      <c r="B631" s="177" t="n"/>
      <c r="C631" s="177" t="n"/>
      <c r="D631" s="177" t="n"/>
      <c r="E631" s="177" t="n"/>
      <c r="F631" s="177" t="n"/>
      <c r="G631" s="250" t="n"/>
      <c r="H631" s="177" t="n"/>
      <c r="I631" s="176" t="n"/>
      <c r="J631" s="177" t="n"/>
      <c r="K631" s="177" t="n"/>
      <c r="L631" s="177" t="n"/>
      <c r="M631" s="177" t="n"/>
      <c r="N631" s="177" t="n"/>
      <c r="O631" s="177" t="n"/>
      <c r="P631" s="177" t="n"/>
      <c r="Q631" s="177" t="n"/>
      <c r="R631" s="177" t="n"/>
      <c r="S631" s="177" t="n"/>
      <c r="T631" s="177" t="n"/>
      <c r="U631" s="177" t="n"/>
      <c r="V631" s="177" t="n"/>
      <c r="W631" s="177" t="n"/>
      <c r="X631" s="177" t="n"/>
    </row>
    <row r="632" ht="15.75" customHeight="1" s="297">
      <c r="A632" s="177" t="n"/>
      <c r="B632" s="177" t="n"/>
      <c r="C632" s="177" t="n"/>
      <c r="D632" s="177" t="n"/>
      <c r="E632" s="177" t="n"/>
      <c r="F632" s="177" t="n"/>
      <c r="G632" s="250" t="n"/>
      <c r="H632" s="177" t="n"/>
      <c r="I632" s="176" t="n"/>
      <c r="J632" s="177" t="n"/>
      <c r="K632" s="177" t="n"/>
      <c r="L632" s="177" t="n"/>
      <c r="M632" s="177" t="n"/>
      <c r="N632" s="177" t="n"/>
      <c r="O632" s="177" t="n"/>
      <c r="P632" s="177" t="n"/>
      <c r="Q632" s="177" t="n"/>
      <c r="R632" s="177" t="n"/>
      <c r="S632" s="177" t="n"/>
      <c r="T632" s="177" t="n"/>
      <c r="U632" s="177" t="n"/>
      <c r="V632" s="177" t="n"/>
      <c r="W632" s="177" t="n"/>
      <c r="X632" s="177" t="n"/>
    </row>
    <row r="633" ht="15.75" customHeight="1" s="297">
      <c r="A633" s="177" t="n"/>
      <c r="B633" s="177" t="n"/>
      <c r="C633" s="177" t="n"/>
      <c r="D633" s="177" t="n"/>
      <c r="E633" s="177" t="n"/>
      <c r="F633" s="177" t="n"/>
      <c r="G633" s="250" t="n"/>
      <c r="H633" s="177" t="n"/>
      <c r="I633" s="176" t="n"/>
      <c r="J633" s="177" t="n"/>
      <c r="K633" s="177" t="n"/>
      <c r="L633" s="177" t="n"/>
      <c r="M633" s="177" t="n"/>
      <c r="N633" s="177" t="n"/>
      <c r="O633" s="177" t="n"/>
      <c r="P633" s="177" t="n"/>
      <c r="Q633" s="177" t="n"/>
      <c r="R633" s="177" t="n"/>
      <c r="S633" s="177" t="n"/>
      <c r="T633" s="177" t="n"/>
      <c r="U633" s="177" t="n"/>
      <c r="V633" s="177" t="n"/>
      <c r="W633" s="177" t="n"/>
      <c r="X633" s="177" t="n"/>
    </row>
    <row r="634" ht="15.75" customHeight="1" s="297">
      <c r="A634" s="177" t="n"/>
      <c r="B634" s="177" t="n"/>
      <c r="C634" s="177" t="n"/>
      <c r="D634" s="177" t="n"/>
      <c r="E634" s="177" t="n"/>
      <c r="F634" s="177" t="n"/>
      <c r="G634" s="250" t="n"/>
      <c r="H634" s="177" t="n"/>
      <c r="I634" s="176" t="n"/>
      <c r="J634" s="177" t="n"/>
      <c r="K634" s="177" t="n"/>
      <c r="L634" s="177" t="n"/>
      <c r="M634" s="177" t="n"/>
      <c r="N634" s="177" t="n"/>
      <c r="O634" s="177" t="n"/>
      <c r="P634" s="177" t="n"/>
      <c r="Q634" s="177" t="n"/>
      <c r="R634" s="177" t="n"/>
      <c r="S634" s="177" t="n"/>
      <c r="T634" s="177" t="n"/>
      <c r="U634" s="177" t="n"/>
      <c r="V634" s="177" t="n"/>
      <c r="W634" s="177" t="n"/>
      <c r="X634" s="177" t="n"/>
    </row>
    <row r="635" ht="15.75" customHeight="1" s="297">
      <c r="A635" s="177" t="n"/>
      <c r="B635" s="177" t="n"/>
      <c r="C635" s="177" t="n"/>
      <c r="D635" s="177" t="n"/>
      <c r="E635" s="177" t="n"/>
      <c r="F635" s="177" t="n"/>
      <c r="G635" s="250" t="n"/>
      <c r="H635" s="177" t="n"/>
      <c r="I635" s="176" t="n"/>
      <c r="J635" s="177" t="n"/>
      <c r="K635" s="177" t="n"/>
      <c r="L635" s="177" t="n"/>
      <c r="M635" s="177" t="n"/>
      <c r="N635" s="177" t="n"/>
      <c r="O635" s="177" t="n"/>
      <c r="P635" s="177" t="n"/>
      <c r="Q635" s="177" t="n"/>
      <c r="R635" s="177" t="n"/>
      <c r="S635" s="177" t="n"/>
      <c r="T635" s="177" t="n"/>
      <c r="U635" s="177" t="n"/>
      <c r="V635" s="177" t="n"/>
      <c r="W635" s="177" t="n"/>
      <c r="X635" s="177" t="n"/>
    </row>
    <row r="636" ht="15.75" customHeight="1" s="297">
      <c r="A636" s="177" t="n"/>
      <c r="B636" s="177" t="n"/>
      <c r="C636" s="177" t="n"/>
      <c r="D636" s="177" t="n"/>
      <c r="E636" s="177" t="n"/>
      <c r="F636" s="177" t="n"/>
      <c r="G636" s="250" t="n"/>
      <c r="H636" s="177" t="n"/>
      <c r="I636" s="176" t="n"/>
      <c r="J636" s="177" t="n"/>
      <c r="K636" s="177" t="n"/>
      <c r="L636" s="177" t="n"/>
      <c r="M636" s="177" t="n"/>
      <c r="N636" s="177" t="n"/>
      <c r="O636" s="177" t="n"/>
      <c r="P636" s="177" t="n"/>
      <c r="Q636" s="177" t="n"/>
      <c r="R636" s="177" t="n"/>
      <c r="S636" s="177" t="n"/>
      <c r="T636" s="177" t="n"/>
      <c r="U636" s="177" t="n"/>
      <c r="V636" s="177" t="n"/>
      <c r="W636" s="177" t="n"/>
      <c r="X636" s="177" t="n"/>
    </row>
    <row r="637" ht="15.75" customHeight="1" s="297">
      <c r="A637" s="177" t="n"/>
      <c r="B637" s="177" t="n"/>
      <c r="C637" s="177" t="n"/>
      <c r="D637" s="177" t="n"/>
      <c r="E637" s="177" t="n"/>
      <c r="F637" s="177" t="n"/>
      <c r="G637" s="250" t="n"/>
      <c r="H637" s="177" t="n"/>
      <c r="I637" s="176" t="n"/>
      <c r="J637" s="177" t="n"/>
      <c r="K637" s="177" t="n"/>
      <c r="L637" s="177" t="n"/>
      <c r="M637" s="177" t="n"/>
      <c r="N637" s="177" t="n"/>
      <c r="O637" s="177" t="n"/>
      <c r="P637" s="177" t="n"/>
      <c r="Q637" s="177" t="n"/>
      <c r="R637" s="177" t="n"/>
      <c r="S637" s="177" t="n"/>
      <c r="T637" s="177" t="n"/>
      <c r="U637" s="177" t="n"/>
      <c r="V637" s="177" t="n"/>
      <c r="W637" s="177" t="n"/>
      <c r="X637" s="177" t="n"/>
    </row>
    <row r="638" ht="15.75" customHeight="1" s="297">
      <c r="A638" s="177" t="n"/>
      <c r="B638" s="177" t="n"/>
      <c r="C638" s="177" t="n"/>
      <c r="D638" s="177" t="n"/>
      <c r="E638" s="177" t="n"/>
      <c r="F638" s="177" t="n"/>
      <c r="G638" s="250" t="n"/>
      <c r="H638" s="177" t="n"/>
      <c r="I638" s="176" t="n"/>
      <c r="J638" s="177" t="n"/>
      <c r="K638" s="177" t="n"/>
      <c r="L638" s="177" t="n"/>
      <c r="M638" s="177" t="n"/>
      <c r="N638" s="177" t="n"/>
      <c r="O638" s="177" t="n"/>
      <c r="P638" s="177" t="n"/>
      <c r="Q638" s="177" t="n"/>
      <c r="R638" s="177" t="n"/>
      <c r="S638" s="177" t="n"/>
      <c r="T638" s="177" t="n"/>
      <c r="U638" s="177" t="n"/>
      <c r="V638" s="177" t="n"/>
      <c r="W638" s="177" t="n"/>
      <c r="X638" s="177" t="n"/>
    </row>
    <row r="639" ht="15.75" customHeight="1" s="297">
      <c r="A639" s="177" t="n"/>
      <c r="B639" s="177" t="n"/>
      <c r="C639" s="177" t="n"/>
      <c r="D639" s="177" t="n"/>
      <c r="E639" s="177" t="n"/>
      <c r="F639" s="177" t="n"/>
      <c r="G639" s="250" t="n"/>
      <c r="H639" s="177" t="n"/>
      <c r="I639" s="176" t="n"/>
      <c r="J639" s="177" t="n"/>
      <c r="K639" s="177" t="n"/>
      <c r="L639" s="177" t="n"/>
      <c r="M639" s="177" t="n"/>
      <c r="N639" s="177" t="n"/>
      <c r="O639" s="177" t="n"/>
      <c r="P639" s="177" t="n"/>
      <c r="Q639" s="177" t="n"/>
      <c r="R639" s="177" t="n"/>
      <c r="S639" s="177" t="n"/>
      <c r="T639" s="177" t="n"/>
      <c r="U639" s="177" t="n"/>
      <c r="V639" s="177" t="n"/>
      <c r="W639" s="177" t="n"/>
      <c r="X639" s="177" t="n"/>
    </row>
    <row r="640" ht="15.75" customHeight="1" s="297">
      <c r="A640" s="177" t="n"/>
      <c r="B640" s="177" t="n"/>
      <c r="C640" s="177" t="n"/>
      <c r="D640" s="177" t="n"/>
      <c r="E640" s="177" t="n"/>
      <c r="F640" s="177" t="n"/>
      <c r="G640" s="250" t="n"/>
      <c r="H640" s="177" t="n"/>
      <c r="I640" s="176" t="n"/>
      <c r="J640" s="177" t="n"/>
      <c r="K640" s="177" t="n"/>
      <c r="L640" s="177" t="n"/>
      <c r="M640" s="177" t="n"/>
      <c r="N640" s="177" t="n"/>
      <c r="O640" s="177" t="n"/>
      <c r="P640" s="177" t="n"/>
      <c r="Q640" s="177" t="n"/>
      <c r="R640" s="177" t="n"/>
      <c r="S640" s="177" t="n"/>
      <c r="T640" s="177" t="n"/>
      <c r="U640" s="177" t="n"/>
      <c r="V640" s="177" t="n"/>
      <c r="W640" s="177" t="n"/>
      <c r="X640" s="177" t="n"/>
    </row>
    <row r="641" ht="15.75" customHeight="1" s="297">
      <c r="A641" s="177" t="n"/>
      <c r="B641" s="177" t="n"/>
      <c r="C641" s="177" t="n"/>
      <c r="D641" s="177" t="n"/>
      <c r="E641" s="177" t="n"/>
      <c r="F641" s="177" t="n"/>
      <c r="G641" s="250" t="n"/>
      <c r="H641" s="177" t="n"/>
      <c r="I641" s="176" t="n"/>
      <c r="J641" s="177" t="n"/>
      <c r="K641" s="177" t="n"/>
      <c r="L641" s="177" t="n"/>
      <c r="M641" s="177" t="n"/>
      <c r="N641" s="177" t="n"/>
      <c r="O641" s="177" t="n"/>
      <c r="P641" s="177" t="n"/>
      <c r="Q641" s="177" t="n"/>
      <c r="R641" s="177" t="n"/>
      <c r="S641" s="177" t="n"/>
      <c r="T641" s="177" t="n"/>
      <c r="U641" s="177" t="n"/>
      <c r="V641" s="177" t="n"/>
      <c r="W641" s="177" t="n"/>
      <c r="X641" s="177" t="n"/>
    </row>
    <row r="642" ht="15.75" customHeight="1" s="297">
      <c r="A642" s="177" t="n"/>
      <c r="B642" s="177" t="n"/>
      <c r="C642" s="177" t="n"/>
      <c r="D642" s="177" t="n"/>
      <c r="E642" s="177" t="n"/>
      <c r="F642" s="177" t="n"/>
      <c r="G642" s="250" t="n"/>
      <c r="H642" s="177" t="n"/>
      <c r="I642" s="176" t="n"/>
      <c r="J642" s="177" t="n"/>
      <c r="K642" s="177" t="n"/>
      <c r="L642" s="177" t="n"/>
      <c r="M642" s="177" t="n"/>
      <c r="N642" s="177" t="n"/>
      <c r="O642" s="177" t="n"/>
      <c r="P642" s="177" t="n"/>
      <c r="Q642" s="177" t="n"/>
      <c r="R642" s="177" t="n"/>
      <c r="S642" s="177" t="n"/>
      <c r="T642" s="177" t="n"/>
      <c r="U642" s="177" t="n"/>
      <c r="V642" s="177" t="n"/>
      <c r="W642" s="177" t="n"/>
      <c r="X642" s="177" t="n"/>
    </row>
    <row r="643" ht="15.75" customHeight="1" s="297">
      <c r="A643" s="177" t="n"/>
      <c r="B643" s="177" t="n"/>
      <c r="C643" s="177" t="n"/>
      <c r="D643" s="177" t="n"/>
      <c r="E643" s="177" t="n"/>
      <c r="F643" s="177" t="n"/>
      <c r="G643" s="250" t="n"/>
      <c r="H643" s="177" t="n"/>
      <c r="I643" s="176" t="n"/>
      <c r="J643" s="177" t="n"/>
      <c r="K643" s="177" t="n"/>
      <c r="L643" s="177" t="n"/>
      <c r="M643" s="177" t="n"/>
      <c r="N643" s="177" t="n"/>
      <c r="O643" s="177" t="n"/>
      <c r="P643" s="177" t="n"/>
      <c r="Q643" s="177" t="n"/>
      <c r="R643" s="177" t="n"/>
      <c r="S643" s="177" t="n"/>
      <c r="T643" s="177" t="n"/>
      <c r="U643" s="177" t="n"/>
      <c r="V643" s="177" t="n"/>
      <c r="W643" s="177" t="n"/>
      <c r="X643" s="177" t="n"/>
    </row>
    <row r="644" ht="15.75" customHeight="1" s="297">
      <c r="A644" s="177" t="n"/>
      <c r="B644" s="177" t="n"/>
      <c r="C644" s="177" t="n"/>
      <c r="D644" s="177" t="n"/>
      <c r="E644" s="177" t="n"/>
      <c r="F644" s="177" t="n"/>
      <c r="G644" s="250" t="n"/>
      <c r="H644" s="177" t="n"/>
      <c r="I644" s="176" t="n"/>
      <c r="J644" s="177" t="n"/>
      <c r="K644" s="177" t="n"/>
      <c r="L644" s="177" t="n"/>
      <c r="M644" s="177" t="n"/>
      <c r="N644" s="177" t="n"/>
      <c r="O644" s="177" t="n"/>
      <c r="P644" s="177" t="n"/>
      <c r="Q644" s="177" t="n"/>
      <c r="R644" s="177" t="n"/>
      <c r="S644" s="177" t="n"/>
      <c r="T644" s="177" t="n"/>
      <c r="U644" s="177" t="n"/>
      <c r="V644" s="177" t="n"/>
      <c r="W644" s="177" t="n"/>
      <c r="X644" s="177" t="n"/>
    </row>
    <row r="645" ht="15.75" customHeight="1" s="297">
      <c r="A645" s="177" t="n"/>
      <c r="B645" s="177" t="n"/>
      <c r="C645" s="177" t="n"/>
      <c r="D645" s="177" t="n"/>
      <c r="E645" s="177" t="n"/>
      <c r="F645" s="177" t="n"/>
      <c r="G645" s="250" t="n"/>
      <c r="H645" s="177" t="n"/>
      <c r="I645" s="176" t="n"/>
      <c r="J645" s="177" t="n"/>
      <c r="K645" s="177" t="n"/>
      <c r="L645" s="177" t="n"/>
      <c r="M645" s="177" t="n"/>
      <c r="N645" s="177" t="n"/>
      <c r="O645" s="177" t="n"/>
      <c r="P645" s="177" t="n"/>
      <c r="Q645" s="177" t="n"/>
      <c r="R645" s="177" t="n"/>
      <c r="S645" s="177" t="n"/>
      <c r="T645" s="177" t="n"/>
      <c r="U645" s="177" t="n"/>
      <c r="V645" s="177" t="n"/>
      <c r="W645" s="177" t="n"/>
      <c r="X645" s="177" t="n"/>
    </row>
    <row r="646" ht="15.75" customHeight="1" s="297">
      <c r="A646" s="177" t="n"/>
      <c r="B646" s="177" t="n"/>
      <c r="C646" s="177" t="n"/>
      <c r="D646" s="177" t="n"/>
      <c r="E646" s="177" t="n"/>
      <c r="F646" s="177" t="n"/>
      <c r="G646" s="250" t="n"/>
      <c r="H646" s="177" t="n"/>
      <c r="I646" s="176" t="n"/>
      <c r="J646" s="177" t="n"/>
      <c r="K646" s="177" t="n"/>
      <c r="L646" s="177" t="n"/>
      <c r="M646" s="177" t="n"/>
      <c r="N646" s="177" t="n"/>
      <c r="O646" s="177" t="n"/>
      <c r="P646" s="177" t="n"/>
      <c r="Q646" s="177" t="n"/>
      <c r="R646" s="177" t="n"/>
      <c r="S646" s="177" t="n"/>
      <c r="T646" s="177" t="n"/>
      <c r="U646" s="177" t="n"/>
      <c r="V646" s="177" t="n"/>
      <c r="W646" s="177" t="n"/>
      <c r="X646" s="177" t="n"/>
    </row>
    <row r="647" ht="15.75" customHeight="1" s="297">
      <c r="A647" s="177" t="n"/>
      <c r="B647" s="177" t="n"/>
      <c r="C647" s="177" t="n"/>
      <c r="D647" s="177" t="n"/>
      <c r="E647" s="177" t="n"/>
      <c r="F647" s="177" t="n"/>
      <c r="G647" s="250" t="n"/>
      <c r="H647" s="177" t="n"/>
      <c r="I647" s="176" t="n"/>
      <c r="J647" s="177" t="n"/>
      <c r="K647" s="177" t="n"/>
      <c r="L647" s="177" t="n"/>
      <c r="M647" s="177" t="n"/>
      <c r="N647" s="177" t="n"/>
      <c r="O647" s="177" t="n"/>
      <c r="P647" s="177" t="n"/>
      <c r="Q647" s="177" t="n"/>
      <c r="R647" s="177" t="n"/>
      <c r="S647" s="177" t="n"/>
      <c r="T647" s="177" t="n"/>
      <c r="U647" s="177" t="n"/>
      <c r="V647" s="177" t="n"/>
      <c r="W647" s="177" t="n"/>
      <c r="X647" s="177" t="n"/>
    </row>
    <row r="648" ht="15.75" customHeight="1" s="297">
      <c r="A648" s="177" t="n"/>
      <c r="B648" s="177" t="n"/>
      <c r="C648" s="177" t="n"/>
      <c r="D648" s="177" t="n"/>
      <c r="E648" s="177" t="n"/>
      <c r="F648" s="177" t="n"/>
      <c r="G648" s="250" t="n"/>
      <c r="H648" s="177" t="n"/>
      <c r="I648" s="176" t="n"/>
      <c r="J648" s="177" t="n"/>
      <c r="K648" s="177" t="n"/>
      <c r="L648" s="177" t="n"/>
      <c r="M648" s="177" t="n"/>
      <c r="N648" s="177" t="n"/>
      <c r="O648" s="177" t="n"/>
      <c r="P648" s="177" t="n"/>
      <c r="Q648" s="177" t="n"/>
      <c r="R648" s="177" t="n"/>
      <c r="S648" s="177" t="n"/>
      <c r="T648" s="177" t="n"/>
      <c r="U648" s="177" t="n"/>
      <c r="V648" s="177" t="n"/>
      <c r="W648" s="177" t="n"/>
      <c r="X648" s="177" t="n"/>
    </row>
    <row r="649" ht="15.75" customHeight="1" s="297">
      <c r="A649" s="177" t="n"/>
      <c r="B649" s="177" t="n"/>
      <c r="C649" s="177" t="n"/>
      <c r="D649" s="177" t="n"/>
      <c r="E649" s="177" t="n"/>
      <c r="F649" s="177" t="n"/>
      <c r="G649" s="250" t="n"/>
      <c r="H649" s="177" t="n"/>
      <c r="I649" s="176" t="n"/>
      <c r="J649" s="177" t="n"/>
      <c r="K649" s="177" t="n"/>
      <c r="L649" s="177" t="n"/>
      <c r="M649" s="177" t="n"/>
      <c r="N649" s="177" t="n"/>
      <c r="O649" s="177" t="n"/>
      <c r="P649" s="177" t="n"/>
      <c r="Q649" s="177" t="n"/>
      <c r="R649" s="177" t="n"/>
      <c r="S649" s="177" t="n"/>
      <c r="T649" s="177" t="n"/>
      <c r="U649" s="177" t="n"/>
      <c r="V649" s="177" t="n"/>
      <c r="W649" s="177" t="n"/>
      <c r="X649" s="177" t="n"/>
    </row>
    <row r="650" ht="15.75" customHeight="1" s="297">
      <c r="A650" s="177" t="n"/>
      <c r="B650" s="177" t="n"/>
      <c r="C650" s="177" t="n"/>
      <c r="D650" s="177" t="n"/>
      <c r="E650" s="177" t="n"/>
      <c r="F650" s="177" t="n"/>
      <c r="G650" s="250" t="n"/>
      <c r="H650" s="177" t="n"/>
      <c r="I650" s="176" t="n"/>
      <c r="J650" s="177" t="n"/>
      <c r="K650" s="177" t="n"/>
      <c r="L650" s="177" t="n"/>
      <c r="M650" s="177" t="n"/>
      <c r="N650" s="177" t="n"/>
      <c r="O650" s="177" t="n"/>
      <c r="P650" s="177" t="n"/>
      <c r="Q650" s="177" t="n"/>
      <c r="R650" s="177" t="n"/>
      <c r="S650" s="177" t="n"/>
      <c r="T650" s="177" t="n"/>
      <c r="U650" s="177" t="n"/>
      <c r="V650" s="177" t="n"/>
      <c r="W650" s="177" t="n"/>
      <c r="X650" s="177" t="n"/>
    </row>
    <row r="651" ht="15.75" customHeight="1" s="297">
      <c r="A651" s="177" t="n"/>
      <c r="B651" s="177" t="n"/>
      <c r="C651" s="177" t="n"/>
      <c r="D651" s="177" t="n"/>
      <c r="E651" s="177" t="n"/>
      <c r="F651" s="177" t="n"/>
      <c r="G651" s="250" t="n"/>
      <c r="H651" s="177" t="n"/>
      <c r="I651" s="176" t="n"/>
      <c r="J651" s="177" t="n"/>
      <c r="K651" s="177" t="n"/>
      <c r="L651" s="177" t="n"/>
      <c r="M651" s="177" t="n"/>
      <c r="N651" s="177" t="n"/>
      <c r="O651" s="177" t="n"/>
      <c r="P651" s="177" t="n"/>
      <c r="Q651" s="177" t="n"/>
      <c r="R651" s="177" t="n"/>
      <c r="S651" s="177" t="n"/>
      <c r="T651" s="177" t="n"/>
      <c r="U651" s="177" t="n"/>
      <c r="V651" s="177" t="n"/>
      <c r="W651" s="177" t="n"/>
      <c r="X651" s="177" t="n"/>
    </row>
    <row r="652" ht="15.75" customHeight="1" s="297">
      <c r="A652" s="177" t="n"/>
      <c r="B652" s="177" t="n"/>
      <c r="C652" s="177" t="n"/>
      <c r="D652" s="177" t="n"/>
      <c r="E652" s="177" t="n"/>
      <c r="F652" s="177" t="n"/>
      <c r="G652" s="250" t="n"/>
      <c r="H652" s="177" t="n"/>
      <c r="I652" s="176" t="n"/>
      <c r="J652" s="177" t="n"/>
      <c r="K652" s="177" t="n"/>
      <c r="L652" s="177" t="n"/>
      <c r="M652" s="177" t="n"/>
      <c r="N652" s="177" t="n"/>
      <c r="O652" s="177" t="n"/>
      <c r="P652" s="177" t="n"/>
      <c r="Q652" s="177" t="n"/>
      <c r="R652" s="177" t="n"/>
      <c r="S652" s="177" t="n"/>
      <c r="T652" s="177" t="n"/>
      <c r="U652" s="177" t="n"/>
      <c r="V652" s="177" t="n"/>
      <c r="W652" s="177" t="n"/>
      <c r="X652" s="177"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A11:A12 A26:A27 A45:A46 A64:A65 A82:A83 A98:A99 A115:A116 A132:A133 A149:A150 A166:A167 A183:A184 A201:A202 A238:A239 A253:A254 A272:A273 A290:A292 A309:A310 A325:A326 A342:A343 A359:A360 A376:A377 A393:A394 A410:A411 A428:A429">
    <cfRule type="colorScale" priority="1">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2">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3">
      <colorScale>
        <cfvo type="min"/>
        <cfvo type="percentile" val="50"/>
        <cfvo type="max"/>
        <color rgb="FF63BE7B"/>
        <color rgb="FFFFEB84"/>
        <color rgb="FFF8696B"/>
      </colorScale>
    </cfRule>
  </conditionalFormatting>
  <conditionalFormatting sqref="A16 A31 A50 A68:A69 A87 A103 A120 A137 A154 A171 A188 A206 A243 A258 A277 A295:A296 A314 A330 A347 A364 A381 A398 A415 A433">
    <cfRule type="colorScale" priority="4">
      <colorScale>
        <cfvo type="min"/>
        <cfvo type="percentile" val="50"/>
        <cfvo type="max"/>
        <color rgb="FF63BE7B"/>
        <color rgb="FFFCFCFF"/>
        <color rgb="FFF8696B"/>
      </colorScale>
    </cfRule>
    <cfRule type="colorScale" priority="5">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6">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7">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8">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9">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0">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1">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2">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3">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4">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5">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6">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7">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8">
      <colorScale>
        <cfvo type="min"/>
        <cfvo type="percentile" val="50"/>
        <cfvo type="max"/>
        <color rgb="FF63BE7B"/>
        <color rgb="FFFCFCFF"/>
        <color rgb="FFF8696B"/>
      </colorScale>
    </cfRule>
    <cfRule type="colorScale" priority="19">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0">
      <colorScale>
        <cfvo type="min"/>
        <cfvo type="percentile" val="50"/>
        <cfvo type="max"/>
        <color rgb="FF63BE7B"/>
        <color rgb="FFFCFCFF"/>
        <color rgb="FFF8696B"/>
      </colorScale>
    </cfRule>
    <cfRule type="colorScale" priority="21">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2">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3">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4">
      <colorScale>
        <cfvo type="min"/>
        <cfvo type="percentile" val="50"/>
        <cfvo type="max"/>
        <color rgb="FF63BE7B"/>
        <color rgb="FFFCFCFF"/>
        <color rgb="FFF8696B"/>
      </colorScale>
    </cfRule>
    <cfRule type="colorScale" priority="25">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6">
      <colorScale>
        <cfvo type="min"/>
        <cfvo type="percentile" val="50"/>
        <cfvo type="max"/>
        <color rgb="FF63BE7B"/>
        <color rgb="FFFCFCFF"/>
        <color rgb="FFF8696B"/>
      </colorScale>
    </cfRule>
    <cfRule type="colorScale" priority="27">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29">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0">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1">
      <colorScale>
        <cfvo type="min"/>
        <cfvo type="percentile" val="50"/>
        <cfvo type="max"/>
        <color rgb="FF63BE7B"/>
        <color rgb="FFFCFCFF"/>
        <color rgb="FFF8696B"/>
      </colorScale>
    </cfRule>
    <cfRule type="colorScale" priority="32">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3">
      <colorScale>
        <cfvo type="min"/>
        <cfvo type="percentile" val="50"/>
        <cfvo type="max"/>
        <color rgb="FF63BE7B"/>
        <color rgb="FFFFEB84"/>
        <color rgb="FFF8696B"/>
      </colorScale>
    </cfRule>
    <cfRule type="colorScale" priority="38">
      <colorScale>
        <cfvo type="min"/>
        <cfvo type="percentile" val="50"/>
        <cfvo type="max"/>
        <color rgb="FF63BE7B"/>
        <color rgb="FFFCFCFF"/>
        <color rgb="FFF8696B"/>
      </colorScale>
    </cfRule>
    <cfRule type="colorScale" priority="39">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4">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5">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6">
      <colorScale>
        <cfvo type="min"/>
        <cfvo type="percentile" val="50"/>
        <cfvo type="max"/>
        <color rgb="FF63BE7B"/>
        <color rgb="FFFCFCFF"/>
        <color rgb="FFF8696B"/>
      </colorScale>
    </cfRule>
    <cfRule type="colorScale" priority="37">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0">
      <colorScale>
        <cfvo type="min"/>
        <cfvo type="percentile" val="50"/>
        <cfvo type="max"/>
        <color rgb="FF63BE7B"/>
        <color rgb="FFFFEB84"/>
        <color rgb="FFF8696B"/>
      </colorScale>
    </cfRule>
  </conditionalFormatting>
  <conditionalFormatting sqref="A98 A325">
    <cfRule type="colorScale" priority="42">
      <colorScale>
        <cfvo type="min"/>
        <cfvo type="percentile" val="50"/>
        <cfvo type="max"/>
        <color rgb="FF63BE7B"/>
        <color rgb="FFFCFCFF"/>
        <color rgb="FFF8696B"/>
      </colorScale>
    </cfRule>
    <cfRule type="colorScale" priority="43">
      <colorScale>
        <cfvo type="min"/>
        <cfvo type="percentile" val="50"/>
        <cfvo type="max"/>
        <color rgb="FF63BE7B"/>
        <color rgb="FFFFEB84"/>
        <color rgb="FFF8696B"/>
      </colorScale>
    </cfRule>
  </conditionalFormatting>
  <conditionalFormatting sqref="A99 A326">
    <cfRule type="colorScale" priority="44">
      <colorScale>
        <cfvo type="min"/>
        <cfvo type="percentile" val="50"/>
        <cfvo type="max"/>
        <color rgb="FF63BE7B"/>
        <color rgb="FFFFEB84"/>
        <color rgb="FFF8696B"/>
      </colorScale>
    </cfRule>
  </conditionalFormatting>
  <conditionalFormatting sqref="A100:A104 A327:A331">
    <cfRule type="colorScale" priority="45">
      <colorScale>
        <cfvo type="min"/>
        <cfvo type="percentile" val="50"/>
        <cfvo type="max"/>
        <color rgb="FF63BE7B"/>
        <color rgb="FFFFEB84"/>
        <color rgb="FFF8696B"/>
      </colorScale>
    </cfRule>
  </conditionalFormatting>
  <conditionalFormatting sqref="A115 A342">
    <cfRule type="colorScale" priority="46">
      <colorScale>
        <cfvo type="min"/>
        <cfvo type="percentile" val="50"/>
        <cfvo type="max"/>
        <color rgb="FF63BE7B"/>
        <color rgb="FFFCFCFF"/>
        <color rgb="FFF8696B"/>
      </colorScale>
    </cfRule>
    <cfRule type="colorScale" priority="47">
      <colorScale>
        <cfvo type="min"/>
        <cfvo type="percentile" val="50"/>
        <cfvo type="max"/>
        <color rgb="FF63BE7B"/>
        <color rgb="FFFFEB84"/>
        <color rgb="FFF8696B"/>
      </colorScale>
    </cfRule>
  </conditionalFormatting>
  <conditionalFormatting sqref="A116:A129 A343:A356">
    <cfRule type="colorScale" priority="48">
      <colorScale>
        <cfvo type="min"/>
        <cfvo type="percentile" val="50"/>
        <cfvo type="max"/>
        <color rgb="FF63BE7B"/>
        <color rgb="FFFFEB84"/>
        <color rgb="FFF8696B"/>
      </colorScale>
    </cfRule>
  </conditionalFormatting>
  <conditionalFormatting sqref="A132:A133 A359:A360">
    <cfRule type="colorScale" priority="49">
      <colorScale>
        <cfvo type="min"/>
        <cfvo type="percentile" val="50"/>
        <cfvo type="max"/>
        <color rgb="FF63BE7B"/>
        <color rgb="FFFFEB84"/>
        <color rgb="FFF8696B"/>
      </colorScale>
    </cfRule>
  </conditionalFormatting>
  <conditionalFormatting sqref="A149:A163 A376:A390">
    <cfRule type="colorScale" priority="50">
      <colorScale>
        <cfvo type="min"/>
        <cfvo type="percentile" val="50"/>
        <cfvo type="max"/>
        <color rgb="FF63BE7B"/>
        <color rgb="FFFFEB84"/>
        <color rgb="FFF8696B"/>
      </colorScale>
    </cfRule>
  </conditionalFormatting>
  <conditionalFormatting sqref="A166:A180 A393:A407">
    <cfRule type="colorScale" priority="51">
      <colorScale>
        <cfvo type="min"/>
        <cfvo type="percentile" val="50"/>
        <cfvo type="max"/>
        <color rgb="FF63BE7B"/>
        <color rgb="FFFFEB84"/>
        <color rgb="FFF8696B"/>
      </colorScale>
    </cfRule>
  </conditionalFormatting>
  <conditionalFormatting sqref="A183:A185 A410:A412">
    <cfRule type="colorScale" priority="52">
      <colorScale>
        <cfvo type="min"/>
        <cfvo type="percentile" val="50"/>
        <cfvo type="max"/>
        <color rgb="FF63BE7B"/>
        <color rgb="FFFFEB84"/>
        <color rgb="FFF8696B"/>
      </colorScale>
    </cfRule>
  </conditionalFormatting>
  <conditionalFormatting sqref="A201:A203 A428:A430">
    <cfRule type="colorScale" priority="53">
      <colorScale>
        <cfvo type="min"/>
        <cfvo type="percentile" val="50"/>
        <cfvo type="max"/>
        <color rgb="FF63BE7B"/>
        <color rgb="FFFFEB84"/>
        <color rgb="FFF8696B"/>
      </colorScale>
    </cfRule>
  </conditionalFormatting>
  <conditionalFormatting sqref="A208:A210 A435:A437">
    <cfRule type="colorScale" priority="54">
      <colorScale>
        <cfvo type="min"/>
        <cfvo type="percentile" val="50"/>
        <cfvo type="max"/>
        <color rgb="FF63BE7B"/>
        <color rgb="FFFFEB84"/>
        <color rgb="FFF8696B"/>
      </colorScale>
    </cfRule>
  </conditionalFormatting>
  <conditionalFormatting sqref="A211:A224 A438:A451">
    <cfRule type="colorScale" priority="55">
      <colorScale>
        <cfvo type="min"/>
        <cfvo type="percentile" val="50"/>
        <cfvo type="max"/>
        <color rgb="FF63BE7B"/>
        <color rgb="FFFFEB84"/>
        <color rgb="FFF8696B"/>
      </colorScale>
    </cfRule>
  </conditionalFormatting>
  <conditionalFormatting sqref="K10:L224 K237:L451">
    <cfRule type="cellIs" priority="56" operator="equal" dxfId="8">
      <formula>0</formula>
    </cfRule>
  </conditionalFormatting>
  <dataValidations count="25">
    <dataValidation sqref="C67 C273:C274"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8 C245 C260 C279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272" showDropDown="0" showInputMessage="0" showErrorMessage="0" allowBlank="1" type="list">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50" showDropDown="0" showInputMessage="0" showErrorMessage="0" allowBlank="1" type="list">
      <formula1>"RADIFARM,MEGAFOL,OCTABORATO,BOP,METAL NUTRE,MONIC,AP MAGNÉSIO,GRANO KMG,AP MANGANÊS,AMINOS Mn,MICROBOX,ACRESECENT ALGA,RAIZ F,ACRESCENTE SOLUS F,SALUT,MATRIZ D,POTENZA,BRAVERO,Glyfort,Fergsum,Spander,Halattus,Sallvare Complex,Zinctaus Complex,Emezine Comp"&amp;"lex,Boratus Complex,Magmill Complex,Brave K,Brave Max Up,MAX RAIZ,Polyamine,Sulfato de Magnésio,Map Purificado,MANGAN 10,NHT ZINCO,KELLUS CUPPER,MOLIBIDENIO 16,ZINCO 10"</formula1>
    </dataValidation>
    <dataValidation sqref="C20:C24 C43 C62 C80 C98 C247:C251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136 C170 C242 C257 C276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68: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237:B451" showDropDown="0" showInputMessage="0" showErrorMessage="1" allowBlank="1" type="list">
      <formula1>#REF!</formula1>
    </dataValidation>
    <dataValidation sqref="C65:C66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B10:B224" showDropDown="0" showInputMessage="0" showErrorMessage="0" allowBlank="1" type="list">
      <formula1>#REF!</formula1>
    </dataValidation>
    <dataValidation sqref="C12:C14 C87 C137 C154 C171 C206 C238:C241 C243 C258 C275 C277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26:C27 C45:C47 C82:C83 C169 C202:C203 C205 C253:C254 C256 C291"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237:L451 H10:L224" showDropDown="1" showInputMessage="0" showErrorMessage="0" allowBlank="1" type="custom">
      <formula1>AND(ISNUMBER(G10),(NOT(OR(NOT(ISERROR(DATEVALUE(G10))), AND(ISNUMBER(G10), LEFT(CELL("format", G10))="D")))))</formula1>
    </dataValidation>
    <dataValidation sqref="C28 C48 C103 C120 C135 C151 C167 C204 C255" showDropDown="0" showInputMessage="0" showErrorMessage="0" allowBlank="1" type="list">
      <formula1>"RUMBA,ASSIST,MEES,AUREO,JOINT ULTRA,ADGREEN,ENERGIC,EXTRAVON,OCHIMA"</formula1>
    </dataValidation>
    <dataValidation sqref="C29:C30 C49 C100:C102 C118:C119 C134 C292:C293"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72 C86"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showDropDown="0" showInputMessage="0" showErrorMessage="0" allowBlank="1" type="list">
      <formula1>"RUMBA,ASSIST,MEES,AUREO EC,JOINT ULTRA,ENERGIC,EXTRAVON,OCHIMA,STRIDES"</formula1>
    </dataValidation>
    <dataValidation sqref="C84 C99 C104 C115:C117 C132:C133 C149:C150 C294"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34 C53:C54 C59 C90:C91 C96 C106:C107 C112 C123:C124 C129 C140:C141 C146 C157:C158 C163 C174:C175 C180 C191:C192 C197 C209:C210 C215 C246 C261:C270 C280:C289 C299:C306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1.391653339580936" right="0.511811024" top="0.190904708340029" bottom="0.2744255182387916" header="0" footer="0"/>
  <pageSetup orientation="landscape" paperSize="9"/>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5.5" customWidth="1" style="297" min="1" max="1"/>
    <col width="19.25" customWidth="1" style="297" min="2" max="2"/>
    <col width="37.25" customWidth="1" style="297" min="3" max="3"/>
    <col width="34.25" customWidth="1" style="297" min="4" max="4"/>
    <col width="13.25" customWidth="1" style="297" min="5" max="5"/>
    <col width="10.75" customWidth="1" style="297" min="6" max="6"/>
    <col width="9.880000000000001" customWidth="1" style="297" min="7" max="7"/>
    <col width="10.25" customWidth="1" style="297" min="8" max="8"/>
    <col width="7.5" customWidth="1" style="297" min="9" max="9"/>
    <col width="7.38" customWidth="1" style="297" min="10" max="10"/>
    <col width="11.13" customWidth="1" style="297" min="11" max="11"/>
    <col width="13.5" customWidth="1" style="297" min="12" max="12"/>
    <col width="9.880000000000001" customWidth="1" style="297" min="13" max="13"/>
    <col width="14.38" customWidth="1" style="297" min="14" max="20"/>
    <col width="4.75" customWidth="1" style="297" min="21" max="21"/>
    <col width="14.38" customWidth="1" style="297" min="22" max="23"/>
  </cols>
  <sheetData>
    <row r="1" ht="15.75" customHeight="1" s="297">
      <c r="A1" s="178" t="inlineStr">
        <is>
          <t>Talhão:</t>
        </is>
      </c>
      <c r="B1" s="170">
        <f>'ÁREA PLANTIO'!B3</f>
        <v/>
      </c>
      <c r="C1" s="171" t="inlineStr">
        <is>
          <t>Custo estimado R$/há</t>
        </is>
      </c>
      <c r="D1" s="172">
        <f>$K$225</f>
        <v/>
      </c>
      <c r="E1" s="173" t="n"/>
      <c r="F1" s="174" t="inlineStr">
        <is>
          <t>ÁREA PLANTIO</t>
        </is>
      </c>
      <c r="G1" s="175" t="n"/>
      <c r="H1" s="176" t="n"/>
      <c r="I1" s="176" t="n"/>
      <c r="J1" s="176" t="n"/>
      <c r="K1" s="175" t="n"/>
      <c r="L1" s="177" t="n"/>
      <c r="M1" s="177" t="n"/>
      <c r="N1" s="177" t="n"/>
      <c r="O1" s="177" t="n"/>
      <c r="P1" s="177" t="n"/>
      <c r="Q1" s="177" t="n"/>
      <c r="R1" s="177" t="n"/>
      <c r="S1" s="177" t="n"/>
      <c r="T1" s="177" t="n"/>
      <c r="U1" s="177" t="n"/>
      <c r="V1" s="177" t="n"/>
      <c r="W1" s="177" t="n"/>
    </row>
    <row r="2" ht="15.75" customHeight="1" s="297">
      <c r="A2" s="178" t="inlineStr">
        <is>
          <t>Área:</t>
        </is>
      </c>
      <c r="B2" s="179">
        <f>'ÁREA PLANTIO'!E3</f>
        <v/>
      </c>
      <c r="C2" s="180" t="inlineStr">
        <is>
          <t>Produtividade estimada Sc/há</t>
        </is>
      </c>
      <c r="D2" s="181">
        <f>'ÁREA PLANTIO'!D3</f>
        <v/>
      </c>
      <c r="E2" s="173" t="n"/>
      <c r="F2" s="173" t="n"/>
      <c r="G2" s="175" t="n"/>
      <c r="H2" s="176" t="n"/>
      <c r="I2" s="176" t="n"/>
      <c r="J2" s="176" t="n"/>
      <c r="K2" s="175" t="n"/>
      <c r="L2" s="177" t="n"/>
      <c r="M2" s="177" t="n"/>
      <c r="N2" s="177" t="n"/>
      <c r="O2" s="177" t="n"/>
      <c r="P2" s="177" t="n"/>
      <c r="Q2" s="177" t="n"/>
      <c r="R2" s="177" t="n"/>
      <c r="S2" s="177" t="n"/>
      <c r="T2" s="177" t="n"/>
      <c r="U2" s="177" t="n"/>
      <c r="V2" s="177" t="n"/>
      <c r="W2" s="177" t="n"/>
    </row>
    <row r="3" ht="15.75" customHeight="1" s="297">
      <c r="A3" s="178" t="inlineStr">
        <is>
          <t>Empreedimento:</t>
        </is>
      </c>
      <c r="B3" s="176">
        <f>'ÁREA PLANTIO'!C3</f>
        <v/>
      </c>
      <c r="C3" s="180" t="inlineStr">
        <is>
          <t>Custo estimado por SC</t>
        </is>
      </c>
      <c r="D3" s="182">
        <f>D1/D2</f>
        <v/>
      </c>
      <c r="E3" s="173" t="n"/>
      <c r="F3" s="173" t="n"/>
      <c r="G3" s="175" t="n"/>
      <c r="H3" s="176" t="n"/>
      <c r="I3" s="176" t="n"/>
      <c r="J3" s="176" t="n"/>
      <c r="K3" s="175" t="n"/>
      <c r="L3" s="177" t="n"/>
      <c r="M3" s="177" t="n"/>
      <c r="N3" s="177" t="n"/>
      <c r="O3" s="177" t="n"/>
      <c r="P3" s="177" t="n"/>
      <c r="Q3" s="177" t="n"/>
      <c r="R3" s="177" t="n"/>
      <c r="S3" s="177" t="n"/>
      <c r="T3" s="177" t="n"/>
      <c r="U3" s="177" t="n"/>
      <c r="V3" s="177" t="n"/>
      <c r="W3" s="177" t="n"/>
    </row>
    <row r="4" ht="15.75" customHeight="1" s="297">
      <c r="A4" s="183" t="inlineStr">
        <is>
          <t>Data de plantio:</t>
        </is>
      </c>
      <c r="B4" s="184" t="n">
        <v>45606</v>
      </c>
      <c r="C4" s="185" t="n"/>
      <c r="D4" s="186" t="n"/>
      <c r="E4" s="187" t="n"/>
      <c r="F4" s="173" t="n"/>
      <c r="G4" s="175" t="n"/>
      <c r="H4" s="176" t="n"/>
      <c r="I4" s="176" t="n"/>
      <c r="J4" s="176" t="n"/>
      <c r="K4" s="175" t="n"/>
      <c r="L4" s="177" t="n"/>
      <c r="M4" s="177" t="n"/>
      <c r="N4" s="177" t="n"/>
      <c r="O4" s="177" t="n"/>
      <c r="P4" s="177" t="n"/>
      <c r="Q4" s="177" t="n"/>
      <c r="R4" s="177" t="n"/>
      <c r="S4" s="177" t="n"/>
      <c r="T4" s="177" t="n"/>
      <c r="U4" s="177" t="n"/>
      <c r="V4" s="177" t="n"/>
      <c r="W4" s="177" t="n"/>
    </row>
    <row r="5" ht="15.75" customHeight="1" s="297">
      <c r="A5" s="177" t="n"/>
      <c r="B5" s="177" t="n"/>
      <c r="C5" s="177" t="n"/>
      <c r="D5" s="177" t="n"/>
      <c r="E5" s="188" t="n"/>
      <c r="F5" s="173" t="n"/>
      <c r="G5" s="175" t="n"/>
      <c r="H5" s="176" t="n"/>
      <c r="I5" s="176" t="n"/>
      <c r="J5" s="176" t="n"/>
      <c r="K5" s="175" t="n"/>
      <c r="L5" s="177" t="n"/>
      <c r="M5" s="177" t="n"/>
      <c r="N5" s="177" t="n"/>
      <c r="O5" s="177" t="n"/>
      <c r="P5" s="177" t="n"/>
      <c r="Q5" s="177" t="n"/>
      <c r="R5" s="177" t="n"/>
      <c r="S5" s="177" t="n"/>
      <c r="T5" s="177" t="n"/>
      <c r="U5" s="177" t="n"/>
      <c r="V5" s="177" t="n"/>
      <c r="W5" s="177" t="n"/>
    </row>
    <row r="6" ht="15.75" customHeight="1" s="297">
      <c r="A6" s="178" t="n"/>
      <c r="B6" s="176" t="n"/>
      <c r="C6" s="173" t="n"/>
      <c r="D6" s="173" t="n"/>
      <c r="E6" s="173" t="n"/>
      <c r="F6" s="173" t="n"/>
      <c r="G6" s="175" t="n"/>
      <c r="H6" s="176" t="n"/>
      <c r="I6" s="176" t="n"/>
      <c r="J6" s="176" t="n"/>
      <c r="K6" s="175" t="n"/>
      <c r="L6" s="177" t="n"/>
      <c r="M6" s="177" t="n"/>
      <c r="N6" s="177" t="n"/>
      <c r="O6" s="177" t="n"/>
      <c r="P6" s="177" t="n"/>
      <c r="Q6" s="177" t="n"/>
      <c r="R6" s="177" t="n"/>
      <c r="S6" s="177" t="n"/>
      <c r="T6" s="177" t="n"/>
      <c r="U6" s="177" t="n"/>
      <c r="V6" s="177" t="n"/>
      <c r="W6" s="177" t="n"/>
    </row>
    <row r="7" ht="15.75" customHeight="1" s="297">
      <c r="A7" s="176" t="n"/>
      <c r="B7" s="176" t="n"/>
      <c r="C7" s="173" t="n"/>
      <c r="D7" s="173" t="n"/>
      <c r="E7" s="173" t="n"/>
      <c r="F7" s="173" t="n"/>
      <c r="G7" s="175" t="n"/>
      <c r="H7" s="176" t="n"/>
      <c r="I7" s="176" t="n"/>
      <c r="J7" s="176" t="n"/>
      <c r="K7" s="175" t="n"/>
      <c r="L7" s="177" t="n"/>
      <c r="M7" s="177" t="n"/>
      <c r="N7" s="177" t="n"/>
      <c r="O7" s="177" t="n"/>
      <c r="P7" s="177" t="n"/>
      <c r="Q7" s="177" t="n"/>
      <c r="R7" s="177" t="n"/>
      <c r="S7" s="177" t="n"/>
      <c r="T7" s="177" t="n"/>
      <c r="U7" s="177" t="n"/>
      <c r="V7" s="177" t="n"/>
      <c r="W7" s="177" t="n"/>
    </row>
    <row r="8" ht="15.75" customHeight="1" s="297">
      <c r="A8" s="176" t="n"/>
      <c r="B8" s="176" t="n"/>
      <c r="C8" s="176" t="n"/>
      <c r="D8" s="176" t="n"/>
      <c r="E8" s="173" t="n"/>
      <c r="F8" s="173" t="n"/>
      <c r="G8" s="175" t="n"/>
      <c r="H8" s="176" t="n"/>
      <c r="I8" s="176" t="n"/>
      <c r="J8" s="176" t="n"/>
      <c r="K8" s="175" t="n"/>
      <c r="L8" s="177" t="n"/>
      <c r="M8" s="177" t="n"/>
      <c r="N8" s="177" t="n"/>
      <c r="O8" s="177" t="n"/>
      <c r="P8" s="177" t="n"/>
      <c r="Q8" s="177" t="n"/>
      <c r="R8" s="177" t="n"/>
      <c r="S8" s="177" t="n"/>
      <c r="T8" s="177" t="n"/>
      <c r="U8" s="177" t="n"/>
      <c r="V8" s="177" t="n"/>
      <c r="W8" s="177" t="n"/>
    </row>
    <row r="9" ht="15.75" customHeight="1" s="297">
      <c r="A9" s="190" t="inlineStr">
        <is>
          <t>DAP da Operação</t>
        </is>
      </c>
      <c r="B9" s="191" t="inlineStr">
        <is>
          <t>Classe</t>
        </is>
      </c>
      <c r="C9" s="191" t="inlineStr">
        <is>
          <t>Produto</t>
        </is>
      </c>
      <c r="D9" s="190" t="inlineStr">
        <is>
          <t>Ingrediente Ativo</t>
        </is>
      </c>
      <c r="E9" s="190" t="inlineStr">
        <is>
          <t>Concentração</t>
        </is>
      </c>
      <c r="F9" s="190" t="inlineStr">
        <is>
          <t>Unidade</t>
        </is>
      </c>
      <c r="G9" s="192" t="inlineStr">
        <is>
          <t>Bula</t>
        </is>
      </c>
      <c r="H9" s="192" t="inlineStr">
        <is>
          <t>Sugestão</t>
        </is>
      </c>
      <c r="I9" s="192" t="inlineStr">
        <is>
          <t>Dose</t>
        </is>
      </c>
      <c r="J9" s="193" t="inlineStr">
        <is>
          <t>Total</t>
        </is>
      </c>
      <c r="K9" s="194" t="inlineStr">
        <is>
          <t>CUSTO/HA</t>
        </is>
      </c>
      <c r="L9" s="195" t="inlineStr">
        <is>
          <t>VALOR TOTAL</t>
        </is>
      </c>
      <c r="M9" s="251" t="inlineStr">
        <is>
          <t>Coluna 1</t>
        </is>
      </c>
      <c r="N9" s="177" t="n"/>
      <c r="O9" s="177" t="n"/>
      <c r="P9" s="177" t="n"/>
      <c r="Q9" s="177" t="n"/>
      <c r="R9" s="177" t="n"/>
      <c r="S9" s="177" t="n"/>
      <c r="T9" s="177" t="n"/>
      <c r="U9" s="177" t="n"/>
      <c r="V9" s="177" t="n"/>
      <c r="W9" s="177" t="n"/>
    </row>
    <row r="10" ht="15.75" customHeight="1" s="297">
      <c r="A10" s="196" t="inlineStr">
        <is>
          <t>OPERAÇÃO 1</t>
        </is>
      </c>
      <c r="B10" s="197" t="n"/>
      <c r="C10" s="196" t="n"/>
      <c r="D10" s="198" t="inlineStr">
        <is>
          <t>-</t>
        </is>
      </c>
      <c r="E10" s="196" t="n"/>
      <c r="F10" s="196" t="n"/>
      <c r="G10" s="199" t="n"/>
      <c r="H10" s="200" t="n"/>
      <c r="I10" s="252" t="n"/>
      <c r="J10" s="202" t="n"/>
      <c r="K10" s="203">
        <f>SUBTOTAL(9,K11:K24)</f>
        <v/>
      </c>
      <c r="L10" s="203">
        <f>SUBTOTAL(9,L11:L24)</f>
        <v/>
      </c>
      <c r="M10" s="238" t="n"/>
      <c r="N10" s="177" t="n"/>
      <c r="O10" s="177" t="n"/>
      <c r="P10" s="177" t="n"/>
      <c r="Q10" s="177" t="n"/>
      <c r="R10" s="177" t="n"/>
      <c r="S10" s="177" t="n"/>
      <c r="T10" s="177" t="n"/>
      <c r="U10" s="177" t="n"/>
      <c r="V10" s="177" t="n"/>
      <c r="W10" s="177" t="n"/>
    </row>
    <row r="11" outlineLevel="1" s="297">
      <c r="A11" s="191" t="n"/>
      <c r="B11" s="204" t="inlineStr">
        <is>
          <t>CORRETIVOS</t>
        </is>
      </c>
      <c r="C11" s="191" t="inlineStr">
        <is>
          <t>CALCÁRIO DOLOMITICO</t>
        </is>
      </c>
      <c r="D11" s="205">
        <f>IFERROR(VLOOKUP($C11,'PORTIFÓLIO'!C:V,2,0),"")</f>
        <v/>
      </c>
      <c r="E11" s="190">
        <f>IFERROR(VLOOKUP($C11,'PORTIFÓLIO'!C:V,3,0),"")</f>
        <v/>
      </c>
      <c r="F11" s="190">
        <f>IFERROR(VLOOKUP($C11,'PORTIFÓLIO'!C:V,4,0),"")</f>
        <v/>
      </c>
      <c r="G11" s="206">
        <f>IFERROR(VLOOKUP($C11,'PORTIFÓLIO'!C:V,5,0),"")</f>
        <v/>
      </c>
      <c r="H11" s="247">
        <f t="array" ref="H11">IFERROR(INDEX('PORTIFÓLIO'!$H$4:$H$433,MATCH($C11,'PORTIFÓLIO'!$C$4:$C$433,0)),"")</f>
        <v/>
      </c>
      <c r="I11" s="253" t="n">
        <v>3</v>
      </c>
      <c r="J11" s="209">
        <f>I11*$B$2</f>
        <v/>
      </c>
      <c r="K11" s="210">
        <f t="array" ref="K11">IFERROR(I11*INDEX('PORTIFÓLIO'!$S$4:$S$433,MATCH($C11,'PORTIFÓLIO'!$C$4:$C$433,0)),"")</f>
        <v/>
      </c>
      <c r="L11" s="210">
        <f t="array" ref="L11">IFERROR(J11*INDEX('PORTIFÓLIO'!$S$4:$S$433,MATCH($C11,'PORTIFÓLIO'!$C$4:$C$433,0)),"")</f>
        <v/>
      </c>
      <c r="M11" s="238" t="n"/>
      <c r="N11" s="177" t="n"/>
      <c r="O11" s="177" t="n"/>
      <c r="P11" s="177" t="n"/>
      <c r="Q11" s="177" t="n"/>
      <c r="R11" s="177" t="n"/>
      <c r="S11" s="177" t="n"/>
      <c r="T11" s="177" t="n"/>
      <c r="U11" s="177">
        <f>IFERROR(__xludf.DUMMYFUNCTION("FILTER('PORTIFÓLIO'!C:C, 'PORTIFÓLIO'!B:B=B11)"),"#REF!")</f>
        <v/>
      </c>
      <c r="V11" s="177" t="n"/>
      <c r="W11" s="177" t="n"/>
    </row>
    <row r="12" outlineLevel="1" s="297">
      <c r="A12" s="191" t="n"/>
      <c r="B12" s="204" t="inlineStr">
        <is>
          <t>FERTILIZANTES</t>
        </is>
      </c>
      <c r="C12" s="191" t="inlineStr">
        <is>
          <t>SUPER DUO</t>
        </is>
      </c>
      <c r="D12" s="205">
        <f>IFERROR(VLOOKUP($C12,'PORTIFÓLIO'!C:V,2,0),"")</f>
        <v/>
      </c>
      <c r="E12" s="190">
        <f>IFERROR(VLOOKUP($C12,'PORTIFÓLIO'!C:V,3,0),"")</f>
        <v/>
      </c>
      <c r="F12" s="190">
        <f>IFERROR(VLOOKUP($C12,'PORTIFÓLIO'!C:V,4,0),"")</f>
        <v/>
      </c>
      <c r="G12" s="206">
        <f>IFERROR(VLOOKUP($C12,'PORTIFÓLIO'!C:V,5,0),"")</f>
        <v/>
      </c>
      <c r="H12" s="247">
        <f t="array" ref="H12">IFERROR(INDEX('PORTIFÓLIO'!$H$4:$H$433,MATCH($C12,'PORTIFÓLIO'!$C$4:$C$433,0)),"")</f>
        <v/>
      </c>
      <c r="I12" s="253" t="n">
        <v>0.5</v>
      </c>
      <c r="J12" s="209">
        <f>I12*$B$2</f>
        <v/>
      </c>
      <c r="K12" s="210">
        <f t="array" ref="K12">IFERROR(I12*INDEX('PORTIFÓLIO'!$S$4:$S$433,MATCH($C12,'PORTIFÓLIO'!$C$4:$C$433,0)),"")</f>
        <v/>
      </c>
      <c r="L12" s="210">
        <f t="array" ref="L12">IFERROR(J12*INDEX('PORTIFÓLIO'!$S$4:$S$433,MATCH($C12,'PORTIFÓLIO'!$C$4:$C$433,0)),"")</f>
        <v/>
      </c>
      <c r="M12" s="238" t="n"/>
      <c r="N12" s="177" t="n"/>
      <c r="O12" s="177" t="n"/>
      <c r="P12" s="177" t="n"/>
      <c r="Q12" s="177" t="n"/>
      <c r="R12" s="177" t="n"/>
      <c r="S12" s="177" t="n"/>
      <c r="T12" s="177" t="n"/>
      <c r="U12" s="177">
        <f>IFERROR(__xludf.DUMMYFUNCTION("FILTER('PORTIFÓLIO'!C:C, 'PORTIFÓLIO'!B:B=B12)"),"#REF!")</f>
        <v/>
      </c>
      <c r="V12" s="177" t="n"/>
      <c r="W12" s="177" t="n"/>
    </row>
    <row r="13" outlineLevel="1" s="297">
      <c r="A13" s="191" t="n"/>
      <c r="B13" s="204" t="inlineStr">
        <is>
          <t>FERTILIZANTES</t>
        </is>
      </c>
      <c r="C13" s="191" t="inlineStr">
        <is>
          <t>KCL 60%</t>
        </is>
      </c>
      <c r="D13" s="205">
        <f>IFERROR(VLOOKUP($C13,'PORTIFÓLIO'!C:V,2,0),"")</f>
        <v/>
      </c>
      <c r="E13" s="190">
        <f>IFERROR(VLOOKUP($C13,'PORTIFÓLIO'!C:V,3,0),"")</f>
        <v/>
      </c>
      <c r="F13" s="190">
        <f>IFERROR(VLOOKUP($C13,'PORTIFÓLIO'!C:V,4,0),"")</f>
        <v/>
      </c>
      <c r="G13" s="206">
        <f>IFERROR(VLOOKUP($C13,'PORTIFÓLIO'!C:V,5,0),"")</f>
        <v/>
      </c>
      <c r="H13" s="247">
        <f t="array" ref="H13">IFERROR(INDEX('PORTIFÓLIO'!$H$4:$H$433,MATCH($C13,'PORTIFÓLIO'!$C$4:$C$433,0)),"")</f>
        <v/>
      </c>
      <c r="I13" s="253" t="n">
        <v>0.2</v>
      </c>
      <c r="J13" s="209">
        <f>I13*$B$2</f>
        <v/>
      </c>
      <c r="K13" s="210">
        <f t="array" ref="K13">IFERROR(I13*INDEX('PORTIFÓLIO'!$S$4:$S$433,MATCH($C13,'PORTIFÓLIO'!$C$4:$C$433,0)),"")</f>
        <v/>
      </c>
      <c r="L13" s="210">
        <f t="array" ref="L13">IFERROR(J13*INDEX('PORTIFÓLIO'!$S$4:$S$433,MATCH($C13,'PORTIFÓLIO'!$C$4:$C$433,0)),"")</f>
        <v/>
      </c>
      <c r="M13" s="238" t="n"/>
      <c r="N13" s="177" t="n"/>
      <c r="O13" s="177" t="n"/>
      <c r="P13" s="177" t="n"/>
      <c r="Q13" s="177" t="n"/>
      <c r="R13" s="177" t="n"/>
      <c r="S13" s="177" t="n"/>
      <c r="T13" s="177" t="n"/>
      <c r="U13" s="177">
        <f>IFERROR(__xludf.DUMMYFUNCTION("FILTER('PORTIFÓLIO'!C:C, 'PORTIFÓLIO'!B:B=B13)"),"#REF!")</f>
        <v/>
      </c>
      <c r="V13" s="177" t="n"/>
      <c r="W13" s="177" t="n"/>
    </row>
    <row r="14" outlineLevel="1" s="297">
      <c r="A14" s="190" t="n"/>
      <c r="B14" s="204" t="inlineStr">
        <is>
          <t>FERTILIZANTES</t>
        </is>
      </c>
      <c r="C14" s="191" t="inlineStr">
        <is>
          <t xml:space="preserve">00-01-00+Cu2 Mn8 Zn7 </t>
        </is>
      </c>
      <c r="D14" s="205">
        <f>IFERROR(VLOOKUP($C14,'PORTIFÓLIO'!C:V,2,0),"")</f>
        <v/>
      </c>
      <c r="E14" s="190">
        <f>IFERROR(VLOOKUP($C14,'PORTIFÓLIO'!C:V,3,0),"")</f>
        <v/>
      </c>
      <c r="F14" s="190">
        <f>IFERROR(VLOOKUP($C14,'PORTIFÓLIO'!C:V,4,0),"")</f>
        <v/>
      </c>
      <c r="G14" s="206">
        <f>IFERROR(VLOOKUP($C14,'PORTIFÓLIO'!C:V,5,0),"")</f>
        <v/>
      </c>
      <c r="H14" s="247">
        <f t="array" ref="H14">IFERROR(INDEX('PORTIFÓLIO'!$H$4:$H$433,MATCH($C14,'PORTIFÓLIO'!$C$4:$C$433,0)),"")</f>
        <v/>
      </c>
      <c r="I14" s="253" t="n">
        <v>0.05</v>
      </c>
      <c r="J14" s="209">
        <f>I14*$B$2</f>
        <v/>
      </c>
      <c r="K14" s="210">
        <f t="array" ref="K14">IFERROR(I14*INDEX('PORTIFÓLIO'!$S$4:$S$433,MATCH($C14,'PORTIFÓLIO'!$C$4:$C$433,0)),"")</f>
        <v/>
      </c>
      <c r="L14" s="210">
        <f t="array" ref="L14">IFERROR(J14*INDEX('PORTIFÓLIO'!$S$4:$S$433,MATCH($C14,'PORTIFÓLIO'!$C$4:$C$433,0)),"")</f>
        <v/>
      </c>
      <c r="M14" s="238" t="n"/>
      <c r="N14" s="177" t="n"/>
      <c r="O14" s="177" t="n"/>
      <c r="P14" s="177" t="n"/>
      <c r="Q14" s="177" t="n"/>
      <c r="R14" s="177" t="n"/>
      <c r="S14" s="177" t="n"/>
      <c r="T14" s="177" t="n"/>
      <c r="U14" s="177">
        <f>IFERROR(__xludf.DUMMYFUNCTION("FILTER('PORTIFÓLIO'!C:C, 'PORTIFÓLIO'!B:B=B14)"),"#REF!")</f>
        <v/>
      </c>
      <c r="V14" s="177" t="n"/>
      <c r="W14" s="177"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7"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7"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7"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7"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7"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7"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7"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7"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7"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7" t="n"/>
      <c r="N24" s="220" t="n"/>
      <c r="O24" s="220" t="n"/>
      <c r="P24" s="220" t="n"/>
      <c r="Q24" s="220" t="n"/>
      <c r="R24" s="220" t="n"/>
      <c r="S24" s="220" t="n"/>
      <c r="T24" s="220" t="n"/>
      <c r="U24" s="220" t="n"/>
      <c r="V24" s="220" t="n"/>
      <c r="W24" s="220" t="n"/>
    </row>
    <row r="25" ht="15.75" customHeight="1" s="297">
      <c r="A25" s="221" t="inlineStr">
        <is>
          <t>OPERAÇÃO 2</t>
        </is>
      </c>
      <c r="B25" s="197" t="n"/>
      <c r="C25" s="196" t="n"/>
      <c r="D25" s="198" t="n"/>
      <c r="E25" s="196" t="n"/>
      <c r="F25" s="196" t="n"/>
      <c r="G25" s="199" t="n"/>
      <c r="H25" s="199" t="n"/>
      <c r="I25" s="252" t="n"/>
      <c r="J25" s="202" t="n"/>
      <c r="K25" s="203">
        <f>SUBTOTAL(9,K26:K39)</f>
        <v/>
      </c>
      <c r="L25" s="203">
        <f>SUBTOTAL(9,L26:L39)</f>
        <v/>
      </c>
      <c r="M25" s="238" t="n"/>
      <c r="N25" s="177" t="n"/>
      <c r="O25" s="177" t="n"/>
      <c r="P25" s="177" t="n"/>
      <c r="Q25" s="177" t="n"/>
      <c r="R25" s="177" t="n"/>
      <c r="S25" s="177" t="n"/>
      <c r="T25" s="177" t="n"/>
      <c r="U25" s="177" t="n"/>
      <c r="V25" s="177" t="n"/>
      <c r="W25" s="177" t="n"/>
    </row>
    <row r="26" outlineLevel="1" ht="15.75" customHeight="1" s="297">
      <c r="A26" s="191" t="n"/>
      <c r="B26" s="204" t="inlineStr">
        <is>
          <t>HERBICIDA</t>
        </is>
      </c>
      <c r="C26" s="191" t="inlineStr">
        <is>
          <t>ROUNDUP WG</t>
        </is>
      </c>
      <c r="D26" s="205">
        <f>IFERROR(VLOOKUP($C26,'PORTIFÓLIO'!C:V,2,0),"")</f>
        <v/>
      </c>
      <c r="E26" s="190">
        <f>IFERROR(VLOOKUP($C26,'PORTIFÓLIO'!C:V,3,0),"")</f>
        <v/>
      </c>
      <c r="F26" s="190">
        <f>IFERROR(VLOOKUP($C26,'PORTIFÓLIO'!C:V,4,0),"")</f>
        <v/>
      </c>
      <c r="G26" s="223">
        <f>IFERROR(VLOOKUP($C26,'PORTIFÓLIO'!C:V,5,0),"")</f>
        <v/>
      </c>
      <c r="H26" s="247">
        <f t="array" ref="H26">IFERROR(INDEX('PORTIFÓLIO'!$H$4:$H$433,MATCH($C26,'PORTIFÓLIO'!$C$4:$C$433,0)),"")</f>
        <v/>
      </c>
      <c r="I26" s="253" t="n">
        <v>2</v>
      </c>
      <c r="J26" s="209">
        <f>I26*$B$2</f>
        <v/>
      </c>
      <c r="K26" s="210">
        <f t="array" ref="K26">IFERROR(I26*INDEX('PORTIFÓLIO'!$S$4:$S$433,MATCH($C26,'PORTIFÓLIO'!$C$4:$C$433,0)),"")</f>
        <v/>
      </c>
      <c r="L26" s="210">
        <f t="array" ref="L26">IFERROR(J26*INDEX('PORTIFÓLIO'!$S$4:$S$433,MATCH($C26,'PORTIFÓLIO'!$C$4:$C$433,0)),"")</f>
        <v/>
      </c>
      <c r="M26" s="238" t="n"/>
      <c r="N26" s="177" t="n"/>
      <c r="O26" s="177" t="n"/>
      <c r="P26" s="177" t="n"/>
      <c r="Q26" s="177" t="n"/>
      <c r="R26" s="177" t="n"/>
      <c r="S26" s="177" t="n"/>
      <c r="T26" s="177" t="n"/>
      <c r="U26" s="177" t="n"/>
      <c r="V26" s="177" t="n"/>
      <c r="W26" s="177" t="n"/>
    </row>
    <row r="27" outlineLevel="1" ht="15.75" customHeight="1" s="297">
      <c r="A27" s="190" t="n"/>
      <c r="B27" s="204" t="inlineStr">
        <is>
          <t>HERBICIDA</t>
        </is>
      </c>
      <c r="C27" s="191" t="inlineStr">
        <is>
          <t>ARADDO</t>
        </is>
      </c>
      <c r="D27" s="205">
        <f>IFERROR(VLOOKUP($C27,'PORTIFÓLIO'!C:V,2,0),"")</f>
        <v/>
      </c>
      <c r="E27" s="190">
        <f>IFERROR(VLOOKUP($C27,'PORTIFÓLIO'!C:V,3,0),"")</f>
        <v/>
      </c>
      <c r="F27" s="190">
        <f>IFERROR(VLOOKUP($C27,'PORTIFÓLIO'!C:V,4,0),"")</f>
        <v/>
      </c>
      <c r="G27" s="223">
        <f>IFERROR(VLOOKUP($C27,'PORTIFÓLIO'!C:V,5,0),"")</f>
        <v/>
      </c>
      <c r="H27" s="247">
        <f t="array" ref="H27">IFERROR(INDEX('PORTIFÓLIO'!$H$4:$H$433,MATCH($C27,'PORTIFÓLIO'!$C$4:$C$433,0)),"")</f>
        <v/>
      </c>
      <c r="I27" s="253" t="n">
        <v>1</v>
      </c>
      <c r="J27" s="209">
        <f>I27*$B$2</f>
        <v/>
      </c>
      <c r="K27" s="210">
        <f t="array" ref="K27">IFERROR(I27*INDEX('PORTIFÓLIO'!$S$4:$S$433,MATCH($C27,'PORTIFÓLIO'!$C$4:$C$433,0)),"")</f>
        <v/>
      </c>
      <c r="L27" s="210">
        <f t="array" ref="L27">IFERROR(J27*INDEX('PORTIFÓLIO'!$S$4:$S$433,MATCH($C27,'PORTIFÓLIO'!$C$4:$C$433,0)),"")</f>
        <v/>
      </c>
      <c r="M27" s="238" t="n"/>
      <c r="N27" s="177" t="n"/>
      <c r="O27" s="177" t="n"/>
      <c r="P27" s="177" t="n"/>
      <c r="Q27" s="177" t="n"/>
      <c r="R27" s="177" t="n"/>
      <c r="S27" s="177" t="n"/>
      <c r="T27" s="177" t="n"/>
      <c r="U27" s="177" t="n"/>
      <c r="V27" s="177" t="n"/>
      <c r="W27" s="177" t="n"/>
    </row>
    <row r="28" outlineLevel="1" ht="15.75" customHeight="1" s="297">
      <c r="A28" s="190" t="n"/>
      <c r="B28" s="204" t="inlineStr">
        <is>
          <t>ADJUVANTE</t>
        </is>
      </c>
      <c r="C28" s="191" t="inlineStr">
        <is>
          <t>AUREO</t>
        </is>
      </c>
      <c r="D28" s="205">
        <f>IFERROR(VLOOKUP($C28,'PORTIFÓLIO'!C:V,2,0),"")</f>
        <v/>
      </c>
      <c r="E28" s="190">
        <f>IFERROR(VLOOKUP($C28,'PORTIFÓLIO'!C:V,3,0),"")</f>
        <v/>
      </c>
      <c r="F28" s="190">
        <f>IFERROR(VLOOKUP($C28,'PORTIFÓLIO'!C:V,4,0),"")</f>
        <v/>
      </c>
      <c r="G28" s="223">
        <f>IFERROR(VLOOKUP($C28,'PORTIFÓLIO'!C:V,5,0),"")</f>
        <v/>
      </c>
      <c r="H28" s="247">
        <f t="array" ref="H28">IFERROR(INDEX('PORTIFÓLIO'!$H$4:$H$433,MATCH($C28,'PORTIFÓLIO'!$C$4:$C$433,0)),"")</f>
        <v/>
      </c>
      <c r="I28" s="253" t="n">
        <v>0.2</v>
      </c>
      <c r="J28" s="209">
        <f>I28*$B$2</f>
        <v/>
      </c>
      <c r="K28" s="210">
        <f t="array" ref="K28">IFERROR(I28*INDEX('PORTIFÓLIO'!$S$4:$S$433,MATCH($C28,'PORTIFÓLIO'!$C$4:$C$433,0)),"")</f>
        <v/>
      </c>
      <c r="L28" s="210">
        <f t="array" ref="L28">IFERROR(J28*INDEX('PORTIFÓLIO'!$S$4:$S$433,MATCH($C28,'PORTIFÓLIO'!$C$4:$C$433,0)),"")</f>
        <v/>
      </c>
      <c r="M28" s="238" t="n"/>
      <c r="N28" s="177" t="n"/>
      <c r="O28" s="177" t="n"/>
      <c r="P28" s="177" t="n"/>
      <c r="Q28" s="177" t="n"/>
      <c r="R28" s="177" t="n"/>
      <c r="S28" s="177" t="n"/>
      <c r="T28" s="177" t="n"/>
      <c r="U28" s="177" t="n"/>
      <c r="V28" s="177" t="n"/>
      <c r="W28" s="177" t="n"/>
    </row>
    <row r="29" outlineLevel="1" ht="15.75" customHeight="1" s="297">
      <c r="A29" s="190" t="n"/>
      <c r="B29" s="204" t="inlineStr">
        <is>
          <t>INSETICIDA</t>
        </is>
      </c>
      <c r="C29" s="191" t="inlineStr">
        <is>
          <t>PREMIO</t>
        </is>
      </c>
      <c r="D29" s="205">
        <f>IFERROR(VLOOKUP($C29,'PORTIFÓLIO'!C:V,2,0),"")</f>
        <v/>
      </c>
      <c r="E29" s="190">
        <f>IFERROR(VLOOKUP($C29,'PORTIFÓLIO'!C:V,3,0),"")</f>
        <v/>
      </c>
      <c r="F29" s="190">
        <f>IFERROR(VLOOKUP($C29,'PORTIFÓLIO'!C:V,4,0),"")</f>
        <v/>
      </c>
      <c r="G29" s="223">
        <f>IFERROR(VLOOKUP($C29,'PORTIFÓLIO'!C:V,5,0),"")</f>
        <v/>
      </c>
      <c r="H29" s="247">
        <f t="array" ref="H29">IFERROR(INDEX('PORTIFÓLIO'!$H$4:$H$433,MATCH($C29,'PORTIFÓLIO'!$C$4:$C$433,0)),"")</f>
        <v/>
      </c>
      <c r="I29" s="253" t="n">
        <v>0.04</v>
      </c>
      <c r="J29" s="209">
        <f>I29*$B$2</f>
        <v/>
      </c>
      <c r="K29" s="210">
        <f t="array" ref="K29">IFERROR(I29*INDEX('PORTIFÓLIO'!$S$4:$S$433,MATCH($C29,'PORTIFÓLIO'!$C$4:$C$433,0)),"")</f>
        <v/>
      </c>
      <c r="L29" s="210">
        <f t="array" ref="L29">IFERROR(J29*INDEX('PORTIFÓLIO'!$S$4:$S$433,MATCH($C29,'PORTIFÓLIO'!$C$4:$C$433,0)),"")</f>
        <v/>
      </c>
      <c r="M29" s="238" t="n"/>
      <c r="N29" s="177" t="n"/>
      <c r="O29" s="177" t="n"/>
      <c r="P29" s="177" t="n"/>
      <c r="Q29" s="177" t="n"/>
      <c r="R29" s="177" t="n"/>
      <c r="S29" s="177" t="n"/>
      <c r="T29" s="177" t="n"/>
      <c r="U29" s="177" t="n"/>
      <c r="V29" s="177" t="n"/>
      <c r="W29" s="177" t="n"/>
    </row>
    <row r="30" outlineLevel="1" ht="15.75" customHeight="1" s="297">
      <c r="A30" s="211" t="n"/>
      <c r="B30" s="212" t="n"/>
      <c r="C30" s="213" t="n"/>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c r="J30" s="218">
        <f>I30*$B$2</f>
        <v/>
      </c>
      <c r="K30" s="219">
        <f t="array" ref="K30">IFERROR(I30*INDEX('PORTIFÓLIO'!$S$4:$S$433,MATCH($C30,'PORTIFÓLIO'!$C$4:$C$433,0)),"")</f>
        <v/>
      </c>
      <c r="L30" s="219">
        <f t="array" ref="L30">IFERROR(J30*INDEX('PORTIFÓLIO'!$S$4:$S$433,MATCH($C30,'PORTIFÓLIO'!$C$4:$C$433,0)),"")</f>
        <v/>
      </c>
      <c r="M30" s="227"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7"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7"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7"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7"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7"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7"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7"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7"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7"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7"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7"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7"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7" t="n"/>
      <c r="N43" s="220" t="n"/>
      <c r="O43" s="220" t="n"/>
      <c r="P43" s="220" t="n"/>
      <c r="Q43" s="220" t="n"/>
      <c r="R43" s="220" t="n"/>
      <c r="S43" s="220" t="n"/>
      <c r="T43" s="220" t="n"/>
      <c r="U43" s="220" t="n"/>
      <c r="V43" s="220" t="n"/>
      <c r="W43" s="220" t="n"/>
    </row>
    <row r="44" ht="15.75" customHeight="1" s="297">
      <c r="A44" s="221" t="inlineStr">
        <is>
          <t>OPERAÇÃO 3</t>
        </is>
      </c>
      <c r="B44" s="197" t="n"/>
      <c r="C44" s="196" t="n"/>
      <c r="D44" s="198" t="inlineStr">
        <is>
          <t>-</t>
        </is>
      </c>
      <c r="E44" s="196" t="n"/>
      <c r="F44" s="196" t="n"/>
      <c r="G44" s="199" t="n"/>
      <c r="H44" s="199" t="n"/>
      <c r="I44" s="252" t="n"/>
      <c r="J44" s="202" t="n"/>
      <c r="K44" s="203">
        <f>SUBTOTAL(9,K45:K58)</f>
        <v/>
      </c>
      <c r="L44" s="203">
        <f>SUBTOTAL(9,L45:L58)</f>
        <v/>
      </c>
      <c r="M44" s="238" t="n"/>
      <c r="N44" s="177" t="n"/>
      <c r="O44" s="177" t="n"/>
      <c r="P44" s="177" t="n"/>
      <c r="Q44" s="177" t="n"/>
      <c r="R44" s="177" t="n"/>
      <c r="S44" s="177" t="n"/>
      <c r="T44" s="177" t="n"/>
      <c r="U44" s="177" t="n"/>
      <c r="V44" s="177" t="n"/>
      <c r="W44" s="177" t="n"/>
    </row>
    <row r="45" outlineLevel="1" ht="15.75" customHeight="1" s="297">
      <c r="A45" s="191" t="n"/>
      <c r="B45" s="204" t="inlineStr">
        <is>
          <t>HERBICIDA</t>
        </is>
      </c>
      <c r="C45" s="191" t="inlineStr">
        <is>
          <t>GLUFOSINATO NORTOX 880 SG</t>
        </is>
      </c>
      <c r="D45" s="205">
        <f>IFERROR(VLOOKUP($C45,'PORTIFÓLIO'!C:V,2,0),"")</f>
        <v/>
      </c>
      <c r="E45" s="190">
        <f>IFERROR(VLOOKUP($C45,'PORTIFÓLIO'!C:V,3,0),"")</f>
        <v/>
      </c>
      <c r="F45" s="190">
        <f>IFERROR(VLOOKUP($C45,'PORTIFÓLIO'!C:V,4,0),"")</f>
        <v/>
      </c>
      <c r="G45" s="223">
        <f>IFERROR(VLOOKUP($C45,'PORTIFÓLIO'!C:V,5,0),"")</f>
        <v/>
      </c>
      <c r="H45" s="247">
        <f t="array" ref="H45">IFERROR(INDEX('PORTIFÓLIO'!$H$4:$H$433,MATCH($C45,'PORTIFÓLIO'!$C$4:$C$433,0)),"")</f>
        <v/>
      </c>
      <c r="I45" s="253" t="n">
        <v>0.5</v>
      </c>
      <c r="J45" s="209">
        <f>I45*$B$2</f>
        <v/>
      </c>
      <c r="K45" s="210">
        <f t="array" ref="K45">IFERROR(I45*INDEX('PORTIFÓLIO'!$S$4:$S$433,MATCH($C45,'PORTIFÓLIO'!$C$4:$C$433,0)),"")</f>
        <v/>
      </c>
      <c r="L45" s="210">
        <f t="array" ref="L45">IFERROR(J45*INDEX('PORTIFÓLIO'!$S$4:$S$433,MATCH($C45,'PORTIFÓLIO'!$C$4:$C$433,0)),"")</f>
        <v/>
      </c>
      <c r="M45" s="238" t="n"/>
      <c r="N45" s="177" t="n"/>
      <c r="O45" s="177" t="n"/>
      <c r="P45" s="177" t="n"/>
      <c r="Q45" s="177" t="n"/>
      <c r="R45" s="177" t="n"/>
      <c r="S45" s="177" t="n"/>
      <c r="T45" s="177" t="n"/>
      <c r="U45" s="177" t="n"/>
      <c r="V45" s="177" t="n"/>
      <c r="W45" s="177" t="n"/>
    </row>
    <row r="46" outlineLevel="1" ht="15.75" customHeight="1" s="297">
      <c r="A46" s="190" t="n"/>
      <c r="B46" s="204" t="inlineStr">
        <is>
          <t>HERBICIDA</t>
        </is>
      </c>
      <c r="C46" s="191" t="inlineStr">
        <is>
          <t>ZETHAMAXX</t>
        </is>
      </c>
      <c r="D46" s="205">
        <f>IFERROR(VLOOKUP($C46,'PORTIFÓLIO'!C:V,2,0),"")</f>
        <v/>
      </c>
      <c r="E46" s="190">
        <f>IFERROR(VLOOKUP($C46,'PORTIFÓLIO'!C:V,3,0),"")</f>
        <v/>
      </c>
      <c r="F46" s="190">
        <f>IFERROR(VLOOKUP($C46,'PORTIFÓLIO'!C:V,4,0),"")</f>
        <v/>
      </c>
      <c r="G46" s="223">
        <f>IFERROR(VLOOKUP($C46,'PORTIFÓLIO'!C:V,5,0),"")</f>
        <v/>
      </c>
      <c r="H46" s="247">
        <f t="array" ref="H46">IFERROR(INDEX('PORTIFÓLIO'!$H$4:$H$433,MATCH($C46,'PORTIFÓLIO'!$C$4:$C$433,0)),"")</f>
        <v/>
      </c>
      <c r="I46" s="253" t="n">
        <v>0.4</v>
      </c>
      <c r="J46" s="209">
        <f>I46*$B$2</f>
        <v/>
      </c>
      <c r="K46" s="210">
        <f t="array" ref="K46">IFERROR(I46*INDEX('PORTIFÓLIO'!$S$4:$S$433,MATCH($C46,'PORTIFÓLIO'!$C$4:$C$433,0)),"")</f>
        <v/>
      </c>
      <c r="L46" s="210">
        <f t="array" ref="L46">IFERROR(J46*INDEX('PORTIFÓLIO'!$S$4:$S$433,MATCH($C46,'PORTIFÓLIO'!$C$4:$C$433,0)),"")</f>
        <v/>
      </c>
      <c r="M46" s="238" t="n"/>
      <c r="N46" s="177" t="n"/>
      <c r="O46" s="177" t="n"/>
      <c r="P46" s="177" t="n"/>
      <c r="Q46" s="177" t="n"/>
      <c r="R46" s="177" t="n"/>
      <c r="S46" s="177" t="n"/>
      <c r="T46" s="177" t="n"/>
      <c r="U46" s="177" t="n"/>
      <c r="V46" s="177" t="n"/>
      <c r="W46" s="177" t="n"/>
    </row>
    <row r="47" outlineLevel="1" ht="15.75" customHeight="1" s="297">
      <c r="A47" s="190" t="n"/>
      <c r="B47" s="204" t="inlineStr">
        <is>
          <t>HERBICIDA</t>
        </is>
      </c>
      <c r="C47" s="191" t="inlineStr">
        <is>
          <t>DUAL GOLD</t>
        </is>
      </c>
      <c r="D47" s="205">
        <f>IFERROR(VLOOKUP($C47,'PORTIFÓLIO'!C:V,2,0),"")</f>
        <v/>
      </c>
      <c r="E47" s="190">
        <f>IFERROR(VLOOKUP($C47,'PORTIFÓLIO'!C:V,3,0),"")</f>
        <v/>
      </c>
      <c r="F47" s="190">
        <f>IFERROR(VLOOKUP($C47,'PORTIFÓLIO'!C:V,4,0),"")</f>
        <v/>
      </c>
      <c r="G47" s="223">
        <f>IFERROR(VLOOKUP($C47,'PORTIFÓLIO'!C:V,5,0),"")</f>
        <v/>
      </c>
      <c r="H47" s="247">
        <f t="array" ref="H47">IFERROR(INDEX('PORTIFÓLIO'!$H$4:$H$433,MATCH($C47,'PORTIFÓLIO'!$C$4:$C$433,0)),"")</f>
        <v/>
      </c>
      <c r="I47" s="253" t="n">
        <v>1</v>
      </c>
      <c r="J47" s="209">
        <f>I47*$B$2</f>
        <v/>
      </c>
      <c r="K47" s="210">
        <f t="array" ref="K47">IFERROR(I47*INDEX('PORTIFÓLIO'!$S$4:$S$433,MATCH($C47,'PORTIFÓLIO'!$C$4:$C$433,0)),"")</f>
        <v/>
      </c>
      <c r="L47" s="210">
        <f t="array" ref="L47">IFERROR(J47*INDEX('PORTIFÓLIO'!$S$4:$S$433,MATCH($C47,'PORTIFÓLIO'!$C$4:$C$433,0)),"")</f>
        <v/>
      </c>
      <c r="M47" s="238" t="n"/>
      <c r="N47" s="177" t="n"/>
      <c r="O47" s="177" t="n"/>
      <c r="P47" s="177" t="n"/>
      <c r="Q47" s="177" t="n"/>
      <c r="R47" s="177" t="n"/>
      <c r="S47" s="177" t="n"/>
      <c r="T47" s="177" t="n"/>
      <c r="U47" s="177" t="n"/>
      <c r="V47" s="177" t="n"/>
      <c r="W47" s="177" t="n"/>
    </row>
    <row r="48" outlineLevel="1" ht="15.75" customHeight="1" s="297">
      <c r="A48" s="190" t="n"/>
      <c r="B48" s="204" t="inlineStr">
        <is>
          <t>ADJUVANTE</t>
        </is>
      </c>
      <c r="C48" s="191" t="inlineStr">
        <is>
          <t>AUREO</t>
        </is>
      </c>
      <c r="D48" s="205">
        <f>IFERROR(VLOOKUP($C48,'PORTIFÓLIO'!C:V,2,0),"")</f>
        <v/>
      </c>
      <c r="E48" s="190">
        <f>IFERROR(VLOOKUP($C48,'PORTIFÓLIO'!C:V,3,0),"")</f>
        <v/>
      </c>
      <c r="F48" s="190">
        <f>IFERROR(VLOOKUP($C48,'PORTIFÓLIO'!C:V,4,0),"")</f>
        <v/>
      </c>
      <c r="G48" s="223">
        <f>IFERROR(VLOOKUP($C48,'PORTIFÓLIO'!C:V,5,0),"")</f>
        <v/>
      </c>
      <c r="H48" s="247">
        <f t="array" ref="H48">IFERROR(INDEX('PORTIFÓLIO'!$H$4:$H$433,MATCH($C48,'PORTIFÓLIO'!$C$4:$C$433,0)),"")</f>
        <v/>
      </c>
      <c r="I48" s="253" t="n">
        <v>0.2</v>
      </c>
      <c r="J48" s="209">
        <f>I48*$B$2</f>
        <v/>
      </c>
      <c r="K48" s="210">
        <f t="array" ref="K48">IFERROR(I48*INDEX('PORTIFÓLIO'!$S$4:$S$433,MATCH($C48,'PORTIFÓLIO'!$C$4:$C$433,0)),"")</f>
        <v/>
      </c>
      <c r="L48" s="210">
        <f t="array" ref="L48">IFERROR(J48*INDEX('PORTIFÓLIO'!$S$4:$S$433,MATCH($C48,'PORTIFÓLIO'!$C$4:$C$433,0)),"")</f>
        <v/>
      </c>
      <c r="M48" s="238" t="n"/>
      <c r="N48" s="177" t="n"/>
      <c r="O48" s="177" t="n"/>
      <c r="P48" s="177" t="n"/>
      <c r="Q48" s="177" t="n"/>
      <c r="R48" s="177" t="n"/>
      <c r="S48" s="177" t="n"/>
      <c r="T48" s="177" t="n"/>
      <c r="U48" s="177" t="n"/>
      <c r="V48" s="177" t="n"/>
      <c r="W48" s="177" t="n"/>
    </row>
    <row r="49" outlineLevel="1" ht="15.75" customHeight="1" s="297">
      <c r="A49" s="190" t="n"/>
      <c r="B49" s="204" t="inlineStr">
        <is>
          <t>INSETICIDA</t>
        </is>
      </c>
      <c r="C49" s="191" t="inlineStr">
        <is>
          <t>PREMIO</t>
        </is>
      </c>
      <c r="D49" s="205">
        <f>IFERROR(VLOOKUP($C49,'PORTIFÓLIO'!C:V,2,0),"")</f>
        <v/>
      </c>
      <c r="E49" s="190">
        <f>IFERROR(VLOOKUP($C49,'PORTIFÓLIO'!C:V,3,0),"")</f>
        <v/>
      </c>
      <c r="F49" s="190">
        <f>IFERROR(VLOOKUP($C49,'PORTIFÓLIO'!C:V,4,0),"")</f>
        <v/>
      </c>
      <c r="G49" s="223">
        <f>IFERROR(VLOOKUP($C49,'PORTIFÓLIO'!C:V,5,0),"")</f>
        <v/>
      </c>
      <c r="H49" s="247">
        <f t="array" ref="H49">IFERROR(INDEX('PORTIFÓLIO'!$H$4:$H$433,MATCH($C49,'PORTIFÓLIO'!$C$4:$C$433,0)),"")</f>
        <v/>
      </c>
      <c r="I49" s="253" t="n">
        <v>0.04</v>
      </c>
      <c r="J49" s="209">
        <f>I49*$B$2</f>
        <v/>
      </c>
      <c r="K49" s="210">
        <f t="array" ref="K49">IFERROR(I49*INDEX('PORTIFÓLIO'!$S$4:$S$433,MATCH($C49,'PORTIFÓLIO'!$C$4:$C$433,0)),"")</f>
        <v/>
      </c>
      <c r="L49" s="210">
        <f t="array" ref="L49">IFERROR(J49*INDEX('PORTIFÓLIO'!$S$4:$S$433,MATCH($C49,'PORTIFÓLIO'!$C$4:$C$433,0)),"")</f>
        <v/>
      </c>
      <c r="M49" s="238" t="n"/>
      <c r="N49" s="177" t="n"/>
      <c r="O49" s="177" t="n"/>
      <c r="P49" s="177" t="n"/>
      <c r="Q49" s="177" t="n"/>
      <c r="R49" s="177" t="n"/>
      <c r="S49" s="177" t="n"/>
      <c r="T49" s="177" t="n"/>
      <c r="U49" s="177" t="n"/>
      <c r="V49" s="177" t="n"/>
      <c r="W49" s="177" t="n"/>
    </row>
    <row r="50" outlineLevel="1" ht="15.75" customHeight="1" s="297">
      <c r="A50" s="190" t="n"/>
      <c r="B50" s="204" t="inlineStr">
        <is>
          <t>INSETICIDA</t>
        </is>
      </c>
      <c r="C50" s="191" t="inlineStr">
        <is>
          <t>FIPRONIL 800 WG CCAB</t>
        </is>
      </c>
      <c r="D50" s="205">
        <f>IFERROR(VLOOKUP($C50,'PORTIFÓLIO'!C:V,2,0),"")</f>
        <v/>
      </c>
      <c r="E50" s="190">
        <f>IFERROR(VLOOKUP($C50,'PORTIFÓLIO'!C:V,3,0),"")</f>
        <v/>
      </c>
      <c r="F50" s="190">
        <f>IFERROR(VLOOKUP($C50,'PORTIFÓLIO'!C:V,4,0),"")</f>
        <v/>
      </c>
      <c r="G50" s="223">
        <f>IFERROR(VLOOKUP($C50,'PORTIFÓLIO'!C:V,5,0),"")</f>
        <v/>
      </c>
      <c r="H50" s="247">
        <f t="array" ref="H50">IFERROR(INDEX('PORTIFÓLIO'!$H$4:$H$433,MATCH($C50,'PORTIFÓLIO'!$C$4:$C$433,0)),"")</f>
        <v/>
      </c>
      <c r="I50" s="253" t="n">
        <v>0.04</v>
      </c>
      <c r="J50" s="209">
        <f>I50*$B$2</f>
        <v/>
      </c>
      <c r="K50" s="210">
        <f t="array" ref="K50">IFERROR(I50*INDEX('PORTIFÓLIO'!$S$4:$S$433,MATCH($C50,'PORTIFÓLIO'!$C$4:$C$433,0)),"")</f>
        <v/>
      </c>
      <c r="L50" s="210">
        <f t="array" ref="L50">IFERROR(J50*INDEX('PORTIFÓLIO'!$S$4:$S$433,MATCH($C50,'PORTIFÓLIO'!$C$4:$C$433,0)),"")</f>
        <v/>
      </c>
      <c r="M50" s="238" t="n"/>
      <c r="N50" s="177" t="n"/>
      <c r="O50" s="177" t="n"/>
      <c r="P50" s="177" t="n"/>
      <c r="Q50" s="177" t="n"/>
      <c r="R50" s="177" t="n"/>
      <c r="S50" s="177" t="n"/>
      <c r="T50" s="177" t="n"/>
      <c r="U50" s="177" t="n"/>
      <c r="V50" s="177" t="n"/>
      <c r="W50" s="177" t="n"/>
    </row>
    <row r="51" outlineLevel="1" ht="15.75" customHeight="1" s="297">
      <c r="A51" s="211" t="n"/>
      <c r="B51" s="212" t="inlineStr">
        <is>
          <t>NUTRIÇÃO</t>
        </is>
      </c>
      <c r="C51" s="213" t="inlineStr">
        <is>
          <t>BOP</t>
        </is>
      </c>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v>1</v>
      </c>
      <c r="J51" s="218">
        <f>I51*$B$2</f>
        <v/>
      </c>
      <c r="K51" s="219">
        <f t="array" ref="K51">IFERROR(I51*INDEX('PORTIFÓLIO'!$S$4:$S$433,MATCH($C51,'PORTIFÓLIO'!$C$4:$C$433,0)),"")</f>
        <v/>
      </c>
      <c r="L51" s="219">
        <f t="array" ref="L51">IFERROR(J51*INDEX('PORTIFÓLIO'!$S$4:$S$433,MATCH($C51,'PORTIFÓLIO'!$C$4:$C$433,0)),"")</f>
        <v/>
      </c>
      <c r="M51" s="227"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7"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7"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7"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7"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7"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7"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7"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7"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7"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7"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7" t="n"/>
      <c r="N62" s="220" t="n"/>
      <c r="O62" s="220" t="n"/>
      <c r="P62" s="220" t="n"/>
      <c r="Q62" s="220" t="n"/>
      <c r="R62" s="220" t="n"/>
      <c r="S62" s="220" t="n"/>
      <c r="T62" s="220" t="n"/>
      <c r="U62" s="220" t="n"/>
      <c r="V62" s="220" t="n"/>
      <c r="W62" s="220" t="n"/>
    </row>
    <row r="63" ht="15.75" customHeight="1" s="297">
      <c r="A63" s="221" t="inlineStr">
        <is>
          <t>OPERAÇÃO 4</t>
        </is>
      </c>
      <c r="B63" s="197" t="n"/>
      <c r="C63" s="196" t="n"/>
      <c r="D63" s="198" t="n"/>
      <c r="E63" s="196" t="n"/>
      <c r="F63" s="196" t="n"/>
      <c r="G63" s="199" t="n"/>
      <c r="H63" s="199" t="n"/>
      <c r="I63" s="252" t="n"/>
      <c r="J63" s="202" t="n"/>
      <c r="K63" s="203">
        <f>SUBTOTAL(9,K64:K76)</f>
        <v/>
      </c>
      <c r="L63" s="203">
        <f>SUBTOTAL(9,L64:L76)</f>
        <v/>
      </c>
      <c r="M63" s="238" t="n"/>
      <c r="N63" s="177" t="n"/>
      <c r="O63" s="177" t="n"/>
      <c r="P63" s="177" t="n"/>
      <c r="Q63" s="177" t="n"/>
      <c r="R63" s="177" t="n"/>
      <c r="S63" s="177" t="n"/>
      <c r="T63" s="177" t="n"/>
      <c r="U63" s="177" t="n"/>
      <c r="V63" s="177" t="n"/>
      <c r="W63" s="177" t="n"/>
    </row>
    <row r="64" outlineLevel="1" ht="15.75" customHeight="1" s="297">
      <c r="A64" s="191" t="n"/>
      <c r="B64" s="204" t="inlineStr">
        <is>
          <t>SEMENTE</t>
        </is>
      </c>
      <c r="C64" s="191" t="inlineStr">
        <is>
          <t>BRASMAX OLIMPO</t>
        </is>
      </c>
      <c r="D64" s="205">
        <f>IFERROR(VLOOKUP($C64,'PORTIFÓLIO'!C:V,2,0),"")</f>
        <v/>
      </c>
      <c r="E64" s="190">
        <f>IFERROR(VLOOKUP($C64,'PORTIFÓLIO'!C:V,3,0),"")</f>
        <v/>
      </c>
      <c r="F64" s="190">
        <f>IFERROR(VLOOKUP($C64,'PORTIFÓLIO'!C:V,4,0),"")</f>
        <v/>
      </c>
      <c r="G64" s="223">
        <f>IFERROR(VLOOKUP($C64,'PORTIFÓLIO'!C:V,5,0),"")</f>
        <v/>
      </c>
      <c r="H64" s="247">
        <f t="array" ref="H64">IFERROR(INDEX('PORTIFÓLIO'!$H$4:$H$433,MATCH($C64,'PORTIFÓLIO'!$C$4:$C$433,0)),"")</f>
        <v/>
      </c>
      <c r="I64" s="253" t="n">
        <v>0.04</v>
      </c>
      <c r="J64" s="209">
        <f>I64*$B$2</f>
        <v/>
      </c>
      <c r="K64" s="210">
        <f t="array" ref="K64">IFERROR(I64*INDEX('PORTIFÓLIO'!$S$4:$S$433,MATCH($C64,'PORTIFÓLIO'!$C$4:$C$433,0)),"")</f>
        <v/>
      </c>
      <c r="L64" s="210">
        <f t="array" ref="L64">IFERROR(J64*INDEX('PORTIFÓLIO'!$S$4:$S$433,MATCH($C64,'PORTIFÓLIO'!$C$4:$C$433,0)),"")</f>
        <v/>
      </c>
      <c r="M64" s="238" t="n"/>
      <c r="N64" s="177" t="n"/>
      <c r="O64" s="177" t="n"/>
      <c r="P64" s="177" t="n"/>
      <c r="Q64" s="177" t="n"/>
      <c r="R64" s="177" t="n"/>
      <c r="S64" s="177" t="n"/>
      <c r="T64" s="177" t="n"/>
      <c r="U64" s="177" t="n"/>
      <c r="V64" s="177" t="n"/>
      <c r="W64" s="177" t="n"/>
    </row>
    <row r="65" outlineLevel="1" ht="15.75" customHeight="1" s="297">
      <c r="A65" s="190" t="n"/>
      <c r="B65" s="204" t="inlineStr">
        <is>
          <t>TS</t>
        </is>
      </c>
      <c r="C65" s="191" t="inlineStr">
        <is>
          <t>CRUISER ADVANCED</t>
        </is>
      </c>
      <c r="D65" s="205">
        <f>IFERROR(VLOOKUP($C65,'PORTIFÓLIO'!C:V,2,0),"")</f>
        <v/>
      </c>
      <c r="E65" s="190">
        <f>IFERROR(VLOOKUP($C65,'PORTIFÓLIO'!C:V,3,0),"")</f>
        <v/>
      </c>
      <c r="F65" s="190">
        <f>IFERROR(VLOOKUP($C65,'PORTIFÓLIO'!C:V,4,0),"")</f>
        <v/>
      </c>
      <c r="G65" s="223">
        <f>IFERROR(VLOOKUP($C65,'PORTIFÓLIO'!C:V,5,0),"")</f>
        <v/>
      </c>
      <c r="H65" s="247">
        <f t="array" ref="H65">IFERROR(INDEX('PORTIFÓLIO'!$H$4:$H$433,MATCH($C65,'PORTIFÓLIO'!$C$4:$C$433,0)),"")</f>
        <v/>
      </c>
      <c r="I65" s="253" t="n">
        <v>0.05</v>
      </c>
      <c r="J65" s="209">
        <f>I65*$B$2</f>
        <v/>
      </c>
      <c r="K65" s="210">
        <f t="array" ref="K65">IFERROR(I65*INDEX('PORTIFÓLIO'!$S$4:$S$433,MATCH($C65,'PORTIFÓLIO'!$C$4:$C$433,0)),"")</f>
        <v/>
      </c>
      <c r="L65" s="210">
        <f t="array" ref="L65">IFERROR(J65*INDEX('PORTIFÓLIO'!$S$4:$S$433,MATCH($C65,'PORTIFÓLIO'!$C$4:$C$433,0)),"")</f>
        <v/>
      </c>
      <c r="M65" s="238" t="n"/>
      <c r="N65" s="177" t="n"/>
      <c r="O65" s="177" t="n"/>
      <c r="P65" s="177" t="n"/>
      <c r="Q65" s="177" t="n"/>
      <c r="R65" s="177" t="n"/>
      <c r="S65" s="177" t="n"/>
      <c r="T65" s="177" t="n"/>
      <c r="U65" s="177" t="n"/>
      <c r="V65" s="177" t="n"/>
      <c r="W65" s="177" t="n"/>
    </row>
    <row r="66" outlineLevel="1" ht="15.75" customHeight="1" s="297">
      <c r="A66" s="190" t="n"/>
      <c r="B66" s="204" t="inlineStr">
        <is>
          <t>TS</t>
        </is>
      </c>
      <c r="C66" s="191" t="inlineStr">
        <is>
          <t>SPECTRO</t>
        </is>
      </c>
      <c r="D66" s="205">
        <f>IFERROR(VLOOKUP($C66,'PORTIFÓLIO'!C:V,2,0),"")</f>
        <v/>
      </c>
      <c r="E66" s="190">
        <f>IFERROR(VLOOKUP($C66,'PORTIFÓLIO'!C:V,3,0),"")</f>
        <v/>
      </c>
      <c r="F66" s="190">
        <f>IFERROR(VLOOKUP($C66,'PORTIFÓLIO'!C:V,4,0),"")</f>
        <v/>
      </c>
      <c r="G66" s="223">
        <f>IFERROR(VLOOKUP($C66,'PORTIFÓLIO'!C:V,5,0),"")</f>
        <v/>
      </c>
      <c r="H66" s="247">
        <f t="array" ref="H66">IFERROR(INDEX('PORTIFÓLIO'!$H$4:$H$433,MATCH($C66,'PORTIFÓLIO'!$C$4:$C$433,0)),"")</f>
        <v/>
      </c>
      <c r="I66" s="253" t="n">
        <v>0.02</v>
      </c>
      <c r="J66" s="209">
        <f>I66*$B$2</f>
        <v/>
      </c>
      <c r="K66" s="210">
        <f t="array" ref="K66">IFERROR(I66*INDEX('PORTIFÓLIO'!$S$4:$S$433,MATCH($C66,'PORTIFÓLIO'!$C$4:$C$433,0)),"")</f>
        <v/>
      </c>
      <c r="L66" s="210">
        <f t="array" ref="L66">IFERROR(J66*INDEX('PORTIFÓLIO'!$S$4:$S$433,MATCH($C66,'PORTIFÓLIO'!$C$4:$C$433,0)),"")</f>
        <v/>
      </c>
      <c r="M66" s="238" t="n"/>
      <c r="N66" s="177" t="n"/>
      <c r="O66" s="177" t="n"/>
      <c r="P66" s="177" t="n"/>
      <c r="Q66" s="177" t="n"/>
      <c r="R66" s="177" t="n"/>
      <c r="S66" s="177" t="n"/>
      <c r="T66" s="177" t="n"/>
      <c r="U66" s="177" t="n"/>
      <c r="V66" s="177" t="n"/>
      <c r="W66" s="177" t="n"/>
    </row>
    <row r="67" outlineLevel="1" ht="15.75" customHeight="1" s="297">
      <c r="A67" s="190" t="n"/>
      <c r="B67" s="204" t="inlineStr">
        <is>
          <t>TS</t>
        </is>
      </c>
      <c r="C67" s="191" t="inlineStr">
        <is>
          <t>VICTRATO</t>
        </is>
      </c>
      <c r="D67" s="205">
        <f>IFERROR(VLOOKUP($C67,'PORTIFÓLIO'!C:V,2,0),"")</f>
        <v/>
      </c>
      <c r="E67" s="190">
        <f>IFERROR(VLOOKUP($C67,'PORTIFÓLIO'!C:V,3,0),"")</f>
        <v/>
      </c>
      <c r="F67" s="190">
        <f>IFERROR(VLOOKUP($C67,'PORTIFÓLIO'!C:V,4,0),"")</f>
        <v/>
      </c>
      <c r="G67" s="223">
        <f>IFERROR(VLOOKUP($C67,'PORTIFÓLIO'!C:V,5,0),"")</f>
        <v/>
      </c>
      <c r="H67" s="247">
        <f t="array" ref="H67">IFERROR(INDEX('PORTIFÓLIO'!$H$4:$H$433,MATCH($C67,'PORTIFÓLIO'!$C$4:$C$433,0)),"")</f>
        <v/>
      </c>
      <c r="I67" s="253" t="n">
        <v>0.02</v>
      </c>
      <c r="J67" s="209">
        <f>I67*$B$2</f>
        <v/>
      </c>
      <c r="K67" s="210">
        <f t="array" ref="K67">IFERROR(I67*INDEX('PORTIFÓLIO'!$S$4:$S$433,MATCH($C67,'PORTIFÓLIO'!$C$4:$C$433,0)),"")</f>
        <v/>
      </c>
      <c r="L67" s="210">
        <f t="array" ref="L67">IFERROR(J67*INDEX('PORTIFÓLIO'!$S$4:$S$433,MATCH($C67,'PORTIFÓLIO'!$C$4:$C$433,0)),"")</f>
        <v/>
      </c>
      <c r="M67" s="238" t="n"/>
      <c r="N67" s="177" t="n"/>
      <c r="O67" s="177" t="n"/>
      <c r="P67" s="177" t="n"/>
      <c r="Q67" s="177" t="n"/>
      <c r="R67" s="177" t="n"/>
      <c r="S67" s="177" t="n"/>
      <c r="T67" s="177" t="n"/>
      <c r="U67" s="177" t="n"/>
      <c r="V67" s="177" t="n"/>
      <c r="W67" s="177"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7"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7"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7"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7"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7"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7"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7"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7"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7"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7"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7"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7"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7" t="n"/>
      <c r="N80" s="220" t="n"/>
      <c r="O80" s="220" t="n"/>
      <c r="P80" s="220" t="n"/>
      <c r="Q80" s="220" t="n"/>
      <c r="R80" s="220" t="n"/>
      <c r="S80" s="220" t="n"/>
      <c r="T80" s="220" t="n"/>
      <c r="U80" s="220" t="n"/>
      <c r="V80" s="220" t="n"/>
      <c r="W80" s="220" t="n"/>
    </row>
    <row r="81" ht="15.75" customHeight="1" s="297">
      <c r="A81" s="221" t="inlineStr">
        <is>
          <t>OPERAÇÃO 5</t>
        </is>
      </c>
      <c r="B81" s="197" t="n"/>
      <c r="C81" s="196" t="n"/>
      <c r="D81" s="198" t="inlineStr">
        <is>
          <t>-</t>
        </is>
      </c>
      <c r="E81" s="196" t="n"/>
      <c r="F81" s="196" t="n"/>
      <c r="G81" s="199" t="n"/>
      <c r="H81" s="199" t="n"/>
      <c r="I81" s="252" t="n"/>
      <c r="J81" s="202" t="n"/>
      <c r="K81" s="203">
        <f>SUBTOTAL(9,K82:K95)</f>
        <v/>
      </c>
      <c r="L81" s="203">
        <f>SUBTOTAL(9,L82:L95)</f>
        <v/>
      </c>
      <c r="M81" s="238" t="n"/>
      <c r="N81" s="177" t="n"/>
      <c r="O81" s="177" t="n"/>
      <c r="P81" s="177" t="n"/>
      <c r="Q81" s="177" t="n"/>
      <c r="R81" s="177" t="n"/>
      <c r="S81" s="177" t="n"/>
      <c r="T81" s="177" t="n"/>
      <c r="U81" s="177" t="n"/>
      <c r="V81" s="177" t="n"/>
      <c r="W81" s="177" t="n"/>
    </row>
    <row r="82" outlineLevel="1" ht="15.75" customHeight="1" s="297">
      <c r="A82" s="191" t="n"/>
      <c r="B82" s="204" t="inlineStr">
        <is>
          <t>HERBICIDA</t>
        </is>
      </c>
      <c r="C82" s="191" t="inlineStr">
        <is>
          <t>ROUNDUP WG</t>
        </is>
      </c>
      <c r="D82" s="205">
        <f>IFERROR(VLOOKUP($C82,'PORTIFÓLIO'!C:V,2,0),"")</f>
        <v/>
      </c>
      <c r="E82" s="190">
        <f>IFERROR(VLOOKUP($C82,'PORTIFÓLIO'!C:V,3,0),"")</f>
        <v/>
      </c>
      <c r="F82" s="190">
        <f>IFERROR(VLOOKUP($C82,'PORTIFÓLIO'!C:V,4,0),"")</f>
        <v/>
      </c>
      <c r="G82" s="223">
        <f>IFERROR(VLOOKUP($C82,'PORTIFÓLIO'!C:V,5,0),"")</f>
        <v/>
      </c>
      <c r="H82" s="247">
        <f t="array" ref="H82">IFERROR(INDEX('PORTIFÓLIO'!$H$4:$H$433,MATCH($C82,'PORTIFÓLIO'!$C$4:$C$433,0)),"")</f>
        <v/>
      </c>
      <c r="I82" s="253" t="n">
        <v>2</v>
      </c>
      <c r="J82" s="209">
        <f>I82*$B$2</f>
        <v/>
      </c>
      <c r="K82" s="210">
        <f t="array" ref="K82">IFERROR(I82*INDEX('PORTIFÓLIO'!$S$4:$S$433,MATCH($C82,'PORTIFÓLIO'!$C$4:$C$433,0)),"")</f>
        <v/>
      </c>
      <c r="L82" s="210">
        <f t="array" ref="L82">IFERROR(J82*INDEX('PORTIFÓLIO'!$S$4:$S$433,MATCH($C82,'PORTIFÓLIO'!$C$4:$C$433,0)),"")</f>
        <v/>
      </c>
      <c r="M82" s="238" t="n"/>
      <c r="N82" s="177" t="n"/>
      <c r="O82" s="177" t="n"/>
      <c r="P82" s="177" t="n"/>
      <c r="Q82" s="177" t="n"/>
      <c r="R82" s="177" t="n"/>
      <c r="S82" s="177" t="n"/>
      <c r="T82" s="177" t="n"/>
      <c r="U82" s="177" t="n"/>
      <c r="V82" s="177" t="n"/>
      <c r="W82" s="177" t="n"/>
    </row>
    <row r="83" outlineLevel="1" ht="15.75" customHeight="1" s="297">
      <c r="A83" s="190" t="n"/>
      <c r="B83" s="204" t="inlineStr">
        <is>
          <t>HERBICIDA</t>
        </is>
      </c>
      <c r="C83" s="191" t="inlineStr">
        <is>
          <t>CLETODIM 240 EC BRILLIANCE</t>
        </is>
      </c>
      <c r="D83" s="205">
        <f>IFERROR(VLOOKUP($C83,'PORTIFÓLIO'!C:V,2,0),"")</f>
        <v/>
      </c>
      <c r="E83" s="190">
        <f>IFERROR(VLOOKUP($C83,'PORTIFÓLIO'!C:V,3,0),"")</f>
        <v/>
      </c>
      <c r="F83" s="190">
        <f>IFERROR(VLOOKUP($C83,'PORTIFÓLIO'!C:V,4,0),"")</f>
        <v/>
      </c>
      <c r="G83" s="223">
        <f>IFERROR(VLOOKUP($C83,'PORTIFÓLIO'!C:V,5,0),"")</f>
        <v/>
      </c>
      <c r="H83" s="247">
        <f t="array" ref="H83">IFERROR(INDEX('PORTIFÓLIO'!$H$4:$H$433,MATCH($C83,'PORTIFÓLIO'!$C$4:$C$433,0)),"")</f>
        <v/>
      </c>
      <c r="I83" s="253" t="n">
        <v>0.4</v>
      </c>
      <c r="J83" s="209">
        <f>I83*$B$2</f>
        <v/>
      </c>
      <c r="K83" s="210">
        <f t="array" ref="K83">IFERROR(I83*INDEX('PORTIFÓLIO'!$S$4:$S$433,MATCH($C83,'PORTIFÓLIO'!$C$4:$C$433,0)),"")</f>
        <v/>
      </c>
      <c r="L83" s="210">
        <f t="array" ref="L83">IFERROR(J83*INDEX('PORTIFÓLIO'!$S$4:$S$433,MATCH($C83,'PORTIFÓLIO'!$C$4:$C$433,0)),"")</f>
        <v/>
      </c>
      <c r="M83" s="238" t="n"/>
      <c r="N83" s="177" t="n"/>
      <c r="O83" s="177" t="n"/>
      <c r="P83" s="177" t="n"/>
      <c r="Q83" s="177" t="n"/>
      <c r="R83" s="177" t="n"/>
      <c r="S83" s="177" t="n"/>
      <c r="T83" s="177" t="n"/>
      <c r="U83" s="177" t="n"/>
      <c r="V83" s="177" t="n"/>
      <c r="W83" s="177" t="n"/>
    </row>
    <row r="84" outlineLevel="1" ht="15.75" customHeight="1" s="297">
      <c r="A84" s="190" t="n"/>
      <c r="B84" s="204" t="inlineStr">
        <is>
          <t>FUNGICIDA</t>
        </is>
      </c>
      <c r="C84" s="191" t="inlineStr">
        <is>
          <t>CHARRUA 430 SC</t>
        </is>
      </c>
      <c r="D84" s="205">
        <f>IFERROR(VLOOKUP($C84,'PORTIFÓLIO'!C:V,2,0),"")</f>
        <v/>
      </c>
      <c r="E84" s="190">
        <f>IFERROR(VLOOKUP($C84,'PORTIFÓLIO'!C:V,3,0),"")</f>
        <v/>
      </c>
      <c r="F84" s="190">
        <f>IFERROR(VLOOKUP($C84,'PORTIFÓLIO'!C:V,4,0),"")</f>
        <v/>
      </c>
      <c r="G84" s="223">
        <f>IFERROR(VLOOKUP($C84,'PORTIFÓLIO'!C:V,5,0),"")</f>
        <v/>
      </c>
      <c r="H84" s="247">
        <f t="array" ref="H84">IFERROR(INDEX('PORTIFÓLIO'!$H$4:$H$433,MATCH($C84,'PORTIFÓLIO'!$C$4:$C$433,0)),"")</f>
        <v/>
      </c>
      <c r="I84" s="253" t="n">
        <v>0.4</v>
      </c>
      <c r="J84" s="209">
        <f>I84*$B$2</f>
        <v/>
      </c>
      <c r="K84" s="210">
        <f t="array" ref="K84">IFERROR(I84*INDEX('PORTIFÓLIO'!$S$4:$S$433,MATCH($C84,'PORTIFÓLIO'!$C$4:$C$433,0)),"")</f>
        <v/>
      </c>
      <c r="L84" s="210">
        <f t="array" ref="L84">IFERROR(J84*INDEX('PORTIFÓLIO'!$S$4:$S$433,MATCH($C84,'PORTIFÓLIO'!$C$4:$C$433,0)),"")</f>
        <v/>
      </c>
      <c r="M84" s="238" t="n"/>
      <c r="N84" s="177" t="n"/>
      <c r="O84" s="177" t="n"/>
      <c r="P84" s="177" t="n"/>
      <c r="Q84" s="177" t="n"/>
      <c r="R84" s="177" t="n"/>
      <c r="S84" s="177" t="n"/>
      <c r="T84" s="177" t="n"/>
      <c r="U84" s="177" t="n"/>
      <c r="V84" s="177" t="n"/>
      <c r="W84" s="177" t="n"/>
    </row>
    <row r="85" outlineLevel="1" ht="15.75" customHeight="1" s="297">
      <c r="A85" s="211" t="n"/>
      <c r="B85" s="212" t="inlineStr">
        <is>
          <t>ADJUVANTE</t>
        </is>
      </c>
      <c r="C85" s="213" t="inlineStr">
        <is>
          <t>RUMBA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7" t="n"/>
      <c r="N85" s="220" t="n"/>
      <c r="O85" s="220" t="n"/>
      <c r="P85" s="220" t="n"/>
      <c r="Q85" s="220" t="n"/>
      <c r="R85" s="220" t="n"/>
      <c r="S85" s="220" t="n"/>
      <c r="T85" s="220" t="n"/>
      <c r="U85" s="220" t="n"/>
      <c r="V85" s="220" t="n"/>
      <c r="W85" s="220" t="n"/>
    </row>
    <row r="86" outlineLevel="1" ht="15.75" customHeight="1" s="297">
      <c r="A86" s="211" t="n"/>
      <c r="B86" s="212" t="inlineStr">
        <is>
          <t>NUTRIÇÃO</t>
        </is>
      </c>
      <c r="C86" s="213" t="inlineStr">
        <is>
          <t>AMINOS Mn</t>
        </is>
      </c>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5" t="n">
        <v>0.5</v>
      </c>
      <c r="J86" s="218">
        <f>I86*$B$2</f>
        <v/>
      </c>
      <c r="K86" s="219">
        <f t="array" ref="K86">IFERROR(I86*INDEX('PORTIFÓLIO'!$S$4:$S$433,MATCH($C86,'PORTIFÓLIO'!$C$4:$C$433,0)),"")</f>
        <v/>
      </c>
      <c r="L86" s="219">
        <f t="array" ref="L86">IFERROR(J86*INDEX('PORTIFÓLIO'!$S$4:$S$433,MATCH($C86,'PORTIFÓLIO'!$C$4:$C$433,0)),"")</f>
        <v/>
      </c>
      <c r="M86" s="227"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7"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7"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7"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7"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7"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7"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7"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7"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7"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7" t="n"/>
      <c r="N96" s="220" t="n"/>
      <c r="O96" s="220" t="n"/>
      <c r="P96" s="220" t="n"/>
      <c r="Q96" s="220" t="n"/>
      <c r="R96" s="220" t="n"/>
      <c r="S96" s="220" t="n"/>
      <c r="T96" s="220" t="n"/>
      <c r="U96" s="220" t="n"/>
      <c r="V96" s="220" t="n"/>
      <c r="W96" s="220" t="n"/>
    </row>
    <row r="97" ht="15.75" customHeight="1" s="297">
      <c r="A97" s="221" t="inlineStr">
        <is>
          <t>OPERAÇÃO 6</t>
        </is>
      </c>
      <c r="B97" s="197" t="n"/>
      <c r="C97" s="196" t="n"/>
      <c r="D97" s="198" t="n"/>
      <c r="E97" s="196" t="n"/>
      <c r="F97" s="196" t="n"/>
      <c r="G97" s="199" t="n"/>
      <c r="H97" s="199" t="n"/>
      <c r="I97" s="252" t="n"/>
      <c r="J97" s="202" t="n"/>
      <c r="K97" s="203">
        <f>SUBTOTAL(9,K98:K111)</f>
        <v/>
      </c>
      <c r="L97" s="203">
        <f>SUBTOTAL(9,L98:L111)</f>
        <v/>
      </c>
      <c r="M97" s="238" t="n"/>
      <c r="N97" s="177" t="n"/>
      <c r="O97" s="177" t="n"/>
      <c r="P97" s="177" t="n"/>
      <c r="Q97" s="177" t="n"/>
      <c r="R97" s="177" t="n"/>
      <c r="S97" s="177" t="n"/>
      <c r="T97" s="177" t="n"/>
      <c r="U97" s="177" t="n"/>
      <c r="V97" s="177" t="n"/>
      <c r="W97" s="177" t="n"/>
    </row>
    <row r="98" outlineLevel="1" ht="15.75" customHeight="1" s="297">
      <c r="A98" s="191" t="n"/>
      <c r="B98" s="204" t="inlineStr">
        <is>
          <t>FUNGICIDA</t>
        </is>
      </c>
      <c r="C98" s="191" t="inlineStr">
        <is>
          <t>BELYAN</t>
        </is>
      </c>
      <c r="D98" s="205">
        <f>IFERROR(VLOOKUP($C98,'PORTIFÓLIO'!C:V,2,0),"")</f>
        <v/>
      </c>
      <c r="E98" s="190">
        <f>IFERROR(VLOOKUP($C98,'PORTIFÓLIO'!C:V,3,0),"")</f>
        <v/>
      </c>
      <c r="F98" s="190">
        <f>IFERROR(VLOOKUP($C98,'PORTIFÓLIO'!C:V,4,0),"")</f>
        <v/>
      </c>
      <c r="G98" s="223">
        <f>IFERROR(VLOOKUP($C98,'PORTIFÓLIO'!C:V,5,0),"")</f>
        <v/>
      </c>
      <c r="H98" s="247">
        <f t="array" ref="H98">IFERROR(INDEX('PORTIFÓLIO'!$H$4:$H$433,MATCH($C98,'PORTIFÓLIO'!$C$4:$C$433,0)),"")</f>
        <v/>
      </c>
      <c r="I98" s="253" t="n">
        <v>0.7</v>
      </c>
      <c r="J98" s="209">
        <f>I98*$B$2</f>
        <v/>
      </c>
      <c r="K98" s="210">
        <f t="array" ref="K98">IFERROR(I98*INDEX('PORTIFÓLIO'!$S$4:$S$433,MATCH($C98,'PORTIFÓLIO'!$C$4:$C$433,0)),"")</f>
        <v/>
      </c>
      <c r="L98" s="210">
        <f t="array" ref="L98">IFERROR(J98*INDEX('PORTIFÓLIO'!$S$4:$S$433,MATCH($C98,'PORTIFÓLIO'!$C$4:$C$433,0)),"")</f>
        <v/>
      </c>
      <c r="M98" s="238" t="n"/>
      <c r="N98" s="177" t="n"/>
      <c r="O98" s="177" t="n"/>
      <c r="P98" s="177" t="n"/>
      <c r="Q98" s="177" t="n"/>
      <c r="R98" s="177" t="n"/>
      <c r="S98" s="177" t="n"/>
      <c r="T98" s="177" t="n"/>
      <c r="U98" s="177" t="n"/>
      <c r="V98" s="177" t="n"/>
      <c r="W98" s="177" t="n"/>
    </row>
    <row r="99" outlineLevel="1" ht="15.75" customHeight="1" s="297">
      <c r="A99" s="190" t="n"/>
      <c r="B99" s="204" t="inlineStr">
        <is>
          <t>FUNGICIDA</t>
        </is>
      </c>
      <c r="C99" s="191" t="inlineStr">
        <is>
          <t>FLUAZINAM NORTOX 500 SC</t>
        </is>
      </c>
      <c r="D99" s="205">
        <f>IFERROR(VLOOKUP($C99,'PORTIFÓLIO'!C:V,2,0),"")</f>
        <v/>
      </c>
      <c r="E99" s="190">
        <f>IFERROR(VLOOKUP($C99,'PORTIFÓLIO'!C:V,3,0),"")</f>
        <v/>
      </c>
      <c r="F99" s="190">
        <f>IFERROR(VLOOKUP($C99,'PORTIFÓLIO'!C:V,4,0),"")</f>
        <v/>
      </c>
      <c r="G99" s="223">
        <f>IFERROR(VLOOKUP($C99,'PORTIFÓLIO'!C:V,5,0),"")</f>
        <v/>
      </c>
      <c r="H99" s="247">
        <f t="array" ref="H99">IFERROR(INDEX('PORTIFÓLIO'!$H$4:$H$433,MATCH($C99,'PORTIFÓLIO'!$C$4:$C$433,0)),"")</f>
        <v/>
      </c>
      <c r="I99" s="253" t="n">
        <v>1</v>
      </c>
      <c r="J99" s="209">
        <f>I99*$B$2</f>
        <v/>
      </c>
      <c r="K99" s="210">
        <f t="array" ref="K99">IFERROR(I99*INDEX('PORTIFÓLIO'!$S$4:$S$433,MATCH($C99,'PORTIFÓLIO'!$C$4:$C$433,0)),"")</f>
        <v/>
      </c>
      <c r="L99" s="210">
        <f t="array" ref="L99">IFERROR(J99*INDEX('PORTIFÓLIO'!$S$4:$S$433,MATCH($C99,'PORTIFÓLIO'!$C$4:$C$433,0)),"")</f>
        <v/>
      </c>
      <c r="M99" s="238" t="n"/>
      <c r="N99" s="177" t="n"/>
      <c r="O99" s="177" t="n"/>
      <c r="P99" s="177" t="n"/>
      <c r="Q99" s="177" t="n"/>
      <c r="R99" s="177" t="n"/>
      <c r="S99" s="177" t="n"/>
      <c r="T99" s="177" t="n"/>
      <c r="U99" s="177" t="n"/>
      <c r="V99" s="177" t="n"/>
      <c r="W99" s="177" t="n"/>
    </row>
    <row r="100" outlineLevel="1" ht="15.75" customHeight="1" s="297">
      <c r="A100" s="190" t="n"/>
      <c r="B100" s="204" t="inlineStr">
        <is>
          <t>INSETICIDA</t>
        </is>
      </c>
      <c r="C100" s="191" t="inlineStr">
        <is>
          <t>TALSTAR 400</t>
        </is>
      </c>
      <c r="D100" s="205">
        <f>IFERROR(VLOOKUP($C100,'PORTIFÓLIO'!C:V,2,0),"")</f>
        <v/>
      </c>
      <c r="E100" s="190">
        <f>IFERROR(VLOOKUP($C100,'PORTIFÓLIO'!C:V,3,0),"")</f>
        <v/>
      </c>
      <c r="F100" s="190">
        <f>IFERROR(VLOOKUP($C100,'PORTIFÓLIO'!C:V,4,0),"")</f>
        <v/>
      </c>
      <c r="G100" s="223">
        <f>IFERROR(VLOOKUP($C100,'PORTIFÓLIO'!C:V,5,0),"")</f>
        <v/>
      </c>
      <c r="H100" s="247">
        <f t="array" ref="H100">IFERROR(INDEX('PORTIFÓLIO'!$H$4:$H$433,MATCH($C100,'PORTIFÓLIO'!$C$4:$C$433,0)),"")</f>
        <v/>
      </c>
      <c r="I100" s="253" t="n">
        <v>0.05</v>
      </c>
      <c r="J100" s="209">
        <f>I100*$B$2</f>
        <v/>
      </c>
      <c r="K100" s="210">
        <f t="array" ref="K100">IFERROR(I100*INDEX('PORTIFÓLIO'!$S$4:$S$433,MATCH($C100,'PORTIFÓLIO'!$C$4:$C$433,0)),"")</f>
        <v/>
      </c>
      <c r="L100" s="210">
        <f t="array" ref="L100">IFERROR(J100*INDEX('PORTIFÓLIO'!$S$4:$S$433,MATCH($C100,'PORTIFÓLIO'!$C$4:$C$433,0)),"")</f>
        <v/>
      </c>
      <c r="M100" s="238" t="n"/>
      <c r="N100" s="177" t="n"/>
      <c r="O100" s="177" t="n"/>
      <c r="P100" s="177" t="n"/>
      <c r="Q100" s="177" t="n"/>
      <c r="R100" s="177" t="n"/>
      <c r="S100" s="177" t="n"/>
      <c r="T100" s="177" t="n"/>
      <c r="U100" s="177" t="n"/>
      <c r="V100" s="177" t="n"/>
      <c r="W100" s="177" t="n"/>
    </row>
    <row r="101" outlineLevel="1" ht="15.75" customHeight="1" s="297">
      <c r="A101" s="190" t="n"/>
      <c r="B101" s="204" t="inlineStr">
        <is>
          <t>INSETICIDA</t>
        </is>
      </c>
      <c r="C101" s="191" t="inlineStr">
        <is>
          <t>IMIDACLOPRID NORTOX 480 SC</t>
        </is>
      </c>
      <c r="D101" s="205">
        <f>IFERROR(VLOOKUP($C101,'PORTIFÓLIO'!C:V,2,0),"")</f>
        <v/>
      </c>
      <c r="E101" s="190">
        <f>IFERROR(VLOOKUP($C101,'PORTIFÓLIO'!C:V,3,0),"")</f>
        <v/>
      </c>
      <c r="F101" s="190">
        <f>IFERROR(VLOOKUP($C101,'PORTIFÓLIO'!C:V,4,0),"")</f>
        <v/>
      </c>
      <c r="G101" s="223">
        <f>IFERROR(VLOOKUP($C101,'PORTIFÓLIO'!C:V,5,0),"")</f>
        <v/>
      </c>
      <c r="H101" s="247">
        <f t="array" ref="H101">IFERROR(INDEX('PORTIFÓLIO'!$H$4:$H$433,MATCH($C101,'PORTIFÓLIO'!$C$4:$C$433,0)),"")</f>
        <v/>
      </c>
      <c r="I101" s="253" t="n">
        <v>0.25</v>
      </c>
      <c r="J101" s="209">
        <f>I101*$B$2</f>
        <v/>
      </c>
      <c r="K101" s="210">
        <f t="array" ref="K101">IFERROR(I101*INDEX('PORTIFÓLIO'!$S$4:$S$433,MATCH($C101,'PORTIFÓLIO'!$C$4:$C$433,0)),"")</f>
        <v/>
      </c>
      <c r="L101" s="210">
        <f t="array" ref="L101">IFERROR(J101*INDEX('PORTIFÓLIO'!$S$4:$S$433,MATCH($C101,'PORTIFÓLIO'!$C$4:$C$433,0)),"")</f>
        <v/>
      </c>
      <c r="M101" s="238" t="n"/>
      <c r="N101" s="177" t="n"/>
      <c r="O101" s="177" t="n"/>
      <c r="P101" s="177" t="n"/>
      <c r="Q101" s="177" t="n"/>
      <c r="R101" s="177" t="n"/>
      <c r="S101" s="177" t="n"/>
      <c r="T101" s="177" t="n"/>
      <c r="U101" s="177" t="n"/>
      <c r="V101" s="177" t="n"/>
      <c r="W101" s="177" t="n"/>
    </row>
    <row r="102" outlineLevel="1" ht="15.75" customHeight="1" s="297">
      <c r="A102" s="190" t="n"/>
      <c r="B102" s="204" t="inlineStr">
        <is>
          <t>INSETICIDA</t>
        </is>
      </c>
      <c r="C102" s="191" t="inlineStr">
        <is>
          <t>DIFLUBENZURON CCAB 480 SC</t>
        </is>
      </c>
      <c r="D102" s="205">
        <f>IFERROR(VLOOKUP($C102,'PORTIFÓLIO'!C:V,2,0),"")</f>
        <v/>
      </c>
      <c r="E102" s="190">
        <f>IFERROR(VLOOKUP($C102,'PORTIFÓLIO'!C:V,3,0),"")</f>
        <v/>
      </c>
      <c r="F102" s="190">
        <f>IFERROR(VLOOKUP($C102,'PORTIFÓLIO'!C:V,4,0),"")</f>
        <v/>
      </c>
      <c r="G102" s="223">
        <f>IFERROR(VLOOKUP($C102,'PORTIFÓLIO'!C:V,5,0),"")</f>
        <v/>
      </c>
      <c r="H102" s="247">
        <f t="array" ref="H102">IFERROR(INDEX('PORTIFÓLIO'!$H$4:$H$433,MATCH($C102,'PORTIFÓLIO'!$C$4:$C$433,0)),"")</f>
        <v/>
      </c>
      <c r="I102" s="253" t="n">
        <v>0.05</v>
      </c>
      <c r="J102" s="209">
        <f>I102*$B$2</f>
        <v/>
      </c>
      <c r="K102" s="210">
        <f t="array" ref="K102">IFERROR(I102*INDEX('PORTIFÓLIO'!$S$4:$S$433,MATCH($C102,'PORTIFÓLIO'!$C$4:$C$433,0)),"")</f>
        <v/>
      </c>
      <c r="L102" s="210">
        <f t="array" ref="L102">IFERROR(J102*INDEX('PORTIFÓLIO'!$S$4:$S$433,MATCH($C102,'PORTIFÓLIO'!$C$4:$C$433,0)),"")</f>
        <v/>
      </c>
      <c r="M102" s="238" t="n"/>
      <c r="N102" s="177" t="n"/>
      <c r="O102" s="177" t="n"/>
      <c r="P102" s="177" t="n"/>
      <c r="Q102" s="177" t="n"/>
      <c r="R102" s="177" t="n"/>
      <c r="S102" s="177" t="n"/>
      <c r="T102" s="177" t="n"/>
      <c r="U102" s="177" t="n"/>
      <c r="V102" s="177" t="n"/>
      <c r="W102" s="177" t="n"/>
    </row>
    <row r="103" outlineLevel="1" ht="15.75" customHeight="1" s="297">
      <c r="A103" s="190" t="n"/>
      <c r="B103" s="204" t="inlineStr">
        <is>
          <t>ADJUVANTE</t>
        </is>
      </c>
      <c r="C103" s="191" t="inlineStr">
        <is>
          <t>RUMBA</t>
        </is>
      </c>
      <c r="D103" s="205">
        <f>IFERROR(VLOOKUP($C103,'PORTIFÓLIO'!C:V,2,0),"")</f>
        <v/>
      </c>
      <c r="E103" s="190">
        <f>IFERROR(VLOOKUP($C103,'PORTIFÓLIO'!C:V,3,0),"")</f>
        <v/>
      </c>
      <c r="F103" s="190">
        <f>IFERROR(VLOOKUP($C103,'PORTIFÓLIO'!C:V,4,0),"")</f>
        <v/>
      </c>
      <c r="G103" s="223">
        <f>IFERROR(VLOOKUP($C103,'PORTIFÓLIO'!C:V,5,0),"")</f>
        <v/>
      </c>
      <c r="H103" s="247">
        <f t="array" ref="H103">IFERROR(INDEX('PORTIFÓLIO'!$H$4:$H$433,MATCH($C103,'PORTIFÓLIO'!$C$4:$C$433,0)),"")</f>
        <v/>
      </c>
      <c r="I103" s="253" t="n">
        <v>0.2</v>
      </c>
      <c r="J103" s="209">
        <f>I103*$B$2</f>
        <v/>
      </c>
      <c r="K103" s="210">
        <f t="array" ref="K103">IFERROR(I103*INDEX('PORTIFÓLIO'!$S$4:$S$433,MATCH($C103,'PORTIFÓLIO'!$C$4:$C$433,0)),"")</f>
        <v/>
      </c>
      <c r="L103" s="210">
        <f t="array" ref="L103">IFERROR(J103*INDEX('PORTIFÓLIO'!$S$4:$S$433,MATCH($C103,'PORTIFÓLIO'!$C$4:$C$433,0)),"")</f>
        <v/>
      </c>
      <c r="M103" s="238" t="n"/>
      <c r="N103" s="177" t="n"/>
      <c r="O103" s="177" t="n"/>
      <c r="P103" s="177" t="n"/>
      <c r="Q103" s="177" t="n"/>
      <c r="R103" s="177" t="n"/>
      <c r="S103" s="177" t="n"/>
      <c r="T103" s="177" t="n"/>
      <c r="U103" s="177" t="n"/>
      <c r="V103" s="177" t="n"/>
      <c r="W103" s="177" t="n"/>
    </row>
    <row r="104" outlineLevel="1" ht="15.75" customHeight="1" s="297">
      <c r="A104" s="190" t="n"/>
      <c r="B104" s="204" t="inlineStr">
        <is>
          <t>FUNGICIDA</t>
        </is>
      </c>
      <c r="C104" s="191" t="inlineStr">
        <is>
          <t>MANCOZEB CCAB 750 WG</t>
        </is>
      </c>
      <c r="D104" s="205">
        <f>IFERROR(VLOOKUP($C104,'PORTIFÓLIO'!C:V,2,0),"")</f>
        <v/>
      </c>
      <c r="E104" s="190">
        <f>IFERROR(VLOOKUP($C104,'PORTIFÓLIO'!C:V,3,0),"")</f>
        <v/>
      </c>
      <c r="F104" s="190">
        <f>IFERROR(VLOOKUP($C104,'PORTIFÓLIO'!C:V,4,0),"")</f>
        <v/>
      </c>
      <c r="G104" s="223">
        <f>IFERROR(VLOOKUP($C104,'PORTIFÓLIO'!C:V,5,0),"")</f>
        <v/>
      </c>
      <c r="H104" s="247">
        <f t="array" ref="H104">IFERROR(INDEX('PORTIFÓLIO'!$H$4:$H$433,MATCH($C104,'PORTIFÓLIO'!$C$4:$C$433,0)),"")</f>
        <v/>
      </c>
      <c r="I104" s="253" t="n">
        <v>1.5</v>
      </c>
      <c r="J104" s="209">
        <f>I104*$B$2</f>
        <v/>
      </c>
      <c r="K104" s="210">
        <f t="array" ref="K104">IFERROR(I104*INDEX('PORTIFÓLIO'!$S$4:$S$433,MATCH($C104,'PORTIFÓLIO'!$C$4:$C$433,0)),"")</f>
        <v/>
      </c>
      <c r="L104" s="210">
        <f t="array" ref="L104">IFERROR(J104*INDEX('PORTIFÓLIO'!$S$4:$S$433,MATCH($C104,'PORTIFÓLIO'!$C$4:$C$433,0)),"")</f>
        <v/>
      </c>
      <c r="M104" s="238" t="n"/>
      <c r="N104" s="177" t="n"/>
      <c r="O104" s="177" t="n"/>
      <c r="P104" s="177" t="n"/>
      <c r="Q104" s="177" t="n"/>
      <c r="R104" s="177" t="n"/>
      <c r="S104" s="177" t="n"/>
      <c r="T104" s="177" t="n"/>
      <c r="U104" s="177" t="n"/>
      <c r="V104" s="177" t="n"/>
      <c r="W104" s="177"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7"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7"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7"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7"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7"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7"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7"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7"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7" t="n"/>
      <c r="N113" s="220" t="n"/>
      <c r="O113" s="220" t="n"/>
      <c r="P113" s="220" t="n"/>
      <c r="Q113" s="220" t="n"/>
      <c r="R113" s="220" t="n"/>
      <c r="S113" s="220" t="n"/>
      <c r="T113" s="220" t="n"/>
      <c r="U113" s="220" t="n"/>
      <c r="V113" s="220" t="n"/>
      <c r="W113" s="220" t="n"/>
    </row>
    <row r="114" ht="15.75" customHeight="1" s="297">
      <c r="A114" s="221" t="inlineStr">
        <is>
          <t>OPERAÇÃO 7</t>
        </is>
      </c>
      <c r="B114" s="197" t="n"/>
      <c r="C114" s="196" t="n"/>
      <c r="D114" s="198" t="n"/>
      <c r="E114" s="196" t="n"/>
      <c r="F114" s="196" t="n"/>
      <c r="G114" s="199" t="n"/>
      <c r="H114" s="199" t="n"/>
      <c r="I114" s="252" t="n"/>
      <c r="J114" s="202" t="n"/>
      <c r="K114" s="203">
        <f>SUBTOTAL(9,K115:K128)</f>
        <v/>
      </c>
      <c r="L114" s="203">
        <f>SUBTOTAL(9,L115:L128)</f>
        <v/>
      </c>
      <c r="M114" s="238" t="n"/>
      <c r="N114" s="177" t="n"/>
      <c r="O114" s="177" t="n"/>
      <c r="P114" s="177" t="n"/>
      <c r="Q114" s="177" t="n"/>
      <c r="R114" s="177" t="n"/>
      <c r="S114" s="177" t="n"/>
      <c r="T114" s="177" t="n"/>
      <c r="U114" s="177" t="n"/>
      <c r="V114" s="177" t="n"/>
      <c r="W114" s="177" t="n"/>
    </row>
    <row r="115" outlineLevel="1" ht="15.75" customHeight="1" s="297">
      <c r="A115" s="191" t="n"/>
      <c r="B115" s="204" t="inlineStr">
        <is>
          <t>FUNGICIDA</t>
        </is>
      </c>
      <c r="C115" s="226" t="inlineStr">
        <is>
          <t>FOX XPRO</t>
        </is>
      </c>
      <c r="D115" s="205">
        <f>IFERROR(VLOOKUP($C115,'PORTIFÓLIO'!C:V,2,0),"")</f>
        <v/>
      </c>
      <c r="E115" s="190">
        <f>IFERROR(VLOOKUP($C115,'PORTIFÓLIO'!C:V,3,0),"")</f>
        <v/>
      </c>
      <c r="F115" s="190">
        <f>IFERROR(VLOOKUP($C115,'PORTIFÓLIO'!C:V,4,0),"")</f>
        <v/>
      </c>
      <c r="G115" s="223">
        <f>IFERROR(VLOOKUP($C115,'PORTIFÓLIO'!C:V,5,0),"")</f>
        <v/>
      </c>
      <c r="H115" s="247">
        <f t="array" ref="H115">IFERROR(INDEX('PORTIFÓLIO'!$H$4:$H$433,MATCH($C115,'PORTIFÓLIO'!$C$4:$C$433,0)),"")</f>
        <v/>
      </c>
      <c r="I115" s="253" t="n">
        <v>0.5</v>
      </c>
      <c r="J115" s="209">
        <f>I115*$B$2</f>
        <v/>
      </c>
      <c r="K115" s="210">
        <f t="array" ref="K115">IFERROR(I115*INDEX('PORTIFÓLIO'!$S$4:$S$433,MATCH($C115,'PORTIFÓLIO'!$C$4:$C$433,0)),"")</f>
        <v/>
      </c>
      <c r="L115" s="210">
        <f t="array" ref="L115">IFERROR(J115*INDEX('PORTIFÓLIO'!$S$4:$S$433,MATCH($C115,'PORTIFÓLIO'!$C$4:$C$433,0)),"")</f>
        <v/>
      </c>
      <c r="M115" s="238" t="n"/>
      <c r="N115" s="177" t="n"/>
      <c r="O115" s="177" t="n"/>
      <c r="P115" s="177" t="n"/>
      <c r="Q115" s="177" t="n"/>
      <c r="R115" s="177" t="n"/>
      <c r="S115" s="177" t="n"/>
      <c r="T115" s="177" t="n"/>
      <c r="U115" s="177" t="n"/>
      <c r="V115" s="177" t="n"/>
      <c r="W115" s="177" t="n"/>
    </row>
    <row r="116" outlineLevel="1" ht="15.75" customHeight="1" s="297">
      <c r="A116" s="190" t="n"/>
      <c r="B116" s="204" t="inlineStr">
        <is>
          <t>FUNGICIDA</t>
        </is>
      </c>
      <c r="C116" s="226" t="inlineStr">
        <is>
          <t>FLUAZINAM NORTOX 500 SC</t>
        </is>
      </c>
      <c r="D116" s="205">
        <f>IFERROR(VLOOKUP($C116,'PORTIFÓLIO'!C:V,2,0),"")</f>
        <v/>
      </c>
      <c r="E116" s="190">
        <f>IFERROR(VLOOKUP($C116,'PORTIFÓLIO'!C:V,3,0),"")</f>
        <v/>
      </c>
      <c r="F116" s="190">
        <f>IFERROR(VLOOKUP($C116,'PORTIFÓLIO'!C:V,4,0),"")</f>
        <v/>
      </c>
      <c r="G116" s="223">
        <f>IFERROR(VLOOKUP($C116,'PORTIFÓLIO'!C:V,5,0),"")</f>
        <v/>
      </c>
      <c r="H116" s="247">
        <f t="array" ref="H116">IFERROR(INDEX('PORTIFÓLIO'!$H$4:$H$433,MATCH($C116,'PORTIFÓLIO'!$C$4:$C$433,0)),"")</f>
        <v/>
      </c>
      <c r="I116" s="253" t="n">
        <v>1</v>
      </c>
      <c r="J116" s="209">
        <f>I116*$B$2</f>
        <v/>
      </c>
      <c r="K116" s="210">
        <f t="array" ref="K116">IFERROR(I116*INDEX('PORTIFÓLIO'!$S$4:$S$433,MATCH($C116,'PORTIFÓLIO'!$C$4:$C$433,0)),"")</f>
        <v/>
      </c>
      <c r="L116" s="210">
        <f t="array" ref="L116">IFERROR(J116*INDEX('PORTIFÓLIO'!$S$4:$S$433,MATCH($C116,'PORTIFÓLIO'!$C$4:$C$433,0)),"")</f>
        <v/>
      </c>
      <c r="M116" s="238" t="n"/>
      <c r="N116" s="177" t="n"/>
      <c r="O116" s="177" t="n"/>
      <c r="P116" s="177" t="n"/>
      <c r="Q116" s="177" t="n"/>
      <c r="R116" s="177" t="n"/>
      <c r="S116" s="177" t="n"/>
      <c r="T116" s="177" t="n"/>
      <c r="U116" s="177" t="n"/>
      <c r="V116" s="177" t="n"/>
      <c r="W116" s="177" t="n"/>
    </row>
    <row r="117" outlineLevel="1" ht="15.75" customHeight="1" s="297">
      <c r="A117" s="190" t="n"/>
      <c r="B117" s="204" t="inlineStr">
        <is>
          <t>FUNGICIDA</t>
        </is>
      </c>
      <c r="C117" s="226" t="inlineStr">
        <is>
          <t>MANCOZEB CCAB 750 WG</t>
        </is>
      </c>
      <c r="D117" s="205">
        <f>IFERROR(VLOOKUP($C117,'PORTIFÓLIO'!C:V,2,0),"")</f>
        <v/>
      </c>
      <c r="E117" s="190">
        <f>IFERROR(VLOOKUP($C117,'PORTIFÓLIO'!C:V,3,0),"")</f>
        <v/>
      </c>
      <c r="F117" s="190">
        <f>IFERROR(VLOOKUP($C117,'PORTIFÓLIO'!C:V,4,0),"")</f>
        <v/>
      </c>
      <c r="G117" s="223">
        <f>IFERROR(VLOOKUP($C117,'PORTIFÓLIO'!C:V,5,0),"")</f>
        <v/>
      </c>
      <c r="H117" s="247">
        <f t="array" ref="H117">IFERROR(INDEX('PORTIFÓLIO'!$H$4:$H$433,MATCH($C117,'PORTIFÓLIO'!$C$4:$C$433,0)),"")</f>
        <v/>
      </c>
      <c r="I117" s="253" t="n">
        <v>1.5</v>
      </c>
      <c r="J117" s="209">
        <f>I117*$B$2</f>
        <v/>
      </c>
      <c r="K117" s="210">
        <f t="array" ref="K117">IFERROR(I117*INDEX('PORTIFÓLIO'!$S$4:$S$433,MATCH($C117,'PORTIFÓLIO'!$C$4:$C$433,0)),"")</f>
        <v/>
      </c>
      <c r="L117" s="210">
        <f t="array" ref="L117">IFERROR(J117*INDEX('PORTIFÓLIO'!$S$4:$S$433,MATCH($C117,'PORTIFÓLIO'!$C$4:$C$433,0)),"")</f>
        <v/>
      </c>
      <c r="M117" s="238" t="n"/>
      <c r="N117" s="177" t="n"/>
      <c r="O117" s="177" t="n"/>
      <c r="P117" s="177" t="n"/>
      <c r="Q117" s="177" t="n"/>
      <c r="R117" s="177" t="n"/>
      <c r="S117" s="177" t="n"/>
      <c r="T117" s="177" t="n"/>
      <c r="U117" s="177" t="n"/>
      <c r="V117" s="177" t="n"/>
      <c r="W117" s="177" t="n"/>
    </row>
    <row r="118" outlineLevel="1" ht="15.75" customHeight="1" s="297">
      <c r="A118" s="190" t="n"/>
      <c r="B118" s="204" t="inlineStr">
        <is>
          <t>INSETICIDA</t>
        </is>
      </c>
      <c r="C118" s="226" t="inlineStr">
        <is>
          <t>MAGNUM</t>
        </is>
      </c>
      <c r="D118" s="205">
        <f>IFERROR(VLOOKUP($C118,'PORTIFÓLIO'!C:V,2,0),"")</f>
        <v/>
      </c>
      <c r="E118" s="190">
        <f>IFERROR(VLOOKUP($C118,'PORTIFÓLIO'!C:V,3,0),"")</f>
        <v/>
      </c>
      <c r="F118" s="190">
        <f>IFERROR(VLOOKUP($C118,'PORTIFÓLIO'!C:V,4,0),"")</f>
        <v/>
      </c>
      <c r="G118" s="223">
        <f>IFERROR(VLOOKUP($C118,'PORTIFÓLIO'!C:V,5,0),"")</f>
        <v/>
      </c>
      <c r="H118" s="247">
        <f t="array" ref="H118">IFERROR(INDEX('PORTIFÓLIO'!$H$4:$H$433,MATCH($C118,'PORTIFÓLIO'!$C$4:$C$433,0)),"")</f>
        <v/>
      </c>
      <c r="I118" s="253" t="n">
        <v>0.6</v>
      </c>
      <c r="J118" s="209">
        <f>I118*$B$2</f>
        <v/>
      </c>
      <c r="K118" s="210">
        <f t="array" ref="K118">IFERROR(I118*INDEX('PORTIFÓLIO'!$S$4:$S$433,MATCH($C118,'PORTIFÓLIO'!$C$4:$C$433,0)),"")</f>
        <v/>
      </c>
      <c r="L118" s="210">
        <f t="array" ref="L118">IFERROR(J118*INDEX('PORTIFÓLIO'!$S$4:$S$433,MATCH($C118,'PORTIFÓLIO'!$C$4:$C$433,0)),"")</f>
        <v/>
      </c>
      <c r="M118" s="238" t="n"/>
      <c r="N118" s="177" t="n"/>
      <c r="O118" s="177" t="n"/>
      <c r="P118" s="177" t="n"/>
      <c r="Q118" s="177" t="n"/>
      <c r="R118" s="177" t="n"/>
      <c r="S118" s="177" t="n"/>
      <c r="T118" s="177" t="n"/>
      <c r="U118" s="177" t="n"/>
      <c r="V118" s="177" t="n"/>
      <c r="W118" s="177" t="n"/>
    </row>
    <row r="119" outlineLevel="1" ht="15.75" customHeight="1" s="297">
      <c r="A119" s="190" t="n"/>
      <c r="B119" s="204" t="inlineStr">
        <is>
          <t>INSETICIDA</t>
        </is>
      </c>
      <c r="C119" s="226" t="inlineStr">
        <is>
          <t>DIFLUBENZURON CCAB 480 SC</t>
        </is>
      </c>
      <c r="D119" s="205">
        <f>IFERROR(VLOOKUP($C119,'PORTIFÓLIO'!C:V,2,0),"")</f>
        <v/>
      </c>
      <c r="E119" s="190">
        <f>IFERROR(VLOOKUP($C119,'PORTIFÓLIO'!C:V,3,0),"")</f>
        <v/>
      </c>
      <c r="F119" s="190">
        <f>IFERROR(VLOOKUP($C119,'PORTIFÓLIO'!C:V,4,0),"")</f>
        <v/>
      </c>
      <c r="G119" s="223">
        <f>IFERROR(VLOOKUP($C119,'PORTIFÓLIO'!C:V,5,0),"")</f>
        <v/>
      </c>
      <c r="H119" s="247">
        <f t="array" ref="H119">IFERROR(INDEX('PORTIFÓLIO'!$H$4:$H$433,MATCH($C119,'PORTIFÓLIO'!$C$4:$C$433,0)),"")</f>
        <v/>
      </c>
      <c r="I119" s="253" t="n">
        <v>0.05</v>
      </c>
      <c r="J119" s="209">
        <f>I119*$B$2</f>
        <v/>
      </c>
      <c r="K119" s="210">
        <f t="array" ref="K119">IFERROR(I119*INDEX('PORTIFÓLIO'!$S$4:$S$433,MATCH($C119,'PORTIFÓLIO'!$C$4:$C$433,0)),"")</f>
        <v/>
      </c>
      <c r="L119" s="210">
        <f t="array" ref="L119">IFERROR(J119*INDEX('PORTIFÓLIO'!$S$4:$S$433,MATCH($C119,'PORTIFÓLIO'!$C$4:$C$433,0)),"")</f>
        <v/>
      </c>
      <c r="M119" s="238" t="n"/>
      <c r="N119" s="177" t="n"/>
      <c r="O119" s="177" t="n"/>
      <c r="P119" s="177" t="n"/>
      <c r="Q119" s="177" t="n"/>
      <c r="R119" s="177" t="n"/>
      <c r="S119" s="177" t="n"/>
      <c r="T119" s="177" t="n"/>
      <c r="U119" s="177" t="n"/>
      <c r="V119" s="177" t="n"/>
      <c r="W119" s="177" t="n"/>
    </row>
    <row r="120" outlineLevel="1" ht="15.75" customHeight="1" s="297">
      <c r="A120" s="190" t="n"/>
      <c r="B120" s="204" t="inlineStr">
        <is>
          <t>ADJUVANTE</t>
        </is>
      </c>
      <c r="C120" s="191" t="inlineStr">
        <is>
          <t>AUREO</t>
        </is>
      </c>
      <c r="D120" s="205">
        <f>IFERROR(VLOOKUP($C120,'PORTIFÓLIO'!C:V,2,0),"")</f>
        <v/>
      </c>
      <c r="E120" s="190">
        <f>IFERROR(VLOOKUP($C120,'PORTIFÓLIO'!C:V,3,0),"")</f>
        <v/>
      </c>
      <c r="F120" s="190">
        <f>IFERROR(VLOOKUP($C120,'PORTIFÓLIO'!C:V,4,0),"")</f>
        <v/>
      </c>
      <c r="G120" s="223">
        <f>IFERROR(VLOOKUP($C120,'PORTIFÓLIO'!C:V,5,0),"")</f>
        <v/>
      </c>
      <c r="H120" s="247">
        <f t="array" ref="H120">IFERROR(INDEX('PORTIFÓLIO'!$H$4:$H$433,MATCH($C120,'PORTIFÓLIO'!$C$4:$C$433,0)),"")</f>
        <v/>
      </c>
      <c r="I120" s="253" t="n">
        <v>0.2</v>
      </c>
      <c r="J120" s="209">
        <f>I120*$B$2</f>
        <v/>
      </c>
      <c r="K120" s="210">
        <f t="array" ref="K120">IFERROR(I120*INDEX('PORTIFÓLIO'!$S$4:$S$433,MATCH($C120,'PORTIFÓLIO'!$C$4:$C$433,0)),"")</f>
        <v/>
      </c>
      <c r="L120" s="210">
        <f t="array" ref="L120">IFERROR(J120*INDEX('PORTIFÓLIO'!$S$4:$S$433,MATCH($C120,'PORTIFÓLIO'!$C$4:$C$433,0)),"")</f>
        <v/>
      </c>
      <c r="M120" s="238" t="n"/>
      <c r="N120" s="177" t="n"/>
      <c r="O120" s="177" t="n"/>
      <c r="P120" s="177" t="n"/>
      <c r="Q120" s="177" t="n"/>
      <c r="R120" s="177" t="n"/>
      <c r="S120" s="177" t="n"/>
      <c r="T120" s="177" t="n"/>
      <c r="U120" s="177" t="n"/>
      <c r="V120" s="177" t="n"/>
      <c r="W120" s="177"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7"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7"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7"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7"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7"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7"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7"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7"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7"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7" t="n"/>
      <c r="N130" s="220" t="n"/>
      <c r="O130" s="220" t="n"/>
      <c r="P130" s="220" t="n"/>
      <c r="Q130" s="220" t="n"/>
      <c r="R130" s="220" t="n"/>
      <c r="S130" s="220" t="n"/>
      <c r="T130" s="220" t="n"/>
      <c r="U130" s="220" t="n"/>
      <c r="V130" s="220" t="n"/>
      <c r="W130" s="220" t="n"/>
    </row>
    <row r="131" ht="15.75" customHeight="1" s="297">
      <c r="A131" s="221" t="inlineStr">
        <is>
          <t>OPERAÇÃO 8</t>
        </is>
      </c>
      <c r="B131" s="197" t="n"/>
      <c r="C131" s="196" t="n"/>
      <c r="D131" s="198" t="n"/>
      <c r="E131" s="196" t="n"/>
      <c r="F131" s="196" t="n"/>
      <c r="G131" s="199" t="n"/>
      <c r="H131" s="199" t="n"/>
      <c r="I131" s="252" t="n"/>
      <c r="J131" s="202" t="n"/>
      <c r="K131" s="203">
        <f>SUBTOTAL(9,K132:K145)</f>
        <v/>
      </c>
      <c r="L131" s="203">
        <f>SUBTOTAL(9,L132:L145)</f>
        <v/>
      </c>
      <c r="M131" s="238" t="n"/>
      <c r="N131" s="177" t="n"/>
      <c r="O131" s="177" t="n"/>
      <c r="P131" s="177" t="n"/>
      <c r="Q131" s="177" t="n"/>
      <c r="R131" s="177" t="n"/>
      <c r="S131" s="177" t="n"/>
      <c r="T131" s="177" t="n"/>
      <c r="U131" s="177" t="n"/>
      <c r="V131" s="177" t="n"/>
      <c r="W131" s="177" t="n"/>
    </row>
    <row r="132" outlineLevel="1" ht="15.75" customHeight="1" s="297">
      <c r="A132" s="191" t="n"/>
      <c r="B132" s="204" t="inlineStr">
        <is>
          <t>FUNGICIDA</t>
        </is>
      </c>
      <c r="C132" s="191" t="inlineStr">
        <is>
          <t>APROACH POWER</t>
        </is>
      </c>
      <c r="D132" s="205">
        <f>IFERROR(VLOOKUP($C132,'PORTIFÓLIO'!C:V,2,0),"")</f>
        <v/>
      </c>
      <c r="E132" s="190">
        <f>IFERROR(VLOOKUP($C132,'PORTIFÓLIO'!C:V,3,0),"")</f>
        <v/>
      </c>
      <c r="F132" s="190">
        <f>IFERROR(VLOOKUP($C132,'PORTIFÓLIO'!C:V,4,0),"")</f>
        <v/>
      </c>
      <c r="G132" s="223">
        <f>IFERROR(VLOOKUP($C132,'PORTIFÓLIO'!C:V,5,0),"")</f>
        <v/>
      </c>
      <c r="H132" s="247">
        <f t="array" ref="H132">IFERROR(INDEX('PORTIFÓLIO'!$H$4:$H$433,MATCH($C132,'PORTIFÓLIO'!$C$4:$C$433,0)),"")</f>
        <v/>
      </c>
      <c r="I132" s="253" t="n">
        <v>0.6</v>
      </c>
      <c r="J132" s="209">
        <f>I132*$B$2</f>
        <v/>
      </c>
      <c r="K132" s="210">
        <f t="array" ref="K132">IFERROR(I132*INDEX('PORTIFÓLIO'!$S$4:$S$433,MATCH($C132,'PORTIFÓLIO'!$C$4:$C$433,0)),"")</f>
        <v/>
      </c>
      <c r="L132" s="210">
        <f t="array" ref="L132">IFERROR(J132*INDEX('PORTIFÓLIO'!$S$4:$S$433,MATCH($C132,'PORTIFÓLIO'!$C$4:$C$433,0)),"")</f>
        <v/>
      </c>
      <c r="M132" s="238" t="n"/>
      <c r="N132" s="177" t="n"/>
      <c r="O132" s="177" t="n"/>
      <c r="P132" s="177" t="n"/>
      <c r="Q132" s="177" t="n"/>
      <c r="R132" s="177" t="n"/>
      <c r="S132" s="177" t="n"/>
      <c r="T132" s="177" t="n"/>
      <c r="U132" s="177" t="n"/>
      <c r="V132" s="177" t="n"/>
      <c r="W132" s="177" t="n"/>
    </row>
    <row r="133" outlineLevel="1" ht="15.75" customHeight="1" s="297">
      <c r="A133" s="190" t="n"/>
      <c r="B133" s="204" t="inlineStr">
        <is>
          <t>FUNGICIDA</t>
        </is>
      </c>
      <c r="C133" s="191" t="inlineStr">
        <is>
          <t>MANCOZEB CCAB 750 WG</t>
        </is>
      </c>
      <c r="D133" s="205">
        <f>IFERROR(VLOOKUP($C133,'PORTIFÓLIO'!C:V,2,0),"")</f>
        <v/>
      </c>
      <c r="E133" s="190">
        <f>IFERROR(VLOOKUP($C133,'PORTIFÓLIO'!C:V,3,0),"")</f>
        <v/>
      </c>
      <c r="F133" s="190">
        <f>IFERROR(VLOOKUP($C133,'PORTIFÓLIO'!C:V,4,0),"")</f>
        <v/>
      </c>
      <c r="G133" s="223">
        <f>IFERROR(VLOOKUP($C133,'PORTIFÓLIO'!C:V,5,0),"")</f>
        <v/>
      </c>
      <c r="H133" s="247">
        <f t="array" ref="H133">IFERROR(INDEX('PORTIFÓLIO'!$H$4:$H$433,MATCH($C133,'PORTIFÓLIO'!$C$4:$C$433,0)),"")</f>
        <v/>
      </c>
      <c r="I133" s="253" t="n">
        <v>1.5</v>
      </c>
      <c r="J133" s="209">
        <f>I133*$B$2</f>
        <v/>
      </c>
      <c r="K133" s="210">
        <f t="array" ref="K133">IFERROR(I133*INDEX('PORTIFÓLIO'!$S$4:$S$433,MATCH($C133,'PORTIFÓLIO'!$C$4:$C$433,0)),"")</f>
        <v/>
      </c>
      <c r="L133" s="210">
        <f t="array" ref="L133">IFERROR(J133*INDEX('PORTIFÓLIO'!$S$4:$S$433,MATCH($C133,'PORTIFÓLIO'!$C$4:$C$433,0)),"")</f>
        <v/>
      </c>
      <c r="M133" s="238" t="n"/>
      <c r="N133" s="177" t="n"/>
      <c r="O133" s="177" t="n"/>
      <c r="P133" s="177" t="n"/>
      <c r="Q133" s="177" t="n"/>
      <c r="R133" s="177" t="n"/>
      <c r="S133" s="177" t="n"/>
      <c r="T133" s="177" t="n"/>
      <c r="U133" s="177" t="n"/>
      <c r="V133" s="177" t="n"/>
      <c r="W133" s="177" t="n"/>
    </row>
    <row r="134" outlineLevel="1" ht="15.75" customHeight="1" s="297">
      <c r="A134" s="190" t="n"/>
      <c r="B134" s="204" t="inlineStr">
        <is>
          <t>INSETICIDA</t>
        </is>
      </c>
      <c r="C134" s="191" t="inlineStr">
        <is>
          <t>VERDAVIS</t>
        </is>
      </c>
      <c r="D134" s="205">
        <f>IFERROR(VLOOKUP($C134,'PORTIFÓLIO'!C:V,2,0),"")</f>
        <v/>
      </c>
      <c r="E134" s="190">
        <f>IFERROR(VLOOKUP($C134,'PORTIFÓLIO'!C:V,3,0),"")</f>
        <v/>
      </c>
      <c r="F134" s="190">
        <f>IFERROR(VLOOKUP($C134,'PORTIFÓLIO'!C:V,4,0),"")</f>
        <v/>
      </c>
      <c r="G134" s="223">
        <f>IFERROR(VLOOKUP($C134,'PORTIFÓLIO'!C:V,5,0),"")</f>
        <v/>
      </c>
      <c r="H134" s="247">
        <f t="array" ref="H134">IFERROR(INDEX('PORTIFÓLIO'!$H$4:$H$433,MATCH($C134,'PORTIFÓLIO'!$C$4:$C$433,0)),"")</f>
        <v/>
      </c>
      <c r="I134" s="253" t="n">
        <v>0.25</v>
      </c>
      <c r="J134" s="209">
        <f>I134*$B$2</f>
        <v/>
      </c>
      <c r="K134" s="210">
        <f t="array" ref="K134">IFERROR(I134*INDEX('PORTIFÓLIO'!$S$4:$S$433,MATCH($C134,'PORTIFÓLIO'!$C$4:$C$433,0)),"")</f>
        <v/>
      </c>
      <c r="L134" s="210">
        <f t="array" ref="L134">IFERROR(J134*INDEX('PORTIFÓLIO'!$S$4:$S$433,MATCH($C134,'PORTIFÓLIO'!$C$4:$C$433,0)),"")</f>
        <v/>
      </c>
      <c r="M134" s="238" t="n"/>
      <c r="N134" s="177" t="n"/>
      <c r="O134" s="177" t="n"/>
      <c r="P134" s="177" t="n"/>
      <c r="Q134" s="177" t="n"/>
      <c r="R134" s="177" t="n"/>
      <c r="S134" s="177" t="n"/>
      <c r="T134" s="177" t="n"/>
      <c r="U134" s="177" t="n"/>
      <c r="V134" s="177" t="n"/>
      <c r="W134" s="177" t="n"/>
    </row>
    <row r="135" outlineLevel="1" ht="15.75" customHeight="1" s="297">
      <c r="A135" s="190" t="n"/>
      <c r="B135" s="204" t="inlineStr">
        <is>
          <t>ADJUVANTE</t>
        </is>
      </c>
      <c r="C135" s="191" t="inlineStr">
        <is>
          <t>AUREO</t>
        </is>
      </c>
      <c r="D135" s="205">
        <f>IFERROR(VLOOKUP($C135,'PORTIFÓLIO'!C:V,2,0),"")</f>
        <v/>
      </c>
      <c r="E135" s="190">
        <f>IFERROR(VLOOKUP($C135,'PORTIFÓLIO'!C:V,3,0),"")</f>
        <v/>
      </c>
      <c r="F135" s="190">
        <f>IFERROR(VLOOKUP($C135,'PORTIFÓLIO'!C:V,4,0),"")</f>
        <v/>
      </c>
      <c r="G135" s="223">
        <f>IFERROR(VLOOKUP($C135,'PORTIFÓLIO'!C:V,5,0),"")</f>
        <v/>
      </c>
      <c r="H135" s="247">
        <f t="array" ref="H135">IFERROR(INDEX('PORTIFÓLIO'!$H$4:$H$433,MATCH($C135,'PORTIFÓLIO'!$C$4:$C$433,0)),"")</f>
        <v/>
      </c>
      <c r="I135" s="253" t="n">
        <v>0.2</v>
      </c>
      <c r="J135" s="209">
        <f>I135*$B$2</f>
        <v/>
      </c>
      <c r="K135" s="210">
        <f t="array" ref="K135">IFERROR(I135*INDEX('PORTIFÓLIO'!$S$4:$S$433,MATCH($C135,'PORTIFÓLIO'!$C$4:$C$433,0)),"")</f>
        <v/>
      </c>
      <c r="L135" s="210">
        <f t="array" ref="L135">IFERROR(J135*INDEX('PORTIFÓLIO'!$S$4:$S$433,MATCH($C135,'PORTIFÓLIO'!$C$4:$C$433,0)),"")</f>
        <v/>
      </c>
      <c r="M135" s="238" t="n"/>
      <c r="N135" s="177" t="n"/>
      <c r="O135" s="177" t="n"/>
      <c r="P135" s="177" t="n"/>
      <c r="Q135" s="177" t="n"/>
      <c r="R135" s="177" t="n"/>
      <c r="S135" s="177" t="n"/>
      <c r="T135" s="177" t="n"/>
      <c r="U135" s="177" t="n"/>
      <c r="V135" s="177" t="n"/>
      <c r="W135" s="177"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7"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7"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7"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7"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7"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7"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7"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7"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7"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7"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7"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7" t="n"/>
      <c r="N147" s="220" t="n"/>
      <c r="O147" s="220" t="n"/>
      <c r="P147" s="220" t="n"/>
      <c r="Q147" s="220" t="n"/>
      <c r="R147" s="220" t="n"/>
      <c r="S147" s="220" t="n"/>
      <c r="T147" s="220" t="n"/>
      <c r="U147" s="220" t="n"/>
      <c r="V147" s="220" t="n"/>
      <c r="W147" s="220" t="n"/>
    </row>
    <row r="148" ht="15.75" customHeight="1" s="297">
      <c r="A148" s="221" t="inlineStr">
        <is>
          <t>OPERAÇÃO 9</t>
        </is>
      </c>
      <c r="B148" s="197" t="n"/>
      <c r="C148" s="196" t="n"/>
      <c r="D148" s="198" t="n"/>
      <c r="E148" s="196" t="n"/>
      <c r="F148" s="196" t="n"/>
      <c r="G148" s="199" t="n"/>
      <c r="H148" s="199" t="n"/>
      <c r="I148" s="252" t="n"/>
      <c r="J148" s="202" t="n"/>
      <c r="K148" s="203">
        <f>SUBTOTAL(9,K149:K162)</f>
        <v/>
      </c>
      <c r="L148" s="203">
        <f>SUBTOTAL(9,L149:L162)</f>
        <v/>
      </c>
      <c r="M148" s="238" t="n"/>
      <c r="N148" s="177" t="n"/>
      <c r="O148" s="177" t="n"/>
      <c r="P148" s="177" t="n"/>
      <c r="Q148" s="177" t="n"/>
      <c r="R148" s="177" t="n"/>
      <c r="S148" s="177" t="n"/>
      <c r="T148" s="177" t="n"/>
      <c r="U148" s="177" t="n"/>
      <c r="V148" s="177" t="n"/>
      <c r="W148" s="177" t="n"/>
    </row>
    <row r="149" outlineLevel="1" ht="15.75" customHeight="1" s="297">
      <c r="A149" s="191" t="n"/>
      <c r="B149" s="204" t="inlineStr">
        <is>
          <t>FUNGICIDA</t>
        </is>
      </c>
      <c r="C149" s="191" t="inlineStr">
        <is>
          <t>TEBUCO A NORTOX</t>
        </is>
      </c>
      <c r="D149" s="205">
        <f>IFERROR(VLOOKUP($C149,'PORTIFÓLIO'!C:V,2,0),"")</f>
        <v/>
      </c>
      <c r="E149" s="190">
        <f>IFERROR(VLOOKUP($C149,'PORTIFÓLIO'!C:V,3,0),"")</f>
        <v/>
      </c>
      <c r="F149" s="190">
        <f>IFERROR(VLOOKUP($C149,'PORTIFÓLIO'!C:V,4,0),"")</f>
        <v/>
      </c>
      <c r="G149" s="223">
        <f>IFERROR(VLOOKUP($C149,'PORTIFÓLIO'!C:V,5,0),"")</f>
        <v/>
      </c>
      <c r="H149" s="247">
        <f t="array" ref="H149">IFERROR(INDEX('PORTIFÓLIO'!$H$4:$H$433,MATCH($C149,'PORTIFÓLIO'!$C$4:$C$433,0)),"")</f>
        <v/>
      </c>
      <c r="I149" s="253" t="n">
        <v>0.5</v>
      </c>
      <c r="J149" s="209">
        <f>I149*$B$2</f>
        <v/>
      </c>
      <c r="K149" s="210">
        <f t="array" ref="K149">IFERROR(I149*INDEX('PORTIFÓLIO'!$S$4:$S$433,MATCH($C149,'PORTIFÓLIO'!$C$4:$C$433,0)),"")</f>
        <v/>
      </c>
      <c r="L149" s="210">
        <f t="array" ref="L149">IFERROR(J149*INDEX('PORTIFÓLIO'!$S$4:$S$433,MATCH($C149,'PORTIFÓLIO'!$C$4:$C$433,0)),"")</f>
        <v/>
      </c>
      <c r="M149" s="238" t="n"/>
      <c r="N149" s="177" t="n"/>
      <c r="O149" s="177" t="n"/>
      <c r="P149" s="177" t="n"/>
      <c r="Q149" s="177" t="n"/>
      <c r="R149" s="177" t="n"/>
      <c r="S149" s="177" t="n"/>
      <c r="T149" s="177" t="n"/>
      <c r="U149" s="177" t="n"/>
      <c r="V149" s="177" t="n"/>
      <c r="W149" s="177" t="n"/>
    </row>
    <row r="150" outlineLevel="1" ht="15.75" customHeight="1" s="297">
      <c r="A150" s="190" t="n"/>
      <c r="B150" s="204" t="inlineStr">
        <is>
          <t>FUNGICIDA</t>
        </is>
      </c>
      <c r="C150" s="191" t="inlineStr">
        <is>
          <t>BRAVONIL 720</t>
        </is>
      </c>
      <c r="D150" s="205">
        <f>IFERROR(VLOOKUP($C150,'PORTIFÓLIO'!C:V,2,0),"")</f>
        <v/>
      </c>
      <c r="E150" s="190">
        <f>IFERROR(VLOOKUP($C150,'PORTIFÓLIO'!C:V,3,0),"")</f>
        <v/>
      </c>
      <c r="F150" s="190">
        <f>IFERROR(VLOOKUP($C150,'PORTIFÓLIO'!C:V,4,0),"")</f>
        <v/>
      </c>
      <c r="G150" s="223">
        <f>IFERROR(VLOOKUP($C150,'PORTIFÓLIO'!C:V,5,0),"")</f>
        <v/>
      </c>
      <c r="H150" s="247">
        <f t="array" ref="H150">IFERROR(INDEX('PORTIFÓLIO'!$H$4:$H$433,MATCH($C150,'PORTIFÓLIO'!$C$4:$C$433,0)),"")</f>
        <v/>
      </c>
      <c r="I150" s="253" t="n">
        <v>1.5</v>
      </c>
      <c r="J150" s="209">
        <f>I150*$B$2</f>
        <v/>
      </c>
      <c r="K150" s="210">
        <f t="array" ref="K150">IFERROR(I150*INDEX('PORTIFÓLIO'!$S$4:$S$433,MATCH($C150,'PORTIFÓLIO'!$C$4:$C$433,0)),"")</f>
        <v/>
      </c>
      <c r="L150" s="210">
        <f t="array" ref="L150">IFERROR(J150*INDEX('PORTIFÓLIO'!$S$4:$S$433,MATCH($C150,'PORTIFÓLIO'!$C$4:$C$433,0)),"")</f>
        <v/>
      </c>
      <c r="M150" s="238" t="n"/>
      <c r="N150" s="177" t="n"/>
      <c r="O150" s="177" t="n"/>
      <c r="P150" s="177" t="n"/>
      <c r="Q150" s="177" t="n"/>
      <c r="R150" s="177" t="n"/>
      <c r="S150" s="177" t="n"/>
      <c r="T150" s="177" t="n"/>
      <c r="U150" s="177" t="n"/>
      <c r="V150" s="177" t="n"/>
      <c r="W150" s="177" t="n"/>
    </row>
    <row r="151" outlineLevel="1" ht="15.75" customHeight="1" s="297">
      <c r="A151" s="190" t="n"/>
      <c r="B151" s="204" t="inlineStr">
        <is>
          <t>ADJUVANTE</t>
        </is>
      </c>
      <c r="C151" s="191" t="inlineStr">
        <is>
          <t>AUREO</t>
        </is>
      </c>
      <c r="D151" s="205">
        <f>IFERROR(VLOOKUP($C151,'PORTIFÓLIO'!C:V,2,0),"")</f>
        <v/>
      </c>
      <c r="E151" s="190">
        <f>IFERROR(VLOOKUP($C151,'PORTIFÓLIO'!C:V,3,0),"")</f>
        <v/>
      </c>
      <c r="F151" s="190">
        <f>IFERROR(VLOOKUP($C151,'PORTIFÓLIO'!C:V,4,0),"")</f>
        <v/>
      </c>
      <c r="G151" s="223">
        <f>IFERROR(VLOOKUP($C151,'PORTIFÓLIO'!C:V,5,0),"")</f>
        <v/>
      </c>
      <c r="H151" s="247">
        <f t="array" ref="H151">IFERROR(INDEX('PORTIFÓLIO'!$H$4:$H$433,MATCH($C151,'PORTIFÓLIO'!$C$4:$C$433,0)),"")</f>
        <v/>
      </c>
      <c r="I151" s="253" t="n">
        <v>0.2</v>
      </c>
      <c r="J151" s="209">
        <f>I151*$B$2</f>
        <v/>
      </c>
      <c r="K151" s="210">
        <f t="array" ref="K151">IFERROR(I151*INDEX('PORTIFÓLIO'!$S$4:$S$433,MATCH($C151,'PORTIFÓLIO'!$C$4:$C$433,0)),"")</f>
        <v/>
      </c>
      <c r="L151" s="210">
        <f t="array" ref="L151">IFERROR(J151*INDEX('PORTIFÓLIO'!$S$4:$S$433,MATCH($C151,'PORTIFÓLIO'!$C$4:$C$433,0)),"")</f>
        <v/>
      </c>
      <c r="M151" s="238" t="n"/>
      <c r="N151" s="177" t="n"/>
      <c r="O151" s="177" t="n"/>
      <c r="P151" s="177" t="n"/>
      <c r="Q151" s="177" t="n"/>
      <c r="R151" s="177" t="n"/>
      <c r="S151" s="177" t="n"/>
      <c r="T151" s="177" t="n"/>
      <c r="U151" s="177" t="n"/>
      <c r="V151" s="177" t="n"/>
      <c r="W151" s="177"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7"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7"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7"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7"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7"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7"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7"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7"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7"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7"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7"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7"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7" t="n"/>
      <c r="N164" s="220" t="n"/>
      <c r="O164" s="220" t="n"/>
      <c r="P164" s="220" t="n"/>
      <c r="Q164" s="220" t="n"/>
      <c r="R164" s="220" t="n"/>
      <c r="S164" s="220" t="n"/>
      <c r="T164" s="220" t="n"/>
      <c r="U164" s="220" t="n"/>
      <c r="V164" s="220" t="n"/>
      <c r="W164" s="220" t="n"/>
    </row>
    <row r="165" ht="15.75" customHeight="1" s="297">
      <c r="A165" s="221" t="inlineStr">
        <is>
          <t>OPERAÇÃO 10</t>
        </is>
      </c>
      <c r="B165" s="197" t="n"/>
      <c r="C165" s="196" t="n"/>
      <c r="D165" s="198" t="n"/>
      <c r="E165" s="196" t="n"/>
      <c r="F165" s="196" t="n"/>
      <c r="G165" s="199" t="n"/>
      <c r="H165" s="199" t="n"/>
      <c r="I165" s="252" t="n"/>
      <c r="J165" s="202" t="n"/>
      <c r="K165" s="203">
        <f>SUBTOTAL(9,K166:K179)</f>
        <v/>
      </c>
      <c r="L165" s="203">
        <f>SUBTOTAL(9,L166:L179)</f>
        <v/>
      </c>
      <c r="M165" s="238" t="n"/>
      <c r="N165" s="177" t="n"/>
      <c r="O165" s="177" t="n"/>
      <c r="P165" s="177" t="n"/>
      <c r="Q165" s="177" t="n"/>
      <c r="R165" s="177" t="n"/>
      <c r="S165" s="177" t="n"/>
      <c r="T165" s="177" t="n"/>
      <c r="U165" s="177" t="n"/>
      <c r="V165" s="177" t="n"/>
      <c r="W165" s="177" t="n"/>
    </row>
    <row r="166" outlineLevel="1" ht="15.75" customHeight="1" s="297">
      <c r="A166" s="191" t="n"/>
      <c r="B166" s="204" t="inlineStr">
        <is>
          <t>HERBICIDA</t>
        </is>
      </c>
      <c r="C166" s="191" t="inlineStr">
        <is>
          <t>REGLONE</t>
        </is>
      </c>
      <c r="D166" s="205">
        <f>IFERROR(VLOOKUP($C166,'PORTIFÓLIO'!C:V,2,0),"")</f>
        <v/>
      </c>
      <c r="E166" s="190">
        <f>IFERROR(VLOOKUP($C166,'PORTIFÓLIO'!C:V,3,0),"")</f>
        <v/>
      </c>
      <c r="F166" s="190">
        <f>IFERROR(VLOOKUP($C166,'PORTIFÓLIO'!C:V,4,0),"")</f>
        <v/>
      </c>
      <c r="G166" s="223">
        <f>IFERROR(VLOOKUP($C166,'PORTIFÓLIO'!C:V,5,0),"")</f>
        <v/>
      </c>
      <c r="H166" s="247">
        <f t="array" ref="H166">IFERROR(INDEX('PORTIFÓLIO'!$H$4:$H$433,MATCH($C166,'PORTIFÓLIO'!$C$4:$C$433,0)),"")</f>
        <v/>
      </c>
      <c r="I166" s="253" t="n">
        <v>2</v>
      </c>
      <c r="J166" s="209">
        <f>I166*$B$2</f>
        <v/>
      </c>
      <c r="K166" s="210">
        <f t="array" ref="K166">IFERROR(I166*INDEX('PORTIFÓLIO'!$S$4:$S$433,MATCH($C166,'PORTIFÓLIO'!$C$4:$C$433,0)),"")</f>
        <v/>
      </c>
      <c r="L166" s="210">
        <f t="array" ref="L166">IFERROR(J166*INDEX('PORTIFÓLIO'!$S$4:$S$433,MATCH($C166,'PORTIFÓLIO'!$C$4:$C$433,0)),"")</f>
        <v/>
      </c>
      <c r="M166" s="238" t="n"/>
      <c r="N166" s="177" t="n"/>
      <c r="O166" s="177" t="n"/>
      <c r="P166" s="177" t="n"/>
      <c r="Q166" s="177" t="n"/>
      <c r="R166" s="177" t="n"/>
      <c r="S166" s="177" t="n"/>
      <c r="T166" s="177" t="n"/>
      <c r="U166" s="177" t="n"/>
      <c r="V166" s="177" t="n"/>
      <c r="W166" s="177" t="n"/>
    </row>
    <row r="167" outlineLevel="1" ht="15.75" customHeight="1" s="297">
      <c r="A167" s="190" t="n"/>
      <c r="B167" s="204" t="inlineStr">
        <is>
          <t>ADJUVANTE</t>
        </is>
      </c>
      <c r="C167" s="191" t="inlineStr">
        <is>
          <t>AUREO</t>
        </is>
      </c>
      <c r="D167" s="205">
        <f>IFERROR(VLOOKUP($C167,'PORTIFÓLIO'!C:V,2,0),"")</f>
        <v/>
      </c>
      <c r="E167" s="190">
        <f>IFERROR(VLOOKUP($C167,'PORTIFÓLIO'!C:V,3,0),"")</f>
        <v/>
      </c>
      <c r="F167" s="190">
        <f>IFERROR(VLOOKUP($C167,'PORTIFÓLIO'!C:V,4,0),"")</f>
        <v/>
      </c>
      <c r="G167" s="223">
        <f>IFERROR(VLOOKUP($C167,'PORTIFÓLIO'!C:V,5,0),"")</f>
        <v/>
      </c>
      <c r="H167" s="247">
        <f t="array" ref="H167">IFERROR(INDEX('PORTIFÓLIO'!$H$4:$H$433,MATCH($C167,'PORTIFÓLIO'!$C$4:$C$433,0)),"")</f>
        <v/>
      </c>
      <c r="I167" s="253" t="n">
        <v>0.2</v>
      </c>
      <c r="J167" s="209">
        <f>I167*$B$2</f>
        <v/>
      </c>
      <c r="K167" s="210">
        <f t="array" ref="K167">IFERROR(I167*INDEX('PORTIFÓLIO'!$S$4:$S$433,MATCH($C167,'PORTIFÓLIO'!$C$4:$C$433,0)),"")</f>
        <v/>
      </c>
      <c r="L167" s="210">
        <f t="array" ref="L167">IFERROR(J167*INDEX('PORTIFÓLIO'!$S$4:$S$433,MATCH($C167,'PORTIFÓLIO'!$C$4:$C$433,0)),"")</f>
        <v/>
      </c>
      <c r="M167" s="238" t="n"/>
      <c r="N167" s="177" t="n"/>
      <c r="O167" s="177" t="n"/>
      <c r="P167" s="177" t="n"/>
      <c r="Q167" s="177" t="n"/>
      <c r="R167" s="177" t="n"/>
      <c r="S167" s="177" t="n"/>
      <c r="T167" s="177" t="n"/>
      <c r="U167" s="177" t="n"/>
      <c r="V167" s="177" t="n"/>
      <c r="W167" s="177"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7"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7"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7"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7"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7"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7"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7"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7"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7"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7"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7"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7"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7"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7" t="n"/>
      <c r="N181" s="220" t="n"/>
      <c r="O181" s="220" t="n"/>
      <c r="P181" s="220" t="n"/>
      <c r="Q181" s="220" t="n"/>
      <c r="R181" s="220" t="n"/>
      <c r="S181" s="220" t="n"/>
      <c r="T181" s="220" t="n"/>
      <c r="U181" s="220" t="n"/>
      <c r="V181" s="220" t="n"/>
      <c r="W181" s="220" t="n"/>
    </row>
    <row r="182" ht="15.75" customHeight="1" s="297">
      <c r="A182" s="221" t="inlineStr">
        <is>
          <t>OPERAÇÃO 11</t>
        </is>
      </c>
      <c r="B182" s="197" t="n"/>
      <c r="C182" s="196" t="n"/>
      <c r="D182" s="198" t="n"/>
      <c r="E182" s="196" t="n"/>
      <c r="F182" s="196" t="n"/>
      <c r="G182" s="199" t="n"/>
      <c r="H182" s="199" t="n"/>
      <c r="I182" s="252" t="n"/>
      <c r="J182" s="202" t="n"/>
      <c r="K182" s="203">
        <f>SUBTOTAL(9,K183:K196)</f>
        <v/>
      </c>
      <c r="L182" s="203">
        <f>SUBTOTAL(9,L183:L196)</f>
        <v/>
      </c>
      <c r="M182" s="238" t="n"/>
      <c r="N182" s="177" t="n"/>
      <c r="O182" s="177" t="n"/>
      <c r="P182" s="177" t="n"/>
      <c r="Q182" s="177" t="n"/>
      <c r="R182" s="177" t="n"/>
      <c r="S182" s="177" t="n"/>
      <c r="T182" s="177" t="n"/>
      <c r="U182" s="177" t="n"/>
      <c r="V182" s="177" t="n"/>
      <c r="W182" s="177" t="n"/>
    </row>
    <row r="183" outlineLevel="1" ht="15.75" customHeight="1" s="297">
      <c r="A183" s="191" t="n"/>
      <c r="B183" s="204" t="inlineStr">
        <is>
          <t>MÁQUINAS</t>
        </is>
      </c>
      <c r="C183" s="191" t="inlineStr">
        <is>
          <t>TRATOR-JD 7500 + BRUTUS 12000</t>
        </is>
      </c>
      <c r="D183" s="205">
        <f>IFERROR(VLOOKUP($C183,'PORTIFÓLIO'!C:V,2,0),"")</f>
        <v/>
      </c>
      <c r="E183" s="190">
        <f>IFERROR(VLOOKUP($C183,'PORTIFÓLIO'!C:V,3,0),"")</f>
        <v/>
      </c>
      <c r="F183" s="190">
        <f>IFERROR(VLOOKUP($C183,'PORTIFÓLIO'!C:V,4,0),"")</f>
        <v/>
      </c>
      <c r="G183" s="206">
        <f t="array" ref="G183">IFERROR(INDEX('PORTIFÓLIO'!$H$4:$H$433,MATCH($C183,'PORTIFÓLIO'!$C$4:$C$433,0)),"")</f>
        <v/>
      </c>
      <c r="H183" s="247">
        <f t="array" ref="H183">IFERROR(INDEX('PORTIFÓLIO'!$H$4:$H$433,MATCH($C183,'PORTIFÓLIO'!$C$4:$C$433,0)),"")</f>
        <v/>
      </c>
      <c r="I183" s="253" t="n">
        <v>0.32</v>
      </c>
      <c r="J183" s="209">
        <f>I183*$B$2</f>
        <v/>
      </c>
      <c r="K183" s="210">
        <f t="array" ref="K183">IFERROR(I183*INDEX('PORTIFÓLIO'!$S$4:$S$433,MATCH($C183,'PORTIFÓLIO'!$C$4:$C$433,0)),"")</f>
        <v/>
      </c>
      <c r="L183" s="210">
        <f t="array" ref="L183">IFERROR(J183*INDEX('PORTIFÓLIO'!$S$4:$S$433,MATCH($C183,'PORTIFÓLIO'!$C$4:$C$433,0)),"")</f>
        <v/>
      </c>
      <c r="M183" s="238" t="n"/>
      <c r="N183" s="177" t="n"/>
      <c r="O183" s="177" t="n"/>
      <c r="P183" s="177" t="n"/>
      <c r="Q183" s="177" t="n"/>
      <c r="R183" s="177" t="n"/>
      <c r="S183" s="177" t="n"/>
      <c r="T183" s="177" t="n"/>
      <c r="U183" s="177" t="n"/>
      <c r="V183" s="177" t="n"/>
      <c r="W183" s="177" t="n"/>
    </row>
    <row r="184" outlineLevel="1" ht="15.75" customHeight="1" s="297">
      <c r="A184" s="190" t="n"/>
      <c r="B184" s="204" t="inlineStr">
        <is>
          <t>MÁQUINAS</t>
        </is>
      </c>
      <c r="C184" s="191" t="inlineStr">
        <is>
          <t>TRATOR-JD 7500 + ADUBADORA HERCULES 10000</t>
        </is>
      </c>
      <c r="D184" s="205">
        <f>IFERROR(VLOOKUP($C184,'PORTIFÓLIO'!C:V,2,0),"")</f>
        <v/>
      </c>
      <c r="E184" s="190">
        <f>IFERROR(VLOOKUP($C184,'PORTIFÓLIO'!C:V,3,0),"")</f>
        <v/>
      </c>
      <c r="F184" s="190">
        <f>IFERROR(VLOOKUP($C184,'PORTIFÓLIO'!C:V,4,0),"")</f>
        <v/>
      </c>
      <c r="G184" s="206">
        <f t="array" ref="G184">IFERROR(INDEX('PORTIFÓLIO'!$H$4:$H$433,MATCH($C184,'PORTIFÓLIO'!$C$4:$C$433,0)),"")</f>
        <v/>
      </c>
      <c r="H184" s="247">
        <f t="array" ref="H184">IFERROR(INDEX('PORTIFÓLIO'!$H$4:$H$433,MATCH($C184,'PORTIFÓLIO'!$C$4:$C$433,0)),"")</f>
        <v/>
      </c>
      <c r="I184" s="257">
        <f>G184*4</f>
        <v/>
      </c>
      <c r="J184" s="209">
        <f>I184*$B$2</f>
        <v/>
      </c>
      <c r="K184" s="210">
        <f t="array" ref="K184">IFERROR(I184*INDEX('PORTIFÓLIO'!$S$4:$S$433,MATCH($C184,'PORTIFÓLIO'!$C$4:$C$433,0)),"")</f>
        <v/>
      </c>
      <c r="L184" s="210">
        <f t="array" ref="L184">IFERROR(J184*INDEX('PORTIFÓLIO'!$S$4:$S$433,MATCH($C184,'PORTIFÓLIO'!$C$4:$C$433,0)),"")</f>
        <v/>
      </c>
      <c r="M184" s="238" t="n"/>
      <c r="N184" s="177" t="n"/>
      <c r="O184" s="177" t="n"/>
      <c r="P184" s="177" t="n"/>
      <c r="Q184" s="177" t="n"/>
      <c r="R184" s="177" t="n"/>
      <c r="S184" s="177" t="n"/>
      <c r="T184" s="177" t="n"/>
      <c r="U184" s="177" t="n"/>
      <c r="V184" s="177" t="n"/>
      <c r="W184" s="177" t="n"/>
    </row>
    <row r="185" outlineLevel="1" ht="15.75" customHeight="1" s="297">
      <c r="A185" s="190" t="n"/>
      <c r="B185" s="204" t="inlineStr">
        <is>
          <t>MÁQUINAS</t>
        </is>
      </c>
      <c r="C185" s="191" t="inlineStr">
        <is>
          <t>PULVERIZADOR- JD4730 + PULVERIZADOR- JD4730</t>
        </is>
      </c>
      <c r="D185" s="205">
        <f>IFERROR(VLOOKUP($C185,'PORTIFÓLIO'!C:V,2,0),"")</f>
        <v/>
      </c>
      <c r="E185" s="190">
        <f>IFERROR(VLOOKUP($C185,'PORTIFÓLIO'!C:V,3,0),"")</f>
        <v/>
      </c>
      <c r="F185" s="190">
        <f>IFERROR(VLOOKUP($C185,'PORTIFÓLIO'!C:V,4,0),"")</f>
        <v/>
      </c>
      <c r="G185" s="206">
        <f t="array" ref="G185">IFERROR(INDEX('PORTIFÓLIO'!$H$4:$H$433,MATCH($C185,'PORTIFÓLIO'!$C$4:$C$433,0)),"")</f>
        <v/>
      </c>
      <c r="H185" s="247">
        <f t="array" ref="H185">IFERROR(INDEX('PORTIFÓLIO'!$H$4:$H$433,MATCH($C185,'PORTIFÓLIO'!$C$4:$C$433,0)),"")</f>
        <v/>
      </c>
      <c r="I185" s="257">
        <f>G185*3</f>
        <v/>
      </c>
      <c r="J185" s="209">
        <f>I185*$B$2</f>
        <v/>
      </c>
      <c r="K185" s="210">
        <f t="array" ref="K185">IFERROR(I185*INDEX('PORTIFÓLIO'!$S$4:$S$433,MATCH($C185,'PORTIFÓLIO'!$C$4:$C$433,0)),"")</f>
        <v/>
      </c>
      <c r="L185" s="210">
        <f t="array" ref="L185">IFERROR(J185*INDEX('PORTIFÓLIO'!$S$4:$S$433,MATCH($C185,'PORTIFÓLIO'!$C$4:$C$433,0)),"")</f>
        <v/>
      </c>
      <c r="M185" s="238" t="n"/>
      <c r="N185" s="177" t="n"/>
      <c r="O185" s="177" t="n"/>
      <c r="P185" s="177" t="n"/>
      <c r="Q185" s="177" t="n"/>
      <c r="R185" s="177" t="n"/>
      <c r="S185" s="177" t="n"/>
      <c r="T185" s="177" t="n"/>
      <c r="U185" s="177" t="n"/>
      <c r="V185" s="177" t="n"/>
      <c r="W185" s="177" t="n"/>
    </row>
    <row r="186" outlineLevel="1" ht="15.75" customHeight="1" s="297">
      <c r="A186" s="190" t="n"/>
      <c r="B186" s="204" t="inlineStr">
        <is>
          <t>MÁQUINAS</t>
        </is>
      </c>
      <c r="C186" s="191" t="inlineStr">
        <is>
          <t>AIR TRATOR AT-502B + AIR TRATOR AT-502B</t>
        </is>
      </c>
      <c r="D186" s="205">
        <f>IFERROR(VLOOKUP($C186,'PORTIFÓLIO'!C:V,2,0),"")</f>
        <v/>
      </c>
      <c r="E186" s="190">
        <f>IFERROR(VLOOKUP($C186,'PORTIFÓLIO'!C:V,3,0),"")</f>
        <v/>
      </c>
      <c r="F186" s="190">
        <f>IFERROR(VLOOKUP($C186,'PORTIFÓLIO'!C:V,4,0),"")</f>
        <v/>
      </c>
      <c r="G186" s="206">
        <f t="array" ref="G186">IFERROR(INDEX('PORTIFÓLIO'!$H$4:$H$433,MATCH($C186,'PORTIFÓLIO'!$C$4:$C$433,0)),"")</f>
        <v/>
      </c>
      <c r="H186" s="247">
        <f t="array" ref="H186">IFERROR(INDEX('PORTIFÓLIO'!$H$4:$H$433,MATCH($C186,'PORTIFÓLIO'!$C$4:$C$433,0)),"")</f>
        <v/>
      </c>
      <c r="I186" s="257">
        <f>G186*5</f>
        <v/>
      </c>
      <c r="J186" s="209">
        <f>I186*$B$2</f>
        <v/>
      </c>
      <c r="K186" s="210">
        <f t="array" ref="K186">IFERROR(I186*INDEX('PORTIFÓLIO'!$S$4:$S$433,MATCH($C186,'PORTIFÓLIO'!$C$4:$C$433,0)),"")</f>
        <v/>
      </c>
      <c r="L186" s="210">
        <f t="array" ref="L186">IFERROR(J186*INDEX('PORTIFÓLIO'!$S$4:$S$433,MATCH($C186,'PORTIFÓLIO'!$C$4:$C$433,0)),"")</f>
        <v/>
      </c>
      <c r="M186" s="238" t="n"/>
      <c r="N186" s="177" t="n"/>
      <c r="O186" s="177" t="n"/>
      <c r="P186" s="177" t="n"/>
      <c r="Q186" s="177" t="n"/>
      <c r="R186" s="177" t="n"/>
      <c r="S186" s="177" t="n"/>
      <c r="T186" s="177" t="n"/>
      <c r="U186" s="177" t="n"/>
      <c r="V186" s="177" t="n"/>
      <c r="W186" s="177" t="n"/>
    </row>
    <row r="187" outlineLevel="1" ht="15.75" customHeight="1" s="297">
      <c r="A187" s="190" t="n"/>
      <c r="B187" s="204" t="inlineStr">
        <is>
          <t>MÁQUINAS</t>
        </is>
      </c>
      <c r="C187" s="191" t="inlineStr">
        <is>
          <t>CASE STEIGER 420 + HORSCH MAESTRO DUO 36.50</t>
        </is>
      </c>
      <c r="D187" s="205">
        <f>IFERROR(VLOOKUP($C187,'PORTIFÓLIO'!C:V,2,0),"")</f>
        <v/>
      </c>
      <c r="E187" s="190">
        <f>IFERROR(VLOOKUP($C187,'PORTIFÓLIO'!C:V,3,0),"")</f>
        <v/>
      </c>
      <c r="F187" s="190">
        <f>IFERROR(VLOOKUP($C187,'PORTIFÓLIO'!C:V,4,0),"")</f>
        <v/>
      </c>
      <c r="G187" s="206">
        <f t="array" ref="G187">IFERROR(INDEX('PORTIFÓLIO'!$H$4:$H$433,MATCH($C187,'PORTIFÓLIO'!$C$4:$C$433,0)),"")</f>
        <v/>
      </c>
      <c r="H187" s="247">
        <f t="array" ref="H187">IFERROR(INDEX('PORTIFÓLIO'!$H$4:$H$433,MATCH($C187,'PORTIFÓLIO'!$C$4:$C$433,0)),"")</f>
        <v/>
      </c>
      <c r="I187" s="253" t="n">
        <v>0.081</v>
      </c>
      <c r="J187" s="209">
        <f>I187*$B$2</f>
        <v/>
      </c>
      <c r="K187" s="210">
        <f t="array" ref="K187">IFERROR(I187*INDEX('PORTIFÓLIO'!$S$4:$S$433,MATCH($C187,'PORTIFÓLIO'!$C$4:$C$433,0)),"")</f>
        <v/>
      </c>
      <c r="L187" s="210">
        <f t="array" ref="L187">IFERROR(J187*INDEX('PORTIFÓLIO'!$S$4:$S$433,MATCH($C187,'PORTIFÓLIO'!$C$4:$C$433,0)),"")</f>
        <v/>
      </c>
      <c r="M187" s="238" t="n"/>
      <c r="N187" s="177" t="n"/>
      <c r="O187" s="177" t="n"/>
      <c r="P187" s="177" t="n"/>
      <c r="Q187" s="177" t="n"/>
      <c r="R187" s="177" t="n"/>
      <c r="S187" s="177" t="n"/>
      <c r="T187" s="177" t="n"/>
      <c r="U187" s="177" t="n"/>
      <c r="V187" s="177" t="n"/>
      <c r="W187" s="177" t="n"/>
    </row>
    <row r="188" outlineLevel="1" ht="15.75" customHeight="1" s="297">
      <c r="A188" s="190" t="n"/>
      <c r="B188" s="204" t="inlineStr">
        <is>
          <t>MÁQUINAS</t>
        </is>
      </c>
      <c r="C188" s="191" t="inlineStr">
        <is>
          <t>CR 8.90 NEW HOLLAND + 880 CF45</t>
        </is>
      </c>
      <c r="D188" s="205">
        <f>IFERROR(VLOOKUP($C188,'PORTIFÓLIO'!C:V,2,0),"")</f>
        <v/>
      </c>
      <c r="E188" s="190">
        <f>IFERROR(VLOOKUP($C188,'PORTIFÓLIO'!C:V,3,0),"")</f>
        <v/>
      </c>
      <c r="F188" s="190">
        <f>IFERROR(VLOOKUP($C188,'PORTIFÓLIO'!C:V,4,0),"")</f>
        <v/>
      </c>
      <c r="G188" s="206">
        <f t="array" ref="G188">IFERROR(INDEX('PORTIFÓLIO'!$H$4:$H$433,MATCH($C188,'PORTIFÓLIO'!$C$4:$C$433,0)),"")</f>
        <v/>
      </c>
      <c r="H188" s="247">
        <f t="array" ref="H188">IFERROR(INDEX('PORTIFÓLIO'!$H$4:$H$433,MATCH($C188,'PORTIFÓLIO'!$C$4:$C$433,0)),"")</f>
        <v/>
      </c>
      <c r="I188" s="253" t="n">
        <v>0.15</v>
      </c>
      <c r="J188" s="209">
        <f>I188*$B$2</f>
        <v/>
      </c>
      <c r="K188" s="210">
        <f t="array" ref="K188">IFERROR(I188*INDEX('PORTIFÓLIO'!$S$4:$S$433,MATCH($C188,'PORTIFÓLIO'!$C$4:$C$433,0)),"")</f>
        <v/>
      </c>
      <c r="L188" s="210">
        <f t="array" ref="L188">IFERROR(J188*INDEX('PORTIFÓLIO'!$S$4:$S$433,MATCH($C188,'PORTIFÓLIO'!$C$4:$C$433,0)),"")</f>
        <v/>
      </c>
      <c r="M188" s="238" t="n"/>
      <c r="N188" s="177" t="n"/>
      <c r="O188" s="177" t="n"/>
      <c r="P188" s="177" t="n"/>
      <c r="Q188" s="177" t="n"/>
      <c r="R188" s="177" t="n"/>
      <c r="S188" s="177" t="n"/>
      <c r="T188" s="177" t="n"/>
      <c r="U188" s="177" t="n"/>
      <c r="V188" s="177" t="n"/>
      <c r="W188" s="177" t="n"/>
    </row>
    <row r="189" outlineLevel="1" ht="15.75" customHeight="1" s="297">
      <c r="A189" s="190" t="n"/>
      <c r="B189" s="204" t="inlineStr">
        <is>
          <t>MÁQUINAS</t>
        </is>
      </c>
      <c r="C189" s="191" t="inlineStr">
        <is>
          <t>VOLVO NH380 + CAÇAMBA 430SC</t>
        </is>
      </c>
      <c r="D189" s="205">
        <f>IFERROR(VLOOKUP($C189,'PORTIFÓLIO'!C:V,2,0),"")</f>
        <v/>
      </c>
      <c r="E189" s="190">
        <f>IFERROR(VLOOKUP($C189,'PORTIFÓLIO'!C:V,3,0),"")</f>
        <v/>
      </c>
      <c r="F189" s="190">
        <f>IFERROR(VLOOKUP($C189,'PORTIFÓLIO'!C:V,4,0),"")</f>
        <v/>
      </c>
      <c r="G189" s="206">
        <f t="array" ref="G189">IFERROR(INDEX('PORTIFÓLIO'!$H$4:$H$433,MATCH($C189,'PORTIFÓLIO'!$C$4:$C$433,0)),"")</f>
        <v/>
      </c>
      <c r="H189" s="247">
        <f t="array" ref="H189">IFERROR(INDEX('PORTIFÓLIO'!$H$4:$H$433,MATCH($C189,'PORTIFÓLIO'!$C$4:$C$433,0)),"")</f>
        <v/>
      </c>
      <c r="I189" s="253" t="n">
        <v>0.1</v>
      </c>
      <c r="J189" s="209">
        <f>I189*$B$2</f>
        <v/>
      </c>
      <c r="K189" s="210">
        <f t="array" ref="K189">IFERROR(I189*INDEX('PORTIFÓLIO'!$S$4:$S$433,MATCH($C189,'PORTIFÓLIO'!$C$4:$C$433,0)),"")</f>
        <v/>
      </c>
      <c r="L189" s="210">
        <f t="array" ref="L189">IFERROR(J189*INDEX('PORTIFÓLIO'!$S$4:$S$433,MATCH($C189,'PORTIFÓLIO'!$C$4:$C$433,0)),"")</f>
        <v/>
      </c>
      <c r="M189" s="238" t="n"/>
      <c r="N189" s="177" t="n"/>
      <c r="O189" s="177" t="n"/>
      <c r="P189" s="177" t="n"/>
      <c r="Q189" s="177" t="n"/>
      <c r="R189" s="177" t="n"/>
      <c r="S189" s="177" t="n"/>
      <c r="T189" s="177" t="n"/>
      <c r="U189" s="177" t="n"/>
      <c r="V189" s="177" t="n"/>
      <c r="W189" s="177"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7"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7"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7"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7"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7"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7"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7"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7"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7"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7"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7"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7"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7"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7"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7"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7"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7"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7"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7"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7"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7"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7"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7"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7"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7"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7"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7"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7"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7"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7"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7"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7"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7"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7"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7" t="n"/>
      <c r="N224" s="220" t="n"/>
      <c r="O224" s="220" t="n"/>
      <c r="P224" s="220" t="n"/>
      <c r="Q224" s="220" t="n"/>
      <c r="R224" s="220" t="n"/>
      <c r="S224" s="220" t="n"/>
      <c r="T224" s="220" t="n"/>
      <c r="U224" s="220" t="n"/>
      <c r="V224" s="220" t="n"/>
      <c r="W224" s="220" t="n"/>
    </row>
    <row r="225" ht="15.75" customHeight="1" s="297">
      <c r="A225" s="238" t="n"/>
      <c r="B225" s="238" t="n"/>
      <c r="C225" s="238" t="n"/>
      <c r="D225" s="238" t="n"/>
      <c r="E225" s="238" t="n"/>
      <c r="F225" s="238" t="n"/>
      <c r="G225" s="206" t="n"/>
      <c r="H225" s="192">
        <f t="array" ref="H225">IFERROR(INDEX('PORTIFÓLIO'!$H$4:$H$433,MATCH($C225,'PORTIFÓLIO'!$C$4:$C$433,0)),"")</f>
        <v/>
      </c>
      <c r="I225" s="238" t="n"/>
      <c r="J225" s="238" t="n"/>
      <c r="K225" s="239">
        <f>SUBTOTAL(9,K10:K200)</f>
        <v/>
      </c>
      <c r="L225" s="239">
        <f>SUBTOTAL(9,L10:L200)</f>
        <v/>
      </c>
      <c r="M225" s="238" t="n"/>
      <c r="N225" s="177" t="n"/>
      <c r="O225" s="177" t="n"/>
      <c r="P225" s="177" t="n"/>
      <c r="Q225" s="177" t="n"/>
      <c r="R225" s="177" t="n"/>
      <c r="S225" s="177" t="n"/>
      <c r="T225" s="177" t="n"/>
      <c r="U225" s="177" t="n"/>
      <c r="V225" s="177" t="n"/>
      <c r="W225" s="177" t="n"/>
    </row>
    <row r="226" ht="15.75" customHeight="1" s="297">
      <c r="A226" s="240" t="n"/>
      <c r="B226" s="240" t="n"/>
      <c r="C226" s="240" t="n"/>
      <c r="D226" s="240" t="n"/>
      <c r="E226" s="240" t="n"/>
      <c r="F226" s="240" t="n"/>
      <c r="G226" s="241" t="n"/>
      <c r="H226" s="241" t="n"/>
      <c r="I226" s="240" t="n"/>
      <c r="J226" s="240" t="n"/>
      <c r="K226" s="240" t="n"/>
      <c r="L226" s="240" t="n"/>
      <c r="M226" s="240" t="n"/>
      <c r="N226" s="240" t="n"/>
      <c r="O226" s="240" t="n"/>
      <c r="P226" s="240" t="n"/>
      <c r="Q226" s="240" t="n"/>
      <c r="R226" s="240" t="n"/>
      <c r="S226" s="240" t="n"/>
      <c r="T226" s="240" t="n"/>
      <c r="U226" s="240" t="n"/>
      <c r="V226" s="240" t="n"/>
      <c r="W226" s="240" t="n"/>
    </row>
    <row r="227" ht="15.75" customHeight="1" s="297">
      <c r="A227" s="178" t="inlineStr">
        <is>
          <t>Talhão:</t>
        </is>
      </c>
      <c r="B227" s="170">
        <f>'ÁREA PLANTIO'!B3</f>
        <v/>
      </c>
      <c r="C227" s="171" t="inlineStr">
        <is>
          <t>Custo estimado R$/há</t>
        </is>
      </c>
      <c r="D227" s="172">
        <f>$K$452</f>
        <v/>
      </c>
      <c r="E227" s="173" t="n"/>
      <c r="F227" s="174" t="inlineStr">
        <is>
          <t>ÁREA PLANTIO</t>
        </is>
      </c>
      <c r="G227" s="175" t="n"/>
      <c r="H227" s="243">
        <f t="array" ref="H227">IFERROR(INDEX('PORTIFÓLIO'!$H$4:$H$433,MATCH($C227,'PORTIFÓLIO'!$C$4:$C$433,0)),"")</f>
        <v/>
      </c>
      <c r="I227" s="176" t="n"/>
      <c r="J227" s="176" t="n"/>
      <c r="K227" s="175" t="n"/>
      <c r="L227" s="177" t="n"/>
      <c r="M227" s="177" t="n"/>
      <c r="N227" s="177" t="n"/>
      <c r="O227" s="177" t="n"/>
      <c r="P227" s="177" t="n"/>
      <c r="Q227" s="177" t="n"/>
      <c r="R227" s="177" t="n"/>
      <c r="S227" s="177" t="n"/>
      <c r="T227" s="177" t="n"/>
      <c r="U227" s="177" t="n"/>
      <c r="V227" s="177" t="n"/>
      <c r="W227" s="177" t="n"/>
    </row>
    <row r="228" ht="15.75" customHeight="1" s="297">
      <c r="A228" s="178" t="inlineStr">
        <is>
          <t>Área:</t>
        </is>
      </c>
      <c r="B228" s="179">
        <f>'ÁREA PLANTIO'!E3</f>
        <v/>
      </c>
      <c r="C228" s="180" t="inlineStr">
        <is>
          <t>Produtividade estimada Sc/há</t>
        </is>
      </c>
      <c r="D228" s="181">
        <f>'ÁREA PLANTIO'!I3</f>
        <v/>
      </c>
      <c r="E228" s="173" t="n"/>
      <c r="F228" s="173" t="n"/>
      <c r="G228" s="175" t="n"/>
      <c r="H228" s="243">
        <f t="array" ref="H228">IFERROR(INDEX('PORTIFÓLIO'!$H$4:$H$433,MATCH($C228,'PORTIFÓLIO'!$C$4:$C$433,0)),"")</f>
        <v/>
      </c>
      <c r="I228" s="176" t="n"/>
      <c r="J228" s="176" t="n"/>
      <c r="K228" s="175" t="n"/>
      <c r="L228" s="177" t="n"/>
      <c r="M228" s="177" t="n"/>
      <c r="N228" s="177" t="n"/>
      <c r="O228" s="177" t="n"/>
      <c r="P228" s="177" t="n"/>
      <c r="Q228" s="177" t="n"/>
      <c r="R228" s="177" t="n"/>
      <c r="S228" s="177" t="n"/>
      <c r="T228" s="177" t="n"/>
      <c r="U228" s="177" t="n"/>
      <c r="V228" s="177" t="n"/>
      <c r="W228" s="177" t="n"/>
    </row>
    <row r="229" ht="15.75" customHeight="1" s="297">
      <c r="A229" s="178" t="inlineStr">
        <is>
          <t>Empreedimento:</t>
        </is>
      </c>
      <c r="B229" s="176">
        <f>'ÁREA PLANTIO'!H3</f>
        <v/>
      </c>
      <c r="C229" s="180" t="inlineStr">
        <is>
          <t>Custo estimado por SC</t>
        </is>
      </c>
      <c r="D229" s="182">
        <f>D227/D228</f>
        <v/>
      </c>
      <c r="E229" s="173" t="n"/>
      <c r="F229" s="173" t="n"/>
      <c r="G229" s="175" t="n"/>
      <c r="H229" s="243">
        <f t="array" ref="H229">IFERROR(INDEX('PORTIFÓLIO'!$H$4:$H$433,MATCH($C229,'PORTIFÓLIO'!$C$4:$C$433,0)),"")</f>
        <v/>
      </c>
      <c r="I229" s="176" t="n"/>
      <c r="J229" s="176" t="n"/>
      <c r="K229" s="175" t="n"/>
      <c r="L229" s="177" t="n"/>
      <c r="M229" s="177" t="n"/>
      <c r="N229" s="177" t="n"/>
      <c r="O229" s="177" t="n"/>
      <c r="P229" s="177" t="n"/>
      <c r="Q229" s="177" t="n"/>
      <c r="R229" s="177" t="n"/>
      <c r="S229" s="177" t="n"/>
      <c r="T229" s="177" t="n"/>
      <c r="U229" s="177" t="n"/>
      <c r="V229" s="177" t="n"/>
      <c r="W229" s="177" t="n"/>
    </row>
    <row r="230" ht="15.75" customHeight="1" s="297">
      <c r="A230" s="183" t="inlineStr">
        <is>
          <t>Data de plantio:</t>
        </is>
      </c>
      <c r="B230" s="184" t="n">
        <v>45606</v>
      </c>
      <c r="C230" s="185" t="n"/>
      <c r="D230" s="186" t="n"/>
      <c r="E230" s="187" t="n"/>
      <c r="F230" s="173" t="n"/>
      <c r="G230" s="175" t="n"/>
      <c r="H230" s="243">
        <f t="array" ref="H230">IFERROR(INDEX('PORTIFÓLIO'!$H$4:$H$433,MATCH($C230,'PORTIFÓLIO'!$C$4:$C$433,0)),"")</f>
        <v/>
      </c>
      <c r="I230" s="176" t="n"/>
      <c r="J230" s="176" t="n"/>
      <c r="K230" s="175" t="n"/>
      <c r="L230" s="177" t="n"/>
      <c r="M230" s="177" t="n"/>
      <c r="N230" s="177" t="n"/>
      <c r="O230" s="177" t="n"/>
      <c r="P230" s="177" t="n"/>
      <c r="Q230" s="177" t="n"/>
      <c r="R230" s="177" t="n"/>
      <c r="S230" s="177" t="n"/>
      <c r="T230" s="177" t="n"/>
      <c r="U230" s="177" t="n"/>
      <c r="V230" s="177" t="n"/>
      <c r="W230" s="177" t="n"/>
    </row>
    <row r="231" ht="15.75" customHeight="1" s="297">
      <c r="A231" s="177" t="n"/>
      <c r="B231" s="177" t="n"/>
      <c r="C231" s="177" t="n"/>
      <c r="D231" s="177" t="n"/>
      <c r="E231" s="188" t="n"/>
      <c r="F231" s="173" t="n"/>
      <c r="G231" s="175" t="n"/>
      <c r="H231" s="243">
        <f t="array" ref="H231">IFERROR(INDEX('PORTIFÓLIO'!$H$4:$H$433,MATCH($C231,'PORTIFÓLIO'!$C$4:$C$433,0)),"")</f>
        <v/>
      </c>
      <c r="I231" s="176" t="n"/>
      <c r="J231" s="176" t="n"/>
      <c r="K231" s="175" t="n"/>
      <c r="L231" s="177" t="n"/>
      <c r="M231" s="177" t="n"/>
      <c r="N231" s="177" t="n"/>
      <c r="O231" s="177" t="n"/>
      <c r="P231" s="177" t="n"/>
      <c r="Q231" s="177" t="n"/>
      <c r="R231" s="177" t="n"/>
      <c r="S231" s="177" t="n"/>
      <c r="T231" s="177" t="n"/>
      <c r="U231" s="177" t="n"/>
      <c r="V231" s="177" t="n"/>
      <c r="W231" s="177" t="n"/>
    </row>
    <row r="232" ht="15.75" customHeight="1" s="297">
      <c r="A232" s="178" t="n"/>
      <c r="B232" s="176" t="n"/>
      <c r="C232" s="173" t="n"/>
      <c r="D232" s="173" t="n"/>
      <c r="E232" s="173" t="n"/>
      <c r="F232" s="173" t="n"/>
      <c r="G232" s="175" t="n"/>
      <c r="H232" s="243">
        <f t="array" ref="H232">IFERROR(INDEX('PORTIFÓLIO'!$H$4:$H$433,MATCH($C232,'PORTIFÓLIO'!$C$4:$C$433,0)),"")</f>
        <v/>
      </c>
      <c r="I232" s="176" t="n"/>
      <c r="J232" s="176" t="n"/>
      <c r="K232" s="175" t="n"/>
      <c r="L232" s="177" t="n"/>
      <c r="M232" s="177" t="n"/>
      <c r="N232" s="177" t="n"/>
      <c r="O232" s="177" t="n"/>
      <c r="P232" s="177" t="n"/>
      <c r="Q232" s="177" t="n"/>
      <c r="R232" s="177" t="n"/>
      <c r="S232" s="177" t="n"/>
      <c r="T232" s="177" t="n"/>
      <c r="U232" s="177" t="n"/>
      <c r="V232" s="177" t="n"/>
      <c r="W232" s="177" t="n"/>
    </row>
    <row r="233" ht="15.75" customHeight="1" s="297">
      <c r="A233" s="176" t="n"/>
      <c r="B233" s="176" t="n"/>
      <c r="C233" s="173" t="n"/>
      <c r="D233" s="173" t="n"/>
      <c r="E233" s="173" t="n"/>
      <c r="F233" s="173" t="n"/>
      <c r="G233" s="175" t="n"/>
      <c r="H233" s="243">
        <f t="array" ref="H233">IFERROR(INDEX('PORTIFÓLIO'!$H$4:$H$433,MATCH($C233,'PORTIFÓLIO'!$C$4:$C$433,0)),"")</f>
        <v/>
      </c>
      <c r="I233" s="176" t="n"/>
      <c r="J233" s="176" t="n"/>
      <c r="K233" s="175" t="n"/>
      <c r="L233" s="177" t="n"/>
      <c r="M233" s="177" t="n"/>
      <c r="N233" s="177" t="n"/>
      <c r="O233" s="177" t="n"/>
      <c r="P233" s="177" t="n"/>
      <c r="Q233" s="177" t="n"/>
      <c r="R233" s="177" t="n"/>
      <c r="S233" s="177" t="n"/>
      <c r="T233" s="177" t="n"/>
      <c r="U233" s="177" t="n"/>
      <c r="V233" s="177" t="n"/>
      <c r="W233" s="177" t="n"/>
    </row>
    <row r="234" ht="15.75" customHeight="1" s="297">
      <c r="A234" s="176" t="n"/>
      <c r="B234" s="176" t="n"/>
      <c r="C234" s="176" t="n"/>
      <c r="D234" s="176" t="n"/>
      <c r="E234" s="173" t="n"/>
      <c r="F234" s="173" t="n"/>
      <c r="G234" s="175" t="n"/>
      <c r="H234" s="243">
        <f t="array" ref="H234">IFERROR(INDEX('PORTIFÓLIO'!$H$4:$H$433,MATCH($C234,'PORTIFÓLIO'!$C$4:$C$433,0)),"")</f>
        <v/>
      </c>
      <c r="I234" s="176" t="n"/>
      <c r="J234" s="176" t="n"/>
      <c r="K234" s="175" t="n"/>
      <c r="L234" s="177" t="n"/>
      <c r="M234" s="177" t="n"/>
      <c r="N234" s="177" t="n"/>
      <c r="O234" s="177" t="n"/>
      <c r="P234" s="177" t="n"/>
      <c r="Q234" s="177" t="n"/>
      <c r="R234" s="177" t="n"/>
      <c r="S234" s="177" t="n"/>
      <c r="T234" s="177" t="n"/>
      <c r="U234" s="177" t="n"/>
      <c r="V234" s="177" t="n"/>
      <c r="W234" s="177" t="n"/>
    </row>
    <row r="235" ht="15.75" customHeight="1" s="297">
      <c r="A235" s="176" t="n"/>
      <c r="B235" s="176" t="n"/>
      <c r="C235" s="176" t="n"/>
      <c r="D235" s="176" t="n"/>
      <c r="E235" s="176" t="n"/>
      <c r="F235" s="176" t="n"/>
      <c r="G235" s="175" t="n"/>
      <c r="H235" s="243" t="n"/>
      <c r="I235" s="243" t="n"/>
      <c r="J235" s="245" t="n"/>
      <c r="K235" s="246" t="n"/>
      <c r="L235" s="189" t="n"/>
      <c r="M235" s="177" t="n"/>
      <c r="N235" s="177" t="n"/>
      <c r="O235" s="177" t="n"/>
      <c r="P235" s="177" t="n"/>
      <c r="Q235" s="177" t="n"/>
      <c r="R235" s="177" t="n"/>
      <c r="S235" s="177" t="n"/>
      <c r="T235" s="177" t="n"/>
      <c r="U235" s="177" t="n"/>
      <c r="V235" s="177" t="n"/>
      <c r="W235" s="177" t="n"/>
    </row>
    <row r="236" ht="15.75" customHeight="1" s="297">
      <c r="A236" s="190" t="inlineStr">
        <is>
          <t>DAP da Operação</t>
        </is>
      </c>
      <c r="B236" s="191" t="inlineStr">
        <is>
          <t>Classe</t>
        </is>
      </c>
      <c r="C236" s="191" t="inlineStr">
        <is>
          <t>Produto</t>
        </is>
      </c>
      <c r="D236" s="190" t="inlineStr">
        <is>
          <t>Ingrediente Ativo</t>
        </is>
      </c>
      <c r="E236" s="190" t="inlineStr">
        <is>
          <t>Concentração</t>
        </is>
      </c>
      <c r="F236" s="190" t="inlineStr">
        <is>
          <t>Unidade</t>
        </is>
      </c>
      <c r="G236" s="259" t="inlineStr">
        <is>
          <t>Sugestão</t>
        </is>
      </c>
      <c r="H236" s="192" t="inlineStr">
        <is>
          <t>Bula</t>
        </is>
      </c>
      <c r="I236" s="192" t="inlineStr">
        <is>
          <t>Dose</t>
        </is>
      </c>
      <c r="J236" s="193" t="inlineStr">
        <is>
          <t>Total</t>
        </is>
      </c>
      <c r="K236" s="194" t="inlineStr">
        <is>
          <t>CUSTO/HA</t>
        </is>
      </c>
      <c r="L236" s="195" t="inlineStr">
        <is>
          <t>VALOR TOTAL</t>
        </is>
      </c>
      <c r="M236" s="251" t="inlineStr">
        <is>
          <t>Coluna 3</t>
        </is>
      </c>
      <c r="N236" s="177" t="n"/>
      <c r="O236" s="177" t="n"/>
      <c r="P236" s="177" t="n"/>
      <c r="Q236" s="177" t="n"/>
      <c r="R236" s="177" t="n"/>
      <c r="S236" s="177" t="n"/>
      <c r="T236" s="177" t="n"/>
      <c r="U236" s="177" t="n"/>
      <c r="V236" s="177" t="n"/>
      <c r="W236" s="177" t="n"/>
    </row>
    <row r="237" ht="15.75" customHeight="1" s="297">
      <c r="A237" s="196" t="inlineStr">
        <is>
          <t>OPERAÇÃO 1</t>
        </is>
      </c>
      <c r="B237" s="197" t="n"/>
      <c r="C237" s="196" t="n"/>
      <c r="D237" s="198" t="n"/>
      <c r="E237" s="196" t="n"/>
      <c r="F237" s="196" t="n"/>
      <c r="G237" s="199" t="n"/>
      <c r="H237" s="199" t="n"/>
      <c r="I237" s="252" t="n"/>
      <c r="J237" s="202" t="n"/>
      <c r="K237" s="203">
        <f>SUBTOTAL(9,K238:K251)</f>
        <v/>
      </c>
      <c r="L237" s="203">
        <f>SUBTOTAL(9,L238:L251)</f>
        <v/>
      </c>
      <c r="M237" s="238" t="n"/>
      <c r="N237" s="177" t="n"/>
      <c r="O237" s="177" t="n"/>
      <c r="P237" s="177" t="n"/>
      <c r="Q237" s="177" t="n"/>
      <c r="R237" s="177" t="n"/>
      <c r="S237" s="177" t="n"/>
      <c r="T237" s="177" t="n"/>
      <c r="U237" s="177" t="n"/>
      <c r="V237" s="177" t="n"/>
      <c r="W237" s="177" t="n"/>
    </row>
    <row r="238" outlineLevel="1" ht="15.75" customHeight="1" s="297">
      <c r="A238" s="190" t="n"/>
      <c r="B238" s="204" t="inlineStr">
        <is>
          <t>FERTILIZANTES</t>
        </is>
      </c>
      <c r="C238" s="191" t="inlineStr">
        <is>
          <t>SSP 21</t>
        </is>
      </c>
      <c r="D238" s="205">
        <f>IFERROR(VLOOKUP($C238,'PORTIFÓLIO'!C:V,2,0),"")</f>
        <v/>
      </c>
      <c r="E238" s="190">
        <f>IFERROR(VLOOKUP($C238,'PORTIFÓLIO'!C:V,3,0),"")</f>
        <v/>
      </c>
      <c r="F238" s="190">
        <f>IFERROR(VLOOKUP($C238,'PORTIFÓLIO'!C:V,4,0),"")</f>
        <v/>
      </c>
      <c r="G238" s="206">
        <f>IFERROR(VLOOKUP($C238,'PORTIFÓLIO'!C:V,5,0),"")</f>
        <v/>
      </c>
      <c r="H238" s="247">
        <f t="array" ref="H238">IFERROR(INDEX('PORTIFÓLIO'!$H$4:$H$433,MATCH($C238,'PORTIFÓLIO'!$C$4:$C$433,0)),"")</f>
        <v/>
      </c>
      <c r="I238" s="253" t="n">
        <v>0.2</v>
      </c>
      <c r="J238" s="209">
        <f>I238*$B$2</f>
        <v/>
      </c>
      <c r="K238" s="210">
        <f t="array" ref="K238">IFERROR(I238*INDEX('PORTIFÓLIO'!$S$4:$S$433,MATCH($C238,'PORTIFÓLIO'!$C$4:$C$433,0)),"")</f>
        <v/>
      </c>
      <c r="L238" s="210">
        <f t="array" ref="L238">IFERROR(J238*INDEX('PORTIFÓLIO'!$S$4:$S$433,MATCH($C238,'PORTIFÓLIO'!$C$4:$C$433,0)),"")</f>
        <v/>
      </c>
      <c r="M238" s="238" t="n"/>
      <c r="N238" s="177" t="n"/>
      <c r="O238" s="177" t="n"/>
      <c r="P238" s="177" t="n"/>
      <c r="Q238" s="177" t="n"/>
      <c r="R238" s="177" t="n"/>
      <c r="S238" s="177" t="n"/>
      <c r="T238" s="177" t="n"/>
      <c r="U238" s="177" t="n"/>
      <c r="V238" s="177" t="n"/>
      <c r="W238" s="177" t="n"/>
    </row>
    <row r="239" outlineLevel="1" ht="15.75" customHeight="1" s="297">
      <c r="A239" s="190" t="n"/>
      <c r="B239" s="204" t="inlineStr">
        <is>
          <t>FERTILIZANTES</t>
        </is>
      </c>
      <c r="C239" s="191" t="inlineStr">
        <is>
          <t>KCL 60%</t>
        </is>
      </c>
      <c r="D239" s="205">
        <f>IFERROR(VLOOKUP($C239,'PORTIFÓLIO'!C:V,2,0),"")</f>
        <v/>
      </c>
      <c r="E239" s="190">
        <f>IFERROR(VLOOKUP($C239,'PORTIFÓLIO'!C:V,3,0),"")</f>
        <v/>
      </c>
      <c r="F239" s="190">
        <f>IFERROR(VLOOKUP($C239,'PORTIFÓLIO'!C:V,4,0),"")</f>
        <v/>
      </c>
      <c r="G239" s="206">
        <f>IFERROR(VLOOKUP($C239,'PORTIFÓLIO'!C:V,5,0),"")</f>
        <v/>
      </c>
      <c r="H239" s="247">
        <f t="array" ref="H239">IFERROR(INDEX('PORTIFÓLIO'!$H$4:$H$433,MATCH($C239,'PORTIFÓLIO'!$C$4:$C$433,0)),"")</f>
        <v/>
      </c>
      <c r="I239" s="253" t="n">
        <v>0.2</v>
      </c>
      <c r="J239" s="209">
        <f>I239*$B$2</f>
        <v/>
      </c>
      <c r="K239" s="210">
        <f t="array" ref="K239">IFERROR(I239*INDEX('PORTIFÓLIO'!$S$4:$S$433,MATCH($C239,'PORTIFÓLIO'!$C$4:$C$433,0)),"")</f>
        <v/>
      </c>
      <c r="L239" s="210">
        <f t="array" ref="L239">IFERROR(J239*INDEX('PORTIFÓLIO'!$S$4:$S$433,MATCH($C239,'PORTIFÓLIO'!$C$4:$C$433,0)),"")</f>
        <v/>
      </c>
      <c r="M239" s="238" t="n"/>
      <c r="N239" s="177" t="n"/>
      <c r="O239" s="177" t="n"/>
      <c r="P239" s="177" t="n"/>
      <c r="Q239" s="177" t="n"/>
      <c r="R239" s="177" t="n"/>
      <c r="S239" s="177" t="n"/>
      <c r="T239" s="177" t="n"/>
      <c r="U239" s="177" t="n"/>
      <c r="V239" s="177" t="n"/>
      <c r="W239" s="177" t="n"/>
    </row>
    <row r="240" outlineLevel="1" ht="15.75" customHeight="1" s="297">
      <c r="A240" s="190" t="n"/>
      <c r="B240" s="204" t="inlineStr">
        <is>
          <t>FERTILIZANTES</t>
        </is>
      </c>
      <c r="C240" s="191" t="inlineStr">
        <is>
          <t>SULFATO DE AMÔNIO</t>
        </is>
      </c>
      <c r="D240" s="205">
        <f>IFERROR(VLOOKUP($C240,'PORTIFÓLIO'!C:V,2,0),"")</f>
        <v/>
      </c>
      <c r="E240" s="190">
        <f>IFERROR(VLOOKUP($C240,'PORTIFÓLIO'!C:V,3,0),"")</f>
        <v/>
      </c>
      <c r="F240" s="190">
        <f>IFERROR(VLOOKUP($C240,'PORTIFÓLIO'!C:V,4,0),"")</f>
        <v/>
      </c>
      <c r="G240" s="206">
        <f>IFERROR(VLOOKUP($C240,'PORTIFÓLIO'!C:V,5,0),"")</f>
        <v/>
      </c>
      <c r="H240" s="247">
        <f t="array" ref="H240">IFERROR(INDEX('PORTIFÓLIO'!$H$4:$H$433,MATCH($C240,'PORTIFÓLIO'!$C$4:$C$433,0)),"")</f>
        <v/>
      </c>
      <c r="I240" s="253" t="n">
        <v>0.4</v>
      </c>
      <c r="J240" s="209">
        <f>I240*$B$2</f>
        <v/>
      </c>
      <c r="K240" s="210">
        <f t="array" ref="K240">IFERROR(I240*INDEX('PORTIFÓLIO'!$S$4:$S$433,MATCH($C240,'PORTIFÓLIO'!$C$4:$C$433,0)),"")</f>
        <v/>
      </c>
      <c r="L240" s="210">
        <f t="array" ref="L240">IFERROR(J240*INDEX('PORTIFÓLIO'!$S$4:$S$433,MATCH($C240,'PORTIFÓLIO'!$C$4:$C$433,0)),"")</f>
        <v/>
      </c>
      <c r="M240" s="238" t="n"/>
      <c r="N240" s="177" t="n"/>
      <c r="O240" s="177" t="n"/>
      <c r="P240" s="177" t="n"/>
      <c r="Q240" s="177" t="n"/>
      <c r="R240" s="177" t="n"/>
      <c r="S240" s="177" t="n"/>
      <c r="T240" s="177" t="n"/>
      <c r="U240" s="177" t="n"/>
      <c r="V240" s="177" t="n"/>
      <c r="W240" s="177" t="n"/>
    </row>
    <row r="241" outlineLevel="1" ht="15.75" customHeight="1" s="297">
      <c r="A241" s="190" t="n"/>
      <c r="B241" s="204" t="n"/>
      <c r="C241" s="191" t="n"/>
      <c r="D241" s="205">
        <f>IFERROR(VLOOKUP($C241,'PORTIFÓLIO'!C:V,2,0),"")</f>
        <v/>
      </c>
      <c r="E241" s="190">
        <f>IFERROR(VLOOKUP($C241,'PORTIFÓLIO'!C:V,3,0),"")</f>
        <v/>
      </c>
      <c r="F241" s="190">
        <f>IFERROR(VLOOKUP($C241,'PORTIFÓLIO'!C:V,4,0),"")</f>
        <v/>
      </c>
      <c r="G241" s="206">
        <f>IFERROR(VLOOKUP($C241,'PORTIFÓLIO'!C:V,5,0),"")</f>
        <v/>
      </c>
      <c r="H241" s="247">
        <f t="array" ref="H241">IFERROR(INDEX('PORTIFÓLIO'!$H$4:$H$433,MATCH($C241,'PORTIFÓLIO'!$C$4:$C$433,0)),"")</f>
        <v/>
      </c>
      <c r="I241" s="257" t="n"/>
      <c r="J241" s="209">
        <f>I241*$B$2</f>
        <v/>
      </c>
      <c r="K241" s="210">
        <f t="array" ref="K241">IFERROR(I241*INDEX('PORTIFÓLIO'!$S$4:$S$433,MATCH($C241,'PORTIFÓLIO'!$C$4:$C$433,0)),"")</f>
        <v/>
      </c>
      <c r="L241" s="210">
        <f t="array" ref="L241">IFERROR(J241*INDEX('PORTIFÓLIO'!$S$4:$S$433,MATCH($C241,'PORTIFÓLIO'!$C$4:$C$433,0)),"")</f>
        <v/>
      </c>
      <c r="M241" s="238" t="n"/>
      <c r="N241" s="177" t="n"/>
      <c r="O241" s="177" t="n"/>
      <c r="P241" s="177" t="n"/>
      <c r="Q241" s="177" t="n"/>
      <c r="R241" s="177" t="n"/>
      <c r="S241" s="177" t="n"/>
      <c r="T241" s="177" t="n"/>
      <c r="U241" s="177" t="n"/>
      <c r="V241" s="177" t="n"/>
      <c r="W241" s="177" t="n"/>
    </row>
    <row r="242" outlineLevel="1" ht="15.75" customHeight="1" s="297">
      <c r="A242" s="190" t="n"/>
      <c r="B242" s="204" t="n"/>
      <c r="C242" s="191" t="n"/>
      <c r="D242" s="205">
        <f>IFERROR(VLOOKUP($C242,'PORTIFÓLIO'!C:V,2,0),"")</f>
        <v/>
      </c>
      <c r="E242" s="190">
        <f>IFERROR(VLOOKUP($C242,'PORTIFÓLIO'!C:V,3,0),"")</f>
        <v/>
      </c>
      <c r="F242" s="190">
        <f>IFERROR(VLOOKUP($C242,'PORTIFÓLIO'!C:V,4,0),"")</f>
        <v/>
      </c>
      <c r="G242" s="206">
        <f>IFERROR(VLOOKUP($C242,'PORTIFÓLIO'!C:V,5,0),"")</f>
        <v/>
      </c>
      <c r="H242" s="247">
        <f t="array" ref="H242">IFERROR(INDEX('PORTIFÓLIO'!$H$4:$H$433,MATCH($C242,'PORTIFÓLIO'!$C$4:$C$433,0)),"")</f>
        <v/>
      </c>
      <c r="I242" s="253" t="n"/>
      <c r="J242" s="209">
        <f>I242*$B$2</f>
        <v/>
      </c>
      <c r="K242" s="210">
        <f t="array" ref="K242">IFERROR(I242*INDEX('PORTIFÓLIO'!$S$4:$S$433,MATCH($C242,'PORTIFÓLIO'!$C$4:$C$433,0)),"")</f>
        <v/>
      </c>
      <c r="L242" s="210">
        <f t="array" ref="L242">IFERROR(J242*INDEX('PORTIFÓLIO'!$S$4:$S$433,MATCH($C242,'PORTIFÓLIO'!$C$4:$C$433,0)),"")</f>
        <v/>
      </c>
      <c r="M242" s="238" t="n"/>
      <c r="N242" s="177" t="n"/>
      <c r="O242" s="177" t="n"/>
      <c r="P242" s="177" t="n"/>
      <c r="Q242" s="177" t="n"/>
      <c r="R242" s="177" t="n"/>
      <c r="S242" s="177" t="n"/>
      <c r="T242" s="177" t="n"/>
      <c r="U242" s="177" t="n"/>
      <c r="V242" s="177" t="n"/>
      <c r="W242" s="177" t="n"/>
    </row>
    <row r="243" outlineLevel="1" ht="15.75" customHeight="1" s="297">
      <c r="A243" s="190" t="n"/>
      <c r="B243" s="204" t="n"/>
      <c r="C243" s="191" t="n"/>
      <c r="D243" s="205">
        <f>IFERROR(VLOOKUP($C243,'PORTIFÓLIO'!C:V,2,0),"")</f>
        <v/>
      </c>
      <c r="E243" s="190">
        <f>IFERROR(VLOOKUP($C243,'PORTIFÓLIO'!C:V,3,0),"")</f>
        <v/>
      </c>
      <c r="F243" s="190">
        <f>IFERROR(VLOOKUP($C243,'PORTIFÓLIO'!C:V,4,0),"")</f>
        <v/>
      </c>
      <c r="G243" s="206">
        <f>IFERROR(VLOOKUP($C243,'PORTIFÓLIO'!C:V,5,0),"")</f>
        <v/>
      </c>
      <c r="H243" s="247">
        <f t="array" ref="H243">IFERROR(INDEX('PORTIFÓLIO'!$H$4:$H$433,MATCH($C243,'PORTIFÓLIO'!$C$4:$C$433,0)),"")</f>
        <v/>
      </c>
      <c r="I243" s="257" t="n"/>
      <c r="J243" s="209">
        <f>I243*$B$2</f>
        <v/>
      </c>
      <c r="K243" s="210">
        <f t="array" ref="K243">IFERROR(I243*INDEX('PORTIFÓLIO'!$S$4:$S$433,MATCH($C243,'PORTIFÓLIO'!$C$4:$C$433,0)),"")</f>
        <v/>
      </c>
      <c r="L243" s="210">
        <f t="array" ref="L243">IFERROR(J243*INDEX('PORTIFÓLIO'!$S$4:$S$433,MATCH($C243,'PORTIFÓLIO'!$C$4:$C$433,0)),"")</f>
        <v/>
      </c>
      <c r="M243" s="238" t="n"/>
      <c r="N243" s="177" t="n"/>
      <c r="O243" s="177" t="n"/>
      <c r="P243" s="177" t="n"/>
      <c r="Q243" s="177" t="n"/>
      <c r="R243" s="177" t="n"/>
      <c r="S243" s="177" t="n"/>
      <c r="T243" s="177" t="n"/>
      <c r="U243" s="177" t="n"/>
      <c r="V243" s="177" t="n"/>
      <c r="W243" s="177" t="n"/>
    </row>
    <row r="244" outlineLevel="1" ht="15.75" customHeight="1" s="297">
      <c r="A244" s="190" t="n"/>
      <c r="B244" s="204" t="n"/>
      <c r="C244" s="191" t="n"/>
      <c r="D244" s="205">
        <f>IFERROR(VLOOKUP($C244,'PORTIFÓLIO'!C:V,2,0),"")</f>
        <v/>
      </c>
      <c r="E244" s="190">
        <f>IFERROR(VLOOKUP($C244,'PORTIFÓLIO'!C:V,3,0),"")</f>
        <v/>
      </c>
      <c r="F244" s="190">
        <f>IFERROR(VLOOKUP($C244,'PORTIFÓLIO'!C:V,4,0),"")</f>
        <v/>
      </c>
      <c r="G244" s="206">
        <f>IFERROR(VLOOKUP($C244,'PORTIFÓLIO'!C:V,5,0),"")</f>
        <v/>
      </c>
      <c r="H244" s="247">
        <f t="array" ref="H244">IFERROR(INDEX('PORTIFÓLIO'!$H$4:$H$433,MATCH($C244,'PORTIFÓLIO'!$C$4:$C$433,0)),"")</f>
        <v/>
      </c>
      <c r="I244" s="257" t="n"/>
      <c r="J244" s="209">
        <f>I244*$B$2</f>
        <v/>
      </c>
      <c r="K244" s="210">
        <f t="array" ref="K244">IFERROR(I244*INDEX('PORTIFÓLIO'!$S$4:$S$433,MATCH($C244,'PORTIFÓLIO'!$C$4:$C$433,0)),"")</f>
        <v/>
      </c>
      <c r="L244" s="210">
        <f t="array" ref="L244">IFERROR(J244*INDEX('PORTIFÓLIO'!$S$4:$S$433,MATCH($C244,'PORTIFÓLIO'!$C$4:$C$433,0)),"")</f>
        <v/>
      </c>
      <c r="M244" s="238" t="n"/>
      <c r="N244" s="177" t="n"/>
      <c r="O244" s="177" t="n"/>
      <c r="P244" s="177" t="n"/>
      <c r="Q244" s="177" t="n"/>
      <c r="R244" s="177" t="n"/>
      <c r="S244" s="177" t="n"/>
      <c r="T244" s="177" t="n"/>
      <c r="U244" s="177" t="n"/>
      <c r="V244" s="177" t="n"/>
      <c r="W244" s="177" t="n"/>
    </row>
    <row r="245" outlineLevel="1" ht="15.75" customHeight="1" s="297">
      <c r="A245" s="190" t="n"/>
      <c r="B245" s="204" t="n"/>
      <c r="C245" s="191" t="n"/>
      <c r="D245" s="205">
        <f>IFERROR(VLOOKUP($C245,'PORTIFÓLIO'!C:V,2,0),"")</f>
        <v/>
      </c>
      <c r="E245" s="190">
        <f>IFERROR(VLOOKUP($C245,'PORTIFÓLIO'!C:V,3,0),"")</f>
        <v/>
      </c>
      <c r="F245" s="190">
        <f>IFERROR(VLOOKUP($C245,'PORTIFÓLIO'!C:V,4,0),"")</f>
        <v/>
      </c>
      <c r="G245" s="206">
        <f>IFERROR(VLOOKUP($C245,'PORTIFÓLIO'!C:V,5,0),"")</f>
        <v/>
      </c>
      <c r="H245" s="247">
        <f t="array" ref="H245">IFERROR(INDEX('PORTIFÓLIO'!$H$4:$H$433,MATCH($C245,'PORTIFÓLIO'!$C$4:$C$433,0)),"")</f>
        <v/>
      </c>
      <c r="I245" s="257" t="n"/>
      <c r="J245" s="209">
        <f>I245*$B$2</f>
        <v/>
      </c>
      <c r="K245" s="210">
        <f t="array" ref="K245">IFERROR(I245*INDEX('PORTIFÓLIO'!$S$4:$S$433,MATCH($C245,'PORTIFÓLIO'!$C$4:$C$433,0)),"")</f>
        <v/>
      </c>
      <c r="L245" s="210">
        <f t="array" ref="L245">IFERROR(J245*INDEX('PORTIFÓLIO'!$S$4:$S$433,MATCH($C245,'PORTIFÓLIO'!$C$4:$C$433,0)),"")</f>
        <v/>
      </c>
      <c r="M245" s="238" t="n"/>
      <c r="N245" s="177" t="n"/>
      <c r="O245" s="177" t="n"/>
      <c r="P245" s="177" t="n"/>
      <c r="Q245" s="177" t="n"/>
      <c r="R245" s="177" t="n"/>
      <c r="S245" s="177" t="n"/>
      <c r="T245" s="177" t="n"/>
      <c r="U245" s="177" t="n"/>
      <c r="V245" s="177" t="n"/>
      <c r="W245" s="177" t="n"/>
    </row>
    <row r="246" outlineLevel="1" ht="15.75" customHeight="1" s="297">
      <c r="A246" s="190" t="n"/>
      <c r="B246" s="204" t="n"/>
      <c r="C246" s="191" t="n"/>
      <c r="D246" s="205">
        <f>IFERROR(VLOOKUP($C246,'PORTIFÓLIO'!C:V,2,0),"")</f>
        <v/>
      </c>
      <c r="E246" s="190">
        <f>IFERROR(VLOOKUP($C246,'PORTIFÓLIO'!C:V,3,0),"")</f>
        <v/>
      </c>
      <c r="F246" s="190">
        <f>IFERROR(VLOOKUP($C246,'PORTIFÓLIO'!C:V,4,0),"")</f>
        <v/>
      </c>
      <c r="G246" s="206">
        <f>IFERROR(VLOOKUP($C246,'PORTIFÓLIO'!C:V,5,0),"")</f>
        <v/>
      </c>
      <c r="H246" s="247">
        <f t="array" ref="H246">IFERROR(INDEX('PORTIFÓLIO'!$H$4:$H$433,MATCH($C246,'PORTIFÓLIO'!$C$4:$C$433,0)),"")</f>
        <v/>
      </c>
      <c r="I246" s="253" t="n"/>
      <c r="J246" s="209">
        <f>I246*$B$2</f>
        <v/>
      </c>
      <c r="K246" s="210">
        <f t="array" ref="K246">IFERROR(I246*INDEX('PORTIFÓLIO'!$S$4:$S$433,MATCH($C246,'PORTIFÓLIO'!$C$4:$C$433,0)),"")</f>
        <v/>
      </c>
      <c r="L246" s="210">
        <f t="array" ref="L246">IFERROR(J246*INDEX('PORTIFÓLIO'!$S$4:$S$433,MATCH($C246,'PORTIFÓLIO'!$C$4:$C$433,0)),"")</f>
        <v/>
      </c>
      <c r="M246" s="238" t="n"/>
      <c r="N246" s="177" t="n"/>
      <c r="O246" s="177" t="n"/>
      <c r="P246" s="177" t="n"/>
      <c r="Q246" s="177" t="n"/>
      <c r="R246" s="177" t="n"/>
      <c r="S246" s="177" t="n"/>
      <c r="T246" s="177" t="n"/>
      <c r="U246" s="177" t="n"/>
      <c r="V246" s="177" t="n"/>
      <c r="W246" s="177" t="n"/>
    </row>
    <row r="247" outlineLevel="1" ht="15.75" customHeight="1" s="297">
      <c r="A247" s="190" t="n"/>
      <c r="B247" s="204" t="n"/>
      <c r="C247" s="191" t="n"/>
      <c r="D247" s="205">
        <f>IFERROR(VLOOKUP($C247,'PORTIFÓLIO'!C:V,2,0),"")</f>
        <v/>
      </c>
      <c r="E247" s="190">
        <f>IFERROR(VLOOKUP($C247,'PORTIFÓLIO'!C:V,3,0),"")</f>
        <v/>
      </c>
      <c r="F247" s="190">
        <f>IFERROR(VLOOKUP($C247,'PORTIFÓLIO'!C:V,4,0),"")</f>
        <v/>
      </c>
      <c r="G247" s="206">
        <f>IFERROR(VLOOKUP($C247,'PORTIFÓLIO'!C:V,5,0),"")</f>
        <v/>
      </c>
      <c r="H247" s="247">
        <f t="array" ref="H247">IFERROR(INDEX('PORTIFÓLIO'!$H$4:$H$433,MATCH($C247,'PORTIFÓLIO'!$C$4:$C$433,0)),"")</f>
        <v/>
      </c>
      <c r="I247" s="253" t="n"/>
      <c r="J247" s="209">
        <f>I247*$B$2</f>
        <v/>
      </c>
      <c r="K247" s="210">
        <f t="array" ref="K247">IFERROR(I247*INDEX('PORTIFÓLIO'!$S$4:$S$433,MATCH($C247,'PORTIFÓLIO'!$C$4:$C$433,0)),"")</f>
        <v/>
      </c>
      <c r="L247" s="210">
        <f t="array" ref="L247">IFERROR(J247*INDEX('PORTIFÓLIO'!$S$4:$S$433,MATCH($C247,'PORTIFÓLIO'!$C$4:$C$433,0)),"")</f>
        <v/>
      </c>
      <c r="M247" s="238" t="n"/>
      <c r="N247" s="177" t="n"/>
      <c r="O247" s="177" t="n"/>
      <c r="P247" s="177" t="n"/>
      <c r="Q247" s="177" t="n"/>
      <c r="R247" s="177" t="n"/>
      <c r="S247" s="177" t="n"/>
      <c r="T247" s="177" t="n"/>
      <c r="U247" s="177" t="n"/>
      <c r="V247" s="177" t="n"/>
      <c r="W247" s="177" t="n"/>
    </row>
    <row r="248" outlineLevel="1" ht="15.75" customHeight="1" s="297">
      <c r="A248" s="190" t="n"/>
      <c r="B248" s="204" t="n"/>
      <c r="C248" s="191" t="n"/>
      <c r="D248" s="205">
        <f>IFERROR(VLOOKUP($C248,'PORTIFÓLIO'!C:V,2,0),"")</f>
        <v/>
      </c>
      <c r="E248" s="190">
        <f>IFERROR(VLOOKUP($C248,'PORTIFÓLIO'!C:V,3,0),"")</f>
        <v/>
      </c>
      <c r="F248" s="190">
        <f>IFERROR(VLOOKUP($C248,'PORTIFÓLIO'!C:V,4,0),"")</f>
        <v/>
      </c>
      <c r="G248" s="206">
        <f>IFERROR(VLOOKUP($C248,'PORTIFÓLIO'!C:V,5,0),"")</f>
        <v/>
      </c>
      <c r="H248" s="247">
        <f t="array" ref="H248">IFERROR(INDEX('PORTIFÓLIO'!$H$4:$H$433,MATCH($C248,'PORTIFÓLIO'!$C$4:$C$433,0)),"")</f>
        <v/>
      </c>
      <c r="I248" s="253" t="n"/>
      <c r="J248" s="209">
        <f>I248*$B$2</f>
        <v/>
      </c>
      <c r="K248" s="210">
        <f t="array" ref="K248">IFERROR(I248*INDEX('PORTIFÓLIO'!$S$4:$S$433,MATCH($C248,'PORTIFÓLIO'!$C$4:$C$433,0)),"")</f>
        <v/>
      </c>
      <c r="L248" s="210">
        <f t="array" ref="L248">IFERROR(J248*INDEX('PORTIFÓLIO'!$S$4:$S$433,MATCH($C248,'PORTIFÓLIO'!$C$4:$C$433,0)),"")</f>
        <v/>
      </c>
      <c r="M248" s="238" t="n"/>
      <c r="N248" s="177" t="n"/>
      <c r="O248" s="177" t="n"/>
      <c r="P248" s="177" t="n"/>
      <c r="Q248" s="177" t="n"/>
      <c r="R248" s="177" t="n"/>
      <c r="S248" s="177" t="n"/>
      <c r="T248" s="177" t="n"/>
      <c r="U248" s="177" t="n"/>
      <c r="V248" s="177" t="n"/>
      <c r="W248" s="177" t="n"/>
    </row>
    <row r="249" outlineLevel="1" ht="15.75" customHeight="1" s="297">
      <c r="A249" s="190" t="n"/>
      <c r="B249" s="204" t="n"/>
      <c r="C249" s="191" t="n"/>
      <c r="D249" s="205">
        <f>IFERROR(VLOOKUP($C249,'PORTIFÓLIO'!C:V,2,0),"")</f>
        <v/>
      </c>
      <c r="E249" s="190">
        <f>IFERROR(VLOOKUP($C249,'PORTIFÓLIO'!C:V,3,0),"")</f>
        <v/>
      </c>
      <c r="F249" s="190">
        <f>IFERROR(VLOOKUP($C249,'PORTIFÓLIO'!C:V,4,0),"")</f>
        <v/>
      </c>
      <c r="G249" s="206">
        <f>IFERROR(VLOOKUP($C249,'PORTIFÓLIO'!C:V,5,0),"")</f>
        <v/>
      </c>
      <c r="H249" s="247">
        <f t="array" ref="H249">IFERROR(INDEX('PORTIFÓLIO'!$H$4:$H$433,MATCH($C249,'PORTIFÓLIO'!$C$4:$C$433,0)),"")</f>
        <v/>
      </c>
      <c r="I249" s="253" t="n"/>
      <c r="J249" s="209">
        <f>I249*$B$2</f>
        <v/>
      </c>
      <c r="K249" s="210">
        <f t="array" ref="K249">IFERROR(I249*INDEX('PORTIFÓLIO'!$S$4:$S$433,MATCH($C249,'PORTIFÓLIO'!$C$4:$C$433,0)),"")</f>
        <v/>
      </c>
      <c r="L249" s="210">
        <f t="array" ref="L249">IFERROR(J249*INDEX('PORTIFÓLIO'!$S$4:$S$433,MATCH($C249,'PORTIFÓLIO'!$C$4:$C$433,0)),"")</f>
        <v/>
      </c>
      <c r="M249" s="238" t="n"/>
      <c r="N249" s="177" t="n"/>
      <c r="O249" s="177" t="n"/>
      <c r="P249" s="177" t="n"/>
      <c r="Q249" s="177" t="n"/>
      <c r="R249" s="177" t="n"/>
      <c r="S249" s="177" t="n"/>
      <c r="T249" s="177" t="n"/>
      <c r="U249" s="177" t="n"/>
      <c r="V249" s="177" t="n"/>
      <c r="W249" s="177" t="n"/>
    </row>
    <row r="250" outlineLevel="1" ht="15.75" customHeight="1" s="297">
      <c r="A250" s="190" t="n"/>
      <c r="B250" s="204" t="n"/>
      <c r="C250" s="191" t="n"/>
      <c r="D250" s="205">
        <f>IFERROR(VLOOKUP($C250,'PORTIFÓLIO'!C:V,2,0),"")</f>
        <v/>
      </c>
      <c r="E250" s="190">
        <f>IFERROR(VLOOKUP($C250,'PORTIFÓLIO'!C:V,3,0),"")</f>
        <v/>
      </c>
      <c r="F250" s="190">
        <f>IFERROR(VLOOKUP($C250,'PORTIFÓLIO'!C:V,4,0),"")</f>
        <v/>
      </c>
      <c r="G250" s="206">
        <f>IFERROR(VLOOKUP($C250,'PORTIFÓLIO'!C:V,5,0),"")</f>
        <v/>
      </c>
      <c r="H250" s="247">
        <f t="array" ref="H250">IFERROR(INDEX('PORTIFÓLIO'!$H$4:$H$433,MATCH($C250,'PORTIFÓLIO'!$C$4:$C$433,0)),"")</f>
        <v/>
      </c>
      <c r="I250" s="253" t="n"/>
      <c r="J250" s="209">
        <f>I250*$B$2</f>
        <v/>
      </c>
      <c r="K250" s="210">
        <f t="array" ref="K250">IFERROR(I250*INDEX('PORTIFÓLIO'!$S$4:$S$433,MATCH($C250,'PORTIFÓLIO'!$C$4:$C$433,0)),"")</f>
        <v/>
      </c>
      <c r="L250" s="210">
        <f t="array" ref="L250">IFERROR(J250*INDEX('PORTIFÓLIO'!$S$4:$S$433,MATCH($C250,'PORTIFÓLIO'!$C$4:$C$433,0)),"")</f>
        <v/>
      </c>
      <c r="M250" s="238" t="n"/>
      <c r="N250" s="177" t="n"/>
      <c r="O250" s="177" t="n"/>
      <c r="P250" s="177" t="n"/>
      <c r="Q250" s="177" t="n"/>
      <c r="R250" s="177" t="n"/>
      <c r="S250" s="177" t="n"/>
      <c r="T250" s="177" t="n"/>
      <c r="U250" s="177" t="n"/>
      <c r="V250" s="177" t="n"/>
      <c r="W250" s="177" t="n"/>
    </row>
    <row r="251" outlineLevel="1" ht="15.75" customHeight="1" s="297">
      <c r="A251" s="190" t="n"/>
      <c r="B251" s="204" t="n"/>
      <c r="C251" s="191" t="n"/>
      <c r="D251" s="205">
        <f>IFERROR(VLOOKUP($C251,'PORTIFÓLIO'!C:V,2,0),"")</f>
        <v/>
      </c>
      <c r="E251" s="190">
        <f>IFERROR(VLOOKUP($C251,'PORTIFÓLIO'!C:V,3,0),"")</f>
        <v/>
      </c>
      <c r="F251" s="190">
        <f>IFERROR(VLOOKUP($C251,'PORTIFÓLIO'!C:V,4,0),"")</f>
        <v/>
      </c>
      <c r="G251" s="206">
        <f>IFERROR(VLOOKUP($C251,'PORTIFÓLIO'!C:V,5,0),"")</f>
        <v/>
      </c>
      <c r="H251" s="247">
        <f t="array" ref="H251">IFERROR(INDEX('PORTIFÓLIO'!$H$4:$H$433,MATCH($C251,'PORTIFÓLIO'!$C$4:$C$433,0)),"")</f>
        <v/>
      </c>
      <c r="I251" s="253" t="n"/>
      <c r="J251" s="209">
        <f>I251*$B$2</f>
        <v/>
      </c>
      <c r="K251" s="210">
        <f t="array" ref="K251">IFERROR(I251*INDEX('PORTIFÓLIO'!$S$4:$S$433,MATCH($C251,'PORTIFÓLIO'!$C$4:$C$433,0)),"")</f>
        <v/>
      </c>
      <c r="L251" s="210">
        <f t="array" ref="L251">IFERROR(J251*INDEX('PORTIFÓLIO'!$S$4:$S$433,MATCH($C251,'PORTIFÓLIO'!$C$4:$C$433,0)),"")</f>
        <v/>
      </c>
      <c r="M251" s="238" t="n"/>
      <c r="N251" s="177" t="n"/>
      <c r="O251" s="177" t="n"/>
      <c r="P251" s="177" t="n"/>
      <c r="Q251" s="177" t="n"/>
      <c r="R251" s="177" t="n"/>
      <c r="S251" s="177" t="n"/>
      <c r="T251" s="177" t="n"/>
      <c r="U251" s="177" t="n"/>
      <c r="V251" s="177" t="n"/>
      <c r="W251" s="177" t="n"/>
    </row>
    <row r="252" ht="15.75" customHeight="1" s="297">
      <c r="A252" s="221" t="inlineStr">
        <is>
          <t>OPERAÇÃO 2</t>
        </is>
      </c>
      <c r="B252" s="197" t="n"/>
      <c r="C252" s="196" t="n"/>
      <c r="D252" s="198" t="n"/>
      <c r="E252" s="196" t="n"/>
      <c r="F252" s="196" t="n"/>
      <c r="G252" s="199" t="n"/>
      <c r="H252" s="199" t="n"/>
      <c r="I252" s="252" t="n"/>
      <c r="J252" s="202" t="n"/>
      <c r="K252" s="203">
        <f>SUBTOTAL(9,K253:K266)</f>
        <v/>
      </c>
      <c r="L252" s="203">
        <f>SUBTOTAL(9,L253:L266)</f>
        <v/>
      </c>
      <c r="M252" s="238" t="n"/>
      <c r="N252" s="177" t="n"/>
      <c r="O252" s="177" t="n"/>
      <c r="P252" s="177" t="n"/>
      <c r="Q252" s="177" t="n"/>
      <c r="R252" s="177" t="n"/>
      <c r="S252" s="177" t="n"/>
      <c r="T252" s="177" t="n"/>
      <c r="U252" s="177" t="n"/>
      <c r="V252" s="177" t="n"/>
      <c r="W252" s="177" t="n"/>
    </row>
    <row r="253" outlineLevel="1" ht="15.75" customHeight="1" s="297">
      <c r="A253" s="191" t="n"/>
      <c r="B253" s="204" t="inlineStr">
        <is>
          <t>HERBICIDA</t>
        </is>
      </c>
      <c r="C253" s="191" t="inlineStr">
        <is>
          <t>ROUNDUP WG</t>
        </is>
      </c>
      <c r="D253" s="205">
        <f>IFERROR(VLOOKUP($C253,'PORTIFÓLIO'!C:V,2,0),"")</f>
        <v/>
      </c>
      <c r="E253" s="190">
        <f>IFERROR(VLOOKUP($C253,'PORTIFÓLIO'!C:V,3,0),"")</f>
        <v/>
      </c>
      <c r="F253" s="190">
        <f>IFERROR(VLOOKUP($C253,'PORTIFÓLIO'!C:V,4,0),"")</f>
        <v/>
      </c>
      <c r="G253" s="223">
        <f>IFERROR(VLOOKUP($C253,'PORTIFÓLIO'!C:V,5,0),"")</f>
        <v/>
      </c>
      <c r="H253" s="247">
        <f t="array" ref="H253">IFERROR(INDEX('PORTIFÓLIO'!$H$4:$H$433,MATCH($C253,'PORTIFÓLIO'!$C$4:$C$433,0)),"")</f>
        <v/>
      </c>
      <c r="I253" s="253" t="n">
        <v>2</v>
      </c>
      <c r="J253" s="209">
        <f>I253*$B$2</f>
        <v/>
      </c>
      <c r="K253" s="248">
        <f t="array" ref="K253">IFERROR(I253*INDEX('PORTIFÓLIO'!$S$4:$S$433,MATCH($C253,'PORTIFÓLIO'!$C$4:$C$433,0)),"")</f>
        <v/>
      </c>
      <c r="L253" s="248">
        <f t="array" ref="L253">IFERROR(J253*INDEX('PORTIFÓLIO'!$S$4:$S$433,MATCH($C253,'PORTIFÓLIO'!$C$4:$C$433,0)),"")</f>
        <v/>
      </c>
      <c r="M253" s="238" t="n"/>
      <c r="N253" s="177" t="n"/>
      <c r="O253" s="177" t="n"/>
      <c r="P253" s="177" t="n"/>
      <c r="Q253" s="177" t="n"/>
      <c r="R253" s="177" t="n"/>
      <c r="S253" s="177" t="n"/>
      <c r="T253" s="177" t="n"/>
      <c r="U253" s="177" t="n"/>
      <c r="V253" s="177" t="n"/>
      <c r="W253" s="177" t="n"/>
    </row>
    <row r="254" outlineLevel="1" ht="15.75" customHeight="1" s="297">
      <c r="A254" s="190" t="n"/>
      <c r="B254" s="204" t="inlineStr">
        <is>
          <t>HERBICIDA</t>
        </is>
      </c>
      <c r="C254" s="191" t="inlineStr">
        <is>
          <t>GLUFOS-WYN 880</t>
        </is>
      </c>
      <c r="D254" s="205">
        <f>IFERROR(VLOOKUP($C254,'PORTIFÓLIO'!C:V,2,0),"")</f>
        <v/>
      </c>
      <c r="E254" s="190">
        <f>IFERROR(VLOOKUP($C254,'PORTIFÓLIO'!C:V,3,0),"")</f>
        <v/>
      </c>
      <c r="F254" s="190">
        <f>IFERROR(VLOOKUP($C254,'PORTIFÓLIO'!C:V,4,0),"")</f>
        <v/>
      </c>
      <c r="G254" s="223">
        <f>IFERROR(VLOOKUP($C254,'PORTIFÓLIO'!C:V,5,0),"")</f>
        <v/>
      </c>
      <c r="H254" s="247">
        <f t="array" ref="H254">IFERROR(INDEX('PORTIFÓLIO'!$H$4:$H$433,MATCH($C254,'PORTIFÓLIO'!$C$4:$C$433,0)),"")</f>
        <v/>
      </c>
      <c r="I254" s="253" t="n">
        <v>0.6</v>
      </c>
      <c r="J254" s="209">
        <f>I254*$B$2</f>
        <v/>
      </c>
      <c r="K254" s="248">
        <f t="array" ref="K254">IFERROR(I254*INDEX('PORTIFÓLIO'!$S$4:$S$433,MATCH($C254,'PORTIFÓLIO'!$C$4:$C$433,0)),"")</f>
        <v/>
      </c>
      <c r="L254" s="248">
        <f t="array" ref="L254">IFERROR(J254*INDEX('PORTIFÓLIO'!$S$4:$S$433,MATCH($C254,'PORTIFÓLIO'!$C$4:$C$433,0)),"")</f>
        <v/>
      </c>
      <c r="M254" s="238" t="n"/>
      <c r="N254" s="177" t="n"/>
      <c r="O254" s="177" t="n"/>
      <c r="P254" s="177" t="n"/>
      <c r="Q254" s="177" t="n"/>
      <c r="R254" s="177" t="n"/>
      <c r="S254" s="177" t="n"/>
      <c r="T254" s="177" t="n"/>
      <c r="U254" s="177" t="n"/>
      <c r="V254" s="177" t="n"/>
      <c r="W254" s="177" t="n"/>
    </row>
    <row r="255" outlineLevel="1" ht="15.75" customHeight="1" s="297">
      <c r="A255" s="190" t="n"/>
      <c r="B255" s="204" t="inlineStr">
        <is>
          <t>ADJUVANTE</t>
        </is>
      </c>
      <c r="C255" s="191" t="inlineStr">
        <is>
          <t>JOINT ULTRA</t>
        </is>
      </c>
      <c r="D255" s="205">
        <f>IFERROR(VLOOKUP($C255,'PORTIFÓLIO'!C:V,2,0),"")</f>
        <v/>
      </c>
      <c r="E255" s="190">
        <f>IFERROR(VLOOKUP($C255,'PORTIFÓLIO'!C:V,3,0),"")</f>
        <v/>
      </c>
      <c r="F255" s="190">
        <f>IFERROR(VLOOKUP($C255,'PORTIFÓLIO'!C:V,4,0),"")</f>
        <v/>
      </c>
      <c r="G255" s="223">
        <f>IFERROR(VLOOKUP($C255,'PORTIFÓLIO'!C:V,5,0),"")</f>
        <v/>
      </c>
      <c r="H255" s="247">
        <f t="array" ref="H255">IFERROR(INDEX('PORTIFÓLIO'!$H$4:$H$433,MATCH($C255,'PORTIFÓLIO'!$C$4:$C$433,0)),"")</f>
        <v/>
      </c>
      <c r="I255" s="253" t="n">
        <v>0.2</v>
      </c>
      <c r="J255" s="209">
        <f>I255*$B$2</f>
        <v/>
      </c>
      <c r="K255" s="248">
        <f t="array" ref="K255">IFERROR(I255*INDEX('PORTIFÓLIO'!$S$4:$S$433,MATCH($C255,'PORTIFÓLIO'!$C$4:$C$433,0)),"")</f>
        <v/>
      </c>
      <c r="L255" s="248">
        <f t="array" ref="L255">IFERROR(J255*INDEX('PORTIFÓLIO'!$S$4:$S$433,MATCH($C255,'PORTIFÓLIO'!$C$4:$C$433,0)),"")</f>
        <v/>
      </c>
      <c r="M255" s="238" t="n"/>
      <c r="N255" s="177" t="n"/>
      <c r="O255" s="177" t="n"/>
      <c r="P255" s="177" t="n"/>
      <c r="Q255" s="177" t="n"/>
      <c r="R255" s="177" t="n"/>
      <c r="S255" s="177" t="n"/>
      <c r="T255" s="177" t="n"/>
      <c r="U255" s="177" t="n"/>
      <c r="V255" s="177" t="n"/>
      <c r="W255" s="177" t="n"/>
    </row>
    <row r="256" outlineLevel="1" ht="15.75" customHeight="1" s="297">
      <c r="A256" s="190" t="n"/>
      <c r="B256" s="204" t="inlineStr">
        <is>
          <t>HERBICIDA</t>
        </is>
      </c>
      <c r="C256" s="191" t="inlineStr">
        <is>
          <t>DUAL GOLD</t>
        </is>
      </c>
      <c r="D256" s="205">
        <f>IFERROR(VLOOKUP($C256,'PORTIFÓLIO'!C:V,2,0),"")</f>
        <v/>
      </c>
      <c r="E256" s="190">
        <f>IFERROR(VLOOKUP($C256,'PORTIFÓLIO'!C:V,3,0),"")</f>
        <v/>
      </c>
      <c r="F256" s="190">
        <f>IFERROR(VLOOKUP($C256,'PORTIFÓLIO'!C:V,4,0),"")</f>
        <v/>
      </c>
      <c r="G256" s="223">
        <f>IFERROR(VLOOKUP($C256,'PORTIFÓLIO'!C:V,5,0),"")</f>
        <v/>
      </c>
      <c r="H256" s="247">
        <f t="array" ref="H256">IFERROR(INDEX('PORTIFÓLIO'!$H$4:$H$433,MATCH($C256,'PORTIFÓLIO'!$C$4:$C$433,0)),"")</f>
        <v/>
      </c>
      <c r="I256" s="253" t="n">
        <v>1.2</v>
      </c>
      <c r="J256" s="209">
        <f>I256*$B$2</f>
        <v/>
      </c>
      <c r="K256" s="248">
        <f t="array" ref="K256">IFERROR(I256*INDEX('PORTIFÓLIO'!$S$4:$S$433,MATCH($C256,'PORTIFÓLIO'!$C$4:$C$433,0)),"")</f>
        <v/>
      </c>
      <c r="L256" s="248">
        <f t="array" ref="L256">IFERROR(J256*INDEX('PORTIFÓLIO'!$S$4:$S$433,MATCH($C256,'PORTIFÓLIO'!$C$4:$C$433,0)),"")</f>
        <v/>
      </c>
      <c r="M256" s="238" t="n"/>
      <c r="N256" s="177" t="n"/>
      <c r="O256" s="177" t="n"/>
      <c r="P256" s="177" t="n"/>
      <c r="Q256" s="177" t="n"/>
      <c r="R256" s="177" t="n"/>
      <c r="S256" s="177" t="n"/>
      <c r="T256" s="177" t="n"/>
      <c r="U256" s="177" t="n"/>
      <c r="V256" s="177" t="n"/>
      <c r="W256" s="177" t="n"/>
    </row>
    <row r="257" outlineLevel="1" ht="15.75" customHeight="1" s="297">
      <c r="A257" s="190" t="n"/>
      <c r="B257" s="204" t="n"/>
      <c r="C257" s="191" t="n"/>
      <c r="D257" s="205">
        <f>IFERROR(VLOOKUP($C257,'PORTIFÓLIO'!C:V,2,0),"")</f>
        <v/>
      </c>
      <c r="E257" s="190">
        <f>IFERROR(VLOOKUP($C257,'PORTIFÓLIO'!C:V,3,0),"")</f>
        <v/>
      </c>
      <c r="F257" s="190">
        <f>IFERROR(VLOOKUP($C257,'PORTIFÓLIO'!C:V,4,0),"")</f>
        <v/>
      </c>
      <c r="G257" s="206">
        <f>IFERROR(VLOOKUP($C257,'PORTIFÓLIO'!C:V,5,0),"")</f>
        <v/>
      </c>
      <c r="H257" s="247">
        <f t="array" ref="H257">IFERROR(INDEX('PORTIFÓLIO'!$H$4:$H$433,MATCH($C257,'PORTIFÓLIO'!$C$4:$C$433,0)),"")</f>
        <v/>
      </c>
      <c r="I257" s="257" t="n"/>
      <c r="J257" s="209">
        <f>I257*$B$2</f>
        <v/>
      </c>
      <c r="K257" s="248">
        <f t="array" ref="K257">IFERROR(I257*INDEX('PORTIFÓLIO'!$S$4:$S$433,MATCH($C257,'PORTIFÓLIO'!$C$4:$C$433,0)),"")</f>
        <v/>
      </c>
      <c r="L257" s="248">
        <f t="array" ref="L257">IFERROR(J257*INDEX('PORTIFÓLIO'!$S$4:$S$433,MATCH($C257,'PORTIFÓLIO'!$C$4:$C$433,0)),"")</f>
        <v/>
      </c>
      <c r="M257" s="238" t="n"/>
      <c r="N257" s="177" t="n"/>
      <c r="O257" s="177" t="n"/>
      <c r="P257" s="177" t="n"/>
      <c r="Q257" s="177" t="n"/>
      <c r="R257" s="177" t="n"/>
      <c r="S257" s="177" t="n"/>
      <c r="T257" s="177" t="n"/>
      <c r="U257" s="177" t="n"/>
      <c r="V257" s="177" t="n"/>
      <c r="W257" s="177" t="n"/>
    </row>
    <row r="258" outlineLevel="1" ht="15.75" customHeight="1" s="297">
      <c r="A258" s="190" t="n"/>
      <c r="B258" s="204" t="n"/>
      <c r="C258" s="191" t="n"/>
      <c r="D258" s="205">
        <f>IFERROR(VLOOKUP($C258,'PORTIFÓLIO'!C:V,2,0),"")</f>
        <v/>
      </c>
      <c r="E258" s="190">
        <f>IFERROR(VLOOKUP($C258,'PORTIFÓLIO'!C:V,3,0),"")</f>
        <v/>
      </c>
      <c r="F258" s="190">
        <f>IFERROR(VLOOKUP($C258,'PORTIFÓLIO'!C:V,4,0),"")</f>
        <v/>
      </c>
      <c r="G258" s="206">
        <f>IFERROR(VLOOKUP($C258,'PORTIFÓLIO'!C:V,5,0),"")</f>
        <v/>
      </c>
      <c r="H258" s="247">
        <f t="array" ref="H258">IFERROR(INDEX('PORTIFÓLIO'!$H$4:$H$433,MATCH($C258,'PORTIFÓLIO'!$C$4:$C$433,0)),"")</f>
        <v/>
      </c>
      <c r="I258" s="257" t="n"/>
      <c r="J258" s="209">
        <f>I258*$B$2</f>
        <v/>
      </c>
      <c r="K258" s="248">
        <f t="array" ref="K258">IFERROR(I258*INDEX('PORTIFÓLIO'!$S$4:$S$433,MATCH($C258,'PORTIFÓLIO'!$C$4:$C$433,0)),"")</f>
        <v/>
      </c>
      <c r="L258" s="248">
        <f t="array" ref="L258">IFERROR(J258*INDEX('PORTIFÓLIO'!$S$4:$S$433,MATCH($C258,'PORTIFÓLIO'!$C$4:$C$433,0)),"")</f>
        <v/>
      </c>
      <c r="M258" s="238" t="n"/>
      <c r="N258" s="177" t="n"/>
      <c r="O258" s="177" t="n"/>
      <c r="P258" s="177" t="n"/>
      <c r="Q258" s="177" t="n"/>
      <c r="R258" s="177" t="n"/>
      <c r="S258" s="177" t="n"/>
      <c r="T258" s="177" t="n"/>
      <c r="U258" s="177" t="n"/>
      <c r="V258" s="177" t="n"/>
      <c r="W258" s="177" t="n"/>
    </row>
    <row r="259" outlineLevel="1" ht="15.75" customHeight="1" s="297">
      <c r="A259" s="190" t="n"/>
      <c r="B259" s="204" t="n"/>
      <c r="C259" s="191" t="n"/>
      <c r="D259" s="205">
        <f>IFERROR(VLOOKUP($C259,'PORTIFÓLIO'!C:V,2,0),"")</f>
        <v/>
      </c>
      <c r="E259" s="190">
        <f>IFERROR(VLOOKUP($C259,'PORTIFÓLIO'!C:V,3,0),"")</f>
        <v/>
      </c>
      <c r="F259" s="190">
        <f>IFERROR(VLOOKUP($C259,'PORTIFÓLIO'!C:V,4,0),"")</f>
        <v/>
      </c>
      <c r="G259" s="206">
        <f>IFERROR(VLOOKUP($C259,'PORTIFÓLIO'!C:V,5,0),"")</f>
        <v/>
      </c>
      <c r="H259" s="247">
        <f t="array" ref="H259">IFERROR(INDEX('PORTIFÓLIO'!$H$4:$H$433,MATCH($C259,'PORTIFÓLIO'!$C$4:$C$433,0)),"")</f>
        <v/>
      </c>
      <c r="I259" s="257" t="n"/>
      <c r="J259" s="209">
        <f>I259*$B$2</f>
        <v/>
      </c>
      <c r="K259" s="248">
        <f t="array" ref="K259">IFERROR(I259*INDEX('PORTIFÓLIO'!$S$4:$S$433,MATCH($C259,'PORTIFÓLIO'!$C$4:$C$433,0)),"")</f>
        <v/>
      </c>
      <c r="L259" s="248">
        <f t="array" ref="L259">IFERROR(J259*INDEX('PORTIFÓLIO'!$S$4:$S$433,MATCH($C259,'PORTIFÓLIO'!$C$4:$C$433,0)),"")</f>
        <v/>
      </c>
      <c r="M259" s="238" t="n"/>
      <c r="N259" s="177" t="n"/>
      <c r="O259" s="177" t="n"/>
      <c r="P259" s="177" t="n"/>
      <c r="Q259" s="177" t="n"/>
      <c r="R259" s="177" t="n"/>
      <c r="S259" s="177" t="n"/>
      <c r="T259" s="177" t="n"/>
      <c r="U259" s="177" t="n"/>
      <c r="V259" s="177" t="n"/>
      <c r="W259" s="177" t="n"/>
    </row>
    <row r="260" outlineLevel="1" ht="15.75" customHeight="1" s="297">
      <c r="A260" s="190" t="n"/>
      <c r="B260" s="204" t="n"/>
      <c r="C260" s="191" t="n"/>
      <c r="D260" s="205">
        <f>IFERROR(VLOOKUP($C260,'PORTIFÓLIO'!C:V,2,0),"")</f>
        <v/>
      </c>
      <c r="E260" s="190">
        <f>IFERROR(VLOOKUP($C260,'PORTIFÓLIO'!C:V,3,0),"")</f>
        <v/>
      </c>
      <c r="F260" s="190">
        <f>IFERROR(VLOOKUP($C260,'PORTIFÓLIO'!C:V,4,0),"")</f>
        <v/>
      </c>
      <c r="G260" s="206">
        <f>IFERROR(VLOOKUP($C260,'PORTIFÓLIO'!C:V,5,0),"")</f>
        <v/>
      </c>
      <c r="H260" s="247">
        <f t="array" ref="H260">IFERROR(INDEX('PORTIFÓLIO'!$H$4:$H$433,MATCH($C260,'PORTIFÓLIO'!$C$4:$C$433,0)),"")</f>
        <v/>
      </c>
      <c r="I260" s="257" t="n"/>
      <c r="J260" s="209">
        <f>I260*$B$2</f>
        <v/>
      </c>
      <c r="K260" s="248">
        <f t="array" ref="K260">IFERROR(I260*INDEX('PORTIFÓLIO'!$S$4:$S$433,MATCH($C260,'PORTIFÓLIO'!$C$4:$C$433,0)),"")</f>
        <v/>
      </c>
      <c r="L260" s="248">
        <f t="array" ref="L260">IFERROR(J260*INDEX('PORTIFÓLIO'!$S$4:$S$433,MATCH($C260,'PORTIFÓLIO'!$C$4:$C$433,0)),"")</f>
        <v/>
      </c>
      <c r="M260" s="238" t="n"/>
      <c r="N260" s="177" t="n"/>
      <c r="O260" s="177" t="n"/>
      <c r="P260" s="177" t="n"/>
      <c r="Q260" s="177" t="n"/>
      <c r="R260" s="177" t="n"/>
      <c r="S260" s="177" t="n"/>
      <c r="T260" s="177" t="n"/>
      <c r="U260" s="177" t="n"/>
      <c r="V260" s="177" t="n"/>
      <c r="W260" s="177" t="n"/>
    </row>
    <row r="261" outlineLevel="1" ht="15.75" customHeight="1" s="297">
      <c r="A261" s="190" t="n"/>
      <c r="B261" s="204" t="n"/>
      <c r="C261" s="191" t="n"/>
      <c r="D261" s="205">
        <f>IFERROR(VLOOKUP($C261,'PORTIFÓLIO'!C:V,2,0),"")</f>
        <v/>
      </c>
      <c r="E261" s="190">
        <f>IFERROR(VLOOKUP($C261,'PORTIFÓLIO'!C:V,3,0),"")</f>
        <v/>
      </c>
      <c r="F261" s="190">
        <f>IFERROR(VLOOKUP($C261,'PORTIFÓLIO'!C:V,4,0),"")</f>
        <v/>
      </c>
      <c r="G261" s="206">
        <f>IFERROR(VLOOKUP($C261,'PORTIFÓLIO'!C:V,5,0),"")</f>
        <v/>
      </c>
      <c r="H261" s="247">
        <f t="array" ref="H261">IFERROR(INDEX('PORTIFÓLIO'!$H$4:$H$433,MATCH($C261,'PORTIFÓLIO'!$C$4:$C$433,0)),"")</f>
        <v/>
      </c>
      <c r="I261" s="253" t="n"/>
      <c r="J261" s="209">
        <f>I261*$B$2</f>
        <v/>
      </c>
      <c r="K261" s="248">
        <f t="array" ref="K261">IFERROR(I261*INDEX('PORTIFÓLIO'!$S$4:$S$433,MATCH($C261,'PORTIFÓLIO'!$C$4:$C$433,0)),"")</f>
        <v/>
      </c>
      <c r="L261" s="248">
        <f t="array" ref="L261">IFERROR(J261*INDEX('PORTIFÓLIO'!$S$4:$S$433,MATCH($C261,'PORTIFÓLIO'!$C$4:$C$433,0)),"")</f>
        <v/>
      </c>
      <c r="M261" s="238" t="n"/>
      <c r="N261" s="177" t="n"/>
      <c r="O261" s="177" t="n"/>
      <c r="P261" s="177" t="n"/>
      <c r="Q261" s="177" t="n"/>
      <c r="R261" s="177" t="n"/>
      <c r="S261" s="177" t="n"/>
      <c r="T261" s="177" t="n"/>
      <c r="U261" s="177" t="n"/>
      <c r="V261" s="177" t="n"/>
      <c r="W261" s="177" t="n"/>
    </row>
    <row r="262" outlineLevel="1" ht="15.75" customHeight="1" s="297">
      <c r="A262" s="190" t="n"/>
      <c r="B262" s="204" t="n"/>
      <c r="C262" s="191" t="n"/>
      <c r="D262" s="205">
        <f>IFERROR(VLOOKUP($C262,'PORTIFÓLIO'!C:V,2,0),"")</f>
        <v/>
      </c>
      <c r="E262" s="190">
        <f>IFERROR(VLOOKUP($C262,'PORTIFÓLIO'!C:V,3,0),"")</f>
        <v/>
      </c>
      <c r="F262" s="190">
        <f>IFERROR(VLOOKUP($C262,'PORTIFÓLIO'!C:V,4,0),"")</f>
        <v/>
      </c>
      <c r="G262" s="206">
        <f>IFERROR(VLOOKUP($C262,'PORTIFÓLIO'!C:V,5,0),"")</f>
        <v/>
      </c>
      <c r="H262" s="247">
        <f t="array" ref="H262">IFERROR(INDEX('PORTIFÓLIO'!$H$4:$H$433,MATCH($C262,'PORTIFÓLIO'!$C$4:$C$433,0)),"")</f>
        <v/>
      </c>
      <c r="I262" s="257" t="n"/>
      <c r="J262" s="209">
        <f>I262*$B$2</f>
        <v/>
      </c>
      <c r="K262" s="248">
        <f t="array" ref="K262">IFERROR(I262*INDEX('PORTIFÓLIO'!$S$4:$S$433,MATCH($C262,'PORTIFÓLIO'!$C$4:$C$433,0)),"")</f>
        <v/>
      </c>
      <c r="L262" s="248">
        <f t="array" ref="L262">IFERROR(J262*INDEX('PORTIFÓLIO'!$S$4:$S$433,MATCH($C262,'PORTIFÓLIO'!$C$4:$C$433,0)),"")</f>
        <v/>
      </c>
      <c r="M262" s="238" t="n"/>
      <c r="N262" s="177" t="n"/>
      <c r="O262" s="177" t="n"/>
      <c r="P262" s="177" t="n"/>
      <c r="Q262" s="177" t="n"/>
      <c r="R262" s="177" t="n"/>
      <c r="S262" s="177" t="n"/>
      <c r="T262" s="177" t="n"/>
      <c r="U262" s="177" t="n"/>
      <c r="V262" s="177" t="n"/>
      <c r="W262" s="177" t="n"/>
    </row>
    <row r="263" outlineLevel="1" ht="15.75" customHeight="1" s="297">
      <c r="A263" s="190" t="n"/>
      <c r="B263" s="204" t="n"/>
      <c r="C263" s="191" t="n"/>
      <c r="D263" s="205">
        <f>IFERROR(VLOOKUP($C263,'PORTIFÓLIO'!C:V,2,0),"")</f>
        <v/>
      </c>
      <c r="E263" s="190">
        <f>IFERROR(VLOOKUP($C263,'PORTIFÓLIO'!C:V,3,0),"")</f>
        <v/>
      </c>
      <c r="F263" s="190">
        <f>IFERROR(VLOOKUP($C263,'PORTIFÓLIO'!C:V,4,0),"")</f>
        <v/>
      </c>
      <c r="G263" s="206">
        <f>IFERROR(VLOOKUP($C263,'PORTIFÓLIO'!C:V,5,0),"")</f>
        <v/>
      </c>
      <c r="H263" s="247">
        <f t="array" ref="H263">IFERROR(INDEX('PORTIFÓLIO'!$H$4:$H$433,MATCH($C263,'PORTIFÓLIO'!$C$4:$C$433,0)),"")</f>
        <v/>
      </c>
      <c r="I263" s="257" t="n"/>
      <c r="J263" s="209">
        <f>I263*$B$2</f>
        <v/>
      </c>
      <c r="K263" s="248">
        <f t="array" ref="K263">IFERROR(I263*INDEX('PORTIFÓLIO'!$S$4:$S$433,MATCH($C263,'PORTIFÓLIO'!$C$4:$C$433,0)),"")</f>
        <v/>
      </c>
      <c r="L263" s="248">
        <f t="array" ref="L263">IFERROR(J263*INDEX('PORTIFÓLIO'!$S$4:$S$433,MATCH($C263,'PORTIFÓLIO'!$C$4:$C$433,0)),"")</f>
        <v/>
      </c>
      <c r="M263" s="238" t="n"/>
      <c r="N263" s="177" t="n"/>
      <c r="O263" s="177" t="n"/>
      <c r="P263" s="177" t="n"/>
      <c r="Q263" s="177" t="n"/>
      <c r="R263" s="177" t="n"/>
      <c r="S263" s="177" t="n"/>
      <c r="T263" s="177" t="n"/>
      <c r="U263" s="177" t="n"/>
      <c r="V263" s="177" t="n"/>
      <c r="W263" s="177" t="n"/>
    </row>
    <row r="264" outlineLevel="1" ht="15.75" customHeight="1" s="297">
      <c r="A264" s="190" t="n"/>
      <c r="B264" s="204" t="n"/>
      <c r="C264" s="191" t="n"/>
      <c r="D264" s="205">
        <f>IFERROR(VLOOKUP($C264,'PORTIFÓLIO'!C:V,2,0),"")</f>
        <v/>
      </c>
      <c r="E264" s="190">
        <f>IFERROR(VLOOKUP($C264,'PORTIFÓLIO'!C:V,3,0),"")</f>
        <v/>
      </c>
      <c r="F264" s="190">
        <f>IFERROR(VLOOKUP($C264,'PORTIFÓLIO'!C:V,4,0),"")</f>
        <v/>
      </c>
      <c r="G264" s="206">
        <f>IFERROR(VLOOKUP($C264,'PORTIFÓLIO'!C:V,5,0),"")</f>
        <v/>
      </c>
      <c r="H264" s="247">
        <f t="array" ref="H264">IFERROR(INDEX('PORTIFÓLIO'!$H$4:$H$433,MATCH($C264,'PORTIFÓLIO'!$C$4:$C$433,0)),"")</f>
        <v/>
      </c>
      <c r="I264" s="257" t="n"/>
      <c r="J264" s="209">
        <f>I264*$B$2</f>
        <v/>
      </c>
      <c r="K264" s="248">
        <f t="array" ref="K264">IFERROR(I264*INDEX('PORTIFÓLIO'!$S$4:$S$433,MATCH($C264,'PORTIFÓLIO'!$C$4:$C$433,0)),"")</f>
        <v/>
      </c>
      <c r="L264" s="248">
        <f t="array" ref="L264">IFERROR(J264*INDEX('PORTIFÓLIO'!$S$4:$S$433,MATCH($C264,'PORTIFÓLIO'!$C$4:$C$433,0)),"")</f>
        <v/>
      </c>
      <c r="M264" s="238" t="n"/>
      <c r="N264" s="177" t="n"/>
      <c r="O264" s="177" t="n"/>
      <c r="P264" s="177" t="n"/>
      <c r="Q264" s="177" t="n"/>
      <c r="R264" s="177" t="n"/>
      <c r="S264" s="177" t="n"/>
      <c r="T264" s="177" t="n"/>
      <c r="U264" s="177" t="n"/>
      <c r="V264" s="177" t="n"/>
      <c r="W264" s="177" t="n"/>
    </row>
    <row r="265" outlineLevel="1" ht="15.75" customHeight="1" s="297">
      <c r="A265" s="190" t="n"/>
      <c r="B265" s="204" t="n"/>
      <c r="C265" s="191" t="n"/>
      <c r="D265" s="205">
        <f>IFERROR(VLOOKUP($C265,'PORTIFÓLIO'!C:V,2,0),"")</f>
        <v/>
      </c>
      <c r="E265" s="190">
        <f>IFERROR(VLOOKUP($C265,'PORTIFÓLIO'!C:V,3,0),"")</f>
        <v/>
      </c>
      <c r="F265" s="190">
        <f>IFERROR(VLOOKUP($C265,'PORTIFÓLIO'!C:V,4,0),"")</f>
        <v/>
      </c>
      <c r="G265" s="206">
        <f>IFERROR(VLOOKUP($C265,'PORTIFÓLIO'!C:V,5,0),"")</f>
        <v/>
      </c>
      <c r="H265" s="247">
        <f t="array" ref="H265">IFERROR(INDEX('PORTIFÓLIO'!$H$4:$H$433,MATCH($C265,'PORTIFÓLIO'!$C$4:$C$433,0)),"")</f>
        <v/>
      </c>
      <c r="I265" s="257" t="n"/>
      <c r="J265" s="209">
        <f>I265*$B$2</f>
        <v/>
      </c>
      <c r="K265" s="248">
        <f t="array" ref="K265">IFERROR(I265*INDEX('PORTIFÓLIO'!$S$4:$S$433,MATCH($C265,'PORTIFÓLIO'!$C$4:$C$433,0)),"")</f>
        <v/>
      </c>
      <c r="L265" s="248">
        <f t="array" ref="L265">IFERROR(J265*INDEX('PORTIFÓLIO'!$S$4:$S$433,MATCH($C265,'PORTIFÓLIO'!$C$4:$C$433,0)),"")</f>
        <v/>
      </c>
      <c r="M265" s="238" t="n"/>
      <c r="N265" s="177" t="n"/>
      <c r="O265" s="177" t="n"/>
      <c r="P265" s="177" t="n"/>
      <c r="Q265" s="177" t="n"/>
      <c r="R265" s="177" t="n"/>
      <c r="S265" s="177" t="n"/>
      <c r="T265" s="177" t="n"/>
      <c r="U265" s="177" t="n"/>
      <c r="V265" s="177" t="n"/>
      <c r="W265" s="177" t="n"/>
    </row>
    <row r="266" outlineLevel="1" ht="15.75" customHeight="1" s="297">
      <c r="A266" s="190" t="n"/>
      <c r="B266" s="204" t="n"/>
      <c r="C266" s="191" t="n"/>
      <c r="D266" s="205">
        <f>IFERROR(VLOOKUP($C266,'PORTIFÓLIO'!C:V,2,0),"")</f>
        <v/>
      </c>
      <c r="E266" s="190">
        <f>IFERROR(VLOOKUP($C266,'PORTIFÓLIO'!C:V,3,0),"")</f>
        <v/>
      </c>
      <c r="F266" s="190">
        <f>IFERROR(VLOOKUP($C266,'PORTIFÓLIO'!C:V,4,0),"")</f>
        <v/>
      </c>
      <c r="G266" s="206">
        <f>IFERROR(VLOOKUP($C266,'PORTIFÓLIO'!C:V,5,0),"")</f>
        <v/>
      </c>
      <c r="H266" s="247">
        <f t="array" ref="H266">IFERROR(INDEX('PORTIFÓLIO'!$H$4:$H$433,MATCH($C266,'PORTIFÓLIO'!$C$4:$C$433,0)),"")</f>
        <v/>
      </c>
      <c r="I266" s="257" t="n"/>
      <c r="J266" s="209">
        <f>I266*$B$2</f>
        <v/>
      </c>
      <c r="K266" s="248">
        <f t="array" ref="K266">IFERROR(I266*INDEX('PORTIFÓLIO'!$S$4:$S$433,MATCH($C266,'PORTIFÓLIO'!$C$4:$C$433,0)),"")</f>
        <v/>
      </c>
      <c r="L266" s="248">
        <f t="array" ref="L266">IFERROR(J266*INDEX('PORTIFÓLIO'!$S$4:$S$433,MATCH($C266,'PORTIFÓLIO'!$C$4:$C$433,0)),"")</f>
        <v/>
      </c>
      <c r="M266" s="238" t="n"/>
      <c r="N266" s="177" t="n"/>
      <c r="O266" s="177" t="n"/>
      <c r="P266" s="177" t="n"/>
      <c r="Q266" s="177" t="n"/>
      <c r="R266" s="177" t="n"/>
      <c r="S266" s="177" t="n"/>
      <c r="T266" s="177" t="n"/>
      <c r="U266" s="177" t="n"/>
      <c r="V266" s="177" t="n"/>
      <c r="W266" s="177" t="n"/>
    </row>
    <row r="267" outlineLevel="1" ht="15.75" customHeight="1" s="297">
      <c r="A267" s="190" t="n"/>
      <c r="B267" s="204" t="n"/>
      <c r="C267" s="191" t="n"/>
      <c r="D267" s="205">
        <f>IFERROR(VLOOKUP($C267,'PORTIFÓLIO'!C:V,2,0),"")</f>
        <v/>
      </c>
      <c r="E267" s="190">
        <f>IFERROR(VLOOKUP($C267,'PORTIFÓLIO'!C:V,3,0),"")</f>
        <v/>
      </c>
      <c r="F267" s="190">
        <f>IFERROR(VLOOKUP($C267,'PORTIFÓLIO'!C:V,4,0),"")</f>
        <v/>
      </c>
      <c r="G267" s="206">
        <f>IFERROR(VLOOKUP($C267,'PORTIFÓLIO'!C:V,5,0),"")</f>
        <v/>
      </c>
      <c r="H267" s="247">
        <f t="array" ref="H267">IFERROR(INDEX('PORTIFÓLIO'!$H$4:$H$433,MATCH($C267,'PORTIFÓLIO'!$C$4:$C$433,0)),"")</f>
        <v/>
      </c>
      <c r="I267" s="257" t="n"/>
      <c r="J267" s="209">
        <f>I267*$B$2</f>
        <v/>
      </c>
      <c r="K267" s="248">
        <f t="array" ref="K267">IFERROR(I267*INDEX('PORTIFÓLIO'!$S$4:$S$433,MATCH($C267,'PORTIFÓLIO'!$C$4:$C$433,0)),"")</f>
        <v/>
      </c>
      <c r="L267" s="248">
        <f t="array" ref="L267">IFERROR(J267*INDEX('PORTIFÓLIO'!$S$4:$S$433,MATCH($C267,'PORTIFÓLIO'!$C$4:$C$433,0)),"")</f>
        <v/>
      </c>
      <c r="M267" s="238" t="n"/>
      <c r="N267" s="177" t="n"/>
      <c r="O267" s="177" t="n"/>
      <c r="P267" s="177" t="n"/>
      <c r="Q267" s="177" t="n"/>
      <c r="R267" s="177" t="n"/>
      <c r="S267" s="177" t="n"/>
      <c r="T267" s="177" t="n"/>
      <c r="U267" s="177" t="n"/>
      <c r="V267" s="177" t="n"/>
      <c r="W267" s="177" t="n"/>
    </row>
    <row r="268" outlineLevel="1" ht="15.75" customHeight="1" s="297">
      <c r="A268" s="190" t="n"/>
      <c r="B268" s="204" t="n"/>
      <c r="C268" s="191" t="n"/>
      <c r="D268" s="205">
        <f>IFERROR(VLOOKUP($C268,'PORTIFÓLIO'!C:V,2,0),"")</f>
        <v/>
      </c>
      <c r="E268" s="190">
        <f>IFERROR(VLOOKUP($C268,'PORTIFÓLIO'!C:V,3,0),"")</f>
        <v/>
      </c>
      <c r="F268" s="190">
        <f>IFERROR(VLOOKUP($C268,'PORTIFÓLIO'!C:V,4,0),"")</f>
        <v/>
      </c>
      <c r="G268" s="206">
        <f>IFERROR(VLOOKUP($C268,'PORTIFÓLIO'!C:V,5,0),"")</f>
        <v/>
      </c>
      <c r="H268" s="247">
        <f t="array" ref="H268">IFERROR(INDEX('PORTIFÓLIO'!$H$4:$H$433,MATCH($C268,'PORTIFÓLIO'!$C$4:$C$433,0)),"")</f>
        <v/>
      </c>
      <c r="I268" s="257" t="n"/>
      <c r="J268" s="209">
        <f>I268*$B$2</f>
        <v/>
      </c>
      <c r="K268" s="248">
        <f t="array" ref="K268">IFERROR(I268*INDEX('PORTIFÓLIO'!$S$4:$S$433,MATCH($C268,'PORTIFÓLIO'!$C$4:$C$433,0)),"")</f>
        <v/>
      </c>
      <c r="L268" s="248">
        <f t="array" ref="L268">IFERROR(J268*INDEX('PORTIFÓLIO'!$S$4:$S$433,MATCH($C268,'PORTIFÓLIO'!$C$4:$C$433,0)),"")</f>
        <v/>
      </c>
      <c r="M268" s="238" t="n"/>
      <c r="N268" s="177" t="n"/>
      <c r="O268" s="177" t="n"/>
      <c r="P268" s="177" t="n"/>
      <c r="Q268" s="177" t="n"/>
      <c r="R268" s="177" t="n"/>
      <c r="S268" s="177" t="n"/>
      <c r="T268" s="177" t="n"/>
      <c r="U268" s="177" t="n"/>
      <c r="V268" s="177" t="n"/>
      <c r="W268" s="177" t="n"/>
    </row>
    <row r="269" outlineLevel="1" ht="15.75" customHeight="1" s="297">
      <c r="A269" s="190" t="n"/>
      <c r="B269" s="204" t="n"/>
      <c r="C269" s="191" t="n"/>
      <c r="D269" s="205">
        <f>IFERROR(VLOOKUP($C269,'PORTIFÓLIO'!C:V,2,0),"")</f>
        <v/>
      </c>
      <c r="E269" s="190">
        <f>IFERROR(VLOOKUP($C269,'PORTIFÓLIO'!C:V,3,0),"")</f>
        <v/>
      </c>
      <c r="F269" s="190">
        <f>IFERROR(VLOOKUP($C269,'PORTIFÓLIO'!C:V,4,0),"")</f>
        <v/>
      </c>
      <c r="G269" s="206">
        <f>IFERROR(VLOOKUP($C269,'PORTIFÓLIO'!C:V,5,0),"")</f>
        <v/>
      </c>
      <c r="H269" s="247">
        <f t="array" ref="H269">IFERROR(INDEX('PORTIFÓLIO'!$H$4:$H$433,MATCH($C269,'PORTIFÓLIO'!$C$4:$C$433,0)),"")</f>
        <v/>
      </c>
      <c r="I269" s="257" t="n"/>
      <c r="J269" s="209">
        <f>I269*$B$2</f>
        <v/>
      </c>
      <c r="K269" s="248">
        <f t="array" ref="K269">IFERROR(I269*INDEX('PORTIFÓLIO'!$S$4:$S$433,MATCH($C269,'PORTIFÓLIO'!$C$4:$C$433,0)),"")</f>
        <v/>
      </c>
      <c r="L269" s="248">
        <f t="array" ref="L269">IFERROR(J269*INDEX('PORTIFÓLIO'!$S$4:$S$433,MATCH($C269,'PORTIFÓLIO'!$C$4:$C$433,0)),"")</f>
        <v/>
      </c>
      <c r="M269" s="238" t="n"/>
      <c r="N269" s="177" t="n"/>
      <c r="O269" s="177" t="n"/>
      <c r="P269" s="177" t="n"/>
      <c r="Q269" s="177" t="n"/>
      <c r="R269" s="177" t="n"/>
      <c r="S269" s="177" t="n"/>
      <c r="T269" s="177" t="n"/>
      <c r="U269" s="177" t="n"/>
      <c r="V269" s="177" t="n"/>
      <c r="W269" s="177" t="n"/>
    </row>
    <row r="270" outlineLevel="1" ht="15.75" customHeight="1" s="297">
      <c r="A270" s="190" t="n"/>
      <c r="B270" s="204" t="n"/>
      <c r="C270" s="191" t="n"/>
      <c r="D270" s="205">
        <f>IFERROR(VLOOKUP($C270,'PORTIFÓLIO'!C:V,2,0),"")</f>
        <v/>
      </c>
      <c r="E270" s="190">
        <f>IFERROR(VLOOKUP($C270,'PORTIFÓLIO'!C:V,3,0),"")</f>
        <v/>
      </c>
      <c r="F270" s="190">
        <f>IFERROR(VLOOKUP($C270,'PORTIFÓLIO'!C:V,4,0),"")</f>
        <v/>
      </c>
      <c r="G270" s="206">
        <f>IFERROR(VLOOKUP($C270,'PORTIFÓLIO'!C:V,5,0),"")</f>
        <v/>
      </c>
      <c r="H270" s="247">
        <f t="array" ref="H270">IFERROR(INDEX('PORTIFÓLIO'!$H$4:$H$433,MATCH($C270,'PORTIFÓLIO'!$C$4:$C$433,0)),"")</f>
        <v/>
      </c>
      <c r="I270" s="257" t="n"/>
      <c r="J270" s="209">
        <f>I270*$B$2</f>
        <v/>
      </c>
      <c r="K270" s="248">
        <f t="array" ref="K270">IFERROR(I270*INDEX('PORTIFÓLIO'!$S$4:$S$433,MATCH($C270,'PORTIFÓLIO'!$C$4:$C$433,0)),"")</f>
        <v/>
      </c>
      <c r="L270" s="248">
        <f t="array" ref="L270">IFERROR(J270*INDEX('PORTIFÓLIO'!$S$4:$S$433,MATCH($C270,'PORTIFÓLIO'!$C$4:$C$433,0)),"")</f>
        <v/>
      </c>
      <c r="M270" s="238" t="n"/>
      <c r="N270" s="177" t="n"/>
      <c r="O270" s="177" t="n"/>
      <c r="P270" s="177" t="n"/>
      <c r="Q270" s="177" t="n"/>
      <c r="R270" s="177" t="n"/>
      <c r="S270" s="177" t="n"/>
      <c r="T270" s="177" t="n"/>
      <c r="U270" s="177" t="n"/>
      <c r="V270" s="177" t="n"/>
      <c r="W270" s="177" t="n"/>
    </row>
    <row r="271" ht="15.75" customHeight="1" s="297">
      <c r="A271" s="221" t="inlineStr">
        <is>
          <t>OPERAÇÃO 3</t>
        </is>
      </c>
      <c r="B271" s="197" t="n"/>
      <c r="C271" s="196" t="n"/>
      <c r="D271" s="198" t="n"/>
      <c r="E271" s="196" t="n"/>
      <c r="F271" s="196" t="n"/>
      <c r="G271" s="199" t="n"/>
      <c r="H271" s="199" t="n"/>
      <c r="I271" s="252" t="n"/>
      <c r="J271" s="202" t="n"/>
      <c r="K271" s="203">
        <f>SUBTOTAL(9,K272:K285)</f>
        <v/>
      </c>
      <c r="L271" s="203">
        <f>SUBTOTAL(9,L272:L285)</f>
        <v/>
      </c>
      <c r="M271" s="238" t="n"/>
      <c r="N271" s="177" t="n"/>
      <c r="O271" s="177" t="n"/>
      <c r="P271" s="177" t="n"/>
      <c r="Q271" s="177" t="n"/>
      <c r="R271" s="177" t="n"/>
      <c r="S271" s="177" t="n"/>
      <c r="T271" s="177" t="n"/>
      <c r="U271" s="177" t="n"/>
      <c r="V271" s="177" t="n"/>
      <c r="W271" s="177" t="n"/>
    </row>
    <row r="272" outlineLevel="1" ht="15.75" customHeight="1" s="297">
      <c r="A272" s="191" t="n"/>
      <c r="B272" s="204" t="inlineStr">
        <is>
          <t>SEMENTE</t>
        </is>
      </c>
      <c r="C272" s="191" t="inlineStr">
        <is>
          <t>SEMENTE DE SORGO</t>
        </is>
      </c>
      <c r="D272" s="205">
        <f>IFERROR(VLOOKUP($C272,'PORTIFÓLIO'!C:V,2,0),"")</f>
        <v/>
      </c>
      <c r="E272" s="190">
        <f>IFERROR(VLOOKUP($C272,'PORTIFÓLIO'!C:V,3,0),"")</f>
        <v/>
      </c>
      <c r="F272" s="190">
        <f>IFERROR(VLOOKUP($C272,'PORTIFÓLIO'!C:V,4,0),"")</f>
        <v/>
      </c>
      <c r="G272" s="223">
        <f>IFERROR(VLOOKUP($C272,'PORTIFÓLIO'!C:V,5,0),"")</f>
        <v/>
      </c>
      <c r="H272" s="247">
        <f t="array" ref="H272">IFERROR(INDEX('PORTIFÓLIO'!$H$4:$H$433,MATCH($C272,'PORTIFÓLIO'!$C$4:$C$433,0)),"")</f>
        <v/>
      </c>
      <c r="I272" s="253" t="n">
        <v>0.4</v>
      </c>
      <c r="J272" s="209">
        <f>I272*$B$2</f>
        <v/>
      </c>
      <c r="K272" s="248">
        <f t="array" ref="K272">IFERROR(I272*INDEX('PORTIFÓLIO'!$S$4:$S$433,MATCH($C272,'PORTIFÓLIO'!$C$4:$C$433,0)),"")</f>
        <v/>
      </c>
      <c r="L272" s="248">
        <f t="array" ref="L272">IFERROR(J272*INDEX('PORTIFÓLIO'!$S$4:$S$433,MATCH($C272,'PORTIFÓLIO'!$C$4:$C$433,0)),"")</f>
        <v/>
      </c>
      <c r="M272" s="238" t="n"/>
      <c r="N272" s="177" t="n"/>
      <c r="O272" s="177" t="n"/>
      <c r="P272" s="177" t="n"/>
      <c r="Q272" s="177" t="n"/>
      <c r="R272" s="177" t="n"/>
      <c r="S272" s="177" t="n"/>
      <c r="T272" s="177" t="n"/>
      <c r="U272" s="177" t="n"/>
      <c r="V272" s="177" t="n"/>
      <c r="W272" s="177" t="n"/>
    </row>
    <row r="273" outlineLevel="1" ht="15.75" customHeight="1" s="297">
      <c r="A273" s="190" t="n"/>
      <c r="B273" s="204" t="inlineStr">
        <is>
          <t>TS</t>
        </is>
      </c>
      <c r="C273" s="191" t="inlineStr">
        <is>
          <t>FORTENZA 600 FS</t>
        </is>
      </c>
      <c r="D273" s="205">
        <f>IFERROR(VLOOKUP($C273,'PORTIFÓLIO'!C:V,2,0),"")</f>
        <v/>
      </c>
      <c r="E273" s="190">
        <f>IFERROR(VLOOKUP($C273,'PORTIFÓLIO'!C:V,3,0),"")</f>
        <v/>
      </c>
      <c r="F273" s="190">
        <f>IFERROR(VLOOKUP($C273,'PORTIFÓLIO'!C:V,4,0),"")</f>
        <v/>
      </c>
      <c r="G273" s="223">
        <f>IFERROR(VLOOKUP($C273,'PORTIFÓLIO'!C:V,5,0),"")</f>
        <v/>
      </c>
      <c r="H273" s="247">
        <f t="array" ref="H273">IFERROR(INDEX('PORTIFÓLIO'!$H$4:$H$433,MATCH($C273,'PORTIFÓLIO'!$C$4:$C$433,0)),"")</f>
        <v/>
      </c>
      <c r="I273" s="253" t="n">
        <v>0.05</v>
      </c>
      <c r="J273" s="209">
        <f>I273*$B$2</f>
        <v/>
      </c>
      <c r="K273" s="248">
        <f t="array" ref="K273">IFERROR(I273*INDEX('PORTIFÓLIO'!$S$4:$S$433,MATCH($C273,'PORTIFÓLIO'!$C$4:$C$433,0)),"")</f>
        <v/>
      </c>
      <c r="L273" s="248">
        <f t="array" ref="L273">IFERROR(J273*INDEX('PORTIFÓLIO'!$S$4:$S$433,MATCH($C273,'PORTIFÓLIO'!$C$4:$C$433,0)),"")</f>
        <v/>
      </c>
      <c r="M273" s="238" t="n"/>
      <c r="N273" s="177" t="n"/>
      <c r="O273" s="177" t="n"/>
      <c r="P273" s="177" t="n"/>
      <c r="Q273" s="177" t="n"/>
      <c r="R273" s="177" t="n"/>
      <c r="S273" s="177" t="n"/>
      <c r="T273" s="177" t="n"/>
      <c r="U273" s="177" t="n"/>
      <c r="V273" s="177" t="n"/>
      <c r="W273" s="177" t="n"/>
    </row>
    <row r="274" outlineLevel="1" ht="15.75" customHeight="1" s="297">
      <c r="A274" s="190" t="n"/>
      <c r="B274" s="204" t="inlineStr">
        <is>
          <t>TS</t>
        </is>
      </c>
      <c r="C274" s="191" t="inlineStr">
        <is>
          <t>CRUISER ADVANCED</t>
        </is>
      </c>
      <c r="D274" s="205">
        <f>IFERROR(VLOOKUP($C274,'PORTIFÓLIO'!C:V,2,0),"")</f>
        <v/>
      </c>
      <c r="E274" s="190">
        <f>IFERROR(VLOOKUP($C274,'PORTIFÓLIO'!C:V,3,0),"")</f>
        <v/>
      </c>
      <c r="F274" s="190">
        <f>IFERROR(VLOOKUP($C274,'PORTIFÓLIO'!C:V,4,0),"")</f>
        <v/>
      </c>
      <c r="G274" s="223">
        <f>IFERROR(VLOOKUP($C274,'PORTIFÓLIO'!C:V,5,0),"")</f>
        <v/>
      </c>
      <c r="H274" s="247">
        <f t="array" ref="H274">IFERROR(INDEX('PORTIFÓLIO'!$H$4:$H$433,MATCH($C274,'PORTIFÓLIO'!$C$4:$C$433,0)),"")</f>
        <v/>
      </c>
      <c r="I274" s="253" t="n">
        <v>0.05</v>
      </c>
      <c r="J274" s="209">
        <f>I274*$B$2</f>
        <v/>
      </c>
      <c r="K274" s="248">
        <f t="array" ref="K274">IFERROR(I274*INDEX('PORTIFÓLIO'!$S$4:$S$433,MATCH($C274,'PORTIFÓLIO'!$C$4:$C$433,0)),"")</f>
        <v/>
      </c>
      <c r="L274" s="248">
        <f t="array" ref="L274">IFERROR(J274*INDEX('PORTIFÓLIO'!$S$4:$S$433,MATCH($C274,'PORTIFÓLIO'!$C$4:$C$433,0)),"")</f>
        <v/>
      </c>
      <c r="M274" s="238" t="n"/>
      <c r="N274" s="177" t="n"/>
      <c r="O274" s="177" t="n"/>
      <c r="P274" s="177" t="n"/>
      <c r="Q274" s="177" t="n"/>
      <c r="R274" s="177" t="n"/>
      <c r="S274" s="177" t="n"/>
      <c r="T274" s="177" t="n"/>
      <c r="U274" s="177" t="n"/>
      <c r="V274" s="177" t="n"/>
      <c r="W274" s="177" t="n"/>
    </row>
    <row r="275" outlineLevel="1" ht="15.75" customHeight="1" s="297">
      <c r="A275" s="190" t="n"/>
      <c r="B275" s="204" t="n"/>
      <c r="C275" s="191" t="n"/>
      <c r="D275" s="205">
        <f>IFERROR(VLOOKUP($C275,'PORTIFÓLIO'!C:V,2,0),"")</f>
        <v/>
      </c>
      <c r="E275" s="190">
        <f>IFERROR(VLOOKUP($C275,'PORTIFÓLIO'!C:V,3,0),"")</f>
        <v/>
      </c>
      <c r="F275" s="190">
        <f>IFERROR(VLOOKUP($C275,'PORTIFÓLIO'!C:V,4,0),"")</f>
        <v/>
      </c>
      <c r="G275" s="206">
        <f>IFERROR(VLOOKUP($C275,'PORTIFÓLIO'!C:V,5,0),"")</f>
        <v/>
      </c>
      <c r="H275" s="247">
        <f t="array" ref="H275">IFERROR(INDEX('PORTIFÓLIO'!$H$4:$H$433,MATCH($C275,'PORTIFÓLIO'!$C$4:$C$433,0)),"")</f>
        <v/>
      </c>
      <c r="I275" s="257" t="n"/>
      <c r="J275" s="209">
        <f>I275*$B$2</f>
        <v/>
      </c>
      <c r="K275" s="248">
        <f t="array" ref="K275">IFERROR(I275*INDEX('PORTIFÓLIO'!$S$4:$S$433,MATCH($C275,'PORTIFÓLIO'!$C$4:$C$433,0)),"")</f>
        <v/>
      </c>
      <c r="L275" s="248">
        <f t="array" ref="L275">IFERROR(J275*INDEX('PORTIFÓLIO'!$S$4:$S$433,MATCH($C275,'PORTIFÓLIO'!$C$4:$C$433,0)),"")</f>
        <v/>
      </c>
      <c r="M275" s="238" t="n"/>
      <c r="N275" s="177" t="n"/>
      <c r="O275" s="177" t="n"/>
      <c r="P275" s="177" t="n"/>
      <c r="Q275" s="177" t="n"/>
      <c r="R275" s="177" t="n"/>
      <c r="S275" s="177" t="n"/>
      <c r="T275" s="177" t="n"/>
      <c r="U275" s="177" t="n"/>
      <c r="V275" s="177" t="n"/>
      <c r="W275" s="177" t="n"/>
    </row>
    <row r="276" outlineLevel="1" ht="15.75" customHeight="1" s="297">
      <c r="A276" s="190" t="n"/>
      <c r="B276" s="204" t="n"/>
      <c r="C276" s="191" t="n"/>
      <c r="D276" s="205">
        <f>IFERROR(VLOOKUP($C276,'PORTIFÓLIO'!C:V,2,0),"")</f>
        <v/>
      </c>
      <c r="E276" s="190">
        <f>IFERROR(VLOOKUP($C276,'PORTIFÓLIO'!C:V,3,0),"")</f>
        <v/>
      </c>
      <c r="F276" s="190">
        <f>IFERROR(VLOOKUP($C276,'PORTIFÓLIO'!C:V,4,0),"")</f>
        <v/>
      </c>
      <c r="G276" s="206">
        <f>IFERROR(VLOOKUP($C276,'PORTIFÓLIO'!C:V,5,0),"")</f>
        <v/>
      </c>
      <c r="H276" s="247">
        <f t="array" ref="H276">IFERROR(INDEX('PORTIFÓLIO'!$H$4:$H$433,MATCH($C276,'PORTIFÓLIO'!$C$4:$C$433,0)),"")</f>
        <v/>
      </c>
      <c r="I276" s="257" t="n"/>
      <c r="J276" s="209">
        <f>I276*$B$2</f>
        <v/>
      </c>
      <c r="K276" s="248">
        <f t="array" ref="K276">IFERROR(I276*INDEX('PORTIFÓLIO'!$S$4:$S$433,MATCH($C276,'PORTIFÓLIO'!$C$4:$C$433,0)),"")</f>
        <v/>
      </c>
      <c r="L276" s="248">
        <f t="array" ref="L276">IFERROR(J276*INDEX('PORTIFÓLIO'!$S$4:$S$433,MATCH($C276,'PORTIFÓLIO'!$C$4:$C$433,0)),"")</f>
        <v/>
      </c>
      <c r="M276" s="238" t="n"/>
      <c r="N276" s="177" t="n"/>
      <c r="O276" s="177" t="n"/>
      <c r="P276" s="177" t="n"/>
      <c r="Q276" s="177" t="n"/>
      <c r="R276" s="177" t="n"/>
      <c r="S276" s="177" t="n"/>
      <c r="T276" s="177" t="n"/>
      <c r="U276" s="177" t="n"/>
      <c r="V276" s="177" t="n"/>
      <c r="W276" s="177" t="n"/>
    </row>
    <row r="277" outlineLevel="1" ht="15.75" customHeight="1" s="297">
      <c r="A277" s="190" t="n"/>
      <c r="B277" s="204" t="n"/>
      <c r="C277" s="191" t="n"/>
      <c r="D277" s="205">
        <f>IFERROR(VLOOKUP($C277,'PORTIFÓLIO'!C:V,2,0),"")</f>
        <v/>
      </c>
      <c r="E277" s="190">
        <f>IFERROR(VLOOKUP($C277,'PORTIFÓLIO'!C:V,3,0),"")</f>
        <v/>
      </c>
      <c r="F277" s="190">
        <f>IFERROR(VLOOKUP($C277,'PORTIFÓLIO'!C:V,4,0),"")</f>
        <v/>
      </c>
      <c r="G277" s="206">
        <f>IFERROR(VLOOKUP($C277,'PORTIFÓLIO'!C:V,5,0),"")</f>
        <v/>
      </c>
      <c r="H277" s="247">
        <f t="array" ref="H277">IFERROR(INDEX('PORTIFÓLIO'!$H$4:$H$433,MATCH($C277,'PORTIFÓLIO'!$C$4:$C$433,0)),"")</f>
        <v/>
      </c>
      <c r="I277" s="257" t="n"/>
      <c r="J277" s="209">
        <f>I277*$B$2</f>
        <v/>
      </c>
      <c r="K277" s="248">
        <f t="array" ref="K277">IFERROR(I277*INDEX('PORTIFÓLIO'!$S$4:$S$433,MATCH($C277,'PORTIFÓLIO'!$C$4:$C$433,0)),"")</f>
        <v/>
      </c>
      <c r="L277" s="248">
        <f t="array" ref="L277">IFERROR(J277*INDEX('PORTIFÓLIO'!$S$4:$S$433,MATCH($C277,'PORTIFÓLIO'!$C$4:$C$433,0)),"")</f>
        <v/>
      </c>
      <c r="M277" s="238" t="n"/>
      <c r="N277" s="177" t="n"/>
      <c r="O277" s="177" t="n"/>
      <c r="P277" s="177" t="n"/>
      <c r="Q277" s="177" t="n"/>
      <c r="R277" s="177" t="n"/>
      <c r="S277" s="177" t="n"/>
      <c r="T277" s="177" t="n"/>
      <c r="U277" s="177" t="n"/>
      <c r="V277" s="177" t="n"/>
      <c r="W277" s="177" t="n"/>
    </row>
    <row r="278" outlineLevel="1" ht="15.75" customHeight="1" s="297">
      <c r="A278" s="190" t="n"/>
      <c r="B278" s="204" t="n"/>
      <c r="C278" s="191" t="n"/>
      <c r="D278" s="205">
        <f>IFERROR(VLOOKUP($C278,'PORTIFÓLIO'!C:V,2,0),"")</f>
        <v/>
      </c>
      <c r="E278" s="190">
        <f>IFERROR(VLOOKUP($C278,'PORTIFÓLIO'!C:V,3,0),"")</f>
        <v/>
      </c>
      <c r="F278" s="190">
        <f>IFERROR(VLOOKUP($C278,'PORTIFÓLIO'!C:V,4,0),"")</f>
        <v/>
      </c>
      <c r="G278" s="206">
        <f>IFERROR(VLOOKUP($C278,'PORTIFÓLIO'!C:V,5,0),"")</f>
        <v/>
      </c>
      <c r="H278" s="247">
        <f t="array" ref="H278">IFERROR(INDEX('PORTIFÓLIO'!$H$4:$H$433,MATCH($C278,'PORTIFÓLIO'!$C$4:$C$433,0)),"")</f>
        <v/>
      </c>
      <c r="I278" s="257" t="n"/>
      <c r="J278" s="209">
        <f>I278*$B$2</f>
        <v/>
      </c>
      <c r="K278" s="248">
        <f t="array" ref="K278">IFERROR(I278*INDEX('PORTIFÓLIO'!$S$4:$S$433,MATCH($C278,'PORTIFÓLIO'!$C$4:$C$433,0)),"")</f>
        <v/>
      </c>
      <c r="L278" s="248">
        <f t="array" ref="L278">IFERROR(J278*INDEX('PORTIFÓLIO'!$S$4:$S$433,MATCH($C278,'PORTIFÓLIO'!$C$4:$C$433,0)),"")</f>
        <v/>
      </c>
      <c r="M278" s="238" t="n"/>
      <c r="N278" s="177" t="n"/>
      <c r="O278" s="177" t="n"/>
      <c r="P278" s="177" t="n"/>
      <c r="Q278" s="177" t="n"/>
      <c r="R278" s="177" t="n"/>
      <c r="S278" s="177" t="n"/>
      <c r="T278" s="177" t="n"/>
      <c r="U278" s="177" t="n"/>
      <c r="V278" s="177" t="n"/>
      <c r="W278" s="177" t="n"/>
    </row>
    <row r="279" outlineLevel="1" ht="15.75" customHeight="1" s="297">
      <c r="A279" s="190" t="n"/>
      <c r="B279" s="204" t="n"/>
      <c r="C279" s="191" t="n"/>
      <c r="D279" s="205">
        <f>IFERROR(VLOOKUP($C279,'PORTIFÓLIO'!C:V,2,0),"")</f>
        <v/>
      </c>
      <c r="E279" s="190">
        <f>IFERROR(VLOOKUP($C279,'PORTIFÓLIO'!C:V,3,0),"")</f>
        <v/>
      </c>
      <c r="F279" s="190">
        <f>IFERROR(VLOOKUP($C279,'PORTIFÓLIO'!C:V,4,0),"")</f>
        <v/>
      </c>
      <c r="G279" s="206">
        <f>IFERROR(VLOOKUP($C279,'PORTIFÓLIO'!C:V,5,0),"")</f>
        <v/>
      </c>
      <c r="H279" s="247">
        <f t="array" ref="H279">IFERROR(INDEX('PORTIFÓLIO'!$H$4:$H$433,MATCH($C279,'PORTIFÓLIO'!$C$4:$C$433,0)),"")</f>
        <v/>
      </c>
      <c r="I279" s="257" t="n"/>
      <c r="J279" s="209">
        <f>I279*$B$2</f>
        <v/>
      </c>
      <c r="K279" s="248">
        <f t="array" ref="K279">IFERROR(I279*INDEX('PORTIFÓLIO'!$S$4:$S$433,MATCH($C279,'PORTIFÓLIO'!$C$4:$C$433,0)),"")</f>
        <v/>
      </c>
      <c r="L279" s="248">
        <f t="array" ref="L279">IFERROR(J279*INDEX('PORTIFÓLIO'!$S$4:$S$433,MATCH($C279,'PORTIFÓLIO'!$C$4:$C$433,0)),"")</f>
        <v/>
      </c>
      <c r="M279" s="238" t="n"/>
      <c r="N279" s="177" t="n"/>
      <c r="O279" s="177" t="n"/>
      <c r="P279" s="177" t="n"/>
      <c r="Q279" s="177" t="n"/>
      <c r="R279" s="177" t="n"/>
      <c r="S279" s="177" t="n"/>
      <c r="T279" s="177" t="n"/>
      <c r="U279" s="177" t="n"/>
      <c r="V279" s="177" t="n"/>
      <c r="W279" s="177" t="n"/>
    </row>
    <row r="280" outlineLevel="1" ht="15.75" customHeight="1" s="297">
      <c r="A280" s="190" t="n"/>
      <c r="B280" s="204" t="n"/>
      <c r="C280" s="191" t="n"/>
      <c r="D280" s="205">
        <f>IFERROR(VLOOKUP($C280,'PORTIFÓLIO'!C:V,2,0),"")</f>
        <v/>
      </c>
      <c r="E280" s="190">
        <f>IFERROR(VLOOKUP($C280,'PORTIFÓLIO'!C:V,3,0),"")</f>
        <v/>
      </c>
      <c r="F280" s="190">
        <f>IFERROR(VLOOKUP($C280,'PORTIFÓLIO'!C:V,4,0),"")</f>
        <v/>
      </c>
      <c r="G280" s="206">
        <f>IFERROR(VLOOKUP($C280,'PORTIFÓLIO'!C:V,5,0),"")</f>
        <v/>
      </c>
      <c r="H280" s="247">
        <f t="array" ref="H280">IFERROR(INDEX('PORTIFÓLIO'!$H$4:$H$433,MATCH($C280,'PORTIFÓLIO'!$C$4:$C$433,0)),"")</f>
        <v/>
      </c>
      <c r="I280" s="253" t="n"/>
      <c r="J280" s="209">
        <f>I280*$B$2</f>
        <v/>
      </c>
      <c r="K280" s="248">
        <f t="array" ref="K280">IFERROR(I280*INDEX('PORTIFÓLIO'!$S$4:$S$433,MATCH($C280,'PORTIFÓLIO'!$C$4:$C$433,0)),"")</f>
        <v/>
      </c>
      <c r="L280" s="248">
        <f t="array" ref="L280">IFERROR(J280*INDEX('PORTIFÓLIO'!$S$4:$S$433,MATCH($C280,'PORTIFÓLIO'!$C$4:$C$433,0)),"")</f>
        <v/>
      </c>
      <c r="M280" s="238" t="n"/>
      <c r="N280" s="177" t="n"/>
      <c r="O280" s="177" t="n"/>
      <c r="P280" s="177" t="n"/>
      <c r="Q280" s="177" t="n"/>
      <c r="R280" s="177" t="n"/>
      <c r="S280" s="177" t="n"/>
      <c r="T280" s="177" t="n"/>
      <c r="U280" s="177" t="n"/>
      <c r="V280" s="177" t="n"/>
      <c r="W280" s="177" t="n"/>
    </row>
    <row r="281" outlineLevel="1" ht="15.75" customHeight="1" s="297">
      <c r="A281" s="190" t="n"/>
      <c r="B281" s="204" t="n"/>
      <c r="C281" s="191" t="n"/>
      <c r="D281" s="205">
        <f>IFERROR(VLOOKUP($C281,'PORTIFÓLIO'!C:V,2,0),"")</f>
        <v/>
      </c>
      <c r="E281" s="190">
        <f>IFERROR(VLOOKUP($C281,'PORTIFÓLIO'!C:V,3,0),"")</f>
        <v/>
      </c>
      <c r="F281" s="190">
        <f>IFERROR(VLOOKUP($C281,'PORTIFÓLIO'!C:V,4,0),"")</f>
        <v/>
      </c>
      <c r="G281" s="206">
        <f>IFERROR(VLOOKUP($C281,'PORTIFÓLIO'!C:V,5,0),"")</f>
        <v/>
      </c>
      <c r="H281" s="247">
        <f t="array" ref="H281">IFERROR(INDEX('PORTIFÓLIO'!$H$4:$H$433,MATCH($C281,'PORTIFÓLIO'!$C$4:$C$433,0)),"")</f>
        <v/>
      </c>
      <c r="I281" s="257" t="n"/>
      <c r="J281" s="209">
        <f>I281*$B$2</f>
        <v/>
      </c>
      <c r="K281" s="248">
        <f t="array" ref="K281">IFERROR(I281*INDEX('PORTIFÓLIO'!$S$4:$S$433,MATCH($C281,'PORTIFÓLIO'!$C$4:$C$433,0)),"")</f>
        <v/>
      </c>
      <c r="L281" s="248">
        <f t="array" ref="L281">IFERROR(J281*INDEX('PORTIFÓLIO'!$S$4:$S$433,MATCH($C281,'PORTIFÓLIO'!$C$4:$C$433,0)),"")</f>
        <v/>
      </c>
      <c r="M281" s="238" t="n"/>
      <c r="N281" s="177" t="n"/>
      <c r="O281" s="177" t="n"/>
      <c r="P281" s="177" t="n"/>
      <c r="Q281" s="177" t="n"/>
      <c r="R281" s="177" t="n"/>
      <c r="S281" s="177" t="n"/>
      <c r="T281" s="177" t="n"/>
      <c r="U281" s="177" t="n"/>
      <c r="V281" s="177" t="n"/>
      <c r="W281" s="177" t="n"/>
    </row>
    <row r="282" outlineLevel="1" ht="15.75" customHeight="1" s="297">
      <c r="A282" s="190" t="n"/>
      <c r="B282" s="204" t="n"/>
      <c r="C282" s="191" t="n"/>
      <c r="D282" s="205">
        <f>IFERROR(VLOOKUP($C282,'PORTIFÓLIO'!C:V,2,0),"")</f>
        <v/>
      </c>
      <c r="E282" s="190">
        <f>IFERROR(VLOOKUP($C282,'PORTIFÓLIO'!C:V,3,0),"")</f>
        <v/>
      </c>
      <c r="F282" s="190">
        <f>IFERROR(VLOOKUP($C282,'PORTIFÓLIO'!C:V,4,0),"")</f>
        <v/>
      </c>
      <c r="G282" s="206">
        <f>IFERROR(VLOOKUP($C282,'PORTIFÓLIO'!C:V,5,0),"")</f>
        <v/>
      </c>
      <c r="H282" s="247">
        <f t="array" ref="H282">IFERROR(INDEX('PORTIFÓLIO'!$H$4:$H$433,MATCH($C282,'PORTIFÓLIO'!$C$4:$C$433,0)),"")</f>
        <v/>
      </c>
      <c r="I282" s="257" t="n"/>
      <c r="J282" s="209">
        <f>I282*$B$2</f>
        <v/>
      </c>
      <c r="K282" s="248">
        <f t="array" ref="K282">IFERROR(I282*INDEX('PORTIFÓLIO'!$S$4:$S$433,MATCH($C282,'PORTIFÓLIO'!$C$4:$C$433,0)),"")</f>
        <v/>
      </c>
      <c r="L282" s="248">
        <f t="array" ref="L282">IFERROR(J282*INDEX('PORTIFÓLIO'!$S$4:$S$433,MATCH($C282,'PORTIFÓLIO'!$C$4:$C$433,0)),"")</f>
        <v/>
      </c>
      <c r="M282" s="238" t="n"/>
      <c r="N282" s="177" t="n"/>
      <c r="O282" s="177" t="n"/>
      <c r="P282" s="177" t="n"/>
      <c r="Q282" s="177" t="n"/>
      <c r="R282" s="177" t="n"/>
      <c r="S282" s="177" t="n"/>
      <c r="T282" s="177" t="n"/>
      <c r="U282" s="177" t="n"/>
      <c r="V282" s="177" t="n"/>
      <c r="W282" s="177" t="n"/>
    </row>
    <row r="283" outlineLevel="1" ht="15.75" customHeight="1" s="297">
      <c r="A283" s="190" t="n"/>
      <c r="B283" s="204" t="n"/>
      <c r="C283" s="191" t="n"/>
      <c r="D283" s="205">
        <f>IFERROR(VLOOKUP($C283,'PORTIFÓLIO'!C:V,2,0),"")</f>
        <v/>
      </c>
      <c r="E283" s="190">
        <f>IFERROR(VLOOKUP($C283,'PORTIFÓLIO'!C:V,3,0),"")</f>
        <v/>
      </c>
      <c r="F283" s="190">
        <f>IFERROR(VLOOKUP($C283,'PORTIFÓLIO'!C:V,4,0),"")</f>
        <v/>
      </c>
      <c r="G283" s="206">
        <f>IFERROR(VLOOKUP($C283,'PORTIFÓLIO'!C:V,5,0),"")</f>
        <v/>
      </c>
      <c r="H283" s="247">
        <f t="array" ref="H283">IFERROR(INDEX('PORTIFÓLIO'!$H$4:$H$433,MATCH($C283,'PORTIFÓLIO'!$C$4:$C$433,0)),"")</f>
        <v/>
      </c>
      <c r="I283" s="257" t="n"/>
      <c r="J283" s="209">
        <f>I283*$B$2</f>
        <v/>
      </c>
      <c r="K283" s="248">
        <f t="array" ref="K283">IFERROR(I283*INDEX('PORTIFÓLIO'!$S$4:$S$433,MATCH($C283,'PORTIFÓLIO'!$C$4:$C$433,0)),"")</f>
        <v/>
      </c>
      <c r="L283" s="248">
        <f t="array" ref="L283">IFERROR(J283*INDEX('PORTIFÓLIO'!$S$4:$S$433,MATCH($C283,'PORTIFÓLIO'!$C$4:$C$433,0)),"")</f>
        <v/>
      </c>
      <c r="M283" s="238" t="n"/>
      <c r="N283" s="177" t="n"/>
      <c r="O283" s="177" t="n"/>
      <c r="P283" s="177" t="n"/>
      <c r="Q283" s="177" t="n"/>
      <c r="R283" s="177" t="n"/>
      <c r="S283" s="177" t="n"/>
      <c r="T283" s="177" t="n"/>
      <c r="U283" s="177" t="n"/>
      <c r="V283" s="177" t="n"/>
      <c r="W283" s="177" t="n"/>
    </row>
    <row r="284" outlineLevel="1" ht="15.75" customHeight="1" s="297">
      <c r="A284" s="190" t="n"/>
      <c r="B284" s="204" t="n"/>
      <c r="C284" s="191" t="n"/>
      <c r="D284" s="205">
        <f>IFERROR(VLOOKUP($C284,'PORTIFÓLIO'!C:V,2,0),"")</f>
        <v/>
      </c>
      <c r="E284" s="190">
        <f>IFERROR(VLOOKUP($C284,'PORTIFÓLIO'!C:V,3,0),"")</f>
        <v/>
      </c>
      <c r="F284" s="190">
        <f>IFERROR(VLOOKUP($C284,'PORTIFÓLIO'!C:V,4,0),"")</f>
        <v/>
      </c>
      <c r="G284" s="206">
        <f>IFERROR(VLOOKUP($C284,'PORTIFÓLIO'!C:V,5,0),"")</f>
        <v/>
      </c>
      <c r="H284" s="247">
        <f t="array" ref="H284">IFERROR(INDEX('PORTIFÓLIO'!$H$4:$H$433,MATCH($C284,'PORTIFÓLIO'!$C$4:$C$433,0)),"")</f>
        <v/>
      </c>
      <c r="I284" s="257" t="n"/>
      <c r="J284" s="209">
        <f>I284*$B$2</f>
        <v/>
      </c>
      <c r="K284" s="248">
        <f t="array" ref="K284">IFERROR(I284*INDEX('PORTIFÓLIO'!$S$4:$S$433,MATCH($C284,'PORTIFÓLIO'!$C$4:$C$433,0)),"")</f>
        <v/>
      </c>
      <c r="L284" s="248">
        <f t="array" ref="L284">IFERROR(J284*INDEX('PORTIFÓLIO'!$S$4:$S$433,MATCH($C284,'PORTIFÓLIO'!$C$4:$C$433,0)),"")</f>
        <v/>
      </c>
      <c r="M284" s="238" t="n"/>
      <c r="N284" s="177" t="n"/>
      <c r="O284" s="177" t="n"/>
      <c r="P284" s="177" t="n"/>
      <c r="Q284" s="177" t="n"/>
      <c r="R284" s="177" t="n"/>
      <c r="S284" s="177" t="n"/>
      <c r="T284" s="177" t="n"/>
      <c r="U284" s="177" t="n"/>
      <c r="V284" s="177" t="n"/>
      <c r="W284" s="177" t="n"/>
    </row>
    <row r="285" outlineLevel="1" ht="15.75" customHeight="1" s="297">
      <c r="A285" s="190" t="n"/>
      <c r="B285" s="204" t="n"/>
      <c r="C285" s="191" t="n"/>
      <c r="D285" s="205">
        <f>IFERROR(VLOOKUP($C285,'PORTIFÓLIO'!C:V,2,0),"")</f>
        <v/>
      </c>
      <c r="E285" s="190">
        <f>IFERROR(VLOOKUP($C285,'PORTIFÓLIO'!C:V,3,0),"")</f>
        <v/>
      </c>
      <c r="F285" s="190">
        <f>IFERROR(VLOOKUP($C285,'PORTIFÓLIO'!C:V,4,0),"")</f>
        <v/>
      </c>
      <c r="G285" s="206">
        <f>IFERROR(VLOOKUP($C285,'PORTIFÓLIO'!C:V,5,0),"")</f>
        <v/>
      </c>
      <c r="H285" s="247">
        <f t="array" ref="H285">IFERROR(INDEX('PORTIFÓLIO'!$H$4:$H$433,MATCH($C285,'PORTIFÓLIO'!$C$4:$C$433,0)),"")</f>
        <v/>
      </c>
      <c r="I285" s="257" t="n"/>
      <c r="J285" s="209">
        <f>I285*$B$2</f>
        <v/>
      </c>
      <c r="K285" s="248">
        <f t="array" ref="K285">IFERROR(I285*INDEX('PORTIFÓLIO'!$S$4:$S$433,MATCH($C285,'PORTIFÓLIO'!$C$4:$C$433,0)),"")</f>
        <v/>
      </c>
      <c r="L285" s="248">
        <f t="array" ref="L285">IFERROR(J285*INDEX('PORTIFÓLIO'!$S$4:$S$433,MATCH($C285,'PORTIFÓLIO'!$C$4:$C$433,0)),"")</f>
        <v/>
      </c>
      <c r="M285" s="238" t="n"/>
      <c r="N285" s="177" t="n"/>
      <c r="O285" s="177" t="n"/>
      <c r="P285" s="177" t="n"/>
      <c r="Q285" s="177" t="n"/>
      <c r="R285" s="177" t="n"/>
      <c r="S285" s="177" t="n"/>
      <c r="T285" s="177" t="n"/>
      <c r="U285" s="177" t="n"/>
      <c r="V285" s="177" t="n"/>
      <c r="W285" s="177" t="n"/>
    </row>
    <row r="286" outlineLevel="1" ht="15.75" customHeight="1" s="297">
      <c r="A286" s="190" t="n"/>
      <c r="B286" s="204" t="n"/>
      <c r="C286" s="191" t="n"/>
      <c r="D286" s="205">
        <f>IFERROR(VLOOKUP($C286,'PORTIFÓLIO'!C:V,2,0),"")</f>
        <v/>
      </c>
      <c r="E286" s="190">
        <f>IFERROR(VLOOKUP($C286,'PORTIFÓLIO'!C:V,3,0),"")</f>
        <v/>
      </c>
      <c r="F286" s="190">
        <f>IFERROR(VLOOKUP($C286,'PORTIFÓLIO'!C:V,4,0),"")</f>
        <v/>
      </c>
      <c r="G286" s="206">
        <f>IFERROR(VLOOKUP($C286,'PORTIFÓLIO'!C:V,5,0),"")</f>
        <v/>
      </c>
      <c r="H286" s="247">
        <f t="array" ref="H286">IFERROR(INDEX('PORTIFÓLIO'!$H$4:$H$433,MATCH($C286,'PORTIFÓLIO'!$C$4:$C$433,0)),"")</f>
        <v/>
      </c>
      <c r="I286" s="257" t="n"/>
      <c r="J286" s="209">
        <f>I286*$B$2</f>
        <v/>
      </c>
      <c r="K286" s="248">
        <f t="array" ref="K286">IFERROR(I286*INDEX('PORTIFÓLIO'!$S$4:$S$433,MATCH($C286,'PORTIFÓLIO'!$C$4:$C$433,0)),"")</f>
        <v/>
      </c>
      <c r="L286" s="248">
        <f t="array" ref="L286">IFERROR(J286*INDEX('PORTIFÓLIO'!$S$4:$S$433,MATCH($C286,'PORTIFÓLIO'!$C$4:$C$433,0)),"")</f>
        <v/>
      </c>
      <c r="M286" s="238" t="n"/>
      <c r="N286" s="177" t="n"/>
      <c r="O286" s="177" t="n"/>
      <c r="P286" s="177" t="n"/>
      <c r="Q286" s="177" t="n"/>
      <c r="R286" s="177" t="n"/>
      <c r="S286" s="177" t="n"/>
      <c r="T286" s="177" t="n"/>
      <c r="U286" s="177" t="n"/>
      <c r="V286" s="177" t="n"/>
      <c r="W286" s="177" t="n"/>
    </row>
    <row r="287" outlineLevel="1" ht="15.75" customHeight="1" s="297">
      <c r="A287" s="190" t="n"/>
      <c r="B287" s="204" t="n"/>
      <c r="C287" s="191" t="n"/>
      <c r="D287" s="205">
        <f>IFERROR(VLOOKUP($C287,'PORTIFÓLIO'!C:V,2,0),"")</f>
        <v/>
      </c>
      <c r="E287" s="190">
        <f>IFERROR(VLOOKUP($C287,'PORTIFÓLIO'!C:V,3,0),"")</f>
        <v/>
      </c>
      <c r="F287" s="190">
        <f>IFERROR(VLOOKUP($C287,'PORTIFÓLIO'!C:V,4,0),"")</f>
        <v/>
      </c>
      <c r="G287" s="206">
        <f>IFERROR(VLOOKUP($C287,'PORTIFÓLIO'!C:V,5,0),"")</f>
        <v/>
      </c>
      <c r="H287" s="247">
        <f t="array" ref="H287">IFERROR(INDEX('PORTIFÓLIO'!$H$4:$H$433,MATCH($C287,'PORTIFÓLIO'!$C$4:$C$433,0)),"")</f>
        <v/>
      </c>
      <c r="I287" s="257" t="n"/>
      <c r="J287" s="209">
        <f>I287*$B$2</f>
        <v/>
      </c>
      <c r="K287" s="248">
        <f t="array" ref="K287">IFERROR(I287*INDEX('PORTIFÓLIO'!$S$4:$S$433,MATCH($C287,'PORTIFÓLIO'!$C$4:$C$433,0)),"")</f>
        <v/>
      </c>
      <c r="L287" s="248">
        <f t="array" ref="L287">IFERROR(J287*INDEX('PORTIFÓLIO'!$S$4:$S$433,MATCH($C287,'PORTIFÓLIO'!$C$4:$C$433,0)),"")</f>
        <v/>
      </c>
      <c r="M287" s="238" t="n"/>
      <c r="N287" s="177" t="n"/>
      <c r="O287" s="177" t="n"/>
      <c r="P287" s="177" t="n"/>
      <c r="Q287" s="177" t="n"/>
      <c r="R287" s="177" t="n"/>
      <c r="S287" s="177" t="n"/>
      <c r="T287" s="177" t="n"/>
      <c r="U287" s="177" t="n"/>
      <c r="V287" s="177" t="n"/>
      <c r="W287" s="177" t="n"/>
    </row>
    <row r="288" outlineLevel="1" ht="15.75" customHeight="1" s="297">
      <c r="A288" s="190" t="n"/>
      <c r="B288" s="204" t="n"/>
      <c r="C288" s="191" t="n"/>
      <c r="D288" s="205">
        <f>IFERROR(VLOOKUP($C288,'PORTIFÓLIO'!C:V,2,0),"")</f>
        <v/>
      </c>
      <c r="E288" s="190">
        <f>IFERROR(VLOOKUP($C288,'PORTIFÓLIO'!C:V,3,0),"")</f>
        <v/>
      </c>
      <c r="F288" s="190">
        <f>IFERROR(VLOOKUP($C288,'PORTIFÓLIO'!C:V,4,0),"")</f>
        <v/>
      </c>
      <c r="G288" s="206">
        <f>IFERROR(VLOOKUP($C288,'PORTIFÓLIO'!C:V,5,0),"")</f>
        <v/>
      </c>
      <c r="H288" s="247">
        <f t="array" ref="H288">IFERROR(INDEX('PORTIFÓLIO'!$H$4:$H$433,MATCH($C288,'PORTIFÓLIO'!$C$4:$C$433,0)),"")</f>
        <v/>
      </c>
      <c r="I288" s="257" t="n"/>
      <c r="J288" s="209">
        <f>I288*$B$2</f>
        <v/>
      </c>
      <c r="K288" s="248">
        <f t="array" ref="K288">IFERROR(I288*INDEX('PORTIFÓLIO'!$S$4:$S$433,MATCH($C288,'PORTIFÓLIO'!$C$4:$C$433,0)),"")</f>
        <v/>
      </c>
      <c r="L288" s="248">
        <f t="array" ref="L288">IFERROR(J288*INDEX('PORTIFÓLIO'!$S$4:$S$433,MATCH($C288,'PORTIFÓLIO'!$C$4:$C$433,0)),"")</f>
        <v/>
      </c>
      <c r="M288" s="238" t="n"/>
      <c r="N288" s="177" t="n"/>
      <c r="O288" s="177" t="n"/>
      <c r="P288" s="177" t="n"/>
      <c r="Q288" s="177" t="n"/>
      <c r="R288" s="177" t="n"/>
      <c r="S288" s="177" t="n"/>
      <c r="T288" s="177" t="n"/>
      <c r="U288" s="177" t="n"/>
      <c r="V288" s="177" t="n"/>
      <c r="W288" s="177" t="n"/>
    </row>
    <row r="289" outlineLevel="1" ht="15.75" customHeight="1" s="297">
      <c r="A289" s="190" t="n"/>
      <c r="B289" s="204" t="n"/>
      <c r="C289" s="191" t="n"/>
      <c r="D289" s="205">
        <f>IFERROR(VLOOKUP($C289,'PORTIFÓLIO'!C:V,2,0),"")</f>
        <v/>
      </c>
      <c r="E289" s="190">
        <f>IFERROR(VLOOKUP($C289,'PORTIFÓLIO'!C:V,3,0),"")</f>
        <v/>
      </c>
      <c r="F289" s="190">
        <f>IFERROR(VLOOKUP($C289,'PORTIFÓLIO'!C:V,4,0),"")</f>
        <v/>
      </c>
      <c r="G289" s="206">
        <f>IFERROR(VLOOKUP($C289,'PORTIFÓLIO'!C:V,5,0),"")</f>
        <v/>
      </c>
      <c r="H289" s="247">
        <f t="array" ref="H289">IFERROR(INDEX('PORTIFÓLIO'!$H$4:$H$433,MATCH($C289,'PORTIFÓLIO'!$C$4:$C$433,0)),"")</f>
        <v/>
      </c>
      <c r="I289" s="257" t="n"/>
      <c r="J289" s="209">
        <f>I289*$B$2</f>
        <v/>
      </c>
      <c r="K289" s="248">
        <f t="array" ref="K289">IFERROR(I289*INDEX('PORTIFÓLIO'!$S$4:$S$433,MATCH($C289,'PORTIFÓLIO'!$C$4:$C$433,0)),"")</f>
        <v/>
      </c>
      <c r="L289" s="248">
        <f t="array" ref="L289">IFERROR(J289*INDEX('PORTIFÓLIO'!$S$4:$S$433,MATCH($C289,'PORTIFÓLIO'!$C$4:$C$433,0)),"")</f>
        <v/>
      </c>
      <c r="M289" s="238" t="n"/>
      <c r="N289" s="177" t="n"/>
      <c r="O289" s="177" t="n"/>
      <c r="P289" s="177" t="n"/>
      <c r="Q289" s="177" t="n"/>
      <c r="R289" s="177" t="n"/>
      <c r="S289" s="177" t="n"/>
      <c r="T289" s="177" t="n"/>
      <c r="U289" s="177" t="n"/>
      <c r="V289" s="177" t="n"/>
      <c r="W289" s="177" t="n"/>
    </row>
    <row r="290" ht="15.75" customHeight="1" s="297">
      <c r="A290" s="221" t="inlineStr">
        <is>
          <t>OPERAÇÃO 4</t>
        </is>
      </c>
      <c r="B290" s="197" t="n"/>
      <c r="C290" s="196" t="n"/>
      <c r="D290" s="198" t="n"/>
      <c r="E290" s="196" t="n"/>
      <c r="F290" s="196" t="n"/>
      <c r="G290" s="199" t="n"/>
      <c r="H290" s="199" t="n"/>
      <c r="I290" s="252" t="n"/>
      <c r="J290" s="202" t="n"/>
      <c r="K290" s="203">
        <f>SUBTOTAL(9,K291:K304)</f>
        <v/>
      </c>
      <c r="L290" s="203">
        <f>SUBTOTAL(9,L291:L304)</f>
        <v/>
      </c>
      <c r="M290" s="238" t="n"/>
      <c r="N290" s="177" t="n"/>
      <c r="O290" s="177" t="n"/>
      <c r="P290" s="177" t="n"/>
      <c r="Q290" s="177" t="n"/>
      <c r="R290" s="177" t="n"/>
      <c r="S290" s="177" t="n"/>
      <c r="T290" s="177" t="n"/>
      <c r="U290" s="177" t="n"/>
      <c r="V290" s="177" t="n"/>
      <c r="W290" s="177" t="n"/>
    </row>
    <row r="291" outlineLevel="1" ht="15.75" customHeight="1" s="297">
      <c r="A291" s="191" t="n"/>
      <c r="B291" s="204" t="inlineStr">
        <is>
          <t>HERBICIDA</t>
        </is>
      </c>
      <c r="C291" s="191" t="inlineStr">
        <is>
          <t>GESAPRIM GRDA</t>
        </is>
      </c>
      <c r="D291" s="205">
        <f>IFERROR(VLOOKUP($C291,'PORTIFÓLIO'!C:V,2,0),"")</f>
        <v/>
      </c>
      <c r="E291" s="190">
        <f>IFERROR(VLOOKUP($C291,'PORTIFÓLIO'!C:V,3,0),"")</f>
        <v/>
      </c>
      <c r="F291" s="190">
        <f>IFERROR(VLOOKUP($C291,'PORTIFÓLIO'!C:V,4,0),"")</f>
        <v/>
      </c>
      <c r="G291" s="223">
        <f>IFERROR(VLOOKUP($C291,'PORTIFÓLIO'!C:V,5,0),"")</f>
        <v/>
      </c>
      <c r="H291" s="247">
        <f t="array" ref="H291">IFERROR(INDEX('PORTIFÓLIO'!$H$4:$H$433,MATCH($C291,'PORTIFÓLIO'!$C$4:$C$433,0)),"")</f>
        <v/>
      </c>
      <c r="I291" s="253" t="n">
        <v>2</v>
      </c>
      <c r="J291" s="209">
        <f>I291*$B$2</f>
        <v/>
      </c>
      <c r="K291" s="248">
        <f t="array" ref="K291">IFERROR(I291*INDEX('PORTIFÓLIO'!$S$4:$S$433,MATCH($C291,'PORTIFÓLIO'!$C$4:$C$433,0)),"")</f>
        <v/>
      </c>
      <c r="L291" s="248">
        <f t="array" ref="L291">IFERROR(J291*INDEX('PORTIFÓLIO'!$S$4:$S$433,MATCH($C291,'PORTIFÓLIO'!$C$4:$C$433,0)),"")</f>
        <v/>
      </c>
      <c r="M291" s="238" t="n"/>
      <c r="N291" s="177" t="n"/>
      <c r="O291" s="177" t="n"/>
      <c r="P291" s="177" t="n"/>
      <c r="Q291" s="177" t="n"/>
      <c r="R291" s="177" t="n"/>
      <c r="S291" s="177" t="n"/>
      <c r="T291" s="177" t="n"/>
      <c r="U291" s="177" t="n"/>
      <c r="V291" s="177" t="n"/>
      <c r="W291" s="177" t="n"/>
    </row>
    <row r="292" outlineLevel="1" ht="15.75" customHeight="1" s="297">
      <c r="A292" s="190" t="n"/>
      <c r="B292" s="204" t="inlineStr">
        <is>
          <t>INSETICIDA</t>
        </is>
      </c>
      <c r="C292" s="191" t="inlineStr">
        <is>
          <t>ENGEO PLENO S</t>
        </is>
      </c>
      <c r="D292" s="205">
        <f>IFERROR(VLOOKUP($C292,'PORTIFÓLIO'!C:V,2,0),"")</f>
        <v/>
      </c>
      <c r="E292" s="190">
        <f>IFERROR(VLOOKUP($C292,'PORTIFÓLIO'!C:V,3,0),"")</f>
        <v/>
      </c>
      <c r="F292" s="190">
        <f>IFERROR(VLOOKUP($C292,'PORTIFÓLIO'!C:V,4,0),"")</f>
        <v/>
      </c>
      <c r="G292" s="223">
        <f>IFERROR(VLOOKUP($C292,'PORTIFÓLIO'!C:V,5,0),"")</f>
        <v/>
      </c>
      <c r="H292" s="247">
        <f t="array" ref="H292">IFERROR(INDEX('PORTIFÓLIO'!$H$4:$H$433,MATCH($C292,'PORTIFÓLIO'!$C$4:$C$433,0)),"")</f>
        <v/>
      </c>
      <c r="I292" s="253" t="n">
        <v>0.2</v>
      </c>
      <c r="J292" s="209">
        <f>I292*$B$2</f>
        <v/>
      </c>
      <c r="K292" s="248">
        <f t="array" ref="K292">IFERROR(I292*INDEX('PORTIFÓLIO'!$S$4:$S$433,MATCH($C292,'PORTIFÓLIO'!$C$4:$C$433,0)),"")</f>
        <v/>
      </c>
      <c r="L292" s="248">
        <f t="array" ref="L292">IFERROR(J292*INDEX('PORTIFÓLIO'!$S$4:$S$433,MATCH($C292,'PORTIFÓLIO'!$C$4:$C$433,0)),"")</f>
        <v/>
      </c>
      <c r="M292" s="238" t="n"/>
      <c r="N292" s="177" t="n"/>
      <c r="O292" s="177" t="n"/>
      <c r="P292" s="177" t="n"/>
      <c r="Q292" s="177" t="n"/>
      <c r="R292" s="177" t="n"/>
      <c r="S292" s="177" t="n"/>
      <c r="T292" s="177" t="n"/>
      <c r="U292" s="177" t="n"/>
      <c r="V292" s="177" t="n"/>
      <c r="W292" s="177" t="n"/>
    </row>
    <row r="293" outlineLevel="1" ht="15.75" customHeight="1" s="297">
      <c r="A293" s="190" t="n"/>
      <c r="B293" s="204" t="inlineStr">
        <is>
          <t>INSETICIDA</t>
        </is>
      </c>
      <c r="C293" s="191" t="inlineStr">
        <is>
          <t>CLORFENAPIR NORTOX</t>
        </is>
      </c>
      <c r="D293" s="205">
        <f>IFERROR(VLOOKUP($C293,'PORTIFÓLIO'!C:V,2,0),"")</f>
        <v/>
      </c>
      <c r="E293" s="190">
        <f>IFERROR(VLOOKUP($C293,'PORTIFÓLIO'!C:V,3,0),"")</f>
        <v/>
      </c>
      <c r="F293" s="190">
        <f>IFERROR(VLOOKUP($C293,'PORTIFÓLIO'!C:V,4,0),"")</f>
        <v/>
      </c>
      <c r="G293" s="223">
        <f>IFERROR(VLOOKUP($C293,'PORTIFÓLIO'!C:V,5,0),"")</f>
        <v/>
      </c>
      <c r="H293" s="247">
        <f t="array" ref="H293">IFERROR(INDEX('PORTIFÓLIO'!$H$4:$H$433,MATCH($C293,'PORTIFÓLIO'!$C$4:$C$433,0)),"")</f>
        <v/>
      </c>
      <c r="I293" s="253" t="n">
        <v>1</v>
      </c>
      <c r="J293" s="209">
        <f>I293*$B$2</f>
        <v/>
      </c>
      <c r="K293" s="248">
        <f t="array" ref="K293">IFERROR(I293*INDEX('PORTIFÓLIO'!$S$4:$S$433,MATCH($C293,'PORTIFÓLIO'!$C$4:$C$433,0)),"")</f>
        <v/>
      </c>
      <c r="L293" s="248">
        <f t="array" ref="L293">IFERROR(J293*INDEX('PORTIFÓLIO'!$S$4:$S$433,MATCH($C293,'PORTIFÓLIO'!$C$4:$C$433,0)),"")</f>
        <v/>
      </c>
      <c r="M293" s="238" t="n"/>
      <c r="N293" s="177" t="n"/>
      <c r="O293" s="177" t="n"/>
      <c r="P293" s="177" t="n"/>
      <c r="Q293" s="177" t="n"/>
      <c r="R293" s="177" t="n"/>
      <c r="S293" s="177" t="n"/>
      <c r="T293" s="177" t="n"/>
      <c r="U293" s="177" t="n"/>
      <c r="V293" s="177" t="n"/>
      <c r="W293" s="177" t="n"/>
    </row>
    <row r="294" outlineLevel="1" ht="15.75" customHeight="1" s="297">
      <c r="A294" s="190" t="n"/>
      <c r="B294" s="204" t="inlineStr">
        <is>
          <t>FUNGICIDA</t>
        </is>
      </c>
      <c r="C294" s="191" t="inlineStr">
        <is>
          <t>TEBUCO A NORTOX</t>
        </is>
      </c>
      <c r="D294" s="205">
        <f>IFERROR(VLOOKUP($C294,'PORTIFÓLIO'!C:V,2,0),"")</f>
        <v/>
      </c>
      <c r="E294" s="190">
        <f>IFERROR(VLOOKUP($C294,'PORTIFÓLIO'!C:V,3,0),"")</f>
        <v/>
      </c>
      <c r="F294" s="190">
        <f>IFERROR(VLOOKUP($C294,'PORTIFÓLIO'!C:V,4,0),"")</f>
        <v/>
      </c>
      <c r="G294" s="223">
        <f>IFERROR(VLOOKUP($C294,'PORTIFÓLIO'!C:V,5,0),"")</f>
        <v/>
      </c>
      <c r="H294" s="247">
        <f t="array" ref="H294">IFERROR(INDEX('PORTIFÓLIO'!$H$4:$H$433,MATCH($C294,'PORTIFÓLIO'!$C$4:$C$433,0)),"")</f>
        <v/>
      </c>
      <c r="I294" s="253" t="n">
        <v>0.5</v>
      </c>
      <c r="J294" s="209">
        <f>I294*$B$2</f>
        <v/>
      </c>
      <c r="K294" s="248">
        <f t="array" ref="K294">IFERROR(I294*INDEX('PORTIFÓLIO'!$S$4:$S$433,MATCH($C294,'PORTIFÓLIO'!$C$4:$C$433,0)),"")</f>
        <v/>
      </c>
      <c r="L294" s="248">
        <f t="array" ref="L294">IFERROR(J294*INDEX('PORTIFÓLIO'!$S$4:$S$433,MATCH($C294,'PORTIFÓLIO'!$C$4:$C$433,0)),"")</f>
        <v/>
      </c>
      <c r="M294" s="238" t="n"/>
      <c r="N294" s="177" t="n"/>
      <c r="O294" s="177" t="n"/>
      <c r="P294" s="177" t="n"/>
      <c r="Q294" s="177" t="n"/>
      <c r="R294" s="177" t="n"/>
      <c r="S294" s="177" t="n"/>
      <c r="T294" s="177" t="n"/>
      <c r="U294" s="177" t="n"/>
      <c r="V294" s="177" t="n"/>
      <c r="W294" s="177" t="n"/>
    </row>
    <row r="295" outlineLevel="1" ht="15.75" customHeight="1" s="297">
      <c r="A295" s="190" t="n"/>
      <c r="B295" s="204" t="n"/>
      <c r="C295" s="191" t="n"/>
      <c r="D295" s="205">
        <f>IFERROR(VLOOKUP($C295,'PORTIFÓLIO'!C:V,2,0),"")</f>
        <v/>
      </c>
      <c r="E295" s="190">
        <f>IFERROR(VLOOKUP($C295,'PORTIFÓLIO'!C:V,3,0),"")</f>
        <v/>
      </c>
      <c r="F295" s="190">
        <f>IFERROR(VLOOKUP($C295,'PORTIFÓLIO'!C:V,4,0),"")</f>
        <v/>
      </c>
      <c r="G295" s="206">
        <f>IFERROR(VLOOKUP($C295,'PORTIFÓLIO'!C:V,5,0),"")</f>
        <v/>
      </c>
      <c r="H295" s="247">
        <f t="array" ref="H295">IFERROR(INDEX('PORTIFÓLIO'!$H$4:$H$433,MATCH($C295,'PORTIFÓLIO'!$C$4:$C$433,0)),"")</f>
        <v/>
      </c>
      <c r="I295" s="257" t="n"/>
      <c r="J295" s="209">
        <f>I295*$B$2</f>
        <v/>
      </c>
      <c r="K295" s="248">
        <f t="array" ref="K295">IFERROR(I295*INDEX('PORTIFÓLIO'!$S$4:$S$433,MATCH($C295,'PORTIFÓLIO'!$C$4:$C$433,0)),"")</f>
        <v/>
      </c>
      <c r="L295" s="248">
        <f t="array" ref="L295">IFERROR(J295*INDEX('PORTIFÓLIO'!$S$4:$S$433,MATCH($C295,'PORTIFÓLIO'!$C$4:$C$433,0)),"")</f>
        <v/>
      </c>
      <c r="M295" s="238" t="n"/>
      <c r="N295" s="177" t="n"/>
      <c r="O295" s="177" t="n"/>
      <c r="P295" s="177" t="n"/>
      <c r="Q295" s="177" t="n"/>
      <c r="R295" s="177" t="n"/>
      <c r="S295" s="177" t="n"/>
      <c r="T295" s="177" t="n"/>
      <c r="U295" s="177" t="n"/>
      <c r="V295" s="177" t="n"/>
      <c r="W295" s="177" t="n"/>
    </row>
    <row r="296" outlineLevel="1" ht="15.75" customHeight="1" s="297">
      <c r="A296" s="190" t="n"/>
      <c r="B296" s="204" t="n"/>
      <c r="C296" s="191" t="n"/>
      <c r="D296" s="205">
        <f>IFERROR(VLOOKUP($C296,'PORTIFÓLIO'!C:V,2,0),"")</f>
        <v/>
      </c>
      <c r="E296" s="190">
        <f>IFERROR(VLOOKUP($C296,'PORTIFÓLIO'!C:V,3,0),"")</f>
        <v/>
      </c>
      <c r="F296" s="190">
        <f>IFERROR(VLOOKUP($C296,'PORTIFÓLIO'!C:V,4,0),"")</f>
        <v/>
      </c>
      <c r="G296" s="206">
        <f>IFERROR(VLOOKUP($C296,'PORTIFÓLIO'!C:V,5,0),"")</f>
        <v/>
      </c>
      <c r="H296" s="247">
        <f t="array" ref="H296">IFERROR(INDEX('PORTIFÓLIO'!$H$4:$H$433,MATCH($C296,'PORTIFÓLIO'!$C$4:$C$433,0)),"")</f>
        <v/>
      </c>
      <c r="I296" s="257" t="n"/>
      <c r="J296" s="209">
        <f>I296*$B$2</f>
        <v/>
      </c>
      <c r="K296" s="248">
        <f t="array" ref="K296">IFERROR(I296*INDEX('PORTIFÓLIO'!$S$4:$S$433,MATCH($C296,'PORTIFÓLIO'!$C$4:$C$433,0)),"")</f>
        <v/>
      </c>
      <c r="L296" s="248">
        <f t="array" ref="L296">IFERROR(J296*INDEX('PORTIFÓLIO'!$S$4:$S$433,MATCH($C296,'PORTIFÓLIO'!$C$4:$C$433,0)),"")</f>
        <v/>
      </c>
      <c r="M296" s="238" t="n"/>
      <c r="N296" s="177" t="n"/>
      <c r="O296" s="177" t="n"/>
      <c r="P296" s="177" t="n"/>
      <c r="Q296" s="177" t="n"/>
      <c r="R296" s="177" t="n"/>
      <c r="S296" s="177" t="n"/>
      <c r="T296" s="177" t="n"/>
      <c r="U296" s="177" t="n"/>
      <c r="V296" s="177" t="n"/>
      <c r="W296" s="177" t="n"/>
    </row>
    <row r="297" outlineLevel="1" ht="15.75" customHeight="1" s="297">
      <c r="A297" s="190" t="n"/>
      <c r="B297" s="204" t="n"/>
      <c r="C297" s="191" t="n"/>
      <c r="D297" s="205">
        <f>IFERROR(VLOOKUP($C297,'PORTIFÓLIO'!C:V,2,0),"")</f>
        <v/>
      </c>
      <c r="E297" s="190">
        <f>IFERROR(VLOOKUP($C297,'PORTIFÓLIO'!C:V,3,0),"")</f>
        <v/>
      </c>
      <c r="F297" s="190">
        <f>IFERROR(VLOOKUP($C297,'PORTIFÓLIO'!C:V,4,0),"")</f>
        <v/>
      </c>
      <c r="G297" s="206">
        <f>IFERROR(VLOOKUP($C297,'PORTIFÓLIO'!C:V,5,0),"")</f>
        <v/>
      </c>
      <c r="H297" s="247">
        <f t="array" ref="H297">IFERROR(INDEX('PORTIFÓLIO'!$H$4:$H$433,MATCH($C297,'PORTIFÓLIO'!$C$4:$C$433,0)),"")</f>
        <v/>
      </c>
      <c r="I297" s="257" t="n"/>
      <c r="J297" s="209">
        <f>I297*$B$2</f>
        <v/>
      </c>
      <c r="K297" s="248">
        <f t="array" ref="K297">IFERROR(I297*INDEX('PORTIFÓLIO'!$S$4:$S$433,MATCH($C297,'PORTIFÓLIO'!$C$4:$C$433,0)),"")</f>
        <v/>
      </c>
      <c r="L297" s="248">
        <f t="array" ref="L297">IFERROR(J297*INDEX('PORTIFÓLIO'!$S$4:$S$433,MATCH($C297,'PORTIFÓLIO'!$C$4:$C$433,0)),"")</f>
        <v/>
      </c>
      <c r="M297" s="238" t="n"/>
      <c r="N297" s="177" t="n"/>
      <c r="O297" s="177" t="n"/>
      <c r="P297" s="177" t="n"/>
      <c r="Q297" s="177" t="n"/>
      <c r="R297" s="177" t="n"/>
      <c r="S297" s="177" t="n"/>
      <c r="T297" s="177" t="n"/>
      <c r="U297" s="177" t="n"/>
      <c r="V297" s="177" t="n"/>
      <c r="W297" s="177" t="n"/>
    </row>
    <row r="298" outlineLevel="1" ht="15.75" customHeight="1" s="297">
      <c r="A298" s="190" t="n"/>
      <c r="B298" s="204" t="n"/>
      <c r="C298" s="191" t="n"/>
      <c r="D298" s="205">
        <f>IFERROR(VLOOKUP($C298,'PORTIFÓLIO'!C:V,2,0),"")</f>
        <v/>
      </c>
      <c r="E298" s="190">
        <f>IFERROR(VLOOKUP($C298,'PORTIFÓLIO'!C:V,3,0),"")</f>
        <v/>
      </c>
      <c r="F298" s="190">
        <f>IFERROR(VLOOKUP($C298,'PORTIFÓLIO'!C:V,4,0),"")</f>
        <v/>
      </c>
      <c r="G298" s="206">
        <f>IFERROR(VLOOKUP($C298,'PORTIFÓLIO'!C:V,5,0),"")</f>
        <v/>
      </c>
      <c r="H298" s="247">
        <f t="array" ref="H298">IFERROR(INDEX('PORTIFÓLIO'!$H$4:$H$433,MATCH($C298,'PORTIFÓLIO'!$C$4:$C$433,0)),"")</f>
        <v/>
      </c>
      <c r="I298" s="257" t="n"/>
      <c r="J298" s="209">
        <f>I298*$B$2</f>
        <v/>
      </c>
      <c r="K298" s="248">
        <f t="array" ref="K298">IFERROR(I298*INDEX('PORTIFÓLIO'!$S$4:$S$433,MATCH($C298,'PORTIFÓLIO'!$C$4:$C$433,0)),"")</f>
        <v/>
      </c>
      <c r="L298" s="248">
        <f t="array" ref="L298">IFERROR(J298*INDEX('PORTIFÓLIO'!$S$4:$S$433,MATCH($C298,'PORTIFÓLIO'!$C$4:$C$433,0)),"")</f>
        <v/>
      </c>
      <c r="M298" s="238" t="n"/>
      <c r="N298" s="177" t="n"/>
      <c r="O298" s="177" t="n"/>
      <c r="P298" s="177" t="n"/>
      <c r="Q298" s="177" t="n"/>
      <c r="R298" s="177" t="n"/>
      <c r="S298" s="177" t="n"/>
      <c r="T298" s="177" t="n"/>
      <c r="U298" s="177" t="n"/>
      <c r="V298" s="177" t="n"/>
      <c r="W298" s="177" t="n"/>
    </row>
    <row r="299" outlineLevel="1" ht="15.75" customHeight="1" s="297">
      <c r="A299" s="190" t="n"/>
      <c r="B299" s="204" t="n"/>
      <c r="C299" s="191" t="n"/>
      <c r="D299" s="205">
        <f>IFERROR(VLOOKUP($C299,'PORTIFÓLIO'!C:V,2,0),"")</f>
        <v/>
      </c>
      <c r="E299" s="190">
        <f>IFERROR(VLOOKUP($C299,'PORTIFÓLIO'!C:V,3,0),"")</f>
        <v/>
      </c>
      <c r="F299" s="190">
        <f>IFERROR(VLOOKUP($C299,'PORTIFÓLIO'!C:V,4,0),"")</f>
        <v/>
      </c>
      <c r="G299" s="206">
        <f>IFERROR(VLOOKUP($C299,'PORTIFÓLIO'!C:V,5,0),"")</f>
        <v/>
      </c>
      <c r="H299" s="247">
        <f t="array" ref="H299">IFERROR(INDEX('PORTIFÓLIO'!$H$4:$H$433,MATCH($C299,'PORTIFÓLIO'!$C$4:$C$433,0)),"")</f>
        <v/>
      </c>
      <c r="I299" s="253" t="n"/>
      <c r="J299" s="209">
        <f>I299*$B$2</f>
        <v/>
      </c>
      <c r="K299" s="248">
        <f t="array" ref="K299">IFERROR(I299*INDEX('PORTIFÓLIO'!$S$4:$S$433,MATCH($C299,'PORTIFÓLIO'!$C$4:$C$433,0)),"")</f>
        <v/>
      </c>
      <c r="L299" s="248">
        <f t="array" ref="L299">IFERROR(J299*INDEX('PORTIFÓLIO'!$S$4:$S$433,MATCH($C299,'PORTIFÓLIO'!$C$4:$C$433,0)),"")</f>
        <v/>
      </c>
      <c r="M299" s="238" t="n"/>
      <c r="N299" s="177" t="n"/>
      <c r="O299" s="177" t="n"/>
      <c r="P299" s="177" t="n"/>
      <c r="Q299" s="177" t="n"/>
      <c r="R299" s="177" t="n"/>
      <c r="S299" s="177" t="n"/>
      <c r="T299" s="177" t="n"/>
      <c r="U299" s="177" t="n"/>
      <c r="V299" s="177" t="n"/>
      <c r="W299" s="177" t="n"/>
    </row>
    <row r="300" outlineLevel="1" ht="15.75" customHeight="1" s="297">
      <c r="A300" s="190" t="n"/>
      <c r="B300" s="204" t="n"/>
      <c r="C300" s="191" t="n"/>
      <c r="D300" s="205">
        <f>IFERROR(VLOOKUP($C300,'PORTIFÓLIO'!C:V,2,0),"")</f>
        <v/>
      </c>
      <c r="E300" s="190">
        <f>IFERROR(VLOOKUP($C300,'PORTIFÓLIO'!C:V,3,0),"")</f>
        <v/>
      </c>
      <c r="F300" s="190">
        <f>IFERROR(VLOOKUP($C300,'PORTIFÓLIO'!C:V,4,0),"")</f>
        <v/>
      </c>
      <c r="G300" s="206">
        <f>IFERROR(VLOOKUP($C300,'PORTIFÓLIO'!C:V,5,0),"")</f>
        <v/>
      </c>
      <c r="H300" s="247">
        <f t="array" ref="H300">IFERROR(INDEX('PORTIFÓLIO'!$H$4:$H$433,MATCH($C300,'PORTIFÓLIO'!$C$4:$C$433,0)),"")</f>
        <v/>
      </c>
      <c r="I300" s="257" t="n"/>
      <c r="J300" s="209">
        <f>I300*$B$2</f>
        <v/>
      </c>
      <c r="K300" s="248">
        <f t="array" ref="K300">IFERROR(I300*INDEX('PORTIFÓLIO'!$S$4:$S$433,MATCH($C300,'PORTIFÓLIO'!$C$4:$C$433,0)),"")</f>
        <v/>
      </c>
      <c r="L300" s="248">
        <f t="array" ref="L300">IFERROR(J300*INDEX('PORTIFÓLIO'!$S$4:$S$433,MATCH($C300,'PORTIFÓLIO'!$C$4:$C$433,0)),"")</f>
        <v/>
      </c>
      <c r="M300" s="238" t="n"/>
      <c r="N300" s="177" t="n"/>
      <c r="O300" s="177" t="n"/>
      <c r="P300" s="177" t="n"/>
      <c r="Q300" s="177" t="n"/>
      <c r="R300" s="177" t="n"/>
      <c r="S300" s="177" t="n"/>
      <c r="T300" s="177" t="n"/>
      <c r="U300" s="177" t="n"/>
      <c r="V300" s="177" t="n"/>
      <c r="W300" s="177" t="n"/>
    </row>
    <row r="301" outlineLevel="1" ht="15.75" customHeight="1" s="297">
      <c r="A301" s="190" t="n"/>
      <c r="B301" s="204" t="n"/>
      <c r="C301" s="191" t="n"/>
      <c r="D301" s="205">
        <f>IFERROR(VLOOKUP($C301,'PORTIFÓLIO'!C:V,2,0),"")</f>
        <v/>
      </c>
      <c r="E301" s="190">
        <f>IFERROR(VLOOKUP($C301,'PORTIFÓLIO'!C:V,3,0),"")</f>
        <v/>
      </c>
      <c r="F301" s="190">
        <f>IFERROR(VLOOKUP($C301,'PORTIFÓLIO'!C:V,4,0),"")</f>
        <v/>
      </c>
      <c r="G301" s="206">
        <f>IFERROR(VLOOKUP($C301,'PORTIFÓLIO'!C:V,5,0),"")</f>
        <v/>
      </c>
      <c r="H301" s="247">
        <f t="array" ref="H301">IFERROR(INDEX('PORTIFÓLIO'!$H$4:$H$433,MATCH($C301,'PORTIFÓLIO'!$C$4:$C$433,0)),"")</f>
        <v/>
      </c>
      <c r="I301" s="257" t="n"/>
      <c r="J301" s="209">
        <f>I301*$B$2</f>
        <v/>
      </c>
      <c r="K301" s="248">
        <f t="array" ref="K301">IFERROR(I301*INDEX('PORTIFÓLIO'!$S$4:$S$433,MATCH($C301,'PORTIFÓLIO'!$C$4:$C$433,0)),"")</f>
        <v/>
      </c>
      <c r="L301" s="248">
        <f t="array" ref="L301">IFERROR(J301*INDEX('PORTIFÓLIO'!$S$4:$S$433,MATCH($C301,'PORTIFÓLIO'!$C$4:$C$433,0)),"")</f>
        <v/>
      </c>
      <c r="M301" s="238" t="n"/>
      <c r="N301" s="177" t="n"/>
      <c r="O301" s="177" t="n"/>
      <c r="P301" s="177" t="n"/>
      <c r="Q301" s="177" t="n"/>
      <c r="R301" s="177" t="n"/>
      <c r="S301" s="177" t="n"/>
      <c r="T301" s="177" t="n"/>
      <c r="U301" s="177" t="n"/>
      <c r="V301" s="177" t="n"/>
      <c r="W301" s="177" t="n"/>
    </row>
    <row r="302" outlineLevel="1" ht="15.75" customHeight="1" s="297">
      <c r="A302" s="190" t="n"/>
      <c r="B302" s="204" t="n"/>
      <c r="C302" s="191" t="n"/>
      <c r="D302" s="205">
        <f>IFERROR(VLOOKUP($C302,'PORTIFÓLIO'!C:V,2,0),"")</f>
        <v/>
      </c>
      <c r="E302" s="190">
        <f>IFERROR(VLOOKUP($C302,'PORTIFÓLIO'!C:V,3,0),"")</f>
        <v/>
      </c>
      <c r="F302" s="190">
        <f>IFERROR(VLOOKUP($C302,'PORTIFÓLIO'!C:V,4,0),"")</f>
        <v/>
      </c>
      <c r="G302" s="206">
        <f>IFERROR(VLOOKUP($C302,'PORTIFÓLIO'!C:V,5,0),"")</f>
        <v/>
      </c>
      <c r="H302" s="247">
        <f t="array" ref="H302">IFERROR(INDEX('PORTIFÓLIO'!$H$4:$H$433,MATCH($C302,'PORTIFÓLIO'!$C$4:$C$433,0)),"")</f>
        <v/>
      </c>
      <c r="I302" s="257" t="n"/>
      <c r="J302" s="209">
        <f>I302*$B$2</f>
        <v/>
      </c>
      <c r="K302" s="248">
        <f t="array" ref="K302">IFERROR(I302*INDEX('PORTIFÓLIO'!$S$4:$S$433,MATCH($C302,'PORTIFÓLIO'!$C$4:$C$433,0)),"")</f>
        <v/>
      </c>
      <c r="L302" s="248">
        <f t="array" ref="L302">IFERROR(J302*INDEX('PORTIFÓLIO'!$S$4:$S$433,MATCH($C302,'PORTIFÓLIO'!$C$4:$C$433,0)),"")</f>
        <v/>
      </c>
      <c r="M302" s="238" t="n"/>
      <c r="N302" s="177" t="n"/>
      <c r="O302" s="177" t="n"/>
      <c r="P302" s="177" t="n"/>
      <c r="Q302" s="177" t="n"/>
      <c r="R302" s="177" t="n"/>
      <c r="S302" s="177" t="n"/>
      <c r="T302" s="177" t="n"/>
      <c r="U302" s="177" t="n"/>
      <c r="V302" s="177" t="n"/>
      <c r="W302" s="177" t="n"/>
    </row>
    <row r="303" outlineLevel="1" ht="15.75" customHeight="1" s="297">
      <c r="A303" s="190" t="n"/>
      <c r="B303" s="204" t="n"/>
      <c r="C303" s="191" t="n"/>
      <c r="D303" s="205">
        <f>IFERROR(VLOOKUP($C303,'PORTIFÓLIO'!C:V,2,0),"")</f>
        <v/>
      </c>
      <c r="E303" s="190">
        <f>IFERROR(VLOOKUP($C303,'PORTIFÓLIO'!C:V,3,0),"")</f>
        <v/>
      </c>
      <c r="F303" s="190">
        <f>IFERROR(VLOOKUP($C303,'PORTIFÓLIO'!C:V,4,0),"")</f>
        <v/>
      </c>
      <c r="G303" s="206">
        <f>IFERROR(VLOOKUP($C303,'PORTIFÓLIO'!C:V,5,0),"")</f>
        <v/>
      </c>
      <c r="H303" s="247">
        <f t="array" ref="H303">IFERROR(INDEX('PORTIFÓLIO'!$H$4:$H$433,MATCH($C303,'PORTIFÓLIO'!$C$4:$C$433,0)),"")</f>
        <v/>
      </c>
      <c r="I303" s="257" t="n"/>
      <c r="J303" s="209">
        <f>I303*$B$2</f>
        <v/>
      </c>
      <c r="K303" s="248">
        <f t="array" ref="K303">IFERROR(I303*INDEX('PORTIFÓLIO'!$S$4:$S$433,MATCH($C303,'PORTIFÓLIO'!$C$4:$C$433,0)),"")</f>
        <v/>
      </c>
      <c r="L303" s="248">
        <f t="array" ref="L303">IFERROR(J303*INDEX('PORTIFÓLIO'!$S$4:$S$433,MATCH($C303,'PORTIFÓLIO'!$C$4:$C$433,0)),"")</f>
        <v/>
      </c>
      <c r="M303" s="238" t="n"/>
      <c r="N303" s="177" t="n"/>
      <c r="O303" s="177" t="n"/>
      <c r="P303" s="177" t="n"/>
      <c r="Q303" s="177" t="n"/>
      <c r="R303" s="177" t="n"/>
      <c r="S303" s="177" t="n"/>
      <c r="T303" s="177" t="n"/>
      <c r="U303" s="177" t="n"/>
      <c r="V303" s="177" t="n"/>
      <c r="W303" s="177" t="n"/>
    </row>
    <row r="304" outlineLevel="1" ht="15.75" customHeight="1" s="297">
      <c r="A304" s="190" t="n"/>
      <c r="B304" s="204" t="n"/>
      <c r="C304" s="191" t="n"/>
      <c r="D304" s="205">
        <f>IFERROR(VLOOKUP($C304,'PORTIFÓLIO'!C:V,2,0),"")</f>
        <v/>
      </c>
      <c r="E304" s="190">
        <f>IFERROR(VLOOKUP($C304,'PORTIFÓLIO'!C:V,3,0),"")</f>
        <v/>
      </c>
      <c r="F304" s="190">
        <f>IFERROR(VLOOKUP($C304,'PORTIFÓLIO'!C:V,4,0),"")</f>
        <v/>
      </c>
      <c r="G304" s="206">
        <f>IFERROR(VLOOKUP($C304,'PORTIFÓLIO'!C:V,5,0),"")</f>
        <v/>
      </c>
      <c r="H304" s="247">
        <f t="array" ref="H304">IFERROR(INDEX('PORTIFÓLIO'!$H$4:$H$433,MATCH($C304,'PORTIFÓLIO'!$C$4:$C$433,0)),"")</f>
        <v/>
      </c>
      <c r="I304" s="257" t="n"/>
      <c r="J304" s="209">
        <f>I304*$B$2</f>
        <v/>
      </c>
      <c r="K304" s="248">
        <f t="array" ref="K304">IFERROR(I304*INDEX('PORTIFÓLIO'!$S$4:$S$433,MATCH($C304,'PORTIFÓLIO'!$C$4:$C$433,0)),"")</f>
        <v/>
      </c>
      <c r="L304" s="248">
        <f t="array" ref="L304">IFERROR(J304*INDEX('PORTIFÓLIO'!$S$4:$S$433,MATCH($C304,'PORTIFÓLIO'!$C$4:$C$433,0)),"")</f>
        <v/>
      </c>
      <c r="M304" s="238" t="n"/>
      <c r="N304" s="177" t="n"/>
      <c r="O304" s="177" t="n"/>
      <c r="P304" s="177" t="n"/>
      <c r="Q304" s="177" t="n"/>
      <c r="R304" s="177" t="n"/>
      <c r="S304" s="177" t="n"/>
      <c r="T304" s="177" t="n"/>
      <c r="U304" s="177" t="n"/>
      <c r="V304" s="177" t="n"/>
      <c r="W304" s="177" t="n"/>
    </row>
    <row r="305" outlineLevel="1" ht="15.75" customHeight="1" s="297">
      <c r="A305" s="190" t="n"/>
      <c r="B305" s="204" t="n"/>
      <c r="C305" s="191" t="n"/>
      <c r="D305" s="205">
        <f>IFERROR(VLOOKUP($C305,'PORTIFÓLIO'!C:V,2,0),"")</f>
        <v/>
      </c>
      <c r="E305" s="190">
        <f>IFERROR(VLOOKUP($C305,'PORTIFÓLIO'!C:V,3,0),"")</f>
        <v/>
      </c>
      <c r="F305" s="190">
        <f>IFERROR(VLOOKUP($C305,'PORTIFÓLIO'!C:V,4,0),"")</f>
        <v/>
      </c>
      <c r="G305" s="206">
        <f>IFERROR(VLOOKUP($C305,'PORTIFÓLIO'!C:V,5,0),"")</f>
        <v/>
      </c>
      <c r="H305" s="247">
        <f t="array" ref="H305">IFERROR(INDEX('PORTIFÓLIO'!$H$4:$H$433,MATCH($C305,'PORTIFÓLIO'!$C$4:$C$433,0)),"")</f>
        <v/>
      </c>
      <c r="I305" s="257" t="n"/>
      <c r="J305" s="209">
        <f>I305*$B$2</f>
        <v/>
      </c>
      <c r="K305" s="248">
        <f t="array" ref="K305">IFERROR(I305*INDEX('PORTIFÓLIO'!$S$4:$S$433,MATCH($C305,'PORTIFÓLIO'!$C$4:$C$433,0)),"")</f>
        <v/>
      </c>
      <c r="L305" s="248">
        <f t="array" ref="L305">IFERROR(J305*INDEX('PORTIFÓLIO'!$S$4:$S$433,MATCH($C305,'PORTIFÓLIO'!$C$4:$C$433,0)),"")</f>
        <v/>
      </c>
      <c r="M305" s="238" t="n"/>
      <c r="N305" s="177" t="n"/>
      <c r="O305" s="177" t="n"/>
      <c r="P305" s="177" t="n"/>
      <c r="Q305" s="177" t="n"/>
      <c r="R305" s="177" t="n"/>
      <c r="S305" s="177" t="n"/>
      <c r="T305" s="177" t="n"/>
      <c r="U305" s="177" t="n"/>
      <c r="V305" s="177" t="n"/>
      <c r="W305" s="177" t="n"/>
    </row>
    <row r="306" outlineLevel="1" ht="15.75" customHeight="1" s="297">
      <c r="A306" s="190" t="n"/>
      <c r="B306" s="204" t="n"/>
      <c r="C306" s="191" t="n"/>
      <c r="D306" s="205">
        <f>IFERROR(VLOOKUP($C306,'PORTIFÓLIO'!C:V,2,0),"")</f>
        <v/>
      </c>
      <c r="E306" s="190">
        <f>IFERROR(VLOOKUP($C306,'PORTIFÓLIO'!C:V,3,0),"")</f>
        <v/>
      </c>
      <c r="F306" s="190">
        <f>IFERROR(VLOOKUP($C306,'PORTIFÓLIO'!C:V,4,0),"")</f>
        <v/>
      </c>
      <c r="G306" s="206">
        <f>IFERROR(VLOOKUP($C306,'PORTIFÓLIO'!C:V,5,0),"")</f>
        <v/>
      </c>
      <c r="H306" s="247">
        <f t="array" ref="H306">IFERROR(INDEX('PORTIFÓLIO'!$H$4:$H$433,MATCH($C306,'PORTIFÓLIO'!$C$4:$C$433,0)),"")</f>
        <v/>
      </c>
      <c r="I306" s="257" t="n"/>
      <c r="J306" s="209">
        <f>I306*$B$2</f>
        <v/>
      </c>
      <c r="K306" s="248">
        <f t="array" ref="K306">IFERROR(I306*INDEX('PORTIFÓLIO'!$S$4:$S$433,MATCH($C306,'PORTIFÓLIO'!$C$4:$C$433,0)),"")</f>
        <v/>
      </c>
      <c r="L306" s="248">
        <f t="array" ref="L306">IFERROR(J306*INDEX('PORTIFÓLIO'!$S$4:$S$433,MATCH($C306,'PORTIFÓLIO'!$C$4:$C$433,0)),"")</f>
        <v/>
      </c>
      <c r="M306" s="238" t="n"/>
      <c r="N306" s="177" t="n"/>
      <c r="O306" s="177" t="n"/>
      <c r="P306" s="177" t="n"/>
      <c r="Q306" s="177" t="n"/>
      <c r="R306" s="177" t="n"/>
      <c r="S306" s="177" t="n"/>
      <c r="T306" s="177" t="n"/>
      <c r="U306" s="177" t="n"/>
      <c r="V306" s="177" t="n"/>
      <c r="W306" s="177" t="n"/>
    </row>
    <row r="307" outlineLevel="1" ht="15.75" customHeight="1" s="297">
      <c r="A307" s="190" t="n"/>
      <c r="B307" s="204" t="n"/>
      <c r="C307" s="191" t="n"/>
      <c r="D307" s="205">
        <f>IFERROR(VLOOKUP($C307,'PORTIFÓLIO'!C:V,2,0),"")</f>
        <v/>
      </c>
      <c r="E307" s="190">
        <f>IFERROR(VLOOKUP($C307,'PORTIFÓLIO'!C:V,3,0),"")</f>
        <v/>
      </c>
      <c r="F307" s="190">
        <f>IFERROR(VLOOKUP($C307,'PORTIFÓLIO'!C:V,4,0),"")</f>
        <v/>
      </c>
      <c r="G307" s="206">
        <f>IFERROR(VLOOKUP($C307,'PORTIFÓLIO'!C:V,5,0),"")</f>
        <v/>
      </c>
      <c r="H307" s="247">
        <f t="array" ref="H307">IFERROR(INDEX('PORTIFÓLIO'!$H$4:$H$433,MATCH($C307,'PORTIFÓLIO'!$C$4:$C$433,0)),"")</f>
        <v/>
      </c>
      <c r="I307" s="257" t="n"/>
      <c r="J307" s="209">
        <f>I307*$B$2</f>
        <v/>
      </c>
      <c r="K307" s="248">
        <f t="array" ref="K307">IFERROR(I307*INDEX('PORTIFÓLIO'!$S$4:$S$433,MATCH($C307,'PORTIFÓLIO'!$C$4:$C$433,0)),"")</f>
        <v/>
      </c>
      <c r="L307" s="248">
        <f t="array" ref="L307">IFERROR(J307*INDEX('PORTIFÓLIO'!$S$4:$S$433,MATCH($C307,'PORTIFÓLIO'!$C$4:$C$433,0)),"")</f>
        <v/>
      </c>
      <c r="M307" s="238" t="n"/>
      <c r="N307" s="177" t="n"/>
      <c r="O307" s="177" t="n"/>
      <c r="P307" s="177" t="n"/>
      <c r="Q307" s="177" t="n"/>
      <c r="R307" s="177" t="n"/>
      <c r="S307" s="177" t="n"/>
      <c r="T307" s="177" t="n"/>
      <c r="U307" s="177" t="n"/>
      <c r="V307" s="177" t="n"/>
      <c r="W307" s="177" t="n"/>
    </row>
    <row r="308" ht="15.75" customHeight="1" s="297">
      <c r="A308" s="221" t="inlineStr">
        <is>
          <t>OPERAÇÃO 5</t>
        </is>
      </c>
      <c r="B308" s="197" t="n"/>
      <c r="C308" s="196" t="n"/>
      <c r="D308" s="198" t="n"/>
      <c r="E308" s="196" t="n"/>
      <c r="F308" s="196" t="n"/>
      <c r="G308" s="199" t="n"/>
      <c r="H308" s="199" t="n"/>
      <c r="I308" s="252" t="n"/>
      <c r="J308" s="202" t="n"/>
      <c r="K308" s="203">
        <f>SUBTOTAL(9,K309:K322)</f>
        <v/>
      </c>
      <c r="L308" s="203">
        <f>SUBTOTAL(9,L309:L322)</f>
        <v/>
      </c>
      <c r="M308" s="238" t="n"/>
      <c r="N308" s="177" t="n"/>
      <c r="O308" s="177" t="n"/>
      <c r="P308" s="177" t="n"/>
      <c r="Q308" s="177" t="n"/>
      <c r="R308" s="177" t="n"/>
      <c r="S308" s="177" t="n"/>
      <c r="T308" s="177" t="n"/>
      <c r="U308" s="177" t="n"/>
      <c r="V308" s="177" t="n"/>
      <c r="W308" s="177" t="n"/>
    </row>
    <row r="309" outlineLevel="1" ht="15.75" customHeight="1" s="297">
      <c r="A309" s="191" t="n"/>
      <c r="B309" s="204" t="n"/>
      <c r="C309" s="191" t="n"/>
      <c r="D309" s="205">
        <f>IFERROR(VLOOKUP($C309,'PORTIFÓLIO'!C:V,2,0),"")</f>
        <v/>
      </c>
      <c r="E309" s="190">
        <f>IFERROR(VLOOKUP($C309,'PORTIFÓLIO'!C:V,3,0),"")</f>
        <v/>
      </c>
      <c r="F309" s="190">
        <f>IFERROR(VLOOKUP($C309,'PORTIFÓLIO'!C:V,4,0),"")</f>
        <v/>
      </c>
      <c r="G309" s="206">
        <f>IFERROR(VLOOKUP($C309,'PORTIFÓLIO'!C:V,5,0),"")</f>
        <v/>
      </c>
      <c r="H309" s="247">
        <f t="array" ref="H309">IFERROR(INDEX('PORTIFÓLIO'!$H$4:$H$433,MATCH($C309,'PORTIFÓLIO'!$C$4:$C$433,0)),"")</f>
        <v/>
      </c>
      <c r="I309" s="253" t="n"/>
      <c r="J309" s="209">
        <f>I309*$B$2</f>
        <v/>
      </c>
      <c r="K309" s="248">
        <f t="array" ref="K309">IFERROR(I309*INDEX('PORTIFÓLIO'!$S$4:$S$433,MATCH($C309,'PORTIFÓLIO'!$C$4:$C$433,0)),"")</f>
        <v/>
      </c>
      <c r="L309" s="248">
        <f t="array" ref="L309">IFERROR(J309*INDEX('PORTIFÓLIO'!$S$4:$S$433,MATCH($C309,'PORTIFÓLIO'!$C$4:$C$433,0)),"")</f>
        <v/>
      </c>
      <c r="M309" s="238" t="n"/>
      <c r="N309" s="177" t="n"/>
      <c r="O309" s="177" t="n"/>
      <c r="P309" s="177" t="n"/>
      <c r="Q309" s="177" t="n"/>
      <c r="R309" s="177" t="n"/>
      <c r="S309" s="177" t="n"/>
      <c r="T309" s="177" t="n"/>
      <c r="U309" s="177" t="n"/>
      <c r="V309" s="177" t="n"/>
      <c r="W309" s="177" t="n"/>
    </row>
    <row r="310" outlineLevel="1" ht="15.75" customHeight="1" s="297">
      <c r="A310" s="190" t="n"/>
      <c r="B310" s="204" t="n"/>
      <c r="C310" s="191" t="n"/>
      <c r="D310" s="205">
        <f>IFERROR(VLOOKUP($C310,'PORTIFÓLIO'!C:V,2,0),"")</f>
        <v/>
      </c>
      <c r="E310" s="190">
        <f>IFERROR(VLOOKUP($C310,'PORTIFÓLIO'!C:V,3,0),"")</f>
        <v/>
      </c>
      <c r="F310" s="190">
        <f>IFERROR(VLOOKUP($C310,'PORTIFÓLIO'!C:V,4,0),"")</f>
        <v/>
      </c>
      <c r="G310" s="206">
        <f>IFERROR(VLOOKUP($C310,'PORTIFÓLIO'!C:V,5,0),"")</f>
        <v/>
      </c>
      <c r="H310" s="247">
        <f t="array" ref="H310">IFERROR(INDEX('PORTIFÓLIO'!$H$4:$H$433,MATCH($C310,'PORTIFÓLIO'!$C$4:$C$433,0)),"")</f>
        <v/>
      </c>
      <c r="I310" s="257" t="n"/>
      <c r="J310" s="209">
        <f>I310*$B$2</f>
        <v/>
      </c>
      <c r="K310" s="248">
        <f t="array" ref="K310">IFERROR(I310*INDEX('PORTIFÓLIO'!$S$4:$S$433,MATCH($C310,'PORTIFÓLIO'!$C$4:$C$433,0)),"")</f>
        <v/>
      </c>
      <c r="L310" s="248">
        <f t="array" ref="L310">IFERROR(J310*INDEX('PORTIFÓLIO'!$S$4:$S$433,MATCH($C310,'PORTIFÓLIO'!$C$4:$C$433,0)),"")</f>
        <v/>
      </c>
      <c r="M310" s="238" t="n"/>
      <c r="N310" s="177" t="n"/>
      <c r="O310" s="177" t="n"/>
      <c r="P310" s="177" t="n"/>
      <c r="Q310" s="177" t="n"/>
      <c r="R310" s="177" t="n"/>
      <c r="S310" s="177" t="n"/>
      <c r="T310" s="177" t="n"/>
      <c r="U310" s="177" t="n"/>
      <c r="V310" s="177" t="n"/>
      <c r="W310" s="177" t="n"/>
    </row>
    <row r="311" outlineLevel="1" ht="15.75" customHeight="1" s="297">
      <c r="A311" s="190" t="n"/>
      <c r="B311" s="204" t="n"/>
      <c r="C311" s="191" t="n"/>
      <c r="D311" s="205">
        <f>IFERROR(VLOOKUP($C311,'PORTIFÓLIO'!C:V,2,0),"")</f>
        <v/>
      </c>
      <c r="E311" s="190">
        <f>IFERROR(VLOOKUP($C311,'PORTIFÓLIO'!C:V,3,0),"")</f>
        <v/>
      </c>
      <c r="F311" s="190">
        <f>IFERROR(VLOOKUP($C311,'PORTIFÓLIO'!C:V,4,0),"")</f>
        <v/>
      </c>
      <c r="G311" s="206">
        <f>IFERROR(VLOOKUP($C311,'PORTIFÓLIO'!C:V,5,0),"")</f>
        <v/>
      </c>
      <c r="H311" s="247">
        <f t="array" ref="H311">IFERROR(INDEX('PORTIFÓLIO'!$H$4:$H$433,MATCH($C311,'PORTIFÓLIO'!$C$4:$C$433,0)),"")</f>
        <v/>
      </c>
      <c r="I311" s="257" t="n"/>
      <c r="J311" s="209">
        <f>I311*$B$2</f>
        <v/>
      </c>
      <c r="K311" s="248">
        <f t="array" ref="K311">IFERROR(I311*INDEX('PORTIFÓLIO'!$S$4:$S$433,MATCH($C311,'PORTIFÓLIO'!$C$4:$C$433,0)),"")</f>
        <v/>
      </c>
      <c r="L311" s="248">
        <f t="array" ref="L311">IFERROR(J311*INDEX('PORTIFÓLIO'!$S$4:$S$433,MATCH($C311,'PORTIFÓLIO'!$C$4:$C$433,0)),"")</f>
        <v/>
      </c>
      <c r="M311" s="238" t="n"/>
      <c r="N311" s="177" t="n"/>
      <c r="O311" s="177" t="n"/>
      <c r="P311" s="177" t="n"/>
      <c r="Q311" s="177" t="n"/>
      <c r="R311" s="177" t="n"/>
      <c r="S311" s="177" t="n"/>
      <c r="T311" s="177" t="n"/>
      <c r="U311" s="177" t="n"/>
      <c r="V311" s="177" t="n"/>
      <c r="W311" s="177" t="n"/>
    </row>
    <row r="312" outlineLevel="1" ht="15.75" customHeight="1" s="297">
      <c r="A312" s="190" t="n"/>
      <c r="B312" s="204" t="n"/>
      <c r="C312" s="191" t="n"/>
      <c r="D312" s="205">
        <f>IFERROR(VLOOKUP($C312,'PORTIFÓLIO'!C:V,2,0),"")</f>
        <v/>
      </c>
      <c r="E312" s="190">
        <f>IFERROR(VLOOKUP($C312,'PORTIFÓLIO'!C:V,3,0),"")</f>
        <v/>
      </c>
      <c r="F312" s="190">
        <f>IFERROR(VLOOKUP($C312,'PORTIFÓLIO'!C:V,4,0),"")</f>
        <v/>
      </c>
      <c r="G312" s="206">
        <f>IFERROR(VLOOKUP($C312,'PORTIFÓLIO'!C:V,5,0),"")</f>
        <v/>
      </c>
      <c r="H312" s="247">
        <f t="array" ref="H312">IFERROR(INDEX('PORTIFÓLIO'!$H$4:$H$433,MATCH($C312,'PORTIFÓLIO'!$C$4:$C$433,0)),"")</f>
        <v/>
      </c>
      <c r="I312" s="257" t="n"/>
      <c r="J312" s="209">
        <f>I312*$B$2</f>
        <v/>
      </c>
      <c r="K312" s="248">
        <f t="array" ref="K312">IFERROR(I312*INDEX('PORTIFÓLIO'!$S$4:$S$433,MATCH($C312,'PORTIFÓLIO'!$C$4:$C$433,0)),"")</f>
        <v/>
      </c>
      <c r="L312" s="248">
        <f t="array" ref="L312">IFERROR(J312*INDEX('PORTIFÓLIO'!$S$4:$S$433,MATCH($C312,'PORTIFÓLIO'!$C$4:$C$433,0)),"")</f>
        <v/>
      </c>
      <c r="M312" s="238" t="n"/>
      <c r="N312" s="177" t="n"/>
      <c r="O312" s="177" t="n"/>
      <c r="P312" s="177" t="n"/>
      <c r="Q312" s="177" t="n"/>
      <c r="R312" s="177" t="n"/>
      <c r="S312" s="177" t="n"/>
      <c r="T312" s="177" t="n"/>
      <c r="U312" s="177" t="n"/>
      <c r="V312" s="177" t="n"/>
      <c r="W312" s="177" t="n"/>
    </row>
    <row r="313" outlineLevel="1" ht="15.75" customHeight="1" s="297">
      <c r="A313" s="190" t="n"/>
      <c r="B313" s="204" t="n"/>
      <c r="C313" s="191" t="n"/>
      <c r="D313" s="205">
        <f>IFERROR(VLOOKUP($C313,'PORTIFÓLIO'!C:V,2,0),"")</f>
        <v/>
      </c>
      <c r="E313" s="190">
        <f>IFERROR(VLOOKUP($C313,'PORTIFÓLIO'!C:V,3,0),"")</f>
        <v/>
      </c>
      <c r="F313" s="190">
        <f>IFERROR(VLOOKUP($C313,'PORTIFÓLIO'!C:V,4,0),"")</f>
        <v/>
      </c>
      <c r="G313" s="206">
        <f>IFERROR(VLOOKUP($C313,'PORTIFÓLIO'!C:V,5,0),"")</f>
        <v/>
      </c>
      <c r="H313" s="247">
        <f t="array" ref="H313">IFERROR(INDEX('PORTIFÓLIO'!$H$4:$H$433,MATCH($C313,'PORTIFÓLIO'!$C$4:$C$433,0)),"")</f>
        <v/>
      </c>
      <c r="I313" s="257" t="n"/>
      <c r="J313" s="209">
        <f>I313*$B$2</f>
        <v/>
      </c>
      <c r="K313" s="248">
        <f t="array" ref="K313">IFERROR(I313*INDEX('PORTIFÓLIO'!$S$4:$S$433,MATCH($C313,'PORTIFÓLIO'!$C$4:$C$433,0)),"")</f>
        <v/>
      </c>
      <c r="L313" s="248">
        <f t="array" ref="L313">IFERROR(J313*INDEX('PORTIFÓLIO'!$S$4:$S$433,MATCH($C313,'PORTIFÓLIO'!$C$4:$C$433,0)),"")</f>
        <v/>
      </c>
      <c r="M313" s="238" t="n"/>
      <c r="N313" s="177" t="n"/>
      <c r="O313" s="177" t="n"/>
      <c r="P313" s="177" t="n"/>
      <c r="Q313" s="177" t="n"/>
      <c r="R313" s="177" t="n"/>
      <c r="S313" s="177" t="n"/>
      <c r="T313" s="177" t="n"/>
      <c r="U313" s="177" t="n"/>
      <c r="V313" s="177" t="n"/>
      <c r="W313" s="177" t="n"/>
    </row>
    <row r="314" outlineLevel="1" ht="15.75" customHeight="1" s="297">
      <c r="A314" s="190" t="n"/>
      <c r="B314" s="204" t="n"/>
      <c r="C314" s="191" t="n"/>
      <c r="D314" s="205">
        <f>IFERROR(VLOOKUP($C314,'PORTIFÓLIO'!C:V,2,0),"")</f>
        <v/>
      </c>
      <c r="E314" s="190">
        <f>IFERROR(VLOOKUP($C314,'PORTIFÓLIO'!C:V,3,0),"")</f>
        <v/>
      </c>
      <c r="F314" s="190">
        <f>IFERROR(VLOOKUP($C314,'PORTIFÓLIO'!C:V,4,0),"")</f>
        <v/>
      </c>
      <c r="G314" s="206">
        <f>IFERROR(VLOOKUP($C314,'PORTIFÓLIO'!C:V,5,0),"")</f>
        <v/>
      </c>
      <c r="H314" s="247">
        <f t="array" ref="H314">IFERROR(INDEX('PORTIFÓLIO'!$H$4:$H$433,MATCH($C314,'PORTIFÓLIO'!$C$4:$C$433,0)),"")</f>
        <v/>
      </c>
      <c r="I314" s="257" t="n"/>
      <c r="J314" s="209">
        <f>I314*$B$2</f>
        <v/>
      </c>
      <c r="K314" s="248">
        <f t="array" ref="K314">IFERROR(I314*INDEX('PORTIFÓLIO'!$S$4:$S$433,MATCH($C314,'PORTIFÓLIO'!$C$4:$C$433,0)),"")</f>
        <v/>
      </c>
      <c r="L314" s="248">
        <f t="array" ref="L314">IFERROR(J314*INDEX('PORTIFÓLIO'!$S$4:$S$433,MATCH($C314,'PORTIFÓLIO'!$C$4:$C$433,0)),"")</f>
        <v/>
      </c>
      <c r="M314" s="238" t="n"/>
      <c r="N314" s="177" t="n"/>
      <c r="O314" s="177" t="n"/>
      <c r="P314" s="177" t="n"/>
      <c r="Q314" s="177" t="n"/>
      <c r="R314" s="177" t="n"/>
      <c r="S314" s="177" t="n"/>
      <c r="T314" s="177" t="n"/>
      <c r="U314" s="177" t="n"/>
      <c r="V314" s="177" t="n"/>
      <c r="W314" s="177" t="n"/>
    </row>
    <row r="315" outlineLevel="1" ht="15.75" customHeight="1" s="297">
      <c r="A315" s="190" t="n"/>
      <c r="B315" s="204" t="n"/>
      <c r="C315" s="191" t="n"/>
      <c r="D315" s="205">
        <f>IFERROR(VLOOKUP($C315,'PORTIFÓLIO'!C:V,2,0),"")</f>
        <v/>
      </c>
      <c r="E315" s="190">
        <f>IFERROR(VLOOKUP($C315,'PORTIFÓLIO'!C:V,3,0),"")</f>
        <v/>
      </c>
      <c r="F315" s="190">
        <f>IFERROR(VLOOKUP($C315,'PORTIFÓLIO'!C:V,4,0),"")</f>
        <v/>
      </c>
      <c r="G315" s="206">
        <f>IFERROR(VLOOKUP($C315,'PORTIFÓLIO'!C:V,5,0),"")</f>
        <v/>
      </c>
      <c r="H315" s="247">
        <f t="array" ref="H315">IFERROR(INDEX('PORTIFÓLIO'!$H$4:$H$433,MATCH($C315,'PORTIFÓLIO'!$C$4:$C$433,0)),"")</f>
        <v/>
      </c>
      <c r="I315" s="257" t="n"/>
      <c r="J315" s="209">
        <f>I315*$B$2</f>
        <v/>
      </c>
      <c r="K315" s="248">
        <f t="array" ref="K315">IFERROR(I315*INDEX('PORTIFÓLIO'!$S$4:$S$433,MATCH($C315,'PORTIFÓLIO'!$C$4:$C$433,0)),"")</f>
        <v/>
      </c>
      <c r="L315" s="248">
        <f t="array" ref="L315">IFERROR(J315*INDEX('PORTIFÓLIO'!$S$4:$S$433,MATCH($C315,'PORTIFÓLIO'!$C$4:$C$433,0)),"")</f>
        <v/>
      </c>
      <c r="M315" s="238" t="n"/>
      <c r="N315" s="177" t="n"/>
      <c r="O315" s="177" t="n"/>
      <c r="P315" s="177" t="n"/>
      <c r="Q315" s="177" t="n"/>
      <c r="R315" s="177" t="n"/>
      <c r="S315" s="177" t="n"/>
      <c r="T315" s="177" t="n"/>
      <c r="U315" s="177" t="n"/>
      <c r="V315" s="177" t="n"/>
      <c r="W315" s="177" t="n"/>
    </row>
    <row r="316" outlineLevel="1" ht="15.75" customHeight="1" s="297">
      <c r="A316" s="190" t="n"/>
      <c r="B316" s="204" t="n"/>
      <c r="C316" s="191" t="n"/>
      <c r="D316" s="205">
        <f>IFERROR(VLOOKUP($C316,'PORTIFÓLIO'!C:V,2,0),"")</f>
        <v/>
      </c>
      <c r="E316" s="190">
        <f>IFERROR(VLOOKUP($C316,'PORTIFÓLIO'!C:V,3,0),"")</f>
        <v/>
      </c>
      <c r="F316" s="190">
        <f>IFERROR(VLOOKUP($C316,'PORTIFÓLIO'!C:V,4,0),"")</f>
        <v/>
      </c>
      <c r="G316" s="206">
        <f>IFERROR(VLOOKUP($C316,'PORTIFÓLIO'!C:V,5,0),"")</f>
        <v/>
      </c>
      <c r="H316" s="247">
        <f t="array" ref="H316">IFERROR(INDEX('PORTIFÓLIO'!$H$4:$H$433,MATCH($C316,'PORTIFÓLIO'!$C$4:$C$433,0)),"")</f>
        <v/>
      </c>
      <c r="I316" s="257" t="n"/>
      <c r="J316" s="209">
        <f>I316*$B$2</f>
        <v/>
      </c>
      <c r="K316" s="248">
        <f t="array" ref="K316">IFERROR(I316*INDEX('PORTIFÓLIO'!$S$4:$S$433,MATCH($C316,'PORTIFÓLIO'!$C$4:$C$433,0)),"")</f>
        <v/>
      </c>
      <c r="L316" s="248">
        <f t="array" ref="L316">IFERROR(J316*INDEX('PORTIFÓLIO'!$S$4:$S$433,MATCH($C316,'PORTIFÓLIO'!$C$4:$C$433,0)),"")</f>
        <v/>
      </c>
      <c r="M316" s="238" t="n"/>
      <c r="N316" s="177" t="n"/>
      <c r="O316" s="177" t="n"/>
      <c r="P316" s="177" t="n"/>
      <c r="Q316" s="177" t="n"/>
      <c r="R316" s="177" t="n"/>
      <c r="S316" s="177" t="n"/>
      <c r="T316" s="177" t="n"/>
      <c r="U316" s="177" t="n"/>
      <c r="V316" s="177" t="n"/>
      <c r="W316" s="177" t="n"/>
    </row>
    <row r="317" outlineLevel="1" ht="15.75" customHeight="1" s="297">
      <c r="A317" s="190" t="n"/>
      <c r="B317" s="204" t="n"/>
      <c r="C317" s="191" t="n"/>
      <c r="D317" s="205">
        <f>IFERROR(VLOOKUP($C317,'PORTIFÓLIO'!C:V,2,0),"")</f>
        <v/>
      </c>
      <c r="E317" s="190">
        <f>IFERROR(VLOOKUP($C317,'PORTIFÓLIO'!C:V,3,0),"")</f>
        <v/>
      </c>
      <c r="F317" s="190">
        <f>IFERROR(VLOOKUP($C317,'PORTIFÓLIO'!C:V,4,0),"")</f>
        <v/>
      </c>
      <c r="G317" s="206">
        <f>IFERROR(VLOOKUP($C317,'PORTIFÓLIO'!C:V,5,0),"")</f>
        <v/>
      </c>
      <c r="H317" s="247">
        <f t="array" ref="H317">IFERROR(INDEX('PORTIFÓLIO'!$H$4:$H$433,MATCH($C317,'PORTIFÓLIO'!$C$4:$C$433,0)),"")</f>
        <v/>
      </c>
      <c r="I317" s="253" t="n"/>
      <c r="J317" s="209">
        <f>I317*$B$2</f>
        <v/>
      </c>
      <c r="K317" s="248">
        <f t="array" ref="K317">IFERROR(I317*INDEX('PORTIFÓLIO'!$S$4:$S$433,MATCH($C317,'PORTIFÓLIO'!$C$4:$C$433,0)),"")</f>
        <v/>
      </c>
      <c r="L317" s="248">
        <f t="array" ref="L317">IFERROR(J317*INDEX('PORTIFÓLIO'!$S$4:$S$433,MATCH($C317,'PORTIFÓLIO'!$C$4:$C$433,0)),"")</f>
        <v/>
      </c>
      <c r="M317" s="238" t="n"/>
      <c r="N317" s="177" t="n"/>
      <c r="O317" s="177" t="n"/>
      <c r="P317" s="177" t="n"/>
      <c r="Q317" s="177" t="n"/>
      <c r="R317" s="177" t="n"/>
      <c r="S317" s="177" t="n"/>
      <c r="T317" s="177" t="n"/>
      <c r="U317" s="177" t="n"/>
      <c r="V317" s="177" t="n"/>
      <c r="W317" s="177" t="n"/>
    </row>
    <row r="318" outlineLevel="1" ht="15.75" customHeight="1" s="297">
      <c r="A318" s="190" t="n"/>
      <c r="B318" s="204" t="n"/>
      <c r="C318" s="191" t="n"/>
      <c r="D318" s="205">
        <f>IFERROR(VLOOKUP($C318,'PORTIFÓLIO'!C:V,2,0),"")</f>
        <v/>
      </c>
      <c r="E318" s="190">
        <f>IFERROR(VLOOKUP($C318,'PORTIFÓLIO'!C:V,3,0),"")</f>
        <v/>
      </c>
      <c r="F318" s="190">
        <f>IFERROR(VLOOKUP($C318,'PORTIFÓLIO'!C:V,4,0),"")</f>
        <v/>
      </c>
      <c r="G318" s="206">
        <f>IFERROR(VLOOKUP($C318,'PORTIFÓLIO'!C:V,5,0),"")</f>
        <v/>
      </c>
      <c r="H318" s="247">
        <f t="array" ref="H318">IFERROR(INDEX('PORTIFÓLIO'!$H$4:$H$433,MATCH($C318,'PORTIFÓLIO'!$C$4:$C$433,0)),"")</f>
        <v/>
      </c>
      <c r="I318" s="257" t="n"/>
      <c r="J318" s="209">
        <f>I318*$B$2</f>
        <v/>
      </c>
      <c r="K318" s="248">
        <f t="array" ref="K318">IFERROR(I318*INDEX('PORTIFÓLIO'!$S$4:$S$433,MATCH($C318,'PORTIFÓLIO'!$C$4:$C$433,0)),"")</f>
        <v/>
      </c>
      <c r="L318" s="248">
        <f t="array" ref="L318">IFERROR(J318*INDEX('PORTIFÓLIO'!$S$4:$S$433,MATCH($C318,'PORTIFÓLIO'!$C$4:$C$433,0)),"")</f>
        <v/>
      </c>
      <c r="M318" s="238" t="n"/>
      <c r="N318" s="177" t="n"/>
      <c r="O318" s="177" t="n"/>
      <c r="P318" s="177" t="n"/>
      <c r="Q318" s="177" t="n"/>
      <c r="R318" s="177" t="n"/>
      <c r="S318" s="177" t="n"/>
      <c r="T318" s="177" t="n"/>
      <c r="U318" s="177" t="n"/>
      <c r="V318" s="177" t="n"/>
      <c r="W318" s="177" t="n"/>
    </row>
    <row r="319" outlineLevel="1" ht="15.75" customHeight="1" s="297">
      <c r="A319" s="190" t="n"/>
      <c r="B319" s="204" t="n"/>
      <c r="C319" s="191" t="n"/>
      <c r="D319" s="205">
        <f>IFERROR(VLOOKUP($C319,'PORTIFÓLIO'!C:V,2,0),"")</f>
        <v/>
      </c>
      <c r="E319" s="190">
        <f>IFERROR(VLOOKUP($C319,'PORTIFÓLIO'!C:V,3,0),"")</f>
        <v/>
      </c>
      <c r="F319" s="190">
        <f>IFERROR(VLOOKUP($C319,'PORTIFÓLIO'!C:V,4,0),"")</f>
        <v/>
      </c>
      <c r="G319" s="206">
        <f>IFERROR(VLOOKUP($C319,'PORTIFÓLIO'!C:V,5,0),"")</f>
        <v/>
      </c>
      <c r="H319" s="247">
        <f t="array" ref="H319">IFERROR(INDEX('PORTIFÓLIO'!$H$4:$H$433,MATCH($C319,'PORTIFÓLIO'!$C$4:$C$433,0)),"")</f>
        <v/>
      </c>
      <c r="I319" s="257" t="n"/>
      <c r="J319" s="209">
        <f>I319*$B$2</f>
        <v/>
      </c>
      <c r="K319" s="248">
        <f t="array" ref="K319">IFERROR(I319*INDEX('PORTIFÓLIO'!$S$4:$S$433,MATCH($C319,'PORTIFÓLIO'!$C$4:$C$433,0)),"")</f>
        <v/>
      </c>
      <c r="L319" s="248">
        <f t="array" ref="L319">IFERROR(J319*INDEX('PORTIFÓLIO'!$S$4:$S$433,MATCH($C319,'PORTIFÓLIO'!$C$4:$C$433,0)),"")</f>
        <v/>
      </c>
      <c r="M319" s="238" t="n"/>
      <c r="N319" s="177" t="n"/>
      <c r="O319" s="177" t="n"/>
      <c r="P319" s="177" t="n"/>
      <c r="Q319" s="177" t="n"/>
      <c r="R319" s="177" t="n"/>
      <c r="S319" s="177" t="n"/>
      <c r="T319" s="177" t="n"/>
      <c r="U319" s="177" t="n"/>
      <c r="V319" s="177" t="n"/>
      <c r="W319" s="177" t="n"/>
    </row>
    <row r="320" outlineLevel="1" ht="15.75" customHeight="1" s="297">
      <c r="A320" s="190" t="n"/>
      <c r="B320" s="204" t="n"/>
      <c r="C320" s="191" t="n"/>
      <c r="D320" s="205">
        <f>IFERROR(VLOOKUP($C320,'PORTIFÓLIO'!C:V,2,0),"")</f>
        <v/>
      </c>
      <c r="E320" s="190">
        <f>IFERROR(VLOOKUP($C320,'PORTIFÓLIO'!C:V,3,0),"")</f>
        <v/>
      </c>
      <c r="F320" s="190">
        <f>IFERROR(VLOOKUP($C320,'PORTIFÓLIO'!C:V,4,0),"")</f>
        <v/>
      </c>
      <c r="G320" s="206">
        <f>IFERROR(VLOOKUP($C320,'PORTIFÓLIO'!C:V,5,0),"")</f>
        <v/>
      </c>
      <c r="H320" s="247">
        <f t="array" ref="H320">IFERROR(INDEX('PORTIFÓLIO'!$H$4:$H$433,MATCH($C320,'PORTIFÓLIO'!$C$4:$C$433,0)),"")</f>
        <v/>
      </c>
      <c r="I320" s="257" t="n"/>
      <c r="J320" s="209">
        <f>I320*$B$2</f>
        <v/>
      </c>
      <c r="K320" s="248">
        <f t="array" ref="K320">IFERROR(I320*INDEX('PORTIFÓLIO'!$S$4:$S$433,MATCH($C320,'PORTIFÓLIO'!$C$4:$C$433,0)),"")</f>
        <v/>
      </c>
      <c r="L320" s="248">
        <f t="array" ref="L320">IFERROR(J320*INDEX('PORTIFÓLIO'!$S$4:$S$433,MATCH($C320,'PORTIFÓLIO'!$C$4:$C$433,0)),"")</f>
        <v/>
      </c>
      <c r="M320" s="238" t="n"/>
      <c r="N320" s="177" t="n"/>
      <c r="O320" s="177" t="n"/>
      <c r="P320" s="177" t="n"/>
      <c r="Q320" s="177" t="n"/>
      <c r="R320" s="177" t="n"/>
      <c r="S320" s="177" t="n"/>
      <c r="T320" s="177" t="n"/>
      <c r="U320" s="177" t="n"/>
      <c r="V320" s="177" t="n"/>
      <c r="W320" s="177" t="n"/>
    </row>
    <row r="321" outlineLevel="1" ht="15.75" customHeight="1" s="297">
      <c r="A321" s="190" t="n"/>
      <c r="B321" s="204" t="n"/>
      <c r="C321" s="191" t="n"/>
      <c r="D321" s="205">
        <f>IFERROR(VLOOKUP($C321,'PORTIFÓLIO'!C:V,2,0),"")</f>
        <v/>
      </c>
      <c r="E321" s="190">
        <f>IFERROR(VLOOKUP($C321,'PORTIFÓLIO'!C:V,3,0),"")</f>
        <v/>
      </c>
      <c r="F321" s="190">
        <f>IFERROR(VLOOKUP($C321,'PORTIFÓLIO'!C:V,4,0),"")</f>
        <v/>
      </c>
      <c r="G321" s="206">
        <f>IFERROR(VLOOKUP($C321,'PORTIFÓLIO'!C:V,5,0),"")</f>
        <v/>
      </c>
      <c r="H321" s="247">
        <f t="array" ref="H321">IFERROR(INDEX('PORTIFÓLIO'!$H$4:$H$433,MATCH($C321,'PORTIFÓLIO'!$C$4:$C$433,0)),"")</f>
        <v/>
      </c>
      <c r="I321" s="257" t="n"/>
      <c r="J321" s="209">
        <f>I321*$B$2</f>
        <v/>
      </c>
      <c r="K321" s="248">
        <f t="array" ref="K321">IFERROR(I321*INDEX('PORTIFÓLIO'!$S$4:$S$433,MATCH($C321,'PORTIFÓLIO'!$C$4:$C$433,0)),"")</f>
        <v/>
      </c>
      <c r="L321" s="248">
        <f t="array" ref="L321">IFERROR(J321*INDEX('PORTIFÓLIO'!$S$4:$S$433,MATCH($C321,'PORTIFÓLIO'!$C$4:$C$433,0)),"")</f>
        <v/>
      </c>
      <c r="M321" s="238" t="n"/>
      <c r="N321" s="177" t="n"/>
      <c r="O321" s="177" t="n"/>
      <c r="P321" s="177" t="n"/>
      <c r="Q321" s="177" t="n"/>
      <c r="R321" s="177" t="n"/>
      <c r="S321" s="177" t="n"/>
      <c r="T321" s="177" t="n"/>
      <c r="U321" s="177" t="n"/>
      <c r="V321" s="177" t="n"/>
      <c r="W321" s="177" t="n"/>
    </row>
    <row r="322" outlineLevel="1" ht="15.75" customHeight="1" s="297">
      <c r="A322" s="190" t="n"/>
      <c r="B322" s="204" t="n"/>
      <c r="C322" s="191" t="n"/>
      <c r="D322" s="205">
        <f>IFERROR(VLOOKUP($C322,'PORTIFÓLIO'!C:V,2,0),"")</f>
        <v/>
      </c>
      <c r="E322" s="190">
        <f>IFERROR(VLOOKUP($C322,'PORTIFÓLIO'!C:V,3,0),"")</f>
        <v/>
      </c>
      <c r="F322" s="190">
        <f>IFERROR(VLOOKUP($C322,'PORTIFÓLIO'!C:V,4,0),"")</f>
        <v/>
      </c>
      <c r="G322" s="206">
        <f>IFERROR(VLOOKUP($C322,'PORTIFÓLIO'!C:V,5,0),"")</f>
        <v/>
      </c>
      <c r="H322" s="247">
        <f t="array" ref="H322">IFERROR(INDEX('PORTIFÓLIO'!$H$4:$H$433,MATCH($C322,'PORTIFÓLIO'!$C$4:$C$433,0)),"")</f>
        <v/>
      </c>
      <c r="I322" s="257" t="n"/>
      <c r="J322" s="209">
        <f>I322*$B$2</f>
        <v/>
      </c>
      <c r="K322" s="248">
        <f t="array" ref="K322">IFERROR(I322*INDEX('PORTIFÓLIO'!$S$4:$S$433,MATCH($C322,'PORTIFÓLIO'!$C$4:$C$433,0)),"")</f>
        <v/>
      </c>
      <c r="L322" s="248">
        <f t="array" ref="L322">IFERROR(J322*INDEX('PORTIFÓLIO'!$S$4:$S$433,MATCH($C322,'PORTIFÓLIO'!$C$4:$C$433,0)),"")</f>
        <v/>
      </c>
      <c r="M322" s="238" t="n"/>
      <c r="N322" s="177" t="n"/>
      <c r="O322" s="177" t="n"/>
      <c r="P322" s="177" t="n"/>
      <c r="Q322" s="177" t="n"/>
      <c r="R322" s="177" t="n"/>
      <c r="S322" s="177" t="n"/>
      <c r="T322" s="177" t="n"/>
      <c r="U322" s="177" t="n"/>
      <c r="V322" s="177" t="n"/>
      <c r="W322" s="177" t="n"/>
    </row>
    <row r="323" outlineLevel="1" ht="15.75" customHeight="1" s="297">
      <c r="A323" s="190" t="n"/>
      <c r="B323" s="204" t="n"/>
      <c r="C323" s="191" t="n"/>
      <c r="D323" s="205">
        <f>IFERROR(VLOOKUP($C323,'PORTIFÓLIO'!C:V,2,0),"")</f>
        <v/>
      </c>
      <c r="E323" s="190">
        <f>IFERROR(VLOOKUP($C323,'PORTIFÓLIO'!C:V,3,0),"")</f>
        <v/>
      </c>
      <c r="F323" s="190">
        <f>IFERROR(VLOOKUP($C323,'PORTIFÓLIO'!C:V,4,0),"")</f>
        <v/>
      </c>
      <c r="G323" s="206">
        <f>IFERROR(VLOOKUP($C323,'PORTIFÓLIO'!C:V,5,0),"")</f>
        <v/>
      </c>
      <c r="H323" s="247">
        <f t="array" ref="H323">IFERROR(INDEX('PORTIFÓLIO'!$H$4:$H$433,MATCH($C323,'PORTIFÓLIO'!$C$4:$C$433,0)),"")</f>
        <v/>
      </c>
      <c r="I323" s="257" t="n"/>
      <c r="J323" s="209">
        <f>I323*$B$2</f>
        <v/>
      </c>
      <c r="K323" s="248">
        <f t="array" ref="K323">IFERROR(I323*INDEX('PORTIFÓLIO'!$S$4:$S$433,MATCH($C323,'PORTIFÓLIO'!$C$4:$C$433,0)),"")</f>
        <v/>
      </c>
      <c r="L323" s="248">
        <f t="array" ref="L323">IFERROR(J323*INDEX('PORTIFÓLIO'!$S$4:$S$433,MATCH($C323,'PORTIFÓLIO'!$C$4:$C$433,0)),"")</f>
        <v/>
      </c>
      <c r="M323" s="238" t="n"/>
      <c r="N323" s="177" t="n"/>
      <c r="O323" s="177" t="n"/>
      <c r="P323" s="177" t="n"/>
      <c r="Q323" s="177" t="n"/>
      <c r="R323" s="177" t="n"/>
      <c r="S323" s="177" t="n"/>
      <c r="T323" s="177" t="n"/>
      <c r="U323" s="177" t="n"/>
      <c r="V323" s="177" t="n"/>
      <c r="W323" s="177" t="n"/>
    </row>
    <row r="324" ht="15.75" customHeight="1" s="297">
      <c r="A324" s="221" t="inlineStr">
        <is>
          <t>OPERAÇÃO 6</t>
        </is>
      </c>
      <c r="B324" s="197" t="n"/>
      <c r="C324" s="196" t="n"/>
      <c r="D324" s="198" t="n"/>
      <c r="E324" s="196" t="n"/>
      <c r="F324" s="196" t="n"/>
      <c r="G324" s="199" t="n"/>
      <c r="H324" s="199" t="n"/>
      <c r="I324" s="252" t="n"/>
      <c r="J324" s="202" t="n"/>
      <c r="K324" s="203">
        <f>SUBTOTAL(9,K325:K338)</f>
        <v/>
      </c>
      <c r="L324" s="203">
        <f>SUBTOTAL(9,L325:L338)</f>
        <v/>
      </c>
      <c r="M324" s="238" t="n"/>
      <c r="N324" s="177" t="n"/>
      <c r="O324" s="177" t="n"/>
      <c r="P324" s="177" t="n"/>
      <c r="Q324" s="177" t="n"/>
      <c r="R324" s="177" t="n"/>
      <c r="S324" s="177" t="n"/>
      <c r="T324" s="177" t="n"/>
      <c r="U324" s="177" t="n"/>
      <c r="V324" s="177" t="n"/>
      <c r="W324" s="177" t="n"/>
    </row>
    <row r="325" outlineLevel="1" ht="15.75" customHeight="1" s="297">
      <c r="A325" s="191" t="n"/>
      <c r="B325" s="204" t="n"/>
      <c r="C325" s="191" t="n"/>
      <c r="D325" s="205">
        <f>IFERROR(VLOOKUP($C325,'PORTIFÓLIO'!C:V,2,0),"")</f>
        <v/>
      </c>
      <c r="E325" s="190">
        <f>IFERROR(VLOOKUP($C325,'PORTIFÓLIO'!C:V,3,0),"")</f>
        <v/>
      </c>
      <c r="F325" s="190">
        <f>IFERROR(VLOOKUP($C325,'PORTIFÓLIO'!C:V,4,0),"")</f>
        <v/>
      </c>
      <c r="G325" s="206">
        <f>IFERROR(VLOOKUP($C325,'PORTIFÓLIO'!C:V,5,0),"")</f>
        <v/>
      </c>
      <c r="H325" s="247">
        <f t="array" ref="H325">IFERROR(INDEX('PORTIFÓLIO'!$H$4:$H$433,MATCH($C325,'PORTIFÓLIO'!$C$4:$C$433,0)),"")</f>
        <v/>
      </c>
      <c r="I325" s="253" t="n"/>
      <c r="J325" s="209">
        <f>I325*$B$2</f>
        <v/>
      </c>
      <c r="K325" s="248">
        <f t="array" ref="K325">IFERROR(I325*INDEX('PORTIFÓLIO'!$S$4:$S$433,MATCH($C325,'PORTIFÓLIO'!$C$4:$C$433,0)),"")</f>
        <v/>
      </c>
      <c r="L325" s="248">
        <f t="array" ref="L325">IFERROR(J325*INDEX('PORTIFÓLIO'!$S$4:$S$433,MATCH($C325,'PORTIFÓLIO'!$C$4:$C$433,0)),"")</f>
        <v/>
      </c>
      <c r="M325" s="238" t="n"/>
      <c r="N325" s="177" t="n"/>
      <c r="O325" s="177" t="n"/>
      <c r="P325" s="177" t="n"/>
      <c r="Q325" s="177" t="n"/>
      <c r="R325" s="177" t="n"/>
      <c r="S325" s="177" t="n"/>
      <c r="T325" s="177" t="n"/>
      <c r="U325" s="177" t="n"/>
      <c r="V325" s="177" t="n"/>
      <c r="W325" s="177" t="n"/>
    </row>
    <row r="326" outlineLevel="1" ht="15.75" customHeight="1" s="297">
      <c r="A326" s="190" t="n"/>
      <c r="B326" s="204" t="n"/>
      <c r="C326" s="191" t="n"/>
      <c r="D326" s="205">
        <f>IFERROR(VLOOKUP($C326,'PORTIFÓLIO'!C:V,2,0),"")</f>
        <v/>
      </c>
      <c r="E326" s="190">
        <f>IFERROR(VLOOKUP($C326,'PORTIFÓLIO'!C:V,3,0),"")</f>
        <v/>
      </c>
      <c r="F326" s="190">
        <f>IFERROR(VLOOKUP($C326,'PORTIFÓLIO'!C:V,4,0),"")</f>
        <v/>
      </c>
      <c r="G326" s="206">
        <f>IFERROR(VLOOKUP($C326,'PORTIFÓLIO'!C:V,5,0),"")</f>
        <v/>
      </c>
      <c r="H326" s="247">
        <f t="array" ref="H326">IFERROR(INDEX('PORTIFÓLIO'!$H$4:$H$433,MATCH($C326,'PORTIFÓLIO'!$C$4:$C$433,0)),"")</f>
        <v/>
      </c>
      <c r="I326" s="257" t="n"/>
      <c r="J326" s="209">
        <f>I326*$B$2</f>
        <v/>
      </c>
      <c r="K326" s="248">
        <f t="array" ref="K326">IFERROR(I326*INDEX('PORTIFÓLIO'!$S$4:$S$433,MATCH($C326,'PORTIFÓLIO'!$C$4:$C$433,0)),"")</f>
        <v/>
      </c>
      <c r="L326" s="248">
        <f t="array" ref="L326">IFERROR(J326*INDEX('PORTIFÓLIO'!$S$4:$S$433,MATCH($C326,'PORTIFÓLIO'!$C$4:$C$433,0)),"")</f>
        <v/>
      </c>
      <c r="M326" s="238" t="n"/>
      <c r="N326" s="177" t="n"/>
      <c r="O326" s="177" t="n"/>
      <c r="P326" s="177" t="n"/>
      <c r="Q326" s="177" t="n"/>
      <c r="R326" s="177" t="n"/>
      <c r="S326" s="177" t="n"/>
      <c r="T326" s="177" t="n"/>
      <c r="U326" s="177" t="n"/>
      <c r="V326" s="177" t="n"/>
      <c r="W326" s="177" t="n"/>
    </row>
    <row r="327" outlineLevel="1" ht="15.75" customHeight="1" s="297">
      <c r="A327" s="190" t="n"/>
      <c r="B327" s="204" t="n"/>
      <c r="C327" s="191" t="n"/>
      <c r="D327" s="205">
        <f>IFERROR(VLOOKUP($C327,'PORTIFÓLIO'!C:V,2,0),"")</f>
        <v/>
      </c>
      <c r="E327" s="190">
        <f>IFERROR(VLOOKUP($C327,'PORTIFÓLIO'!C:V,3,0),"")</f>
        <v/>
      </c>
      <c r="F327" s="190">
        <f>IFERROR(VLOOKUP($C327,'PORTIFÓLIO'!C:V,4,0),"")</f>
        <v/>
      </c>
      <c r="G327" s="206">
        <f>IFERROR(VLOOKUP($C327,'PORTIFÓLIO'!C:V,5,0),"")</f>
        <v/>
      </c>
      <c r="H327" s="247">
        <f t="array" ref="H327">IFERROR(INDEX('PORTIFÓLIO'!$H$4:$H$433,MATCH($C327,'PORTIFÓLIO'!$C$4:$C$433,0)),"")</f>
        <v/>
      </c>
      <c r="I327" s="257" t="n"/>
      <c r="J327" s="209">
        <f>I327*$B$2</f>
        <v/>
      </c>
      <c r="K327" s="248">
        <f t="array" ref="K327">IFERROR(I327*INDEX('PORTIFÓLIO'!$S$4:$S$433,MATCH($C327,'PORTIFÓLIO'!$C$4:$C$433,0)),"")</f>
        <v/>
      </c>
      <c r="L327" s="248">
        <f t="array" ref="L327">IFERROR(J327*INDEX('PORTIFÓLIO'!$S$4:$S$433,MATCH($C327,'PORTIFÓLIO'!$C$4:$C$433,0)),"")</f>
        <v/>
      </c>
      <c r="M327" s="238" t="n"/>
      <c r="N327" s="177" t="n"/>
      <c r="O327" s="177" t="n"/>
      <c r="P327" s="177" t="n"/>
      <c r="Q327" s="177" t="n"/>
      <c r="R327" s="177" t="n"/>
      <c r="S327" s="177" t="n"/>
      <c r="T327" s="177" t="n"/>
      <c r="U327" s="177" t="n"/>
      <c r="V327" s="177" t="n"/>
      <c r="W327" s="177" t="n"/>
    </row>
    <row r="328" outlineLevel="1" ht="15.75" customHeight="1" s="297">
      <c r="A328" s="190" t="n"/>
      <c r="B328" s="204" t="n"/>
      <c r="C328" s="191" t="n"/>
      <c r="D328" s="205">
        <f>IFERROR(VLOOKUP($C328,'PORTIFÓLIO'!C:V,2,0),"")</f>
        <v/>
      </c>
      <c r="E328" s="190">
        <f>IFERROR(VLOOKUP($C328,'PORTIFÓLIO'!C:V,3,0),"")</f>
        <v/>
      </c>
      <c r="F328" s="190">
        <f>IFERROR(VLOOKUP($C328,'PORTIFÓLIO'!C:V,4,0),"")</f>
        <v/>
      </c>
      <c r="G328" s="206">
        <f>IFERROR(VLOOKUP($C328,'PORTIFÓLIO'!C:V,5,0),"")</f>
        <v/>
      </c>
      <c r="H328" s="247">
        <f t="array" ref="H328">IFERROR(INDEX('PORTIFÓLIO'!$H$4:$H$433,MATCH($C328,'PORTIFÓLIO'!$C$4:$C$433,0)),"")</f>
        <v/>
      </c>
      <c r="I328" s="257" t="n"/>
      <c r="J328" s="209">
        <f>I328*$B$2</f>
        <v/>
      </c>
      <c r="K328" s="248">
        <f t="array" ref="K328">IFERROR(I328*INDEX('PORTIFÓLIO'!$S$4:$S$433,MATCH($C328,'PORTIFÓLIO'!$C$4:$C$433,0)),"")</f>
        <v/>
      </c>
      <c r="L328" s="248">
        <f t="array" ref="L328">IFERROR(J328*INDEX('PORTIFÓLIO'!$S$4:$S$433,MATCH($C328,'PORTIFÓLIO'!$C$4:$C$433,0)),"")</f>
        <v/>
      </c>
      <c r="M328" s="238" t="n"/>
      <c r="N328" s="177" t="n"/>
      <c r="O328" s="177" t="n"/>
      <c r="P328" s="177" t="n"/>
      <c r="Q328" s="177" t="n"/>
      <c r="R328" s="177" t="n"/>
      <c r="S328" s="177" t="n"/>
      <c r="T328" s="177" t="n"/>
      <c r="U328" s="177" t="n"/>
      <c r="V328" s="177" t="n"/>
      <c r="W328" s="177" t="n"/>
    </row>
    <row r="329" outlineLevel="1" ht="15.75" customHeight="1" s="297">
      <c r="A329" s="190" t="n"/>
      <c r="B329" s="204" t="n"/>
      <c r="C329" s="191" t="n"/>
      <c r="D329" s="205">
        <f>IFERROR(VLOOKUP($C329,'PORTIFÓLIO'!C:V,2,0),"")</f>
        <v/>
      </c>
      <c r="E329" s="190">
        <f>IFERROR(VLOOKUP($C329,'PORTIFÓLIO'!C:V,3,0),"")</f>
        <v/>
      </c>
      <c r="F329" s="190">
        <f>IFERROR(VLOOKUP($C329,'PORTIFÓLIO'!C:V,4,0),"")</f>
        <v/>
      </c>
      <c r="G329" s="206">
        <f>IFERROR(VLOOKUP($C329,'PORTIFÓLIO'!C:V,5,0),"")</f>
        <v/>
      </c>
      <c r="H329" s="247">
        <f t="array" ref="H329">IFERROR(INDEX('PORTIFÓLIO'!$H$4:$H$433,MATCH($C329,'PORTIFÓLIO'!$C$4:$C$433,0)),"")</f>
        <v/>
      </c>
      <c r="I329" s="257" t="n"/>
      <c r="J329" s="209">
        <f>I329*$B$2</f>
        <v/>
      </c>
      <c r="K329" s="248">
        <f t="array" ref="K329">IFERROR(I329*INDEX('PORTIFÓLIO'!$S$4:$S$433,MATCH($C329,'PORTIFÓLIO'!$C$4:$C$433,0)),"")</f>
        <v/>
      </c>
      <c r="L329" s="248">
        <f t="array" ref="L329">IFERROR(J329*INDEX('PORTIFÓLIO'!$S$4:$S$433,MATCH($C329,'PORTIFÓLIO'!$C$4:$C$433,0)),"")</f>
        <v/>
      </c>
      <c r="M329" s="238" t="n"/>
      <c r="N329" s="177" t="n"/>
      <c r="O329" s="177" t="n"/>
      <c r="P329" s="177" t="n"/>
      <c r="Q329" s="177" t="n"/>
      <c r="R329" s="177" t="n"/>
      <c r="S329" s="177" t="n"/>
      <c r="T329" s="177" t="n"/>
      <c r="U329" s="177" t="n"/>
      <c r="V329" s="177" t="n"/>
      <c r="W329" s="177" t="n"/>
    </row>
    <row r="330" outlineLevel="1" ht="15.75" customHeight="1" s="297">
      <c r="A330" s="190" t="n"/>
      <c r="B330" s="204" t="n"/>
      <c r="C330" s="191" t="n"/>
      <c r="D330" s="205">
        <f>IFERROR(VLOOKUP($C330,'PORTIFÓLIO'!C:V,2,0),"")</f>
        <v/>
      </c>
      <c r="E330" s="190">
        <f>IFERROR(VLOOKUP($C330,'PORTIFÓLIO'!C:V,3,0),"")</f>
        <v/>
      </c>
      <c r="F330" s="190">
        <f>IFERROR(VLOOKUP($C330,'PORTIFÓLIO'!C:V,4,0),"")</f>
        <v/>
      </c>
      <c r="G330" s="206">
        <f>IFERROR(VLOOKUP($C330,'PORTIFÓLIO'!C:V,5,0),"")</f>
        <v/>
      </c>
      <c r="H330" s="247">
        <f t="array" ref="H330">IFERROR(INDEX('PORTIFÓLIO'!$H$4:$H$433,MATCH($C330,'PORTIFÓLIO'!$C$4:$C$433,0)),"")</f>
        <v/>
      </c>
      <c r="I330" s="257" t="n"/>
      <c r="J330" s="209">
        <f>I330*$B$2</f>
        <v/>
      </c>
      <c r="K330" s="248">
        <f t="array" ref="K330">IFERROR(I330*INDEX('PORTIFÓLIO'!$S$4:$S$433,MATCH($C330,'PORTIFÓLIO'!$C$4:$C$433,0)),"")</f>
        <v/>
      </c>
      <c r="L330" s="248">
        <f t="array" ref="L330">IFERROR(J330*INDEX('PORTIFÓLIO'!$S$4:$S$433,MATCH($C330,'PORTIFÓLIO'!$C$4:$C$433,0)),"")</f>
        <v/>
      </c>
      <c r="M330" s="238" t="n"/>
      <c r="N330" s="177" t="n"/>
      <c r="O330" s="177" t="n"/>
      <c r="P330" s="177" t="n"/>
      <c r="Q330" s="177" t="n"/>
      <c r="R330" s="177" t="n"/>
      <c r="S330" s="177" t="n"/>
      <c r="T330" s="177" t="n"/>
      <c r="U330" s="177" t="n"/>
      <c r="V330" s="177" t="n"/>
      <c r="W330" s="177" t="n"/>
    </row>
    <row r="331" outlineLevel="1" ht="15.75" customHeight="1" s="297">
      <c r="A331" s="190" t="n"/>
      <c r="B331" s="204" t="n"/>
      <c r="C331" s="191" t="n"/>
      <c r="D331" s="205">
        <f>IFERROR(VLOOKUP($C331,'PORTIFÓLIO'!C:V,2,0),"")</f>
        <v/>
      </c>
      <c r="E331" s="190">
        <f>IFERROR(VLOOKUP($C331,'PORTIFÓLIO'!C:V,3,0),"")</f>
        <v/>
      </c>
      <c r="F331" s="190">
        <f>IFERROR(VLOOKUP($C331,'PORTIFÓLIO'!C:V,4,0),"")</f>
        <v/>
      </c>
      <c r="G331" s="206">
        <f>IFERROR(VLOOKUP($C331,'PORTIFÓLIO'!C:V,5,0),"")</f>
        <v/>
      </c>
      <c r="H331" s="247">
        <f t="array" ref="H331">IFERROR(INDEX('PORTIFÓLIO'!$H$4:$H$433,MATCH($C331,'PORTIFÓLIO'!$C$4:$C$433,0)),"")</f>
        <v/>
      </c>
      <c r="I331" s="257" t="n"/>
      <c r="J331" s="209">
        <f>I331*$B$2</f>
        <v/>
      </c>
      <c r="K331" s="248">
        <f t="array" ref="K331">IFERROR(I331*INDEX('PORTIFÓLIO'!$S$4:$S$433,MATCH($C331,'PORTIFÓLIO'!$C$4:$C$433,0)),"")</f>
        <v/>
      </c>
      <c r="L331" s="248">
        <f t="array" ref="L331">IFERROR(J331*INDEX('PORTIFÓLIO'!$S$4:$S$433,MATCH($C331,'PORTIFÓLIO'!$C$4:$C$433,0)),"")</f>
        <v/>
      </c>
      <c r="M331" s="238" t="n"/>
      <c r="N331" s="177" t="n"/>
      <c r="O331" s="177" t="n"/>
      <c r="P331" s="177" t="n"/>
      <c r="Q331" s="177" t="n"/>
      <c r="R331" s="177" t="n"/>
      <c r="S331" s="177" t="n"/>
      <c r="T331" s="177" t="n"/>
      <c r="U331" s="177" t="n"/>
      <c r="V331" s="177" t="n"/>
      <c r="W331" s="177" t="n"/>
    </row>
    <row r="332" outlineLevel="1" ht="15.75" customHeight="1" s="297">
      <c r="A332" s="190" t="n"/>
      <c r="B332" s="204" t="n"/>
      <c r="C332" s="191" t="n"/>
      <c r="D332" s="205">
        <f>IFERROR(VLOOKUP($C332,'PORTIFÓLIO'!C:V,2,0),"")</f>
        <v/>
      </c>
      <c r="E332" s="190">
        <f>IFERROR(VLOOKUP($C332,'PORTIFÓLIO'!C:V,3,0),"")</f>
        <v/>
      </c>
      <c r="F332" s="190">
        <f>IFERROR(VLOOKUP($C332,'PORTIFÓLIO'!C:V,4,0),"")</f>
        <v/>
      </c>
      <c r="G332" s="206">
        <f>IFERROR(VLOOKUP($C332,'PORTIFÓLIO'!C:V,5,0),"")</f>
        <v/>
      </c>
      <c r="H332" s="247">
        <f t="array" ref="H332">IFERROR(INDEX('PORTIFÓLIO'!$H$4:$H$433,MATCH($C332,'PORTIFÓLIO'!$C$4:$C$433,0)),"")</f>
        <v/>
      </c>
      <c r="I332" s="257" t="n"/>
      <c r="J332" s="209">
        <f>I332*$B$2</f>
        <v/>
      </c>
      <c r="K332" s="248">
        <f t="array" ref="K332">IFERROR(I332*INDEX('PORTIFÓLIO'!$S$4:$S$433,MATCH($C332,'PORTIFÓLIO'!$C$4:$C$433,0)),"")</f>
        <v/>
      </c>
      <c r="L332" s="248">
        <f t="array" ref="L332">IFERROR(J332*INDEX('PORTIFÓLIO'!$S$4:$S$433,MATCH($C332,'PORTIFÓLIO'!$C$4:$C$433,0)),"")</f>
        <v/>
      </c>
      <c r="M332" s="238" t="n"/>
      <c r="N332" s="177" t="n"/>
      <c r="O332" s="177" t="n"/>
      <c r="P332" s="177" t="n"/>
      <c r="Q332" s="177" t="n"/>
      <c r="R332" s="177" t="n"/>
      <c r="S332" s="177" t="n"/>
      <c r="T332" s="177" t="n"/>
      <c r="U332" s="177" t="n"/>
      <c r="V332" s="177" t="n"/>
      <c r="W332" s="177" t="n"/>
    </row>
    <row r="333" outlineLevel="1" ht="15.75" customHeight="1" s="297">
      <c r="A333" s="190" t="n"/>
      <c r="B333" s="204" t="n"/>
      <c r="C333" s="191" t="n"/>
      <c r="D333" s="205">
        <f>IFERROR(VLOOKUP($C333,'PORTIFÓLIO'!C:V,2,0),"")</f>
        <v/>
      </c>
      <c r="E333" s="190">
        <f>IFERROR(VLOOKUP($C333,'PORTIFÓLIO'!C:V,3,0),"")</f>
        <v/>
      </c>
      <c r="F333" s="190">
        <f>IFERROR(VLOOKUP($C333,'PORTIFÓLIO'!C:V,4,0),"")</f>
        <v/>
      </c>
      <c r="G333" s="206">
        <f>IFERROR(VLOOKUP($C333,'PORTIFÓLIO'!C:V,5,0),"")</f>
        <v/>
      </c>
      <c r="H333" s="247">
        <f t="array" ref="H333">IFERROR(INDEX('PORTIFÓLIO'!$H$4:$H$433,MATCH($C333,'PORTIFÓLIO'!$C$4:$C$433,0)),"")</f>
        <v/>
      </c>
      <c r="I333" s="253" t="n"/>
      <c r="J333" s="209">
        <f>I333*$B$2</f>
        <v/>
      </c>
      <c r="K333" s="248">
        <f t="array" ref="K333">IFERROR(I333*INDEX('PORTIFÓLIO'!$S$4:$S$433,MATCH($C333,'PORTIFÓLIO'!$C$4:$C$433,0)),"")</f>
        <v/>
      </c>
      <c r="L333" s="248">
        <f t="array" ref="L333">IFERROR(J333*INDEX('PORTIFÓLIO'!$S$4:$S$433,MATCH($C333,'PORTIFÓLIO'!$C$4:$C$433,0)),"")</f>
        <v/>
      </c>
      <c r="M333" s="238" t="n"/>
      <c r="N333" s="177" t="n"/>
      <c r="O333" s="177" t="n"/>
      <c r="P333" s="177" t="n"/>
      <c r="Q333" s="177" t="n"/>
      <c r="R333" s="177" t="n"/>
      <c r="S333" s="177" t="n"/>
      <c r="T333" s="177" t="n"/>
      <c r="U333" s="177" t="n"/>
      <c r="V333" s="177" t="n"/>
      <c r="W333" s="177" t="n"/>
    </row>
    <row r="334" outlineLevel="1" ht="15.75" customHeight="1" s="297">
      <c r="A334" s="190" t="n"/>
      <c r="B334" s="204" t="n"/>
      <c r="C334" s="191" t="n"/>
      <c r="D334" s="205">
        <f>IFERROR(VLOOKUP($C334,'PORTIFÓLIO'!C:V,2,0),"")</f>
        <v/>
      </c>
      <c r="E334" s="190">
        <f>IFERROR(VLOOKUP($C334,'PORTIFÓLIO'!C:V,3,0),"")</f>
        <v/>
      </c>
      <c r="F334" s="190">
        <f>IFERROR(VLOOKUP($C334,'PORTIFÓLIO'!C:V,4,0),"")</f>
        <v/>
      </c>
      <c r="G334" s="206">
        <f>IFERROR(VLOOKUP($C334,'PORTIFÓLIO'!C:V,5,0),"")</f>
        <v/>
      </c>
      <c r="H334" s="247">
        <f t="array" ref="H334">IFERROR(INDEX('PORTIFÓLIO'!$H$4:$H$433,MATCH($C334,'PORTIFÓLIO'!$C$4:$C$433,0)),"")</f>
        <v/>
      </c>
      <c r="I334" s="257" t="n"/>
      <c r="J334" s="209">
        <f>I334*$B$2</f>
        <v/>
      </c>
      <c r="K334" s="248">
        <f t="array" ref="K334">IFERROR(I334*INDEX('PORTIFÓLIO'!$S$4:$S$433,MATCH($C334,'PORTIFÓLIO'!$C$4:$C$433,0)),"")</f>
        <v/>
      </c>
      <c r="L334" s="248">
        <f t="array" ref="L334">IFERROR(J334*INDEX('PORTIFÓLIO'!$S$4:$S$433,MATCH($C334,'PORTIFÓLIO'!$C$4:$C$433,0)),"")</f>
        <v/>
      </c>
      <c r="M334" s="238" t="n"/>
      <c r="N334" s="177" t="n"/>
      <c r="O334" s="177" t="n"/>
      <c r="P334" s="177" t="n"/>
      <c r="Q334" s="177" t="n"/>
      <c r="R334" s="177" t="n"/>
      <c r="S334" s="177" t="n"/>
      <c r="T334" s="177" t="n"/>
      <c r="U334" s="177" t="n"/>
      <c r="V334" s="177" t="n"/>
      <c r="W334" s="177" t="n"/>
    </row>
    <row r="335" outlineLevel="1" ht="15.75" customHeight="1" s="297">
      <c r="A335" s="190" t="n"/>
      <c r="B335" s="204" t="n"/>
      <c r="C335" s="191" t="n"/>
      <c r="D335" s="205">
        <f>IFERROR(VLOOKUP($C335,'PORTIFÓLIO'!C:V,2,0),"")</f>
        <v/>
      </c>
      <c r="E335" s="190">
        <f>IFERROR(VLOOKUP($C335,'PORTIFÓLIO'!C:V,3,0),"")</f>
        <v/>
      </c>
      <c r="F335" s="190">
        <f>IFERROR(VLOOKUP($C335,'PORTIFÓLIO'!C:V,4,0),"")</f>
        <v/>
      </c>
      <c r="G335" s="206">
        <f>IFERROR(VLOOKUP($C335,'PORTIFÓLIO'!C:V,5,0),"")</f>
        <v/>
      </c>
      <c r="H335" s="247">
        <f t="array" ref="H335">IFERROR(INDEX('PORTIFÓLIO'!$H$4:$H$433,MATCH($C335,'PORTIFÓLIO'!$C$4:$C$433,0)),"")</f>
        <v/>
      </c>
      <c r="I335" s="257" t="n"/>
      <c r="J335" s="209">
        <f>I335*$B$2</f>
        <v/>
      </c>
      <c r="K335" s="248">
        <f t="array" ref="K335">IFERROR(I335*INDEX('PORTIFÓLIO'!$S$4:$S$433,MATCH($C335,'PORTIFÓLIO'!$C$4:$C$433,0)),"")</f>
        <v/>
      </c>
      <c r="L335" s="248">
        <f t="array" ref="L335">IFERROR(J335*INDEX('PORTIFÓLIO'!$S$4:$S$433,MATCH($C335,'PORTIFÓLIO'!$C$4:$C$433,0)),"")</f>
        <v/>
      </c>
      <c r="M335" s="238" t="n"/>
      <c r="N335" s="177" t="n"/>
      <c r="O335" s="177" t="n"/>
      <c r="P335" s="177" t="n"/>
      <c r="Q335" s="177" t="n"/>
      <c r="R335" s="177" t="n"/>
      <c r="S335" s="177" t="n"/>
      <c r="T335" s="177" t="n"/>
      <c r="U335" s="177" t="n"/>
      <c r="V335" s="177" t="n"/>
      <c r="W335" s="177" t="n"/>
    </row>
    <row r="336" outlineLevel="1" ht="15.75" customHeight="1" s="297">
      <c r="A336" s="190" t="n"/>
      <c r="B336" s="204" t="n"/>
      <c r="C336" s="191" t="n"/>
      <c r="D336" s="205">
        <f>IFERROR(VLOOKUP($C336,'PORTIFÓLIO'!C:V,2,0),"")</f>
        <v/>
      </c>
      <c r="E336" s="190">
        <f>IFERROR(VLOOKUP($C336,'PORTIFÓLIO'!C:V,3,0),"")</f>
        <v/>
      </c>
      <c r="F336" s="190">
        <f>IFERROR(VLOOKUP($C336,'PORTIFÓLIO'!C:V,4,0),"")</f>
        <v/>
      </c>
      <c r="G336" s="206">
        <f>IFERROR(VLOOKUP($C336,'PORTIFÓLIO'!C:V,5,0),"")</f>
        <v/>
      </c>
      <c r="H336" s="247">
        <f t="array" ref="H336">IFERROR(INDEX('PORTIFÓLIO'!$H$4:$H$433,MATCH($C336,'PORTIFÓLIO'!$C$4:$C$433,0)),"")</f>
        <v/>
      </c>
      <c r="I336" s="257" t="n"/>
      <c r="J336" s="209">
        <f>I336*$B$2</f>
        <v/>
      </c>
      <c r="K336" s="248">
        <f t="array" ref="K336">IFERROR(I336*INDEX('PORTIFÓLIO'!$S$4:$S$433,MATCH($C336,'PORTIFÓLIO'!$C$4:$C$433,0)),"")</f>
        <v/>
      </c>
      <c r="L336" s="248">
        <f t="array" ref="L336">IFERROR(J336*INDEX('PORTIFÓLIO'!$S$4:$S$433,MATCH($C336,'PORTIFÓLIO'!$C$4:$C$433,0)),"")</f>
        <v/>
      </c>
      <c r="M336" s="238" t="n"/>
      <c r="N336" s="177" t="n"/>
      <c r="O336" s="177" t="n"/>
      <c r="P336" s="177" t="n"/>
      <c r="Q336" s="177" t="n"/>
      <c r="R336" s="177" t="n"/>
      <c r="S336" s="177" t="n"/>
      <c r="T336" s="177" t="n"/>
      <c r="U336" s="177" t="n"/>
      <c r="V336" s="177" t="n"/>
      <c r="W336" s="177" t="n"/>
    </row>
    <row r="337" outlineLevel="1" ht="15.75" customHeight="1" s="297">
      <c r="A337" s="190" t="n"/>
      <c r="B337" s="204" t="n"/>
      <c r="C337" s="191" t="n"/>
      <c r="D337" s="205">
        <f>IFERROR(VLOOKUP($C337,'PORTIFÓLIO'!C:V,2,0),"")</f>
        <v/>
      </c>
      <c r="E337" s="190">
        <f>IFERROR(VLOOKUP($C337,'PORTIFÓLIO'!C:V,3,0),"")</f>
        <v/>
      </c>
      <c r="F337" s="190">
        <f>IFERROR(VLOOKUP($C337,'PORTIFÓLIO'!C:V,4,0),"")</f>
        <v/>
      </c>
      <c r="G337" s="206">
        <f>IFERROR(VLOOKUP($C337,'PORTIFÓLIO'!C:V,5,0),"")</f>
        <v/>
      </c>
      <c r="H337" s="247">
        <f t="array" ref="H337">IFERROR(INDEX('PORTIFÓLIO'!$H$4:$H$433,MATCH($C337,'PORTIFÓLIO'!$C$4:$C$433,0)),"")</f>
        <v/>
      </c>
      <c r="I337" s="257" t="n"/>
      <c r="J337" s="209">
        <f>I337*$B$2</f>
        <v/>
      </c>
      <c r="K337" s="248">
        <f t="array" ref="K337">IFERROR(I337*INDEX('PORTIFÓLIO'!$S$4:$S$433,MATCH($C337,'PORTIFÓLIO'!$C$4:$C$433,0)),"")</f>
        <v/>
      </c>
      <c r="L337" s="248">
        <f t="array" ref="L337">IFERROR(J337*INDEX('PORTIFÓLIO'!$S$4:$S$433,MATCH($C337,'PORTIFÓLIO'!$C$4:$C$433,0)),"")</f>
        <v/>
      </c>
      <c r="M337" s="238" t="n"/>
      <c r="N337" s="177" t="n"/>
      <c r="O337" s="177" t="n"/>
      <c r="P337" s="177" t="n"/>
      <c r="Q337" s="177" t="n"/>
      <c r="R337" s="177" t="n"/>
      <c r="S337" s="177" t="n"/>
      <c r="T337" s="177" t="n"/>
      <c r="U337" s="177" t="n"/>
      <c r="V337" s="177" t="n"/>
      <c r="W337" s="177" t="n"/>
    </row>
    <row r="338" outlineLevel="1" ht="15.75" customHeight="1" s="297">
      <c r="A338" s="190" t="n"/>
      <c r="B338" s="204" t="n"/>
      <c r="C338" s="191" t="n"/>
      <c r="D338" s="205">
        <f>IFERROR(VLOOKUP($C338,'PORTIFÓLIO'!C:V,2,0),"")</f>
        <v/>
      </c>
      <c r="E338" s="190">
        <f>IFERROR(VLOOKUP($C338,'PORTIFÓLIO'!C:V,3,0),"")</f>
        <v/>
      </c>
      <c r="F338" s="190">
        <f>IFERROR(VLOOKUP($C338,'PORTIFÓLIO'!C:V,4,0),"")</f>
        <v/>
      </c>
      <c r="G338" s="206">
        <f>IFERROR(VLOOKUP($C338,'PORTIFÓLIO'!C:V,5,0),"")</f>
        <v/>
      </c>
      <c r="H338" s="247">
        <f t="array" ref="H338">IFERROR(INDEX('PORTIFÓLIO'!$H$4:$H$433,MATCH($C338,'PORTIFÓLIO'!$C$4:$C$433,0)),"")</f>
        <v/>
      </c>
      <c r="I338" s="257" t="n"/>
      <c r="J338" s="209">
        <f>I338*$B$2</f>
        <v/>
      </c>
      <c r="K338" s="248">
        <f t="array" ref="K338">IFERROR(I338*INDEX('PORTIFÓLIO'!$S$4:$S$433,MATCH($C338,'PORTIFÓLIO'!$C$4:$C$433,0)),"")</f>
        <v/>
      </c>
      <c r="L338" s="248">
        <f t="array" ref="L338">IFERROR(J338*INDEX('PORTIFÓLIO'!$S$4:$S$433,MATCH($C338,'PORTIFÓLIO'!$C$4:$C$433,0)),"")</f>
        <v/>
      </c>
      <c r="M338" s="238" t="n"/>
      <c r="N338" s="177" t="n"/>
      <c r="O338" s="177" t="n"/>
      <c r="P338" s="177" t="n"/>
      <c r="Q338" s="177" t="n"/>
      <c r="R338" s="177" t="n"/>
      <c r="S338" s="177" t="n"/>
      <c r="T338" s="177" t="n"/>
      <c r="U338" s="177" t="n"/>
      <c r="V338" s="177" t="n"/>
      <c r="W338" s="177" t="n"/>
    </row>
    <row r="339" outlineLevel="1" ht="15.75" customHeight="1" s="297">
      <c r="A339" s="190" t="n"/>
      <c r="B339" s="204" t="n"/>
      <c r="C339" s="191" t="n"/>
      <c r="D339" s="205">
        <f>IFERROR(VLOOKUP($C339,'PORTIFÓLIO'!C:V,2,0),"")</f>
        <v/>
      </c>
      <c r="E339" s="190">
        <f>IFERROR(VLOOKUP($C339,'PORTIFÓLIO'!C:V,3,0),"")</f>
        <v/>
      </c>
      <c r="F339" s="190">
        <f>IFERROR(VLOOKUP($C339,'PORTIFÓLIO'!C:V,4,0),"")</f>
        <v/>
      </c>
      <c r="G339" s="206">
        <f>IFERROR(VLOOKUP($C339,'PORTIFÓLIO'!C:V,5,0),"")</f>
        <v/>
      </c>
      <c r="H339" s="247">
        <f t="array" ref="H339">IFERROR(INDEX('PORTIFÓLIO'!$H$4:$H$433,MATCH($C339,'PORTIFÓLIO'!$C$4:$C$433,0)),"")</f>
        <v/>
      </c>
      <c r="I339" s="257" t="n"/>
      <c r="J339" s="209">
        <f>I339*$B$2</f>
        <v/>
      </c>
      <c r="K339" s="248">
        <f t="array" ref="K339">IFERROR(I339*INDEX('PORTIFÓLIO'!$S$4:$S$433,MATCH($C339,'PORTIFÓLIO'!$C$4:$C$433,0)),"")</f>
        <v/>
      </c>
      <c r="L339" s="248">
        <f t="array" ref="L339">IFERROR(J339*INDEX('PORTIFÓLIO'!$S$4:$S$433,MATCH($C339,'PORTIFÓLIO'!$C$4:$C$433,0)),"")</f>
        <v/>
      </c>
      <c r="M339" s="238" t="n"/>
      <c r="N339" s="177" t="n"/>
      <c r="O339" s="177" t="n"/>
      <c r="P339" s="177" t="n"/>
      <c r="Q339" s="177" t="n"/>
      <c r="R339" s="177" t="n"/>
      <c r="S339" s="177" t="n"/>
      <c r="T339" s="177" t="n"/>
      <c r="U339" s="177" t="n"/>
      <c r="V339" s="177" t="n"/>
      <c r="W339" s="177" t="n"/>
    </row>
    <row r="340" outlineLevel="1" ht="15.75" customHeight="1" s="297">
      <c r="A340" s="190" t="n"/>
      <c r="B340" s="238" t="n"/>
      <c r="C340" s="190" t="n"/>
      <c r="D340" s="205">
        <f>IFERROR(VLOOKUP($C340,'PORTIFÓLIO'!C:V,2,0),"")</f>
        <v/>
      </c>
      <c r="E340" s="190">
        <f>IFERROR(VLOOKUP($C340,'PORTIFÓLIO'!C:V,3,0),"")</f>
        <v/>
      </c>
      <c r="F340" s="190">
        <f>IFERROR(VLOOKUP($C340,'PORTIFÓLIO'!C:V,4,0),"")</f>
        <v/>
      </c>
      <c r="G340" s="206">
        <f>IFERROR(VLOOKUP($C340,'PORTIFÓLIO'!C:V,5,0),"")</f>
        <v/>
      </c>
      <c r="H340" s="247">
        <f t="array" ref="H340">IFERROR(INDEX('PORTIFÓLIO'!$H$4:$H$433,MATCH($C340,'PORTIFÓLIO'!$C$4:$C$433,0)),"")</f>
        <v/>
      </c>
      <c r="I340" s="257" t="n"/>
      <c r="J340" s="209" t="n"/>
      <c r="K340" s="248">
        <f t="array" ref="K340">IFERROR(I340*INDEX('PORTIFÓLIO'!$S$4:$S$433,MATCH($C340,'PORTIFÓLIO'!$C$4:$C$433,0)),"")</f>
        <v/>
      </c>
      <c r="L340" s="248">
        <f t="array" ref="L340">IFERROR(J340*INDEX('PORTIFÓLIO'!$S$4:$S$433,MATCH($C340,'PORTIFÓLIO'!$C$4:$C$433,0)),"")</f>
        <v/>
      </c>
      <c r="M340" s="238" t="n"/>
      <c r="N340" s="177" t="n"/>
      <c r="O340" s="177" t="n"/>
      <c r="P340" s="177" t="n"/>
      <c r="Q340" s="177" t="n"/>
      <c r="R340" s="177" t="n"/>
      <c r="S340" s="177" t="n"/>
      <c r="T340" s="177" t="n"/>
      <c r="U340" s="177" t="n"/>
      <c r="V340" s="177" t="n"/>
      <c r="W340" s="177" t="n"/>
    </row>
    <row r="341" ht="15.75" customHeight="1" s="297">
      <c r="A341" s="221" t="inlineStr">
        <is>
          <t>OPERAÇÃO 7</t>
        </is>
      </c>
      <c r="B341" s="197" t="n"/>
      <c r="C341" s="196" t="n"/>
      <c r="D341" s="198" t="n"/>
      <c r="E341" s="196" t="n"/>
      <c r="F341" s="196" t="n"/>
      <c r="G341" s="199" t="n"/>
      <c r="H341" s="199" t="n"/>
      <c r="I341" s="252" t="n"/>
      <c r="J341" s="202" t="n"/>
      <c r="K341" s="203">
        <f>SUBTOTAL(9,K342:K355)</f>
        <v/>
      </c>
      <c r="L341" s="203">
        <f>SUBTOTAL(9,L342:L355)</f>
        <v/>
      </c>
      <c r="M341" s="238" t="n"/>
      <c r="N341" s="177" t="n"/>
      <c r="O341" s="177" t="n"/>
      <c r="P341" s="177" t="n"/>
      <c r="Q341" s="177" t="n"/>
      <c r="R341" s="177" t="n"/>
      <c r="S341" s="177" t="n"/>
      <c r="T341" s="177" t="n"/>
      <c r="U341" s="177" t="n"/>
      <c r="V341" s="177" t="n"/>
      <c r="W341" s="177" t="n"/>
    </row>
    <row r="342" outlineLevel="1" ht="15.75" customHeight="1" s="297">
      <c r="A342" s="191" t="n"/>
      <c r="B342" s="204" t="n"/>
      <c r="C342" s="191" t="n"/>
      <c r="D342" s="205">
        <f>IFERROR(VLOOKUP($C342,'PORTIFÓLIO'!C:V,2,0),"")</f>
        <v/>
      </c>
      <c r="E342" s="190">
        <f>IFERROR(VLOOKUP($C342,'PORTIFÓLIO'!C:V,3,0),"")</f>
        <v/>
      </c>
      <c r="F342" s="190">
        <f>IFERROR(VLOOKUP($C342,'PORTIFÓLIO'!C:V,4,0),"")</f>
        <v/>
      </c>
      <c r="G342" s="206">
        <f>IFERROR(VLOOKUP($C342,'PORTIFÓLIO'!C:V,5,0),"")</f>
        <v/>
      </c>
      <c r="H342" s="247">
        <f t="array" ref="H342">IFERROR(INDEX('PORTIFÓLIO'!$H$4:$H$433,MATCH($C342,'PORTIFÓLIO'!$C$4:$C$433,0)),"")</f>
        <v/>
      </c>
      <c r="I342" s="253" t="n"/>
      <c r="J342" s="209">
        <f>I342*$B$2</f>
        <v/>
      </c>
      <c r="K342" s="248">
        <f t="array" ref="K342">IFERROR(I342*INDEX('PORTIFÓLIO'!$S$4:$S$433,MATCH($C342,'PORTIFÓLIO'!$C$4:$C$433,0)),"")</f>
        <v/>
      </c>
      <c r="L342" s="248">
        <f t="array" ref="L342">IFERROR(J342*INDEX('PORTIFÓLIO'!$S$4:$S$433,MATCH($C342,'PORTIFÓLIO'!$C$4:$C$433,0)),"")</f>
        <v/>
      </c>
      <c r="M342" s="238" t="n"/>
      <c r="N342" s="177" t="n"/>
      <c r="O342" s="177" t="n"/>
      <c r="P342" s="177" t="n"/>
      <c r="Q342" s="177" t="n"/>
      <c r="R342" s="177" t="n"/>
      <c r="S342" s="177" t="n"/>
      <c r="T342" s="177" t="n"/>
      <c r="U342" s="177" t="n"/>
      <c r="V342" s="177" t="n"/>
      <c r="W342" s="177" t="n"/>
    </row>
    <row r="343" outlineLevel="1" ht="15.75" customHeight="1" s="297">
      <c r="A343" s="190" t="n"/>
      <c r="B343" s="204" t="n"/>
      <c r="C343" s="191" t="n"/>
      <c r="D343" s="205">
        <f>IFERROR(VLOOKUP($C343,'PORTIFÓLIO'!C:V,2,0),"")</f>
        <v/>
      </c>
      <c r="E343" s="190">
        <f>IFERROR(VLOOKUP($C343,'PORTIFÓLIO'!C:V,3,0),"")</f>
        <v/>
      </c>
      <c r="F343" s="190">
        <f>IFERROR(VLOOKUP($C343,'PORTIFÓLIO'!C:V,4,0),"")</f>
        <v/>
      </c>
      <c r="G343" s="206">
        <f>IFERROR(VLOOKUP($C343,'PORTIFÓLIO'!C:V,5,0),"")</f>
        <v/>
      </c>
      <c r="H343" s="247">
        <f t="array" ref="H343">IFERROR(INDEX('PORTIFÓLIO'!$H$4:$H$433,MATCH($C343,'PORTIFÓLIO'!$C$4:$C$433,0)),"")</f>
        <v/>
      </c>
      <c r="I343" s="257" t="n"/>
      <c r="J343" s="209">
        <f>I343*$B$2</f>
        <v/>
      </c>
      <c r="K343" s="248">
        <f t="array" ref="K343">IFERROR(I343*INDEX('PORTIFÓLIO'!$S$4:$S$433,MATCH($C343,'PORTIFÓLIO'!$C$4:$C$433,0)),"")</f>
        <v/>
      </c>
      <c r="L343" s="248">
        <f t="array" ref="L343">IFERROR(J343*INDEX('PORTIFÓLIO'!$S$4:$S$433,MATCH($C343,'PORTIFÓLIO'!$C$4:$C$433,0)),"")</f>
        <v/>
      </c>
      <c r="M343" s="238" t="n"/>
      <c r="N343" s="177" t="n"/>
      <c r="O343" s="177" t="n"/>
      <c r="P343" s="177" t="n"/>
      <c r="Q343" s="177" t="n"/>
      <c r="R343" s="177" t="n"/>
      <c r="S343" s="177" t="n"/>
      <c r="T343" s="177" t="n"/>
      <c r="U343" s="177" t="n"/>
      <c r="V343" s="177" t="n"/>
      <c r="W343" s="177" t="n"/>
    </row>
    <row r="344" outlineLevel="1" ht="15.75" customHeight="1" s="297">
      <c r="A344" s="190" t="n"/>
      <c r="B344" s="204" t="n"/>
      <c r="C344" s="191" t="n"/>
      <c r="D344" s="205">
        <f>IFERROR(VLOOKUP($C344,'PORTIFÓLIO'!C:V,2,0),"")</f>
        <v/>
      </c>
      <c r="E344" s="190">
        <f>IFERROR(VLOOKUP($C344,'PORTIFÓLIO'!C:V,3,0),"")</f>
        <v/>
      </c>
      <c r="F344" s="190">
        <f>IFERROR(VLOOKUP($C344,'PORTIFÓLIO'!C:V,4,0),"")</f>
        <v/>
      </c>
      <c r="G344" s="206">
        <f>IFERROR(VLOOKUP($C344,'PORTIFÓLIO'!C:V,5,0),"")</f>
        <v/>
      </c>
      <c r="H344" s="247">
        <f t="array" ref="H344">IFERROR(INDEX('PORTIFÓLIO'!$H$4:$H$433,MATCH($C344,'PORTIFÓLIO'!$C$4:$C$433,0)),"")</f>
        <v/>
      </c>
      <c r="I344" s="257" t="n"/>
      <c r="J344" s="209">
        <f>I344*$B$2</f>
        <v/>
      </c>
      <c r="K344" s="248">
        <f t="array" ref="K344">IFERROR(I344*INDEX('PORTIFÓLIO'!$S$4:$S$433,MATCH($C344,'PORTIFÓLIO'!$C$4:$C$433,0)),"")</f>
        <v/>
      </c>
      <c r="L344" s="248">
        <f t="array" ref="L344">IFERROR(J344*INDEX('PORTIFÓLIO'!$S$4:$S$433,MATCH($C344,'PORTIFÓLIO'!$C$4:$C$433,0)),"")</f>
        <v/>
      </c>
      <c r="M344" s="238" t="n"/>
      <c r="N344" s="177" t="n"/>
      <c r="O344" s="177" t="n"/>
      <c r="P344" s="177" t="n"/>
      <c r="Q344" s="177" t="n"/>
      <c r="R344" s="177" t="n"/>
      <c r="S344" s="177" t="n"/>
      <c r="T344" s="177" t="n"/>
      <c r="U344" s="177" t="n"/>
      <c r="V344" s="177" t="n"/>
      <c r="W344" s="177" t="n"/>
    </row>
    <row r="345" outlineLevel="1" ht="15.75" customHeight="1" s="297">
      <c r="A345" s="190" t="n"/>
      <c r="B345" s="204" t="n"/>
      <c r="C345" s="191" t="n"/>
      <c r="D345" s="205">
        <f>IFERROR(VLOOKUP($C345,'PORTIFÓLIO'!C:V,2,0),"")</f>
        <v/>
      </c>
      <c r="E345" s="190">
        <f>IFERROR(VLOOKUP($C345,'PORTIFÓLIO'!C:V,3,0),"")</f>
        <v/>
      </c>
      <c r="F345" s="190">
        <f>IFERROR(VLOOKUP($C345,'PORTIFÓLIO'!C:V,4,0),"")</f>
        <v/>
      </c>
      <c r="G345" s="206">
        <f>IFERROR(VLOOKUP($C345,'PORTIFÓLIO'!C:V,5,0),"")</f>
        <v/>
      </c>
      <c r="H345" s="247">
        <f t="array" ref="H345">IFERROR(INDEX('PORTIFÓLIO'!$H$4:$H$433,MATCH($C345,'PORTIFÓLIO'!$C$4:$C$433,0)),"")</f>
        <v/>
      </c>
      <c r="I345" s="257" t="n"/>
      <c r="J345" s="209">
        <f>I345*$B$2</f>
        <v/>
      </c>
      <c r="K345" s="248">
        <f t="array" ref="K345">IFERROR(I345*INDEX('PORTIFÓLIO'!$S$4:$S$433,MATCH($C345,'PORTIFÓLIO'!$C$4:$C$433,0)),"")</f>
        <v/>
      </c>
      <c r="L345" s="248">
        <f t="array" ref="L345">IFERROR(J345*INDEX('PORTIFÓLIO'!$S$4:$S$433,MATCH($C345,'PORTIFÓLIO'!$C$4:$C$433,0)),"")</f>
        <v/>
      </c>
      <c r="M345" s="238" t="n"/>
      <c r="N345" s="177" t="n"/>
      <c r="O345" s="177" t="n"/>
      <c r="P345" s="177" t="n"/>
      <c r="Q345" s="177" t="n"/>
      <c r="R345" s="177" t="n"/>
      <c r="S345" s="177" t="n"/>
      <c r="T345" s="177" t="n"/>
      <c r="U345" s="177" t="n"/>
      <c r="V345" s="177" t="n"/>
      <c r="W345" s="177" t="n"/>
    </row>
    <row r="346" outlineLevel="1" ht="15.75" customHeight="1" s="297">
      <c r="A346" s="190" t="n"/>
      <c r="B346" s="204" t="n"/>
      <c r="C346" s="191" t="n"/>
      <c r="D346" s="205">
        <f>IFERROR(VLOOKUP($C346,'PORTIFÓLIO'!C:V,2,0),"")</f>
        <v/>
      </c>
      <c r="E346" s="190">
        <f>IFERROR(VLOOKUP($C346,'PORTIFÓLIO'!C:V,3,0),"")</f>
        <v/>
      </c>
      <c r="F346" s="190">
        <f>IFERROR(VLOOKUP($C346,'PORTIFÓLIO'!C:V,4,0),"")</f>
        <v/>
      </c>
      <c r="G346" s="206">
        <f>IFERROR(VLOOKUP($C346,'PORTIFÓLIO'!C:V,5,0),"")</f>
        <v/>
      </c>
      <c r="H346" s="247">
        <f t="array" ref="H346">IFERROR(INDEX('PORTIFÓLIO'!$H$4:$H$433,MATCH($C346,'PORTIFÓLIO'!$C$4:$C$433,0)),"")</f>
        <v/>
      </c>
      <c r="I346" s="257" t="n"/>
      <c r="J346" s="209">
        <f>I346*$B$2</f>
        <v/>
      </c>
      <c r="K346" s="248">
        <f t="array" ref="K346">IFERROR(I346*INDEX('PORTIFÓLIO'!$S$4:$S$433,MATCH($C346,'PORTIFÓLIO'!$C$4:$C$433,0)),"")</f>
        <v/>
      </c>
      <c r="L346" s="248">
        <f t="array" ref="L346">IFERROR(J346*INDEX('PORTIFÓLIO'!$S$4:$S$433,MATCH($C346,'PORTIFÓLIO'!$C$4:$C$433,0)),"")</f>
        <v/>
      </c>
      <c r="M346" s="238" t="n"/>
      <c r="N346" s="177" t="n"/>
      <c r="O346" s="177" t="n"/>
      <c r="P346" s="177" t="n"/>
      <c r="Q346" s="177" t="n"/>
      <c r="R346" s="177" t="n"/>
      <c r="S346" s="177" t="n"/>
      <c r="T346" s="177" t="n"/>
      <c r="U346" s="177" t="n"/>
      <c r="V346" s="177" t="n"/>
      <c r="W346" s="177" t="n"/>
    </row>
    <row r="347" outlineLevel="1" ht="15.75" customHeight="1" s="297">
      <c r="A347" s="190" t="n"/>
      <c r="B347" s="204" t="n"/>
      <c r="C347" s="191" t="n"/>
      <c r="D347" s="205">
        <f>IFERROR(VLOOKUP($C347,'PORTIFÓLIO'!C:V,2,0),"")</f>
        <v/>
      </c>
      <c r="E347" s="190">
        <f>IFERROR(VLOOKUP($C347,'PORTIFÓLIO'!C:V,3,0),"")</f>
        <v/>
      </c>
      <c r="F347" s="190">
        <f>IFERROR(VLOOKUP($C347,'PORTIFÓLIO'!C:V,4,0),"")</f>
        <v/>
      </c>
      <c r="G347" s="206">
        <f>IFERROR(VLOOKUP($C347,'PORTIFÓLIO'!C:V,5,0),"")</f>
        <v/>
      </c>
      <c r="H347" s="247">
        <f t="array" ref="H347">IFERROR(INDEX('PORTIFÓLIO'!$H$4:$H$433,MATCH($C347,'PORTIFÓLIO'!$C$4:$C$433,0)),"")</f>
        <v/>
      </c>
      <c r="I347" s="257" t="n"/>
      <c r="J347" s="209">
        <f>I347*$B$2</f>
        <v/>
      </c>
      <c r="K347" s="248">
        <f t="array" ref="K347">IFERROR(I347*INDEX('PORTIFÓLIO'!$S$4:$S$433,MATCH($C347,'PORTIFÓLIO'!$C$4:$C$433,0)),"")</f>
        <v/>
      </c>
      <c r="L347" s="248">
        <f t="array" ref="L347">IFERROR(J347*INDEX('PORTIFÓLIO'!$S$4:$S$433,MATCH($C347,'PORTIFÓLIO'!$C$4:$C$433,0)),"")</f>
        <v/>
      </c>
      <c r="M347" s="238" t="n"/>
      <c r="N347" s="177" t="n"/>
      <c r="O347" s="177" t="n"/>
      <c r="P347" s="177" t="n"/>
      <c r="Q347" s="177" t="n"/>
      <c r="R347" s="177" t="n"/>
      <c r="S347" s="177" t="n"/>
      <c r="T347" s="177" t="n"/>
      <c r="U347" s="177" t="n"/>
      <c r="V347" s="177" t="n"/>
      <c r="W347" s="177" t="n"/>
    </row>
    <row r="348" outlineLevel="1" ht="15.75" customHeight="1" s="297">
      <c r="A348" s="190" t="n"/>
      <c r="B348" s="204" t="n"/>
      <c r="C348" s="191" t="n"/>
      <c r="D348" s="205">
        <f>IFERROR(VLOOKUP($C348,'PORTIFÓLIO'!C:V,2,0),"")</f>
        <v/>
      </c>
      <c r="E348" s="190">
        <f>IFERROR(VLOOKUP($C348,'PORTIFÓLIO'!C:V,3,0),"")</f>
        <v/>
      </c>
      <c r="F348" s="190">
        <f>IFERROR(VLOOKUP($C348,'PORTIFÓLIO'!C:V,4,0),"")</f>
        <v/>
      </c>
      <c r="G348" s="206">
        <f>IFERROR(VLOOKUP($C348,'PORTIFÓLIO'!C:V,5,0),"")</f>
        <v/>
      </c>
      <c r="H348" s="247">
        <f t="array" ref="H348">IFERROR(INDEX('PORTIFÓLIO'!$H$4:$H$433,MATCH($C348,'PORTIFÓLIO'!$C$4:$C$433,0)),"")</f>
        <v/>
      </c>
      <c r="I348" s="257" t="n"/>
      <c r="J348" s="209">
        <f>I348*$B$2</f>
        <v/>
      </c>
      <c r="K348" s="248">
        <f t="array" ref="K348">IFERROR(I348*INDEX('PORTIFÓLIO'!$S$4:$S$433,MATCH($C348,'PORTIFÓLIO'!$C$4:$C$433,0)),"")</f>
        <v/>
      </c>
      <c r="L348" s="248">
        <f t="array" ref="L348">IFERROR(J348*INDEX('PORTIFÓLIO'!$S$4:$S$433,MATCH($C348,'PORTIFÓLIO'!$C$4:$C$433,0)),"")</f>
        <v/>
      </c>
      <c r="M348" s="238" t="n"/>
      <c r="N348" s="177" t="n"/>
      <c r="O348" s="177" t="n"/>
      <c r="P348" s="177" t="n"/>
      <c r="Q348" s="177" t="n"/>
      <c r="R348" s="177" t="n"/>
      <c r="S348" s="177" t="n"/>
      <c r="T348" s="177" t="n"/>
      <c r="U348" s="177" t="n"/>
      <c r="V348" s="177" t="n"/>
      <c r="W348" s="177" t="n"/>
    </row>
    <row r="349" outlineLevel="1" ht="15.75" customHeight="1" s="297">
      <c r="A349" s="190" t="n"/>
      <c r="B349" s="204" t="n"/>
      <c r="C349" s="191" t="n"/>
      <c r="D349" s="205">
        <f>IFERROR(VLOOKUP($C349,'PORTIFÓLIO'!C:V,2,0),"")</f>
        <v/>
      </c>
      <c r="E349" s="190">
        <f>IFERROR(VLOOKUP($C349,'PORTIFÓLIO'!C:V,3,0),"")</f>
        <v/>
      </c>
      <c r="F349" s="190">
        <f>IFERROR(VLOOKUP($C349,'PORTIFÓLIO'!C:V,4,0),"")</f>
        <v/>
      </c>
      <c r="G349" s="206">
        <f>IFERROR(VLOOKUP($C349,'PORTIFÓLIO'!C:V,5,0),"")</f>
        <v/>
      </c>
      <c r="H349" s="247">
        <f t="array" ref="H349">IFERROR(INDEX('PORTIFÓLIO'!$H$4:$H$433,MATCH($C349,'PORTIFÓLIO'!$C$4:$C$433,0)),"")</f>
        <v/>
      </c>
      <c r="I349" s="257" t="n"/>
      <c r="J349" s="209">
        <f>I349*$B$2</f>
        <v/>
      </c>
      <c r="K349" s="248">
        <f t="array" ref="K349">IFERROR(I349*INDEX('PORTIFÓLIO'!$S$4:$S$433,MATCH($C349,'PORTIFÓLIO'!$C$4:$C$433,0)),"")</f>
        <v/>
      </c>
      <c r="L349" s="248">
        <f t="array" ref="L349">IFERROR(J349*INDEX('PORTIFÓLIO'!$S$4:$S$433,MATCH($C349,'PORTIFÓLIO'!$C$4:$C$433,0)),"")</f>
        <v/>
      </c>
      <c r="M349" s="238" t="n"/>
      <c r="N349" s="177" t="n"/>
      <c r="O349" s="177" t="n"/>
      <c r="P349" s="177" t="n"/>
      <c r="Q349" s="177" t="n"/>
      <c r="R349" s="177" t="n"/>
      <c r="S349" s="177" t="n"/>
      <c r="T349" s="177" t="n"/>
      <c r="U349" s="177" t="n"/>
      <c r="V349" s="177" t="n"/>
      <c r="W349" s="177" t="n"/>
    </row>
    <row r="350" outlineLevel="1" ht="15.75" customHeight="1" s="297">
      <c r="A350" s="190" t="n"/>
      <c r="B350" s="204" t="n"/>
      <c r="C350" s="191" t="n"/>
      <c r="D350" s="205">
        <f>IFERROR(VLOOKUP($C350,'PORTIFÓLIO'!C:V,2,0),"")</f>
        <v/>
      </c>
      <c r="E350" s="190">
        <f>IFERROR(VLOOKUP($C350,'PORTIFÓLIO'!C:V,3,0),"")</f>
        <v/>
      </c>
      <c r="F350" s="190">
        <f>IFERROR(VLOOKUP($C350,'PORTIFÓLIO'!C:V,4,0),"")</f>
        <v/>
      </c>
      <c r="G350" s="206">
        <f>IFERROR(VLOOKUP($C350,'PORTIFÓLIO'!C:V,5,0),"")</f>
        <v/>
      </c>
      <c r="H350" s="247">
        <f t="array" ref="H350">IFERROR(INDEX('PORTIFÓLIO'!$H$4:$H$433,MATCH($C350,'PORTIFÓLIO'!$C$4:$C$433,0)),"")</f>
        <v/>
      </c>
      <c r="I350" s="253" t="n"/>
      <c r="J350" s="209">
        <f>I350*$B$2</f>
        <v/>
      </c>
      <c r="K350" s="248">
        <f t="array" ref="K350">IFERROR(I350*INDEX('PORTIFÓLIO'!$S$4:$S$433,MATCH($C350,'PORTIFÓLIO'!$C$4:$C$433,0)),"")</f>
        <v/>
      </c>
      <c r="L350" s="248">
        <f t="array" ref="L350">IFERROR(J350*INDEX('PORTIFÓLIO'!$S$4:$S$433,MATCH($C350,'PORTIFÓLIO'!$C$4:$C$433,0)),"")</f>
        <v/>
      </c>
      <c r="M350" s="238" t="n"/>
      <c r="N350" s="177" t="n"/>
      <c r="O350" s="177" t="n"/>
      <c r="P350" s="177" t="n"/>
      <c r="Q350" s="177" t="n"/>
      <c r="R350" s="177" t="n"/>
      <c r="S350" s="177" t="n"/>
      <c r="T350" s="177" t="n"/>
      <c r="U350" s="177" t="n"/>
      <c r="V350" s="177" t="n"/>
      <c r="W350" s="177" t="n"/>
    </row>
    <row r="351" outlineLevel="1" ht="15.75" customHeight="1" s="297">
      <c r="A351" s="190" t="n"/>
      <c r="B351" s="204" t="n"/>
      <c r="C351" s="191" t="n"/>
      <c r="D351" s="205">
        <f>IFERROR(VLOOKUP($C351,'PORTIFÓLIO'!C:V,2,0),"")</f>
        <v/>
      </c>
      <c r="E351" s="190">
        <f>IFERROR(VLOOKUP($C351,'PORTIFÓLIO'!C:V,3,0),"")</f>
        <v/>
      </c>
      <c r="F351" s="190">
        <f>IFERROR(VLOOKUP($C351,'PORTIFÓLIO'!C:V,4,0),"")</f>
        <v/>
      </c>
      <c r="G351" s="206">
        <f>IFERROR(VLOOKUP($C351,'PORTIFÓLIO'!C:V,5,0),"")</f>
        <v/>
      </c>
      <c r="H351" s="247">
        <f t="array" ref="H351">IFERROR(INDEX('PORTIFÓLIO'!$H$4:$H$433,MATCH($C351,'PORTIFÓLIO'!$C$4:$C$433,0)),"")</f>
        <v/>
      </c>
      <c r="I351" s="257" t="n"/>
      <c r="J351" s="209">
        <f>I351*$B$2</f>
        <v/>
      </c>
      <c r="K351" s="248">
        <f t="array" ref="K351">IFERROR(I351*INDEX('PORTIFÓLIO'!$S$4:$S$433,MATCH($C351,'PORTIFÓLIO'!$C$4:$C$433,0)),"")</f>
        <v/>
      </c>
      <c r="L351" s="248">
        <f t="array" ref="L351">IFERROR(J351*INDEX('PORTIFÓLIO'!$S$4:$S$433,MATCH($C351,'PORTIFÓLIO'!$C$4:$C$433,0)),"")</f>
        <v/>
      </c>
      <c r="M351" s="238" t="n"/>
      <c r="N351" s="177" t="n"/>
      <c r="O351" s="177" t="n"/>
      <c r="P351" s="177" t="n"/>
      <c r="Q351" s="177" t="n"/>
      <c r="R351" s="177" t="n"/>
      <c r="S351" s="177" t="n"/>
      <c r="T351" s="177" t="n"/>
      <c r="U351" s="177" t="n"/>
      <c r="V351" s="177" t="n"/>
      <c r="W351" s="177" t="n"/>
    </row>
    <row r="352" outlineLevel="1" ht="15.75" customHeight="1" s="297">
      <c r="A352" s="190" t="n"/>
      <c r="B352" s="204" t="n"/>
      <c r="C352" s="191" t="n"/>
      <c r="D352" s="205">
        <f>IFERROR(VLOOKUP($C352,'PORTIFÓLIO'!C:V,2,0),"")</f>
        <v/>
      </c>
      <c r="E352" s="190">
        <f>IFERROR(VLOOKUP($C352,'PORTIFÓLIO'!C:V,3,0),"")</f>
        <v/>
      </c>
      <c r="F352" s="190">
        <f>IFERROR(VLOOKUP($C352,'PORTIFÓLIO'!C:V,4,0),"")</f>
        <v/>
      </c>
      <c r="G352" s="206">
        <f>IFERROR(VLOOKUP($C352,'PORTIFÓLIO'!C:V,5,0),"")</f>
        <v/>
      </c>
      <c r="H352" s="247">
        <f t="array" ref="H352">IFERROR(INDEX('PORTIFÓLIO'!$H$4:$H$433,MATCH($C352,'PORTIFÓLIO'!$C$4:$C$433,0)),"")</f>
        <v/>
      </c>
      <c r="I352" s="257" t="n"/>
      <c r="J352" s="209">
        <f>I352*$B$2</f>
        <v/>
      </c>
      <c r="K352" s="248">
        <f t="array" ref="K352">IFERROR(I352*INDEX('PORTIFÓLIO'!$S$4:$S$433,MATCH($C352,'PORTIFÓLIO'!$C$4:$C$433,0)),"")</f>
        <v/>
      </c>
      <c r="L352" s="248">
        <f t="array" ref="L352">IFERROR(J352*INDEX('PORTIFÓLIO'!$S$4:$S$433,MATCH($C352,'PORTIFÓLIO'!$C$4:$C$433,0)),"")</f>
        <v/>
      </c>
      <c r="M352" s="238" t="n"/>
      <c r="N352" s="177" t="n"/>
      <c r="O352" s="177" t="n"/>
      <c r="P352" s="177" t="n"/>
      <c r="Q352" s="177" t="n"/>
      <c r="R352" s="177" t="n"/>
      <c r="S352" s="177" t="n"/>
      <c r="T352" s="177" t="n"/>
      <c r="U352" s="177" t="n"/>
      <c r="V352" s="177" t="n"/>
      <c r="W352" s="177" t="n"/>
    </row>
    <row r="353" outlineLevel="1" ht="15.75" customHeight="1" s="297">
      <c r="A353" s="190" t="n"/>
      <c r="B353" s="204" t="n"/>
      <c r="C353" s="191" t="n"/>
      <c r="D353" s="205">
        <f>IFERROR(VLOOKUP($C353,'PORTIFÓLIO'!C:V,2,0),"")</f>
        <v/>
      </c>
      <c r="E353" s="190">
        <f>IFERROR(VLOOKUP($C353,'PORTIFÓLIO'!C:V,3,0),"")</f>
        <v/>
      </c>
      <c r="F353" s="190">
        <f>IFERROR(VLOOKUP($C353,'PORTIFÓLIO'!C:V,4,0),"")</f>
        <v/>
      </c>
      <c r="G353" s="206">
        <f>IFERROR(VLOOKUP($C353,'PORTIFÓLIO'!C:V,5,0),"")</f>
        <v/>
      </c>
      <c r="H353" s="247">
        <f t="array" ref="H353">IFERROR(INDEX('PORTIFÓLIO'!$H$4:$H$433,MATCH($C353,'PORTIFÓLIO'!$C$4:$C$433,0)),"")</f>
        <v/>
      </c>
      <c r="I353" s="257" t="n"/>
      <c r="J353" s="209">
        <f>I353*$B$2</f>
        <v/>
      </c>
      <c r="K353" s="248">
        <f t="array" ref="K353">IFERROR(I353*INDEX('PORTIFÓLIO'!$S$4:$S$433,MATCH($C353,'PORTIFÓLIO'!$C$4:$C$433,0)),"")</f>
        <v/>
      </c>
      <c r="L353" s="248">
        <f t="array" ref="L353">IFERROR(J353*INDEX('PORTIFÓLIO'!$S$4:$S$433,MATCH($C353,'PORTIFÓLIO'!$C$4:$C$433,0)),"")</f>
        <v/>
      </c>
      <c r="M353" s="238" t="n"/>
      <c r="N353" s="177" t="n"/>
      <c r="O353" s="177" t="n"/>
      <c r="P353" s="177" t="n"/>
      <c r="Q353" s="177" t="n"/>
      <c r="R353" s="177" t="n"/>
      <c r="S353" s="177" t="n"/>
      <c r="T353" s="177" t="n"/>
      <c r="U353" s="177" t="n"/>
      <c r="V353" s="177" t="n"/>
      <c r="W353" s="177" t="n"/>
    </row>
    <row r="354" outlineLevel="1" ht="15.75" customHeight="1" s="297">
      <c r="A354" s="190" t="n"/>
      <c r="B354" s="204" t="n"/>
      <c r="C354" s="191" t="n"/>
      <c r="D354" s="205">
        <f>IFERROR(VLOOKUP($C354,'PORTIFÓLIO'!C:V,2,0),"")</f>
        <v/>
      </c>
      <c r="E354" s="190">
        <f>IFERROR(VLOOKUP($C354,'PORTIFÓLIO'!C:V,3,0),"")</f>
        <v/>
      </c>
      <c r="F354" s="190">
        <f>IFERROR(VLOOKUP($C354,'PORTIFÓLIO'!C:V,4,0),"")</f>
        <v/>
      </c>
      <c r="G354" s="206">
        <f>IFERROR(VLOOKUP($C354,'PORTIFÓLIO'!C:V,5,0),"")</f>
        <v/>
      </c>
      <c r="H354" s="247">
        <f t="array" ref="H354">IFERROR(INDEX('PORTIFÓLIO'!$H$4:$H$433,MATCH($C354,'PORTIFÓLIO'!$C$4:$C$433,0)),"")</f>
        <v/>
      </c>
      <c r="I354" s="257" t="n"/>
      <c r="J354" s="209">
        <f>I354*$B$2</f>
        <v/>
      </c>
      <c r="K354" s="248">
        <f t="array" ref="K354">IFERROR(I354*INDEX('PORTIFÓLIO'!$S$4:$S$433,MATCH($C354,'PORTIFÓLIO'!$C$4:$C$433,0)),"")</f>
        <v/>
      </c>
      <c r="L354" s="248">
        <f t="array" ref="L354">IFERROR(J354*INDEX('PORTIFÓLIO'!$S$4:$S$433,MATCH($C354,'PORTIFÓLIO'!$C$4:$C$433,0)),"")</f>
        <v/>
      </c>
      <c r="M354" s="238" t="n"/>
      <c r="N354" s="177" t="n"/>
      <c r="O354" s="177" t="n"/>
      <c r="P354" s="177" t="n"/>
      <c r="Q354" s="177" t="n"/>
      <c r="R354" s="177" t="n"/>
      <c r="S354" s="177" t="n"/>
      <c r="T354" s="177" t="n"/>
      <c r="U354" s="177" t="n"/>
      <c r="V354" s="177" t="n"/>
      <c r="W354" s="177" t="n"/>
    </row>
    <row r="355" outlineLevel="1" ht="15.75" customHeight="1" s="297">
      <c r="A355" s="190" t="n"/>
      <c r="B355" s="204" t="n"/>
      <c r="C355" s="191" t="n"/>
      <c r="D355" s="205">
        <f>IFERROR(VLOOKUP($C355,'PORTIFÓLIO'!C:V,2,0),"")</f>
        <v/>
      </c>
      <c r="E355" s="190">
        <f>IFERROR(VLOOKUP($C355,'PORTIFÓLIO'!C:V,3,0),"")</f>
        <v/>
      </c>
      <c r="F355" s="190">
        <f>IFERROR(VLOOKUP($C355,'PORTIFÓLIO'!C:V,4,0),"")</f>
        <v/>
      </c>
      <c r="G355" s="206">
        <f>IFERROR(VLOOKUP($C355,'PORTIFÓLIO'!C:V,5,0),"")</f>
        <v/>
      </c>
      <c r="H355" s="247">
        <f t="array" ref="H355">IFERROR(INDEX('PORTIFÓLIO'!$H$4:$H$433,MATCH($C355,'PORTIFÓLIO'!$C$4:$C$433,0)),"")</f>
        <v/>
      </c>
      <c r="I355" s="257" t="n"/>
      <c r="J355" s="209">
        <f>I355*$B$2</f>
        <v/>
      </c>
      <c r="K355" s="248">
        <f t="array" ref="K355">IFERROR(I355*INDEX('PORTIFÓLIO'!$S$4:$S$433,MATCH($C355,'PORTIFÓLIO'!$C$4:$C$433,0)),"")</f>
        <v/>
      </c>
      <c r="L355" s="248">
        <f t="array" ref="L355">IFERROR(J355*INDEX('PORTIFÓLIO'!$S$4:$S$433,MATCH($C355,'PORTIFÓLIO'!$C$4:$C$433,0)),"")</f>
        <v/>
      </c>
      <c r="M355" s="238" t="n"/>
      <c r="N355" s="177" t="n"/>
      <c r="O355" s="177" t="n"/>
      <c r="P355" s="177" t="n"/>
      <c r="Q355" s="177" t="n"/>
      <c r="R355" s="177" t="n"/>
      <c r="S355" s="177" t="n"/>
      <c r="T355" s="177" t="n"/>
      <c r="U355" s="177" t="n"/>
      <c r="V355" s="177" t="n"/>
      <c r="W355" s="177" t="n"/>
    </row>
    <row r="356" outlineLevel="1" ht="15.75" customHeight="1" s="297">
      <c r="A356" s="190" t="n"/>
      <c r="B356" s="204" t="n"/>
      <c r="C356" s="191" t="n"/>
      <c r="D356" s="205">
        <f>IFERROR(VLOOKUP($C356,'PORTIFÓLIO'!C:V,2,0),"")</f>
        <v/>
      </c>
      <c r="E356" s="190">
        <f>IFERROR(VLOOKUP($C356,'PORTIFÓLIO'!C:V,3,0),"")</f>
        <v/>
      </c>
      <c r="F356" s="190">
        <f>IFERROR(VLOOKUP($C356,'PORTIFÓLIO'!C:V,4,0),"")</f>
        <v/>
      </c>
      <c r="G356" s="206">
        <f>IFERROR(VLOOKUP($C356,'PORTIFÓLIO'!C:V,5,0),"")</f>
        <v/>
      </c>
      <c r="H356" s="247">
        <f t="array" ref="H356">IFERROR(INDEX('PORTIFÓLIO'!$H$4:$H$433,MATCH($C356,'PORTIFÓLIO'!$C$4:$C$433,0)),"")</f>
        <v/>
      </c>
      <c r="I356" s="257" t="n"/>
      <c r="J356" s="209">
        <f>I356*$B$2</f>
        <v/>
      </c>
      <c r="K356" s="248">
        <f t="array" ref="K356">IFERROR(I356*INDEX('PORTIFÓLIO'!$S$4:$S$433,MATCH($C356,'PORTIFÓLIO'!$C$4:$C$433,0)),"")</f>
        <v/>
      </c>
      <c r="L356" s="248">
        <f t="array" ref="L356">IFERROR(J356*INDEX('PORTIFÓLIO'!$S$4:$S$433,MATCH($C356,'PORTIFÓLIO'!$C$4:$C$433,0)),"")</f>
        <v/>
      </c>
      <c r="M356" s="238" t="n"/>
      <c r="N356" s="177" t="n"/>
      <c r="O356" s="177" t="n"/>
      <c r="P356" s="177" t="n"/>
      <c r="Q356" s="177" t="n"/>
      <c r="R356" s="177" t="n"/>
      <c r="S356" s="177" t="n"/>
      <c r="T356" s="177" t="n"/>
      <c r="U356" s="177" t="n"/>
      <c r="V356" s="177" t="n"/>
      <c r="W356" s="177" t="n"/>
    </row>
    <row r="357" outlineLevel="1" ht="15.75" customHeight="1" s="297">
      <c r="A357" s="190" t="n"/>
      <c r="B357" s="238" t="n"/>
      <c r="C357" s="190" t="n"/>
      <c r="D357" s="205">
        <f>IFERROR(VLOOKUP($C357,'PORTIFÓLIO'!C:V,2,0),"")</f>
        <v/>
      </c>
      <c r="E357" s="190">
        <f>IFERROR(VLOOKUP($C357,'PORTIFÓLIO'!C:V,3,0),"")</f>
        <v/>
      </c>
      <c r="F357" s="190">
        <f>IFERROR(VLOOKUP($C357,'PORTIFÓLIO'!C:V,4,0),"")</f>
        <v/>
      </c>
      <c r="G357" s="206">
        <f>IFERROR(VLOOKUP($C357,'PORTIFÓLIO'!C:V,5,0),"")</f>
        <v/>
      </c>
      <c r="H357" s="247">
        <f t="array" ref="H357">IFERROR(INDEX('PORTIFÓLIO'!$H$4:$H$433,MATCH($C357,'PORTIFÓLIO'!$C$4:$C$433,0)),"")</f>
        <v/>
      </c>
      <c r="I357" s="257" t="n"/>
      <c r="J357" s="209" t="n"/>
      <c r="K357" s="248">
        <f t="array" ref="K357">IFERROR(I357*INDEX('PORTIFÓLIO'!$S$4:$S$433,MATCH($C357,'PORTIFÓLIO'!$C$4:$C$433,0)),"")</f>
        <v/>
      </c>
      <c r="L357" s="248">
        <f t="array" ref="L357">IFERROR(J357*INDEX('PORTIFÓLIO'!$S$4:$S$433,MATCH($C357,'PORTIFÓLIO'!$C$4:$C$433,0)),"")</f>
        <v/>
      </c>
      <c r="M357" s="238" t="n"/>
      <c r="N357" s="177" t="n"/>
      <c r="O357" s="177" t="n"/>
      <c r="P357" s="177" t="n"/>
      <c r="Q357" s="177" t="n"/>
      <c r="R357" s="177" t="n"/>
      <c r="S357" s="177" t="n"/>
      <c r="T357" s="177" t="n"/>
      <c r="U357" s="177" t="n"/>
      <c r="V357" s="177" t="n"/>
      <c r="W357" s="177" t="n"/>
    </row>
    <row r="358" ht="15.75" customHeight="1" s="297">
      <c r="A358" s="221" t="inlineStr">
        <is>
          <t>OPERAÇÃO 8</t>
        </is>
      </c>
      <c r="B358" s="197" t="n"/>
      <c r="C358" s="196" t="n"/>
      <c r="D358" s="198" t="n"/>
      <c r="E358" s="196" t="n"/>
      <c r="F358" s="196" t="n"/>
      <c r="G358" s="199" t="n"/>
      <c r="H358" s="199" t="n"/>
      <c r="I358" s="252" t="n"/>
      <c r="J358" s="202" t="n"/>
      <c r="K358" s="203">
        <f>SUBTOTAL(9,K359:K372)</f>
        <v/>
      </c>
      <c r="L358" s="203">
        <f>SUBTOTAL(9,L359:L372)</f>
        <v/>
      </c>
      <c r="M358" s="238" t="n"/>
      <c r="N358" s="177" t="n"/>
      <c r="O358" s="177" t="n"/>
      <c r="P358" s="177" t="n"/>
      <c r="Q358" s="177" t="n"/>
      <c r="R358" s="177" t="n"/>
      <c r="S358" s="177" t="n"/>
      <c r="T358" s="177" t="n"/>
      <c r="U358" s="177" t="n"/>
      <c r="V358" s="177" t="n"/>
      <c r="W358" s="177" t="n"/>
    </row>
    <row r="359" outlineLevel="1" ht="15.75" customHeight="1" s="297">
      <c r="A359" s="191" t="n"/>
      <c r="B359" s="204" t="n"/>
      <c r="C359" s="191" t="n"/>
      <c r="D359" s="205">
        <f>IFERROR(VLOOKUP($C359,'PORTIFÓLIO'!C:V,2,0),"")</f>
        <v/>
      </c>
      <c r="E359" s="190">
        <f>IFERROR(VLOOKUP($C359,'PORTIFÓLIO'!C:V,3,0),"")</f>
        <v/>
      </c>
      <c r="F359" s="190">
        <f>IFERROR(VLOOKUP($C359,'PORTIFÓLIO'!C:V,4,0),"")</f>
        <v/>
      </c>
      <c r="G359" s="206">
        <f>IFERROR(VLOOKUP($C359,'PORTIFÓLIO'!C:V,5,0),"")</f>
        <v/>
      </c>
      <c r="H359" s="247">
        <f t="array" ref="H359">IFERROR(INDEX('PORTIFÓLIO'!$H$4:$H$433,MATCH($C359,'PORTIFÓLIO'!$C$4:$C$433,0)),"")</f>
        <v/>
      </c>
      <c r="I359" s="253" t="n"/>
      <c r="J359" s="209">
        <f>I359*$B$2</f>
        <v/>
      </c>
      <c r="K359" s="248">
        <f t="array" ref="K359">IFERROR(I359*INDEX('PORTIFÓLIO'!$S$4:$S$433,MATCH($C359,'PORTIFÓLIO'!$C$4:$C$433,0)),"")</f>
        <v/>
      </c>
      <c r="L359" s="248">
        <f t="array" ref="L359">IFERROR(J359*INDEX('PORTIFÓLIO'!$S$4:$S$433,MATCH($C359,'PORTIFÓLIO'!$C$4:$C$433,0)),"")</f>
        <v/>
      </c>
      <c r="M359" s="238" t="n"/>
      <c r="N359" s="177" t="n"/>
      <c r="O359" s="177" t="n"/>
      <c r="P359" s="177" t="n"/>
      <c r="Q359" s="177" t="n"/>
      <c r="R359" s="177" t="n"/>
      <c r="S359" s="177" t="n"/>
      <c r="T359" s="177" t="n"/>
      <c r="U359" s="177" t="n"/>
      <c r="V359" s="177" t="n"/>
      <c r="W359" s="177" t="n"/>
    </row>
    <row r="360" outlineLevel="1" ht="15.75" customHeight="1" s="297">
      <c r="A360" s="190" t="n"/>
      <c r="B360" s="204" t="n"/>
      <c r="C360" s="191" t="n"/>
      <c r="D360" s="205">
        <f>IFERROR(VLOOKUP($C360,'PORTIFÓLIO'!C:V,2,0),"")</f>
        <v/>
      </c>
      <c r="E360" s="190">
        <f>IFERROR(VLOOKUP($C360,'PORTIFÓLIO'!C:V,3,0),"")</f>
        <v/>
      </c>
      <c r="F360" s="190">
        <f>IFERROR(VLOOKUP($C360,'PORTIFÓLIO'!C:V,4,0),"")</f>
        <v/>
      </c>
      <c r="G360" s="206">
        <f>IFERROR(VLOOKUP($C360,'PORTIFÓLIO'!C:V,5,0),"")</f>
        <v/>
      </c>
      <c r="H360" s="247">
        <f t="array" ref="H360">IFERROR(INDEX('PORTIFÓLIO'!$H$4:$H$433,MATCH($C360,'PORTIFÓLIO'!$C$4:$C$433,0)),"")</f>
        <v/>
      </c>
      <c r="I360" s="257" t="n"/>
      <c r="J360" s="209">
        <f>I360*$B$2</f>
        <v/>
      </c>
      <c r="K360" s="248">
        <f t="array" ref="K360">IFERROR(I360*INDEX('PORTIFÓLIO'!$S$4:$S$433,MATCH($C360,'PORTIFÓLIO'!$C$4:$C$433,0)),"")</f>
        <v/>
      </c>
      <c r="L360" s="248">
        <f t="array" ref="L360">IFERROR(J360*INDEX('PORTIFÓLIO'!$S$4:$S$433,MATCH($C360,'PORTIFÓLIO'!$C$4:$C$433,0)),"")</f>
        <v/>
      </c>
      <c r="M360" s="238" t="n"/>
      <c r="N360" s="177" t="n"/>
      <c r="O360" s="177" t="n"/>
      <c r="P360" s="177" t="n"/>
      <c r="Q360" s="177" t="n"/>
      <c r="R360" s="177" t="n"/>
      <c r="S360" s="177" t="n"/>
      <c r="T360" s="177" t="n"/>
      <c r="U360" s="177" t="n"/>
      <c r="V360" s="177" t="n"/>
      <c r="W360" s="177" t="n"/>
    </row>
    <row r="361" outlineLevel="1" ht="15.75" customHeight="1" s="297">
      <c r="A361" s="190" t="n"/>
      <c r="B361" s="204" t="n"/>
      <c r="C361" s="191" t="n"/>
      <c r="D361" s="205">
        <f>IFERROR(VLOOKUP($C361,'PORTIFÓLIO'!C:V,2,0),"")</f>
        <v/>
      </c>
      <c r="E361" s="190">
        <f>IFERROR(VLOOKUP($C361,'PORTIFÓLIO'!C:V,3,0),"")</f>
        <v/>
      </c>
      <c r="F361" s="190">
        <f>IFERROR(VLOOKUP($C361,'PORTIFÓLIO'!C:V,4,0),"")</f>
        <v/>
      </c>
      <c r="G361" s="206">
        <f>IFERROR(VLOOKUP($C361,'PORTIFÓLIO'!C:V,5,0),"")</f>
        <v/>
      </c>
      <c r="H361" s="247">
        <f t="array" ref="H361">IFERROR(INDEX('PORTIFÓLIO'!$H$4:$H$433,MATCH($C361,'PORTIFÓLIO'!$C$4:$C$433,0)),"")</f>
        <v/>
      </c>
      <c r="I361" s="257" t="n"/>
      <c r="J361" s="209">
        <f>I361*$B$2</f>
        <v/>
      </c>
      <c r="K361" s="248">
        <f t="array" ref="K361">IFERROR(I361*INDEX('PORTIFÓLIO'!$S$4:$S$433,MATCH($C361,'PORTIFÓLIO'!$C$4:$C$433,0)),"")</f>
        <v/>
      </c>
      <c r="L361" s="248">
        <f t="array" ref="L361">IFERROR(J361*INDEX('PORTIFÓLIO'!$S$4:$S$433,MATCH($C361,'PORTIFÓLIO'!$C$4:$C$433,0)),"")</f>
        <v/>
      </c>
      <c r="M361" s="238" t="n"/>
      <c r="N361" s="177" t="n"/>
      <c r="O361" s="177" t="n"/>
      <c r="P361" s="177" t="n"/>
      <c r="Q361" s="177" t="n"/>
      <c r="R361" s="177" t="n"/>
      <c r="S361" s="177" t="n"/>
      <c r="T361" s="177" t="n"/>
      <c r="U361" s="177" t="n"/>
      <c r="V361" s="177" t="n"/>
      <c r="W361" s="177" t="n"/>
    </row>
    <row r="362" outlineLevel="1" ht="15.75" customHeight="1" s="297">
      <c r="A362" s="190" t="n"/>
      <c r="B362" s="204" t="n"/>
      <c r="C362" s="191" t="n"/>
      <c r="D362" s="205">
        <f>IFERROR(VLOOKUP($C362,'PORTIFÓLIO'!C:V,2,0),"")</f>
        <v/>
      </c>
      <c r="E362" s="190">
        <f>IFERROR(VLOOKUP($C362,'PORTIFÓLIO'!C:V,3,0),"")</f>
        <v/>
      </c>
      <c r="F362" s="190">
        <f>IFERROR(VLOOKUP($C362,'PORTIFÓLIO'!C:V,4,0),"")</f>
        <v/>
      </c>
      <c r="G362" s="206">
        <f>IFERROR(VLOOKUP($C362,'PORTIFÓLIO'!C:V,5,0),"")</f>
        <v/>
      </c>
      <c r="H362" s="247">
        <f t="array" ref="H362">IFERROR(INDEX('PORTIFÓLIO'!$H$4:$H$433,MATCH($C362,'PORTIFÓLIO'!$C$4:$C$433,0)),"")</f>
        <v/>
      </c>
      <c r="I362" s="257" t="n"/>
      <c r="J362" s="209">
        <f>I362*$B$2</f>
        <v/>
      </c>
      <c r="K362" s="248">
        <f t="array" ref="K362">IFERROR(I362*INDEX('PORTIFÓLIO'!$S$4:$S$433,MATCH($C362,'PORTIFÓLIO'!$C$4:$C$433,0)),"")</f>
        <v/>
      </c>
      <c r="L362" s="248">
        <f t="array" ref="L362">IFERROR(J362*INDEX('PORTIFÓLIO'!$S$4:$S$433,MATCH($C362,'PORTIFÓLIO'!$C$4:$C$433,0)),"")</f>
        <v/>
      </c>
      <c r="M362" s="238" t="n"/>
      <c r="N362" s="177" t="n"/>
      <c r="O362" s="177" t="n"/>
      <c r="P362" s="177" t="n"/>
      <c r="Q362" s="177" t="n"/>
      <c r="R362" s="177" t="n"/>
      <c r="S362" s="177" t="n"/>
      <c r="T362" s="177" t="n"/>
      <c r="U362" s="177" t="n"/>
      <c r="V362" s="177" t="n"/>
      <c r="W362" s="177" t="n"/>
    </row>
    <row r="363" outlineLevel="1" ht="15.75" customHeight="1" s="297">
      <c r="A363" s="190" t="n"/>
      <c r="B363" s="204" t="n"/>
      <c r="C363" s="191" t="n"/>
      <c r="D363" s="205">
        <f>IFERROR(VLOOKUP($C363,'PORTIFÓLIO'!C:V,2,0),"")</f>
        <v/>
      </c>
      <c r="E363" s="190">
        <f>IFERROR(VLOOKUP($C363,'PORTIFÓLIO'!C:V,3,0),"")</f>
        <v/>
      </c>
      <c r="F363" s="190">
        <f>IFERROR(VLOOKUP($C363,'PORTIFÓLIO'!C:V,4,0),"")</f>
        <v/>
      </c>
      <c r="G363" s="206">
        <f>IFERROR(VLOOKUP($C363,'PORTIFÓLIO'!C:V,5,0),"")</f>
        <v/>
      </c>
      <c r="H363" s="247">
        <f t="array" ref="H363">IFERROR(INDEX('PORTIFÓLIO'!$H$4:$H$433,MATCH($C363,'PORTIFÓLIO'!$C$4:$C$433,0)),"")</f>
        <v/>
      </c>
      <c r="I363" s="257" t="n"/>
      <c r="J363" s="209">
        <f>I363*$B$2</f>
        <v/>
      </c>
      <c r="K363" s="248">
        <f t="array" ref="K363">IFERROR(I363*INDEX('PORTIFÓLIO'!$S$4:$S$433,MATCH($C363,'PORTIFÓLIO'!$C$4:$C$433,0)),"")</f>
        <v/>
      </c>
      <c r="L363" s="248">
        <f t="array" ref="L363">IFERROR(J363*INDEX('PORTIFÓLIO'!$S$4:$S$433,MATCH($C363,'PORTIFÓLIO'!$C$4:$C$433,0)),"")</f>
        <v/>
      </c>
      <c r="M363" s="238" t="n"/>
      <c r="N363" s="177" t="n"/>
      <c r="O363" s="177" t="n"/>
      <c r="P363" s="177" t="n"/>
      <c r="Q363" s="177" t="n"/>
      <c r="R363" s="177" t="n"/>
      <c r="S363" s="177" t="n"/>
      <c r="T363" s="177" t="n"/>
      <c r="U363" s="177" t="n"/>
      <c r="V363" s="177" t="n"/>
      <c r="W363" s="177" t="n"/>
    </row>
    <row r="364" outlineLevel="1" ht="15.75" customHeight="1" s="297">
      <c r="A364" s="190" t="n"/>
      <c r="B364" s="204" t="n"/>
      <c r="C364" s="191" t="n"/>
      <c r="D364" s="205">
        <f>IFERROR(VLOOKUP($C364,'PORTIFÓLIO'!C:V,2,0),"")</f>
        <v/>
      </c>
      <c r="E364" s="190">
        <f>IFERROR(VLOOKUP($C364,'PORTIFÓLIO'!C:V,3,0),"")</f>
        <v/>
      </c>
      <c r="F364" s="190">
        <f>IFERROR(VLOOKUP($C364,'PORTIFÓLIO'!C:V,4,0),"")</f>
        <v/>
      </c>
      <c r="G364" s="206">
        <f>IFERROR(VLOOKUP($C364,'PORTIFÓLIO'!C:V,5,0),"")</f>
        <v/>
      </c>
      <c r="H364" s="247">
        <f t="array" ref="H364">IFERROR(INDEX('PORTIFÓLIO'!$H$4:$H$433,MATCH($C364,'PORTIFÓLIO'!$C$4:$C$433,0)),"")</f>
        <v/>
      </c>
      <c r="I364" s="257" t="n"/>
      <c r="J364" s="209">
        <f>I364*$B$2</f>
        <v/>
      </c>
      <c r="K364" s="248">
        <f t="array" ref="K364">IFERROR(I364*INDEX('PORTIFÓLIO'!$S$4:$S$433,MATCH($C364,'PORTIFÓLIO'!$C$4:$C$433,0)),"")</f>
        <v/>
      </c>
      <c r="L364" s="248">
        <f t="array" ref="L364">IFERROR(J364*INDEX('PORTIFÓLIO'!$S$4:$S$433,MATCH($C364,'PORTIFÓLIO'!$C$4:$C$433,0)),"")</f>
        <v/>
      </c>
      <c r="M364" s="238" t="n"/>
      <c r="N364" s="177" t="n"/>
      <c r="O364" s="177" t="n"/>
      <c r="P364" s="177" t="n"/>
      <c r="Q364" s="177" t="n"/>
      <c r="R364" s="177" t="n"/>
      <c r="S364" s="177" t="n"/>
      <c r="T364" s="177" t="n"/>
      <c r="U364" s="177" t="n"/>
      <c r="V364" s="177" t="n"/>
      <c r="W364" s="177" t="n"/>
    </row>
    <row r="365" outlineLevel="1" ht="15.75" customHeight="1" s="297">
      <c r="A365" s="190" t="n"/>
      <c r="B365" s="204" t="n"/>
      <c r="C365" s="191" t="n"/>
      <c r="D365" s="205">
        <f>IFERROR(VLOOKUP($C365,'PORTIFÓLIO'!C:V,2,0),"")</f>
        <v/>
      </c>
      <c r="E365" s="190">
        <f>IFERROR(VLOOKUP($C365,'PORTIFÓLIO'!C:V,3,0),"")</f>
        <v/>
      </c>
      <c r="F365" s="190">
        <f>IFERROR(VLOOKUP($C365,'PORTIFÓLIO'!C:V,4,0),"")</f>
        <v/>
      </c>
      <c r="G365" s="206">
        <f>IFERROR(VLOOKUP($C365,'PORTIFÓLIO'!C:V,5,0),"")</f>
        <v/>
      </c>
      <c r="H365" s="247">
        <f t="array" ref="H365">IFERROR(INDEX('PORTIFÓLIO'!$H$4:$H$433,MATCH($C365,'PORTIFÓLIO'!$C$4:$C$433,0)),"")</f>
        <v/>
      </c>
      <c r="I365" s="257" t="n"/>
      <c r="J365" s="209">
        <f>I365*$B$2</f>
        <v/>
      </c>
      <c r="K365" s="248">
        <f t="array" ref="K365">IFERROR(I365*INDEX('PORTIFÓLIO'!$S$4:$S$433,MATCH($C365,'PORTIFÓLIO'!$C$4:$C$433,0)),"")</f>
        <v/>
      </c>
      <c r="L365" s="248">
        <f t="array" ref="L365">IFERROR(J365*INDEX('PORTIFÓLIO'!$S$4:$S$433,MATCH($C365,'PORTIFÓLIO'!$C$4:$C$433,0)),"")</f>
        <v/>
      </c>
      <c r="M365" s="238" t="n"/>
      <c r="N365" s="177" t="n"/>
      <c r="O365" s="177" t="n"/>
      <c r="P365" s="177" t="n"/>
      <c r="Q365" s="177" t="n"/>
      <c r="R365" s="177" t="n"/>
      <c r="S365" s="177" t="n"/>
      <c r="T365" s="177" t="n"/>
      <c r="U365" s="177" t="n"/>
      <c r="V365" s="177" t="n"/>
      <c r="W365" s="177" t="n"/>
    </row>
    <row r="366" outlineLevel="1" ht="15.75" customHeight="1" s="297">
      <c r="A366" s="190" t="n"/>
      <c r="B366" s="204" t="n"/>
      <c r="C366" s="191" t="n"/>
      <c r="D366" s="205">
        <f>IFERROR(VLOOKUP($C366,'PORTIFÓLIO'!C:V,2,0),"")</f>
        <v/>
      </c>
      <c r="E366" s="190">
        <f>IFERROR(VLOOKUP($C366,'PORTIFÓLIO'!C:V,3,0),"")</f>
        <v/>
      </c>
      <c r="F366" s="190">
        <f>IFERROR(VLOOKUP($C366,'PORTIFÓLIO'!C:V,4,0),"")</f>
        <v/>
      </c>
      <c r="G366" s="206">
        <f>IFERROR(VLOOKUP($C366,'PORTIFÓLIO'!C:V,5,0),"")</f>
        <v/>
      </c>
      <c r="H366" s="247">
        <f t="array" ref="H366">IFERROR(INDEX('PORTIFÓLIO'!$H$4:$H$433,MATCH($C366,'PORTIFÓLIO'!$C$4:$C$433,0)),"")</f>
        <v/>
      </c>
      <c r="I366" s="257" t="n"/>
      <c r="J366" s="209">
        <f>I366*$B$2</f>
        <v/>
      </c>
      <c r="K366" s="248">
        <f t="array" ref="K366">IFERROR(I366*INDEX('PORTIFÓLIO'!$S$4:$S$433,MATCH($C366,'PORTIFÓLIO'!$C$4:$C$433,0)),"")</f>
        <v/>
      </c>
      <c r="L366" s="248">
        <f t="array" ref="L366">IFERROR(J366*INDEX('PORTIFÓLIO'!$S$4:$S$433,MATCH($C366,'PORTIFÓLIO'!$C$4:$C$433,0)),"")</f>
        <v/>
      </c>
      <c r="M366" s="238" t="n"/>
      <c r="N366" s="177" t="n"/>
      <c r="O366" s="177" t="n"/>
      <c r="P366" s="177" t="n"/>
      <c r="Q366" s="177" t="n"/>
      <c r="R366" s="177" t="n"/>
      <c r="S366" s="177" t="n"/>
      <c r="T366" s="177" t="n"/>
      <c r="U366" s="177" t="n"/>
      <c r="V366" s="177" t="n"/>
      <c r="W366" s="177" t="n"/>
    </row>
    <row r="367" outlineLevel="1" ht="15.75" customHeight="1" s="297">
      <c r="A367" s="190" t="n"/>
      <c r="B367" s="204" t="n"/>
      <c r="C367" s="191" t="n"/>
      <c r="D367" s="205">
        <f>IFERROR(VLOOKUP($C367,'PORTIFÓLIO'!C:V,2,0),"")</f>
        <v/>
      </c>
      <c r="E367" s="190">
        <f>IFERROR(VLOOKUP($C367,'PORTIFÓLIO'!C:V,3,0),"")</f>
        <v/>
      </c>
      <c r="F367" s="190">
        <f>IFERROR(VLOOKUP($C367,'PORTIFÓLIO'!C:V,4,0),"")</f>
        <v/>
      </c>
      <c r="G367" s="206">
        <f>IFERROR(VLOOKUP($C367,'PORTIFÓLIO'!C:V,5,0),"")</f>
        <v/>
      </c>
      <c r="H367" s="247">
        <f t="array" ref="H367">IFERROR(INDEX('PORTIFÓLIO'!$H$4:$H$433,MATCH($C367,'PORTIFÓLIO'!$C$4:$C$433,0)),"")</f>
        <v/>
      </c>
      <c r="I367" s="253" t="n"/>
      <c r="J367" s="209">
        <f>I367*$B$2</f>
        <v/>
      </c>
      <c r="K367" s="248">
        <f t="array" ref="K367">IFERROR(I367*INDEX('PORTIFÓLIO'!$S$4:$S$433,MATCH($C367,'PORTIFÓLIO'!$C$4:$C$433,0)),"")</f>
        <v/>
      </c>
      <c r="L367" s="248">
        <f t="array" ref="L367">IFERROR(J367*INDEX('PORTIFÓLIO'!$S$4:$S$433,MATCH($C367,'PORTIFÓLIO'!$C$4:$C$433,0)),"")</f>
        <v/>
      </c>
      <c r="M367" s="238" t="n"/>
      <c r="N367" s="177" t="n"/>
      <c r="O367" s="177" t="n"/>
      <c r="P367" s="177" t="n"/>
      <c r="Q367" s="177" t="n"/>
      <c r="R367" s="177" t="n"/>
      <c r="S367" s="177" t="n"/>
      <c r="T367" s="177" t="n"/>
      <c r="U367" s="177" t="n"/>
      <c r="V367" s="177" t="n"/>
      <c r="W367" s="177" t="n"/>
    </row>
    <row r="368" outlineLevel="1" ht="15.75" customHeight="1" s="297">
      <c r="A368" s="190" t="n"/>
      <c r="B368" s="204" t="n"/>
      <c r="C368" s="191" t="n"/>
      <c r="D368" s="205">
        <f>IFERROR(VLOOKUP($C368,'PORTIFÓLIO'!C:V,2,0),"")</f>
        <v/>
      </c>
      <c r="E368" s="190">
        <f>IFERROR(VLOOKUP($C368,'PORTIFÓLIO'!C:V,3,0),"")</f>
        <v/>
      </c>
      <c r="F368" s="190">
        <f>IFERROR(VLOOKUP($C368,'PORTIFÓLIO'!C:V,4,0),"")</f>
        <v/>
      </c>
      <c r="G368" s="206">
        <f>IFERROR(VLOOKUP($C368,'PORTIFÓLIO'!C:V,5,0),"")</f>
        <v/>
      </c>
      <c r="H368" s="247">
        <f t="array" ref="H368">IFERROR(INDEX('PORTIFÓLIO'!$H$4:$H$433,MATCH($C368,'PORTIFÓLIO'!$C$4:$C$433,0)),"")</f>
        <v/>
      </c>
      <c r="I368" s="257" t="n"/>
      <c r="J368" s="209">
        <f>I368*$B$2</f>
        <v/>
      </c>
      <c r="K368" s="248">
        <f t="array" ref="K368">IFERROR(I368*INDEX('PORTIFÓLIO'!$S$4:$S$433,MATCH($C368,'PORTIFÓLIO'!$C$4:$C$433,0)),"")</f>
        <v/>
      </c>
      <c r="L368" s="248">
        <f t="array" ref="L368">IFERROR(J368*INDEX('PORTIFÓLIO'!$S$4:$S$433,MATCH($C368,'PORTIFÓLIO'!$C$4:$C$433,0)),"")</f>
        <v/>
      </c>
      <c r="M368" s="238" t="n"/>
      <c r="N368" s="177" t="n"/>
      <c r="O368" s="177" t="n"/>
      <c r="P368" s="177" t="n"/>
      <c r="Q368" s="177" t="n"/>
      <c r="R368" s="177" t="n"/>
      <c r="S368" s="177" t="n"/>
      <c r="T368" s="177" t="n"/>
      <c r="U368" s="177" t="n"/>
      <c r="V368" s="177" t="n"/>
      <c r="W368" s="177" t="n"/>
    </row>
    <row r="369" outlineLevel="1" ht="15.75" customHeight="1" s="297">
      <c r="A369" s="190" t="n"/>
      <c r="B369" s="204" t="n"/>
      <c r="C369" s="191" t="n"/>
      <c r="D369" s="205">
        <f>IFERROR(VLOOKUP($C369,'PORTIFÓLIO'!C:V,2,0),"")</f>
        <v/>
      </c>
      <c r="E369" s="190">
        <f>IFERROR(VLOOKUP($C369,'PORTIFÓLIO'!C:V,3,0),"")</f>
        <v/>
      </c>
      <c r="F369" s="190">
        <f>IFERROR(VLOOKUP($C369,'PORTIFÓLIO'!C:V,4,0),"")</f>
        <v/>
      </c>
      <c r="G369" s="206">
        <f>IFERROR(VLOOKUP($C369,'PORTIFÓLIO'!C:V,5,0),"")</f>
        <v/>
      </c>
      <c r="H369" s="247">
        <f t="array" ref="H369">IFERROR(INDEX('PORTIFÓLIO'!$H$4:$H$433,MATCH($C369,'PORTIFÓLIO'!$C$4:$C$433,0)),"")</f>
        <v/>
      </c>
      <c r="I369" s="257" t="n"/>
      <c r="J369" s="209">
        <f>I369*$B$2</f>
        <v/>
      </c>
      <c r="K369" s="248">
        <f t="array" ref="K369">IFERROR(I369*INDEX('PORTIFÓLIO'!$S$4:$S$433,MATCH($C369,'PORTIFÓLIO'!$C$4:$C$433,0)),"")</f>
        <v/>
      </c>
      <c r="L369" s="248">
        <f t="array" ref="L369">IFERROR(J369*INDEX('PORTIFÓLIO'!$S$4:$S$433,MATCH($C369,'PORTIFÓLIO'!$C$4:$C$433,0)),"")</f>
        <v/>
      </c>
      <c r="M369" s="238" t="n"/>
      <c r="N369" s="177" t="n"/>
      <c r="O369" s="177" t="n"/>
      <c r="P369" s="177" t="n"/>
      <c r="Q369" s="177" t="n"/>
      <c r="R369" s="177" t="n"/>
      <c r="S369" s="177" t="n"/>
      <c r="T369" s="177" t="n"/>
      <c r="U369" s="177" t="n"/>
      <c r="V369" s="177" t="n"/>
      <c r="W369" s="177" t="n"/>
    </row>
    <row r="370" outlineLevel="1" ht="15.75" customHeight="1" s="297">
      <c r="A370" s="190" t="n"/>
      <c r="B370" s="204" t="n"/>
      <c r="C370" s="191" t="n"/>
      <c r="D370" s="205">
        <f>IFERROR(VLOOKUP($C370,'PORTIFÓLIO'!C:V,2,0),"")</f>
        <v/>
      </c>
      <c r="E370" s="190">
        <f>IFERROR(VLOOKUP($C370,'PORTIFÓLIO'!C:V,3,0),"")</f>
        <v/>
      </c>
      <c r="F370" s="190">
        <f>IFERROR(VLOOKUP($C370,'PORTIFÓLIO'!C:V,4,0),"")</f>
        <v/>
      </c>
      <c r="G370" s="206">
        <f>IFERROR(VLOOKUP($C370,'PORTIFÓLIO'!C:V,5,0),"")</f>
        <v/>
      </c>
      <c r="H370" s="247">
        <f t="array" ref="H370">IFERROR(INDEX('PORTIFÓLIO'!$H$4:$H$433,MATCH($C370,'PORTIFÓLIO'!$C$4:$C$433,0)),"")</f>
        <v/>
      </c>
      <c r="I370" s="257" t="n"/>
      <c r="J370" s="209">
        <f>I370*$B$2</f>
        <v/>
      </c>
      <c r="K370" s="248">
        <f t="array" ref="K370">IFERROR(I370*INDEX('PORTIFÓLIO'!$S$4:$S$433,MATCH($C370,'PORTIFÓLIO'!$C$4:$C$433,0)),"")</f>
        <v/>
      </c>
      <c r="L370" s="248">
        <f t="array" ref="L370">IFERROR(J370*INDEX('PORTIFÓLIO'!$S$4:$S$433,MATCH($C370,'PORTIFÓLIO'!$C$4:$C$433,0)),"")</f>
        <v/>
      </c>
      <c r="M370" s="238" t="n"/>
      <c r="N370" s="177" t="n"/>
      <c r="O370" s="177" t="n"/>
      <c r="P370" s="177" t="n"/>
      <c r="Q370" s="177" t="n"/>
      <c r="R370" s="177" t="n"/>
      <c r="S370" s="177" t="n"/>
      <c r="T370" s="177" t="n"/>
      <c r="U370" s="177" t="n"/>
      <c r="V370" s="177" t="n"/>
      <c r="W370" s="177" t="n"/>
    </row>
    <row r="371" outlineLevel="1" ht="15.75" customHeight="1" s="297">
      <c r="A371" s="190" t="n"/>
      <c r="B371" s="204" t="n"/>
      <c r="C371" s="191" t="n"/>
      <c r="D371" s="205">
        <f>IFERROR(VLOOKUP($C371,'PORTIFÓLIO'!C:V,2,0),"")</f>
        <v/>
      </c>
      <c r="E371" s="190">
        <f>IFERROR(VLOOKUP($C371,'PORTIFÓLIO'!C:V,3,0),"")</f>
        <v/>
      </c>
      <c r="F371" s="190">
        <f>IFERROR(VLOOKUP($C371,'PORTIFÓLIO'!C:V,4,0),"")</f>
        <v/>
      </c>
      <c r="G371" s="206">
        <f>IFERROR(VLOOKUP($C371,'PORTIFÓLIO'!C:V,5,0),"")</f>
        <v/>
      </c>
      <c r="H371" s="247">
        <f t="array" ref="H371">IFERROR(INDEX('PORTIFÓLIO'!$H$4:$H$433,MATCH($C371,'PORTIFÓLIO'!$C$4:$C$433,0)),"")</f>
        <v/>
      </c>
      <c r="I371" s="257" t="n"/>
      <c r="J371" s="209">
        <f>I371*$B$2</f>
        <v/>
      </c>
      <c r="K371" s="248">
        <f t="array" ref="K371">IFERROR(I371*INDEX('PORTIFÓLIO'!$S$4:$S$433,MATCH($C371,'PORTIFÓLIO'!$C$4:$C$433,0)),"")</f>
        <v/>
      </c>
      <c r="L371" s="248">
        <f t="array" ref="L371">IFERROR(J371*INDEX('PORTIFÓLIO'!$S$4:$S$433,MATCH($C371,'PORTIFÓLIO'!$C$4:$C$433,0)),"")</f>
        <v/>
      </c>
      <c r="M371" s="238" t="n"/>
      <c r="N371" s="177" t="n"/>
      <c r="O371" s="177" t="n"/>
      <c r="P371" s="177" t="n"/>
      <c r="Q371" s="177" t="n"/>
      <c r="R371" s="177" t="n"/>
      <c r="S371" s="177" t="n"/>
      <c r="T371" s="177" t="n"/>
      <c r="U371" s="177" t="n"/>
      <c r="V371" s="177" t="n"/>
      <c r="W371" s="177" t="n"/>
    </row>
    <row r="372" outlineLevel="1" ht="15.75" customHeight="1" s="297">
      <c r="A372" s="190" t="n"/>
      <c r="B372" s="204" t="n"/>
      <c r="C372" s="191" t="n"/>
      <c r="D372" s="205">
        <f>IFERROR(VLOOKUP($C372,'PORTIFÓLIO'!C:V,2,0),"")</f>
        <v/>
      </c>
      <c r="E372" s="190">
        <f>IFERROR(VLOOKUP($C372,'PORTIFÓLIO'!C:V,3,0),"")</f>
        <v/>
      </c>
      <c r="F372" s="190">
        <f>IFERROR(VLOOKUP($C372,'PORTIFÓLIO'!C:V,4,0),"")</f>
        <v/>
      </c>
      <c r="G372" s="206">
        <f>IFERROR(VLOOKUP($C372,'PORTIFÓLIO'!C:V,5,0),"")</f>
        <v/>
      </c>
      <c r="H372" s="247">
        <f t="array" ref="H372">IFERROR(INDEX('PORTIFÓLIO'!$H$4:$H$433,MATCH($C372,'PORTIFÓLIO'!$C$4:$C$433,0)),"")</f>
        <v/>
      </c>
      <c r="I372" s="257" t="n"/>
      <c r="J372" s="209">
        <f>I372*$B$2</f>
        <v/>
      </c>
      <c r="K372" s="248">
        <f t="array" ref="K372">IFERROR(I372*INDEX('PORTIFÓLIO'!$S$4:$S$433,MATCH($C372,'PORTIFÓLIO'!$C$4:$C$433,0)),"")</f>
        <v/>
      </c>
      <c r="L372" s="248">
        <f t="array" ref="L372">IFERROR(J372*INDEX('PORTIFÓLIO'!$S$4:$S$433,MATCH($C372,'PORTIFÓLIO'!$C$4:$C$433,0)),"")</f>
        <v/>
      </c>
      <c r="M372" s="238" t="n"/>
      <c r="N372" s="177" t="n"/>
      <c r="O372" s="177" t="n"/>
      <c r="P372" s="177" t="n"/>
      <c r="Q372" s="177" t="n"/>
      <c r="R372" s="177" t="n"/>
      <c r="S372" s="177" t="n"/>
      <c r="T372" s="177" t="n"/>
      <c r="U372" s="177" t="n"/>
      <c r="V372" s="177" t="n"/>
      <c r="W372" s="177" t="n"/>
    </row>
    <row r="373" outlineLevel="1" ht="15.75" customHeight="1" s="297">
      <c r="A373" s="190" t="n"/>
      <c r="B373" s="204" t="n"/>
      <c r="C373" s="191" t="n"/>
      <c r="D373" s="205">
        <f>IFERROR(VLOOKUP($C373,'PORTIFÓLIO'!C:V,2,0),"")</f>
        <v/>
      </c>
      <c r="E373" s="190">
        <f>IFERROR(VLOOKUP($C373,'PORTIFÓLIO'!C:V,3,0),"")</f>
        <v/>
      </c>
      <c r="F373" s="190">
        <f>IFERROR(VLOOKUP($C373,'PORTIFÓLIO'!C:V,4,0),"")</f>
        <v/>
      </c>
      <c r="G373" s="206">
        <f>IFERROR(VLOOKUP($C373,'PORTIFÓLIO'!C:V,5,0),"")</f>
        <v/>
      </c>
      <c r="H373" s="247">
        <f t="array" ref="H373">IFERROR(INDEX('PORTIFÓLIO'!$H$4:$H$433,MATCH($C373,'PORTIFÓLIO'!$C$4:$C$433,0)),"")</f>
        <v/>
      </c>
      <c r="I373" s="257" t="n"/>
      <c r="J373" s="209">
        <f>I373*$B$2</f>
        <v/>
      </c>
      <c r="K373" s="248">
        <f t="array" ref="K373">IFERROR(I373*INDEX('PORTIFÓLIO'!$S$4:$S$433,MATCH($C373,'PORTIFÓLIO'!$C$4:$C$433,0)),"")</f>
        <v/>
      </c>
      <c r="L373" s="248">
        <f t="array" ref="L373">IFERROR(J373*INDEX('PORTIFÓLIO'!$S$4:$S$433,MATCH($C373,'PORTIFÓLIO'!$C$4:$C$433,0)),"")</f>
        <v/>
      </c>
      <c r="M373" s="238" t="n"/>
      <c r="N373" s="177" t="n"/>
      <c r="O373" s="177" t="n"/>
      <c r="P373" s="177" t="n"/>
      <c r="Q373" s="177" t="n"/>
      <c r="R373" s="177" t="n"/>
      <c r="S373" s="177" t="n"/>
      <c r="T373" s="177" t="n"/>
      <c r="U373" s="177" t="n"/>
      <c r="V373" s="177" t="n"/>
      <c r="W373" s="177" t="n"/>
    </row>
    <row r="374" outlineLevel="1" ht="15.75" customHeight="1" s="297">
      <c r="A374" s="190" t="n"/>
      <c r="B374" s="238" t="n"/>
      <c r="C374" s="190" t="n"/>
      <c r="D374" s="205">
        <f>IFERROR(VLOOKUP($C374,'PORTIFÓLIO'!C:V,2,0),"")</f>
        <v/>
      </c>
      <c r="E374" s="190">
        <f>IFERROR(VLOOKUP($C374,'PORTIFÓLIO'!C:V,3,0),"")</f>
        <v/>
      </c>
      <c r="F374" s="190">
        <f>IFERROR(VLOOKUP($C374,'PORTIFÓLIO'!C:V,4,0),"")</f>
        <v/>
      </c>
      <c r="G374" s="206">
        <f>IFERROR(VLOOKUP($C374,'PORTIFÓLIO'!C:V,5,0),"")</f>
        <v/>
      </c>
      <c r="H374" s="247">
        <f t="array" ref="H374">IFERROR(INDEX('PORTIFÓLIO'!$H$4:$H$433,MATCH($C374,'PORTIFÓLIO'!$C$4:$C$433,0)),"")</f>
        <v/>
      </c>
      <c r="I374" s="257" t="n"/>
      <c r="J374" s="209" t="n"/>
      <c r="K374" s="248">
        <f t="array" ref="K374">IFERROR(I374*INDEX('PORTIFÓLIO'!$S$4:$S$433,MATCH($C374,'PORTIFÓLIO'!$C$4:$C$433,0)),"")</f>
        <v/>
      </c>
      <c r="L374" s="248">
        <f t="array" ref="L374">IFERROR(J374*INDEX('PORTIFÓLIO'!$S$4:$S$433,MATCH($C374,'PORTIFÓLIO'!$C$4:$C$433,0)),"")</f>
        <v/>
      </c>
      <c r="M374" s="238" t="n"/>
      <c r="N374" s="177" t="n"/>
      <c r="O374" s="177" t="n"/>
      <c r="P374" s="177" t="n"/>
      <c r="Q374" s="177" t="n"/>
      <c r="R374" s="177" t="n"/>
      <c r="S374" s="177" t="n"/>
      <c r="T374" s="177" t="n"/>
      <c r="U374" s="177" t="n"/>
      <c r="V374" s="177" t="n"/>
      <c r="W374" s="177" t="n"/>
    </row>
    <row r="375" ht="15.75" customHeight="1" s="297">
      <c r="A375" s="221" t="inlineStr">
        <is>
          <t>OPERAÇÃO 9</t>
        </is>
      </c>
      <c r="B375" s="197" t="n"/>
      <c r="C375" s="196" t="n"/>
      <c r="D375" s="198" t="n"/>
      <c r="E375" s="196" t="n"/>
      <c r="F375" s="196" t="n"/>
      <c r="G375" s="199" t="n"/>
      <c r="H375" s="199" t="n"/>
      <c r="I375" s="252" t="n"/>
      <c r="J375" s="202" t="n"/>
      <c r="K375" s="203">
        <f>SUBTOTAL(9,K376:K389)</f>
        <v/>
      </c>
      <c r="L375" s="203">
        <f>SUBTOTAL(9,L376:L389)</f>
        <v/>
      </c>
      <c r="M375" s="238" t="n"/>
      <c r="N375" s="177" t="n"/>
      <c r="O375" s="177" t="n"/>
      <c r="P375" s="177" t="n"/>
      <c r="Q375" s="177" t="n"/>
      <c r="R375" s="177" t="n"/>
      <c r="S375" s="177" t="n"/>
      <c r="T375" s="177" t="n"/>
      <c r="U375" s="177" t="n"/>
      <c r="V375" s="177" t="n"/>
      <c r="W375" s="177" t="n"/>
    </row>
    <row r="376" outlineLevel="1" ht="15.75" customHeight="1" s="297">
      <c r="A376" s="191" t="n"/>
      <c r="B376" s="204" t="n"/>
      <c r="C376" s="191" t="n"/>
      <c r="D376" s="205">
        <f>IFERROR(VLOOKUP($C376,'PORTIFÓLIO'!C:V,2,0),"")</f>
        <v/>
      </c>
      <c r="E376" s="190">
        <f>IFERROR(VLOOKUP($C376,'PORTIFÓLIO'!C:V,3,0),"")</f>
        <v/>
      </c>
      <c r="F376" s="190">
        <f>IFERROR(VLOOKUP($C376,'PORTIFÓLIO'!C:V,4,0),"")</f>
        <v/>
      </c>
      <c r="G376" s="206">
        <f>IFERROR(VLOOKUP($C376,'PORTIFÓLIO'!C:V,5,0),"")</f>
        <v/>
      </c>
      <c r="H376" s="247">
        <f t="array" ref="H376">IFERROR(INDEX('PORTIFÓLIO'!$H$4:$H$433,MATCH($C376,'PORTIFÓLIO'!$C$4:$C$433,0)),"")</f>
        <v/>
      </c>
      <c r="I376" s="253" t="n"/>
      <c r="J376" s="209">
        <f>I376*$B$2</f>
        <v/>
      </c>
      <c r="K376" s="248">
        <f t="array" ref="K376">IFERROR(I376*INDEX('PORTIFÓLIO'!$S$4:$S$433,MATCH($C376,'PORTIFÓLIO'!$C$4:$C$433,0)),"")</f>
        <v/>
      </c>
      <c r="L376" s="248">
        <f t="array" ref="L376">IFERROR(J376*INDEX('PORTIFÓLIO'!$S$4:$S$433,MATCH($C376,'PORTIFÓLIO'!$C$4:$C$433,0)),"")</f>
        <v/>
      </c>
      <c r="M376" s="238" t="n"/>
      <c r="N376" s="177" t="n"/>
      <c r="O376" s="177" t="n"/>
      <c r="P376" s="177" t="n"/>
      <c r="Q376" s="177" t="n"/>
      <c r="R376" s="177" t="n"/>
      <c r="S376" s="177" t="n"/>
      <c r="T376" s="177" t="n"/>
      <c r="U376" s="177" t="n"/>
      <c r="V376" s="177" t="n"/>
      <c r="W376" s="177" t="n"/>
    </row>
    <row r="377" outlineLevel="1" ht="15.75" customHeight="1" s="297">
      <c r="A377" s="190" t="n"/>
      <c r="B377" s="204" t="n"/>
      <c r="C377" s="191" t="n"/>
      <c r="D377" s="205">
        <f>IFERROR(VLOOKUP($C377,'PORTIFÓLIO'!C:V,2,0),"")</f>
        <v/>
      </c>
      <c r="E377" s="190">
        <f>IFERROR(VLOOKUP($C377,'PORTIFÓLIO'!C:V,3,0),"")</f>
        <v/>
      </c>
      <c r="F377" s="190">
        <f>IFERROR(VLOOKUP($C377,'PORTIFÓLIO'!C:V,4,0),"")</f>
        <v/>
      </c>
      <c r="G377" s="206">
        <f>IFERROR(VLOOKUP($C377,'PORTIFÓLIO'!C:V,5,0),"")</f>
        <v/>
      </c>
      <c r="H377" s="247">
        <f t="array" ref="H377">IFERROR(INDEX('PORTIFÓLIO'!$H$4:$H$433,MATCH($C377,'PORTIFÓLIO'!$C$4:$C$433,0)),"")</f>
        <v/>
      </c>
      <c r="I377" s="257" t="n"/>
      <c r="J377" s="209">
        <f>I377*$B$2</f>
        <v/>
      </c>
      <c r="K377" s="248">
        <f t="array" ref="K377">IFERROR(I377*INDEX('PORTIFÓLIO'!$S$4:$S$433,MATCH($C377,'PORTIFÓLIO'!$C$4:$C$433,0)),"")</f>
        <v/>
      </c>
      <c r="L377" s="248">
        <f t="array" ref="L377">IFERROR(J377*INDEX('PORTIFÓLIO'!$S$4:$S$433,MATCH($C377,'PORTIFÓLIO'!$C$4:$C$433,0)),"")</f>
        <v/>
      </c>
      <c r="M377" s="238" t="n"/>
      <c r="N377" s="177" t="n"/>
      <c r="O377" s="177" t="n"/>
      <c r="P377" s="177" t="n"/>
      <c r="Q377" s="177" t="n"/>
      <c r="R377" s="177" t="n"/>
      <c r="S377" s="177" t="n"/>
      <c r="T377" s="177" t="n"/>
      <c r="U377" s="177" t="n"/>
      <c r="V377" s="177" t="n"/>
      <c r="W377" s="177" t="n"/>
    </row>
    <row r="378" outlineLevel="1" ht="15.75" customHeight="1" s="297">
      <c r="A378" s="190" t="n"/>
      <c r="B378" s="204" t="n"/>
      <c r="C378" s="191" t="n"/>
      <c r="D378" s="205">
        <f>IFERROR(VLOOKUP($C378,'PORTIFÓLIO'!C:V,2,0),"")</f>
        <v/>
      </c>
      <c r="E378" s="190">
        <f>IFERROR(VLOOKUP($C378,'PORTIFÓLIO'!C:V,3,0),"")</f>
        <v/>
      </c>
      <c r="F378" s="190">
        <f>IFERROR(VLOOKUP($C378,'PORTIFÓLIO'!C:V,4,0),"")</f>
        <v/>
      </c>
      <c r="G378" s="206">
        <f>IFERROR(VLOOKUP($C378,'PORTIFÓLIO'!C:V,5,0),"")</f>
        <v/>
      </c>
      <c r="H378" s="247">
        <f t="array" ref="H378">IFERROR(INDEX('PORTIFÓLIO'!$H$4:$H$433,MATCH($C378,'PORTIFÓLIO'!$C$4:$C$433,0)),"")</f>
        <v/>
      </c>
      <c r="I378" s="257" t="n"/>
      <c r="J378" s="209">
        <f>I378*$B$2</f>
        <v/>
      </c>
      <c r="K378" s="248">
        <f t="array" ref="K378">IFERROR(I378*INDEX('PORTIFÓLIO'!$S$4:$S$433,MATCH($C378,'PORTIFÓLIO'!$C$4:$C$433,0)),"")</f>
        <v/>
      </c>
      <c r="L378" s="248">
        <f t="array" ref="L378">IFERROR(J378*INDEX('PORTIFÓLIO'!$S$4:$S$433,MATCH($C378,'PORTIFÓLIO'!$C$4:$C$433,0)),"")</f>
        <v/>
      </c>
      <c r="M378" s="238" t="n"/>
      <c r="N378" s="177" t="n"/>
      <c r="O378" s="177" t="n"/>
      <c r="P378" s="177" t="n"/>
      <c r="Q378" s="177" t="n"/>
      <c r="R378" s="177" t="n"/>
      <c r="S378" s="177" t="n"/>
      <c r="T378" s="177" t="n"/>
      <c r="U378" s="177" t="n"/>
      <c r="V378" s="177" t="n"/>
      <c r="W378" s="177" t="n"/>
    </row>
    <row r="379" outlineLevel="1" ht="15.75" customHeight="1" s="297">
      <c r="A379" s="190" t="n"/>
      <c r="B379" s="204" t="n"/>
      <c r="C379" s="191" t="n"/>
      <c r="D379" s="205">
        <f>IFERROR(VLOOKUP($C379,'PORTIFÓLIO'!C:V,2,0),"")</f>
        <v/>
      </c>
      <c r="E379" s="190">
        <f>IFERROR(VLOOKUP($C379,'PORTIFÓLIO'!C:V,3,0),"")</f>
        <v/>
      </c>
      <c r="F379" s="190">
        <f>IFERROR(VLOOKUP($C379,'PORTIFÓLIO'!C:V,4,0),"")</f>
        <v/>
      </c>
      <c r="G379" s="206">
        <f>IFERROR(VLOOKUP($C379,'PORTIFÓLIO'!C:V,5,0),"")</f>
        <v/>
      </c>
      <c r="H379" s="247">
        <f t="array" ref="H379">IFERROR(INDEX('PORTIFÓLIO'!$H$4:$H$433,MATCH($C379,'PORTIFÓLIO'!$C$4:$C$433,0)),"")</f>
        <v/>
      </c>
      <c r="I379" s="257" t="n"/>
      <c r="J379" s="209">
        <f>I379*$B$2</f>
        <v/>
      </c>
      <c r="K379" s="248">
        <f t="array" ref="K379">IFERROR(I379*INDEX('PORTIFÓLIO'!$S$4:$S$433,MATCH($C379,'PORTIFÓLIO'!$C$4:$C$433,0)),"")</f>
        <v/>
      </c>
      <c r="L379" s="248">
        <f t="array" ref="L379">IFERROR(J379*INDEX('PORTIFÓLIO'!$S$4:$S$433,MATCH($C379,'PORTIFÓLIO'!$C$4:$C$433,0)),"")</f>
        <v/>
      </c>
      <c r="M379" s="238" t="n"/>
      <c r="N379" s="177" t="n"/>
      <c r="O379" s="177" t="n"/>
      <c r="P379" s="177" t="n"/>
      <c r="Q379" s="177" t="n"/>
      <c r="R379" s="177" t="n"/>
      <c r="S379" s="177" t="n"/>
      <c r="T379" s="177" t="n"/>
      <c r="U379" s="177" t="n"/>
      <c r="V379" s="177" t="n"/>
      <c r="W379" s="177" t="n"/>
    </row>
    <row r="380" outlineLevel="1" ht="15.75" customHeight="1" s="297">
      <c r="A380" s="190" t="n"/>
      <c r="B380" s="204" t="n"/>
      <c r="C380" s="191" t="n"/>
      <c r="D380" s="205">
        <f>IFERROR(VLOOKUP($C380,'PORTIFÓLIO'!C:V,2,0),"")</f>
        <v/>
      </c>
      <c r="E380" s="190">
        <f>IFERROR(VLOOKUP($C380,'PORTIFÓLIO'!C:V,3,0),"")</f>
        <v/>
      </c>
      <c r="F380" s="190">
        <f>IFERROR(VLOOKUP($C380,'PORTIFÓLIO'!C:V,4,0),"")</f>
        <v/>
      </c>
      <c r="G380" s="206">
        <f>IFERROR(VLOOKUP($C380,'PORTIFÓLIO'!C:V,5,0),"")</f>
        <v/>
      </c>
      <c r="H380" s="247">
        <f t="array" ref="H380">IFERROR(INDEX('PORTIFÓLIO'!$H$4:$H$433,MATCH($C380,'PORTIFÓLIO'!$C$4:$C$433,0)),"")</f>
        <v/>
      </c>
      <c r="I380" s="257" t="n"/>
      <c r="J380" s="209">
        <f>I380*$B$2</f>
        <v/>
      </c>
      <c r="K380" s="248">
        <f t="array" ref="K380">IFERROR(I380*INDEX('PORTIFÓLIO'!$S$4:$S$433,MATCH($C380,'PORTIFÓLIO'!$C$4:$C$433,0)),"")</f>
        <v/>
      </c>
      <c r="L380" s="248">
        <f t="array" ref="L380">IFERROR(J380*INDEX('PORTIFÓLIO'!$S$4:$S$433,MATCH($C380,'PORTIFÓLIO'!$C$4:$C$433,0)),"")</f>
        <v/>
      </c>
      <c r="M380" s="238" t="n"/>
      <c r="N380" s="177" t="n"/>
      <c r="O380" s="177" t="n"/>
      <c r="P380" s="177" t="n"/>
      <c r="Q380" s="177" t="n"/>
      <c r="R380" s="177" t="n"/>
      <c r="S380" s="177" t="n"/>
      <c r="T380" s="177" t="n"/>
      <c r="U380" s="177" t="n"/>
      <c r="V380" s="177" t="n"/>
      <c r="W380" s="177" t="n"/>
    </row>
    <row r="381" outlineLevel="1" ht="15.75" customHeight="1" s="297">
      <c r="A381" s="190" t="n"/>
      <c r="B381" s="204" t="n"/>
      <c r="C381" s="191" t="n"/>
      <c r="D381" s="205">
        <f>IFERROR(VLOOKUP($C381,'PORTIFÓLIO'!C:V,2,0),"")</f>
        <v/>
      </c>
      <c r="E381" s="190">
        <f>IFERROR(VLOOKUP($C381,'PORTIFÓLIO'!C:V,3,0),"")</f>
        <v/>
      </c>
      <c r="F381" s="190">
        <f>IFERROR(VLOOKUP($C381,'PORTIFÓLIO'!C:V,4,0),"")</f>
        <v/>
      </c>
      <c r="G381" s="206">
        <f>IFERROR(VLOOKUP($C381,'PORTIFÓLIO'!C:V,5,0),"")</f>
        <v/>
      </c>
      <c r="H381" s="247">
        <f t="array" ref="H381">IFERROR(INDEX('PORTIFÓLIO'!$H$4:$H$433,MATCH($C381,'PORTIFÓLIO'!$C$4:$C$433,0)),"")</f>
        <v/>
      </c>
      <c r="I381" s="257" t="n"/>
      <c r="J381" s="209">
        <f>I381*$B$2</f>
        <v/>
      </c>
      <c r="K381" s="248">
        <f t="array" ref="K381">IFERROR(I381*INDEX('PORTIFÓLIO'!$S$4:$S$433,MATCH($C381,'PORTIFÓLIO'!$C$4:$C$433,0)),"")</f>
        <v/>
      </c>
      <c r="L381" s="248">
        <f t="array" ref="L381">IFERROR(J381*INDEX('PORTIFÓLIO'!$S$4:$S$433,MATCH($C381,'PORTIFÓLIO'!$C$4:$C$433,0)),"")</f>
        <v/>
      </c>
      <c r="M381" s="238" t="n"/>
      <c r="N381" s="177" t="n"/>
      <c r="O381" s="177" t="n"/>
      <c r="P381" s="177" t="n"/>
      <c r="Q381" s="177" t="n"/>
      <c r="R381" s="177" t="n"/>
      <c r="S381" s="177" t="n"/>
      <c r="T381" s="177" t="n"/>
      <c r="U381" s="177" t="n"/>
      <c r="V381" s="177" t="n"/>
      <c r="W381" s="177" t="n"/>
    </row>
    <row r="382" outlineLevel="1" ht="15.75" customHeight="1" s="297">
      <c r="A382" s="190" t="n"/>
      <c r="B382" s="204" t="n"/>
      <c r="C382" s="191" t="n"/>
      <c r="D382" s="205">
        <f>IFERROR(VLOOKUP($C382,'PORTIFÓLIO'!C:V,2,0),"")</f>
        <v/>
      </c>
      <c r="E382" s="190">
        <f>IFERROR(VLOOKUP($C382,'PORTIFÓLIO'!C:V,3,0),"")</f>
        <v/>
      </c>
      <c r="F382" s="190">
        <f>IFERROR(VLOOKUP($C382,'PORTIFÓLIO'!C:V,4,0),"")</f>
        <v/>
      </c>
      <c r="G382" s="206">
        <f>IFERROR(VLOOKUP($C382,'PORTIFÓLIO'!C:V,5,0),"")</f>
        <v/>
      </c>
      <c r="H382" s="247">
        <f t="array" ref="H382">IFERROR(INDEX('PORTIFÓLIO'!$H$4:$H$433,MATCH($C382,'PORTIFÓLIO'!$C$4:$C$433,0)),"")</f>
        <v/>
      </c>
      <c r="I382" s="257" t="n"/>
      <c r="J382" s="209">
        <f>I382*$B$2</f>
        <v/>
      </c>
      <c r="K382" s="248">
        <f t="array" ref="K382">IFERROR(I382*INDEX('PORTIFÓLIO'!$S$4:$S$433,MATCH($C382,'PORTIFÓLIO'!$C$4:$C$433,0)),"")</f>
        <v/>
      </c>
      <c r="L382" s="248">
        <f t="array" ref="L382">IFERROR(J382*INDEX('PORTIFÓLIO'!$S$4:$S$433,MATCH($C382,'PORTIFÓLIO'!$C$4:$C$433,0)),"")</f>
        <v/>
      </c>
      <c r="M382" s="238" t="n"/>
      <c r="N382" s="177" t="n"/>
      <c r="O382" s="177" t="n"/>
      <c r="P382" s="177" t="n"/>
      <c r="Q382" s="177" t="n"/>
      <c r="R382" s="177" t="n"/>
      <c r="S382" s="177" t="n"/>
      <c r="T382" s="177" t="n"/>
      <c r="U382" s="177" t="n"/>
      <c r="V382" s="177" t="n"/>
      <c r="W382" s="177" t="n"/>
    </row>
    <row r="383" outlineLevel="1" ht="15.75" customHeight="1" s="297">
      <c r="A383" s="190" t="n"/>
      <c r="B383" s="204" t="n"/>
      <c r="C383" s="191" t="n"/>
      <c r="D383" s="205">
        <f>IFERROR(VLOOKUP($C383,'PORTIFÓLIO'!C:V,2,0),"")</f>
        <v/>
      </c>
      <c r="E383" s="190">
        <f>IFERROR(VLOOKUP($C383,'PORTIFÓLIO'!C:V,3,0),"")</f>
        <v/>
      </c>
      <c r="F383" s="190">
        <f>IFERROR(VLOOKUP($C383,'PORTIFÓLIO'!C:V,4,0),"")</f>
        <v/>
      </c>
      <c r="G383" s="206">
        <f>IFERROR(VLOOKUP($C383,'PORTIFÓLIO'!C:V,5,0),"")</f>
        <v/>
      </c>
      <c r="H383" s="247">
        <f t="array" ref="H383">IFERROR(INDEX('PORTIFÓLIO'!$H$4:$H$433,MATCH($C383,'PORTIFÓLIO'!$C$4:$C$433,0)),"")</f>
        <v/>
      </c>
      <c r="I383" s="257" t="n"/>
      <c r="J383" s="209">
        <f>I383*$B$2</f>
        <v/>
      </c>
      <c r="K383" s="248">
        <f t="array" ref="K383">IFERROR(I383*INDEX('PORTIFÓLIO'!$S$4:$S$433,MATCH($C383,'PORTIFÓLIO'!$C$4:$C$433,0)),"")</f>
        <v/>
      </c>
      <c r="L383" s="248">
        <f t="array" ref="L383">IFERROR(J383*INDEX('PORTIFÓLIO'!$S$4:$S$433,MATCH($C383,'PORTIFÓLIO'!$C$4:$C$433,0)),"")</f>
        <v/>
      </c>
      <c r="M383" s="238" t="n"/>
      <c r="N383" s="177" t="n"/>
      <c r="O383" s="177" t="n"/>
      <c r="P383" s="177" t="n"/>
      <c r="Q383" s="177" t="n"/>
      <c r="R383" s="177" t="n"/>
      <c r="S383" s="177" t="n"/>
      <c r="T383" s="177" t="n"/>
      <c r="U383" s="177" t="n"/>
      <c r="V383" s="177" t="n"/>
      <c r="W383" s="177" t="n"/>
    </row>
    <row r="384" outlineLevel="1" ht="15.75" customHeight="1" s="297">
      <c r="A384" s="190" t="n"/>
      <c r="B384" s="204" t="n"/>
      <c r="C384" s="191" t="n"/>
      <c r="D384" s="205">
        <f>IFERROR(VLOOKUP($C384,'PORTIFÓLIO'!C:V,2,0),"")</f>
        <v/>
      </c>
      <c r="E384" s="190">
        <f>IFERROR(VLOOKUP($C384,'PORTIFÓLIO'!C:V,3,0),"")</f>
        <v/>
      </c>
      <c r="F384" s="190">
        <f>IFERROR(VLOOKUP($C384,'PORTIFÓLIO'!C:V,4,0),"")</f>
        <v/>
      </c>
      <c r="G384" s="206">
        <f>IFERROR(VLOOKUP($C384,'PORTIFÓLIO'!C:V,5,0),"")</f>
        <v/>
      </c>
      <c r="H384" s="247">
        <f t="array" ref="H384">IFERROR(INDEX('PORTIFÓLIO'!$H$4:$H$433,MATCH($C384,'PORTIFÓLIO'!$C$4:$C$433,0)),"")</f>
        <v/>
      </c>
      <c r="I384" s="253" t="n"/>
      <c r="J384" s="209">
        <f>I384*$B$2</f>
        <v/>
      </c>
      <c r="K384" s="248">
        <f t="array" ref="K384">IFERROR(I384*INDEX('PORTIFÓLIO'!$S$4:$S$433,MATCH($C384,'PORTIFÓLIO'!$C$4:$C$433,0)),"")</f>
        <v/>
      </c>
      <c r="L384" s="248">
        <f t="array" ref="L384">IFERROR(J384*INDEX('PORTIFÓLIO'!$S$4:$S$433,MATCH($C384,'PORTIFÓLIO'!$C$4:$C$433,0)),"")</f>
        <v/>
      </c>
      <c r="M384" s="238" t="n"/>
      <c r="N384" s="177" t="n"/>
      <c r="O384" s="177" t="n"/>
      <c r="P384" s="177" t="n"/>
      <c r="Q384" s="177" t="n"/>
      <c r="R384" s="177" t="n"/>
      <c r="S384" s="177" t="n"/>
      <c r="T384" s="177" t="n"/>
      <c r="U384" s="177" t="n"/>
      <c r="V384" s="177" t="n"/>
      <c r="W384" s="177" t="n"/>
    </row>
    <row r="385" outlineLevel="1" ht="15.75" customHeight="1" s="297">
      <c r="A385" s="190" t="n"/>
      <c r="B385" s="204" t="n"/>
      <c r="C385" s="191" t="n"/>
      <c r="D385" s="205">
        <f>IFERROR(VLOOKUP($C385,'PORTIFÓLIO'!C:V,2,0),"")</f>
        <v/>
      </c>
      <c r="E385" s="190">
        <f>IFERROR(VLOOKUP($C385,'PORTIFÓLIO'!C:V,3,0),"")</f>
        <v/>
      </c>
      <c r="F385" s="190">
        <f>IFERROR(VLOOKUP($C385,'PORTIFÓLIO'!C:V,4,0),"")</f>
        <v/>
      </c>
      <c r="G385" s="206">
        <f>IFERROR(VLOOKUP($C385,'PORTIFÓLIO'!C:V,5,0),"")</f>
        <v/>
      </c>
      <c r="H385" s="247">
        <f t="array" ref="H385">IFERROR(INDEX('PORTIFÓLIO'!$H$4:$H$433,MATCH($C385,'PORTIFÓLIO'!$C$4:$C$433,0)),"")</f>
        <v/>
      </c>
      <c r="I385" s="257" t="n"/>
      <c r="J385" s="209">
        <f>I385*$B$2</f>
        <v/>
      </c>
      <c r="K385" s="248">
        <f t="array" ref="K385">IFERROR(I385*INDEX('PORTIFÓLIO'!$S$4:$S$433,MATCH($C385,'PORTIFÓLIO'!$C$4:$C$433,0)),"")</f>
        <v/>
      </c>
      <c r="L385" s="248">
        <f t="array" ref="L385">IFERROR(J385*INDEX('PORTIFÓLIO'!$S$4:$S$433,MATCH($C385,'PORTIFÓLIO'!$C$4:$C$433,0)),"")</f>
        <v/>
      </c>
      <c r="M385" s="238" t="n"/>
      <c r="N385" s="177" t="n"/>
      <c r="O385" s="177" t="n"/>
      <c r="P385" s="177" t="n"/>
      <c r="Q385" s="177" t="n"/>
      <c r="R385" s="177" t="n"/>
      <c r="S385" s="177" t="n"/>
      <c r="T385" s="177" t="n"/>
      <c r="U385" s="177" t="n"/>
      <c r="V385" s="177" t="n"/>
      <c r="W385" s="177" t="n"/>
    </row>
    <row r="386" outlineLevel="1" ht="15.75" customHeight="1" s="297">
      <c r="A386" s="190" t="n"/>
      <c r="B386" s="204" t="n"/>
      <c r="C386" s="191" t="n"/>
      <c r="D386" s="205">
        <f>IFERROR(VLOOKUP($C386,'PORTIFÓLIO'!C:V,2,0),"")</f>
        <v/>
      </c>
      <c r="E386" s="190">
        <f>IFERROR(VLOOKUP($C386,'PORTIFÓLIO'!C:V,3,0),"")</f>
        <v/>
      </c>
      <c r="F386" s="190">
        <f>IFERROR(VLOOKUP($C386,'PORTIFÓLIO'!C:V,4,0),"")</f>
        <v/>
      </c>
      <c r="G386" s="206">
        <f>IFERROR(VLOOKUP($C386,'PORTIFÓLIO'!C:V,5,0),"")</f>
        <v/>
      </c>
      <c r="H386" s="247">
        <f t="array" ref="H386">IFERROR(INDEX('PORTIFÓLIO'!$H$4:$H$433,MATCH($C386,'PORTIFÓLIO'!$C$4:$C$433,0)),"")</f>
        <v/>
      </c>
      <c r="I386" s="257" t="n"/>
      <c r="J386" s="209">
        <f>I386*$B$2</f>
        <v/>
      </c>
      <c r="K386" s="248">
        <f t="array" ref="K386">IFERROR(I386*INDEX('PORTIFÓLIO'!$S$4:$S$433,MATCH($C386,'PORTIFÓLIO'!$C$4:$C$433,0)),"")</f>
        <v/>
      </c>
      <c r="L386" s="248">
        <f t="array" ref="L386">IFERROR(J386*INDEX('PORTIFÓLIO'!$S$4:$S$433,MATCH($C386,'PORTIFÓLIO'!$C$4:$C$433,0)),"")</f>
        <v/>
      </c>
      <c r="M386" s="238" t="n"/>
      <c r="N386" s="177" t="n"/>
      <c r="O386" s="177" t="n"/>
      <c r="P386" s="177" t="n"/>
      <c r="Q386" s="177" t="n"/>
      <c r="R386" s="177" t="n"/>
      <c r="S386" s="177" t="n"/>
      <c r="T386" s="177" t="n"/>
      <c r="U386" s="177" t="n"/>
      <c r="V386" s="177" t="n"/>
      <c r="W386" s="177" t="n"/>
    </row>
    <row r="387" outlineLevel="1" ht="15.75" customHeight="1" s="297">
      <c r="A387" s="190" t="n"/>
      <c r="B387" s="204" t="n"/>
      <c r="C387" s="191" t="n"/>
      <c r="D387" s="205">
        <f>IFERROR(VLOOKUP($C387,'PORTIFÓLIO'!C:V,2,0),"")</f>
        <v/>
      </c>
      <c r="E387" s="190">
        <f>IFERROR(VLOOKUP($C387,'PORTIFÓLIO'!C:V,3,0),"")</f>
        <v/>
      </c>
      <c r="F387" s="190">
        <f>IFERROR(VLOOKUP($C387,'PORTIFÓLIO'!C:V,4,0),"")</f>
        <v/>
      </c>
      <c r="G387" s="206">
        <f>IFERROR(VLOOKUP($C387,'PORTIFÓLIO'!C:V,5,0),"")</f>
        <v/>
      </c>
      <c r="H387" s="247">
        <f t="array" ref="H387">IFERROR(INDEX('PORTIFÓLIO'!$H$4:$H$433,MATCH($C387,'PORTIFÓLIO'!$C$4:$C$433,0)),"")</f>
        <v/>
      </c>
      <c r="I387" s="257" t="n"/>
      <c r="J387" s="209">
        <f>I387*$B$2</f>
        <v/>
      </c>
      <c r="K387" s="248">
        <f t="array" ref="K387">IFERROR(I387*INDEX('PORTIFÓLIO'!$S$4:$S$433,MATCH($C387,'PORTIFÓLIO'!$C$4:$C$433,0)),"")</f>
        <v/>
      </c>
      <c r="L387" s="248">
        <f t="array" ref="L387">IFERROR(J387*INDEX('PORTIFÓLIO'!$S$4:$S$433,MATCH($C387,'PORTIFÓLIO'!$C$4:$C$433,0)),"")</f>
        <v/>
      </c>
      <c r="M387" s="238" t="n"/>
      <c r="N387" s="177" t="n"/>
      <c r="O387" s="177" t="n"/>
      <c r="P387" s="177" t="n"/>
      <c r="Q387" s="177" t="n"/>
      <c r="R387" s="177" t="n"/>
      <c r="S387" s="177" t="n"/>
      <c r="T387" s="177" t="n"/>
      <c r="U387" s="177" t="n"/>
      <c r="V387" s="177" t="n"/>
      <c r="W387" s="177" t="n"/>
    </row>
    <row r="388" outlineLevel="1" ht="15.75" customHeight="1" s="297">
      <c r="A388" s="190" t="n"/>
      <c r="B388" s="204" t="n"/>
      <c r="C388" s="191" t="n"/>
      <c r="D388" s="205">
        <f>IFERROR(VLOOKUP($C388,'PORTIFÓLIO'!C:V,2,0),"")</f>
        <v/>
      </c>
      <c r="E388" s="190">
        <f>IFERROR(VLOOKUP($C388,'PORTIFÓLIO'!C:V,3,0),"")</f>
        <v/>
      </c>
      <c r="F388" s="190">
        <f>IFERROR(VLOOKUP($C388,'PORTIFÓLIO'!C:V,4,0),"")</f>
        <v/>
      </c>
      <c r="G388" s="206">
        <f>IFERROR(VLOOKUP($C388,'PORTIFÓLIO'!C:V,5,0),"")</f>
        <v/>
      </c>
      <c r="H388" s="247">
        <f t="array" ref="H388">IFERROR(INDEX('PORTIFÓLIO'!$H$4:$H$433,MATCH($C388,'PORTIFÓLIO'!$C$4:$C$433,0)),"")</f>
        <v/>
      </c>
      <c r="I388" s="257" t="n"/>
      <c r="J388" s="209">
        <f>I388*$B$2</f>
        <v/>
      </c>
      <c r="K388" s="248">
        <f t="array" ref="K388">IFERROR(I388*INDEX('PORTIFÓLIO'!$S$4:$S$433,MATCH($C388,'PORTIFÓLIO'!$C$4:$C$433,0)),"")</f>
        <v/>
      </c>
      <c r="L388" s="248">
        <f t="array" ref="L388">IFERROR(J388*INDEX('PORTIFÓLIO'!$S$4:$S$433,MATCH($C388,'PORTIFÓLIO'!$C$4:$C$433,0)),"")</f>
        <v/>
      </c>
      <c r="M388" s="238" t="n"/>
      <c r="N388" s="177" t="n"/>
      <c r="O388" s="177" t="n"/>
      <c r="P388" s="177" t="n"/>
      <c r="Q388" s="177" t="n"/>
      <c r="R388" s="177" t="n"/>
      <c r="S388" s="177" t="n"/>
      <c r="T388" s="177" t="n"/>
      <c r="U388" s="177" t="n"/>
      <c r="V388" s="177" t="n"/>
      <c r="W388" s="177" t="n"/>
    </row>
    <row r="389" outlineLevel="1" ht="15.75" customHeight="1" s="297">
      <c r="A389" s="190" t="n"/>
      <c r="B389" s="204" t="n"/>
      <c r="C389" s="191" t="n"/>
      <c r="D389" s="205">
        <f>IFERROR(VLOOKUP($C389,'PORTIFÓLIO'!C:V,2,0),"")</f>
        <v/>
      </c>
      <c r="E389" s="190">
        <f>IFERROR(VLOOKUP($C389,'PORTIFÓLIO'!C:V,3,0),"")</f>
        <v/>
      </c>
      <c r="F389" s="190">
        <f>IFERROR(VLOOKUP($C389,'PORTIFÓLIO'!C:V,4,0),"")</f>
        <v/>
      </c>
      <c r="G389" s="206">
        <f>IFERROR(VLOOKUP($C389,'PORTIFÓLIO'!C:V,5,0),"")</f>
        <v/>
      </c>
      <c r="H389" s="247">
        <f t="array" ref="H389">IFERROR(INDEX('PORTIFÓLIO'!$H$4:$H$433,MATCH($C389,'PORTIFÓLIO'!$C$4:$C$433,0)),"")</f>
        <v/>
      </c>
      <c r="I389" s="257" t="n"/>
      <c r="J389" s="209">
        <f>I389*$B$2</f>
        <v/>
      </c>
      <c r="K389" s="248">
        <f t="array" ref="K389">IFERROR(I389*INDEX('PORTIFÓLIO'!$S$4:$S$433,MATCH($C389,'PORTIFÓLIO'!$C$4:$C$433,0)),"")</f>
        <v/>
      </c>
      <c r="L389" s="248">
        <f t="array" ref="L389">IFERROR(J389*INDEX('PORTIFÓLIO'!$S$4:$S$433,MATCH($C389,'PORTIFÓLIO'!$C$4:$C$433,0)),"")</f>
        <v/>
      </c>
      <c r="M389" s="238" t="n"/>
      <c r="N389" s="177" t="n"/>
      <c r="O389" s="177" t="n"/>
      <c r="P389" s="177" t="n"/>
      <c r="Q389" s="177" t="n"/>
      <c r="R389" s="177" t="n"/>
      <c r="S389" s="177" t="n"/>
      <c r="T389" s="177" t="n"/>
      <c r="U389" s="177" t="n"/>
      <c r="V389" s="177" t="n"/>
      <c r="W389" s="177" t="n"/>
    </row>
    <row r="390" outlineLevel="1" ht="15.75" customHeight="1" s="297">
      <c r="A390" s="190" t="n"/>
      <c r="B390" s="204" t="n"/>
      <c r="C390" s="191" t="n"/>
      <c r="D390" s="205">
        <f>IFERROR(VLOOKUP($C390,'PORTIFÓLIO'!C:V,2,0),"")</f>
        <v/>
      </c>
      <c r="E390" s="190">
        <f>IFERROR(VLOOKUP($C390,'PORTIFÓLIO'!C:V,3,0),"")</f>
        <v/>
      </c>
      <c r="F390" s="190">
        <f>IFERROR(VLOOKUP($C390,'PORTIFÓLIO'!C:V,4,0),"")</f>
        <v/>
      </c>
      <c r="G390" s="206">
        <f>IFERROR(VLOOKUP($C390,'PORTIFÓLIO'!C:V,5,0),"")</f>
        <v/>
      </c>
      <c r="H390" s="247">
        <f t="array" ref="H390">IFERROR(INDEX('PORTIFÓLIO'!$H$4:$H$433,MATCH($C390,'PORTIFÓLIO'!$C$4:$C$433,0)),"")</f>
        <v/>
      </c>
      <c r="I390" s="257" t="n"/>
      <c r="J390" s="209">
        <f>I390*$B$2</f>
        <v/>
      </c>
      <c r="K390" s="248">
        <f t="array" ref="K390">IFERROR(I390*INDEX('PORTIFÓLIO'!$S$4:$S$433,MATCH($C390,'PORTIFÓLIO'!$C$4:$C$433,0)),"")</f>
        <v/>
      </c>
      <c r="L390" s="248">
        <f t="array" ref="L390">IFERROR(J390*INDEX('PORTIFÓLIO'!$S$4:$S$433,MATCH($C390,'PORTIFÓLIO'!$C$4:$C$433,0)),"")</f>
        <v/>
      </c>
      <c r="M390" s="238" t="n"/>
      <c r="N390" s="177" t="n"/>
      <c r="O390" s="177" t="n"/>
      <c r="P390" s="177" t="n"/>
      <c r="Q390" s="177" t="n"/>
      <c r="R390" s="177" t="n"/>
      <c r="S390" s="177" t="n"/>
      <c r="T390" s="177" t="n"/>
      <c r="U390" s="177" t="n"/>
      <c r="V390" s="177" t="n"/>
      <c r="W390" s="177" t="n"/>
    </row>
    <row r="391" outlineLevel="1" ht="15.75" customHeight="1" s="297">
      <c r="A391" s="190" t="n"/>
      <c r="B391" s="238" t="n"/>
      <c r="C391" s="190" t="n"/>
      <c r="D391" s="205">
        <f>IFERROR(VLOOKUP($C391,'PORTIFÓLIO'!C:V,2,0),"")</f>
        <v/>
      </c>
      <c r="E391" s="190">
        <f>IFERROR(VLOOKUP($C391,'PORTIFÓLIO'!C:V,3,0),"")</f>
        <v/>
      </c>
      <c r="F391" s="190">
        <f>IFERROR(VLOOKUP($C391,'PORTIFÓLIO'!C:V,4,0),"")</f>
        <v/>
      </c>
      <c r="G391" s="206">
        <f>IFERROR(VLOOKUP($C391,'PORTIFÓLIO'!C:V,5,0),"")</f>
        <v/>
      </c>
      <c r="H391" s="247">
        <f t="array" ref="H391">IFERROR(INDEX('PORTIFÓLIO'!$H$4:$H$433,MATCH($C391,'PORTIFÓLIO'!$C$4:$C$433,0)),"")</f>
        <v/>
      </c>
      <c r="I391" s="257" t="n"/>
      <c r="J391" s="209" t="n"/>
      <c r="K391" s="248">
        <f t="array" ref="K391">IFERROR(I391*INDEX('PORTIFÓLIO'!$S$4:$S$433,MATCH($C391,'PORTIFÓLIO'!$C$4:$C$433,0)),"")</f>
        <v/>
      </c>
      <c r="L391" s="248">
        <f t="array" ref="L391">IFERROR(J391*INDEX('PORTIFÓLIO'!$S$4:$S$433,MATCH($C391,'PORTIFÓLIO'!$C$4:$C$433,0)),"")</f>
        <v/>
      </c>
      <c r="M391" s="238" t="n"/>
      <c r="N391" s="177" t="n"/>
      <c r="O391" s="177" t="n"/>
      <c r="P391" s="177" t="n"/>
      <c r="Q391" s="177" t="n"/>
      <c r="R391" s="177" t="n"/>
      <c r="S391" s="177" t="n"/>
      <c r="T391" s="177" t="n"/>
      <c r="U391" s="177" t="n"/>
      <c r="V391" s="177" t="n"/>
      <c r="W391" s="177" t="n"/>
    </row>
    <row r="392" ht="15.75" customHeight="1" s="297">
      <c r="A392" s="221" t="inlineStr">
        <is>
          <t>OPERAÇÃO 10</t>
        </is>
      </c>
      <c r="B392" s="197" t="n"/>
      <c r="C392" s="196" t="n"/>
      <c r="D392" s="198" t="n"/>
      <c r="E392" s="196" t="n"/>
      <c r="F392" s="196" t="n"/>
      <c r="G392" s="199" t="n"/>
      <c r="H392" s="199" t="n"/>
      <c r="I392" s="252" t="n"/>
      <c r="J392" s="202" t="n"/>
      <c r="K392" s="203">
        <f>SUBTOTAL(9,K393:K406)</f>
        <v/>
      </c>
      <c r="L392" s="203">
        <f>SUBTOTAL(9,L393:L406)</f>
        <v/>
      </c>
      <c r="M392" s="238" t="n"/>
      <c r="N392" s="177" t="n"/>
      <c r="O392" s="177" t="n"/>
      <c r="P392" s="177" t="n"/>
      <c r="Q392" s="177" t="n"/>
      <c r="R392" s="177" t="n"/>
      <c r="S392" s="177" t="n"/>
      <c r="T392" s="177" t="n"/>
      <c r="U392" s="177" t="n"/>
      <c r="V392" s="177" t="n"/>
      <c r="W392" s="177" t="n"/>
    </row>
    <row r="393" outlineLevel="1" ht="15.75" customHeight="1" s="297">
      <c r="A393" s="191" t="n"/>
      <c r="B393" s="204" t="n"/>
      <c r="C393" s="191" t="n"/>
      <c r="D393" s="205">
        <f>IFERROR(VLOOKUP($C393,'PORTIFÓLIO'!C:V,2,0),"")</f>
        <v/>
      </c>
      <c r="E393" s="190">
        <f>IFERROR(VLOOKUP($C393,'PORTIFÓLIO'!C:V,3,0),"")</f>
        <v/>
      </c>
      <c r="F393" s="190">
        <f>IFERROR(VLOOKUP($C393,'PORTIFÓLIO'!C:V,4,0),"")</f>
        <v/>
      </c>
      <c r="G393" s="206">
        <f>IFERROR(VLOOKUP($C393,'PORTIFÓLIO'!C:V,5,0),"")</f>
        <v/>
      </c>
      <c r="H393" s="247">
        <f t="array" ref="H393">IFERROR(INDEX('PORTIFÓLIO'!$H$4:$H$433,MATCH($C393,'PORTIFÓLIO'!$C$4:$C$433,0)),"")</f>
        <v/>
      </c>
      <c r="I393" s="253" t="n"/>
      <c r="J393" s="209">
        <f>I393*$B$2</f>
        <v/>
      </c>
      <c r="K393" s="248">
        <f t="array" ref="K393">IFERROR(I393*INDEX('PORTIFÓLIO'!$S$4:$S$433,MATCH($C393,'PORTIFÓLIO'!$C$4:$C$433,0)),"")</f>
        <v/>
      </c>
      <c r="L393" s="248">
        <f t="array" ref="L393">IFERROR(J393*INDEX('PORTIFÓLIO'!$S$4:$S$433,MATCH($C393,'PORTIFÓLIO'!$C$4:$C$433,0)),"")</f>
        <v/>
      </c>
      <c r="M393" s="238" t="n"/>
      <c r="N393" s="177" t="n"/>
      <c r="O393" s="177" t="n"/>
      <c r="P393" s="177" t="n"/>
      <c r="Q393" s="177" t="n"/>
      <c r="R393" s="177" t="n"/>
      <c r="S393" s="177" t="n"/>
      <c r="T393" s="177" t="n"/>
      <c r="U393" s="177" t="n"/>
      <c r="V393" s="177" t="n"/>
      <c r="W393" s="177" t="n"/>
    </row>
    <row r="394" outlineLevel="1" ht="15.75" customHeight="1" s="297">
      <c r="A394" s="190" t="n"/>
      <c r="B394" s="204" t="n"/>
      <c r="C394" s="191" t="n"/>
      <c r="D394" s="205">
        <f>IFERROR(VLOOKUP($C394,'PORTIFÓLIO'!C:V,2,0),"")</f>
        <v/>
      </c>
      <c r="E394" s="190">
        <f>IFERROR(VLOOKUP($C394,'PORTIFÓLIO'!C:V,3,0),"")</f>
        <v/>
      </c>
      <c r="F394" s="190">
        <f>IFERROR(VLOOKUP($C394,'PORTIFÓLIO'!C:V,4,0),"")</f>
        <v/>
      </c>
      <c r="G394" s="206">
        <f>IFERROR(VLOOKUP($C394,'PORTIFÓLIO'!C:V,5,0),"")</f>
        <v/>
      </c>
      <c r="H394" s="247">
        <f t="array" ref="H394">IFERROR(INDEX('PORTIFÓLIO'!$H$4:$H$433,MATCH($C394,'PORTIFÓLIO'!$C$4:$C$433,0)),"")</f>
        <v/>
      </c>
      <c r="I394" s="257" t="n"/>
      <c r="J394" s="209">
        <f>I394*$B$2</f>
        <v/>
      </c>
      <c r="K394" s="248">
        <f t="array" ref="K394">IFERROR(I394*INDEX('PORTIFÓLIO'!$S$4:$S$433,MATCH($C394,'PORTIFÓLIO'!$C$4:$C$433,0)),"")</f>
        <v/>
      </c>
      <c r="L394" s="248">
        <f t="array" ref="L394">IFERROR(J394*INDEX('PORTIFÓLIO'!$S$4:$S$433,MATCH($C394,'PORTIFÓLIO'!$C$4:$C$433,0)),"")</f>
        <v/>
      </c>
      <c r="M394" s="238" t="n"/>
      <c r="N394" s="177" t="n"/>
      <c r="O394" s="177" t="n"/>
      <c r="P394" s="177" t="n"/>
      <c r="Q394" s="177" t="n"/>
      <c r="R394" s="177" t="n"/>
      <c r="S394" s="177" t="n"/>
      <c r="T394" s="177" t="n"/>
      <c r="U394" s="177" t="n"/>
      <c r="V394" s="177" t="n"/>
      <c r="W394" s="177" t="n"/>
    </row>
    <row r="395" outlineLevel="1" ht="15.75" customHeight="1" s="297">
      <c r="A395" s="190" t="n"/>
      <c r="B395" s="204" t="n"/>
      <c r="C395" s="191" t="n"/>
      <c r="D395" s="205">
        <f>IFERROR(VLOOKUP($C395,'PORTIFÓLIO'!C:V,2,0),"")</f>
        <v/>
      </c>
      <c r="E395" s="190">
        <f>IFERROR(VLOOKUP($C395,'PORTIFÓLIO'!C:V,3,0),"")</f>
        <v/>
      </c>
      <c r="F395" s="190">
        <f>IFERROR(VLOOKUP($C395,'PORTIFÓLIO'!C:V,4,0),"")</f>
        <v/>
      </c>
      <c r="G395" s="206">
        <f>IFERROR(VLOOKUP($C395,'PORTIFÓLIO'!C:V,5,0),"")</f>
        <v/>
      </c>
      <c r="H395" s="247">
        <f t="array" ref="H395">IFERROR(INDEX('PORTIFÓLIO'!$H$4:$H$433,MATCH($C395,'PORTIFÓLIO'!$C$4:$C$433,0)),"")</f>
        <v/>
      </c>
      <c r="I395" s="257" t="n"/>
      <c r="J395" s="209">
        <f>I395*$B$2</f>
        <v/>
      </c>
      <c r="K395" s="248">
        <f t="array" ref="K395">IFERROR(I395*INDEX('PORTIFÓLIO'!$S$4:$S$433,MATCH($C395,'PORTIFÓLIO'!$C$4:$C$433,0)),"")</f>
        <v/>
      </c>
      <c r="L395" s="248">
        <f t="array" ref="L395">IFERROR(J395*INDEX('PORTIFÓLIO'!$S$4:$S$433,MATCH($C395,'PORTIFÓLIO'!$C$4:$C$433,0)),"")</f>
        <v/>
      </c>
      <c r="M395" s="238" t="n"/>
      <c r="N395" s="177" t="n"/>
      <c r="O395" s="177" t="n"/>
      <c r="P395" s="177" t="n"/>
      <c r="Q395" s="177" t="n"/>
      <c r="R395" s="177" t="n"/>
      <c r="S395" s="177" t="n"/>
      <c r="T395" s="177" t="n"/>
      <c r="U395" s="177" t="n"/>
      <c r="V395" s="177" t="n"/>
      <c r="W395" s="177" t="n"/>
    </row>
    <row r="396" outlineLevel="1" ht="15.75" customHeight="1" s="297">
      <c r="A396" s="190" t="n"/>
      <c r="B396" s="204" t="n"/>
      <c r="C396" s="191" t="n"/>
      <c r="D396" s="205">
        <f>IFERROR(VLOOKUP($C396,'PORTIFÓLIO'!C:V,2,0),"")</f>
        <v/>
      </c>
      <c r="E396" s="190">
        <f>IFERROR(VLOOKUP($C396,'PORTIFÓLIO'!C:V,3,0),"")</f>
        <v/>
      </c>
      <c r="F396" s="190">
        <f>IFERROR(VLOOKUP($C396,'PORTIFÓLIO'!C:V,4,0),"")</f>
        <v/>
      </c>
      <c r="G396" s="206">
        <f>IFERROR(VLOOKUP($C396,'PORTIFÓLIO'!C:V,5,0),"")</f>
        <v/>
      </c>
      <c r="H396" s="247">
        <f t="array" ref="H396">IFERROR(INDEX('PORTIFÓLIO'!$H$4:$H$433,MATCH($C396,'PORTIFÓLIO'!$C$4:$C$433,0)),"")</f>
        <v/>
      </c>
      <c r="I396" s="257" t="n"/>
      <c r="J396" s="209">
        <f>I396*$B$2</f>
        <v/>
      </c>
      <c r="K396" s="248">
        <f t="array" ref="K396">IFERROR(I396*INDEX('PORTIFÓLIO'!$S$4:$S$433,MATCH($C396,'PORTIFÓLIO'!$C$4:$C$433,0)),"")</f>
        <v/>
      </c>
      <c r="L396" s="248">
        <f t="array" ref="L396">IFERROR(J396*INDEX('PORTIFÓLIO'!$S$4:$S$433,MATCH($C396,'PORTIFÓLIO'!$C$4:$C$433,0)),"")</f>
        <v/>
      </c>
      <c r="M396" s="238" t="n"/>
      <c r="N396" s="177" t="n"/>
      <c r="O396" s="177" t="n"/>
      <c r="P396" s="177" t="n"/>
      <c r="Q396" s="177" t="n"/>
      <c r="R396" s="177" t="n"/>
      <c r="S396" s="177" t="n"/>
      <c r="T396" s="177" t="n"/>
      <c r="U396" s="177" t="n"/>
      <c r="V396" s="177" t="n"/>
      <c r="W396" s="177" t="n"/>
    </row>
    <row r="397" outlineLevel="1" ht="15.75" customHeight="1" s="297">
      <c r="A397" s="190" t="n"/>
      <c r="B397" s="204" t="n"/>
      <c r="C397" s="191" t="n"/>
      <c r="D397" s="205">
        <f>IFERROR(VLOOKUP($C397,'PORTIFÓLIO'!C:V,2,0),"")</f>
        <v/>
      </c>
      <c r="E397" s="190">
        <f>IFERROR(VLOOKUP($C397,'PORTIFÓLIO'!C:V,3,0),"")</f>
        <v/>
      </c>
      <c r="F397" s="190">
        <f>IFERROR(VLOOKUP($C397,'PORTIFÓLIO'!C:V,4,0),"")</f>
        <v/>
      </c>
      <c r="G397" s="206">
        <f>IFERROR(VLOOKUP($C397,'PORTIFÓLIO'!C:V,5,0),"")</f>
        <v/>
      </c>
      <c r="H397" s="247">
        <f t="array" ref="H397">IFERROR(INDEX('PORTIFÓLIO'!$H$4:$H$433,MATCH($C397,'PORTIFÓLIO'!$C$4:$C$433,0)),"")</f>
        <v/>
      </c>
      <c r="I397" s="257" t="n"/>
      <c r="J397" s="209">
        <f>I397*$B$2</f>
        <v/>
      </c>
      <c r="K397" s="248">
        <f t="array" ref="K397">IFERROR(I397*INDEX('PORTIFÓLIO'!$S$4:$S$433,MATCH($C397,'PORTIFÓLIO'!$C$4:$C$433,0)),"")</f>
        <v/>
      </c>
      <c r="L397" s="248">
        <f t="array" ref="L397">IFERROR(J397*INDEX('PORTIFÓLIO'!$S$4:$S$433,MATCH($C397,'PORTIFÓLIO'!$C$4:$C$433,0)),"")</f>
        <v/>
      </c>
      <c r="M397" s="238" t="n"/>
      <c r="N397" s="177" t="n"/>
      <c r="O397" s="177" t="n"/>
      <c r="P397" s="177" t="n"/>
      <c r="Q397" s="177" t="n"/>
      <c r="R397" s="177" t="n"/>
      <c r="S397" s="177" t="n"/>
      <c r="T397" s="177" t="n"/>
      <c r="U397" s="177" t="n"/>
      <c r="V397" s="177" t="n"/>
      <c r="W397" s="177" t="n"/>
    </row>
    <row r="398" outlineLevel="1" ht="15.75" customHeight="1" s="297">
      <c r="A398" s="190" t="n"/>
      <c r="B398" s="204" t="n"/>
      <c r="C398" s="191" t="n"/>
      <c r="D398" s="205">
        <f>IFERROR(VLOOKUP($C398,'PORTIFÓLIO'!C:V,2,0),"")</f>
        <v/>
      </c>
      <c r="E398" s="190">
        <f>IFERROR(VLOOKUP($C398,'PORTIFÓLIO'!C:V,3,0),"")</f>
        <v/>
      </c>
      <c r="F398" s="190">
        <f>IFERROR(VLOOKUP($C398,'PORTIFÓLIO'!C:V,4,0),"")</f>
        <v/>
      </c>
      <c r="G398" s="206">
        <f>IFERROR(VLOOKUP($C398,'PORTIFÓLIO'!C:V,5,0),"")</f>
        <v/>
      </c>
      <c r="H398" s="247">
        <f t="array" ref="H398">IFERROR(INDEX('PORTIFÓLIO'!$H$4:$H$433,MATCH($C398,'PORTIFÓLIO'!$C$4:$C$433,0)),"")</f>
        <v/>
      </c>
      <c r="I398" s="257" t="n"/>
      <c r="J398" s="209">
        <f>I398*$B$2</f>
        <v/>
      </c>
      <c r="K398" s="248">
        <f t="array" ref="K398">IFERROR(I398*INDEX('PORTIFÓLIO'!$S$4:$S$433,MATCH($C398,'PORTIFÓLIO'!$C$4:$C$433,0)),"")</f>
        <v/>
      </c>
      <c r="L398" s="248">
        <f t="array" ref="L398">IFERROR(J398*INDEX('PORTIFÓLIO'!$S$4:$S$433,MATCH($C398,'PORTIFÓLIO'!$C$4:$C$433,0)),"")</f>
        <v/>
      </c>
      <c r="M398" s="238" t="n"/>
      <c r="N398" s="177" t="n"/>
      <c r="O398" s="177" t="n"/>
      <c r="P398" s="177" t="n"/>
      <c r="Q398" s="177" t="n"/>
      <c r="R398" s="177" t="n"/>
      <c r="S398" s="177" t="n"/>
      <c r="T398" s="177" t="n"/>
      <c r="U398" s="177" t="n"/>
      <c r="V398" s="177" t="n"/>
      <c r="W398" s="177" t="n"/>
    </row>
    <row r="399" outlineLevel="1" ht="15.75" customHeight="1" s="297">
      <c r="A399" s="190" t="n"/>
      <c r="B399" s="204" t="n"/>
      <c r="C399" s="191" t="n"/>
      <c r="D399" s="205">
        <f>IFERROR(VLOOKUP($C399,'PORTIFÓLIO'!C:V,2,0),"")</f>
        <v/>
      </c>
      <c r="E399" s="190">
        <f>IFERROR(VLOOKUP($C399,'PORTIFÓLIO'!C:V,3,0),"")</f>
        <v/>
      </c>
      <c r="F399" s="190">
        <f>IFERROR(VLOOKUP($C399,'PORTIFÓLIO'!C:V,4,0),"")</f>
        <v/>
      </c>
      <c r="G399" s="206">
        <f>IFERROR(VLOOKUP($C399,'PORTIFÓLIO'!C:V,5,0),"")</f>
        <v/>
      </c>
      <c r="H399" s="247">
        <f t="array" ref="H399">IFERROR(INDEX('PORTIFÓLIO'!$H$4:$H$433,MATCH($C399,'PORTIFÓLIO'!$C$4:$C$433,0)),"")</f>
        <v/>
      </c>
      <c r="I399" s="257" t="n"/>
      <c r="J399" s="209">
        <f>I399*$B$2</f>
        <v/>
      </c>
      <c r="K399" s="248">
        <f t="array" ref="K399">IFERROR(I399*INDEX('PORTIFÓLIO'!$S$4:$S$433,MATCH($C399,'PORTIFÓLIO'!$C$4:$C$433,0)),"")</f>
        <v/>
      </c>
      <c r="L399" s="248">
        <f t="array" ref="L399">IFERROR(J399*INDEX('PORTIFÓLIO'!$S$4:$S$433,MATCH($C399,'PORTIFÓLIO'!$C$4:$C$433,0)),"")</f>
        <v/>
      </c>
      <c r="M399" s="238" t="n"/>
      <c r="N399" s="177" t="n"/>
      <c r="O399" s="177" t="n"/>
      <c r="P399" s="177" t="n"/>
      <c r="Q399" s="177" t="n"/>
      <c r="R399" s="177" t="n"/>
      <c r="S399" s="177" t="n"/>
      <c r="T399" s="177" t="n"/>
      <c r="U399" s="177" t="n"/>
      <c r="V399" s="177" t="n"/>
      <c r="W399" s="177" t="n"/>
    </row>
    <row r="400" outlineLevel="1" ht="15.75" customHeight="1" s="297">
      <c r="A400" s="190" t="n"/>
      <c r="B400" s="204" t="n"/>
      <c r="C400" s="191" t="n"/>
      <c r="D400" s="205">
        <f>IFERROR(VLOOKUP($C400,'PORTIFÓLIO'!C:V,2,0),"")</f>
        <v/>
      </c>
      <c r="E400" s="190">
        <f>IFERROR(VLOOKUP($C400,'PORTIFÓLIO'!C:V,3,0),"")</f>
        <v/>
      </c>
      <c r="F400" s="190">
        <f>IFERROR(VLOOKUP($C400,'PORTIFÓLIO'!C:V,4,0),"")</f>
        <v/>
      </c>
      <c r="G400" s="206">
        <f>IFERROR(VLOOKUP($C400,'PORTIFÓLIO'!C:V,5,0),"")</f>
        <v/>
      </c>
      <c r="H400" s="247">
        <f t="array" ref="H400">IFERROR(INDEX('PORTIFÓLIO'!$H$4:$H$433,MATCH($C400,'PORTIFÓLIO'!$C$4:$C$433,0)),"")</f>
        <v/>
      </c>
      <c r="I400" s="257" t="n"/>
      <c r="J400" s="209">
        <f>I400*$B$2</f>
        <v/>
      </c>
      <c r="K400" s="248">
        <f t="array" ref="K400">IFERROR(I400*INDEX('PORTIFÓLIO'!$S$4:$S$433,MATCH($C400,'PORTIFÓLIO'!$C$4:$C$433,0)),"")</f>
        <v/>
      </c>
      <c r="L400" s="248">
        <f t="array" ref="L400">IFERROR(J400*INDEX('PORTIFÓLIO'!$S$4:$S$433,MATCH($C400,'PORTIFÓLIO'!$C$4:$C$433,0)),"")</f>
        <v/>
      </c>
      <c r="M400" s="238" t="n"/>
      <c r="N400" s="177" t="n"/>
      <c r="O400" s="177" t="n"/>
      <c r="P400" s="177" t="n"/>
      <c r="Q400" s="177" t="n"/>
      <c r="R400" s="177" t="n"/>
      <c r="S400" s="177" t="n"/>
      <c r="T400" s="177" t="n"/>
      <c r="U400" s="177" t="n"/>
      <c r="V400" s="177" t="n"/>
      <c r="W400" s="177" t="n"/>
    </row>
    <row r="401" outlineLevel="1" ht="15.75" customHeight="1" s="297">
      <c r="A401" s="190" t="n"/>
      <c r="B401" s="204" t="n"/>
      <c r="C401" s="191" t="n"/>
      <c r="D401" s="205">
        <f>IFERROR(VLOOKUP($C401,'PORTIFÓLIO'!C:V,2,0),"")</f>
        <v/>
      </c>
      <c r="E401" s="190">
        <f>IFERROR(VLOOKUP($C401,'PORTIFÓLIO'!C:V,3,0),"")</f>
        <v/>
      </c>
      <c r="F401" s="190">
        <f>IFERROR(VLOOKUP($C401,'PORTIFÓLIO'!C:V,4,0),"")</f>
        <v/>
      </c>
      <c r="G401" s="206">
        <f>IFERROR(VLOOKUP($C401,'PORTIFÓLIO'!C:V,5,0),"")</f>
        <v/>
      </c>
      <c r="H401" s="247">
        <f t="array" ref="H401">IFERROR(INDEX('PORTIFÓLIO'!$H$4:$H$433,MATCH($C401,'PORTIFÓLIO'!$C$4:$C$433,0)),"")</f>
        <v/>
      </c>
      <c r="I401" s="253" t="n"/>
      <c r="J401" s="209">
        <f>I401*$B$2</f>
        <v/>
      </c>
      <c r="K401" s="248">
        <f t="array" ref="K401">IFERROR(I401*INDEX('PORTIFÓLIO'!$S$4:$S$433,MATCH($C401,'PORTIFÓLIO'!$C$4:$C$433,0)),"")</f>
        <v/>
      </c>
      <c r="L401" s="248">
        <f t="array" ref="L401">IFERROR(J401*INDEX('PORTIFÓLIO'!$S$4:$S$433,MATCH($C401,'PORTIFÓLIO'!$C$4:$C$433,0)),"")</f>
        <v/>
      </c>
      <c r="M401" s="238" t="n"/>
      <c r="N401" s="177" t="n"/>
      <c r="O401" s="177" t="n"/>
      <c r="P401" s="177" t="n"/>
      <c r="Q401" s="177" t="n"/>
      <c r="R401" s="177" t="n"/>
      <c r="S401" s="177" t="n"/>
      <c r="T401" s="177" t="n"/>
      <c r="U401" s="177" t="n"/>
      <c r="V401" s="177" t="n"/>
      <c r="W401" s="177" t="n"/>
    </row>
    <row r="402" outlineLevel="1" ht="15.75" customHeight="1" s="297">
      <c r="A402" s="190" t="n"/>
      <c r="B402" s="204" t="n"/>
      <c r="C402" s="191" t="n"/>
      <c r="D402" s="205">
        <f>IFERROR(VLOOKUP($C402,'PORTIFÓLIO'!C:V,2,0),"")</f>
        <v/>
      </c>
      <c r="E402" s="190">
        <f>IFERROR(VLOOKUP($C402,'PORTIFÓLIO'!C:V,3,0),"")</f>
        <v/>
      </c>
      <c r="F402" s="190">
        <f>IFERROR(VLOOKUP($C402,'PORTIFÓLIO'!C:V,4,0),"")</f>
        <v/>
      </c>
      <c r="G402" s="206">
        <f>IFERROR(VLOOKUP($C402,'PORTIFÓLIO'!C:V,5,0),"")</f>
        <v/>
      </c>
      <c r="H402" s="247">
        <f t="array" ref="H402">IFERROR(INDEX('PORTIFÓLIO'!$H$4:$H$433,MATCH($C402,'PORTIFÓLIO'!$C$4:$C$433,0)),"")</f>
        <v/>
      </c>
      <c r="I402" s="257" t="n"/>
      <c r="J402" s="209">
        <f>I402*$B$2</f>
        <v/>
      </c>
      <c r="K402" s="248">
        <f t="array" ref="K402">IFERROR(I402*INDEX('PORTIFÓLIO'!$S$4:$S$433,MATCH($C402,'PORTIFÓLIO'!$C$4:$C$433,0)),"")</f>
        <v/>
      </c>
      <c r="L402" s="248">
        <f t="array" ref="L402">IFERROR(J402*INDEX('PORTIFÓLIO'!$S$4:$S$433,MATCH($C402,'PORTIFÓLIO'!$C$4:$C$433,0)),"")</f>
        <v/>
      </c>
      <c r="M402" s="238" t="n"/>
      <c r="N402" s="177" t="n"/>
      <c r="O402" s="177" t="n"/>
      <c r="P402" s="177" t="n"/>
      <c r="Q402" s="177" t="n"/>
      <c r="R402" s="177" t="n"/>
      <c r="S402" s="177" t="n"/>
      <c r="T402" s="177" t="n"/>
      <c r="U402" s="177" t="n"/>
      <c r="V402" s="177" t="n"/>
      <c r="W402" s="177" t="n"/>
    </row>
    <row r="403" outlineLevel="1" ht="15.75" customHeight="1" s="297">
      <c r="A403" s="190" t="n"/>
      <c r="B403" s="204" t="n"/>
      <c r="C403" s="191" t="n"/>
      <c r="D403" s="205">
        <f>IFERROR(VLOOKUP($C403,'PORTIFÓLIO'!C:V,2,0),"")</f>
        <v/>
      </c>
      <c r="E403" s="190">
        <f>IFERROR(VLOOKUP($C403,'PORTIFÓLIO'!C:V,3,0),"")</f>
        <v/>
      </c>
      <c r="F403" s="190">
        <f>IFERROR(VLOOKUP($C403,'PORTIFÓLIO'!C:V,4,0),"")</f>
        <v/>
      </c>
      <c r="G403" s="206">
        <f>IFERROR(VLOOKUP($C403,'PORTIFÓLIO'!C:V,5,0),"")</f>
        <v/>
      </c>
      <c r="H403" s="247">
        <f t="array" ref="H403">IFERROR(INDEX('PORTIFÓLIO'!$H$4:$H$433,MATCH($C403,'PORTIFÓLIO'!$C$4:$C$433,0)),"")</f>
        <v/>
      </c>
      <c r="I403" s="257" t="n"/>
      <c r="J403" s="209">
        <f>I403*$B$2</f>
        <v/>
      </c>
      <c r="K403" s="248">
        <f t="array" ref="K403">IFERROR(I403*INDEX('PORTIFÓLIO'!$S$4:$S$433,MATCH($C403,'PORTIFÓLIO'!$C$4:$C$433,0)),"")</f>
        <v/>
      </c>
      <c r="L403" s="248">
        <f t="array" ref="L403">IFERROR(J403*INDEX('PORTIFÓLIO'!$S$4:$S$433,MATCH($C403,'PORTIFÓLIO'!$C$4:$C$433,0)),"")</f>
        <v/>
      </c>
      <c r="M403" s="238" t="n"/>
      <c r="N403" s="177" t="n"/>
      <c r="O403" s="177" t="n"/>
      <c r="P403" s="177" t="n"/>
      <c r="Q403" s="177" t="n"/>
      <c r="R403" s="177" t="n"/>
      <c r="S403" s="177" t="n"/>
      <c r="T403" s="177" t="n"/>
      <c r="U403" s="177" t="n"/>
      <c r="V403" s="177" t="n"/>
      <c r="W403" s="177" t="n"/>
    </row>
    <row r="404" outlineLevel="1" ht="15.75" customHeight="1" s="297">
      <c r="A404" s="190" t="n"/>
      <c r="B404" s="204" t="n"/>
      <c r="C404" s="191" t="n"/>
      <c r="D404" s="205">
        <f>IFERROR(VLOOKUP($C404,'PORTIFÓLIO'!C:V,2,0),"")</f>
        <v/>
      </c>
      <c r="E404" s="190">
        <f>IFERROR(VLOOKUP($C404,'PORTIFÓLIO'!C:V,3,0),"")</f>
        <v/>
      </c>
      <c r="F404" s="190">
        <f>IFERROR(VLOOKUP($C404,'PORTIFÓLIO'!C:V,4,0),"")</f>
        <v/>
      </c>
      <c r="G404" s="206">
        <f>IFERROR(VLOOKUP($C404,'PORTIFÓLIO'!C:V,5,0),"")</f>
        <v/>
      </c>
      <c r="H404" s="247">
        <f t="array" ref="H404">IFERROR(INDEX('PORTIFÓLIO'!$H$4:$H$433,MATCH($C404,'PORTIFÓLIO'!$C$4:$C$433,0)),"")</f>
        <v/>
      </c>
      <c r="I404" s="257" t="n"/>
      <c r="J404" s="209">
        <f>I404*$B$2</f>
        <v/>
      </c>
      <c r="K404" s="248">
        <f t="array" ref="K404">IFERROR(I404*INDEX('PORTIFÓLIO'!$S$4:$S$433,MATCH($C404,'PORTIFÓLIO'!$C$4:$C$433,0)),"")</f>
        <v/>
      </c>
      <c r="L404" s="248">
        <f t="array" ref="L404">IFERROR(J404*INDEX('PORTIFÓLIO'!$S$4:$S$433,MATCH($C404,'PORTIFÓLIO'!$C$4:$C$433,0)),"")</f>
        <v/>
      </c>
      <c r="M404" s="238" t="n"/>
      <c r="N404" s="177" t="n"/>
      <c r="O404" s="177" t="n"/>
      <c r="P404" s="177" t="n"/>
      <c r="Q404" s="177" t="n"/>
      <c r="R404" s="177" t="n"/>
      <c r="S404" s="177" t="n"/>
      <c r="T404" s="177" t="n"/>
      <c r="U404" s="177" t="n"/>
      <c r="V404" s="177" t="n"/>
      <c r="W404" s="177" t="n"/>
    </row>
    <row r="405" outlineLevel="1" ht="15.75" customHeight="1" s="297">
      <c r="A405" s="190" t="n"/>
      <c r="B405" s="204" t="n"/>
      <c r="C405" s="191" t="n"/>
      <c r="D405" s="205">
        <f>IFERROR(VLOOKUP($C405,'PORTIFÓLIO'!C:V,2,0),"")</f>
        <v/>
      </c>
      <c r="E405" s="190">
        <f>IFERROR(VLOOKUP($C405,'PORTIFÓLIO'!C:V,3,0),"")</f>
        <v/>
      </c>
      <c r="F405" s="190">
        <f>IFERROR(VLOOKUP($C405,'PORTIFÓLIO'!C:V,4,0),"")</f>
        <v/>
      </c>
      <c r="G405" s="206">
        <f>IFERROR(VLOOKUP($C405,'PORTIFÓLIO'!C:V,5,0),"")</f>
        <v/>
      </c>
      <c r="H405" s="247">
        <f t="array" ref="H405">IFERROR(INDEX('PORTIFÓLIO'!$H$4:$H$433,MATCH($C405,'PORTIFÓLIO'!$C$4:$C$433,0)),"")</f>
        <v/>
      </c>
      <c r="I405" s="257" t="n"/>
      <c r="J405" s="209">
        <f>I405*$B$2</f>
        <v/>
      </c>
      <c r="K405" s="248">
        <f t="array" ref="K405">IFERROR(I405*INDEX('PORTIFÓLIO'!$S$4:$S$433,MATCH($C405,'PORTIFÓLIO'!$C$4:$C$433,0)),"")</f>
        <v/>
      </c>
      <c r="L405" s="248">
        <f t="array" ref="L405">IFERROR(J405*INDEX('PORTIFÓLIO'!$S$4:$S$433,MATCH($C405,'PORTIFÓLIO'!$C$4:$C$433,0)),"")</f>
        <v/>
      </c>
      <c r="M405" s="238" t="n"/>
      <c r="N405" s="177" t="n"/>
      <c r="O405" s="177" t="n"/>
      <c r="P405" s="177" t="n"/>
      <c r="Q405" s="177" t="n"/>
      <c r="R405" s="177" t="n"/>
      <c r="S405" s="177" t="n"/>
      <c r="T405" s="177" t="n"/>
      <c r="U405" s="177" t="n"/>
      <c r="V405" s="177" t="n"/>
      <c r="W405" s="177" t="n"/>
    </row>
    <row r="406" outlineLevel="1" ht="15.75" customHeight="1" s="297">
      <c r="A406" s="190" t="n"/>
      <c r="B406" s="204" t="n"/>
      <c r="C406" s="191" t="n"/>
      <c r="D406" s="205">
        <f>IFERROR(VLOOKUP($C406,'PORTIFÓLIO'!C:V,2,0),"")</f>
        <v/>
      </c>
      <c r="E406" s="190">
        <f>IFERROR(VLOOKUP($C406,'PORTIFÓLIO'!C:V,3,0),"")</f>
        <v/>
      </c>
      <c r="F406" s="190">
        <f>IFERROR(VLOOKUP($C406,'PORTIFÓLIO'!C:V,4,0),"")</f>
        <v/>
      </c>
      <c r="G406" s="206">
        <f>IFERROR(VLOOKUP($C406,'PORTIFÓLIO'!C:V,5,0),"")</f>
        <v/>
      </c>
      <c r="H406" s="247">
        <f t="array" ref="H406">IFERROR(INDEX('PORTIFÓLIO'!$H$4:$H$433,MATCH($C406,'PORTIFÓLIO'!$C$4:$C$433,0)),"")</f>
        <v/>
      </c>
      <c r="I406" s="257" t="n"/>
      <c r="J406" s="209">
        <f>I406*$B$2</f>
        <v/>
      </c>
      <c r="K406" s="248">
        <f t="array" ref="K406">IFERROR(I406*INDEX('PORTIFÓLIO'!$S$4:$S$433,MATCH($C406,'PORTIFÓLIO'!$C$4:$C$433,0)),"")</f>
        <v/>
      </c>
      <c r="L406" s="248">
        <f t="array" ref="L406">IFERROR(J406*INDEX('PORTIFÓLIO'!$S$4:$S$433,MATCH($C406,'PORTIFÓLIO'!$C$4:$C$433,0)),"")</f>
        <v/>
      </c>
      <c r="M406" s="238" t="n"/>
      <c r="N406" s="177" t="n"/>
      <c r="O406" s="177" t="n"/>
      <c r="P406" s="177" t="n"/>
      <c r="Q406" s="177" t="n"/>
      <c r="R406" s="177" t="n"/>
      <c r="S406" s="177" t="n"/>
      <c r="T406" s="177" t="n"/>
      <c r="U406" s="177" t="n"/>
      <c r="V406" s="177" t="n"/>
      <c r="W406" s="177" t="n"/>
    </row>
    <row r="407" outlineLevel="1" ht="15.75" customHeight="1" s="297">
      <c r="A407" s="190" t="n"/>
      <c r="B407" s="204" t="n"/>
      <c r="C407" s="191" t="n"/>
      <c r="D407" s="205">
        <f>IFERROR(VLOOKUP($C407,'PORTIFÓLIO'!C:V,2,0),"")</f>
        <v/>
      </c>
      <c r="E407" s="190">
        <f>IFERROR(VLOOKUP($C407,'PORTIFÓLIO'!C:V,3,0),"")</f>
        <v/>
      </c>
      <c r="F407" s="190">
        <f>IFERROR(VLOOKUP($C407,'PORTIFÓLIO'!C:V,4,0),"")</f>
        <v/>
      </c>
      <c r="G407" s="206">
        <f>IFERROR(VLOOKUP($C407,'PORTIFÓLIO'!C:V,5,0),"")</f>
        <v/>
      </c>
      <c r="H407" s="247">
        <f t="array" ref="H407">IFERROR(INDEX('PORTIFÓLIO'!$H$4:$H$433,MATCH($C407,'PORTIFÓLIO'!$C$4:$C$433,0)),"")</f>
        <v/>
      </c>
      <c r="I407" s="257" t="n"/>
      <c r="J407" s="209">
        <f>I407*$B$2</f>
        <v/>
      </c>
      <c r="K407" s="248">
        <f t="array" ref="K407">IFERROR(I407*INDEX('PORTIFÓLIO'!$S$4:$S$433,MATCH($C407,'PORTIFÓLIO'!$C$4:$C$433,0)),"")</f>
        <v/>
      </c>
      <c r="L407" s="248">
        <f t="array" ref="L407">IFERROR(J407*INDEX('PORTIFÓLIO'!$S$4:$S$433,MATCH($C407,'PORTIFÓLIO'!$C$4:$C$433,0)),"")</f>
        <v/>
      </c>
      <c r="M407" s="238" t="n"/>
      <c r="N407" s="177" t="n"/>
      <c r="O407" s="177" t="n"/>
      <c r="P407" s="177" t="n"/>
      <c r="Q407" s="177" t="n"/>
      <c r="R407" s="177" t="n"/>
      <c r="S407" s="177" t="n"/>
      <c r="T407" s="177" t="n"/>
      <c r="U407" s="177" t="n"/>
      <c r="V407" s="177" t="n"/>
      <c r="W407" s="177" t="n"/>
    </row>
    <row r="408" outlineLevel="1" ht="15.75" customHeight="1" s="297">
      <c r="A408" s="190" t="n"/>
      <c r="B408" s="238" t="n"/>
      <c r="C408" s="190" t="n"/>
      <c r="D408" s="205">
        <f>IFERROR(VLOOKUP($C408,'PORTIFÓLIO'!C:V,2,0),"")</f>
        <v/>
      </c>
      <c r="E408" s="190">
        <f>IFERROR(VLOOKUP($C408,'PORTIFÓLIO'!C:V,3,0),"")</f>
        <v/>
      </c>
      <c r="F408" s="190">
        <f>IFERROR(VLOOKUP($C408,'PORTIFÓLIO'!C:V,4,0),"")</f>
        <v/>
      </c>
      <c r="G408" s="206">
        <f>IFERROR(VLOOKUP($C408,'PORTIFÓLIO'!C:V,5,0),"")</f>
        <v/>
      </c>
      <c r="H408" s="247">
        <f t="array" ref="H408">IFERROR(INDEX('PORTIFÓLIO'!$H$4:$H$433,MATCH($C408,'PORTIFÓLIO'!$C$4:$C$433,0)),"")</f>
        <v/>
      </c>
      <c r="I408" s="257" t="n"/>
      <c r="J408" s="209">
        <f>I408*$B$2</f>
        <v/>
      </c>
      <c r="K408" s="248">
        <f t="array" ref="K408">IFERROR(I408*INDEX('PORTIFÓLIO'!$S$4:$S$433,MATCH($C408,'PORTIFÓLIO'!$C$4:$C$433,0)),"")</f>
        <v/>
      </c>
      <c r="L408" s="248">
        <f t="array" ref="L408">IFERROR(J408*INDEX('PORTIFÓLIO'!$S$4:$S$433,MATCH($C408,'PORTIFÓLIO'!$C$4:$C$433,0)),"")</f>
        <v/>
      </c>
      <c r="M408" s="238" t="n"/>
      <c r="N408" s="177" t="n"/>
      <c r="O408" s="177" t="n"/>
      <c r="P408" s="177" t="n"/>
      <c r="Q408" s="177" t="n"/>
      <c r="R408" s="177" t="n"/>
      <c r="S408" s="177" t="n"/>
      <c r="T408" s="177" t="n"/>
      <c r="U408" s="177" t="n"/>
      <c r="V408" s="177" t="n"/>
      <c r="W408" s="177" t="n"/>
    </row>
    <row r="409" ht="15.75" customHeight="1" s="297">
      <c r="A409" s="221" t="inlineStr">
        <is>
          <t>OPERAÇÃO 11</t>
        </is>
      </c>
      <c r="B409" s="197" t="n"/>
      <c r="C409" s="196" t="n"/>
      <c r="D409" s="198" t="n"/>
      <c r="E409" s="196" t="n"/>
      <c r="F409" s="196" t="n"/>
      <c r="G409" s="199" t="n"/>
      <c r="H409" s="199" t="n"/>
      <c r="I409" s="252" t="n"/>
      <c r="J409" s="202" t="n"/>
      <c r="K409" s="203">
        <f>SUBTOTAL(9,K410:K423)</f>
        <v/>
      </c>
      <c r="L409" s="203">
        <f>SUBTOTAL(9,L410:L423)</f>
        <v/>
      </c>
      <c r="M409" s="238" t="n"/>
      <c r="N409" s="177" t="n"/>
      <c r="O409" s="177" t="n"/>
      <c r="P409" s="177" t="n"/>
      <c r="Q409" s="177" t="n"/>
      <c r="R409" s="177" t="n"/>
      <c r="S409" s="177" t="n"/>
      <c r="T409" s="177" t="n"/>
      <c r="U409" s="177" t="n"/>
      <c r="V409" s="177" t="n"/>
      <c r="W409" s="177" t="n"/>
    </row>
    <row r="410" outlineLevel="1" ht="15.75" customHeight="1" s="297">
      <c r="A410" s="191" t="n"/>
      <c r="B410" s="204" t="n"/>
      <c r="C410" s="191" t="n"/>
      <c r="D410" s="205">
        <f>IFERROR(VLOOKUP($C410,'PORTIFÓLIO'!C:V,2,0),"")</f>
        <v/>
      </c>
      <c r="E410" s="190">
        <f>IFERROR(VLOOKUP($C410,'PORTIFÓLIO'!C:V,3,0),"")</f>
        <v/>
      </c>
      <c r="F410" s="190">
        <f>IFERROR(VLOOKUP($C410,'PORTIFÓLIO'!C:V,4,0),"")</f>
        <v/>
      </c>
      <c r="G410" s="206">
        <f>IFERROR(VLOOKUP($C410,'PORTIFÓLIO'!C:V,5,0),"")</f>
        <v/>
      </c>
      <c r="H410" s="247">
        <f t="array" ref="H410">IFERROR(INDEX('PORTIFÓLIO'!$H$4:$H$433,MATCH($C410,'PORTIFÓLIO'!$C$4:$C$433,0)),"")</f>
        <v/>
      </c>
      <c r="I410" s="253" t="n"/>
      <c r="J410" s="209">
        <f>I410*$B$2</f>
        <v/>
      </c>
      <c r="K410" s="248">
        <f t="array" ref="K410">IFERROR(I410*INDEX('PORTIFÓLIO'!$S$4:$S$433,MATCH($C410,'PORTIFÓLIO'!$C$4:$C$433,0)),"")</f>
        <v/>
      </c>
      <c r="L410" s="248">
        <f t="array" ref="L410">IFERROR(J410*INDEX('PORTIFÓLIO'!$S$4:$S$433,MATCH($C410,'PORTIFÓLIO'!$C$4:$C$433,0)),"")</f>
        <v/>
      </c>
      <c r="M410" s="238" t="n"/>
      <c r="N410" s="177" t="n"/>
      <c r="O410" s="177" t="n"/>
      <c r="P410" s="177" t="n"/>
      <c r="Q410" s="177" t="n"/>
      <c r="R410" s="177" t="n"/>
      <c r="S410" s="177" t="n"/>
      <c r="T410" s="177" t="n"/>
      <c r="U410" s="177" t="n"/>
      <c r="V410" s="177" t="n"/>
      <c r="W410" s="177" t="n"/>
    </row>
    <row r="411" outlineLevel="1" ht="15.75" customHeight="1" s="297">
      <c r="A411" s="190" t="n"/>
      <c r="B411" s="204" t="n"/>
      <c r="C411" s="191" t="n"/>
      <c r="D411" s="205">
        <f>IFERROR(VLOOKUP($C411,'PORTIFÓLIO'!C:V,2,0),"")</f>
        <v/>
      </c>
      <c r="E411" s="190">
        <f>IFERROR(VLOOKUP($C411,'PORTIFÓLIO'!C:V,3,0),"")</f>
        <v/>
      </c>
      <c r="F411" s="190">
        <f>IFERROR(VLOOKUP($C411,'PORTIFÓLIO'!C:V,4,0),"")</f>
        <v/>
      </c>
      <c r="G411" s="206">
        <f>IFERROR(VLOOKUP($C411,'PORTIFÓLIO'!C:V,5,0),"")</f>
        <v/>
      </c>
      <c r="H411" s="247">
        <f t="array" ref="H411">IFERROR(INDEX('PORTIFÓLIO'!$H$4:$H$433,MATCH($C411,'PORTIFÓLIO'!$C$4:$C$433,0)),"")</f>
        <v/>
      </c>
      <c r="I411" s="257" t="n"/>
      <c r="J411" s="209">
        <f>I411*$B$2</f>
        <v/>
      </c>
      <c r="K411" s="248">
        <f t="array" ref="K411">IFERROR(I411*INDEX('PORTIFÓLIO'!$S$4:$S$433,MATCH($C411,'PORTIFÓLIO'!$C$4:$C$433,0)),"")</f>
        <v/>
      </c>
      <c r="L411" s="248">
        <f t="array" ref="L411">IFERROR(J411*INDEX('PORTIFÓLIO'!$S$4:$S$433,MATCH($C411,'PORTIFÓLIO'!$C$4:$C$433,0)),"")</f>
        <v/>
      </c>
      <c r="M411" s="238" t="n"/>
      <c r="N411" s="177" t="n"/>
      <c r="O411" s="177" t="n"/>
      <c r="P411" s="177" t="n"/>
      <c r="Q411" s="177" t="n"/>
      <c r="R411" s="177" t="n"/>
      <c r="S411" s="177" t="n"/>
      <c r="T411" s="177" t="n"/>
      <c r="U411" s="177" t="n"/>
      <c r="V411" s="177" t="n"/>
      <c r="W411" s="177" t="n"/>
    </row>
    <row r="412" outlineLevel="1" ht="15.75" customHeight="1" s="297">
      <c r="A412" s="190" t="n"/>
      <c r="B412" s="204" t="n"/>
      <c r="C412" s="191" t="n"/>
      <c r="D412" s="205">
        <f>IFERROR(VLOOKUP($C412,'PORTIFÓLIO'!C:V,2,0),"")</f>
        <v/>
      </c>
      <c r="E412" s="190">
        <f>IFERROR(VLOOKUP($C412,'PORTIFÓLIO'!C:V,3,0),"")</f>
        <v/>
      </c>
      <c r="F412" s="190">
        <f>IFERROR(VLOOKUP($C412,'PORTIFÓLIO'!C:V,4,0),"")</f>
        <v/>
      </c>
      <c r="G412" s="206">
        <f>IFERROR(VLOOKUP($C412,'PORTIFÓLIO'!C:V,5,0),"")</f>
        <v/>
      </c>
      <c r="H412" s="247">
        <f t="array" ref="H412">IFERROR(INDEX('PORTIFÓLIO'!$H$4:$H$433,MATCH($C412,'PORTIFÓLIO'!$C$4:$C$433,0)),"")</f>
        <v/>
      </c>
      <c r="I412" s="257" t="n"/>
      <c r="J412" s="209">
        <f>I412*$B$2</f>
        <v/>
      </c>
      <c r="K412" s="248">
        <f t="array" ref="K412">IFERROR(I412*INDEX('PORTIFÓLIO'!$S$4:$S$433,MATCH($C412,'PORTIFÓLIO'!$C$4:$C$433,0)),"")</f>
        <v/>
      </c>
      <c r="L412" s="248">
        <f t="array" ref="L412">IFERROR(J412*INDEX('PORTIFÓLIO'!$S$4:$S$433,MATCH($C412,'PORTIFÓLIO'!$C$4:$C$433,0)),"")</f>
        <v/>
      </c>
      <c r="M412" s="238" t="n"/>
      <c r="N412" s="177" t="n"/>
      <c r="O412" s="177" t="n"/>
      <c r="P412" s="177" t="n"/>
      <c r="Q412" s="177" t="n"/>
      <c r="R412" s="177" t="n"/>
      <c r="S412" s="177" t="n"/>
      <c r="T412" s="177" t="n"/>
      <c r="U412" s="177" t="n"/>
      <c r="V412" s="177" t="n"/>
      <c r="W412" s="177" t="n"/>
    </row>
    <row r="413" outlineLevel="1" ht="15.75" customHeight="1" s="297">
      <c r="A413" s="190" t="n"/>
      <c r="B413" s="204" t="n"/>
      <c r="C413" s="191" t="n"/>
      <c r="D413" s="205">
        <f>IFERROR(VLOOKUP($C413,'PORTIFÓLIO'!C:V,2,0),"")</f>
        <v/>
      </c>
      <c r="E413" s="190">
        <f>IFERROR(VLOOKUP($C413,'PORTIFÓLIO'!C:V,3,0),"")</f>
        <v/>
      </c>
      <c r="F413" s="190">
        <f>IFERROR(VLOOKUP($C413,'PORTIFÓLIO'!C:V,4,0),"")</f>
        <v/>
      </c>
      <c r="G413" s="206">
        <f>IFERROR(VLOOKUP($C413,'PORTIFÓLIO'!C:V,5,0),"")</f>
        <v/>
      </c>
      <c r="H413" s="247">
        <f t="array" ref="H413">IFERROR(INDEX('PORTIFÓLIO'!$H$4:$H$433,MATCH($C413,'PORTIFÓLIO'!$C$4:$C$433,0)),"")</f>
        <v/>
      </c>
      <c r="I413" s="257" t="n"/>
      <c r="J413" s="209">
        <f>I413*$B$2</f>
        <v/>
      </c>
      <c r="K413" s="248">
        <f t="array" ref="K413">IFERROR(I413*INDEX('PORTIFÓLIO'!$S$4:$S$433,MATCH($C413,'PORTIFÓLIO'!$C$4:$C$433,0)),"")</f>
        <v/>
      </c>
      <c r="L413" s="248">
        <f t="array" ref="L413">IFERROR(J413*INDEX('PORTIFÓLIO'!$S$4:$S$433,MATCH($C413,'PORTIFÓLIO'!$C$4:$C$433,0)),"")</f>
        <v/>
      </c>
      <c r="M413" s="238" t="n"/>
      <c r="N413" s="177" t="n"/>
      <c r="O413" s="177" t="n"/>
      <c r="P413" s="177" t="n"/>
      <c r="Q413" s="177" t="n"/>
      <c r="R413" s="177" t="n"/>
      <c r="S413" s="177" t="n"/>
      <c r="T413" s="177" t="n"/>
      <c r="U413" s="177" t="n"/>
      <c r="V413" s="177" t="n"/>
      <c r="W413" s="177" t="n"/>
    </row>
    <row r="414" outlineLevel="1" ht="15.75" customHeight="1" s="297">
      <c r="A414" s="190" t="n"/>
      <c r="B414" s="204" t="n"/>
      <c r="C414" s="191" t="n"/>
      <c r="D414" s="205">
        <f>IFERROR(VLOOKUP($C414,'PORTIFÓLIO'!C:V,2,0),"")</f>
        <v/>
      </c>
      <c r="E414" s="190">
        <f>IFERROR(VLOOKUP($C414,'PORTIFÓLIO'!C:V,3,0),"")</f>
        <v/>
      </c>
      <c r="F414" s="190">
        <f>IFERROR(VLOOKUP($C414,'PORTIFÓLIO'!C:V,4,0),"")</f>
        <v/>
      </c>
      <c r="G414" s="206">
        <f>IFERROR(VLOOKUP($C414,'PORTIFÓLIO'!C:V,5,0),"")</f>
        <v/>
      </c>
      <c r="H414" s="247">
        <f t="array" ref="H414">IFERROR(INDEX('PORTIFÓLIO'!$H$4:$H$433,MATCH($C414,'PORTIFÓLIO'!$C$4:$C$433,0)),"")</f>
        <v/>
      </c>
      <c r="I414" s="257" t="n"/>
      <c r="J414" s="209">
        <f>I414*$B$2</f>
        <v/>
      </c>
      <c r="K414" s="248">
        <f t="array" ref="K414">IFERROR(I414*INDEX('PORTIFÓLIO'!$S$4:$S$433,MATCH($C414,'PORTIFÓLIO'!$C$4:$C$433,0)),"")</f>
        <v/>
      </c>
      <c r="L414" s="248">
        <f t="array" ref="L414">IFERROR(J414*INDEX('PORTIFÓLIO'!$S$4:$S$433,MATCH($C414,'PORTIFÓLIO'!$C$4:$C$433,0)),"")</f>
        <v/>
      </c>
      <c r="M414" s="238" t="n"/>
      <c r="N414" s="177" t="n"/>
      <c r="O414" s="177" t="n"/>
      <c r="P414" s="177" t="n"/>
      <c r="Q414" s="177" t="n"/>
      <c r="R414" s="177" t="n"/>
      <c r="S414" s="177" t="n"/>
      <c r="T414" s="177" t="n"/>
      <c r="U414" s="177" t="n"/>
      <c r="V414" s="177" t="n"/>
      <c r="W414" s="177" t="n"/>
    </row>
    <row r="415" outlineLevel="1" ht="15.75" customHeight="1" s="297">
      <c r="A415" s="190" t="n"/>
      <c r="B415" s="204" t="n"/>
      <c r="C415" s="191" t="n"/>
      <c r="D415" s="205">
        <f>IFERROR(VLOOKUP($C415,'PORTIFÓLIO'!C:V,2,0),"")</f>
        <v/>
      </c>
      <c r="E415" s="190">
        <f>IFERROR(VLOOKUP($C415,'PORTIFÓLIO'!C:V,3,0),"")</f>
        <v/>
      </c>
      <c r="F415" s="190">
        <f>IFERROR(VLOOKUP($C415,'PORTIFÓLIO'!C:V,4,0),"")</f>
        <v/>
      </c>
      <c r="G415" s="206">
        <f>IFERROR(VLOOKUP($C415,'PORTIFÓLIO'!C:V,5,0),"")</f>
        <v/>
      </c>
      <c r="H415" s="247">
        <f t="array" ref="H415">IFERROR(INDEX('PORTIFÓLIO'!$H$4:$H$433,MATCH($C415,'PORTIFÓLIO'!$C$4:$C$433,0)),"")</f>
        <v/>
      </c>
      <c r="I415" s="257" t="n"/>
      <c r="J415" s="209">
        <f>I415*$B$2</f>
        <v/>
      </c>
      <c r="K415" s="248">
        <f t="array" ref="K415">IFERROR(I415*INDEX('PORTIFÓLIO'!$S$4:$S$433,MATCH($C415,'PORTIFÓLIO'!$C$4:$C$433,0)),"")</f>
        <v/>
      </c>
      <c r="L415" s="248">
        <f t="array" ref="L415">IFERROR(J415*INDEX('PORTIFÓLIO'!$S$4:$S$433,MATCH($C415,'PORTIFÓLIO'!$C$4:$C$433,0)),"")</f>
        <v/>
      </c>
      <c r="M415" s="238" t="n"/>
      <c r="N415" s="177" t="n"/>
      <c r="O415" s="177" t="n"/>
      <c r="P415" s="177" t="n"/>
      <c r="Q415" s="177" t="n"/>
      <c r="R415" s="177" t="n"/>
      <c r="S415" s="177" t="n"/>
      <c r="T415" s="177" t="n"/>
      <c r="U415" s="177" t="n"/>
      <c r="V415" s="177" t="n"/>
      <c r="W415" s="177" t="n"/>
    </row>
    <row r="416" outlineLevel="1" ht="15.75" customHeight="1" s="297">
      <c r="A416" s="190" t="n"/>
      <c r="B416" s="204" t="n"/>
      <c r="C416" s="191" t="n"/>
      <c r="D416" s="205">
        <f>IFERROR(VLOOKUP($C416,'PORTIFÓLIO'!C:V,2,0),"")</f>
        <v/>
      </c>
      <c r="E416" s="190">
        <f>IFERROR(VLOOKUP($C416,'PORTIFÓLIO'!C:V,3,0),"")</f>
        <v/>
      </c>
      <c r="F416" s="190">
        <f>IFERROR(VLOOKUP($C416,'PORTIFÓLIO'!C:V,4,0),"")</f>
        <v/>
      </c>
      <c r="G416" s="206">
        <f>IFERROR(VLOOKUP($C416,'PORTIFÓLIO'!C:V,5,0),"")</f>
        <v/>
      </c>
      <c r="H416" s="247">
        <f t="array" ref="H416">IFERROR(INDEX('PORTIFÓLIO'!$H$4:$H$433,MATCH($C416,'PORTIFÓLIO'!$C$4:$C$433,0)),"")</f>
        <v/>
      </c>
      <c r="I416" s="257" t="n"/>
      <c r="J416" s="209">
        <f>I416*$B$2</f>
        <v/>
      </c>
      <c r="K416" s="248">
        <f t="array" ref="K416">IFERROR(I416*INDEX('PORTIFÓLIO'!$S$4:$S$433,MATCH($C416,'PORTIFÓLIO'!$C$4:$C$433,0)),"")</f>
        <v/>
      </c>
      <c r="L416" s="248">
        <f t="array" ref="L416">IFERROR(J416*INDEX('PORTIFÓLIO'!$S$4:$S$433,MATCH($C416,'PORTIFÓLIO'!$C$4:$C$433,0)),"")</f>
        <v/>
      </c>
      <c r="M416" s="238" t="n"/>
      <c r="N416" s="177" t="n"/>
      <c r="O416" s="177" t="n"/>
      <c r="P416" s="177" t="n"/>
      <c r="Q416" s="177" t="n"/>
      <c r="R416" s="177" t="n"/>
      <c r="S416" s="177" t="n"/>
      <c r="T416" s="177" t="n"/>
      <c r="U416" s="177" t="n"/>
      <c r="V416" s="177" t="n"/>
      <c r="W416" s="177" t="n"/>
    </row>
    <row r="417" outlineLevel="1" ht="15.75" customHeight="1" s="297">
      <c r="A417" s="190" t="n"/>
      <c r="B417" s="204" t="n"/>
      <c r="C417" s="191" t="n"/>
      <c r="D417" s="205">
        <f>IFERROR(VLOOKUP($C417,'PORTIFÓLIO'!C:V,2,0),"")</f>
        <v/>
      </c>
      <c r="E417" s="190">
        <f>IFERROR(VLOOKUP($C417,'PORTIFÓLIO'!C:V,3,0),"")</f>
        <v/>
      </c>
      <c r="F417" s="190">
        <f>IFERROR(VLOOKUP($C417,'PORTIFÓLIO'!C:V,4,0),"")</f>
        <v/>
      </c>
      <c r="G417" s="206">
        <f>IFERROR(VLOOKUP($C417,'PORTIFÓLIO'!C:V,5,0),"")</f>
        <v/>
      </c>
      <c r="H417" s="247">
        <f t="array" ref="H417">IFERROR(INDEX('PORTIFÓLIO'!$H$4:$H$433,MATCH($C417,'PORTIFÓLIO'!$C$4:$C$433,0)),"")</f>
        <v/>
      </c>
      <c r="I417" s="257" t="n"/>
      <c r="J417" s="209">
        <f>I417*$B$2</f>
        <v/>
      </c>
      <c r="K417" s="248">
        <f t="array" ref="K417">IFERROR(I417*INDEX('PORTIFÓLIO'!$S$4:$S$433,MATCH($C417,'PORTIFÓLIO'!$C$4:$C$433,0)),"")</f>
        <v/>
      </c>
      <c r="L417" s="248">
        <f t="array" ref="L417">IFERROR(J417*INDEX('PORTIFÓLIO'!$S$4:$S$433,MATCH($C417,'PORTIFÓLIO'!$C$4:$C$433,0)),"")</f>
        <v/>
      </c>
      <c r="M417" s="238" t="n"/>
      <c r="N417" s="177" t="n"/>
      <c r="O417" s="177" t="n"/>
      <c r="P417" s="177" t="n"/>
      <c r="Q417" s="177" t="n"/>
      <c r="R417" s="177" t="n"/>
      <c r="S417" s="177" t="n"/>
      <c r="T417" s="177" t="n"/>
      <c r="U417" s="177" t="n"/>
      <c r="V417" s="177" t="n"/>
      <c r="W417" s="177" t="n"/>
    </row>
    <row r="418" outlineLevel="1" ht="15.75" customHeight="1" s="297">
      <c r="A418" s="190" t="n"/>
      <c r="B418" s="204" t="n"/>
      <c r="C418" s="191" t="n"/>
      <c r="D418" s="205">
        <f>IFERROR(VLOOKUP($C418,'PORTIFÓLIO'!C:V,2,0),"")</f>
        <v/>
      </c>
      <c r="E418" s="190">
        <f>IFERROR(VLOOKUP($C418,'PORTIFÓLIO'!C:V,3,0),"")</f>
        <v/>
      </c>
      <c r="F418" s="190">
        <f>IFERROR(VLOOKUP($C418,'PORTIFÓLIO'!C:V,4,0),"")</f>
        <v/>
      </c>
      <c r="G418" s="206">
        <f>IFERROR(VLOOKUP($C418,'PORTIFÓLIO'!C:V,5,0),"")</f>
        <v/>
      </c>
      <c r="H418" s="247">
        <f t="array" ref="H418">IFERROR(INDEX('PORTIFÓLIO'!$H$4:$H$433,MATCH($C418,'PORTIFÓLIO'!$C$4:$C$433,0)),"")</f>
        <v/>
      </c>
      <c r="I418" s="253" t="n"/>
      <c r="J418" s="209">
        <f>I418*$B$2</f>
        <v/>
      </c>
      <c r="K418" s="248">
        <f t="array" ref="K418">IFERROR(I418*INDEX('PORTIFÓLIO'!$S$4:$S$433,MATCH($C418,'PORTIFÓLIO'!$C$4:$C$433,0)),"")</f>
        <v/>
      </c>
      <c r="L418" s="248">
        <f t="array" ref="L418">IFERROR(J418*INDEX('PORTIFÓLIO'!$S$4:$S$433,MATCH($C418,'PORTIFÓLIO'!$C$4:$C$433,0)),"")</f>
        <v/>
      </c>
      <c r="M418" s="238" t="n"/>
      <c r="N418" s="177" t="n"/>
      <c r="O418" s="177" t="n"/>
      <c r="P418" s="177" t="n"/>
      <c r="Q418" s="177" t="n"/>
      <c r="R418" s="177" t="n"/>
      <c r="S418" s="177" t="n"/>
      <c r="T418" s="177" t="n"/>
      <c r="U418" s="177" t="n"/>
      <c r="V418" s="177" t="n"/>
      <c r="W418" s="177" t="n"/>
    </row>
    <row r="419" outlineLevel="1" ht="15.75" customHeight="1" s="297">
      <c r="A419" s="190" t="n"/>
      <c r="B419" s="204" t="n"/>
      <c r="C419" s="191" t="n"/>
      <c r="D419" s="205">
        <f>IFERROR(VLOOKUP($C419,'PORTIFÓLIO'!C:V,2,0),"")</f>
        <v/>
      </c>
      <c r="E419" s="190">
        <f>IFERROR(VLOOKUP($C419,'PORTIFÓLIO'!C:V,3,0),"")</f>
        <v/>
      </c>
      <c r="F419" s="190">
        <f>IFERROR(VLOOKUP($C419,'PORTIFÓLIO'!C:V,4,0),"")</f>
        <v/>
      </c>
      <c r="G419" s="206">
        <f>IFERROR(VLOOKUP($C419,'PORTIFÓLIO'!C:V,5,0),"")</f>
        <v/>
      </c>
      <c r="H419" s="247">
        <f t="array" ref="H419">IFERROR(INDEX('PORTIFÓLIO'!$H$4:$H$433,MATCH($C419,'PORTIFÓLIO'!$C$4:$C$433,0)),"")</f>
        <v/>
      </c>
      <c r="I419" s="257" t="n"/>
      <c r="J419" s="209">
        <f>I419*$B$2</f>
        <v/>
      </c>
      <c r="K419" s="248">
        <f t="array" ref="K419">IFERROR(I419*INDEX('PORTIFÓLIO'!$S$4:$S$433,MATCH($C419,'PORTIFÓLIO'!$C$4:$C$433,0)),"")</f>
        <v/>
      </c>
      <c r="L419" s="248">
        <f t="array" ref="L419">IFERROR(J419*INDEX('PORTIFÓLIO'!$S$4:$S$433,MATCH($C419,'PORTIFÓLIO'!$C$4:$C$433,0)),"")</f>
        <v/>
      </c>
      <c r="M419" s="238" t="n"/>
      <c r="N419" s="177" t="n"/>
      <c r="O419" s="177" t="n"/>
      <c r="P419" s="177" t="n"/>
      <c r="Q419" s="177" t="n"/>
      <c r="R419" s="177" t="n"/>
      <c r="S419" s="177" t="n"/>
      <c r="T419" s="177" t="n"/>
      <c r="U419" s="177" t="n"/>
      <c r="V419" s="177" t="n"/>
      <c r="W419" s="177" t="n"/>
    </row>
    <row r="420" outlineLevel="1" ht="15.75" customHeight="1" s="297">
      <c r="A420" s="190" t="n"/>
      <c r="B420" s="204" t="n"/>
      <c r="C420" s="191" t="n"/>
      <c r="D420" s="205">
        <f>IFERROR(VLOOKUP($C420,'PORTIFÓLIO'!C:V,2,0),"")</f>
        <v/>
      </c>
      <c r="E420" s="190">
        <f>IFERROR(VLOOKUP($C420,'PORTIFÓLIO'!C:V,3,0),"")</f>
        <v/>
      </c>
      <c r="F420" s="190">
        <f>IFERROR(VLOOKUP($C420,'PORTIFÓLIO'!C:V,4,0),"")</f>
        <v/>
      </c>
      <c r="G420" s="206">
        <f>IFERROR(VLOOKUP($C420,'PORTIFÓLIO'!C:V,5,0),"")</f>
        <v/>
      </c>
      <c r="H420" s="247">
        <f t="array" ref="H420">IFERROR(INDEX('PORTIFÓLIO'!$H$4:$H$433,MATCH($C420,'PORTIFÓLIO'!$C$4:$C$433,0)),"")</f>
        <v/>
      </c>
      <c r="I420" s="257" t="n"/>
      <c r="J420" s="209">
        <f>I420*$B$2</f>
        <v/>
      </c>
      <c r="K420" s="248">
        <f t="array" ref="K420">IFERROR(I420*INDEX('PORTIFÓLIO'!$S$4:$S$433,MATCH($C420,'PORTIFÓLIO'!$C$4:$C$433,0)),"")</f>
        <v/>
      </c>
      <c r="L420" s="248">
        <f t="array" ref="L420">IFERROR(J420*INDEX('PORTIFÓLIO'!$S$4:$S$433,MATCH($C420,'PORTIFÓLIO'!$C$4:$C$433,0)),"")</f>
        <v/>
      </c>
      <c r="M420" s="238" t="n"/>
      <c r="N420" s="177" t="n"/>
      <c r="O420" s="177" t="n"/>
      <c r="P420" s="177" t="n"/>
      <c r="Q420" s="177" t="n"/>
      <c r="R420" s="177" t="n"/>
      <c r="S420" s="177" t="n"/>
      <c r="T420" s="177" t="n"/>
      <c r="U420" s="177" t="n"/>
      <c r="V420" s="177" t="n"/>
      <c r="W420" s="177" t="n"/>
    </row>
    <row r="421" outlineLevel="1" ht="15.75" customHeight="1" s="297">
      <c r="A421" s="190" t="n"/>
      <c r="B421" s="204" t="n"/>
      <c r="C421" s="191" t="n"/>
      <c r="D421" s="205">
        <f>IFERROR(VLOOKUP($C421,'PORTIFÓLIO'!C:V,2,0),"")</f>
        <v/>
      </c>
      <c r="E421" s="190">
        <f>IFERROR(VLOOKUP($C421,'PORTIFÓLIO'!C:V,3,0),"")</f>
        <v/>
      </c>
      <c r="F421" s="190">
        <f>IFERROR(VLOOKUP($C421,'PORTIFÓLIO'!C:V,4,0),"")</f>
        <v/>
      </c>
      <c r="G421" s="206">
        <f>IFERROR(VLOOKUP($C421,'PORTIFÓLIO'!C:V,5,0),"")</f>
        <v/>
      </c>
      <c r="H421" s="247">
        <f t="array" ref="H421">IFERROR(INDEX('PORTIFÓLIO'!$H$4:$H$433,MATCH($C421,'PORTIFÓLIO'!$C$4:$C$433,0)),"")</f>
        <v/>
      </c>
      <c r="I421" s="257" t="n"/>
      <c r="J421" s="209">
        <f>I421*$B$2</f>
        <v/>
      </c>
      <c r="K421" s="248">
        <f t="array" ref="K421">IFERROR(I421*INDEX('PORTIFÓLIO'!$S$4:$S$433,MATCH($C421,'PORTIFÓLIO'!$C$4:$C$433,0)),"")</f>
        <v/>
      </c>
      <c r="L421" s="248">
        <f t="array" ref="L421">IFERROR(J421*INDEX('PORTIFÓLIO'!$S$4:$S$433,MATCH($C421,'PORTIFÓLIO'!$C$4:$C$433,0)),"")</f>
        <v/>
      </c>
      <c r="M421" s="238" t="n"/>
      <c r="N421" s="177" t="n"/>
      <c r="O421" s="177" t="n"/>
      <c r="P421" s="177" t="n"/>
      <c r="Q421" s="177" t="n"/>
      <c r="R421" s="177" t="n"/>
      <c r="S421" s="177" t="n"/>
      <c r="T421" s="177" t="n"/>
      <c r="U421" s="177" t="n"/>
      <c r="V421" s="177" t="n"/>
      <c r="W421" s="177" t="n"/>
    </row>
    <row r="422" outlineLevel="1" ht="15.75" customHeight="1" s="297">
      <c r="A422" s="190" t="n"/>
      <c r="B422" s="204" t="n"/>
      <c r="C422" s="191" t="n"/>
      <c r="D422" s="205">
        <f>IFERROR(VLOOKUP($C422,'PORTIFÓLIO'!C:V,2,0),"")</f>
        <v/>
      </c>
      <c r="E422" s="190">
        <f>IFERROR(VLOOKUP($C422,'PORTIFÓLIO'!C:V,3,0),"")</f>
        <v/>
      </c>
      <c r="F422" s="190">
        <f>IFERROR(VLOOKUP($C422,'PORTIFÓLIO'!C:V,4,0),"")</f>
        <v/>
      </c>
      <c r="G422" s="206">
        <f>IFERROR(VLOOKUP($C422,'PORTIFÓLIO'!C:V,5,0),"")</f>
        <v/>
      </c>
      <c r="H422" s="247">
        <f t="array" ref="H422">IFERROR(INDEX('PORTIFÓLIO'!$H$4:$H$433,MATCH($C422,'PORTIFÓLIO'!$C$4:$C$433,0)),"")</f>
        <v/>
      </c>
      <c r="I422" s="257" t="n"/>
      <c r="J422" s="209">
        <f>I422*$B$2</f>
        <v/>
      </c>
      <c r="K422" s="248">
        <f t="array" ref="K422">IFERROR(I422*INDEX('PORTIFÓLIO'!$S$4:$S$433,MATCH($C422,'PORTIFÓLIO'!$C$4:$C$433,0)),"")</f>
        <v/>
      </c>
      <c r="L422" s="248">
        <f t="array" ref="L422">IFERROR(J422*INDEX('PORTIFÓLIO'!$S$4:$S$433,MATCH($C422,'PORTIFÓLIO'!$C$4:$C$433,0)),"")</f>
        <v/>
      </c>
      <c r="M422" s="238" t="n"/>
      <c r="N422" s="177" t="n"/>
      <c r="O422" s="177" t="n"/>
      <c r="P422" s="177" t="n"/>
      <c r="Q422" s="177" t="n"/>
      <c r="R422" s="177" t="n"/>
      <c r="S422" s="177" t="n"/>
      <c r="T422" s="177" t="n"/>
      <c r="U422" s="177" t="n"/>
      <c r="V422" s="177" t="n"/>
      <c r="W422" s="177" t="n"/>
    </row>
    <row r="423" outlineLevel="1" ht="15.75" customHeight="1" s="297">
      <c r="A423" s="190" t="n"/>
      <c r="B423" s="204" t="n"/>
      <c r="C423" s="191" t="n"/>
      <c r="D423" s="205">
        <f>IFERROR(VLOOKUP($C423,'PORTIFÓLIO'!C:V,2,0),"")</f>
        <v/>
      </c>
      <c r="E423" s="190">
        <f>IFERROR(VLOOKUP($C423,'PORTIFÓLIO'!C:V,3,0),"")</f>
        <v/>
      </c>
      <c r="F423" s="190">
        <f>IFERROR(VLOOKUP($C423,'PORTIFÓLIO'!C:V,4,0),"")</f>
        <v/>
      </c>
      <c r="G423" s="206">
        <f>IFERROR(VLOOKUP($C423,'PORTIFÓLIO'!C:V,5,0),"")</f>
        <v/>
      </c>
      <c r="H423" s="247">
        <f t="array" ref="H423">IFERROR(INDEX('PORTIFÓLIO'!$H$4:$H$433,MATCH($C423,'PORTIFÓLIO'!$C$4:$C$433,0)),"")</f>
        <v/>
      </c>
      <c r="I423" s="257" t="n"/>
      <c r="J423" s="209">
        <f>I423*$B$2</f>
        <v/>
      </c>
      <c r="K423" s="248">
        <f t="array" ref="K423">IFERROR(I423*INDEX('PORTIFÓLIO'!$S$4:$S$433,MATCH($C423,'PORTIFÓLIO'!$C$4:$C$433,0)),"")</f>
        <v/>
      </c>
      <c r="L423" s="248">
        <f t="array" ref="L423">IFERROR(J423*INDEX('PORTIFÓLIO'!$S$4:$S$433,MATCH($C423,'PORTIFÓLIO'!$C$4:$C$433,0)),"")</f>
        <v/>
      </c>
      <c r="M423" s="238" t="n"/>
      <c r="N423" s="177" t="n"/>
      <c r="O423" s="177" t="n"/>
      <c r="P423" s="177" t="n"/>
      <c r="Q423" s="177" t="n"/>
      <c r="R423" s="177" t="n"/>
      <c r="S423" s="177" t="n"/>
      <c r="T423" s="177" t="n"/>
      <c r="U423" s="177" t="n"/>
      <c r="V423" s="177" t="n"/>
      <c r="W423" s="177" t="n"/>
    </row>
    <row r="424" outlineLevel="1" ht="15.75" customHeight="1" s="297">
      <c r="A424" s="190" t="n"/>
      <c r="B424" s="204" t="n"/>
      <c r="C424" s="191" t="n"/>
      <c r="D424" s="205">
        <f>IFERROR(VLOOKUP($C424,'PORTIFÓLIO'!C:V,2,0),"")</f>
        <v/>
      </c>
      <c r="E424" s="190">
        <f>IFERROR(VLOOKUP($C424,'PORTIFÓLIO'!C:V,3,0),"")</f>
        <v/>
      </c>
      <c r="F424" s="190">
        <f>IFERROR(VLOOKUP($C424,'PORTIFÓLIO'!C:V,4,0),"")</f>
        <v/>
      </c>
      <c r="G424" s="206">
        <f>IFERROR(VLOOKUP($C424,'PORTIFÓLIO'!C:V,5,0),"")</f>
        <v/>
      </c>
      <c r="H424" s="247">
        <f t="array" ref="H424">IFERROR(INDEX('PORTIFÓLIO'!$H$4:$H$433,MATCH($C424,'PORTIFÓLIO'!$C$4:$C$433,0)),"")</f>
        <v/>
      </c>
      <c r="I424" s="257" t="n"/>
      <c r="J424" s="209">
        <f>I424*$B$2</f>
        <v/>
      </c>
      <c r="K424" s="248">
        <f t="array" ref="K424">IFERROR(I424*INDEX('PORTIFÓLIO'!$S$4:$S$433,MATCH($C424,'PORTIFÓLIO'!$C$4:$C$433,0)),"")</f>
        <v/>
      </c>
      <c r="L424" s="248">
        <f t="array" ref="L424">IFERROR(J424*INDEX('PORTIFÓLIO'!$S$4:$S$433,MATCH($C424,'PORTIFÓLIO'!$C$4:$C$433,0)),"")</f>
        <v/>
      </c>
      <c r="M424" s="238" t="n"/>
      <c r="N424" s="177" t="n"/>
      <c r="O424" s="177" t="n"/>
      <c r="P424" s="177" t="n"/>
      <c r="Q424" s="177" t="n"/>
      <c r="R424" s="177" t="n"/>
      <c r="S424" s="177" t="n"/>
      <c r="T424" s="177" t="n"/>
      <c r="U424" s="177" t="n"/>
      <c r="V424" s="177" t="n"/>
      <c r="W424" s="177" t="n"/>
    </row>
    <row r="425" outlineLevel="1" ht="15.75" customHeight="1" s="297">
      <c r="A425" s="190" t="n"/>
      <c r="B425" s="238" t="n"/>
      <c r="C425" s="190" t="n"/>
      <c r="D425" s="205">
        <f>IFERROR(VLOOKUP($C425,'PORTIFÓLIO'!C:V,2,0),"")</f>
        <v/>
      </c>
      <c r="E425" s="190">
        <f>IFERROR(VLOOKUP($C425,'PORTIFÓLIO'!C:V,3,0),"")</f>
        <v/>
      </c>
      <c r="F425" s="190">
        <f>IFERROR(VLOOKUP($C425,'PORTIFÓLIO'!C:V,4,0),"")</f>
        <v/>
      </c>
      <c r="G425" s="206">
        <f>IFERROR(VLOOKUP($C425,'PORTIFÓLIO'!C:V,5,0),"")</f>
        <v/>
      </c>
      <c r="H425" s="247">
        <f t="array" ref="H425">IFERROR(INDEX('PORTIFÓLIO'!$H$4:$H$433,MATCH($C425,'PORTIFÓLIO'!$C$4:$C$433,0)),"")</f>
        <v/>
      </c>
      <c r="I425" s="257" t="n"/>
      <c r="J425" s="209">
        <f>I425*$B$2</f>
        <v/>
      </c>
      <c r="K425" s="248">
        <f t="array" ref="K425">IFERROR(I425*INDEX('PORTIFÓLIO'!$S$4:$S$433,MATCH($C425,'PORTIFÓLIO'!$C$4:$C$433,0)),"")</f>
        <v/>
      </c>
      <c r="L425" s="248">
        <f t="array" ref="L425">IFERROR(J425*INDEX('PORTIFÓLIO'!$S$4:$S$433,MATCH($C425,'PORTIFÓLIO'!$C$4:$C$433,0)),"")</f>
        <v/>
      </c>
      <c r="M425" s="238" t="n"/>
      <c r="N425" s="177" t="n"/>
      <c r="O425" s="177" t="n"/>
      <c r="P425" s="177" t="n"/>
      <c r="Q425" s="177" t="n"/>
      <c r="R425" s="177" t="n"/>
      <c r="S425" s="177" t="n"/>
      <c r="T425" s="177" t="n"/>
      <c r="U425" s="177" t="n"/>
      <c r="V425" s="177" t="n"/>
      <c r="W425" s="177" t="n"/>
    </row>
    <row r="426" outlineLevel="1" ht="15.75" customHeight="1" s="297">
      <c r="A426" s="190" t="n"/>
      <c r="B426" s="238" t="n"/>
      <c r="C426" s="190" t="n"/>
      <c r="D426" s="205">
        <f>IFERROR(VLOOKUP($C426,'PORTIFÓLIO'!C:V,2,0),"")</f>
        <v/>
      </c>
      <c r="E426" s="190">
        <f>IFERROR(VLOOKUP($C426,'PORTIFÓLIO'!C:V,3,0),"")</f>
        <v/>
      </c>
      <c r="F426" s="190">
        <f>IFERROR(VLOOKUP($C426,'PORTIFÓLIO'!C:V,4,0),"")</f>
        <v/>
      </c>
      <c r="G426" s="206">
        <f>IFERROR(VLOOKUP($C426,'PORTIFÓLIO'!C:V,5,0),"")</f>
        <v/>
      </c>
      <c r="H426" s="247">
        <f t="array" ref="H426">IFERROR(INDEX('PORTIFÓLIO'!$H$4:$H$433,MATCH($C426,'PORTIFÓLIO'!$C$4:$C$433,0)),"")</f>
        <v/>
      </c>
      <c r="I426" s="257" t="n"/>
      <c r="J426" s="209">
        <f>I426*$B$2</f>
        <v/>
      </c>
      <c r="K426" s="248">
        <f t="array" ref="K426">IFERROR(I426*INDEX('PORTIFÓLIO'!$S$4:$S$433,MATCH($C426,'PORTIFÓLIO'!$C$4:$C$433,0)),"")</f>
        <v/>
      </c>
      <c r="L426" s="248">
        <f t="array" ref="L426">IFERROR(J426*INDEX('PORTIFÓLIO'!$S$4:$S$433,MATCH($C426,'PORTIFÓLIO'!$C$4:$C$433,0)),"")</f>
        <v/>
      </c>
      <c r="M426" s="238" t="n"/>
      <c r="N426" s="177" t="n"/>
      <c r="O426" s="177" t="n"/>
      <c r="P426" s="177" t="n"/>
      <c r="Q426" s="177" t="n"/>
      <c r="R426" s="177" t="n"/>
      <c r="S426" s="177" t="n"/>
      <c r="T426" s="177" t="n"/>
      <c r="U426" s="177" t="n"/>
      <c r="V426" s="177" t="n"/>
      <c r="W426" s="177" t="n"/>
    </row>
    <row r="427" ht="15.75" customHeight="1" s="297">
      <c r="A427" s="221" t="inlineStr">
        <is>
          <t>OPERAÇÃO 12</t>
        </is>
      </c>
      <c r="B427" s="197" t="n"/>
      <c r="C427" s="196" t="n"/>
      <c r="D427" s="198" t="n"/>
      <c r="E427" s="196" t="n"/>
      <c r="F427" s="196" t="n"/>
      <c r="G427" s="199" t="n"/>
      <c r="H427" s="199" t="n"/>
      <c r="I427" s="252" t="n"/>
      <c r="J427" s="202" t="n"/>
      <c r="K427" s="203">
        <f>SUBTOTAL(9,K428:K441)</f>
        <v/>
      </c>
      <c r="L427" s="203">
        <f>SUBTOTAL(9,L428:L441)</f>
        <v/>
      </c>
      <c r="M427" s="238" t="n"/>
      <c r="N427" s="177" t="n"/>
      <c r="O427" s="177" t="n"/>
      <c r="P427" s="177" t="n"/>
      <c r="Q427" s="177" t="n"/>
      <c r="R427" s="177" t="n"/>
      <c r="S427" s="177" t="n"/>
      <c r="T427" s="177" t="n"/>
      <c r="U427" s="177" t="n"/>
      <c r="V427" s="177" t="n"/>
      <c r="W427" s="177" t="n"/>
    </row>
    <row r="428" outlineLevel="1" ht="15.75" customHeight="1" s="297">
      <c r="A428" s="191" t="n"/>
      <c r="B428" s="204" t="n"/>
      <c r="C428" s="191" t="n"/>
      <c r="D428" s="205">
        <f>IFERROR(VLOOKUP($C428,'PORTIFÓLIO'!C:V,2,0),"")</f>
        <v/>
      </c>
      <c r="E428" s="190">
        <f>IFERROR(VLOOKUP($C428,'PORTIFÓLIO'!C:V,3,0),"")</f>
        <v/>
      </c>
      <c r="F428" s="190">
        <f>IFERROR(VLOOKUP($C428,'PORTIFÓLIO'!C:V,4,0),"")</f>
        <v/>
      </c>
      <c r="G428" s="206">
        <f>IFERROR(VLOOKUP($C428,'PORTIFÓLIO'!C:V,5,0),"")</f>
        <v/>
      </c>
      <c r="H428" s="247">
        <f t="array" ref="H428">IFERROR(INDEX('PORTIFÓLIO'!$H$4:$H$433,MATCH($C428,'PORTIFÓLIO'!$C$4:$C$433,0)),"")</f>
        <v/>
      </c>
      <c r="I428" s="257" t="n"/>
      <c r="J428" s="209">
        <f>I428*$B$2</f>
        <v/>
      </c>
      <c r="K428" s="248">
        <f t="array" ref="K428">IFERROR(I428*INDEX('PORTIFÓLIO'!$S$4:$S$433,MATCH($C428,'PORTIFÓLIO'!$C$4:$C$433,0)),"")</f>
        <v/>
      </c>
      <c r="L428" s="248">
        <f t="array" ref="L428">IFERROR(J428*INDEX('PORTIFÓLIO'!$S$4:$S$433,MATCH($C428,'PORTIFÓLIO'!$C$4:$C$433,0)),"")</f>
        <v/>
      </c>
      <c r="M428" s="238" t="n"/>
      <c r="N428" s="177" t="n"/>
      <c r="O428" s="177" t="n"/>
      <c r="P428" s="177" t="n"/>
      <c r="Q428" s="177" t="n"/>
      <c r="R428" s="177" t="n"/>
      <c r="S428" s="177" t="n"/>
      <c r="T428" s="177" t="n"/>
      <c r="U428" s="177" t="n"/>
      <c r="V428" s="177" t="n"/>
      <c r="W428" s="177" t="n"/>
    </row>
    <row r="429" outlineLevel="1" ht="15.75" customHeight="1" s="297">
      <c r="A429" s="190" t="n"/>
      <c r="B429" s="204" t="n"/>
      <c r="C429" s="191" t="n"/>
      <c r="D429" s="205">
        <f>IFERROR(VLOOKUP($C429,'PORTIFÓLIO'!C:V,2,0),"")</f>
        <v/>
      </c>
      <c r="E429" s="190">
        <f>IFERROR(VLOOKUP($C429,'PORTIFÓLIO'!C:V,3,0),"")</f>
        <v/>
      </c>
      <c r="F429" s="190">
        <f>IFERROR(VLOOKUP($C429,'PORTIFÓLIO'!C:V,4,0),"")</f>
        <v/>
      </c>
      <c r="G429" s="206">
        <f>IFERROR(VLOOKUP($C429,'PORTIFÓLIO'!C:V,5,0),"")</f>
        <v/>
      </c>
      <c r="H429" s="247">
        <f t="array" ref="H429">IFERROR(INDEX('PORTIFÓLIO'!$H$4:$H$433,MATCH($C429,'PORTIFÓLIO'!$C$4:$C$433,0)),"")</f>
        <v/>
      </c>
      <c r="I429" s="257" t="n"/>
      <c r="J429" s="209">
        <f>I429*$B$2</f>
        <v/>
      </c>
      <c r="K429" s="248">
        <f t="array" ref="K429">IFERROR(I429*INDEX('PORTIFÓLIO'!$S$4:$S$433,MATCH($C429,'PORTIFÓLIO'!$C$4:$C$433,0)),"")</f>
        <v/>
      </c>
      <c r="L429" s="248">
        <f t="array" ref="L429">IFERROR(J429*INDEX('PORTIFÓLIO'!$S$4:$S$433,MATCH($C429,'PORTIFÓLIO'!$C$4:$C$433,0)),"")</f>
        <v/>
      </c>
      <c r="M429" s="238" t="n"/>
      <c r="N429" s="177" t="n"/>
      <c r="O429" s="177" t="n"/>
      <c r="P429" s="177" t="n"/>
      <c r="Q429" s="177" t="n"/>
      <c r="R429" s="177" t="n"/>
      <c r="S429" s="177" t="n"/>
      <c r="T429" s="177" t="n"/>
      <c r="U429" s="177" t="n"/>
      <c r="V429" s="177" t="n"/>
      <c r="W429" s="177" t="n"/>
    </row>
    <row r="430" outlineLevel="1" ht="15.75" customHeight="1" s="297">
      <c r="A430" s="190" t="n"/>
      <c r="B430" s="204" t="n"/>
      <c r="C430" s="191" t="n"/>
      <c r="D430" s="205">
        <f>IFERROR(VLOOKUP($C430,'PORTIFÓLIO'!C:V,2,0),"")</f>
        <v/>
      </c>
      <c r="E430" s="190">
        <f>IFERROR(VLOOKUP($C430,'PORTIFÓLIO'!C:V,3,0),"")</f>
        <v/>
      </c>
      <c r="F430" s="190">
        <f>IFERROR(VLOOKUP($C430,'PORTIFÓLIO'!C:V,4,0),"")</f>
        <v/>
      </c>
      <c r="G430" s="206">
        <f>IFERROR(VLOOKUP($C430,'PORTIFÓLIO'!C:V,5,0),"")</f>
        <v/>
      </c>
      <c r="H430" s="247">
        <f t="array" ref="H430">IFERROR(INDEX('PORTIFÓLIO'!$H$4:$H$433,MATCH($C430,'PORTIFÓLIO'!$C$4:$C$433,0)),"")</f>
        <v/>
      </c>
      <c r="I430" s="257" t="n"/>
      <c r="J430" s="209">
        <f>I430*$B$2</f>
        <v/>
      </c>
      <c r="K430" s="248">
        <f t="array" ref="K430">IFERROR(I430*INDEX('PORTIFÓLIO'!$S$4:$S$433,MATCH($C430,'PORTIFÓLIO'!$C$4:$C$433,0)),"")</f>
        <v/>
      </c>
      <c r="L430" s="248">
        <f t="array" ref="L430">IFERROR(J430*INDEX('PORTIFÓLIO'!$S$4:$S$433,MATCH($C430,'PORTIFÓLIO'!$C$4:$C$433,0)),"")</f>
        <v/>
      </c>
      <c r="M430" s="238" t="n"/>
      <c r="N430" s="177" t="n"/>
      <c r="O430" s="177" t="n"/>
      <c r="P430" s="177" t="n"/>
      <c r="Q430" s="177" t="n"/>
      <c r="R430" s="177" t="n"/>
      <c r="S430" s="177" t="n"/>
      <c r="T430" s="177" t="n"/>
      <c r="U430" s="177" t="n"/>
      <c r="V430" s="177" t="n"/>
      <c r="W430" s="177" t="n"/>
    </row>
    <row r="431" outlineLevel="1" ht="15.75" customHeight="1" s="297">
      <c r="A431" s="190" t="n"/>
      <c r="B431" s="204" t="n"/>
      <c r="C431" s="191" t="n"/>
      <c r="D431" s="205">
        <f>IFERROR(VLOOKUP($C431,'PORTIFÓLIO'!C:V,2,0),"")</f>
        <v/>
      </c>
      <c r="E431" s="190">
        <f>IFERROR(VLOOKUP($C431,'PORTIFÓLIO'!C:V,3,0),"")</f>
        <v/>
      </c>
      <c r="F431" s="190">
        <f>IFERROR(VLOOKUP($C431,'PORTIFÓLIO'!C:V,4,0),"")</f>
        <v/>
      </c>
      <c r="G431" s="206">
        <f>IFERROR(VLOOKUP($C431,'PORTIFÓLIO'!C:V,5,0),"")</f>
        <v/>
      </c>
      <c r="H431" s="247">
        <f t="array" ref="H431">IFERROR(INDEX('PORTIFÓLIO'!$H$4:$H$433,MATCH($C431,'PORTIFÓLIO'!$C$4:$C$433,0)),"")</f>
        <v/>
      </c>
      <c r="I431" s="257" t="n"/>
      <c r="J431" s="209">
        <f>I431*$B$2</f>
        <v/>
      </c>
      <c r="K431" s="248">
        <f t="array" ref="K431">IFERROR(I431*INDEX('PORTIFÓLIO'!$S$4:$S$433,MATCH($C431,'PORTIFÓLIO'!$C$4:$C$433,0)),"")</f>
        <v/>
      </c>
      <c r="L431" s="248">
        <f t="array" ref="L431">IFERROR(J431*INDEX('PORTIFÓLIO'!$S$4:$S$433,MATCH($C431,'PORTIFÓLIO'!$C$4:$C$433,0)),"")</f>
        <v/>
      </c>
      <c r="M431" s="238" t="n"/>
      <c r="N431" s="177" t="n"/>
      <c r="O431" s="177" t="n"/>
      <c r="P431" s="177" t="n"/>
      <c r="Q431" s="177" t="n"/>
      <c r="R431" s="177" t="n"/>
      <c r="S431" s="177" t="n"/>
      <c r="T431" s="177" t="n"/>
      <c r="U431" s="177" t="n"/>
      <c r="V431" s="177" t="n"/>
      <c r="W431" s="177" t="n"/>
    </row>
    <row r="432" outlineLevel="1" ht="15.75" customHeight="1" s="297">
      <c r="A432" s="190" t="n"/>
      <c r="B432" s="204" t="n"/>
      <c r="C432" s="191" t="n"/>
      <c r="D432" s="205">
        <f>IFERROR(VLOOKUP($C432,'PORTIFÓLIO'!C:V,2,0),"")</f>
        <v/>
      </c>
      <c r="E432" s="190">
        <f>IFERROR(VLOOKUP($C432,'PORTIFÓLIO'!C:V,3,0),"")</f>
        <v/>
      </c>
      <c r="F432" s="190">
        <f>IFERROR(VLOOKUP($C432,'PORTIFÓLIO'!C:V,4,0),"")</f>
        <v/>
      </c>
      <c r="G432" s="206">
        <f>IFERROR(VLOOKUP($C432,'PORTIFÓLIO'!C:V,5,0),"")</f>
        <v/>
      </c>
      <c r="H432" s="247">
        <f t="array" ref="H432">IFERROR(INDEX('PORTIFÓLIO'!$H$4:$H$433,MATCH($C432,'PORTIFÓLIO'!$C$4:$C$433,0)),"")</f>
        <v/>
      </c>
      <c r="I432" s="257" t="n"/>
      <c r="J432" s="209">
        <f>I432*$B$2</f>
        <v/>
      </c>
      <c r="K432" s="248">
        <f t="array" ref="K432">IFERROR(I432*INDEX('PORTIFÓLIO'!$S$4:$S$433,MATCH($C432,'PORTIFÓLIO'!$C$4:$C$433,0)),"")</f>
        <v/>
      </c>
      <c r="L432" s="248">
        <f t="array" ref="L432">IFERROR(J432*INDEX('PORTIFÓLIO'!$S$4:$S$433,MATCH($C432,'PORTIFÓLIO'!$C$4:$C$433,0)),"")</f>
        <v/>
      </c>
      <c r="M432" s="238" t="n"/>
      <c r="N432" s="177" t="n"/>
      <c r="O432" s="177" t="n"/>
      <c r="P432" s="177" t="n"/>
      <c r="Q432" s="177" t="n"/>
      <c r="R432" s="177" t="n"/>
      <c r="S432" s="177" t="n"/>
      <c r="T432" s="177" t="n"/>
      <c r="U432" s="177" t="n"/>
      <c r="V432" s="177" t="n"/>
      <c r="W432" s="177" t="n"/>
    </row>
    <row r="433" outlineLevel="1" ht="15.75" customHeight="1" s="297">
      <c r="A433" s="190" t="n"/>
      <c r="B433" s="204" t="n"/>
      <c r="C433" s="191" t="n"/>
      <c r="D433" s="205">
        <f>IFERROR(VLOOKUP($C433,'PORTIFÓLIO'!C:V,2,0),"")</f>
        <v/>
      </c>
      <c r="E433" s="190">
        <f>IFERROR(VLOOKUP($C433,'PORTIFÓLIO'!C:V,3,0),"")</f>
        <v/>
      </c>
      <c r="F433" s="190">
        <f>IFERROR(VLOOKUP($C433,'PORTIFÓLIO'!C:V,4,0),"")</f>
        <v/>
      </c>
      <c r="G433" s="206">
        <f>IFERROR(VLOOKUP($C433,'PORTIFÓLIO'!C:V,5,0),"")</f>
        <v/>
      </c>
      <c r="H433" s="247">
        <f t="array" ref="H433">IFERROR(INDEX('PORTIFÓLIO'!$H$4:$H$433,MATCH($C433,'PORTIFÓLIO'!$C$4:$C$433,0)),"")</f>
        <v/>
      </c>
      <c r="I433" s="257" t="n"/>
      <c r="J433" s="209">
        <f>I433*$B$2</f>
        <v/>
      </c>
      <c r="K433" s="248">
        <f t="array" ref="K433">IFERROR(I433*INDEX('PORTIFÓLIO'!$S$4:$S$433,MATCH($C433,'PORTIFÓLIO'!$C$4:$C$433,0)),"")</f>
        <v/>
      </c>
      <c r="L433" s="248">
        <f t="array" ref="L433">IFERROR(J433*INDEX('PORTIFÓLIO'!$S$4:$S$433,MATCH($C433,'PORTIFÓLIO'!$C$4:$C$433,0)),"")</f>
        <v/>
      </c>
      <c r="M433" s="238" t="n"/>
      <c r="N433" s="177" t="n"/>
      <c r="O433" s="177" t="n"/>
      <c r="P433" s="177" t="n"/>
      <c r="Q433" s="177" t="n"/>
      <c r="R433" s="177" t="n"/>
      <c r="S433" s="177" t="n"/>
      <c r="T433" s="177" t="n"/>
      <c r="U433" s="177" t="n"/>
      <c r="V433" s="177" t="n"/>
      <c r="W433" s="177" t="n"/>
    </row>
    <row r="434" outlineLevel="1" ht="15.75" customHeight="1" s="297">
      <c r="A434" s="190" t="n"/>
      <c r="B434" s="204" t="n"/>
      <c r="C434" s="191" t="n"/>
      <c r="D434" s="205">
        <f>IFERROR(VLOOKUP($C434,'PORTIFÓLIO'!C:V,2,0),"")</f>
        <v/>
      </c>
      <c r="E434" s="190">
        <f>IFERROR(VLOOKUP($C434,'PORTIFÓLIO'!C:V,3,0),"")</f>
        <v/>
      </c>
      <c r="F434" s="190">
        <f>IFERROR(VLOOKUP($C434,'PORTIFÓLIO'!C:V,4,0),"")</f>
        <v/>
      </c>
      <c r="G434" s="206">
        <f>IFERROR(VLOOKUP($C434,'PORTIFÓLIO'!C:V,5,0),"")</f>
        <v/>
      </c>
      <c r="H434" s="247">
        <f t="array" ref="H434">IFERROR(INDEX('PORTIFÓLIO'!$H$4:$H$433,MATCH($C434,'PORTIFÓLIO'!$C$4:$C$433,0)),"")</f>
        <v/>
      </c>
      <c r="I434" s="257" t="n"/>
      <c r="J434" s="209">
        <f>I434*$B$2</f>
        <v/>
      </c>
      <c r="K434" s="248">
        <f t="array" ref="K434">IFERROR(I434*INDEX('PORTIFÓLIO'!$S$4:$S$433,MATCH($C434,'PORTIFÓLIO'!$C$4:$C$433,0)),"")</f>
        <v/>
      </c>
      <c r="L434" s="248">
        <f t="array" ref="L434">IFERROR(J434*INDEX('PORTIFÓLIO'!$S$4:$S$433,MATCH($C434,'PORTIFÓLIO'!$C$4:$C$433,0)),"")</f>
        <v/>
      </c>
      <c r="M434" s="238" t="n"/>
      <c r="N434" s="177" t="n"/>
      <c r="O434" s="177" t="n"/>
      <c r="P434" s="177" t="n"/>
      <c r="Q434" s="177" t="n"/>
      <c r="R434" s="177" t="n"/>
      <c r="S434" s="177" t="n"/>
      <c r="T434" s="177" t="n"/>
      <c r="U434" s="177" t="n"/>
      <c r="V434" s="177" t="n"/>
      <c r="W434" s="177" t="n"/>
    </row>
    <row r="435" outlineLevel="1" ht="15.75" customHeight="1" s="297">
      <c r="A435" s="190" t="n"/>
      <c r="B435" s="204" t="n"/>
      <c r="C435" s="191" t="n"/>
      <c r="D435" s="205">
        <f>IFERROR(VLOOKUP($C435,'PORTIFÓLIO'!C:V,2,0),"")</f>
        <v/>
      </c>
      <c r="E435" s="190">
        <f>IFERROR(VLOOKUP($C435,'PORTIFÓLIO'!C:V,3,0),"")</f>
        <v/>
      </c>
      <c r="F435" s="190">
        <f>IFERROR(VLOOKUP($C435,'PORTIFÓLIO'!C:V,4,0),"")</f>
        <v/>
      </c>
      <c r="G435" s="206">
        <f>IFERROR(VLOOKUP($C435,'PORTIFÓLIO'!C:V,5,0),"")</f>
        <v/>
      </c>
      <c r="H435" s="247">
        <f t="array" ref="H435">IFERROR(INDEX('PORTIFÓLIO'!$H$4:$H$433,MATCH($C435,'PORTIFÓLIO'!$C$4:$C$433,0)),"")</f>
        <v/>
      </c>
      <c r="I435" s="257" t="n"/>
      <c r="J435" s="209">
        <f>I435*$B$2</f>
        <v/>
      </c>
      <c r="K435" s="248">
        <f t="array" ref="K435">IFERROR(I435*INDEX('PORTIFÓLIO'!$S$4:$S$433,MATCH($C435,'PORTIFÓLIO'!$C$4:$C$433,0)),"")</f>
        <v/>
      </c>
      <c r="L435" s="248">
        <f t="array" ref="L435">IFERROR(J435*INDEX('PORTIFÓLIO'!$S$4:$S$433,MATCH($C435,'PORTIFÓLIO'!$C$4:$C$433,0)),"")</f>
        <v/>
      </c>
      <c r="M435" s="238" t="n"/>
      <c r="N435" s="177" t="n"/>
      <c r="O435" s="177" t="n"/>
      <c r="P435" s="177" t="n"/>
      <c r="Q435" s="177" t="n"/>
      <c r="R435" s="177" t="n"/>
      <c r="S435" s="177" t="n"/>
      <c r="T435" s="177" t="n"/>
      <c r="U435" s="177" t="n"/>
      <c r="V435" s="177" t="n"/>
      <c r="W435" s="177" t="n"/>
    </row>
    <row r="436" outlineLevel="1" ht="15.75" customHeight="1" s="297">
      <c r="A436" s="190" t="n"/>
      <c r="B436" s="204" t="n"/>
      <c r="C436" s="191" t="n"/>
      <c r="D436" s="205">
        <f>IFERROR(VLOOKUP($C436,'PORTIFÓLIO'!C:V,2,0),"")</f>
        <v/>
      </c>
      <c r="E436" s="190">
        <f>IFERROR(VLOOKUP($C436,'PORTIFÓLIO'!C:V,3,0),"")</f>
        <v/>
      </c>
      <c r="F436" s="190">
        <f>IFERROR(VLOOKUP($C436,'PORTIFÓLIO'!C:V,4,0),"")</f>
        <v/>
      </c>
      <c r="G436" s="206">
        <f>IFERROR(VLOOKUP($C436,'PORTIFÓLIO'!C:V,5,0),"")</f>
        <v/>
      </c>
      <c r="H436" s="247">
        <f t="array" ref="H436">IFERROR(INDEX('PORTIFÓLIO'!$H$4:$H$433,MATCH($C436,'PORTIFÓLIO'!$C$4:$C$433,0)),"")</f>
        <v/>
      </c>
      <c r="I436" s="257" t="n"/>
      <c r="J436" s="209">
        <f>I436*$B$2</f>
        <v/>
      </c>
      <c r="K436" s="248">
        <f t="array" ref="K436">IFERROR(I436*INDEX('PORTIFÓLIO'!$S$4:$S$433,MATCH($C436,'PORTIFÓLIO'!$C$4:$C$433,0)),"")</f>
        <v/>
      </c>
      <c r="L436" s="248">
        <f t="array" ref="L436">IFERROR(J436*INDEX('PORTIFÓLIO'!$S$4:$S$433,MATCH($C436,'PORTIFÓLIO'!$C$4:$C$433,0)),"")</f>
        <v/>
      </c>
      <c r="M436" s="238" t="n"/>
      <c r="N436" s="177" t="n"/>
      <c r="O436" s="177" t="n"/>
      <c r="P436" s="177" t="n"/>
      <c r="Q436" s="177" t="n"/>
      <c r="R436" s="177" t="n"/>
      <c r="S436" s="177" t="n"/>
      <c r="T436" s="177" t="n"/>
      <c r="U436" s="177" t="n"/>
      <c r="V436" s="177" t="n"/>
      <c r="W436" s="177" t="n"/>
    </row>
    <row r="437" outlineLevel="1" ht="15.75" customHeight="1" s="297">
      <c r="A437" s="190" t="n"/>
      <c r="B437" s="204" t="n"/>
      <c r="C437" s="191" t="n"/>
      <c r="D437" s="205">
        <f>IFERROR(VLOOKUP($C437,'PORTIFÓLIO'!C:V,2,0),"")</f>
        <v/>
      </c>
      <c r="E437" s="190">
        <f>IFERROR(VLOOKUP($C437,'PORTIFÓLIO'!C:V,3,0),"")</f>
        <v/>
      </c>
      <c r="F437" s="190">
        <f>IFERROR(VLOOKUP($C437,'PORTIFÓLIO'!C:V,4,0),"")</f>
        <v/>
      </c>
      <c r="G437" s="206">
        <f>IFERROR(VLOOKUP($C437,'PORTIFÓLIO'!C:V,5,0),"")</f>
        <v/>
      </c>
      <c r="H437" s="247">
        <f t="array" ref="H437">IFERROR(INDEX('PORTIFÓLIO'!$H$4:$H$433,MATCH($C437,'PORTIFÓLIO'!$C$4:$C$433,0)),"")</f>
        <v/>
      </c>
      <c r="I437" s="257" t="n"/>
      <c r="J437" s="209">
        <f>I437*$B$2</f>
        <v/>
      </c>
      <c r="K437" s="248">
        <f t="array" ref="K437">IFERROR(I437*INDEX('PORTIFÓLIO'!$S$4:$S$433,MATCH($C437,'PORTIFÓLIO'!$C$4:$C$433,0)),"")</f>
        <v/>
      </c>
      <c r="L437" s="248">
        <f t="array" ref="L437">IFERROR(J437*INDEX('PORTIFÓLIO'!$S$4:$S$433,MATCH($C437,'PORTIFÓLIO'!$C$4:$C$433,0)),"")</f>
        <v/>
      </c>
      <c r="M437" s="238" t="n"/>
      <c r="N437" s="177" t="n"/>
      <c r="O437" s="177" t="n"/>
      <c r="P437" s="177" t="n"/>
      <c r="Q437" s="177" t="n"/>
      <c r="R437" s="177" t="n"/>
      <c r="S437" s="177" t="n"/>
      <c r="T437" s="177" t="n"/>
      <c r="U437" s="177" t="n"/>
      <c r="V437" s="177" t="n"/>
      <c r="W437" s="177" t="n"/>
    </row>
    <row r="438" outlineLevel="1" ht="15.75" customHeight="1" s="297">
      <c r="A438" s="190" t="n"/>
      <c r="B438" s="204" t="n"/>
      <c r="C438" s="191" t="n"/>
      <c r="D438" s="205">
        <f>IFERROR(VLOOKUP($C438,'PORTIFÓLIO'!C:V,2,0),"")</f>
        <v/>
      </c>
      <c r="E438" s="190">
        <f>IFERROR(VLOOKUP($C438,'PORTIFÓLIO'!C:V,3,0),"")</f>
        <v/>
      </c>
      <c r="F438" s="190">
        <f>IFERROR(VLOOKUP($C438,'PORTIFÓLIO'!C:V,4,0),"")</f>
        <v/>
      </c>
      <c r="G438" s="206">
        <f>IFERROR(VLOOKUP($C438,'PORTIFÓLIO'!C:V,5,0),"")</f>
        <v/>
      </c>
      <c r="H438" s="247">
        <f t="array" ref="H438">IFERROR(INDEX('PORTIFÓLIO'!$H$4:$H$433,MATCH($C438,'PORTIFÓLIO'!$C$4:$C$433,0)),"")</f>
        <v/>
      </c>
      <c r="I438" s="257" t="n"/>
      <c r="J438" s="209">
        <f>I438*$B$2</f>
        <v/>
      </c>
      <c r="K438" s="248">
        <f t="array" ref="K438">IFERROR(I438*INDEX('PORTIFÓLIO'!$S$4:$S$433,MATCH($C438,'PORTIFÓLIO'!$C$4:$C$433,0)),"")</f>
        <v/>
      </c>
      <c r="L438" s="248">
        <f t="array" ref="L438">IFERROR(J438*INDEX('PORTIFÓLIO'!$S$4:$S$433,MATCH($C438,'PORTIFÓLIO'!$C$4:$C$433,0)),"")</f>
        <v/>
      </c>
      <c r="M438" s="238" t="n"/>
      <c r="N438" s="177" t="n"/>
      <c r="O438" s="177" t="n"/>
      <c r="P438" s="177" t="n"/>
      <c r="Q438" s="177" t="n"/>
      <c r="R438" s="177" t="n"/>
      <c r="S438" s="177" t="n"/>
      <c r="T438" s="177" t="n"/>
      <c r="U438" s="177" t="n"/>
      <c r="V438" s="177" t="n"/>
      <c r="W438" s="177" t="n"/>
    </row>
    <row r="439" outlineLevel="1" ht="15.75" customHeight="1" s="297">
      <c r="A439" s="190" t="n"/>
      <c r="B439" s="204" t="n"/>
      <c r="C439" s="191" t="n"/>
      <c r="D439" s="205">
        <f>IFERROR(VLOOKUP($C439,'PORTIFÓLIO'!C:V,2,0),"")</f>
        <v/>
      </c>
      <c r="E439" s="190">
        <f>IFERROR(VLOOKUP($C439,'PORTIFÓLIO'!C:V,3,0),"")</f>
        <v/>
      </c>
      <c r="F439" s="190">
        <f>IFERROR(VLOOKUP($C439,'PORTIFÓLIO'!C:V,4,0),"")</f>
        <v/>
      </c>
      <c r="G439" s="206">
        <f>IFERROR(VLOOKUP($C439,'PORTIFÓLIO'!C:V,5,0),"")</f>
        <v/>
      </c>
      <c r="H439" s="247">
        <f t="array" ref="H439">IFERROR(INDEX('PORTIFÓLIO'!$H$4:$H$433,MATCH($C439,'PORTIFÓLIO'!$C$4:$C$433,0)),"")</f>
        <v/>
      </c>
      <c r="I439" s="257" t="n"/>
      <c r="J439" s="209">
        <f>I439*$B$2</f>
        <v/>
      </c>
      <c r="K439" s="248">
        <f t="array" ref="K439">IFERROR(I439*INDEX('PORTIFÓLIO'!$S$4:$S$433,MATCH($C439,'PORTIFÓLIO'!$C$4:$C$433,0)),"")</f>
        <v/>
      </c>
      <c r="L439" s="248">
        <f t="array" ref="L439">IFERROR(J439*INDEX('PORTIFÓLIO'!$S$4:$S$433,MATCH($C439,'PORTIFÓLIO'!$C$4:$C$433,0)),"")</f>
        <v/>
      </c>
      <c r="M439" s="238" t="n"/>
      <c r="N439" s="177" t="n"/>
      <c r="O439" s="177" t="n"/>
      <c r="P439" s="177" t="n"/>
      <c r="Q439" s="177" t="n"/>
      <c r="R439" s="177" t="n"/>
      <c r="S439" s="177" t="n"/>
      <c r="T439" s="177" t="n"/>
      <c r="U439" s="177" t="n"/>
      <c r="V439" s="177" t="n"/>
      <c r="W439" s="177" t="n"/>
    </row>
    <row r="440" outlineLevel="1" ht="15.75" customHeight="1" s="297">
      <c r="A440" s="190" t="n"/>
      <c r="B440" s="204" t="n"/>
      <c r="C440" s="191" t="n"/>
      <c r="D440" s="205">
        <f>IFERROR(VLOOKUP($C440,'PORTIFÓLIO'!C:V,2,0),"")</f>
        <v/>
      </c>
      <c r="E440" s="190">
        <f>IFERROR(VLOOKUP($C440,'PORTIFÓLIO'!C:V,3,0),"")</f>
        <v/>
      </c>
      <c r="F440" s="190">
        <f>IFERROR(VLOOKUP($C440,'PORTIFÓLIO'!C:V,4,0),"")</f>
        <v/>
      </c>
      <c r="G440" s="206">
        <f>IFERROR(VLOOKUP($C440,'PORTIFÓLIO'!C:V,5,0),"")</f>
        <v/>
      </c>
      <c r="H440" s="247">
        <f t="array" ref="H440">IFERROR(INDEX('PORTIFÓLIO'!$H$4:$H$433,MATCH($C440,'PORTIFÓLIO'!$C$4:$C$433,0)),"")</f>
        <v/>
      </c>
      <c r="I440" s="257" t="n"/>
      <c r="J440" s="209">
        <f>I440*$B$2</f>
        <v/>
      </c>
      <c r="K440" s="248">
        <f t="array" ref="K440">IFERROR(I440*INDEX('PORTIFÓLIO'!$S$4:$S$433,MATCH($C440,'PORTIFÓLIO'!$C$4:$C$433,0)),"")</f>
        <v/>
      </c>
      <c r="L440" s="248">
        <f t="array" ref="L440">IFERROR(J440*INDEX('PORTIFÓLIO'!$S$4:$S$433,MATCH($C440,'PORTIFÓLIO'!$C$4:$C$433,0)),"")</f>
        <v/>
      </c>
      <c r="M440" s="238" t="n"/>
      <c r="N440" s="177" t="n"/>
      <c r="O440" s="177" t="n"/>
      <c r="P440" s="177" t="n"/>
      <c r="Q440" s="177" t="n"/>
      <c r="R440" s="177" t="n"/>
      <c r="S440" s="177" t="n"/>
      <c r="T440" s="177" t="n"/>
      <c r="U440" s="177" t="n"/>
      <c r="V440" s="177" t="n"/>
      <c r="W440" s="177" t="n"/>
    </row>
    <row r="441" outlineLevel="1" ht="15.75" customHeight="1" s="297">
      <c r="A441" s="190" t="n"/>
      <c r="B441" s="204" t="n"/>
      <c r="C441" s="191" t="n"/>
      <c r="D441" s="205">
        <f>IFERROR(VLOOKUP($C441,'PORTIFÓLIO'!C:V,2,0),"")</f>
        <v/>
      </c>
      <c r="E441" s="190">
        <f>IFERROR(VLOOKUP($C441,'PORTIFÓLIO'!C:V,3,0),"")</f>
        <v/>
      </c>
      <c r="F441" s="190">
        <f>IFERROR(VLOOKUP($C441,'PORTIFÓLIO'!C:V,4,0),"")</f>
        <v/>
      </c>
      <c r="G441" s="206">
        <f>IFERROR(VLOOKUP($C441,'PORTIFÓLIO'!C:V,5,0),"")</f>
        <v/>
      </c>
      <c r="H441" s="247">
        <f t="array" ref="H441">IFERROR(INDEX('PORTIFÓLIO'!$H$4:$H$433,MATCH($C441,'PORTIFÓLIO'!$C$4:$C$433,0)),"")</f>
        <v/>
      </c>
      <c r="I441" s="257" t="n"/>
      <c r="J441" s="209">
        <f>I441*$B$2</f>
        <v/>
      </c>
      <c r="K441" s="248">
        <f t="array" ref="K441">IFERROR(I441*INDEX('PORTIFÓLIO'!$S$4:$S$433,MATCH($C441,'PORTIFÓLIO'!$C$4:$C$433,0)),"")</f>
        <v/>
      </c>
      <c r="L441" s="248">
        <f t="array" ref="L441">IFERROR(J441*INDEX('PORTIFÓLIO'!$S$4:$S$433,MATCH($C441,'PORTIFÓLIO'!$C$4:$C$433,0)),"")</f>
        <v/>
      </c>
      <c r="M441" s="238" t="n"/>
      <c r="N441" s="177" t="n"/>
      <c r="O441" s="177" t="n"/>
      <c r="P441" s="177" t="n"/>
      <c r="Q441" s="177" t="n"/>
      <c r="R441" s="177" t="n"/>
      <c r="S441" s="177" t="n"/>
      <c r="T441" s="177" t="n"/>
      <c r="U441" s="177" t="n"/>
      <c r="V441" s="177" t="n"/>
      <c r="W441" s="177" t="n"/>
    </row>
    <row r="442" outlineLevel="1" ht="15.75" customHeight="1" s="297">
      <c r="A442" s="190" t="n"/>
      <c r="B442" s="204" t="n"/>
      <c r="C442" s="191" t="n"/>
      <c r="D442" s="205">
        <f>IFERROR(VLOOKUP($C442,'PORTIFÓLIO'!C:V,2,0),"")</f>
        <v/>
      </c>
      <c r="E442" s="190">
        <f>IFERROR(VLOOKUP($C442,'PORTIFÓLIO'!C:V,3,0),"")</f>
        <v/>
      </c>
      <c r="F442" s="190">
        <f>IFERROR(VLOOKUP($C442,'PORTIFÓLIO'!C:V,4,0),"")</f>
        <v/>
      </c>
      <c r="G442" s="206">
        <f>IFERROR(VLOOKUP($C442,'PORTIFÓLIO'!C:V,5,0),"")</f>
        <v/>
      </c>
      <c r="H442" s="247">
        <f t="array" ref="H442">IFERROR(INDEX('PORTIFÓLIO'!$H$4:$H$433,MATCH($C442,'PORTIFÓLIO'!$C$4:$C$433,0)),"")</f>
        <v/>
      </c>
      <c r="I442" s="257" t="n"/>
      <c r="J442" s="209">
        <f>I442*$B$2</f>
        <v/>
      </c>
      <c r="K442" s="248">
        <f t="array" ref="K442">IFERROR(I442*INDEX('PORTIFÓLIO'!$S$4:$S$433,MATCH($C442,'PORTIFÓLIO'!$C$4:$C$433,0)),"")</f>
        <v/>
      </c>
      <c r="L442" s="248">
        <f t="array" ref="L442">IFERROR(J442*INDEX('PORTIFÓLIO'!$S$4:$S$433,MATCH($C442,'PORTIFÓLIO'!$C$4:$C$433,0)),"")</f>
        <v/>
      </c>
      <c r="M442" s="238" t="n"/>
      <c r="N442" s="177" t="n"/>
      <c r="O442" s="177" t="n"/>
      <c r="P442" s="177" t="n"/>
      <c r="Q442" s="177" t="n"/>
      <c r="R442" s="177" t="n"/>
      <c r="S442" s="177" t="n"/>
      <c r="T442" s="177" t="n"/>
      <c r="U442" s="177" t="n"/>
      <c r="V442" s="177" t="n"/>
      <c r="W442" s="177" t="n"/>
    </row>
    <row r="443" outlineLevel="1" ht="15.75" customHeight="1" s="297">
      <c r="A443" s="190" t="n"/>
      <c r="B443" s="238" t="n"/>
      <c r="C443" s="190" t="n"/>
      <c r="D443" s="205">
        <f>IFERROR(VLOOKUP($C443,'PORTIFÓLIO'!C:V,2,0),"")</f>
        <v/>
      </c>
      <c r="E443" s="190">
        <f>IFERROR(VLOOKUP($C443,'PORTIFÓLIO'!C:V,3,0),"")</f>
        <v/>
      </c>
      <c r="F443" s="190">
        <f>IFERROR(VLOOKUP($C443,'PORTIFÓLIO'!C:V,4,0),"")</f>
        <v/>
      </c>
      <c r="G443" s="206">
        <f>IFERROR(VLOOKUP($C443,'PORTIFÓLIO'!C:V,5,0),"")</f>
        <v/>
      </c>
      <c r="H443" s="247">
        <f t="array" ref="H443">IFERROR(INDEX('PORTIFÓLIO'!$H$4:$H$433,MATCH($C443,'PORTIFÓLIO'!$C$4:$C$433,0)),"")</f>
        <v/>
      </c>
      <c r="I443" s="257" t="n"/>
      <c r="J443" s="209">
        <f>I443*$B$2</f>
        <v/>
      </c>
      <c r="K443" s="248">
        <f t="array" ref="K443">IFERROR(I443*INDEX('PORTIFÓLIO'!$S$4:$S$433,MATCH($C443,'PORTIFÓLIO'!$C$4:$C$433,0)),"")</f>
        <v/>
      </c>
      <c r="L443" s="248">
        <f t="array" ref="L443">IFERROR(J443*INDEX('PORTIFÓLIO'!$S$4:$S$433,MATCH($C443,'PORTIFÓLIO'!$C$4:$C$433,0)),"")</f>
        <v/>
      </c>
      <c r="M443" s="238" t="n"/>
      <c r="N443" s="177" t="n"/>
      <c r="O443" s="177" t="n"/>
      <c r="P443" s="177" t="n"/>
      <c r="Q443" s="177" t="n"/>
      <c r="R443" s="177" t="n"/>
      <c r="S443" s="177" t="n"/>
      <c r="T443" s="177" t="n"/>
      <c r="U443" s="177" t="n"/>
      <c r="V443" s="177" t="n"/>
      <c r="W443" s="177" t="n"/>
    </row>
    <row r="444" outlineLevel="1" ht="15.75" customHeight="1" s="297">
      <c r="A444" s="190" t="n"/>
      <c r="B444" s="238" t="n"/>
      <c r="C444" s="190" t="n"/>
      <c r="D444" s="205">
        <f>IFERROR(VLOOKUP($C444,'PORTIFÓLIO'!C:V,2,0),"")</f>
        <v/>
      </c>
      <c r="E444" s="190">
        <f>IFERROR(VLOOKUP($C444,'PORTIFÓLIO'!C:V,3,0),"")</f>
        <v/>
      </c>
      <c r="F444" s="190">
        <f>IFERROR(VLOOKUP($C444,'PORTIFÓLIO'!C:V,4,0),"")</f>
        <v/>
      </c>
      <c r="G444" s="206">
        <f>IFERROR(VLOOKUP($C444,'PORTIFÓLIO'!C:V,5,0),"")</f>
        <v/>
      </c>
      <c r="H444" s="247">
        <f t="array" ref="H444">IFERROR(INDEX('PORTIFÓLIO'!$H$4:$H$433,MATCH($C444,'PORTIFÓLIO'!$C$4:$C$433,0)),"")</f>
        <v/>
      </c>
      <c r="I444" s="257" t="n"/>
      <c r="J444" s="209">
        <f>I444*$B$2</f>
        <v/>
      </c>
      <c r="K444" s="248">
        <f t="array" ref="K444">IFERROR(I444*INDEX('PORTIFÓLIO'!$S$4:$S$433,MATCH($C444,'PORTIFÓLIO'!$C$4:$C$433,0)),"")</f>
        <v/>
      </c>
      <c r="L444" s="248">
        <f t="array" ref="L444">IFERROR(J444*INDEX('PORTIFÓLIO'!$S$4:$S$433,MATCH($C444,'PORTIFÓLIO'!$C$4:$C$433,0)),"")</f>
        <v/>
      </c>
      <c r="M444" s="238" t="n"/>
      <c r="N444" s="177" t="n"/>
      <c r="O444" s="177" t="n"/>
      <c r="P444" s="177" t="n"/>
      <c r="Q444" s="177" t="n"/>
      <c r="R444" s="177" t="n"/>
      <c r="S444" s="177" t="n"/>
      <c r="T444" s="177" t="n"/>
      <c r="U444" s="177" t="n"/>
      <c r="V444" s="177" t="n"/>
      <c r="W444" s="177" t="n"/>
    </row>
    <row r="445" outlineLevel="1" ht="15.75" customHeight="1" s="297">
      <c r="A445" s="190" t="n"/>
      <c r="B445" s="238" t="n"/>
      <c r="C445" s="190" t="n"/>
      <c r="D445" s="205">
        <f>IFERROR(VLOOKUP($C445,'PORTIFÓLIO'!C:V,2,0),"")</f>
        <v/>
      </c>
      <c r="E445" s="190">
        <f>IFERROR(VLOOKUP($C445,'PORTIFÓLIO'!C:V,3,0),"")</f>
        <v/>
      </c>
      <c r="F445" s="190">
        <f>IFERROR(VLOOKUP($C445,'PORTIFÓLIO'!C:V,4,0),"")</f>
        <v/>
      </c>
      <c r="G445" s="206">
        <f>IFERROR(VLOOKUP($C445,'PORTIFÓLIO'!C:V,5,0),"")</f>
        <v/>
      </c>
      <c r="H445" s="247">
        <f t="array" ref="H445">IFERROR(INDEX('PORTIFÓLIO'!$H$4:$H$433,MATCH($C445,'PORTIFÓLIO'!$C$4:$C$433,0)),"")</f>
        <v/>
      </c>
      <c r="I445" s="257" t="n"/>
      <c r="J445" s="209">
        <f>I445*$B$2</f>
        <v/>
      </c>
      <c r="K445" s="248">
        <f t="array" ref="K445">IFERROR(I445*INDEX('PORTIFÓLIO'!$S$4:$S$433,MATCH($C445,'PORTIFÓLIO'!$C$4:$C$433,0)),"")</f>
        <v/>
      </c>
      <c r="L445" s="248">
        <f t="array" ref="L445">IFERROR(J445*INDEX('PORTIFÓLIO'!$S$4:$S$433,MATCH($C445,'PORTIFÓLIO'!$C$4:$C$433,0)),"")</f>
        <v/>
      </c>
      <c r="M445" s="238" t="n"/>
      <c r="N445" s="177" t="n"/>
      <c r="O445" s="177" t="n"/>
      <c r="P445" s="177" t="n"/>
      <c r="Q445" s="177" t="n"/>
      <c r="R445" s="177" t="n"/>
      <c r="S445" s="177" t="n"/>
      <c r="T445" s="177" t="n"/>
      <c r="U445" s="177" t="n"/>
      <c r="V445" s="177" t="n"/>
      <c r="W445" s="177" t="n"/>
    </row>
    <row r="446" outlineLevel="1" ht="15.75" customHeight="1" s="297">
      <c r="A446" s="190" t="n"/>
      <c r="B446" s="238" t="n"/>
      <c r="C446" s="190" t="n"/>
      <c r="D446" s="205">
        <f>IFERROR(VLOOKUP($C446,'PORTIFÓLIO'!C:V,2,0),"")</f>
        <v/>
      </c>
      <c r="E446" s="190">
        <f>IFERROR(VLOOKUP($C446,'PORTIFÓLIO'!C:V,3,0),"")</f>
        <v/>
      </c>
      <c r="F446" s="190">
        <f>IFERROR(VLOOKUP($C446,'PORTIFÓLIO'!C:V,4,0),"")</f>
        <v/>
      </c>
      <c r="G446" s="206">
        <f>IFERROR(VLOOKUP($C446,'PORTIFÓLIO'!C:V,5,0),"")</f>
        <v/>
      </c>
      <c r="H446" s="247">
        <f t="array" ref="H446">IFERROR(INDEX('PORTIFÓLIO'!$H$4:$H$433,MATCH($C446,'PORTIFÓLIO'!$C$4:$C$433,0)),"")</f>
        <v/>
      </c>
      <c r="I446" s="257" t="n"/>
      <c r="J446" s="209">
        <f>I446*$B$2</f>
        <v/>
      </c>
      <c r="K446" s="248">
        <f t="array" ref="K446">IFERROR(I446*INDEX('PORTIFÓLIO'!$S$4:$S$433,MATCH($C446,'PORTIFÓLIO'!$C$4:$C$433,0)),"")</f>
        <v/>
      </c>
      <c r="L446" s="248">
        <f t="array" ref="L446">IFERROR(J446*INDEX('PORTIFÓLIO'!$S$4:$S$433,MATCH($C446,'PORTIFÓLIO'!$C$4:$C$433,0)),"")</f>
        <v/>
      </c>
      <c r="M446" s="238" t="n"/>
      <c r="N446" s="177" t="n"/>
      <c r="O446" s="177" t="n"/>
      <c r="P446" s="177" t="n"/>
      <c r="Q446" s="177" t="n"/>
      <c r="R446" s="177" t="n"/>
      <c r="S446" s="177" t="n"/>
      <c r="T446" s="177" t="n"/>
      <c r="U446" s="177" t="n"/>
      <c r="V446" s="177" t="n"/>
      <c r="W446" s="177" t="n"/>
    </row>
    <row r="447" outlineLevel="1" ht="15.75" customHeight="1" s="297">
      <c r="A447" s="190" t="n"/>
      <c r="B447" s="238" t="n"/>
      <c r="C447" s="190" t="n"/>
      <c r="D447" s="205">
        <f>IFERROR(VLOOKUP($C447,'PORTIFÓLIO'!C:V,2,0),"")</f>
        <v/>
      </c>
      <c r="E447" s="190">
        <f>IFERROR(VLOOKUP($C447,'PORTIFÓLIO'!C:V,3,0),"")</f>
        <v/>
      </c>
      <c r="F447" s="190">
        <f>IFERROR(VLOOKUP($C447,'PORTIFÓLIO'!C:V,4,0),"")</f>
        <v/>
      </c>
      <c r="G447" s="206">
        <f>IFERROR(VLOOKUP($C447,'PORTIFÓLIO'!C:V,5,0),"")</f>
        <v/>
      </c>
      <c r="H447" s="247">
        <f t="array" ref="H447">IFERROR(INDEX('PORTIFÓLIO'!$H$4:$H$433,MATCH($C447,'PORTIFÓLIO'!$C$4:$C$433,0)),"")</f>
        <v/>
      </c>
      <c r="I447" s="257" t="n"/>
      <c r="J447" s="209">
        <f>I447*$B$2</f>
        <v/>
      </c>
      <c r="K447" s="248">
        <f t="array" ref="K447">IFERROR(I447*INDEX('PORTIFÓLIO'!$S$4:$S$433,MATCH($C447,'PORTIFÓLIO'!$C$4:$C$433,0)),"")</f>
        <v/>
      </c>
      <c r="L447" s="248">
        <f t="array" ref="L447">IFERROR(J447*INDEX('PORTIFÓLIO'!$S$4:$S$433,MATCH($C447,'PORTIFÓLIO'!$C$4:$C$433,0)),"")</f>
        <v/>
      </c>
      <c r="M447" s="238" t="n"/>
      <c r="N447" s="177" t="n"/>
      <c r="O447" s="177" t="n"/>
      <c r="P447" s="177" t="n"/>
      <c r="Q447" s="177" t="n"/>
      <c r="R447" s="177" t="n"/>
      <c r="S447" s="177" t="n"/>
      <c r="T447" s="177" t="n"/>
      <c r="U447" s="177" t="n"/>
      <c r="V447" s="177" t="n"/>
      <c r="W447" s="177" t="n"/>
    </row>
    <row r="448" outlineLevel="1" ht="15.75" customHeight="1" s="297">
      <c r="A448" s="190" t="n"/>
      <c r="B448" s="238" t="n"/>
      <c r="C448" s="190" t="n"/>
      <c r="D448" s="205">
        <f>IFERROR(VLOOKUP($C448,'PORTIFÓLIO'!C:V,2,0),"")</f>
        <v/>
      </c>
      <c r="E448" s="190">
        <f>IFERROR(VLOOKUP($C448,'PORTIFÓLIO'!C:V,3,0),"")</f>
        <v/>
      </c>
      <c r="F448" s="190">
        <f>IFERROR(VLOOKUP($C448,'PORTIFÓLIO'!C:V,4,0),"")</f>
        <v/>
      </c>
      <c r="G448" s="206">
        <f>IFERROR(VLOOKUP($C448,'PORTIFÓLIO'!C:V,5,0),"")</f>
        <v/>
      </c>
      <c r="H448" s="247">
        <f t="array" ref="H448">IFERROR(INDEX('PORTIFÓLIO'!$H$4:$H$433,MATCH($C448,'PORTIFÓLIO'!$C$4:$C$433,0)),"")</f>
        <v/>
      </c>
      <c r="I448" s="257" t="n"/>
      <c r="J448" s="209">
        <f>I448*$B$2</f>
        <v/>
      </c>
      <c r="K448" s="248">
        <f t="array" ref="K448">IFERROR(I448*INDEX('PORTIFÓLIO'!$S$4:$S$433,MATCH($C448,'PORTIFÓLIO'!$C$4:$C$433,0)),"")</f>
        <v/>
      </c>
      <c r="L448" s="248">
        <f t="array" ref="L448">IFERROR(J448*INDEX('PORTIFÓLIO'!$S$4:$S$433,MATCH($C448,'PORTIFÓLIO'!$C$4:$C$433,0)),"")</f>
        <v/>
      </c>
      <c r="M448" s="238" t="n"/>
      <c r="N448" s="177" t="n"/>
      <c r="O448" s="177" t="n"/>
      <c r="P448" s="177" t="n"/>
      <c r="Q448" s="177" t="n"/>
      <c r="R448" s="177" t="n"/>
      <c r="S448" s="177" t="n"/>
      <c r="T448" s="177" t="n"/>
      <c r="U448" s="177" t="n"/>
      <c r="V448" s="177" t="n"/>
      <c r="W448" s="177" t="n"/>
    </row>
    <row r="449" outlineLevel="1" ht="15.75" customHeight="1" s="297">
      <c r="A449" s="190" t="n"/>
      <c r="B449" s="238" t="n"/>
      <c r="C449" s="190" t="n"/>
      <c r="D449" s="205">
        <f>IFERROR(VLOOKUP($C449,'PORTIFÓLIO'!C:V,2,0),"")</f>
        <v/>
      </c>
      <c r="E449" s="190">
        <f>IFERROR(VLOOKUP($C449,'PORTIFÓLIO'!C:V,3,0),"")</f>
        <v/>
      </c>
      <c r="F449" s="190">
        <f>IFERROR(VLOOKUP($C449,'PORTIFÓLIO'!C:V,4,0),"")</f>
        <v/>
      </c>
      <c r="G449" s="206">
        <f>IFERROR(VLOOKUP($C449,'PORTIFÓLIO'!C:V,5,0),"")</f>
        <v/>
      </c>
      <c r="H449" s="247">
        <f t="array" ref="H449">IFERROR(INDEX('PORTIFÓLIO'!$H$4:$H$433,MATCH($C449,'PORTIFÓLIO'!$C$4:$C$433,0)),"")</f>
        <v/>
      </c>
      <c r="I449" s="257" t="n"/>
      <c r="J449" s="209">
        <f>I449*$B$2</f>
        <v/>
      </c>
      <c r="K449" s="248">
        <f t="array" ref="K449">IFERROR(I449*INDEX('PORTIFÓLIO'!$S$4:$S$433,MATCH($C449,'PORTIFÓLIO'!$C$4:$C$433,0)),"")</f>
        <v/>
      </c>
      <c r="L449" s="248">
        <f t="array" ref="L449">IFERROR(J449*INDEX('PORTIFÓLIO'!$S$4:$S$433,MATCH($C449,'PORTIFÓLIO'!$C$4:$C$433,0)),"")</f>
        <v/>
      </c>
      <c r="M449" s="238" t="n"/>
      <c r="N449" s="177" t="n"/>
      <c r="O449" s="177" t="n"/>
      <c r="P449" s="177" t="n"/>
      <c r="Q449" s="177" t="n"/>
      <c r="R449" s="177" t="n"/>
      <c r="S449" s="177" t="n"/>
      <c r="T449" s="177" t="n"/>
      <c r="U449" s="177" t="n"/>
      <c r="V449" s="177" t="n"/>
      <c r="W449" s="177" t="n"/>
    </row>
    <row r="450" outlineLevel="1" ht="15.75" customHeight="1" s="297">
      <c r="A450" s="190" t="n"/>
      <c r="B450" s="238" t="n"/>
      <c r="C450" s="190" t="n"/>
      <c r="D450" s="205">
        <f>IFERROR(VLOOKUP($C450,'PORTIFÓLIO'!C:V,2,0),"")</f>
        <v/>
      </c>
      <c r="E450" s="190">
        <f>IFERROR(VLOOKUP($C450,'PORTIFÓLIO'!C:V,3,0),"")</f>
        <v/>
      </c>
      <c r="F450" s="190">
        <f>IFERROR(VLOOKUP($C450,'PORTIFÓLIO'!C:V,4,0),"")</f>
        <v/>
      </c>
      <c r="G450" s="206">
        <f>IFERROR(VLOOKUP($C450,'PORTIFÓLIO'!C:V,5,0),"")</f>
        <v/>
      </c>
      <c r="H450" s="247">
        <f t="array" ref="H450">IFERROR(INDEX('PORTIFÓLIO'!$H$4:$H$433,MATCH($C450,'PORTIFÓLIO'!$C$4:$C$433,0)),"")</f>
        <v/>
      </c>
      <c r="I450" s="257" t="n"/>
      <c r="J450" s="209">
        <f>I450*$B$2</f>
        <v/>
      </c>
      <c r="K450" s="248">
        <f t="array" ref="K450">IFERROR(I450*INDEX('PORTIFÓLIO'!$S$4:$S$433,MATCH($C450,'PORTIFÓLIO'!$C$4:$C$433,0)),"")</f>
        <v/>
      </c>
      <c r="L450" s="248">
        <f t="array" ref="L450">IFERROR(J450*INDEX('PORTIFÓLIO'!$S$4:$S$433,MATCH($C450,'PORTIFÓLIO'!$C$4:$C$433,0)),"")</f>
        <v/>
      </c>
      <c r="M450" s="238" t="n"/>
      <c r="N450" s="177" t="n"/>
      <c r="O450" s="177" t="n"/>
      <c r="P450" s="177" t="n"/>
      <c r="Q450" s="177" t="n"/>
      <c r="R450" s="177" t="n"/>
      <c r="S450" s="177" t="n"/>
      <c r="T450" s="177" t="n"/>
      <c r="U450" s="177" t="n"/>
      <c r="V450" s="177" t="n"/>
      <c r="W450" s="177" t="n"/>
    </row>
    <row r="451" outlineLevel="1" ht="15.75" customHeight="1" s="297">
      <c r="A451" s="190" t="n"/>
      <c r="B451" s="238" t="n"/>
      <c r="C451" s="190" t="n"/>
      <c r="D451" s="205">
        <f>IFERROR(VLOOKUP($C451,'PORTIFÓLIO'!C:V,2,0),"")</f>
        <v/>
      </c>
      <c r="E451" s="190">
        <f>IFERROR(VLOOKUP($C451,'PORTIFÓLIO'!C:V,3,0),"")</f>
        <v/>
      </c>
      <c r="F451" s="190">
        <f>IFERROR(VLOOKUP($C451,'PORTIFÓLIO'!C:V,4,0),"")</f>
        <v/>
      </c>
      <c r="G451" s="206">
        <f>IFERROR(VLOOKUP($C451,'PORTIFÓLIO'!C:V,5,0),"")</f>
        <v/>
      </c>
      <c r="H451" s="247">
        <f t="array" ref="H451">IFERROR(INDEX('PORTIFÓLIO'!$H$4:$H$433,MATCH($C451,'PORTIFÓLIO'!$C$4:$C$433,0)),"")</f>
        <v/>
      </c>
      <c r="I451" s="257" t="n"/>
      <c r="J451" s="209">
        <f>I451*$B$2</f>
        <v/>
      </c>
      <c r="K451" s="248">
        <f t="array" ref="K451">IFERROR(I451*INDEX('PORTIFÓLIO'!$S$4:$S$433,MATCH($C451,'PORTIFÓLIO'!$C$4:$C$433,0)),"")</f>
        <v/>
      </c>
      <c r="L451" s="248">
        <f t="array" ref="L451">IFERROR(J451*INDEX('PORTIFÓLIO'!$S$4:$S$433,MATCH($C451,'PORTIFÓLIO'!$C$4:$C$433,0)),"")</f>
        <v/>
      </c>
      <c r="M451" s="238" t="n"/>
      <c r="N451" s="177" t="n"/>
      <c r="O451" s="177" t="n"/>
      <c r="P451" s="177" t="n"/>
      <c r="Q451" s="177" t="n"/>
      <c r="R451" s="177" t="n"/>
      <c r="S451" s="177" t="n"/>
      <c r="T451" s="177" t="n"/>
      <c r="U451" s="177" t="n"/>
      <c r="V451" s="177" t="n"/>
      <c r="W451" s="177" t="n"/>
    </row>
    <row r="452" ht="15.75" customHeight="1" s="297">
      <c r="A452" s="238" t="n"/>
      <c r="B452" s="238" t="n"/>
      <c r="C452" s="238" t="n"/>
      <c r="D452" s="238" t="n"/>
      <c r="E452" s="238" t="n"/>
      <c r="F452" s="238" t="n"/>
      <c r="G452" s="206" t="n"/>
      <c r="H452" s="238" t="n"/>
      <c r="I452" s="238" t="n"/>
      <c r="J452" s="238" t="n"/>
      <c r="K452" s="249">
        <f>SUBTOTAL(9,K237:K427)</f>
        <v/>
      </c>
      <c r="L452" s="249">
        <f>SUBTOTAL(9,L237:L427)</f>
        <v/>
      </c>
      <c r="M452" s="238" t="n"/>
      <c r="N452" s="177" t="n"/>
      <c r="O452" s="177" t="n"/>
      <c r="P452" s="177" t="n"/>
      <c r="Q452" s="177" t="n"/>
      <c r="R452" s="177" t="n"/>
      <c r="S452" s="177" t="n"/>
      <c r="T452" s="177" t="n"/>
      <c r="U452" s="177" t="n"/>
      <c r="V452" s="177" t="n"/>
      <c r="W452" s="177" t="n"/>
    </row>
    <row r="453" ht="15.75" customHeight="1" s="297">
      <c r="A453" s="177" t="n"/>
      <c r="B453" s="177" t="n"/>
      <c r="C453" s="177" t="n"/>
      <c r="D453" s="177" t="n"/>
      <c r="E453" s="177" t="n"/>
      <c r="F453" s="177" t="n"/>
      <c r="G453" s="177" t="n"/>
      <c r="H453" s="177" t="n"/>
      <c r="I453" s="177" t="n"/>
      <c r="J453" s="177" t="n"/>
      <c r="K453" s="177" t="n"/>
      <c r="L453" s="177" t="n"/>
      <c r="M453" s="177" t="n"/>
      <c r="N453" s="177" t="n"/>
      <c r="O453" s="177" t="n"/>
      <c r="P453" s="177" t="n"/>
      <c r="Q453" s="177" t="n"/>
      <c r="R453" s="177" t="n"/>
      <c r="S453" s="177" t="n"/>
      <c r="T453" s="177" t="n"/>
      <c r="U453" s="177" t="n"/>
      <c r="V453" s="177" t="n"/>
      <c r="W453" s="177" t="n"/>
    </row>
    <row r="454" ht="15.75" customHeight="1" s="297">
      <c r="A454" s="177" t="n"/>
      <c r="B454" s="177" t="n"/>
      <c r="C454" s="177" t="n"/>
      <c r="D454" s="177" t="n"/>
      <c r="E454" s="177" t="n"/>
      <c r="F454" s="177" t="n"/>
      <c r="G454" s="177" t="n"/>
      <c r="H454" s="177" t="n"/>
      <c r="I454" s="177" t="n"/>
      <c r="J454" s="177" t="n"/>
      <c r="K454" s="177" t="n"/>
      <c r="L454" s="177" t="n"/>
      <c r="M454" s="177" t="n"/>
      <c r="N454" s="177" t="n"/>
      <c r="O454" s="177" t="n"/>
      <c r="P454" s="177" t="n"/>
      <c r="Q454" s="177" t="n"/>
      <c r="R454" s="177" t="n"/>
      <c r="S454" s="177" t="n"/>
      <c r="T454" s="177" t="n"/>
      <c r="U454" s="177" t="n"/>
      <c r="V454" s="177" t="n"/>
      <c r="W454" s="177" t="n"/>
    </row>
    <row r="455" ht="15.75" customHeight="1" s="297">
      <c r="A455" s="177" t="n"/>
      <c r="B455" s="177" t="n"/>
      <c r="C455" s="177" t="n"/>
      <c r="D455" s="177" t="n"/>
      <c r="E455" s="177" t="n"/>
      <c r="F455" s="177" t="n"/>
      <c r="G455" s="177" t="n"/>
      <c r="H455" s="177" t="n"/>
      <c r="I455" s="177" t="n"/>
      <c r="J455" s="177" t="n"/>
      <c r="K455" s="177" t="n"/>
      <c r="L455" s="177" t="n"/>
      <c r="M455" s="177" t="n"/>
      <c r="N455" s="177" t="n"/>
      <c r="O455" s="177" t="n"/>
      <c r="P455" s="177" t="n"/>
      <c r="Q455" s="177" t="n"/>
      <c r="R455" s="177" t="n"/>
      <c r="S455" s="177" t="n"/>
      <c r="T455" s="177" t="n"/>
      <c r="U455" s="177" t="n"/>
      <c r="V455" s="177" t="n"/>
      <c r="W455" s="177" t="n"/>
    </row>
    <row r="456" ht="15.75" customHeight="1" s="297">
      <c r="A456" s="177" t="n"/>
      <c r="B456" s="177" t="n"/>
      <c r="C456" s="177" t="n"/>
      <c r="D456" s="177" t="n"/>
      <c r="E456" s="177" t="n"/>
      <c r="F456" s="177" t="n"/>
      <c r="G456" s="177" t="n"/>
      <c r="H456" s="177" t="n"/>
      <c r="I456" s="177" t="n"/>
      <c r="J456" s="177" t="n"/>
      <c r="K456" s="177" t="n"/>
      <c r="L456" s="177" t="n"/>
      <c r="M456" s="177" t="n"/>
      <c r="N456" s="177" t="n"/>
      <c r="O456" s="177" t="n"/>
      <c r="P456" s="177" t="n"/>
      <c r="Q456" s="177" t="n"/>
      <c r="R456" s="177" t="n"/>
      <c r="S456" s="177" t="n"/>
      <c r="T456" s="177" t="n"/>
      <c r="U456" s="177" t="n"/>
      <c r="V456" s="177" t="n"/>
      <c r="W456" s="177" t="n"/>
    </row>
    <row r="457" ht="15.75" customHeight="1" s="297">
      <c r="A457" s="177" t="n"/>
      <c r="B457" s="177" t="n"/>
      <c r="C457" s="177" t="n"/>
      <c r="D457" s="177" t="n"/>
      <c r="E457" s="177" t="n"/>
      <c r="F457" s="177" t="n"/>
      <c r="G457" s="177" t="n"/>
      <c r="H457" s="177" t="n"/>
      <c r="I457" s="177" t="n"/>
      <c r="J457" s="177" t="n"/>
      <c r="K457" s="177" t="n"/>
      <c r="L457" s="177" t="n"/>
      <c r="M457" s="177" t="n"/>
      <c r="N457" s="177" t="n"/>
      <c r="O457" s="177" t="n"/>
      <c r="P457" s="177" t="n"/>
      <c r="Q457" s="177" t="n"/>
      <c r="R457" s="177" t="n"/>
      <c r="S457" s="177" t="n"/>
      <c r="T457" s="177" t="n"/>
      <c r="U457" s="177" t="n"/>
      <c r="V457" s="177" t="n"/>
      <c r="W457" s="177" t="n"/>
    </row>
    <row r="458" ht="15.75" customHeight="1" s="297">
      <c r="A458" s="177" t="n"/>
      <c r="B458" s="177" t="n"/>
      <c r="C458" s="177" t="n"/>
      <c r="D458" s="177" t="n"/>
      <c r="E458" s="177" t="n"/>
      <c r="F458" s="177" t="n"/>
      <c r="G458" s="177" t="n"/>
      <c r="H458" s="177" t="n"/>
      <c r="I458" s="177" t="n"/>
      <c r="J458" s="177" t="n"/>
      <c r="K458" s="177" t="n"/>
      <c r="L458" s="177" t="n"/>
      <c r="M458" s="177" t="n"/>
      <c r="N458" s="177" t="n"/>
      <c r="O458" s="177" t="n"/>
      <c r="P458" s="177" t="n"/>
      <c r="Q458" s="177" t="n"/>
      <c r="R458" s="177" t="n"/>
      <c r="S458" s="177" t="n"/>
      <c r="T458" s="177" t="n"/>
      <c r="U458" s="177" t="n"/>
      <c r="V458" s="177" t="n"/>
      <c r="W458" s="177" t="n"/>
    </row>
    <row r="459" ht="15.75" customHeight="1" s="297">
      <c r="A459" s="177" t="n"/>
      <c r="B459" s="177" t="n"/>
      <c r="C459" s="177" t="n"/>
      <c r="D459" s="177" t="n"/>
      <c r="E459" s="177" t="n"/>
      <c r="F459" s="177" t="n"/>
      <c r="G459" s="177" t="n"/>
      <c r="H459" s="177" t="n"/>
      <c r="I459" s="177" t="n"/>
      <c r="J459" s="177" t="n"/>
      <c r="K459" s="177" t="n"/>
      <c r="L459" s="177" t="n"/>
      <c r="M459" s="177" t="n"/>
      <c r="N459" s="177" t="n"/>
      <c r="O459" s="177" t="n"/>
      <c r="P459" s="177" t="n"/>
      <c r="Q459" s="177" t="n"/>
      <c r="R459" s="177" t="n"/>
      <c r="S459" s="177" t="n"/>
      <c r="T459" s="177" t="n"/>
      <c r="U459" s="177" t="n"/>
      <c r="V459" s="177" t="n"/>
      <c r="W459" s="177" t="n"/>
    </row>
    <row r="460" ht="15.75" customHeight="1" s="297">
      <c r="A460" s="177" t="n"/>
      <c r="B460" s="177" t="n"/>
      <c r="C460" s="177" t="n"/>
      <c r="D460" s="177" t="n"/>
      <c r="E460" s="177" t="n"/>
      <c r="F460" s="177" t="n"/>
      <c r="G460" s="177" t="n"/>
      <c r="H460" s="177" t="n"/>
      <c r="I460" s="177" t="n"/>
      <c r="J460" s="177" t="n"/>
      <c r="K460" s="177" t="n"/>
      <c r="L460" s="177" t="n"/>
      <c r="M460" s="177" t="n"/>
      <c r="N460" s="177" t="n"/>
      <c r="O460" s="177" t="n"/>
      <c r="P460" s="177" t="n"/>
      <c r="Q460" s="177" t="n"/>
      <c r="R460" s="177" t="n"/>
      <c r="S460" s="177" t="n"/>
      <c r="T460" s="177" t="n"/>
      <c r="U460" s="177" t="n"/>
      <c r="V460" s="177" t="n"/>
      <c r="W460" s="177" t="n"/>
    </row>
    <row r="461" ht="15.75" customHeight="1" s="297">
      <c r="A461" s="177" t="n"/>
      <c r="B461" s="177" t="n"/>
      <c r="C461" s="177" t="n"/>
      <c r="D461" s="177" t="n"/>
      <c r="E461" s="177" t="n"/>
      <c r="F461" s="177" t="n"/>
      <c r="G461" s="177" t="n"/>
      <c r="H461" s="177" t="n"/>
      <c r="I461" s="177" t="n"/>
      <c r="J461" s="177" t="n"/>
      <c r="K461" s="177" t="n"/>
      <c r="L461" s="177" t="n"/>
      <c r="M461" s="177" t="n"/>
      <c r="N461" s="177" t="n"/>
      <c r="O461" s="177" t="n"/>
      <c r="P461" s="177" t="n"/>
      <c r="Q461" s="177" t="n"/>
      <c r="R461" s="177" t="n"/>
      <c r="S461" s="177" t="n"/>
      <c r="T461" s="177" t="n"/>
      <c r="U461" s="177" t="n"/>
      <c r="V461" s="177" t="n"/>
      <c r="W461" s="177" t="n"/>
    </row>
    <row r="462" ht="15.75" customHeight="1" s="297">
      <c r="A462" s="177" t="n"/>
      <c r="B462" s="177" t="n"/>
      <c r="C462" s="177" t="n"/>
      <c r="D462" s="177" t="n"/>
      <c r="E462" s="177" t="n"/>
      <c r="F462" s="177" t="n"/>
      <c r="G462" s="177" t="n"/>
      <c r="H462" s="177" t="n"/>
      <c r="I462" s="177" t="n"/>
      <c r="J462" s="177" t="n"/>
      <c r="K462" s="177" t="n"/>
      <c r="L462" s="177" t="n"/>
      <c r="M462" s="177" t="n"/>
      <c r="N462" s="177" t="n"/>
      <c r="O462" s="177" t="n"/>
      <c r="P462" s="177" t="n"/>
      <c r="Q462" s="177" t="n"/>
      <c r="R462" s="177" t="n"/>
      <c r="S462" s="177" t="n"/>
      <c r="T462" s="177" t="n"/>
      <c r="U462" s="177" t="n"/>
      <c r="V462" s="177" t="n"/>
      <c r="W462" s="177" t="n"/>
    </row>
    <row r="463" ht="15.75" customHeight="1" s="297">
      <c r="A463" s="177" t="n"/>
      <c r="B463" s="177" t="n"/>
      <c r="C463" s="177" t="n"/>
      <c r="D463" s="177" t="n"/>
      <c r="E463" s="177" t="n"/>
      <c r="F463" s="177" t="n"/>
      <c r="G463" s="177" t="n"/>
      <c r="H463" s="177" t="n"/>
      <c r="I463" s="177" t="n"/>
      <c r="J463" s="177" t="n"/>
      <c r="K463" s="177" t="n"/>
      <c r="L463" s="177" t="n"/>
      <c r="M463" s="177" t="n"/>
      <c r="N463" s="177" t="n"/>
      <c r="O463" s="177" t="n"/>
      <c r="P463" s="177" t="n"/>
      <c r="Q463" s="177" t="n"/>
      <c r="R463" s="177" t="n"/>
      <c r="S463" s="177" t="n"/>
      <c r="T463" s="177" t="n"/>
      <c r="U463" s="177" t="n"/>
      <c r="V463" s="177" t="n"/>
      <c r="W463" s="177" t="n"/>
    </row>
    <row r="464" ht="15.75" customHeight="1" s="297">
      <c r="A464" s="177" t="n"/>
      <c r="B464" s="177" t="n"/>
      <c r="C464" s="177" t="n"/>
      <c r="D464" s="177" t="n"/>
      <c r="E464" s="177" t="n"/>
      <c r="F464" s="177" t="n"/>
      <c r="G464" s="177" t="n"/>
      <c r="H464" s="177" t="n"/>
      <c r="I464" s="177" t="n"/>
      <c r="J464" s="177" t="n"/>
      <c r="K464" s="177" t="n"/>
      <c r="L464" s="177" t="n"/>
      <c r="M464" s="177" t="n"/>
      <c r="N464" s="177" t="n"/>
      <c r="O464" s="177" t="n"/>
      <c r="P464" s="177" t="n"/>
      <c r="Q464" s="177" t="n"/>
      <c r="R464" s="177" t="n"/>
      <c r="S464" s="177" t="n"/>
      <c r="T464" s="177" t="n"/>
      <c r="U464" s="177" t="n"/>
      <c r="V464" s="177" t="n"/>
      <c r="W464" s="177" t="n"/>
    </row>
    <row r="465" ht="15.75" customHeight="1" s="297">
      <c r="A465" s="177" t="n"/>
      <c r="B465" s="177" t="n"/>
      <c r="C465" s="177" t="n"/>
      <c r="D465" s="177" t="n"/>
      <c r="E465" s="177" t="n"/>
      <c r="F465" s="177" t="n"/>
      <c r="G465" s="177" t="n"/>
      <c r="H465" s="177" t="n"/>
      <c r="I465" s="177" t="n"/>
      <c r="J465" s="177" t="n"/>
      <c r="K465" s="177" t="n"/>
      <c r="L465" s="177" t="n"/>
      <c r="M465" s="177" t="n"/>
      <c r="N465" s="177" t="n"/>
      <c r="O465" s="177" t="n"/>
      <c r="P465" s="177" t="n"/>
      <c r="Q465" s="177" t="n"/>
      <c r="R465" s="177" t="n"/>
      <c r="S465" s="177" t="n"/>
      <c r="T465" s="177" t="n"/>
      <c r="U465" s="177" t="n"/>
      <c r="V465" s="177" t="n"/>
      <c r="W465" s="177" t="n"/>
    </row>
    <row r="466" ht="15.75" customHeight="1" s="297">
      <c r="A466" s="177" t="n"/>
      <c r="B466" s="177" t="n"/>
      <c r="C466" s="177" t="n"/>
      <c r="D466" s="177" t="n"/>
      <c r="E466" s="177" t="n"/>
      <c r="F466" s="177" t="n"/>
      <c r="G466" s="177" t="n"/>
      <c r="H466" s="177" t="n"/>
      <c r="I466" s="177" t="n"/>
      <c r="J466" s="177" t="n"/>
      <c r="K466" s="177" t="n"/>
      <c r="L466" s="177" t="n"/>
      <c r="M466" s="177" t="n"/>
      <c r="N466" s="177" t="n"/>
      <c r="O466" s="177" t="n"/>
      <c r="P466" s="177" t="n"/>
      <c r="Q466" s="177" t="n"/>
      <c r="R466" s="177" t="n"/>
      <c r="S466" s="177" t="n"/>
      <c r="T466" s="177" t="n"/>
      <c r="U466" s="177" t="n"/>
      <c r="V466" s="177" t="n"/>
      <c r="W466" s="177" t="n"/>
    </row>
    <row r="467" ht="15.75" customHeight="1" s="297">
      <c r="A467" s="177" t="n"/>
      <c r="B467" s="177" t="n"/>
      <c r="C467" s="177" t="n"/>
      <c r="D467" s="177" t="n"/>
      <c r="E467" s="177" t="n"/>
      <c r="F467" s="177" t="n"/>
      <c r="G467" s="177" t="n"/>
      <c r="H467" s="177" t="n"/>
      <c r="I467" s="177" t="n"/>
      <c r="J467" s="177" t="n"/>
      <c r="K467" s="177" t="n"/>
      <c r="L467" s="177" t="n"/>
      <c r="M467" s="177" t="n"/>
      <c r="N467" s="177" t="n"/>
      <c r="O467" s="177" t="n"/>
      <c r="P467" s="177" t="n"/>
      <c r="Q467" s="177" t="n"/>
      <c r="R467" s="177" t="n"/>
      <c r="S467" s="177" t="n"/>
      <c r="T467" s="177" t="n"/>
      <c r="U467" s="177" t="n"/>
      <c r="V467" s="177" t="n"/>
      <c r="W467" s="177" t="n"/>
    </row>
    <row r="468" ht="15.75" customHeight="1" s="297">
      <c r="A468" s="177" t="n"/>
      <c r="B468" s="177" t="n"/>
      <c r="C468" s="177" t="n"/>
      <c r="D468" s="177" t="n"/>
      <c r="E468" s="177" t="n"/>
      <c r="F468" s="177" t="n"/>
      <c r="G468" s="177" t="n"/>
      <c r="H468" s="177" t="n"/>
      <c r="I468" s="177" t="n"/>
      <c r="J468" s="177" t="n"/>
      <c r="K468" s="177" t="n"/>
      <c r="L468" s="177" t="n"/>
      <c r="M468" s="177" t="n"/>
      <c r="N468" s="177" t="n"/>
      <c r="O468" s="177" t="n"/>
      <c r="P468" s="177" t="n"/>
      <c r="Q468" s="177" t="n"/>
      <c r="R468" s="177" t="n"/>
      <c r="S468" s="177" t="n"/>
      <c r="T468" s="177" t="n"/>
      <c r="U468" s="177" t="n"/>
      <c r="V468" s="177" t="n"/>
      <c r="W468" s="177" t="n"/>
    </row>
    <row r="469" ht="15.75" customHeight="1" s="297">
      <c r="A469" s="177" t="n"/>
      <c r="B469" s="177" t="n"/>
      <c r="C469" s="177" t="n"/>
      <c r="D469" s="177" t="n"/>
      <c r="E469" s="177" t="n"/>
      <c r="F469" s="177" t="n"/>
      <c r="G469" s="177" t="n"/>
      <c r="H469" s="177" t="n"/>
      <c r="I469" s="177" t="n"/>
      <c r="J469" s="177" t="n"/>
      <c r="K469" s="177" t="n"/>
      <c r="L469" s="177" t="n"/>
      <c r="M469" s="177" t="n"/>
      <c r="N469" s="177" t="n"/>
      <c r="O469" s="177" t="n"/>
      <c r="P469" s="177" t="n"/>
      <c r="Q469" s="177" t="n"/>
      <c r="R469" s="177" t="n"/>
      <c r="S469" s="177" t="n"/>
      <c r="T469" s="177" t="n"/>
      <c r="U469" s="177" t="n"/>
      <c r="V469" s="177" t="n"/>
      <c r="W469" s="177" t="n"/>
    </row>
    <row r="470" ht="15.75" customHeight="1" s="297">
      <c r="A470" s="177" t="n"/>
      <c r="B470" s="177" t="n"/>
      <c r="C470" s="177" t="n"/>
      <c r="D470" s="177" t="n"/>
      <c r="E470" s="177" t="n"/>
      <c r="F470" s="177" t="n"/>
      <c r="G470" s="177" t="n"/>
      <c r="H470" s="177" t="n"/>
      <c r="I470" s="177" t="n"/>
      <c r="J470" s="177" t="n"/>
      <c r="K470" s="177" t="n"/>
      <c r="L470" s="177" t="n"/>
      <c r="M470" s="177" t="n"/>
      <c r="N470" s="177" t="n"/>
      <c r="O470" s="177" t="n"/>
      <c r="P470" s="177" t="n"/>
      <c r="Q470" s="177" t="n"/>
      <c r="R470" s="177" t="n"/>
      <c r="S470" s="177" t="n"/>
      <c r="T470" s="177" t="n"/>
      <c r="U470" s="177" t="n"/>
      <c r="V470" s="177" t="n"/>
      <c r="W470" s="177" t="n"/>
    </row>
    <row r="471" ht="15.75" customHeight="1" s="297">
      <c r="A471" s="177" t="n"/>
      <c r="B471" s="177" t="n"/>
      <c r="C471" s="177" t="n"/>
      <c r="D471" s="177" t="n"/>
      <c r="E471" s="177" t="n"/>
      <c r="F471" s="177" t="n"/>
      <c r="G471" s="177" t="n"/>
      <c r="H471" s="177" t="n"/>
      <c r="I471" s="177" t="n"/>
      <c r="J471" s="177" t="n"/>
      <c r="K471" s="177" t="n"/>
      <c r="L471" s="177" t="n"/>
      <c r="M471" s="177" t="n"/>
      <c r="N471" s="177" t="n"/>
      <c r="O471" s="177" t="n"/>
      <c r="P471" s="177" t="n"/>
      <c r="Q471" s="177" t="n"/>
      <c r="R471" s="177" t="n"/>
      <c r="S471" s="177" t="n"/>
      <c r="T471" s="177" t="n"/>
      <c r="U471" s="177" t="n"/>
      <c r="V471" s="177" t="n"/>
      <c r="W471" s="177" t="n"/>
    </row>
    <row r="472" ht="15.75" customHeight="1" s="297">
      <c r="A472" s="177" t="n"/>
      <c r="B472" s="177" t="n"/>
      <c r="C472" s="177" t="n"/>
      <c r="D472" s="177" t="n"/>
      <c r="E472" s="177" t="n"/>
      <c r="F472" s="177" t="n"/>
      <c r="G472" s="177" t="n"/>
      <c r="H472" s="177" t="n"/>
      <c r="I472" s="177" t="n"/>
      <c r="J472" s="177" t="n"/>
      <c r="K472" s="177" t="n"/>
      <c r="L472" s="177" t="n"/>
      <c r="M472" s="177" t="n"/>
      <c r="N472" s="177" t="n"/>
      <c r="O472" s="177" t="n"/>
      <c r="P472" s="177" t="n"/>
      <c r="Q472" s="177" t="n"/>
      <c r="R472" s="177" t="n"/>
      <c r="S472" s="177" t="n"/>
      <c r="T472" s="177" t="n"/>
      <c r="U472" s="177" t="n"/>
      <c r="V472" s="177" t="n"/>
      <c r="W472" s="177" t="n"/>
    </row>
    <row r="473" ht="15.75" customHeight="1" s="297">
      <c r="A473" s="177" t="n"/>
      <c r="B473" s="177" t="n"/>
      <c r="C473" s="177" t="n"/>
      <c r="D473" s="177" t="n"/>
      <c r="E473" s="177" t="n"/>
      <c r="F473" s="177" t="n"/>
      <c r="G473" s="177" t="n"/>
      <c r="H473" s="177" t="n"/>
      <c r="I473" s="177" t="n"/>
      <c r="J473" s="177" t="n"/>
      <c r="K473" s="177" t="n"/>
      <c r="L473" s="177" t="n"/>
      <c r="M473" s="177" t="n"/>
      <c r="N473" s="177" t="n"/>
      <c r="O473" s="177" t="n"/>
      <c r="P473" s="177" t="n"/>
      <c r="Q473" s="177" t="n"/>
      <c r="R473" s="177" t="n"/>
      <c r="S473" s="177" t="n"/>
      <c r="T473" s="177" t="n"/>
      <c r="U473" s="177" t="n"/>
      <c r="V473" s="177" t="n"/>
      <c r="W473" s="177" t="n"/>
    </row>
    <row r="474" ht="15.75" customHeight="1" s="297">
      <c r="A474" s="177" t="n"/>
      <c r="B474" s="177" t="n"/>
      <c r="C474" s="177" t="n"/>
      <c r="D474" s="177" t="n"/>
      <c r="E474" s="177" t="n"/>
      <c r="F474" s="177" t="n"/>
      <c r="G474" s="177" t="n"/>
      <c r="H474" s="177" t="n"/>
      <c r="I474" s="177" t="n"/>
      <c r="J474" s="177" t="n"/>
      <c r="K474" s="177" t="n"/>
      <c r="L474" s="177" t="n"/>
      <c r="M474" s="177" t="n"/>
      <c r="N474" s="177" t="n"/>
      <c r="O474" s="177" t="n"/>
      <c r="P474" s="177" t="n"/>
      <c r="Q474" s="177" t="n"/>
      <c r="R474" s="177" t="n"/>
      <c r="S474" s="177" t="n"/>
      <c r="T474" s="177" t="n"/>
      <c r="U474" s="177" t="n"/>
      <c r="V474" s="177" t="n"/>
      <c r="W474" s="177" t="n"/>
    </row>
    <row r="475" ht="15.75" customHeight="1" s="297">
      <c r="A475" s="177" t="n"/>
      <c r="B475" s="177" t="n"/>
      <c r="C475" s="177" t="n"/>
      <c r="D475" s="177" t="n"/>
      <c r="E475" s="177" t="n"/>
      <c r="F475" s="177" t="n"/>
      <c r="G475" s="177" t="n"/>
      <c r="H475" s="177" t="n"/>
      <c r="I475" s="177" t="n"/>
      <c r="J475" s="177" t="n"/>
      <c r="K475" s="177" t="n"/>
      <c r="L475" s="177" t="n"/>
      <c r="M475" s="177" t="n"/>
      <c r="N475" s="177" t="n"/>
      <c r="O475" s="177" t="n"/>
      <c r="P475" s="177" t="n"/>
      <c r="Q475" s="177" t="n"/>
      <c r="R475" s="177" t="n"/>
      <c r="S475" s="177" t="n"/>
      <c r="T475" s="177" t="n"/>
      <c r="U475" s="177" t="n"/>
      <c r="V475" s="177" t="n"/>
      <c r="W475" s="177" t="n"/>
    </row>
    <row r="476" ht="15.75" customHeight="1" s="297">
      <c r="A476" s="177" t="n"/>
      <c r="B476" s="177" t="n"/>
      <c r="C476" s="177" t="n"/>
      <c r="D476" s="177" t="n"/>
      <c r="E476" s="177" t="n"/>
      <c r="F476" s="177" t="n"/>
      <c r="G476" s="177" t="n"/>
      <c r="H476" s="177" t="n"/>
      <c r="I476" s="177" t="n"/>
      <c r="J476" s="177" t="n"/>
      <c r="K476" s="177" t="n"/>
      <c r="L476" s="177" t="n"/>
      <c r="M476" s="177" t="n"/>
      <c r="N476" s="177" t="n"/>
      <c r="O476" s="177" t="n"/>
      <c r="P476" s="177" t="n"/>
      <c r="Q476" s="177" t="n"/>
      <c r="R476" s="177" t="n"/>
      <c r="S476" s="177" t="n"/>
      <c r="T476" s="177" t="n"/>
      <c r="U476" s="177" t="n"/>
      <c r="V476" s="177" t="n"/>
      <c r="W476" s="177" t="n"/>
    </row>
    <row r="477" ht="15.75" customHeight="1" s="297">
      <c r="A477" s="177" t="n"/>
      <c r="B477" s="177" t="n"/>
      <c r="C477" s="177" t="n"/>
      <c r="D477" s="177" t="n"/>
      <c r="E477" s="177" t="n"/>
      <c r="F477" s="177" t="n"/>
      <c r="G477" s="177" t="n"/>
      <c r="H477" s="177" t="n"/>
      <c r="I477" s="177" t="n"/>
      <c r="J477" s="177" t="n"/>
      <c r="K477" s="177" t="n"/>
      <c r="L477" s="177" t="n"/>
      <c r="M477" s="177" t="n"/>
      <c r="N477" s="177" t="n"/>
      <c r="O477" s="177" t="n"/>
      <c r="P477" s="177" t="n"/>
      <c r="Q477" s="177" t="n"/>
      <c r="R477" s="177" t="n"/>
      <c r="S477" s="177" t="n"/>
      <c r="T477" s="177" t="n"/>
      <c r="U477" s="177" t="n"/>
      <c r="V477" s="177" t="n"/>
      <c r="W477" s="177" t="n"/>
    </row>
    <row r="478" ht="15.75" customHeight="1" s="297">
      <c r="A478" s="177" t="n"/>
      <c r="B478" s="177" t="n"/>
      <c r="C478" s="177" t="n"/>
      <c r="D478" s="177" t="n"/>
      <c r="E478" s="177" t="n"/>
      <c r="F478" s="177" t="n"/>
      <c r="G478" s="177" t="n"/>
      <c r="H478" s="177" t="n"/>
      <c r="I478" s="177" t="n"/>
      <c r="J478" s="177" t="n"/>
      <c r="K478" s="177" t="n"/>
      <c r="L478" s="177" t="n"/>
      <c r="M478" s="177" t="n"/>
      <c r="N478" s="177" t="n"/>
      <c r="O478" s="177" t="n"/>
      <c r="P478" s="177" t="n"/>
      <c r="Q478" s="177" t="n"/>
      <c r="R478" s="177" t="n"/>
      <c r="S478" s="177" t="n"/>
      <c r="T478" s="177" t="n"/>
      <c r="U478" s="177" t="n"/>
      <c r="V478" s="177" t="n"/>
      <c r="W478" s="177" t="n"/>
    </row>
    <row r="479" ht="15.75" customHeight="1" s="297">
      <c r="A479" s="177" t="n"/>
      <c r="B479" s="177" t="n"/>
      <c r="C479" s="177" t="n"/>
      <c r="D479" s="177" t="n"/>
      <c r="E479" s="177" t="n"/>
      <c r="F479" s="177" t="n"/>
      <c r="G479" s="177" t="n"/>
      <c r="H479" s="177" t="n"/>
      <c r="I479" s="177" t="n"/>
      <c r="J479" s="177" t="n"/>
      <c r="K479" s="177" t="n"/>
      <c r="L479" s="177" t="n"/>
      <c r="M479" s="177" t="n"/>
      <c r="N479" s="177" t="n"/>
      <c r="O479" s="177" t="n"/>
      <c r="P479" s="177" t="n"/>
      <c r="Q479" s="177" t="n"/>
      <c r="R479" s="177" t="n"/>
      <c r="S479" s="177" t="n"/>
      <c r="T479" s="177" t="n"/>
      <c r="U479" s="177" t="n"/>
      <c r="V479" s="177" t="n"/>
      <c r="W479" s="177" t="n"/>
    </row>
    <row r="480" ht="15.75" customHeight="1" s="297">
      <c r="A480" s="177" t="n"/>
      <c r="B480" s="177" t="n"/>
      <c r="C480" s="177" t="n"/>
      <c r="D480" s="177" t="n"/>
      <c r="E480" s="177" t="n"/>
      <c r="F480" s="177" t="n"/>
      <c r="G480" s="177" t="n"/>
      <c r="H480" s="177" t="n"/>
      <c r="I480" s="177" t="n"/>
      <c r="J480" s="177" t="n"/>
      <c r="K480" s="177" t="n"/>
      <c r="L480" s="177" t="n"/>
      <c r="M480" s="177" t="n"/>
      <c r="N480" s="177" t="n"/>
      <c r="O480" s="177" t="n"/>
      <c r="P480" s="177" t="n"/>
      <c r="Q480" s="177" t="n"/>
      <c r="R480" s="177" t="n"/>
      <c r="S480" s="177" t="n"/>
      <c r="T480" s="177" t="n"/>
      <c r="U480" s="177" t="n"/>
      <c r="V480" s="177" t="n"/>
      <c r="W480" s="177" t="n"/>
    </row>
    <row r="481" ht="15.75" customHeight="1" s="297">
      <c r="A481" s="177" t="n"/>
      <c r="B481" s="177" t="n"/>
      <c r="C481" s="177" t="n"/>
      <c r="D481" s="177" t="n"/>
      <c r="E481" s="177" t="n"/>
      <c r="F481" s="177" t="n"/>
      <c r="G481" s="177" t="n"/>
      <c r="H481" s="177" t="n"/>
      <c r="I481" s="177" t="n"/>
      <c r="J481" s="177" t="n"/>
      <c r="K481" s="177" t="n"/>
      <c r="L481" s="177" t="n"/>
      <c r="M481" s="177" t="n"/>
      <c r="N481" s="177" t="n"/>
      <c r="O481" s="177" t="n"/>
      <c r="P481" s="177" t="n"/>
      <c r="Q481" s="177" t="n"/>
      <c r="R481" s="177" t="n"/>
      <c r="S481" s="177" t="n"/>
      <c r="T481" s="177" t="n"/>
      <c r="U481" s="177" t="n"/>
      <c r="V481" s="177" t="n"/>
      <c r="W481" s="177" t="n"/>
    </row>
    <row r="482" ht="15.75" customHeight="1" s="297">
      <c r="A482" s="177" t="n"/>
      <c r="B482" s="177" t="n"/>
      <c r="C482" s="177" t="n"/>
      <c r="D482" s="177" t="n"/>
      <c r="E482" s="177" t="n"/>
      <c r="F482" s="177" t="n"/>
      <c r="G482" s="177" t="n"/>
      <c r="H482" s="177" t="n"/>
      <c r="I482" s="177" t="n"/>
      <c r="J482" s="177" t="n"/>
      <c r="K482" s="177" t="n"/>
      <c r="L482" s="177" t="n"/>
      <c r="M482" s="177" t="n"/>
      <c r="N482" s="177" t="n"/>
      <c r="O482" s="177" t="n"/>
      <c r="P482" s="177" t="n"/>
      <c r="Q482" s="177" t="n"/>
      <c r="R482" s="177" t="n"/>
      <c r="S482" s="177" t="n"/>
      <c r="T482" s="177" t="n"/>
      <c r="U482" s="177" t="n"/>
      <c r="V482" s="177" t="n"/>
      <c r="W482" s="177" t="n"/>
    </row>
    <row r="483" ht="15.75" customHeight="1" s="297">
      <c r="A483" s="177" t="n"/>
      <c r="B483" s="177" t="n"/>
      <c r="C483" s="177" t="n"/>
      <c r="D483" s="177" t="n"/>
      <c r="E483" s="177" t="n"/>
      <c r="F483" s="177" t="n"/>
      <c r="G483" s="177" t="n"/>
      <c r="H483" s="177" t="n"/>
      <c r="I483" s="177" t="n"/>
      <c r="J483" s="177" t="n"/>
      <c r="K483" s="177" t="n"/>
      <c r="L483" s="177" t="n"/>
      <c r="M483" s="177" t="n"/>
      <c r="N483" s="177" t="n"/>
      <c r="O483" s="177" t="n"/>
      <c r="P483" s="177" t="n"/>
      <c r="Q483" s="177" t="n"/>
      <c r="R483" s="177" t="n"/>
      <c r="S483" s="177" t="n"/>
      <c r="T483" s="177" t="n"/>
      <c r="U483" s="177" t="n"/>
      <c r="V483" s="177" t="n"/>
      <c r="W483" s="177" t="n"/>
    </row>
    <row r="484" ht="15.75" customHeight="1" s="297">
      <c r="A484" s="177" t="n"/>
      <c r="B484" s="177" t="n"/>
      <c r="C484" s="177" t="n"/>
      <c r="D484" s="177" t="n"/>
      <c r="E484" s="177" t="n"/>
      <c r="F484" s="177" t="n"/>
      <c r="G484" s="177" t="n"/>
      <c r="H484" s="177" t="n"/>
      <c r="I484" s="177" t="n"/>
      <c r="J484" s="177" t="n"/>
      <c r="K484" s="177" t="n"/>
      <c r="L484" s="177" t="n"/>
      <c r="M484" s="177" t="n"/>
      <c r="N484" s="177" t="n"/>
      <c r="O484" s="177" t="n"/>
      <c r="P484" s="177" t="n"/>
      <c r="Q484" s="177" t="n"/>
      <c r="R484" s="177" t="n"/>
      <c r="S484" s="177" t="n"/>
      <c r="T484" s="177" t="n"/>
      <c r="U484" s="177" t="n"/>
      <c r="V484" s="177" t="n"/>
      <c r="W484" s="177" t="n"/>
    </row>
    <row r="485" ht="15.75" customHeight="1" s="297">
      <c r="A485" s="177" t="n"/>
      <c r="B485" s="177" t="n"/>
      <c r="C485" s="177" t="n"/>
      <c r="D485" s="177" t="n"/>
      <c r="E485" s="177" t="n"/>
      <c r="F485" s="177" t="n"/>
      <c r="G485" s="177" t="n"/>
      <c r="H485" s="177" t="n"/>
      <c r="I485" s="177" t="n"/>
      <c r="J485" s="177" t="n"/>
      <c r="K485" s="177" t="n"/>
      <c r="L485" s="177" t="n"/>
      <c r="M485" s="177" t="n"/>
      <c r="N485" s="177" t="n"/>
      <c r="O485" s="177" t="n"/>
      <c r="P485" s="177" t="n"/>
      <c r="Q485" s="177" t="n"/>
      <c r="R485" s="177" t="n"/>
      <c r="S485" s="177" t="n"/>
      <c r="T485" s="177" t="n"/>
      <c r="U485" s="177" t="n"/>
      <c r="V485" s="177" t="n"/>
      <c r="W485" s="177" t="n"/>
    </row>
    <row r="486" ht="15.75" customHeight="1" s="297">
      <c r="A486" s="177" t="n"/>
      <c r="B486" s="177" t="n"/>
      <c r="C486" s="177" t="n"/>
      <c r="D486" s="177" t="n"/>
      <c r="E486" s="177" t="n"/>
      <c r="F486" s="177" t="n"/>
      <c r="G486" s="177" t="n"/>
      <c r="H486" s="177" t="n"/>
      <c r="I486" s="177" t="n"/>
      <c r="J486" s="177" t="n"/>
      <c r="K486" s="177" t="n"/>
      <c r="L486" s="177" t="n"/>
      <c r="M486" s="177" t="n"/>
      <c r="N486" s="177" t="n"/>
      <c r="O486" s="177" t="n"/>
      <c r="P486" s="177" t="n"/>
      <c r="Q486" s="177" t="n"/>
      <c r="R486" s="177" t="n"/>
      <c r="S486" s="177" t="n"/>
      <c r="T486" s="177" t="n"/>
      <c r="U486" s="177" t="n"/>
      <c r="V486" s="177" t="n"/>
      <c r="W486" s="177" t="n"/>
    </row>
    <row r="487" ht="15.75" customHeight="1" s="297">
      <c r="A487" s="177" t="n"/>
      <c r="B487" s="177" t="n"/>
      <c r="C487" s="177" t="n"/>
      <c r="D487" s="177" t="n"/>
      <c r="E487" s="177" t="n"/>
      <c r="F487" s="177" t="n"/>
      <c r="G487" s="177" t="n"/>
      <c r="H487" s="177" t="n"/>
      <c r="I487" s="177" t="n"/>
      <c r="J487" s="177" t="n"/>
      <c r="K487" s="177" t="n"/>
      <c r="L487" s="177" t="n"/>
      <c r="M487" s="177" t="n"/>
      <c r="N487" s="177" t="n"/>
      <c r="O487" s="177" t="n"/>
      <c r="P487" s="177" t="n"/>
      <c r="Q487" s="177" t="n"/>
      <c r="R487" s="177" t="n"/>
      <c r="S487" s="177" t="n"/>
      <c r="T487" s="177" t="n"/>
      <c r="U487" s="177" t="n"/>
      <c r="V487" s="177" t="n"/>
      <c r="W487" s="177" t="n"/>
    </row>
    <row r="488" ht="15.75" customHeight="1" s="297">
      <c r="A488" s="177" t="n"/>
      <c r="B488" s="177" t="n"/>
      <c r="C488" s="177" t="n"/>
      <c r="D488" s="177" t="n"/>
      <c r="E488" s="177" t="n"/>
      <c r="F488" s="177" t="n"/>
      <c r="G488" s="177" t="n"/>
      <c r="H488" s="177" t="n"/>
      <c r="I488" s="177" t="n"/>
      <c r="J488" s="177" t="n"/>
      <c r="K488" s="177" t="n"/>
      <c r="L488" s="177" t="n"/>
      <c r="M488" s="177" t="n"/>
      <c r="N488" s="177" t="n"/>
      <c r="O488" s="177" t="n"/>
      <c r="P488" s="177" t="n"/>
      <c r="Q488" s="177" t="n"/>
      <c r="R488" s="177" t="n"/>
      <c r="S488" s="177" t="n"/>
      <c r="T488" s="177" t="n"/>
      <c r="U488" s="177" t="n"/>
      <c r="V488" s="177" t="n"/>
      <c r="W488" s="177" t="n"/>
    </row>
    <row r="489" ht="15.75" customHeight="1" s="297">
      <c r="A489" s="177" t="n"/>
      <c r="B489" s="177" t="n"/>
      <c r="C489" s="177" t="n"/>
      <c r="D489" s="177" t="n"/>
      <c r="E489" s="177" t="n"/>
      <c r="F489" s="177" t="n"/>
      <c r="G489" s="177" t="n"/>
      <c r="H489" s="177" t="n"/>
      <c r="I489" s="177" t="n"/>
      <c r="J489" s="177" t="n"/>
      <c r="K489" s="177" t="n"/>
      <c r="L489" s="177" t="n"/>
      <c r="M489" s="177" t="n"/>
      <c r="N489" s="177" t="n"/>
      <c r="O489" s="177" t="n"/>
      <c r="P489" s="177" t="n"/>
      <c r="Q489" s="177" t="n"/>
      <c r="R489" s="177" t="n"/>
      <c r="S489" s="177" t="n"/>
      <c r="T489" s="177" t="n"/>
      <c r="U489" s="177" t="n"/>
      <c r="V489" s="177" t="n"/>
      <c r="W489" s="177" t="n"/>
    </row>
    <row r="490" ht="15.75" customHeight="1" s="297">
      <c r="A490" s="177" t="n"/>
      <c r="B490" s="177" t="n"/>
      <c r="C490" s="177" t="n"/>
      <c r="D490" s="177" t="n"/>
      <c r="E490" s="177" t="n"/>
      <c r="F490" s="177" t="n"/>
      <c r="G490" s="177" t="n"/>
      <c r="H490" s="177" t="n"/>
      <c r="I490" s="177" t="n"/>
      <c r="J490" s="177" t="n"/>
      <c r="K490" s="177" t="n"/>
      <c r="L490" s="177" t="n"/>
      <c r="M490" s="177" t="n"/>
      <c r="N490" s="177" t="n"/>
      <c r="O490" s="177" t="n"/>
      <c r="P490" s="177" t="n"/>
      <c r="Q490" s="177" t="n"/>
      <c r="R490" s="177" t="n"/>
      <c r="S490" s="177" t="n"/>
      <c r="T490" s="177" t="n"/>
      <c r="U490" s="177" t="n"/>
      <c r="V490" s="177" t="n"/>
      <c r="W490" s="177" t="n"/>
    </row>
    <row r="491" ht="15.75" customHeight="1" s="297">
      <c r="A491" s="177" t="n"/>
      <c r="B491" s="177" t="n"/>
      <c r="C491" s="177" t="n"/>
      <c r="D491" s="177" t="n"/>
      <c r="E491" s="177" t="n"/>
      <c r="F491" s="177" t="n"/>
      <c r="G491" s="177" t="n"/>
      <c r="H491" s="177" t="n"/>
      <c r="I491" s="177" t="n"/>
      <c r="J491" s="177" t="n"/>
      <c r="K491" s="177" t="n"/>
      <c r="L491" s="177" t="n"/>
      <c r="M491" s="177" t="n"/>
      <c r="N491" s="177" t="n"/>
      <c r="O491" s="177" t="n"/>
      <c r="P491" s="177" t="n"/>
      <c r="Q491" s="177" t="n"/>
      <c r="R491" s="177" t="n"/>
      <c r="S491" s="177" t="n"/>
      <c r="T491" s="177" t="n"/>
      <c r="U491" s="177" t="n"/>
      <c r="V491" s="177" t="n"/>
      <c r="W491" s="177" t="n"/>
    </row>
    <row r="492" ht="15.75" customHeight="1" s="297">
      <c r="A492" s="177" t="n"/>
      <c r="B492" s="177" t="n"/>
      <c r="C492" s="177" t="n"/>
      <c r="D492" s="177" t="n"/>
      <c r="E492" s="177" t="n"/>
      <c r="F492" s="177" t="n"/>
      <c r="G492" s="177" t="n"/>
      <c r="H492" s="177" t="n"/>
      <c r="I492" s="177" t="n"/>
      <c r="J492" s="177" t="n"/>
      <c r="K492" s="177" t="n"/>
      <c r="L492" s="177" t="n"/>
      <c r="M492" s="177" t="n"/>
      <c r="N492" s="177" t="n"/>
      <c r="O492" s="177" t="n"/>
      <c r="P492" s="177" t="n"/>
      <c r="Q492" s="177" t="n"/>
      <c r="R492" s="177" t="n"/>
      <c r="S492" s="177" t="n"/>
      <c r="T492" s="177" t="n"/>
      <c r="U492" s="177" t="n"/>
      <c r="V492" s="177" t="n"/>
      <c r="W492" s="177" t="n"/>
    </row>
    <row r="493" ht="15.75" customHeight="1" s="297">
      <c r="A493" s="177" t="n"/>
      <c r="B493" s="177" t="n"/>
      <c r="C493" s="177" t="n"/>
      <c r="D493" s="177" t="n"/>
      <c r="E493" s="177" t="n"/>
      <c r="F493" s="177" t="n"/>
      <c r="G493" s="177" t="n"/>
      <c r="H493" s="177" t="n"/>
      <c r="I493" s="177" t="n"/>
      <c r="J493" s="177" t="n"/>
      <c r="K493" s="177" t="n"/>
      <c r="L493" s="177" t="n"/>
      <c r="M493" s="177" t="n"/>
      <c r="N493" s="177" t="n"/>
      <c r="O493" s="177" t="n"/>
      <c r="P493" s="177" t="n"/>
      <c r="Q493" s="177" t="n"/>
      <c r="R493" s="177" t="n"/>
      <c r="S493" s="177" t="n"/>
      <c r="T493" s="177" t="n"/>
      <c r="U493" s="177" t="n"/>
      <c r="V493" s="177" t="n"/>
      <c r="W493" s="177" t="n"/>
    </row>
    <row r="494" ht="15.75" customHeight="1" s="297">
      <c r="A494" s="177" t="n"/>
      <c r="B494" s="177" t="n"/>
      <c r="C494" s="177" t="n"/>
      <c r="D494" s="177" t="n"/>
      <c r="E494" s="177" t="n"/>
      <c r="F494" s="177" t="n"/>
      <c r="G494" s="177" t="n"/>
      <c r="H494" s="177" t="n"/>
      <c r="I494" s="177" t="n"/>
      <c r="J494" s="177" t="n"/>
      <c r="K494" s="177" t="n"/>
      <c r="L494" s="177" t="n"/>
      <c r="M494" s="177" t="n"/>
      <c r="N494" s="177" t="n"/>
      <c r="O494" s="177" t="n"/>
      <c r="P494" s="177" t="n"/>
      <c r="Q494" s="177" t="n"/>
      <c r="R494" s="177" t="n"/>
      <c r="S494" s="177" t="n"/>
      <c r="T494" s="177" t="n"/>
      <c r="U494" s="177" t="n"/>
      <c r="V494" s="177" t="n"/>
      <c r="W494" s="177" t="n"/>
    </row>
    <row r="495" ht="15.75" customHeight="1" s="297">
      <c r="A495" s="177" t="n"/>
      <c r="B495" s="177" t="n"/>
      <c r="C495" s="177" t="n"/>
      <c r="D495" s="177" t="n"/>
      <c r="E495" s="177" t="n"/>
      <c r="F495" s="177" t="n"/>
      <c r="G495" s="177" t="n"/>
      <c r="H495" s="177" t="n"/>
      <c r="I495" s="177" t="n"/>
      <c r="J495" s="177" t="n"/>
      <c r="K495" s="177" t="n"/>
      <c r="L495" s="177" t="n"/>
      <c r="M495" s="177" t="n"/>
      <c r="N495" s="177" t="n"/>
      <c r="O495" s="177" t="n"/>
      <c r="P495" s="177" t="n"/>
      <c r="Q495" s="177" t="n"/>
      <c r="R495" s="177" t="n"/>
      <c r="S495" s="177" t="n"/>
      <c r="T495" s="177" t="n"/>
      <c r="U495" s="177" t="n"/>
      <c r="V495" s="177" t="n"/>
      <c r="W495" s="177" t="n"/>
    </row>
    <row r="496" ht="15.75" customHeight="1" s="297">
      <c r="A496" s="177" t="n"/>
      <c r="B496" s="177" t="n"/>
      <c r="C496" s="177" t="n"/>
      <c r="D496" s="177" t="n"/>
      <c r="E496" s="177" t="n"/>
      <c r="F496" s="177" t="n"/>
      <c r="G496" s="177" t="n"/>
      <c r="H496" s="177" t="n"/>
      <c r="I496" s="177" t="n"/>
      <c r="J496" s="177" t="n"/>
      <c r="K496" s="177" t="n"/>
      <c r="L496" s="177" t="n"/>
      <c r="M496" s="177" t="n"/>
      <c r="N496" s="177" t="n"/>
      <c r="O496" s="177" t="n"/>
      <c r="P496" s="177" t="n"/>
      <c r="Q496" s="177" t="n"/>
      <c r="R496" s="177" t="n"/>
      <c r="S496" s="177" t="n"/>
      <c r="T496" s="177" t="n"/>
      <c r="U496" s="177" t="n"/>
      <c r="V496" s="177" t="n"/>
      <c r="W496" s="177" t="n"/>
    </row>
    <row r="497" ht="15.75" customHeight="1" s="297">
      <c r="A497" s="177" t="n"/>
      <c r="B497" s="177" t="n"/>
      <c r="C497" s="177" t="n"/>
      <c r="D497" s="177" t="n"/>
      <c r="E497" s="177" t="n"/>
      <c r="F497" s="177" t="n"/>
      <c r="G497" s="177" t="n"/>
      <c r="H497" s="177" t="n"/>
      <c r="I497" s="177" t="n"/>
      <c r="J497" s="177" t="n"/>
      <c r="K497" s="177" t="n"/>
      <c r="L497" s="177" t="n"/>
      <c r="M497" s="177" t="n"/>
      <c r="N497" s="177" t="n"/>
      <c r="O497" s="177" t="n"/>
      <c r="P497" s="177" t="n"/>
      <c r="Q497" s="177" t="n"/>
      <c r="R497" s="177" t="n"/>
      <c r="S497" s="177" t="n"/>
      <c r="T497" s="177" t="n"/>
      <c r="U497" s="177" t="n"/>
      <c r="V497" s="177" t="n"/>
      <c r="W497" s="177" t="n"/>
    </row>
    <row r="498" ht="15.75" customHeight="1" s="297">
      <c r="A498" s="177" t="n"/>
      <c r="B498" s="177" t="n"/>
      <c r="C498" s="177" t="n"/>
      <c r="D498" s="177" t="n"/>
      <c r="E498" s="177" t="n"/>
      <c r="F498" s="177" t="n"/>
      <c r="G498" s="177" t="n"/>
      <c r="H498" s="177" t="n"/>
      <c r="I498" s="177" t="n"/>
      <c r="J498" s="177" t="n"/>
      <c r="K498" s="177" t="n"/>
      <c r="L498" s="177" t="n"/>
      <c r="M498" s="177" t="n"/>
      <c r="N498" s="177" t="n"/>
      <c r="O498" s="177" t="n"/>
      <c r="P498" s="177" t="n"/>
      <c r="Q498" s="177" t="n"/>
      <c r="R498" s="177" t="n"/>
      <c r="S498" s="177" t="n"/>
      <c r="T498" s="177" t="n"/>
      <c r="U498" s="177" t="n"/>
      <c r="V498" s="177" t="n"/>
      <c r="W498" s="177" t="n"/>
    </row>
    <row r="499" ht="15.75" customHeight="1" s="297">
      <c r="A499" s="177" t="n"/>
      <c r="B499" s="177" t="n"/>
      <c r="C499" s="177" t="n"/>
      <c r="D499" s="177" t="n"/>
      <c r="E499" s="177" t="n"/>
      <c r="F499" s="177" t="n"/>
      <c r="G499" s="177" t="n"/>
      <c r="H499" s="177" t="n"/>
      <c r="I499" s="177" t="n"/>
      <c r="J499" s="177" t="n"/>
      <c r="K499" s="177" t="n"/>
      <c r="L499" s="177" t="n"/>
      <c r="M499" s="177" t="n"/>
      <c r="N499" s="177" t="n"/>
      <c r="O499" s="177" t="n"/>
      <c r="P499" s="177" t="n"/>
      <c r="Q499" s="177" t="n"/>
      <c r="R499" s="177" t="n"/>
      <c r="S499" s="177" t="n"/>
      <c r="T499" s="177" t="n"/>
      <c r="U499" s="177" t="n"/>
      <c r="V499" s="177" t="n"/>
      <c r="W499" s="177" t="n"/>
    </row>
    <row r="500" ht="15.75" customHeight="1" s="297">
      <c r="A500" s="177" t="n"/>
      <c r="B500" s="177" t="n"/>
      <c r="C500" s="177" t="n"/>
      <c r="D500" s="177" t="n"/>
      <c r="E500" s="177" t="n"/>
      <c r="F500" s="177" t="n"/>
      <c r="G500" s="177" t="n"/>
      <c r="H500" s="177" t="n"/>
      <c r="I500" s="177" t="n"/>
      <c r="J500" s="177" t="n"/>
      <c r="K500" s="177" t="n"/>
      <c r="L500" s="177" t="n"/>
      <c r="M500" s="177" t="n"/>
      <c r="N500" s="177" t="n"/>
      <c r="O500" s="177" t="n"/>
      <c r="P500" s="177" t="n"/>
      <c r="Q500" s="177" t="n"/>
      <c r="R500" s="177" t="n"/>
      <c r="S500" s="177" t="n"/>
      <c r="T500" s="177" t="n"/>
      <c r="U500" s="177" t="n"/>
      <c r="V500" s="177" t="n"/>
      <c r="W500" s="177" t="n"/>
    </row>
    <row r="501" ht="15.75" customHeight="1" s="297">
      <c r="A501" s="177" t="n"/>
      <c r="B501" s="177" t="n"/>
      <c r="C501" s="177" t="n"/>
      <c r="D501" s="177" t="n"/>
      <c r="E501" s="177" t="n"/>
      <c r="F501" s="177" t="n"/>
      <c r="G501" s="177" t="n"/>
      <c r="H501" s="177" t="n"/>
      <c r="I501" s="177" t="n"/>
      <c r="J501" s="177" t="n"/>
      <c r="K501" s="177" t="n"/>
      <c r="L501" s="177" t="n"/>
      <c r="M501" s="177" t="n"/>
      <c r="N501" s="177" t="n"/>
      <c r="O501" s="177" t="n"/>
      <c r="P501" s="177" t="n"/>
      <c r="Q501" s="177" t="n"/>
      <c r="R501" s="177" t="n"/>
      <c r="S501" s="177" t="n"/>
      <c r="T501" s="177" t="n"/>
      <c r="U501" s="177" t="n"/>
      <c r="V501" s="177" t="n"/>
      <c r="W501" s="177" t="n"/>
    </row>
    <row r="502" ht="15.75" customHeight="1" s="297">
      <c r="A502" s="177" t="n"/>
      <c r="B502" s="177" t="n"/>
      <c r="C502" s="177" t="n"/>
      <c r="D502" s="177" t="n"/>
      <c r="E502" s="177" t="n"/>
      <c r="F502" s="177" t="n"/>
      <c r="G502" s="177" t="n"/>
      <c r="H502" s="177" t="n"/>
      <c r="I502" s="177" t="n"/>
      <c r="J502" s="177" t="n"/>
      <c r="K502" s="177" t="n"/>
      <c r="L502" s="177" t="n"/>
      <c r="M502" s="177" t="n"/>
      <c r="N502" s="177" t="n"/>
      <c r="O502" s="177" t="n"/>
      <c r="P502" s="177" t="n"/>
      <c r="Q502" s="177" t="n"/>
      <c r="R502" s="177" t="n"/>
      <c r="S502" s="177" t="n"/>
      <c r="T502" s="177" t="n"/>
      <c r="U502" s="177" t="n"/>
      <c r="V502" s="177" t="n"/>
      <c r="W502" s="177" t="n"/>
    </row>
    <row r="503" ht="15.75" customHeight="1" s="297">
      <c r="A503" s="177" t="n"/>
      <c r="B503" s="177" t="n"/>
      <c r="C503" s="177" t="n"/>
      <c r="D503" s="177" t="n"/>
      <c r="E503" s="177" t="n"/>
      <c r="F503" s="177" t="n"/>
      <c r="G503" s="177" t="n"/>
      <c r="H503" s="177" t="n"/>
      <c r="I503" s="177" t="n"/>
      <c r="J503" s="177" t="n"/>
      <c r="K503" s="177" t="n"/>
      <c r="L503" s="177" t="n"/>
      <c r="M503" s="177" t="n"/>
      <c r="N503" s="177" t="n"/>
      <c r="O503" s="177" t="n"/>
      <c r="P503" s="177" t="n"/>
      <c r="Q503" s="177" t="n"/>
      <c r="R503" s="177" t="n"/>
      <c r="S503" s="177" t="n"/>
      <c r="T503" s="177" t="n"/>
      <c r="U503" s="177" t="n"/>
      <c r="V503" s="177" t="n"/>
      <c r="W503" s="177" t="n"/>
    </row>
    <row r="504" ht="15.75" customHeight="1" s="297">
      <c r="A504" s="177" t="n"/>
      <c r="B504" s="177" t="n"/>
      <c r="C504" s="177" t="n"/>
      <c r="D504" s="177" t="n"/>
      <c r="E504" s="177" t="n"/>
      <c r="F504" s="177" t="n"/>
      <c r="G504" s="177" t="n"/>
      <c r="H504" s="177" t="n"/>
      <c r="I504" s="177" t="n"/>
      <c r="J504" s="177" t="n"/>
      <c r="K504" s="177" t="n"/>
      <c r="L504" s="177" t="n"/>
      <c r="M504" s="177" t="n"/>
      <c r="N504" s="177" t="n"/>
      <c r="O504" s="177" t="n"/>
      <c r="P504" s="177" t="n"/>
      <c r="Q504" s="177" t="n"/>
      <c r="R504" s="177" t="n"/>
      <c r="S504" s="177" t="n"/>
      <c r="T504" s="177" t="n"/>
      <c r="U504" s="177" t="n"/>
      <c r="V504" s="177" t="n"/>
      <c r="W504" s="177" t="n"/>
    </row>
    <row r="505" ht="15.75" customHeight="1" s="297">
      <c r="A505" s="177" t="n"/>
      <c r="B505" s="177" t="n"/>
      <c r="C505" s="177" t="n"/>
      <c r="D505" s="177" t="n"/>
      <c r="E505" s="177" t="n"/>
      <c r="F505" s="177" t="n"/>
      <c r="G505" s="177" t="n"/>
      <c r="H505" s="177" t="n"/>
      <c r="I505" s="177" t="n"/>
      <c r="J505" s="177" t="n"/>
      <c r="K505" s="177" t="n"/>
      <c r="L505" s="177" t="n"/>
      <c r="M505" s="177" t="n"/>
      <c r="N505" s="177" t="n"/>
      <c r="O505" s="177" t="n"/>
      <c r="P505" s="177" t="n"/>
      <c r="Q505" s="177" t="n"/>
      <c r="R505" s="177" t="n"/>
      <c r="S505" s="177" t="n"/>
      <c r="T505" s="177" t="n"/>
      <c r="U505" s="177" t="n"/>
      <c r="V505" s="177" t="n"/>
      <c r="W505" s="177" t="n"/>
    </row>
    <row r="506" ht="15.75" customHeight="1" s="297">
      <c r="A506" s="177" t="n"/>
      <c r="B506" s="177" t="n"/>
      <c r="C506" s="177" t="n"/>
      <c r="D506" s="177" t="n"/>
      <c r="E506" s="177" t="n"/>
      <c r="F506" s="177" t="n"/>
      <c r="G506" s="177" t="n"/>
      <c r="H506" s="177" t="n"/>
      <c r="I506" s="177" t="n"/>
      <c r="J506" s="177" t="n"/>
      <c r="K506" s="177" t="n"/>
      <c r="L506" s="177" t="n"/>
      <c r="M506" s="177" t="n"/>
      <c r="N506" s="177" t="n"/>
      <c r="O506" s="177" t="n"/>
      <c r="P506" s="177" t="n"/>
      <c r="Q506" s="177" t="n"/>
      <c r="R506" s="177" t="n"/>
      <c r="S506" s="177" t="n"/>
      <c r="T506" s="177" t="n"/>
      <c r="U506" s="177" t="n"/>
      <c r="V506" s="177" t="n"/>
      <c r="W506" s="177" t="n"/>
    </row>
    <row r="507" ht="15.75" customHeight="1" s="297">
      <c r="A507" s="177" t="n"/>
      <c r="B507" s="177" t="n"/>
      <c r="C507" s="177" t="n"/>
      <c r="D507" s="177" t="n"/>
      <c r="E507" s="177" t="n"/>
      <c r="F507" s="177" t="n"/>
      <c r="G507" s="177" t="n"/>
      <c r="H507" s="177" t="n"/>
      <c r="I507" s="177" t="n"/>
      <c r="J507" s="177" t="n"/>
      <c r="K507" s="177" t="n"/>
      <c r="L507" s="177" t="n"/>
      <c r="M507" s="177" t="n"/>
      <c r="N507" s="177" t="n"/>
      <c r="O507" s="177" t="n"/>
      <c r="P507" s="177" t="n"/>
      <c r="Q507" s="177" t="n"/>
      <c r="R507" s="177" t="n"/>
      <c r="S507" s="177" t="n"/>
      <c r="T507" s="177" t="n"/>
      <c r="U507" s="177" t="n"/>
      <c r="V507" s="177" t="n"/>
      <c r="W507" s="177" t="n"/>
    </row>
    <row r="508" ht="15.75" customHeight="1" s="297">
      <c r="A508" s="177" t="n"/>
      <c r="B508" s="177" t="n"/>
      <c r="C508" s="177" t="n"/>
      <c r="D508" s="177" t="n"/>
      <c r="E508" s="177" t="n"/>
      <c r="F508" s="177" t="n"/>
      <c r="G508" s="177" t="n"/>
      <c r="H508" s="177" t="n"/>
      <c r="I508" s="177" t="n"/>
      <c r="J508" s="177" t="n"/>
      <c r="K508" s="177" t="n"/>
      <c r="L508" s="177" t="n"/>
      <c r="M508" s="177" t="n"/>
      <c r="N508" s="177" t="n"/>
      <c r="O508" s="177" t="n"/>
      <c r="P508" s="177" t="n"/>
      <c r="Q508" s="177" t="n"/>
      <c r="R508" s="177" t="n"/>
      <c r="S508" s="177" t="n"/>
      <c r="T508" s="177" t="n"/>
      <c r="U508" s="177" t="n"/>
      <c r="V508" s="177" t="n"/>
      <c r="W508" s="177" t="n"/>
    </row>
    <row r="509" ht="15.75" customHeight="1" s="297">
      <c r="A509" s="177" t="n"/>
      <c r="B509" s="177" t="n"/>
      <c r="C509" s="177" t="n"/>
      <c r="D509" s="177" t="n"/>
      <c r="E509" s="177" t="n"/>
      <c r="F509" s="177" t="n"/>
      <c r="G509" s="177" t="n"/>
      <c r="H509" s="177" t="n"/>
      <c r="I509" s="177" t="n"/>
      <c r="J509" s="177" t="n"/>
      <c r="K509" s="177" t="n"/>
      <c r="L509" s="177" t="n"/>
      <c r="M509" s="177" t="n"/>
      <c r="N509" s="177" t="n"/>
      <c r="O509" s="177" t="n"/>
      <c r="P509" s="177" t="n"/>
      <c r="Q509" s="177" t="n"/>
      <c r="R509" s="177" t="n"/>
      <c r="S509" s="177" t="n"/>
      <c r="T509" s="177" t="n"/>
      <c r="U509" s="177" t="n"/>
      <c r="V509" s="177" t="n"/>
      <c r="W509" s="177" t="n"/>
    </row>
    <row r="510" ht="15.75" customHeight="1" s="297">
      <c r="A510" s="177" t="n"/>
      <c r="B510" s="177" t="n"/>
      <c r="C510" s="177" t="n"/>
      <c r="D510" s="177" t="n"/>
      <c r="E510" s="177" t="n"/>
      <c r="F510" s="177" t="n"/>
      <c r="G510" s="177" t="n"/>
      <c r="H510" s="177" t="n"/>
      <c r="I510" s="177" t="n"/>
      <c r="J510" s="177" t="n"/>
      <c r="K510" s="177" t="n"/>
      <c r="L510" s="177" t="n"/>
      <c r="M510" s="177" t="n"/>
      <c r="N510" s="177" t="n"/>
      <c r="O510" s="177" t="n"/>
      <c r="P510" s="177" t="n"/>
      <c r="Q510" s="177" t="n"/>
      <c r="R510" s="177" t="n"/>
      <c r="S510" s="177" t="n"/>
      <c r="T510" s="177" t="n"/>
      <c r="U510" s="177" t="n"/>
      <c r="V510" s="177" t="n"/>
      <c r="W510" s="177" t="n"/>
    </row>
    <row r="511" ht="15.75" customHeight="1" s="297">
      <c r="A511" s="177" t="n"/>
      <c r="B511" s="177" t="n"/>
      <c r="C511" s="177" t="n"/>
      <c r="D511" s="177" t="n"/>
      <c r="E511" s="177" t="n"/>
      <c r="F511" s="177" t="n"/>
      <c r="G511" s="177" t="n"/>
      <c r="H511" s="177" t="n"/>
      <c r="I511" s="177" t="n"/>
      <c r="J511" s="177" t="n"/>
      <c r="K511" s="177" t="n"/>
      <c r="L511" s="177" t="n"/>
      <c r="M511" s="177" t="n"/>
      <c r="N511" s="177" t="n"/>
      <c r="O511" s="177" t="n"/>
      <c r="P511" s="177" t="n"/>
      <c r="Q511" s="177" t="n"/>
      <c r="R511" s="177" t="n"/>
      <c r="S511" s="177" t="n"/>
      <c r="T511" s="177" t="n"/>
      <c r="U511" s="177" t="n"/>
      <c r="V511" s="177" t="n"/>
      <c r="W511" s="177" t="n"/>
    </row>
    <row r="512" ht="15.75" customHeight="1" s="297">
      <c r="A512" s="177" t="n"/>
      <c r="B512" s="177" t="n"/>
      <c r="C512" s="177" t="n"/>
      <c r="D512" s="177" t="n"/>
      <c r="E512" s="177" t="n"/>
      <c r="F512" s="177" t="n"/>
      <c r="G512" s="177" t="n"/>
      <c r="H512" s="177" t="n"/>
      <c r="I512" s="177" t="n"/>
      <c r="J512" s="177" t="n"/>
      <c r="K512" s="177" t="n"/>
      <c r="L512" s="177" t="n"/>
      <c r="M512" s="177" t="n"/>
      <c r="N512" s="177" t="n"/>
      <c r="O512" s="177" t="n"/>
      <c r="P512" s="177" t="n"/>
      <c r="Q512" s="177" t="n"/>
      <c r="R512" s="177" t="n"/>
      <c r="S512" s="177" t="n"/>
      <c r="T512" s="177" t="n"/>
      <c r="U512" s="177" t="n"/>
      <c r="V512" s="177" t="n"/>
      <c r="W512" s="177" t="n"/>
    </row>
    <row r="513" ht="15.75" customHeight="1" s="297">
      <c r="A513" s="177" t="n"/>
      <c r="B513" s="177" t="n"/>
      <c r="C513" s="177" t="n"/>
      <c r="D513" s="177" t="n"/>
      <c r="E513" s="177" t="n"/>
      <c r="F513" s="177" t="n"/>
      <c r="G513" s="177" t="n"/>
      <c r="H513" s="177" t="n"/>
      <c r="I513" s="177" t="n"/>
      <c r="J513" s="177" t="n"/>
      <c r="K513" s="177" t="n"/>
      <c r="L513" s="177" t="n"/>
      <c r="M513" s="177" t="n"/>
      <c r="N513" s="177" t="n"/>
      <c r="O513" s="177" t="n"/>
      <c r="P513" s="177" t="n"/>
      <c r="Q513" s="177" t="n"/>
      <c r="R513" s="177" t="n"/>
      <c r="S513" s="177" t="n"/>
      <c r="T513" s="177" t="n"/>
      <c r="U513" s="177" t="n"/>
      <c r="V513" s="177" t="n"/>
      <c r="W513" s="177" t="n"/>
    </row>
    <row r="514" ht="15.75" customHeight="1" s="297">
      <c r="A514" s="177" t="n"/>
      <c r="B514" s="177" t="n"/>
      <c r="C514" s="177" t="n"/>
      <c r="D514" s="177" t="n"/>
      <c r="E514" s="177" t="n"/>
      <c r="F514" s="177" t="n"/>
      <c r="G514" s="177" t="n"/>
      <c r="H514" s="177" t="n"/>
      <c r="I514" s="177" t="n"/>
      <c r="J514" s="177" t="n"/>
      <c r="K514" s="177" t="n"/>
      <c r="L514" s="177" t="n"/>
      <c r="M514" s="177" t="n"/>
      <c r="N514" s="177" t="n"/>
      <c r="O514" s="177" t="n"/>
      <c r="P514" s="177" t="n"/>
      <c r="Q514" s="177" t="n"/>
      <c r="R514" s="177" t="n"/>
      <c r="S514" s="177" t="n"/>
      <c r="T514" s="177" t="n"/>
      <c r="U514" s="177" t="n"/>
      <c r="V514" s="177" t="n"/>
      <c r="W514" s="177" t="n"/>
    </row>
    <row r="515" ht="15.75" customHeight="1" s="297">
      <c r="A515" s="177" t="n"/>
      <c r="B515" s="177" t="n"/>
      <c r="C515" s="177" t="n"/>
      <c r="D515" s="177" t="n"/>
      <c r="E515" s="177" t="n"/>
      <c r="F515" s="177" t="n"/>
      <c r="G515" s="177" t="n"/>
      <c r="H515" s="177" t="n"/>
      <c r="I515" s="177" t="n"/>
      <c r="J515" s="177" t="n"/>
      <c r="K515" s="177" t="n"/>
      <c r="L515" s="177" t="n"/>
      <c r="M515" s="177" t="n"/>
      <c r="N515" s="177" t="n"/>
      <c r="O515" s="177" t="n"/>
      <c r="P515" s="177" t="n"/>
      <c r="Q515" s="177" t="n"/>
      <c r="R515" s="177" t="n"/>
      <c r="S515" s="177" t="n"/>
      <c r="T515" s="177" t="n"/>
      <c r="U515" s="177" t="n"/>
      <c r="V515" s="177" t="n"/>
      <c r="W515" s="177" t="n"/>
    </row>
    <row r="516" ht="15.75" customHeight="1" s="297">
      <c r="A516" s="177" t="n"/>
      <c r="B516" s="177" t="n"/>
      <c r="C516" s="177" t="n"/>
      <c r="D516" s="177" t="n"/>
      <c r="E516" s="177" t="n"/>
      <c r="F516" s="177" t="n"/>
      <c r="G516" s="177" t="n"/>
      <c r="H516" s="177" t="n"/>
      <c r="I516" s="177" t="n"/>
      <c r="J516" s="177" t="n"/>
      <c r="K516" s="177" t="n"/>
      <c r="L516" s="177" t="n"/>
      <c r="M516" s="177" t="n"/>
      <c r="N516" s="177" t="n"/>
      <c r="O516" s="177" t="n"/>
      <c r="P516" s="177" t="n"/>
      <c r="Q516" s="177" t="n"/>
      <c r="R516" s="177" t="n"/>
      <c r="S516" s="177" t="n"/>
      <c r="T516" s="177" t="n"/>
      <c r="U516" s="177" t="n"/>
      <c r="V516" s="177" t="n"/>
      <c r="W516" s="177" t="n"/>
    </row>
    <row r="517" ht="15.75" customHeight="1" s="297">
      <c r="A517" s="177" t="n"/>
      <c r="B517" s="177" t="n"/>
      <c r="C517" s="177" t="n"/>
      <c r="D517" s="177" t="n"/>
      <c r="E517" s="177" t="n"/>
      <c r="F517" s="177" t="n"/>
      <c r="G517" s="177" t="n"/>
      <c r="H517" s="177" t="n"/>
      <c r="I517" s="177" t="n"/>
      <c r="J517" s="177" t="n"/>
      <c r="K517" s="177" t="n"/>
      <c r="L517" s="177" t="n"/>
      <c r="M517" s="177" t="n"/>
      <c r="N517" s="177" t="n"/>
      <c r="O517" s="177" t="n"/>
      <c r="P517" s="177" t="n"/>
      <c r="Q517" s="177" t="n"/>
      <c r="R517" s="177" t="n"/>
      <c r="S517" s="177" t="n"/>
      <c r="T517" s="177" t="n"/>
      <c r="U517" s="177" t="n"/>
      <c r="V517" s="177" t="n"/>
      <c r="W517" s="177" t="n"/>
    </row>
    <row r="518" ht="15.75" customHeight="1" s="297">
      <c r="A518" s="177" t="n"/>
      <c r="B518" s="177" t="n"/>
      <c r="C518" s="177" t="n"/>
      <c r="D518" s="177" t="n"/>
      <c r="E518" s="177" t="n"/>
      <c r="F518" s="177" t="n"/>
      <c r="G518" s="177" t="n"/>
      <c r="H518" s="177" t="n"/>
      <c r="I518" s="177" t="n"/>
      <c r="J518" s="177" t="n"/>
      <c r="K518" s="177" t="n"/>
      <c r="L518" s="177" t="n"/>
      <c r="M518" s="177" t="n"/>
      <c r="N518" s="177" t="n"/>
      <c r="O518" s="177" t="n"/>
      <c r="P518" s="177" t="n"/>
      <c r="Q518" s="177" t="n"/>
      <c r="R518" s="177" t="n"/>
      <c r="S518" s="177" t="n"/>
      <c r="T518" s="177" t="n"/>
      <c r="U518" s="177" t="n"/>
      <c r="V518" s="177" t="n"/>
      <c r="W518" s="177" t="n"/>
    </row>
    <row r="519" ht="15.75" customHeight="1" s="297">
      <c r="A519" s="177" t="n"/>
      <c r="B519" s="177" t="n"/>
      <c r="C519" s="177" t="n"/>
      <c r="D519" s="177" t="n"/>
      <c r="E519" s="177" t="n"/>
      <c r="F519" s="177" t="n"/>
      <c r="G519" s="177" t="n"/>
      <c r="H519" s="177" t="n"/>
      <c r="I519" s="177" t="n"/>
      <c r="J519" s="177" t="n"/>
      <c r="K519" s="177" t="n"/>
      <c r="L519" s="177" t="n"/>
      <c r="M519" s="177" t="n"/>
      <c r="N519" s="177" t="n"/>
      <c r="O519" s="177" t="n"/>
      <c r="P519" s="177" t="n"/>
      <c r="Q519" s="177" t="n"/>
      <c r="R519" s="177" t="n"/>
      <c r="S519" s="177" t="n"/>
      <c r="T519" s="177" t="n"/>
      <c r="U519" s="177" t="n"/>
      <c r="V519" s="177" t="n"/>
      <c r="W519" s="177" t="n"/>
    </row>
    <row r="520" ht="15.75" customHeight="1" s="297">
      <c r="A520" s="177" t="n"/>
      <c r="B520" s="177" t="n"/>
      <c r="C520" s="177" t="n"/>
      <c r="D520" s="177" t="n"/>
      <c r="E520" s="177" t="n"/>
      <c r="F520" s="177" t="n"/>
      <c r="G520" s="177" t="n"/>
      <c r="H520" s="177" t="n"/>
      <c r="I520" s="177" t="n"/>
      <c r="J520" s="177" t="n"/>
      <c r="K520" s="177" t="n"/>
      <c r="L520" s="177" t="n"/>
      <c r="M520" s="177" t="n"/>
      <c r="N520" s="177" t="n"/>
      <c r="O520" s="177" t="n"/>
      <c r="P520" s="177" t="n"/>
      <c r="Q520" s="177" t="n"/>
      <c r="R520" s="177" t="n"/>
      <c r="S520" s="177" t="n"/>
      <c r="T520" s="177" t="n"/>
      <c r="U520" s="177" t="n"/>
      <c r="V520" s="177" t="n"/>
      <c r="W520" s="177" t="n"/>
    </row>
    <row r="521" ht="15.75" customHeight="1" s="297">
      <c r="A521" s="177" t="n"/>
      <c r="B521" s="177" t="n"/>
      <c r="C521" s="177" t="n"/>
      <c r="D521" s="177" t="n"/>
      <c r="E521" s="177" t="n"/>
      <c r="F521" s="177" t="n"/>
      <c r="G521" s="177" t="n"/>
      <c r="H521" s="177" t="n"/>
      <c r="I521" s="177" t="n"/>
      <c r="J521" s="177" t="n"/>
      <c r="K521" s="177" t="n"/>
      <c r="L521" s="177" t="n"/>
      <c r="M521" s="177" t="n"/>
      <c r="N521" s="177" t="n"/>
      <c r="O521" s="177" t="n"/>
      <c r="P521" s="177" t="n"/>
      <c r="Q521" s="177" t="n"/>
      <c r="R521" s="177" t="n"/>
      <c r="S521" s="177" t="n"/>
      <c r="T521" s="177" t="n"/>
      <c r="U521" s="177" t="n"/>
      <c r="V521" s="177" t="n"/>
      <c r="W521" s="177" t="n"/>
    </row>
    <row r="522" ht="15.75" customHeight="1" s="297">
      <c r="A522" s="177" t="n"/>
      <c r="B522" s="177" t="n"/>
      <c r="C522" s="177" t="n"/>
      <c r="D522" s="177" t="n"/>
      <c r="E522" s="177" t="n"/>
      <c r="F522" s="177" t="n"/>
      <c r="G522" s="177" t="n"/>
      <c r="H522" s="177" t="n"/>
      <c r="I522" s="177" t="n"/>
      <c r="J522" s="177" t="n"/>
      <c r="K522" s="177" t="n"/>
      <c r="L522" s="177" t="n"/>
      <c r="M522" s="177" t="n"/>
      <c r="N522" s="177" t="n"/>
      <c r="O522" s="177" t="n"/>
      <c r="P522" s="177" t="n"/>
      <c r="Q522" s="177" t="n"/>
      <c r="R522" s="177" t="n"/>
      <c r="S522" s="177" t="n"/>
      <c r="T522" s="177" t="n"/>
      <c r="U522" s="177" t="n"/>
      <c r="V522" s="177" t="n"/>
      <c r="W522" s="177" t="n"/>
    </row>
    <row r="523" ht="15.75" customHeight="1" s="297">
      <c r="A523" s="177" t="n"/>
      <c r="B523" s="177" t="n"/>
      <c r="C523" s="177" t="n"/>
      <c r="D523" s="177" t="n"/>
      <c r="E523" s="177" t="n"/>
      <c r="F523" s="177" t="n"/>
      <c r="G523" s="177" t="n"/>
      <c r="H523" s="177" t="n"/>
      <c r="I523" s="177" t="n"/>
      <c r="J523" s="177" t="n"/>
      <c r="K523" s="177" t="n"/>
      <c r="L523" s="177" t="n"/>
      <c r="M523" s="177" t="n"/>
      <c r="N523" s="177" t="n"/>
      <c r="O523" s="177" t="n"/>
      <c r="P523" s="177" t="n"/>
      <c r="Q523" s="177" t="n"/>
      <c r="R523" s="177" t="n"/>
      <c r="S523" s="177" t="n"/>
      <c r="T523" s="177" t="n"/>
      <c r="U523" s="177" t="n"/>
      <c r="V523" s="177" t="n"/>
      <c r="W523" s="177" t="n"/>
    </row>
    <row r="524" ht="15.75" customHeight="1" s="297">
      <c r="A524" s="177" t="n"/>
      <c r="B524" s="177" t="n"/>
      <c r="C524" s="177" t="n"/>
      <c r="D524" s="177" t="n"/>
      <c r="E524" s="177" t="n"/>
      <c r="F524" s="177" t="n"/>
      <c r="G524" s="177" t="n"/>
      <c r="H524" s="177" t="n"/>
      <c r="I524" s="177" t="n"/>
      <c r="J524" s="177" t="n"/>
      <c r="K524" s="177" t="n"/>
      <c r="L524" s="177" t="n"/>
      <c r="M524" s="177" t="n"/>
      <c r="N524" s="177" t="n"/>
      <c r="O524" s="177" t="n"/>
      <c r="P524" s="177" t="n"/>
      <c r="Q524" s="177" t="n"/>
      <c r="R524" s="177" t="n"/>
      <c r="S524" s="177" t="n"/>
      <c r="T524" s="177" t="n"/>
      <c r="U524" s="177" t="n"/>
      <c r="V524" s="177" t="n"/>
      <c r="W524" s="177" t="n"/>
    </row>
    <row r="525" ht="15.75" customHeight="1" s="297">
      <c r="A525" s="177" t="n"/>
      <c r="B525" s="177" t="n"/>
      <c r="C525" s="177" t="n"/>
      <c r="D525" s="177" t="n"/>
      <c r="E525" s="177" t="n"/>
      <c r="F525" s="177" t="n"/>
      <c r="G525" s="177" t="n"/>
      <c r="H525" s="177" t="n"/>
      <c r="I525" s="177" t="n"/>
      <c r="J525" s="177" t="n"/>
      <c r="K525" s="177" t="n"/>
      <c r="L525" s="177" t="n"/>
      <c r="M525" s="177" t="n"/>
      <c r="N525" s="177" t="n"/>
      <c r="O525" s="177" t="n"/>
      <c r="P525" s="177" t="n"/>
      <c r="Q525" s="177" t="n"/>
      <c r="R525" s="177" t="n"/>
      <c r="S525" s="177" t="n"/>
      <c r="T525" s="177" t="n"/>
      <c r="U525" s="177" t="n"/>
      <c r="V525" s="177" t="n"/>
      <c r="W525" s="177" t="n"/>
    </row>
    <row r="526" ht="15.75" customHeight="1" s="297">
      <c r="A526" s="177" t="n"/>
      <c r="B526" s="177" t="n"/>
      <c r="C526" s="177" t="n"/>
      <c r="D526" s="177" t="n"/>
      <c r="E526" s="177" t="n"/>
      <c r="F526" s="177" t="n"/>
      <c r="G526" s="177" t="n"/>
      <c r="H526" s="177" t="n"/>
      <c r="I526" s="177" t="n"/>
      <c r="J526" s="177" t="n"/>
      <c r="K526" s="177" t="n"/>
      <c r="L526" s="177" t="n"/>
      <c r="M526" s="177" t="n"/>
      <c r="N526" s="177" t="n"/>
      <c r="O526" s="177" t="n"/>
      <c r="P526" s="177" t="n"/>
      <c r="Q526" s="177" t="n"/>
      <c r="R526" s="177" t="n"/>
      <c r="S526" s="177" t="n"/>
      <c r="T526" s="177" t="n"/>
      <c r="U526" s="177" t="n"/>
      <c r="V526" s="177" t="n"/>
      <c r="W526" s="177" t="n"/>
    </row>
    <row r="527" ht="15.75" customHeight="1" s="297">
      <c r="A527" s="177" t="n"/>
      <c r="B527" s="177" t="n"/>
      <c r="C527" s="177" t="n"/>
      <c r="D527" s="177" t="n"/>
      <c r="E527" s="177" t="n"/>
      <c r="F527" s="177" t="n"/>
      <c r="G527" s="177" t="n"/>
      <c r="H527" s="177" t="n"/>
      <c r="I527" s="177" t="n"/>
      <c r="J527" s="177" t="n"/>
      <c r="K527" s="177" t="n"/>
      <c r="L527" s="177" t="n"/>
      <c r="M527" s="177" t="n"/>
      <c r="N527" s="177" t="n"/>
      <c r="O527" s="177" t="n"/>
      <c r="P527" s="177" t="n"/>
      <c r="Q527" s="177" t="n"/>
      <c r="R527" s="177" t="n"/>
      <c r="S527" s="177" t="n"/>
      <c r="T527" s="177" t="n"/>
      <c r="U527" s="177" t="n"/>
      <c r="V527" s="177" t="n"/>
      <c r="W527" s="177" t="n"/>
    </row>
    <row r="528" ht="15.75" customHeight="1" s="297">
      <c r="A528" s="177" t="n"/>
      <c r="B528" s="177" t="n"/>
      <c r="C528" s="177" t="n"/>
      <c r="D528" s="177" t="n"/>
      <c r="E528" s="177" t="n"/>
      <c r="F528" s="177" t="n"/>
      <c r="G528" s="177" t="n"/>
      <c r="H528" s="177" t="n"/>
      <c r="I528" s="177" t="n"/>
      <c r="J528" s="177" t="n"/>
      <c r="K528" s="177" t="n"/>
      <c r="L528" s="177" t="n"/>
      <c r="M528" s="177" t="n"/>
      <c r="N528" s="177" t="n"/>
      <c r="O528" s="177" t="n"/>
      <c r="P528" s="177" t="n"/>
      <c r="Q528" s="177" t="n"/>
      <c r="R528" s="177" t="n"/>
      <c r="S528" s="177" t="n"/>
      <c r="T528" s="177" t="n"/>
      <c r="U528" s="177" t="n"/>
      <c r="V528" s="177" t="n"/>
      <c r="W528" s="177" t="n"/>
    </row>
    <row r="529" ht="15.75" customHeight="1" s="297">
      <c r="A529" s="177" t="n"/>
      <c r="B529" s="177" t="n"/>
      <c r="C529" s="177" t="n"/>
      <c r="D529" s="177" t="n"/>
      <c r="E529" s="177" t="n"/>
      <c r="F529" s="177" t="n"/>
      <c r="G529" s="177" t="n"/>
      <c r="H529" s="177" t="n"/>
      <c r="I529" s="177" t="n"/>
      <c r="J529" s="177" t="n"/>
      <c r="K529" s="177" t="n"/>
      <c r="L529" s="177" t="n"/>
      <c r="M529" s="177" t="n"/>
      <c r="N529" s="177" t="n"/>
      <c r="O529" s="177" t="n"/>
      <c r="P529" s="177" t="n"/>
      <c r="Q529" s="177" t="n"/>
      <c r="R529" s="177" t="n"/>
      <c r="S529" s="177" t="n"/>
      <c r="T529" s="177" t="n"/>
      <c r="U529" s="177" t="n"/>
      <c r="V529" s="177" t="n"/>
      <c r="W529" s="177" t="n"/>
    </row>
    <row r="530" ht="15.75" customHeight="1" s="297">
      <c r="A530" s="177" t="n"/>
      <c r="B530" s="177" t="n"/>
      <c r="C530" s="177" t="n"/>
      <c r="D530" s="177" t="n"/>
      <c r="E530" s="177" t="n"/>
      <c r="F530" s="177" t="n"/>
      <c r="G530" s="177" t="n"/>
      <c r="H530" s="177" t="n"/>
      <c r="I530" s="177" t="n"/>
      <c r="J530" s="177" t="n"/>
      <c r="K530" s="177" t="n"/>
      <c r="L530" s="177" t="n"/>
      <c r="M530" s="177" t="n"/>
      <c r="N530" s="177" t="n"/>
      <c r="O530" s="177" t="n"/>
      <c r="P530" s="177" t="n"/>
      <c r="Q530" s="177" t="n"/>
      <c r="R530" s="177" t="n"/>
      <c r="S530" s="177" t="n"/>
      <c r="T530" s="177" t="n"/>
      <c r="U530" s="177" t="n"/>
      <c r="V530" s="177" t="n"/>
      <c r="W530" s="177" t="n"/>
    </row>
    <row r="531" ht="15.75" customHeight="1" s="297">
      <c r="A531" s="177" t="n"/>
      <c r="B531" s="177" t="n"/>
      <c r="C531" s="177" t="n"/>
      <c r="D531" s="177" t="n"/>
      <c r="E531" s="177" t="n"/>
      <c r="F531" s="177" t="n"/>
      <c r="G531" s="177" t="n"/>
      <c r="H531" s="177" t="n"/>
      <c r="I531" s="177" t="n"/>
      <c r="J531" s="177" t="n"/>
      <c r="K531" s="177" t="n"/>
      <c r="L531" s="177" t="n"/>
      <c r="M531" s="177" t="n"/>
      <c r="N531" s="177" t="n"/>
      <c r="O531" s="177" t="n"/>
      <c r="P531" s="177" t="n"/>
      <c r="Q531" s="177" t="n"/>
      <c r="R531" s="177" t="n"/>
      <c r="S531" s="177" t="n"/>
      <c r="T531" s="177" t="n"/>
      <c r="U531" s="177" t="n"/>
      <c r="V531" s="177" t="n"/>
      <c r="W531" s="177" t="n"/>
    </row>
    <row r="532" ht="15.75" customHeight="1" s="297">
      <c r="A532" s="177" t="n"/>
      <c r="B532" s="177" t="n"/>
      <c r="C532" s="177" t="n"/>
      <c r="D532" s="177" t="n"/>
      <c r="E532" s="177" t="n"/>
      <c r="F532" s="177" t="n"/>
      <c r="G532" s="177" t="n"/>
      <c r="H532" s="177" t="n"/>
      <c r="I532" s="177" t="n"/>
      <c r="J532" s="177" t="n"/>
      <c r="K532" s="177" t="n"/>
      <c r="L532" s="177" t="n"/>
      <c r="M532" s="177" t="n"/>
      <c r="N532" s="177" t="n"/>
      <c r="O532" s="177" t="n"/>
      <c r="P532" s="177" t="n"/>
      <c r="Q532" s="177" t="n"/>
      <c r="R532" s="177" t="n"/>
      <c r="S532" s="177" t="n"/>
      <c r="T532" s="177" t="n"/>
      <c r="U532" s="177" t="n"/>
      <c r="V532" s="177" t="n"/>
      <c r="W532" s="177" t="n"/>
    </row>
    <row r="533" ht="15.75" customHeight="1" s="297">
      <c r="A533" s="177" t="n"/>
      <c r="B533" s="177" t="n"/>
      <c r="C533" s="177" t="n"/>
      <c r="D533" s="177" t="n"/>
      <c r="E533" s="177" t="n"/>
      <c r="F533" s="177" t="n"/>
      <c r="G533" s="177" t="n"/>
      <c r="H533" s="177" t="n"/>
      <c r="I533" s="177" t="n"/>
      <c r="J533" s="177" t="n"/>
      <c r="K533" s="177" t="n"/>
      <c r="L533" s="177" t="n"/>
      <c r="M533" s="177" t="n"/>
      <c r="N533" s="177" t="n"/>
      <c r="O533" s="177" t="n"/>
      <c r="P533" s="177" t="n"/>
      <c r="Q533" s="177" t="n"/>
      <c r="R533" s="177" t="n"/>
      <c r="S533" s="177" t="n"/>
      <c r="T533" s="177" t="n"/>
      <c r="U533" s="177" t="n"/>
      <c r="V533" s="177" t="n"/>
      <c r="W533" s="177" t="n"/>
    </row>
    <row r="534" ht="15.75" customHeight="1" s="297">
      <c r="A534" s="177" t="n"/>
      <c r="B534" s="177" t="n"/>
      <c r="C534" s="177" t="n"/>
      <c r="D534" s="177" t="n"/>
      <c r="E534" s="177" t="n"/>
      <c r="F534" s="177" t="n"/>
      <c r="G534" s="177" t="n"/>
      <c r="H534" s="177" t="n"/>
      <c r="I534" s="177" t="n"/>
      <c r="J534" s="177" t="n"/>
      <c r="K534" s="177" t="n"/>
      <c r="L534" s="177" t="n"/>
      <c r="M534" s="177" t="n"/>
      <c r="N534" s="177" t="n"/>
      <c r="O534" s="177" t="n"/>
      <c r="P534" s="177" t="n"/>
      <c r="Q534" s="177" t="n"/>
      <c r="R534" s="177" t="n"/>
      <c r="S534" s="177" t="n"/>
      <c r="T534" s="177" t="n"/>
      <c r="U534" s="177" t="n"/>
      <c r="V534" s="177" t="n"/>
      <c r="W534" s="177" t="n"/>
    </row>
    <row r="535" ht="15.75" customHeight="1" s="297">
      <c r="A535" s="177" t="n"/>
      <c r="B535" s="177" t="n"/>
      <c r="C535" s="177" t="n"/>
      <c r="D535" s="177" t="n"/>
      <c r="E535" s="177" t="n"/>
      <c r="F535" s="177" t="n"/>
      <c r="G535" s="177" t="n"/>
      <c r="H535" s="177" t="n"/>
      <c r="I535" s="177" t="n"/>
      <c r="J535" s="177" t="n"/>
      <c r="K535" s="177" t="n"/>
      <c r="L535" s="177" t="n"/>
      <c r="M535" s="177" t="n"/>
      <c r="N535" s="177" t="n"/>
      <c r="O535" s="177" t="n"/>
      <c r="P535" s="177" t="n"/>
      <c r="Q535" s="177" t="n"/>
      <c r="R535" s="177" t="n"/>
      <c r="S535" s="177" t="n"/>
      <c r="T535" s="177" t="n"/>
      <c r="U535" s="177" t="n"/>
      <c r="V535" s="177" t="n"/>
      <c r="W535" s="177" t="n"/>
    </row>
    <row r="536" ht="15.75" customHeight="1" s="297">
      <c r="A536" s="177" t="n"/>
      <c r="B536" s="177" t="n"/>
      <c r="C536" s="177" t="n"/>
      <c r="D536" s="177" t="n"/>
      <c r="E536" s="177" t="n"/>
      <c r="F536" s="177" t="n"/>
      <c r="G536" s="177" t="n"/>
      <c r="H536" s="177" t="n"/>
      <c r="I536" s="177" t="n"/>
      <c r="J536" s="177" t="n"/>
      <c r="K536" s="177" t="n"/>
      <c r="L536" s="177" t="n"/>
      <c r="M536" s="177" t="n"/>
      <c r="N536" s="177" t="n"/>
      <c r="O536" s="177" t="n"/>
      <c r="P536" s="177" t="n"/>
      <c r="Q536" s="177" t="n"/>
      <c r="R536" s="177" t="n"/>
      <c r="S536" s="177" t="n"/>
      <c r="T536" s="177" t="n"/>
      <c r="U536" s="177" t="n"/>
      <c r="V536" s="177" t="n"/>
      <c r="W536" s="177" t="n"/>
    </row>
    <row r="537" ht="15.75" customHeight="1" s="297">
      <c r="A537" s="177" t="n"/>
      <c r="B537" s="177" t="n"/>
      <c r="C537" s="177" t="n"/>
      <c r="D537" s="177" t="n"/>
      <c r="E537" s="177" t="n"/>
      <c r="F537" s="177" t="n"/>
      <c r="G537" s="177" t="n"/>
      <c r="H537" s="177" t="n"/>
      <c r="I537" s="177" t="n"/>
      <c r="J537" s="177" t="n"/>
      <c r="K537" s="177" t="n"/>
      <c r="L537" s="177" t="n"/>
      <c r="M537" s="177" t="n"/>
      <c r="N537" s="177" t="n"/>
      <c r="O537" s="177" t="n"/>
      <c r="P537" s="177" t="n"/>
      <c r="Q537" s="177" t="n"/>
      <c r="R537" s="177" t="n"/>
      <c r="S537" s="177" t="n"/>
      <c r="T537" s="177" t="n"/>
      <c r="U537" s="177" t="n"/>
      <c r="V537" s="177" t="n"/>
      <c r="W537" s="177" t="n"/>
    </row>
    <row r="538" ht="15.75" customHeight="1" s="297">
      <c r="A538" s="177" t="n"/>
      <c r="B538" s="177" t="n"/>
      <c r="C538" s="177" t="n"/>
      <c r="D538" s="177" t="n"/>
      <c r="E538" s="177" t="n"/>
      <c r="F538" s="177" t="n"/>
      <c r="G538" s="177" t="n"/>
      <c r="H538" s="177" t="n"/>
      <c r="I538" s="177" t="n"/>
      <c r="J538" s="177" t="n"/>
      <c r="K538" s="177" t="n"/>
      <c r="L538" s="177" t="n"/>
      <c r="M538" s="177" t="n"/>
      <c r="N538" s="177" t="n"/>
      <c r="O538" s="177" t="n"/>
      <c r="P538" s="177" t="n"/>
      <c r="Q538" s="177" t="n"/>
      <c r="R538" s="177" t="n"/>
      <c r="S538" s="177" t="n"/>
      <c r="T538" s="177" t="n"/>
      <c r="U538" s="177" t="n"/>
      <c r="V538" s="177" t="n"/>
      <c r="W538" s="177" t="n"/>
    </row>
    <row r="539" ht="15.75" customHeight="1" s="297">
      <c r="A539" s="177" t="n"/>
      <c r="B539" s="177" t="n"/>
      <c r="C539" s="177" t="n"/>
      <c r="D539" s="177" t="n"/>
      <c r="E539" s="177" t="n"/>
      <c r="F539" s="177" t="n"/>
      <c r="G539" s="177" t="n"/>
      <c r="H539" s="177" t="n"/>
      <c r="I539" s="177" t="n"/>
      <c r="J539" s="177" t="n"/>
      <c r="K539" s="177" t="n"/>
      <c r="L539" s="177" t="n"/>
      <c r="M539" s="177" t="n"/>
      <c r="N539" s="177" t="n"/>
      <c r="O539" s="177" t="n"/>
      <c r="P539" s="177" t="n"/>
      <c r="Q539" s="177" t="n"/>
      <c r="R539" s="177" t="n"/>
      <c r="S539" s="177" t="n"/>
      <c r="T539" s="177" t="n"/>
      <c r="U539" s="177" t="n"/>
      <c r="V539" s="177" t="n"/>
      <c r="W539" s="177" t="n"/>
    </row>
    <row r="540" ht="15.75" customHeight="1" s="297">
      <c r="A540" s="177" t="n"/>
      <c r="B540" s="177" t="n"/>
      <c r="C540" s="177" t="n"/>
      <c r="D540" s="177" t="n"/>
      <c r="E540" s="177" t="n"/>
      <c r="F540" s="177" t="n"/>
      <c r="G540" s="177" t="n"/>
      <c r="H540" s="177" t="n"/>
      <c r="I540" s="177" t="n"/>
      <c r="J540" s="177" t="n"/>
      <c r="K540" s="177" t="n"/>
      <c r="L540" s="177" t="n"/>
      <c r="M540" s="177" t="n"/>
      <c r="N540" s="177" t="n"/>
      <c r="O540" s="177" t="n"/>
      <c r="P540" s="177" t="n"/>
      <c r="Q540" s="177" t="n"/>
      <c r="R540" s="177" t="n"/>
      <c r="S540" s="177" t="n"/>
      <c r="T540" s="177" t="n"/>
      <c r="U540" s="177" t="n"/>
      <c r="V540" s="177" t="n"/>
      <c r="W540" s="177" t="n"/>
    </row>
    <row r="541" ht="15.75" customHeight="1" s="297">
      <c r="A541" s="177" t="n"/>
      <c r="B541" s="177" t="n"/>
      <c r="C541" s="177" t="n"/>
      <c r="D541" s="177" t="n"/>
      <c r="E541" s="177" t="n"/>
      <c r="F541" s="177" t="n"/>
      <c r="G541" s="177" t="n"/>
      <c r="H541" s="177" t="n"/>
      <c r="I541" s="177" t="n"/>
      <c r="J541" s="177" t="n"/>
      <c r="K541" s="177" t="n"/>
      <c r="L541" s="177" t="n"/>
      <c r="M541" s="177" t="n"/>
      <c r="N541" s="177" t="n"/>
      <c r="O541" s="177" t="n"/>
      <c r="P541" s="177" t="n"/>
      <c r="Q541" s="177" t="n"/>
      <c r="R541" s="177" t="n"/>
      <c r="S541" s="177" t="n"/>
      <c r="T541" s="177" t="n"/>
      <c r="U541" s="177" t="n"/>
      <c r="V541" s="177" t="n"/>
      <c r="W541" s="177" t="n"/>
    </row>
    <row r="542" ht="15.75" customHeight="1" s="297">
      <c r="A542" s="177" t="n"/>
      <c r="B542" s="177" t="n"/>
      <c r="C542" s="177" t="n"/>
      <c r="D542" s="177" t="n"/>
      <c r="E542" s="177" t="n"/>
      <c r="F542" s="177" t="n"/>
      <c r="G542" s="177" t="n"/>
      <c r="H542" s="177" t="n"/>
      <c r="I542" s="177" t="n"/>
      <c r="J542" s="177" t="n"/>
      <c r="K542" s="177" t="n"/>
      <c r="L542" s="177" t="n"/>
      <c r="M542" s="177" t="n"/>
      <c r="N542" s="177" t="n"/>
      <c r="O542" s="177" t="n"/>
      <c r="P542" s="177" t="n"/>
      <c r="Q542" s="177" t="n"/>
      <c r="R542" s="177" t="n"/>
      <c r="S542" s="177" t="n"/>
      <c r="T542" s="177" t="n"/>
      <c r="U542" s="177" t="n"/>
      <c r="V542" s="177" t="n"/>
      <c r="W542" s="177" t="n"/>
    </row>
    <row r="543" ht="15.75" customHeight="1" s="297">
      <c r="A543" s="177" t="n"/>
      <c r="B543" s="177" t="n"/>
      <c r="C543" s="177" t="n"/>
      <c r="D543" s="177" t="n"/>
      <c r="E543" s="177" t="n"/>
      <c r="F543" s="177" t="n"/>
      <c r="G543" s="177" t="n"/>
      <c r="H543" s="177" t="n"/>
      <c r="I543" s="177" t="n"/>
      <c r="J543" s="177" t="n"/>
      <c r="K543" s="177" t="n"/>
      <c r="L543" s="177" t="n"/>
      <c r="M543" s="177" t="n"/>
      <c r="N543" s="177" t="n"/>
      <c r="O543" s="177" t="n"/>
      <c r="P543" s="177" t="n"/>
      <c r="Q543" s="177" t="n"/>
      <c r="R543" s="177" t="n"/>
      <c r="S543" s="177" t="n"/>
      <c r="T543" s="177" t="n"/>
      <c r="U543" s="177" t="n"/>
      <c r="V543" s="177" t="n"/>
      <c r="W543" s="177" t="n"/>
    </row>
    <row r="544" ht="15.75" customHeight="1" s="297">
      <c r="A544" s="177" t="n"/>
      <c r="B544" s="177" t="n"/>
      <c r="C544" s="177" t="n"/>
      <c r="D544" s="177" t="n"/>
      <c r="E544" s="177" t="n"/>
      <c r="F544" s="177" t="n"/>
      <c r="G544" s="177" t="n"/>
      <c r="H544" s="177" t="n"/>
      <c r="I544" s="177" t="n"/>
      <c r="J544" s="177" t="n"/>
      <c r="K544" s="177" t="n"/>
      <c r="L544" s="177" t="n"/>
      <c r="M544" s="177" t="n"/>
      <c r="N544" s="177" t="n"/>
      <c r="O544" s="177" t="n"/>
      <c r="P544" s="177" t="n"/>
      <c r="Q544" s="177" t="n"/>
      <c r="R544" s="177" t="n"/>
      <c r="S544" s="177" t="n"/>
      <c r="T544" s="177" t="n"/>
      <c r="U544" s="177" t="n"/>
      <c r="V544" s="177" t="n"/>
      <c r="W544" s="177" t="n"/>
    </row>
    <row r="545" ht="15.75" customHeight="1" s="297">
      <c r="A545" s="177" t="n"/>
      <c r="B545" s="177" t="n"/>
      <c r="C545" s="177" t="n"/>
      <c r="D545" s="177" t="n"/>
      <c r="E545" s="177" t="n"/>
      <c r="F545" s="177" t="n"/>
      <c r="G545" s="177" t="n"/>
      <c r="H545" s="177" t="n"/>
      <c r="I545" s="177" t="n"/>
      <c r="J545" s="177" t="n"/>
      <c r="K545" s="177" t="n"/>
      <c r="L545" s="177" t="n"/>
      <c r="M545" s="177" t="n"/>
      <c r="N545" s="177" t="n"/>
      <c r="O545" s="177" t="n"/>
      <c r="P545" s="177" t="n"/>
      <c r="Q545" s="177" t="n"/>
      <c r="R545" s="177" t="n"/>
      <c r="S545" s="177" t="n"/>
      <c r="T545" s="177" t="n"/>
      <c r="U545" s="177" t="n"/>
      <c r="V545" s="177" t="n"/>
      <c r="W545" s="177" t="n"/>
    </row>
    <row r="546" ht="15.75" customHeight="1" s="297">
      <c r="A546" s="177" t="n"/>
      <c r="B546" s="177" t="n"/>
      <c r="C546" s="177" t="n"/>
      <c r="D546" s="177" t="n"/>
      <c r="E546" s="177" t="n"/>
      <c r="F546" s="177" t="n"/>
      <c r="G546" s="177" t="n"/>
      <c r="H546" s="177" t="n"/>
      <c r="I546" s="177" t="n"/>
      <c r="J546" s="177" t="n"/>
      <c r="K546" s="177" t="n"/>
      <c r="L546" s="177" t="n"/>
      <c r="M546" s="177" t="n"/>
      <c r="N546" s="177" t="n"/>
      <c r="O546" s="177" t="n"/>
      <c r="P546" s="177" t="n"/>
      <c r="Q546" s="177" t="n"/>
      <c r="R546" s="177" t="n"/>
      <c r="S546" s="177" t="n"/>
      <c r="T546" s="177" t="n"/>
      <c r="U546" s="177" t="n"/>
      <c r="V546" s="177" t="n"/>
      <c r="W546" s="177" t="n"/>
    </row>
    <row r="547" ht="15.75" customHeight="1" s="297">
      <c r="A547" s="177" t="n"/>
      <c r="B547" s="177" t="n"/>
      <c r="C547" s="177" t="n"/>
      <c r="D547" s="177" t="n"/>
      <c r="E547" s="177" t="n"/>
      <c r="F547" s="177" t="n"/>
      <c r="G547" s="177" t="n"/>
      <c r="H547" s="177" t="n"/>
      <c r="I547" s="177" t="n"/>
      <c r="J547" s="177" t="n"/>
      <c r="K547" s="177" t="n"/>
      <c r="L547" s="177" t="n"/>
      <c r="M547" s="177" t="n"/>
      <c r="N547" s="177" t="n"/>
      <c r="O547" s="177" t="n"/>
      <c r="P547" s="177" t="n"/>
      <c r="Q547" s="177" t="n"/>
      <c r="R547" s="177" t="n"/>
      <c r="S547" s="177" t="n"/>
      <c r="T547" s="177" t="n"/>
      <c r="U547" s="177" t="n"/>
      <c r="V547" s="177" t="n"/>
      <c r="W547" s="177" t="n"/>
    </row>
    <row r="548" ht="15.75" customHeight="1" s="297">
      <c r="A548" s="177" t="n"/>
      <c r="B548" s="177" t="n"/>
      <c r="C548" s="177" t="n"/>
      <c r="D548" s="177" t="n"/>
      <c r="E548" s="177" t="n"/>
      <c r="F548" s="177" t="n"/>
      <c r="G548" s="177" t="n"/>
      <c r="H548" s="177" t="n"/>
      <c r="I548" s="177" t="n"/>
      <c r="J548" s="177" t="n"/>
      <c r="K548" s="177" t="n"/>
      <c r="L548" s="177" t="n"/>
      <c r="M548" s="177" t="n"/>
      <c r="N548" s="177" t="n"/>
      <c r="O548" s="177" t="n"/>
      <c r="P548" s="177" t="n"/>
      <c r="Q548" s="177" t="n"/>
      <c r="R548" s="177" t="n"/>
      <c r="S548" s="177" t="n"/>
      <c r="T548" s="177" t="n"/>
      <c r="U548" s="177" t="n"/>
      <c r="V548" s="177" t="n"/>
      <c r="W548" s="177" t="n"/>
    </row>
    <row r="549" ht="15.75" customHeight="1" s="297">
      <c r="A549" s="177" t="n"/>
      <c r="B549" s="177" t="n"/>
      <c r="C549" s="177" t="n"/>
      <c r="D549" s="177" t="n"/>
      <c r="E549" s="177" t="n"/>
      <c r="F549" s="177" t="n"/>
      <c r="G549" s="177" t="n"/>
      <c r="H549" s="177" t="n"/>
      <c r="I549" s="177" t="n"/>
      <c r="J549" s="177" t="n"/>
      <c r="K549" s="177" t="n"/>
      <c r="L549" s="177" t="n"/>
      <c r="M549" s="177" t="n"/>
      <c r="N549" s="177" t="n"/>
      <c r="O549" s="177" t="n"/>
      <c r="P549" s="177" t="n"/>
      <c r="Q549" s="177" t="n"/>
      <c r="R549" s="177" t="n"/>
      <c r="S549" s="177" t="n"/>
      <c r="T549" s="177" t="n"/>
      <c r="U549" s="177" t="n"/>
      <c r="V549" s="177" t="n"/>
      <c r="W549" s="177" t="n"/>
    </row>
    <row r="550" ht="15.75" customHeight="1" s="297">
      <c r="A550" s="177" t="n"/>
      <c r="B550" s="177" t="n"/>
      <c r="C550" s="177" t="n"/>
      <c r="D550" s="177" t="n"/>
      <c r="E550" s="177" t="n"/>
      <c r="F550" s="177" t="n"/>
      <c r="G550" s="177" t="n"/>
      <c r="H550" s="177" t="n"/>
      <c r="I550" s="177" t="n"/>
      <c r="J550" s="177" t="n"/>
      <c r="K550" s="177" t="n"/>
      <c r="L550" s="177" t="n"/>
      <c r="M550" s="177" t="n"/>
      <c r="N550" s="177" t="n"/>
      <c r="O550" s="177" t="n"/>
      <c r="P550" s="177" t="n"/>
      <c r="Q550" s="177" t="n"/>
      <c r="R550" s="177" t="n"/>
      <c r="S550" s="177" t="n"/>
      <c r="T550" s="177" t="n"/>
      <c r="U550" s="177" t="n"/>
      <c r="V550" s="177" t="n"/>
      <c r="W550" s="177" t="n"/>
    </row>
    <row r="551" ht="15.75" customHeight="1" s="297">
      <c r="A551" s="177" t="n"/>
      <c r="B551" s="177" t="n"/>
      <c r="C551" s="177" t="n"/>
      <c r="D551" s="177" t="n"/>
      <c r="E551" s="177" t="n"/>
      <c r="F551" s="177" t="n"/>
      <c r="G551" s="177" t="n"/>
      <c r="H551" s="177" t="n"/>
      <c r="I551" s="177" t="n"/>
      <c r="J551" s="177" t="n"/>
      <c r="K551" s="177" t="n"/>
      <c r="L551" s="177" t="n"/>
      <c r="M551" s="177" t="n"/>
      <c r="N551" s="177" t="n"/>
      <c r="O551" s="177" t="n"/>
      <c r="P551" s="177" t="n"/>
      <c r="Q551" s="177" t="n"/>
      <c r="R551" s="177" t="n"/>
      <c r="S551" s="177" t="n"/>
      <c r="T551" s="177" t="n"/>
      <c r="U551" s="177" t="n"/>
      <c r="V551" s="177" t="n"/>
      <c r="W551" s="177" t="n"/>
    </row>
    <row r="552" ht="15.75" customHeight="1" s="297">
      <c r="A552" s="177" t="n"/>
      <c r="B552" s="177" t="n"/>
      <c r="C552" s="177" t="n"/>
      <c r="D552" s="177" t="n"/>
      <c r="E552" s="177" t="n"/>
      <c r="F552" s="177" t="n"/>
      <c r="G552" s="177" t="n"/>
      <c r="H552" s="177" t="n"/>
      <c r="I552" s="177" t="n"/>
      <c r="J552" s="177" t="n"/>
      <c r="K552" s="177" t="n"/>
      <c r="L552" s="177" t="n"/>
      <c r="M552" s="177" t="n"/>
      <c r="N552" s="177" t="n"/>
      <c r="O552" s="177" t="n"/>
      <c r="P552" s="177" t="n"/>
      <c r="Q552" s="177" t="n"/>
      <c r="R552" s="177" t="n"/>
      <c r="S552" s="177" t="n"/>
      <c r="T552" s="177" t="n"/>
      <c r="U552" s="177" t="n"/>
      <c r="V552" s="177" t="n"/>
      <c r="W552" s="177" t="n"/>
    </row>
    <row r="553" ht="15.75" customHeight="1" s="297">
      <c r="A553" s="177" t="n"/>
      <c r="B553" s="177" t="n"/>
      <c r="C553" s="177" t="n"/>
      <c r="D553" s="177" t="n"/>
      <c r="E553" s="177" t="n"/>
      <c r="F553" s="177" t="n"/>
      <c r="G553" s="177" t="n"/>
      <c r="H553" s="177" t="n"/>
      <c r="I553" s="177" t="n"/>
      <c r="J553" s="177" t="n"/>
      <c r="K553" s="177" t="n"/>
      <c r="L553" s="177" t="n"/>
      <c r="M553" s="177" t="n"/>
      <c r="N553" s="177" t="n"/>
      <c r="O553" s="177" t="n"/>
      <c r="P553" s="177" t="n"/>
      <c r="Q553" s="177" t="n"/>
      <c r="R553" s="177" t="n"/>
      <c r="S553" s="177" t="n"/>
      <c r="T553" s="177" t="n"/>
      <c r="U553" s="177" t="n"/>
      <c r="V553" s="177" t="n"/>
      <c r="W553" s="177" t="n"/>
    </row>
    <row r="554" ht="15.75" customHeight="1" s="297">
      <c r="A554" s="177" t="n"/>
      <c r="B554" s="177" t="n"/>
      <c r="C554" s="177" t="n"/>
      <c r="D554" s="177" t="n"/>
      <c r="E554" s="177" t="n"/>
      <c r="F554" s="177" t="n"/>
      <c r="G554" s="177" t="n"/>
      <c r="H554" s="177" t="n"/>
      <c r="I554" s="177" t="n"/>
      <c r="J554" s="177" t="n"/>
      <c r="K554" s="177" t="n"/>
      <c r="L554" s="177" t="n"/>
      <c r="M554" s="177" t="n"/>
      <c r="N554" s="177" t="n"/>
      <c r="O554" s="177" t="n"/>
      <c r="P554" s="177" t="n"/>
      <c r="Q554" s="177" t="n"/>
      <c r="R554" s="177" t="n"/>
      <c r="S554" s="177" t="n"/>
      <c r="T554" s="177" t="n"/>
      <c r="U554" s="177" t="n"/>
      <c r="V554" s="177" t="n"/>
      <c r="W554" s="177" t="n"/>
    </row>
    <row r="555" ht="15.75" customHeight="1" s="297">
      <c r="A555" s="177" t="n"/>
      <c r="B555" s="177" t="n"/>
      <c r="C555" s="177" t="n"/>
      <c r="D555" s="177" t="n"/>
      <c r="E555" s="177" t="n"/>
      <c r="F555" s="177" t="n"/>
      <c r="G555" s="177" t="n"/>
      <c r="H555" s="177" t="n"/>
      <c r="I555" s="177" t="n"/>
      <c r="J555" s="177" t="n"/>
      <c r="K555" s="177" t="n"/>
      <c r="L555" s="177" t="n"/>
      <c r="M555" s="177" t="n"/>
      <c r="N555" s="177" t="n"/>
      <c r="O555" s="177" t="n"/>
      <c r="P555" s="177" t="n"/>
      <c r="Q555" s="177" t="n"/>
      <c r="R555" s="177" t="n"/>
      <c r="S555" s="177" t="n"/>
      <c r="T555" s="177" t="n"/>
      <c r="U555" s="177" t="n"/>
      <c r="V555" s="177" t="n"/>
      <c r="W555" s="177" t="n"/>
    </row>
    <row r="556" ht="15.75" customHeight="1" s="297">
      <c r="A556" s="177" t="n"/>
      <c r="B556" s="177" t="n"/>
      <c r="C556" s="177" t="n"/>
      <c r="D556" s="177" t="n"/>
      <c r="E556" s="177" t="n"/>
      <c r="F556" s="177" t="n"/>
      <c r="G556" s="177" t="n"/>
      <c r="H556" s="177" t="n"/>
      <c r="I556" s="177" t="n"/>
      <c r="J556" s="177" t="n"/>
      <c r="K556" s="177" t="n"/>
      <c r="L556" s="177" t="n"/>
      <c r="M556" s="177" t="n"/>
      <c r="N556" s="177" t="n"/>
      <c r="O556" s="177" t="n"/>
      <c r="P556" s="177" t="n"/>
      <c r="Q556" s="177" t="n"/>
      <c r="R556" s="177" t="n"/>
      <c r="S556" s="177" t="n"/>
      <c r="T556" s="177" t="n"/>
      <c r="U556" s="177" t="n"/>
      <c r="V556" s="177" t="n"/>
      <c r="W556" s="177" t="n"/>
    </row>
    <row r="557" ht="15.75" customHeight="1" s="297">
      <c r="A557" s="177" t="n"/>
      <c r="B557" s="177" t="n"/>
      <c r="C557" s="177" t="n"/>
      <c r="D557" s="177" t="n"/>
      <c r="E557" s="177" t="n"/>
      <c r="F557" s="177" t="n"/>
      <c r="G557" s="177" t="n"/>
      <c r="H557" s="177" t="n"/>
      <c r="I557" s="177" t="n"/>
      <c r="J557" s="177" t="n"/>
      <c r="K557" s="177" t="n"/>
      <c r="L557" s="177" t="n"/>
      <c r="M557" s="177" t="n"/>
      <c r="N557" s="177" t="n"/>
      <c r="O557" s="177" t="n"/>
      <c r="P557" s="177" t="n"/>
      <c r="Q557" s="177" t="n"/>
      <c r="R557" s="177" t="n"/>
      <c r="S557" s="177" t="n"/>
      <c r="T557" s="177" t="n"/>
      <c r="U557" s="177" t="n"/>
      <c r="V557" s="177" t="n"/>
      <c r="W557" s="177" t="n"/>
    </row>
    <row r="558" ht="15.75" customHeight="1" s="297">
      <c r="A558" s="177" t="n"/>
      <c r="B558" s="177" t="n"/>
      <c r="C558" s="177" t="n"/>
      <c r="D558" s="177" t="n"/>
      <c r="E558" s="177" t="n"/>
      <c r="F558" s="177" t="n"/>
      <c r="G558" s="177" t="n"/>
      <c r="H558" s="177" t="n"/>
      <c r="I558" s="177" t="n"/>
      <c r="J558" s="177" t="n"/>
      <c r="K558" s="177" t="n"/>
      <c r="L558" s="177" t="n"/>
      <c r="M558" s="177" t="n"/>
      <c r="N558" s="177" t="n"/>
      <c r="O558" s="177" t="n"/>
      <c r="P558" s="177" t="n"/>
      <c r="Q558" s="177" t="n"/>
      <c r="R558" s="177" t="n"/>
      <c r="S558" s="177" t="n"/>
      <c r="T558" s="177" t="n"/>
      <c r="U558" s="177" t="n"/>
      <c r="V558" s="177" t="n"/>
      <c r="W558" s="177" t="n"/>
    </row>
    <row r="559" ht="15.75" customHeight="1" s="297">
      <c r="A559" s="177" t="n"/>
      <c r="B559" s="177" t="n"/>
      <c r="C559" s="177" t="n"/>
      <c r="D559" s="177" t="n"/>
      <c r="E559" s="177" t="n"/>
      <c r="F559" s="177" t="n"/>
      <c r="G559" s="177" t="n"/>
      <c r="H559" s="177" t="n"/>
      <c r="I559" s="177" t="n"/>
      <c r="J559" s="177" t="n"/>
      <c r="K559" s="177" t="n"/>
      <c r="L559" s="177" t="n"/>
      <c r="M559" s="177" t="n"/>
      <c r="N559" s="177" t="n"/>
      <c r="O559" s="177" t="n"/>
      <c r="P559" s="177" t="n"/>
      <c r="Q559" s="177" t="n"/>
      <c r="R559" s="177" t="n"/>
      <c r="S559" s="177" t="n"/>
      <c r="T559" s="177" t="n"/>
      <c r="U559" s="177" t="n"/>
      <c r="V559" s="177" t="n"/>
      <c r="W559" s="177" t="n"/>
    </row>
    <row r="560" ht="15.75" customHeight="1" s="297">
      <c r="A560" s="177" t="n"/>
      <c r="B560" s="177" t="n"/>
      <c r="C560" s="177" t="n"/>
      <c r="D560" s="177" t="n"/>
      <c r="E560" s="177" t="n"/>
      <c r="F560" s="177" t="n"/>
      <c r="G560" s="177" t="n"/>
      <c r="H560" s="177" t="n"/>
      <c r="I560" s="177" t="n"/>
      <c r="J560" s="177" t="n"/>
      <c r="K560" s="177" t="n"/>
      <c r="L560" s="177" t="n"/>
      <c r="M560" s="177" t="n"/>
      <c r="N560" s="177" t="n"/>
      <c r="O560" s="177" t="n"/>
      <c r="P560" s="177" t="n"/>
      <c r="Q560" s="177" t="n"/>
      <c r="R560" s="177" t="n"/>
      <c r="S560" s="177" t="n"/>
      <c r="T560" s="177" t="n"/>
      <c r="U560" s="177" t="n"/>
      <c r="V560" s="177" t="n"/>
      <c r="W560" s="177" t="n"/>
    </row>
    <row r="561" ht="15.75" customHeight="1" s="297">
      <c r="A561" s="177" t="n"/>
      <c r="B561" s="177" t="n"/>
      <c r="C561" s="177" t="n"/>
      <c r="D561" s="177" t="n"/>
      <c r="E561" s="177" t="n"/>
      <c r="F561" s="177" t="n"/>
      <c r="G561" s="177" t="n"/>
      <c r="H561" s="177" t="n"/>
      <c r="I561" s="177" t="n"/>
      <c r="J561" s="177" t="n"/>
      <c r="K561" s="177" t="n"/>
      <c r="L561" s="177" t="n"/>
      <c r="M561" s="177" t="n"/>
      <c r="N561" s="177" t="n"/>
      <c r="O561" s="177" t="n"/>
      <c r="P561" s="177" t="n"/>
      <c r="Q561" s="177" t="n"/>
      <c r="R561" s="177" t="n"/>
      <c r="S561" s="177" t="n"/>
      <c r="T561" s="177" t="n"/>
      <c r="U561" s="177" t="n"/>
      <c r="V561" s="177" t="n"/>
      <c r="W561" s="177" t="n"/>
    </row>
    <row r="562" ht="15.75" customHeight="1" s="297">
      <c r="A562" s="177" t="n"/>
      <c r="B562" s="177" t="n"/>
      <c r="C562" s="177" t="n"/>
      <c r="D562" s="177" t="n"/>
      <c r="E562" s="177" t="n"/>
      <c r="F562" s="177" t="n"/>
      <c r="G562" s="177" t="n"/>
      <c r="H562" s="177" t="n"/>
      <c r="I562" s="177" t="n"/>
      <c r="J562" s="177" t="n"/>
      <c r="K562" s="177" t="n"/>
      <c r="L562" s="177" t="n"/>
      <c r="M562" s="177" t="n"/>
      <c r="N562" s="177" t="n"/>
      <c r="O562" s="177" t="n"/>
      <c r="P562" s="177" t="n"/>
      <c r="Q562" s="177" t="n"/>
      <c r="R562" s="177" t="n"/>
      <c r="S562" s="177" t="n"/>
      <c r="T562" s="177" t="n"/>
      <c r="U562" s="177" t="n"/>
      <c r="V562" s="177" t="n"/>
      <c r="W562" s="177" t="n"/>
    </row>
    <row r="563" ht="15.75" customHeight="1" s="297">
      <c r="A563" s="177" t="n"/>
      <c r="B563" s="177" t="n"/>
      <c r="C563" s="177" t="n"/>
      <c r="D563" s="177" t="n"/>
      <c r="E563" s="177" t="n"/>
      <c r="F563" s="177" t="n"/>
      <c r="G563" s="177" t="n"/>
      <c r="H563" s="177" t="n"/>
      <c r="I563" s="177" t="n"/>
      <c r="J563" s="177" t="n"/>
      <c r="K563" s="177" t="n"/>
      <c r="L563" s="177" t="n"/>
      <c r="M563" s="177" t="n"/>
      <c r="N563" s="177" t="n"/>
      <c r="O563" s="177" t="n"/>
      <c r="P563" s="177" t="n"/>
      <c r="Q563" s="177" t="n"/>
      <c r="R563" s="177" t="n"/>
      <c r="S563" s="177" t="n"/>
      <c r="T563" s="177" t="n"/>
      <c r="U563" s="177" t="n"/>
      <c r="V563" s="177" t="n"/>
      <c r="W563" s="177" t="n"/>
    </row>
    <row r="564" ht="15.75" customHeight="1" s="297">
      <c r="A564" s="177" t="n"/>
      <c r="B564" s="177" t="n"/>
      <c r="C564" s="177" t="n"/>
      <c r="D564" s="177" t="n"/>
      <c r="E564" s="177" t="n"/>
      <c r="F564" s="177" t="n"/>
      <c r="G564" s="177" t="n"/>
      <c r="H564" s="177" t="n"/>
      <c r="I564" s="177" t="n"/>
      <c r="J564" s="177" t="n"/>
      <c r="K564" s="177" t="n"/>
      <c r="L564" s="177" t="n"/>
      <c r="M564" s="177" t="n"/>
      <c r="N564" s="177" t="n"/>
      <c r="O564" s="177" t="n"/>
      <c r="P564" s="177" t="n"/>
      <c r="Q564" s="177" t="n"/>
      <c r="R564" s="177" t="n"/>
      <c r="S564" s="177" t="n"/>
      <c r="T564" s="177" t="n"/>
      <c r="U564" s="177" t="n"/>
      <c r="V564" s="177" t="n"/>
      <c r="W564" s="177" t="n"/>
    </row>
    <row r="565" ht="15.75" customHeight="1" s="297">
      <c r="A565" s="177" t="n"/>
      <c r="B565" s="177" t="n"/>
      <c r="C565" s="177" t="n"/>
      <c r="D565" s="177" t="n"/>
      <c r="E565" s="177" t="n"/>
      <c r="F565" s="177" t="n"/>
      <c r="G565" s="177" t="n"/>
      <c r="H565" s="177" t="n"/>
      <c r="I565" s="177" t="n"/>
      <c r="J565" s="177" t="n"/>
      <c r="K565" s="177" t="n"/>
      <c r="L565" s="177" t="n"/>
      <c r="M565" s="177" t="n"/>
      <c r="N565" s="177" t="n"/>
      <c r="O565" s="177" t="n"/>
      <c r="P565" s="177" t="n"/>
      <c r="Q565" s="177" t="n"/>
      <c r="R565" s="177" t="n"/>
      <c r="S565" s="177" t="n"/>
      <c r="T565" s="177" t="n"/>
      <c r="U565" s="177" t="n"/>
      <c r="V565" s="177" t="n"/>
      <c r="W565" s="177" t="n"/>
    </row>
    <row r="566" ht="15.75" customHeight="1" s="297">
      <c r="A566" s="177" t="n"/>
      <c r="B566" s="177" t="n"/>
      <c r="C566" s="177" t="n"/>
      <c r="D566" s="177" t="n"/>
      <c r="E566" s="177" t="n"/>
      <c r="F566" s="177" t="n"/>
      <c r="G566" s="177" t="n"/>
      <c r="H566" s="177" t="n"/>
      <c r="I566" s="177" t="n"/>
      <c r="J566" s="177" t="n"/>
      <c r="K566" s="177" t="n"/>
      <c r="L566" s="177" t="n"/>
      <c r="M566" s="177" t="n"/>
      <c r="N566" s="177" t="n"/>
      <c r="O566" s="177" t="n"/>
      <c r="P566" s="177" t="n"/>
      <c r="Q566" s="177" t="n"/>
      <c r="R566" s="177" t="n"/>
      <c r="S566" s="177" t="n"/>
      <c r="T566" s="177" t="n"/>
      <c r="U566" s="177" t="n"/>
      <c r="V566" s="177" t="n"/>
      <c r="W566" s="177" t="n"/>
    </row>
    <row r="567" ht="15.75" customHeight="1" s="297">
      <c r="A567" s="177" t="n"/>
      <c r="B567" s="177" t="n"/>
      <c r="C567" s="177" t="n"/>
      <c r="D567" s="177" t="n"/>
      <c r="E567" s="177" t="n"/>
      <c r="F567" s="177" t="n"/>
      <c r="G567" s="177" t="n"/>
      <c r="H567" s="177" t="n"/>
      <c r="I567" s="177" t="n"/>
      <c r="J567" s="177" t="n"/>
      <c r="K567" s="177" t="n"/>
      <c r="L567" s="177" t="n"/>
      <c r="M567" s="177" t="n"/>
      <c r="N567" s="177" t="n"/>
      <c r="O567" s="177" t="n"/>
      <c r="P567" s="177" t="n"/>
      <c r="Q567" s="177" t="n"/>
      <c r="R567" s="177" t="n"/>
      <c r="S567" s="177" t="n"/>
      <c r="T567" s="177" t="n"/>
      <c r="U567" s="177" t="n"/>
      <c r="V567" s="177" t="n"/>
      <c r="W567" s="177" t="n"/>
    </row>
    <row r="568" ht="15.75" customHeight="1" s="297">
      <c r="A568" s="177" t="n"/>
      <c r="B568" s="177" t="n"/>
      <c r="C568" s="177" t="n"/>
      <c r="D568" s="177" t="n"/>
      <c r="E568" s="177" t="n"/>
      <c r="F568" s="177" t="n"/>
      <c r="G568" s="177" t="n"/>
      <c r="H568" s="177" t="n"/>
      <c r="I568" s="177" t="n"/>
      <c r="J568" s="177" t="n"/>
      <c r="K568" s="177" t="n"/>
      <c r="L568" s="177" t="n"/>
      <c r="M568" s="177" t="n"/>
      <c r="N568" s="177" t="n"/>
      <c r="O568" s="177" t="n"/>
      <c r="P568" s="177" t="n"/>
      <c r="Q568" s="177" t="n"/>
      <c r="R568" s="177" t="n"/>
      <c r="S568" s="177" t="n"/>
      <c r="T568" s="177" t="n"/>
      <c r="U568" s="177" t="n"/>
      <c r="V568" s="177" t="n"/>
      <c r="W568" s="177" t="n"/>
    </row>
    <row r="569" ht="15.75" customHeight="1" s="297">
      <c r="A569" s="177" t="n"/>
      <c r="B569" s="177" t="n"/>
      <c r="C569" s="177" t="n"/>
      <c r="D569" s="177" t="n"/>
      <c r="E569" s="177" t="n"/>
      <c r="F569" s="177" t="n"/>
      <c r="G569" s="177" t="n"/>
      <c r="H569" s="177" t="n"/>
      <c r="I569" s="177" t="n"/>
      <c r="J569" s="177" t="n"/>
      <c r="K569" s="177" t="n"/>
      <c r="L569" s="177" t="n"/>
      <c r="M569" s="177" t="n"/>
      <c r="N569" s="177" t="n"/>
      <c r="O569" s="177" t="n"/>
      <c r="P569" s="177" t="n"/>
      <c r="Q569" s="177" t="n"/>
      <c r="R569" s="177" t="n"/>
      <c r="S569" s="177" t="n"/>
      <c r="T569" s="177" t="n"/>
      <c r="U569" s="177" t="n"/>
      <c r="V569" s="177" t="n"/>
      <c r="W569" s="177" t="n"/>
    </row>
    <row r="570" ht="15.75" customHeight="1" s="297">
      <c r="A570" s="177" t="n"/>
      <c r="B570" s="177" t="n"/>
      <c r="C570" s="177" t="n"/>
      <c r="D570" s="177" t="n"/>
      <c r="E570" s="177" t="n"/>
      <c r="F570" s="177" t="n"/>
      <c r="G570" s="177" t="n"/>
      <c r="H570" s="177" t="n"/>
      <c r="I570" s="177" t="n"/>
      <c r="J570" s="177" t="n"/>
      <c r="K570" s="177" t="n"/>
      <c r="L570" s="177" t="n"/>
      <c r="M570" s="177" t="n"/>
      <c r="N570" s="177" t="n"/>
      <c r="O570" s="177" t="n"/>
      <c r="P570" s="177" t="n"/>
      <c r="Q570" s="177" t="n"/>
      <c r="R570" s="177" t="n"/>
      <c r="S570" s="177" t="n"/>
      <c r="T570" s="177" t="n"/>
      <c r="U570" s="177" t="n"/>
      <c r="V570" s="177" t="n"/>
      <c r="W570" s="177" t="n"/>
    </row>
    <row r="571" ht="15.75" customHeight="1" s="297">
      <c r="A571" s="177" t="n"/>
      <c r="B571" s="177" t="n"/>
      <c r="C571" s="177" t="n"/>
      <c r="D571" s="177" t="n"/>
      <c r="E571" s="177" t="n"/>
      <c r="F571" s="177" t="n"/>
      <c r="G571" s="177" t="n"/>
      <c r="H571" s="177" t="n"/>
      <c r="I571" s="177" t="n"/>
      <c r="J571" s="177" t="n"/>
      <c r="K571" s="177" t="n"/>
      <c r="L571" s="177" t="n"/>
      <c r="M571" s="177" t="n"/>
      <c r="N571" s="177" t="n"/>
      <c r="O571" s="177" t="n"/>
      <c r="P571" s="177" t="n"/>
      <c r="Q571" s="177" t="n"/>
      <c r="R571" s="177" t="n"/>
      <c r="S571" s="177" t="n"/>
      <c r="T571" s="177" t="n"/>
      <c r="U571" s="177" t="n"/>
      <c r="V571" s="177" t="n"/>
      <c r="W571" s="177" t="n"/>
    </row>
    <row r="572" ht="15.75" customHeight="1" s="297">
      <c r="A572" s="177" t="n"/>
      <c r="B572" s="177" t="n"/>
      <c r="C572" s="177" t="n"/>
      <c r="D572" s="177" t="n"/>
      <c r="E572" s="177" t="n"/>
      <c r="F572" s="177" t="n"/>
      <c r="G572" s="177" t="n"/>
      <c r="H572" s="177" t="n"/>
      <c r="I572" s="177" t="n"/>
      <c r="J572" s="177" t="n"/>
      <c r="K572" s="177" t="n"/>
      <c r="L572" s="177" t="n"/>
      <c r="M572" s="177" t="n"/>
      <c r="N572" s="177" t="n"/>
      <c r="O572" s="177" t="n"/>
      <c r="P572" s="177" t="n"/>
      <c r="Q572" s="177" t="n"/>
      <c r="R572" s="177" t="n"/>
      <c r="S572" s="177" t="n"/>
      <c r="T572" s="177" t="n"/>
      <c r="U572" s="177" t="n"/>
      <c r="V572" s="177" t="n"/>
      <c r="W572" s="177" t="n"/>
    </row>
    <row r="573" ht="15.75" customHeight="1" s="297">
      <c r="A573" s="177" t="n"/>
      <c r="B573" s="177" t="n"/>
      <c r="C573" s="177" t="n"/>
      <c r="D573" s="177" t="n"/>
      <c r="E573" s="177" t="n"/>
      <c r="F573" s="177" t="n"/>
      <c r="G573" s="177" t="n"/>
      <c r="H573" s="177" t="n"/>
      <c r="I573" s="177" t="n"/>
      <c r="J573" s="177" t="n"/>
      <c r="K573" s="177" t="n"/>
      <c r="L573" s="177" t="n"/>
      <c r="M573" s="177" t="n"/>
      <c r="N573" s="177" t="n"/>
      <c r="O573" s="177" t="n"/>
      <c r="P573" s="177" t="n"/>
      <c r="Q573" s="177" t="n"/>
      <c r="R573" s="177" t="n"/>
      <c r="S573" s="177" t="n"/>
      <c r="T573" s="177" t="n"/>
      <c r="U573" s="177" t="n"/>
      <c r="V573" s="177" t="n"/>
      <c r="W573" s="177" t="n"/>
    </row>
    <row r="574" ht="15.75" customHeight="1" s="297">
      <c r="A574" s="177" t="n"/>
      <c r="B574" s="177" t="n"/>
      <c r="C574" s="177" t="n"/>
      <c r="D574" s="177" t="n"/>
      <c r="E574" s="177" t="n"/>
      <c r="F574" s="177" t="n"/>
      <c r="G574" s="177" t="n"/>
      <c r="H574" s="177" t="n"/>
      <c r="I574" s="177" t="n"/>
      <c r="J574" s="177" t="n"/>
      <c r="K574" s="177" t="n"/>
      <c r="L574" s="177" t="n"/>
      <c r="M574" s="177" t="n"/>
      <c r="N574" s="177" t="n"/>
      <c r="O574" s="177" t="n"/>
      <c r="P574" s="177" t="n"/>
      <c r="Q574" s="177" t="n"/>
      <c r="R574" s="177" t="n"/>
      <c r="S574" s="177" t="n"/>
      <c r="T574" s="177" t="n"/>
      <c r="U574" s="177" t="n"/>
      <c r="V574" s="177" t="n"/>
      <c r="W574" s="177" t="n"/>
    </row>
    <row r="575" ht="15.75" customHeight="1" s="297">
      <c r="A575" s="177" t="n"/>
      <c r="B575" s="177" t="n"/>
      <c r="C575" s="177" t="n"/>
      <c r="D575" s="177" t="n"/>
      <c r="E575" s="177" t="n"/>
      <c r="F575" s="177" t="n"/>
      <c r="G575" s="177" t="n"/>
      <c r="H575" s="177" t="n"/>
      <c r="I575" s="177" t="n"/>
      <c r="J575" s="177" t="n"/>
      <c r="K575" s="177" t="n"/>
      <c r="L575" s="177" t="n"/>
      <c r="M575" s="177" t="n"/>
      <c r="N575" s="177" t="n"/>
      <c r="O575" s="177" t="n"/>
      <c r="P575" s="177" t="n"/>
      <c r="Q575" s="177" t="n"/>
      <c r="R575" s="177" t="n"/>
      <c r="S575" s="177" t="n"/>
      <c r="T575" s="177" t="n"/>
      <c r="U575" s="177" t="n"/>
      <c r="V575" s="177" t="n"/>
      <c r="W575" s="177" t="n"/>
    </row>
    <row r="576" ht="15.75" customHeight="1" s="297">
      <c r="A576" s="177" t="n"/>
      <c r="B576" s="177" t="n"/>
      <c r="C576" s="177" t="n"/>
      <c r="D576" s="177" t="n"/>
      <c r="E576" s="177" t="n"/>
      <c r="F576" s="177" t="n"/>
      <c r="G576" s="177" t="n"/>
      <c r="H576" s="177" t="n"/>
      <c r="I576" s="177" t="n"/>
      <c r="J576" s="177" t="n"/>
      <c r="K576" s="177" t="n"/>
      <c r="L576" s="177" t="n"/>
      <c r="M576" s="177" t="n"/>
      <c r="N576" s="177" t="n"/>
      <c r="O576" s="177" t="n"/>
      <c r="P576" s="177" t="n"/>
      <c r="Q576" s="177" t="n"/>
      <c r="R576" s="177" t="n"/>
      <c r="S576" s="177" t="n"/>
      <c r="T576" s="177" t="n"/>
      <c r="U576" s="177" t="n"/>
      <c r="V576" s="177" t="n"/>
      <c r="W576" s="177" t="n"/>
    </row>
    <row r="577" ht="15.75" customHeight="1" s="297">
      <c r="A577" s="177" t="n"/>
      <c r="B577" s="177" t="n"/>
      <c r="C577" s="177" t="n"/>
      <c r="D577" s="177" t="n"/>
      <c r="E577" s="177" t="n"/>
      <c r="F577" s="177" t="n"/>
      <c r="G577" s="177" t="n"/>
      <c r="H577" s="177" t="n"/>
      <c r="I577" s="177" t="n"/>
      <c r="J577" s="177" t="n"/>
      <c r="K577" s="177" t="n"/>
      <c r="L577" s="177" t="n"/>
      <c r="M577" s="177" t="n"/>
      <c r="N577" s="177" t="n"/>
      <c r="O577" s="177" t="n"/>
      <c r="P577" s="177" t="n"/>
      <c r="Q577" s="177" t="n"/>
      <c r="R577" s="177" t="n"/>
      <c r="S577" s="177" t="n"/>
      <c r="T577" s="177" t="n"/>
      <c r="U577" s="177" t="n"/>
      <c r="V577" s="177" t="n"/>
      <c r="W577" s="177" t="n"/>
    </row>
    <row r="578" ht="15.75" customHeight="1" s="297">
      <c r="A578" s="177" t="n"/>
      <c r="B578" s="177" t="n"/>
      <c r="C578" s="177" t="n"/>
      <c r="D578" s="177" t="n"/>
      <c r="E578" s="177" t="n"/>
      <c r="F578" s="177" t="n"/>
      <c r="G578" s="177" t="n"/>
      <c r="H578" s="177" t="n"/>
      <c r="I578" s="177" t="n"/>
      <c r="J578" s="177" t="n"/>
      <c r="K578" s="177" t="n"/>
      <c r="L578" s="177" t="n"/>
      <c r="M578" s="177" t="n"/>
      <c r="N578" s="177" t="n"/>
      <c r="O578" s="177" t="n"/>
      <c r="P578" s="177" t="n"/>
      <c r="Q578" s="177" t="n"/>
      <c r="R578" s="177" t="n"/>
      <c r="S578" s="177" t="n"/>
      <c r="T578" s="177" t="n"/>
      <c r="U578" s="177" t="n"/>
      <c r="V578" s="177" t="n"/>
      <c r="W578" s="177" t="n"/>
    </row>
    <row r="579" ht="15.75" customHeight="1" s="297">
      <c r="A579" s="177" t="n"/>
      <c r="B579" s="177" t="n"/>
      <c r="C579" s="177" t="n"/>
      <c r="D579" s="177" t="n"/>
      <c r="E579" s="177" t="n"/>
      <c r="F579" s="177" t="n"/>
      <c r="G579" s="177" t="n"/>
      <c r="H579" s="177" t="n"/>
      <c r="I579" s="177" t="n"/>
      <c r="J579" s="177" t="n"/>
      <c r="K579" s="177" t="n"/>
      <c r="L579" s="177" t="n"/>
      <c r="M579" s="177" t="n"/>
      <c r="N579" s="177" t="n"/>
      <c r="O579" s="177" t="n"/>
      <c r="P579" s="177" t="n"/>
      <c r="Q579" s="177" t="n"/>
      <c r="R579" s="177" t="n"/>
      <c r="S579" s="177" t="n"/>
      <c r="T579" s="177" t="n"/>
      <c r="U579" s="177" t="n"/>
      <c r="V579" s="177" t="n"/>
      <c r="W579" s="177" t="n"/>
    </row>
    <row r="580" ht="15.75" customHeight="1" s="297">
      <c r="A580" s="177" t="n"/>
      <c r="B580" s="177" t="n"/>
      <c r="C580" s="177" t="n"/>
      <c r="D580" s="177" t="n"/>
      <c r="E580" s="177" t="n"/>
      <c r="F580" s="177" t="n"/>
      <c r="G580" s="177" t="n"/>
      <c r="H580" s="177" t="n"/>
      <c r="I580" s="177" t="n"/>
      <c r="J580" s="177" t="n"/>
      <c r="K580" s="177" t="n"/>
      <c r="L580" s="177" t="n"/>
      <c r="M580" s="177" t="n"/>
      <c r="N580" s="177" t="n"/>
      <c r="O580" s="177" t="n"/>
      <c r="P580" s="177" t="n"/>
      <c r="Q580" s="177" t="n"/>
      <c r="R580" s="177" t="n"/>
      <c r="S580" s="177" t="n"/>
      <c r="T580" s="177" t="n"/>
      <c r="U580" s="177" t="n"/>
      <c r="V580" s="177" t="n"/>
      <c r="W580" s="177" t="n"/>
    </row>
    <row r="581" ht="15.75" customHeight="1" s="297">
      <c r="A581" s="177" t="n"/>
      <c r="B581" s="177" t="n"/>
      <c r="C581" s="177" t="n"/>
      <c r="D581" s="177" t="n"/>
      <c r="E581" s="177" t="n"/>
      <c r="F581" s="177" t="n"/>
      <c r="G581" s="177" t="n"/>
      <c r="H581" s="177" t="n"/>
      <c r="I581" s="177" t="n"/>
      <c r="J581" s="177" t="n"/>
      <c r="K581" s="177" t="n"/>
      <c r="L581" s="177" t="n"/>
      <c r="M581" s="177" t="n"/>
      <c r="N581" s="177" t="n"/>
      <c r="O581" s="177" t="n"/>
      <c r="P581" s="177" t="n"/>
      <c r="Q581" s="177" t="n"/>
      <c r="R581" s="177" t="n"/>
      <c r="S581" s="177" t="n"/>
      <c r="T581" s="177" t="n"/>
      <c r="U581" s="177" t="n"/>
      <c r="V581" s="177" t="n"/>
      <c r="W581" s="177" t="n"/>
    </row>
    <row r="582" ht="15.75" customHeight="1" s="297">
      <c r="A582" s="177" t="n"/>
      <c r="B582" s="177" t="n"/>
      <c r="C582" s="177" t="n"/>
      <c r="D582" s="177" t="n"/>
      <c r="E582" s="177" t="n"/>
      <c r="F582" s="177" t="n"/>
      <c r="G582" s="177" t="n"/>
      <c r="H582" s="177" t="n"/>
      <c r="I582" s="177" t="n"/>
      <c r="J582" s="177" t="n"/>
      <c r="K582" s="177" t="n"/>
      <c r="L582" s="177" t="n"/>
      <c r="M582" s="177" t="n"/>
      <c r="N582" s="177" t="n"/>
      <c r="O582" s="177" t="n"/>
      <c r="P582" s="177" t="n"/>
      <c r="Q582" s="177" t="n"/>
      <c r="R582" s="177" t="n"/>
      <c r="S582" s="177" t="n"/>
      <c r="T582" s="177" t="n"/>
      <c r="U582" s="177" t="n"/>
      <c r="V582" s="177" t="n"/>
      <c r="W582" s="177" t="n"/>
    </row>
    <row r="583" ht="15.75" customHeight="1" s="297">
      <c r="A583" s="177" t="n"/>
      <c r="B583" s="177" t="n"/>
      <c r="C583" s="177" t="n"/>
      <c r="D583" s="177" t="n"/>
      <c r="E583" s="177" t="n"/>
      <c r="F583" s="177" t="n"/>
      <c r="G583" s="177" t="n"/>
      <c r="H583" s="177" t="n"/>
      <c r="I583" s="177" t="n"/>
      <c r="J583" s="177" t="n"/>
      <c r="K583" s="177" t="n"/>
      <c r="L583" s="177" t="n"/>
      <c r="M583" s="177" t="n"/>
      <c r="N583" s="177" t="n"/>
      <c r="O583" s="177" t="n"/>
      <c r="P583" s="177" t="n"/>
      <c r="Q583" s="177" t="n"/>
      <c r="R583" s="177" t="n"/>
      <c r="S583" s="177" t="n"/>
      <c r="T583" s="177" t="n"/>
      <c r="U583" s="177" t="n"/>
      <c r="V583" s="177" t="n"/>
      <c r="W583" s="177" t="n"/>
    </row>
    <row r="584" ht="15.75" customHeight="1" s="297">
      <c r="A584" s="177" t="n"/>
      <c r="B584" s="177" t="n"/>
      <c r="C584" s="177" t="n"/>
      <c r="D584" s="177" t="n"/>
      <c r="E584" s="177" t="n"/>
      <c r="F584" s="177" t="n"/>
      <c r="G584" s="177" t="n"/>
      <c r="H584" s="177" t="n"/>
      <c r="I584" s="177" t="n"/>
      <c r="J584" s="177" t="n"/>
      <c r="K584" s="177" t="n"/>
      <c r="L584" s="177" t="n"/>
      <c r="M584" s="177" t="n"/>
      <c r="N584" s="177" t="n"/>
      <c r="O584" s="177" t="n"/>
      <c r="P584" s="177" t="n"/>
      <c r="Q584" s="177" t="n"/>
      <c r="R584" s="177" t="n"/>
      <c r="S584" s="177" t="n"/>
      <c r="T584" s="177" t="n"/>
      <c r="U584" s="177" t="n"/>
      <c r="V584" s="177" t="n"/>
      <c r="W584" s="177" t="n"/>
    </row>
    <row r="585" ht="15.75" customHeight="1" s="297">
      <c r="A585" s="177" t="n"/>
      <c r="B585" s="177" t="n"/>
      <c r="C585" s="177" t="n"/>
      <c r="D585" s="177" t="n"/>
      <c r="E585" s="177" t="n"/>
      <c r="F585" s="177" t="n"/>
      <c r="G585" s="177" t="n"/>
      <c r="H585" s="177" t="n"/>
      <c r="I585" s="177" t="n"/>
      <c r="J585" s="177" t="n"/>
      <c r="K585" s="177" t="n"/>
      <c r="L585" s="177" t="n"/>
      <c r="M585" s="177" t="n"/>
      <c r="N585" s="177" t="n"/>
      <c r="O585" s="177" t="n"/>
      <c r="P585" s="177" t="n"/>
      <c r="Q585" s="177" t="n"/>
      <c r="R585" s="177" t="n"/>
      <c r="S585" s="177" t="n"/>
      <c r="T585" s="177" t="n"/>
      <c r="U585" s="177" t="n"/>
      <c r="V585" s="177" t="n"/>
      <c r="W585" s="177" t="n"/>
    </row>
    <row r="586" ht="15.75" customHeight="1" s="297">
      <c r="A586" s="177" t="n"/>
      <c r="B586" s="177" t="n"/>
      <c r="C586" s="177" t="n"/>
      <c r="D586" s="177" t="n"/>
      <c r="E586" s="177" t="n"/>
      <c r="F586" s="177" t="n"/>
      <c r="G586" s="177" t="n"/>
      <c r="H586" s="177" t="n"/>
      <c r="I586" s="177" t="n"/>
      <c r="J586" s="177" t="n"/>
      <c r="K586" s="177" t="n"/>
      <c r="L586" s="177" t="n"/>
      <c r="M586" s="177" t="n"/>
      <c r="N586" s="177" t="n"/>
      <c r="O586" s="177" t="n"/>
      <c r="P586" s="177" t="n"/>
      <c r="Q586" s="177" t="n"/>
      <c r="R586" s="177" t="n"/>
      <c r="S586" s="177" t="n"/>
      <c r="T586" s="177" t="n"/>
      <c r="U586" s="177" t="n"/>
      <c r="V586" s="177" t="n"/>
      <c r="W586" s="177" t="n"/>
    </row>
    <row r="587" ht="15.75" customHeight="1" s="297">
      <c r="A587" s="177" t="n"/>
      <c r="B587" s="177" t="n"/>
      <c r="C587" s="177" t="n"/>
      <c r="D587" s="177" t="n"/>
      <c r="E587" s="177" t="n"/>
      <c r="F587" s="177" t="n"/>
      <c r="G587" s="177" t="n"/>
      <c r="H587" s="177" t="n"/>
      <c r="I587" s="177" t="n"/>
      <c r="J587" s="177" t="n"/>
      <c r="K587" s="177" t="n"/>
      <c r="L587" s="177" t="n"/>
      <c r="M587" s="177" t="n"/>
      <c r="N587" s="177" t="n"/>
      <c r="O587" s="177" t="n"/>
      <c r="P587" s="177" t="n"/>
      <c r="Q587" s="177" t="n"/>
      <c r="R587" s="177" t="n"/>
      <c r="S587" s="177" t="n"/>
      <c r="T587" s="177" t="n"/>
      <c r="U587" s="177" t="n"/>
      <c r="V587" s="177" t="n"/>
      <c r="W587" s="177" t="n"/>
    </row>
    <row r="588" ht="15.75" customHeight="1" s="297">
      <c r="A588" s="177" t="n"/>
      <c r="B588" s="177" t="n"/>
      <c r="C588" s="177" t="n"/>
      <c r="D588" s="177" t="n"/>
      <c r="E588" s="177" t="n"/>
      <c r="F588" s="177" t="n"/>
      <c r="G588" s="177" t="n"/>
      <c r="H588" s="177" t="n"/>
      <c r="I588" s="177" t="n"/>
      <c r="J588" s="177" t="n"/>
      <c r="K588" s="177" t="n"/>
      <c r="L588" s="177" t="n"/>
      <c r="M588" s="177" t="n"/>
      <c r="N588" s="177" t="n"/>
      <c r="O588" s="177" t="n"/>
      <c r="P588" s="177" t="n"/>
      <c r="Q588" s="177" t="n"/>
      <c r="R588" s="177" t="n"/>
      <c r="S588" s="177" t="n"/>
      <c r="T588" s="177" t="n"/>
      <c r="U588" s="177" t="n"/>
      <c r="V588" s="177" t="n"/>
      <c r="W588" s="177" t="n"/>
    </row>
    <row r="589" ht="15.75" customHeight="1" s="297">
      <c r="A589" s="177" t="n"/>
      <c r="B589" s="177" t="n"/>
      <c r="C589" s="177" t="n"/>
      <c r="D589" s="177" t="n"/>
      <c r="E589" s="177" t="n"/>
      <c r="F589" s="177" t="n"/>
      <c r="G589" s="177" t="n"/>
      <c r="H589" s="177" t="n"/>
      <c r="I589" s="177" t="n"/>
      <c r="J589" s="177" t="n"/>
      <c r="K589" s="177" t="n"/>
      <c r="L589" s="177" t="n"/>
      <c r="M589" s="177" t="n"/>
      <c r="N589" s="177" t="n"/>
      <c r="O589" s="177" t="n"/>
      <c r="P589" s="177" t="n"/>
      <c r="Q589" s="177" t="n"/>
      <c r="R589" s="177" t="n"/>
      <c r="S589" s="177" t="n"/>
      <c r="T589" s="177" t="n"/>
      <c r="U589" s="177" t="n"/>
      <c r="V589" s="177" t="n"/>
      <c r="W589" s="177" t="n"/>
    </row>
    <row r="590" ht="15.75" customHeight="1" s="297">
      <c r="A590" s="177" t="n"/>
      <c r="B590" s="177" t="n"/>
      <c r="C590" s="177" t="n"/>
      <c r="D590" s="177" t="n"/>
      <c r="E590" s="177" t="n"/>
      <c r="F590" s="177" t="n"/>
      <c r="G590" s="177" t="n"/>
      <c r="H590" s="177" t="n"/>
      <c r="I590" s="177" t="n"/>
      <c r="J590" s="177" t="n"/>
      <c r="K590" s="177" t="n"/>
      <c r="L590" s="177" t="n"/>
      <c r="M590" s="177" t="n"/>
      <c r="N590" s="177" t="n"/>
      <c r="O590" s="177" t="n"/>
      <c r="P590" s="177" t="n"/>
      <c r="Q590" s="177" t="n"/>
      <c r="R590" s="177" t="n"/>
      <c r="S590" s="177" t="n"/>
      <c r="T590" s="177" t="n"/>
      <c r="U590" s="177" t="n"/>
      <c r="V590" s="177" t="n"/>
      <c r="W590" s="177" t="n"/>
    </row>
    <row r="591" ht="15.75" customHeight="1" s="297">
      <c r="A591" s="177" t="n"/>
      <c r="B591" s="177" t="n"/>
      <c r="C591" s="177" t="n"/>
      <c r="D591" s="177" t="n"/>
      <c r="E591" s="177" t="n"/>
      <c r="F591" s="177" t="n"/>
      <c r="G591" s="177" t="n"/>
      <c r="H591" s="177" t="n"/>
      <c r="I591" s="177" t="n"/>
      <c r="J591" s="177" t="n"/>
      <c r="K591" s="177" t="n"/>
      <c r="L591" s="177" t="n"/>
      <c r="M591" s="177" t="n"/>
      <c r="N591" s="177" t="n"/>
      <c r="O591" s="177" t="n"/>
      <c r="P591" s="177" t="n"/>
      <c r="Q591" s="177" t="n"/>
      <c r="R591" s="177" t="n"/>
      <c r="S591" s="177" t="n"/>
      <c r="T591" s="177" t="n"/>
      <c r="U591" s="177" t="n"/>
      <c r="V591" s="177" t="n"/>
      <c r="W591" s="177" t="n"/>
    </row>
    <row r="592" ht="15.75" customHeight="1" s="297">
      <c r="A592" s="177" t="n"/>
      <c r="B592" s="177" t="n"/>
      <c r="C592" s="177" t="n"/>
      <c r="D592" s="177" t="n"/>
      <c r="E592" s="177" t="n"/>
      <c r="F592" s="177" t="n"/>
      <c r="G592" s="177" t="n"/>
      <c r="H592" s="177" t="n"/>
      <c r="I592" s="177" t="n"/>
      <c r="J592" s="177" t="n"/>
      <c r="K592" s="177" t="n"/>
      <c r="L592" s="177" t="n"/>
      <c r="M592" s="177" t="n"/>
      <c r="N592" s="177" t="n"/>
      <c r="O592" s="177" t="n"/>
      <c r="P592" s="177" t="n"/>
      <c r="Q592" s="177" t="n"/>
      <c r="R592" s="177" t="n"/>
      <c r="S592" s="177" t="n"/>
      <c r="T592" s="177" t="n"/>
      <c r="U592" s="177" t="n"/>
      <c r="V592" s="177" t="n"/>
      <c r="W592" s="177" t="n"/>
    </row>
    <row r="593" ht="15.75" customHeight="1" s="297">
      <c r="A593" s="177" t="n"/>
      <c r="B593" s="177" t="n"/>
      <c r="C593" s="177" t="n"/>
      <c r="D593" s="177" t="n"/>
      <c r="E593" s="177" t="n"/>
      <c r="F593" s="177" t="n"/>
      <c r="G593" s="177" t="n"/>
      <c r="H593" s="177" t="n"/>
      <c r="I593" s="177" t="n"/>
      <c r="J593" s="177" t="n"/>
      <c r="K593" s="177" t="n"/>
      <c r="L593" s="177" t="n"/>
      <c r="M593" s="177" t="n"/>
      <c r="N593" s="177" t="n"/>
      <c r="O593" s="177" t="n"/>
      <c r="P593" s="177" t="n"/>
      <c r="Q593" s="177" t="n"/>
      <c r="R593" s="177" t="n"/>
      <c r="S593" s="177" t="n"/>
      <c r="T593" s="177" t="n"/>
      <c r="U593" s="177" t="n"/>
      <c r="V593" s="177" t="n"/>
      <c r="W593" s="177" t="n"/>
    </row>
    <row r="594" ht="15.75" customHeight="1" s="297">
      <c r="A594" s="177" t="n"/>
      <c r="B594" s="177" t="n"/>
      <c r="C594" s="177" t="n"/>
      <c r="D594" s="177" t="n"/>
      <c r="E594" s="177" t="n"/>
      <c r="F594" s="177" t="n"/>
      <c r="G594" s="177" t="n"/>
      <c r="H594" s="177" t="n"/>
      <c r="I594" s="177" t="n"/>
      <c r="J594" s="177" t="n"/>
      <c r="K594" s="177" t="n"/>
      <c r="L594" s="177" t="n"/>
      <c r="M594" s="177" t="n"/>
      <c r="N594" s="177" t="n"/>
      <c r="O594" s="177" t="n"/>
      <c r="P594" s="177" t="n"/>
      <c r="Q594" s="177" t="n"/>
      <c r="R594" s="177" t="n"/>
      <c r="S594" s="177" t="n"/>
      <c r="T594" s="177" t="n"/>
      <c r="U594" s="177" t="n"/>
      <c r="V594" s="177" t="n"/>
      <c r="W594" s="177" t="n"/>
    </row>
    <row r="595" ht="15.75" customHeight="1" s="297">
      <c r="A595" s="177" t="n"/>
      <c r="B595" s="177" t="n"/>
      <c r="C595" s="177" t="n"/>
      <c r="D595" s="177" t="n"/>
      <c r="E595" s="177" t="n"/>
      <c r="F595" s="177" t="n"/>
      <c r="G595" s="177" t="n"/>
      <c r="H595" s="177" t="n"/>
      <c r="I595" s="177" t="n"/>
      <c r="J595" s="177" t="n"/>
      <c r="K595" s="177" t="n"/>
      <c r="L595" s="177" t="n"/>
      <c r="M595" s="177" t="n"/>
      <c r="N595" s="177" t="n"/>
      <c r="O595" s="177" t="n"/>
      <c r="P595" s="177" t="n"/>
      <c r="Q595" s="177" t="n"/>
      <c r="R595" s="177" t="n"/>
      <c r="S595" s="177" t="n"/>
      <c r="T595" s="177" t="n"/>
      <c r="U595" s="177" t="n"/>
      <c r="V595" s="177" t="n"/>
      <c r="W595" s="177" t="n"/>
    </row>
    <row r="596" ht="15.75" customHeight="1" s="297">
      <c r="A596" s="177" t="n"/>
      <c r="B596" s="177" t="n"/>
      <c r="C596" s="177" t="n"/>
      <c r="D596" s="177" t="n"/>
      <c r="E596" s="177" t="n"/>
      <c r="F596" s="177" t="n"/>
      <c r="G596" s="177" t="n"/>
      <c r="H596" s="177" t="n"/>
      <c r="I596" s="177" t="n"/>
      <c r="J596" s="177" t="n"/>
      <c r="K596" s="177" t="n"/>
      <c r="L596" s="177" t="n"/>
      <c r="M596" s="177" t="n"/>
      <c r="N596" s="177" t="n"/>
      <c r="O596" s="177" t="n"/>
      <c r="P596" s="177" t="n"/>
      <c r="Q596" s="177" t="n"/>
      <c r="R596" s="177" t="n"/>
      <c r="S596" s="177" t="n"/>
      <c r="T596" s="177" t="n"/>
      <c r="U596" s="177" t="n"/>
      <c r="V596" s="177" t="n"/>
      <c r="W596" s="177" t="n"/>
    </row>
    <row r="597" ht="15.75" customHeight="1" s="297">
      <c r="A597" s="177" t="n"/>
      <c r="B597" s="177" t="n"/>
      <c r="C597" s="177" t="n"/>
      <c r="D597" s="177" t="n"/>
      <c r="E597" s="177" t="n"/>
      <c r="F597" s="177" t="n"/>
      <c r="G597" s="177" t="n"/>
      <c r="H597" s="177" t="n"/>
      <c r="I597" s="177" t="n"/>
      <c r="J597" s="177" t="n"/>
      <c r="K597" s="177" t="n"/>
      <c r="L597" s="177" t="n"/>
      <c r="M597" s="177" t="n"/>
      <c r="N597" s="177" t="n"/>
      <c r="O597" s="177" t="n"/>
      <c r="P597" s="177" t="n"/>
      <c r="Q597" s="177" t="n"/>
      <c r="R597" s="177" t="n"/>
      <c r="S597" s="177" t="n"/>
      <c r="T597" s="177" t="n"/>
      <c r="U597" s="177" t="n"/>
      <c r="V597" s="177" t="n"/>
      <c r="W597" s="177" t="n"/>
    </row>
    <row r="598" ht="15.75" customHeight="1" s="297">
      <c r="A598" s="177" t="n"/>
      <c r="B598" s="177" t="n"/>
      <c r="C598" s="177" t="n"/>
      <c r="D598" s="177" t="n"/>
      <c r="E598" s="177" t="n"/>
      <c r="F598" s="177" t="n"/>
      <c r="G598" s="177" t="n"/>
      <c r="H598" s="177" t="n"/>
      <c r="I598" s="177" t="n"/>
      <c r="J598" s="177" t="n"/>
      <c r="K598" s="177" t="n"/>
      <c r="L598" s="177" t="n"/>
      <c r="M598" s="177" t="n"/>
      <c r="N598" s="177" t="n"/>
      <c r="O598" s="177" t="n"/>
      <c r="P598" s="177" t="n"/>
      <c r="Q598" s="177" t="n"/>
      <c r="R598" s="177" t="n"/>
      <c r="S598" s="177" t="n"/>
      <c r="T598" s="177" t="n"/>
      <c r="U598" s="177" t="n"/>
      <c r="V598" s="177" t="n"/>
      <c r="W598" s="177" t="n"/>
    </row>
    <row r="599" ht="15.75" customHeight="1" s="297">
      <c r="A599" s="177" t="n"/>
      <c r="B599" s="177" t="n"/>
      <c r="C599" s="177" t="n"/>
      <c r="D599" s="177" t="n"/>
      <c r="E599" s="177" t="n"/>
      <c r="F599" s="177" t="n"/>
      <c r="G599" s="177" t="n"/>
      <c r="H599" s="177" t="n"/>
      <c r="I599" s="177" t="n"/>
      <c r="J599" s="177" t="n"/>
      <c r="K599" s="177" t="n"/>
      <c r="L599" s="177" t="n"/>
      <c r="M599" s="177" t="n"/>
      <c r="N599" s="177" t="n"/>
      <c r="O599" s="177" t="n"/>
      <c r="P599" s="177" t="n"/>
      <c r="Q599" s="177" t="n"/>
      <c r="R599" s="177" t="n"/>
      <c r="S599" s="177" t="n"/>
      <c r="T599" s="177" t="n"/>
      <c r="U599" s="177" t="n"/>
      <c r="V599" s="177" t="n"/>
      <c r="W599" s="177" t="n"/>
    </row>
    <row r="600" ht="15.75" customHeight="1" s="297">
      <c r="A600" s="177" t="n"/>
      <c r="B600" s="177" t="n"/>
      <c r="C600" s="177" t="n"/>
      <c r="D600" s="177" t="n"/>
      <c r="E600" s="177" t="n"/>
      <c r="F600" s="177" t="n"/>
      <c r="G600" s="177" t="n"/>
      <c r="H600" s="177" t="n"/>
      <c r="I600" s="177" t="n"/>
      <c r="J600" s="177" t="n"/>
      <c r="K600" s="177" t="n"/>
      <c r="L600" s="177" t="n"/>
      <c r="M600" s="177" t="n"/>
      <c r="N600" s="177" t="n"/>
      <c r="O600" s="177" t="n"/>
      <c r="P600" s="177" t="n"/>
      <c r="Q600" s="177" t="n"/>
      <c r="R600" s="177" t="n"/>
      <c r="S600" s="177" t="n"/>
      <c r="T600" s="177" t="n"/>
      <c r="U600" s="177" t="n"/>
      <c r="V600" s="177" t="n"/>
      <c r="W600" s="177" t="n"/>
    </row>
    <row r="601" ht="15.75" customHeight="1" s="297">
      <c r="A601" s="177" t="n"/>
      <c r="B601" s="177" t="n"/>
      <c r="C601" s="177" t="n"/>
      <c r="D601" s="177" t="n"/>
      <c r="E601" s="177" t="n"/>
      <c r="F601" s="177" t="n"/>
      <c r="G601" s="177" t="n"/>
      <c r="H601" s="177" t="n"/>
      <c r="I601" s="177" t="n"/>
      <c r="J601" s="177" t="n"/>
      <c r="K601" s="177" t="n"/>
      <c r="L601" s="177" t="n"/>
      <c r="M601" s="177" t="n"/>
      <c r="N601" s="177" t="n"/>
      <c r="O601" s="177" t="n"/>
      <c r="P601" s="177" t="n"/>
      <c r="Q601" s="177" t="n"/>
      <c r="R601" s="177" t="n"/>
      <c r="S601" s="177" t="n"/>
      <c r="T601" s="177" t="n"/>
      <c r="U601" s="177" t="n"/>
      <c r="V601" s="177" t="n"/>
      <c r="W601" s="177" t="n"/>
    </row>
    <row r="602" ht="15.75" customHeight="1" s="297">
      <c r="A602" s="177" t="n"/>
      <c r="B602" s="177" t="n"/>
      <c r="C602" s="177" t="n"/>
      <c r="D602" s="177" t="n"/>
      <c r="E602" s="177" t="n"/>
      <c r="F602" s="177" t="n"/>
      <c r="G602" s="177" t="n"/>
      <c r="H602" s="177" t="n"/>
      <c r="I602" s="177" t="n"/>
      <c r="J602" s="177" t="n"/>
      <c r="K602" s="177" t="n"/>
      <c r="L602" s="177" t="n"/>
      <c r="M602" s="177" t="n"/>
      <c r="N602" s="177" t="n"/>
      <c r="O602" s="177" t="n"/>
      <c r="P602" s="177" t="n"/>
      <c r="Q602" s="177" t="n"/>
      <c r="R602" s="177" t="n"/>
      <c r="S602" s="177" t="n"/>
      <c r="T602" s="177" t="n"/>
      <c r="U602" s="177" t="n"/>
      <c r="V602" s="177" t="n"/>
      <c r="W602" s="177" t="n"/>
    </row>
    <row r="603" ht="15.75" customHeight="1" s="297">
      <c r="A603" s="177" t="n"/>
      <c r="B603" s="177" t="n"/>
      <c r="C603" s="177" t="n"/>
      <c r="D603" s="177" t="n"/>
      <c r="E603" s="177" t="n"/>
      <c r="F603" s="177" t="n"/>
      <c r="G603" s="177" t="n"/>
      <c r="H603" s="177" t="n"/>
      <c r="I603" s="177" t="n"/>
      <c r="J603" s="177" t="n"/>
      <c r="K603" s="177" t="n"/>
      <c r="L603" s="177" t="n"/>
      <c r="M603" s="177" t="n"/>
      <c r="N603" s="177" t="n"/>
      <c r="O603" s="177" t="n"/>
      <c r="P603" s="177" t="n"/>
      <c r="Q603" s="177" t="n"/>
      <c r="R603" s="177" t="n"/>
      <c r="S603" s="177" t="n"/>
      <c r="T603" s="177" t="n"/>
      <c r="U603" s="177" t="n"/>
      <c r="V603" s="177" t="n"/>
      <c r="W603" s="177" t="n"/>
    </row>
    <row r="604" ht="15.75" customHeight="1" s="297">
      <c r="A604" s="177" t="n"/>
      <c r="B604" s="177" t="n"/>
      <c r="C604" s="177" t="n"/>
      <c r="D604" s="177" t="n"/>
      <c r="E604" s="177" t="n"/>
      <c r="F604" s="177" t="n"/>
      <c r="G604" s="177" t="n"/>
      <c r="H604" s="177" t="n"/>
      <c r="I604" s="177" t="n"/>
      <c r="J604" s="177" t="n"/>
      <c r="K604" s="177" t="n"/>
      <c r="L604" s="177" t="n"/>
      <c r="M604" s="177" t="n"/>
      <c r="N604" s="177" t="n"/>
      <c r="O604" s="177" t="n"/>
      <c r="P604" s="177" t="n"/>
      <c r="Q604" s="177" t="n"/>
      <c r="R604" s="177" t="n"/>
      <c r="S604" s="177" t="n"/>
      <c r="T604" s="177" t="n"/>
      <c r="U604" s="177" t="n"/>
      <c r="V604" s="177" t="n"/>
      <c r="W604" s="177" t="n"/>
    </row>
    <row r="605" ht="15.75" customHeight="1" s="297">
      <c r="A605" s="177" t="n"/>
      <c r="B605" s="177" t="n"/>
      <c r="C605" s="177" t="n"/>
      <c r="D605" s="177" t="n"/>
      <c r="E605" s="177" t="n"/>
      <c r="F605" s="177" t="n"/>
      <c r="G605" s="177" t="n"/>
      <c r="H605" s="177" t="n"/>
      <c r="I605" s="177" t="n"/>
      <c r="J605" s="177" t="n"/>
      <c r="K605" s="177" t="n"/>
      <c r="L605" s="177" t="n"/>
      <c r="M605" s="177" t="n"/>
      <c r="N605" s="177" t="n"/>
      <c r="O605" s="177" t="n"/>
      <c r="P605" s="177" t="n"/>
      <c r="Q605" s="177" t="n"/>
      <c r="R605" s="177" t="n"/>
      <c r="S605" s="177" t="n"/>
      <c r="T605" s="177" t="n"/>
      <c r="U605" s="177" t="n"/>
      <c r="V605" s="177" t="n"/>
      <c r="W605" s="177" t="n"/>
    </row>
    <row r="606" ht="15.75" customHeight="1" s="297">
      <c r="A606" s="177" t="n"/>
      <c r="B606" s="177" t="n"/>
      <c r="C606" s="177" t="n"/>
      <c r="D606" s="177" t="n"/>
      <c r="E606" s="177" t="n"/>
      <c r="F606" s="177" t="n"/>
      <c r="G606" s="177" t="n"/>
      <c r="H606" s="177" t="n"/>
      <c r="I606" s="177" t="n"/>
      <c r="J606" s="177" t="n"/>
      <c r="K606" s="177" t="n"/>
      <c r="L606" s="177" t="n"/>
      <c r="M606" s="177" t="n"/>
      <c r="N606" s="177" t="n"/>
      <c r="O606" s="177" t="n"/>
      <c r="P606" s="177" t="n"/>
      <c r="Q606" s="177" t="n"/>
      <c r="R606" s="177" t="n"/>
      <c r="S606" s="177" t="n"/>
      <c r="T606" s="177" t="n"/>
      <c r="U606" s="177" t="n"/>
      <c r="V606" s="177" t="n"/>
      <c r="W606" s="177" t="n"/>
    </row>
    <row r="607" ht="15.75" customHeight="1" s="297">
      <c r="A607" s="177" t="n"/>
      <c r="B607" s="177" t="n"/>
      <c r="C607" s="177" t="n"/>
      <c r="D607" s="177" t="n"/>
      <c r="E607" s="177" t="n"/>
      <c r="F607" s="177" t="n"/>
      <c r="G607" s="177" t="n"/>
      <c r="H607" s="177" t="n"/>
      <c r="I607" s="177" t="n"/>
      <c r="J607" s="177" t="n"/>
      <c r="K607" s="177" t="n"/>
      <c r="L607" s="177" t="n"/>
      <c r="M607" s="177" t="n"/>
      <c r="N607" s="177" t="n"/>
      <c r="O607" s="177" t="n"/>
      <c r="P607" s="177" t="n"/>
      <c r="Q607" s="177" t="n"/>
      <c r="R607" s="177" t="n"/>
      <c r="S607" s="177" t="n"/>
      <c r="T607" s="177" t="n"/>
      <c r="U607" s="177" t="n"/>
      <c r="V607" s="177" t="n"/>
      <c r="W607" s="177" t="n"/>
    </row>
    <row r="608" ht="15.75" customHeight="1" s="297">
      <c r="A608" s="177" t="n"/>
      <c r="B608" s="177" t="n"/>
      <c r="C608" s="177" t="n"/>
      <c r="D608" s="177" t="n"/>
      <c r="E608" s="177" t="n"/>
      <c r="F608" s="177" t="n"/>
      <c r="G608" s="177" t="n"/>
      <c r="H608" s="177" t="n"/>
      <c r="I608" s="177" t="n"/>
      <c r="J608" s="177" t="n"/>
      <c r="K608" s="177" t="n"/>
      <c r="L608" s="177" t="n"/>
      <c r="M608" s="177" t="n"/>
      <c r="N608" s="177" t="n"/>
      <c r="O608" s="177" t="n"/>
      <c r="P608" s="177" t="n"/>
      <c r="Q608" s="177" t="n"/>
      <c r="R608" s="177" t="n"/>
      <c r="S608" s="177" t="n"/>
      <c r="T608" s="177" t="n"/>
      <c r="U608" s="177" t="n"/>
      <c r="V608" s="177" t="n"/>
      <c r="W608" s="177" t="n"/>
    </row>
    <row r="609" ht="15.75" customHeight="1" s="297">
      <c r="A609" s="177" t="n"/>
      <c r="B609" s="177" t="n"/>
      <c r="C609" s="177" t="n"/>
      <c r="D609" s="177" t="n"/>
      <c r="E609" s="177" t="n"/>
      <c r="F609" s="177" t="n"/>
      <c r="G609" s="177" t="n"/>
      <c r="H609" s="177" t="n"/>
      <c r="I609" s="177" t="n"/>
      <c r="J609" s="177" t="n"/>
      <c r="K609" s="177" t="n"/>
      <c r="L609" s="177" t="n"/>
      <c r="M609" s="177" t="n"/>
      <c r="N609" s="177" t="n"/>
      <c r="O609" s="177" t="n"/>
      <c r="P609" s="177" t="n"/>
      <c r="Q609" s="177" t="n"/>
      <c r="R609" s="177" t="n"/>
      <c r="S609" s="177" t="n"/>
      <c r="T609" s="177" t="n"/>
      <c r="U609" s="177" t="n"/>
      <c r="V609" s="177" t="n"/>
      <c r="W609" s="177" t="n"/>
    </row>
    <row r="610" ht="15.75" customHeight="1" s="297">
      <c r="A610" s="177" t="n"/>
      <c r="B610" s="177" t="n"/>
      <c r="C610" s="177" t="n"/>
      <c r="D610" s="177" t="n"/>
      <c r="E610" s="177" t="n"/>
      <c r="F610" s="177" t="n"/>
      <c r="G610" s="177" t="n"/>
      <c r="H610" s="177" t="n"/>
      <c r="I610" s="177" t="n"/>
      <c r="J610" s="177" t="n"/>
      <c r="K610" s="177" t="n"/>
      <c r="L610" s="177" t="n"/>
      <c r="M610" s="177" t="n"/>
      <c r="N610" s="177" t="n"/>
      <c r="O610" s="177" t="n"/>
      <c r="P610" s="177" t="n"/>
      <c r="Q610" s="177" t="n"/>
      <c r="R610" s="177" t="n"/>
      <c r="S610" s="177" t="n"/>
      <c r="T610" s="177" t="n"/>
      <c r="U610" s="177" t="n"/>
      <c r="V610" s="177" t="n"/>
      <c r="W610" s="177" t="n"/>
    </row>
    <row r="611" ht="15.75" customHeight="1" s="297">
      <c r="A611" s="177" t="n"/>
      <c r="B611" s="177" t="n"/>
      <c r="C611" s="177" t="n"/>
      <c r="D611" s="177" t="n"/>
      <c r="E611" s="177" t="n"/>
      <c r="F611" s="177" t="n"/>
      <c r="G611" s="177" t="n"/>
      <c r="H611" s="177" t="n"/>
      <c r="I611" s="177" t="n"/>
      <c r="J611" s="177" t="n"/>
      <c r="K611" s="177" t="n"/>
      <c r="L611" s="177" t="n"/>
      <c r="M611" s="177" t="n"/>
      <c r="N611" s="177" t="n"/>
      <c r="O611" s="177" t="n"/>
      <c r="P611" s="177" t="n"/>
      <c r="Q611" s="177" t="n"/>
      <c r="R611" s="177" t="n"/>
      <c r="S611" s="177" t="n"/>
      <c r="T611" s="177" t="n"/>
      <c r="U611" s="177" t="n"/>
      <c r="V611" s="177" t="n"/>
      <c r="W611" s="177" t="n"/>
    </row>
    <row r="612" ht="15.75" customHeight="1" s="297">
      <c r="A612" s="177" t="n"/>
      <c r="B612" s="177" t="n"/>
      <c r="C612" s="177" t="n"/>
      <c r="D612" s="177" t="n"/>
      <c r="E612" s="177" t="n"/>
      <c r="F612" s="177" t="n"/>
      <c r="G612" s="177" t="n"/>
      <c r="H612" s="177" t="n"/>
      <c r="I612" s="177" t="n"/>
      <c r="J612" s="177" t="n"/>
      <c r="K612" s="177" t="n"/>
      <c r="L612" s="177" t="n"/>
      <c r="M612" s="177" t="n"/>
      <c r="N612" s="177" t="n"/>
      <c r="O612" s="177" t="n"/>
      <c r="P612" s="177" t="n"/>
      <c r="Q612" s="177" t="n"/>
      <c r="R612" s="177" t="n"/>
      <c r="S612" s="177" t="n"/>
      <c r="T612" s="177" t="n"/>
      <c r="U612" s="177" t="n"/>
      <c r="V612" s="177" t="n"/>
      <c r="W612" s="177" t="n"/>
    </row>
    <row r="613" ht="15.75" customHeight="1" s="297">
      <c r="A613" s="177" t="n"/>
      <c r="B613" s="177" t="n"/>
      <c r="C613" s="177" t="n"/>
      <c r="D613" s="177" t="n"/>
      <c r="E613" s="177" t="n"/>
      <c r="F613" s="177" t="n"/>
      <c r="G613" s="177" t="n"/>
      <c r="H613" s="177" t="n"/>
      <c r="I613" s="177" t="n"/>
      <c r="J613" s="177" t="n"/>
      <c r="K613" s="177" t="n"/>
      <c r="L613" s="177" t="n"/>
      <c r="M613" s="177" t="n"/>
      <c r="N613" s="177" t="n"/>
      <c r="O613" s="177" t="n"/>
      <c r="P613" s="177" t="n"/>
      <c r="Q613" s="177" t="n"/>
      <c r="R613" s="177" t="n"/>
      <c r="S613" s="177" t="n"/>
      <c r="T613" s="177" t="n"/>
      <c r="U613" s="177" t="n"/>
      <c r="V613" s="177" t="n"/>
      <c r="W613" s="177" t="n"/>
    </row>
    <row r="614" ht="15.75" customHeight="1" s="297">
      <c r="A614" s="177" t="n"/>
      <c r="B614" s="177" t="n"/>
      <c r="C614" s="177" t="n"/>
      <c r="D614" s="177" t="n"/>
      <c r="E614" s="177" t="n"/>
      <c r="F614" s="177" t="n"/>
      <c r="G614" s="177" t="n"/>
      <c r="H614" s="177" t="n"/>
      <c r="I614" s="177" t="n"/>
      <c r="J614" s="177" t="n"/>
      <c r="K614" s="177" t="n"/>
      <c r="L614" s="177" t="n"/>
      <c r="M614" s="177" t="n"/>
      <c r="N614" s="177" t="n"/>
      <c r="O614" s="177" t="n"/>
      <c r="P614" s="177" t="n"/>
      <c r="Q614" s="177" t="n"/>
      <c r="R614" s="177" t="n"/>
      <c r="S614" s="177" t="n"/>
      <c r="T614" s="177" t="n"/>
      <c r="U614" s="177" t="n"/>
      <c r="V614" s="177" t="n"/>
      <c r="W614" s="177" t="n"/>
    </row>
    <row r="615" ht="15.75" customHeight="1" s="297">
      <c r="A615" s="177" t="n"/>
      <c r="B615" s="177" t="n"/>
      <c r="C615" s="177" t="n"/>
      <c r="D615" s="177" t="n"/>
      <c r="E615" s="177" t="n"/>
      <c r="F615" s="177" t="n"/>
      <c r="G615" s="177" t="n"/>
      <c r="H615" s="177" t="n"/>
      <c r="I615" s="177" t="n"/>
      <c r="J615" s="177" t="n"/>
      <c r="K615" s="177" t="n"/>
      <c r="L615" s="177" t="n"/>
      <c r="M615" s="177" t="n"/>
      <c r="N615" s="177" t="n"/>
      <c r="O615" s="177" t="n"/>
      <c r="P615" s="177" t="n"/>
      <c r="Q615" s="177" t="n"/>
      <c r="R615" s="177" t="n"/>
      <c r="S615" s="177" t="n"/>
      <c r="T615" s="177" t="n"/>
      <c r="U615" s="177" t="n"/>
      <c r="V615" s="177" t="n"/>
      <c r="W615" s="177" t="n"/>
    </row>
    <row r="616" ht="15.75" customHeight="1" s="297">
      <c r="A616" s="177" t="n"/>
      <c r="B616" s="177" t="n"/>
      <c r="C616" s="177" t="n"/>
      <c r="D616" s="177" t="n"/>
      <c r="E616" s="177" t="n"/>
      <c r="F616" s="177" t="n"/>
      <c r="G616" s="177" t="n"/>
      <c r="H616" s="177" t="n"/>
      <c r="I616" s="177" t="n"/>
      <c r="J616" s="177" t="n"/>
      <c r="K616" s="177" t="n"/>
      <c r="L616" s="177" t="n"/>
      <c r="M616" s="177" t="n"/>
      <c r="N616" s="177" t="n"/>
      <c r="O616" s="177" t="n"/>
      <c r="P616" s="177" t="n"/>
      <c r="Q616" s="177" t="n"/>
      <c r="R616" s="177" t="n"/>
      <c r="S616" s="177" t="n"/>
      <c r="T616" s="177" t="n"/>
      <c r="U616" s="177" t="n"/>
      <c r="V616" s="177" t="n"/>
      <c r="W616" s="177" t="n"/>
    </row>
    <row r="617" ht="15.75" customHeight="1" s="297">
      <c r="A617" s="177" t="n"/>
      <c r="B617" s="177" t="n"/>
      <c r="C617" s="177" t="n"/>
      <c r="D617" s="177" t="n"/>
      <c r="E617" s="177" t="n"/>
      <c r="F617" s="177" t="n"/>
      <c r="G617" s="177" t="n"/>
      <c r="H617" s="177" t="n"/>
      <c r="I617" s="177" t="n"/>
      <c r="J617" s="177" t="n"/>
      <c r="K617" s="177" t="n"/>
      <c r="L617" s="177" t="n"/>
      <c r="M617" s="177" t="n"/>
      <c r="N617" s="177" t="n"/>
      <c r="O617" s="177" t="n"/>
      <c r="P617" s="177" t="n"/>
      <c r="Q617" s="177" t="n"/>
      <c r="R617" s="177" t="n"/>
      <c r="S617" s="177" t="n"/>
      <c r="T617" s="177" t="n"/>
      <c r="U617" s="177" t="n"/>
      <c r="V617" s="177" t="n"/>
      <c r="W617" s="177" t="n"/>
    </row>
    <row r="618" ht="15.75" customHeight="1" s="297">
      <c r="A618" s="177" t="n"/>
      <c r="B618" s="177" t="n"/>
      <c r="C618" s="177" t="n"/>
      <c r="D618" s="177" t="n"/>
      <c r="E618" s="177" t="n"/>
      <c r="F618" s="177" t="n"/>
      <c r="G618" s="177" t="n"/>
      <c r="H618" s="177" t="n"/>
      <c r="I618" s="177" t="n"/>
      <c r="J618" s="177" t="n"/>
      <c r="K618" s="177" t="n"/>
      <c r="L618" s="177" t="n"/>
      <c r="M618" s="177" t="n"/>
      <c r="N618" s="177" t="n"/>
      <c r="O618" s="177" t="n"/>
      <c r="P618" s="177" t="n"/>
      <c r="Q618" s="177" t="n"/>
      <c r="R618" s="177" t="n"/>
      <c r="S618" s="177" t="n"/>
      <c r="T618" s="177" t="n"/>
      <c r="U618" s="177" t="n"/>
      <c r="V618" s="177" t="n"/>
      <c r="W618" s="177" t="n"/>
    </row>
    <row r="619" ht="15.75" customHeight="1" s="297">
      <c r="A619" s="177" t="n"/>
      <c r="B619" s="177" t="n"/>
      <c r="C619" s="177" t="n"/>
      <c r="D619" s="177" t="n"/>
      <c r="E619" s="177" t="n"/>
      <c r="F619" s="177" t="n"/>
      <c r="G619" s="177" t="n"/>
      <c r="H619" s="177" t="n"/>
      <c r="I619" s="177" t="n"/>
      <c r="J619" s="177" t="n"/>
      <c r="K619" s="177" t="n"/>
      <c r="L619" s="177" t="n"/>
      <c r="M619" s="177" t="n"/>
      <c r="N619" s="177" t="n"/>
      <c r="O619" s="177" t="n"/>
      <c r="P619" s="177" t="n"/>
      <c r="Q619" s="177" t="n"/>
      <c r="R619" s="177" t="n"/>
      <c r="S619" s="177" t="n"/>
      <c r="T619" s="177" t="n"/>
      <c r="U619" s="177" t="n"/>
      <c r="V619" s="177" t="n"/>
      <c r="W619" s="177" t="n"/>
    </row>
    <row r="620" ht="15.75" customHeight="1" s="297">
      <c r="A620" s="177" t="n"/>
      <c r="B620" s="177" t="n"/>
      <c r="C620" s="177" t="n"/>
      <c r="D620" s="177" t="n"/>
      <c r="E620" s="177" t="n"/>
      <c r="F620" s="177" t="n"/>
      <c r="G620" s="177" t="n"/>
      <c r="H620" s="177" t="n"/>
      <c r="I620" s="177" t="n"/>
      <c r="J620" s="177" t="n"/>
      <c r="K620" s="177" t="n"/>
      <c r="L620" s="177" t="n"/>
      <c r="M620" s="177" t="n"/>
      <c r="N620" s="177" t="n"/>
      <c r="O620" s="177" t="n"/>
      <c r="P620" s="177" t="n"/>
      <c r="Q620" s="177" t="n"/>
      <c r="R620" s="177" t="n"/>
      <c r="S620" s="177" t="n"/>
      <c r="T620" s="177" t="n"/>
      <c r="U620" s="177" t="n"/>
      <c r="V620" s="177" t="n"/>
      <c r="W620" s="177" t="n"/>
    </row>
    <row r="621" ht="15.75" customHeight="1" s="297">
      <c r="A621" s="177" t="n"/>
      <c r="B621" s="177" t="n"/>
      <c r="C621" s="177" t="n"/>
      <c r="D621" s="177" t="n"/>
      <c r="E621" s="177" t="n"/>
      <c r="F621" s="177" t="n"/>
      <c r="G621" s="177" t="n"/>
      <c r="H621" s="177" t="n"/>
      <c r="I621" s="177" t="n"/>
      <c r="J621" s="177" t="n"/>
      <c r="K621" s="177" t="n"/>
      <c r="L621" s="177" t="n"/>
      <c r="M621" s="177" t="n"/>
      <c r="N621" s="177" t="n"/>
      <c r="O621" s="177" t="n"/>
      <c r="P621" s="177" t="n"/>
      <c r="Q621" s="177" t="n"/>
      <c r="R621" s="177" t="n"/>
      <c r="S621" s="177" t="n"/>
      <c r="T621" s="177" t="n"/>
      <c r="U621" s="177" t="n"/>
      <c r="V621" s="177" t="n"/>
      <c r="W621" s="177" t="n"/>
    </row>
    <row r="622" ht="15.75" customHeight="1" s="297">
      <c r="A622" s="177" t="n"/>
      <c r="B622" s="177" t="n"/>
      <c r="C622" s="177" t="n"/>
      <c r="D622" s="177" t="n"/>
      <c r="E622" s="177" t="n"/>
      <c r="F622" s="177" t="n"/>
      <c r="G622" s="177" t="n"/>
      <c r="H622" s="177" t="n"/>
      <c r="I622" s="177" t="n"/>
      <c r="J622" s="177" t="n"/>
      <c r="K622" s="177" t="n"/>
      <c r="L622" s="177" t="n"/>
      <c r="M622" s="177" t="n"/>
      <c r="N622" s="177" t="n"/>
      <c r="O622" s="177" t="n"/>
      <c r="P622" s="177" t="n"/>
      <c r="Q622" s="177" t="n"/>
      <c r="R622" s="177" t="n"/>
      <c r="S622" s="177" t="n"/>
      <c r="T622" s="177" t="n"/>
      <c r="U622" s="177" t="n"/>
      <c r="V622" s="177" t="n"/>
      <c r="W622" s="177" t="n"/>
    </row>
    <row r="623" ht="15.75" customHeight="1" s="297">
      <c r="A623" s="177" t="n"/>
      <c r="B623" s="177" t="n"/>
      <c r="C623" s="177" t="n"/>
      <c r="D623" s="177" t="n"/>
      <c r="E623" s="177" t="n"/>
      <c r="F623" s="177" t="n"/>
      <c r="G623" s="177" t="n"/>
      <c r="H623" s="177" t="n"/>
      <c r="I623" s="177" t="n"/>
      <c r="J623" s="177" t="n"/>
      <c r="K623" s="177" t="n"/>
      <c r="L623" s="177" t="n"/>
      <c r="M623" s="177" t="n"/>
      <c r="N623" s="177" t="n"/>
      <c r="O623" s="177" t="n"/>
      <c r="P623" s="177" t="n"/>
      <c r="Q623" s="177" t="n"/>
      <c r="R623" s="177" t="n"/>
      <c r="S623" s="177" t="n"/>
      <c r="T623" s="177" t="n"/>
      <c r="U623" s="177" t="n"/>
      <c r="V623" s="177" t="n"/>
      <c r="W623" s="177" t="n"/>
    </row>
    <row r="624" ht="15.75" customHeight="1" s="297">
      <c r="A624" s="177" t="n"/>
      <c r="B624" s="177" t="n"/>
      <c r="C624" s="177" t="n"/>
      <c r="D624" s="177" t="n"/>
      <c r="E624" s="177" t="n"/>
      <c r="F624" s="177" t="n"/>
      <c r="G624" s="177" t="n"/>
      <c r="H624" s="177" t="n"/>
      <c r="I624" s="177" t="n"/>
      <c r="J624" s="177" t="n"/>
      <c r="K624" s="177" t="n"/>
      <c r="L624" s="177" t="n"/>
      <c r="M624" s="177" t="n"/>
      <c r="N624" s="177" t="n"/>
      <c r="O624" s="177" t="n"/>
      <c r="P624" s="177" t="n"/>
      <c r="Q624" s="177" t="n"/>
      <c r="R624" s="177" t="n"/>
      <c r="S624" s="177" t="n"/>
      <c r="T624" s="177" t="n"/>
      <c r="U624" s="177" t="n"/>
      <c r="V624" s="177" t="n"/>
      <c r="W624" s="177" t="n"/>
    </row>
    <row r="625" ht="15.75" customHeight="1" s="297">
      <c r="A625" s="177" t="n"/>
      <c r="B625" s="177" t="n"/>
      <c r="C625" s="177" t="n"/>
      <c r="D625" s="177" t="n"/>
      <c r="E625" s="177" t="n"/>
      <c r="F625" s="177" t="n"/>
      <c r="G625" s="177" t="n"/>
      <c r="H625" s="177" t="n"/>
      <c r="I625" s="177" t="n"/>
      <c r="J625" s="177" t="n"/>
      <c r="K625" s="177" t="n"/>
      <c r="L625" s="177" t="n"/>
      <c r="M625" s="177" t="n"/>
      <c r="N625" s="177" t="n"/>
      <c r="O625" s="177" t="n"/>
      <c r="P625" s="177" t="n"/>
      <c r="Q625" s="177" t="n"/>
      <c r="R625" s="177" t="n"/>
      <c r="S625" s="177" t="n"/>
      <c r="T625" s="177" t="n"/>
      <c r="U625" s="177" t="n"/>
      <c r="V625" s="177" t="n"/>
      <c r="W625" s="177" t="n"/>
    </row>
    <row r="626" ht="15.75" customHeight="1" s="297">
      <c r="A626" s="177" t="n"/>
      <c r="B626" s="177" t="n"/>
      <c r="C626" s="177" t="n"/>
      <c r="D626" s="177" t="n"/>
      <c r="E626" s="177" t="n"/>
      <c r="F626" s="177" t="n"/>
      <c r="G626" s="177" t="n"/>
      <c r="H626" s="177" t="n"/>
      <c r="I626" s="177" t="n"/>
      <c r="J626" s="177" t="n"/>
      <c r="K626" s="177" t="n"/>
      <c r="L626" s="177" t="n"/>
      <c r="M626" s="177" t="n"/>
      <c r="N626" s="177" t="n"/>
      <c r="O626" s="177" t="n"/>
      <c r="P626" s="177" t="n"/>
      <c r="Q626" s="177" t="n"/>
      <c r="R626" s="177" t="n"/>
      <c r="S626" s="177" t="n"/>
      <c r="T626" s="177" t="n"/>
      <c r="U626" s="177" t="n"/>
      <c r="V626" s="177" t="n"/>
      <c r="W626" s="177" t="n"/>
    </row>
    <row r="627" ht="15.75" customHeight="1" s="297">
      <c r="A627" s="177" t="n"/>
      <c r="B627" s="177" t="n"/>
      <c r="C627" s="177" t="n"/>
      <c r="D627" s="177" t="n"/>
      <c r="E627" s="177" t="n"/>
      <c r="F627" s="177" t="n"/>
      <c r="G627" s="177" t="n"/>
      <c r="H627" s="177" t="n"/>
      <c r="I627" s="177" t="n"/>
      <c r="J627" s="177" t="n"/>
      <c r="K627" s="177" t="n"/>
      <c r="L627" s="177" t="n"/>
      <c r="M627" s="177" t="n"/>
      <c r="N627" s="177" t="n"/>
      <c r="O627" s="177" t="n"/>
      <c r="P627" s="177" t="n"/>
      <c r="Q627" s="177" t="n"/>
      <c r="R627" s="177" t="n"/>
      <c r="S627" s="177" t="n"/>
      <c r="T627" s="177" t="n"/>
      <c r="U627" s="177" t="n"/>
      <c r="V627" s="177" t="n"/>
      <c r="W627" s="177" t="n"/>
    </row>
    <row r="628" ht="15.75" customHeight="1" s="297">
      <c r="A628" s="177" t="n"/>
      <c r="B628" s="177" t="n"/>
      <c r="C628" s="177" t="n"/>
      <c r="D628" s="177" t="n"/>
      <c r="E628" s="177" t="n"/>
      <c r="F628" s="177" t="n"/>
      <c r="G628" s="177" t="n"/>
      <c r="H628" s="177" t="n"/>
      <c r="I628" s="177" t="n"/>
      <c r="J628" s="177" t="n"/>
      <c r="K628" s="177" t="n"/>
      <c r="L628" s="177" t="n"/>
      <c r="M628" s="177" t="n"/>
      <c r="N628" s="177" t="n"/>
      <c r="O628" s="177" t="n"/>
      <c r="P628" s="177" t="n"/>
      <c r="Q628" s="177" t="n"/>
      <c r="R628" s="177" t="n"/>
      <c r="S628" s="177" t="n"/>
      <c r="T628" s="177" t="n"/>
      <c r="U628" s="177" t="n"/>
      <c r="V628" s="177" t="n"/>
      <c r="W628" s="177" t="n"/>
    </row>
    <row r="629" ht="15.75" customHeight="1" s="297">
      <c r="A629" s="177" t="n"/>
      <c r="B629" s="177" t="n"/>
      <c r="C629" s="177" t="n"/>
      <c r="D629" s="177" t="n"/>
      <c r="E629" s="177" t="n"/>
      <c r="F629" s="177" t="n"/>
      <c r="G629" s="177" t="n"/>
      <c r="H629" s="177" t="n"/>
      <c r="I629" s="177" t="n"/>
      <c r="J629" s="177" t="n"/>
      <c r="K629" s="177" t="n"/>
      <c r="L629" s="177" t="n"/>
      <c r="M629" s="177" t="n"/>
      <c r="N629" s="177" t="n"/>
      <c r="O629" s="177" t="n"/>
      <c r="P629" s="177" t="n"/>
      <c r="Q629" s="177" t="n"/>
      <c r="R629" s="177" t="n"/>
      <c r="S629" s="177" t="n"/>
      <c r="T629" s="177" t="n"/>
      <c r="U629" s="177" t="n"/>
      <c r="V629" s="177" t="n"/>
      <c r="W629" s="177" t="n"/>
    </row>
    <row r="630" ht="15.75" customHeight="1" s="297">
      <c r="A630" s="177" t="n"/>
      <c r="B630" s="177" t="n"/>
      <c r="C630" s="177" t="n"/>
      <c r="D630" s="177" t="n"/>
      <c r="E630" s="177" t="n"/>
      <c r="F630" s="177" t="n"/>
      <c r="G630" s="177" t="n"/>
      <c r="H630" s="177" t="n"/>
      <c r="I630" s="177" t="n"/>
      <c r="J630" s="177" t="n"/>
      <c r="K630" s="177" t="n"/>
      <c r="L630" s="177" t="n"/>
      <c r="M630" s="177" t="n"/>
      <c r="N630" s="177" t="n"/>
      <c r="O630" s="177" t="n"/>
      <c r="P630" s="177" t="n"/>
      <c r="Q630" s="177" t="n"/>
      <c r="R630" s="177" t="n"/>
      <c r="S630" s="177" t="n"/>
      <c r="T630" s="177" t="n"/>
      <c r="U630" s="177" t="n"/>
      <c r="V630" s="177" t="n"/>
      <c r="W630" s="177" t="n"/>
    </row>
    <row r="631" ht="15.75" customHeight="1" s="297">
      <c r="A631" s="177" t="n"/>
      <c r="B631" s="177" t="n"/>
      <c r="C631" s="177" t="n"/>
      <c r="D631" s="177" t="n"/>
      <c r="E631" s="177" t="n"/>
      <c r="F631" s="177" t="n"/>
      <c r="G631" s="177" t="n"/>
      <c r="H631" s="177" t="n"/>
      <c r="I631" s="177" t="n"/>
      <c r="J631" s="177" t="n"/>
      <c r="K631" s="177" t="n"/>
      <c r="L631" s="177" t="n"/>
      <c r="M631" s="177" t="n"/>
      <c r="N631" s="177" t="n"/>
      <c r="O631" s="177" t="n"/>
      <c r="P631" s="177" t="n"/>
      <c r="Q631" s="177" t="n"/>
      <c r="R631" s="177" t="n"/>
      <c r="S631" s="177" t="n"/>
      <c r="T631" s="177" t="n"/>
      <c r="U631" s="177" t="n"/>
      <c r="V631" s="177" t="n"/>
      <c r="W631" s="177" t="n"/>
    </row>
    <row r="632" ht="15.75" customHeight="1" s="297">
      <c r="A632" s="177" t="n"/>
      <c r="B632" s="177" t="n"/>
      <c r="C632" s="177" t="n"/>
      <c r="D632" s="177" t="n"/>
      <c r="E632" s="177" t="n"/>
      <c r="F632" s="177" t="n"/>
      <c r="G632" s="177" t="n"/>
      <c r="H632" s="177" t="n"/>
      <c r="I632" s="177" t="n"/>
      <c r="J632" s="177" t="n"/>
      <c r="K632" s="177" t="n"/>
      <c r="L632" s="177" t="n"/>
      <c r="M632" s="177" t="n"/>
      <c r="N632" s="177" t="n"/>
      <c r="O632" s="177" t="n"/>
      <c r="P632" s="177" t="n"/>
      <c r="Q632" s="177" t="n"/>
      <c r="R632" s="177" t="n"/>
      <c r="S632" s="177" t="n"/>
      <c r="T632" s="177" t="n"/>
      <c r="U632" s="177" t="n"/>
      <c r="V632" s="177" t="n"/>
      <c r="W632" s="177" t="n"/>
    </row>
    <row r="633" ht="15.75" customHeight="1" s="297">
      <c r="A633" s="177" t="n"/>
      <c r="B633" s="177" t="n"/>
      <c r="C633" s="177" t="n"/>
      <c r="D633" s="177" t="n"/>
      <c r="E633" s="177" t="n"/>
      <c r="F633" s="177" t="n"/>
      <c r="G633" s="177" t="n"/>
      <c r="H633" s="177" t="n"/>
      <c r="I633" s="177" t="n"/>
      <c r="J633" s="177" t="n"/>
      <c r="K633" s="177" t="n"/>
      <c r="L633" s="177" t="n"/>
      <c r="M633" s="177" t="n"/>
      <c r="N633" s="177" t="n"/>
      <c r="O633" s="177" t="n"/>
      <c r="P633" s="177" t="n"/>
      <c r="Q633" s="177" t="n"/>
      <c r="R633" s="177" t="n"/>
      <c r="S633" s="177" t="n"/>
      <c r="T633" s="177" t="n"/>
      <c r="U633" s="177" t="n"/>
      <c r="V633" s="177" t="n"/>
      <c r="W633" s="177" t="n"/>
    </row>
    <row r="634" ht="15.75" customHeight="1" s="297">
      <c r="A634" s="177" t="n"/>
      <c r="B634" s="177" t="n"/>
      <c r="C634" s="177" t="n"/>
      <c r="D634" s="177" t="n"/>
      <c r="E634" s="177" t="n"/>
      <c r="F634" s="177" t="n"/>
      <c r="G634" s="177" t="n"/>
      <c r="H634" s="177" t="n"/>
      <c r="I634" s="177" t="n"/>
      <c r="J634" s="177" t="n"/>
      <c r="K634" s="177" t="n"/>
      <c r="L634" s="177" t="n"/>
      <c r="M634" s="177" t="n"/>
      <c r="N634" s="177" t="n"/>
      <c r="O634" s="177" t="n"/>
      <c r="P634" s="177" t="n"/>
      <c r="Q634" s="177" t="n"/>
      <c r="R634" s="177" t="n"/>
      <c r="S634" s="177" t="n"/>
      <c r="T634" s="177" t="n"/>
      <c r="U634" s="177" t="n"/>
      <c r="V634" s="177" t="n"/>
      <c r="W634" s="177" t="n"/>
    </row>
    <row r="635" ht="15.75" customHeight="1" s="297">
      <c r="A635" s="177" t="n"/>
      <c r="B635" s="177" t="n"/>
      <c r="C635" s="177" t="n"/>
      <c r="D635" s="177" t="n"/>
      <c r="E635" s="177" t="n"/>
      <c r="F635" s="177" t="n"/>
      <c r="G635" s="177" t="n"/>
      <c r="H635" s="177" t="n"/>
      <c r="I635" s="177" t="n"/>
      <c r="J635" s="177" t="n"/>
      <c r="K635" s="177" t="n"/>
      <c r="L635" s="177" t="n"/>
      <c r="M635" s="177" t="n"/>
      <c r="N635" s="177" t="n"/>
      <c r="O635" s="177" t="n"/>
      <c r="P635" s="177" t="n"/>
      <c r="Q635" s="177" t="n"/>
      <c r="R635" s="177" t="n"/>
      <c r="S635" s="177" t="n"/>
      <c r="T635" s="177" t="n"/>
      <c r="U635" s="177" t="n"/>
      <c r="V635" s="177" t="n"/>
      <c r="W635" s="177" t="n"/>
    </row>
    <row r="636" ht="15.75" customHeight="1" s="297">
      <c r="A636" s="177" t="n"/>
      <c r="B636" s="177" t="n"/>
      <c r="C636" s="177" t="n"/>
      <c r="D636" s="177" t="n"/>
      <c r="E636" s="177" t="n"/>
      <c r="F636" s="177" t="n"/>
      <c r="G636" s="177" t="n"/>
      <c r="H636" s="177" t="n"/>
      <c r="I636" s="177" t="n"/>
      <c r="J636" s="177" t="n"/>
      <c r="K636" s="177" t="n"/>
      <c r="L636" s="177" t="n"/>
      <c r="M636" s="177" t="n"/>
      <c r="N636" s="177" t="n"/>
      <c r="O636" s="177" t="n"/>
      <c r="P636" s="177" t="n"/>
      <c r="Q636" s="177" t="n"/>
      <c r="R636" s="177" t="n"/>
      <c r="S636" s="177" t="n"/>
      <c r="T636" s="177" t="n"/>
      <c r="U636" s="177" t="n"/>
      <c r="V636" s="177" t="n"/>
      <c r="W636" s="177" t="n"/>
    </row>
    <row r="637" ht="15.75" customHeight="1" s="297">
      <c r="A637" s="177" t="n"/>
      <c r="B637" s="177" t="n"/>
      <c r="C637" s="177" t="n"/>
      <c r="D637" s="177" t="n"/>
      <c r="E637" s="177" t="n"/>
      <c r="F637" s="177" t="n"/>
      <c r="G637" s="177" t="n"/>
      <c r="H637" s="177" t="n"/>
      <c r="I637" s="177" t="n"/>
      <c r="J637" s="177" t="n"/>
      <c r="K637" s="177" t="n"/>
      <c r="L637" s="177" t="n"/>
      <c r="M637" s="177" t="n"/>
      <c r="N637" s="177" t="n"/>
      <c r="O637" s="177" t="n"/>
      <c r="P637" s="177" t="n"/>
      <c r="Q637" s="177" t="n"/>
      <c r="R637" s="177" t="n"/>
      <c r="S637" s="177" t="n"/>
      <c r="T637" s="177" t="n"/>
      <c r="U637" s="177" t="n"/>
      <c r="V637" s="177" t="n"/>
      <c r="W637" s="177" t="n"/>
    </row>
    <row r="638" ht="15.75" customHeight="1" s="297">
      <c r="A638" s="177" t="n"/>
      <c r="B638" s="177" t="n"/>
      <c r="C638" s="177" t="n"/>
      <c r="D638" s="177" t="n"/>
      <c r="E638" s="177" t="n"/>
      <c r="F638" s="177" t="n"/>
      <c r="G638" s="177" t="n"/>
      <c r="H638" s="177" t="n"/>
      <c r="I638" s="177" t="n"/>
      <c r="J638" s="177" t="n"/>
      <c r="K638" s="177" t="n"/>
      <c r="L638" s="177" t="n"/>
      <c r="M638" s="177" t="n"/>
      <c r="N638" s="177" t="n"/>
      <c r="O638" s="177" t="n"/>
      <c r="P638" s="177" t="n"/>
      <c r="Q638" s="177" t="n"/>
      <c r="R638" s="177" t="n"/>
      <c r="S638" s="177" t="n"/>
      <c r="T638" s="177" t="n"/>
      <c r="U638" s="177" t="n"/>
      <c r="V638" s="177" t="n"/>
      <c r="W638" s="177" t="n"/>
    </row>
    <row r="639" ht="15.75" customHeight="1" s="297">
      <c r="A639" s="177" t="n"/>
      <c r="B639" s="177" t="n"/>
      <c r="C639" s="177" t="n"/>
      <c r="D639" s="177" t="n"/>
      <c r="E639" s="177" t="n"/>
      <c r="F639" s="177" t="n"/>
      <c r="G639" s="177" t="n"/>
      <c r="H639" s="177" t="n"/>
      <c r="I639" s="177" t="n"/>
      <c r="J639" s="177" t="n"/>
      <c r="K639" s="177" t="n"/>
      <c r="L639" s="177" t="n"/>
      <c r="M639" s="177" t="n"/>
      <c r="N639" s="177" t="n"/>
      <c r="O639" s="177" t="n"/>
      <c r="P639" s="177" t="n"/>
      <c r="Q639" s="177" t="n"/>
      <c r="R639" s="177" t="n"/>
      <c r="S639" s="177" t="n"/>
      <c r="T639" s="177" t="n"/>
      <c r="U639" s="177" t="n"/>
      <c r="V639" s="177" t="n"/>
      <c r="W639" s="177" t="n"/>
    </row>
    <row r="640" ht="15.75" customHeight="1" s="297">
      <c r="A640" s="177" t="n"/>
      <c r="B640" s="177" t="n"/>
      <c r="C640" s="177" t="n"/>
      <c r="D640" s="177" t="n"/>
      <c r="E640" s="177" t="n"/>
      <c r="F640" s="177" t="n"/>
      <c r="G640" s="177" t="n"/>
      <c r="H640" s="177" t="n"/>
      <c r="I640" s="177" t="n"/>
      <c r="J640" s="177" t="n"/>
      <c r="K640" s="177" t="n"/>
      <c r="L640" s="177" t="n"/>
      <c r="M640" s="177" t="n"/>
      <c r="N640" s="177" t="n"/>
      <c r="O640" s="177" t="n"/>
      <c r="P640" s="177" t="n"/>
      <c r="Q640" s="177" t="n"/>
      <c r="R640" s="177" t="n"/>
      <c r="S640" s="177" t="n"/>
      <c r="T640" s="177" t="n"/>
      <c r="U640" s="177" t="n"/>
      <c r="V640" s="177" t="n"/>
      <c r="W640" s="177" t="n"/>
    </row>
    <row r="641" ht="15.75" customHeight="1" s="297">
      <c r="A641" s="177" t="n"/>
      <c r="B641" s="177" t="n"/>
      <c r="C641" s="177" t="n"/>
      <c r="D641" s="177" t="n"/>
      <c r="E641" s="177" t="n"/>
      <c r="F641" s="177" t="n"/>
      <c r="G641" s="177" t="n"/>
      <c r="H641" s="177" t="n"/>
      <c r="I641" s="177" t="n"/>
      <c r="J641" s="177" t="n"/>
      <c r="K641" s="177" t="n"/>
      <c r="L641" s="177" t="n"/>
      <c r="M641" s="177" t="n"/>
      <c r="N641" s="177" t="n"/>
      <c r="O641" s="177" t="n"/>
      <c r="P641" s="177" t="n"/>
      <c r="Q641" s="177" t="n"/>
      <c r="R641" s="177" t="n"/>
      <c r="S641" s="177" t="n"/>
      <c r="T641" s="177" t="n"/>
      <c r="U641" s="177" t="n"/>
      <c r="V641" s="177" t="n"/>
      <c r="W641" s="177" t="n"/>
    </row>
    <row r="642" ht="15.75" customHeight="1" s="297">
      <c r="A642" s="177" t="n"/>
      <c r="B642" s="177" t="n"/>
      <c r="C642" s="177" t="n"/>
      <c r="D642" s="177" t="n"/>
      <c r="E642" s="177" t="n"/>
      <c r="F642" s="177" t="n"/>
      <c r="G642" s="177" t="n"/>
      <c r="H642" s="177" t="n"/>
      <c r="I642" s="177" t="n"/>
      <c r="J642" s="177" t="n"/>
      <c r="K642" s="177" t="n"/>
      <c r="L642" s="177" t="n"/>
      <c r="M642" s="177" t="n"/>
      <c r="N642" s="177" t="n"/>
      <c r="O642" s="177" t="n"/>
      <c r="P642" s="177" t="n"/>
      <c r="Q642" s="177" t="n"/>
      <c r="R642" s="177" t="n"/>
      <c r="S642" s="177" t="n"/>
      <c r="T642" s="177" t="n"/>
      <c r="U642" s="177" t="n"/>
      <c r="V642" s="177" t="n"/>
      <c r="W642" s="177" t="n"/>
    </row>
    <row r="643" ht="15.75" customHeight="1" s="297">
      <c r="A643" s="177" t="n"/>
      <c r="B643" s="177" t="n"/>
      <c r="C643" s="177" t="n"/>
      <c r="D643" s="177" t="n"/>
      <c r="E643" s="177" t="n"/>
      <c r="F643" s="177" t="n"/>
      <c r="G643" s="177" t="n"/>
      <c r="H643" s="177" t="n"/>
      <c r="I643" s="177" t="n"/>
      <c r="J643" s="177" t="n"/>
      <c r="K643" s="177" t="n"/>
      <c r="L643" s="177" t="n"/>
      <c r="M643" s="177" t="n"/>
      <c r="N643" s="177" t="n"/>
      <c r="O643" s="177" t="n"/>
      <c r="P643" s="177" t="n"/>
      <c r="Q643" s="177" t="n"/>
      <c r="R643" s="177" t="n"/>
      <c r="S643" s="177" t="n"/>
      <c r="T643" s="177" t="n"/>
      <c r="U643" s="177" t="n"/>
      <c r="V643" s="177" t="n"/>
      <c r="W643" s="177" t="n"/>
    </row>
    <row r="644" ht="15.75" customHeight="1" s="297">
      <c r="A644" s="177" t="n"/>
      <c r="B644" s="177" t="n"/>
      <c r="C644" s="177" t="n"/>
      <c r="D644" s="177" t="n"/>
      <c r="E644" s="177" t="n"/>
      <c r="F644" s="177" t="n"/>
      <c r="G644" s="177" t="n"/>
      <c r="H644" s="177" t="n"/>
      <c r="I644" s="177" t="n"/>
      <c r="J644" s="177" t="n"/>
      <c r="K644" s="177" t="n"/>
      <c r="L644" s="177" t="n"/>
      <c r="M644" s="177" t="n"/>
      <c r="N644" s="177" t="n"/>
      <c r="O644" s="177" t="n"/>
      <c r="P644" s="177" t="n"/>
      <c r="Q644" s="177" t="n"/>
      <c r="R644" s="177" t="n"/>
      <c r="S644" s="177" t="n"/>
      <c r="T644" s="177" t="n"/>
      <c r="U644" s="177" t="n"/>
      <c r="V644" s="177" t="n"/>
      <c r="W644" s="177" t="n"/>
    </row>
    <row r="645" ht="15.75" customHeight="1" s="297">
      <c r="A645" s="177" t="n"/>
      <c r="B645" s="177" t="n"/>
      <c r="C645" s="177" t="n"/>
      <c r="D645" s="177" t="n"/>
      <c r="E645" s="177" t="n"/>
      <c r="F645" s="177" t="n"/>
      <c r="G645" s="177" t="n"/>
      <c r="H645" s="177" t="n"/>
      <c r="I645" s="177" t="n"/>
      <c r="J645" s="177" t="n"/>
      <c r="K645" s="177" t="n"/>
      <c r="L645" s="177" t="n"/>
      <c r="M645" s="177" t="n"/>
      <c r="N645" s="177" t="n"/>
      <c r="O645" s="177" t="n"/>
      <c r="P645" s="177" t="n"/>
      <c r="Q645" s="177" t="n"/>
      <c r="R645" s="177" t="n"/>
      <c r="S645" s="177" t="n"/>
      <c r="T645" s="177" t="n"/>
      <c r="U645" s="177" t="n"/>
      <c r="V645" s="177" t="n"/>
      <c r="W645" s="177" t="n"/>
    </row>
    <row r="646" ht="15.75" customHeight="1" s="297">
      <c r="A646" s="177" t="n"/>
      <c r="B646" s="177" t="n"/>
      <c r="C646" s="177" t="n"/>
      <c r="D646" s="177" t="n"/>
      <c r="E646" s="177" t="n"/>
      <c r="F646" s="177" t="n"/>
      <c r="G646" s="177" t="n"/>
      <c r="H646" s="177" t="n"/>
      <c r="I646" s="177" t="n"/>
      <c r="J646" s="177" t="n"/>
      <c r="K646" s="177" t="n"/>
      <c r="L646" s="177" t="n"/>
      <c r="M646" s="177" t="n"/>
      <c r="N646" s="177" t="n"/>
      <c r="O646" s="177" t="n"/>
      <c r="P646" s="177" t="n"/>
      <c r="Q646" s="177" t="n"/>
      <c r="R646" s="177" t="n"/>
      <c r="S646" s="177" t="n"/>
      <c r="T646" s="177" t="n"/>
      <c r="U646" s="177" t="n"/>
      <c r="V646" s="177" t="n"/>
      <c r="W646" s="177" t="n"/>
    </row>
    <row r="647" ht="15.75" customHeight="1" s="297">
      <c r="A647" s="177" t="n"/>
      <c r="B647" s="177" t="n"/>
      <c r="C647" s="177" t="n"/>
      <c r="D647" s="177" t="n"/>
      <c r="E647" s="177" t="n"/>
      <c r="F647" s="177" t="n"/>
      <c r="G647" s="177" t="n"/>
      <c r="H647" s="177" t="n"/>
      <c r="I647" s="177" t="n"/>
      <c r="J647" s="177" t="n"/>
      <c r="K647" s="177" t="n"/>
      <c r="L647" s="177" t="n"/>
      <c r="M647" s="177" t="n"/>
      <c r="N647" s="177" t="n"/>
      <c r="O647" s="177" t="n"/>
      <c r="P647" s="177" t="n"/>
      <c r="Q647" s="177" t="n"/>
      <c r="R647" s="177" t="n"/>
      <c r="S647" s="177" t="n"/>
      <c r="T647" s="177" t="n"/>
      <c r="U647" s="177" t="n"/>
      <c r="V647" s="177" t="n"/>
      <c r="W647" s="177" t="n"/>
    </row>
    <row r="648" ht="15.75" customHeight="1" s="297">
      <c r="A648" s="177" t="n"/>
      <c r="B648" s="177" t="n"/>
      <c r="C648" s="177" t="n"/>
      <c r="D648" s="177" t="n"/>
      <c r="E648" s="177" t="n"/>
      <c r="F648" s="177" t="n"/>
      <c r="G648" s="177" t="n"/>
      <c r="H648" s="177" t="n"/>
      <c r="I648" s="177" t="n"/>
      <c r="J648" s="177" t="n"/>
      <c r="K648" s="177" t="n"/>
      <c r="L648" s="177" t="n"/>
      <c r="M648" s="177" t="n"/>
      <c r="N648" s="177" t="n"/>
      <c r="O648" s="177" t="n"/>
      <c r="P648" s="177" t="n"/>
      <c r="Q648" s="177" t="n"/>
      <c r="R648" s="177" t="n"/>
      <c r="S648" s="177" t="n"/>
      <c r="T648" s="177" t="n"/>
      <c r="U648" s="177" t="n"/>
      <c r="V648" s="177" t="n"/>
      <c r="W648" s="177" t="n"/>
    </row>
    <row r="649" ht="15.75" customHeight="1" s="297">
      <c r="A649" s="177" t="n"/>
      <c r="B649" s="177" t="n"/>
      <c r="C649" s="177" t="n"/>
      <c r="D649" s="177" t="n"/>
      <c r="E649" s="177" t="n"/>
      <c r="F649" s="177" t="n"/>
      <c r="G649" s="177" t="n"/>
      <c r="H649" s="177" t="n"/>
      <c r="I649" s="177" t="n"/>
      <c r="J649" s="177" t="n"/>
      <c r="K649" s="177" t="n"/>
      <c r="L649" s="177" t="n"/>
      <c r="M649" s="177" t="n"/>
      <c r="N649" s="177" t="n"/>
      <c r="O649" s="177" t="n"/>
      <c r="P649" s="177" t="n"/>
      <c r="Q649" s="177" t="n"/>
      <c r="R649" s="177" t="n"/>
      <c r="S649" s="177" t="n"/>
      <c r="T649" s="177" t="n"/>
      <c r="U649" s="177" t="n"/>
      <c r="V649" s="177" t="n"/>
      <c r="W649" s="177" t="n"/>
    </row>
    <row r="650" ht="15.75" customHeight="1" s="297">
      <c r="A650" s="177" t="n"/>
      <c r="B650" s="177" t="n"/>
      <c r="C650" s="177" t="n"/>
      <c r="D650" s="177" t="n"/>
      <c r="E650" s="177" t="n"/>
      <c r="F650" s="177" t="n"/>
      <c r="G650" s="177" t="n"/>
      <c r="H650" s="177" t="n"/>
      <c r="I650" s="177" t="n"/>
      <c r="J650" s="177" t="n"/>
      <c r="K650" s="177" t="n"/>
      <c r="L650" s="177" t="n"/>
      <c r="M650" s="177" t="n"/>
      <c r="N650" s="177" t="n"/>
      <c r="O650" s="177" t="n"/>
      <c r="P650" s="177" t="n"/>
      <c r="Q650" s="177" t="n"/>
      <c r="R650" s="177" t="n"/>
      <c r="S650" s="177" t="n"/>
      <c r="T650" s="177" t="n"/>
      <c r="U650" s="177" t="n"/>
      <c r="V650" s="177" t="n"/>
      <c r="W650" s="177" t="n"/>
    </row>
    <row r="651" ht="15.75" customHeight="1" s="297">
      <c r="A651" s="177" t="n"/>
      <c r="B651" s="177" t="n"/>
      <c r="C651" s="177" t="n"/>
      <c r="D651" s="177" t="n"/>
      <c r="E651" s="177" t="n"/>
      <c r="F651" s="177" t="n"/>
      <c r="G651" s="177" t="n"/>
      <c r="H651" s="177" t="n"/>
      <c r="I651" s="177" t="n"/>
      <c r="J651" s="177" t="n"/>
      <c r="K651" s="177" t="n"/>
      <c r="L651" s="177" t="n"/>
      <c r="M651" s="177" t="n"/>
      <c r="N651" s="177" t="n"/>
      <c r="O651" s="177" t="n"/>
      <c r="P651" s="177" t="n"/>
      <c r="Q651" s="177" t="n"/>
      <c r="R651" s="177" t="n"/>
      <c r="S651" s="177" t="n"/>
      <c r="T651" s="177" t="n"/>
      <c r="U651" s="177" t="n"/>
      <c r="V651" s="177" t="n"/>
      <c r="W651" s="177" t="n"/>
    </row>
    <row r="652" ht="15.75" customHeight="1" s="297">
      <c r="A652" s="177" t="n"/>
      <c r="B652" s="177" t="n"/>
      <c r="C652" s="177" t="n"/>
      <c r="D652" s="177" t="n"/>
      <c r="E652" s="177" t="n"/>
      <c r="F652" s="177" t="n"/>
      <c r="G652" s="177" t="n"/>
      <c r="H652" s="177" t="n"/>
      <c r="I652" s="177" t="n"/>
      <c r="J652" s="177" t="n"/>
      <c r="K652" s="177" t="n"/>
      <c r="L652" s="177" t="n"/>
      <c r="M652" s="177" t="n"/>
      <c r="N652" s="177" t="n"/>
      <c r="O652" s="177" t="n"/>
      <c r="P652" s="177" t="n"/>
      <c r="Q652" s="177" t="n"/>
      <c r="R652" s="177" t="n"/>
      <c r="S652" s="177" t="n"/>
      <c r="T652" s="177" t="n"/>
      <c r="U652" s="177" t="n"/>
      <c r="V652" s="177" t="n"/>
      <c r="W652" s="177"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8">
      <formula>0</formula>
    </cfRule>
    <cfRule type="cellIs" priority="57"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dataValidations count="24">
    <dataValidation sqref="C12:C14 C87 C137 C152 C154 C169 C171 C204 C206 C238:C241 C243 C258 C275 C277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C253:C254 C256 C291"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237:L451 H10:L224" showDropDown="1" showInputMessage="0" showErrorMessage="0" allowBlank="1" type="custom">
      <formula1>AND(ISNUMBER(G10),(NOT(OR(NOT(ISERROR(DATEVALUE(G10))), AND(ISNUMBER(G10), LEFT(CELL("format", G10))="D")))))</formula1>
    </dataValidation>
    <dataValidation sqref="C28 C48 C85 C103 C120 C135 C151 C167 C255" showDropDown="0" showInputMessage="0" showErrorMessage="0" allowBlank="1" type="list">
      <formula1>"RUMBA,ASSIST,MEES,AUREO,JOINT ULTRA,ADGREEN,ENERGIC,EXTRAVON,OCHIMA"</formula1>
    </dataValidation>
    <dataValidation sqref="C67 C273:C274"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60 C279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272" showDropDown="0" showInputMessage="0" showErrorMessage="0" allowBlank="1" type="list">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49:C50 C100:C102 C118:C119 C134 C292:C293"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136 C153 C170 C205 C242 C257 C276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51 C72 C86"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showDropDown="0" showInputMessage="0" showErrorMessage="0" allowBlank="1" type="list">
      <formula1>"RUMBA,ASSIST,MEES,AUREO EC,JOINT ULTRA,ENERGIC,EXTRAVON,OCHIMA,STRIDES"</formula1>
    </dataValidation>
    <dataValidation sqref="C84 C98:C99 C104 C115:C117 C132:C133 C149:C150 C294"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5.13" customWidth="1" style="297" min="1" max="1"/>
    <col width="17.75" customWidth="1" style="297" min="2" max="2"/>
    <col width="37.25" customWidth="1" style="297" min="3" max="3"/>
    <col width="34.25" customWidth="1" style="297" min="4" max="4"/>
    <col width="13.25" customWidth="1" style="297" min="5" max="5"/>
    <col width="10.75" customWidth="1" style="297" min="6" max="6"/>
    <col width="9.880000000000001" customWidth="1" style="297" min="7" max="8"/>
    <col width="7.38" customWidth="1" style="297" min="9" max="9"/>
    <col width="7.13" customWidth="1" style="297" min="10" max="10"/>
    <col width="11.13" customWidth="1" style="297" min="11" max="11"/>
    <col width="13.25" customWidth="1" style="297" min="12" max="12"/>
    <col width="14.38" customWidth="1" style="297" min="13" max="20"/>
    <col width="4.75" customWidth="1" style="297" min="21" max="21"/>
    <col width="14.38" customWidth="1" style="297" min="22" max="23"/>
  </cols>
  <sheetData>
    <row r="1" ht="15.75" customHeight="1" s="297">
      <c r="A1" s="178" t="inlineStr">
        <is>
          <t>Talhão:</t>
        </is>
      </c>
      <c r="B1" s="170">
        <f>'ÁREA PLANTIO'!B4</f>
        <v/>
      </c>
      <c r="C1" s="171" t="inlineStr">
        <is>
          <t>Custo estimado R$/há</t>
        </is>
      </c>
      <c r="D1" s="172">
        <f>$K$225</f>
        <v/>
      </c>
      <c r="E1" s="173" t="n"/>
      <c r="F1" s="174" t="inlineStr">
        <is>
          <t>ÁREA PLANTIO</t>
        </is>
      </c>
      <c r="G1" s="175" t="n"/>
      <c r="H1" s="176" t="n"/>
      <c r="I1" s="176" t="n"/>
      <c r="J1" s="176" t="n"/>
      <c r="K1" s="175" t="n"/>
      <c r="L1" s="177" t="n"/>
      <c r="M1" s="177" t="n"/>
      <c r="N1" s="177" t="n"/>
      <c r="O1" s="177" t="n"/>
      <c r="P1" s="177" t="n"/>
      <c r="Q1" s="177" t="n"/>
      <c r="R1" s="177" t="n"/>
      <c r="S1" s="177" t="n"/>
      <c r="T1" s="177" t="n"/>
      <c r="U1" s="177" t="n"/>
      <c r="V1" s="177" t="n"/>
      <c r="W1" s="177" t="n"/>
    </row>
    <row r="2" ht="15.75" customHeight="1" s="297">
      <c r="A2" s="178" t="inlineStr">
        <is>
          <t>Área:</t>
        </is>
      </c>
      <c r="B2" s="179">
        <f>'ÁREA PLANTIO'!E4</f>
        <v/>
      </c>
      <c r="C2" s="180" t="inlineStr">
        <is>
          <t>Produtividade estimada Sc/há</t>
        </is>
      </c>
      <c r="D2" s="181">
        <f>'ÁREA PLANTIO'!D4</f>
        <v/>
      </c>
      <c r="E2" s="173" t="n"/>
      <c r="F2" s="173" t="n"/>
      <c r="G2" s="175" t="n"/>
      <c r="H2" s="176" t="n"/>
      <c r="I2" s="176" t="n"/>
      <c r="J2" s="176" t="n"/>
      <c r="K2" s="175" t="n"/>
      <c r="L2" s="177" t="n"/>
      <c r="M2" s="177" t="n"/>
      <c r="N2" s="177" t="n"/>
      <c r="O2" s="177" t="n"/>
      <c r="P2" s="177" t="n"/>
      <c r="Q2" s="177" t="n"/>
      <c r="R2" s="177" t="n"/>
      <c r="S2" s="177" t="n"/>
      <c r="T2" s="177" t="n"/>
      <c r="U2" s="177" t="n"/>
      <c r="V2" s="177" t="n"/>
      <c r="W2" s="177" t="n"/>
    </row>
    <row r="3" ht="15.75" customHeight="1" s="297">
      <c r="A3" s="178" t="inlineStr">
        <is>
          <t>Empreedimento:</t>
        </is>
      </c>
      <c r="B3" s="176">
        <f>'ÁREA PLANTIO'!C4</f>
        <v/>
      </c>
      <c r="C3" s="180" t="inlineStr">
        <is>
          <t>Custo estimado por SC</t>
        </is>
      </c>
      <c r="D3" s="182">
        <f>D1/D2</f>
        <v/>
      </c>
      <c r="E3" s="173" t="n"/>
      <c r="F3" s="173" t="n"/>
      <c r="G3" s="175" t="n"/>
      <c r="H3" s="176" t="n"/>
      <c r="I3" s="176" t="n"/>
      <c r="J3" s="176" t="n"/>
      <c r="K3" s="175" t="n"/>
      <c r="L3" s="177" t="n"/>
      <c r="M3" s="177" t="n"/>
      <c r="N3" s="177" t="n"/>
      <c r="O3" s="177" t="n"/>
      <c r="P3" s="177" t="n"/>
      <c r="Q3" s="177" t="n"/>
      <c r="R3" s="177" t="n"/>
      <c r="S3" s="177" t="n"/>
      <c r="T3" s="177" t="n"/>
      <c r="U3" s="177" t="n"/>
      <c r="V3" s="177" t="n"/>
      <c r="W3" s="177" t="n"/>
    </row>
    <row r="4" ht="15.75" customHeight="1" s="297">
      <c r="A4" s="183" t="inlineStr">
        <is>
          <t>Data de plantio:</t>
        </is>
      </c>
      <c r="B4" s="184" t="n">
        <v>45606</v>
      </c>
      <c r="C4" s="185" t="n"/>
      <c r="D4" s="186" t="n"/>
      <c r="E4" s="187" t="n"/>
      <c r="F4" s="173" t="n"/>
      <c r="G4" s="175" t="n"/>
      <c r="H4" s="176" t="n"/>
      <c r="I4" s="176" t="n"/>
      <c r="J4" s="176" t="n"/>
      <c r="K4" s="175" t="n"/>
      <c r="L4" s="177" t="n"/>
      <c r="M4" s="177" t="n"/>
      <c r="N4" s="177" t="n"/>
      <c r="O4" s="177" t="n"/>
      <c r="P4" s="177" t="n"/>
      <c r="Q4" s="177" t="n"/>
      <c r="R4" s="177" t="n"/>
      <c r="S4" s="177" t="n"/>
      <c r="T4" s="177" t="n"/>
      <c r="U4" s="177" t="n"/>
      <c r="V4" s="177" t="n"/>
      <c r="W4" s="177" t="n"/>
    </row>
    <row r="5" ht="15.75" customHeight="1" s="297">
      <c r="A5" s="177" t="n"/>
      <c r="B5" s="177" t="n"/>
      <c r="C5" s="177" t="n"/>
      <c r="D5" s="177" t="n"/>
      <c r="E5" s="188" t="n"/>
      <c r="F5" s="173" t="n"/>
      <c r="G5" s="175" t="n"/>
      <c r="H5" s="176" t="n"/>
      <c r="I5" s="176" t="n"/>
      <c r="J5" s="176" t="n"/>
      <c r="K5" s="175" t="n"/>
      <c r="L5" s="177" t="n"/>
      <c r="M5" s="177" t="n"/>
      <c r="N5" s="177" t="n"/>
      <c r="O5" s="177" t="n"/>
      <c r="P5" s="177" t="n"/>
      <c r="Q5" s="177" t="n"/>
      <c r="R5" s="177" t="n"/>
      <c r="S5" s="177" t="n"/>
      <c r="T5" s="177" t="n"/>
      <c r="U5" s="177" t="n"/>
      <c r="V5" s="177" t="n"/>
      <c r="W5" s="177" t="n"/>
    </row>
    <row r="6" ht="15.75" customHeight="1" s="297">
      <c r="A6" s="178" t="n"/>
      <c r="B6" s="176" t="n"/>
      <c r="C6" s="173" t="n"/>
      <c r="D6" s="173" t="n"/>
      <c r="E6" s="173" t="n"/>
      <c r="F6" s="173" t="n"/>
      <c r="G6" s="175" t="n"/>
      <c r="H6" s="176" t="n"/>
      <c r="I6" s="176" t="n"/>
      <c r="J6" s="176" t="n"/>
      <c r="K6" s="175" t="n"/>
      <c r="L6" s="177" t="n"/>
      <c r="M6" s="177" t="n"/>
      <c r="N6" s="177" t="n"/>
      <c r="O6" s="177" t="n"/>
      <c r="P6" s="177" t="n"/>
      <c r="Q6" s="177" t="n"/>
      <c r="R6" s="177" t="n"/>
      <c r="S6" s="177" t="n"/>
      <c r="T6" s="177" t="n"/>
      <c r="U6" s="177" t="n"/>
      <c r="V6" s="177" t="n"/>
      <c r="W6" s="177" t="n"/>
    </row>
    <row r="7" ht="15.75" customHeight="1" s="297">
      <c r="A7" s="176" t="n"/>
      <c r="B7" s="176" t="n"/>
      <c r="C7" s="173" t="n"/>
      <c r="D7" s="173" t="n"/>
      <c r="E7" s="173" t="n"/>
      <c r="F7" s="173" t="n"/>
      <c r="G7" s="175" t="n"/>
      <c r="H7" s="176" t="n"/>
      <c r="I7" s="176" t="n"/>
      <c r="J7" s="176" t="n"/>
      <c r="K7" s="175" t="n"/>
      <c r="L7" s="177" t="n"/>
      <c r="M7" s="177" t="n"/>
      <c r="N7" s="177" t="n"/>
      <c r="O7" s="177" t="n"/>
      <c r="P7" s="177" t="n"/>
      <c r="Q7" s="177" t="n"/>
      <c r="R7" s="177" t="n"/>
      <c r="S7" s="177" t="n"/>
      <c r="T7" s="177" t="n"/>
      <c r="U7" s="177" t="n"/>
      <c r="V7" s="177" t="n"/>
      <c r="W7" s="177" t="n"/>
    </row>
    <row r="8" ht="15.75" customHeight="1" s="297">
      <c r="A8" s="176" t="n"/>
      <c r="B8" s="176" t="n"/>
      <c r="C8" s="176" t="n"/>
      <c r="D8" s="176" t="n"/>
      <c r="E8" s="173" t="n"/>
      <c r="F8" s="173" t="n"/>
      <c r="G8" s="175" t="n"/>
      <c r="H8" s="176" t="n"/>
      <c r="I8" s="176" t="n"/>
      <c r="J8" s="176" t="n"/>
      <c r="K8" s="175" t="n"/>
      <c r="L8" s="177" t="n"/>
      <c r="M8" s="177" t="n"/>
      <c r="N8" s="177" t="n"/>
      <c r="O8" s="177" t="n"/>
      <c r="P8" s="177" t="n"/>
      <c r="Q8" s="177" t="n"/>
      <c r="R8" s="177" t="n"/>
      <c r="S8" s="177" t="n"/>
      <c r="T8" s="177" t="n"/>
      <c r="U8" s="177" t="n"/>
      <c r="V8" s="177" t="n"/>
      <c r="W8" s="177" t="n"/>
    </row>
    <row r="9" ht="15.75" customHeight="1" s="297">
      <c r="A9" s="190" t="inlineStr">
        <is>
          <t>DAP da Operação</t>
        </is>
      </c>
      <c r="B9" s="191" t="inlineStr">
        <is>
          <t>Classe</t>
        </is>
      </c>
      <c r="C9" s="191" t="inlineStr">
        <is>
          <t>Produto</t>
        </is>
      </c>
      <c r="D9" s="190" t="inlineStr">
        <is>
          <t>Ingrediente Ativo</t>
        </is>
      </c>
      <c r="E9" s="190" t="inlineStr">
        <is>
          <t>Concentração</t>
        </is>
      </c>
      <c r="F9" s="190" t="inlineStr">
        <is>
          <t>Unidade</t>
        </is>
      </c>
      <c r="G9" s="192" t="inlineStr">
        <is>
          <t>Bula</t>
        </is>
      </c>
      <c r="H9" s="192" t="inlineStr">
        <is>
          <t>Sugestão</t>
        </is>
      </c>
      <c r="I9" s="192" t="inlineStr">
        <is>
          <t>Dose</t>
        </is>
      </c>
      <c r="J9" s="193" t="inlineStr">
        <is>
          <t>Total</t>
        </is>
      </c>
      <c r="K9" s="194" t="inlineStr">
        <is>
          <t>CUSTO/HA</t>
        </is>
      </c>
      <c r="L9" s="195" t="inlineStr">
        <is>
          <t>VALOR TOTAL</t>
        </is>
      </c>
      <c r="M9" s="177" t="n"/>
      <c r="N9" s="177" t="n"/>
      <c r="O9" s="177" t="n"/>
      <c r="P9" s="177" t="n"/>
      <c r="Q9" s="177" t="n"/>
      <c r="R9" s="177" t="n"/>
      <c r="S9" s="177" t="n"/>
      <c r="T9" s="177" t="n"/>
      <c r="U9" s="177" t="n"/>
      <c r="V9" s="177" t="n"/>
      <c r="W9" s="177" t="n"/>
    </row>
    <row r="10" ht="15.75" customHeight="1" s="297">
      <c r="A10" s="196" t="inlineStr">
        <is>
          <t>OPERAÇÃO 1</t>
        </is>
      </c>
      <c r="B10" s="197" t="n"/>
      <c r="C10" s="196" t="n"/>
      <c r="D10" s="198" t="inlineStr">
        <is>
          <t>-</t>
        </is>
      </c>
      <c r="E10" s="196" t="n"/>
      <c r="F10" s="196" t="n"/>
      <c r="G10" s="199" t="n"/>
      <c r="H10" s="200" t="n"/>
      <c r="I10" s="252" t="n"/>
      <c r="J10" s="202" t="n"/>
      <c r="K10" s="203">
        <f>SUBTOTAL(9,K11:K24)</f>
        <v/>
      </c>
      <c r="L10" s="203">
        <f>SUBTOTAL(9,L11:L24)</f>
        <v/>
      </c>
      <c r="M10" s="177" t="n"/>
      <c r="N10" s="177" t="n"/>
      <c r="O10" s="177" t="n"/>
      <c r="P10" s="177" t="n"/>
      <c r="Q10" s="177" t="n"/>
      <c r="R10" s="177" t="n"/>
      <c r="S10" s="177" t="n"/>
      <c r="T10" s="177" t="n"/>
      <c r="U10" s="177" t="n"/>
      <c r="V10" s="177" t="n"/>
      <c r="W10" s="177" t="n"/>
    </row>
    <row r="11" outlineLevel="1" s="297">
      <c r="A11" s="191" t="n"/>
      <c r="B11" s="204" t="inlineStr">
        <is>
          <t>CORRETIVOS</t>
        </is>
      </c>
      <c r="C11" s="191" t="inlineStr">
        <is>
          <t>CALCÁRIO DOLOMITICO</t>
        </is>
      </c>
      <c r="D11" s="205">
        <f>IFERROR(VLOOKUP($C11,'PORTIFÓLIO'!C:V,2,0),"")</f>
        <v/>
      </c>
      <c r="E11" s="190">
        <f>IFERROR(VLOOKUP($C11,'PORTIFÓLIO'!C:V,3,0),"")</f>
        <v/>
      </c>
      <c r="F11" s="190">
        <f>IFERROR(VLOOKUP($C11,'PORTIFÓLIO'!C:V,4,0),"")</f>
        <v/>
      </c>
      <c r="G11" s="206">
        <f>IFERROR(VLOOKUP($C11,'PORTIFÓLIO'!C:V,5,0),"")</f>
        <v/>
      </c>
      <c r="H11" s="247">
        <f t="array" ref="H11">IFERROR(INDEX('PORTIFÓLIO'!$H$4:$H$433,MATCH($C11,'PORTIFÓLIO'!$C$4:$C$433,0)),"")</f>
        <v/>
      </c>
      <c r="I11" s="253" t="n">
        <v>3</v>
      </c>
      <c r="J11" s="209">
        <f>I11*$B$2</f>
        <v/>
      </c>
      <c r="K11" s="210">
        <f t="array" ref="K11">IFERROR(I11*INDEX('PORTIFÓLIO'!$S$4:$S$433,MATCH($C11,'PORTIFÓLIO'!$C$4:$C$433,0)),"")</f>
        <v/>
      </c>
      <c r="L11" s="210">
        <f t="array" ref="L11">IFERROR(J11*INDEX('PORTIFÓLIO'!$S$4:$S$433,MATCH($C11,'PORTIFÓLIO'!$C$4:$C$433,0)),"")</f>
        <v/>
      </c>
      <c r="M11" s="177" t="n"/>
      <c r="N11" s="177" t="n"/>
      <c r="O11" s="177" t="n"/>
      <c r="P11" s="177" t="n"/>
      <c r="Q11" s="177" t="n"/>
      <c r="R11" s="177" t="n"/>
      <c r="S11" s="177" t="n"/>
      <c r="T11" s="177" t="n"/>
      <c r="U11" s="177">
        <f>IFERROR(__xludf.DUMMYFUNCTION("FILTER('PORTIFÓLIO'!C:C, 'PORTIFÓLIO'!B:B=B11)"),"#REF!")</f>
        <v/>
      </c>
      <c r="V11" s="177" t="n"/>
      <c r="W11" s="177" t="n"/>
    </row>
    <row r="12" outlineLevel="1" s="297">
      <c r="A12" s="191" t="n"/>
      <c r="B12" s="204" t="inlineStr">
        <is>
          <t>FERTILIZANTES</t>
        </is>
      </c>
      <c r="C12" s="191" t="inlineStr">
        <is>
          <t>SUPER DUO</t>
        </is>
      </c>
      <c r="D12" s="205">
        <f>IFERROR(VLOOKUP($C12,'PORTIFÓLIO'!C:V,2,0),"")</f>
        <v/>
      </c>
      <c r="E12" s="190">
        <f>IFERROR(VLOOKUP($C12,'PORTIFÓLIO'!C:V,3,0),"")</f>
        <v/>
      </c>
      <c r="F12" s="190">
        <f>IFERROR(VLOOKUP($C12,'PORTIFÓLIO'!C:V,4,0),"")</f>
        <v/>
      </c>
      <c r="G12" s="206">
        <f>IFERROR(VLOOKUP($C12,'PORTIFÓLIO'!C:V,5,0),"")</f>
        <v/>
      </c>
      <c r="H12" s="247">
        <f t="array" ref="H12">IFERROR(INDEX('PORTIFÓLIO'!$H$4:$H$433,MATCH($C12,'PORTIFÓLIO'!$C$4:$C$433,0)),"")</f>
        <v/>
      </c>
      <c r="I12" s="253" t="n">
        <v>0.5</v>
      </c>
      <c r="J12" s="209">
        <f>I12*$B$2</f>
        <v/>
      </c>
      <c r="K12" s="210">
        <f t="array" ref="K12">IFERROR(I12*INDEX('PORTIFÓLIO'!$S$4:$S$433,MATCH($C12,'PORTIFÓLIO'!$C$4:$C$433,0)),"")</f>
        <v/>
      </c>
      <c r="L12" s="210">
        <f t="array" ref="L12">IFERROR(J12*INDEX('PORTIFÓLIO'!$S$4:$S$433,MATCH($C12,'PORTIFÓLIO'!$C$4:$C$433,0)),"")</f>
        <v/>
      </c>
      <c r="M12" s="177" t="n"/>
      <c r="N12" s="177" t="n"/>
      <c r="O12" s="177" t="n"/>
      <c r="P12" s="177" t="n"/>
      <c r="Q12" s="177" t="n"/>
      <c r="R12" s="177" t="n"/>
      <c r="S12" s="177" t="n"/>
      <c r="T12" s="177" t="n"/>
      <c r="U12" s="177">
        <f>IFERROR(__xludf.DUMMYFUNCTION("FILTER('PORTIFÓLIO'!C:C, 'PORTIFÓLIO'!B:B=B12)"),"#REF!")</f>
        <v/>
      </c>
      <c r="V12" s="177" t="n"/>
      <c r="W12" s="177" t="n"/>
    </row>
    <row r="13" outlineLevel="1" s="297">
      <c r="A13" s="191" t="n"/>
      <c r="B13" s="204" t="inlineStr">
        <is>
          <t>FERTILIZANTES</t>
        </is>
      </c>
      <c r="C13" s="191" t="inlineStr">
        <is>
          <t>KCL 60%</t>
        </is>
      </c>
      <c r="D13" s="205">
        <f>IFERROR(VLOOKUP($C13,'PORTIFÓLIO'!C:V,2,0),"")</f>
        <v/>
      </c>
      <c r="E13" s="190">
        <f>IFERROR(VLOOKUP($C13,'PORTIFÓLIO'!C:V,3,0),"")</f>
        <v/>
      </c>
      <c r="F13" s="190">
        <f>IFERROR(VLOOKUP($C13,'PORTIFÓLIO'!C:V,4,0),"")</f>
        <v/>
      </c>
      <c r="G13" s="206">
        <f>IFERROR(VLOOKUP($C13,'PORTIFÓLIO'!C:V,5,0),"")</f>
        <v/>
      </c>
      <c r="H13" s="247">
        <f t="array" ref="H13">IFERROR(INDEX('PORTIFÓLIO'!$H$4:$H$433,MATCH($C13,'PORTIFÓLIO'!$C$4:$C$433,0)),"")</f>
        <v/>
      </c>
      <c r="I13" s="253" t="n">
        <v>0.2</v>
      </c>
      <c r="J13" s="209">
        <f>I13*$B$2</f>
        <v/>
      </c>
      <c r="K13" s="210">
        <f t="array" ref="K13">IFERROR(I13*INDEX('PORTIFÓLIO'!$S$4:$S$433,MATCH($C13,'PORTIFÓLIO'!$C$4:$C$433,0)),"")</f>
        <v/>
      </c>
      <c r="L13" s="210">
        <f t="array" ref="L13">IFERROR(J13*INDEX('PORTIFÓLIO'!$S$4:$S$433,MATCH($C13,'PORTIFÓLIO'!$C$4:$C$433,0)),"")</f>
        <v/>
      </c>
      <c r="M13" s="177" t="n"/>
      <c r="N13" s="177" t="n"/>
      <c r="O13" s="177" t="n"/>
      <c r="P13" s="177" t="n"/>
      <c r="Q13" s="177" t="n"/>
      <c r="R13" s="177" t="n"/>
      <c r="S13" s="177" t="n"/>
      <c r="T13" s="177" t="n"/>
      <c r="U13" s="177">
        <f>IFERROR(__xludf.DUMMYFUNCTION("FILTER('PORTIFÓLIO'!C:C, 'PORTIFÓLIO'!B:B=B13)"),"#REF!")</f>
        <v/>
      </c>
      <c r="V13" s="177" t="n"/>
      <c r="W13" s="177" t="n"/>
    </row>
    <row r="14" outlineLevel="1" s="297">
      <c r="A14" s="190" t="n"/>
      <c r="B14" s="204" t="inlineStr">
        <is>
          <t>FERTILIZANTES</t>
        </is>
      </c>
      <c r="C14" s="191" t="inlineStr">
        <is>
          <t xml:space="preserve">00-01-00+Cu2 Mn8 Zn7 </t>
        </is>
      </c>
      <c r="D14" s="205">
        <f>IFERROR(VLOOKUP($C14,'PORTIFÓLIO'!C:V,2,0),"")</f>
        <v/>
      </c>
      <c r="E14" s="190">
        <f>IFERROR(VLOOKUP($C14,'PORTIFÓLIO'!C:V,3,0),"")</f>
        <v/>
      </c>
      <c r="F14" s="190">
        <f>IFERROR(VLOOKUP($C14,'PORTIFÓLIO'!C:V,4,0),"")</f>
        <v/>
      </c>
      <c r="G14" s="206">
        <f>IFERROR(VLOOKUP($C14,'PORTIFÓLIO'!C:V,5,0),"")</f>
        <v/>
      </c>
      <c r="H14" s="247">
        <f t="array" ref="H14">IFERROR(INDEX('PORTIFÓLIO'!$H$4:$H$433,MATCH($C14,'PORTIFÓLIO'!$C$4:$C$433,0)),"")</f>
        <v/>
      </c>
      <c r="I14" s="253" t="n">
        <v>0.05</v>
      </c>
      <c r="J14" s="209">
        <f>I14*$B$2</f>
        <v/>
      </c>
      <c r="K14" s="210">
        <f t="array" ref="K14">IFERROR(I14*INDEX('PORTIFÓLIO'!$S$4:$S$433,MATCH($C14,'PORTIFÓLIO'!$C$4:$C$433,0)),"")</f>
        <v/>
      </c>
      <c r="L14" s="210">
        <f t="array" ref="L14">IFERROR(J14*INDEX('PORTIFÓLIO'!$S$4:$S$433,MATCH($C14,'PORTIFÓLIO'!$C$4:$C$433,0)),"")</f>
        <v/>
      </c>
      <c r="M14" s="177" t="n"/>
      <c r="N14" s="177" t="n"/>
      <c r="O14" s="177" t="n"/>
      <c r="P14" s="177" t="n"/>
      <c r="Q14" s="177" t="n"/>
      <c r="R14" s="177" t="n"/>
      <c r="S14" s="177" t="n"/>
      <c r="T14" s="177" t="n"/>
      <c r="U14" s="177">
        <f>IFERROR(__xludf.DUMMYFUNCTION("FILTER('PORTIFÓLIO'!C:C, 'PORTIFÓLIO'!B:B=B14)"),"#REF!")</f>
        <v/>
      </c>
      <c r="V14" s="177" t="n"/>
      <c r="W14" s="177" t="n"/>
    </row>
    <row r="15" outlineLevel="1" s="297">
      <c r="A15" s="190" t="n"/>
      <c r="B15" s="204" t="n"/>
      <c r="C15" s="191" t="n"/>
      <c r="D15" s="205">
        <f>IFERROR(VLOOKUP($C15,'PORTIFÓLIO'!C:V,2,0),"")</f>
        <v/>
      </c>
      <c r="E15" s="190">
        <f>IFERROR(VLOOKUP($C15,'PORTIFÓLIO'!C:V,3,0),"")</f>
        <v/>
      </c>
      <c r="F15" s="190">
        <f>IFERROR(VLOOKUP($C15,'PORTIFÓLIO'!C:V,4,0),"")</f>
        <v/>
      </c>
      <c r="G15" s="206">
        <f>IFERROR(VLOOKUP($C15,'PORTIFÓLIO'!C:V,5,0),"")</f>
        <v/>
      </c>
      <c r="H15" s="247">
        <f t="array" ref="H15">IFERROR(INDEX('PORTIFÓLIO'!$H$4:$H$433,MATCH($C15,'PORTIFÓLIO'!$C$4:$C$433,0)),"")</f>
        <v/>
      </c>
      <c r="I15" s="253" t="n"/>
      <c r="J15" s="209">
        <f>I15*$B$2</f>
        <v/>
      </c>
      <c r="K15" s="210">
        <f t="array" ref="K15">IFERROR(I15*INDEX('PORTIFÓLIO'!$S$4:$S$433,MATCH($C15,'PORTIFÓLIO'!$C$4:$C$433,0)),"")</f>
        <v/>
      </c>
      <c r="L15" s="210">
        <f t="array" ref="L15">IFERROR(J15*INDEX('PORTIFÓLIO'!$S$4:$S$433,MATCH($C15,'PORTIFÓLIO'!$C$4:$C$433,0)),"")</f>
        <v/>
      </c>
      <c r="M15" s="177" t="n"/>
      <c r="N15" s="177" t="n"/>
      <c r="O15" s="177" t="n"/>
      <c r="P15" s="177" t="n"/>
      <c r="Q15" s="177" t="n"/>
      <c r="R15" s="177" t="n"/>
      <c r="S15" s="177" t="n"/>
      <c r="T15" s="177" t="n"/>
      <c r="U15" s="177">
        <f>IFERROR(__xludf.DUMMYFUNCTION("FILTER('PORTIFÓLIO'!C:C, 'PORTIFÓLIO'!B:B=B15)"),"#REF!")</f>
        <v/>
      </c>
      <c r="V15" s="177" t="n"/>
      <c r="W15" s="177" t="n"/>
    </row>
    <row r="16" outlineLevel="1" s="297">
      <c r="A16" s="190" t="n"/>
      <c r="B16" s="204" t="n"/>
      <c r="C16" s="191" t="n"/>
      <c r="D16" s="205">
        <f>IFERROR(VLOOKUP($C16,'PORTIFÓLIO'!C:V,2,0),"")</f>
        <v/>
      </c>
      <c r="E16" s="190">
        <f>IFERROR(VLOOKUP($C16,'PORTIFÓLIO'!C:V,3,0),"")</f>
        <v/>
      </c>
      <c r="F16" s="190">
        <f>IFERROR(VLOOKUP($C16,'PORTIFÓLIO'!C:V,4,0),"")</f>
        <v/>
      </c>
      <c r="G16" s="206">
        <f>IFERROR(VLOOKUP($C16,'PORTIFÓLIO'!C:V,5,0),"")</f>
        <v/>
      </c>
      <c r="H16" s="247">
        <f t="array" ref="H16">IFERROR(INDEX('PORTIFÓLIO'!$H$4:$H$433,MATCH($C16,'PORTIFÓLIO'!$C$4:$C$433,0)),"")</f>
        <v/>
      </c>
      <c r="I16" s="253" t="n"/>
      <c r="J16" s="209">
        <f>I16*$B$2</f>
        <v/>
      </c>
      <c r="K16" s="210">
        <f t="array" ref="K16">IFERROR(I16*INDEX('PORTIFÓLIO'!$S$4:$S$433,MATCH($C16,'PORTIFÓLIO'!$C$4:$C$433,0)),"")</f>
        <v/>
      </c>
      <c r="L16" s="210">
        <f t="array" ref="L16">IFERROR(J16*INDEX('PORTIFÓLIO'!$S$4:$S$433,MATCH($C16,'PORTIFÓLIO'!$C$4:$C$433,0)),"")</f>
        <v/>
      </c>
      <c r="M16" s="177" t="n"/>
      <c r="N16" s="177" t="n"/>
      <c r="O16" s="177" t="n"/>
      <c r="P16" s="177" t="n"/>
      <c r="Q16" s="177" t="n"/>
      <c r="R16" s="177" t="n"/>
      <c r="S16" s="177" t="n"/>
      <c r="T16" s="177" t="n"/>
      <c r="U16" s="177">
        <f>IFERROR(__xludf.DUMMYFUNCTION("FILTER('PORTIFÓLIO'!C:C, 'PORTIFÓLIO'!B:B=B16)"),"#REF!")</f>
        <v/>
      </c>
      <c r="V16" s="177" t="n"/>
      <c r="W16" s="177" t="n"/>
    </row>
    <row r="17" outlineLevel="1" s="297">
      <c r="A17" s="190" t="n"/>
      <c r="B17" s="204" t="n"/>
      <c r="C17" s="191" t="n"/>
      <c r="D17" s="205">
        <f>IFERROR(VLOOKUP($C17,'PORTIFÓLIO'!C:V,2,0),"")</f>
        <v/>
      </c>
      <c r="E17" s="190">
        <f>IFERROR(VLOOKUP($C17,'PORTIFÓLIO'!C:V,3,0),"")</f>
        <v/>
      </c>
      <c r="F17" s="190">
        <f>IFERROR(VLOOKUP($C17,'PORTIFÓLIO'!C:V,4,0),"")</f>
        <v/>
      </c>
      <c r="G17" s="206">
        <f>IFERROR(VLOOKUP($C17,'PORTIFÓLIO'!C:V,5,0),"")</f>
        <v/>
      </c>
      <c r="H17" s="247">
        <f t="array" ref="H17">IFERROR(INDEX('PORTIFÓLIO'!$H$4:$H$433,MATCH($C17,'PORTIFÓLIO'!$C$4:$C$433,0)),"")</f>
        <v/>
      </c>
      <c r="I17" s="253" t="n"/>
      <c r="J17" s="209">
        <f>I17*$B$2</f>
        <v/>
      </c>
      <c r="K17" s="210">
        <f t="array" ref="K17">IFERROR(I17*INDEX('PORTIFÓLIO'!$S$4:$S$433,MATCH($C17,'PORTIFÓLIO'!$C$4:$C$433,0)),"")</f>
        <v/>
      </c>
      <c r="L17" s="210">
        <f t="array" ref="L17">IFERROR(J17*INDEX('PORTIFÓLIO'!$S$4:$S$433,MATCH($C17,'PORTIFÓLIO'!$C$4:$C$433,0)),"")</f>
        <v/>
      </c>
      <c r="M17" s="177" t="n"/>
      <c r="N17" s="177" t="n"/>
      <c r="O17" s="177" t="n"/>
      <c r="P17" s="177" t="n"/>
      <c r="Q17" s="177" t="n"/>
      <c r="R17" s="177" t="n"/>
      <c r="S17" s="177" t="n"/>
      <c r="T17" s="177" t="n"/>
      <c r="U17" s="177">
        <f>IFERROR(__xludf.DUMMYFUNCTION("FILTER('PORTIFÓLIO'!C:C, 'PORTIFÓLIO'!B:B=B17)"),"#REF!")</f>
        <v/>
      </c>
      <c r="V17" s="177" t="n"/>
      <c r="W17" s="177" t="n"/>
    </row>
    <row r="18" outlineLevel="1" s="297">
      <c r="A18" s="190" t="n"/>
      <c r="B18" s="204" t="n"/>
      <c r="C18" s="191" t="n"/>
      <c r="D18" s="205">
        <f>IFERROR(VLOOKUP($C18,'PORTIFÓLIO'!C:V,2,0),"")</f>
        <v/>
      </c>
      <c r="E18" s="190">
        <f>IFERROR(VLOOKUP($C18,'PORTIFÓLIO'!C:V,3,0),"")</f>
        <v/>
      </c>
      <c r="F18" s="190">
        <f>IFERROR(VLOOKUP($C18,'PORTIFÓLIO'!C:V,4,0),"")</f>
        <v/>
      </c>
      <c r="G18" s="206">
        <f>IFERROR(VLOOKUP($C18,'PORTIFÓLIO'!C:V,5,0),"")</f>
        <v/>
      </c>
      <c r="H18" s="247">
        <f t="array" ref="H18">IFERROR(INDEX('PORTIFÓLIO'!$H$4:$H$433,MATCH($C18,'PORTIFÓLIO'!$C$4:$C$433,0)),"")</f>
        <v/>
      </c>
      <c r="I18" s="253" t="n"/>
      <c r="J18" s="209">
        <f>I18*$B$2</f>
        <v/>
      </c>
      <c r="K18" s="210">
        <f t="array" ref="K18">IFERROR(I18*INDEX('PORTIFÓLIO'!$S$4:$S$433,MATCH($C18,'PORTIFÓLIO'!$C$4:$C$433,0)),"")</f>
        <v/>
      </c>
      <c r="L18" s="210">
        <f t="array" ref="L18">IFERROR(J18*INDEX('PORTIFÓLIO'!$S$4:$S$433,MATCH($C18,'PORTIFÓLIO'!$C$4:$C$433,0)),"")</f>
        <v/>
      </c>
      <c r="M18" s="177" t="n"/>
      <c r="N18" s="177" t="n"/>
      <c r="O18" s="177" t="n"/>
      <c r="P18" s="177" t="n"/>
      <c r="Q18" s="177" t="n"/>
      <c r="R18" s="177" t="n"/>
      <c r="S18" s="177" t="n"/>
      <c r="T18" s="177" t="n"/>
      <c r="U18" s="177">
        <f>IFERROR(__xludf.DUMMYFUNCTION("FILTER('PORTIFÓLIO'!C:C, 'PORTIFÓLIO'!B:B=B18)"),"#REF!")</f>
        <v/>
      </c>
      <c r="V18" s="177" t="n"/>
      <c r="W18" s="177" t="n"/>
    </row>
    <row r="19" outlineLevel="1" s="297">
      <c r="A19" s="190" t="n"/>
      <c r="B19" s="204" t="n"/>
      <c r="C19" s="191" t="n"/>
      <c r="D19" s="205">
        <f>IFERROR(VLOOKUP($C19,'PORTIFÓLIO'!C:V,2,0),"")</f>
        <v/>
      </c>
      <c r="E19" s="190">
        <f>IFERROR(VLOOKUP($C19,'PORTIFÓLIO'!C:V,3,0),"")</f>
        <v/>
      </c>
      <c r="F19" s="190">
        <f>IFERROR(VLOOKUP($C19,'PORTIFÓLIO'!C:V,4,0),"")</f>
        <v/>
      </c>
      <c r="G19" s="206">
        <f>IFERROR(VLOOKUP($C19,'PORTIFÓLIO'!C:V,5,0),"")</f>
        <v/>
      </c>
      <c r="H19" s="247">
        <f t="array" ref="H19">IFERROR(INDEX('PORTIFÓLIO'!$H$4:$H$433,MATCH($C19,'PORTIFÓLIO'!$C$4:$C$433,0)),"")</f>
        <v/>
      </c>
      <c r="I19" s="253" t="n"/>
      <c r="J19" s="209">
        <f>I19*$B$2</f>
        <v/>
      </c>
      <c r="K19" s="210">
        <f t="array" ref="K19">IFERROR(I19*INDEX('PORTIFÓLIO'!$S$4:$S$433,MATCH($C19,'PORTIFÓLIO'!$C$4:$C$433,0)),"")</f>
        <v/>
      </c>
      <c r="L19" s="210">
        <f t="array" ref="L19">IFERROR(J19*INDEX('PORTIFÓLIO'!$S$4:$S$433,MATCH($C19,'PORTIFÓLIO'!$C$4:$C$433,0)),"")</f>
        <v/>
      </c>
      <c r="M19" s="177" t="n"/>
      <c r="N19" s="177" t="n"/>
      <c r="O19" s="177" t="n"/>
      <c r="P19" s="177" t="n"/>
      <c r="Q19" s="177" t="n"/>
      <c r="R19" s="177" t="n"/>
      <c r="S19" s="177" t="n"/>
      <c r="T19" s="177" t="n"/>
      <c r="U19" s="177">
        <f>IFERROR(__xludf.DUMMYFUNCTION("FILTER('PORTIFÓLIO'!C:C, 'PORTIFÓLIO'!B:B=B19)"),"")</f>
        <v/>
      </c>
      <c r="V19" s="177" t="n"/>
      <c r="W19" s="177" t="n"/>
    </row>
    <row r="20" outlineLevel="1" s="297">
      <c r="A20" s="190" t="n"/>
      <c r="B20" s="204" t="n"/>
      <c r="C20" s="191" t="n"/>
      <c r="D20" s="205">
        <f>IFERROR(VLOOKUP($C20,'PORTIFÓLIO'!C:V,2,0),"")</f>
        <v/>
      </c>
      <c r="E20" s="190">
        <f>IFERROR(VLOOKUP($C20,'PORTIFÓLIO'!C:V,3,0),"")</f>
        <v/>
      </c>
      <c r="F20" s="190">
        <f>IFERROR(VLOOKUP($C20,'PORTIFÓLIO'!C:V,4,0),"")</f>
        <v/>
      </c>
      <c r="G20" s="206">
        <f>IFERROR(VLOOKUP($C20,'PORTIFÓLIO'!C:V,5,0),"")</f>
        <v/>
      </c>
      <c r="H20" s="247">
        <f t="array" ref="H20">IFERROR(INDEX('PORTIFÓLIO'!$H$4:$H$433,MATCH($C20,'PORTIFÓLIO'!$C$4:$C$433,0)),"")</f>
        <v/>
      </c>
      <c r="I20" s="253" t="n"/>
      <c r="J20" s="209">
        <f>I20*$B$2</f>
        <v/>
      </c>
      <c r="K20" s="210">
        <f t="array" ref="K20">IFERROR(I20*INDEX('PORTIFÓLIO'!$S$4:$S$433,MATCH($C20,'PORTIFÓLIO'!$C$4:$C$433,0)),"")</f>
        <v/>
      </c>
      <c r="L20" s="210">
        <f t="array" ref="L20">IFERROR(J20*INDEX('PORTIFÓLIO'!$S$4:$S$433,MATCH($C20,'PORTIFÓLIO'!$C$4:$C$433,0)),"")</f>
        <v/>
      </c>
      <c r="M20" s="177" t="n"/>
      <c r="N20" s="177" t="n"/>
      <c r="O20" s="177" t="n"/>
      <c r="P20" s="177" t="n"/>
      <c r="Q20" s="177" t="n"/>
      <c r="R20" s="177" t="n"/>
      <c r="S20" s="177" t="n"/>
      <c r="T20" s="177" t="n"/>
      <c r="U20" s="177" t="n"/>
      <c r="V20" s="177" t="n"/>
      <c r="W20" s="177" t="n"/>
    </row>
    <row r="21" outlineLevel="1" ht="15.75" customHeight="1" s="297">
      <c r="A21" s="190" t="n"/>
      <c r="B21" s="204" t="n"/>
      <c r="C21" s="191" t="n"/>
      <c r="D21" s="205">
        <f>IFERROR(VLOOKUP($C21,'PORTIFÓLIO'!C:V,2,0),"")</f>
        <v/>
      </c>
      <c r="E21" s="190">
        <f>IFERROR(VLOOKUP($C21,'PORTIFÓLIO'!C:V,3,0),"")</f>
        <v/>
      </c>
      <c r="F21" s="190">
        <f>IFERROR(VLOOKUP($C21,'PORTIFÓLIO'!C:V,4,0),"")</f>
        <v/>
      </c>
      <c r="G21" s="206">
        <f>IFERROR(VLOOKUP($C21,'PORTIFÓLIO'!C:V,5,0),"")</f>
        <v/>
      </c>
      <c r="H21" s="247">
        <f t="array" ref="H21">IFERROR(INDEX('PORTIFÓLIO'!$H$4:$H$433,MATCH($C21,'PORTIFÓLIO'!$C$4:$C$433,0)),"")</f>
        <v/>
      </c>
      <c r="I21" s="253" t="n"/>
      <c r="J21" s="209">
        <f>I21*$B$2</f>
        <v/>
      </c>
      <c r="K21" s="210">
        <f t="array" ref="K21">IFERROR(I21*INDEX('PORTIFÓLIO'!$S$4:$S$433,MATCH($C21,'PORTIFÓLIO'!$C$4:$C$433,0)),"")</f>
        <v/>
      </c>
      <c r="L21" s="210">
        <f t="array" ref="L21">IFERROR(J21*INDEX('PORTIFÓLIO'!$S$4:$S$433,MATCH($C21,'PORTIFÓLIO'!$C$4:$C$433,0)),"")</f>
        <v/>
      </c>
      <c r="M21" s="177" t="n"/>
      <c r="N21" s="177" t="n"/>
      <c r="O21" s="177" t="n"/>
      <c r="P21" s="177" t="n"/>
      <c r="Q21" s="177" t="n"/>
      <c r="R21" s="177" t="n"/>
      <c r="S21" s="177" t="n"/>
      <c r="T21" s="177" t="n"/>
      <c r="U21" s="177" t="n"/>
      <c r="V21" s="177" t="n"/>
      <c r="W21" s="177" t="n"/>
    </row>
    <row r="22" outlineLevel="1" ht="15.75" customHeight="1" s="297">
      <c r="A22" s="190" t="n"/>
      <c r="B22" s="204" t="n"/>
      <c r="C22" s="191" t="n"/>
      <c r="D22" s="205">
        <f>IFERROR(VLOOKUP($C22,'PORTIFÓLIO'!C:V,2,0),"")</f>
        <v/>
      </c>
      <c r="E22" s="190">
        <f>IFERROR(VLOOKUP($C22,'PORTIFÓLIO'!C:V,3,0),"")</f>
        <v/>
      </c>
      <c r="F22" s="190">
        <f>IFERROR(VLOOKUP($C22,'PORTIFÓLIO'!C:V,4,0),"")</f>
        <v/>
      </c>
      <c r="G22" s="206">
        <f>IFERROR(VLOOKUP($C22,'PORTIFÓLIO'!C:V,5,0),"")</f>
        <v/>
      </c>
      <c r="H22" s="247">
        <f t="array" ref="H22">IFERROR(INDEX('PORTIFÓLIO'!$H$4:$H$433,MATCH($C22,'PORTIFÓLIO'!$C$4:$C$433,0)),"")</f>
        <v/>
      </c>
      <c r="I22" s="253" t="n"/>
      <c r="J22" s="209">
        <f>I22*$B$2</f>
        <v/>
      </c>
      <c r="K22" s="210">
        <f t="array" ref="K22">IFERROR(I22*INDEX('PORTIFÓLIO'!$S$4:$S$433,MATCH($C22,'PORTIFÓLIO'!$C$4:$C$433,0)),"")</f>
        <v/>
      </c>
      <c r="L22" s="210">
        <f t="array" ref="L22">IFERROR(J22*INDEX('PORTIFÓLIO'!$S$4:$S$433,MATCH($C22,'PORTIFÓLIO'!$C$4:$C$433,0)),"")</f>
        <v/>
      </c>
      <c r="M22" s="177" t="n"/>
      <c r="N22" s="177" t="n"/>
      <c r="O22" s="177" t="n"/>
      <c r="P22" s="177" t="n"/>
      <c r="Q22" s="177" t="n"/>
      <c r="R22" s="177" t="n"/>
      <c r="S22" s="177" t="n"/>
      <c r="T22" s="177" t="n"/>
      <c r="U22" s="177" t="n"/>
      <c r="V22" s="177" t="n"/>
      <c r="W22" s="177" t="n"/>
    </row>
    <row r="23" outlineLevel="1" ht="15.75" customHeight="1" s="297">
      <c r="A23" s="190" t="n"/>
      <c r="B23" s="204" t="n"/>
      <c r="C23" s="191" t="n"/>
      <c r="D23" s="205">
        <f>IFERROR(VLOOKUP($C23,'PORTIFÓLIO'!C:V,2,0),"")</f>
        <v/>
      </c>
      <c r="E23" s="190">
        <f>IFERROR(VLOOKUP($C23,'PORTIFÓLIO'!C:V,3,0),"")</f>
        <v/>
      </c>
      <c r="F23" s="190">
        <f>IFERROR(VLOOKUP($C23,'PORTIFÓLIO'!C:V,4,0),"")</f>
        <v/>
      </c>
      <c r="G23" s="206">
        <f>IFERROR(VLOOKUP($C23,'PORTIFÓLIO'!C:V,5,0),"")</f>
        <v/>
      </c>
      <c r="H23" s="247">
        <f t="array" ref="H23">IFERROR(INDEX('PORTIFÓLIO'!$H$4:$H$433,MATCH($C23,'PORTIFÓLIO'!$C$4:$C$433,0)),"")</f>
        <v/>
      </c>
      <c r="I23" s="253" t="n"/>
      <c r="J23" s="209">
        <f>I23*$B$2</f>
        <v/>
      </c>
      <c r="K23" s="210">
        <f t="array" ref="K23">IFERROR(I23*INDEX('PORTIFÓLIO'!$S$4:$S$433,MATCH($C23,'PORTIFÓLIO'!$C$4:$C$433,0)),"")</f>
        <v/>
      </c>
      <c r="L23" s="210">
        <f t="array" ref="L23">IFERROR(J23*INDEX('PORTIFÓLIO'!$S$4:$S$433,MATCH($C23,'PORTIFÓLIO'!$C$4:$C$433,0)),"")</f>
        <v/>
      </c>
      <c r="M23" s="177" t="n"/>
      <c r="N23" s="177" t="n"/>
      <c r="O23" s="177" t="n"/>
      <c r="P23" s="177" t="n"/>
      <c r="Q23" s="177" t="n"/>
      <c r="R23" s="177" t="n"/>
      <c r="S23" s="177" t="n"/>
      <c r="T23" s="177" t="n"/>
      <c r="U23" s="177" t="n"/>
      <c r="V23" s="177" t="n"/>
      <c r="W23" s="177" t="n"/>
    </row>
    <row r="24" outlineLevel="1" ht="15.75" customHeight="1" s="297">
      <c r="A24" s="190" t="n"/>
      <c r="B24" s="204" t="n"/>
      <c r="C24" s="191" t="n"/>
      <c r="D24" s="205">
        <f>IFERROR(VLOOKUP($C24,'PORTIFÓLIO'!C:V,2,0),"")</f>
        <v/>
      </c>
      <c r="E24" s="190">
        <f>IFERROR(VLOOKUP($C24,'PORTIFÓLIO'!C:V,3,0),"")</f>
        <v/>
      </c>
      <c r="F24" s="190">
        <f>IFERROR(VLOOKUP($C24,'PORTIFÓLIO'!C:V,4,0),"")</f>
        <v/>
      </c>
      <c r="G24" s="206">
        <f>IFERROR(VLOOKUP($C24,'PORTIFÓLIO'!C:V,5,0),"")</f>
        <v/>
      </c>
      <c r="H24" s="247">
        <f t="array" ref="H24">IFERROR(INDEX('PORTIFÓLIO'!$H$4:$H$433,MATCH($C24,'PORTIFÓLIO'!$C$4:$C$433,0)),"")</f>
        <v/>
      </c>
      <c r="I24" s="253" t="n"/>
      <c r="J24" s="209">
        <f>I24*$B$2</f>
        <v/>
      </c>
      <c r="K24" s="210">
        <f t="array" ref="K24">IFERROR(I24*INDEX('PORTIFÓLIO'!$S$4:$S$433,MATCH($C24,'PORTIFÓLIO'!$C$4:$C$433,0)),"")</f>
        <v/>
      </c>
      <c r="L24" s="210">
        <f t="array" ref="L24">IFERROR(J24*INDEX('PORTIFÓLIO'!$S$4:$S$433,MATCH($C24,'PORTIFÓLIO'!$C$4:$C$433,0)),"")</f>
        <v/>
      </c>
      <c r="M24" s="177" t="n"/>
      <c r="N24" s="177" t="n"/>
      <c r="O24" s="177" t="n"/>
      <c r="P24" s="177" t="n"/>
      <c r="Q24" s="177" t="n"/>
      <c r="R24" s="177" t="n"/>
      <c r="S24" s="177" t="n"/>
      <c r="T24" s="177" t="n"/>
      <c r="U24" s="177" t="n"/>
      <c r="V24" s="177" t="n"/>
      <c r="W24" s="177" t="n"/>
    </row>
    <row r="25" ht="15.75" customHeight="1" s="297">
      <c r="A25" s="221" t="inlineStr">
        <is>
          <t>OPERAÇÃO 2</t>
        </is>
      </c>
      <c r="B25" s="197" t="n"/>
      <c r="C25" s="196" t="n"/>
      <c r="D25" s="198" t="n"/>
      <c r="E25" s="196" t="n"/>
      <c r="F25" s="196" t="n"/>
      <c r="G25" s="199" t="n"/>
      <c r="H25" s="199" t="n"/>
      <c r="I25" s="252" t="n"/>
      <c r="J25" s="202" t="n"/>
      <c r="K25" s="203">
        <f>SUBTOTAL(9,K26:K39)</f>
        <v/>
      </c>
      <c r="L25" s="203">
        <f>SUBTOTAL(9,L26:L39)</f>
        <v/>
      </c>
      <c r="M25" s="177" t="n"/>
      <c r="N25" s="177" t="n"/>
      <c r="O25" s="177" t="n"/>
      <c r="P25" s="177" t="n"/>
      <c r="Q25" s="177" t="n"/>
      <c r="R25" s="177" t="n"/>
      <c r="S25" s="177" t="n"/>
      <c r="T25" s="177" t="n"/>
      <c r="U25" s="177" t="n"/>
      <c r="V25" s="177" t="n"/>
      <c r="W25" s="177" t="n"/>
    </row>
    <row r="26" outlineLevel="1" ht="15.75" customHeight="1" s="297">
      <c r="A26" s="191" t="n"/>
      <c r="B26" s="204" t="inlineStr">
        <is>
          <t>HERBICIDA</t>
        </is>
      </c>
      <c r="C26" s="191" t="inlineStr">
        <is>
          <t>ROUNDUP WG</t>
        </is>
      </c>
      <c r="D26" s="205">
        <f>IFERROR(VLOOKUP($C26,'PORTIFÓLIO'!C:V,2,0),"")</f>
        <v/>
      </c>
      <c r="E26" s="190">
        <f>IFERROR(VLOOKUP($C26,'PORTIFÓLIO'!C:V,3,0),"")</f>
        <v/>
      </c>
      <c r="F26" s="190">
        <f>IFERROR(VLOOKUP($C26,'PORTIFÓLIO'!C:V,4,0),"")</f>
        <v/>
      </c>
      <c r="G26" s="223">
        <f>IFERROR(VLOOKUP($C26,'PORTIFÓLIO'!C:V,5,0),"")</f>
        <v/>
      </c>
      <c r="H26" s="247">
        <f t="array" ref="H26">IFERROR(INDEX('PORTIFÓLIO'!$H$4:$H$433,MATCH($C26,'PORTIFÓLIO'!$C$4:$C$433,0)),"")</f>
        <v/>
      </c>
      <c r="I26" s="253" t="n">
        <v>2</v>
      </c>
      <c r="J26" s="209">
        <f>I26*$B$2</f>
        <v/>
      </c>
      <c r="K26" s="210">
        <f t="array" ref="K26">IFERROR(I26*INDEX('PORTIFÓLIO'!$S$4:$S$433,MATCH($C26,'PORTIFÓLIO'!$C$4:$C$433,0)),"")</f>
        <v/>
      </c>
      <c r="L26" s="210">
        <f t="array" ref="L26">IFERROR(J26*INDEX('PORTIFÓLIO'!$S$4:$S$433,MATCH($C26,'PORTIFÓLIO'!$C$4:$C$433,0)),"")</f>
        <v/>
      </c>
      <c r="M26" s="177" t="n"/>
      <c r="N26" s="177" t="n"/>
      <c r="O26" s="177" t="n"/>
      <c r="P26" s="177" t="n"/>
      <c r="Q26" s="177" t="n"/>
      <c r="R26" s="177" t="n"/>
      <c r="S26" s="177" t="n"/>
      <c r="T26" s="177" t="n"/>
      <c r="U26" s="177" t="n"/>
      <c r="V26" s="177" t="n"/>
      <c r="W26" s="177" t="n"/>
    </row>
    <row r="27" outlineLevel="1" ht="15.75" customHeight="1" s="297">
      <c r="A27" s="190" t="n"/>
      <c r="B27" s="204" t="inlineStr">
        <is>
          <t>HERBICIDA</t>
        </is>
      </c>
      <c r="C27" s="191" t="inlineStr">
        <is>
          <t>GLUFOSINATO NORTOX 880 SG</t>
        </is>
      </c>
      <c r="D27" s="205">
        <f>IFERROR(VLOOKUP($C27,'PORTIFÓLIO'!C:V,2,0),"")</f>
        <v/>
      </c>
      <c r="E27" s="190">
        <f>IFERROR(VLOOKUP($C27,'PORTIFÓLIO'!C:V,3,0),"")</f>
        <v/>
      </c>
      <c r="F27" s="190">
        <f>IFERROR(VLOOKUP($C27,'PORTIFÓLIO'!C:V,4,0),"")</f>
        <v/>
      </c>
      <c r="G27" s="223">
        <f>IFERROR(VLOOKUP($C27,'PORTIFÓLIO'!C:V,5,0),"")</f>
        <v/>
      </c>
      <c r="H27" s="247">
        <f t="array" ref="H27">IFERROR(INDEX('PORTIFÓLIO'!$H$4:$H$433,MATCH($C27,'PORTIFÓLIO'!$C$4:$C$433,0)),"")</f>
        <v/>
      </c>
      <c r="I27" s="253" t="n">
        <v>0.5</v>
      </c>
      <c r="J27" s="209">
        <f>I27*$B$2</f>
        <v/>
      </c>
      <c r="K27" s="210">
        <f t="array" ref="K27">IFERROR(I27*INDEX('PORTIFÓLIO'!$S$4:$S$433,MATCH($C27,'PORTIFÓLIO'!$C$4:$C$433,0)),"")</f>
        <v/>
      </c>
      <c r="L27" s="210">
        <f t="array" ref="L27">IFERROR(J27*INDEX('PORTIFÓLIO'!$S$4:$S$433,MATCH($C27,'PORTIFÓLIO'!$C$4:$C$433,0)),"")</f>
        <v/>
      </c>
      <c r="M27" s="177" t="n"/>
      <c r="N27" s="177" t="n"/>
      <c r="O27" s="177" t="n"/>
      <c r="P27" s="177" t="n"/>
      <c r="Q27" s="177" t="n"/>
      <c r="R27" s="177" t="n"/>
      <c r="S27" s="177" t="n"/>
      <c r="T27" s="177" t="n"/>
      <c r="U27" s="177" t="n"/>
      <c r="V27" s="177" t="n"/>
      <c r="W27" s="177" t="n"/>
    </row>
    <row r="28" outlineLevel="1" ht="15.75" customHeight="1" s="297">
      <c r="A28" s="190" t="n"/>
      <c r="B28" s="204" t="inlineStr">
        <is>
          <t>ADJUVANTE</t>
        </is>
      </c>
      <c r="C28" s="191" t="inlineStr">
        <is>
          <t>AUREO</t>
        </is>
      </c>
      <c r="D28" s="205">
        <f>IFERROR(VLOOKUP($C28,'PORTIFÓLIO'!C:V,2,0),"")</f>
        <v/>
      </c>
      <c r="E28" s="190">
        <f>IFERROR(VLOOKUP($C28,'PORTIFÓLIO'!C:V,3,0),"")</f>
        <v/>
      </c>
      <c r="F28" s="190">
        <f>IFERROR(VLOOKUP($C28,'PORTIFÓLIO'!C:V,4,0),"")</f>
        <v/>
      </c>
      <c r="G28" s="223">
        <f>IFERROR(VLOOKUP($C28,'PORTIFÓLIO'!C:V,5,0),"")</f>
        <v/>
      </c>
      <c r="H28" s="247">
        <f t="array" ref="H28">IFERROR(INDEX('PORTIFÓLIO'!$H$4:$H$433,MATCH($C28,'PORTIFÓLIO'!$C$4:$C$433,0)),"")</f>
        <v/>
      </c>
      <c r="I28" s="253" t="n">
        <v>0.2</v>
      </c>
      <c r="J28" s="209">
        <f>I28*$B$2</f>
        <v/>
      </c>
      <c r="K28" s="210">
        <f t="array" ref="K28">IFERROR(I28*INDEX('PORTIFÓLIO'!$S$4:$S$433,MATCH($C28,'PORTIFÓLIO'!$C$4:$C$433,0)),"")</f>
        <v/>
      </c>
      <c r="L28" s="210">
        <f t="array" ref="L28">IFERROR(J28*INDEX('PORTIFÓLIO'!$S$4:$S$433,MATCH($C28,'PORTIFÓLIO'!$C$4:$C$433,0)),"")</f>
        <v/>
      </c>
      <c r="M28" s="177" t="n"/>
      <c r="N28" s="177" t="n"/>
      <c r="O28" s="177" t="n"/>
      <c r="P28" s="177" t="n"/>
      <c r="Q28" s="177" t="n"/>
      <c r="R28" s="177" t="n"/>
      <c r="S28" s="177" t="n"/>
      <c r="T28" s="177" t="n"/>
      <c r="U28" s="177" t="n"/>
      <c r="V28" s="177" t="n"/>
      <c r="W28" s="177" t="n"/>
    </row>
    <row r="29" outlineLevel="1" ht="15.75" customHeight="1" s="297">
      <c r="A29" s="190" t="n"/>
      <c r="B29" s="204" t="inlineStr">
        <is>
          <t>INSETICIDA</t>
        </is>
      </c>
      <c r="C29" s="191" t="inlineStr">
        <is>
          <t>PREMIO</t>
        </is>
      </c>
      <c r="D29" s="205">
        <f>IFERROR(VLOOKUP($C29,'PORTIFÓLIO'!C:V,2,0),"")</f>
        <v/>
      </c>
      <c r="E29" s="190">
        <f>IFERROR(VLOOKUP($C29,'PORTIFÓLIO'!C:V,3,0),"")</f>
        <v/>
      </c>
      <c r="F29" s="190">
        <f>IFERROR(VLOOKUP($C29,'PORTIFÓLIO'!C:V,4,0),"")</f>
        <v/>
      </c>
      <c r="G29" s="223">
        <f>IFERROR(VLOOKUP($C29,'PORTIFÓLIO'!C:V,5,0),"")</f>
        <v/>
      </c>
      <c r="H29" s="247">
        <f t="array" ref="H29">IFERROR(INDEX('PORTIFÓLIO'!$H$4:$H$433,MATCH($C29,'PORTIFÓLIO'!$C$4:$C$433,0)),"")</f>
        <v/>
      </c>
      <c r="I29" s="253" t="n">
        <v>0.04</v>
      </c>
      <c r="J29" s="209">
        <f>I29*$B$2</f>
        <v/>
      </c>
      <c r="K29" s="210">
        <f t="array" ref="K29">IFERROR(I29*INDEX('PORTIFÓLIO'!$S$4:$S$433,MATCH($C29,'PORTIFÓLIO'!$C$4:$C$433,0)),"")</f>
        <v/>
      </c>
      <c r="L29" s="210">
        <f t="array" ref="L29">IFERROR(J29*INDEX('PORTIFÓLIO'!$S$4:$S$433,MATCH($C29,'PORTIFÓLIO'!$C$4:$C$433,0)),"")</f>
        <v/>
      </c>
      <c r="M29" s="177" t="n"/>
      <c r="N29" s="177" t="n"/>
      <c r="O29" s="177" t="n"/>
      <c r="P29" s="177" t="n"/>
      <c r="Q29" s="177" t="n"/>
      <c r="R29" s="177" t="n"/>
      <c r="S29" s="177" t="n"/>
      <c r="T29" s="177" t="n"/>
      <c r="U29" s="177" t="n"/>
      <c r="V29" s="177" t="n"/>
      <c r="W29" s="177" t="n"/>
    </row>
    <row r="30" outlineLevel="1" ht="15.75" customHeight="1" s="297">
      <c r="A30" s="190" t="n"/>
      <c r="B30" s="204" t="n"/>
      <c r="C30" s="191" t="n"/>
      <c r="D30" s="205">
        <f>IFERROR(VLOOKUP($C30,'PORTIFÓLIO'!C:V,2,0),"")</f>
        <v/>
      </c>
      <c r="E30" s="190">
        <f>IFERROR(VLOOKUP($C30,'PORTIFÓLIO'!C:V,3,0),"")</f>
        <v/>
      </c>
      <c r="F30" s="190">
        <f>IFERROR(VLOOKUP($C30,'PORTIFÓLIO'!C:V,4,0),"")</f>
        <v/>
      </c>
      <c r="G30" s="206">
        <f>IFERROR(VLOOKUP($C30,'PORTIFÓLIO'!C:V,5,0),"")</f>
        <v/>
      </c>
      <c r="H30" s="247">
        <f t="array" ref="H30">IFERROR(INDEX('PORTIFÓLIO'!$H$4:$H$433,MATCH($C30,'PORTIFÓLIO'!$C$4:$C$433,0)),"")</f>
        <v/>
      </c>
      <c r="I30" s="253" t="n"/>
      <c r="J30" s="209">
        <f>I30*$B$2</f>
        <v/>
      </c>
      <c r="K30" s="210">
        <f t="array" ref="K30">IFERROR(I30*INDEX('PORTIFÓLIO'!$S$4:$S$433,MATCH($C30,'PORTIFÓLIO'!$C$4:$C$433,0)),"")</f>
        <v/>
      </c>
      <c r="L30" s="210">
        <f t="array" ref="L30">IFERROR(J30*INDEX('PORTIFÓLIO'!$S$4:$S$433,MATCH($C30,'PORTIFÓLIO'!$C$4:$C$433,0)),"")</f>
        <v/>
      </c>
      <c r="M30" s="177" t="n"/>
      <c r="N30" s="177" t="n"/>
      <c r="O30" s="177" t="n"/>
      <c r="P30" s="177" t="n"/>
      <c r="Q30" s="177" t="n"/>
      <c r="R30" s="177" t="n"/>
      <c r="S30" s="177" t="n"/>
      <c r="T30" s="177" t="n"/>
      <c r="U30" s="177" t="n"/>
      <c r="V30" s="177" t="n"/>
      <c r="W30" s="177" t="n"/>
    </row>
    <row r="31" outlineLevel="1" ht="15.75" customHeight="1" s="297">
      <c r="A31" s="190" t="n"/>
      <c r="B31" s="204" t="n"/>
      <c r="C31" s="191" t="n"/>
      <c r="D31" s="205">
        <f>IFERROR(VLOOKUP($C31,'PORTIFÓLIO'!C:V,2,0),"")</f>
        <v/>
      </c>
      <c r="E31" s="190">
        <f>IFERROR(VLOOKUP($C31,'PORTIFÓLIO'!C:V,3,0),"")</f>
        <v/>
      </c>
      <c r="F31" s="190">
        <f>IFERROR(VLOOKUP($C31,'PORTIFÓLIO'!C:V,4,0),"")</f>
        <v/>
      </c>
      <c r="G31" s="206">
        <f>IFERROR(VLOOKUP($C31,'PORTIFÓLIO'!C:V,5,0),"")</f>
        <v/>
      </c>
      <c r="H31" s="247">
        <f t="array" ref="H31">IFERROR(INDEX('PORTIFÓLIO'!$H$4:$H$433,MATCH($C31,'PORTIFÓLIO'!$C$4:$C$433,0)),"")</f>
        <v/>
      </c>
      <c r="I31" s="253" t="n"/>
      <c r="J31" s="209">
        <f>I31*$B$2</f>
        <v/>
      </c>
      <c r="K31" s="210">
        <f t="array" ref="K31">IFERROR(I31*INDEX('PORTIFÓLIO'!$S$4:$S$433,MATCH($C31,'PORTIFÓLIO'!$C$4:$C$433,0)),"")</f>
        <v/>
      </c>
      <c r="L31" s="210">
        <f t="array" ref="L31">IFERROR(J31*INDEX('PORTIFÓLIO'!$S$4:$S$433,MATCH($C31,'PORTIFÓLIO'!$C$4:$C$433,0)),"")</f>
        <v/>
      </c>
      <c r="M31" s="177" t="n"/>
      <c r="N31" s="177" t="n"/>
      <c r="O31" s="177" t="n"/>
      <c r="P31" s="177" t="n"/>
      <c r="Q31" s="177" t="n"/>
      <c r="R31" s="177" t="n"/>
      <c r="S31" s="177" t="n"/>
      <c r="T31" s="177" t="n"/>
      <c r="U31" s="177" t="n"/>
      <c r="V31" s="177" t="n"/>
      <c r="W31" s="177" t="n"/>
    </row>
    <row r="32" outlineLevel="1" ht="15.75" customHeight="1" s="297">
      <c r="A32" s="190" t="n"/>
      <c r="B32" s="204" t="n"/>
      <c r="C32" s="191" t="n"/>
      <c r="D32" s="205">
        <f>IFERROR(VLOOKUP($C32,'PORTIFÓLIO'!C:V,2,0),"")</f>
        <v/>
      </c>
      <c r="E32" s="190">
        <f>IFERROR(VLOOKUP($C32,'PORTIFÓLIO'!C:V,3,0),"")</f>
        <v/>
      </c>
      <c r="F32" s="190">
        <f>IFERROR(VLOOKUP($C32,'PORTIFÓLIO'!C:V,4,0),"")</f>
        <v/>
      </c>
      <c r="G32" s="206">
        <f>IFERROR(VLOOKUP($C32,'PORTIFÓLIO'!C:V,5,0),"")</f>
        <v/>
      </c>
      <c r="H32" s="247">
        <f t="array" ref="H32">IFERROR(INDEX('PORTIFÓLIO'!$H$4:$H$433,MATCH($C32,'PORTIFÓLIO'!$C$4:$C$433,0)),"")</f>
        <v/>
      </c>
      <c r="I32" s="257" t="n"/>
      <c r="J32" s="209">
        <f>I32*$B$2</f>
        <v/>
      </c>
      <c r="K32" s="210">
        <f t="array" ref="K32">IFERROR(I32*INDEX('PORTIFÓLIO'!$S$4:$S$433,MATCH($C32,'PORTIFÓLIO'!$C$4:$C$433,0)),"")</f>
        <v/>
      </c>
      <c r="L32" s="210">
        <f t="array" ref="L32">IFERROR(J32*INDEX('PORTIFÓLIO'!$S$4:$S$433,MATCH($C32,'PORTIFÓLIO'!$C$4:$C$433,0)),"")</f>
        <v/>
      </c>
      <c r="M32" s="177" t="n"/>
      <c r="N32" s="177" t="n"/>
      <c r="O32" s="177" t="n"/>
      <c r="P32" s="177" t="n"/>
      <c r="Q32" s="177" t="n"/>
      <c r="R32" s="177" t="n"/>
      <c r="S32" s="177" t="n"/>
      <c r="T32" s="177" t="n"/>
      <c r="U32" s="177" t="n"/>
      <c r="V32" s="177" t="n"/>
      <c r="W32" s="177" t="n"/>
    </row>
    <row r="33" outlineLevel="1" ht="15.75" customHeight="1" s="297">
      <c r="A33" s="190" t="n"/>
      <c r="B33" s="204" t="n"/>
      <c r="C33" s="191" t="n"/>
      <c r="D33" s="205">
        <f>IFERROR(VLOOKUP($C33,'PORTIFÓLIO'!C:V,2,0),"")</f>
        <v/>
      </c>
      <c r="E33" s="190">
        <f>IFERROR(VLOOKUP($C33,'PORTIFÓLIO'!C:V,3,0),"")</f>
        <v/>
      </c>
      <c r="F33" s="190">
        <f>IFERROR(VLOOKUP($C33,'PORTIFÓLIO'!C:V,4,0),"")</f>
        <v/>
      </c>
      <c r="G33" s="206">
        <f>IFERROR(VLOOKUP($C33,'PORTIFÓLIO'!C:V,5,0),"")</f>
        <v/>
      </c>
      <c r="H33" s="247">
        <f t="array" ref="H33">IFERROR(INDEX('PORTIFÓLIO'!$H$4:$H$433,MATCH($C33,'PORTIFÓLIO'!$C$4:$C$433,0)),"")</f>
        <v/>
      </c>
      <c r="I33" s="257" t="n"/>
      <c r="J33" s="209">
        <f>I33*$B$2</f>
        <v/>
      </c>
      <c r="K33" s="210">
        <f t="array" ref="K33">IFERROR(I33*INDEX('PORTIFÓLIO'!$S$4:$S$433,MATCH($C33,'PORTIFÓLIO'!$C$4:$C$433,0)),"")</f>
        <v/>
      </c>
      <c r="L33" s="210">
        <f t="array" ref="L33">IFERROR(J33*INDEX('PORTIFÓLIO'!$S$4:$S$433,MATCH($C33,'PORTIFÓLIO'!$C$4:$C$433,0)),"")</f>
        <v/>
      </c>
      <c r="M33" s="177" t="n"/>
      <c r="N33" s="177" t="n"/>
      <c r="O33" s="177" t="n"/>
      <c r="P33" s="177" t="n"/>
      <c r="Q33" s="177" t="n"/>
      <c r="R33" s="177" t="n"/>
      <c r="S33" s="177" t="n"/>
      <c r="T33" s="177" t="n"/>
      <c r="U33" s="177" t="n"/>
      <c r="V33" s="177" t="n"/>
      <c r="W33" s="177" t="n"/>
    </row>
    <row r="34" outlineLevel="1" ht="15.75" customHeight="1" s="297">
      <c r="A34" s="190" t="n"/>
      <c r="B34" s="204" t="n"/>
      <c r="C34" s="191" t="n"/>
      <c r="D34" s="205">
        <f>IFERROR(VLOOKUP($C34,'PORTIFÓLIO'!C:V,2,0),"")</f>
        <v/>
      </c>
      <c r="E34" s="190">
        <f>IFERROR(VLOOKUP($C34,'PORTIFÓLIO'!C:V,3,0),"")</f>
        <v/>
      </c>
      <c r="F34" s="190">
        <f>IFERROR(VLOOKUP($C34,'PORTIFÓLIO'!C:V,4,0),"")</f>
        <v/>
      </c>
      <c r="G34" s="206">
        <f>IFERROR(VLOOKUP($C34,'PORTIFÓLIO'!C:V,5,0),"")</f>
        <v/>
      </c>
      <c r="H34" s="247">
        <f t="array" ref="H34">IFERROR(INDEX('PORTIFÓLIO'!$H$4:$H$433,MATCH($C34,'PORTIFÓLIO'!$C$4:$C$433,0)),"")</f>
        <v/>
      </c>
      <c r="I34" s="253" t="n"/>
      <c r="J34" s="209">
        <f>I34*$B$2</f>
        <v/>
      </c>
      <c r="K34" s="210">
        <f t="array" ref="K34">IFERROR(I34*INDEX('PORTIFÓLIO'!$S$4:$S$433,MATCH($C34,'PORTIFÓLIO'!$C$4:$C$433,0)),"")</f>
        <v/>
      </c>
      <c r="L34" s="210">
        <f t="array" ref="L34">IFERROR(J34*INDEX('PORTIFÓLIO'!$S$4:$S$433,MATCH($C34,'PORTIFÓLIO'!$C$4:$C$433,0)),"")</f>
        <v/>
      </c>
      <c r="M34" s="177" t="n"/>
      <c r="N34" s="177" t="n"/>
      <c r="O34" s="177" t="n"/>
      <c r="P34" s="177" t="n"/>
      <c r="Q34" s="177" t="n"/>
      <c r="R34" s="177" t="n"/>
      <c r="S34" s="177" t="n"/>
      <c r="T34" s="177" t="n"/>
      <c r="U34" s="177" t="n"/>
      <c r="V34" s="177" t="n"/>
      <c r="W34" s="177" t="n"/>
    </row>
    <row r="35" outlineLevel="1" ht="15.75" customHeight="1" s="297">
      <c r="A35" s="190" t="n"/>
      <c r="B35" s="204" t="n"/>
      <c r="C35" s="191" t="n"/>
      <c r="D35" s="205">
        <f>IFERROR(VLOOKUP($C35,'PORTIFÓLIO'!C:V,2,0),"")</f>
        <v/>
      </c>
      <c r="E35" s="190">
        <f>IFERROR(VLOOKUP($C35,'PORTIFÓLIO'!C:V,3,0),"")</f>
        <v/>
      </c>
      <c r="F35" s="190">
        <f>IFERROR(VLOOKUP($C35,'PORTIFÓLIO'!C:V,4,0),"")</f>
        <v/>
      </c>
      <c r="G35" s="206">
        <f>IFERROR(VLOOKUP($C35,'PORTIFÓLIO'!C:V,5,0),"")</f>
        <v/>
      </c>
      <c r="H35" s="247">
        <f t="array" ref="H35">IFERROR(INDEX('PORTIFÓLIO'!$H$4:$H$433,MATCH($C35,'PORTIFÓLIO'!$C$4:$C$433,0)),"")</f>
        <v/>
      </c>
      <c r="I35" s="257" t="n"/>
      <c r="J35" s="209">
        <f>I35*$B$2</f>
        <v/>
      </c>
      <c r="K35" s="210">
        <f t="array" ref="K35">IFERROR(I35*INDEX('PORTIFÓLIO'!$S$4:$S$433,MATCH($C35,'PORTIFÓLIO'!$C$4:$C$433,0)),"")</f>
        <v/>
      </c>
      <c r="L35" s="210">
        <f t="array" ref="L35">IFERROR(J35*INDEX('PORTIFÓLIO'!$S$4:$S$433,MATCH($C35,'PORTIFÓLIO'!$C$4:$C$433,0)),"")</f>
        <v/>
      </c>
      <c r="M35" s="177" t="n"/>
      <c r="N35" s="177" t="n"/>
      <c r="O35" s="177" t="n"/>
      <c r="P35" s="177" t="n"/>
      <c r="Q35" s="177" t="n"/>
      <c r="R35" s="177" t="n"/>
      <c r="S35" s="177" t="n"/>
      <c r="T35" s="177" t="n"/>
      <c r="U35" s="177" t="n"/>
      <c r="V35" s="177" t="n"/>
      <c r="W35" s="177" t="n"/>
    </row>
    <row r="36" outlineLevel="1" ht="15.75" customHeight="1" s="297">
      <c r="A36" s="190" t="n"/>
      <c r="B36" s="204" t="n"/>
      <c r="C36" s="191" t="n"/>
      <c r="D36" s="205">
        <f>IFERROR(VLOOKUP($C36,'PORTIFÓLIO'!C:V,2,0),"")</f>
        <v/>
      </c>
      <c r="E36" s="190">
        <f>IFERROR(VLOOKUP($C36,'PORTIFÓLIO'!C:V,3,0),"")</f>
        <v/>
      </c>
      <c r="F36" s="190">
        <f>IFERROR(VLOOKUP($C36,'PORTIFÓLIO'!C:V,4,0),"")</f>
        <v/>
      </c>
      <c r="G36" s="206">
        <f>IFERROR(VLOOKUP($C36,'PORTIFÓLIO'!C:V,5,0),"")</f>
        <v/>
      </c>
      <c r="H36" s="247">
        <f t="array" ref="H36">IFERROR(INDEX('PORTIFÓLIO'!$H$4:$H$433,MATCH($C36,'PORTIFÓLIO'!$C$4:$C$433,0)),"")</f>
        <v/>
      </c>
      <c r="I36" s="257" t="n"/>
      <c r="J36" s="209">
        <f>I36*$B$2</f>
        <v/>
      </c>
      <c r="K36" s="210">
        <f t="array" ref="K36">IFERROR(I36*INDEX('PORTIFÓLIO'!$S$4:$S$433,MATCH($C36,'PORTIFÓLIO'!$C$4:$C$433,0)),"")</f>
        <v/>
      </c>
      <c r="L36" s="210">
        <f t="array" ref="L36">IFERROR(J36*INDEX('PORTIFÓLIO'!$S$4:$S$433,MATCH($C36,'PORTIFÓLIO'!$C$4:$C$433,0)),"")</f>
        <v/>
      </c>
      <c r="M36" s="177" t="n"/>
      <c r="N36" s="177" t="n"/>
      <c r="O36" s="177" t="n"/>
      <c r="P36" s="177" t="n"/>
      <c r="Q36" s="177" t="n"/>
      <c r="R36" s="177" t="n"/>
      <c r="S36" s="177" t="n"/>
      <c r="T36" s="177" t="n"/>
      <c r="U36" s="177" t="n"/>
      <c r="V36" s="177" t="n"/>
      <c r="W36" s="177" t="n"/>
    </row>
    <row r="37" outlineLevel="1" ht="15.75" customHeight="1" s="297">
      <c r="A37" s="190" t="n"/>
      <c r="B37" s="204" t="n"/>
      <c r="C37" s="191" t="n"/>
      <c r="D37" s="205">
        <f>IFERROR(VLOOKUP($C37,'PORTIFÓLIO'!C:V,2,0),"")</f>
        <v/>
      </c>
      <c r="E37" s="190">
        <f>IFERROR(VLOOKUP($C37,'PORTIFÓLIO'!C:V,3,0),"")</f>
        <v/>
      </c>
      <c r="F37" s="190">
        <f>IFERROR(VLOOKUP($C37,'PORTIFÓLIO'!C:V,4,0),"")</f>
        <v/>
      </c>
      <c r="G37" s="206">
        <f>IFERROR(VLOOKUP($C37,'PORTIFÓLIO'!C:V,5,0),"")</f>
        <v/>
      </c>
      <c r="H37" s="247">
        <f t="array" ref="H37">IFERROR(INDEX('PORTIFÓLIO'!$H$4:$H$433,MATCH($C37,'PORTIFÓLIO'!$C$4:$C$433,0)),"")</f>
        <v/>
      </c>
      <c r="I37" s="257" t="n"/>
      <c r="J37" s="209">
        <f>I37*$B$2</f>
        <v/>
      </c>
      <c r="K37" s="210">
        <f t="array" ref="K37">IFERROR(I37*INDEX('PORTIFÓLIO'!$S$4:$S$433,MATCH($C37,'PORTIFÓLIO'!$C$4:$C$433,0)),"")</f>
        <v/>
      </c>
      <c r="L37" s="210">
        <f t="array" ref="L37">IFERROR(J37*INDEX('PORTIFÓLIO'!$S$4:$S$433,MATCH($C37,'PORTIFÓLIO'!$C$4:$C$433,0)),"")</f>
        <v/>
      </c>
      <c r="M37" s="177" t="n"/>
      <c r="N37" s="177" t="n"/>
      <c r="O37" s="177" t="n"/>
      <c r="P37" s="177" t="n"/>
      <c r="Q37" s="177" t="n"/>
      <c r="R37" s="177" t="n"/>
      <c r="S37" s="177" t="n"/>
      <c r="T37" s="177" t="n"/>
      <c r="U37" s="177" t="n"/>
      <c r="V37" s="177" t="n"/>
      <c r="W37" s="177" t="n"/>
    </row>
    <row r="38" outlineLevel="1" ht="15.75" customHeight="1" s="297">
      <c r="A38" s="190" t="n"/>
      <c r="B38" s="204" t="n"/>
      <c r="C38" s="191" t="n"/>
      <c r="D38" s="205">
        <f>IFERROR(VLOOKUP($C38,'PORTIFÓLIO'!C:V,2,0),"")</f>
        <v/>
      </c>
      <c r="E38" s="190">
        <f>IFERROR(VLOOKUP($C38,'PORTIFÓLIO'!C:V,3,0),"")</f>
        <v/>
      </c>
      <c r="F38" s="190">
        <f>IFERROR(VLOOKUP($C38,'PORTIFÓLIO'!C:V,4,0),"")</f>
        <v/>
      </c>
      <c r="G38" s="206">
        <f>IFERROR(VLOOKUP($C38,'PORTIFÓLIO'!C:V,5,0),"")</f>
        <v/>
      </c>
      <c r="H38" s="247">
        <f t="array" ref="H38">IFERROR(INDEX('PORTIFÓLIO'!$H$4:$H$433,MATCH($C38,'PORTIFÓLIO'!$C$4:$C$433,0)),"")</f>
        <v/>
      </c>
      <c r="I38" s="257" t="n"/>
      <c r="J38" s="209">
        <f>I38*$B$2</f>
        <v/>
      </c>
      <c r="K38" s="210">
        <f t="array" ref="K38">IFERROR(I38*INDEX('PORTIFÓLIO'!$S$4:$S$433,MATCH($C38,'PORTIFÓLIO'!$C$4:$C$433,0)),"")</f>
        <v/>
      </c>
      <c r="L38" s="210">
        <f t="array" ref="L38">IFERROR(J38*INDEX('PORTIFÓLIO'!$S$4:$S$433,MATCH($C38,'PORTIFÓLIO'!$C$4:$C$433,0)),"")</f>
        <v/>
      </c>
      <c r="M38" s="177" t="n"/>
      <c r="N38" s="177" t="n"/>
      <c r="O38" s="177" t="n"/>
      <c r="P38" s="177" t="n"/>
      <c r="Q38" s="177" t="n"/>
      <c r="R38" s="177" t="n"/>
      <c r="S38" s="177" t="n"/>
      <c r="T38" s="177" t="n"/>
      <c r="U38" s="177" t="n"/>
      <c r="V38" s="177" t="n"/>
      <c r="W38" s="177" t="n"/>
    </row>
    <row r="39" outlineLevel="1" ht="15.75" customHeight="1" s="297">
      <c r="A39" s="190" t="n"/>
      <c r="B39" s="204" t="n"/>
      <c r="C39" s="191" t="n"/>
      <c r="D39" s="205">
        <f>IFERROR(VLOOKUP($C39,'PORTIFÓLIO'!C:V,2,0),"")</f>
        <v/>
      </c>
      <c r="E39" s="190">
        <f>IFERROR(VLOOKUP($C39,'PORTIFÓLIO'!C:V,3,0),"")</f>
        <v/>
      </c>
      <c r="F39" s="190">
        <f>IFERROR(VLOOKUP($C39,'PORTIFÓLIO'!C:V,4,0),"")</f>
        <v/>
      </c>
      <c r="G39" s="206">
        <f>IFERROR(VLOOKUP($C39,'PORTIFÓLIO'!C:V,5,0),"")</f>
        <v/>
      </c>
      <c r="H39" s="247">
        <f t="array" ref="H39">IFERROR(INDEX('PORTIFÓLIO'!$H$4:$H$433,MATCH($C39,'PORTIFÓLIO'!$C$4:$C$433,0)),"")</f>
        <v/>
      </c>
      <c r="I39" s="257" t="n"/>
      <c r="J39" s="209">
        <f>I39*$B$2</f>
        <v/>
      </c>
      <c r="K39" s="210">
        <f t="array" ref="K39">IFERROR(I39*INDEX('PORTIFÓLIO'!$S$4:$S$433,MATCH($C39,'PORTIFÓLIO'!$C$4:$C$433,0)),"")</f>
        <v/>
      </c>
      <c r="L39" s="210">
        <f t="array" ref="L39">IFERROR(J39*INDEX('PORTIFÓLIO'!$S$4:$S$433,MATCH($C39,'PORTIFÓLIO'!$C$4:$C$433,0)),"")</f>
        <v/>
      </c>
      <c r="M39" s="177" t="n"/>
      <c r="N39" s="177" t="n"/>
      <c r="O39" s="177" t="n"/>
      <c r="P39" s="177" t="n"/>
      <c r="Q39" s="177" t="n"/>
      <c r="R39" s="177" t="n"/>
      <c r="S39" s="177" t="n"/>
      <c r="T39" s="177" t="n"/>
      <c r="U39" s="177" t="n"/>
      <c r="V39" s="177" t="n"/>
      <c r="W39" s="177" t="n"/>
    </row>
    <row r="40" outlineLevel="1" ht="15.75" customHeight="1" s="297">
      <c r="A40" s="190" t="n"/>
      <c r="B40" s="204" t="n"/>
      <c r="C40" s="191" t="n"/>
      <c r="D40" s="205">
        <f>IFERROR(VLOOKUP($C40,'PORTIFÓLIO'!C:V,2,0),"")</f>
        <v/>
      </c>
      <c r="E40" s="190">
        <f>IFERROR(VLOOKUP($C40,'PORTIFÓLIO'!C:V,3,0),"")</f>
        <v/>
      </c>
      <c r="F40" s="190">
        <f>IFERROR(VLOOKUP($C40,'PORTIFÓLIO'!C:V,4,0),"")</f>
        <v/>
      </c>
      <c r="G40" s="206">
        <f>IFERROR(VLOOKUP($C40,'PORTIFÓLIO'!C:V,5,0),"")</f>
        <v/>
      </c>
      <c r="H40" s="247">
        <f t="array" ref="H40">IFERROR(INDEX('PORTIFÓLIO'!$H$4:$H$433,MATCH($C40,'PORTIFÓLIO'!$C$4:$C$433,0)),"")</f>
        <v/>
      </c>
      <c r="I40" s="257" t="n"/>
      <c r="J40" s="209">
        <f>I40*$B$2</f>
        <v/>
      </c>
      <c r="K40" s="210">
        <f t="array" ref="K40">IFERROR(I40*INDEX('PORTIFÓLIO'!$S$4:$S$433,MATCH($C40,'PORTIFÓLIO'!$C$4:$C$433,0)),"")</f>
        <v/>
      </c>
      <c r="L40" s="210">
        <f t="array" ref="L40">IFERROR(J40*INDEX('PORTIFÓLIO'!$S$4:$S$433,MATCH($C40,'PORTIFÓLIO'!$C$4:$C$433,0)),"")</f>
        <v/>
      </c>
      <c r="M40" s="177" t="n"/>
      <c r="N40" s="177" t="n"/>
      <c r="O40" s="177" t="n"/>
      <c r="P40" s="177" t="n"/>
      <c r="Q40" s="177" t="n"/>
      <c r="R40" s="177" t="n"/>
      <c r="S40" s="177" t="n"/>
      <c r="T40" s="177" t="n"/>
      <c r="U40" s="177" t="n"/>
      <c r="V40" s="177" t="n"/>
      <c r="W40" s="177" t="n"/>
    </row>
    <row r="41" outlineLevel="1" ht="15.75" customHeight="1" s="297">
      <c r="A41" s="190" t="n"/>
      <c r="B41" s="204" t="n"/>
      <c r="C41" s="191" t="n"/>
      <c r="D41" s="205">
        <f>IFERROR(VLOOKUP($C41,'PORTIFÓLIO'!C:V,2,0),"")</f>
        <v/>
      </c>
      <c r="E41" s="190">
        <f>IFERROR(VLOOKUP($C41,'PORTIFÓLIO'!C:V,3,0),"")</f>
        <v/>
      </c>
      <c r="F41" s="190">
        <f>IFERROR(VLOOKUP($C41,'PORTIFÓLIO'!C:V,4,0),"")</f>
        <v/>
      </c>
      <c r="G41" s="206">
        <f>IFERROR(VLOOKUP($C41,'PORTIFÓLIO'!C:V,5,0),"")</f>
        <v/>
      </c>
      <c r="H41" s="247">
        <f t="array" ref="H41">IFERROR(INDEX('PORTIFÓLIO'!$H$4:$H$433,MATCH($C41,'PORTIFÓLIO'!$C$4:$C$433,0)),"")</f>
        <v/>
      </c>
      <c r="I41" s="257" t="n"/>
      <c r="J41" s="209">
        <f>I41*$B$2</f>
        <v/>
      </c>
      <c r="K41" s="210">
        <f t="array" ref="K41">IFERROR(I41*INDEX('PORTIFÓLIO'!$S$4:$S$433,MATCH($C41,'PORTIFÓLIO'!$C$4:$C$433,0)),"")</f>
        <v/>
      </c>
      <c r="L41" s="210">
        <f t="array" ref="L41">IFERROR(J41*INDEX('PORTIFÓLIO'!$S$4:$S$433,MATCH($C41,'PORTIFÓLIO'!$C$4:$C$433,0)),"")</f>
        <v/>
      </c>
      <c r="M41" s="177" t="n"/>
      <c r="N41" s="177" t="n"/>
      <c r="O41" s="177" t="n"/>
      <c r="P41" s="177" t="n"/>
      <c r="Q41" s="177" t="n"/>
      <c r="R41" s="177" t="n"/>
      <c r="S41" s="177" t="n"/>
      <c r="T41" s="177" t="n"/>
      <c r="U41" s="177" t="n"/>
      <c r="V41" s="177" t="n"/>
      <c r="W41" s="177" t="n"/>
    </row>
    <row r="42" outlineLevel="1" ht="15.75" customHeight="1" s="297">
      <c r="A42" s="190" t="n"/>
      <c r="B42" s="204" t="n"/>
      <c r="C42" s="191" t="n"/>
      <c r="D42" s="205">
        <f>IFERROR(VLOOKUP($C42,'PORTIFÓLIO'!C:V,2,0),"")</f>
        <v/>
      </c>
      <c r="E42" s="190">
        <f>IFERROR(VLOOKUP($C42,'PORTIFÓLIO'!C:V,3,0),"")</f>
        <v/>
      </c>
      <c r="F42" s="190">
        <f>IFERROR(VLOOKUP($C42,'PORTIFÓLIO'!C:V,4,0),"")</f>
        <v/>
      </c>
      <c r="G42" s="206">
        <f>IFERROR(VLOOKUP($C42,'PORTIFÓLIO'!C:V,5,0),"")</f>
        <v/>
      </c>
      <c r="H42" s="247">
        <f t="array" ref="H42">IFERROR(INDEX('PORTIFÓLIO'!$H$4:$H$433,MATCH($C42,'PORTIFÓLIO'!$C$4:$C$433,0)),"")</f>
        <v/>
      </c>
      <c r="I42" s="257" t="n"/>
      <c r="J42" s="209">
        <f>I42*$B$2</f>
        <v/>
      </c>
      <c r="K42" s="210">
        <f t="array" ref="K42">IFERROR(I42*INDEX('PORTIFÓLIO'!$S$4:$S$433,MATCH($C42,'PORTIFÓLIO'!$C$4:$C$433,0)),"")</f>
        <v/>
      </c>
      <c r="L42" s="210">
        <f t="array" ref="L42">IFERROR(J42*INDEX('PORTIFÓLIO'!$S$4:$S$433,MATCH($C42,'PORTIFÓLIO'!$C$4:$C$433,0)),"")</f>
        <v/>
      </c>
      <c r="M42" s="177" t="n"/>
      <c r="N42" s="177" t="n"/>
      <c r="O42" s="177" t="n"/>
      <c r="P42" s="177" t="n"/>
      <c r="Q42" s="177" t="n"/>
      <c r="R42" s="177" t="n"/>
      <c r="S42" s="177" t="n"/>
      <c r="T42" s="177" t="n"/>
      <c r="U42" s="177" t="n"/>
      <c r="V42" s="177" t="n"/>
      <c r="W42" s="177" t="n"/>
    </row>
    <row r="43" outlineLevel="1" ht="15.75" customHeight="1" s="297">
      <c r="A43" s="190" t="n"/>
      <c r="B43" s="204" t="n"/>
      <c r="C43" s="191" t="n"/>
      <c r="D43" s="205">
        <f>IFERROR(VLOOKUP($C43,'PORTIFÓLIO'!C:V,2,0),"")</f>
        <v/>
      </c>
      <c r="E43" s="190">
        <f>IFERROR(VLOOKUP($C43,'PORTIFÓLIO'!C:V,3,0),"")</f>
        <v/>
      </c>
      <c r="F43" s="190">
        <f>IFERROR(VLOOKUP($C43,'PORTIFÓLIO'!C:V,4,0),"")</f>
        <v/>
      </c>
      <c r="G43" s="206">
        <f>IFERROR(VLOOKUP($C43,'PORTIFÓLIO'!C:V,5,0),"")</f>
        <v/>
      </c>
      <c r="H43" s="247">
        <f t="array" ref="H43">IFERROR(INDEX('PORTIFÓLIO'!$H$4:$H$433,MATCH($C43,'PORTIFÓLIO'!$C$4:$C$433,0)),"")</f>
        <v/>
      </c>
      <c r="I43" s="257" t="n"/>
      <c r="J43" s="209">
        <f>I43*$B$2</f>
        <v/>
      </c>
      <c r="K43" s="210">
        <f t="array" ref="K43">IFERROR(I43*INDEX('PORTIFÓLIO'!$S$4:$S$433,MATCH($C43,'PORTIFÓLIO'!$C$4:$C$433,0)),"")</f>
        <v/>
      </c>
      <c r="L43" s="210">
        <f t="array" ref="L43">IFERROR(J43*INDEX('PORTIFÓLIO'!$S$4:$S$433,MATCH($C43,'PORTIFÓLIO'!$C$4:$C$433,0)),"")</f>
        <v/>
      </c>
      <c r="M43" s="177" t="n"/>
      <c r="N43" s="177" t="n"/>
      <c r="O43" s="177" t="n"/>
      <c r="P43" s="177" t="n"/>
      <c r="Q43" s="177" t="n"/>
      <c r="R43" s="177" t="n"/>
      <c r="S43" s="177" t="n"/>
      <c r="T43" s="177" t="n"/>
      <c r="U43" s="177" t="n"/>
      <c r="V43" s="177" t="n"/>
      <c r="W43" s="177" t="n"/>
    </row>
    <row r="44" ht="15.75" customHeight="1" s="297">
      <c r="A44" s="221" t="inlineStr">
        <is>
          <t>OPERAÇÃO 3</t>
        </is>
      </c>
      <c r="B44" s="197" t="n"/>
      <c r="C44" s="196" t="n"/>
      <c r="D44" s="198" t="inlineStr">
        <is>
          <t>-</t>
        </is>
      </c>
      <c r="E44" s="196" t="n"/>
      <c r="F44" s="196" t="n"/>
      <c r="G44" s="199" t="n"/>
      <c r="H44" s="199" t="n"/>
      <c r="I44" s="252" t="n"/>
      <c r="J44" s="202" t="n"/>
      <c r="K44" s="203">
        <f>SUBTOTAL(9,K45:K58)</f>
        <v/>
      </c>
      <c r="L44" s="203">
        <f>SUBTOTAL(9,L45:L58)</f>
        <v/>
      </c>
      <c r="M44" s="177" t="n"/>
      <c r="N44" s="177" t="n"/>
      <c r="O44" s="177" t="n"/>
      <c r="P44" s="177" t="n"/>
      <c r="Q44" s="177" t="n"/>
      <c r="R44" s="177" t="n"/>
      <c r="S44" s="177" t="n"/>
      <c r="T44" s="177" t="n"/>
      <c r="U44" s="177" t="n"/>
      <c r="V44" s="177" t="n"/>
      <c r="W44" s="177" t="n"/>
    </row>
    <row r="45" outlineLevel="1" ht="15.75" customHeight="1" s="297">
      <c r="A45" s="191" t="n"/>
      <c r="B45" s="204" t="inlineStr">
        <is>
          <t>HERBICIDA</t>
        </is>
      </c>
      <c r="C45" s="191" t="inlineStr">
        <is>
          <t>GLUFOSINATO NORTOX 880 SG</t>
        </is>
      </c>
      <c r="D45" s="205">
        <f>IFERROR(VLOOKUP($C45,'PORTIFÓLIO'!C:V,2,0),"")</f>
        <v/>
      </c>
      <c r="E45" s="190">
        <f>IFERROR(VLOOKUP($C45,'PORTIFÓLIO'!C:V,3,0),"")</f>
        <v/>
      </c>
      <c r="F45" s="190">
        <f>IFERROR(VLOOKUP($C45,'PORTIFÓLIO'!C:V,4,0),"")</f>
        <v/>
      </c>
      <c r="G45" s="223">
        <f>IFERROR(VLOOKUP($C45,'PORTIFÓLIO'!C:V,5,0),"")</f>
        <v/>
      </c>
      <c r="H45" s="247">
        <f t="array" ref="H45">IFERROR(INDEX('PORTIFÓLIO'!$H$4:$H$433,MATCH($C45,'PORTIFÓLIO'!$C$4:$C$433,0)),"")</f>
        <v/>
      </c>
      <c r="I45" s="253" t="n">
        <v>0.5</v>
      </c>
      <c r="J45" s="209">
        <f>I45*$B$2</f>
        <v/>
      </c>
      <c r="K45" s="210">
        <f t="array" ref="K45">IFERROR(I45*INDEX('PORTIFÓLIO'!$S$4:$S$433,MATCH($C45,'PORTIFÓLIO'!$C$4:$C$433,0)),"")</f>
        <v/>
      </c>
      <c r="L45" s="210">
        <f t="array" ref="L45">IFERROR(J45*INDEX('PORTIFÓLIO'!$S$4:$S$433,MATCH($C45,'PORTIFÓLIO'!$C$4:$C$433,0)),"")</f>
        <v/>
      </c>
      <c r="M45" s="177" t="n"/>
      <c r="N45" s="177" t="n"/>
      <c r="O45" s="177" t="n"/>
      <c r="P45" s="177" t="n"/>
      <c r="Q45" s="177" t="n"/>
      <c r="R45" s="177" t="n"/>
      <c r="S45" s="177" t="n"/>
      <c r="T45" s="177" t="n"/>
      <c r="U45" s="177" t="n"/>
      <c r="V45" s="177" t="n"/>
      <c r="W45" s="177" t="n"/>
    </row>
    <row r="46" outlineLevel="1" ht="15.75" customHeight="1" s="297">
      <c r="A46" s="190" t="n"/>
      <c r="B46" s="204" t="inlineStr">
        <is>
          <t>HERBICIDA</t>
        </is>
      </c>
      <c r="C46" s="191" t="inlineStr">
        <is>
          <t>ZETHAMAXX</t>
        </is>
      </c>
      <c r="D46" s="205">
        <f>IFERROR(VLOOKUP($C46,'PORTIFÓLIO'!C:V,2,0),"")</f>
        <v/>
      </c>
      <c r="E46" s="190">
        <f>IFERROR(VLOOKUP($C46,'PORTIFÓLIO'!C:V,3,0),"")</f>
        <v/>
      </c>
      <c r="F46" s="190">
        <f>IFERROR(VLOOKUP($C46,'PORTIFÓLIO'!C:V,4,0),"")</f>
        <v/>
      </c>
      <c r="G46" s="223">
        <f>IFERROR(VLOOKUP($C46,'PORTIFÓLIO'!C:V,5,0),"")</f>
        <v/>
      </c>
      <c r="H46" s="247">
        <f t="array" ref="H46">IFERROR(INDEX('PORTIFÓLIO'!$H$4:$H$433,MATCH($C46,'PORTIFÓLIO'!$C$4:$C$433,0)),"")</f>
        <v/>
      </c>
      <c r="I46" s="253" t="n">
        <v>0.4</v>
      </c>
      <c r="J46" s="209">
        <f>I46*$B$2</f>
        <v/>
      </c>
      <c r="K46" s="210">
        <f t="array" ref="K46">IFERROR(I46*INDEX('PORTIFÓLIO'!$S$4:$S$433,MATCH($C46,'PORTIFÓLIO'!$C$4:$C$433,0)),"")</f>
        <v/>
      </c>
      <c r="L46" s="210">
        <f t="array" ref="L46">IFERROR(J46*INDEX('PORTIFÓLIO'!$S$4:$S$433,MATCH($C46,'PORTIFÓLIO'!$C$4:$C$433,0)),"")</f>
        <v/>
      </c>
      <c r="M46" s="177" t="n"/>
      <c r="N46" s="177" t="n"/>
      <c r="O46" s="177" t="n"/>
      <c r="P46" s="177" t="n"/>
      <c r="Q46" s="177" t="n"/>
      <c r="R46" s="177" t="n"/>
      <c r="S46" s="177" t="n"/>
      <c r="T46" s="177" t="n"/>
      <c r="U46" s="177" t="n"/>
      <c r="V46" s="177" t="n"/>
      <c r="W46" s="177" t="n"/>
    </row>
    <row r="47" outlineLevel="1" ht="15.75" customHeight="1" s="297">
      <c r="A47" s="190" t="n"/>
      <c r="B47" s="204" t="inlineStr">
        <is>
          <t>HERBICIDA</t>
        </is>
      </c>
      <c r="C47" s="191" t="inlineStr">
        <is>
          <t>DUAL GOLD</t>
        </is>
      </c>
      <c r="D47" s="205">
        <f>IFERROR(VLOOKUP($C47,'PORTIFÓLIO'!C:V,2,0),"")</f>
        <v/>
      </c>
      <c r="E47" s="190">
        <f>IFERROR(VLOOKUP($C47,'PORTIFÓLIO'!C:V,3,0),"")</f>
        <v/>
      </c>
      <c r="F47" s="190">
        <f>IFERROR(VLOOKUP($C47,'PORTIFÓLIO'!C:V,4,0),"")</f>
        <v/>
      </c>
      <c r="G47" s="223">
        <f>IFERROR(VLOOKUP($C47,'PORTIFÓLIO'!C:V,5,0),"")</f>
        <v/>
      </c>
      <c r="H47" s="247">
        <f t="array" ref="H47">IFERROR(INDEX('PORTIFÓLIO'!$H$4:$H$433,MATCH($C47,'PORTIFÓLIO'!$C$4:$C$433,0)),"")</f>
        <v/>
      </c>
      <c r="I47" s="253" t="n">
        <v>1</v>
      </c>
      <c r="J47" s="209">
        <f>I47*$B$2</f>
        <v/>
      </c>
      <c r="K47" s="210">
        <f t="array" ref="K47">IFERROR(I47*INDEX('PORTIFÓLIO'!$S$4:$S$433,MATCH($C47,'PORTIFÓLIO'!$C$4:$C$433,0)),"")</f>
        <v/>
      </c>
      <c r="L47" s="210">
        <f t="array" ref="L47">IFERROR(J47*INDEX('PORTIFÓLIO'!$S$4:$S$433,MATCH($C47,'PORTIFÓLIO'!$C$4:$C$433,0)),"")</f>
        <v/>
      </c>
      <c r="M47" s="177" t="n"/>
      <c r="N47" s="177" t="n"/>
      <c r="O47" s="177" t="n"/>
      <c r="P47" s="177" t="n"/>
      <c r="Q47" s="177" t="n"/>
      <c r="R47" s="177" t="n"/>
      <c r="S47" s="177" t="n"/>
      <c r="T47" s="177" t="n"/>
      <c r="U47" s="177" t="n"/>
      <c r="V47" s="177" t="n"/>
      <c r="W47" s="177" t="n"/>
    </row>
    <row r="48" outlineLevel="1" ht="15.75" customHeight="1" s="297">
      <c r="A48" s="190" t="n"/>
      <c r="B48" s="204" t="inlineStr">
        <is>
          <t>ADJUVANTE</t>
        </is>
      </c>
      <c r="C48" s="191" t="inlineStr">
        <is>
          <t>AUREO</t>
        </is>
      </c>
      <c r="D48" s="205">
        <f>IFERROR(VLOOKUP($C48,'PORTIFÓLIO'!C:V,2,0),"")</f>
        <v/>
      </c>
      <c r="E48" s="190">
        <f>IFERROR(VLOOKUP($C48,'PORTIFÓLIO'!C:V,3,0),"")</f>
        <v/>
      </c>
      <c r="F48" s="190">
        <f>IFERROR(VLOOKUP($C48,'PORTIFÓLIO'!C:V,4,0),"")</f>
        <v/>
      </c>
      <c r="G48" s="223">
        <f>IFERROR(VLOOKUP($C48,'PORTIFÓLIO'!C:V,5,0),"")</f>
        <v/>
      </c>
      <c r="H48" s="247">
        <f t="array" ref="H48">IFERROR(INDEX('PORTIFÓLIO'!$H$4:$H$433,MATCH($C48,'PORTIFÓLIO'!$C$4:$C$433,0)),"")</f>
        <v/>
      </c>
      <c r="I48" s="253" t="n">
        <v>0.2</v>
      </c>
      <c r="J48" s="209">
        <f>I48*$B$2</f>
        <v/>
      </c>
      <c r="K48" s="210">
        <f t="array" ref="K48">IFERROR(I48*INDEX('PORTIFÓLIO'!$S$4:$S$433,MATCH($C48,'PORTIFÓLIO'!$C$4:$C$433,0)),"")</f>
        <v/>
      </c>
      <c r="L48" s="210">
        <f t="array" ref="L48">IFERROR(J48*INDEX('PORTIFÓLIO'!$S$4:$S$433,MATCH($C48,'PORTIFÓLIO'!$C$4:$C$433,0)),"")</f>
        <v/>
      </c>
      <c r="M48" s="177" t="n"/>
      <c r="N48" s="177" t="n"/>
      <c r="O48" s="177" t="n"/>
      <c r="P48" s="177" t="n"/>
      <c r="Q48" s="177" t="n"/>
      <c r="R48" s="177" t="n"/>
      <c r="S48" s="177" t="n"/>
      <c r="T48" s="177" t="n"/>
      <c r="U48" s="177" t="n"/>
      <c r="V48" s="177" t="n"/>
      <c r="W48" s="177" t="n"/>
    </row>
    <row r="49" outlineLevel="1" ht="15.75" customHeight="1" s="297">
      <c r="A49" s="190" t="n"/>
      <c r="B49" s="204" t="inlineStr">
        <is>
          <t>INSETICIDA</t>
        </is>
      </c>
      <c r="C49" s="191" t="inlineStr">
        <is>
          <t>PREMIO</t>
        </is>
      </c>
      <c r="D49" s="205">
        <f>IFERROR(VLOOKUP($C49,'PORTIFÓLIO'!C:V,2,0),"")</f>
        <v/>
      </c>
      <c r="E49" s="190">
        <f>IFERROR(VLOOKUP($C49,'PORTIFÓLIO'!C:V,3,0),"")</f>
        <v/>
      </c>
      <c r="F49" s="190">
        <f>IFERROR(VLOOKUP($C49,'PORTIFÓLIO'!C:V,4,0),"")</f>
        <v/>
      </c>
      <c r="G49" s="223">
        <f>IFERROR(VLOOKUP($C49,'PORTIFÓLIO'!C:V,5,0),"")</f>
        <v/>
      </c>
      <c r="H49" s="247">
        <f t="array" ref="H49">IFERROR(INDEX('PORTIFÓLIO'!$H$4:$H$433,MATCH($C49,'PORTIFÓLIO'!$C$4:$C$433,0)),"")</f>
        <v/>
      </c>
      <c r="I49" s="253" t="n">
        <v>0.04</v>
      </c>
      <c r="J49" s="209">
        <f>I49*$B$2</f>
        <v/>
      </c>
      <c r="K49" s="210">
        <f t="array" ref="K49">IFERROR(I49*INDEX('PORTIFÓLIO'!$S$4:$S$433,MATCH($C49,'PORTIFÓLIO'!$C$4:$C$433,0)),"")</f>
        <v/>
      </c>
      <c r="L49" s="210">
        <f t="array" ref="L49">IFERROR(J49*INDEX('PORTIFÓLIO'!$S$4:$S$433,MATCH($C49,'PORTIFÓLIO'!$C$4:$C$433,0)),"")</f>
        <v/>
      </c>
      <c r="M49" s="177" t="n"/>
      <c r="N49" s="177" t="n"/>
      <c r="O49" s="177" t="n"/>
      <c r="P49" s="177" t="n"/>
      <c r="Q49" s="177" t="n"/>
      <c r="R49" s="177" t="n"/>
      <c r="S49" s="177" t="n"/>
      <c r="T49" s="177" t="n"/>
      <c r="U49" s="177" t="n"/>
      <c r="V49" s="177" t="n"/>
      <c r="W49" s="177" t="n"/>
    </row>
    <row r="50" outlineLevel="1" ht="15.75" customHeight="1" s="297">
      <c r="A50" s="190" t="n"/>
      <c r="B50" s="204" t="inlineStr">
        <is>
          <t>INSETICIDA</t>
        </is>
      </c>
      <c r="C50" s="191" t="inlineStr">
        <is>
          <t>FIPRONIL 800 WG CCAB</t>
        </is>
      </c>
      <c r="D50" s="205">
        <f>IFERROR(VLOOKUP($C50,'PORTIFÓLIO'!C:V,2,0),"")</f>
        <v/>
      </c>
      <c r="E50" s="190">
        <f>IFERROR(VLOOKUP($C50,'PORTIFÓLIO'!C:V,3,0),"")</f>
        <v/>
      </c>
      <c r="F50" s="190">
        <f>IFERROR(VLOOKUP($C50,'PORTIFÓLIO'!C:V,4,0),"")</f>
        <v/>
      </c>
      <c r="G50" s="223">
        <f>IFERROR(VLOOKUP($C50,'PORTIFÓLIO'!C:V,5,0),"")</f>
        <v/>
      </c>
      <c r="H50" s="247">
        <f t="array" ref="H50">IFERROR(INDEX('PORTIFÓLIO'!$H$4:$H$433,MATCH($C50,'PORTIFÓLIO'!$C$4:$C$433,0)),"")</f>
        <v/>
      </c>
      <c r="I50" s="253" t="n">
        <v>0.04</v>
      </c>
      <c r="J50" s="209">
        <f>I50*$B$2</f>
        <v/>
      </c>
      <c r="K50" s="210">
        <f t="array" ref="K50">IFERROR(I50*INDEX('PORTIFÓLIO'!$S$4:$S$433,MATCH($C50,'PORTIFÓLIO'!$C$4:$C$433,0)),"")</f>
        <v/>
      </c>
      <c r="L50" s="210">
        <f t="array" ref="L50">IFERROR(J50*INDEX('PORTIFÓLIO'!$S$4:$S$433,MATCH($C50,'PORTIFÓLIO'!$C$4:$C$433,0)),"")</f>
        <v/>
      </c>
      <c r="M50" s="177" t="n"/>
      <c r="N50" s="177" t="n"/>
      <c r="O50" s="177" t="n"/>
      <c r="P50" s="177" t="n"/>
      <c r="Q50" s="177" t="n"/>
      <c r="R50" s="177" t="n"/>
      <c r="S50" s="177" t="n"/>
      <c r="T50" s="177" t="n"/>
      <c r="U50" s="177" t="n"/>
      <c r="V50" s="177" t="n"/>
      <c r="W50" s="177" t="n"/>
    </row>
    <row r="51" outlineLevel="1" ht="15.75" customHeight="1" s="297">
      <c r="A51" s="190" t="n"/>
      <c r="B51" s="204" t="inlineStr">
        <is>
          <t>NUTRIÇÃO</t>
        </is>
      </c>
      <c r="C51" s="191" t="inlineStr">
        <is>
          <t>BOP</t>
        </is>
      </c>
      <c r="D51" s="205">
        <f>IFERROR(VLOOKUP($C51,'PORTIFÓLIO'!C:V,2,0),"")</f>
        <v/>
      </c>
      <c r="E51" s="190">
        <f>IFERROR(VLOOKUP($C51,'PORTIFÓLIO'!C:V,3,0),"")</f>
        <v/>
      </c>
      <c r="F51" s="190">
        <f>IFERROR(VLOOKUP($C51,'PORTIFÓLIO'!C:V,4,0),"")</f>
        <v/>
      </c>
      <c r="G51" s="206">
        <f>IFERROR(VLOOKUP($C51,'PORTIFÓLIO'!C:V,5,0),"")</f>
        <v/>
      </c>
      <c r="H51" s="247">
        <f t="array" ref="H51">IFERROR(INDEX('PORTIFÓLIO'!$H$4:$H$433,MATCH($C51,'PORTIFÓLIO'!$C$4:$C$433,0)),"")</f>
        <v/>
      </c>
      <c r="I51" s="253" t="n">
        <v>1</v>
      </c>
      <c r="J51" s="209">
        <f>I51*$B$2</f>
        <v/>
      </c>
      <c r="K51" s="210">
        <f t="array" ref="K51">IFERROR(I51*INDEX('PORTIFÓLIO'!$S$4:$S$433,MATCH($C51,'PORTIFÓLIO'!$C$4:$C$433,0)),"")</f>
        <v/>
      </c>
      <c r="L51" s="210">
        <f t="array" ref="L51">IFERROR(J51*INDEX('PORTIFÓLIO'!$S$4:$S$433,MATCH($C51,'PORTIFÓLIO'!$C$4:$C$433,0)),"")</f>
        <v/>
      </c>
      <c r="M51" s="177" t="n"/>
      <c r="N51" s="177" t="n"/>
      <c r="O51" s="177" t="n"/>
      <c r="P51" s="177" t="n"/>
      <c r="Q51" s="177" t="n"/>
      <c r="R51" s="177" t="n"/>
      <c r="S51" s="177" t="n"/>
      <c r="T51" s="177" t="n"/>
      <c r="U51" s="177" t="n"/>
      <c r="V51" s="177" t="n"/>
      <c r="W51" s="177" t="n"/>
    </row>
    <row r="52" outlineLevel="1" ht="15.75" customHeight="1" s="297">
      <c r="A52" s="190" t="n"/>
      <c r="B52" s="204" t="n"/>
      <c r="C52" s="191" t="n"/>
      <c r="D52" s="205">
        <f>IFERROR(VLOOKUP($C52,'PORTIFÓLIO'!C:V,2,0),"")</f>
        <v/>
      </c>
      <c r="E52" s="190">
        <f>IFERROR(VLOOKUP($C52,'PORTIFÓLIO'!C:V,3,0),"")</f>
        <v/>
      </c>
      <c r="F52" s="190">
        <f>IFERROR(VLOOKUP($C52,'PORTIFÓLIO'!C:V,4,0),"")</f>
        <v/>
      </c>
      <c r="G52" s="206">
        <f>IFERROR(VLOOKUP($C52,'PORTIFÓLIO'!C:V,5,0),"")</f>
        <v/>
      </c>
      <c r="H52" s="247">
        <f t="array" ref="H52">IFERROR(INDEX('PORTIFÓLIO'!$H$4:$H$433,MATCH($C52,'PORTIFÓLIO'!$C$4:$C$433,0)),"")</f>
        <v/>
      </c>
      <c r="I52" s="257" t="n"/>
      <c r="J52" s="209">
        <f>I52*$B$2</f>
        <v/>
      </c>
      <c r="K52" s="210">
        <f t="array" ref="K52">IFERROR(I52*INDEX('PORTIFÓLIO'!$S$4:$S$433,MATCH($C52,'PORTIFÓLIO'!$C$4:$C$433,0)),"")</f>
        <v/>
      </c>
      <c r="L52" s="210">
        <f t="array" ref="L52">IFERROR(J52*INDEX('PORTIFÓLIO'!$S$4:$S$433,MATCH($C52,'PORTIFÓLIO'!$C$4:$C$433,0)),"")</f>
        <v/>
      </c>
      <c r="M52" s="177" t="n"/>
      <c r="N52" s="177" t="n"/>
      <c r="O52" s="177" t="n"/>
      <c r="P52" s="177" t="n"/>
      <c r="Q52" s="177" t="n"/>
      <c r="R52" s="177" t="n"/>
      <c r="S52" s="177" t="n"/>
      <c r="T52" s="177" t="n"/>
      <c r="U52" s="177" t="n"/>
      <c r="V52" s="177" t="n"/>
      <c r="W52" s="177" t="n"/>
    </row>
    <row r="53" outlineLevel="1" ht="15.75" customHeight="1" s="297">
      <c r="A53" s="190" t="n"/>
      <c r="B53" s="204" t="n"/>
      <c r="C53" s="191" t="n"/>
      <c r="D53" s="205">
        <f>IFERROR(VLOOKUP($C53,'PORTIFÓLIO'!C:V,2,0),"")</f>
        <v/>
      </c>
      <c r="E53" s="190">
        <f>IFERROR(VLOOKUP($C53,'PORTIFÓLIO'!C:V,3,0),"")</f>
        <v/>
      </c>
      <c r="F53" s="190">
        <f>IFERROR(VLOOKUP($C53,'PORTIFÓLIO'!C:V,4,0),"")</f>
        <v/>
      </c>
      <c r="G53" s="206">
        <f>IFERROR(VLOOKUP($C53,'PORTIFÓLIO'!C:V,5,0),"")</f>
        <v/>
      </c>
      <c r="H53" s="247">
        <f t="array" ref="H53">IFERROR(INDEX('PORTIFÓLIO'!$H$4:$H$433,MATCH($C53,'PORTIFÓLIO'!$C$4:$C$433,0)),"")</f>
        <v/>
      </c>
      <c r="I53" s="253" t="n"/>
      <c r="J53" s="209">
        <f>I53*$B$2</f>
        <v/>
      </c>
      <c r="K53" s="210">
        <f t="array" ref="K53">IFERROR(I53*INDEX('PORTIFÓLIO'!$S$4:$S$433,MATCH($C53,'PORTIFÓLIO'!$C$4:$C$433,0)),"")</f>
        <v/>
      </c>
      <c r="L53" s="210">
        <f t="array" ref="L53">IFERROR(J53*INDEX('PORTIFÓLIO'!$S$4:$S$433,MATCH($C53,'PORTIFÓLIO'!$C$4:$C$433,0)),"")</f>
        <v/>
      </c>
      <c r="M53" s="177" t="n"/>
      <c r="N53" s="177" t="n"/>
      <c r="O53" s="177" t="n"/>
      <c r="P53" s="177" t="n"/>
      <c r="Q53" s="177" t="n"/>
      <c r="R53" s="177" t="n"/>
      <c r="S53" s="177" t="n"/>
      <c r="T53" s="177" t="n"/>
      <c r="U53" s="177" t="n"/>
      <c r="V53" s="177" t="n"/>
      <c r="W53" s="177" t="n"/>
    </row>
    <row r="54" outlineLevel="1" ht="15.75" customHeight="1" s="297">
      <c r="A54" s="190" t="n"/>
      <c r="B54" s="204" t="n"/>
      <c r="C54" s="191" t="n"/>
      <c r="D54" s="205">
        <f>IFERROR(VLOOKUP($C54,'PORTIFÓLIO'!C:V,2,0),"")</f>
        <v/>
      </c>
      <c r="E54" s="190">
        <f>IFERROR(VLOOKUP($C54,'PORTIFÓLIO'!C:V,3,0),"")</f>
        <v/>
      </c>
      <c r="F54" s="190">
        <f>IFERROR(VLOOKUP($C54,'PORTIFÓLIO'!C:V,4,0),"")</f>
        <v/>
      </c>
      <c r="G54" s="206">
        <f>IFERROR(VLOOKUP($C54,'PORTIFÓLIO'!C:V,5,0),"")</f>
        <v/>
      </c>
      <c r="H54" s="247">
        <f t="array" ref="H54">IFERROR(INDEX('PORTIFÓLIO'!$H$4:$H$433,MATCH($C54,'PORTIFÓLIO'!$C$4:$C$433,0)),"")</f>
        <v/>
      </c>
      <c r="I54" s="257" t="n"/>
      <c r="J54" s="209">
        <f>I54*$B$2</f>
        <v/>
      </c>
      <c r="K54" s="210">
        <f t="array" ref="K54">IFERROR(I54*INDEX('PORTIFÓLIO'!$S$4:$S$433,MATCH($C54,'PORTIFÓLIO'!$C$4:$C$433,0)),"")</f>
        <v/>
      </c>
      <c r="L54" s="210">
        <f t="array" ref="L54">IFERROR(J54*INDEX('PORTIFÓLIO'!$S$4:$S$433,MATCH($C54,'PORTIFÓLIO'!$C$4:$C$433,0)),"")</f>
        <v/>
      </c>
      <c r="M54" s="177" t="n"/>
      <c r="N54" s="177" t="n"/>
      <c r="O54" s="177" t="n"/>
      <c r="P54" s="177" t="n"/>
      <c r="Q54" s="177" t="n"/>
      <c r="R54" s="177" t="n"/>
      <c r="S54" s="177" t="n"/>
      <c r="T54" s="177" t="n"/>
      <c r="U54" s="177" t="n"/>
      <c r="V54" s="177" t="n"/>
      <c r="W54" s="177" t="n"/>
    </row>
    <row r="55" outlineLevel="1" ht="15.75" customHeight="1" s="297">
      <c r="A55" s="190" t="n"/>
      <c r="B55" s="204" t="n"/>
      <c r="C55" s="191" t="n"/>
      <c r="D55" s="205">
        <f>IFERROR(VLOOKUP($C55,'PORTIFÓLIO'!C:V,2,0),"")</f>
        <v/>
      </c>
      <c r="E55" s="190">
        <f>IFERROR(VLOOKUP($C55,'PORTIFÓLIO'!C:V,3,0),"")</f>
        <v/>
      </c>
      <c r="F55" s="190">
        <f>IFERROR(VLOOKUP($C55,'PORTIFÓLIO'!C:V,4,0),"")</f>
        <v/>
      </c>
      <c r="G55" s="206">
        <f>IFERROR(VLOOKUP($C55,'PORTIFÓLIO'!C:V,5,0),"")</f>
        <v/>
      </c>
      <c r="H55" s="247">
        <f t="array" ref="H55">IFERROR(INDEX('PORTIFÓLIO'!$H$4:$H$433,MATCH($C55,'PORTIFÓLIO'!$C$4:$C$433,0)),"")</f>
        <v/>
      </c>
      <c r="I55" s="257" t="n"/>
      <c r="J55" s="209">
        <f>I55*$B$2</f>
        <v/>
      </c>
      <c r="K55" s="210">
        <f t="array" ref="K55">IFERROR(I55*INDEX('PORTIFÓLIO'!$S$4:$S$433,MATCH($C55,'PORTIFÓLIO'!$C$4:$C$433,0)),"")</f>
        <v/>
      </c>
      <c r="L55" s="210">
        <f t="array" ref="L55">IFERROR(J55*INDEX('PORTIFÓLIO'!$S$4:$S$433,MATCH($C55,'PORTIFÓLIO'!$C$4:$C$433,0)),"")</f>
        <v/>
      </c>
      <c r="M55" s="177" t="n"/>
      <c r="N55" s="177" t="n"/>
      <c r="O55" s="177" t="n"/>
      <c r="P55" s="177" t="n"/>
      <c r="Q55" s="177" t="n"/>
      <c r="R55" s="177" t="n"/>
      <c r="S55" s="177" t="n"/>
      <c r="T55" s="177" t="n"/>
      <c r="U55" s="177" t="n"/>
      <c r="V55" s="177" t="n"/>
      <c r="W55" s="177" t="n"/>
    </row>
    <row r="56" outlineLevel="1" ht="15.75" customHeight="1" s="297">
      <c r="A56" s="190" t="n"/>
      <c r="B56" s="204" t="n"/>
      <c r="C56" s="191" t="n"/>
      <c r="D56" s="205">
        <f>IFERROR(VLOOKUP($C56,'PORTIFÓLIO'!C:V,2,0),"")</f>
        <v/>
      </c>
      <c r="E56" s="190">
        <f>IFERROR(VLOOKUP($C56,'PORTIFÓLIO'!C:V,3,0),"")</f>
        <v/>
      </c>
      <c r="F56" s="190">
        <f>IFERROR(VLOOKUP($C56,'PORTIFÓLIO'!C:V,4,0),"")</f>
        <v/>
      </c>
      <c r="G56" s="206">
        <f>IFERROR(VLOOKUP($C56,'PORTIFÓLIO'!C:V,5,0),"")</f>
        <v/>
      </c>
      <c r="H56" s="247">
        <f t="array" ref="H56">IFERROR(INDEX('PORTIFÓLIO'!$H$4:$H$433,MATCH($C56,'PORTIFÓLIO'!$C$4:$C$433,0)),"")</f>
        <v/>
      </c>
      <c r="I56" s="257" t="n"/>
      <c r="J56" s="209">
        <f>I56*$B$2</f>
        <v/>
      </c>
      <c r="K56" s="210">
        <f t="array" ref="K56">IFERROR(I56*INDEX('PORTIFÓLIO'!$S$4:$S$433,MATCH($C56,'PORTIFÓLIO'!$C$4:$C$433,0)),"")</f>
        <v/>
      </c>
      <c r="L56" s="210">
        <f t="array" ref="L56">IFERROR(J56*INDEX('PORTIFÓLIO'!$S$4:$S$433,MATCH($C56,'PORTIFÓLIO'!$C$4:$C$433,0)),"")</f>
        <v/>
      </c>
      <c r="M56" s="177" t="n"/>
      <c r="N56" s="177" t="n"/>
      <c r="O56" s="177" t="n"/>
      <c r="P56" s="177" t="n"/>
      <c r="Q56" s="177" t="n"/>
      <c r="R56" s="177" t="n"/>
      <c r="S56" s="177" t="n"/>
      <c r="T56" s="177" t="n"/>
      <c r="U56" s="177" t="n"/>
      <c r="V56" s="177" t="n"/>
      <c r="W56" s="177" t="n"/>
    </row>
    <row r="57" outlineLevel="1" ht="15.75" customHeight="1" s="297">
      <c r="A57" s="190" t="n"/>
      <c r="B57" s="204" t="n"/>
      <c r="C57" s="191" t="n"/>
      <c r="D57" s="205">
        <f>IFERROR(VLOOKUP($C57,'PORTIFÓLIO'!C:V,2,0),"")</f>
        <v/>
      </c>
      <c r="E57" s="190">
        <f>IFERROR(VLOOKUP($C57,'PORTIFÓLIO'!C:V,3,0),"")</f>
        <v/>
      </c>
      <c r="F57" s="190">
        <f>IFERROR(VLOOKUP($C57,'PORTIFÓLIO'!C:V,4,0),"")</f>
        <v/>
      </c>
      <c r="G57" s="206">
        <f>IFERROR(VLOOKUP($C57,'PORTIFÓLIO'!C:V,5,0),"")</f>
        <v/>
      </c>
      <c r="H57" s="247">
        <f t="array" ref="H57">IFERROR(INDEX('PORTIFÓLIO'!$H$4:$H$433,MATCH($C57,'PORTIFÓLIO'!$C$4:$C$433,0)),"")</f>
        <v/>
      </c>
      <c r="I57" s="257" t="n"/>
      <c r="J57" s="209">
        <f>I57*$B$2</f>
        <v/>
      </c>
      <c r="K57" s="210">
        <f t="array" ref="K57">IFERROR(I57*INDEX('PORTIFÓLIO'!$S$4:$S$433,MATCH($C57,'PORTIFÓLIO'!$C$4:$C$433,0)),"")</f>
        <v/>
      </c>
      <c r="L57" s="210">
        <f t="array" ref="L57">IFERROR(J57*INDEX('PORTIFÓLIO'!$S$4:$S$433,MATCH($C57,'PORTIFÓLIO'!$C$4:$C$433,0)),"")</f>
        <v/>
      </c>
      <c r="M57" s="177" t="n"/>
      <c r="N57" s="177" t="n"/>
      <c r="O57" s="177" t="n"/>
      <c r="P57" s="177" t="n"/>
      <c r="Q57" s="177" t="n"/>
      <c r="R57" s="177" t="n"/>
      <c r="S57" s="177" t="n"/>
      <c r="T57" s="177" t="n"/>
      <c r="U57" s="177" t="n"/>
      <c r="V57" s="177" t="n"/>
      <c r="W57" s="177" t="n"/>
    </row>
    <row r="58" outlineLevel="1" ht="15.75" customHeight="1" s="297">
      <c r="A58" s="190" t="n"/>
      <c r="B58" s="204" t="n"/>
      <c r="C58" s="191" t="n"/>
      <c r="D58" s="205">
        <f>IFERROR(VLOOKUP($C58,'PORTIFÓLIO'!C:V,2,0),"")</f>
        <v/>
      </c>
      <c r="E58" s="190">
        <f>IFERROR(VLOOKUP($C58,'PORTIFÓLIO'!C:V,3,0),"")</f>
        <v/>
      </c>
      <c r="F58" s="190">
        <f>IFERROR(VLOOKUP($C58,'PORTIFÓLIO'!C:V,4,0),"")</f>
        <v/>
      </c>
      <c r="G58" s="206">
        <f>IFERROR(VLOOKUP($C58,'PORTIFÓLIO'!C:V,5,0),"")</f>
        <v/>
      </c>
      <c r="H58" s="247">
        <f t="array" ref="H58">IFERROR(INDEX('PORTIFÓLIO'!$H$4:$H$433,MATCH($C58,'PORTIFÓLIO'!$C$4:$C$433,0)),"")</f>
        <v/>
      </c>
      <c r="I58" s="257" t="n"/>
      <c r="J58" s="209">
        <f>I58*$B$2</f>
        <v/>
      </c>
      <c r="K58" s="210">
        <f t="array" ref="K58">IFERROR(I58*INDEX('PORTIFÓLIO'!$S$4:$S$433,MATCH($C58,'PORTIFÓLIO'!$C$4:$C$433,0)),"")</f>
        <v/>
      </c>
      <c r="L58" s="210">
        <f t="array" ref="L58">IFERROR(J58*INDEX('PORTIFÓLIO'!$S$4:$S$433,MATCH($C58,'PORTIFÓLIO'!$C$4:$C$433,0)),"")</f>
        <v/>
      </c>
      <c r="M58" s="177" t="n"/>
      <c r="N58" s="177" t="n"/>
      <c r="O58" s="177" t="n"/>
      <c r="P58" s="177" t="n"/>
      <c r="Q58" s="177" t="n"/>
      <c r="R58" s="177" t="n"/>
      <c r="S58" s="177" t="n"/>
      <c r="T58" s="177" t="n"/>
      <c r="U58" s="177" t="n"/>
      <c r="V58" s="177" t="n"/>
      <c r="W58" s="177" t="n"/>
    </row>
    <row r="59" outlineLevel="1" ht="15.75" customHeight="1" s="297">
      <c r="A59" s="190" t="n"/>
      <c r="B59" s="204" t="n"/>
      <c r="C59" s="191" t="n"/>
      <c r="D59" s="205">
        <f>IFERROR(VLOOKUP($C59,'PORTIFÓLIO'!C:V,2,0),"")</f>
        <v/>
      </c>
      <c r="E59" s="190">
        <f>IFERROR(VLOOKUP($C59,'PORTIFÓLIO'!C:V,3,0),"")</f>
        <v/>
      </c>
      <c r="F59" s="190">
        <f>IFERROR(VLOOKUP($C59,'PORTIFÓLIO'!C:V,4,0),"")</f>
        <v/>
      </c>
      <c r="G59" s="206">
        <f>IFERROR(VLOOKUP($C59,'PORTIFÓLIO'!C:V,5,0),"")</f>
        <v/>
      </c>
      <c r="H59" s="247">
        <f t="array" ref="H59">IFERROR(INDEX('PORTIFÓLIO'!$H$4:$H$433,MATCH($C59,'PORTIFÓLIO'!$C$4:$C$433,0)),"")</f>
        <v/>
      </c>
      <c r="I59" s="257" t="n"/>
      <c r="J59" s="209">
        <f>I59*$B$2</f>
        <v/>
      </c>
      <c r="K59" s="210">
        <f t="array" ref="K59">IFERROR(I59*INDEX('PORTIFÓLIO'!$S$4:$S$433,MATCH($C59,'PORTIFÓLIO'!$C$4:$C$433,0)),"")</f>
        <v/>
      </c>
      <c r="L59" s="210">
        <f t="array" ref="L59">IFERROR(J59*INDEX('PORTIFÓLIO'!$S$4:$S$433,MATCH($C59,'PORTIFÓLIO'!$C$4:$C$433,0)),"")</f>
        <v/>
      </c>
      <c r="M59" s="177" t="n"/>
      <c r="N59" s="177" t="n"/>
      <c r="O59" s="177" t="n"/>
      <c r="P59" s="177" t="n"/>
      <c r="Q59" s="177" t="n"/>
      <c r="R59" s="177" t="n"/>
      <c r="S59" s="177" t="n"/>
      <c r="T59" s="177" t="n"/>
      <c r="U59" s="177" t="n"/>
      <c r="V59" s="177" t="n"/>
      <c r="W59" s="177" t="n"/>
    </row>
    <row r="60" outlineLevel="1" ht="15.75" customHeight="1" s="297">
      <c r="A60" s="190" t="n"/>
      <c r="B60" s="204" t="n"/>
      <c r="C60" s="191" t="n"/>
      <c r="D60" s="205">
        <f>IFERROR(VLOOKUP($C60,'PORTIFÓLIO'!C:V,2,0),"")</f>
        <v/>
      </c>
      <c r="E60" s="190">
        <f>IFERROR(VLOOKUP($C60,'PORTIFÓLIO'!C:V,3,0),"")</f>
        <v/>
      </c>
      <c r="F60" s="190">
        <f>IFERROR(VLOOKUP($C60,'PORTIFÓLIO'!C:V,4,0),"")</f>
        <v/>
      </c>
      <c r="G60" s="206">
        <f>IFERROR(VLOOKUP($C60,'PORTIFÓLIO'!C:V,5,0),"")</f>
        <v/>
      </c>
      <c r="H60" s="247">
        <f t="array" ref="H60">IFERROR(INDEX('PORTIFÓLIO'!$H$4:$H$433,MATCH($C60,'PORTIFÓLIO'!$C$4:$C$433,0)),"")</f>
        <v/>
      </c>
      <c r="I60" s="257" t="n"/>
      <c r="J60" s="209">
        <f>I60*$B$2</f>
        <v/>
      </c>
      <c r="K60" s="210">
        <f t="array" ref="K60">IFERROR(I60*INDEX('PORTIFÓLIO'!$S$4:$S$433,MATCH($C60,'PORTIFÓLIO'!$C$4:$C$433,0)),"")</f>
        <v/>
      </c>
      <c r="L60" s="210">
        <f t="array" ref="L60">IFERROR(J60*INDEX('PORTIFÓLIO'!$S$4:$S$433,MATCH($C60,'PORTIFÓLIO'!$C$4:$C$433,0)),"")</f>
        <v/>
      </c>
      <c r="M60" s="177" t="n"/>
      <c r="N60" s="177" t="n"/>
      <c r="O60" s="177" t="n"/>
      <c r="P60" s="177" t="n"/>
      <c r="Q60" s="177" t="n"/>
      <c r="R60" s="177" t="n"/>
      <c r="S60" s="177" t="n"/>
      <c r="T60" s="177" t="n"/>
      <c r="U60" s="177" t="n"/>
      <c r="V60" s="177" t="n"/>
      <c r="W60" s="177" t="n"/>
    </row>
    <row r="61" outlineLevel="1" ht="15.75" customHeight="1" s="297">
      <c r="A61" s="190" t="n"/>
      <c r="B61" s="204" t="n"/>
      <c r="C61" s="191" t="n"/>
      <c r="D61" s="205">
        <f>IFERROR(VLOOKUP($C61,'PORTIFÓLIO'!C:V,2,0),"")</f>
        <v/>
      </c>
      <c r="E61" s="190">
        <f>IFERROR(VLOOKUP($C61,'PORTIFÓLIO'!C:V,3,0),"")</f>
        <v/>
      </c>
      <c r="F61" s="190">
        <f>IFERROR(VLOOKUP($C61,'PORTIFÓLIO'!C:V,4,0),"")</f>
        <v/>
      </c>
      <c r="G61" s="206">
        <f>IFERROR(VLOOKUP($C61,'PORTIFÓLIO'!C:V,5,0),"")</f>
        <v/>
      </c>
      <c r="H61" s="247">
        <f t="array" ref="H61">IFERROR(INDEX('PORTIFÓLIO'!$H$4:$H$433,MATCH($C61,'PORTIFÓLIO'!$C$4:$C$433,0)),"")</f>
        <v/>
      </c>
      <c r="I61" s="257" t="n"/>
      <c r="J61" s="209">
        <f>I61*$B$2</f>
        <v/>
      </c>
      <c r="K61" s="210">
        <f t="array" ref="K61">IFERROR(I61*INDEX('PORTIFÓLIO'!$S$4:$S$433,MATCH($C61,'PORTIFÓLIO'!$C$4:$C$433,0)),"")</f>
        <v/>
      </c>
      <c r="L61" s="210">
        <f t="array" ref="L61">IFERROR(J61*INDEX('PORTIFÓLIO'!$S$4:$S$433,MATCH($C61,'PORTIFÓLIO'!$C$4:$C$433,0)),"")</f>
        <v/>
      </c>
      <c r="M61" s="177" t="n"/>
      <c r="N61" s="177" t="n"/>
      <c r="O61" s="177" t="n"/>
      <c r="P61" s="177" t="n"/>
      <c r="Q61" s="177" t="n"/>
      <c r="R61" s="177" t="n"/>
      <c r="S61" s="177" t="n"/>
      <c r="T61" s="177" t="n"/>
      <c r="U61" s="177" t="n"/>
      <c r="V61" s="177" t="n"/>
      <c r="W61" s="177" t="n"/>
    </row>
    <row r="62" outlineLevel="1" ht="15.75" customHeight="1" s="297">
      <c r="A62" s="190" t="n"/>
      <c r="B62" s="204" t="n"/>
      <c r="C62" s="191" t="n"/>
      <c r="D62" s="205">
        <f>IFERROR(VLOOKUP($C62,'PORTIFÓLIO'!C:V,2,0),"")</f>
        <v/>
      </c>
      <c r="E62" s="190">
        <f>IFERROR(VLOOKUP($C62,'PORTIFÓLIO'!C:V,3,0),"")</f>
        <v/>
      </c>
      <c r="F62" s="190">
        <f>IFERROR(VLOOKUP($C62,'PORTIFÓLIO'!C:V,4,0),"")</f>
        <v/>
      </c>
      <c r="G62" s="206">
        <f>IFERROR(VLOOKUP($C62,'PORTIFÓLIO'!C:V,5,0),"")</f>
        <v/>
      </c>
      <c r="H62" s="247">
        <f t="array" ref="H62">IFERROR(INDEX('PORTIFÓLIO'!$H$4:$H$433,MATCH($C62,'PORTIFÓLIO'!$C$4:$C$433,0)),"")</f>
        <v/>
      </c>
      <c r="I62" s="257" t="n"/>
      <c r="J62" s="209">
        <f>I62*$B$2</f>
        <v/>
      </c>
      <c r="K62" s="210">
        <f t="array" ref="K62">IFERROR(I62*INDEX('PORTIFÓLIO'!$S$4:$S$433,MATCH($C62,'PORTIFÓLIO'!$C$4:$C$433,0)),"")</f>
        <v/>
      </c>
      <c r="L62" s="210">
        <f t="array" ref="L62">IFERROR(J62*INDEX('PORTIFÓLIO'!$S$4:$S$433,MATCH($C62,'PORTIFÓLIO'!$C$4:$C$433,0)),"")</f>
        <v/>
      </c>
      <c r="M62" s="177" t="n"/>
      <c r="N62" s="177" t="n"/>
      <c r="O62" s="177" t="n"/>
      <c r="P62" s="177" t="n"/>
      <c r="Q62" s="177" t="n"/>
      <c r="R62" s="177" t="n"/>
      <c r="S62" s="177" t="n"/>
      <c r="T62" s="177" t="n"/>
      <c r="U62" s="177" t="n"/>
      <c r="V62" s="177" t="n"/>
      <c r="W62" s="177" t="n"/>
    </row>
    <row r="63" ht="15.75" customHeight="1" s="297">
      <c r="A63" s="221" t="inlineStr">
        <is>
          <t>OPERAÇÃO 4</t>
        </is>
      </c>
      <c r="B63" s="197" t="n"/>
      <c r="C63" s="196" t="n"/>
      <c r="D63" s="198" t="n"/>
      <c r="E63" s="196" t="n"/>
      <c r="F63" s="196" t="n"/>
      <c r="G63" s="199" t="n"/>
      <c r="H63" s="199" t="n"/>
      <c r="I63" s="252" t="n"/>
      <c r="J63" s="202" t="n"/>
      <c r="K63" s="203">
        <f>SUBTOTAL(9,K64:K76)</f>
        <v/>
      </c>
      <c r="L63" s="203">
        <f>SUBTOTAL(9,L64:L76)</f>
        <v/>
      </c>
      <c r="M63" s="177" t="n"/>
      <c r="N63" s="177" t="n"/>
      <c r="O63" s="177" t="n"/>
      <c r="P63" s="177" t="n"/>
      <c r="Q63" s="177" t="n"/>
      <c r="R63" s="177" t="n"/>
      <c r="S63" s="177" t="n"/>
      <c r="T63" s="177" t="n"/>
      <c r="U63" s="177" t="n"/>
      <c r="V63" s="177" t="n"/>
      <c r="W63" s="177" t="n"/>
    </row>
    <row r="64" outlineLevel="1" ht="15.75" customHeight="1" s="297">
      <c r="A64" s="191" t="n"/>
      <c r="B64" s="204" t="inlineStr">
        <is>
          <t>SEMENTE</t>
        </is>
      </c>
      <c r="C64" s="191" t="inlineStr">
        <is>
          <t>CORDIUS C2795 CE 7.9</t>
        </is>
      </c>
      <c r="D64" s="205">
        <f>IFERROR(VLOOKUP($C64,'PORTIFÓLIO'!C:V,2,0),"")</f>
        <v/>
      </c>
      <c r="E64" s="190">
        <f>IFERROR(VLOOKUP($C64,'PORTIFÓLIO'!C:V,3,0),"")</f>
        <v/>
      </c>
      <c r="F64" s="190">
        <f>IFERROR(VLOOKUP($C64,'PORTIFÓLIO'!C:V,4,0),"")</f>
        <v/>
      </c>
      <c r="G64" s="223">
        <f>IFERROR(VLOOKUP($C64,'PORTIFÓLIO'!C:V,5,0),"")</f>
        <v/>
      </c>
      <c r="H64" s="247">
        <f t="array" ref="H64">IFERROR(INDEX('PORTIFÓLIO'!$H$4:$H$433,MATCH($C64,'PORTIFÓLIO'!$C$4:$C$433,0)),"")</f>
        <v/>
      </c>
      <c r="I64" s="253" t="n">
        <v>0.04</v>
      </c>
      <c r="J64" s="209">
        <f>I64*$B$2</f>
        <v/>
      </c>
      <c r="K64" s="210">
        <f t="array" ref="K64">IFERROR(I64*INDEX('PORTIFÓLIO'!$S$4:$S$433,MATCH($C64,'PORTIFÓLIO'!$C$4:$C$433,0)),"")</f>
        <v/>
      </c>
      <c r="L64" s="210">
        <f t="array" ref="L64">IFERROR(J64*INDEX('PORTIFÓLIO'!$S$4:$S$433,MATCH($C64,'PORTIFÓLIO'!$C$4:$C$433,0)),"")</f>
        <v/>
      </c>
      <c r="M64" s="177" t="n"/>
      <c r="N64" s="177" t="n"/>
      <c r="O64" s="177" t="n"/>
      <c r="P64" s="177" t="n"/>
      <c r="Q64" s="177" t="n"/>
      <c r="R64" s="177" t="n"/>
      <c r="S64" s="177" t="n"/>
      <c r="T64" s="177" t="n"/>
      <c r="U64" s="177" t="n"/>
      <c r="V64" s="177" t="n"/>
      <c r="W64" s="177" t="n"/>
    </row>
    <row r="65" outlineLevel="1" ht="15.75" customHeight="1" s="297">
      <c r="A65" s="190" t="n"/>
      <c r="B65" s="204" t="inlineStr">
        <is>
          <t>TS</t>
        </is>
      </c>
      <c r="C65" s="191" t="inlineStr">
        <is>
          <t>CRUISER ADVANCED</t>
        </is>
      </c>
      <c r="D65" s="205">
        <f>IFERROR(VLOOKUP($C65,'PORTIFÓLIO'!C:V,2,0),"")</f>
        <v/>
      </c>
      <c r="E65" s="190">
        <f>IFERROR(VLOOKUP($C65,'PORTIFÓLIO'!C:V,3,0),"")</f>
        <v/>
      </c>
      <c r="F65" s="190">
        <f>IFERROR(VLOOKUP($C65,'PORTIFÓLIO'!C:V,4,0),"")</f>
        <v/>
      </c>
      <c r="G65" s="223">
        <f>IFERROR(VLOOKUP($C65,'PORTIFÓLIO'!C:V,5,0),"")</f>
        <v/>
      </c>
      <c r="H65" s="247">
        <f t="array" ref="H65">IFERROR(INDEX('PORTIFÓLIO'!$H$4:$H$433,MATCH($C65,'PORTIFÓLIO'!$C$4:$C$433,0)),"")</f>
        <v/>
      </c>
      <c r="I65" s="253" t="n">
        <v>0.05</v>
      </c>
      <c r="J65" s="209">
        <f>I65*$B$2</f>
        <v/>
      </c>
      <c r="K65" s="210">
        <f t="array" ref="K65">IFERROR(I65*INDEX('PORTIFÓLIO'!$S$4:$S$433,MATCH($C65,'PORTIFÓLIO'!$C$4:$C$433,0)),"")</f>
        <v/>
      </c>
      <c r="L65" s="210">
        <f t="array" ref="L65">IFERROR(J65*INDEX('PORTIFÓLIO'!$S$4:$S$433,MATCH($C65,'PORTIFÓLIO'!$C$4:$C$433,0)),"")</f>
        <v/>
      </c>
      <c r="M65" s="177" t="n"/>
      <c r="N65" s="177" t="n"/>
      <c r="O65" s="177" t="n"/>
      <c r="P65" s="177" t="n"/>
      <c r="Q65" s="177" t="n"/>
      <c r="R65" s="177" t="n"/>
      <c r="S65" s="177" t="n"/>
      <c r="T65" s="177" t="n"/>
      <c r="U65" s="177" t="n"/>
      <c r="V65" s="177" t="n"/>
      <c r="W65" s="177" t="n"/>
    </row>
    <row r="66" outlineLevel="1" ht="15.75" customHeight="1" s="297">
      <c r="A66" s="190" t="n"/>
      <c r="B66" s="204" t="inlineStr">
        <is>
          <t>TS</t>
        </is>
      </c>
      <c r="C66" s="191" t="inlineStr">
        <is>
          <t>SPECTRO</t>
        </is>
      </c>
      <c r="D66" s="205">
        <f>IFERROR(VLOOKUP($C66,'PORTIFÓLIO'!C:V,2,0),"")</f>
        <v/>
      </c>
      <c r="E66" s="190">
        <f>IFERROR(VLOOKUP($C66,'PORTIFÓLIO'!C:V,3,0),"")</f>
        <v/>
      </c>
      <c r="F66" s="190">
        <f>IFERROR(VLOOKUP($C66,'PORTIFÓLIO'!C:V,4,0),"")</f>
        <v/>
      </c>
      <c r="G66" s="223">
        <f>IFERROR(VLOOKUP($C66,'PORTIFÓLIO'!C:V,5,0),"")</f>
        <v/>
      </c>
      <c r="H66" s="247">
        <f t="array" ref="H66">IFERROR(INDEX('PORTIFÓLIO'!$H$4:$H$433,MATCH($C66,'PORTIFÓLIO'!$C$4:$C$433,0)),"")</f>
        <v/>
      </c>
      <c r="I66" s="253" t="n">
        <v>0.02</v>
      </c>
      <c r="J66" s="209">
        <f>I66*$B$2</f>
        <v/>
      </c>
      <c r="K66" s="210">
        <f t="array" ref="K66">IFERROR(I66*INDEX('PORTIFÓLIO'!$S$4:$S$433,MATCH($C66,'PORTIFÓLIO'!$C$4:$C$433,0)),"")</f>
        <v/>
      </c>
      <c r="L66" s="210">
        <f t="array" ref="L66">IFERROR(J66*INDEX('PORTIFÓLIO'!$S$4:$S$433,MATCH($C66,'PORTIFÓLIO'!$C$4:$C$433,0)),"")</f>
        <v/>
      </c>
      <c r="M66" s="177" t="n"/>
      <c r="N66" s="177" t="n"/>
      <c r="O66" s="177" t="n"/>
      <c r="P66" s="177" t="n"/>
      <c r="Q66" s="177" t="n"/>
      <c r="R66" s="177" t="n"/>
      <c r="S66" s="177" t="n"/>
      <c r="T66" s="177" t="n"/>
      <c r="U66" s="177" t="n"/>
      <c r="V66" s="177" t="n"/>
      <c r="W66" s="177" t="n"/>
    </row>
    <row r="67" outlineLevel="1" ht="15.75" customHeight="1" s="297">
      <c r="A67" s="190" t="n"/>
      <c r="B67" s="212" t="inlineStr">
        <is>
          <t>BIOLÓGICOS</t>
        </is>
      </c>
      <c r="C67" s="213" t="inlineStr">
        <is>
          <t>Bio ND</t>
        </is>
      </c>
      <c r="D67" s="205">
        <f>IFERROR(VLOOKUP($C67,'PORTIFÓLIO'!C:V,2,0),"")</f>
        <v/>
      </c>
      <c r="E67" s="190">
        <f>IFERROR(VLOOKUP($C67,'PORTIFÓLIO'!C:V,3,0),"")</f>
        <v/>
      </c>
      <c r="F67" s="190">
        <f>IFERROR(VLOOKUP($C67,'PORTIFÓLIO'!C:V,4,0),"")</f>
        <v/>
      </c>
      <c r="G67" s="223">
        <f>IFERROR(VLOOKUP($C67,'PORTIFÓLIO'!C:V,5,0),"")</f>
        <v/>
      </c>
      <c r="H67" s="247">
        <f t="array" ref="H67">IFERROR(INDEX('PORTIFÓLIO'!$H$4:$H$433,MATCH($C67,'PORTIFÓLIO'!$C$4:$C$433,0)),"")</f>
        <v/>
      </c>
      <c r="I67" s="253" t="n">
        <v>4</v>
      </c>
      <c r="J67" s="209">
        <f>I67*$B$2</f>
        <v/>
      </c>
      <c r="K67" s="210">
        <f t="array" ref="K67">IFERROR(I67*INDEX('PORTIFÓLIO'!$S$4:$S$433,MATCH($C67,'PORTIFÓLIO'!$C$4:$C$433,0)),"")</f>
        <v/>
      </c>
      <c r="L67" s="210">
        <f t="array" ref="L67">IFERROR(J67*INDEX('PORTIFÓLIO'!$S$4:$S$433,MATCH($C67,'PORTIFÓLIO'!$C$4:$C$433,0)),"")</f>
        <v/>
      </c>
      <c r="M67" s="177" t="n"/>
      <c r="N67" s="177" t="n"/>
      <c r="O67" s="177" t="n"/>
      <c r="P67" s="177" t="n"/>
      <c r="Q67" s="177" t="n"/>
      <c r="R67" s="177" t="n"/>
      <c r="S67" s="177" t="n"/>
      <c r="T67" s="177" t="n"/>
      <c r="U67" s="177" t="n"/>
      <c r="V67" s="177" t="n"/>
      <c r="W67" s="177" t="n"/>
    </row>
    <row r="68" outlineLevel="1" ht="15.75" customHeight="1" s="297">
      <c r="A68" s="190" t="n"/>
      <c r="B68" s="212" t="inlineStr">
        <is>
          <t>BIOLÓGICOS</t>
        </is>
      </c>
      <c r="C68" s="213" t="inlineStr">
        <is>
          <t>Bio Az</t>
        </is>
      </c>
      <c r="D68" s="205">
        <f>IFERROR(VLOOKUP($C68,'PORTIFÓLIO'!C:V,2,0),"")</f>
        <v/>
      </c>
      <c r="E68" s="190">
        <f>IFERROR(VLOOKUP($C68,'PORTIFÓLIO'!C:V,3,0),"")</f>
        <v/>
      </c>
      <c r="F68" s="190">
        <f>IFERROR(VLOOKUP($C68,'PORTIFÓLIO'!C:V,4,0),"")</f>
        <v/>
      </c>
      <c r="G68" s="223">
        <f>IFERROR(VLOOKUP($C68,'PORTIFÓLIO'!C:V,5,0),"")</f>
        <v/>
      </c>
      <c r="H68" s="247">
        <f t="array" ref="H68">IFERROR(INDEX('PORTIFÓLIO'!$H$4:$H$433,MATCH($C68,'PORTIFÓLIO'!$C$4:$C$433,0)),"")</f>
        <v/>
      </c>
      <c r="I68" s="253" t="n">
        <v>1</v>
      </c>
      <c r="J68" s="209">
        <f>I68*$B$2</f>
        <v/>
      </c>
      <c r="K68" s="210">
        <f t="array" ref="K68">IFERROR(I68*INDEX('PORTIFÓLIO'!$S$4:$S$433,MATCH($C68,'PORTIFÓLIO'!$C$4:$C$433,0)),"")</f>
        <v/>
      </c>
      <c r="L68" s="210">
        <f t="array" ref="L68">IFERROR(J68*INDEX('PORTIFÓLIO'!$S$4:$S$433,MATCH($C68,'PORTIFÓLIO'!$C$4:$C$433,0)),"")</f>
        <v/>
      </c>
      <c r="M68" s="177" t="n"/>
      <c r="N68" s="177" t="n"/>
      <c r="O68" s="177" t="n"/>
      <c r="P68" s="177" t="n"/>
      <c r="Q68" s="177" t="n"/>
      <c r="R68" s="177" t="n"/>
      <c r="S68" s="177" t="n"/>
      <c r="T68" s="177" t="n"/>
      <c r="U68" s="177" t="n"/>
      <c r="V68" s="177" t="n"/>
      <c r="W68" s="177" t="n"/>
    </row>
    <row r="69" outlineLevel="1" ht="15.75" customHeight="1" s="297">
      <c r="A69" s="190" t="n"/>
      <c r="B69" s="212" t="inlineStr">
        <is>
          <t>BIOLÓGICOS</t>
        </is>
      </c>
      <c r="C69" s="213" t="inlineStr">
        <is>
          <t>Bio Hidric</t>
        </is>
      </c>
      <c r="D69" s="205">
        <f>IFERROR(VLOOKUP($C69,'PORTIFÓLIO'!C:V,2,0),"")</f>
        <v/>
      </c>
      <c r="E69" s="190">
        <f>IFERROR(VLOOKUP($C69,'PORTIFÓLIO'!C:V,3,0),"")</f>
        <v/>
      </c>
      <c r="F69" s="190">
        <f>IFERROR(VLOOKUP($C69,'PORTIFÓLIO'!C:V,4,0),"")</f>
        <v/>
      </c>
      <c r="G69" s="223">
        <f>IFERROR(VLOOKUP($C69,'PORTIFÓLIO'!C:V,5,0),"")</f>
        <v/>
      </c>
      <c r="H69" s="247">
        <f t="array" ref="H69">IFERROR(INDEX('PORTIFÓLIO'!$H$4:$H$433,MATCH($C69,'PORTIFÓLIO'!$C$4:$C$433,0)),"")</f>
        <v/>
      </c>
      <c r="I69" s="253" t="n">
        <v>1</v>
      </c>
      <c r="J69" s="209">
        <f>I69*$B$2</f>
        <v/>
      </c>
      <c r="K69" s="210">
        <f t="array" ref="K69">IFERROR(I69*INDEX('PORTIFÓLIO'!$S$4:$S$433,MATCH($C69,'PORTIFÓLIO'!$C$4:$C$433,0)),"")</f>
        <v/>
      </c>
      <c r="L69" s="210">
        <f t="array" ref="L69">IFERROR(J69*INDEX('PORTIFÓLIO'!$S$4:$S$433,MATCH($C69,'PORTIFÓLIO'!$C$4:$C$433,0)),"")</f>
        <v/>
      </c>
      <c r="M69" s="177" t="n"/>
      <c r="N69" s="177" t="n"/>
      <c r="O69" s="177" t="n"/>
      <c r="P69" s="177" t="n"/>
      <c r="Q69" s="177" t="n"/>
      <c r="R69" s="177" t="n"/>
      <c r="S69" s="177" t="n"/>
      <c r="T69" s="177" t="n"/>
      <c r="U69" s="177" t="n"/>
      <c r="V69" s="177" t="n"/>
      <c r="W69" s="177" t="n"/>
    </row>
    <row r="70" outlineLevel="1" ht="15.75" customHeight="1" s="297">
      <c r="A70" s="190" t="n"/>
      <c r="B70" s="212" t="inlineStr">
        <is>
          <t>BIOLÓGICOS</t>
        </is>
      </c>
      <c r="C70" s="213" t="inlineStr">
        <is>
          <t>SoluBio Raiz Performance</t>
        </is>
      </c>
      <c r="D70" s="205">
        <f>IFERROR(VLOOKUP($C70,'PORTIFÓLIO'!C:V,2,0),"")</f>
        <v/>
      </c>
      <c r="E70" s="190">
        <f>IFERROR(VLOOKUP($C70,'PORTIFÓLIO'!C:V,3,0),"")</f>
        <v/>
      </c>
      <c r="F70" s="190">
        <f>IFERROR(VLOOKUP($C70,'PORTIFÓLIO'!C:V,4,0),"")</f>
        <v/>
      </c>
      <c r="G70" s="206">
        <f>IFERROR(VLOOKUP($C70,'PORTIFÓLIO'!C:V,5,0),"")</f>
        <v/>
      </c>
      <c r="H70" s="247">
        <f t="array" ref="H70">IFERROR(INDEX('PORTIFÓLIO'!$H$4:$H$433,MATCH($C70,'PORTIFÓLIO'!$C$4:$C$433,0)),"")</f>
        <v/>
      </c>
      <c r="I70" s="253" t="n">
        <v>1</v>
      </c>
      <c r="J70" s="209">
        <f>I70*$B$2</f>
        <v/>
      </c>
      <c r="K70" s="210">
        <f t="array" ref="K70">IFERROR(I70*INDEX('PORTIFÓLIO'!$S$4:$S$433,MATCH($C70,'PORTIFÓLIO'!$C$4:$C$433,0)),"")</f>
        <v/>
      </c>
      <c r="L70" s="210">
        <f t="array" ref="L70">IFERROR(J70*INDEX('PORTIFÓLIO'!$S$4:$S$433,MATCH($C70,'PORTIFÓLIO'!$C$4:$C$433,0)),"")</f>
        <v/>
      </c>
      <c r="M70" s="177" t="n"/>
      <c r="N70" s="177" t="n"/>
      <c r="O70" s="177" t="n"/>
      <c r="P70" s="177" t="n"/>
      <c r="Q70" s="177" t="n"/>
      <c r="R70" s="177" t="n"/>
      <c r="S70" s="177" t="n"/>
      <c r="T70" s="177" t="n"/>
      <c r="U70" s="177" t="n"/>
      <c r="V70" s="177" t="n"/>
      <c r="W70" s="177" t="n"/>
    </row>
    <row r="71" outlineLevel="1" ht="15.75" customHeight="1" s="297">
      <c r="A71" s="190" t="n"/>
      <c r="B71" s="212" t="inlineStr">
        <is>
          <t>NUTRIÇÃO</t>
        </is>
      </c>
      <c r="C71" s="213" t="inlineStr">
        <is>
          <t>Potenza NiCoMo</t>
        </is>
      </c>
      <c r="D71" s="205">
        <f>IFERROR(VLOOKUP($C71,'PORTIFÓLIO'!C:V,2,0),"")</f>
        <v/>
      </c>
      <c r="E71" s="190">
        <f>IFERROR(VLOOKUP($C71,'PORTIFÓLIO'!C:V,3,0),"")</f>
        <v/>
      </c>
      <c r="F71" s="190">
        <f>IFERROR(VLOOKUP($C71,'PORTIFÓLIO'!C:V,4,0),"")</f>
        <v/>
      </c>
      <c r="G71" s="223">
        <f>IFERROR(VLOOKUP($C71,'PORTIFÓLIO'!C:V,5,0),"")</f>
        <v/>
      </c>
      <c r="H71" s="247">
        <f t="array" ref="H71">IFERROR(INDEX('PORTIFÓLIO'!$H$4:$H$433,MATCH($C71,'PORTIFÓLIO'!$C$4:$C$433,0)),"")</f>
        <v/>
      </c>
      <c r="I71" s="253" t="n">
        <v>0.1</v>
      </c>
      <c r="J71" s="209">
        <f>I71*$B$2</f>
        <v/>
      </c>
      <c r="K71" s="210">
        <f t="array" ref="K71">IFERROR(I71*INDEX('PORTIFÓLIO'!$S$4:$S$433,MATCH($C71,'PORTIFÓLIO'!$C$4:$C$433,0)),"")</f>
        <v/>
      </c>
      <c r="L71" s="210">
        <f t="array" ref="L71">IFERROR(J71*INDEX('PORTIFÓLIO'!$S$4:$S$433,MATCH($C71,'PORTIFÓLIO'!$C$4:$C$433,0)),"")</f>
        <v/>
      </c>
      <c r="M71" s="177" t="n"/>
      <c r="N71" s="177" t="n"/>
      <c r="O71" s="177" t="n"/>
      <c r="P71" s="177" t="n"/>
      <c r="Q71" s="177" t="n"/>
      <c r="R71" s="177" t="n"/>
      <c r="S71" s="177" t="n"/>
      <c r="T71" s="177" t="n"/>
      <c r="U71" s="177" t="n"/>
      <c r="V71" s="177" t="n"/>
      <c r="W71" s="177" t="n"/>
    </row>
    <row r="72" outlineLevel="1" ht="15.75" customHeight="1" s="297">
      <c r="A72" s="190" t="n"/>
      <c r="B72" s="204" t="n"/>
      <c r="C72" s="191" t="n"/>
      <c r="D72" s="205">
        <f>IFERROR(VLOOKUP($C72,'PORTIFÓLIO'!C:V,2,0),"")</f>
        <v/>
      </c>
      <c r="E72" s="190">
        <f>IFERROR(VLOOKUP($C72,'PORTIFÓLIO'!C:V,3,0),"")</f>
        <v/>
      </c>
      <c r="F72" s="190">
        <f>IFERROR(VLOOKUP($C72,'PORTIFÓLIO'!C:V,4,0),"")</f>
        <v/>
      </c>
      <c r="G72" s="206">
        <f>IFERROR(VLOOKUP($C72,'PORTIFÓLIO'!C:V,5,0),"")</f>
        <v/>
      </c>
      <c r="H72" s="247">
        <f t="array" ref="H72">IFERROR(INDEX('PORTIFÓLIO'!$H$4:$H$433,MATCH($C72,'PORTIFÓLIO'!$C$4:$C$433,0)),"")</f>
        <v/>
      </c>
      <c r="I72" s="253" t="n"/>
      <c r="J72" s="209">
        <f>I72*$B$2</f>
        <v/>
      </c>
      <c r="K72" s="210">
        <f t="array" ref="K72">IFERROR(I72*INDEX('PORTIFÓLIO'!$S$4:$S$433,MATCH($C72,'PORTIFÓLIO'!$C$4:$C$433,0)),"")</f>
        <v/>
      </c>
      <c r="L72" s="210">
        <f t="array" ref="L72">IFERROR(J72*INDEX('PORTIFÓLIO'!$S$4:$S$433,MATCH($C72,'PORTIFÓLIO'!$C$4:$C$433,0)),"")</f>
        <v/>
      </c>
      <c r="M72" s="177" t="n"/>
      <c r="N72" s="177" t="n"/>
      <c r="O72" s="177" t="n"/>
      <c r="P72" s="177" t="n"/>
      <c r="Q72" s="177" t="n"/>
      <c r="R72" s="177" t="n"/>
      <c r="S72" s="177" t="n"/>
      <c r="T72" s="177" t="n"/>
      <c r="U72" s="177" t="n"/>
      <c r="V72" s="177" t="n"/>
      <c r="W72" s="177" t="n"/>
    </row>
    <row r="73" outlineLevel="1" ht="15.75" customHeight="1" s="297">
      <c r="A73" s="190" t="n"/>
      <c r="B73" s="204" t="n"/>
      <c r="C73" s="191" t="n"/>
      <c r="D73" s="205">
        <f>IFERROR(VLOOKUP($C73,'PORTIFÓLIO'!C:V,2,0),"")</f>
        <v/>
      </c>
      <c r="E73" s="190">
        <f>IFERROR(VLOOKUP($C73,'PORTIFÓLIO'!C:V,3,0),"")</f>
        <v/>
      </c>
      <c r="F73" s="190">
        <f>IFERROR(VLOOKUP($C73,'PORTIFÓLIO'!C:V,4,0),"")</f>
        <v/>
      </c>
      <c r="G73" s="206">
        <f>IFERROR(VLOOKUP($C73,'PORTIFÓLIO'!C:V,5,0),"")</f>
        <v/>
      </c>
      <c r="H73" s="247">
        <f t="array" ref="H73">IFERROR(INDEX('PORTIFÓLIO'!$H$4:$H$433,MATCH($C73,'PORTIFÓLIO'!$C$4:$C$433,0)),"")</f>
        <v/>
      </c>
      <c r="I73" s="257" t="n"/>
      <c r="J73" s="209">
        <f>I73*$B$2</f>
        <v/>
      </c>
      <c r="K73" s="210">
        <f t="array" ref="K73">IFERROR(I73*INDEX('PORTIFÓLIO'!$S$4:$S$433,MATCH($C73,'PORTIFÓLIO'!$C$4:$C$433,0)),"")</f>
        <v/>
      </c>
      <c r="L73" s="210">
        <f t="array" ref="L73">IFERROR(J73*INDEX('PORTIFÓLIO'!$S$4:$S$433,MATCH($C73,'PORTIFÓLIO'!$C$4:$C$433,0)),"")</f>
        <v/>
      </c>
      <c r="M73" s="177" t="n"/>
      <c r="N73" s="177" t="n"/>
      <c r="O73" s="177" t="n"/>
      <c r="P73" s="177" t="n"/>
      <c r="Q73" s="177" t="n"/>
      <c r="R73" s="177" t="n"/>
      <c r="S73" s="177" t="n"/>
      <c r="T73" s="177" t="n"/>
      <c r="U73" s="177" t="n"/>
      <c r="V73" s="177" t="n"/>
      <c r="W73" s="177" t="n"/>
    </row>
    <row r="74" outlineLevel="1" ht="15.75" customHeight="1" s="297">
      <c r="A74" s="190" t="n"/>
      <c r="B74" s="204" t="n"/>
      <c r="C74" s="191" t="n"/>
      <c r="D74" s="205">
        <f>IFERROR(VLOOKUP($C74,'PORTIFÓLIO'!C:V,2,0),"")</f>
        <v/>
      </c>
      <c r="E74" s="190">
        <f>IFERROR(VLOOKUP($C74,'PORTIFÓLIO'!C:V,3,0),"")</f>
        <v/>
      </c>
      <c r="F74" s="190">
        <f>IFERROR(VLOOKUP($C74,'PORTIFÓLIO'!C:V,4,0),"")</f>
        <v/>
      </c>
      <c r="G74" s="206">
        <f>IFERROR(VLOOKUP($C74,'PORTIFÓLIO'!C:V,5,0),"")</f>
        <v/>
      </c>
      <c r="H74" s="247">
        <f t="array" ref="H74">IFERROR(INDEX('PORTIFÓLIO'!$H$4:$H$433,MATCH($C74,'PORTIFÓLIO'!$C$4:$C$433,0)),"")</f>
        <v/>
      </c>
      <c r="I74" s="257" t="n"/>
      <c r="J74" s="209">
        <f>I74*$B$2</f>
        <v/>
      </c>
      <c r="K74" s="210">
        <f t="array" ref="K74">IFERROR(I74*INDEX('PORTIFÓLIO'!$S$4:$S$433,MATCH($C74,'PORTIFÓLIO'!$C$4:$C$433,0)),"")</f>
        <v/>
      </c>
      <c r="L74" s="210">
        <f t="array" ref="L74">IFERROR(J74*INDEX('PORTIFÓLIO'!$S$4:$S$433,MATCH($C74,'PORTIFÓLIO'!$C$4:$C$433,0)),"")</f>
        <v/>
      </c>
      <c r="M74" s="177" t="n"/>
      <c r="N74" s="177" t="n"/>
      <c r="O74" s="177" t="n"/>
      <c r="P74" s="177" t="n"/>
      <c r="Q74" s="177" t="n"/>
      <c r="R74" s="177" t="n"/>
      <c r="S74" s="177" t="n"/>
      <c r="T74" s="177" t="n"/>
      <c r="U74" s="177" t="n"/>
      <c r="V74" s="177" t="n"/>
      <c r="W74" s="177" t="n"/>
    </row>
    <row r="75" outlineLevel="1" ht="15.75" customHeight="1" s="297">
      <c r="A75" s="190" t="n"/>
      <c r="B75" s="204" t="n"/>
      <c r="C75" s="191" t="n"/>
      <c r="D75" s="205">
        <f>IFERROR(VLOOKUP($C75,'PORTIFÓLIO'!C:V,2,0),"")</f>
        <v/>
      </c>
      <c r="E75" s="190">
        <f>IFERROR(VLOOKUP($C75,'PORTIFÓLIO'!C:V,3,0),"")</f>
        <v/>
      </c>
      <c r="F75" s="190">
        <f>IFERROR(VLOOKUP($C75,'PORTIFÓLIO'!C:V,4,0),"")</f>
        <v/>
      </c>
      <c r="G75" s="206">
        <f>IFERROR(VLOOKUP($C75,'PORTIFÓLIO'!C:V,5,0),"")</f>
        <v/>
      </c>
      <c r="H75" s="247">
        <f t="array" ref="H75">IFERROR(INDEX('PORTIFÓLIO'!$H$4:$H$433,MATCH($C75,'PORTIFÓLIO'!$C$4:$C$433,0)),"")</f>
        <v/>
      </c>
      <c r="I75" s="257" t="n"/>
      <c r="J75" s="209">
        <f>I75*$B$2</f>
        <v/>
      </c>
      <c r="K75" s="210">
        <f t="array" ref="K75">IFERROR(I75*INDEX('PORTIFÓLIO'!$S$4:$S$433,MATCH($C75,'PORTIFÓLIO'!$C$4:$C$433,0)),"")</f>
        <v/>
      </c>
      <c r="L75" s="210">
        <f t="array" ref="L75">IFERROR(J75*INDEX('PORTIFÓLIO'!$S$4:$S$433,MATCH($C75,'PORTIFÓLIO'!$C$4:$C$433,0)),"")</f>
        <v/>
      </c>
      <c r="M75" s="177" t="n"/>
      <c r="N75" s="177" t="n"/>
      <c r="O75" s="177" t="n"/>
      <c r="P75" s="177" t="n"/>
      <c r="Q75" s="177" t="n"/>
      <c r="R75" s="177" t="n"/>
      <c r="S75" s="177" t="n"/>
      <c r="T75" s="177" t="n"/>
      <c r="U75" s="177" t="n"/>
      <c r="V75" s="177" t="n"/>
      <c r="W75" s="177" t="n"/>
    </row>
    <row r="76" outlineLevel="1" ht="15.75" customHeight="1" s="297">
      <c r="A76" s="190" t="n"/>
      <c r="B76" s="204" t="n"/>
      <c r="C76" s="191" t="n"/>
      <c r="D76" s="205">
        <f>IFERROR(VLOOKUP($C76,'PORTIFÓLIO'!C:V,2,0),"")</f>
        <v/>
      </c>
      <c r="E76" s="190">
        <f>IFERROR(VLOOKUP($C76,'PORTIFÓLIO'!C:V,3,0),"")</f>
        <v/>
      </c>
      <c r="F76" s="190">
        <f>IFERROR(VLOOKUP($C76,'PORTIFÓLIO'!C:V,4,0),"")</f>
        <v/>
      </c>
      <c r="G76" s="206">
        <f>IFERROR(VLOOKUP($C76,'PORTIFÓLIO'!C:V,5,0),"")</f>
        <v/>
      </c>
      <c r="H76" s="247">
        <f t="array" ref="H76">IFERROR(INDEX('PORTIFÓLIO'!$H$4:$H$433,MATCH($C76,'PORTIFÓLIO'!$C$4:$C$433,0)),"")</f>
        <v/>
      </c>
      <c r="I76" s="257" t="n"/>
      <c r="J76" s="209">
        <f>I76*$B$2</f>
        <v/>
      </c>
      <c r="K76" s="210">
        <f t="array" ref="K76">IFERROR(I76*INDEX('PORTIFÓLIO'!$S$4:$S$433,MATCH($C76,'PORTIFÓLIO'!$C$4:$C$433,0)),"")</f>
        <v/>
      </c>
      <c r="L76" s="210">
        <f t="array" ref="L76">IFERROR(J76*INDEX('PORTIFÓLIO'!$S$4:$S$433,MATCH($C76,'PORTIFÓLIO'!$C$4:$C$433,0)),"")</f>
        <v/>
      </c>
      <c r="M76" s="177" t="n"/>
      <c r="N76" s="177" t="n"/>
      <c r="O76" s="177" t="n"/>
      <c r="P76" s="177" t="n"/>
      <c r="Q76" s="177" t="n"/>
      <c r="R76" s="177" t="n"/>
      <c r="S76" s="177" t="n"/>
      <c r="T76" s="177" t="n"/>
      <c r="U76" s="177" t="n"/>
      <c r="V76" s="177" t="n"/>
      <c r="W76" s="177" t="n"/>
    </row>
    <row r="77" outlineLevel="1" ht="15.75" customHeight="1" s="297">
      <c r="A77" s="190" t="n"/>
      <c r="B77" s="204" t="n"/>
      <c r="C77" s="191" t="n"/>
      <c r="D77" s="205">
        <f>IFERROR(VLOOKUP($C77,'PORTIFÓLIO'!C:V,2,0),"")</f>
        <v/>
      </c>
      <c r="E77" s="190">
        <f>IFERROR(VLOOKUP($C77,'PORTIFÓLIO'!C:V,3,0),"")</f>
        <v/>
      </c>
      <c r="F77" s="190">
        <f>IFERROR(VLOOKUP($C77,'PORTIFÓLIO'!C:V,4,0),"")</f>
        <v/>
      </c>
      <c r="G77" s="206">
        <f>IFERROR(VLOOKUP($C77,'PORTIFÓLIO'!C:V,5,0),"")</f>
        <v/>
      </c>
      <c r="H77" s="247">
        <f t="array" ref="H77">IFERROR(INDEX('PORTIFÓLIO'!$H$4:$H$433,MATCH($C77,'PORTIFÓLIO'!$C$4:$C$433,0)),"")</f>
        <v/>
      </c>
      <c r="I77" s="257" t="n"/>
      <c r="J77" s="209">
        <f>I77*$B$2</f>
        <v/>
      </c>
      <c r="K77" s="210">
        <f t="array" ref="K77">IFERROR(I77*INDEX('PORTIFÓLIO'!$S$4:$S$433,MATCH($C77,'PORTIFÓLIO'!$C$4:$C$433,0)),"")</f>
        <v/>
      </c>
      <c r="L77" s="210">
        <f t="array" ref="L77">IFERROR(J77*INDEX('PORTIFÓLIO'!$S$4:$S$433,MATCH($C77,'PORTIFÓLIO'!$C$4:$C$433,0)),"")</f>
        <v/>
      </c>
      <c r="M77" s="177" t="n"/>
      <c r="N77" s="177" t="n"/>
      <c r="O77" s="177" t="n"/>
      <c r="P77" s="177" t="n"/>
      <c r="Q77" s="177" t="n"/>
      <c r="R77" s="177" t="n"/>
      <c r="S77" s="177" t="n"/>
      <c r="T77" s="177" t="n"/>
      <c r="U77" s="177" t="n"/>
      <c r="V77" s="177" t="n"/>
      <c r="W77" s="177" t="n"/>
    </row>
    <row r="78" outlineLevel="1" ht="15.75" customHeight="1" s="297">
      <c r="A78" s="190" t="n"/>
      <c r="B78" s="204" t="n"/>
      <c r="C78" s="191" t="n"/>
      <c r="D78" s="205">
        <f>IFERROR(VLOOKUP($C78,'PORTIFÓLIO'!C:V,2,0),"")</f>
        <v/>
      </c>
      <c r="E78" s="190">
        <f>IFERROR(VLOOKUP($C78,'PORTIFÓLIO'!C:V,3,0),"")</f>
        <v/>
      </c>
      <c r="F78" s="190">
        <f>IFERROR(VLOOKUP($C78,'PORTIFÓLIO'!C:V,4,0),"")</f>
        <v/>
      </c>
      <c r="G78" s="206">
        <f>IFERROR(VLOOKUP($C78,'PORTIFÓLIO'!C:V,5,0),"")</f>
        <v/>
      </c>
      <c r="H78" s="247">
        <f t="array" ref="H78">IFERROR(INDEX('PORTIFÓLIO'!$H$4:$H$433,MATCH($C78,'PORTIFÓLIO'!$C$4:$C$433,0)),"")</f>
        <v/>
      </c>
      <c r="I78" s="257" t="n"/>
      <c r="J78" s="209">
        <f>I78*$B$2</f>
        <v/>
      </c>
      <c r="K78" s="210">
        <f t="array" ref="K78">IFERROR(I78*INDEX('PORTIFÓLIO'!$S$4:$S$433,MATCH($C78,'PORTIFÓLIO'!$C$4:$C$433,0)),"")</f>
        <v/>
      </c>
      <c r="L78" s="210">
        <f t="array" ref="L78">IFERROR(J78*INDEX('PORTIFÓLIO'!$S$4:$S$433,MATCH($C78,'PORTIFÓLIO'!$C$4:$C$433,0)),"")</f>
        <v/>
      </c>
      <c r="M78" s="177" t="n"/>
      <c r="N78" s="177" t="n"/>
      <c r="O78" s="177" t="n"/>
      <c r="P78" s="177" t="n"/>
      <c r="Q78" s="177" t="n"/>
      <c r="R78" s="177" t="n"/>
      <c r="S78" s="177" t="n"/>
      <c r="T78" s="177" t="n"/>
      <c r="U78" s="177" t="n"/>
      <c r="V78" s="177" t="n"/>
      <c r="W78" s="177" t="n"/>
    </row>
    <row r="79" outlineLevel="1" ht="15.75" customHeight="1" s="297">
      <c r="A79" s="190" t="n"/>
      <c r="B79" s="204" t="n"/>
      <c r="C79" s="191" t="n"/>
      <c r="D79" s="205">
        <f>IFERROR(VLOOKUP($C79,'PORTIFÓLIO'!C:V,2,0),"")</f>
        <v/>
      </c>
      <c r="E79" s="190">
        <f>IFERROR(VLOOKUP($C79,'PORTIFÓLIO'!C:V,3,0),"")</f>
        <v/>
      </c>
      <c r="F79" s="190">
        <f>IFERROR(VLOOKUP($C79,'PORTIFÓLIO'!C:V,4,0),"")</f>
        <v/>
      </c>
      <c r="G79" s="206">
        <f>IFERROR(VLOOKUP($C79,'PORTIFÓLIO'!C:V,5,0),"")</f>
        <v/>
      </c>
      <c r="H79" s="247">
        <f t="array" ref="H79">IFERROR(INDEX('PORTIFÓLIO'!$H$4:$H$433,MATCH($C79,'PORTIFÓLIO'!$C$4:$C$433,0)),"")</f>
        <v/>
      </c>
      <c r="I79" s="257" t="n"/>
      <c r="J79" s="209">
        <f>I79*$B$2</f>
        <v/>
      </c>
      <c r="K79" s="210">
        <f t="array" ref="K79">IFERROR(I79*INDEX('PORTIFÓLIO'!$S$4:$S$433,MATCH($C79,'PORTIFÓLIO'!$C$4:$C$433,0)),"")</f>
        <v/>
      </c>
      <c r="L79" s="210">
        <f t="array" ref="L79">IFERROR(J79*INDEX('PORTIFÓLIO'!$S$4:$S$433,MATCH($C79,'PORTIFÓLIO'!$C$4:$C$433,0)),"")</f>
        <v/>
      </c>
      <c r="M79" s="177" t="n"/>
      <c r="N79" s="177" t="n"/>
      <c r="O79" s="177" t="n"/>
      <c r="P79" s="177" t="n"/>
      <c r="Q79" s="177" t="n"/>
      <c r="R79" s="177" t="n"/>
      <c r="S79" s="177" t="n"/>
      <c r="T79" s="177" t="n"/>
      <c r="U79" s="177" t="n"/>
      <c r="V79" s="177" t="n"/>
      <c r="W79" s="177" t="n"/>
    </row>
    <row r="80" outlineLevel="1" ht="15.75" customHeight="1" s="297">
      <c r="A80" s="190" t="n"/>
      <c r="B80" s="204" t="n"/>
      <c r="C80" s="191" t="n"/>
      <c r="D80" s="205">
        <f>IFERROR(VLOOKUP($C80,'PORTIFÓLIO'!C:V,2,0),"")</f>
        <v/>
      </c>
      <c r="E80" s="190">
        <f>IFERROR(VLOOKUP($C80,'PORTIFÓLIO'!C:V,3,0),"")</f>
        <v/>
      </c>
      <c r="F80" s="190">
        <f>IFERROR(VLOOKUP($C80,'PORTIFÓLIO'!C:V,4,0),"")</f>
        <v/>
      </c>
      <c r="G80" s="206">
        <f>IFERROR(VLOOKUP($C80,'PORTIFÓLIO'!C:V,5,0),"")</f>
        <v/>
      </c>
      <c r="H80" s="247">
        <f t="array" ref="H80">IFERROR(INDEX('PORTIFÓLIO'!$H$4:$H$433,MATCH($C80,'PORTIFÓLIO'!$C$4:$C$433,0)),"")</f>
        <v/>
      </c>
      <c r="I80" s="257" t="n"/>
      <c r="J80" s="209">
        <f>I80*$B$2</f>
        <v/>
      </c>
      <c r="K80" s="210">
        <f t="array" ref="K80">IFERROR(I80*INDEX('PORTIFÓLIO'!$S$4:$S$433,MATCH($C80,'PORTIFÓLIO'!$C$4:$C$433,0)),"")</f>
        <v/>
      </c>
      <c r="L80" s="210">
        <f t="array" ref="L80">IFERROR(J80*INDEX('PORTIFÓLIO'!$S$4:$S$433,MATCH($C80,'PORTIFÓLIO'!$C$4:$C$433,0)),"")</f>
        <v/>
      </c>
      <c r="M80" s="177" t="n"/>
      <c r="N80" s="177" t="n"/>
      <c r="O80" s="177" t="n"/>
      <c r="P80" s="177" t="n"/>
      <c r="Q80" s="177" t="n"/>
      <c r="R80" s="177" t="n"/>
      <c r="S80" s="177" t="n"/>
      <c r="T80" s="177" t="n"/>
      <c r="U80" s="177" t="n"/>
      <c r="V80" s="177" t="n"/>
      <c r="W80" s="177" t="n"/>
    </row>
    <row r="81" ht="15.75" customHeight="1" s="297">
      <c r="A81" s="221" t="inlineStr">
        <is>
          <t>OPERAÇÃO 5</t>
        </is>
      </c>
      <c r="B81" s="197" t="n"/>
      <c r="C81" s="196" t="n"/>
      <c r="D81" s="198" t="inlineStr">
        <is>
          <t>-</t>
        </is>
      </c>
      <c r="E81" s="196" t="n"/>
      <c r="F81" s="196" t="n"/>
      <c r="G81" s="199" t="n"/>
      <c r="H81" s="199" t="n"/>
      <c r="I81" s="252" t="n"/>
      <c r="J81" s="202" t="n"/>
      <c r="K81" s="203">
        <f>SUBTOTAL(9,K82:K95)</f>
        <v/>
      </c>
      <c r="L81" s="203">
        <f>SUBTOTAL(9,L82:L95)</f>
        <v/>
      </c>
      <c r="M81" s="177" t="n"/>
      <c r="N81" s="177" t="n"/>
      <c r="O81" s="177" t="n"/>
      <c r="P81" s="177" t="n"/>
      <c r="Q81" s="177" t="n"/>
      <c r="R81" s="177" t="n"/>
      <c r="S81" s="177" t="n"/>
      <c r="T81" s="177" t="n"/>
      <c r="U81" s="177" t="n"/>
      <c r="V81" s="177" t="n"/>
      <c r="W81" s="177" t="n"/>
    </row>
    <row r="82" outlineLevel="1" ht="15.75" customHeight="1" s="297">
      <c r="A82" s="191" t="n"/>
      <c r="B82" s="204" t="inlineStr">
        <is>
          <t>HERBICIDA</t>
        </is>
      </c>
      <c r="C82" s="191" t="inlineStr">
        <is>
          <t>ROUNDUP WG</t>
        </is>
      </c>
      <c r="D82" s="205">
        <f>IFERROR(VLOOKUP($C82,'PORTIFÓLIO'!C:V,2,0),"")</f>
        <v/>
      </c>
      <c r="E82" s="190">
        <f>IFERROR(VLOOKUP($C82,'PORTIFÓLIO'!C:V,3,0),"")</f>
        <v/>
      </c>
      <c r="F82" s="190">
        <f>IFERROR(VLOOKUP($C82,'PORTIFÓLIO'!C:V,4,0),"")</f>
        <v/>
      </c>
      <c r="G82" s="223">
        <f>IFERROR(VLOOKUP($C82,'PORTIFÓLIO'!C:V,5,0),"")</f>
        <v/>
      </c>
      <c r="H82" s="247">
        <f t="array" ref="H82">IFERROR(INDEX('PORTIFÓLIO'!$H$4:$H$433,MATCH($C82,'PORTIFÓLIO'!$C$4:$C$433,0)),"")</f>
        <v/>
      </c>
      <c r="I82" s="253" t="n">
        <v>2</v>
      </c>
      <c r="J82" s="209">
        <f>I82*$B$2</f>
        <v/>
      </c>
      <c r="K82" s="210">
        <f t="array" ref="K82">IFERROR(I82*INDEX('PORTIFÓLIO'!$S$4:$S$433,MATCH($C82,'PORTIFÓLIO'!$C$4:$C$433,0)),"")</f>
        <v/>
      </c>
      <c r="L82" s="210">
        <f t="array" ref="L82">IFERROR(J82*INDEX('PORTIFÓLIO'!$S$4:$S$433,MATCH($C82,'PORTIFÓLIO'!$C$4:$C$433,0)),"")</f>
        <v/>
      </c>
      <c r="M82" s="177" t="n"/>
      <c r="N82" s="177" t="n"/>
      <c r="O82" s="177" t="n"/>
      <c r="P82" s="177" t="n"/>
      <c r="Q82" s="177" t="n"/>
      <c r="R82" s="177" t="n"/>
      <c r="S82" s="177" t="n"/>
      <c r="T82" s="177" t="n"/>
      <c r="U82" s="177" t="n"/>
      <c r="V82" s="177" t="n"/>
      <c r="W82" s="177" t="n"/>
    </row>
    <row r="83" outlineLevel="1" ht="15.75" customHeight="1" s="297">
      <c r="A83" s="190" t="n"/>
      <c r="B83" s="204" t="inlineStr">
        <is>
          <t>HERBICIDA</t>
        </is>
      </c>
      <c r="C83" s="191" t="inlineStr">
        <is>
          <t>CLETODIM 240 EC BRILLIANCE</t>
        </is>
      </c>
      <c r="D83" s="205">
        <f>IFERROR(VLOOKUP($C83,'PORTIFÓLIO'!C:V,2,0),"")</f>
        <v/>
      </c>
      <c r="E83" s="190">
        <f>IFERROR(VLOOKUP($C83,'PORTIFÓLIO'!C:V,3,0),"")</f>
        <v/>
      </c>
      <c r="F83" s="190">
        <f>IFERROR(VLOOKUP($C83,'PORTIFÓLIO'!C:V,4,0),"")</f>
        <v/>
      </c>
      <c r="G83" s="223">
        <f>IFERROR(VLOOKUP($C83,'PORTIFÓLIO'!C:V,5,0),"")</f>
        <v/>
      </c>
      <c r="H83" s="247">
        <f t="array" ref="H83">IFERROR(INDEX('PORTIFÓLIO'!$H$4:$H$433,MATCH($C83,'PORTIFÓLIO'!$C$4:$C$433,0)),"")</f>
        <v/>
      </c>
      <c r="I83" s="253" t="n">
        <v>0.4</v>
      </c>
      <c r="J83" s="209">
        <f>I83*$B$2</f>
        <v/>
      </c>
      <c r="K83" s="210">
        <f t="array" ref="K83">IFERROR(I83*INDEX('PORTIFÓLIO'!$S$4:$S$433,MATCH($C83,'PORTIFÓLIO'!$C$4:$C$433,0)),"")</f>
        <v/>
      </c>
      <c r="L83" s="210">
        <f t="array" ref="L83">IFERROR(J83*INDEX('PORTIFÓLIO'!$S$4:$S$433,MATCH($C83,'PORTIFÓLIO'!$C$4:$C$433,0)),"")</f>
        <v/>
      </c>
      <c r="M83" s="177" t="n"/>
      <c r="N83" s="177" t="n"/>
      <c r="O83" s="177" t="n"/>
      <c r="P83" s="177" t="n"/>
      <c r="Q83" s="177" t="n"/>
      <c r="R83" s="177" t="n"/>
      <c r="S83" s="177" t="n"/>
      <c r="T83" s="177" t="n"/>
      <c r="U83" s="177" t="n"/>
      <c r="V83" s="177" t="n"/>
      <c r="W83" s="177" t="n"/>
    </row>
    <row r="84" outlineLevel="1" ht="15.75" customHeight="1" s="297">
      <c r="A84" s="190" t="n"/>
      <c r="B84" s="204" t="inlineStr">
        <is>
          <t>FUNGICIDA</t>
        </is>
      </c>
      <c r="C84" s="191" t="inlineStr">
        <is>
          <t>CHARRUA 430 SC</t>
        </is>
      </c>
      <c r="D84" s="205">
        <f>IFERROR(VLOOKUP($C84,'PORTIFÓLIO'!C:V,2,0),"")</f>
        <v/>
      </c>
      <c r="E84" s="190">
        <f>IFERROR(VLOOKUP($C84,'PORTIFÓLIO'!C:V,3,0),"")</f>
        <v/>
      </c>
      <c r="F84" s="190">
        <f>IFERROR(VLOOKUP($C84,'PORTIFÓLIO'!C:V,4,0),"")</f>
        <v/>
      </c>
      <c r="G84" s="223">
        <f>IFERROR(VLOOKUP($C84,'PORTIFÓLIO'!C:V,5,0),"")</f>
        <v/>
      </c>
      <c r="H84" s="247">
        <f t="array" ref="H84">IFERROR(INDEX('PORTIFÓLIO'!$H$4:$H$433,MATCH($C84,'PORTIFÓLIO'!$C$4:$C$433,0)),"")</f>
        <v/>
      </c>
      <c r="I84" s="253" t="n">
        <v>0.4</v>
      </c>
      <c r="J84" s="209">
        <f>I84*$B$2</f>
        <v/>
      </c>
      <c r="K84" s="210">
        <f t="array" ref="K84">IFERROR(I84*INDEX('PORTIFÓLIO'!$S$4:$S$433,MATCH($C84,'PORTIFÓLIO'!$C$4:$C$433,0)),"")</f>
        <v/>
      </c>
      <c r="L84" s="210">
        <f t="array" ref="L84">IFERROR(J84*INDEX('PORTIFÓLIO'!$S$4:$S$433,MATCH($C84,'PORTIFÓLIO'!$C$4:$C$433,0)),"")</f>
        <v/>
      </c>
      <c r="M84" s="177" t="n"/>
      <c r="N84" s="177" t="n"/>
      <c r="O84" s="177" t="n"/>
      <c r="P84" s="177" t="n"/>
      <c r="Q84" s="177" t="n"/>
      <c r="R84" s="177" t="n"/>
      <c r="S84" s="177" t="n"/>
      <c r="T84" s="177" t="n"/>
      <c r="U84" s="177" t="n"/>
      <c r="V84" s="177" t="n"/>
      <c r="W84" s="177" t="n"/>
    </row>
    <row r="85" outlineLevel="1" ht="15.75" customHeight="1" s="297">
      <c r="A85" s="190" t="n"/>
      <c r="B85" s="204" t="inlineStr">
        <is>
          <t>ADJUVANTE</t>
        </is>
      </c>
      <c r="C85" s="191" t="inlineStr">
        <is>
          <t>AUREO</t>
        </is>
      </c>
      <c r="D85" s="205">
        <f>IFERROR(VLOOKUP($C85,'PORTIFÓLIO'!C:V,2,0),"")</f>
        <v/>
      </c>
      <c r="E85" s="190">
        <f>IFERROR(VLOOKUP($C85,'PORTIFÓLIO'!C:V,3,0),"")</f>
        <v/>
      </c>
      <c r="F85" s="190">
        <f>IFERROR(VLOOKUP($C85,'PORTIFÓLIO'!C:V,4,0),"")</f>
        <v/>
      </c>
      <c r="G85" s="223">
        <f>IFERROR(VLOOKUP($C85,'PORTIFÓLIO'!C:V,5,0),"")</f>
        <v/>
      </c>
      <c r="H85" s="247">
        <f t="array" ref="H85">IFERROR(INDEX('PORTIFÓLIO'!$H$4:$H$433,MATCH($C85,'PORTIFÓLIO'!$C$4:$C$433,0)),"")</f>
        <v/>
      </c>
      <c r="I85" s="253" t="n">
        <v>0.2</v>
      </c>
      <c r="J85" s="209">
        <f>I85*$B$2</f>
        <v/>
      </c>
      <c r="K85" s="210">
        <f t="array" ref="K85">IFERROR(I85*INDEX('PORTIFÓLIO'!$S$4:$S$433,MATCH($C85,'PORTIFÓLIO'!$C$4:$C$433,0)),"")</f>
        <v/>
      </c>
      <c r="L85" s="210">
        <f t="array" ref="L85">IFERROR(J85*INDEX('PORTIFÓLIO'!$S$4:$S$433,MATCH($C85,'PORTIFÓLIO'!$C$4:$C$433,0)),"")</f>
        <v/>
      </c>
      <c r="M85" s="177" t="n"/>
      <c r="N85" s="177" t="n"/>
      <c r="O85" s="177" t="n"/>
      <c r="P85" s="177" t="n"/>
      <c r="Q85" s="177" t="n"/>
      <c r="R85" s="177" t="n"/>
      <c r="S85" s="177" t="n"/>
      <c r="T85" s="177" t="n"/>
      <c r="U85" s="177" t="n"/>
      <c r="V85" s="177" t="n"/>
      <c r="W85" s="177" t="n"/>
    </row>
    <row r="86" outlineLevel="1" ht="15.75" customHeight="1" s="297">
      <c r="A86" s="190" t="n"/>
      <c r="B86" s="204" t="inlineStr">
        <is>
          <t>NUTRIÇÃO</t>
        </is>
      </c>
      <c r="C86" s="191" t="inlineStr">
        <is>
          <t>AMINOS Mn</t>
        </is>
      </c>
      <c r="D86" s="205">
        <f>IFERROR(VLOOKUP($C86,'PORTIFÓLIO'!C:V,2,0),"")</f>
        <v/>
      </c>
      <c r="E86" s="190">
        <f>IFERROR(VLOOKUP($C86,'PORTIFÓLIO'!C:V,3,0),"")</f>
        <v/>
      </c>
      <c r="F86" s="190">
        <f>IFERROR(VLOOKUP($C86,'PORTIFÓLIO'!C:V,4,0),"")</f>
        <v/>
      </c>
      <c r="G86" s="206">
        <f>IFERROR(VLOOKUP($C86,'PORTIFÓLIO'!C:V,5,0),"")</f>
        <v/>
      </c>
      <c r="H86" s="247">
        <f t="array" ref="H86">IFERROR(INDEX('PORTIFÓLIO'!$H$4:$H$433,MATCH($C86,'PORTIFÓLIO'!$C$4:$C$433,0)),"")</f>
        <v/>
      </c>
      <c r="I86" s="253" t="n">
        <v>0.5</v>
      </c>
      <c r="J86" s="209">
        <f>I86*$B$2</f>
        <v/>
      </c>
      <c r="K86" s="210">
        <f t="array" ref="K86">IFERROR(I86*INDEX('PORTIFÓLIO'!$S$4:$S$433,MATCH($C86,'PORTIFÓLIO'!$C$4:$C$433,0)),"")</f>
        <v/>
      </c>
      <c r="L86" s="210">
        <f t="array" ref="L86">IFERROR(J86*INDEX('PORTIFÓLIO'!$S$4:$S$433,MATCH($C86,'PORTIFÓLIO'!$C$4:$C$433,0)),"")</f>
        <v/>
      </c>
      <c r="M86" s="177" t="n"/>
      <c r="N86" s="177" t="n"/>
      <c r="O86" s="177" t="n"/>
      <c r="P86" s="177" t="n"/>
      <c r="Q86" s="177" t="n"/>
      <c r="R86" s="177" t="n"/>
      <c r="S86" s="177" t="n"/>
      <c r="T86" s="177" t="n"/>
      <c r="U86" s="177" t="n"/>
      <c r="V86" s="177" t="n"/>
      <c r="W86" s="177" t="n"/>
    </row>
    <row r="87" outlineLevel="1" ht="15.75" customHeight="1" s="297">
      <c r="A87" s="190" t="n"/>
      <c r="B87" s="204" t="n"/>
      <c r="C87" s="191" t="n"/>
      <c r="D87" s="205">
        <f>IFERROR(VLOOKUP($C87,'PORTIFÓLIO'!C:V,2,0),"")</f>
        <v/>
      </c>
      <c r="E87" s="190">
        <f>IFERROR(VLOOKUP($C87,'PORTIFÓLIO'!C:V,3,0),"")</f>
        <v/>
      </c>
      <c r="F87" s="190">
        <f>IFERROR(VLOOKUP($C87,'PORTIFÓLIO'!C:V,4,0),"")</f>
        <v/>
      </c>
      <c r="G87" s="206">
        <f>IFERROR(VLOOKUP($C87,'PORTIFÓLIO'!C:V,5,0),"")</f>
        <v/>
      </c>
      <c r="H87" s="247">
        <f t="array" ref="H87">IFERROR(INDEX('PORTIFÓLIO'!$H$4:$H$433,MATCH($C87,'PORTIFÓLIO'!$C$4:$C$433,0)),"")</f>
        <v/>
      </c>
      <c r="I87" s="257" t="n"/>
      <c r="J87" s="209">
        <f>I87*$B$2</f>
        <v/>
      </c>
      <c r="K87" s="210">
        <f t="array" ref="K87">IFERROR(I87*INDEX('PORTIFÓLIO'!$S$4:$S$433,MATCH($C87,'PORTIFÓLIO'!$C$4:$C$433,0)),"")</f>
        <v/>
      </c>
      <c r="L87" s="210">
        <f t="array" ref="L87">IFERROR(J87*INDEX('PORTIFÓLIO'!$S$4:$S$433,MATCH($C87,'PORTIFÓLIO'!$C$4:$C$433,0)),"")</f>
        <v/>
      </c>
      <c r="M87" s="177" t="n"/>
      <c r="N87" s="177" t="n"/>
      <c r="O87" s="177" t="n"/>
      <c r="P87" s="177" t="n"/>
      <c r="Q87" s="177" t="n"/>
      <c r="R87" s="177" t="n"/>
      <c r="S87" s="177" t="n"/>
      <c r="T87" s="177" t="n"/>
      <c r="U87" s="177" t="n"/>
      <c r="V87" s="177" t="n"/>
      <c r="W87" s="177" t="n"/>
    </row>
    <row r="88" outlineLevel="1" ht="15.75" customHeight="1" s="297">
      <c r="A88" s="190" t="n"/>
      <c r="B88" s="204" t="n"/>
      <c r="C88" s="191" t="n"/>
      <c r="D88" s="205">
        <f>IFERROR(VLOOKUP($C88,'PORTIFÓLIO'!C:V,2,0),"")</f>
        <v/>
      </c>
      <c r="E88" s="190">
        <f>IFERROR(VLOOKUP($C88,'PORTIFÓLIO'!C:V,3,0),"")</f>
        <v/>
      </c>
      <c r="F88" s="190">
        <f>IFERROR(VLOOKUP($C88,'PORTIFÓLIO'!C:V,4,0),"")</f>
        <v/>
      </c>
      <c r="G88" s="206">
        <f>IFERROR(VLOOKUP($C88,'PORTIFÓLIO'!C:V,5,0),"")</f>
        <v/>
      </c>
      <c r="H88" s="247">
        <f t="array" ref="H88">IFERROR(INDEX('PORTIFÓLIO'!$H$4:$H$433,MATCH($C88,'PORTIFÓLIO'!$C$4:$C$433,0)),"")</f>
        <v/>
      </c>
      <c r="I88" s="257" t="n"/>
      <c r="J88" s="209">
        <f>I88*$B$2</f>
        <v/>
      </c>
      <c r="K88" s="210">
        <f t="array" ref="K88">IFERROR(I88*INDEX('PORTIFÓLIO'!$S$4:$S$433,MATCH($C88,'PORTIFÓLIO'!$C$4:$C$433,0)),"")</f>
        <v/>
      </c>
      <c r="L88" s="210">
        <f t="array" ref="L88">IFERROR(J88*INDEX('PORTIFÓLIO'!$S$4:$S$433,MATCH($C88,'PORTIFÓLIO'!$C$4:$C$433,0)),"")</f>
        <v/>
      </c>
      <c r="M88" s="177" t="n"/>
      <c r="N88" s="177" t="n"/>
      <c r="O88" s="177" t="n"/>
      <c r="P88" s="177" t="n"/>
      <c r="Q88" s="177" t="n"/>
      <c r="R88" s="177" t="n"/>
      <c r="S88" s="177" t="n"/>
      <c r="T88" s="177" t="n"/>
      <c r="U88" s="177" t="n"/>
      <c r="V88" s="177" t="n"/>
      <c r="W88" s="177" t="n"/>
    </row>
    <row r="89" outlineLevel="1" ht="15.75" customHeight="1" s="297">
      <c r="A89" s="190" t="n"/>
      <c r="B89" s="204" t="n"/>
      <c r="C89" s="191" t="n"/>
      <c r="D89" s="205">
        <f>IFERROR(VLOOKUP($C89,'PORTIFÓLIO'!C:V,2,0),"")</f>
        <v/>
      </c>
      <c r="E89" s="190">
        <f>IFERROR(VLOOKUP($C89,'PORTIFÓLIO'!C:V,3,0),"")</f>
        <v/>
      </c>
      <c r="F89" s="190">
        <f>IFERROR(VLOOKUP($C89,'PORTIFÓLIO'!C:V,4,0),"")</f>
        <v/>
      </c>
      <c r="G89" s="206">
        <f>IFERROR(VLOOKUP($C89,'PORTIFÓLIO'!C:V,5,0),"")</f>
        <v/>
      </c>
      <c r="H89" s="247">
        <f t="array" ref="H89">IFERROR(INDEX('PORTIFÓLIO'!$H$4:$H$433,MATCH($C89,'PORTIFÓLIO'!$C$4:$C$433,0)),"")</f>
        <v/>
      </c>
      <c r="I89" s="257" t="n"/>
      <c r="J89" s="209">
        <f>I89*$B$2</f>
        <v/>
      </c>
      <c r="K89" s="210">
        <f t="array" ref="K89">IFERROR(I89*INDEX('PORTIFÓLIO'!$S$4:$S$433,MATCH($C89,'PORTIFÓLIO'!$C$4:$C$433,0)),"")</f>
        <v/>
      </c>
      <c r="L89" s="210">
        <f t="array" ref="L89">IFERROR(J89*INDEX('PORTIFÓLIO'!$S$4:$S$433,MATCH($C89,'PORTIFÓLIO'!$C$4:$C$433,0)),"")</f>
        <v/>
      </c>
      <c r="M89" s="177" t="n"/>
      <c r="N89" s="177" t="n"/>
      <c r="O89" s="177" t="n"/>
      <c r="P89" s="177" t="n"/>
      <c r="Q89" s="177" t="n"/>
      <c r="R89" s="177" t="n"/>
      <c r="S89" s="177" t="n"/>
      <c r="T89" s="177" t="n"/>
      <c r="U89" s="177" t="n"/>
      <c r="V89" s="177" t="n"/>
      <c r="W89" s="177" t="n"/>
    </row>
    <row r="90" outlineLevel="1" ht="15.75" customHeight="1" s="297">
      <c r="A90" s="190" t="n"/>
      <c r="B90" s="204" t="n"/>
      <c r="C90" s="191" t="n"/>
      <c r="D90" s="205">
        <f>IFERROR(VLOOKUP($C90,'PORTIFÓLIO'!C:V,2,0),"")</f>
        <v/>
      </c>
      <c r="E90" s="190">
        <f>IFERROR(VLOOKUP($C90,'PORTIFÓLIO'!C:V,3,0),"")</f>
        <v/>
      </c>
      <c r="F90" s="190">
        <f>IFERROR(VLOOKUP($C90,'PORTIFÓLIO'!C:V,4,0),"")</f>
        <v/>
      </c>
      <c r="G90" s="206">
        <f>IFERROR(VLOOKUP($C90,'PORTIFÓLIO'!C:V,5,0),"")</f>
        <v/>
      </c>
      <c r="H90" s="247">
        <f t="array" ref="H90">IFERROR(INDEX('PORTIFÓLIO'!$H$4:$H$433,MATCH($C90,'PORTIFÓLIO'!$C$4:$C$433,0)),"")</f>
        <v/>
      </c>
      <c r="I90" s="253" t="n"/>
      <c r="J90" s="209">
        <f>I90*$B$2</f>
        <v/>
      </c>
      <c r="K90" s="210">
        <f t="array" ref="K90">IFERROR(I90*INDEX('PORTIFÓLIO'!$S$4:$S$433,MATCH($C90,'PORTIFÓLIO'!$C$4:$C$433,0)),"")</f>
        <v/>
      </c>
      <c r="L90" s="210">
        <f t="array" ref="L90">IFERROR(J90*INDEX('PORTIFÓLIO'!$S$4:$S$433,MATCH($C90,'PORTIFÓLIO'!$C$4:$C$433,0)),"")</f>
        <v/>
      </c>
      <c r="M90" s="177" t="n"/>
      <c r="N90" s="177" t="n"/>
      <c r="O90" s="177" t="n"/>
      <c r="P90" s="177" t="n"/>
      <c r="Q90" s="177" t="n"/>
      <c r="R90" s="177" t="n"/>
      <c r="S90" s="177" t="n"/>
      <c r="T90" s="177" t="n"/>
      <c r="U90" s="177" t="n"/>
      <c r="V90" s="177" t="n"/>
      <c r="W90" s="177" t="n"/>
    </row>
    <row r="91" outlineLevel="1" ht="15.75" customHeight="1" s="297">
      <c r="A91" s="190" t="n"/>
      <c r="B91" s="204" t="n"/>
      <c r="C91" s="191" t="n"/>
      <c r="D91" s="205">
        <f>IFERROR(VLOOKUP($C91,'PORTIFÓLIO'!C:V,2,0),"")</f>
        <v/>
      </c>
      <c r="E91" s="190">
        <f>IFERROR(VLOOKUP($C91,'PORTIFÓLIO'!C:V,3,0),"")</f>
        <v/>
      </c>
      <c r="F91" s="190">
        <f>IFERROR(VLOOKUP($C91,'PORTIFÓLIO'!C:V,4,0),"")</f>
        <v/>
      </c>
      <c r="G91" s="206">
        <f>IFERROR(VLOOKUP($C91,'PORTIFÓLIO'!C:V,5,0),"")</f>
        <v/>
      </c>
      <c r="H91" s="247">
        <f t="array" ref="H91">IFERROR(INDEX('PORTIFÓLIO'!$H$4:$H$433,MATCH($C91,'PORTIFÓLIO'!$C$4:$C$433,0)),"")</f>
        <v/>
      </c>
      <c r="I91" s="257" t="n"/>
      <c r="J91" s="209">
        <f>I91*$B$2</f>
        <v/>
      </c>
      <c r="K91" s="210">
        <f t="array" ref="K91">IFERROR(I91*INDEX('PORTIFÓLIO'!$S$4:$S$433,MATCH($C91,'PORTIFÓLIO'!$C$4:$C$433,0)),"")</f>
        <v/>
      </c>
      <c r="L91" s="210">
        <f t="array" ref="L91">IFERROR(J91*INDEX('PORTIFÓLIO'!$S$4:$S$433,MATCH($C91,'PORTIFÓLIO'!$C$4:$C$433,0)),"")</f>
        <v/>
      </c>
      <c r="M91" s="177" t="n"/>
      <c r="N91" s="177" t="n"/>
      <c r="O91" s="177" t="n"/>
      <c r="P91" s="177" t="n"/>
      <c r="Q91" s="177" t="n"/>
      <c r="R91" s="177" t="n"/>
      <c r="S91" s="177" t="n"/>
      <c r="T91" s="177" t="n"/>
      <c r="U91" s="177" t="n"/>
      <c r="V91" s="177" t="n"/>
      <c r="W91" s="177" t="n"/>
    </row>
    <row r="92" outlineLevel="1" ht="15.75" customHeight="1" s="297">
      <c r="A92" s="190" t="n"/>
      <c r="B92" s="204" t="n"/>
      <c r="C92" s="191" t="n"/>
      <c r="D92" s="205">
        <f>IFERROR(VLOOKUP($C92,'PORTIFÓLIO'!C:V,2,0),"")</f>
        <v/>
      </c>
      <c r="E92" s="190">
        <f>IFERROR(VLOOKUP($C92,'PORTIFÓLIO'!C:V,3,0),"")</f>
        <v/>
      </c>
      <c r="F92" s="190">
        <f>IFERROR(VLOOKUP($C92,'PORTIFÓLIO'!C:V,4,0),"")</f>
        <v/>
      </c>
      <c r="G92" s="206">
        <f>IFERROR(VLOOKUP($C92,'PORTIFÓLIO'!C:V,5,0),"")</f>
        <v/>
      </c>
      <c r="H92" s="247">
        <f t="array" ref="H92">IFERROR(INDEX('PORTIFÓLIO'!$H$4:$H$433,MATCH($C92,'PORTIFÓLIO'!$C$4:$C$433,0)),"")</f>
        <v/>
      </c>
      <c r="I92" s="257" t="n"/>
      <c r="J92" s="209">
        <f>I92*$B$2</f>
        <v/>
      </c>
      <c r="K92" s="210">
        <f t="array" ref="K92">IFERROR(I92*INDEX('PORTIFÓLIO'!$S$4:$S$433,MATCH($C92,'PORTIFÓLIO'!$C$4:$C$433,0)),"")</f>
        <v/>
      </c>
      <c r="L92" s="210">
        <f t="array" ref="L92">IFERROR(J92*INDEX('PORTIFÓLIO'!$S$4:$S$433,MATCH($C92,'PORTIFÓLIO'!$C$4:$C$433,0)),"")</f>
        <v/>
      </c>
      <c r="M92" s="177" t="n"/>
      <c r="N92" s="177" t="n"/>
      <c r="O92" s="177" t="n"/>
      <c r="P92" s="177" t="n"/>
      <c r="Q92" s="177" t="n"/>
      <c r="R92" s="177" t="n"/>
      <c r="S92" s="177" t="n"/>
      <c r="T92" s="177" t="n"/>
      <c r="U92" s="177" t="n"/>
      <c r="V92" s="177" t="n"/>
      <c r="W92" s="177" t="n"/>
    </row>
    <row r="93" outlineLevel="1" ht="15.75" customHeight="1" s="297">
      <c r="A93" s="190" t="n"/>
      <c r="B93" s="204" t="n"/>
      <c r="C93" s="191" t="n"/>
      <c r="D93" s="205">
        <f>IFERROR(VLOOKUP($C93,'PORTIFÓLIO'!C:V,2,0),"")</f>
        <v/>
      </c>
      <c r="E93" s="190">
        <f>IFERROR(VLOOKUP($C93,'PORTIFÓLIO'!C:V,3,0),"")</f>
        <v/>
      </c>
      <c r="F93" s="190">
        <f>IFERROR(VLOOKUP($C93,'PORTIFÓLIO'!C:V,4,0),"")</f>
        <v/>
      </c>
      <c r="G93" s="206">
        <f>IFERROR(VLOOKUP($C93,'PORTIFÓLIO'!C:V,5,0),"")</f>
        <v/>
      </c>
      <c r="H93" s="247">
        <f t="array" ref="H93">IFERROR(INDEX('PORTIFÓLIO'!$H$4:$H$433,MATCH($C93,'PORTIFÓLIO'!$C$4:$C$433,0)),"")</f>
        <v/>
      </c>
      <c r="I93" s="257" t="n"/>
      <c r="J93" s="209">
        <f>I93*$B$2</f>
        <v/>
      </c>
      <c r="K93" s="210">
        <f t="array" ref="K93">IFERROR(I93*INDEX('PORTIFÓLIO'!$S$4:$S$433,MATCH($C93,'PORTIFÓLIO'!$C$4:$C$433,0)),"")</f>
        <v/>
      </c>
      <c r="L93" s="210">
        <f t="array" ref="L93">IFERROR(J93*INDEX('PORTIFÓLIO'!$S$4:$S$433,MATCH($C93,'PORTIFÓLIO'!$C$4:$C$433,0)),"")</f>
        <v/>
      </c>
      <c r="M93" s="177" t="n"/>
      <c r="N93" s="177" t="n"/>
      <c r="O93" s="177" t="n"/>
      <c r="P93" s="177" t="n"/>
      <c r="Q93" s="177" t="n"/>
      <c r="R93" s="177" t="n"/>
      <c r="S93" s="177" t="n"/>
      <c r="T93" s="177" t="n"/>
      <c r="U93" s="177" t="n"/>
      <c r="V93" s="177" t="n"/>
      <c r="W93" s="177" t="n"/>
    </row>
    <row r="94" outlineLevel="1" ht="15.75" customHeight="1" s="297">
      <c r="A94" s="190" t="n"/>
      <c r="B94" s="204" t="n"/>
      <c r="C94" s="191" t="n"/>
      <c r="D94" s="205">
        <f>IFERROR(VLOOKUP($C94,'PORTIFÓLIO'!C:V,2,0),"")</f>
        <v/>
      </c>
      <c r="E94" s="190">
        <f>IFERROR(VLOOKUP($C94,'PORTIFÓLIO'!C:V,3,0),"")</f>
        <v/>
      </c>
      <c r="F94" s="190">
        <f>IFERROR(VLOOKUP($C94,'PORTIFÓLIO'!C:V,4,0),"")</f>
        <v/>
      </c>
      <c r="G94" s="206">
        <f>IFERROR(VLOOKUP($C94,'PORTIFÓLIO'!C:V,5,0),"")</f>
        <v/>
      </c>
      <c r="H94" s="247">
        <f t="array" ref="H94">IFERROR(INDEX('PORTIFÓLIO'!$H$4:$H$433,MATCH($C94,'PORTIFÓLIO'!$C$4:$C$433,0)),"")</f>
        <v/>
      </c>
      <c r="I94" s="257" t="n"/>
      <c r="J94" s="209">
        <f>I94*$B$2</f>
        <v/>
      </c>
      <c r="K94" s="210">
        <f t="array" ref="K94">IFERROR(I94*INDEX('PORTIFÓLIO'!$S$4:$S$433,MATCH($C94,'PORTIFÓLIO'!$C$4:$C$433,0)),"")</f>
        <v/>
      </c>
      <c r="L94" s="210">
        <f t="array" ref="L94">IFERROR(J94*INDEX('PORTIFÓLIO'!$S$4:$S$433,MATCH($C94,'PORTIFÓLIO'!$C$4:$C$433,0)),"")</f>
        <v/>
      </c>
      <c r="M94" s="177" t="n"/>
      <c r="N94" s="177" t="n"/>
      <c r="O94" s="177" t="n"/>
      <c r="P94" s="177" t="n"/>
      <c r="Q94" s="177" t="n"/>
      <c r="R94" s="177" t="n"/>
      <c r="S94" s="177" t="n"/>
      <c r="T94" s="177" t="n"/>
      <c r="U94" s="177" t="n"/>
      <c r="V94" s="177" t="n"/>
      <c r="W94" s="177" t="n"/>
    </row>
    <row r="95" outlineLevel="1" ht="15.75" customHeight="1" s="297">
      <c r="A95" s="190" t="n"/>
      <c r="B95" s="204" t="n"/>
      <c r="C95" s="191" t="n"/>
      <c r="D95" s="205">
        <f>IFERROR(VLOOKUP($C95,'PORTIFÓLIO'!C:V,2,0),"")</f>
        <v/>
      </c>
      <c r="E95" s="190">
        <f>IFERROR(VLOOKUP($C95,'PORTIFÓLIO'!C:V,3,0),"")</f>
        <v/>
      </c>
      <c r="F95" s="190">
        <f>IFERROR(VLOOKUP($C95,'PORTIFÓLIO'!C:V,4,0),"")</f>
        <v/>
      </c>
      <c r="G95" s="206">
        <f>IFERROR(VLOOKUP($C95,'PORTIFÓLIO'!C:V,5,0),"")</f>
        <v/>
      </c>
      <c r="H95" s="247">
        <f t="array" ref="H95">IFERROR(INDEX('PORTIFÓLIO'!$H$4:$H$433,MATCH($C95,'PORTIFÓLIO'!$C$4:$C$433,0)),"")</f>
        <v/>
      </c>
      <c r="I95" s="257" t="n"/>
      <c r="J95" s="209">
        <f>I95*$B$2</f>
        <v/>
      </c>
      <c r="K95" s="210">
        <f t="array" ref="K95">IFERROR(I95*INDEX('PORTIFÓLIO'!$S$4:$S$433,MATCH($C95,'PORTIFÓLIO'!$C$4:$C$433,0)),"")</f>
        <v/>
      </c>
      <c r="L95" s="210">
        <f t="array" ref="L95">IFERROR(J95*INDEX('PORTIFÓLIO'!$S$4:$S$433,MATCH($C95,'PORTIFÓLIO'!$C$4:$C$433,0)),"")</f>
        <v/>
      </c>
      <c r="M95" s="177" t="n"/>
      <c r="N95" s="177" t="n"/>
      <c r="O95" s="177" t="n"/>
      <c r="P95" s="177" t="n"/>
      <c r="Q95" s="177" t="n"/>
      <c r="R95" s="177" t="n"/>
      <c r="S95" s="177" t="n"/>
      <c r="T95" s="177" t="n"/>
      <c r="U95" s="177" t="n"/>
      <c r="V95" s="177" t="n"/>
      <c r="W95" s="177" t="n"/>
    </row>
    <row r="96" outlineLevel="1" ht="15.75" customHeight="1" s="297">
      <c r="A96" s="190" t="n"/>
      <c r="B96" s="204" t="n"/>
      <c r="C96" s="191" t="n"/>
      <c r="D96" s="205">
        <f>IFERROR(VLOOKUP($C96,'PORTIFÓLIO'!C:V,2,0),"")</f>
        <v/>
      </c>
      <c r="E96" s="190">
        <f>IFERROR(VLOOKUP($C96,'PORTIFÓLIO'!C:V,3,0),"")</f>
        <v/>
      </c>
      <c r="F96" s="190">
        <f>IFERROR(VLOOKUP($C96,'PORTIFÓLIO'!C:V,4,0),"")</f>
        <v/>
      </c>
      <c r="G96" s="206">
        <f>IFERROR(VLOOKUP($C96,'PORTIFÓLIO'!C:V,5,0),"")</f>
        <v/>
      </c>
      <c r="H96" s="247">
        <f t="array" ref="H96">IFERROR(INDEX('PORTIFÓLIO'!$H$4:$H$433,MATCH($C96,'PORTIFÓLIO'!$C$4:$C$433,0)),"")</f>
        <v/>
      </c>
      <c r="I96" s="257" t="n"/>
      <c r="J96" s="209">
        <f>I96*$B$2</f>
        <v/>
      </c>
      <c r="K96" s="210">
        <f t="array" ref="K96">IFERROR(I96*INDEX('PORTIFÓLIO'!$S$4:$S$433,MATCH($C96,'PORTIFÓLIO'!$C$4:$C$433,0)),"")</f>
        <v/>
      </c>
      <c r="L96" s="210">
        <f t="array" ref="L96">IFERROR(J96*INDEX('PORTIFÓLIO'!$S$4:$S$433,MATCH($C96,'PORTIFÓLIO'!$C$4:$C$433,0)),"")</f>
        <v/>
      </c>
      <c r="M96" s="177" t="n"/>
      <c r="N96" s="177" t="n"/>
      <c r="O96" s="177" t="n"/>
      <c r="P96" s="177" t="n"/>
      <c r="Q96" s="177" t="n"/>
      <c r="R96" s="177" t="n"/>
      <c r="S96" s="177" t="n"/>
      <c r="T96" s="177" t="n"/>
      <c r="U96" s="177" t="n"/>
      <c r="V96" s="177" t="n"/>
      <c r="W96" s="177" t="n"/>
    </row>
    <row r="97" ht="15.75" customHeight="1" s="297">
      <c r="A97" s="221" t="inlineStr">
        <is>
          <t>OPERAÇÃO 6</t>
        </is>
      </c>
      <c r="B97" s="197" t="n"/>
      <c r="C97" s="196" t="n"/>
      <c r="D97" s="198" t="n"/>
      <c r="E97" s="196" t="n"/>
      <c r="F97" s="196" t="n"/>
      <c r="G97" s="199" t="n"/>
      <c r="H97" s="199" t="n"/>
      <c r="I97" s="252" t="n"/>
      <c r="J97" s="202" t="n"/>
      <c r="K97" s="203">
        <f>SUBTOTAL(9,K98:K111)</f>
        <v/>
      </c>
      <c r="L97" s="203">
        <f>SUBTOTAL(9,L98:L111)</f>
        <v/>
      </c>
      <c r="M97" s="177" t="n"/>
      <c r="N97" s="177" t="n"/>
      <c r="O97" s="177" t="n"/>
      <c r="P97" s="177" t="n"/>
      <c r="Q97" s="177" t="n"/>
      <c r="R97" s="177" t="n"/>
      <c r="S97" s="177" t="n"/>
      <c r="T97" s="177" t="n"/>
      <c r="U97" s="177" t="n"/>
      <c r="V97" s="177" t="n"/>
      <c r="W97" s="177" t="n"/>
    </row>
    <row r="98" outlineLevel="1" ht="15.75" customHeight="1" s="297">
      <c r="A98" s="191" t="n"/>
      <c r="B98" s="204" t="inlineStr">
        <is>
          <t>FUNGICIDA</t>
        </is>
      </c>
      <c r="C98" s="191" t="inlineStr">
        <is>
          <t>BELYAN</t>
        </is>
      </c>
      <c r="D98" s="205">
        <f>IFERROR(VLOOKUP($C98,'PORTIFÓLIO'!C:V,2,0),"")</f>
        <v/>
      </c>
      <c r="E98" s="190">
        <f>IFERROR(VLOOKUP($C98,'PORTIFÓLIO'!C:V,3,0),"")</f>
        <v/>
      </c>
      <c r="F98" s="190">
        <f>IFERROR(VLOOKUP($C98,'PORTIFÓLIO'!C:V,4,0),"")</f>
        <v/>
      </c>
      <c r="G98" s="223">
        <f>IFERROR(VLOOKUP($C98,'PORTIFÓLIO'!C:V,5,0),"")</f>
        <v/>
      </c>
      <c r="H98" s="247">
        <f t="array" ref="H98">IFERROR(INDEX('PORTIFÓLIO'!$H$4:$H$433,MATCH($C98,'PORTIFÓLIO'!$C$4:$C$433,0)),"")</f>
        <v/>
      </c>
      <c r="I98" s="253" t="n">
        <v>0.7</v>
      </c>
      <c r="J98" s="209">
        <f>I98*$B$2</f>
        <v/>
      </c>
      <c r="K98" s="210">
        <f t="array" ref="K98">IFERROR(I98*INDEX('PORTIFÓLIO'!$S$4:$S$433,MATCH($C98,'PORTIFÓLIO'!$C$4:$C$433,0)),"")</f>
        <v/>
      </c>
      <c r="L98" s="210">
        <f t="array" ref="L98">IFERROR(J98*INDEX('PORTIFÓLIO'!$S$4:$S$433,MATCH($C98,'PORTIFÓLIO'!$C$4:$C$433,0)),"")</f>
        <v/>
      </c>
      <c r="M98" s="177" t="n"/>
      <c r="N98" s="177" t="n"/>
      <c r="O98" s="177" t="n"/>
      <c r="P98" s="177" t="n"/>
      <c r="Q98" s="177" t="n"/>
      <c r="R98" s="177" t="n"/>
      <c r="S98" s="177" t="n"/>
      <c r="T98" s="177" t="n"/>
      <c r="U98" s="177" t="n"/>
      <c r="V98" s="177" t="n"/>
      <c r="W98" s="177" t="n"/>
    </row>
    <row r="99" outlineLevel="1" ht="15.75" customHeight="1" s="297">
      <c r="A99" s="190" t="n"/>
      <c r="B99" s="204" t="inlineStr">
        <is>
          <t>FUNGICIDA</t>
        </is>
      </c>
      <c r="C99" s="191" t="inlineStr">
        <is>
          <t>FLUAZINAM NORTOX 500 SC</t>
        </is>
      </c>
      <c r="D99" s="205">
        <f>IFERROR(VLOOKUP($C99,'PORTIFÓLIO'!C:V,2,0),"")</f>
        <v/>
      </c>
      <c r="E99" s="190">
        <f>IFERROR(VLOOKUP($C99,'PORTIFÓLIO'!C:V,3,0),"")</f>
        <v/>
      </c>
      <c r="F99" s="190">
        <f>IFERROR(VLOOKUP($C99,'PORTIFÓLIO'!C:V,4,0),"")</f>
        <v/>
      </c>
      <c r="G99" s="223">
        <f>IFERROR(VLOOKUP($C99,'PORTIFÓLIO'!C:V,5,0),"")</f>
        <v/>
      </c>
      <c r="H99" s="247">
        <f t="array" ref="H99">IFERROR(INDEX('PORTIFÓLIO'!$H$4:$H$433,MATCH($C99,'PORTIFÓLIO'!$C$4:$C$433,0)),"")</f>
        <v/>
      </c>
      <c r="I99" s="253" t="n">
        <v>1</v>
      </c>
      <c r="J99" s="209">
        <f>I99*$B$2</f>
        <v/>
      </c>
      <c r="K99" s="210">
        <f t="array" ref="K99">IFERROR(I99*INDEX('PORTIFÓLIO'!$S$4:$S$433,MATCH($C99,'PORTIFÓLIO'!$C$4:$C$433,0)),"")</f>
        <v/>
      </c>
      <c r="L99" s="210">
        <f t="array" ref="L99">IFERROR(J99*INDEX('PORTIFÓLIO'!$S$4:$S$433,MATCH($C99,'PORTIFÓLIO'!$C$4:$C$433,0)),"")</f>
        <v/>
      </c>
      <c r="M99" s="177" t="n"/>
      <c r="N99" s="177" t="n"/>
      <c r="O99" s="177" t="n"/>
      <c r="P99" s="177" t="n"/>
      <c r="Q99" s="177" t="n"/>
      <c r="R99" s="177" t="n"/>
      <c r="S99" s="177" t="n"/>
      <c r="T99" s="177" t="n"/>
      <c r="U99" s="177" t="n"/>
      <c r="V99" s="177" t="n"/>
      <c r="W99" s="177" t="n"/>
    </row>
    <row r="100" outlineLevel="1" ht="15.75" customHeight="1" s="297">
      <c r="A100" s="190" t="n"/>
      <c r="B100" s="204" t="inlineStr">
        <is>
          <t>INSETICIDA</t>
        </is>
      </c>
      <c r="C100" s="191" t="inlineStr">
        <is>
          <t>TALSTAR 400</t>
        </is>
      </c>
      <c r="D100" s="205">
        <f>IFERROR(VLOOKUP($C100,'PORTIFÓLIO'!C:V,2,0),"")</f>
        <v/>
      </c>
      <c r="E100" s="190">
        <f>IFERROR(VLOOKUP($C100,'PORTIFÓLIO'!C:V,3,0),"")</f>
        <v/>
      </c>
      <c r="F100" s="190">
        <f>IFERROR(VLOOKUP($C100,'PORTIFÓLIO'!C:V,4,0),"")</f>
        <v/>
      </c>
      <c r="G100" s="223">
        <f>IFERROR(VLOOKUP($C100,'PORTIFÓLIO'!C:V,5,0),"")</f>
        <v/>
      </c>
      <c r="H100" s="247">
        <f t="array" ref="H100">IFERROR(INDEX('PORTIFÓLIO'!$H$4:$H$433,MATCH($C100,'PORTIFÓLIO'!$C$4:$C$433,0)),"")</f>
        <v/>
      </c>
      <c r="I100" s="253" t="n">
        <v>0.05</v>
      </c>
      <c r="J100" s="209">
        <f>I100*$B$2</f>
        <v/>
      </c>
      <c r="K100" s="210">
        <f t="array" ref="K100">IFERROR(I100*INDEX('PORTIFÓLIO'!$S$4:$S$433,MATCH($C100,'PORTIFÓLIO'!$C$4:$C$433,0)),"")</f>
        <v/>
      </c>
      <c r="L100" s="210">
        <f t="array" ref="L100">IFERROR(J100*INDEX('PORTIFÓLIO'!$S$4:$S$433,MATCH($C100,'PORTIFÓLIO'!$C$4:$C$433,0)),"")</f>
        <v/>
      </c>
      <c r="M100" s="177" t="n"/>
      <c r="N100" s="177" t="n"/>
      <c r="O100" s="177" t="n"/>
      <c r="P100" s="177" t="n"/>
      <c r="Q100" s="177" t="n"/>
      <c r="R100" s="177" t="n"/>
      <c r="S100" s="177" t="n"/>
      <c r="T100" s="177" t="n"/>
      <c r="U100" s="177" t="n"/>
      <c r="V100" s="177" t="n"/>
      <c r="W100" s="177" t="n"/>
    </row>
    <row r="101" outlineLevel="1" ht="15.75" customHeight="1" s="297">
      <c r="A101" s="190" t="n"/>
      <c r="B101" s="204" t="inlineStr">
        <is>
          <t>INSETICIDA</t>
        </is>
      </c>
      <c r="C101" s="191" t="inlineStr">
        <is>
          <t>IMIDACLOPRID NORTOX 480 SC</t>
        </is>
      </c>
      <c r="D101" s="205">
        <f>IFERROR(VLOOKUP($C101,'PORTIFÓLIO'!C:V,2,0),"")</f>
        <v/>
      </c>
      <c r="E101" s="190">
        <f>IFERROR(VLOOKUP($C101,'PORTIFÓLIO'!C:V,3,0),"")</f>
        <v/>
      </c>
      <c r="F101" s="190">
        <f>IFERROR(VLOOKUP($C101,'PORTIFÓLIO'!C:V,4,0),"")</f>
        <v/>
      </c>
      <c r="G101" s="223">
        <f>IFERROR(VLOOKUP($C101,'PORTIFÓLIO'!C:V,5,0),"")</f>
        <v/>
      </c>
      <c r="H101" s="247">
        <f t="array" ref="H101">IFERROR(INDEX('PORTIFÓLIO'!$H$4:$H$433,MATCH($C101,'PORTIFÓLIO'!$C$4:$C$433,0)),"")</f>
        <v/>
      </c>
      <c r="I101" s="253" t="n">
        <v>0.25</v>
      </c>
      <c r="J101" s="209">
        <f>I101*$B$2</f>
        <v/>
      </c>
      <c r="K101" s="210">
        <f t="array" ref="K101">IFERROR(I101*INDEX('PORTIFÓLIO'!$S$4:$S$433,MATCH($C101,'PORTIFÓLIO'!$C$4:$C$433,0)),"")</f>
        <v/>
      </c>
      <c r="L101" s="210">
        <f t="array" ref="L101">IFERROR(J101*INDEX('PORTIFÓLIO'!$S$4:$S$433,MATCH($C101,'PORTIFÓLIO'!$C$4:$C$433,0)),"")</f>
        <v/>
      </c>
      <c r="M101" s="177" t="n"/>
      <c r="N101" s="177" t="n"/>
      <c r="O101" s="177" t="n"/>
      <c r="P101" s="177" t="n"/>
      <c r="Q101" s="177" t="n"/>
      <c r="R101" s="177" t="n"/>
      <c r="S101" s="177" t="n"/>
      <c r="T101" s="177" t="n"/>
      <c r="U101" s="177" t="n"/>
      <c r="V101" s="177" t="n"/>
      <c r="W101" s="177" t="n"/>
    </row>
    <row r="102" outlineLevel="1" ht="15.75" customHeight="1" s="297">
      <c r="A102" s="190" t="n"/>
      <c r="B102" s="204" t="inlineStr">
        <is>
          <t>INSETICIDA</t>
        </is>
      </c>
      <c r="C102" s="191" t="inlineStr">
        <is>
          <t>DIFLUBENZURON CCAB 480 SC</t>
        </is>
      </c>
      <c r="D102" s="205">
        <f>IFERROR(VLOOKUP($C102,'PORTIFÓLIO'!C:V,2,0),"")</f>
        <v/>
      </c>
      <c r="E102" s="190">
        <f>IFERROR(VLOOKUP($C102,'PORTIFÓLIO'!C:V,3,0),"")</f>
        <v/>
      </c>
      <c r="F102" s="190">
        <f>IFERROR(VLOOKUP($C102,'PORTIFÓLIO'!C:V,4,0),"")</f>
        <v/>
      </c>
      <c r="G102" s="223">
        <f>IFERROR(VLOOKUP($C102,'PORTIFÓLIO'!C:V,5,0),"")</f>
        <v/>
      </c>
      <c r="H102" s="247">
        <f t="array" ref="H102">IFERROR(INDEX('PORTIFÓLIO'!$H$4:$H$433,MATCH($C102,'PORTIFÓLIO'!$C$4:$C$433,0)),"")</f>
        <v/>
      </c>
      <c r="I102" s="253" t="n">
        <v>0.05</v>
      </c>
      <c r="J102" s="209">
        <f>I102*$B$2</f>
        <v/>
      </c>
      <c r="K102" s="210">
        <f t="array" ref="K102">IFERROR(I102*INDEX('PORTIFÓLIO'!$S$4:$S$433,MATCH($C102,'PORTIFÓLIO'!$C$4:$C$433,0)),"")</f>
        <v/>
      </c>
      <c r="L102" s="210">
        <f t="array" ref="L102">IFERROR(J102*INDEX('PORTIFÓLIO'!$S$4:$S$433,MATCH($C102,'PORTIFÓLIO'!$C$4:$C$433,0)),"")</f>
        <v/>
      </c>
      <c r="M102" s="177" t="n"/>
      <c r="N102" s="177" t="n"/>
      <c r="O102" s="177" t="n"/>
      <c r="P102" s="177" t="n"/>
      <c r="Q102" s="177" t="n"/>
      <c r="R102" s="177" t="n"/>
      <c r="S102" s="177" t="n"/>
      <c r="T102" s="177" t="n"/>
      <c r="U102" s="177" t="n"/>
      <c r="V102" s="177" t="n"/>
      <c r="W102" s="177" t="n"/>
    </row>
    <row r="103" outlineLevel="1" ht="15.75" customHeight="1" s="297">
      <c r="A103" s="190" t="n"/>
      <c r="B103" s="204" t="inlineStr">
        <is>
          <t>ADJUVANTE</t>
        </is>
      </c>
      <c r="C103" s="191" t="inlineStr">
        <is>
          <t>RUMBA</t>
        </is>
      </c>
      <c r="D103" s="205">
        <f>IFERROR(VLOOKUP($C103,'PORTIFÓLIO'!C:V,2,0),"")</f>
        <v/>
      </c>
      <c r="E103" s="190">
        <f>IFERROR(VLOOKUP($C103,'PORTIFÓLIO'!C:V,3,0),"")</f>
        <v/>
      </c>
      <c r="F103" s="190">
        <f>IFERROR(VLOOKUP($C103,'PORTIFÓLIO'!C:V,4,0),"")</f>
        <v/>
      </c>
      <c r="G103" s="223">
        <f>IFERROR(VLOOKUP($C103,'PORTIFÓLIO'!C:V,5,0),"")</f>
        <v/>
      </c>
      <c r="H103" s="247">
        <f t="array" ref="H103">IFERROR(INDEX('PORTIFÓLIO'!$H$4:$H$433,MATCH($C103,'PORTIFÓLIO'!$C$4:$C$433,0)),"")</f>
        <v/>
      </c>
      <c r="I103" s="253" t="n">
        <v>0.2</v>
      </c>
      <c r="J103" s="209">
        <f>I103*$B$2</f>
        <v/>
      </c>
      <c r="K103" s="210">
        <f t="array" ref="K103">IFERROR(I103*INDEX('PORTIFÓLIO'!$S$4:$S$433,MATCH($C103,'PORTIFÓLIO'!$C$4:$C$433,0)),"")</f>
        <v/>
      </c>
      <c r="L103" s="210">
        <f t="array" ref="L103">IFERROR(J103*INDEX('PORTIFÓLIO'!$S$4:$S$433,MATCH($C103,'PORTIFÓLIO'!$C$4:$C$433,0)),"")</f>
        <v/>
      </c>
      <c r="M103" s="177" t="n"/>
      <c r="N103" s="177" t="n"/>
      <c r="O103" s="177" t="n"/>
      <c r="P103" s="177" t="n"/>
      <c r="Q103" s="177" t="n"/>
      <c r="R103" s="177" t="n"/>
      <c r="S103" s="177" t="n"/>
      <c r="T103" s="177" t="n"/>
      <c r="U103" s="177" t="n"/>
      <c r="V103" s="177" t="n"/>
      <c r="W103" s="177" t="n"/>
    </row>
    <row r="104" outlineLevel="1" ht="15.75" customHeight="1" s="297">
      <c r="A104" s="190" t="n"/>
      <c r="B104" s="204" t="inlineStr">
        <is>
          <t>FUNGICIDA</t>
        </is>
      </c>
      <c r="C104" s="191" t="inlineStr">
        <is>
          <t>MANCOZEB CCAB 750 WG</t>
        </is>
      </c>
      <c r="D104" s="205">
        <f>IFERROR(VLOOKUP($C104,'PORTIFÓLIO'!C:V,2,0),"")</f>
        <v/>
      </c>
      <c r="E104" s="190">
        <f>IFERROR(VLOOKUP($C104,'PORTIFÓLIO'!C:V,3,0),"")</f>
        <v/>
      </c>
      <c r="F104" s="190">
        <f>IFERROR(VLOOKUP($C104,'PORTIFÓLIO'!C:V,4,0),"")</f>
        <v/>
      </c>
      <c r="G104" s="223">
        <f>IFERROR(VLOOKUP($C104,'PORTIFÓLIO'!C:V,5,0),"")</f>
        <v/>
      </c>
      <c r="H104" s="247">
        <f t="array" ref="H104">IFERROR(INDEX('PORTIFÓLIO'!$H$4:$H$433,MATCH($C104,'PORTIFÓLIO'!$C$4:$C$433,0)),"")</f>
        <v/>
      </c>
      <c r="I104" s="253" t="n">
        <v>1.5</v>
      </c>
      <c r="J104" s="209">
        <f>I104*$B$2</f>
        <v/>
      </c>
      <c r="K104" s="210">
        <f t="array" ref="K104">IFERROR(I104*INDEX('PORTIFÓLIO'!$S$4:$S$433,MATCH($C104,'PORTIFÓLIO'!$C$4:$C$433,0)),"")</f>
        <v/>
      </c>
      <c r="L104" s="210">
        <f t="array" ref="L104">IFERROR(J104*INDEX('PORTIFÓLIO'!$S$4:$S$433,MATCH($C104,'PORTIFÓLIO'!$C$4:$C$433,0)),"")</f>
        <v/>
      </c>
      <c r="M104" s="177" t="n"/>
      <c r="N104" s="177" t="n"/>
      <c r="O104" s="177" t="n"/>
      <c r="P104" s="177" t="n"/>
      <c r="Q104" s="177" t="n"/>
      <c r="R104" s="177" t="n"/>
      <c r="S104" s="177" t="n"/>
      <c r="T104" s="177" t="n"/>
      <c r="U104" s="177" t="n"/>
      <c r="V104" s="177" t="n"/>
      <c r="W104" s="177" t="n"/>
    </row>
    <row r="105" outlineLevel="1" ht="15.75" customHeight="1" s="297">
      <c r="A105" s="190" t="n"/>
      <c r="B105" s="204" t="n"/>
      <c r="C105" s="191" t="n"/>
      <c r="D105" s="205">
        <f>IFERROR(VLOOKUP($C105,'PORTIFÓLIO'!C:V,2,0),"")</f>
        <v/>
      </c>
      <c r="E105" s="190">
        <f>IFERROR(VLOOKUP($C105,'PORTIFÓLIO'!C:V,3,0),"")</f>
        <v/>
      </c>
      <c r="F105" s="190">
        <f>IFERROR(VLOOKUP($C105,'PORTIFÓLIO'!C:V,4,0),"")</f>
        <v/>
      </c>
      <c r="G105" s="206">
        <f>IFERROR(VLOOKUP($C105,'PORTIFÓLIO'!C:V,5,0),"")</f>
        <v/>
      </c>
      <c r="H105" s="247">
        <f t="array" ref="H105">IFERROR(INDEX('PORTIFÓLIO'!$H$4:$H$433,MATCH($C105,'PORTIFÓLIO'!$C$4:$C$433,0)),"")</f>
        <v/>
      </c>
      <c r="I105" s="257" t="n"/>
      <c r="J105" s="209">
        <f>I105*$B$2</f>
        <v/>
      </c>
      <c r="K105" s="210">
        <f t="array" ref="K105">IFERROR(I105*INDEX('PORTIFÓLIO'!$S$4:$S$433,MATCH($C105,'PORTIFÓLIO'!$C$4:$C$433,0)),"")</f>
        <v/>
      </c>
      <c r="L105" s="210">
        <f t="array" ref="L105">IFERROR(J105*INDEX('PORTIFÓLIO'!$S$4:$S$433,MATCH($C105,'PORTIFÓLIO'!$C$4:$C$433,0)),"")</f>
        <v/>
      </c>
      <c r="M105" s="177" t="n"/>
      <c r="N105" s="177" t="n"/>
      <c r="O105" s="177" t="n"/>
      <c r="P105" s="177" t="n"/>
      <c r="Q105" s="177" t="n"/>
      <c r="R105" s="177" t="n"/>
      <c r="S105" s="177" t="n"/>
      <c r="T105" s="177" t="n"/>
      <c r="U105" s="177" t="n"/>
      <c r="V105" s="177" t="n"/>
      <c r="W105" s="177" t="n"/>
    </row>
    <row r="106" outlineLevel="1" ht="15.75" customHeight="1" s="297">
      <c r="A106" s="190" t="n"/>
      <c r="B106" s="204" t="n"/>
      <c r="C106" s="191" t="n"/>
      <c r="D106" s="205">
        <f>IFERROR(VLOOKUP($C106,'PORTIFÓLIO'!C:V,2,0),"")</f>
        <v/>
      </c>
      <c r="E106" s="190">
        <f>IFERROR(VLOOKUP($C106,'PORTIFÓLIO'!C:V,3,0),"")</f>
        <v/>
      </c>
      <c r="F106" s="190">
        <f>IFERROR(VLOOKUP($C106,'PORTIFÓLIO'!C:V,4,0),"")</f>
        <v/>
      </c>
      <c r="G106" s="206">
        <f>IFERROR(VLOOKUP($C106,'PORTIFÓLIO'!C:V,5,0),"")</f>
        <v/>
      </c>
      <c r="H106" s="247">
        <f t="array" ref="H106">IFERROR(INDEX('PORTIFÓLIO'!$H$4:$H$433,MATCH($C106,'PORTIFÓLIO'!$C$4:$C$433,0)),"")</f>
        <v/>
      </c>
      <c r="I106" s="253" t="n"/>
      <c r="J106" s="209">
        <f>I106*$B$2</f>
        <v/>
      </c>
      <c r="K106" s="210">
        <f t="array" ref="K106">IFERROR(I106*INDEX('PORTIFÓLIO'!$S$4:$S$433,MATCH($C106,'PORTIFÓLIO'!$C$4:$C$433,0)),"")</f>
        <v/>
      </c>
      <c r="L106" s="210">
        <f t="array" ref="L106">IFERROR(J106*INDEX('PORTIFÓLIO'!$S$4:$S$433,MATCH($C106,'PORTIFÓLIO'!$C$4:$C$433,0)),"")</f>
        <v/>
      </c>
      <c r="M106" s="177" t="n"/>
      <c r="N106" s="177" t="n"/>
      <c r="O106" s="177" t="n"/>
      <c r="P106" s="177" t="n"/>
      <c r="Q106" s="177" t="n"/>
      <c r="R106" s="177" t="n"/>
      <c r="S106" s="177" t="n"/>
      <c r="T106" s="177" t="n"/>
      <c r="U106" s="177" t="n"/>
      <c r="V106" s="177" t="n"/>
      <c r="W106" s="177" t="n"/>
    </row>
    <row r="107" outlineLevel="1" ht="15.75" customHeight="1" s="297">
      <c r="A107" s="190" t="n"/>
      <c r="B107" s="204" t="n"/>
      <c r="C107" s="191" t="n"/>
      <c r="D107" s="205">
        <f>IFERROR(VLOOKUP($C107,'PORTIFÓLIO'!C:V,2,0),"")</f>
        <v/>
      </c>
      <c r="E107" s="190">
        <f>IFERROR(VLOOKUP($C107,'PORTIFÓLIO'!C:V,3,0),"")</f>
        <v/>
      </c>
      <c r="F107" s="190">
        <f>IFERROR(VLOOKUP($C107,'PORTIFÓLIO'!C:V,4,0),"")</f>
        <v/>
      </c>
      <c r="G107" s="206">
        <f>IFERROR(VLOOKUP($C107,'PORTIFÓLIO'!C:V,5,0),"")</f>
        <v/>
      </c>
      <c r="H107" s="247">
        <f t="array" ref="H107">IFERROR(INDEX('PORTIFÓLIO'!$H$4:$H$433,MATCH($C107,'PORTIFÓLIO'!$C$4:$C$433,0)),"")</f>
        <v/>
      </c>
      <c r="I107" s="257" t="n"/>
      <c r="J107" s="209">
        <f>I107*$B$2</f>
        <v/>
      </c>
      <c r="K107" s="210">
        <f t="array" ref="K107">IFERROR(I107*INDEX('PORTIFÓLIO'!$S$4:$S$433,MATCH($C107,'PORTIFÓLIO'!$C$4:$C$433,0)),"")</f>
        <v/>
      </c>
      <c r="L107" s="210">
        <f t="array" ref="L107">IFERROR(J107*INDEX('PORTIFÓLIO'!$S$4:$S$433,MATCH($C107,'PORTIFÓLIO'!$C$4:$C$433,0)),"")</f>
        <v/>
      </c>
      <c r="M107" s="177" t="n"/>
      <c r="N107" s="177" t="n"/>
      <c r="O107" s="177" t="n"/>
      <c r="P107" s="177" t="n"/>
      <c r="Q107" s="177" t="n"/>
      <c r="R107" s="177" t="n"/>
      <c r="S107" s="177" t="n"/>
      <c r="T107" s="177" t="n"/>
      <c r="U107" s="177" t="n"/>
      <c r="V107" s="177" t="n"/>
      <c r="W107" s="177" t="n"/>
    </row>
    <row r="108" outlineLevel="1" ht="15.75" customHeight="1" s="297">
      <c r="A108" s="190" t="n"/>
      <c r="B108" s="204" t="n"/>
      <c r="C108" s="191" t="n"/>
      <c r="D108" s="205">
        <f>IFERROR(VLOOKUP($C108,'PORTIFÓLIO'!C:V,2,0),"")</f>
        <v/>
      </c>
      <c r="E108" s="190">
        <f>IFERROR(VLOOKUP($C108,'PORTIFÓLIO'!C:V,3,0),"")</f>
        <v/>
      </c>
      <c r="F108" s="190">
        <f>IFERROR(VLOOKUP($C108,'PORTIFÓLIO'!C:V,4,0),"")</f>
        <v/>
      </c>
      <c r="G108" s="206">
        <f>IFERROR(VLOOKUP($C108,'PORTIFÓLIO'!C:V,5,0),"")</f>
        <v/>
      </c>
      <c r="H108" s="247">
        <f t="array" ref="H108">IFERROR(INDEX('PORTIFÓLIO'!$H$4:$H$433,MATCH($C108,'PORTIFÓLIO'!$C$4:$C$433,0)),"")</f>
        <v/>
      </c>
      <c r="I108" s="257" t="n"/>
      <c r="J108" s="209">
        <f>I108*$B$2</f>
        <v/>
      </c>
      <c r="K108" s="210">
        <f t="array" ref="K108">IFERROR(I108*INDEX('PORTIFÓLIO'!$S$4:$S$433,MATCH($C108,'PORTIFÓLIO'!$C$4:$C$433,0)),"")</f>
        <v/>
      </c>
      <c r="L108" s="210">
        <f t="array" ref="L108">IFERROR(J108*INDEX('PORTIFÓLIO'!$S$4:$S$433,MATCH($C108,'PORTIFÓLIO'!$C$4:$C$433,0)),"")</f>
        <v/>
      </c>
      <c r="M108" s="177" t="n"/>
      <c r="N108" s="177" t="n"/>
      <c r="O108" s="177" t="n"/>
      <c r="P108" s="177" t="n"/>
      <c r="Q108" s="177" t="n"/>
      <c r="R108" s="177" t="n"/>
      <c r="S108" s="177" t="n"/>
      <c r="T108" s="177" t="n"/>
      <c r="U108" s="177" t="n"/>
      <c r="V108" s="177" t="n"/>
      <c r="W108" s="177" t="n"/>
    </row>
    <row r="109" outlineLevel="1" ht="15.75" customHeight="1" s="297">
      <c r="A109" s="190" t="n"/>
      <c r="B109" s="204" t="n"/>
      <c r="C109" s="191" t="n"/>
      <c r="D109" s="205">
        <f>IFERROR(VLOOKUP($C109,'PORTIFÓLIO'!C:V,2,0),"")</f>
        <v/>
      </c>
      <c r="E109" s="190">
        <f>IFERROR(VLOOKUP($C109,'PORTIFÓLIO'!C:V,3,0),"")</f>
        <v/>
      </c>
      <c r="F109" s="190">
        <f>IFERROR(VLOOKUP($C109,'PORTIFÓLIO'!C:V,4,0),"")</f>
        <v/>
      </c>
      <c r="G109" s="206">
        <f>IFERROR(VLOOKUP($C109,'PORTIFÓLIO'!C:V,5,0),"")</f>
        <v/>
      </c>
      <c r="H109" s="247">
        <f t="array" ref="H109">IFERROR(INDEX('PORTIFÓLIO'!$H$4:$H$433,MATCH($C109,'PORTIFÓLIO'!$C$4:$C$433,0)),"")</f>
        <v/>
      </c>
      <c r="I109" s="257" t="n"/>
      <c r="J109" s="209">
        <f>I109*$B$2</f>
        <v/>
      </c>
      <c r="K109" s="210">
        <f t="array" ref="K109">IFERROR(I109*INDEX('PORTIFÓLIO'!$S$4:$S$433,MATCH($C109,'PORTIFÓLIO'!$C$4:$C$433,0)),"")</f>
        <v/>
      </c>
      <c r="L109" s="210">
        <f t="array" ref="L109">IFERROR(J109*INDEX('PORTIFÓLIO'!$S$4:$S$433,MATCH($C109,'PORTIFÓLIO'!$C$4:$C$433,0)),"")</f>
        <v/>
      </c>
      <c r="M109" s="177" t="n"/>
      <c r="N109" s="177" t="n"/>
      <c r="O109" s="177" t="n"/>
      <c r="P109" s="177" t="n"/>
      <c r="Q109" s="177" t="n"/>
      <c r="R109" s="177" t="n"/>
      <c r="S109" s="177" t="n"/>
      <c r="T109" s="177" t="n"/>
      <c r="U109" s="177" t="n"/>
      <c r="V109" s="177" t="n"/>
      <c r="W109" s="177" t="n"/>
    </row>
    <row r="110" outlineLevel="1" ht="15.75" customHeight="1" s="297">
      <c r="A110" s="190" t="n"/>
      <c r="B110" s="204" t="n"/>
      <c r="C110" s="191" t="n"/>
      <c r="D110" s="205">
        <f>IFERROR(VLOOKUP($C110,'PORTIFÓLIO'!C:V,2,0),"")</f>
        <v/>
      </c>
      <c r="E110" s="190">
        <f>IFERROR(VLOOKUP($C110,'PORTIFÓLIO'!C:V,3,0),"")</f>
        <v/>
      </c>
      <c r="F110" s="190">
        <f>IFERROR(VLOOKUP($C110,'PORTIFÓLIO'!C:V,4,0),"")</f>
        <v/>
      </c>
      <c r="G110" s="206">
        <f>IFERROR(VLOOKUP($C110,'PORTIFÓLIO'!C:V,5,0),"")</f>
        <v/>
      </c>
      <c r="H110" s="247">
        <f t="array" ref="H110">IFERROR(INDEX('PORTIFÓLIO'!$H$4:$H$433,MATCH($C110,'PORTIFÓLIO'!$C$4:$C$433,0)),"")</f>
        <v/>
      </c>
      <c r="I110" s="257" t="n"/>
      <c r="J110" s="209">
        <f>I110*$B$2</f>
        <v/>
      </c>
      <c r="K110" s="210">
        <f t="array" ref="K110">IFERROR(I110*INDEX('PORTIFÓLIO'!$S$4:$S$433,MATCH($C110,'PORTIFÓLIO'!$C$4:$C$433,0)),"")</f>
        <v/>
      </c>
      <c r="L110" s="210">
        <f t="array" ref="L110">IFERROR(J110*INDEX('PORTIFÓLIO'!$S$4:$S$433,MATCH($C110,'PORTIFÓLIO'!$C$4:$C$433,0)),"")</f>
        <v/>
      </c>
      <c r="M110" s="177" t="n"/>
      <c r="N110" s="177" t="n"/>
      <c r="O110" s="177" t="n"/>
      <c r="P110" s="177" t="n"/>
      <c r="Q110" s="177" t="n"/>
      <c r="R110" s="177" t="n"/>
      <c r="S110" s="177" t="n"/>
      <c r="T110" s="177" t="n"/>
      <c r="U110" s="177" t="n"/>
      <c r="V110" s="177" t="n"/>
      <c r="W110" s="177" t="n"/>
    </row>
    <row r="111" outlineLevel="1" ht="15.75" customHeight="1" s="297">
      <c r="A111" s="190" t="n"/>
      <c r="B111" s="204" t="n"/>
      <c r="C111" s="191" t="n"/>
      <c r="D111" s="205">
        <f>IFERROR(VLOOKUP($C111,'PORTIFÓLIO'!C:V,2,0),"")</f>
        <v/>
      </c>
      <c r="E111" s="190">
        <f>IFERROR(VLOOKUP($C111,'PORTIFÓLIO'!C:V,3,0),"")</f>
        <v/>
      </c>
      <c r="F111" s="190">
        <f>IFERROR(VLOOKUP($C111,'PORTIFÓLIO'!C:V,4,0),"")</f>
        <v/>
      </c>
      <c r="G111" s="206">
        <f>IFERROR(VLOOKUP($C111,'PORTIFÓLIO'!C:V,5,0),"")</f>
        <v/>
      </c>
      <c r="H111" s="247">
        <f t="array" ref="H111">IFERROR(INDEX('PORTIFÓLIO'!$H$4:$H$433,MATCH($C111,'PORTIFÓLIO'!$C$4:$C$433,0)),"")</f>
        <v/>
      </c>
      <c r="I111" s="257" t="n"/>
      <c r="J111" s="209">
        <f>I111*$B$2</f>
        <v/>
      </c>
      <c r="K111" s="210">
        <f t="array" ref="K111">IFERROR(I111*INDEX('PORTIFÓLIO'!$S$4:$S$433,MATCH($C111,'PORTIFÓLIO'!$C$4:$C$433,0)),"")</f>
        <v/>
      </c>
      <c r="L111" s="210">
        <f t="array" ref="L111">IFERROR(J111*INDEX('PORTIFÓLIO'!$S$4:$S$433,MATCH($C111,'PORTIFÓLIO'!$C$4:$C$433,0)),"")</f>
        <v/>
      </c>
      <c r="M111" s="177" t="n"/>
      <c r="N111" s="177" t="n"/>
      <c r="O111" s="177" t="n"/>
      <c r="P111" s="177" t="n"/>
      <c r="Q111" s="177" t="n"/>
      <c r="R111" s="177" t="n"/>
      <c r="S111" s="177" t="n"/>
      <c r="T111" s="177" t="n"/>
      <c r="U111" s="177" t="n"/>
      <c r="V111" s="177" t="n"/>
      <c r="W111" s="177" t="n"/>
    </row>
    <row r="112" outlineLevel="1" ht="15.75" customHeight="1" s="297">
      <c r="A112" s="190" t="n"/>
      <c r="B112" s="204" t="n"/>
      <c r="C112" s="191" t="n"/>
      <c r="D112" s="205">
        <f>IFERROR(VLOOKUP($C112,'PORTIFÓLIO'!C:V,2,0),"")</f>
        <v/>
      </c>
      <c r="E112" s="190">
        <f>IFERROR(VLOOKUP($C112,'PORTIFÓLIO'!C:V,3,0),"")</f>
        <v/>
      </c>
      <c r="F112" s="190">
        <f>IFERROR(VLOOKUP($C112,'PORTIFÓLIO'!C:V,4,0),"")</f>
        <v/>
      </c>
      <c r="G112" s="206">
        <f>IFERROR(VLOOKUP($C112,'PORTIFÓLIO'!C:V,5,0),"")</f>
        <v/>
      </c>
      <c r="H112" s="247">
        <f t="array" ref="H112">IFERROR(INDEX('PORTIFÓLIO'!$H$4:$H$433,MATCH($C112,'PORTIFÓLIO'!$C$4:$C$433,0)),"")</f>
        <v/>
      </c>
      <c r="I112" s="257" t="n"/>
      <c r="J112" s="209">
        <f>I112*$B$2</f>
        <v/>
      </c>
      <c r="K112" s="210">
        <f t="array" ref="K112">IFERROR(I112*INDEX('PORTIFÓLIO'!$S$4:$S$433,MATCH($C112,'PORTIFÓLIO'!$C$4:$C$433,0)),"")</f>
        <v/>
      </c>
      <c r="L112" s="210">
        <f t="array" ref="L112">IFERROR(J112*INDEX('PORTIFÓLIO'!$S$4:$S$433,MATCH($C112,'PORTIFÓLIO'!$C$4:$C$433,0)),"")</f>
        <v/>
      </c>
      <c r="M112" s="177" t="n"/>
      <c r="N112" s="177" t="n"/>
      <c r="O112" s="177" t="n"/>
      <c r="P112" s="177" t="n"/>
      <c r="Q112" s="177" t="n"/>
      <c r="R112" s="177" t="n"/>
      <c r="S112" s="177" t="n"/>
      <c r="T112" s="177" t="n"/>
      <c r="U112" s="177" t="n"/>
      <c r="V112" s="177" t="n"/>
      <c r="W112" s="177" t="n"/>
    </row>
    <row r="113" outlineLevel="1" ht="15.75" customHeight="1" s="297">
      <c r="A113" s="190" t="n"/>
      <c r="B113" s="204" t="n"/>
      <c r="C113" s="190" t="n"/>
      <c r="D113" s="205">
        <f>IFERROR(VLOOKUP($C113,'PORTIFÓLIO'!C:V,2,0),"")</f>
        <v/>
      </c>
      <c r="E113" s="190">
        <f>IFERROR(VLOOKUP($C113,'PORTIFÓLIO'!C:V,3,0),"")</f>
        <v/>
      </c>
      <c r="F113" s="190">
        <f>IFERROR(VLOOKUP($C113,'PORTIFÓLIO'!C:V,4,0),"")</f>
        <v/>
      </c>
      <c r="G113" s="206">
        <f>IFERROR(VLOOKUP($C113,'PORTIFÓLIO'!C:V,5,0),"")</f>
        <v/>
      </c>
      <c r="H113" s="247">
        <f t="array" ref="H113">IFERROR(INDEX('PORTIFÓLIO'!$H$4:$H$433,MATCH($C113,'PORTIFÓLIO'!$C$4:$C$433,0)),"")</f>
        <v/>
      </c>
      <c r="I113" s="257" t="n"/>
      <c r="J113" s="209" t="n"/>
      <c r="K113" s="210">
        <f t="array" ref="K113">IFERROR(I113*INDEX('PORTIFÓLIO'!$S$4:$S$433,MATCH($C113,'PORTIFÓLIO'!$C$4:$C$433,0)),"")</f>
        <v/>
      </c>
      <c r="L113" s="210">
        <f t="array" ref="L113">IFERROR(J113*INDEX('PORTIFÓLIO'!$S$4:$S$433,MATCH($C113,'PORTIFÓLIO'!$C$4:$C$433,0)),"")</f>
        <v/>
      </c>
      <c r="M113" s="177" t="n"/>
      <c r="N113" s="177" t="n"/>
      <c r="O113" s="177" t="n"/>
      <c r="P113" s="177" t="n"/>
      <c r="Q113" s="177" t="n"/>
      <c r="R113" s="177" t="n"/>
      <c r="S113" s="177" t="n"/>
      <c r="T113" s="177" t="n"/>
      <c r="U113" s="177" t="n"/>
      <c r="V113" s="177" t="n"/>
      <c r="W113" s="177" t="n"/>
    </row>
    <row r="114" ht="15.75" customHeight="1" s="297">
      <c r="A114" s="221" t="inlineStr">
        <is>
          <t>OPERAÇÃO 7</t>
        </is>
      </c>
      <c r="B114" s="197" t="n"/>
      <c r="C114" s="196" t="n"/>
      <c r="D114" s="198" t="n"/>
      <c r="E114" s="196" t="n"/>
      <c r="F114" s="196" t="n"/>
      <c r="G114" s="199" t="n"/>
      <c r="H114" s="199" t="n"/>
      <c r="I114" s="252" t="n"/>
      <c r="J114" s="202" t="n"/>
      <c r="K114" s="203">
        <f>SUBTOTAL(9,K115:K128)</f>
        <v/>
      </c>
      <c r="L114" s="203">
        <f>SUBTOTAL(9,L115:L128)</f>
        <v/>
      </c>
      <c r="M114" s="177" t="n"/>
      <c r="N114" s="177" t="n"/>
      <c r="O114" s="177" t="n"/>
      <c r="P114" s="177" t="n"/>
      <c r="Q114" s="177" t="n"/>
      <c r="R114" s="177" t="n"/>
      <c r="S114" s="177" t="n"/>
      <c r="T114" s="177" t="n"/>
      <c r="U114" s="177" t="n"/>
      <c r="V114" s="177" t="n"/>
      <c r="W114" s="177" t="n"/>
    </row>
    <row r="115" outlineLevel="1" ht="15.75" customHeight="1" s="297">
      <c r="A115" s="191" t="n"/>
      <c r="B115" s="204" t="inlineStr">
        <is>
          <t>FUNGICIDA</t>
        </is>
      </c>
      <c r="C115" s="226" t="inlineStr">
        <is>
          <t>FOX XPRO</t>
        </is>
      </c>
      <c r="D115" s="205">
        <f>IFERROR(VLOOKUP($C115,'PORTIFÓLIO'!C:V,2,0),"")</f>
        <v/>
      </c>
      <c r="E115" s="190">
        <f>IFERROR(VLOOKUP($C115,'PORTIFÓLIO'!C:V,3,0),"")</f>
        <v/>
      </c>
      <c r="F115" s="190">
        <f>IFERROR(VLOOKUP($C115,'PORTIFÓLIO'!C:V,4,0),"")</f>
        <v/>
      </c>
      <c r="G115" s="223">
        <f>IFERROR(VLOOKUP($C115,'PORTIFÓLIO'!C:V,5,0),"")</f>
        <v/>
      </c>
      <c r="H115" s="247">
        <f t="array" ref="H115">IFERROR(INDEX('PORTIFÓLIO'!$H$4:$H$433,MATCH($C115,'PORTIFÓLIO'!$C$4:$C$433,0)),"")</f>
        <v/>
      </c>
      <c r="I115" s="253" t="n">
        <v>0.5</v>
      </c>
      <c r="J115" s="209">
        <f>I115*$B$2</f>
        <v/>
      </c>
      <c r="K115" s="210">
        <f t="array" ref="K115">IFERROR(I115*INDEX('PORTIFÓLIO'!$S$4:$S$433,MATCH($C115,'PORTIFÓLIO'!$C$4:$C$433,0)),"")</f>
        <v/>
      </c>
      <c r="L115" s="210">
        <f t="array" ref="L115">IFERROR(J115*INDEX('PORTIFÓLIO'!$S$4:$S$433,MATCH($C115,'PORTIFÓLIO'!$C$4:$C$433,0)),"")</f>
        <v/>
      </c>
      <c r="M115" s="177" t="n"/>
      <c r="N115" s="177" t="n"/>
      <c r="O115" s="177" t="n"/>
      <c r="P115" s="177" t="n"/>
      <c r="Q115" s="177" t="n"/>
      <c r="R115" s="177" t="n"/>
      <c r="S115" s="177" t="n"/>
      <c r="T115" s="177" t="n"/>
      <c r="U115" s="177" t="n"/>
      <c r="V115" s="177" t="n"/>
      <c r="W115" s="177" t="n"/>
    </row>
    <row r="116" outlineLevel="1" ht="15.75" customHeight="1" s="297">
      <c r="A116" s="190" t="n"/>
      <c r="B116" s="204" t="inlineStr">
        <is>
          <t>FUNGICIDA</t>
        </is>
      </c>
      <c r="C116" s="226" t="inlineStr">
        <is>
          <t>FLUAZINAM NORTOX 500 SC</t>
        </is>
      </c>
      <c r="D116" s="205">
        <f>IFERROR(VLOOKUP($C116,'PORTIFÓLIO'!C:V,2,0),"")</f>
        <v/>
      </c>
      <c r="E116" s="190">
        <f>IFERROR(VLOOKUP($C116,'PORTIFÓLIO'!C:V,3,0),"")</f>
        <v/>
      </c>
      <c r="F116" s="190">
        <f>IFERROR(VLOOKUP($C116,'PORTIFÓLIO'!C:V,4,0),"")</f>
        <v/>
      </c>
      <c r="G116" s="223">
        <f>IFERROR(VLOOKUP($C116,'PORTIFÓLIO'!C:V,5,0),"")</f>
        <v/>
      </c>
      <c r="H116" s="247">
        <f t="array" ref="H116">IFERROR(INDEX('PORTIFÓLIO'!$H$4:$H$433,MATCH($C116,'PORTIFÓLIO'!$C$4:$C$433,0)),"")</f>
        <v/>
      </c>
      <c r="I116" s="253" t="n">
        <v>1</v>
      </c>
      <c r="J116" s="209">
        <f>I116*$B$2</f>
        <v/>
      </c>
      <c r="K116" s="210">
        <f t="array" ref="K116">IFERROR(I116*INDEX('PORTIFÓLIO'!$S$4:$S$433,MATCH($C116,'PORTIFÓLIO'!$C$4:$C$433,0)),"")</f>
        <v/>
      </c>
      <c r="L116" s="210">
        <f t="array" ref="L116">IFERROR(J116*INDEX('PORTIFÓLIO'!$S$4:$S$433,MATCH($C116,'PORTIFÓLIO'!$C$4:$C$433,0)),"")</f>
        <v/>
      </c>
      <c r="M116" s="177" t="n"/>
      <c r="N116" s="177" t="n"/>
      <c r="O116" s="177" t="n"/>
      <c r="P116" s="177" t="n"/>
      <c r="Q116" s="177" t="n"/>
      <c r="R116" s="177" t="n"/>
      <c r="S116" s="177" t="n"/>
      <c r="T116" s="177" t="n"/>
      <c r="U116" s="177" t="n"/>
      <c r="V116" s="177" t="n"/>
      <c r="W116" s="177" t="n"/>
    </row>
    <row r="117" outlineLevel="1" ht="15.75" customHeight="1" s="297">
      <c r="A117" s="190" t="n"/>
      <c r="B117" s="204" t="inlineStr">
        <is>
          <t>FUNGICIDA</t>
        </is>
      </c>
      <c r="C117" s="226" t="inlineStr">
        <is>
          <t>MANCOZEB CCAB 750 WG</t>
        </is>
      </c>
      <c r="D117" s="205">
        <f>IFERROR(VLOOKUP($C117,'PORTIFÓLIO'!C:V,2,0),"")</f>
        <v/>
      </c>
      <c r="E117" s="190">
        <f>IFERROR(VLOOKUP($C117,'PORTIFÓLIO'!C:V,3,0),"")</f>
        <v/>
      </c>
      <c r="F117" s="190">
        <f>IFERROR(VLOOKUP($C117,'PORTIFÓLIO'!C:V,4,0),"")</f>
        <v/>
      </c>
      <c r="G117" s="223">
        <f>IFERROR(VLOOKUP($C117,'PORTIFÓLIO'!C:V,5,0),"")</f>
        <v/>
      </c>
      <c r="H117" s="247">
        <f t="array" ref="H117">IFERROR(INDEX('PORTIFÓLIO'!$H$4:$H$433,MATCH($C117,'PORTIFÓLIO'!$C$4:$C$433,0)),"")</f>
        <v/>
      </c>
      <c r="I117" s="253" t="n">
        <v>1.5</v>
      </c>
      <c r="J117" s="209">
        <f>I117*$B$2</f>
        <v/>
      </c>
      <c r="K117" s="210">
        <f t="array" ref="K117">IFERROR(I117*INDEX('PORTIFÓLIO'!$S$4:$S$433,MATCH($C117,'PORTIFÓLIO'!$C$4:$C$433,0)),"")</f>
        <v/>
      </c>
      <c r="L117" s="210">
        <f t="array" ref="L117">IFERROR(J117*INDEX('PORTIFÓLIO'!$S$4:$S$433,MATCH($C117,'PORTIFÓLIO'!$C$4:$C$433,0)),"")</f>
        <v/>
      </c>
      <c r="M117" s="177" t="n"/>
      <c r="N117" s="177" t="n"/>
      <c r="O117" s="177" t="n"/>
      <c r="P117" s="177" t="n"/>
      <c r="Q117" s="177" t="n"/>
      <c r="R117" s="177" t="n"/>
      <c r="S117" s="177" t="n"/>
      <c r="T117" s="177" t="n"/>
      <c r="U117" s="177" t="n"/>
      <c r="V117" s="177" t="n"/>
      <c r="W117" s="177" t="n"/>
    </row>
    <row r="118" outlineLevel="1" ht="15.75" customHeight="1" s="297">
      <c r="A118" s="190" t="n"/>
      <c r="B118" s="204" t="inlineStr">
        <is>
          <t>INSETICIDA</t>
        </is>
      </c>
      <c r="C118" s="226" t="inlineStr">
        <is>
          <t>MAGNUM</t>
        </is>
      </c>
      <c r="D118" s="205">
        <f>IFERROR(VLOOKUP($C118,'PORTIFÓLIO'!C:V,2,0),"")</f>
        <v/>
      </c>
      <c r="E118" s="190">
        <f>IFERROR(VLOOKUP($C118,'PORTIFÓLIO'!C:V,3,0),"")</f>
        <v/>
      </c>
      <c r="F118" s="190">
        <f>IFERROR(VLOOKUP($C118,'PORTIFÓLIO'!C:V,4,0),"")</f>
        <v/>
      </c>
      <c r="G118" s="223">
        <f>IFERROR(VLOOKUP($C118,'PORTIFÓLIO'!C:V,5,0),"")</f>
        <v/>
      </c>
      <c r="H118" s="247">
        <f t="array" ref="H118">IFERROR(INDEX('PORTIFÓLIO'!$H$4:$H$433,MATCH($C118,'PORTIFÓLIO'!$C$4:$C$433,0)),"")</f>
        <v/>
      </c>
      <c r="I118" s="253" t="n">
        <v>0.6</v>
      </c>
      <c r="J118" s="209">
        <f>I118*$B$2</f>
        <v/>
      </c>
      <c r="K118" s="210">
        <f t="array" ref="K118">IFERROR(I118*INDEX('PORTIFÓLIO'!$S$4:$S$433,MATCH($C118,'PORTIFÓLIO'!$C$4:$C$433,0)),"")</f>
        <v/>
      </c>
      <c r="L118" s="210">
        <f t="array" ref="L118">IFERROR(J118*INDEX('PORTIFÓLIO'!$S$4:$S$433,MATCH($C118,'PORTIFÓLIO'!$C$4:$C$433,0)),"")</f>
        <v/>
      </c>
      <c r="M118" s="177" t="n"/>
      <c r="N118" s="177" t="n"/>
      <c r="O118" s="177" t="n"/>
      <c r="P118" s="177" t="n"/>
      <c r="Q118" s="177" t="n"/>
      <c r="R118" s="177" t="n"/>
      <c r="S118" s="177" t="n"/>
      <c r="T118" s="177" t="n"/>
      <c r="U118" s="177" t="n"/>
      <c r="V118" s="177" t="n"/>
      <c r="W118" s="177" t="n"/>
    </row>
    <row r="119" outlineLevel="1" ht="15.75" customHeight="1" s="297">
      <c r="A119" s="190" t="n"/>
      <c r="B119" s="204" t="inlineStr">
        <is>
          <t>INSETICIDA</t>
        </is>
      </c>
      <c r="C119" s="226" t="inlineStr">
        <is>
          <t>DIFLUBENZURON CCAB 480 SC</t>
        </is>
      </c>
      <c r="D119" s="205">
        <f>IFERROR(VLOOKUP($C119,'PORTIFÓLIO'!C:V,2,0),"")</f>
        <v/>
      </c>
      <c r="E119" s="190">
        <f>IFERROR(VLOOKUP($C119,'PORTIFÓLIO'!C:V,3,0),"")</f>
        <v/>
      </c>
      <c r="F119" s="190">
        <f>IFERROR(VLOOKUP($C119,'PORTIFÓLIO'!C:V,4,0),"")</f>
        <v/>
      </c>
      <c r="G119" s="223">
        <f>IFERROR(VLOOKUP($C119,'PORTIFÓLIO'!C:V,5,0),"")</f>
        <v/>
      </c>
      <c r="H119" s="247">
        <f t="array" ref="H119">IFERROR(INDEX('PORTIFÓLIO'!$H$4:$H$433,MATCH($C119,'PORTIFÓLIO'!$C$4:$C$433,0)),"")</f>
        <v/>
      </c>
      <c r="I119" s="253" t="n">
        <v>0.05</v>
      </c>
      <c r="J119" s="209">
        <f>I119*$B$2</f>
        <v/>
      </c>
      <c r="K119" s="210">
        <f t="array" ref="K119">IFERROR(I119*INDEX('PORTIFÓLIO'!$S$4:$S$433,MATCH($C119,'PORTIFÓLIO'!$C$4:$C$433,0)),"")</f>
        <v/>
      </c>
      <c r="L119" s="210">
        <f t="array" ref="L119">IFERROR(J119*INDEX('PORTIFÓLIO'!$S$4:$S$433,MATCH($C119,'PORTIFÓLIO'!$C$4:$C$433,0)),"")</f>
        <v/>
      </c>
      <c r="M119" s="177" t="n"/>
      <c r="N119" s="177" t="n"/>
      <c r="O119" s="177" t="n"/>
      <c r="P119" s="177" t="n"/>
      <c r="Q119" s="177" t="n"/>
      <c r="R119" s="177" t="n"/>
      <c r="S119" s="177" t="n"/>
      <c r="T119" s="177" t="n"/>
      <c r="U119" s="177" t="n"/>
      <c r="V119" s="177" t="n"/>
      <c r="W119" s="177" t="n"/>
    </row>
    <row r="120" outlineLevel="1" ht="15.75" customHeight="1" s="297">
      <c r="A120" s="190" t="n"/>
      <c r="B120" s="204" t="inlineStr">
        <is>
          <t>ADJUVANTE</t>
        </is>
      </c>
      <c r="C120" s="191" t="inlineStr">
        <is>
          <t>AUREO</t>
        </is>
      </c>
      <c r="D120" s="205">
        <f>IFERROR(VLOOKUP($C120,'PORTIFÓLIO'!C:V,2,0),"")</f>
        <v/>
      </c>
      <c r="E120" s="190">
        <f>IFERROR(VLOOKUP($C120,'PORTIFÓLIO'!C:V,3,0),"")</f>
        <v/>
      </c>
      <c r="F120" s="190">
        <f>IFERROR(VLOOKUP($C120,'PORTIFÓLIO'!C:V,4,0),"")</f>
        <v/>
      </c>
      <c r="G120" s="223">
        <f>IFERROR(VLOOKUP($C120,'PORTIFÓLIO'!C:V,5,0),"")</f>
        <v/>
      </c>
      <c r="H120" s="247">
        <f t="array" ref="H120">IFERROR(INDEX('PORTIFÓLIO'!$H$4:$H$433,MATCH($C120,'PORTIFÓLIO'!$C$4:$C$433,0)),"")</f>
        <v/>
      </c>
      <c r="I120" s="253" t="n">
        <v>0.2</v>
      </c>
      <c r="J120" s="209">
        <f>I120*$B$2</f>
        <v/>
      </c>
      <c r="K120" s="210">
        <f t="array" ref="K120">IFERROR(I120*INDEX('PORTIFÓLIO'!$S$4:$S$433,MATCH($C120,'PORTIFÓLIO'!$C$4:$C$433,0)),"")</f>
        <v/>
      </c>
      <c r="L120" s="210">
        <f t="array" ref="L120">IFERROR(J120*INDEX('PORTIFÓLIO'!$S$4:$S$433,MATCH($C120,'PORTIFÓLIO'!$C$4:$C$433,0)),"")</f>
        <v/>
      </c>
      <c r="M120" s="177" t="n"/>
      <c r="N120" s="177" t="n"/>
      <c r="O120" s="177" t="n"/>
      <c r="P120" s="177" t="n"/>
      <c r="Q120" s="177" t="n"/>
      <c r="R120" s="177" t="n"/>
      <c r="S120" s="177" t="n"/>
      <c r="T120" s="177" t="n"/>
      <c r="U120" s="177" t="n"/>
      <c r="V120" s="177" t="n"/>
      <c r="W120" s="177" t="n"/>
    </row>
    <row r="121" outlineLevel="1" ht="15.75" customHeight="1" s="297">
      <c r="A121" s="190" t="n"/>
      <c r="B121" s="204" t="n"/>
      <c r="C121" s="191" t="n"/>
      <c r="D121" s="205">
        <f>IFERROR(VLOOKUP($C121,'PORTIFÓLIO'!C:V,2,0),"")</f>
        <v/>
      </c>
      <c r="E121" s="190">
        <f>IFERROR(VLOOKUP($C121,'PORTIFÓLIO'!C:V,3,0),"")</f>
        <v/>
      </c>
      <c r="F121" s="190">
        <f>IFERROR(VLOOKUP($C121,'PORTIFÓLIO'!C:V,4,0),"")</f>
        <v/>
      </c>
      <c r="G121" s="206">
        <f>IFERROR(VLOOKUP($C121,'PORTIFÓLIO'!C:V,5,0),"")</f>
        <v/>
      </c>
      <c r="H121" s="247">
        <f t="array" ref="H121">IFERROR(INDEX('PORTIFÓLIO'!$H$4:$H$433,MATCH($C121,'PORTIFÓLIO'!$C$4:$C$433,0)),"")</f>
        <v/>
      </c>
      <c r="I121" s="253" t="n"/>
      <c r="J121" s="209">
        <f>I121*$B$2</f>
        <v/>
      </c>
      <c r="K121" s="210">
        <f t="array" ref="K121">IFERROR(I121*INDEX('PORTIFÓLIO'!$S$4:$S$433,MATCH($C121,'PORTIFÓLIO'!$C$4:$C$433,0)),"")</f>
        <v/>
      </c>
      <c r="L121" s="210">
        <f t="array" ref="L121">IFERROR(J121*INDEX('PORTIFÓLIO'!$S$4:$S$433,MATCH($C121,'PORTIFÓLIO'!$C$4:$C$433,0)),"")</f>
        <v/>
      </c>
      <c r="M121" s="177" t="n"/>
      <c r="N121" s="177" t="n"/>
      <c r="O121" s="177" t="n"/>
      <c r="P121" s="177" t="n"/>
      <c r="Q121" s="177" t="n"/>
      <c r="R121" s="177" t="n"/>
      <c r="S121" s="177" t="n"/>
      <c r="T121" s="177" t="n"/>
      <c r="U121" s="177" t="n"/>
      <c r="V121" s="177" t="n"/>
      <c r="W121" s="177" t="n"/>
    </row>
    <row r="122" outlineLevel="1" ht="15.75" customHeight="1" s="297">
      <c r="A122" s="190" t="n"/>
      <c r="B122" s="204" t="n"/>
      <c r="C122" s="191" t="n"/>
      <c r="D122" s="205">
        <f>IFERROR(VLOOKUP($C122,'PORTIFÓLIO'!C:V,2,0),"")</f>
        <v/>
      </c>
      <c r="E122" s="190">
        <f>IFERROR(VLOOKUP($C122,'PORTIFÓLIO'!C:V,3,0),"")</f>
        <v/>
      </c>
      <c r="F122" s="190">
        <f>IFERROR(VLOOKUP($C122,'PORTIFÓLIO'!C:V,4,0),"")</f>
        <v/>
      </c>
      <c r="G122" s="206">
        <f>IFERROR(VLOOKUP($C122,'PORTIFÓLIO'!C:V,5,0),"")</f>
        <v/>
      </c>
      <c r="H122" s="247">
        <f t="array" ref="H122">IFERROR(INDEX('PORTIFÓLIO'!$H$4:$H$433,MATCH($C122,'PORTIFÓLIO'!$C$4:$C$433,0)),"")</f>
        <v/>
      </c>
      <c r="I122" s="253" t="n"/>
      <c r="J122" s="209">
        <f>I122*$B$2</f>
        <v/>
      </c>
      <c r="K122" s="210">
        <f t="array" ref="K122">IFERROR(I122*INDEX('PORTIFÓLIO'!$S$4:$S$433,MATCH($C122,'PORTIFÓLIO'!$C$4:$C$433,0)),"")</f>
        <v/>
      </c>
      <c r="L122" s="210">
        <f t="array" ref="L122">IFERROR(J122*INDEX('PORTIFÓLIO'!$S$4:$S$433,MATCH($C122,'PORTIFÓLIO'!$C$4:$C$433,0)),"")</f>
        <v/>
      </c>
      <c r="M122" s="177" t="n"/>
      <c r="N122" s="177" t="n"/>
      <c r="O122" s="177" t="n"/>
      <c r="P122" s="177" t="n"/>
      <c r="Q122" s="177" t="n"/>
      <c r="R122" s="177" t="n"/>
      <c r="S122" s="177" t="n"/>
      <c r="T122" s="177" t="n"/>
      <c r="U122" s="177" t="n"/>
      <c r="V122" s="177" t="n"/>
      <c r="W122" s="177" t="n"/>
    </row>
    <row r="123" outlineLevel="1" ht="15.75" customHeight="1" s="297">
      <c r="A123" s="190" t="n"/>
      <c r="B123" s="204" t="n"/>
      <c r="C123" s="191" t="n"/>
      <c r="D123" s="205">
        <f>IFERROR(VLOOKUP($C123,'PORTIFÓLIO'!C:V,2,0),"")</f>
        <v/>
      </c>
      <c r="E123" s="190">
        <f>IFERROR(VLOOKUP($C123,'PORTIFÓLIO'!C:V,3,0),"")</f>
        <v/>
      </c>
      <c r="F123" s="190">
        <f>IFERROR(VLOOKUP($C123,'PORTIFÓLIO'!C:V,4,0),"")</f>
        <v/>
      </c>
      <c r="G123" s="206">
        <f>IFERROR(VLOOKUP($C123,'PORTIFÓLIO'!C:V,5,0),"")</f>
        <v/>
      </c>
      <c r="H123" s="247">
        <f t="array" ref="H123">IFERROR(INDEX('PORTIFÓLIO'!$H$4:$H$433,MATCH($C123,'PORTIFÓLIO'!$C$4:$C$433,0)),"")</f>
        <v/>
      </c>
      <c r="I123" s="253" t="n"/>
      <c r="J123" s="209">
        <f>I123*$B$2</f>
        <v/>
      </c>
      <c r="K123" s="210">
        <f t="array" ref="K123">IFERROR(I123*INDEX('PORTIFÓLIO'!$S$4:$S$433,MATCH($C123,'PORTIFÓLIO'!$C$4:$C$433,0)),"")</f>
        <v/>
      </c>
      <c r="L123" s="210">
        <f t="array" ref="L123">IFERROR(J123*INDEX('PORTIFÓLIO'!$S$4:$S$433,MATCH($C123,'PORTIFÓLIO'!$C$4:$C$433,0)),"")</f>
        <v/>
      </c>
      <c r="M123" s="177" t="n"/>
      <c r="N123" s="177" t="n"/>
      <c r="O123" s="177" t="n"/>
      <c r="P123" s="177" t="n"/>
      <c r="Q123" s="177" t="n"/>
      <c r="R123" s="177" t="n"/>
      <c r="S123" s="177" t="n"/>
      <c r="T123" s="177" t="n"/>
      <c r="U123" s="177" t="n"/>
      <c r="V123" s="177" t="n"/>
      <c r="W123" s="177" t="n"/>
    </row>
    <row r="124" outlineLevel="1" ht="15.75" customHeight="1" s="297">
      <c r="A124" s="190" t="n"/>
      <c r="B124" s="204" t="n"/>
      <c r="C124" s="191" t="n"/>
      <c r="D124" s="205">
        <f>IFERROR(VLOOKUP($C124,'PORTIFÓLIO'!C:V,2,0),"")</f>
        <v/>
      </c>
      <c r="E124" s="190">
        <f>IFERROR(VLOOKUP($C124,'PORTIFÓLIO'!C:V,3,0),"")</f>
        <v/>
      </c>
      <c r="F124" s="190">
        <f>IFERROR(VLOOKUP($C124,'PORTIFÓLIO'!C:V,4,0),"")</f>
        <v/>
      </c>
      <c r="G124" s="206">
        <f>IFERROR(VLOOKUP($C124,'PORTIFÓLIO'!C:V,5,0),"")</f>
        <v/>
      </c>
      <c r="H124" s="247">
        <f t="array" ref="H124">IFERROR(INDEX('PORTIFÓLIO'!$H$4:$H$433,MATCH($C124,'PORTIFÓLIO'!$C$4:$C$433,0)),"")</f>
        <v/>
      </c>
      <c r="I124" s="257" t="n"/>
      <c r="J124" s="209">
        <f>I124*$B$2</f>
        <v/>
      </c>
      <c r="K124" s="210">
        <f t="array" ref="K124">IFERROR(I124*INDEX('PORTIFÓLIO'!$S$4:$S$433,MATCH($C124,'PORTIFÓLIO'!$C$4:$C$433,0)),"")</f>
        <v/>
      </c>
      <c r="L124" s="210">
        <f t="array" ref="L124">IFERROR(J124*INDEX('PORTIFÓLIO'!$S$4:$S$433,MATCH($C124,'PORTIFÓLIO'!$C$4:$C$433,0)),"")</f>
        <v/>
      </c>
      <c r="M124" s="177" t="n"/>
      <c r="N124" s="177" t="n"/>
      <c r="O124" s="177" t="n"/>
      <c r="P124" s="177" t="n"/>
      <c r="Q124" s="177" t="n"/>
      <c r="R124" s="177" t="n"/>
      <c r="S124" s="177" t="n"/>
      <c r="T124" s="177" t="n"/>
      <c r="U124" s="177" t="n"/>
      <c r="V124" s="177" t="n"/>
      <c r="W124" s="177" t="n"/>
    </row>
    <row r="125" outlineLevel="1" ht="15.75" customHeight="1" s="297">
      <c r="A125" s="190" t="n"/>
      <c r="B125" s="204" t="n"/>
      <c r="C125" s="191" t="n"/>
      <c r="D125" s="205">
        <f>IFERROR(VLOOKUP($C125,'PORTIFÓLIO'!C:V,2,0),"")</f>
        <v/>
      </c>
      <c r="E125" s="190">
        <f>IFERROR(VLOOKUP($C125,'PORTIFÓLIO'!C:V,3,0),"")</f>
        <v/>
      </c>
      <c r="F125" s="190">
        <f>IFERROR(VLOOKUP($C125,'PORTIFÓLIO'!C:V,4,0),"")</f>
        <v/>
      </c>
      <c r="G125" s="206">
        <f>IFERROR(VLOOKUP($C125,'PORTIFÓLIO'!C:V,5,0),"")</f>
        <v/>
      </c>
      <c r="H125" s="247">
        <f t="array" ref="H125">IFERROR(INDEX('PORTIFÓLIO'!$H$4:$H$433,MATCH($C125,'PORTIFÓLIO'!$C$4:$C$433,0)),"")</f>
        <v/>
      </c>
      <c r="I125" s="257" t="n"/>
      <c r="J125" s="209">
        <f>I125*$B$2</f>
        <v/>
      </c>
      <c r="K125" s="210">
        <f t="array" ref="K125">IFERROR(I125*INDEX('PORTIFÓLIO'!$S$4:$S$433,MATCH($C125,'PORTIFÓLIO'!$C$4:$C$433,0)),"")</f>
        <v/>
      </c>
      <c r="L125" s="210">
        <f t="array" ref="L125">IFERROR(J125*INDEX('PORTIFÓLIO'!$S$4:$S$433,MATCH($C125,'PORTIFÓLIO'!$C$4:$C$433,0)),"")</f>
        <v/>
      </c>
      <c r="M125" s="177" t="n"/>
      <c r="N125" s="177" t="n"/>
      <c r="O125" s="177" t="n"/>
      <c r="P125" s="177" t="n"/>
      <c r="Q125" s="177" t="n"/>
      <c r="R125" s="177" t="n"/>
      <c r="S125" s="177" t="n"/>
      <c r="T125" s="177" t="n"/>
      <c r="U125" s="177" t="n"/>
      <c r="V125" s="177" t="n"/>
      <c r="W125" s="177" t="n"/>
    </row>
    <row r="126" outlineLevel="1" ht="15.75" customHeight="1" s="297">
      <c r="A126" s="190" t="n"/>
      <c r="B126" s="204" t="n"/>
      <c r="C126" s="191" t="n"/>
      <c r="D126" s="205">
        <f>IFERROR(VLOOKUP($C126,'PORTIFÓLIO'!C:V,2,0),"")</f>
        <v/>
      </c>
      <c r="E126" s="190">
        <f>IFERROR(VLOOKUP($C126,'PORTIFÓLIO'!C:V,3,0),"")</f>
        <v/>
      </c>
      <c r="F126" s="190">
        <f>IFERROR(VLOOKUP($C126,'PORTIFÓLIO'!C:V,4,0),"")</f>
        <v/>
      </c>
      <c r="G126" s="206">
        <f>IFERROR(VLOOKUP($C126,'PORTIFÓLIO'!C:V,5,0),"")</f>
        <v/>
      </c>
      <c r="H126" s="247">
        <f t="array" ref="H126">IFERROR(INDEX('PORTIFÓLIO'!$H$4:$H$433,MATCH($C126,'PORTIFÓLIO'!$C$4:$C$433,0)),"")</f>
        <v/>
      </c>
      <c r="I126" s="257" t="n"/>
      <c r="J126" s="209">
        <f>I126*$B$2</f>
        <v/>
      </c>
      <c r="K126" s="210">
        <f t="array" ref="K126">IFERROR(I126*INDEX('PORTIFÓLIO'!$S$4:$S$433,MATCH($C126,'PORTIFÓLIO'!$C$4:$C$433,0)),"")</f>
        <v/>
      </c>
      <c r="L126" s="210">
        <f t="array" ref="L126">IFERROR(J126*INDEX('PORTIFÓLIO'!$S$4:$S$433,MATCH($C126,'PORTIFÓLIO'!$C$4:$C$433,0)),"")</f>
        <v/>
      </c>
      <c r="M126" s="177" t="n"/>
      <c r="N126" s="177" t="n"/>
      <c r="O126" s="177" t="n"/>
      <c r="P126" s="177" t="n"/>
      <c r="Q126" s="177" t="n"/>
      <c r="R126" s="177" t="n"/>
      <c r="S126" s="177" t="n"/>
      <c r="T126" s="177" t="n"/>
      <c r="U126" s="177" t="n"/>
      <c r="V126" s="177" t="n"/>
      <c r="W126" s="177" t="n"/>
    </row>
    <row r="127" outlineLevel="1" ht="15.75" customHeight="1" s="297">
      <c r="A127" s="190" t="n"/>
      <c r="B127" s="204" t="n"/>
      <c r="C127" s="191" t="n"/>
      <c r="D127" s="205">
        <f>IFERROR(VLOOKUP($C127,'PORTIFÓLIO'!C:V,2,0),"")</f>
        <v/>
      </c>
      <c r="E127" s="190">
        <f>IFERROR(VLOOKUP($C127,'PORTIFÓLIO'!C:V,3,0),"")</f>
        <v/>
      </c>
      <c r="F127" s="190">
        <f>IFERROR(VLOOKUP($C127,'PORTIFÓLIO'!C:V,4,0),"")</f>
        <v/>
      </c>
      <c r="G127" s="206">
        <f>IFERROR(VLOOKUP($C127,'PORTIFÓLIO'!C:V,5,0),"")</f>
        <v/>
      </c>
      <c r="H127" s="247">
        <f t="array" ref="H127">IFERROR(INDEX('PORTIFÓLIO'!$H$4:$H$433,MATCH($C127,'PORTIFÓLIO'!$C$4:$C$433,0)),"")</f>
        <v/>
      </c>
      <c r="I127" s="257" t="n"/>
      <c r="J127" s="209">
        <f>I127*$B$2</f>
        <v/>
      </c>
      <c r="K127" s="210">
        <f t="array" ref="K127">IFERROR(I127*INDEX('PORTIFÓLIO'!$S$4:$S$433,MATCH($C127,'PORTIFÓLIO'!$C$4:$C$433,0)),"")</f>
        <v/>
      </c>
      <c r="L127" s="210">
        <f t="array" ref="L127">IFERROR(J127*INDEX('PORTIFÓLIO'!$S$4:$S$433,MATCH($C127,'PORTIFÓLIO'!$C$4:$C$433,0)),"")</f>
        <v/>
      </c>
      <c r="M127" s="177" t="n"/>
      <c r="N127" s="177" t="n"/>
      <c r="O127" s="177" t="n"/>
      <c r="P127" s="177" t="n"/>
      <c r="Q127" s="177" t="n"/>
      <c r="R127" s="177" t="n"/>
      <c r="S127" s="177" t="n"/>
      <c r="T127" s="177" t="n"/>
      <c r="U127" s="177" t="n"/>
      <c r="V127" s="177" t="n"/>
      <c r="W127" s="177" t="n"/>
    </row>
    <row r="128" outlineLevel="1" ht="15.75" customHeight="1" s="297">
      <c r="A128" s="190" t="n"/>
      <c r="B128" s="204" t="n"/>
      <c r="C128" s="191" t="n"/>
      <c r="D128" s="205">
        <f>IFERROR(VLOOKUP($C128,'PORTIFÓLIO'!C:V,2,0),"")</f>
        <v/>
      </c>
      <c r="E128" s="190">
        <f>IFERROR(VLOOKUP($C128,'PORTIFÓLIO'!C:V,3,0),"")</f>
        <v/>
      </c>
      <c r="F128" s="190">
        <f>IFERROR(VLOOKUP($C128,'PORTIFÓLIO'!C:V,4,0),"")</f>
        <v/>
      </c>
      <c r="G128" s="206">
        <f>IFERROR(VLOOKUP($C128,'PORTIFÓLIO'!C:V,5,0),"")</f>
        <v/>
      </c>
      <c r="H128" s="247">
        <f t="array" ref="H128">IFERROR(INDEX('PORTIFÓLIO'!$H$4:$H$433,MATCH($C128,'PORTIFÓLIO'!$C$4:$C$433,0)),"")</f>
        <v/>
      </c>
      <c r="I128" s="257" t="n"/>
      <c r="J128" s="209">
        <f>I128*$B$2</f>
        <v/>
      </c>
      <c r="K128" s="210">
        <f t="array" ref="K128">IFERROR(I128*INDEX('PORTIFÓLIO'!$S$4:$S$433,MATCH($C128,'PORTIFÓLIO'!$C$4:$C$433,0)),"")</f>
        <v/>
      </c>
      <c r="L128" s="210">
        <f t="array" ref="L128">IFERROR(J128*INDEX('PORTIFÓLIO'!$S$4:$S$433,MATCH($C128,'PORTIFÓLIO'!$C$4:$C$433,0)),"")</f>
        <v/>
      </c>
      <c r="M128" s="177" t="n"/>
      <c r="N128" s="177" t="n"/>
      <c r="O128" s="177" t="n"/>
      <c r="P128" s="177" t="n"/>
      <c r="Q128" s="177" t="n"/>
      <c r="R128" s="177" t="n"/>
      <c r="S128" s="177" t="n"/>
      <c r="T128" s="177" t="n"/>
      <c r="U128" s="177" t="n"/>
      <c r="V128" s="177" t="n"/>
      <c r="W128" s="177" t="n"/>
    </row>
    <row r="129" outlineLevel="1" ht="15.75" customHeight="1" s="297">
      <c r="A129" s="190" t="n"/>
      <c r="B129" s="204" t="n"/>
      <c r="C129" s="191" t="n"/>
      <c r="D129" s="205">
        <f>IFERROR(VLOOKUP($C129,'PORTIFÓLIO'!C:V,2,0),"")</f>
        <v/>
      </c>
      <c r="E129" s="190">
        <f>IFERROR(VLOOKUP($C129,'PORTIFÓLIO'!C:V,3,0),"")</f>
        <v/>
      </c>
      <c r="F129" s="190">
        <f>IFERROR(VLOOKUP($C129,'PORTIFÓLIO'!C:V,4,0),"")</f>
        <v/>
      </c>
      <c r="G129" s="206">
        <f>IFERROR(VLOOKUP($C129,'PORTIFÓLIO'!C:V,5,0),"")</f>
        <v/>
      </c>
      <c r="H129" s="247">
        <f t="array" ref="H129">IFERROR(INDEX('PORTIFÓLIO'!$H$4:$H$433,MATCH($C129,'PORTIFÓLIO'!$C$4:$C$433,0)),"")</f>
        <v/>
      </c>
      <c r="I129" s="257" t="n"/>
      <c r="J129" s="209">
        <f>I129*$B$2</f>
        <v/>
      </c>
      <c r="K129" s="210">
        <f t="array" ref="K129">IFERROR(I129*INDEX('PORTIFÓLIO'!$S$4:$S$433,MATCH($C129,'PORTIFÓLIO'!$C$4:$C$433,0)),"")</f>
        <v/>
      </c>
      <c r="L129" s="210">
        <f t="array" ref="L129">IFERROR(J129*INDEX('PORTIFÓLIO'!$S$4:$S$433,MATCH($C129,'PORTIFÓLIO'!$C$4:$C$433,0)),"")</f>
        <v/>
      </c>
      <c r="M129" s="177" t="n"/>
      <c r="N129" s="177" t="n"/>
      <c r="O129" s="177" t="n"/>
      <c r="P129" s="177" t="n"/>
      <c r="Q129" s="177" t="n"/>
      <c r="R129" s="177" t="n"/>
      <c r="S129" s="177" t="n"/>
      <c r="T129" s="177" t="n"/>
      <c r="U129" s="177" t="n"/>
      <c r="V129" s="177" t="n"/>
      <c r="W129" s="177" t="n"/>
    </row>
    <row r="130" outlineLevel="1" ht="15.75" customHeight="1" s="297">
      <c r="A130" s="190" t="n"/>
      <c r="B130" s="238" t="n"/>
      <c r="C130" s="190" t="n"/>
      <c r="D130" s="205">
        <f>IFERROR(VLOOKUP($C130,'PORTIFÓLIO'!C:V,2,0),"")</f>
        <v/>
      </c>
      <c r="E130" s="190">
        <f>IFERROR(VLOOKUP($C130,'PORTIFÓLIO'!C:V,3,0),"")</f>
        <v/>
      </c>
      <c r="F130" s="190">
        <f>IFERROR(VLOOKUP($C130,'PORTIFÓLIO'!C:V,4,0),"")</f>
        <v/>
      </c>
      <c r="G130" s="206">
        <f>IFERROR(VLOOKUP($C130,'PORTIFÓLIO'!C:V,5,0),"")</f>
        <v/>
      </c>
      <c r="H130" s="247">
        <f t="array" ref="H130">IFERROR(INDEX('PORTIFÓLIO'!$H$4:$H$433,MATCH($C130,'PORTIFÓLIO'!$C$4:$C$433,0)),"")</f>
        <v/>
      </c>
      <c r="I130" s="257" t="n"/>
      <c r="J130" s="209" t="n"/>
      <c r="K130" s="210">
        <f t="array" ref="K130">IFERROR(I130*INDEX('PORTIFÓLIO'!$S$4:$S$433,MATCH($C130,'PORTIFÓLIO'!$C$4:$C$433,0)),"")</f>
        <v/>
      </c>
      <c r="L130" s="210">
        <f t="array" ref="L130">IFERROR(J130*INDEX('PORTIFÓLIO'!$S$4:$S$433,MATCH($C130,'PORTIFÓLIO'!$C$4:$C$433,0)),"")</f>
        <v/>
      </c>
      <c r="M130" s="177" t="n"/>
      <c r="N130" s="177" t="n"/>
      <c r="O130" s="177" t="n"/>
      <c r="P130" s="177" t="n"/>
      <c r="Q130" s="177" t="n"/>
      <c r="R130" s="177" t="n"/>
      <c r="S130" s="177" t="n"/>
      <c r="T130" s="177" t="n"/>
      <c r="U130" s="177" t="n"/>
      <c r="V130" s="177" t="n"/>
      <c r="W130" s="177" t="n"/>
    </row>
    <row r="131" ht="15.75" customHeight="1" s="297">
      <c r="A131" s="221" t="inlineStr">
        <is>
          <t>OPERAÇÃO 8</t>
        </is>
      </c>
      <c r="B131" s="197" t="n"/>
      <c r="C131" s="196" t="n"/>
      <c r="D131" s="198" t="n"/>
      <c r="E131" s="196" t="n"/>
      <c r="F131" s="196" t="n"/>
      <c r="G131" s="199" t="n"/>
      <c r="H131" s="199" t="n"/>
      <c r="I131" s="252" t="n"/>
      <c r="J131" s="202" t="n"/>
      <c r="K131" s="203">
        <f>SUBTOTAL(9,K132:K145)</f>
        <v/>
      </c>
      <c r="L131" s="203">
        <f>SUBTOTAL(9,L132:L145)</f>
        <v/>
      </c>
      <c r="M131" s="177" t="n"/>
      <c r="N131" s="177" t="n"/>
      <c r="O131" s="177" t="n"/>
      <c r="P131" s="177" t="n"/>
      <c r="Q131" s="177" t="n"/>
      <c r="R131" s="177" t="n"/>
      <c r="S131" s="177" t="n"/>
      <c r="T131" s="177" t="n"/>
      <c r="U131" s="177" t="n"/>
      <c r="V131" s="177" t="n"/>
      <c r="W131" s="177" t="n"/>
    </row>
    <row r="132" outlineLevel="1" ht="15.75" customHeight="1" s="297">
      <c r="A132" s="191" t="n"/>
      <c r="B132" s="204" t="inlineStr">
        <is>
          <t>FUNGICIDA</t>
        </is>
      </c>
      <c r="C132" s="191" t="inlineStr">
        <is>
          <t>APROACH POWER</t>
        </is>
      </c>
      <c r="D132" s="205">
        <f>IFERROR(VLOOKUP($C132,'PORTIFÓLIO'!C:V,2,0),"")</f>
        <v/>
      </c>
      <c r="E132" s="190">
        <f>IFERROR(VLOOKUP($C132,'PORTIFÓLIO'!C:V,3,0),"")</f>
        <v/>
      </c>
      <c r="F132" s="190">
        <f>IFERROR(VLOOKUP($C132,'PORTIFÓLIO'!C:V,4,0),"")</f>
        <v/>
      </c>
      <c r="G132" s="223">
        <f>IFERROR(VLOOKUP($C132,'PORTIFÓLIO'!C:V,5,0),"")</f>
        <v/>
      </c>
      <c r="H132" s="247">
        <f t="array" ref="H132">IFERROR(INDEX('PORTIFÓLIO'!$H$4:$H$433,MATCH($C132,'PORTIFÓLIO'!$C$4:$C$433,0)),"")</f>
        <v/>
      </c>
      <c r="I132" s="253" t="n">
        <v>0.6</v>
      </c>
      <c r="J132" s="209">
        <f>I132*$B$2</f>
        <v/>
      </c>
      <c r="K132" s="210">
        <f t="array" ref="K132">IFERROR(I132*INDEX('PORTIFÓLIO'!$S$4:$S$433,MATCH($C132,'PORTIFÓLIO'!$C$4:$C$433,0)),"")</f>
        <v/>
      </c>
      <c r="L132" s="210">
        <f t="array" ref="L132">IFERROR(J132*INDEX('PORTIFÓLIO'!$S$4:$S$433,MATCH($C132,'PORTIFÓLIO'!$C$4:$C$433,0)),"")</f>
        <v/>
      </c>
      <c r="M132" s="177" t="n"/>
      <c r="N132" s="177" t="n"/>
      <c r="O132" s="177" t="n"/>
      <c r="P132" s="177" t="n"/>
      <c r="Q132" s="177" t="n"/>
      <c r="R132" s="177" t="n"/>
      <c r="S132" s="177" t="n"/>
      <c r="T132" s="177" t="n"/>
      <c r="U132" s="177" t="n"/>
      <c r="V132" s="177" t="n"/>
      <c r="W132" s="177" t="n"/>
    </row>
    <row r="133" outlineLevel="1" ht="15.75" customHeight="1" s="297">
      <c r="A133" s="190" t="n"/>
      <c r="B133" s="204" t="inlineStr">
        <is>
          <t>FUNGICIDA</t>
        </is>
      </c>
      <c r="C133" s="191" t="inlineStr">
        <is>
          <t>MANCOZEB CCAB 750 WG</t>
        </is>
      </c>
      <c r="D133" s="205">
        <f>IFERROR(VLOOKUP($C133,'PORTIFÓLIO'!C:V,2,0),"")</f>
        <v/>
      </c>
      <c r="E133" s="190">
        <f>IFERROR(VLOOKUP($C133,'PORTIFÓLIO'!C:V,3,0),"")</f>
        <v/>
      </c>
      <c r="F133" s="190">
        <f>IFERROR(VLOOKUP($C133,'PORTIFÓLIO'!C:V,4,0),"")</f>
        <v/>
      </c>
      <c r="G133" s="223">
        <f>IFERROR(VLOOKUP($C133,'PORTIFÓLIO'!C:V,5,0),"")</f>
        <v/>
      </c>
      <c r="H133" s="247">
        <f t="array" ref="H133">IFERROR(INDEX('PORTIFÓLIO'!$H$4:$H$433,MATCH($C133,'PORTIFÓLIO'!$C$4:$C$433,0)),"")</f>
        <v/>
      </c>
      <c r="I133" s="253" t="n">
        <v>1.5</v>
      </c>
      <c r="J133" s="209">
        <f>I133*$B$2</f>
        <v/>
      </c>
      <c r="K133" s="210">
        <f t="array" ref="K133">IFERROR(I133*INDEX('PORTIFÓLIO'!$S$4:$S$433,MATCH($C133,'PORTIFÓLIO'!$C$4:$C$433,0)),"")</f>
        <v/>
      </c>
      <c r="L133" s="210">
        <f t="array" ref="L133">IFERROR(J133*INDEX('PORTIFÓLIO'!$S$4:$S$433,MATCH($C133,'PORTIFÓLIO'!$C$4:$C$433,0)),"")</f>
        <v/>
      </c>
      <c r="M133" s="177" t="n"/>
      <c r="N133" s="177" t="n"/>
      <c r="O133" s="177" t="n"/>
      <c r="P133" s="177" t="n"/>
      <c r="Q133" s="177" t="n"/>
      <c r="R133" s="177" t="n"/>
      <c r="S133" s="177" t="n"/>
      <c r="T133" s="177" t="n"/>
      <c r="U133" s="177" t="n"/>
      <c r="V133" s="177" t="n"/>
      <c r="W133" s="177" t="n"/>
    </row>
    <row r="134" outlineLevel="1" ht="15.75" customHeight="1" s="297">
      <c r="A134" s="190" t="n"/>
      <c r="B134" s="204" t="inlineStr">
        <is>
          <t>INSETICIDA</t>
        </is>
      </c>
      <c r="C134" s="191" t="inlineStr">
        <is>
          <t>VERDAVIS</t>
        </is>
      </c>
      <c r="D134" s="205">
        <f>IFERROR(VLOOKUP($C134,'PORTIFÓLIO'!C:V,2,0),"")</f>
        <v/>
      </c>
      <c r="E134" s="190">
        <f>IFERROR(VLOOKUP($C134,'PORTIFÓLIO'!C:V,3,0),"")</f>
        <v/>
      </c>
      <c r="F134" s="190">
        <f>IFERROR(VLOOKUP($C134,'PORTIFÓLIO'!C:V,4,0),"")</f>
        <v/>
      </c>
      <c r="G134" s="223">
        <f>IFERROR(VLOOKUP($C134,'PORTIFÓLIO'!C:V,5,0),"")</f>
        <v/>
      </c>
      <c r="H134" s="247">
        <f t="array" ref="H134">IFERROR(INDEX('PORTIFÓLIO'!$H$4:$H$433,MATCH($C134,'PORTIFÓLIO'!$C$4:$C$433,0)),"")</f>
        <v/>
      </c>
      <c r="I134" s="253" t="n">
        <v>0.25</v>
      </c>
      <c r="J134" s="209">
        <f>I134*$B$2</f>
        <v/>
      </c>
      <c r="K134" s="210">
        <f t="array" ref="K134">IFERROR(I134*INDEX('PORTIFÓLIO'!$S$4:$S$433,MATCH($C134,'PORTIFÓLIO'!$C$4:$C$433,0)),"")</f>
        <v/>
      </c>
      <c r="L134" s="210">
        <f t="array" ref="L134">IFERROR(J134*INDEX('PORTIFÓLIO'!$S$4:$S$433,MATCH($C134,'PORTIFÓLIO'!$C$4:$C$433,0)),"")</f>
        <v/>
      </c>
      <c r="M134" s="177" t="n"/>
      <c r="N134" s="177" t="n"/>
      <c r="O134" s="177" t="n"/>
      <c r="P134" s="177" t="n"/>
      <c r="Q134" s="177" t="n"/>
      <c r="R134" s="177" t="n"/>
      <c r="S134" s="177" t="n"/>
      <c r="T134" s="177" t="n"/>
      <c r="U134" s="177" t="n"/>
      <c r="V134" s="177" t="n"/>
      <c r="W134" s="177" t="n"/>
    </row>
    <row r="135" outlineLevel="1" ht="15.75" customHeight="1" s="297">
      <c r="A135" s="190" t="n"/>
      <c r="B135" s="204" t="inlineStr">
        <is>
          <t>ADJUVANTE</t>
        </is>
      </c>
      <c r="C135" s="191" t="inlineStr">
        <is>
          <t>AUREO</t>
        </is>
      </c>
      <c r="D135" s="205">
        <f>IFERROR(VLOOKUP($C135,'PORTIFÓLIO'!C:V,2,0),"")</f>
        <v/>
      </c>
      <c r="E135" s="190">
        <f>IFERROR(VLOOKUP($C135,'PORTIFÓLIO'!C:V,3,0),"")</f>
        <v/>
      </c>
      <c r="F135" s="190">
        <f>IFERROR(VLOOKUP($C135,'PORTIFÓLIO'!C:V,4,0),"")</f>
        <v/>
      </c>
      <c r="G135" s="223">
        <f>IFERROR(VLOOKUP($C135,'PORTIFÓLIO'!C:V,5,0),"")</f>
        <v/>
      </c>
      <c r="H135" s="247">
        <f t="array" ref="H135">IFERROR(INDEX('PORTIFÓLIO'!$H$4:$H$433,MATCH($C135,'PORTIFÓLIO'!$C$4:$C$433,0)),"")</f>
        <v/>
      </c>
      <c r="I135" s="253" t="n">
        <v>0.2</v>
      </c>
      <c r="J135" s="209">
        <f>I135*$B$2</f>
        <v/>
      </c>
      <c r="K135" s="210">
        <f t="array" ref="K135">IFERROR(I135*INDEX('PORTIFÓLIO'!$S$4:$S$433,MATCH($C135,'PORTIFÓLIO'!$C$4:$C$433,0)),"")</f>
        <v/>
      </c>
      <c r="L135" s="210">
        <f t="array" ref="L135">IFERROR(J135*INDEX('PORTIFÓLIO'!$S$4:$S$433,MATCH($C135,'PORTIFÓLIO'!$C$4:$C$433,0)),"")</f>
        <v/>
      </c>
      <c r="M135" s="177" t="n"/>
      <c r="N135" s="177" t="n"/>
      <c r="O135" s="177" t="n"/>
      <c r="P135" s="177" t="n"/>
      <c r="Q135" s="177" t="n"/>
      <c r="R135" s="177" t="n"/>
      <c r="S135" s="177" t="n"/>
      <c r="T135" s="177" t="n"/>
      <c r="U135" s="177" t="n"/>
      <c r="V135" s="177" t="n"/>
      <c r="W135" s="177" t="n"/>
    </row>
    <row r="136" outlineLevel="1" ht="15.75" customHeight="1" s="297">
      <c r="A136" s="190" t="n"/>
      <c r="B136" s="204" t="n"/>
      <c r="C136" s="191" t="n"/>
      <c r="D136" s="205">
        <f>IFERROR(VLOOKUP($C136,'PORTIFÓLIO'!C:V,2,0),"")</f>
        <v/>
      </c>
      <c r="E136" s="190">
        <f>IFERROR(VLOOKUP($C136,'PORTIFÓLIO'!C:V,3,0),"")</f>
        <v/>
      </c>
      <c r="F136" s="190">
        <f>IFERROR(VLOOKUP($C136,'PORTIFÓLIO'!C:V,4,0),"")</f>
        <v/>
      </c>
      <c r="G136" s="206">
        <f>IFERROR(VLOOKUP($C136,'PORTIFÓLIO'!C:V,5,0),"")</f>
        <v/>
      </c>
      <c r="H136" s="247">
        <f t="array" ref="H136">IFERROR(INDEX('PORTIFÓLIO'!$H$4:$H$433,MATCH($C136,'PORTIFÓLIO'!$C$4:$C$433,0)),"")</f>
        <v/>
      </c>
      <c r="I136" s="257" t="n"/>
      <c r="J136" s="209">
        <f>I136*$B$2</f>
        <v/>
      </c>
      <c r="K136" s="210">
        <f t="array" ref="K136">IFERROR(I136*INDEX('PORTIFÓLIO'!$S$4:$S$433,MATCH($C136,'PORTIFÓLIO'!$C$4:$C$433,0)),"")</f>
        <v/>
      </c>
      <c r="L136" s="210">
        <f t="array" ref="L136">IFERROR(J136*INDEX('PORTIFÓLIO'!$S$4:$S$433,MATCH($C136,'PORTIFÓLIO'!$C$4:$C$433,0)),"")</f>
        <v/>
      </c>
      <c r="M136" s="177" t="n"/>
      <c r="N136" s="177" t="n"/>
      <c r="O136" s="177" t="n"/>
      <c r="P136" s="177" t="n"/>
      <c r="Q136" s="177" t="n"/>
      <c r="R136" s="177" t="n"/>
      <c r="S136" s="177" t="n"/>
      <c r="T136" s="177" t="n"/>
      <c r="U136" s="177" t="n"/>
      <c r="V136" s="177" t="n"/>
      <c r="W136" s="177" t="n"/>
    </row>
    <row r="137" outlineLevel="1" ht="15.75" customHeight="1" s="297">
      <c r="A137" s="190" t="n"/>
      <c r="B137" s="204" t="n"/>
      <c r="C137" s="191" t="n"/>
      <c r="D137" s="205">
        <f>IFERROR(VLOOKUP($C137,'PORTIFÓLIO'!C:V,2,0),"")</f>
        <v/>
      </c>
      <c r="E137" s="190">
        <f>IFERROR(VLOOKUP($C137,'PORTIFÓLIO'!C:V,3,0),"")</f>
        <v/>
      </c>
      <c r="F137" s="190">
        <f>IFERROR(VLOOKUP($C137,'PORTIFÓLIO'!C:V,4,0),"")</f>
        <v/>
      </c>
      <c r="G137" s="206">
        <f>IFERROR(VLOOKUP($C137,'PORTIFÓLIO'!C:V,5,0),"")</f>
        <v/>
      </c>
      <c r="H137" s="247">
        <f t="array" ref="H137">IFERROR(INDEX('PORTIFÓLIO'!$H$4:$H$433,MATCH($C137,'PORTIFÓLIO'!$C$4:$C$433,0)),"")</f>
        <v/>
      </c>
      <c r="I137" s="257" t="n"/>
      <c r="J137" s="209">
        <f>I137*$B$2</f>
        <v/>
      </c>
      <c r="K137" s="210">
        <f t="array" ref="K137">IFERROR(I137*INDEX('PORTIFÓLIO'!$S$4:$S$433,MATCH($C137,'PORTIFÓLIO'!$C$4:$C$433,0)),"")</f>
        <v/>
      </c>
      <c r="L137" s="210">
        <f t="array" ref="L137">IFERROR(J137*INDEX('PORTIFÓLIO'!$S$4:$S$433,MATCH($C137,'PORTIFÓLIO'!$C$4:$C$433,0)),"")</f>
        <v/>
      </c>
      <c r="M137" s="177" t="n"/>
      <c r="N137" s="177" t="n"/>
      <c r="O137" s="177" t="n"/>
      <c r="P137" s="177" t="n"/>
      <c r="Q137" s="177" t="n"/>
      <c r="R137" s="177" t="n"/>
      <c r="S137" s="177" t="n"/>
      <c r="T137" s="177" t="n"/>
      <c r="U137" s="177" t="n"/>
      <c r="V137" s="177" t="n"/>
      <c r="W137" s="177" t="n"/>
    </row>
    <row r="138" outlineLevel="1" ht="15.75" customHeight="1" s="297">
      <c r="A138" s="190" t="n"/>
      <c r="B138" s="204" t="n"/>
      <c r="C138" s="191" t="n"/>
      <c r="D138" s="205">
        <f>IFERROR(VLOOKUP($C138,'PORTIFÓLIO'!C:V,2,0),"")</f>
        <v/>
      </c>
      <c r="E138" s="190">
        <f>IFERROR(VLOOKUP($C138,'PORTIFÓLIO'!C:V,3,0),"")</f>
        <v/>
      </c>
      <c r="F138" s="190">
        <f>IFERROR(VLOOKUP($C138,'PORTIFÓLIO'!C:V,4,0),"")</f>
        <v/>
      </c>
      <c r="G138" s="206">
        <f>IFERROR(VLOOKUP($C138,'PORTIFÓLIO'!C:V,5,0),"")</f>
        <v/>
      </c>
      <c r="H138" s="247">
        <f t="array" ref="H138">IFERROR(INDEX('PORTIFÓLIO'!$H$4:$H$433,MATCH($C138,'PORTIFÓLIO'!$C$4:$C$433,0)),"")</f>
        <v/>
      </c>
      <c r="I138" s="257" t="n"/>
      <c r="J138" s="209">
        <f>I138*$B$2</f>
        <v/>
      </c>
      <c r="K138" s="210">
        <f t="array" ref="K138">IFERROR(I138*INDEX('PORTIFÓLIO'!$S$4:$S$433,MATCH($C138,'PORTIFÓLIO'!$C$4:$C$433,0)),"")</f>
        <v/>
      </c>
      <c r="L138" s="210">
        <f t="array" ref="L138">IFERROR(J138*INDEX('PORTIFÓLIO'!$S$4:$S$433,MATCH($C138,'PORTIFÓLIO'!$C$4:$C$433,0)),"")</f>
        <v/>
      </c>
      <c r="M138" s="177" t="n"/>
      <c r="N138" s="177" t="n"/>
      <c r="O138" s="177" t="n"/>
      <c r="P138" s="177" t="n"/>
      <c r="Q138" s="177" t="n"/>
      <c r="R138" s="177" t="n"/>
      <c r="S138" s="177" t="n"/>
      <c r="T138" s="177" t="n"/>
      <c r="U138" s="177" t="n"/>
      <c r="V138" s="177" t="n"/>
      <c r="W138" s="177" t="n"/>
    </row>
    <row r="139" outlineLevel="1" ht="15.75" customHeight="1" s="297">
      <c r="A139" s="190" t="n"/>
      <c r="B139" s="204" t="n"/>
      <c r="C139" s="191" t="n"/>
      <c r="D139" s="205">
        <f>IFERROR(VLOOKUP($C139,'PORTIFÓLIO'!C:V,2,0),"")</f>
        <v/>
      </c>
      <c r="E139" s="190">
        <f>IFERROR(VLOOKUP($C139,'PORTIFÓLIO'!C:V,3,0),"")</f>
        <v/>
      </c>
      <c r="F139" s="190">
        <f>IFERROR(VLOOKUP($C139,'PORTIFÓLIO'!C:V,4,0),"")</f>
        <v/>
      </c>
      <c r="G139" s="206">
        <f>IFERROR(VLOOKUP($C139,'PORTIFÓLIO'!C:V,5,0),"")</f>
        <v/>
      </c>
      <c r="H139" s="247">
        <f t="array" ref="H139">IFERROR(INDEX('PORTIFÓLIO'!$H$4:$H$433,MATCH($C139,'PORTIFÓLIO'!$C$4:$C$433,0)),"")</f>
        <v/>
      </c>
      <c r="I139" s="257" t="n"/>
      <c r="J139" s="209">
        <f>I139*$B$2</f>
        <v/>
      </c>
      <c r="K139" s="210">
        <f t="array" ref="K139">IFERROR(I139*INDEX('PORTIFÓLIO'!$S$4:$S$433,MATCH($C139,'PORTIFÓLIO'!$C$4:$C$433,0)),"")</f>
        <v/>
      </c>
      <c r="L139" s="210">
        <f t="array" ref="L139">IFERROR(J139*INDEX('PORTIFÓLIO'!$S$4:$S$433,MATCH($C139,'PORTIFÓLIO'!$C$4:$C$433,0)),"")</f>
        <v/>
      </c>
      <c r="M139" s="177" t="n"/>
      <c r="N139" s="177" t="n"/>
      <c r="O139" s="177" t="n"/>
      <c r="P139" s="177" t="n"/>
      <c r="Q139" s="177" t="n"/>
      <c r="R139" s="177" t="n"/>
      <c r="S139" s="177" t="n"/>
      <c r="T139" s="177" t="n"/>
      <c r="U139" s="177" t="n"/>
      <c r="V139" s="177" t="n"/>
      <c r="W139" s="177" t="n"/>
    </row>
    <row r="140" outlineLevel="1" ht="15.75" customHeight="1" s="297">
      <c r="A140" s="190" t="n"/>
      <c r="B140" s="204" t="n"/>
      <c r="C140" s="191" t="n"/>
      <c r="D140" s="205">
        <f>IFERROR(VLOOKUP($C140,'PORTIFÓLIO'!C:V,2,0),"")</f>
        <v/>
      </c>
      <c r="E140" s="190">
        <f>IFERROR(VLOOKUP($C140,'PORTIFÓLIO'!C:V,3,0),"")</f>
        <v/>
      </c>
      <c r="F140" s="190">
        <f>IFERROR(VLOOKUP($C140,'PORTIFÓLIO'!C:V,4,0),"")</f>
        <v/>
      </c>
      <c r="G140" s="206">
        <f>IFERROR(VLOOKUP($C140,'PORTIFÓLIO'!C:V,5,0),"")</f>
        <v/>
      </c>
      <c r="H140" s="247">
        <f t="array" ref="H140">IFERROR(INDEX('PORTIFÓLIO'!$H$4:$H$433,MATCH($C140,'PORTIFÓLIO'!$C$4:$C$433,0)),"")</f>
        <v/>
      </c>
      <c r="I140" s="253" t="n"/>
      <c r="J140" s="209">
        <f>I140*$B$2</f>
        <v/>
      </c>
      <c r="K140" s="210">
        <f t="array" ref="K140">IFERROR(I140*INDEX('PORTIFÓLIO'!$S$4:$S$433,MATCH($C140,'PORTIFÓLIO'!$C$4:$C$433,0)),"")</f>
        <v/>
      </c>
      <c r="L140" s="210">
        <f t="array" ref="L140">IFERROR(J140*INDEX('PORTIFÓLIO'!$S$4:$S$433,MATCH($C140,'PORTIFÓLIO'!$C$4:$C$433,0)),"")</f>
        <v/>
      </c>
      <c r="M140" s="177" t="n"/>
      <c r="N140" s="177" t="n"/>
      <c r="O140" s="177" t="n"/>
      <c r="P140" s="177" t="n"/>
      <c r="Q140" s="177" t="n"/>
      <c r="R140" s="177" t="n"/>
      <c r="S140" s="177" t="n"/>
      <c r="T140" s="177" t="n"/>
      <c r="U140" s="177" t="n"/>
      <c r="V140" s="177" t="n"/>
      <c r="W140" s="177" t="n"/>
    </row>
    <row r="141" outlineLevel="1" ht="15.75" customHeight="1" s="297">
      <c r="A141" s="190" t="n"/>
      <c r="B141" s="204" t="n"/>
      <c r="C141" s="191" t="n"/>
      <c r="D141" s="205">
        <f>IFERROR(VLOOKUP($C141,'PORTIFÓLIO'!C:V,2,0),"")</f>
        <v/>
      </c>
      <c r="E141" s="190">
        <f>IFERROR(VLOOKUP($C141,'PORTIFÓLIO'!C:V,3,0),"")</f>
        <v/>
      </c>
      <c r="F141" s="190">
        <f>IFERROR(VLOOKUP($C141,'PORTIFÓLIO'!C:V,4,0),"")</f>
        <v/>
      </c>
      <c r="G141" s="206">
        <f>IFERROR(VLOOKUP($C141,'PORTIFÓLIO'!C:V,5,0),"")</f>
        <v/>
      </c>
      <c r="H141" s="247">
        <f t="array" ref="H141">IFERROR(INDEX('PORTIFÓLIO'!$H$4:$H$433,MATCH($C141,'PORTIFÓLIO'!$C$4:$C$433,0)),"")</f>
        <v/>
      </c>
      <c r="I141" s="257" t="n"/>
      <c r="J141" s="209">
        <f>I141*$B$2</f>
        <v/>
      </c>
      <c r="K141" s="210">
        <f t="array" ref="K141">IFERROR(I141*INDEX('PORTIFÓLIO'!$S$4:$S$433,MATCH($C141,'PORTIFÓLIO'!$C$4:$C$433,0)),"")</f>
        <v/>
      </c>
      <c r="L141" s="210">
        <f t="array" ref="L141">IFERROR(J141*INDEX('PORTIFÓLIO'!$S$4:$S$433,MATCH($C141,'PORTIFÓLIO'!$C$4:$C$433,0)),"")</f>
        <v/>
      </c>
      <c r="M141" s="177" t="n"/>
      <c r="N141" s="177" t="n"/>
      <c r="O141" s="177" t="n"/>
      <c r="P141" s="177" t="n"/>
      <c r="Q141" s="177" t="n"/>
      <c r="R141" s="177" t="n"/>
      <c r="S141" s="177" t="n"/>
      <c r="T141" s="177" t="n"/>
      <c r="U141" s="177" t="n"/>
      <c r="V141" s="177" t="n"/>
      <c r="W141" s="177" t="n"/>
    </row>
    <row r="142" outlineLevel="1" ht="15.75" customHeight="1" s="297">
      <c r="A142" s="190" t="n"/>
      <c r="B142" s="204" t="n"/>
      <c r="C142" s="191" t="n"/>
      <c r="D142" s="205">
        <f>IFERROR(VLOOKUP($C142,'PORTIFÓLIO'!C:V,2,0),"")</f>
        <v/>
      </c>
      <c r="E142" s="190">
        <f>IFERROR(VLOOKUP($C142,'PORTIFÓLIO'!C:V,3,0),"")</f>
        <v/>
      </c>
      <c r="F142" s="190">
        <f>IFERROR(VLOOKUP($C142,'PORTIFÓLIO'!C:V,4,0),"")</f>
        <v/>
      </c>
      <c r="G142" s="206">
        <f>IFERROR(VLOOKUP($C142,'PORTIFÓLIO'!C:V,5,0),"")</f>
        <v/>
      </c>
      <c r="H142" s="247">
        <f t="array" ref="H142">IFERROR(INDEX('PORTIFÓLIO'!$H$4:$H$433,MATCH($C142,'PORTIFÓLIO'!$C$4:$C$433,0)),"")</f>
        <v/>
      </c>
      <c r="I142" s="257" t="n"/>
      <c r="J142" s="209">
        <f>I142*$B$2</f>
        <v/>
      </c>
      <c r="K142" s="210">
        <f t="array" ref="K142">IFERROR(I142*INDEX('PORTIFÓLIO'!$S$4:$S$433,MATCH($C142,'PORTIFÓLIO'!$C$4:$C$433,0)),"")</f>
        <v/>
      </c>
      <c r="L142" s="210">
        <f t="array" ref="L142">IFERROR(J142*INDEX('PORTIFÓLIO'!$S$4:$S$433,MATCH($C142,'PORTIFÓLIO'!$C$4:$C$433,0)),"")</f>
        <v/>
      </c>
      <c r="M142" s="177" t="n"/>
      <c r="N142" s="177" t="n"/>
      <c r="O142" s="177" t="n"/>
      <c r="P142" s="177" t="n"/>
      <c r="Q142" s="177" t="n"/>
      <c r="R142" s="177" t="n"/>
      <c r="S142" s="177" t="n"/>
      <c r="T142" s="177" t="n"/>
      <c r="U142" s="177" t="n"/>
      <c r="V142" s="177" t="n"/>
      <c r="W142" s="177" t="n"/>
    </row>
    <row r="143" outlineLevel="1" ht="15.75" customHeight="1" s="297">
      <c r="A143" s="190" t="n"/>
      <c r="B143" s="204" t="n"/>
      <c r="C143" s="191" t="n"/>
      <c r="D143" s="205">
        <f>IFERROR(VLOOKUP($C143,'PORTIFÓLIO'!C:V,2,0),"")</f>
        <v/>
      </c>
      <c r="E143" s="190">
        <f>IFERROR(VLOOKUP($C143,'PORTIFÓLIO'!C:V,3,0),"")</f>
        <v/>
      </c>
      <c r="F143" s="190">
        <f>IFERROR(VLOOKUP($C143,'PORTIFÓLIO'!C:V,4,0),"")</f>
        <v/>
      </c>
      <c r="G143" s="206">
        <f>IFERROR(VLOOKUP($C143,'PORTIFÓLIO'!C:V,5,0),"")</f>
        <v/>
      </c>
      <c r="H143" s="247">
        <f t="array" ref="H143">IFERROR(INDEX('PORTIFÓLIO'!$H$4:$H$433,MATCH($C143,'PORTIFÓLIO'!$C$4:$C$433,0)),"")</f>
        <v/>
      </c>
      <c r="I143" s="257" t="n"/>
      <c r="J143" s="209">
        <f>I143*$B$2</f>
        <v/>
      </c>
      <c r="K143" s="210">
        <f t="array" ref="K143">IFERROR(I143*INDEX('PORTIFÓLIO'!$S$4:$S$433,MATCH($C143,'PORTIFÓLIO'!$C$4:$C$433,0)),"")</f>
        <v/>
      </c>
      <c r="L143" s="210">
        <f t="array" ref="L143">IFERROR(J143*INDEX('PORTIFÓLIO'!$S$4:$S$433,MATCH($C143,'PORTIFÓLIO'!$C$4:$C$433,0)),"")</f>
        <v/>
      </c>
      <c r="M143" s="177" t="n"/>
      <c r="N143" s="177" t="n"/>
      <c r="O143" s="177" t="n"/>
      <c r="P143" s="177" t="n"/>
      <c r="Q143" s="177" t="n"/>
      <c r="R143" s="177" t="n"/>
      <c r="S143" s="177" t="n"/>
      <c r="T143" s="177" t="n"/>
      <c r="U143" s="177" t="n"/>
      <c r="V143" s="177" t="n"/>
      <c r="W143" s="177" t="n"/>
    </row>
    <row r="144" outlineLevel="1" ht="15.75" customHeight="1" s="297">
      <c r="A144" s="190" t="n"/>
      <c r="B144" s="204" t="n"/>
      <c r="C144" s="191" t="n"/>
      <c r="D144" s="205">
        <f>IFERROR(VLOOKUP($C144,'PORTIFÓLIO'!C:V,2,0),"")</f>
        <v/>
      </c>
      <c r="E144" s="190">
        <f>IFERROR(VLOOKUP($C144,'PORTIFÓLIO'!C:V,3,0),"")</f>
        <v/>
      </c>
      <c r="F144" s="190">
        <f>IFERROR(VLOOKUP($C144,'PORTIFÓLIO'!C:V,4,0),"")</f>
        <v/>
      </c>
      <c r="G144" s="206">
        <f>IFERROR(VLOOKUP($C144,'PORTIFÓLIO'!C:V,5,0),"")</f>
        <v/>
      </c>
      <c r="H144" s="247">
        <f t="array" ref="H144">IFERROR(INDEX('PORTIFÓLIO'!$H$4:$H$433,MATCH($C144,'PORTIFÓLIO'!$C$4:$C$433,0)),"")</f>
        <v/>
      </c>
      <c r="I144" s="257" t="n"/>
      <c r="J144" s="209">
        <f>I144*$B$2</f>
        <v/>
      </c>
      <c r="K144" s="210">
        <f t="array" ref="K144">IFERROR(I144*INDEX('PORTIFÓLIO'!$S$4:$S$433,MATCH($C144,'PORTIFÓLIO'!$C$4:$C$433,0)),"")</f>
        <v/>
      </c>
      <c r="L144" s="210">
        <f t="array" ref="L144">IFERROR(J144*INDEX('PORTIFÓLIO'!$S$4:$S$433,MATCH($C144,'PORTIFÓLIO'!$C$4:$C$433,0)),"")</f>
        <v/>
      </c>
      <c r="M144" s="177" t="n"/>
      <c r="N144" s="177" t="n"/>
      <c r="O144" s="177" t="n"/>
      <c r="P144" s="177" t="n"/>
      <c r="Q144" s="177" t="n"/>
      <c r="R144" s="177" t="n"/>
      <c r="S144" s="177" t="n"/>
      <c r="T144" s="177" t="n"/>
      <c r="U144" s="177" t="n"/>
      <c r="V144" s="177" t="n"/>
      <c r="W144" s="177" t="n"/>
    </row>
    <row r="145" outlineLevel="1" ht="15.75" customHeight="1" s="297">
      <c r="A145" s="190" t="n"/>
      <c r="B145" s="204" t="n"/>
      <c r="C145" s="191" t="n"/>
      <c r="D145" s="205">
        <f>IFERROR(VLOOKUP($C145,'PORTIFÓLIO'!C:V,2,0),"")</f>
        <v/>
      </c>
      <c r="E145" s="190">
        <f>IFERROR(VLOOKUP($C145,'PORTIFÓLIO'!C:V,3,0),"")</f>
        <v/>
      </c>
      <c r="F145" s="190">
        <f>IFERROR(VLOOKUP($C145,'PORTIFÓLIO'!C:V,4,0),"")</f>
        <v/>
      </c>
      <c r="G145" s="206">
        <f>IFERROR(VLOOKUP($C145,'PORTIFÓLIO'!C:V,5,0),"")</f>
        <v/>
      </c>
      <c r="H145" s="247">
        <f t="array" ref="H145">IFERROR(INDEX('PORTIFÓLIO'!$H$4:$H$433,MATCH($C145,'PORTIFÓLIO'!$C$4:$C$433,0)),"")</f>
        <v/>
      </c>
      <c r="I145" s="257" t="n"/>
      <c r="J145" s="209">
        <f>I145*$B$2</f>
        <v/>
      </c>
      <c r="K145" s="210">
        <f t="array" ref="K145">IFERROR(I145*INDEX('PORTIFÓLIO'!$S$4:$S$433,MATCH($C145,'PORTIFÓLIO'!$C$4:$C$433,0)),"")</f>
        <v/>
      </c>
      <c r="L145" s="210">
        <f t="array" ref="L145">IFERROR(J145*INDEX('PORTIFÓLIO'!$S$4:$S$433,MATCH($C145,'PORTIFÓLIO'!$C$4:$C$433,0)),"")</f>
        <v/>
      </c>
      <c r="M145" s="177" t="n"/>
      <c r="N145" s="177" t="n"/>
      <c r="O145" s="177" t="n"/>
      <c r="P145" s="177" t="n"/>
      <c r="Q145" s="177" t="n"/>
      <c r="R145" s="177" t="n"/>
      <c r="S145" s="177" t="n"/>
      <c r="T145" s="177" t="n"/>
      <c r="U145" s="177" t="n"/>
      <c r="V145" s="177" t="n"/>
      <c r="W145" s="177" t="n"/>
    </row>
    <row r="146" outlineLevel="1" ht="15.75" customHeight="1" s="297">
      <c r="A146" s="190" t="n"/>
      <c r="B146" s="204" t="n"/>
      <c r="C146" s="191" t="n"/>
      <c r="D146" s="205">
        <f>IFERROR(VLOOKUP($C146,'PORTIFÓLIO'!C:V,2,0),"")</f>
        <v/>
      </c>
      <c r="E146" s="190">
        <f>IFERROR(VLOOKUP($C146,'PORTIFÓLIO'!C:V,3,0),"")</f>
        <v/>
      </c>
      <c r="F146" s="190">
        <f>IFERROR(VLOOKUP($C146,'PORTIFÓLIO'!C:V,4,0),"")</f>
        <v/>
      </c>
      <c r="G146" s="206">
        <f>IFERROR(VLOOKUP($C146,'PORTIFÓLIO'!C:V,5,0),"")</f>
        <v/>
      </c>
      <c r="H146" s="247">
        <f t="array" ref="H146">IFERROR(INDEX('PORTIFÓLIO'!$H$4:$H$433,MATCH($C146,'PORTIFÓLIO'!$C$4:$C$433,0)),"")</f>
        <v/>
      </c>
      <c r="I146" s="257" t="n"/>
      <c r="J146" s="209">
        <f>I146*$B$2</f>
        <v/>
      </c>
      <c r="K146" s="210">
        <f t="array" ref="K146">IFERROR(I146*INDEX('PORTIFÓLIO'!$S$4:$S$433,MATCH($C146,'PORTIFÓLIO'!$C$4:$C$433,0)),"")</f>
        <v/>
      </c>
      <c r="L146" s="210">
        <f t="array" ref="L146">IFERROR(J146*INDEX('PORTIFÓLIO'!$S$4:$S$433,MATCH($C146,'PORTIFÓLIO'!$C$4:$C$433,0)),"")</f>
        <v/>
      </c>
      <c r="M146" s="177" t="n"/>
      <c r="N146" s="177" t="n"/>
      <c r="O146" s="177" t="n"/>
      <c r="P146" s="177" t="n"/>
      <c r="Q146" s="177" t="n"/>
      <c r="R146" s="177" t="n"/>
      <c r="S146" s="177" t="n"/>
      <c r="T146" s="177" t="n"/>
      <c r="U146" s="177" t="n"/>
      <c r="V146" s="177" t="n"/>
      <c r="W146" s="177" t="n"/>
    </row>
    <row r="147" outlineLevel="1" ht="15.75" customHeight="1" s="297">
      <c r="A147" s="190" t="n"/>
      <c r="B147" s="238" t="n"/>
      <c r="C147" s="190" t="n"/>
      <c r="D147" s="205">
        <f>IFERROR(VLOOKUP($C147,'PORTIFÓLIO'!C:V,2,0),"")</f>
        <v/>
      </c>
      <c r="E147" s="190">
        <f>IFERROR(VLOOKUP($C147,'PORTIFÓLIO'!C:V,3,0),"")</f>
        <v/>
      </c>
      <c r="F147" s="190">
        <f>IFERROR(VLOOKUP($C147,'PORTIFÓLIO'!C:V,4,0),"")</f>
        <v/>
      </c>
      <c r="G147" s="206">
        <f>IFERROR(VLOOKUP($C147,'PORTIFÓLIO'!C:V,5,0),"")</f>
        <v/>
      </c>
      <c r="H147" s="247">
        <f t="array" ref="H147">IFERROR(INDEX('PORTIFÓLIO'!$H$4:$H$433,MATCH($C147,'PORTIFÓLIO'!$C$4:$C$433,0)),"")</f>
        <v/>
      </c>
      <c r="I147" s="257" t="n"/>
      <c r="J147" s="209" t="n"/>
      <c r="K147" s="210">
        <f t="array" ref="K147">IFERROR(I147*INDEX('PORTIFÓLIO'!$S$4:$S$433,MATCH($C147,'PORTIFÓLIO'!$C$4:$C$433,0)),"")</f>
        <v/>
      </c>
      <c r="L147" s="210">
        <f t="array" ref="L147">IFERROR(J147*INDEX('PORTIFÓLIO'!$S$4:$S$433,MATCH($C147,'PORTIFÓLIO'!$C$4:$C$433,0)),"")</f>
        <v/>
      </c>
      <c r="M147" s="177" t="n"/>
      <c r="N147" s="177" t="n"/>
      <c r="O147" s="177" t="n"/>
      <c r="P147" s="177" t="n"/>
      <c r="Q147" s="177" t="n"/>
      <c r="R147" s="177" t="n"/>
      <c r="S147" s="177" t="n"/>
      <c r="T147" s="177" t="n"/>
      <c r="U147" s="177" t="n"/>
      <c r="V147" s="177" t="n"/>
      <c r="W147" s="177" t="n"/>
    </row>
    <row r="148" ht="15.75" customHeight="1" s="297">
      <c r="A148" s="221" t="inlineStr">
        <is>
          <t>OPERAÇÃO 9</t>
        </is>
      </c>
      <c r="B148" s="197" t="n"/>
      <c r="C148" s="196" t="n"/>
      <c r="D148" s="198" t="n"/>
      <c r="E148" s="196" t="n"/>
      <c r="F148" s="196" t="n"/>
      <c r="G148" s="199" t="n"/>
      <c r="H148" s="199" t="n"/>
      <c r="I148" s="252" t="n"/>
      <c r="J148" s="202" t="n"/>
      <c r="K148" s="203">
        <f>SUBTOTAL(9,K149:K162)</f>
        <v/>
      </c>
      <c r="L148" s="203">
        <f>SUBTOTAL(9,L149:L162)</f>
        <v/>
      </c>
      <c r="M148" s="177" t="n"/>
      <c r="N148" s="177" t="n"/>
      <c r="O148" s="177" t="n"/>
      <c r="P148" s="177" t="n"/>
      <c r="Q148" s="177" t="n"/>
      <c r="R148" s="177" t="n"/>
      <c r="S148" s="177" t="n"/>
      <c r="T148" s="177" t="n"/>
      <c r="U148" s="177" t="n"/>
      <c r="V148" s="177" t="n"/>
      <c r="W148" s="177" t="n"/>
    </row>
    <row r="149" outlineLevel="1" ht="15.75" customHeight="1" s="297">
      <c r="A149" s="191" t="n"/>
      <c r="B149" s="204" t="inlineStr">
        <is>
          <t>FUNGICIDA</t>
        </is>
      </c>
      <c r="C149" s="191" t="inlineStr">
        <is>
          <t>TEBUCO A NORTOX</t>
        </is>
      </c>
      <c r="D149" s="205">
        <f>IFERROR(VLOOKUP($C149,'PORTIFÓLIO'!C:V,2,0),"")</f>
        <v/>
      </c>
      <c r="E149" s="190">
        <f>IFERROR(VLOOKUP($C149,'PORTIFÓLIO'!C:V,3,0),"")</f>
        <v/>
      </c>
      <c r="F149" s="190">
        <f>IFERROR(VLOOKUP($C149,'PORTIFÓLIO'!C:V,4,0),"")</f>
        <v/>
      </c>
      <c r="G149" s="223">
        <f>IFERROR(VLOOKUP($C149,'PORTIFÓLIO'!C:V,5,0),"")</f>
        <v/>
      </c>
      <c r="H149" s="247">
        <f t="array" ref="H149">IFERROR(INDEX('PORTIFÓLIO'!$H$4:$H$433,MATCH($C149,'PORTIFÓLIO'!$C$4:$C$433,0)),"")</f>
        <v/>
      </c>
      <c r="I149" s="253" t="n">
        <v>0.5</v>
      </c>
      <c r="J149" s="209">
        <f>I149*$B$2</f>
        <v/>
      </c>
      <c r="K149" s="210">
        <f t="array" ref="K149">IFERROR(I149*INDEX('PORTIFÓLIO'!$S$4:$S$433,MATCH($C149,'PORTIFÓLIO'!$C$4:$C$433,0)),"")</f>
        <v/>
      </c>
      <c r="L149" s="210">
        <f t="array" ref="L149">IFERROR(J149*INDEX('PORTIFÓLIO'!$S$4:$S$433,MATCH($C149,'PORTIFÓLIO'!$C$4:$C$433,0)),"")</f>
        <v/>
      </c>
      <c r="M149" s="177" t="n"/>
      <c r="N149" s="177" t="n"/>
      <c r="O149" s="177" t="n"/>
      <c r="P149" s="177" t="n"/>
      <c r="Q149" s="177" t="n"/>
      <c r="R149" s="177" t="n"/>
      <c r="S149" s="177" t="n"/>
      <c r="T149" s="177" t="n"/>
      <c r="U149" s="177" t="n"/>
      <c r="V149" s="177" t="n"/>
      <c r="W149" s="177" t="n"/>
    </row>
    <row r="150" outlineLevel="1" ht="15.75" customHeight="1" s="297">
      <c r="A150" s="190" t="n"/>
      <c r="B150" s="204" t="inlineStr">
        <is>
          <t>FUNGICIDA</t>
        </is>
      </c>
      <c r="C150" s="191" t="inlineStr">
        <is>
          <t>BRAVONIL 720</t>
        </is>
      </c>
      <c r="D150" s="205">
        <f>IFERROR(VLOOKUP($C150,'PORTIFÓLIO'!C:V,2,0),"")</f>
        <v/>
      </c>
      <c r="E150" s="190">
        <f>IFERROR(VLOOKUP($C150,'PORTIFÓLIO'!C:V,3,0),"")</f>
        <v/>
      </c>
      <c r="F150" s="190">
        <f>IFERROR(VLOOKUP($C150,'PORTIFÓLIO'!C:V,4,0),"")</f>
        <v/>
      </c>
      <c r="G150" s="223">
        <f>IFERROR(VLOOKUP($C150,'PORTIFÓLIO'!C:V,5,0),"")</f>
        <v/>
      </c>
      <c r="H150" s="247">
        <f t="array" ref="H150">IFERROR(INDEX('PORTIFÓLIO'!$H$4:$H$433,MATCH($C150,'PORTIFÓLIO'!$C$4:$C$433,0)),"")</f>
        <v/>
      </c>
      <c r="I150" s="253" t="n">
        <v>1.5</v>
      </c>
      <c r="J150" s="209">
        <f>I150*$B$2</f>
        <v/>
      </c>
      <c r="K150" s="210">
        <f t="array" ref="K150">IFERROR(I150*INDEX('PORTIFÓLIO'!$S$4:$S$433,MATCH($C150,'PORTIFÓLIO'!$C$4:$C$433,0)),"")</f>
        <v/>
      </c>
      <c r="L150" s="210">
        <f t="array" ref="L150">IFERROR(J150*INDEX('PORTIFÓLIO'!$S$4:$S$433,MATCH($C150,'PORTIFÓLIO'!$C$4:$C$433,0)),"")</f>
        <v/>
      </c>
      <c r="M150" s="177" t="n"/>
      <c r="N150" s="177" t="n"/>
      <c r="O150" s="177" t="n"/>
      <c r="P150" s="177" t="n"/>
      <c r="Q150" s="177" t="n"/>
      <c r="R150" s="177" t="n"/>
      <c r="S150" s="177" t="n"/>
      <c r="T150" s="177" t="n"/>
      <c r="U150" s="177" t="n"/>
      <c r="V150" s="177" t="n"/>
      <c r="W150" s="177" t="n"/>
    </row>
    <row r="151" outlineLevel="1" ht="15.75" customHeight="1" s="297">
      <c r="A151" s="190" t="n"/>
      <c r="B151" s="204" t="inlineStr">
        <is>
          <t>ADJUVANTE</t>
        </is>
      </c>
      <c r="C151" s="191" t="inlineStr">
        <is>
          <t>AUREO</t>
        </is>
      </c>
      <c r="D151" s="205">
        <f>IFERROR(VLOOKUP($C151,'PORTIFÓLIO'!C:V,2,0),"")</f>
        <v/>
      </c>
      <c r="E151" s="190">
        <f>IFERROR(VLOOKUP($C151,'PORTIFÓLIO'!C:V,3,0),"")</f>
        <v/>
      </c>
      <c r="F151" s="190">
        <f>IFERROR(VLOOKUP($C151,'PORTIFÓLIO'!C:V,4,0),"")</f>
        <v/>
      </c>
      <c r="G151" s="223">
        <f>IFERROR(VLOOKUP($C151,'PORTIFÓLIO'!C:V,5,0),"")</f>
        <v/>
      </c>
      <c r="H151" s="247">
        <f t="array" ref="H151">IFERROR(INDEX('PORTIFÓLIO'!$H$4:$H$433,MATCH($C151,'PORTIFÓLIO'!$C$4:$C$433,0)),"")</f>
        <v/>
      </c>
      <c r="I151" s="253" t="n">
        <v>0.2</v>
      </c>
      <c r="J151" s="209">
        <f>I151*$B$2</f>
        <v/>
      </c>
      <c r="K151" s="210">
        <f t="array" ref="K151">IFERROR(I151*INDEX('PORTIFÓLIO'!$S$4:$S$433,MATCH($C151,'PORTIFÓLIO'!$C$4:$C$433,0)),"")</f>
        <v/>
      </c>
      <c r="L151" s="210">
        <f t="array" ref="L151">IFERROR(J151*INDEX('PORTIFÓLIO'!$S$4:$S$433,MATCH($C151,'PORTIFÓLIO'!$C$4:$C$433,0)),"")</f>
        <v/>
      </c>
      <c r="M151" s="177" t="n"/>
      <c r="N151" s="177" t="n"/>
      <c r="O151" s="177" t="n"/>
      <c r="P151" s="177" t="n"/>
      <c r="Q151" s="177" t="n"/>
      <c r="R151" s="177" t="n"/>
      <c r="S151" s="177" t="n"/>
      <c r="T151" s="177" t="n"/>
      <c r="U151" s="177" t="n"/>
      <c r="V151" s="177" t="n"/>
      <c r="W151" s="177" t="n"/>
    </row>
    <row r="152" outlineLevel="1" ht="15.75" customHeight="1" s="297">
      <c r="A152" s="190" t="n"/>
      <c r="B152" s="204" t="n"/>
      <c r="C152" s="191" t="n"/>
      <c r="D152" s="205">
        <f>IFERROR(VLOOKUP($C152,'PORTIFÓLIO'!C:V,2,0),"")</f>
        <v/>
      </c>
      <c r="E152" s="190">
        <f>IFERROR(VLOOKUP($C152,'PORTIFÓLIO'!C:V,3,0),"")</f>
        <v/>
      </c>
      <c r="F152" s="190">
        <f>IFERROR(VLOOKUP($C152,'PORTIFÓLIO'!C:V,4,0),"")</f>
        <v/>
      </c>
      <c r="G152" s="206">
        <f>IFERROR(VLOOKUP($C152,'PORTIFÓLIO'!C:V,5,0),"")</f>
        <v/>
      </c>
      <c r="H152" s="247">
        <f t="array" ref="H152">IFERROR(INDEX('PORTIFÓLIO'!$H$4:$H$433,MATCH($C152,'PORTIFÓLIO'!$C$4:$C$433,0)),"")</f>
        <v/>
      </c>
      <c r="I152" s="257" t="n"/>
      <c r="J152" s="209">
        <f>I152*$B$2</f>
        <v/>
      </c>
      <c r="K152" s="210">
        <f t="array" ref="K152">IFERROR(I152*INDEX('PORTIFÓLIO'!$S$4:$S$433,MATCH($C152,'PORTIFÓLIO'!$C$4:$C$433,0)),"")</f>
        <v/>
      </c>
      <c r="L152" s="210">
        <f t="array" ref="L152">IFERROR(J152*INDEX('PORTIFÓLIO'!$S$4:$S$433,MATCH($C152,'PORTIFÓLIO'!$C$4:$C$433,0)),"")</f>
        <v/>
      </c>
      <c r="M152" s="177" t="n"/>
      <c r="N152" s="177" t="n"/>
      <c r="O152" s="177" t="n"/>
      <c r="P152" s="177" t="n"/>
      <c r="Q152" s="177" t="n"/>
      <c r="R152" s="177" t="n"/>
      <c r="S152" s="177" t="n"/>
      <c r="T152" s="177" t="n"/>
      <c r="U152" s="177" t="n"/>
      <c r="V152" s="177" t="n"/>
      <c r="W152" s="177" t="n"/>
    </row>
    <row r="153" outlineLevel="1" ht="15.75" customHeight="1" s="297">
      <c r="A153" s="190" t="n"/>
      <c r="B153" s="204" t="n"/>
      <c r="C153" s="191" t="n"/>
      <c r="D153" s="205">
        <f>IFERROR(VLOOKUP($C153,'PORTIFÓLIO'!C:V,2,0),"")</f>
        <v/>
      </c>
      <c r="E153" s="190">
        <f>IFERROR(VLOOKUP($C153,'PORTIFÓLIO'!C:V,3,0),"")</f>
        <v/>
      </c>
      <c r="F153" s="190">
        <f>IFERROR(VLOOKUP($C153,'PORTIFÓLIO'!C:V,4,0),"")</f>
        <v/>
      </c>
      <c r="G153" s="206">
        <f>IFERROR(VLOOKUP($C153,'PORTIFÓLIO'!C:V,5,0),"")</f>
        <v/>
      </c>
      <c r="H153" s="247">
        <f t="array" ref="H153">IFERROR(INDEX('PORTIFÓLIO'!$H$4:$H$433,MATCH($C153,'PORTIFÓLIO'!$C$4:$C$433,0)),"")</f>
        <v/>
      </c>
      <c r="I153" s="257" t="n"/>
      <c r="J153" s="209">
        <f>I153*$B$2</f>
        <v/>
      </c>
      <c r="K153" s="210">
        <f t="array" ref="K153">IFERROR(I153*INDEX('PORTIFÓLIO'!$S$4:$S$433,MATCH($C153,'PORTIFÓLIO'!$C$4:$C$433,0)),"")</f>
        <v/>
      </c>
      <c r="L153" s="210">
        <f t="array" ref="L153">IFERROR(J153*INDEX('PORTIFÓLIO'!$S$4:$S$433,MATCH($C153,'PORTIFÓLIO'!$C$4:$C$433,0)),"")</f>
        <v/>
      </c>
      <c r="M153" s="177" t="n"/>
      <c r="N153" s="177" t="n"/>
      <c r="O153" s="177" t="n"/>
      <c r="P153" s="177" t="n"/>
      <c r="Q153" s="177" t="n"/>
      <c r="R153" s="177" t="n"/>
      <c r="S153" s="177" t="n"/>
      <c r="T153" s="177" t="n"/>
      <c r="U153" s="177" t="n"/>
      <c r="V153" s="177" t="n"/>
      <c r="W153" s="177" t="n"/>
    </row>
    <row r="154" outlineLevel="1" ht="15.75" customHeight="1" s="297">
      <c r="A154" s="190" t="n"/>
      <c r="B154" s="204" t="n"/>
      <c r="C154" s="191" t="n"/>
      <c r="D154" s="205">
        <f>IFERROR(VLOOKUP($C154,'PORTIFÓLIO'!C:V,2,0),"")</f>
        <v/>
      </c>
      <c r="E154" s="190">
        <f>IFERROR(VLOOKUP($C154,'PORTIFÓLIO'!C:V,3,0),"")</f>
        <v/>
      </c>
      <c r="F154" s="190">
        <f>IFERROR(VLOOKUP($C154,'PORTIFÓLIO'!C:V,4,0),"")</f>
        <v/>
      </c>
      <c r="G154" s="206">
        <f>IFERROR(VLOOKUP($C154,'PORTIFÓLIO'!C:V,5,0),"")</f>
        <v/>
      </c>
      <c r="H154" s="247">
        <f t="array" ref="H154">IFERROR(INDEX('PORTIFÓLIO'!$H$4:$H$433,MATCH($C154,'PORTIFÓLIO'!$C$4:$C$433,0)),"")</f>
        <v/>
      </c>
      <c r="I154" s="257" t="n"/>
      <c r="J154" s="209">
        <f>I154*$B$2</f>
        <v/>
      </c>
      <c r="K154" s="210">
        <f t="array" ref="K154">IFERROR(I154*INDEX('PORTIFÓLIO'!$S$4:$S$433,MATCH($C154,'PORTIFÓLIO'!$C$4:$C$433,0)),"")</f>
        <v/>
      </c>
      <c r="L154" s="210">
        <f t="array" ref="L154">IFERROR(J154*INDEX('PORTIFÓLIO'!$S$4:$S$433,MATCH($C154,'PORTIFÓLIO'!$C$4:$C$433,0)),"")</f>
        <v/>
      </c>
      <c r="M154" s="177" t="n"/>
      <c r="N154" s="177" t="n"/>
      <c r="O154" s="177" t="n"/>
      <c r="P154" s="177" t="n"/>
      <c r="Q154" s="177" t="n"/>
      <c r="R154" s="177" t="n"/>
      <c r="S154" s="177" t="n"/>
      <c r="T154" s="177" t="n"/>
      <c r="U154" s="177" t="n"/>
      <c r="V154" s="177" t="n"/>
      <c r="W154" s="177" t="n"/>
    </row>
    <row r="155" outlineLevel="1" ht="15.75" customHeight="1" s="297">
      <c r="A155" s="190" t="n"/>
      <c r="B155" s="204" t="n"/>
      <c r="C155" s="191" t="n"/>
      <c r="D155" s="205">
        <f>IFERROR(VLOOKUP($C155,'PORTIFÓLIO'!C:V,2,0),"")</f>
        <v/>
      </c>
      <c r="E155" s="190">
        <f>IFERROR(VLOOKUP($C155,'PORTIFÓLIO'!C:V,3,0),"")</f>
        <v/>
      </c>
      <c r="F155" s="190">
        <f>IFERROR(VLOOKUP($C155,'PORTIFÓLIO'!C:V,4,0),"")</f>
        <v/>
      </c>
      <c r="G155" s="206">
        <f>IFERROR(VLOOKUP($C155,'PORTIFÓLIO'!C:V,5,0),"")</f>
        <v/>
      </c>
      <c r="H155" s="247">
        <f t="array" ref="H155">IFERROR(INDEX('PORTIFÓLIO'!$H$4:$H$433,MATCH($C155,'PORTIFÓLIO'!$C$4:$C$433,0)),"")</f>
        <v/>
      </c>
      <c r="I155" s="257" t="n"/>
      <c r="J155" s="209">
        <f>I155*$B$2</f>
        <v/>
      </c>
      <c r="K155" s="210">
        <f t="array" ref="K155">IFERROR(I155*INDEX('PORTIFÓLIO'!$S$4:$S$433,MATCH($C155,'PORTIFÓLIO'!$C$4:$C$433,0)),"")</f>
        <v/>
      </c>
      <c r="L155" s="210">
        <f t="array" ref="L155">IFERROR(J155*INDEX('PORTIFÓLIO'!$S$4:$S$433,MATCH($C155,'PORTIFÓLIO'!$C$4:$C$433,0)),"")</f>
        <v/>
      </c>
      <c r="M155" s="177" t="n"/>
      <c r="N155" s="177" t="n"/>
      <c r="O155" s="177" t="n"/>
      <c r="P155" s="177" t="n"/>
      <c r="Q155" s="177" t="n"/>
      <c r="R155" s="177" t="n"/>
      <c r="S155" s="177" t="n"/>
      <c r="T155" s="177" t="n"/>
      <c r="U155" s="177" t="n"/>
      <c r="V155" s="177" t="n"/>
      <c r="W155" s="177" t="n"/>
    </row>
    <row r="156" outlineLevel="1" ht="15.75" customHeight="1" s="297">
      <c r="A156" s="190" t="n"/>
      <c r="B156" s="204" t="n"/>
      <c r="C156" s="191" t="n"/>
      <c r="D156" s="205">
        <f>IFERROR(VLOOKUP($C156,'PORTIFÓLIO'!C:V,2,0),"")</f>
        <v/>
      </c>
      <c r="E156" s="190">
        <f>IFERROR(VLOOKUP($C156,'PORTIFÓLIO'!C:V,3,0),"")</f>
        <v/>
      </c>
      <c r="F156" s="190">
        <f>IFERROR(VLOOKUP($C156,'PORTIFÓLIO'!C:V,4,0),"")</f>
        <v/>
      </c>
      <c r="G156" s="206">
        <f>IFERROR(VLOOKUP($C156,'PORTIFÓLIO'!C:V,5,0),"")</f>
        <v/>
      </c>
      <c r="H156" s="247">
        <f t="array" ref="H156">IFERROR(INDEX('PORTIFÓLIO'!$H$4:$H$433,MATCH($C156,'PORTIFÓLIO'!$C$4:$C$433,0)),"")</f>
        <v/>
      </c>
      <c r="I156" s="257" t="n"/>
      <c r="J156" s="209">
        <f>I156*$B$2</f>
        <v/>
      </c>
      <c r="K156" s="210">
        <f t="array" ref="K156">IFERROR(I156*INDEX('PORTIFÓLIO'!$S$4:$S$433,MATCH($C156,'PORTIFÓLIO'!$C$4:$C$433,0)),"")</f>
        <v/>
      </c>
      <c r="L156" s="210">
        <f t="array" ref="L156">IFERROR(J156*INDEX('PORTIFÓLIO'!$S$4:$S$433,MATCH($C156,'PORTIFÓLIO'!$C$4:$C$433,0)),"")</f>
        <v/>
      </c>
      <c r="M156" s="177" t="n"/>
      <c r="N156" s="177" t="n"/>
      <c r="O156" s="177" t="n"/>
      <c r="P156" s="177" t="n"/>
      <c r="Q156" s="177" t="n"/>
      <c r="R156" s="177" t="n"/>
      <c r="S156" s="177" t="n"/>
      <c r="T156" s="177" t="n"/>
      <c r="U156" s="177" t="n"/>
      <c r="V156" s="177" t="n"/>
      <c r="W156" s="177" t="n"/>
    </row>
    <row r="157" outlineLevel="1" ht="15.75" customHeight="1" s="297">
      <c r="A157" s="190" t="n"/>
      <c r="B157" s="204" t="n"/>
      <c r="C157" s="191" t="n"/>
      <c r="D157" s="205">
        <f>IFERROR(VLOOKUP($C157,'PORTIFÓLIO'!C:V,2,0),"")</f>
        <v/>
      </c>
      <c r="E157" s="190">
        <f>IFERROR(VLOOKUP($C157,'PORTIFÓLIO'!C:V,3,0),"")</f>
        <v/>
      </c>
      <c r="F157" s="190">
        <f>IFERROR(VLOOKUP($C157,'PORTIFÓLIO'!C:V,4,0),"")</f>
        <v/>
      </c>
      <c r="G157" s="206">
        <f>IFERROR(VLOOKUP($C157,'PORTIFÓLIO'!C:V,5,0),"")</f>
        <v/>
      </c>
      <c r="H157" s="247">
        <f t="array" ref="H157">IFERROR(INDEX('PORTIFÓLIO'!$H$4:$H$433,MATCH($C157,'PORTIFÓLIO'!$C$4:$C$433,0)),"")</f>
        <v/>
      </c>
      <c r="I157" s="253" t="n"/>
      <c r="J157" s="209">
        <f>I157*$B$2</f>
        <v/>
      </c>
      <c r="K157" s="210">
        <f t="array" ref="K157">IFERROR(I157*INDEX('PORTIFÓLIO'!$S$4:$S$433,MATCH($C157,'PORTIFÓLIO'!$C$4:$C$433,0)),"")</f>
        <v/>
      </c>
      <c r="L157" s="210">
        <f t="array" ref="L157">IFERROR(J157*INDEX('PORTIFÓLIO'!$S$4:$S$433,MATCH($C157,'PORTIFÓLIO'!$C$4:$C$433,0)),"")</f>
        <v/>
      </c>
      <c r="M157" s="177" t="n"/>
      <c r="N157" s="177" t="n"/>
      <c r="O157" s="177" t="n"/>
      <c r="P157" s="177" t="n"/>
      <c r="Q157" s="177" t="n"/>
      <c r="R157" s="177" t="n"/>
      <c r="S157" s="177" t="n"/>
      <c r="T157" s="177" t="n"/>
      <c r="U157" s="177" t="n"/>
      <c r="V157" s="177" t="n"/>
      <c r="W157" s="177" t="n"/>
    </row>
    <row r="158" outlineLevel="1" ht="15.75" customHeight="1" s="297">
      <c r="A158" s="190" t="n"/>
      <c r="B158" s="204" t="n"/>
      <c r="C158" s="191" t="n"/>
      <c r="D158" s="205">
        <f>IFERROR(VLOOKUP($C158,'PORTIFÓLIO'!C:V,2,0),"")</f>
        <v/>
      </c>
      <c r="E158" s="190">
        <f>IFERROR(VLOOKUP($C158,'PORTIFÓLIO'!C:V,3,0),"")</f>
        <v/>
      </c>
      <c r="F158" s="190">
        <f>IFERROR(VLOOKUP($C158,'PORTIFÓLIO'!C:V,4,0),"")</f>
        <v/>
      </c>
      <c r="G158" s="206">
        <f>IFERROR(VLOOKUP($C158,'PORTIFÓLIO'!C:V,5,0),"")</f>
        <v/>
      </c>
      <c r="H158" s="247">
        <f t="array" ref="H158">IFERROR(INDEX('PORTIFÓLIO'!$H$4:$H$433,MATCH($C158,'PORTIFÓLIO'!$C$4:$C$433,0)),"")</f>
        <v/>
      </c>
      <c r="I158" s="257" t="n"/>
      <c r="J158" s="209">
        <f>I158*$B$2</f>
        <v/>
      </c>
      <c r="K158" s="210">
        <f t="array" ref="K158">IFERROR(I158*INDEX('PORTIFÓLIO'!$S$4:$S$433,MATCH($C158,'PORTIFÓLIO'!$C$4:$C$433,0)),"")</f>
        <v/>
      </c>
      <c r="L158" s="210">
        <f t="array" ref="L158">IFERROR(J158*INDEX('PORTIFÓLIO'!$S$4:$S$433,MATCH($C158,'PORTIFÓLIO'!$C$4:$C$433,0)),"")</f>
        <v/>
      </c>
      <c r="M158" s="177" t="n"/>
      <c r="N158" s="177" t="n"/>
      <c r="O158" s="177" t="n"/>
      <c r="P158" s="177" t="n"/>
      <c r="Q158" s="177" t="n"/>
      <c r="R158" s="177" t="n"/>
      <c r="S158" s="177" t="n"/>
      <c r="T158" s="177" t="n"/>
      <c r="U158" s="177" t="n"/>
      <c r="V158" s="177" t="n"/>
      <c r="W158" s="177" t="n"/>
    </row>
    <row r="159" outlineLevel="1" ht="15.75" customHeight="1" s="297">
      <c r="A159" s="190" t="n"/>
      <c r="B159" s="204" t="n"/>
      <c r="C159" s="191" t="n"/>
      <c r="D159" s="205">
        <f>IFERROR(VLOOKUP($C159,'PORTIFÓLIO'!C:V,2,0),"")</f>
        <v/>
      </c>
      <c r="E159" s="190">
        <f>IFERROR(VLOOKUP($C159,'PORTIFÓLIO'!C:V,3,0),"")</f>
        <v/>
      </c>
      <c r="F159" s="190">
        <f>IFERROR(VLOOKUP($C159,'PORTIFÓLIO'!C:V,4,0),"")</f>
        <v/>
      </c>
      <c r="G159" s="206">
        <f>IFERROR(VLOOKUP($C159,'PORTIFÓLIO'!C:V,5,0),"")</f>
        <v/>
      </c>
      <c r="H159" s="247">
        <f t="array" ref="H159">IFERROR(INDEX('PORTIFÓLIO'!$H$4:$H$433,MATCH($C159,'PORTIFÓLIO'!$C$4:$C$433,0)),"")</f>
        <v/>
      </c>
      <c r="I159" s="257" t="n"/>
      <c r="J159" s="209">
        <f>I159*$B$2</f>
        <v/>
      </c>
      <c r="K159" s="210">
        <f t="array" ref="K159">IFERROR(I159*INDEX('PORTIFÓLIO'!$S$4:$S$433,MATCH($C159,'PORTIFÓLIO'!$C$4:$C$433,0)),"")</f>
        <v/>
      </c>
      <c r="L159" s="210">
        <f t="array" ref="L159">IFERROR(J159*INDEX('PORTIFÓLIO'!$S$4:$S$433,MATCH($C159,'PORTIFÓLIO'!$C$4:$C$433,0)),"")</f>
        <v/>
      </c>
      <c r="M159" s="177" t="n"/>
      <c r="N159" s="177" t="n"/>
      <c r="O159" s="177" t="n"/>
      <c r="P159" s="177" t="n"/>
      <c r="Q159" s="177" t="n"/>
      <c r="R159" s="177" t="n"/>
      <c r="S159" s="177" t="n"/>
      <c r="T159" s="177" t="n"/>
      <c r="U159" s="177" t="n"/>
      <c r="V159" s="177" t="n"/>
      <c r="W159" s="177" t="n"/>
    </row>
    <row r="160" outlineLevel="1" ht="15.75" customHeight="1" s="297">
      <c r="A160" s="190" t="n"/>
      <c r="B160" s="204" t="n"/>
      <c r="C160" s="191" t="n"/>
      <c r="D160" s="205">
        <f>IFERROR(VLOOKUP($C160,'PORTIFÓLIO'!C:V,2,0),"")</f>
        <v/>
      </c>
      <c r="E160" s="190">
        <f>IFERROR(VLOOKUP($C160,'PORTIFÓLIO'!C:V,3,0),"")</f>
        <v/>
      </c>
      <c r="F160" s="190">
        <f>IFERROR(VLOOKUP($C160,'PORTIFÓLIO'!C:V,4,0),"")</f>
        <v/>
      </c>
      <c r="G160" s="206">
        <f>IFERROR(VLOOKUP($C160,'PORTIFÓLIO'!C:V,5,0),"")</f>
        <v/>
      </c>
      <c r="H160" s="247">
        <f t="array" ref="H160">IFERROR(INDEX('PORTIFÓLIO'!$H$4:$H$433,MATCH($C160,'PORTIFÓLIO'!$C$4:$C$433,0)),"")</f>
        <v/>
      </c>
      <c r="I160" s="257" t="n"/>
      <c r="J160" s="209">
        <f>I160*$B$2</f>
        <v/>
      </c>
      <c r="K160" s="210">
        <f t="array" ref="K160">IFERROR(I160*INDEX('PORTIFÓLIO'!$S$4:$S$433,MATCH($C160,'PORTIFÓLIO'!$C$4:$C$433,0)),"")</f>
        <v/>
      </c>
      <c r="L160" s="210">
        <f t="array" ref="L160">IFERROR(J160*INDEX('PORTIFÓLIO'!$S$4:$S$433,MATCH($C160,'PORTIFÓLIO'!$C$4:$C$433,0)),"")</f>
        <v/>
      </c>
      <c r="M160" s="177" t="n"/>
      <c r="N160" s="177" t="n"/>
      <c r="O160" s="177" t="n"/>
      <c r="P160" s="177" t="n"/>
      <c r="Q160" s="177" t="n"/>
      <c r="R160" s="177" t="n"/>
      <c r="S160" s="177" t="n"/>
      <c r="T160" s="177" t="n"/>
      <c r="U160" s="177" t="n"/>
      <c r="V160" s="177" t="n"/>
      <c r="W160" s="177" t="n"/>
    </row>
    <row r="161" outlineLevel="1" ht="15.75" customHeight="1" s="297">
      <c r="A161" s="190" t="n"/>
      <c r="B161" s="204" t="n"/>
      <c r="C161" s="191" t="n"/>
      <c r="D161" s="205">
        <f>IFERROR(VLOOKUP($C161,'PORTIFÓLIO'!C:V,2,0),"")</f>
        <v/>
      </c>
      <c r="E161" s="190">
        <f>IFERROR(VLOOKUP($C161,'PORTIFÓLIO'!C:V,3,0),"")</f>
        <v/>
      </c>
      <c r="F161" s="190">
        <f>IFERROR(VLOOKUP($C161,'PORTIFÓLIO'!C:V,4,0),"")</f>
        <v/>
      </c>
      <c r="G161" s="206">
        <f>IFERROR(VLOOKUP($C161,'PORTIFÓLIO'!C:V,5,0),"")</f>
        <v/>
      </c>
      <c r="H161" s="247">
        <f t="array" ref="H161">IFERROR(INDEX('PORTIFÓLIO'!$H$4:$H$433,MATCH($C161,'PORTIFÓLIO'!$C$4:$C$433,0)),"")</f>
        <v/>
      </c>
      <c r="I161" s="257" t="n"/>
      <c r="J161" s="209">
        <f>I161*$B$2</f>
        <v/>
      </c>
      <c r="K161" s="210">
        <f t="array" ref="K161">IFERROR(I161*INDEX('PORTIFÓLIO'!$S$4:$S$433,MATCH($C161,'PORTIFÓLIO'!$C$4:$C$433,0)),"")</f>
        <v/>
      </c>
      <c r="L161" s="210">
        <f t="array" ref="L161">IFERROR(J161*INDEX('PORTIFÓLIO'!$S$4:$S$433,MATCH($C161,'PORTIFÓLIO'!$C$4:$C$433,0)),"")</f>
        <v/>
      </c>
      <c r="M161" s="177" t="n"/>
      <c r="N161" s="177" t="n"/>
      <c r="O161" s="177" t="n"/>
      <c r="P161" s="177" t="n"/>
      <c r="Q161" s="177" t="n"/>
      <c r="R161" s="177" t="n"/>
      <c r="S161" s="177" t="n"/>
      <c r="T161" s="177" t="n"/>
      <c r="U161" s="177" t="n"/>
      <c r="V161" s="177" t="n"/>
      <c r="W161" s="177" t="n"/>
    </row>
    <row r="162" outlineLevel="1" ht="15.75" customHeight="1" s="297">
      <c r="A162" s="190" t="n"/>
      <c r="B162" s="204" t="n"/>
      <c r="C162" s="191" t="n"/>
      <c r="D162" s="205">
        <f>IFERROR(VLOOKUP($C162,'PORTIFÓLIO'!C:V,2,0),"")</f>
        <v/>
      </c>
      <c r="E162" s="190">
        <f>IFERROR(VLOOKUP($C162,'PORTIFÓLIO'!C:V,3,0),"")</f>
        <v/>
      </c>
      <c r="F162" s="190">
        <f>IFERROR(VLOOKUP($C162,'PORTIFÓLIO'!C:V,4,0),"")</f>
        <v/>
      </c>
      <c r="G162" s="206">
        <f>IFERROR(VLOOKUP($C162,'PORTIFÓLIO'!C:V,5,0),"")</f>
        <v/>
      </c>
      <c r="H162" s="247">
        <f t="array" ref="H162">IFERROR(INDEX('PORTIFÓLIO'!$H$4:$H$433,MATCH($C162,'PORTIFÓLIO'!$C$4:$C$433,0)),"")</f>
        <v/>
      </c>
      <c r="I162" s="257" t="n"/>
      <c r="J162" s="209">
        <f>I162*$B$2</f>
        <v/>
      </c>
      <c r="K162" s="210">
        <f t="array" ref="K162">IFERROR(I162*INDEX('PORTIFÓLIO'!$S$4:$S$433,MATCH($C162,'PORTIFÓLIO'!$C$4:$C$433,0)),"")</f>
        <v/>
      </c>
      <c r="L162" s="210">
        <f t="array" ref="L162">IFERROR(J162*INDEX('PORTIFÓLIO'!$S$4:$S$433,MATCH($C162,'PORTIFÓLIO'!$C$4:$C$433,0)),"")</f>
        <v/>
      </c>
      <c r="M162" s="177" t="n"/>
      <c r="N162" s="177" t="n"/>
      <c r="O162" s="177" t="n"/>
      <c r="P162" s="177" t="n"/>
      <c r="Q162" s="177" t="n"/>
      <c r="R162" s="177" t="n"/>
      <c r="S162" s="177" t="n"/>
      <c r="T162" s="177" t="n"/>
      <c r="U162" s="177" t="n"/>
      <c r="V162" s="177" t="n"/>
      <c r="W162" s="177" t="n"/>
    </row>
    <row r="163" outlineLevel="1" ht="15.75" customHeight="1" s="297">
      <c r="A163" s="190" t="n"/>
      <c r="B163" s="204" t="n"/>
      <c r="C163" s="191" t="n"/>
      <c r="D163" s="205">
        <f>IFERROR(VLOOKUP($C163,'PORTIFÓLIO'!C:V,2,0),"")</f>
        <v/>
      </c>
      <c r="E163" s="190">
        <f>IFERROR(VLOOKUP($C163,'PORTIFÓLIO'!C:V,3,0),"")</f>
        <v/>
      </c>
      <c r="F163" s="190">
        <f>IFERROR(VLOOKUP($C163,'PORTIFÓLIO'!C:V,4,0),"")</f>
        <v/>
      </c>
      <c r="G163" s="206">
        <f>IFERROR(VLOOKUP($C163,'PORTIFÓLIO'!C:V,5,0),"")</f>
        <v/>
      </c>
      <c r="H163" s="247">
        <f t="array" ref="H163">IFERROR(INDEX('PORTIFÓLIO'!$H$4:$H$433,MATCH($C163,'PORTIFÓLIO'!$C$4:$C$433,0)),"")</f>
        <v/>
      </c>
      <c r="I163" s="257" t="n"/>
      <c r="J163" s="209">
        <f>I163*$B$2</f>
        <v/>
      </c>
      <c r="K163" s="210">
        <f t="array" ref="K163">IFERROR(I163*INDEX('PORTIFÓLIO'!$S$4:$S$433,MATCH($C163,'PORTIFÓLIO'!$C$4:$C$433,0)),"")</f>
        <v/>
      </c>
      <c r="L163" s="210">
        <f t="array" ref="L163">IFERROR(J163*INDEX('PORTIFÓLIO'!$S$4:$S$433,MATCH($C163,'PORTIFÓLIO'!$C$4:$C$433,0)),"")</f>
        <v/>
      </c>
      <c r="M163" s="177" t="n"/>
      <c r="N163" s="177" t="n"/>
      <c r="O163" s="177" t="n"/>
      <c r="P163" s="177" t="n"/>
      <c r="Q163" s="177" t="n"/>
      <c r="R163" s="177" t="n"/>
      <c r="S163" s="177" t="n"/>
      <c r="T163" s="177" t="n"/>
      <c r="U163" s="177" t="n"/>
      <c r="V163" s="177" t="n"/>
      <c r="W163" s="177" t="n"/>
    </row>
    <row r="164" outlineLevel="1" ht="15.75" customHeight="1" s="297">
      <c r="A164" s="190" t="n"/>
      <c r="B164" s="238" t="n"/>
      <c r="C164" s="190" t="n"/>
      <c r="D164" s="205">
        <f>IFERROR(VLOOKUP($C164,'PORTIFÓLIO'!C:V,2,0),"")</f>
        <v/>
      </c>
      <c r="E164" s="190">
        <f>IFERROR(VLOOKUP($C164,'PORTIFÓLIO'!C:V,3,0),"")</f>
        <v/>
      </c>
      <c r="F164" s="190">
        <f>IFERROR(VLOOKUP($C164,'PORTIFÓLIO'!C:V,4,0),"")</f>
        <v/>
      </c>
      <c r="G164" s="206">
        <f>IFERROR(VLOOKUP($C164,'PORTIFÓLIO'!C:V,5,0),"")</f>
        <v/>
      </c>
      <c r="H164" s="247">
        <f t="array" ref="H164">IFERROR(INDEX('PORTIFÓLIO'!$H$4:$H$433,MATCH($C164,'PORTIFÓLIO'!$C$4:$C$433,0)),"")</f>
        <v/>
      </c>
      <c r="I164" s="257" t="n"/>
      <c r="J164" s="209" t="n"/>
      <c r="K164" s="210">
        <f t="array" ref="K164">IFERROR(I164*INDEX('PORTIFÓLIO'!$S$4:$S$433,MATCH($C164,'PORTIFÓLIO'!$C$4:$C$433,0)),"")</f>
        <v/>
      </c>
      <c r="L164" s="210">
        <f t="array" ref="L164">IFERROR(J164*INDEX('PORTIFÓLIO'!$S$4:$S$433,MATCH($C164,'PORTIFÓLIO'!$C$4:$C$433,0)),"")</f>
        <v/>
      </c>
      <c r="M164" s="177" t="n"/>
      <c r="N164" s="177" t="n"/>
      <c r="O164" s="177" t="n"/>
      <c r="P164" s="177" t="n"/>
      <c r="Q164" s="177" t="n"/>
      <c r="R164" s="177" t="n"/>
      <c r="S164" s="177" t="n"/>
      <c r="T164" s="177" t="n"/>
      <c r="U164" s="177" t="n"/>
      <c r="V164" s="177" t="n"/>
      <c r="W164" s="177" t="n"/>
    </row>
    <row r="165" ht="15.75" customHeight="1" s="297">
      <c r="A165" s="221" t="inlineStr">
        <is>
          <t>OPERAÇÃO 10</t>
        </is>
      </c>
      <c r="B165" s="197" t="n"/>
      <c r="C165" s="196" t="n"/>
      <c r="D165" s="198" t="n"/>
      <c r="E165" s="196" t="n"/>
      <c r="F165" s="196" t="n"/>
      <c r="G165" s="199" t="n"/>
      <c r="H165" s="199" t="n"/>
      <c r="I165" s="252" t="n"/>
      <c r="J165" s="202" t="n"/>
      <c r="K165" s="203">
        <f>SUBTOTAL(9,K166:K179)</f>
        <v/>
      </c>
      <c r="L165" s="203">
        <f>SUBTOTAL(9,L166:L179)</f>
        <v/>
      </c>
      <c r="M165" s="177" t="n"/>
      <c r="N165" s="177" t="n"/>
      <c r="O165" s="177" t="n"/>
      <c r="P165" s="177" t="n"/>
      <c r="Q165" s="177" t="n"/>
      <c r="R165" s="177" t="n"/>
      <c r="S165" s="177" t="n"/>
      <c r="T165" s="177" t="n"/>
      <c r="U165" s="177" t="n"/>
      <c r="V165" s="177" t="n"/>
      <c r="W165" s="177" t="n"/>
    </row>
    <row r="166" outlineLevel="1" ht="15.75" customHeight="1" s="297">
      <c r="A166" s="191" t="n"/>
      <c r="B166" s="204" t="inlineStr">
        <is>
          <t>HERBICIDA</t>
        </is>
      </c>
      <c r="C166" s="191" t="inlineStr">
        <is>
          <t>REGLONE</t>
        </is>
      </c>
      <c r="D166" s="205">
        <f>IFERROR(VLOOKUP($C166,'PORTIFÓLIO'!C:V,2,0),"")</f>
        <v/>
      </c>
      <c r="E166" s="190">
        <f>IFERROR(VLOOKUP($C166,'PORTIFÓLIO'!C:V,3,0),"")</f>
        <v/>
      </c>
      <c r="F166" s="190">
        <f>IFERROR(VLOOKUP($C166,'PORTIFÓLIO'!C:V,4,0),"")</f>
        <v/>
      </c>
      <c r="G166" s="223">
        <f>IFERROR(VLOOKUP($C166,'PORTIFÓLIO'!C:V,5,0),"")</f>
        <v/>
      </c>
      <c r="H166" s="247">
        <f t="array" ref="H166">IFERROR(INDEX('PORTIFÓLIO'!$H$4:$H$433,MATCH($C166,'PORTIFÓLIO'!$C$4:$C$433,0)),"")</f>
        <v/>
      </c>
      <c r="I166" s="253" t="n">
        <v>2</v>
      </c>
      <c r="J166" s="209">
        <f>I166*$B$2</f>
        <v/>
      </c>
      <c r="K166" s="210">
        <f t="array" ref="K166">IFERROR(I166*INDEX('PORTIFÓLIO'!$S$4:$S$433,MATCH($C166,'PORTIFÓLIO'!$C$4:$C$433,0)),"")</f>
        <v/>
      </c>
      <c r="L166" s="210">
        <f t="array" ref="L166">IFERROR(J166*INDEX('PORTIFÓLIO'!$S$4:$S$433,MATCH($C166,'PORTIFÓLIO'!$C$4:$C$433,0)),"")</f>
        <v/>
      </c>
      <c r="M166" s="177" t="n"/>
      <c r="N166" s="177" t="n"/>
      <c r="O166" s="177" t="n"/>
      <c r="P166" s="177" t="n"/>
      <c r="Q166" s="177" t="n"/>
      <c r="R166" s="177" t="n"/>
      <c r="S166" s="177" t="n"/>
      <c r="T166" s="177" t="n"/>
      <c r="U166" s="177" t="n"/>
      <c r="V166" s="177" t="n"/>
      <c r="W166" s="177" t="n"/>
    </row>
    <row r="167" outlineLevel="1" ht="15.75" customHeight="1" s="297">
      <c r="A167" s="190" t="n"/>
      <c r="B167" s="204" t="inlineStr">
        <is>
          <t>ADJUVANTE</t>
        </is>
      </c>
      <c r="C167" s="191" t="inlineStr">
        <is>
          <t>AUREO</t>
        </is>
      </c>
      <c r="D167" s="205">
        <f>IFERROR(VLOOKUP($C167,'PORTIFÓLIO'!C:V,2,0),"")</f>
        <v/>
      </c>
      <c r="E167" s="190">
        <f>IFERROR(VLOOKUP($C167,'PORTIFÓLIO'!C:V,3,0),"")</f>
        <v/>
      </c>
      <c r="F167" s="190">
        <f>IFERROR(VLOOKUP($C167,'PORTIFÓLIO'!C:V,4,0),"")</f>
        <v/>
      </c>
      <c r="G167" s="223">
        <f>IFERROR(VLOOKUP($C167,'PORTIFÓLIO'!C:V,5,0),"")</f>
        <v/>
      </c>
      <c r="H167" s="247">
        <f t="array" ref="H167">IFERROR(INDEX('PORTIFÓLIO'!$H$4:$H$433,MATCH($C167,'PORTIFÓLIO'!$C$4:$C$433,0)),"")</f>
        <v/>
      </c>
      <c r="I167" s="253" t="n">
        <v>0.2</v>
      </c>
      <c r="J167" s="209">
        <f>I167*$B$2</f>
        <v/>
      </c>
      <c r="K167" s="210">
        <f t="array" ref="K167">IFERROR(I167*INDEX('PORTIFÓLIO'!$S$4:$S$433,MATCH($C167,'PORTIFÓLIO'!$C$4:$C$433,0)),"")</f>
        <v/>
      </c>
      <c r="L167" s="210">
        <f t="array" ref="L167">IFERROR(J167*INDEX('PORTIFÓLIO'!$S$4:$S$433,MATCH($C167,'PORTIFÓLIO'!$C$4:$C$433,0)),"")</f>
        <v/>
      </c>
      <c r="M167" s="177" t="n"/>
      <c r="N167" s="177" t="n"/>
      <c r="O167" s="177" t="n"/>
      <c r="P167" s="177" t="n"/>
      <c r="Q167" s="177" t="n"/>
      <c r="R167" s="177" t="n"/>
      <c r="S167" s="177" t="n"/>
      <c r="T167" s="177" t="n"/>
      <c r="U167" s="177" t="n"/>
      <c r="V167" s="177" t="n"/>
      <c r="W167" s="177" t="n"/>
    </row>
    <row r="168" outlineLevel="1" ht="15.75" customHeight="1" s="297">
      <c r="A168" s="190" t="n"/>
      <c r="B168" s="204" t="n"/>
      <c r="C168" s="191" t="n"/>
      <c r="D168" s="205">
        <f>IFERROR(VLOOKUP($C168,'PORTIFÓLIO'!C:V,2,0),"")</f>
        <v/>
      </c>
      <c r="E168" s="190">
        <f>IFERROR(VLOOKUP($C168,'PORTIFÓLIO'!C:V,3,0),"")</f>
        <v/>
      </c>
      <c r="F168" s="190">
        <f>IFERROR(VLOOKUP($C168,'PORTIFÓLIO'!C:V,4,0),"")</f>
        <v/>
      </c>
      <c r="G168" s="206">
        <f>IFERROR(VLOOKUP($C168,'PORTIFÓLIO'!C:V,5,0),"")</f>
        <v/>
      </c>
      <c r="H168" s="247">
        <f t="array" ref="H168">IFERROR(INDEX('PORTIFÓLIO'!$H$4:$H$433,MATCH($C168,'PORTIFÓLIO'!$C$4:$C$433,0)),"")</f>
        <v/>
      </c>
      <c r="I168" s="257" t="n"/>
      <c r="J168" s="209">
        <f>I168*$B$2</f>
        <v/>
      </c>
      <c r="K168" s="210">
        <f t="array" ref="K168">IFERROR(I168*INDEX('PORTIFÓLIO'!$S$4:$S$433,MATCH($C168,'PORTIFÓLIO'!$C$4:$C$433,0)),"")</f>
        <v/>
      </c>
      <c r="L168" s="210">
        <f t="array" ref="L168">IFERROR(J168*INDEX('PORTIFÓLIO'!$S$4:$S$433,MATCH($C168,'PORTIFÓLIO'!$C$4:$C$433,0)),"")</f>
        <v/>
      </c>
      <c r="M168" s="177" t="n"/>
      <c r="N168" s="177" t="n"/>
      <c r="O168" s="177" t="n"/>
      <c r="P168" s="177" t="n"/>
      <c r="Q168" s="177" t="n"/>
      <c r="R168" s="177" t="n"/>
      <c r="S168" s="177" t="n"/>
      <c r="T168" s="177" t="n"/>
      <c r="U168" s="177" t="n"/>
      <c r="V168" s="177" t="n"/>
      <c r="W168" s="177" t="n"/>
    </row>
    <row r="169" outlineLevel="1" ht="15.75" customHeight="1" s="297">
      <c r="A169" s="190" t="n"/>
      <c r="B169" s="204" t="n"/>
      <c r="C169" s="191" t="n"/>
      <c r="D169" s="205">
        <f>IFERROR(VLOOKUP($C169,'PORTIFÓLIO'!C:V,2,0),"")</f>
        <v/>
      </c>
      <c r="E169" s="190">
        <f>IFERROR(VLOOKUP($C169,'PORTIFÓLIO'!C:V,3,0),"")</f>
        <v/>
      </c>
      <c r="F169" s="190">
        <f>IFERROR(VLOOKUP($C169,'PORTIFÓLIO'!C:V,4,0),"")</f>
        <v/>
      </c>
      <c r="G169" s="206">
        <f>IFERROR(VLOOKUP($C169,'PORTIFÓLIO'!C:V,5,0),"")</f>
        <v/>
      </c>
      <c r="H169" s="247">
        <f t="array" ref="H169">IFERROR(INDEX('PORTIFÓLIO'!$H$4:$H$433,MATCH($C169,'PORTIFÓLIO'!$C$4:$C$433,0)),"")</f>
        <v/>
      </c>
      <c r="I169" s="257" t="n"/>
      <c r="J169" s="209">
        <f>I169*$B$2</f>
        <v/>
      </c>
      <c r="K169" s="210">
        <f t="array" ref="K169">IFERROR(I169*INDEX('PORTIFÓLIO'!$S$4:$S$433,MATCH($C169,'PORTIFÓLIO'!$C$4:$C$433,0)),"")</f>
        <v/>
      </c>
      <c r="L169" s="210">
        <f t="array" ref="L169">IFERROR(J169*INDEX('PORTIFÓLIO'!$S$4:$S$433,MATCH($C169,'PORTIFÓLIO'!$C$4:$C$433,0)),"")</f>
        <v/>
      </c>
      <c r="M169" s="177" t="n"/>
      <c r="N169" s="177" t="n"/>
      <c r="O169" s="177" t="n"/>
      <c r="P169" s="177" t="n"/>
      <c r="Q169" s="177" t="n"/>
      <c r="R169" s="177" t="n"/>
      <c r="S169" s="177" t="n"/>
      <c r="T169" s="177" t="n"/>
      <c r="U169" s="177" t="n"/>
      <c r="V169" s="177" t="n"/>
      <c r="W169" s="177" t="n"/>
    </row>
    <row r="170" outlineLevel="1" ht="15.75" customHeight="1" s="297">
      <c r="A170" s="190" t="n"/>
      <c r="B170" s="204" t="n"/>
      <c r="C170" s="191" t="n"/>
      <c r="D170" s="205">
        <f>IFERROR(VLOOKUP($C170,'PORTIFÓLIO'!C:V,2,0),"")</f>
        <v/>
      </c>
      <c r="E170" s="190">
        <f>IFERROR(VLOOKUP($C170,'PORTIFÓLIO'!C:V,3,0),"")</f>
        <v/>
      </c>
      <c r="F170" s="190">
        <f>IFERROR(VLOOKUP($C170,'PORTIFÓLIO'!C:V,4,0),"")</f>
        <v/>
      </c>
      <c r="G170" s="206">
        <f>IFERROR(VLOOKUP($C170,'PORTIFÓLIO'!C:V,5,0),"")</f>
        <v/>
      </c>
      <c r="H170" s="247">
        <f t="array" ref="H170">IFERROR(INDEX('PORTIFÓLIO'!$H$4:$H$433,MATCH($C170,'PORTIFÓLIO'!$C$4:$C$433,0)),"")</f>
        <v/>
      </c>
      <c r="I170" s="257" t="n"/>
      <c r="J170" s="209">
        <f>I170*$B$2</f>
        <v/>
      </c>
      <c r="K170" s="210">
        <f t="array" ref="K170">IFERROR(I170*INDEX('PORTIFÓLIO'!$S$4:$S$433,MATCH($C170,'PORTIFÓLIO'!$C$4:$C$433,0)),"")</f>
        <v/>
      </c>
      <c r="L170" s="210">
        <f t="array" ref="L170">IFERROR(J170*INDEX('PORTIFÓLIO'!$S$4:$S$433,MATCH($C170,'PORTIFÓLIO'!$C$4:$C$433,0)),"")</f>
        <v/>
      </c>
      <c r="M170" s="177" t="n"/>
      <c r="N170" s="177" t="n"/>
      <c r="O170" s="177" t="n"/>
      <c r="P170" s="177" t="n"/>
      <c r="Q170" s="177" t="n"/>
      <c r="R170" s="177" t="n"/>
      <c r="S170" s="177" t="n"/>
      <c r="T170" s="177" t="n"/>
      <c r="U170" s="177" t="n"/>
      <c r="V170" s="177" t="n"/>
      <c r="W170" s="177" t="n"/>
    </row>
    <row r="171" outlineLevel="1" ht="15.75" customHeight="1" s="297">
      <c r="A171" s="190" t="n"/>
      <c r="B171" s="204" t="n"/>
      <c r="C171" s="191" t="n"/>
      <c r="D171" s="205">
        <f>IFERROR(VLOOKUP($C171,'PORTIFÓLIO'!C:V,2,0),"")</f>
        <v/>
      </c>
      <c r="E171" s="190">
        <f>IFERROR(VLOOKUP($C171,'PORTIFÓLIO'!C:V,3,0),"")</f>
        <v/>
      </c>
      <c r="F171" s="190">
        <f>IFERROR(VLOOKUP($C171,'PORTIFÓLIO'!C:V,4,0),"")</f>
        <v/>
      </c>
      <c r="G171" s="206">
        <f>IFERROR(VLOOKUP($C171,'PORTIFÓLIO'!C:V,5,0),"")</f>
        <v/>
      </c>
      <c r="H171" s="247">
        <f t="array" ref="H171">IFERROR(INDEX('PORTIFÓLIO'!$H$4:$H$433,MATCH($C171,'PORTIFÓLIO'!$C$4:$C$433,0)),"")</f>
        <v/>
      </c>
      <c r="I171" s="257" t="n"/>
      <c r="J171" s="209">
        <f>I171*$B$2</f>
        <v/>
      </c>
      <c r="K171" s="210">
        <f t="array" ref="K171">IFERROR(I171*INDEX('PORTIFÓLIO'!$S$4:$S$433,MATCH($C171,'PORTIFÓLIO'!$C$4:$C$433,0)),"")</f>
        <v/>
      </c>
      <c r="L171" s="210">
        <f t="array" ref="L171">IFERROR(J171*INDEX('PORTIFÓLIO'!$S$4:$S$433,MATCH($C171,'PORTIFÓLIO'!$C$4:$C$433,0)),"")</f>
        <v/>
      </c>
      <c r="M171" s="177" t="n"/>
      <c r="N171" s="177" t="n"/>
      <c r="O171" s="177" t="n"/>
      <c r="P171" s="177" t="n"/>
      <c r="Q171" s="177" t="n"/>
      <c r="R171" s="177" t="n"/>
      <c r="S171" s="177" t="n"/>
      <c r="T171" s="177" t="n"/>
      <c r="U171" s="177" t="n"/>
      <c r="V171" s="177" t="n"/>
      <c r="W171" s="177" t="n"/>
    </row>
    <row r="172" outlineLevel="1" ht="15.75" customHeight="1" s="297">
      <c r="A172" s="190" t="n"/>
      <c r="B172" s="204" t="n"/>
      <c r="C172" s="191" t="n"/>
      <c r="D172" s="205">
        <f>IFERROR(VLOOKUP($C172,'PORTIFÓLIO'!C:V,2,0),"")</f>
        <v/>
      </c>
      <c r="E172" s="190">
        <f>IFERROR(VLOOKUP($C172,'PORTIFÓLIO'!C:V,3,0),"")</f>
        <v/>
      </c>
      <c r="F172" s="190">
        <f>IFERROR(VLOOKUP($C172,'PORTIFÓLIO'!C:V,4,0),"")</f>
        <v/>
      </c>
      <c r="G172" s="206">
        <f>IFERROR(VLOOKUP($C172,'PORTIFÓLIO'!C:V,5,0),"")</f>
        <v/>
      </c>
      <c r="H172" s="247">
        <f t="array" ref="H172">IFERROR(INDEX('PORTIFÓLIO'!$H$4:$H$433,MATCH($C172,'PORTIFÓLIO'!$C$4:$C$433,0)),"")</f>
        <v/>
      </c>
      <c r="I172" s="257" t="n"/>
      <c r="J172" s="209">
        <f>I172*$B$2</f>
        <v/>
      </c>
      <c r="K172" s="210">
        <f t="array" ref="K172">IFERROR(I172*INDEX('PORTIFÓLIO'!$S$4:$S$433,MATCH($C172,'PORTIFÓLIO'!$C$4:$C$433,0)),"")</f>
        <v/>
      </c>
      <c r="L172" s="210">
        <f t="array" ref="L172">IFERROR(J172*INDEX('PORTIFÓLIO'!$S$4:$S$433,MATCH($C172,'PORTIFÓLIO'!$C$4:$C$433,0)),"")</f>
        <v/>
      </c>
      <c r="M172" s="177" t="n"/>
      <c r="N172" s="177" t="n"/>
      <c r="O172" s="177" t="n"/>
      <c r="P172" s="177" t="n"/>
      <c r="Q172" s="177" t="n"/>
      <c r="R172" s="177" t="n"/>
      <c r="S172" s="177" t="n"/>
      <c r="T172" s="177" t="n"/>
      <c r="U172" s="177" t="n"/>
      <c r="V172" s="177" t="n"/>
      <c r="W172" s="177" t="n"/>
    </row>
    <row r="173" outlineLevel="1" ht="15.75" customHeight="1" s="297">
      <c r="A173" s="190" t="n"/>
      <c r="B173" s="204" t="n"/>
      <c r="C173" s="191" t="n"/>
      <c r="D173" s="205">
        <f>IFERROR(VLOOKUP($C173,'PORTIFÓLIO'!C:V,2,0),"")</f>
        <v/>
      </c>
      <c r="E173" s="190">
        <f>IFERROR(VLOOKUP($C173,'PORTIFÓLIO'!C:V,3,0),"")</f>
        <v/>
      </c>
      <c r="F173" s="190">
        <f>IFERROR(VLOOKUP($C173,'PORTIFÓLIO'!C:V,4,0),"")</f>
        <v/>
      </c>
      <c r="G173" s="206">
        <f>IFERROR(VLOOKUP($C173,'PORTIFÓLIO'!C:V,5,0),"")</f>
        <v/>
      </c>
      <c r="H173" s="247">
        <f t="array" ref="H173">IFERROR(INDEX('PORTIFÓLIO'!$H$4:$H$433,MATCH($C173,'PORTIFÓLIO'!$C$4:$C$433,0)),"")</f>
        <v/>
      </c>
      <c r="I173" s="257" t="n"/>
      <c r="J173" s="209">
        <f>I173*$B$2</f>
        <v/>
      </c>
      <c r="K173" s="210">
        <f t="array" ref="K173">IFERROR(I173*INDEX('PORTIFÓLIO'!$S$4:$S$433,MATCH($C173,'PORTIFÓLIO'!$C$4:$C$433,0)),"")</f>
        <v/>
      </c>
      <c r="L173" s="210">
        <f t="array" ref="L173">IFERROR(J173*INDEX('PORTIFÓLIO'!$S$4:$S$433,MATCH($C173,'PORTIFÓLIO'!$C$4:$C$433,0)),"")</f>
        <v/>
      </c>
      <c r="M173" s="177" t="n"/>
      <c r="N173" s="177" t="n"/>
      <c r="O173" s="177" t="n"/>
      <c r="P173" s="177" t="n"/>
      <c r="Q173" s="177" t="n"/>
      <c r="R173" s="177" t="n"/>
      <c r="S173" s="177" t="n"/>
      <c r="T173" s="177" t="n"/>
      <c r="U173" s="177" t="n"/>
      <c r="V173" s="177" t="n"/>
      <c r="W173" s="177" t="n"/>
    </row>
    <row r="174" outlineLevel="1" ht="15.75" customHeight="1" s="297">
      <c r="A174" s="190" t="n"/>
      <c r="B174" s="204" t="n"/>
      <c r="C174" s="191" t="n"/>
      <c r="D174" s="205">
        <f>IFERROR(VLOOKUP($C174,'PORTIFÓLIO'!C:V,2,0),"")</f>
        <v/>
      </c>
      <c r="E174" s="190">
        <f>IFERROR(VLOOKUP($C174,'PORTIFÓLIO'!C:V,3,0),"")</f>
        <v/>
      </c>
      <c r="F174" s="190">
        <f>IFERROR(VLOOKUP($C174,'PORTIFÓLIO'!C:V,4,0),"")</f>
        <v/>
      </c>
      <c r="G174" s="206">
        <f>IFERROR(VLOOKUP($C174,'PORTIFÓLIO'!C:V,5,0),"")</f>
        <v/>
      </c>
      <c r="H174" s="247">
        <f t="array" ref="H174">IFERROR(INDEX('PORTIFÓLIO'!$H$4:$H$433,MATCH($C174,'PORTIFÓLIO'!$C$4:$C$433,0)),"")</f>
        <v/>
      </c>
      <c r="I174" s="253" t="n"/>
      <c r="J174" s="209">
        <f>I174*$B$2</f>
        <v/>
      </c>
      <c r="K174" s="210">
        <f t="array" ref="K174">IFERROR(I174*INDEX('PORTIFÓLIO'!$S$4:$S$433,MATCH($C174,'PORTIFÓLIO'!$C$4:$C$433,0)),"")</f>
        <v/>
      </c>
      <c r="L174" s="210">
        <f t="array" ref="L174">IFERROR(J174*INDEX('PORTIFÓLIO'!$S$4:$S$433,MATCH($C174,'PORTIFÓLIO'!$C$4:$C$433,0)),"")</f>
        <v/>
      </c>
      <c r="M174" s="177" t="n"/>
      <c r="N174" s="177" t="n"/>
      <c r="O174" s="177" t="n"/>
      <c r="P174" s="177" t="n"/>
      <c r="Q174" s="177" t="n"/>
      <c r="R174" s="177" t="n"/>
      <c r="S174" s="177" t="n"/>
      <c r="T174" s="177" t="n"/>
      <c r="U174" s="177" t="n"/>
      <c r="V174" s="177" t="n"/>
      <c r="W174" s="177" t="n"/>
    </row>
    <row r="175" outlineLevel="1" ht="15.75" customHeight="1" s="297">
      <c r="A175" s="190" t="n"/>
      <c r="B175" s="204" t="n"/>
      <c r="C175" s="191" t="n"/>
      <c r="D175" s="205">
        <f>IFERROR(VLOOKUP($C175,'PORTIFÓLIO'!C:V,2,0),"")</f>
        <v/>
      </c>
      <c r="E175" s="190">
        <f>IFERROR(VLOOKUP($C175,'PORTIFÓLIO'!C:V,3,0),"")</f>
        <v/>
      </c>
      <c r="F175" s="190">
        <f>IFERROR(VLOOKUP($C175,'PORTIFÓLIO'!C:V,4,0),"")</f>
        <v/>
      </c>
      <c r="G175" s="206">
        <f>IFERROR(VLOOKUP($C175,'PORTIFÓLIO'!C:V,5,0),"")</f>
        <v/>
      </c>
      <c r="H175" s="247">
        <f t="array" ref="H175">IFERROR(INDEX('PORTIFÓLIO'!$H$4:$H$433,MATCH($C175,'PORTIFÓLIO'!$C$4:$C$433,0)),"")</f>
        <v/>
      </c>
      <c r="I175" s="257" t="n"/>
      <c r="J175" s="209">
        <f>I175*$B$2</f>
        <v/>
      </c>
      <c r="K175" s="210">
        <f t="array" ref="K175">IFERROR(I175*INDEX('PORTIFÓLIO'!$S$4:$S$433,MATCH($C175,'PORTIFÓLIO'!$C$4:$C$433,0)),"")</f>
        <v/>
      </c>
      <c r="L175" s="210">
        <f t="array" ref="L175">IFERROR(J175*INDEX('PORTIFÓLIO'!$S$4:$S$433,MATCH($C175,'PORTIFÓLIO'!$C$4:$C$433,0)),"")</f>
        <v/>
      </c>
      <c r="M175" s="177" t="n"/>
      <c r="N175" s="177" t="n"/>
      <c r="O175" s="177" t="n"/>
      <c r="P175" s="177" t="n"/>
      <c r="Q175" s="177" t="n"/>
      <c r="R175" s="177" t="n"/>
      <c r="S175" s="177" t="n"/>
      <c r="T175" s="177" t="n"/>
      <c r="U175" s="177" t="n"/>
      <c r="V175" s="177" t="n"/>
      <c r="W175" s="177" t="n"/>
    </row>
    <row r="176" outlineLevel="1" ht="15.75" customHeight="1" s="297">
      <c r="A176" s="190" t="n"/>
      <c r="B176" s="204" t="n"/>
      <c r="C176" s="191" t="n"/>
      <c r="D176" s="205">
        <f>IFERROR(VLOOKUP($C176,'PORTIFÓLIO'!C:V,2,0),"")</f>
        <v/>
      </c>
      <c r="E176" s="190">
        <f>IFERROR(VLOOKUP($C176,'PORTIFÓLIO'!C:V,3,0),"")</f>
        <v/>
      </c>
      <c r="F176" s="190">
        <f>IFERROR(VLOOKUP($C176,'PORTIFÓLIO'!C:V,4,0),"")</f>
        <v/>
      </c>
      <c r="G176" s="206">
        <f>IFERROR(VLOOKUP($C176,'PORTIFÓLIO'!C:V,5,0),"")</f>
        <v/>
      </c>
      <c r="H176" s="247">
        <f t="array" ref="H176">IFERROR(INDEX('PORTIFÓLIO'!$H$4:$H$433,MATCH($C176,'PORTIFÓLIO'!$C$4:$C$433,0)),"")</f>
        <v/>
      </c>
      <c r="I176" s="257" t="n"/>
      <c r="J176" s="209">
        <f>I176*$B$2</f>
        <v/>
      </c>
      <c r="K176" s="210">
        <f t="array" ref="K176">IFERROR(I176*INDEX('PORTIFÓLIO'!$S$4:$S$433,MATCH($C176,'PORTIFÓLIO'!$C$4:$C$433,0)),"")</f>
        <v/>
      </c>
      <c r="L176" s="210">
        <f t="array" ref="L176">IFERROR(J176*INDEX('PORTIFÓLIO'!$S$4:$S$433,MATCH($C176,'PORTIFÓLIO'!$C$4:$C$433,0)),"")</f>
        <v/>
      </c>
      <c r="M176" s="177" t="n"/>
      <c r="N176" s="177" t="n"/>
      <c r="O176" s="177" t="n"/>
      <c r="P176" s="177" t="n"/>
      <c r="Q176" s="177" t="n"/>
      <c r="R176" s="177" t="n"/>
      <c r="S176" s="177" t="n"/>
      <c r="T176" s="177" t="n"/>
      <c r="U176" s="177" t="n"/>
      <c r="V176" s="177" t="n"/>
      <c r="W176" s="177" t="n"/>
    </row>
    <row r="177" outlineLevel="1" ht="15.75" customHeight="1" s="297">
      <c r="A177" s="190" t="n"/>
      <c r="B177" s="204" t="n"/>
      <c r="C177" s="191" t="n"/>
      <c r="D177" s="205">
        <f>IFERROR(VLOOKUP($C177,'PORTIFÓLIO'!C:V,2,0),"")</f>
        <v/>
      </c>
      <c r="E177" s="190">
        <f>IFERROR(VLOOKUP($C177,'PORTIFÓLIO'!C:V,3,0),"")</f>
        <v/>
      </c>
      <c r="F177" s="190">
        <f>IFERROR(VLOOKUP($C177,'PORTIFÓLIO'!C:V,4,0),"")</f>
        <v/>
      </c>
      <c r="G177" s="206">
        <f>IFERROR(VLOOKUP($C177,'PORTIFÓLIO'!C:V,5,0),"")</f>
        <v/>
      </c>
      <c r="H177" s="247">
        <f t="array" ref="H177">IFERROR(INDEX('PORTIFÓLIO'!$H$4:$H$433,MATCH($C177,'PORTIFÓLIO'!$C$4:$C$433,0)),"")</f>
        <v/>
      </c>
      <c r="I177" s="257" t="n"/>
      <c r="J177" s="209">
        <f>I177*$B$2</f>
        <v/>
      </c>
      <c r="K177" s="210">
        <f t="array" ref="K177">IFERROR(I177*INDEX('PORTIFÓLIO'!$S$4:$S$433,MATCH($C177,'PORTIFÓLIO'!$C$4:$C$433,0)),"")</f>
        <v/>
      </c>
      <c r="L177" s="210">
        <f t="array" ref="L177">IFERROR(J177*INDEX('PORTIFÓLIO'!$S$4:$S$433,MATCH($C177,'PORTIFÓLIO'!$C$4:$C$433,0)),"")</f>
        <v/>
      </c>
      <c r="M177" s="177" t="n"/>
      <c r="N177" s="177" t="n"/>
      <c r="O177" s="177" t="n"/>
      <c r="P177" s="177" t="n"/>
      <c r="Q177" s="177" t="n"/>
      <c r="R177" s="177" t="n"/>
      <c r="S177" s="177" t="n"/>
      <c r="T177" s="177" t="n"/>
      <c r="U177" s="177" t="n"/>
      <c r="V177" s="177" t="n"/>
      <c r="W177" s="177" t="n"/>
    </row>
    <row r="178" outlineLevel="1" ht="15.75" customHeight="1" s="297">
      <c r="A178" s="190" t="n"/>
      <c r="B178" s="204" t="n"/>
      <c r="C178" s="191" t="n"/>
      <c r="D178" s="205">
        <f>IFERROR(VLOOKUP($C178,'PORTIFÓLIO'!C:V,2,0),"")</f>
        <v/>
      </c>
      <c r="E178" s="190">
        <f>IFERROR(VLOOKUP($C178,'PORTIFÓLIO'!C:V,3,0),"")</f>
        <v/>
      </c>
      <c r="F178" s="190">
        <f>IFERROR(VLOOKUP($C178,'PORTIFÓLIO'!C:V,4,0),"")</f>
        <v/>
      </c>
      <c r="G178" s="206">
        <f>IFERROR(VLOOKUP($C178,'PORTIFÓLIO'!C:V,5,0),"")</f>
        <v/>
      </c>
      <c r="H178" s="247">
        <f t="array" ref="H178">IFERROR(INDEX('PORTIFÓLIO'!$H$4:$H$433,MATCH($C178,'PORTIFÓLIO'!$C$4:$C$433,0)),"")</f>
        <v/>
      </c>
      <c r="I178" s="257" t="n"/>
      <c r="J178" s="209">
        <f>I178*$B$2</f>
        <v/>
      </c>
      <c r="K178" s="210">
        <f t="array" ref="K178">IFERROR(I178*INDEX('PORTIFÓLIO'!$S$4:$S$433,MATCH($C178,'PORTIFÓLIO'!$C$4:$C$433,0)),"")</f>
        <v/>
      </c>
      <c r="L178" s="210">
        <f t="array" ref="L178">IFERROR(J178*INDEX('PORTIFÓLIO'!$S$4:$S$433,MATCH($C178,'PORTIFÓLIO'!$C$4:$C$433,0)),"")</f>
        <v/>
      </c>
      <c r="M178" s="177" t="n"/>
      <c r="N178" s="177" t="n"/>
      <c r="O178" s="177" t="n"/>
      <c r="P178" s="177" t="n"/>
      <c r="Q178" s="177" t="n"/>
      <c r="R178" s="177" t="n"/>
      <c r="S178" s="177" t="n"/>
      <c r="T178" s="177" t="n"/>
      <c r="U178" s="177" t="n"/>
      <c r="V178" s="177" t="n"/>
      <c r="W178" s="177" t="n"/>
    </row>
    <row r="179" outlineLevel="1" ht="15.75" customHeight="1" s="297">
      <c r="A179" s="190" t="n"/>
      <c r="B179" s="204" t="n"/>
      <c r="C179" s="191" t="n"/>
      <c r="D179" s="205">
        <f>IFERROR(VLOOKUP($C179,'PORTIFÓLIO'!C:V,2,0),"")</f>
        <v/>
      </c>
      <c r="E179" s="190">
        <f>IFERROR(VLOOKUP($C179,'PORTIFÓLIO'!C:V,3,0),"")</f>
        <v/>
      </c>
      <c r="F179" s="190">
        <f>IFERROR(VLOOKUP($C179,'PORTIFÓLIO'!C:V,4,0),"")</f>
        <v/>
      </c>
      <c r="G179" s="206">
        <f>IFERROR(VLOOKUP($C179,'PORTIFÓLIO'!C:V,5,0),"")</f>
        <v/>
      </c>
      <c r="H179" s="247">
        <f t="array" ref="H179">IFERROR(INDEX('PORTIFÓLIO'!$H$4:$H$433,MATCH($C179,'PORTIFÓLIO'!$C$4:$C$433,0)),"")</f>
        <v/>
      </c>
      <c r="I179" s="257" t="n"/>
      <c r="J179" s="209">
        <f>I179*$B$2</f>
        <v/>
      </c>
      <c r="K179" s="210">
        <f t="array" ref="K179">IFERROR(I179*INDEX('PORTIFÓLIO'!$S$4:$S$433,MATCH($C179,'PORTIFÓLIO'!$C$4:$C$433,0)),"")</f>
        <v/>
      </c>
      <c r="L179" s="210">
        <f t="array" ref="L179">IFERROR(J179*INDEX('PORTIFÓLIO'!$S$4:$S$433,MATCH($C179,'PORTIFÓLIO'!$C$4:$C$433,0)),"")</f>
        <v/>
      </c>
      <c r="M179" s="177" t="n"/>
      <c r="N179" s="177" t="n"/>
      <c r="O179" s="177" t="n"/>
      <c r="P179" s="177" t="n"/>
      <c r="Q179" s="177" t="n"/>
      <c r="R179" s="177" t="n"/>
      <c r="S179" s="177" t="n"/>
      <c r="T179" s="177" t="n"/>
      <c r="U179" s="177" t="n"/>
      <c r="V179" s="177" t="n"/>
      <c r="W179" s="177" t="n"/>
    </row>
    <row r="180" outlineLevel="1" ht="15.75" customHeight="1" s="297">
      <c r="A180" s="190" t="n"/>
      <c r="B180" s="204" t="n"/>
      <c r="C180" s="191" t="n"/>
      <c r="D180" s="205">
        <f>IFERROR(VLOOKUP($C180,'PORTIFÓLIO'!C:V,2,0),"")</f>
        <v/>
      </c>
      <c r="E180" s="190">
        <f>IFERROR(VLOOKUP($C180,'PORTIFÓLIO'!C:V,3,0),"")</f>
        <v/>
      </c>
      <c r="F180" s="190">
        <f>IFERROR(VLOOKUP($C180,'PORTIFÓLIO'!C:V,4,0),"")</f>
        <v/>
      </c>
      <c r="G180" s="206">
        <f>IFERROR(VLOOKUP($C180,'PORTIFÓLIO'!C:V,5,0),"")</f>
        <v/>
      </c>
      <c r="H180" s="247">
        <f t="array" ref="H180">IFERROR(INDEX('PORTIFÓLIO'!$H$4:$H$433,MATCH($C180,'PORTIFÓLIO'!$C$4:$C$433,0)),"")</f>
        <v/>
      </c>
      <c r="I180" s="257" t="n"/>
      <c r="J180" s="209">
        <f>I180*$B$2</f>
        <v/>
      </c>
      <c r="K180" s="210">
        <f t="array" ref="K180">IFERROR(I180*INDEX('PORTIFÓLIO'!$S$4:$S$433,MATCH($C180,'PORTIFÓLIO'!$C$4:$C$433,0)),"")</f>
        <v/>
      </c>
      <c r="L180" s="210">
        <f t="array" ref="L180">IFERROR(J180*INDEX('PORTIFÓLIO'!$S$4:$S$433,MATCH($C180,'PORTIFÓLIO'!$C$4:$C$433,0)),"")</f>
        <v/>
      </c>
      <c r="M180" s="177" t="n"/>
      <c r="N180" s="177" t="n"/>
      <c r="O180" s="177" t="n"/>
      <c r="P180" s="177" t="n"/>
      <c r="Q180" s="177" t="n"/>
      <c r="R180" s="177" t="n"/>
      <c r="S180" s="177" t="n"/>
      <c r="T180" s="177" t="n"/>
      <c r="U180" s="177" t="n"/>
      <c r="V180" s="177" t="n"/>
      <c r="W180" s="177" t="n"/>
    </row>
    <row r="181" outlineLevel="1" ht="15.75" customHeight="1" s="297">
      <c r="A181" s="190" t="n"/>
      <c r="B181" s="238" t="n"/>
      <c r="C181" s="190" t="n"/>
      <c r="D181" s="205">
        <f>IFERROR(VLOOKUP($C181,'PORTIFÓLIO'!C:V,2,0),"")</f>
        <v/>
      </c>
      <c r="E181" s="190">
        <f>IFERROR(VLOOKUP($C181,'PORTIFÓLIO'!C:V,3,0),"")</f>
        <v/>
      </c>
      <c r="F181" s="190">
        <f>IFERROR(VLOOKUP($C181,'PORTIFÓLIO'!C:V,4,0),"")</f>
        <v/>
      </c>
      <c r="G181" s="206">
        <f>IFERROR(VLOOKUP($C181,'PORTIFÓLIO'!C:V,5,0),"")</f>
        <v/>
      </c>
      <c r="H181" s="247">
        <f t="array" ref="H181">IFERROR(INDEX('PORTIFÓLIO'!$H$4:$H$433,MATCH($C181,'PORTIFÓLIO'!$C$4:$C$433,0)),"")</f>
        <v/>
      </c>
      <c r="I181" s="257" t="n"/>
      <c r="J181" s="209">
        <f>I181*$B$2</f>
        <v/>
      </c>
      <c r="K181" s="210">
        <f t="array" ref="K181">IFERROR(I181*INDEX('PORTIFÓLIO'!$S$4:$S$433,MATCH($C181,'PORTIFÓLIO'!$C$4:$C$433,0)),"")</f>
        <v/>
      </c>
      <c r="L181" s="210">
        <f t="array" ref="L181">IFERROR(J181*INDEX('PORTIFÓLIO'!$S$4:$S$433,MATCH($C181,'PORTIFÓLIO'!$C$4:$C$433,0)),"")</f>
        <v/>
      </c>
      <c r="M181" s="177" t="n"/>
      <c r="N181" s="177" t="n"/>
      <c r="O181" s="177" t="n"/>
      <c r="P181" s="177" t="n"/>
      <c r="Q181" s="177" t="n"/>
      <c r="R181" s="177" t="n"/>
      <c r="S181" s="177" t="n"/>
      <c r="T181" s="177" t="n"/>
      <c r="U181" s="177" t="n"/>
      <c r="V181" s="177" t="n"/>
      <c r="W181" s="177" t="n"/>
    </row>
    <row r="182" ht="15.75" customHeight="1" s="297">
      <c r="A182" s="221" t="inlineStr">
        <is>
          <t>OPERAÇÃO 11</t>
        </is>
      </c>
      <c r="B182" s="197" t="n"/>
      <c r="C182" s="196" t="n"/>
      <c r="D182" s="198" t="n"/>
      <c r="E182" s="196" t="n"/>
      <c r="F182" s="196" t="n"/>
      <c r="G182" s="199" t="n"/>
      <c r="H182" s="199" t="n"/>
      <c r="I182" s="252" t="n"/>
      <c r="J182" s="202" t="n"/>
      <c r="K182" s="203">
        <f>SUBTOTAL(9,K183:K196)</f>
        <v/>
      </c>
      <c r="L182" s="203">
        <f>SUBTOTAL(9,L183:L196)</f>
        <v/>
      </c>
      <c r="M182" s="177" t="n"/>
      <c r="N182" s="177" t="n"/>
      <c r="O182" s="177" t="n"/>
      <c r="P182" s="177" t="n"/>
      <c r="Q182" s="177" t="n"/>
      <c r="R182" s="177" t="n"/>
      <c r="S182" s="177" t="n"/>
      <c r="T182" s="177" t="n"/>
      <c r="U182" s="177" t="n"/>
      <c r="V182" s="177" t="n"/>
      <c r="W182" s="177" t="n"/>
    </row>
    <row r="183" outlineLevel="1" ht="15.75" customHeight="1" s="297">
      <c r="A183" s="191" t="n"/>
      <c r="B183" s="204" t="inlineStr">
        <is>
          <t>MÁQUINAS</t>
        </is>
      </c>
      <c r="C183" s="191" t="inlineStr">
        <is>
          <t>TRATOR-JD 7500 + BRUTUS 12000</t>
        </is>
      </c>
      <c r="D183" s="205">
        <f>IFERROR(VLOOKUP($C183,'PORTIFÓLIO'!C:V,2,0),"")</f>
        <v/>
      </c>
      <c r="E183" s="190">
        <f>IFERROR(VLOOKUP($C183,'PORTIFÓLIO'!C:V,3,0),"")</f>
        <v/>
      </c>
      <c r="F183" s="190">
        <f>IFERROR(VLOOKUP($C183,'PORTIFÓLIO'!C:V,4,0),"")</f>
        <v/>
      </c>
      <c r="G183" s="206">
        <f t="array" ref="G183">IFERROR(INDEX('PORTIFÓLIO'!$H$4:$H$433,MATCH($C183,'PORTIFÓLIO'!$C$4:$C$433,0)),"")</f>
        <v/>
      </c>
      <c r="H183" s="247">
        <f t="array" ref="H183">IFERROR(INDEX('PORTIFÓLIO'!$H$4:$H$433,MATCH($C183,'PORTIFÓLIO'!$C$4:$C$433,0)),"")</f>
        <v/>
      </c>
      <c r="I183" s="253" t="n">
        <v>0.32</v>
      </c>
      <c r="J183" s="209">
        <f>I183*$B$2</f>
        <v/>
      </c>
      <c r="K183" s="210">
        <f t="array" ref="K183">IFERROR(I183*INDEX('PORTIFÓLIO'!$S$4:$S$433,MATCH($C183,'PORTIFÓLIO'!$C$4:$C$433,0)),"")</f>
        <v/>
      </c>
      <c r="L183" s="210">
        <f t="array" ref="L183">IFERROR(J183*INDEX('PORTIFÓLIO'!$S$4:$S$433,MATCH($C183,'PORTIFÓLIO'!$C$4:$C$433,0)),"")</f>
        <v/>
      </c>
      <c r="M183" s="177" t="n"/>
      <c r="N183" s="177" t="n"/>
      <c r="O183" s="177" t="n"/>
      <c r="P183" s="177" t="n"/>
      <c r="Q183" s="177" t="n"/>
      <c r="R183" s="177" t="n"/>
      <c r="S183" s="177" t="n"/>
      <c r="T183" s="177" t="n"/>
      <c r="U183" s="177" t="n"/>
      <c r="V183" s="177" t="n"/>
      <c r="W183" s="177" t="n"/>
    </row>
    <row r="184" outlineLevel="1" ht="15.75" customHeight="1" s="297">
      <c r="A184" s="190" t="n"/>
      <c r="B184" s="204" t="inlineStr">
        <is>
          <t>MÁQUINAS</t>
        </is>
      </c>
      <c r="C184" s="191" t="inlineStr">
        <is>
          <t>TRATOR-JD 7500 + ADUBADORA HERCULES 10000</t>
        </is>
      </c>
      <c r="D184" s="205">
        <f>IFERROR(VLOOKUP($C184,'PORTIFÓLIO'!C:V,2,0),"")</f>
        <v/>
      </c>
      <c r="E184" s="190">
        <f>IFERROR(VLOOKUP($C184,'PORTIFÓLIO'!C:V,3,0),"")</f>
        <v/>
      </c>
      <c r="F184" s="190">
        <f>IFERROR(VLOOKUP($C184,'PORTIFÓLIO'!C:V,4,0),"")</f>
        <v/>
      </c>
      <c r="G184" s="206">
        <f t="array" ref="G184">IFERROR(INDEX('PORTIFÓLIO'!$H$4:$H$433,MATCH($C184,'PORTIFÓLIO'!$C$4:$C$433,0)),"")</f>
        <v/>
      </c>
      <c r="H184" s="247">
        <f t="array" ref="H184">IFERROR(INDEX('PORTIFÓLIO'!$H$4:$H$433,MATCH($C184,'PORTIFÓLIO'!$C$4:$C$433,0)),"")</f>
        <v/>
      </c>
      <c r="I184" s="257">
        <f>G184*4</f>
        <v/>
      </c>
      <c r="J184" s="209">
        <f>I184*$B$2</f>
        <v/>
      </c>
      <c r="K184" s="210">
        <f t="array" ref="K184">IFERROR(I184*INDEX('PORTIFÓLIO'!$S$4:$S$433,MATCH($C184,'PORTIFÓLIO'!$C$4:$C$433,0)),"")</f>
        <v/>
      </c>
      <c r="L184" s="210">
        <f t="array" ref="L184">IFERROR(J184*INDEX('PORTIFÓLIO'!$S$4:$S$433,MATCH($C184,'PORTIFÓLIO'!$C$4:$C$433,0)),"")</f>
        <v/>
      </c>
      <c r="M184" s="177" t="n"/>
      <c r="N184" s="177" t="n"/>
      <c r="O184" s="177" t="n"/>
      <c r="P184" s="177" t="n"/>
      <c r="Q184" s="177" t="n"/>
      <c r="R184" s="177" t="n"/>
      <c r="S184" s="177" t="n"/>
      <c r="T184" s="177" t="n"/>
      <c r="U184" s="177" t="n"/>
      <c r="V184" s="177" t="n"/>
      <c r="W184" s="177" t="n"/>
    </row>
    <row r="185" outlineLevel="1" ht="15.75" customHeight="1" s="297">
      <c r="A185" s="190" t="n"/>
      <c r="B185" s="204" t="inlineStr">
        <is>
          <t>MÁQUINAS</t>
        </is>
      </c>
      <c r="C185" s="191" t="inlineStr">
        <is>
          <t>PULVERIZADOR- JD4730 + PULVERIZADOR- JD4730</t>
        </is>
      </c>
      <c r="D185" s="205">
        <f>IFERROR(VLOOKUP($C185,'PORTIFÓLIO'!C:V,2,0),"")</f>
        <v/>
      </c>
      <c r="E185" s="190">
        <f>IFERROR(VLOOKUP($C185,'PORTIFÓLIO'!C:V,3,0),"")</f>
        <v/>
      </c>
      <c r="F185" s="190">
        <f>IFERROR(VLOOKUP($C185,'PORTIFÓLIO'!C:V,4,0),"")</f>
        <v/>
      </c>
      <c r="G185" s="206">
        <f t="array" ref="G185">IFERROR(INDEX('PORTIFÓLIO'!$H$4:$H$433,MATCH($C185,'PORTIFÓLIO'!$C$4:$C$433,0)),"")</f>
        <v/>
      </c>
      <c r="H185" s="247">
        <f t="array" ref="H185">IFERROR(INDEX('PORTIFÓLIO'!$H$4:$H$433,MATCH($C185,'PORTIFÓLIO'!$C$4:$C$433,0)),"")</f>
        <v/>
      </c>
      <c r="I185" s="257">
        <f>G185*3</f>
        <v/>
      </c>
      <c r="J185" s="209">
        <f>I185*$B$2</f>
        <v/>
      </c>
      <c r="K185" s="210">
        <f t="array" ref="K185">IFERROR(I185*INDEX('PORTIFÓLIO'!$S$4:$S$433,MATCH($C185,'PORTIFÓLIO'!$C$4:$C$433,0)),"")</f>
        <v/>
      </c>
      <c r="L185" s="210">
        <f t="array" ref="L185">IFERROR(J185*INDEX('PORTIFÓLIO'!$S$4:$S$433,MATCH($C185,'PORTIFÓLIO'!$C$4:$C$433,0)),"")</f>
        <v/>
      </c>
      <c r="M185" s="177" t="n"/>
      <c r="N185" s="177" t="n"/>
      <c r="O185" s="177" t="n"/>
      <c r="P185" s="177" t="n"/>
      <c r="Q185" s="177" t="n"/>
      <c r="R185" s="177" t="n"/>
      <c r="S185" s="177" t="n"/>
      <c r="T185" s="177" t="n"/>
      <c r="U185" s="177" t="n"/>
      <c r="V185" s="177" t="n"/>
      <c r="W185" s="177" t="n"/>
    </row>
    <row r="186" outlineLevel="1" ht="15.75" customHeight="1" s="297">
      <c r="A186" s="190" t="n"/>
      <c r="B186" s="204" t="inlineStr">
        <is>
          <t>MÁQUINAS</t>
        </is>
      </c>
      <c r="C186" s="191" t="inlineStr">
        <is>
          <t>AIR TRATOR AT-502B + AIR TRATOR AT-502B</t>
        </is>
      </c>
      <c r="D186" s="205">
        <f>IFERROR(VLOOKUP($C186,'PORTIFÓLIO'!C:V,2,0),"")</f>
        <v/>
      </c>
      <c r="E186" s="190">
        <f>IFERROR(VLOOKUP($C186,'PORTIFÓLIO'!C:V,3,0),"")</f>
        <v/>
      </c>
      <c r="F186" s="190">
        <f>IFERROR(VLOOKUP($C186,'PORTIFÓLIO'!C:V,4,0),"")</f>
        <v/>
      </c>
      <c r="G186" s="206">
        <f t="array" ref="G186">IFERROR(INDEX('PORTIFÓLIO'!$H$4:$H$433,MATCH($C186,'PORTIFÓLIO'!$C$4:$C$433,0)),"")</f>
        <v/>
      </c>
      <c r="H186" s="247">
        <f t="array" ref="H186">IFERROR(INDEX('PORTIFÓLIO'!$H$4:$H$433,MATCH($C186,'PORTIFÓLIO'!$C$4:$C$433,0)),"")</f>
        <v/>
      </c>
      <c r="I186" s="257">
        <f>G186*5</f>
        <v/>
      </c>
      <c r="J186" s="209">
        <f>I186*$B$2</f>
        <v/>
      </c>
      <c r="K186" s="210">
        <f t="array" ref="K186">IFERROR(I186*INDEX('PORTIFÓLIO'!$S$4:$S$433,MATCH($C186,'PORTIFÓLIO'!$C$4:$C$433,0)),"")</f>
        <v/>
      </c>
      <c r="L186" s="210">
        <f t="array" ref="L186">IFERROR(J186*INDEX('PORTIFÓLIO'!$S$4:$S$433,MATCH($C186,'PORTIFÓLIO'!$C$4:$C$433,0)),"")</f>
        <v/>
      </c>
      <c r="M186" s="177" t="n"/>
      <c r="N186" s="177" t="n"/>
      <c r="O186" s="177" t="n"/>
      <c r="P186" s="177" t="n"/>
      <c r="Q186" s="177" t="n"/>
      <c r="R186" s="177" t="n"/>
      <c r="S186" s="177" t="n"/>
      <c r="T186" s="177" t="n"/>
      <c r="U186" s="177" t="n"/>
      <c r="V186" s="177" t="n"/>
      <c r="W186" s="177" t="n"/>
    </row>
    <row r="187" outlineLevel="1" ht="15.75" customHeight="1" s="297">
      <c r="A187" s="190" t="n"/>
      <c r="B187" s="204" t="inlineStr">
        <is>
          <t>MÁQUINAS</t>
        </is>
      </c>
      <c r="C187" s="191" t="inlineStr">
        <is>
          <t>CASE STEIGER 420 + HORSCH MAESTRO DUO 36.50</t>
        </is>
      </c>
      <c r="D187" s="205">
        <f>IFERROR(VLOOKUP($C187,'PORTIFÓLIO'!C:V,2,0),"")</f>
        <v/>
      </c>
      <c r="E187" s="190">
        <f>IFERROR(VLOOKUP($C187,'PORTIFÓLIO'!C:V,3,0),"")</f>
        <v/>
      </c>
      <c r="F187" s="190">
        <f>IFERROR(VLOOKUP($C187,'PORTIFÓLIO'!C:V,4,0),"")</f>
        <v/>
      </c>
      <c r="G187" s="206">
        <f t="array" ref="G187">IFERROR(INDEX('PORTIFÓLIO'!$H$4:$H$433,MATCH($C187,'PORTIFÓLIO'!$C$4:$C$433,0)),"")</f>
        <v/>
      </c>
      <c r="H187" s="247">
        <f t="array" ref="H187">IFERROR(INDEX('PORTIFÓLIO'!$H$4:$H$433,MATCH($C187,'PORTIFÓLIO'!$C$4:$C$433,0)),"")</f>
        <v/>
      </c>
      <c r="I187" s="253" t="n">
        <v>0.081</v>
      </c>
      <c r="J187" s="209">
        <f>I187*$B$2</f>
        <v/>
      </c>
      <c r="K187" s="210">
        <f t="array" ref="K187">IFERROR(I187*INDEX('PORTIFÓLIO'!$S$4:$S$433,MATCH($C187,'PORTIFÓLIO'!$C$4:$C$433,0)),"")</f>
        <v/>
      </c>
      <c r="L187" s="210">
        <f t="array" ref="L187">IFERROR(J187*INDEX('PORTIFÓLIO'!$S$4:$S$433,MATCH($C187,'PORTIFÓLIO'!$C$4:$C$433,0)),"")</f>
        <v/>
      </c>
      <c r="M187" s="177" t="n"/>
      <c r="N187" s="177" t="n"/>
      <c r="O187" s="177" t="n"/>
      <c r="P187" s="177" t="n"/>
      <c r="Q187" s="177" t="n"/>
      <c r="R187" s="177" t="n"/>
      <c r="S187" s="177" t="n"/>
      <c r="T187" s="177" t="n"/>
      <c r="U187" s="177" t="n"/>
      <c r="V187" s="177" t="n"/>
      <c r="W187" s="177" t="n"/>
    </row>
    <row r="188" outlineLevel="1" ht="15.75" customHeight="1" s="297">
      <c r="A188" s="190" t="n"/>
      <c r="B188" s="204" t="inlineStr">
        <is>
          <t>MÁQUINAS</t>
        </is>
      </c>
      <c r="C188" s="191" t="inlineStr">
        <is>
          <t>CR 8.90 NEW HOLLAND + 880 CF45</t>
        </is>
      </c>
      <c r="D188" s="205">
        <f>IFERROR(VLOOKUP($C188,'PORTIFÓLIO'!C:V,2,0),"")</f>
        <v/>
      </c>
      <c r="E188" s="190">
        <f>IFERROR(VLOOKUP($C188,'PORTIFÓLIO'!C:V,3,0),"")</f>
        <v/>
      </c>
      <c r="F188" s="190">
        <f>IFERROR(VLOOKUP($C188,'PORTIFÓLIO'!C:V,4,0),"")</f>
        <v/>
      </c>
      <c r="G188" s="206">
        <f t="array" ref="G188">IFERROR(INDEX('PORTIFÓLIO'!$H$4:$H$433,MATCH($C188,'PORTIFÓLIO'!$C$4:$C$433,0)),"")</f>
        <v/>
      </c>
      <c r="H188" s="247">
        <f t="array" ref="H188">IFERROR(INDEX('PORTIFÓLIO'!$H$4:$H$433,MATCH($C188,'PORTIFÓLIO'!$C$4:$C$433,0)),"")</f>
        <v/>
      </c>
      <c r="I188" s="253" t="n">
        <v>0.15</v>
      </c>
      <c r="J188" s="209">
        <f>I188*$B$2</f>
        <v/>
      </c>
      <c r="K188" s="210">
        <f t="array" ref="K188">IFERROR(I188*INDEX('PORTIFÓLIO'!$S$4:$S$433,MATCH($C188,'PORTIFÓLIO'!$C$4:$C$433,0)),"")</f>
        <v/>
      </c>
      <c r="L188" s="210">
        <f t="array" ref="L188">IFERROR(J188*INDEX('PORTIFÓLIO'!$S$4:$S$433,MATCH($C188,'PORTIFÓLIO'!$C$4:$C$433,0)),"")</f>
        <v/>
      </c>
      <c r="M188" s="177" t="n"/>
      <c r="N188" s="177" t="n"/>
      <c r="O188" s="177" t="n"/>
      <c r="P188" s="177" t="n"/>
      <c r="Q188" s="177" t="n"/>
      <c r="R188" s="177" t="n"/>
      <c r="S188" s="177" t="n"/>
      <c r="T188" s="177" t="n"/>
      <c r="U188" s="177" t="n"/>
      <c r="V188" s="177" t="n"/>
      <c r="W188" s="177" t="n"/>
    </row>
    <row r="189" outlineLevel="1" ht="15.75" customHeight="1" s="297">
      <c r="A189" s="190" t="n"/>
      <c r="B189" s="204" t="inlineStr">
        <is>
          <t>MÁQUINAS</t>
        </is>
      </c>
      <c r="C189" s="191" t="inlineStr">
        <is>
          <t>VOLVO NH380 + CAÇAMBA 430SC</t>
        </is>
      </c>
      <c r="D189" s="205">
        <f>IFERROR(VLOOKUP($C189,'PORTIFÓLIO'!C:V,2,0),"")</f>
        <v/>
      </c>
      <c r="E189" s="190">
        <f>IFERROR(VLOOKUP($C189,'PORTIFÓLIO'!C:V,3,0),"")</f>
        <v/>
      </c>
      <c r="F189" s="190">
        <f>IFERROR(VLOOKUP($C189,'PORTIFÓLIO'!C:V,4,0),"")</f>
        <v/>
      </c>
      <c r="G189" s="206">
        <f t="array" ref="G189">IFERROR(INDEX('PORTIFÓLIO'!$H$4:$H$433,MATCH($C189,'PORTIFÓLIO'!$C$4:$C$433,0)),"")</f>
        <v/>
      </c>
      <c r="H189" s="247">
        <f t="array" ref="H189">IFERROR(INDEX('PORTIFÓLIO'!$H$4:$H$433,MATCH($C189,'PORTIFÓLIO'!$C$4:$C$433,0)),"")</f>
        <v/>
      </c>
      <c r="I189" s="253" t="n">
        <v>0.1</v>
      </c>
      <c r="J189" s="209">
        <f>I189*$B$2</f>
        <v/>
      </c>
      <c r="K189" s="210">
        <f t="array" ref="K189">IFERROR(I189*INDEX('PORTIFÓLIO'!$S$4:$S$433,MATCH($C189,'PORTIFÓLIO'!$C$4:$C$433,0)),"")</f>
        <v/>
      </c>
      <c r="L189" s="210">
        <f t="array" ref="L189">IFERROR(J189*INDEX('PORTIFÓLIO'!$S$4:$S$433,MATCH($C189,'PORTIFÓLIO'!$C$4:$C$433,0)),"")</f>
        <v/>
      </c>
      <c r="M189" s="177" t="n"/>
      <c r="N189" s="177" t="n"/>
      <c r="O189" s="177" t="n"/>
      <c r="P189" s="177" t="n"/>
      <c r="Q189" s="177" t="n"/>
      <c r="R189" s="177" t="n"/>
      <c r="S189" s="177" t="n"/>
      <c r="T189" s="177" t="n"/>
      <c r="U189" s="177" t="n"/>
      <c r="V189" s="177" t="n"/>
      <c r="W189" s="177" t="n"/>
    </row>
    <row r="190" outlineLevel="1" ht="15.75" customHeight="1" s="297">
      <c r="A190" s="190" t="n"/>
      <c r="B190" s="204" t="n"/>
      <c r="C190" s="191" t="n"/>
      <c r="D190" s="205">
        <f>IFERROR(VLOOKUP($C190,'PORTIFÓLIO'!C:V,2,0),"")</f>
        <v/>
      </c>
      <c r="E190" s="190">
        <f>IFERROR(VLOOKUP($C190,'PORTIFÓLIO'!C:V,3,0),"")</f>
        <v/>
      </c>
      <c r="F190" s="190">
        <f>IFERROR(VLOOKUP($C190,'PORTIFÓLIO'!C:V,4,0),"")</f>
        <v/>
      </c>
      <c r="G190" s="206">
        <f>IFERROR(VLOOKUP($C190,'PORTIFÓLIO'!C:V,5,0),"")</f>
        <v/>
      </c>
      <c r="H190" s="247">
        <f t="array" ref="H190">IFERROR(INDEX('PORTIFÓLIO'!$H$4:$H$433,MATCH($C190,'PORTIFÓLIO'!$C$4:$C$433,0)),"")</f>
        <v/>
      </c>
      <c r="I190" s="257" t="n"/>
      <c r="J190" s="209">
        <f>I190*$B$2</f>
        <v/>
      </c>
      <c r="K190" s="210">
        <f t="array" ref="K190">IFERROR(I190*INDEX('PORTIFÓLIO'!$S$4:$S$433,MATCH($C190,'PORTIFÓLIO'!$C$4:$C$433,0)),"")</f>
        <v/>
      </c>
      <c r="L190" s="210">
        <f t="array" ref="L190">IFERROR(J190*INDEX('PORTIFÓLIO'!$S$4:$S$433,MATCH($C190,'PORTIFÓLIO'!$C$4:$C$433,0)),"")</f>
        <v/>
      </c>
      <c r="M190" s="177" t="n"/>
      <c r="N190" s="177" t="n"/>
      <c r="O190" s="177" t="n"/>
      <c r="P190" s="177" t="n"/>
      <c r="Q190" s="177" t="n"/>
      <c r="R190" s="177" t="n"/>
      <c r="S190" s="177" t="n"/>
      <c r="T190" s="177" t="n"/>
      <c r="U190" s="177" t="n"/>
      <c r="V190" s="177" t="n"/>
      <c r="W190" s="177" t="n"/>
    </row>
    <row r="191" outlineLevel="1" ht="15.75" customHeight="1" s="297">
      <c r="A191" s="190" t="n"/>
      <c r="B191" s="204" t="n"/>
      <c r="C191" s="191" t="n"/>
      <c r="D191" s="205">
        <f>IFERROR(VLOOKUP($C191,'PORTIFÓLIO'!C:V,2,0),"")</f>
        <v/>
      </c>
      <c r="E191" s="190">
        <f>IFERROR(VLOOKUP($C191,'PORTIFÓLIO'!C:V,3,0),"")</f>
        <v/>
      </c>
      <c r="F191" s="190">
        <f>IFERROR(VLOOKUP($C191,'PORTIFÓLIO'!C:V,4,0),"")</f>
        <v/>
      </c>
      <c r="G191" s="206">
        <f>IFERROR(VLOOKUP($C191,'PORTIFÓLIO'!C:V,5,0),"")</f>
        <v/>
      </c>
      <c r="H191" s="247">
        <f t="array" ref="H191">IFERROR(INDEX('PORTIFÓLIO'!$H$4:$H$433,MATCH($C191,'PORTIFÓLIO'!$C$4:$C$433,0)),"")</f>
        <v/>
      </c>
      <c r="I191" s="253" t="n"/>
      <c r="J191" s="209">
        <f>I191*$B$2</f>
        <v/>
      </c>
      <c r="K191" s="210">
        <f t="array" ref="K191">IFERROR(I191*INDEX('PORTIFÓLIO'!$S$4:$S$433,MATCH($C191,'PORTIFÓLIO'!$C$4:$C$433,0)),"")</f>
        <v/>
      </c>
      <c r="L191" s="210">
        <f t="array" ref="L191">IFERROR(J191*INDEX('PORTIFÓLIO'!$S$4:$S$433,MATCH($C191,'PORTIFÓLIO'!$C$4:$C$433,0)),"")</f>
        <v/>
      </c>
      <c r="M191" s="177" t="n"/>
      <c r="N191" s="177" t="n"/>
      <c r="O191" s="177" t="n"/>
      <c r="P191" s="177" t="n"/>
      <c r="Q191" s="177" t="n"/>
      <c r="R191" s="177" t="n"/>
      <c r="S191" s="177" t="n"/>
      <c r="T191" s="177" t="n"/>
      <c r="U191" s="177" t="n"/>
      <c r="V191" s="177" t="n"/>
      <c r="W191" s="177" t="n"/>
    </row>
    <row r="192" outlineLevel="1" ht="15.75" customHeight="1" s="297">
      <c r="A192" s="190" t="n"/>
      <c r="B192" s="204" t="n"/>
      <c r="C192" s="191" t="n"/>
      <c r="D192" s="205">
        <f>IFERROR(VLOOKUP($C192,'PORTIFÓLIO'!C:V,2,0),"")</f>
        <v/>
      </c>
      <c r="E192" s="190">
        <f>IFERROR(VLOOKUP($C192,'PORTIFÓLIO'!C:V,3,0),"")</f>
        <v/>
      </c>
      <c r="F192" s="190">
        <f>IFERROR(VLOOKUP($C192,'PORTIFÓLIO'!C:V,4,0),"")</f>
        <v/>
      </c>
      <c r="G192" s="206">
        <f>IFERROR(VLOOKUP($C192,'PORTIFÓLIO'!C:V,5,0),"")</f>
        <v/>
      </c>
      <c r="H192" s="247">
        <f t="array" ref="H192">IFERROR(INDEX('PORTIFÓLIO'!$H$4:$H$433,MATCH($C192,'PORTIFÓLIO'!$C$4:$C$433,0)),"")</f>
        <v/>
      </c>
      <c r="I192" s="257" t="n"/>
      <c r="J192" s="209">
        <f>I192*$B$2</f>
        <v/>
      </c>
      <c r="K192" s="210">
        <f t="array" ref="K192">IFERROR(I192*INDEX('PORTIFÓLIO'!$S$4:$S$433,MATCH($C192,'PORTIFÓLIO'!$C$4:$C$433,0)),"")</f>
        <v/>
      </c>
      <c r="L192" s="210">
        <f t="array" ref="L192">IFERROR(J192*INDEX('PORTIFÓLIO'!$S$4:$S$433,MATCH($C192,'PORTIFÓLIO'!$C$4:$C$433,0)),"")</f>
        <v/>
      </c>
      <c r="M192" s="177" t="n"/>
      <c r="N192" s="177" t="n"/>
      <c r="O192" s="177" t="n"/>
      <c r="P192" s="177" t="n"/>
      <c r="Q192" s="177" t="n"/>
      <c r="R192" s="177" t="n"/>
      <c r="S192" s="177" t="n"/>
      <c r="T192" s="177" t="n"/>
      <c r="U192" s="177" t="n"/>
      <c r="V192" s="177" t="n"/>
      <c r="W192" s="177" t="n"/>
    </row>
    <row r="193" outlineLevel="1" ht="15.75" customHeight="1" s="297">
      <c r="A193" s="190" t="n"/>
      <c r="B193" s="204" t="n"/>
      <c r="C193" s="191" t="n"/>
      <c r="D193" s="205">
        <f>IFERROR(VLOOKUP($C193,'PORTIFÓLIO'!C:V,2,0),"")</f>
        <v/>
      </c>
      <c r="E193" s="190">
        <f>IFERROR(VLOOKUP($C193,'PORTIFÓLIO'!C:V,3,0),"")</f>
        <v/>
      </c>
      <c r="F193" s="190">
        <f>IFERROR(VLOOKUP($C193,'PORTIFÓLIO'!C:V,4,0),"")</f>
        <v/>
      </c>
      <c r="G193" s="206">
        <f>IFERROR(VLOOKUP($C193,'PORTIFÓLIO'!C:V,5,0),"")</f>
        <v/>
      </c>
      <c r="H193" s="247">
        <f t="array" ref="H193">IFERROR(INDEX('PORTIFÓLIO'!$H$4:$H$433,MATCH($C193,'PORTIFÓLIO'!$C$4:$C$433,0)),"")</f>
        <v/>
      </c>
      <c r="I193" s="257" t="n"/>
      <c r="J193" s="209">
        <f>I193*$B$2</f>
        <v/>
      </c>
      <c r="K193" s="210">
        <f t="array" ref="K193">IFERROR(I193*INDEX('PORTIFÓLIO'!$S$4:$S$433,MATCH($C193,'PORTIFÓLIO'!$C$4:$C$433,0)),"")</f>
        <v/>
      </c>
      <c r="L193" s="210">
        <f t="array" ref="L193">IFERROR(J193*INDEX('PORTIFÓLIO'!$S$4:$S$433,MATCH($C193,'PORTIFÓLIO'!$C$4:$C$433,0)),"")</f>
        <v/>
      </c>
      <c r="M193" s="177" t="n"/>
      <c r="N193" s="177" t="n"/>
      <c r="O193" s="177" t="n"/>
      <c r="P193" s="177" t="n"/>
      <c r="Q193" s="177" t="n"/>
      <c r="R193" s="177" t="n"/>
      <c r="S193" s="177" t="n"/>
      <c r="T193" s="177" t="n"/>
      <c r="U193" s="177" t="n"/>
      <c r="V193" s="177" t="n"/>
      <c r="W193" s="177" t="n"/>
    </row>
    <row r="194" outlineLevel="1" ht="15.75" customHeight="1" s="297">
      <c r="A194" s="190" t="n"/>
      <c r="B194" s="204" t="n"/>
      <c r="C194" s="191" t="n"/>
      <c r="D194" s="205">
        <f>IFERROR(VLOOKUP($C194,'PORTIFÓLIO'!C:V,2,0),"")</f>
        <v/>
      </c>
      <c r="E194" s="190">
        <f>IFERROR(VLOOKUP($C194,'PORTIFÓLIO'!C:V,3,0),"")</f>
        <v/>
      </c>
      <c r="F194" s="190">
        <f>IFERROR(VLOOKUP($C194,'PORTIFÓLIO'!C:V,4,0),"")</f>
        <v/>
      </c>
      <c r="G194" s="206">
        <f>IFERROR(VLOOKUP($C194,'PORTIFÓLIO'!C:V,5,0),"")</f>
        <v/>
      </c>
      <c r="H194" s="247">
        <f t="array" ref="H194">IFERROR(INDEX('PORTIFÓLIO'!$H$4:$H$433,MATCH($C194,'PORTIFÓLIO'!$C$4:$C$433,0)),"")</f>
        <v/>
      </c>
      <c r="I194" s="257" t="n"/>
      <c r="J194" s="209">
        <f>I194*$B$2</f>
        <v/>
      </c>
      <c r="K194" s="210">
        <f t="array" ref="K194">IFERROR(I194*INDEX('PORTIFÓLIO'!$S$4:$S$433,MATCH($C194,'PORTIFÓLIO'!$C$4:$C$433,0)),"")</f>
        <v/>
      </c>
      <c r="L194" s="210">
        <f t="array" ref="L194">IFERROR(J194*INDEX('PORTIFÓLIO'!$S$4:$S$433,MATCH($C194,'PORTIFÓLIO'!$C$4:$C$433,0)),"")</f>
        <v/>
      </c>
      <c r="M194" s="177" t="n"/>
      <c r="N194" s="177" t="n"/>
      <c r="O194" s="177" t="n"/>
      <c r="P194" s="177" t="n"/>
      <c r="Q194" s="177" t="n"/>
      <c r="R194" s="177" t="n"/>
      <c r="S194" s="177" t="n"/>
      <c r="T194" s="177" t="n"/>
      <c r="U194" s="177" t="n"/>
      <c r="V194" s="177" t="n"/>
      <c r="W194" s="177" t="n"/>
    </row>
    <row r="195" outlineLevel="1" ht="15.75" customHeight="1" s="297">
      <c r="A195" s="190" t="n"/>
      <c r="B195" s="204" t="n"/>
      <c r="C195" s="191" t="n"/>
      <c r="D195" s="205">
        <f>IFERROR(VLOOKUP($C195,'PORTIFÓLIO'!C:V,2,0),"")</f>
        <v/>
      </c>
      <c r="E195" s="190">
        <f>IFERROR(VLOOKUP($C195,'PORTIFÓLIO'!C:V,3,0),"")</f>
        <v/>
      </c>
      <c r="F195" s="190">
        <f>IFERROR(VLOOKUP($C195,'PORTIFÓLIO'!C:V,4,0),"")</f>
        <v/>
      </c>
      <c r="G195" s="206">
        <f>IFERROR(VLOOKUP($C195,'PORTIFÓLIO'!C:V,5,0),"")</f>
        <v/>
      </c>
      <c r="H195" s="247">
        <f t="array" ref="H195">IFERROR(INDEX('PORTIFÓLIO'!$H$4:$H$433,MATCH($C195,'PORTIFÓLIO'!$C$4:$C$433,0)),"")</f>
        <v/>
      </c>
      <c r="I195" s="257" t="n"/>
      <c r="J195" s="209">
        <f>I195*$B$2</f>
        <v/>
      </c>
      <c r="K195" s="210">
        <f t="array" ref="K195">IFERROR(I195*INDEX('PORTIFÓLIO'!$S$4:$S$433,MATCH($C195,'PORTIFÓLIO'!$C$4:$C$433,0)),"")</f>
        <v/>
      </c>
      <c r="L195" s="210">
        <f t="array" ref="L195">IFERROR(J195*INDEX('PORTIFÓLIO'!$S$4:$S$433,MATCH($C195,'PORTIFÓLIO'!$C$4:$C$433,0)),"")</f>
        <v/>
      </c>
      <c r="M195" s="177" t="n"/>
      <c r="N195" s="177" t="n"/>
      <c r="O195" s="177" t="n"/>
      <c r="P195" s="177" t="n"/>
      <c r="Q195" s="177" t="n"/>
      <c r="R195" s="177" t="n"/>
      <c r="S195" s="177" t="n"/>
      <c r="T195" s="177" t="n"/>
      <c r="U195" s="177" t="n"/>
      <c r="V195" s="177" t="n"/>
      <c r="W195" s="177" t="n"/>
    </row>
    <row r="196" outlineLevel="1" ht="15.75" customHeight="1" s="297">
      <c r="A196" s="190" t="n"/>
      <c r="B196" s="204" t="n"/>
      <c r="C196" s="191" t="n"/>
      <c r="D196" s="205">
        <f>IFERROR(VLOOKUP($C196,'PORTIFÓLIO'!C:V,2,0),"")</f>
        <v/>
      </c>
      <c r="E196" s="190">
        <f>IFERROR(VLOOKUP($C196,'PORTIFÓLIO'!C:V,3,0),"")</f>
        <v/>
      </c>
      <c r="F196" s="190">
        <f>IFERROR(VLOOKUP($C196,'PORTIFÓLIO'!C:V,4,0),"")</f>
        <v/>
      </c>
      <c r="G196" s="206">
        <f>IFERROR(VLOOKUP($C196,'PORTIFÓLIO'!C:V,5,0),"")</f>
        <v/>
      </c>
      <c r="H196" s="247">
        <f t="array" ref="H196">IFERROR(INDEX('PORTIFÓLIO'!$H$4:$H$433,MATCH($C196,'PORTIFÓLIO'!$C$4:$C$433,0)),"")</f>
        <v/>
      </c>
      <c r="I196" s="257" t="n"/>
      <c r="J196" s="209">
        <f>I196*$B$2</f>
        <v/>
      </c>
      <c r="K196" s="210">
        <f t="array" ref="K196">IFERROR(I196*INDEX('PORTIFÓLIO'!$S$4:$S$433,MATCH($C196,'PORTIFÓLIO'!$C$4:$C$433,0)),"")</f>
        <v/>
      </c>
      <c r="L196" s="210">
        <f t="array" ref="L196">IFERROR(J196*INDEX('PORTIFÓLIO'!$S$4:$S$433,MATCH($C196,'PORTIFÓLIO'!$C$4:$C$433,0)),"")</f>
        <v/>
      </c>
      <c r="M196" s="177" t="n"/>
      <c r="N196" s="177" t="n"/>
      <c r="O196" s="177" t="n"/>
      <c r="P196" s="177" t="n"/>
      <c r="Q196" s="177" t="n"/>
      <c r="R196" s="177" t="n"/>
      <c r="S196" s="177" t="n"/>
      <c r="T196" s="177" t="n"/>
      <c r="U196" s="177" t="n"/>
      <c r="V196" s="177" t="n"/>
      <c r="W196" s="177" t="n"/>
    </row>
    <row r="197" outlineLevel="1" ht="15.75" customHeight="1" s="297">
      <c r="A197" s="190" t="n"/>
      <c r="B197" s="204" t="n"/>
      <c r="C197" s="191" t="n"/>
      <c r="D197" s="205">
        <f>IFERROR(VLOOKUP($C197,'PORTIFÓLIO'!C:V,2,0),"")</f>
        <v/>
      </c>
      <c r="E197" s="190">
        <f>IFERROR(VLOOKUP($C197,'PORTIFÓLIO'!C:V,3,0),"")</f>
        <v/>
      </c>
      <c r="F197" s="190">
        <f>IFERROR(VLOOKUP($C197,'PORTIFÓLIO'!C:V,4,0),"")</f>
        <v/>
      </c>
      <c r="G197" s="206">
        <f>IFERROR(VLOOKUP($C197,'PORTIFÓLIO'!C:V,5,0),"")</f>
        <v/>
      </c>
      <c r="H197" s="247">
        <f t="array" ref="H197">IFERROR(INDEX('PORTIFÓLIO'!$H$4:$H$433,MATCH($C197,'PORTIFÓLIO'!$C$4:$C$433,0)),"")</f>
        <v/>
      </c>
      <c r="I197" s="257" t="n"/>
      <c r="J197" s="209">
        <f>I197*$B$2</f>
        <v/>
      </c>
      <c r="K197" s="210">
        <f t="array" ref="K197">IFERROR(I197*INDEX('PORTIFÓLIO'!$S$4:$S$433,MATCH($C197,'PORTIFÓLIO'!$C$4:$C$433,0)),"")</f>
        <v/>
      </c>
      <c r="L197" s="210">
        <f t="array" ref="L197">IFERROR(J197*INDEX('PORTIFÓLIO'!$S$4:$S$433,MATCH($C197,'PORTIFÓLIO'!$C$4:$C$433,0)),"")</f>
        <v/>
      </c>
      <c r="M197" s="177" t="n"/>
      <c r="N197" s="177" t="n"/>
      <c r="O197" s="177" t="n"/>
      <c r="P197" s="177" t="n"/>
      <c r="Q197" s="177" t="n"/>
      <c r="R197" s="177" t="n"/>
      <c r="S197" s="177" t="n"/>
      <c r="T197" s="177" t="n"/>
      <c r="U197" s="177" t="n"/>
      <c r="V197" s="177" t="n"/>
      <c r="W197" s="177" t="n"/>
    </row>
    <row r="198" outlineLevel="1" ht="15.75" customHeight="1" s="297">
      <c r="A198" s="190" t="n"/>
      <c r="B198" s="238" t="n"/>
      <c r="C198" s="190" t="n"/>
      <c r="D198" s="205">
        <f>IFERROR(VLOOKUP($C198,'PORTIFÓLIO'!C:V,2,0),"")</f>
        <v/>
      </c>
      <c r="E198" s="190">
        <f>IFERROR(VLOOKUP($C198,'PORTIFÓLIO'!C:V,3,0),"")</f>
        <v/>
      </c>
      <c r="F198" s="190">
        <f>IFERROR(VLOOKUP($C198,'PORTIFÓLIO'!C:V,4,0),"")</f>
        <v/>
      </c>
      <c r="G198" s="206">
        <f>IFERROR(VLOOKUP($C198,'PORTIFÓLIO'!C:V,5,0),"")</f>
        <v/>
      </c>
      <c r="H198" s="247">
        <f t="array" ref="H198">IFERROR(INDEX('PORTIFÓLIO'!$H$4:$H$433,MATCH($C198,'PORTIFÓLIO'!$C$4:$C$433,0)),"")</f>
        <v/>
      </c>
      <c r="I198" s="257" t="n"/>
      <c r="J198" s="209">
        <f>I198*$B$2</f>
        <v/>
      </c>
      <c r="K198" s="210">
        <f t="array" ref="K198">IFERROR(I198*INDEX('PORTIFÓLIO'!$S$4:$S$433,MATCH($C198,'PORTIFÓLIO'!$C$4:$C$433,0)),"")</f>
        <v/>
      </c>
      <c r="L198" s="210">
        <f t="array" ref="L198">IFERROR(J198*INDEX('PORTIFÓLIO'!$S$4:$S$433,MATCH($C198,'PORTIFÓLIO'!$C$4:$C$433,0)),"")</f>
        <v/>
      </c>
      <c r="M198" s="177" t="n"/>
      <c r="N198" s="177" t="n"/>
      <c r="O198" s="177" t="n"/>
      <c r="P198" s="177" t="n"/>
      <c r="Q198" s="177" t="n"/>
      <c r="R198" s="177" t="n"/>
      <c r="S198" s="177" t="n"/>
      <c r="T198" s="177" t="n"/>
      <c r="U198" s="177" t="n"/>
      <c r="V198" s="177" t="n"/>
      <c r="W198" s="177" t="n"/>
    </row>
    <row r="199" outlineLevel="1" ht="15.75" customHeight="1" s="297">
      <c r="A199" s="190" t="n"/>
      <c r="B199" s="238" t="n"/>
      <c r="C199" s="190" t="n"/>
      <c r="D199" s="205">
        <f>IFERROR(VLOOKUP($C199,'PORTIFÓLIO'!C:V,2,0),"")</f>
        <v/>
      </c>
      <c r="E199" s="190">
        <f>IFERROR(VLOOKUP($C199,'PORTIFÓLIO'!C:V,3,0),"")</f>
        <v/>
      </c>
      <c r="F199" s="190">
        <f>IFERROR(VLOOKUP($C199,'PORTIFÓLIO'!C:V,4,0),"")</f>
        <v/>
      </c>
      <c r="G199" s="206">
        <f>IFERROR(VLOOKUP($C199,'PORTIFÓLIO'!C:V,5,0),"")</f>
        <v/>
      </c>
      <c r="H199" s="247">
        <f t="array" ref="H199">IFERROR(INDEX('PORTIFÓLIO'!$H$4:$H$433,MATCH($C199,'PORTIFÓLIO'!$C$4:$C$433,0)),"")</f>
        <v/>
      </c>
      <c r="I199" s="257" t="n"/>
      <c r="J199" s="209">
        <f>I199*$B$2</f>
        <v/>
      </c>
      <c r="K199" s="210">
        <f t="array" ref="K199">IFERROR(I199*INDEX('PORTIFÓLIO'!$S$4:$S$433,MATCH($C199,'PORTIFÓLIO'!$C$4:$C$433,0)),"")</f>
        <v/>
      </c>
      <c r="L199" s="210">
        <f t="array" ref="L199">IFERROR(J199*INDEX('PORTIFÓLIO'!$S$4:$S$433,MATCH($C199,'PORTIFÓLIO'!$C$4:$C$433,0)),"")</f>
        <v/>
      </c>
      <c r="M199" s="177" t="n"/>
      <c r="N199" s="177" t="n"/>
      <c r="O199" s="177" t="n"/>
      <c r="P199" s="177" t="n"/>
      <c r="Q199" s="177" t="n"/>
      <c r="R199" s="177" t="n"/>
      <c r="S199" s="177" t="n"/>
      <c r="T199" s="177" t="n"/>
      <c r="U199" s="177" t="n"/>
      <c r="V199" s="177" t="n"/>
      <c r="W199" s="177" t="n"/>
    </row>
    <row r="200" ht="15.75" customHeight="1" s="297">
      <c r="A200" s="221" t="inlineStr">
        <is>
          <t>OPERAÇÃO 12</t>
        </is>
      </c>
      <c r="B200" s="197" t="n"/>
      <c r="C200" s="196" t="n"/>
      <c r="D200" s="198" t="n"/>
      <c r="E200" s="196" t="n"/>
      <c r="F200" s="196" t="n"/>
      <c r="G200" s="199" t="n"/>
      <c r="H200" s="199" t="n"/>
      <c r="I200" s="252" t="n"/>
      <c r="J200" s="202" t="n"/>
      <c r="K200" s="203">
        <f>SUBTOTAL(9,K201:K214)</f>
        <v/>
      </c>
      <c r="L200" s="203">
        <f>SUBTOTAL(9,L201:L214)</f>
        <v/>
      </c>
      <c r="M200" s="177" t="n"/>
      <c r="N200" s="177" t="n"/>
      <c r="O200" s="177" t="n"/>
      <c r="P200" s="177" t="n"/>
      <c r="Q200" s="177" t="n"/>
      <c r="R200" s="177" t="n"/>
      <c r="S200" s="177" t="n"/>
      <c r="T200" s="177" t="n"/>
      <c r="U200" s="177" t="n"/>
      <c r="V200" s="177" t="n"/>
      <c r="W200" s="177" t="n"/>
    </row>
    <row r="201" outlineLevel="1" ht="15.75" customHeight="1" s="297">
      <c r="A201" s="191" t="n"/>
      <c r="B201" s="204" t="n"/>
      <c r="C201" s="191" t="n"/>
      <c r="D201" s="205">
        <f>IFERROR(VLOOKUP($C201,'PORTIFÓLIO'!C:V,2,0),"")</f>
        <v/>
      </c>
      <c r="E201" s="190">
        <f>IFERROR(VLOOKUP($C201,'PORTIFÓLIO'!C:V,3,0),"")</f>
        <v/>
      </c>
      <c r="F201" s="190">
        <f>IFERROR(VLOOKUP($C201,'PORTIFÓLIO'!C:V,4,0),"")</f>
        <v/>
      </c>
      <c r="G201" s="206">
        <f>IFERROR(VLOOKUP($C201,'PORTIFÓLIO'!C:V,5,0),"")</f>
        <v/>
      </c>
      <c r="H201" s="247">
        <f t="array" ref="H201">IFERROR(INDEX('PORTIFÓLIO'!$H$4:$H$433,MATCH($C201,'PORTIFÓLIO'!$C$4:$C$433,0)),"")</f>
        <v/>
      </c>
      <c r="I201" s="257" t="n"/>
      <c r="J201" s="209">
        <f>I201*$B$2</f>
        <v/>
      </c>
      <c r="K201" s="210">
        <f>IFERROR(I201* VLOOKUP($C201,'PORTIFÓLIO'!C:V,10,0),"")</f>
        <v/>
      </c>
      <c r="L201" s="210">
        <f>IFERROR(J201* VLOOKUP($C201,'PORTIFÓLIO'!C:V,10,0),"")</f>
        <v/>
      </c>
      <c r="M201" s="177" t="n"/>
      <c r="N201" s="177" t="n"/>
      <c r="O201" s="177" t="n"/>
      <c r="P201" s="177" t="n"/>
      <c r="Q201" s="177" t="n"/>
      <c r="R201" s="177" t="n"/>
      <c r="S201" s="177" t="n"/>
      <c r="T201" s="177" t="n"/>
      <c r="U201" s="177" t="n"/>
      <c r="V201" s="177" t="n"/>
      <c r="W201" s="177" t="n"/>
    </row>
    <row r="202" outlineLevel="1" ht="15.75" customHeight="1" s="297">
      <c r="A202" s="190" t="n"/>
      <c r="B202" s="204" t="n"/>
      <c r="C202" s="191" t="n"/>
      <c r="D202" s="205">
        <f>IFERROR(VLOOKUP($C202,'PORTIFÓLIO'!C:V,2,0),"")</f>
        <v/>
      </c>
      <c r="E202" s="190">
        <f>IFERROR(VLOOKUP($C202,'PORTIFÓLIO'!C:V,3,0),"")</f>
        <v/>
      </c>
      <c r="F202" s="190">
        <f>IFERROR(VLOOKUP($C202,'PORTIFÓLIO'!C:V,4,0),"")</f>
        <v/>
      </c>
      <c r="G202" s="206">
        <f>IFERROR(VLOOKUP($C202,'PORTIFÓLIO'!C:V,5,0),"")</f>
        <v/>
      </c>
      <c r="H202" s="247">
        <f t="array" ref="H202">IFERROR(INDEX('PORTIFÓLIO'!$H$4:$H$433,MATCH($C202,'PORTIFÓLIO'!$C$4:$C$433,0)),"")</f>
        <v/>
      </c>
      <c r="I202" s="257" t="n"/>
      <c r="J202" s="209">
        <f>I202*$B$2</f>
        <v/>
      </c>
      <c r="K202" s="210">
        <f>IFERROR(I202* VLOOKUP($C202,'PORTIFÓLIO'!C:V,10,0),"")</f>
        <v/>
      </c>
      <c r="L202" s="210">
        <f>IFERROR(J202* VLOOKUP($C202,'PORTIFÓLIO'!C:V,10,0),"")</f>
        <v/>
      </c>
      <c r="M202" s="177" t="n"/>
      <c r="N202" s="177" t="n"/>
      <c r="O202" s="177" t="n"/>
      <c r="P202" s="177" t="n"/>
      <c r="Q202" s="177" t="n"/>
      <c r="R202" s="177" t="n"/>
      <c r="S202" s="177" t="n"/>
      <c r="T202" s="177" t="n"/>
      <c r="U202" s="177" t="n"/>
      <c r="V202" s="177" t="n"/>
      <c r="W202" s="177" t="n"/>
    </row>
    <row r="203" outlineLevel="1" ht="15.75" customHeight="1" s="297">
      <c r="A203" s="190" t="n"/>
      <c r="B203" s="204" t="n"/>
      <c r="C203" s="191" t="n"/>
      <c r="D203" s="205">
        <f>IFERROR(VLOOKUP($C203,'PORTIFÓLIO'!C:V,2,0),"")</f>
        <v/>
      </c>
      <c r="E203" s="190">
        <f>IFERROR(VLOOKUP($C203,'PORTIFÓLIO'!C:V,3,0),"")</f>
        <v/>
      </c>
      <c r="F203" s="190">
        <f>IFERROR(VLOOKUP($C203,'PORTIFÓLIO'!C:V,4,0),"")</f>
        <v/>
      </c>
      <c r="G203" s="206">
        <f>IFERROR(VLOOKUP($C203,'PORTIFÓLIO'!C:V,5,0),"")</f>
        <v/>
      </c>
      <c r="H203" s="247">
        <f t="array" ref="H203">IFERROR(INDEX('PORTIFÓLIO'!$H$4:$H$433,MATCH($C203,'PORTIFÓLIO'!$C$4:$C$433,0)),"")</f>
        <v/>
      </c>
      <c r="I203" s="257" t="n"/>
      <c r="J203" s="209">
        <f>I203*$B$2</f>
        <v/>
      </c>
      <c r="K203" s="210">
        <f>IFERROR(I203* VLOOKUP($C203,'PORTIFÓLIO'!C:V,10,0),"")</f>
        <v/>
      </c>
      <c r="L203" s="210">
        <f>IFERROR(J203* VLOOKUP($C203,'PORTIFÓLIO'!C:V,10,0),"")</f>
        <v/>
      </c>
      <c r="M203" s="177" t="n"/>
      <c r="N203" s="177" t="n"/>
      <c r="O203" s="177" t="n"/>
      <c r="P203" s="177" t="n"/>
      <c r="Q203" s="177" t="n"/>
      <c r="R203" s="177" t="n"/>
      <c r="S203" s="177" t="n"/>
      <c r="T203" s="177" t="n"/>
      <c r="U203" s="177" t="n"/>
      <c r="V203" s="177" t="n"/>
      <c r="W203" s="177" t="n"/>
    </row>
    <row r="204" outlineLevel="1" ht="15.75" customHeight="1" s="297">
      <c r="A204" s="190" t="n"/>
      <c r="B204" s="204" t="n"/>
      <c r="C204" s="191" t="n"/>
      <c r="D204" s="205">
        <f>IFERROR(VLOOKUP($C204,'PORTIFÓLIO'!C:V,2,0),"")</f>
        <v/>
      </c>
      <c r="E204" s="190">
        <f>IFERROR(VLOOKUP($C204,'PORTIFÓLIO'!C:V,3,0),"")</f>
        <v/>
      </c>
      <c r="F204" s="190">
        <f>IFERROR(VLOOKUP($C204,'PORTIFÓLIO'!C:V,4,0),"")</f>
        <v/>
      </c>
      <c r="G204" s="206">
        <f>IFERROR(VLOOKUP($C204,'PORTIFÓLIO'!C:V,5,0),"")</f>
        <v/>
      </c>
      <c r="H204" s="247">
        <f t="array" ref="H204">IFERROR(INDEX('PORTIFÓLIO'!$H$4:$H$433,MATCH($C204,'PORTIFÓLIO'!$C$4:$C$433,0)),"")</f>
        <v/>
      </c>
      <c r="I204" s="257" t="n"/>
      <c r="J204" s="209">
        <f>I204*$B$2</f>
        <v/>
      </c>
      <c r="K204" s="210">
        <f>IFERROR(I204* VLOOKUP($C204,'PORTIFÓLIO'!C:V,10,0),"")</f>
        <v/>
      </c>
      <c r="L204" s="210">
        <f>IFERROR(J204* VLOOKUP($C204,'PORTIFÓLIO'!C:V,10,0),"")</f>
        <v/>
      </c>
      <c r="M204" s="177" t="n"/>
      <c r="N204" s="177" t="n"/>
      <c r="O204" s="177" t="n"/>
      <c r="P204" s="177" t="n"/>
      <c r="Q204" s="177" t="n"/>
      <c r="R204" s="177" t="n"/>
      <c r="S204" s="177" t="n"/>
      <c r="T204" s="177" t="n"/>
      <c r="U204" s="177" t="n"/>
      <c r="V204" s="177" t="n"/>
      <c r="W204" s="177" t="n"/>
    </row>
    <row r="205" outlineLevel="1" ht="15.75" customHeight="1" s="297">
      <c r="A205" s="190" t="n"/>
      <c r="B205" s="204" t="n"/>
      <c r="C205" s="191" t="n"/>
      <c r="D205" s="205">
        <f>IFERROR(VLOOKUP($C205,'PORTIFÓLIO'!C:V,2,0),"")</f>
        <v/>
      </c>
      <c r="E205" s="190">
        <f>IFERROR(VLOOKUP($C205,'PORTIFÓLIO'!C:V,3,0),"")</f>
        <v/>
      </c>
      <c r="F205" s="190">
        <f>IFERROR(VLOOKUP($C205,'PORTIFÓLIO'!C:V,4,0),"")</f>
        <v/>
      </c>
      <c r="G205" s="206">
        <f>IFERROR(VLOOKUP($C205,'PORTIFÓLIO'!C:V,5,0),"")</f>
        <v/>
      </c>
      <c r="H205" s="247">
        <f t="array" ref="H205">IFERROR(INDEX('PORTIFÓLIO'!$H$4:$H$433,MATCH($C205,'PORTIFÓLIO'!$C$4:$C$433,0)),"")</f>
        <v/>
      </c>
      <c r="I205" s="257" t="n"/>
      <c r="J205" s="209">
        <f>I205*$B$2</f>
        <v/>
      </c>
      <c r="K205" s="210">
        <f>IFERROR(I205* VLOOKUP($C205,'PORTIFÓLIO'!C:V,10,0),"")</f>
        <v/>
      </c>
      <c r="L205" s="210">
        <f>IFERROR(J205* VLOOKUP($C205,'PORTIFÓLIO'!C:V,10,0),"")</f>
        <v/>
      </c>
      <c r="M205" s="177" t="n"/>
      <c r="N205" s="177" t="n"/>
      <c r="O205" s="177" t="n"/>
      <c r="P205" s="177" t="n"/>
      <c r="Q205" s="177" t="n"/>
      <c r="R205" s="177" t="n"/>
      <c r="S205" s="177" t="n"/>
      <c r="T205" s="177" t="n"/>
      <c r="U205" s="177" t="n"/>
      <c r="V205" s="177" t="n"/>
      <c r="W205" s="177" t="n"/>
    </row>
    <row r="206" outlineLevel="1" ht="15.75" customHeight="1" s="297">
      <c r="A206" s="190" t="n"/>
      <c r="B206" s="204" t="n"/>
      <c r="C206" s="191" t="n"/>
      <c r="D206" s="205">
        <f>IFERROR(VLOOKUP($C206,'PORTIFÓLIO'!C:V,2,0),"")</f>
        <v/>
      </c>
      <c r="E206" s="190">
        <f>IFERROR(VLOOKUP($C206,'PORTIFÓLIO'!C:V,3,0),"")</f>
        <v/>
      </c>
      <c r="F206" s="190">
        <f>IFERROR(VLOOKUP($C206,'PORTIFÓLIO'!C:V,4,0),"")</f>
        <v/>
      </c>
      <c r="G206" s="206">
        <f>IFERROR(VLOOKUP($C206,'PORTIFÓLIO'!C:V,5,0),"")</f>
        <v/>
      </c>
      <c r="H206" s="247">
        <f t="array" ref="H206">IFERROR(INDEX('PORTIFÓLIO'!$H$4:$H$433,MATCH($C206,'PORTIFÓLIO'!$C$4:$C$433,0)),"")</f>
        <v/>
      </c>
      <c r="I206" s="257" t="n"/>
      <c r="J206" s="209">
        <f>I206*$B$2</f>
        <v/>
      </c>
      <c r="K206" s="210">
        <f>IFERROR(I206* VLOOKUP($C206,'PORTIFÓLIO'!C:V,10,0),"")</f>
        <v/>
      </c>
      <c r="L206" s="210">
        <f>IFERROR(J206* VLOOKUP($C206,'PORTIFÓLIO'!C:V,10,0),"")</f>
        <v/>
      </c>
      <c r="M206" s="177" t="n"/>
      <c r="N206" s="177" t="n"/>
      <c r="O206" s="177" t="n"/>
      <c r="P206" s="177" t="n"/>
      <c r="Q206" s="177" t="n"/>
      <c r="R206" s="177" t="n"/>
      <c r="S206" s="177" t="n"/>
      <c r="T206" s="177" t="n"/>
      <c r="U206" s="177" t="n"/>
      <c r="V206" s="177" t="n"/>
      <c r="W206" s="177" t="n"/>
    </row>
    <row r="207" outlineLevel="1" ht="15.75" customHeight="1" s="297">
      <c r="A207" s="190" t="n"/>
      <c r="B207" s="204" t="n"/>
      <c r="C207" s="191" t="n"/>
      <c r="D207" s="205">
        <f>IFERROR(VLOOKUP($C207,'PORTIFÓLIO'!C:V,2,0),"")</f>
        <v/>
      </c>
      <c r="E207" s="190">
        <f>IFERROR(VLOOKUP($C207,'PORTIFÓLIO'!C:V,3,0),"")</f>
        <v/>
      </c>
      <c r="F207" s="190">
        <f>IFERROR(VLOOKUP($C207,'PORTIFÓLIO'!C:V,4,0),"")</f>
        <v/>
      </c>
      <c r="G207" s="206">
        <f>IFERROR(VLOOKUP($C207,'PORTIFÓLIO'!C:V,5,0),"")</f>
        <v/>
      </c>
      <c r="H207" s="247">
        <f t="array" ref="H207">IFERROR(INDEX('PORTIFÓLIO'!$H$4:$H$433,MATCH($C207,'PORTIFÓLIO'!$C$4:$C$433,0)),"")</f>
        <v/>
      </c>
      <c r="I207" s="257" t="n"/>
      <c r="J207" s="209">
        <f>I207*$B$2</f>
        <v/>
      </c>
      <c r="K207" s="210">
        <f>IFERROR(I207* VLOOKUP($C207,'PORTIFÓLIO'!C:V,10,0),"")</f>
        <v/>
      </c>
      <c r="L207" s="210">
        <f>IFERROR(J207* VLOOKUP($C207,'PORTIFÓLIO'!C:V,10,0),"")</f>
        <v/>
      </c>
      <c r="M207" s="177" t="n"/>
      <c r="N207" s="177" t="n"/>
      <c r="O207" s="177" t="n"/>
      <c r="P207" s="177" t="n"/>
      <c r="Q207" s="177" t="n"/>
      <c r="R207" s="177" t="n"/>
      <c r="S207" s="177" t="n"/>
      <c r="T207" s="177" t="n"/>
      <c r="U207" s="177" t="n"/>
      <c r="V207" s="177" t="n"/>
      <c r="W207" s="177" t="n"/>
    </row>
    <row r="208" outlineLevel="1" ht="15.75" customHeight="1" s="297">
      <c r="A208" s="190" t="n"/>
      <c r="B208" s="204" t="n"/>
      <c r="C208" s="191" t="n"/>
      <c r="D208" s="205">
        <f>IFERROR(VLOOKUP($C208,'PORTIFÓLIO'!C:V,2,0),"")</f>
        <v/>
      </c>
      <c r="E208" s="190">
        <f>IFERROR(VLOOKUP($C208,'PORTIFÓLIO'!C:V,3,0),"")</f>
        <v/>
      </c>
      <c r="F208" s="190">
        <f>IFERROR(VLOOKUP($C208,'PORTIFÓLIO'!C:V,4,0),"")</f>
        <v/>
      </c>
      <c r="G208" s="206">
        <f>IFERROR(VLOOKUP($C208,'PORTIFÓLIO'!C:V,5,0),"")</f>
        <v/>
      </c>
      <c r="H208" s="247">
        <f t="array" ref="H208">IFERROR(INDEX('PORTIFÓLIO'!$H$4:$H$433,MATCH($C208,'PORTIFÓLIO'!$C$4:$C$433,0)),"")</f>
        <v/>
      </c>
      <c r="I208" s="257" t="n"/>
      <c r="J208" s="209">
        <f>I208*$B$2</f>
        <v/>
      </c>
      <c r="K208" s="210">
        <f>IFERROR(I208* VLOOKUP($C208,'PORTIFÓLIO'!C:V,10,0),"")</f>
        <v/>
      </c>
      <c r="L208" s="210">
        <f>IFERROR(J208* VLOOKUP($C208,'PORTIFÓLIO'!C:V,10,0),"")</f>
        <v/>
      </c>
      <c r="M208" s="177" t="n"/>
      <c r="N208" s="177" t="n"/>
      <c r="O208" s="177" t="n"/>
      <c r="P208" s="177" t="n"/>
      <c r="Q208" s="177" t="n"/>
      <c r="R208" s="177" t="n"/>
      <c r="S208" s="177" t="n"/>
      <c r="T208" s="177" t="n"/>
      <c r="U208" s="177" t="n"/>
      <c r="V208" s="177" t="n"/>
      <c r="W208" s="177" t="n"/>
    </row>
    <row r="209" outlineLevel="1" ht="15.75" customHeight="1" s="297">
      <c r="A209" s="190" t="n"/>
      <c r="B209" s="204" t="n"/>
      <c r="C209" s="191" t="n"/>
      <c r="D209" s="205">
        <f>IFERROR(VLOOKUP($C209,'PORTIFÓLIO'!C:V,2,0),"")</f>
        <v/>
      </c>
      <c r="E209" s="190">
        <f>IFERROR(VLOOKUP($C209,'PORTIFÓLIO'!C:V,3,0),"")</f>
        <v/>
      </c>
      <c r="F209" s="190">
        <f>IFERROR(VLOOKUP($C209,'PORTIFÓLIO'!C:V,4,0),"")</f>
        <v/>
      </c>
      <c r="G209" s="206">
        <f>IFERROR(VLOOKUP($C209,'PORTIFÓLIO'!C:V,5,0),"")</f>
        <v/>
      </c>
      <c r="H209" s="247">
        <f t="array" ref="H209">IFERROR(INDEX('PORTIFÓLIO'!$H$4:$H$433,MATCH($C209,'PORTIFÓLIO'!$C$4:$C$433,0)),"")</f>
        <v/>
      </c>
      <c r="I209" s="257" t="n"/>
      <c r="J209" s="209">
        <f>I209*$B$2</f>
        <v/>
      </c>
      <c r="K209" s="210">
        <f>IFERROR(I209* VLOOKUP($C209,'PORTIFÓLIO'!C:V,10,0),"")</f>
        <v/>
      </c>
      <c r="L209" s="210">
        <f>IFERROR(J209* VLOOKUP($C209,'PORTIFÓLIO'!C:V,10,0),"")</f>
        <v/>
      </c>
      <c r="M209" s="177" t="n"/>
      <c r="N209" s="177" t="n"/>
      <c r="O209" s="177" t="n"/>
      <c r="P209" s="177" t="n"/>
      <c r="Q209" s="177" t="n"/>
      <c r="R209" s="177" t="n"/>
      <c r="S209" s="177" t="n"/>
      <c r="T209" s="177" t="n"/>
      <c r="U209" s="177" t="n"/>
      <c r="V209" s="177" t="n"/>
      <c r="W209" s="177" t="n"/>
    </row>
    <row r="210" outlineLevel="1" ht="15.75" customHeight="1" s="297">
      <c r="A210" s="190" t="n"/>
      <c r="B210" s="204" t="n"/>
      <c r="C210" s="191" t="n"/>
      <c r="D210" s="205">
        <f>IFERROR(VLOOKUP($C210,'PORTIFÓLIO'!C:V,2,0),"")</f>
        <v/>
      </c>
      <c r="E210" s="190">
        <f>IFERROR(VLOOKUP($C210,'PORTIFÓLIO'!C:V,3,0),"")</f>
        <v/>
      </c>
      <c r="F210" s="190">
        <f>IFERROR(VLOOKUP($C210,'PORTIFÓLIO'!C:V,4,0),"")</f>
        <v/>
      </c>
      <c r="G210" s="206">
        <f>IFERROR(VLOOKUP($C210,'PORTIFÓLIO'!C:V,5,0),"")</f>
        <v/>
      </c>
      <c r="H210" s="247">
        <f t="array" ref="H210">IFERROR(INDEX('PORTIFÓLIO'!$H$4:$H$433,MATCH($C210,'PORTIFÓLIO'!$C$4:$C$433,0)),"")</f>
        <v/>
      </c>
      <c r="I210" s="257" t="n"/>
      <c r="J210" s="209">
        <f>I210*$B$2</f>
        <v/>
      </c>
      <c r="K210" s="210">
        <f>IFERROR(I210* VLOOKUP($C210,'PORTIFÓLIO'!C:V,10,0),"")</f>
        <v/>
      </c>
      <c r="L210" s="210">
        <f>IFERROR(J210* VLOOKUP($C210,'PORTIFÓLIO'!C:V,10,0),"")</f>
        <v/>
      </c>
      <c r="M210" s="177" t="n"/>
      <c r="N210" s="177" t="n"/>
      <c r="O210" s="177" t="n"/>
      <c r="P210" s="177" t="n"/>
      <c r="Q210" s="177" t="n"/>
      <c r="R210" s="177" t="n"/>
      <c r="S210" s="177" t="n"/>
      <c r="T210" s="177" t="n"/>
      <c r="U210" s="177" t="n"/>
      <c r="V210" s="177" t="n"/>
      <c r="W210" s="177" t="n"/>
    </row>
    <row r="211" outlineLevel="1" ht="15.75" customHeight="1" s="297">
      <c r="A211" s="190" t="n"/>
      <c r="B211" s="204" t="n"/>
      <c r="C211" s="191" t="n"/>
      <c r="D211" s="205">
        <f>IFERROR(VLOOKUP($C211,'PORTIFÓLIO'!C:V,2,0),"")</f>
        <v/>
      </c>
      <c r="E211" s="190">
        <f>IFERROR(VLOOKUP($C211,'PORTIFÓLIO'!C:V,3,0),"")</f>
        <v/>
      </c>
      <c r="F211" s="190">
        <f>IFERROR(VLOOKUP($C211,'PORTIFÓLIO'!C:V,4,0),"")</f>
        <v/>
      </c>
      <c r="G211" s="206">
        <f>IFERROR(VLOOKUP($C211,'PORTIFÓLIO'!C:V,5,0),"")</f>
        <v/>
      </c>
      <c r="H211" s="247">
        <f t="array" ref="H211">IFERROR(INDEX('PORTIFÓLIO'!$H$4:$H$433,MATCH($C211,'PORTIFÓLIO'!$C$4:$C$433,0)),"")</f>
        <v/>
      </c>
      <c r="I211" s="257" t="n"/>
      <c r="J211" s="209">
        <f>I211*$B$2</f>
        <v/>
      </c>
      <c r="K211" s="210">
        <f>IFERROR(I211* VLOOKUP($C211,'PORTIFÓLIO'!C:V,10,0),"")</f>
        <v/>
      </c>
      <c r="L211" s="210">
        <f>IFERROR(J211* VLOOKUP($C211,'PORTIFÓLIO'!C:V,10,0),"")</f>
        <v/>
      </c>
      <c r="M211" s="177" t="n"/>
      <c r="N211" s="177" t="n"/>
      <c r="O211" s="177" t="n"/>
      <c r="P211" s="177" t="n"/>
      <c r="Q211" s="177" t="n"/>
      <c r="R211" s="177" t="n"/>
      <c r="S211" s="177" t="n"/>
      <c r="T211" s="177" t="n"/>
      <c r="U211" s="177" t="n"/>
      <c r="V211" s="177" t="n"/>
      <c r="W211" s="177" t="n"/>
    </row>
    <row r="212" outlineLevel="1" ht="15.75" customHeight="1" s="297">
      <c r="A212" s="190" t="n"/>
      <c r="B212" s="204" t="n"/>
      <c r="C212" s="191" t="n"/>
      <c r="D212" s="205">
        <f>IFERROR(VLOOKUP($C212,'PORTIFÓLIO'!C:V,2,0),"")</f>
        <v/>
      </c>
      <c r="E212" s="190">
        <f>IFERROR(VLOOKUP($C212,'PORTIFÓLIO'!C:V,3,0),"")</f>
        <v/>
      </c>
      <c r="F212" s="190">
        <f>IFERROR(VLOOKUP($C212,'PORTIFÓLIO'!C:V,4,0),"")</f>
        <v/>
      </c>
      <c r="G212" s="206">
        <f>IFERROR(VLOOKUP($C212,'PORTIFÓLIO'!C:V,5,0),"")</f>
        <v/>
      </c>
      <c r="H212" s="247">
        <f t="array" ref="H212">IFERROR(INDEX('PORTIFÓLIO'!$H$4:$H$433,MATCH($C212,'PORTIFÓLIO'!$C$4:$C$433,0)),"")</f>
        <v/>
      </c>
      <c r="I212" s="257" t="n"/>
      <c r="J212" s="209">
        <f>I212*$B$2</f>
        <v/>
      </c>
      <c r="K212" s="210">
        <f>IFERROR(I212* VLOOKUP($C212,'PORTIFÓLIO'!C:V,10,0),"")</f>
        <v/>
      </c>
      <c r="L212" s="210">
        <f>IFERROR(J212* VLOOKUP($C212,'PORTIFÓLIO'!C:V,10,0),"")</f>
        <v/>
      </c>
      <c r="M212" s="177" t="n"/>
      <c r="N212" s="177" t="n"/>
      <c r="O212" s="177" t="n"/>
      <c r="P212" s="177" t="n"/>
      <c r="Q212" s="177" t="n"/>
      <c r="R212" s="177" t="n"/>
      <c r="S212" s="177" t="n"/>
      <c r="T212" s="177" t="n"/>
      <c r="U212" s="177" t="n"/>
      <c r="V212" s="177" t="n"/>
      <c r="W212" s="177" t="n"/>
    </row>
    <row r="213" outlineLevel="1" ht="15.75" customHeight="1" s="297">
      <c r="A213" s="190" t="n"/>
      <c r="B213" s="204" t="n"/>
      <c r="C213" s="191" t="n"/>
      <c r="D213" s="205">
        <f>IFERROR(VLOOKUP($C213,'PORTIFÓLIO'!C:V,2,0),"")</f>
        <v/>
      </c>
      <c r="E213" s="190">
        <f>IFERROR(VLOOKUP($C213,'PORTIFÓLIO'!C:V,3,0),"")</f>
        <v/>
      </c>
      <c r="F213" s="190">
        <f>IFERROR(VLOOKUP($C213,'PORTIFÓLIO'!C:V,4,0),"")</f>
        <v/>
      </c>
      <c r="G213" s="206">
        <f>IFERROR(VLOOKUP($C213,'PORTIFÓLIO'!C:V,5,0),"")</f>
        <v/>
      </c>
      <c r="H213" s="247">
        <f t="array" ref="H213">IFERROR(INDEX('PORTIFÓLIO'!$H$4:$H$433,MATCH($C213,'PORTIFÓLIO'!$C$4:$C$433,0)),"")</f>
        <v/>
      </c>
      <c r="I213" s="257" t="n"/>
      <c r="J213" s="209">
        <f>I213*$B$2</f>
        <v/>
      </c>
      <c r="K213" s="210">
        <f>IFERROR(I213* VLOOKUP($C213,'PORTIFÓLIO'!C:V,10,0),"")</f>
        <v/>
      </c>
      <c r="L213" s="210">
        <f>IFERROR(J213* VLOOKUP($C213,'PORTIFÓLIO'!C:V,10,0),"")</f>
        <v/>
      </c>
      <c r="M213" s="177" t="n"/>
      <c r="N213" s="177" t="n"/>
      <c r="O213" s="177" t="n"/>
      <c r="P213" s="177" t="n"/>
      <c r="Q213" s="177" t="n"/>
      <c r="R213" s="177" t="n"/>
      <c r="S213" s="177" t="n"/>
      <c r="T213" s="177" t="n"/>
      <c r="U213" s="177" t="n"/>
      <c r="V213" s="177" t="n"/>
      <c r="W213" s="177" t="n"/>
    </row>
    <row r="214" outlineLevel="1" ht="15.75" customHeight="1" s="297">
      <c r="A214" s="190" t="n"/>
      <c r="B214" s="204" t="n"/>
      <c r="C214" s="191" t="n"/>
      <c r="D214" s="205">
        <f>IFERROR(VLOOKUP($C214,'PORTIFÓLIO'!C:V,2,0),"")</f>
        <v/>
      </c>
      <c r="E214" s="190">
        <f>IFERROR(VLOOKUP($C214,'PORTIFÓLIO'!C:V,3,0),"")</f>
        <v/>
      </c>
      <c r="F214" s="190">
        <f>IFERROR(VLOOKUP($C214,'PORTIFÓLIO'!C:V,4,0),"")</f>
        <v/>
      </c>
      <c r="G214" s="206">
        <f>IFERROR(VLOOKUP($C214,'PORTIFÓLIO'!C:V,5,0),"")</f>
        <v/>
      </c>
      <c r="H214" s="247">
        <f t="array" ref="H214">IFERROR(INDEX('PORTIFÓLIO'!$H$4:$H$433,MATCH($C214,'PORTIFÓLIO'!$C$4:$C$433,0)),"")</f>
        <v/>
      </c>
      <c r="I214" s="257" t="n"/>
      <c r="J214" s="209">
        <f>I214*$B$2</f>
        <v/>
      </c>
      <c r="K214" s="210">
        <f>IFERROR(I214* VLOOKUP($C214,'PORTIFÓLIO'!C:V,10,0),"")</f>
        <v/>
      </c>
      <c r="L214" s="210">
        <f>IFERROR(J214* VLOOKUP($C214,'PORTIFÓLIO'!C:V,10,0),"")</f>
        <v/>
      </c>
      <c r="M214" s="177" t="n"/>
      <c r="N214" s="177" t="n"/>
      <c r="O214" s="177" t="n"/>
      <c r="P214" s="177" t="n"/>
      <c r="Q214" s="177" t="n"/>
      <c r="R214" s="177" t="n"/>
      <c r="S214" s="177" t="n"/>
      <c r="T214" s="177" t="n"/>
      <c r="U214" s="177" t="n"/>
      <c r="V214" s="177" t="n"/>
      <c r="W214" s="177" t="n"/>
    </row>
    <row r="215" outlineLevel="1" ht="15.75" customHeight="1" s="297">
      <c r="A215" s="190" t="n"/>
      <c r="B215" s="204" t="n"/>
      <c r="C215" s="191" t="n"/>
      <c r="D215" s="205">
        <f>IFERROR(VLOOKUP($C215,'PORTIFÓLIO'!C:V,2,0),"")</f>
        <v/>
      </c>
      <c r="E215" s="190">
        <f>IFERROR(VLOOKUP($C215,'PORTIFÓLIO'!C:V,3,0),"")</f>
        <v/>
      </c>
      <c r="F215" s="190">
        <f>IFERROR(VLOOKUP($C215,'PORTIFÓLIO'!C:V,4,0),"")</f>
        <v/>
      </c>
      <c r="G215" s="206">
        <f>IFERROR(VLOOKUP($C215,'PORTIFÓLIO'!C:V,5,0),"")</f>
        <v/>
      </c>
      <c r="H215" s="247">
        <f t="array" ref="H215">IFERROR(INDEX('PORTIFÓLIO'!$H$4:$H$433,MATCH($C215,'PORTIFÓLIO'!$C$4:$C$433,0)),"")</f>
        <v/>
      </c>
      <c r="I215" s="257" t="n"/>
      <c r="J215" s="209">
        <f>I215*$B$2</f>
        <v/>
      </c>
      <c r="K215" s="210">
        <f>IFERROR(I215* VLOOKUP($C215,'PORTIFÓLIO'!C:V,10,0),"")</f>
        <v/>
      </c>
      <c r="L215" s="210">
        <f>IFERROR(J215* VLOOKUP($C215,'PORTIFÓLIO'!C:V,10,0),"")</f>
        <v/>
      </c>
      <c r="M215" s="177" t="n"/>
      <c r="N215" s="177" t="n"/>
      <c r="O215" s="177" t="n"/>
      <c r="P215" s="177" t="n"/>
      <c r="Q215" s="177" t="n"/>
      <c r="R215" s="177" t="n"/>
      <c r="S215" s="177" t="n"/>
      <c r="T215" s="177" t="n"/>
      <c r="U215" s="177" t="n"/>
      <c r="V215" s="177" t="n"/>
      <c r="W215" s="177" t="n"/>
    </row>
    <row r="216" outlineLevel="1" ht="15.75" customHeight="1" s="297">
      <c r="A216" s="190" t="n"/>
      <c r="B216" s="238" t="n"/>
      <c r="C216" s="190" t="n"/>
      <c r="D216" s="205">
        <f>IFERROR(VLOOKUP($C216,'PORTIFÓLIO'!C:V,2,0),"")</f>
        <v/>
      </c>
      <c r="E216" s="190">
        <f>IFERROR(VLOOKUP($C216,'PORTIFÓLIO'!C:V,3,0),"")</f>
        <v/>
      </c>
      <c r="F216" s="190">
        <f>IFERROR(VLOOKUP($C216,'PORTIFÓLIO'!C:V,4,0),"")</f>
        <v/>
      </c>
      <c r="G216" s="206">
        <f>IFERROR(VLOOKUP($C216,'PORTIFÓLIO'!C:V,5,0),"")</f>
        <v/>
      </c>
      <c r="H216" s="247">
        <f t="array" ref="H216">IFERROR(INDEX('PORTIFÓLIO'!$H$4:$H$433,MATCH($C216,'PORTIFÓLIO'!$C$4:$C$433,0)),"")</f>
        <v/>
      </c>
      <c r="I216" s="257" t="n"/>
      <c r="J216" s="209">
        <f>I216*$B$2</f>
        <v/>
      </c>
      <c r="K216" s="210">
        <f>IFERROR(I216* VLOOKUP($C216,'PORTIFÓLIO'!C:V,10,0),"")</f>
        <v/>
      </c>
      <c r="L216" s="210">
        <f>IFERROR(J216* VLOOKUP($C216,'PORTIFÓLIO'!C:V,10,0),"")</f>
        <v/>
      </c>
      <c r="M216" s="177" t="n"/>
      <c r="N216" s="177" t="n"/>
      <c r="O216" s="177" t="n"/>
      <c r="P216" s="177" t="n"/>
      <c r="Q216" s="177" t="n"/>
      <c r="R216" s="177" t="n"/>
      <c r="S216" s="177" t="n"/>
      <c r="T216" s="177" t="n"/>
      <c r="U216" s="177" t="n"/>
      <c r="V216" s="177" t="n"/>
      <c r="W216" s="177" t="n"/>
    </row>
    <row r="217" outlineLevel="1" ht="15.75" customHeight="1" s="297">
      <c r="A217" s="190" t="n"/>
      <c r="B217" s="238" t="n"/>
      <c r="C217" s="190" t="n"/>
      <c r="D217" s="205">
        <f>IFERROR(VLOOKUP($C217,'PORTIFÓLIO'!C:V,2,0),"")</f>
        <v/>
      </c>
      <c r="E217" s="190">
        <f>IFERROR(VLOOKUP($C217,'PORTIFÓLIO'!C:V,3,0),"")</f>
        <v/>
      </c>
      <c r="F217" s="190">
        <f>IFERROR(VLOOKUP($C217,'PORTIFÓLIO'!C:V,4,0),"")</f>
        <v/>
      </c>
      <c r="G217" s="206">
        <f>IFERROR(VLOOKUP($C217,'PORTIFÓLIO'!C:V,5,0),"")</f>
        <v/>
      </c>
      <c r="H217" s="247">
        <f t="array" ref="H217">IFERROR(INDEX('PORTIFÓLIO'!$H$4:$H$433,MATCH($C217,'PORTIFÓLIO'!$C$4:$C$433,0)),"")</f>
        <v/>
      </c>
      <c r="I217" s="257" t="n"/>
      <c r="J217" s="209">
        <f>I217*$B$2</f>
        <v/>
      </c>
      <c r="K217" s="210">
        <f>IFERROR(I217* VLOOKUP($C217,'PORTIFÓLIO'!C:V,10,0),"")</f>
        <v/>
      </c>
      <c r="L217" s="210">
        <f>IFERROR(J217* VLOOKUP($C217,'PORTIFÓLIO'!C:V,10,0),"")</f>
        <v/>
      </c>
      <c r="M217" s="177" t="n"/>
      <c r="N217" s="177" t="n"/>
      <c r="O217" s="177" t="n"/>
      <c r="P217" s="177" t="n"/>
      <c r="Q217" s="177" t="n"/>
      <c r="R217" s="177" t="n"/>
      <c r="S217" s="177" t="n"/>
      <c r="T217" s="177" t="n"/>
      <c r="U217" s="177" t="n"/>
      <c r="V217" s="177" t="n"/>
      <c r="W217" s="177" t="n"/>
    </row>
    <row r="218" outlineLevel="1" ht="15.75" customHeight="1" s="297">
      <c r="A218" s="190" t="n"/>
      <c r="B218" s="238" t="n"/>
      <c r="C218" s="190" t="n"/>
      <c r="D218" s="205">
        <f>IFERROR(VLOOKUP($C218,'PORTIFÓLIO'!C:V,2,0),"")</f>
        <v/>
      </c>
      <c r="E218" s="190">
        <f>IFERROR(VLOOKUP($C218,'PORTIFÓLIO'!C:V,3,0),"")</f>
        <v/>
      </c>
      <c r="F218" s="190">
        <f>IFERROR(VLOOKUP($C218,'PORTIFÓLIO'!C:V,4,0),"")</f>
        <v/>
      </c>
      <c r="G218" s="206">
        <f>IFERROR(VLOOKUP($C218,'PORTIFÓLIO'!C:V,5,0),"")</f>
        <v/>
      </c>
      <c r="H218" s="247">
        <f t="array" ref="H218">IFERROR(INDEX('PORTIFÓLIO'!$H$4:$H$433,MATCH($C218,'PORTIFÓLIO'!$C$4:$C$433,0)),"")</f>
        <v/>
      </c>
      <c r="I218" s="257" t="n"/>
      <c r="J218" s="209">
        <f>I218*$B$2</f>
        <v/>
      </c>
      <c r="K218" s="210">
        <f>IFERROR(I218* VLOOKUP($C218,'PORTIFÓLIO'!C:V,10,0),"")</f>
        <v/>
      </c>
      <c r="L218" s="210">
        <f>IFERROR(J218* VLOOKUP($C218,'PORTIFÓLIO'!C:V,10,0),"")</f>
        <v/>
      </c>
      <c r="M218" s="177" t="n"/>
      <c r="N218" s="177" t="n"/>
      <c r="O218" s="177" t="n"/>
      <c r="P218" s="177" t="n"/>
      <c r="Q218" s="177" t="n"/>
      <c r="R218" s="177" t="n"/>
      <c r="S218" s="177" t="n"/>
      <c r="T218" s="177" t="n"/>
      <c r="U218" s="177" t="n"/>
      <c r="V218" s="177" t="n"/>
      <c r="W218" s="177" t="n"/>
    </row>
    <row r="219" outlineLevel="1" ht="15.75" customHeight="1" s="297">
      <c r="A219" s="190" t="n"/>
      <c r="B219" s="238" t="n"/>
      <c r="C219" s="190" t="n"/>
      <c r="D219" s="205">
        <f>IFERROR(VLOOKUP($C219,'PORTIFÓLIO'!C:V,2,0),"")</f>
        <v/>
      </c>
      <c r="E219" s="190">
        <f>IFERROR(VLOOKUP($C219,'PORTIFÓLIO'!C:V,3,0),"")</f>
        <v/>
      </c>
      <c r="F219" s="190">
        <f>IFERROR(VLOOKUP($C219,'PORTIFÓLIO'!C:V,4,0),"")</f>
        <v/>
      </c>
      <c r="G219" s="206">
        <f>IFERROR(VLOOKUP($C219,'PORTIFÓLIO'!C:V,5,0),"")</f>
        <v/>
      </c>
      <c r="H219" s="247">
        <f t="array" ref="H219">IFERROR(INDEX('PORTIFÓLIO'!$H$4:$H$433,MATCH($C219,'PORTIFÓLIO'!$C$4:$C$433,0)),"")</f>
        <v/>
      </c>
      <c r="I219" s="257" t="n"/>
      <c r="J219" s="209">
        <f>I219*$B$2</f>
        <v/>
      </c>
      <c r="K219" s="210">
        <f>IFERROR(I219* VLOOKUP($C219,'PORTIFÓLIO'!C:V,10,0),"")</f>
        <v/>
      </c>
      <c r="L219" s="210">
        <f>IFERROR(J219* VLOOKUP($C219,'PORTIFÓLIO'!C:V,10,0),"")</f>
        <v/>
      </c>
      <c r="M219" s="177" t="n"/>
      <c r="N219" s="177" t="n"/>
      <c r="O219" s="177" t="n"/>
      <c r="P219" s="177" t="n"/>
      <c r="Q219" s="177" t="n"/>
      <c r="R219" s="177" t="n"/>
      <c r="S219" s="177" t="n"/>
      <c r="T219" s="177" t="n"/>
      <c r="U219" s="177" t="n"/>
      <c r="V219" s="177" t="n"/>
      <c r="W219" s="177" t="n"/>
    </row>
    <row r="220" outlineLevel="1" ht="15.75" customHeight="1" s="297">
      <c r="A220" s="190" t="n"/>
      <c r="B220" s="238" t="n"/>
      <c r="C220" s="190" t="n"/>
      <c r="D220" s="205">
        <f>IFERROR(VLOOKUP($C220,'PORTIFÓLIO'!C:V,2,0),"")</f>
        <v/>
      </c>
      <c r="E220" s="190">
        <f>IFERROR(VLOOKUP($C220,'PORTIFÓLIO'!C:V,3,0),"")</f>
        <v/>
      </c>
      <c r="F220" s="190">
        <f>IFERROR(VLOOKUP($C220,'PORTIFÓLIO'!C:V,4,0),"")</f>
        <v/>
      </c>
      <c r="G220" s="206">
        <f>IFERROR(VLOOKUP($C220,'PORTIFÓLIO'!C:V,5,0),"")</f>
        <v/>
      </c>
      <c r="H220" s="247">
        <f t="array" ref="H220">IFERROR(INDEX('PORTIFÓLIO'!$H$4:$H$433,MATCH($C220,'PORTIFÓLIO'!$C$4:$C$433,0)),"")</f>
        <v/>
      </c>
      <c r="I220" s="257" t="n"/>
      <c r="J220" s="209">
        <f>I220*$B$2</f>
        <v/>
      </c>
      <c r="K220" s="210">
        <f>IFERROR(I220* VLOOKUP($C220,'PORTIFÓLIO'!C:V,10,0),"")</f>
        <v/>
      </c>
      <c r="L220" s="210">
        <f>IFERROR(J220* VLOOKUP($C220,'PORTIFÓLIO'!C:V,10,0),"")</f>
        <v/>
      </c>
      <c r="M220" s="177" t="n"/>
      <c r="N220" s="177" t="n"/>
      <c r="O220" s="177" t="n"/>
      <c r="P220" s="177" t="n"/>
      <c r="Q220" s="177" t="n"/>
      <c r="R220" s="177" t="n"/>
      <c r="S220" s="177" t="n"/>
      <c r="T220" s="177" t="n"/>
      <c r="U220" s="177" t="n"/>
      <c r="V220" s="177" t="n"/>
      <c r="W220" s="177" t="n"/>
    </row>
    <row r="221" outlineLevel="1" ht="15.75" customHeight="1" s="297">
      <c r="A221" s="190" t="n"/>
      <c r="B221" s="238" t="n"/>
      <c r="C221" s="190" t="n"/>
      <c r="D221" s="205">
        <f>IFERROR(VLOOKUP($C221,'PORTIFÓLIO'!C:V,2,0),"")</f>
        <v/>
      </c>
      <c r="E221" s="190">
        <f>IFERROR(VLOOKUP($C221,'PORTIFÓLIO'!C:V,3,0),"")</f>
        <v/>
      </c>
      <c r="F221" s="190">
        <f>IFERROR(VLOOKUP($C221,'PORTIFÓLIO'!C:V,4,0),"")</f>
        <v/>
      </c>
      <c r="G221" s="206">
        <f>IFERROR(VLOOKUP($C221,'PORTIFÓLIO'!C:V,5,0),"")</f>
        <v/>
      </c>
      <c r="H221" s="247">
        <f t="array" ref="H221">IFERROR(INDEX('PORTIFÓLIO'!$H$4:$H$433,MATCH($C221,'PORTIFÓLIO'!$C$4:$C$433,0)),"")</f>
        <v/>
      </c>
      <c r="I221" s="257" t="n"/>
      <c r="J221" s="209">
        <f>I221*$B$2</f>
        <v/>
      </c>
      <c r="K221" s="210">
        <f>IFERROR(I221* VLOOKUP($C221,'PORTIFÓLIO'!C:V,10,0),"")</f>
        <v/>
      </c>
      <c r="L221" s="210">
        <f>IFERROR(J221* VLOOKUP($C221,'PORTIFÓLIO'!C:V,10,0),"")</f>
        <v/>
      </c>
      <c r="M221" s="177" t="n"/>
      <c r="N221" s="177" t="n"/>
      <c r="O221" s="177" t="n"/>
      <c r="P221" s="177" t="n"/>
      <c r="Q221" s="177" t="n"/>
      <c r="R221" s="177" t="n"/>
      <c r="S221" s="177" t="n"/>
      <c r="T221" s="177" t="n"/>
      <c r="U221" s="177" t="n"/>
      <c r="V221" s="177" t="n"/>
      <c r="W221" s="177" t="n"/>
    </row>
    <row r="222" outlineLevel="1" ht="15.75" customHeight="1" s="297">
      <c r="A222" s="190" t="n"/>
      <c r="B222" s="238" t="n"/>
      <c r="C222" s="190" t="n"/>
      <c r="D222" s="205">
        <f>IFERROR(VLOOKUP($C222,'PORTIFÓLIO'!C:V,2,0),"")</f>
        <v/>
      </c>
      <c r="E222" s="190">
        <f>IFERROR(VLOOKUP($C222,'PORTIFÓLIO'!C:V,3,0),"")</f>
        <v/>
      </c>
      <c r="F222" s="190">
        <f>IFERROR(VLOOKUP($C222,'PORTIFÓLIO'!C:V,4,0),"")</f>
        <v/>
      </c>
      <c r="G222" s="206">
        <f>IFERROR(VLOOKUP($C222,'PORTIFÓLIO'!C:V,5,0),"")</f>
        <v/>
      </c>
      <c r="H222" s="247">
        <f t="array" ref="H222">IFERROR(INDEX('PORTIFÓLIO'!$H$4:$H$433,MATCH($C222,'PORTIFÓLIO'!$C$4:$C$433,0)),"")</f>
        <v/>
      </c>
      <c r="I222" s="257" t="n"/>
      <c r="J222" s="209">
        <f>I222*$B$2</f>
        <v/>
      </c>
      <c r="K222" s="210">
        <f>IFERROR(I222* VLOOKUP($C222,'PORTIFÓLIO'!C:V,10,0),"")</f>
        <v/>
      </c>
      <c r="L222" s="210">
        <f>IFERROR(J222* VLOOKUP($C222,'PORTIFÓLIO'!C:V,10,0),"")</f>
        <v/>
      </c>
      <c r="M222" s="177" t="n"/>
      <c r="N222" s="177" t="n"/>
      <c r="O222" s="177" t="n"/>
      <c r="P222" s="177" t="n"/>
      <c r="Q222" s="177" t="n"/>
      <c r="R222" s="177" t="n"/>
      <c r="S222" s="177" t="n"/>
      <c r="T222" s="177" t="n"/>
      <c r="U222" s="177" t="n"/>
      <c r="V222" s="177" t="n"/>
      <c r="W222" s="177" t="n"/>
    </row>
    <row r="223" outlineLevel="1" ht="15.75" customHeight="1" s="297">
      <c r="A223" s="190" t="n"/>
      <c r="B223" s="238" t="n"/>
      <c r="C223" s="190" t="n"/>
      <c r="D223" s="205">
        <f>IFERROR(VLOOKUP($C223,'PORTIFÓLIO'!C:V,2,0),"")</f>
        <v/>
      </c>
      <c r="E223" s="190">
        <f>IFERROR(VLOOKUP($C223,'PORTIFÓLIO'!C:V,3,0),"")</f>
        <v/>
      </c>
      <c r="F223" s="190">
        <f>IFERROR(VLOOKUP($C223,'PORTIFÓLIO'!C:V,4,0),"")</f>
        <v/>
      </c>
      <c r="G223" s="206">
        <f>IFERROR(VLOOKUP($C223,'PORTIFÓLIO'!C:V,5,0),"")</f>
        <v/>
      </c>
      <c r="H223" s="247">
        <f t="array" ref="H223">IFERROR(INDEX('PORTIFÓLIO'!$H$4:$H$433,MATCH($C223,'PORTIFÓLIO'!$C$4:$C$433,0)),"")</f>
        <v/>
      </c>
      <c r="I223" s="257" t="n"/>
      <c r="J223" s="209">
        <f>I223*$B$2</f>
        <v/>
      </c>
      <c r="K223" s="210">
        <f>IFERROR(I223* VLOOKUP($C223,'PORTIFÓLIO'!C:V,10,0),"")</f>
        <v/>
      </c>
      <c r="L223" s="210">
        <f>IFERROR(J223* VLOOKUP($C223,'PORTIFÓLIO'!C:V,10,0),"")</f>
        <v/>
      </c>
      <c r="M223" s="177" t="n"/>
      <c r="N223" s="177" t="n"/>
      <c r="O223" s="177" t="n"/>
      <c r="P223" s="177" t="n"/>
      <c r="Q223" s="177" t="n"/>
      <c r="R223" s="177" t="n"/>
      <c r="S223" s="177" t="n"/>
      <c r="T223" s="177" t="n"/>
      <c r="U223" s="177" t="n"/>
      <c r="V223" s="177" t="n"/>
      <c r="W223" s="177" t="n"/>
    </row>
    <row r="224" outlineLevel="1" ht="15.75" customHeight="1" s="297">
      <c r="A224" s="190" t="n"/>
      <c r="B224" s="238" t="n"/>
      <c r="C224" s="190" t="n"/>
      <c r="D224" s="205">
        <f>IFERROR(VLOOKUP($C224,'PORTIFÓLIO'!C:V,2,0),"")</f>
        <v/>
      </c>
      <c r="E224" s="190">
        <f>IFERROR(VLOOKUP($C224,'PORTIFÓLIO'!C:V,3,0),"")</f>
        <v/>
      </c>
      <c r="F224" s="190">
        <f>IFERROR(VLOOKUP($C224,'PORTIFÓLIO'!C:V,4,0),"")</f>
        <v/>
      </c>
      <c r="G224" s="206">
        <f>IFERROR(VLOOKUP($C224,'PORTIFÓLIO'!C:V,5,0),"")</f>
        <v/>
      </c>
      <c r="H224" s="247">
        <f t="array" ref="H224">IFERROR(INDEX('PORTIFÓLIO'!$H$4:$H$433,MATCH($C224,'PORTIFÓLIO'!$C$4:$C$433,0)),"")</f>
        <v/>
      </c>
      <c r="I224" s="257" t="n"/>
      <c r="J224" s="209">
        <f>I224*$B$2</f>
        <v/>
      </c>
      <c r="K224" s="210">
        <f>IFERROR(I224* VLOOKUP($C224,'PORTIFÓLIO'!C:V,10,0),"")</f>
        <v/>
      </c>
      <c r="L224" s="210">
        <f>IFERROR(J224* VLOOKUP($C224,'PORTIFÓLIO'!C:V,10,0),"")</f>
        <v/>
      </c>
      <c r="M224" s="177" t="n"/>
      <c r="N224" s="177" t="n"/>
      <c r="O224" s="177" t="n"/>
      <c r="P224" s="177" t="n"/>
      <c r="Q224" s="177" t="n"/>
      <c r="R224" s="177" t="n"/>
      <c r="S224" s="177" t="n"/>
      <c r="T224" s="177" t="n"/>
      <c r="U224" s="177" t="n"/>
      <c r="V224" s="177" t="n"/>
      <c r="W224" s="177" t="n"/>
    </row>
    <row r="225" ht="15.75" customHeight="1" s="297">
      <c r="A225" s="238" t="n"/>
      <c r="B225" s="238" t="n"/>
      <c r="C225" s="238" t="n"/>
      <c r="D225" s="238" t="n"/>
      <c r="E225" s="238" t="n"/>
      <c r="F225" s="238" t="n"/>
      <c r="G225" s="206" t="n"/>
      <c r="H225" s="192">
        <f t="array" ref="H225">IFERROR(INDEX('PORTIFÓLIO'!$H$4:$H$433,MATCH($C225,'PORTIFÓLIO'!$C$4:$C$433,0)),"")</f>
        <v/>
      </c>
      <c r="I225" s="238" t="n"/>
      <c r="J225" s="238" t="n"/>
      <c r="K225" s="239">
        <f>SUBTOTAL(9,K10:K200)</f>
        <v/>
      </c>
      <c r="L225" s="239">
        <f>SUBTOTAL(9,L10:L200)</f>
        <v/>
      </c>
      <c r="M225" s="177" t="n"/>
      <c r="N225" s="177" t="n"/>
      <c r="O225" s="177" t="n"/>
      <c r="P225" s="177" t="n"/>
      <c r="Q225" s="177" t="n"/>
      <c r="R225" s="177" t="n"/>
      <c r="S225" s="177" t="n"/>
      <c r="T225" s="177" t="n"/>
      <c r="U225" s="177" t="n"/>
      <c r="V225" s="177" t="n"/>
      <c r="W225" s="177" t="n"/>
    </row>
    <row r="226" ht="15.75" customHeight="1" s="297">
      <c r="A226" s="240" t="n"/>
      <c r="B226" s="240" t="n"/>
      <c r="C226" s="240" t="n"/>
      <c r="D226" s="240" t="n"/>
      <c r="E226" s="240" t="n"/>
      <c r="F226" s="240" t="n"/>
      <c r="G226" s="241" t="n"/>
      <c r="H226" s="241" t="n"/>
      <c r="I226" s="240" t="n"/>
      <c r="J226" s="240" t="n"/>
      <c r="K226" s="240" t="n"/>
      <c r="L226" s="240" t="n"/>
      <c r="M226" s="240" t="n"/>
      <c r="N226" s="240" t="n"/>
      <c r="O226" s="240" t="n"/>
      <c r="P226" s="240" t="n"/>
      <c r="Q226" s="240" t="n"/>
      <c r="R226" s="240" t="n"/>
      <c r="S226" s="240" t="n"/>
      <c r="T226" s="240" t="n"/>
      <c r="U226" s="240" t="n"/>
      <c r="V226" s="240" t="n"/>
      <c r="W226" s="240" t="n"/>
    </row>
    <row r="227" ht="15.75" customHeight="1" s="297">
      <c r="A227" s="178" t="inlineStr">
        <is>
          <t>Talhão:</t>
        </is>
      </c>
      <c r="B227" s="170">
        <f>'ÁREA PLANTIO'!B4</f>
        <v/>
      </c>
      <c r="C227" s="171" t="inlineStr">
        <is>
          <t>Custo estimado R$/há</t>
        </is>
      </c>
      <c r="D227" s="172">
        <f>$K$452</f>
        <v/>
      </c>
      <c r="E227" s="173" t="n"/>
      <c r="F227" s="174" t="inlineStr">
        <is>
          <t>ÁREA PLANTIO</t>
        </is>
      </c>
      <c r="G227" s="175" t="n"/>
      <c r="H227" s="243">
        <f t="array" ref="H227">IFERROR(INDEX('PORTIFÓLIO'!$H$4:$H$433,MATCH($C227,'PORTIFÓLIO'!$C$4:$C$433,0)),"")</f>
        <v/>
      </c>
      <c r="I227" s="176" t="n"/>
      <c r="J227" s="176" t="n"/>
      <c r="K227" s="175" t="n"/>
      <c r="L227" s="177" t="n"/>
      <c r="M227" s="177" t="n"/>
      <c r="N227" s="177" t="n"/>
      <c r="O227" s="177" t="n"/>
      <c r="P227" s="177" t="n"/>
      <c r="Q227" s="177" t="n"/>
      <c r="R227" s="177" t="n"/>
      <c r="S227" s="177" t="n"/>
      <c r="T227" s="177" t="n"/>
      <c r="U227" s="177" t="n"/>
      <c r="V227" s="177" t="n"/>
      <c r="W227" s="177" t="n"/>
    </row>
    <row r="228" ht="15.75" customHeight="1" s="297">
      <c r="A228" s="178" t="inlineStr">
        <is>
          <t>Área:</t>
        </is>
      </c>
      <c r="B228" s="179">
        <f>'ÁREA PLANTIO'!E4</f>
        <v/>
      </c>
      <c r="C228" s="180" t="inlineStr">
        <is>
          <t>Produtividade estimada Sc/há</t>
        </is>
      </c>
      <c r="D228" s="181">
        <f>'ÁREA PLANTIO'!I4</f>
        <v/>
      </c>
      <c r="E228" s="173" t="n"/>
      <c r="F228" s="173" t="n"/>
      <c r="G228" s="175" t="n"/>
      <c r="H228" s="243">
        <f t="array" ref="H228">IFERROR(INDEX('PORTIFÓLIO'!$H$4:$H$433,MATCH($C228,'PORTIFÓLIO'!$C$4:$C$433,0)),"")</f>
        <v/>
      </c>
      <c r="I228" s="176" t="n"/>
      <c r="J228" s="176" t="n"/>
      <c r="K228" s="175" t="n"/>
      <c r="L228" s="177" t="n"/>
      <c r="M228" s="177" t="n"/>
      <c r="N228" s="177" t="n"/>
      <c r="O228" s="177" t="n"/>
      <c r="P228" s="177" t="n"/>
      <c r="Q228" s="177" t="n"/>
      <c r="R228" s="177" t="n"/>
      <c r="S228" s="177" t="n"/>
      <c r="T228" s="177" t="n"/>
      <c r="U228" s="177" t="n"/>
      <c r="V228" s="177" t="n"/>
      <c r="W228" s="177" t="n"/>
    </row>
    <row r="229" ht="15.75" customHeight="1" s="297">
      <c r="A229" s="178" t="inlineStr">
        <is>
          <t>Empreedimento:</t>
        </is>
      </c>
      <c r="B229" s="176">
        <f>'ÁREA PLANTIO'!H4</f>
        <v/>
      </c>
      <c r="C229" s="180" t="inlineStr">
        <is>
          <t>Custo estimado por SC</t>
        </is>
      </c>
      <c r="D229" s="182">
        <f>D227/D228</f>
        <v/>
      </c>
      <c r="E229" s="173" t="n"/>
      <c r="F229" s="173" t="n"/>
      <c r="G229" s="175" t="n"/>
      <c r="H229" s="243">
        <f t="array" ref="H229">IFERROR(INDEX('PORTIFÓLIO'!$H$4:$H$433,MATCH($C229,'PORTIFÓLIO'!$C$4:$C$433,0)),"")</f>
        <v/>
      </c>
      <c r="I229" s="176" t="n"/>
      <c r="J229" s="176" t="n"/>
      <c r="K229" s="175" t="n"/>
      <c r="L229" s="177" t="n"/>
      <c r="M229" s="177" t="n"/>
      <c r="N229" s="177" t="n"/>
      <c r="O229" s="177" t="n"/>
      <c r="P229" s="177" t="n"/>
      <c r="Q229" s="177" t="n"/>
      <c r="R229" s="177" t="n"/>
      <c r="S229" s="177" t="n"/>
      <c r="T229" s="177" t="n"/>
      <c r="U229" s="177" t="n"/>
      <c r="V229" s="177" t="n"/>
      <c r="W229" s="177" t="n"/>
    </row>
    <row r="230" ht="15.75" customHeight="1" s="297">
      <c r="A230" s="183" t="inlineStr">
        <is>
          <t>Data de plantio:</t>
        </is>
      </c>
      <c r="B230" s="184" t="n">
        <v>45606</v>
      </c>
      <c r="C230" s="185" t="n"/>
      <c r="D230" s="186" t="n"/>
      <c r="E230" s="187" t="n"/>
      <c r="F230" s="173" t="n"/>
      <c r="G230" s="175" t="n"/>
      <c r="H230" s="243">
        <f t="array" ref="H230">IFERROR(INDEX('PORTIFÓLIO'!$H$4:$H$433,MATCH($C230,'PORTIFÓLIO'!$C$4:$C$433,0)),"")</f>
        <v/>
      </c>
      <c r="I230" s="176" t="n"/>
      <c r="J230" s="176" t="n"/>
      <c r="K230" s="175" t="n"/>
      <c r="L230" s="177" t="n"/>
      <c r="M230" s="177" t="n"/>
      <c r="N230" s="177" t="n"/>
      <c r="O230" s="177" t="n"/>
      <c r="P230" s="177" t="n"/>
      <c r="Q230" s="177" t="n"/>
      <c r="R230" s="177" t="n"/>
      <c r="S230" s="177" t="n"/>
      <c r="T230" s="177" t="n"/>
      <c r="U230" s="177" t="n"/>
      <c r="V230" s="177" t="n"/>
      <c r="W230" s="177" t="n"/>
    </row>
    <row r="231" ht="15.75" customHeight="1" s="297">
      <c r="A231" s="177" t="n"/>
      <c r="B231" s="177" t="n"/>
      <c r="C231" s="177" t="n"/>
      <c r="D231" s="177" t="n"/>
      <c r="E231" s="188" t="n"/>
      <c r="F231" s="173" t="n"/>
      <c r="G231" s="175" t="n"/>
      <c r="H231" s="243">
        <f t="array" ref="H231">IFERROR(INDEX('PORTIFÓLIO'!$H$4:$H$433,MATCH($C231,'PORTIFÓLIO'!$C$4:$C$433,0)),"")</f>
        <v/>
      </c>
      <c r="I231" s="176" t="n"/>
      <c r="J231" s="176" t="n"/>
      <c r="K231" s="175" t="n"/>
      <c r="L231" s="177" t="n"/>
      <c r="M231" s="177" t="n"/>
      <c r="N231" s="177" t="n"/>
      <c r="O231" s="177" t="n"/>
      <c r="P231" s="177" t="n"/>
      <c r="Q231" s="177" t="n"/>
      <c r="R231" s="177" t="n"/>
      <c r="S231" s="177" t="n"/>
      <c r="T231" s="177" t="n"/>
      <c r="U231" s="177" t="n"/>
      <c r="V231" s="177" t="n"/>
      <c r="W231" s="177" t="n"/>
    </row>
    <row r="232" ht="15.75" customHeight="1" s="297">
      <c r="A232" s="178" t="n"/>
      <c r="B232" s="176" t="n"/>
      <c r="C232" s="173" t="n"/>
      <c r="D232" s="173" t="n"/>
      <c r="E232" s="173" t="n"/>
      <c r="F232" s="173" t="n"/>
      <c r="G232" s="175" t="n"/>
      <c r="H232" s="243">
        <f t="array" ref="H232">IFERROR(INDEX('PORTIFÓLIO'!$H$4:$H$433,MATCH($C232,'PORTIFÓLIO'!$C$4:$C$433,0)),"")</f>
        <v/>
      </c>
      <c r="I232" s="176" t="n"/>
      <c r="J232" s="176" t="n"/>
      <c r="K232" s="175" t="n"/>
      <c r="L232" s="177" t="n"/>
      <c r="M232" s="177" t="n"/>
      <c r="N232" s="177" t="n"/>
      <c r="O232" s="177" t="n"/>
      <c r="P232" s="177" t="n"/>
      <c r="Q232" s="177" t="n"/>
      <c r="R232" s="177" t="n"/>
      <c r="S232" s="177" t="n"/>
      <c r="T232" s="177" t="n"/>
      <c r="U232" s="177" t="n"/>
      <c r="V232" s="177" t="n"/>
      <c r="W232" s="177" t="n"/>
    </row>
    <row r="233" ht="15.75" customHeight="1" s="297">
      <c r="A233" s="176" t="n"/>
      <c r="B233" s="176" t="n"/>
      <c r="C233" s="173" t="n"/>
      <c r="D233" s="173" t="n"/>
      <c r="E233" s="173" t="n"/>
      <c r="F233" s="173" t="n"/>
      <c r="G233" s="175" t="n"/>
      <c r="H233" s="243">
        <f t="array" ref="H233">IFERROR(INDEX('PORTIFÓLIO'!$H$4:$H$433,MATCH($C233,'PORTIFÓLIO'!$C$4:$C$433,0)),"")</f>
        <v/>
      </c>
      <c r="I233" s="176" t="n"/>
      <c r="J233" s="176" t="n"/>
      <c r="K233" s="175" t="n"/>
      <c r="L233" s="177" t="n"/>
      <c r="M233" s="177" t="n"/>
      <c r="N233" s="177" t="n"/>
      <c r="O233" s="177" t="n"/>
      <c r="P233" s="177" t="n"/>
      <c r="Q233" s="177" t="n"/>
      <c r="R233" s="177" t="n"/>
      <c r="S233" s="177" t="n"/>
      <c r="T233" s="177" t="n"/>
      <c r="U233" s="177" t="n"/>
      <c r="V233" s="177" t="n"/>
      <c r="W233" s="177" t="n"/>
    </row>
    <row r="234" ht="15.75" customHeight="1" s="297">
      <c r="A234" s="176" t="n"/>
      <c r="B234" s="176" t="n"/>
      <c r="C234" s="176" t="n"/>
      <c r="D234" s="176" t="n"/>
      <c r="E234" s="173" t="n"/>
      <c r="F234" s="173" t="n"/>
      <c r="G234" s="175" t="n"/>
      <c r="H234" s="243">
        <f t="array" ref="H234">IFERROR(INDEX('PORTIFÓLIO'!$H$4:$H$433,MATCH($C234,'PORTIFÓLIO'!$C$4:$C$433,0)),"")</f>
        <v/>
      </c>
      <c r="I234" s="176" t="n"/>
      <c r="J234" s="176" t="n"/>
      <c r="K234" s="175" t="n"/>
      <c r="L234" s="177" t="n"/>
      <c r="M234" s="177" t="n"/>
      <c r="N234" s="177" t="n"/>
      <c r="O234" s="177" t="n"/>
      <c r="P234" s="177" t="n"/>
      <c r="Q234" s="177" t="n"/>
      <c r="R234" s="177" t="n"/>
      <c r="S234" s="177" t="n"/>
      <c r="T234" s="177" t="n"/>
      <c r="U234" s="177" t="n"/>
      <c r="V234" s="177" t="n"/>
      <c r="W234" s="177" t="n"/>
    </row>
    <row r="235" ht="15.75" customHeight="1" s="297">
      <c r="A235" s="176" t="n"/>
      <c r="B235" s="176" t="n"/>
      <c r="C235" s="176" t="n"/>
      <c r="D235" s="176" t="n"/>
      <c r="E235" s="176" t="n"/>
      <c r="F235" s="176" t="n"/>
      <c r="G235" s="175" t="n"/>
      <c r="H235" s="243" t="n"/>
      <c r="I235" s="243" t="n"/>
      <c r="J235" s="245" t="n"/>
      <c r="K235" s="246" t="n"/>
      <c r="L235" s="189" t="n"/>
      <c r="M235" s="177" t="n"/>
      <c r="N235" s="177" t="n"/>
      <c r="O235" s="177" t="n"/>
      <c r="P235" s="177" t="n"/>
      <c r="Q235" s="177" t="n"/>
      <c r="R235" s="177" t="n"/>
      <c r="S235" s="177" t="n"/>
      <c r="T235" s="177" t="n"/>
      <c r="U235" s="177" t="n"/>
      <c r="V235" s="177" t="n"/>
      <c r="W235" s="177" t="n"/>
    </row>
    <row r="236" ht="15.75" customHeight="1" s="297">
      <c r="A236" s="190" t="inlineStr">
        <is>
          <t>DAP da Operação</t>
        </is>
      </c>
      <c r="B236" s="191" t="inlineStr">
        <is>
          <t>Classe</t>
        </is>
      </c>
      <c r="C236" s="191" t="inlineStr">
        <is>
          <t>Produto</t>
        </is>
      </c>
      <c r="D236" s="190" t="inlineStr">
        <is>
          <t>Ingrediente Ativo</t>
        </is>
      </c>
      <c r="E236" s="190" t="inlineStr">
        <is>
          <t>Concentração</t>
        </is>
      </c>
      <c r="F236" s="190" t="inlineStr">
        <is>
          <t>Unidade</t>
        </is>
      </c>
      <c r="G236" s="259" t="inlineStr">
        <is>
          <t>Sugestão</t>
        </is>
      </c>
      <c r="H236" s="192" t="inlineStr">
        <is>
          <t>Bula</t>
        </is>
      </c>
      <c r="I236" s="192" t="inlineStr">
        <is>
          <t>Dose</t>
        </is>
      </c>
      <c r="J236" s="193" t="inlineStr">
        <is>
          <t>Total</t>
        </is>
      </c>
      <c r="K236" s="194" t="inlineStr">
        <is>
          <t>CUSTO/HA</t>
        </is>
      </c>
      <c r="L236" s="195" t="inlineStr">
        <is>
          <t>VALOR TOTAL</t>
        </is>
      </c>
      <c r="M236" s="177" t="n"/>
      <c r="N236" s="177" t="n"/>
      <c r="O236" s="177" t="n"/>
      <c r="P236" s="177" t="n"/>
      <c r="Q236" s="177" t="n"/>
      <c r="R236" s="177" t="n"/>
      <c r="S236" s="177" t="n"/>
      <c r="T236" s="177" t="n"/>
      <c r="U236" s="177" t="n"/>
      <c r="V236" s="177" t="n"/>
      <c r="W236" s="177" t="n"/>
    </row>
    <row r="237" ht="15.75" customHeight="1" s="297">
      <c r="A237" s="196" t="inlineStr">
        <is>
          <t>OPERAÇÃO 1</t>
        </is>
      </c>
      <c r="B237" s="197" t="n"/>
      <c r="C237" s="196" t="n"/>
      <c r="D237" s="198" t="n"/>
      <c r="E237" s="196" t="n"/>
      <c r="F237" s="196" t="n"/>
      <c r="G237" s="199" t="n"/>
      <c r="H237" s="199" t="n"/>
      <c r="I237" s="252" t="n"/>
      <c r="J237" s="202" t="n"/>
      <c r="K237" s="203">
        <f>SUBTOTAL(9,K238:K251)</f>
        <v/>
      </c>
      <c r="L237" s="203">
        <f>SUBTOTAL(9,L238:L251)</f>
        <v/>
      </c>
      <c r="M237" s="177" t="n"/>
      <c r="N237" s="177" t="n"/>
      <c r="O237" s="177" t="n"/>
      <c r="P237" s="177" t="n"/>
      <c r="Q237" s="177" t="n"/>
      <c r="R237" s="177" t="n"/>
      <c r="S237" s="177" t="n"/>
      <c r="T237" s="177" t="n"/>
      <c r="U237" s="177" t="n"/>
      <c r="V237" s="177" t="n"/>
      <c r="W237" s="177" t="n"/>
    </row>
    <row r="238" outlineLevel="1" ht="15.75" customHeight="1" s="297">
      <c r="A238" s="190" t="n"/>
      <c r="B238" s="204" t="n"/>
      <c r="C238" s="191" t="n"/>
      <c r="D238" s="205">
        <f>IFERROR(VLOOKUP($C238,'PORTIFÓLIO'!C:V,2,0),"")</f>
        <v/>
      </c>
      <c r="E238" s="190">
        <f>IFERROR(VLOOKUP($C238,'PORTIFÓLIO'!C:V,3,0),"")</f>
        <v/>
      </c>
      <c r="F238" s="190">
        <f>IFERROR(VLOOKUP($C238,'PORTIFÓLIO'!C:V,4,0),"")</f>
        <v/>
      </c>
      <c r="G238" s="206">
        <f>IFERROR(VLOOKUP($C238,'PORTIFÓLIO'!C:V,5,0),"")</f>
        <v/>
      </c>
      <c r="H238" s="247">
        <f t="array" ref="H238">IFERROR(INDEX('PORTIFÓLIO'!$H$4:$H$433,MATCH($C238,'PORTIFÓLIO'!$C$4:$C$433,0)),"")</f>
        <v/>
      </c>
      <c r="I238" s="253" t="n"/>
      <c r="J238" s="209">
        <f>I238*$B$2</f>
        <v/>
      </c>
      <c r="K238" s="210">
        <f t="array" ref="K238">IFERROR(I238*INDEX('PORTIFÓLIO'!$S$4:$S$433,MATCH($C238,'PORTIFÓLIO'!$C$4:$C$433,0)),"")</f>
        <v/>
      </c>
      <c r="L238" s="210">
        <f t="array" ref="L238">IFERROR(J238*INDEX('PORTIFÓLIO'!$S$4:$S$433,MATCH($C238,'PORTIFÓLIO'!$C$4:$C$433,0)),"")</f>
        <v/>
      </c>
      <c r="M238" s="177" t="n"/>
      <c r="N238" s="177" t="n"/>
      <c r="O238" s="177" t="n"/>
      <c r="P238" s="177" t="n"/>
      <c r="Q238" s="177" t="n"/>
      <c r="R238" s="177" t="n"/>
      <c r="S238" s="177" t="n"/>
      <c r="T238" s="177" t="n"/>
      <c r="U238" s="177" t="n"/>
      <c r="V238" s="177" t="n"/>
      <c r="W238" s="177" t="n"/>
    </row>
    <row r="239" outlineLevel="1" ht="15.75" customHeight="1" s="297">
      <c r="A239" s="190" t="n"/>
      <c r="B239" s="204" t="n"/>
      <c r="C239" s="191" t="n"/>
      <c r="D239" s="205">
        <f>IFERROR(VLOOKUP($C239,'PORTIFÓLIO'!C:V,2,0),"")</f>
        <v/>
      </c>
      <c r="E239" s="190">
        <f>IFERROR(VLOOKUP($C239,'PORTIFÓLIO'!C:V,3,0),"")</f>
        <v/>
      </c>
      <c r="F239" s="190">
        <f>IFERROR(VLOOKUP($C239,'PORTIFÓLIO'!C:V,4,0),"")</f>
        <v/>
      </c>
      <c r="G239" s="206">
        <f>IFERROR(VLOOKUP($C239,'PORTIFÓLIO'!C:V,5,0),"")</f>
        <v/>
      </c>
      <c r="H239" s="247">
        <f t="array" ref="H239">IFERROR(INDEX('PORTIFÓLIO'!$H$4:$H$433,MATCH($C239,'PORTIFÓLIO'!$C$4:$C$433,0)),"")</f>
        <v/>
      </c>
      <c r="I239" s="253" t="n"/>
      <c r="J239" s="209">
        <f>I239*$B$2</f>
        <v/>
      </c>
      <c r="K239" s="210">
        <f t="array" ref="K239">IFERROR(I239*INDEX('PORTIFÓLIO'!$S$4:$S$433,MATCH($C239,'PORTIFÓLIO'!$C$4:$C$433,0)),"")</f>
        <v/>
      </c>
      <c r="L239" s="210">
        <f t="array" ref="L239">IFERROR(J239*INDEX('PORTIFÓLIO'!$S$4:$S$433,MATCH($C239,'PORTIFÓLIO'!$C$4:$C$433,0)),"")</f>
        <v/>
      </c>
      <c r="M239" s="177" t="n"/>
      <c r="N239" s="177" t="n"/>
      <c r="O239" s="177" t="n"/>
      <c r="P239" s="177" t="n"/>
      <c r="Q239" s="177" t="n"/>
      <c r="R239" s="177" t="n"/>
      <c r="S239" s="177" t="n"/>
      <c r="T239" s="177" t="n"/>
      <c r="U239" s="177" t="n"/>
      <c r="V239" s="177" t="n"/>
      <c r="W239" s="177" t="n"/>
    </row>
    <row r="240" outlineLevel="1" ht="15.75" customHeight="1" s="297">
      <c r="A240" s="190" t="n"/>
      <c r="B240" s="204" t="n"/>
      <c r="C240" s="191" t="n"/>
      <c r="D240" s="205">
        <f>IFERROR(VLOOKUP($C240,'PORTIFÓLIO'!C:V,2,0),"")</f>
        <v/>
      </c>
      <c r="E240" s="190">
        <f>IFERROR(VLOOKUP($C240,'PORTIFÓLIO'!C:V,3,0),"")</f>
        <v/>
      </c>
      <c r="F240" s="190">
        <f>IFERROR(VLOOKUP($C240,'PORTIFÓLIO'!C:V,4,0),"")</f>
        <v/>
      </c>
      <c r="G240" s="206">
        <f>IFERROR(VLOOKUP($C240,'PORTIFÓLIO'!C:V,5,0),"")</f>
        <v/>
      </c>
      <c r="H240" s="247">
        <f t="array" ref="H240">IFERROR(INDEX('PORTIFÓLIO'!$H$4:$H$433,MATCH($C240,'PORTIFÓLIO'!$C$4:$C$433,0)),"")</f>
        <v/>
      </c>
      <c r="I240" s="257" t="n"/>
      <c r="J240" s="209">
        <f>I240*$B$2</f>
        <v/>
      </c>
      <c r="K240" s="210">
        <f t="array" ref="K240">IFERROR(I240*INDEX('PORTIFÓLIO'!$S$4:$S$433,MATCH($C240,'PORTIFÓLIO'!$C$4:$C$433,0)),"")</f>
        <v/>
      </c>
      <c r="L240" s="210">
        <f t="array" ref="L240">IFERROR(J240*INDEX('PORTIFÓLIO'!$S$4:$S$433,MATCH($C240,'PORTIFÓLIO'!$C$4:$C$433,0)),"")</f>
        <v/>
      </c>
      <c r="M240" s="177" t="n"/>
      <c r="N240" s="177" t="n"/>
      <c r="O240" s="177" t="n"/>
      <c r="P240" s="177" t="n"/>
      <c r="Q240" s="177" t="n"/>
      <c r="R240" s="177" t="n"/>
      <c r="S240" s="177" t="n"/>
      <c r="T240" s="177" t="n"/>
      <c r="U240" s="177" t="n"/>
      <c r="V240" s="177" t="n"/>
      <c r="W240" s="177" t="n"/>
    </row>
    <row r="241" outlineLevel="1" ht="15.75" customHeight="1" s="297">
      <c r="A241" s="190" t="n"/>
      <c r="B241" s="204" t="n"/>
      <c r="C241" s="191" t="n"/>
      <c r="D241" s="205">
        <f>IFERROR(VLOOKUP($C241,'PORTIFÓLIO'!C:V,2,0),"")</f>
        <v/>
      </c>
      <c r="E241" s="190">
        <f>IFERROR(VLOOKUP($C241,'PORTIFÓLIO'!C:V,3,0),"")</f>
        <v/>
      </c>
      <c r="F241" s="190">
        <f>IFERROR(VLOOKUP($C241,'PORTIFÓLIO'!C:V,4,0),"")</f>
        <v/>
      </c>
      <c r="G241" s="206">
        <f>IFERROR(VLOOKUP($C241,'PORTIFÓLIO'!C:V,5,0),"")</f>
        <v/>
      </c>
      <c r="H241" s="247">
        <f t="array" ref="H241">IFERROR(INDEX('PORTIFÓLIO'!$H$4:$H$433,MATCH($C241,'PORTIFÓLIO'!$C$4:$C$433,0)),"")</f>
        <v/>
      </c>
      <c r="I241" s="257" t="n"/>
      <c r="J241" s="209">
        <f>I241*$B$2</f>
        <v/>
      </c>
      <c r="K241" s="210">
        <f t="array" ref="K241">IFERROR(I241*INDEX('PORTIFÓLIO'!$S$4:$S$433,MATCH($C241,'PORTIFÓLIO'!$C$4:$C$433,0)),"")</f>
        <v/>
      </c>
      <c r="L241" s="210">
        <f t="array" ref="L241">IFERROR(J241*INDEX('PORTIFÓLIO'!$S$4:$S$433,MATCH($C241,'PORTIFÓLIO'!$C$4:$C$433,0)),"")</f>
        <v/>
      </c>
      <c r="M241" s="177" t="n"/>
      <c r="N241" s="177" t="n"/>
      <c r="O241" s="177" t="n"/>
      <c r="P241" s="177" t="n"/>
      <c r="Q241" s="177" t="n"/>
      <c r="R241" s="177" t="n"/>
      <c r="S241" s="177" t="n"/>
      <c r="T241" s="177" t="n"/>
      <c r="U241" s="177" t="n"/>
      <c r="V241" s="177" t="n"/>
      <c r="W241" s="177" t="n"/>
    </row>
    <row r="242" outlineLevel="1" ht="15.75" customHeight="1" s="297">
      <c r="A242" s="190" t="n"/>
      <c r="B242" s="204" t="n"/>
      <c r="C242" s="191" t="n"/>
      <c r="D242" s="205">
        <f>IFERROR(VLOOKUP($C242,'PORTIFÓLIO'!C:V,2,0),"")</f>
        <v/>
      </c>
      <c r="E242" s="190">
        <f>IFERROR(VLOOKUP($C242,'PORTIFÓLIO'!C:V,3,0),"")</f>
        <v/>
      </c>
      <c r="F242" s="190">
        <f>IFERROR(VLOOKUP($C242,'PORTIFÓLIO'!C:V,4,0),"")</f>
        <v/>
      </c>
      <c r="G242" s="206">
        <f>IFERROR(VLOOKUP($C242,'PORTIFÓLIO'!C:V,5,0),"")</f>
        <v/>
      </c>
      <c r="H242" s="247">
        <f t="array" ref="H242">IFERROR(INDEX('PORTIFÓLIO'!$H$4:$H$433,MATCH($C242,'PORTIFÓLIO'!$C$4:$C$433,0)),"")</f>
        <v/>
      </c>
      <c r="I242" s="253" t="n"/>
      <c r="J242" s="209">
        <f>I242*$B$2</f>
        <v/>
      </c>
      <c r="K242" s="210">
        <f t="array" ref="K242">IFERROR(I242*INDEX('PORTIFÓLIO'!$S$4:$S$433,MATCH($C242,'PORTIFÓLIO'!$C$4:$C$433,0)),"")</f>
        <v/>
      </c>
      <c r="L242" s="210">
        <f t="array" ref="L242">IFERROR(J242*INDEX('PORTIFÓLIO'!$S$4:$S$433,MATCH($C242,'PORTIFÓLIO'!$C$4:$C$433,0)),"")</f>
        <v/>
      </c>
      <c r="M242" s="177" t="n"/>
      <c r="N242" s="177" t="n"/>
      <c r="O242" s="177" t="n"/>
      <c r="P242" s="177" t="n"/>
      <c r="Q242" s="177" t="n"/>
      <c r="R242" s="177" t="n"/>
      <c r="S242" s="177" t="n"/>
      <c r="T242" s="177" t="n"/>
      <c r="U242" s="177" t="n"/>
      <c r="V242" s="177" t="n"/>
      <c r="W242" s="177" t="n"/>
    </row>
    <row r="243" outlineLevel="1" ht="15.75" customHeight="1" s="297">
      <c r="A243" s="190" t="n"/>
      <c r="B243" s="204" t="n"/>
      <c r="C243" s="191" t="n"/>
      <c r="D243" s="205">
        <f>IFERROR(VLOOKUP($C243,'PORTIFÓLIO'!C:V,2,0),"")</f>
        <v/>
      </c>
      <c r="E243" s="190">
        <f>IFERROR(VLOOKUP($C243,'PORTIFÓLIO'!C:V,3,0),"")</f>
        <v/>
      </c>
      <c r="F243" s="190">
        <f>IFERROR(VLOOKUP($C243,'PORTIFÓLIO'!C:V,4,0),"")</f>
        <v/>
      </c>
      <c r="G243" s="206">
        <f>IFERROR(VLOOKUP($C243,'PORTIFÓLIO'!C:V,5,0),"")</f>
        <v/>
      </c>
      <c r="H243" s="247">
        <f t="array" ref="H243">IFERROR(INDEX('PORTIFÓLIO'!$H$4:$H$433,MATCH($C243,'PORTIFÓLIO'!$C$4:$C$433,0)),"")</f>
        <v/>
      </c>
      <c r="I243" s="257" t="n"/>
      <c r="J243" s="209">
        <f>I243*$B$2</f>
        <v/>
      </c>
      <c r="K243" s="210">
        <f t="array" ref="K243">IFERROR(I243*INDEX('PORTIFÓLIO'!$S$4:$S$433,MATCH($C243,'PORTIFÓLIO'!$C$4:$C$433,0)),"")</f>
        <v/>
      </c>
      <c r="L243" s="210">
        <f t="array" ref="L243">IFERROR(J243*INDEX('PORTIFÓLIO'!$S$4:$S$433,MATCH($C243,'PORTIFÓLIO'!$C$4:$C$433,0)),"")</f>
        <v/>
      </c>
      <c r="M243" s="177" t="n"/>
      <c r="N243" s="177" t="n"/>
      <c r="O243" s="177" t="n"/>
      <c r="P243" s="177" t="n"/>
      <c r="Q243" s="177" t="n"/>
      <c r="R243" s="177" t="n"/>
      <c r="S243" s="177" t="n"/>
      <c r="T243" s="177" t="n"/>
      <c r="U243" s="177" t="n"/>
      <c r="V243" s="177" t="n"/>
      <c r="W243" s="177" t="n"/>
    </row>
    <row r="244" outlineLevel="1" ht="15.75" customHeight="1" s="297">
      <c r="A244" s="190" t="n"/>
      <c r="B244" s="204" t="n"/>
      <c r="C244" s="191" t="n"/>
      <c r="D244" s="205">
        <f>IFERROR(VLOOKUP($C244,'PORTIFÓLIO'!C:V,2,0),"")</f>
        <v/>
      </c>
      <c r="E244" s="190">
        <f>IFERROR(VLOOKUP($C244,'PORTIFÓLIO'!C:V,3,0),"")</f>
        <v/>
      </c>
      <c r="F244" s="190">
        <f>IFERROR(VLOOKUP($C244,'PORTIFÓLIO'!C:V,4,0),"")</f>
        <v/>
      </c>
      <c r="G244" s="206">
        <f>IFERROR(VLOOKUP($C244,'PORTIFÓLIO'!C:V,5,0),"")</f>
        <v/>
      </c>
      <c r="H244" s="247">
        <f t="array" ref="H244">IFERROR(INDEX('PORTIFÓLIO'!$H$4:$H$433,MATCH($C244,'PORTIFÓLIO'!$C$4:$C$433,0)),"")</f>
        <v/>
      </c>
      <c r="I244" s="257" t="n"/>
      <c r="J244" s="209">
        <f>I244*$B$2</f>
        <v/>
      </c>
      <c r="K244" s="210">
        <f t="array" ref="K244">IFERROR(I244*INDEX('PORTIFÓLIO'!$S$4:$S$433,MATCH($C244,'PORTIFÓLIO'!$C$4:$C$433,0)),"")</f>
        <v/>
      </c>
      <c r="L244" s="210">
        <f t="array" ref="L244">IFERROR(J244*INDEX('PORTIFÓLIO'!$S$4:$S$433,MATCH($C244,'PORTIFÓLIO'!$C$4:$C$433,0)),"")</f>
        <v/>
      </c>
      <c r="M244" s="177" t="n"/>
      <c r="N244" s="177" t="n"/>
      <c r="O244" s="177" t="n"/>
      <c r="P244" s="177" t="n"/>
      <c r="Q244" s="177" t="n"/>
      <c r="R244" s="177" t="n"/>
      <c r="S244" s="177" t="n"/>
      <c r="T244" s="177" t="n"/>
      <c r="U244" s="177" t="n"/>
      <c r="V244" s="177" t="n"/>
      <c r="W244" s="177" t="n"/>
    </row>
    <row r="245" outlineLevel="1" ht="15.75" customHeight="1" s="297">
      <c r="A245" s="190" t="n"/>
      <c r="B245" s="204" t="n"/>
      <c r="C245" s="191" t="n"/>
      <c r="D245" s="205">
        <f>IFERROR(VLOOKUP($C245,'PORTIFÓLIO'!C:V,2,0),"")</f>
        <v/>
      </c>
      <c r="E245" s="190">
        <f>IFERROR(VLOOKUP($C245,'PORTIFÓLIO'!C:V,3,0),"")</f>
        <v/>
      </c>
      <c r="F245" s="190">
        <f>IFERROR(VLOOKUP($C245,'PORTIFÓLIO'!C:V,4,0),"")</f>
        <v/>
      </c>
      <c r="G245" s="206">
        <f>IFERROR(VLOOKUP($C245,'PORTIFÓLIO'!C:V,5,0),"")</f>
        <v/>
      </c>
      <c r="H245" s="247">
        <f t="array" ref="H245">IFERROR(INDEX('PORTIFÓLIO'!$H$4:$H$433,MATCH($C245,'PORTIFÓLIO'!$C$4:$C$433,0)),"")</f>
        <v/>
      </c>
      <c r="I245" s="257" t="n"/>
      <c r="J245" s="209">
        <f>I245*$B$2</f>
        <v/>
      </c>
      <c r="K245" s="210">
        <f t="array" ref="K245">IFERROR(I245*INDEX('PORTIFÓLIO'!$S$4:$S$433,MATCH($C245,'PORTIFÓLIO'!$C$4:$C$433,0)),"")</f>
        <v/>
      </c>
      <c r="L245" s="210">
        <f t="array" ref="L245">IFERROR(J245*INDEX('PORTIFÓLIO'!$S$4:$S$433,MATCH($C245,'PORTIFÓLIO'!$C$4:$C$433,0)),"")</f>
        <v/>
      </c>
      <c r="M245" s="177" t="n"/>
      <c r="N245" s="177" t="n"/>
      <c r="O245" s="177" t="n"/>
      <c r="P245" s="177" t="n"/>
      <c r="Q245" s="177" t="n"/>
      <c r="R245" s="177" t="n"/>
      <c r="S245" s="177" t="n"/>
      <c r="T245" s="177" t="n"/>
      <c r="U245" s="177" t="n"/>
      <c r="V245" s="177" t="n"/>
      <c r="W245" s="177" t="n"/>
    </row>
    <row r="246" outlineLevel="1" ht="15.75" customHeight="1" s="297">
      <c r="A246" s="190" t="n"/>
      <c r="B246" s="204" t="n"/>
      <c r="C246" s="191" t="n"/>
      <c r="D246" s="205">
        <f>IFERROR(VLOOKUP($C246,'PORTIFÓLIO'!C:V,2,0),"")</f>
        <v/>
      </c>
      <c r="E246" s="190">
        <f>IFERROR(VLOOKUP($C246,'PORTIFÓLIO'!C:V,3,0),"")</f>
        <v/>
      </c>
      <c r="F246" s="190">
        <f>IFERROR(VLOOKUP($C246,'PORTIFÓLIO'!C:V,4,0),"")</f>
        <v/>
      </c>
      <c r="G246" s="206">
        <f>IFERROR(VLOOKUP($C246,'PORTIFÓLIO'!C:V,5,0),"")</f>
        <v/>
      </c>
      <c r="H246" s="247">
        <f t="array" ref="H246">IFERROR(INDEX('PORTIFÓLIO'!$H$4:$H$433,MATCH($C246,'PORTIFÓLIO'!$C$4:$C$433,0)),"")</f>
        <v/>
      </c>
      <c r="I246" s="253" t="n"/>
      <c r="J246" s="209">
        <f>I246*$B$2</f>
        <v/>
      </c>
      <c r="K246" s="210">
        <f t="array" ref="K246">IFERROR(I246*INDEX('PORTIFÓLIO'!$S$4:$S$433,MATCH($C246,'PORTIFÓLIO'!$C$4:$C$433,0)),"")</f>
        <v/>
      </c>
      <c r="L246" s="210">
        <f t="array" ref="L246">IFERROR(J246*INDEX('PORTIFÓLIO'!$S$4:$S$433,MATCH($C246,'PORTIFÓLIO'!$C$4:$C$433,0)),"")</f>
        <v/>
      </c>
      <c r="M246" s="177" t="n"/>
      <c r="N246" s="177" t="n"/>
      <c r="O246" s="177" t="n"/>
      <c r="P246" s="177" t="n"/>
      <c r="Q246" s="177" t="n"/>
      <c r="R246" s="177" t="n"/>
      <c r="S246" s="177" t="n"/>
      <c r="T246" s="177" t="n"/>
      <c r="U246" s="177" t="n"/>
      <c r="V246" s="177" t="n"/>
      <c r="W246" s="177" t="n"/>
    </row>
    <row r="247" outlineLevel="1" ht="15.75" customHeight="1" s="297">
      <c r="A247" s="190" t="n"/>
      <c r="B247" s="204" t="n"/>
      <c r="C247" s="191" t="n"/>
      <c r="D247" s="205">
        <f>IFERROR(VLOOKUP($C247,'PORTIFÓLIO'!C:V,2,0),"")</f>
        <v/>
      </c>
      <c r="E247" s="190">
        <f>IFERROR(VLOOKUP($C247,'PORTIFÓLIO'!C:V,3,0),"")</f>
        <v/>
      </c>
      <c r="F247" s="190">
        <f>IFERROR(VLOOKUP($C247,'PORTIFÓLIO'!C:V,4,0),"")</f>
        <v/>
      </c>
      <c r="G247" s="206">
        <f>IFERROR(VLOOKUP($C247,'PORTIFÓLIO'!C:V,5,0),"")</f>
        <v/>
      </c>
      <c r="H247" s="247">
        <f t="array" ref="H247">IFERROR(INDEX('PORTIFÓLIO'!$H$4:$H$433,MATCH($C247,'PORTIFÓLIO'!$C$4:$C$433,0)),"")</f>
        <v/>
      </c>
      <c r="I247" s="253" t="n"/>
      <c r="J247" s="209">
        <f>I247*$B$2</f>
        <v/>
      </c>
      <c r="K247" s="210">
        <f t="array" ref="K247">IFERROR(I247*INDEX('PORTIFÓLIO'!$S$4:$S$433,MATCH($C247,'PORTIFÓLIO'!$C$4:$C$433,0)),"")</f>
        <v/>
      </c>
      <c r="L247" s="210">
        <f t="array" ref="L247">IFERROR(J247*INDEX('PORTIFÓLIO'!$S$4:$S$433,MATCH($C247,'PORTIFÓLIO'!$C$4:$C$433,0)),"")</f>
        <v/>
      </c>
      <c r="M247" s="177" t="n"/>
      <c r="N247" s="177" t="n"/>
      <c r="O247" s="177" t="n"/>
      <c r="P247" s="177" t="n"/>
      <c r="Q247" s="177" t="n"/>
      <c r="R247" s="177" t="n"/>
      <c r="S247" s="177" t="n"/>
      <c r="T247" s="177" t="n"/>
      <c r="U247" s="177" t="n"/>
      <c r="V247" s="177" t="n"/>
      <c r="W247" s="177" t="n"/>
    </row>
    <row r="248" outlineLevel="1" ht="15.75" customHeight="1" s="297">
      <c r="A248" s="190" t="n"/>
      <c r="B248" s="204" t="n"/>
      <c r="C248" s="191" t="n"/>
      <c r="D248" s="205">
        <f>IFERROR(VLOOKUP($C248,'PORTIFÓLIO'!C:V,2,0),"")</f>
        <v/>
      </c>
      <c r="E248" s="190">
        <f>IFERROR(VLOOKUP($C248,'PORTIFÓLIO'!C:V,3,0),"")</f>
        <v/>
      </c>
      <c r="F248" s="190">
        <f>IFERROR(VLOOKUP($C248,'PORTIFÓLIO'!C:V,4,0),"")</f>
        <v/>
      </c>
      <c r="G248" s="206">
        <f>IFERROR(VLOOKUP($C248,'PORTIFÓLIO'!C:V,5,0),"")</f>
        <v/>
      </c>
      <c r="H248" s="247">
        <f t="array" ref="H248">IFERROR(INDEX('PORTIFÓLIO'!$H$4:$H$433,MATCH($C248,'PORTIFÓLIO'!$C$4:$C$433,0)),"")</f>
        <v/>
      </c>
      <c r="I248" s="253" t="n"/>
      <c r="J248" s="209">
        <f>I248*$B$2</f>
        <v/>
      </c>
      <c r="K248" s="210">
        <f t="array" ref="K248">IFERROR(I248*INDEX('PORTIFÓLIO'!$S$4:$S$433,MATCH($C248,'PORTIFÓLIO'!$C$4:$C$433,0)),"")</f>
        <v/>
      </c>
      <c r="L248" s="210">
        <f t="array" ref="L248">IFERROR(J248*INDEX('PORTIFÓLIO'!$S$4:$S$433,MATCH($C248,'PORTIFÓLIO'!$C$4:$C$433,0)),"")</f>
        <v/>
      </c>
      <c r="M248" s="177" t="n"/>
      <c r="N248" s="177" t="n"/>
      <c r="O248" s="177" t="n"/>
      <c r="P248" s="177" t="n"/>
      <c r="Q248" s="177" t="n"/>
      <c r="R248" s="177" t="n"/>
      <c r="S248" s="177" t="n"/>
      <c r="T248" s="177" t="n"/>
      <c r="U248" s="177" t="n"/>
      <c r="V248" s="177" t="n"/>
      <c r="W248" s="177" t="n"/>
    </row>
    <row r="249" outlineLevel="1" ht="15.75" customHeight="1" s="297">
      <c r="A249" s="190" t="n"/>
      <c r="B249" s="204" t="n"/>
      <c r="C249" s="191" t="n"/>
      <c r="D249" s="205">
        <f>IFERROR(VLOOKUP($C249,'PORTIFÓLIO'!C:V,2,0),"")</f>
        <v/>
      </c>
      <c r="E249" s="190">
        <f>IFERROR(VLOOKUP($C249,'PORTIFÓLIO'!C:V,3,0),"")</f>
        <v/>
      </c>
      <c r="F249" s="190">
        <f>IFERROR(VLOOKUP($C249,'PORTIFÓLIO'!C:V,4,0),"")</f>
        <v/>
      </c>
      <c r="G249" s="206">
        <f>IFERROR(VLOOKUP($C249,'PORTIFÓLIO'!C:V,5,0),"")</f>
        <v/>
      </c>
      <c r="H249" s="247">
        <f t="array" ref="H249">IFERROR(INDEX('PORTIFÓLIO'!$H$4:$H$433,MATCH($C249,'PORTIFÓLIO'!$C$4:$C$433,0)),"")</f>
        <v/>
      </c>
      <c r="I249" s="253" t="n"/>
      <c r="J249" s="209">
        <f>I249*$B$2</f>
        <v/>
      </c>
      <c r="K249" s="210">
        <f t="array" ref="K249">IFERROR(I249*INDEX('PORTIFÓLIO'!$S$4:$S$433,MATCH($C249,'PORTIFÓLIO'!$C$4:$C$433,0)),"")</f>
        <v/>
      </c>
      <c r="L249" s="210">
        <f t="array" ref="L249">IFERROR(J249*INDEX('PORTIFÓLIO'!$S$4:$S$433,MATCH($C249,'PORTIFÓLIO'!$C$4:$C$433,0)),"")</f>
        <v/>
      </c>
      <c r="M249" s="177" t="n"/>
      <c r="N249" s="177" t="n"/>
      <c r="O249" s="177" t="n"/>
      <c r="P249" s="177" t="n"/>
      <c r="Q249" s="177" t="n"/>
      <c r="R249" s="177" t="n"/>
      <c r="S249" s="177" t="n"/>
      <c r="T249" s="177" t="n"/>
      <c r="U249" s="177" t="n"/>
      <c r="V249" s="177" t="n"/>
      <c r="W249" s="177" t="n"/>
    </row>
    <row r="250" outlineLevel="1" ht="15.75" customHeight="1" s="297">
      <c r="A250" s="190" t="n"/>
      <c r="B250" s="204" t="n"/>
      <c r="C250" s="191" t="n"/>
      <c r="D250" s="205">
        <f>IFERROR(VLOOKUP($C250,'PORTIFÓLIO'!C:V,2,0),"")</f>
        <v/>
      </c>
      <c r="E250" s="190">
        <f>IFERROR(VLOOKUP($C250,'PORTIFÓLIO'!C:V,3,0),"")</f>
        <v/>
      </c>
      <c r="F250" s="190">
        <f>IFERROR(VLOOKUP($C250,'PORTIFÓLIO'!C:V,4,0),"")</f>
        <v/>
      </c>
      <c r="G250" s="206">
        <f>IFERROR(VLOOKUP($C250,'PORTIFÓLIO'!C:V,5,0),"")</f>
        <v/>
      </c>
      <c r="H250" s="247">
        <f t="array" ref="H250">IFERROR(INDEX('PORTIFÓLIO'!$H$4:$H$433,MATCH($C250,'PORTIFÓLIO'!$C$4:$C$433,0)),"")</f>
        <v/>
      </c>
      <c r="I250" s="253" t="n"/>
      <c r="J250" s="209">
        <f>I250*$B$2</f>
        <v/>
      </c>
      <c r="K250" s="210">
        <f t="array" ref="K250">IFERROR(I250*INDEX('PORTIFÓLIO'!$S$4:$S$433,MATCH($C250,'PORTIFÓLIO'!$C$4:$C$433,0)),"")</f>
        <v/>
      </c>
      <c r="L250" s="210">
        <f t="array" ref="L250">IFERROR(J250*INDEX('PORTIFÓLIO'!$S$4:$S$433,MATCH($C250,'PORTIFÓLIO'!$C$4:$C$433,0)),"")</f>
        <v/>
      </c>
      <c r="M250" s="177" t="n"/>
      <c r="N250" s="177" t="n"/>
      <c r="O250" s="177" t="n"/>
      <c r="P250" s="177" t="n"/>
      <c r="Q250" s="177" t="n"/>
      <c r="R250" s="177" t="n"/>
      <c r="S250" s="177" t="n"/>
      <c r="T250" s="177" t="n"/>
      <c r="U250" s="177" t="n"/>
      <c r="V250" s="177" t="n"/>
      <c r="W250" s="177" t="n"/>
    </row>
    <row r="251" outlineLevel="1" ht="15.75" customHeight="1" s="297">
      <c r="A251" s="190" t="n"/>
      <c r="B251" s="204" t="n"/>
      <c r="C251" s="191" t="n"/>
      <c r="D251" s="205">
        <f>IFERROR(VLOOKUP($C251,'PORTIFÓLIO'!C:V,2,0),"")</f>
        <v/>
      </c>
      <c r="E251" s="190">
        <f>IFERROR(VLOOKUP($C251,'PORTIFÓLIO'!C:V,3,0),"")</f>
        <v/>
      </c>
      <c r="F251" s="190">
        <f>IFERROR(VLOOKUP($C251,'PORTIFÓLIO'!C:V,4,0),"")</f>
        <v/>
      </c>
      <c r="G251" s="206">
        <f>IFERROR(VLOOKUP($C251,'PORTIFÓLIO'!C:V,5,0),"")</f>
        <v/>
      </c>
      <c r="H251" s="247">
        <f t="array" ref="H251">IFERROR(INDEX('PORTIFÓLIO'!$H$4:$H$433,MATCH($C251,'PORTIFÓLIO'!$C$4:$C$433,0)),"")</f>
        <v/>
      </c>
      <c r="I251" s="253" t="n"/>
      <c r="J251" s="209">
        <f>I251*$B$2</f>
        <v/>
      </c>
      <c r="K251" s="210">
        <f t="array" ref="K251">IFERROR(I251*INDEX('PORTIFÓLIO'!$S$4:$S$433,MATCH($C251,'PORTIFÓLIO'!$C$4:$C$433,0)),"")</f>
        <v/>
      </c>
      <c r="L251" s="210">
        <f t="array" ref="L251">IFERROR(J251*INDEX('PORTIFÓLIO'!$S$4:$S$433,MATCH($C251,'PORTIFÓLIO'!$C$4:$C$433,0)),"")</f>
        <v/>
      </c>
      <c r="M251" s="177" t="n"/>
      <c r="N251" s="177" t="n"/>
      <c r="O251" s="177" t="n"/>
      <c r="P251" s="177" t="n"/>
      <c r="Q251" s="177" t="n"/>
      <c r="R251" s="177" t="n"/>
      <c r="S251" s="177" t="n"/>
      <c r="T251" s="177" t="n"/>
      <c r="U251" s="177" t="n"/>
      <c r="V251" s="177" t="n"/>
      <c r="W251" s="177" t="n"/>
    </row>
    <row r="252" ht="15.75" customHeight="1" s="297">
      <c r="A252" s="221" t="inlineStr">
        <is>
          <t>OPERAÇÃO 2</t>
        </is>
      </c>
      <c r="B252" s="197" t="n"/>
      <c r="C252" s="196" t="n"/>
      <c r="D252" s="198" t="n"/>
      <c r="E252" s="196" t="n"/>
      <c r="F252" s="196" t="n"/>
      <c r="G252" s="199" t="n"/>
      <c r="H252" s="199" t="n"/>
      <c r="I252" s="252" t="n"/>
      <c r="J252" s="202" t="n"/>
      <c r="K252" s="203">
        <f>SUBTOTAL(9,K253:K266)</f>
        <v/>
      </c>
      <c r="L252" s="203">
        <f>SUBTOTAL(9,L253:L266)</f>
        <v/>
      </c>
      <c r="M252" s="177" t="n"/>
      <c r="N252" s="177" t="n"/>
      <c r="O252" s="177" t="n"/>
      <c r="P252" s="177" t="n"/>
      <c r="Q252" s="177" t="n"/>
      <c r="R252" s="177" t="n"/>
      <c r="S252" s="177" t="n"/>
      <c r="T252" s="177" t="n"/>
      <c r="U252" s="177" t="n"/>
      <c r="V252" s="177" t="n"/>
      <c r="W252" s="177" t="n"/>
    </row>
    <row r="253" outlineLevel="1" ht="15.75" customHeight="1" s="297">
      <c r="A253" s="191" t="n"/>
      <c r="B253" s="204" t="n"/>
      <c r="C253" s="191" t="n"/>
      <c r="D253" s="205">
        <f>IFERROR(VLOOKUP($C253,'PORTIFÓLIO'!C:V,2,0),"")</f>
        <v/>
      </c>
      <c r="E253" s="190">
        <f>IFERROR(VLOOKUP($C253,'PORTIFÓLIO'!C:V,3,0),"")</f>
        <v/>
      </c>
      <c r="F253" s="190">
        <f>IFERROR(VLOOKUP($C253,'PORTIFÓLIO'!C:V,4,0),"")</f>
        <v/>
      </c>
      <c r="G253" s="206">
        <f>IFERROR(VLOOKUP($C253,'PORTIFÓLIO'!C:V,5,0),"")</f>
        <v/>
      </c>
      <c r="H253" s="247">
        <f t="array" ref="H253">IFERROR(INDEX('PORTIFÓLIO'!$H$4:$H$433,MATCH($C253,'PORTIFÓLIO'!$C$4:$C$433,0)),"")</f>
        <v/>
      </c>
      <c r="I253" s="253" t="n"/>
      <c r="J253" s="209">
        <f>I253*$B$2</f>
        <v/>
      </c>
      <c r="K253" s="248">
        <f t="array" ref="K253">IFERROR(I253*INDEX('PORTIFÓLIO'!$S$4:$S$433,MATCH($C253,'PORTIFÓLIO'!$C$4:$C$433,0)),"")</f>
        <v/>
      </c>
      <c r="L253" s="248">
        <f t="array" ref="L253">IFERROR(J253*INDEX('PORTIFÓLIO'!$S$4:$S$433,MATCH($C253,'PORTIFÓLIO'!$C$4:$C$433,0)),"")</f>
        <v/>
      </c>
      <c r="M253" s="177" t="n"/>
      <c r="N253" s="177" t="n"/>
      <c r="O253" s="177" t="n"/>
      <c r="P253" s="177" t="n"/>
      <c r="Q253" s="177" t="n"/>
      <c r="R253" s="177" t="n"/>
      <c r="S253" s="177" t="n"/>
      <c r="T253" s="177" t="n"/>
      <c r="U253" s="177" t="n"/>
      <c r="V253" s="177" t="n"/>
      <c r="W253" s="177" t="n"/>
    </row>
    <row r="254" outlineLevel="1" ht="15.75" customHeight="1" s="297">
      <c r="A254" s="190" t="n"/>
      <c r="B254" s="204" t="n"/>
      <c r="C254" s="191" t="n"/>
      <c r="D254" s="205">
        <f>IFERROR(VLOOKUP($C254,'PORTIFÓLIO'!C:V,2,0),"")</f>
        <v/>
      </c>
      <c r="E254" s="190">
        <f>IFERROR(VLOOKUP($C254,'PORTIFÓLIO'!C:V,3,0),"")</f>
        <v/>
      </c>
      <c r="F254" s="190">
        <f>IFERROR(VLOOKUP($C254,'PORTIFÓLIO'!C:V,4,0),"")</f>
        <v/>
      </c>
      <c r="G254" s="206">
        <f>IFERROR(VLOOKUP($C254,'PORTIFÓLIO'!C:V,5,0),"")</f>
        <v/>
      </c>
      <c r="H254" s="247">
        <f t="array" ref="H254">IFERROR(INDEX('PORTIFÓLIO'!$H$4:$H$433,MATCH($C254,'PORTIFÓLIO'!$C$4:$C$433,0)),"")</f>
        <v/>
      </c>
      <c r="I254" s="253" t="n"/>
      <c r="J254" s="209">
        <f>I254*$B$2</f>
        <v/>
      </c>
      <c r="K254" s="248">
        <f t="array" ref="K254">IFERROR(I254*INDEX('PORTIFÓLIO'!$S$4:$S$433,MATCH($C254,'PORTIFÓLIO'!$C$4:$C$433,0)),"")</f>
        <v/>
      </c>
      <c r="L254" s="248">
        <f t="array" ref="L254">IFERROR(J254*INDEX('PORTIFÓLIO'!$S$4:$S$433,MATCH($C254,'PORTIFÓLIO'!$C$4:$C$433,0)),"")</f>
        <v/>
      </c>
      <c r="M254" s="177" t="n"/>
      <c r="N254" s="177" t="n"/>
      <c r="O254" s="177" t="n"/>
      <c r="P254" s="177" t="n"/>
      <c r="Q254" s="177" t="n"/>
      <c r="R254" s="177" t="n"/>
      <c r="S254" s="177" t="n"/>
      <c r="T254" s="177" t="n"/>
      <c r="U254" s="177" t="n"/>
      <c r="V254" s="177" t="n"/>
      <c r="W254" s="177" t="n"/>
    </row>
    <row r="255" outlineLevel="1" ht="15.75" customHeight="1" s="297">
      <c r="A255" s="190" t="n"/>
      <c r="B255" s="204" t="n"/>
      <c r="C255" s="191" t="n"/>
      <c r="D255" s="205">
        <f>IFERROR(VLOOKUP($C255,'PORTIFÓLIO'!C:V,2,0),"")</f>
        <v/>
      </c>
      <c r="E255" s="190">
        <f>IFERROR(VLOOKUP($C255,'PORTIFÓLIO'!C:V,3,0),"")</f>
        <v/>
      </c>
      <c r="F255" s="190">
        <f>IFERROR(VLOOKUP($C255,'PORTIFÓLIO'!C:V,4,0),"")</f>
        <v/>
      </c>
      <c r="G255" s="206">
        <f>IFERROR(VLOOKUP($C255,'PORTIFÓLIO'!C:V,5,0),"")</f>
        <v/>
      </c>
      <c r="H255" s="247">
        <f t="array" ref="H255">IFERROR(INDEX('PORTIFÓLIO'!$H$4:$H$433,MATCH($C255,'PORTIFÓLIO'!$C$4:$C$433,0)),"")</f>
        <v/>
      </c>
      <c r="I255" s="257" t="n"/>
      <c r="J255" s="209">
        <f>I255*$B$2</f>
        <v/>
      </c>
      <c r="K255" s="248">
        <f t="array" ref="K255">IFERROR(I255*INDEX('PORTIFÓLIO'!$S$4:$S$433,MATCH($C255,'PORTIFÓLIO'!$C$4:$C$433,0)),"")</f>
        <v/>
      </c>
      <c r="L255" s="248">
        <f t="array" ref="L255">IFERROR(J255*INDEX('PORTIFÓLIO'!$S$4:$S$433,MATCH($C255,'PORTIFÓLIO'!$C$4:$C$433,0)),"")</f>
        <v/>
      </c>
      <c r="M255" s="177" t="n"/>
      <c r="N255" s="177" t="n"/>
      <c r="O255" s="177" t="n"/>
      <c r="P255" s="177" t="n"/>
      <c r="Q255" s="177" t="n"/>
      <c r="R255" s="177" t="n"/>
      <c r="S255" s="177" t="n"/>
      <c r="T255" s="177" t="n"/>
      <c r="U255" s="177" t="n"/>
      <c r="V255" s="177" t="n"/>
      <c r="W255" s="177" t="n"/>
    </row>
    <row r="256" outlineLevel="1" ht="15.75" customHeight="1" s="297">
      <c r="A256" s="190" t="n"/>
      <c r="B256" s="204" t="n"/>
      <c r="C256" s="191" t="n"/>
      <c r="D256" s="205">
        <f>IFERROR(VLOOKUP($C256,'PORTIFÓLIO'!C:V,2,0),"")</f>
        <v/>
      </c>
      <c r="E256" s="190">
        <f>IFERROR(VLOOKUP($C256,'PORTIFÓLIO'!C:V,3,0),"")</f>
        <v/>
      </c>
      <c r="F256" s="190">
        <f>IFERROR(VLOOKUP($C256,'PORTIFÓLIO'!C:V,4,0),"")</f>
        <v/>
      </c>
      <c r="G256" s="206">
        <f>IFERROR(VLOOKUP($C256,'PORTIFÓLIO'!C:V,5,0),"")</f>
        <v/>
      </c>
      <c r="H256" s="247">
        <f t="array" ref="H256">IFERROR(INDEX('PORTIFÓLIO'!$H$4:$H$433,MATCH($C256,'PORTIFÓLIO'!$C$4:$C$433,0)),"")</f>
        <v/>
      </c>
      <c r="I256" s="253" t="n"/>
      <c r="J256" s="209">
        <f>I256*$B$2</f>
        <v/>
      </c>
      <c r="K256" s="248">
        <f t="array" ref="K256">IFERROR(I256*INDEX('PORTIFÓLIO'!$S$4:$S$433,MATCH($C256,'PORTIFÓLIO'!$C$4:$C$433,0)),"")</f>
        <v/>
      </c>
      <c r="L256" s="248">
        <f t="array" ref="L256">IFERROR(J256*INDEX('PORTIFÓLIO'!$S$4:$S$433,MATCH($C256,'PORTIFÓLIO'!$C$4:$C$433,0)),"")</f>
        <v/>
      </c>
      <c r="M256" s="177" t="n"/>
      <c r="N256" s="177" t="n"/>
      <c r="O256" s="177" t="n"/>
      <c r="P256" s="177" t="n"/>
      <c r="Q256" s="177" t="n"/>
      <c r="R256" s="177" t="n"/>
      <c r="S256" s="177" t="n"/>
      <c r="T256" s="177" t="n"/>
      <c r="U256" s="177" t="n"/>
      <c r="V256" s="177" t="n"/>
      <c r="W256" s="177" t="n"/>
    </row>
    <row r="257" outlineLevel="1" ht="15.75" customHeight="1" s="297">
      <c r="A257" s="190" t="n"/>
      <c r="B257" s="204" t="n"/>
      <c r="C257" s="191" t="n"/>
      <c r="D257" s="205">
        <f>IFERROR(VLOOKUP($C257,'PORTIFÓLIO'!C:V,2,0),"")</f>
        <v/>
      </c>
      <c r="E257" s="190">
        <f>IFERROR(VLOOKUP($C257,'PORTIFÓLIO'!C:V,3,0),"")</f>
        <v/>
      </c>
      <c r="F257" s="190">
        <f>IFERROR(VLOOKUP($C257,'PORTIFÓLIO'!C:V,4,0),"")</f>
        <v/>
      </c>
      <c r="G257" s="206">
        <f>IFERROR(VLOOKUP($C257,'PORTIFÓLIO'!C:V,5,0),"")</f>
        <v/>
      </c>
      <c r="H257" s="247">
        <f t="array" ref="H257">IFERROR(INDEX('PORTIFÓLIO'!$H$4:$H$433,MATCH($C257,'PORTIFÓLIO'!$C$4:$C$433,0)),"")</f>
        <v/>
      </c>
      <c r="I257" s="257" t="n"/>
      <c r="J257" s="209">
        <f>I257*$B$2</f>
        <v/>
      </c>
      <c r="K257" s="248">
        <f t="array" ref="K257">IFERROR(I257*INDEX('PORTIFÓLIO'!$S$4:$S$433,MATCH($C257,'PORTIFÓLIO'!$C$4:$C$433,0)),"")</f>
        <v/>
      </c>
      <c r="L257" s="248">
        <f t="array" ref="L257">IFERROR(J257*INDEX('PORTIFÓLIO'!$S$4:$S$433,MATCH($C257,'PORTIFÓLIO'!$C$4:$C$433,0)),"")</f>
        <v/>
      </c>
      <c r="M257" s="177" t="n"/>
      <c r="N257" s="177" t="n"/>
      <c r="O257" s="177" t="n"/>
      <c r="P257" s="177" t="n"/>
      <c r="Q257" s="177" t="n"/>
      <c r="R257" s="177" t="n"/>
      <c r="S257" s="177" t="n"/>
      <c r="T257" s="177" t="n"/>
      <c r="U257" s="177" t="n"/>
      <c r="V257" s="177" t="n"/>
      <c r="W257" s="177" t="n"/>
    </row>
    <row r="258" outlineLevel="1" ht="15.75" customHeight="1" s="297">
      <c r="A258" s="190" t="n"/>
      <c r="B258" s="204" t="n"/>
      <c r="C258" s="191" t="n"/>
      <c r="D258" s="205">
        <f>IFERROR(VLOOKUP($C258,'PORTIFÓLIO'!C:V,2,0),"")</f>
        <v/>
      </c>
      <c r="E258" s="190">
        <f>IFERROR(VLOOKUP($C258,'PORTIFÓLIO'!C:V,3,0),"")</f>
        <v/>
      </c>
      <c r="F258" s="190">
        <f>IFERROR(VLOOKUP($C258,'PORTIFÓLIO'!C:V,4,0),"")</f>
        <v/>
      </c>
      <c r="G258" s="206">
        <f>IFERROR(VLOOKUP($C258,'PORTIFÓLIO'!C:V,5,0),"")</f>
        <v/>
      </c>
      <c r="H258" s="247">
        <f t="array" ref="H258">IFERROR(INDEX('PORTIFÓLIO'!$H$4:$H$433,MATCH($C258,'PORTIFÓLIO'!$C$4:$C$433,0)),"")</f>
        <v/>
      </c>
      <c r="I258" s="257" t="n"/>
      <c r="J258" s="209">
        <f>I258*$B$2</f>
        <v/>
      </c>
      <c r="K258" s="248">
        <f t="array" ref="K258">IFERROR(I258*INDEX('PORTIFÓLIO'!$S$4:$S$433,MATCH($C258,'PORTIFÓLIO'!$C$4:$C$433,0)),"")</f>
        <v/>
      </c>
      <c r="L258" s="248">
        <f t="array" ref="L258">IFERROR(J258*INDEX('PORTIFÓLIO'!$S$4:$S$433,MATCH($C258,'PORTIFÓLIO'!$C$4:$C$433,0)),"")</f>
        <v/>
      </c>
      <c r="M258" s="177" t="n"/>
      <c r="N258" s="177" t="n"/>
      <c r="O258" s="177" t="n"/>
      <c r="P258" s="177" t="n"/>
      <c r="Q258" s="177" t="n"/>
      <c r="R258" s="177" t="n"/>
      <c r="S258" s="177" t="n"/>
      <c r="T258" s="177" t="n"/>
      <c r="U258" s="177" t="n"/>
      <c r="V258" s="177" t="n"/>
      <c r="W258" s="177" t="n"/>
    </row>
    <row r="259" outlineLevel="1" ht="15.75" customHeight="1" s="297">
      <c r="A259" s="190" t="n"/>
      <c r="B259" s="204" t="n"/>
      <c r="C259" s="191" t="n"/>
      <c r="D259" s="205">
        <f>IFERROR(VLOOKUP($C259,'PORTIFÓLIO'!C:V,2,0),"")</f>
        <v/>
      </c>
      <c r="E259" s="190">
        <f>IFERROR(VLOOKUP($C259,'PORTIFÓLIO'!C:V,3,0),"")</f>
        <v/>
      </c>
      <c r="F259" s="190">
        <f>IFERROR(VLOOKUP($C259,'PORTIFÓLIO'!C:V,4,0),"")</f>
        <v/>
      </c>
      <c r="G259" s="206">
        <f>IFERROR(VLOOKUP($C259,'PORTIFÓLIO'!C:V,5,0),"")</f>
        <v/>
      </c>
      <c r="H259" s="247">
        <f t="array" ref="H259">IFERROR(INDEX('PORTIFÓLIO'!$H$4:$H$433,MATCH($C259,'PORTIFÓLIO'!$C$4:$C$433,0)),"")</f>
        <v/>
      </c>
      <c r="I259" s="257" t="n"/>
      <c r="J259" s="209">
        <f>I259*$B$2</f>
        <v/>
      </c>
      <c r="K259" s="248">
        <f t="array" ref="K259">IFERROR(I259*INDEX('PORTIFÓLIO'!$S$4:$S$433,MATCH($C259,'PORTIFÓLIO'!$C$4:$C$433,0)),"")</f>
        <v/>
      </c>
      <c r="L259" s="248">
        <f t="array" ref="L259">IFERROR(J259*INDEX('PORTIFÓLIO'!$S$4:$S$433,MATCH($C259,'PORTIFÓLIO'!$C$4:$C$433,0)),"")</f>
        <v/>
      </c>
      <c r="M259" s="177" t="n"/>
      <c r="N259" s="177" t="n"/>
      <c r="O259" s="177" t="n"/>
      <c r="P259" s="177" t="n"/>
      <c r="Q259" s="177" t="n"/>
      <c r="R259" s="177" t="n"/>
      <c r="S259" s="177" t="n"/>
      <c r="T259" s="177" t="n"/>
      <c r="U259" s="177" t="n"/>
      <c r="V259" s="177" t="n"/>
      <c r="W259" s="177" t="n"/>
    </row>
    <row r="260" outlineLevel="1" ht="15.75" customHeight="1" s="297">
      <c r="A260" s="190" t="n"/>
      <c r="B260" s="204" t="n"/>
      <c r="C260" s="191" t="n"/>
      <c r="D260" s="205">
        <f>IFERROR(VLOOKUP($C260,'PORTIFÓLIO'!C:V,2,0),"")</f>
        <v/>
      </c>
      <c r="E260" s="190">
        <f>IFERROR(VLOOKUP($C260,'PORTIFÓLIO'!C:V,3,0),"")</f>
        <v/>
      </c>
      <c r="F260" s="190">
        <f>IFERROR(VLOOKUP($C260,'PORTIFÓLIO'!C:V,4,0),"")</f>
        <v/>
      </c>
      <c r="G260" s="206">
        <f>IFERROR(VLOOKUP($C260,'PORTIFÓLIO'!C:V,5,0),"")</f>
        <v/>
      </c>
      <c r="H260" s="247">
        <f t="array" ref="H260">IFERROR(INDEX('PORTIFÓLIO'!$H$4:$H$433,MATCH($C260,'PORTIFÓLIO'!$C$4:$C$433,0)),"")</f>
        <v/>
      </c>
      <c r="I260" s="257" t="n"/>
      <c r="J260" s="209">
        <f>I260*$B$2</f>
        <v/>
      </c>
      <c r="K260" s="248">
        <f t="array" ref="K260">IFERROR(I260*INDEX('PORTIFÓLIO'!$S$4:$S$433,MATCH($C260,'PORTIFÓLIO'!$C$4:$C$433,0)),"")</f>
        <v/>
      </c>
      <c r="L260" s="248">
        <f t="array" ref="L260">IFERROR(J260*INDEX('PORTIFÓLIO'!$S$4:$S$433,MATCH($C260,'PORTIFÓLIO'!$C$4:$C$433,0)),"")</f>
        <v/>
      </c>
      <c r="M260" s="177" t="n"/>
      <c r="N260" s="177" t="n"/>
      <c r="O260" s="177" t="n"/>
      <c r="P260" s="177" t="n"/>
      <c r="Q260" s="177" t="n"/>
      <c r="R260" s="177" t="n"/>
      <c r="S260" s="177" t="n"/>
      <c r="T260" s="177" t="n"/>
      <c r="U260" s="177" t="n"/>
      <c r="V260" s="177" t="n"/>
      <c r="W260" s="177" t="n"/>
    </row>
    <row r="261" outlineLevel="1" ht="15.75" customHeight="1" s="297">
      <c r="A261" s="190" t="n"/>
      <c r="B261" s="204" t="n"/>
      <c r="C261" s="191" t="n"/>
      <c r="D261" s="205">
        <f>IFERROR(VLOOKUP($C261,'PORTIFÓLIO'!C:V,2,0),"")</f>
        <v/>
      </c>
      <c r="E261" s="190">
        <f>IFERROR(VLOOKUP($C261,'PORTIFÓLIO'!C:V,3,0),"")</f>
        <v/>
      </c>
      <c r="F261" s="190">
        <f>IFERROR(VLOOKUP($C261,'PORTIFÓLIO'!C:V,4,0),"")</f>
        <v/>
      </c>
      <c r="G261" s="206">
        <f>IFERROR(VLOOKUP($C261,'PORTIFÓLIO'!C:V,5,0),"")</f>
        <v/>
      </c>
      <c r="H261" s="247">
        <f t="array" ref="H261">IFERROR(INDEX('PORTIFÓLIO'!$H$4:$H$433,MATCH($C261,'PORTIFÓLIO'!$C$4:$C$433,0)),"")</f>
        <v/>
      </c>
      <c r="I261" s="253" t="n"/>
      <c r="J261" s="209">
        <f>I261*$B$2</f>
        <v/>
      </c>
      <c r="K261" s="248">
        <f t="array" ref="K261">IFERROR(I261*INDEX('PORTIFÓLIO'!$S$4:$S$433,MATCH($C261,'PORTIFÓLIO'!$C$4:$C$433,0)),"")</f>
        <v/>
      </c>
      <c r="L261" s="248">
        <f t="array" ref="L261">IFERROR(J261*INDEX('PORTIFÓLIO'!$S$4:$S$433,MATCH($C261,'PORTIFÓLIO'!$C$4:$C$433,0)),"")</f>
        <v/>
      </c>
      <c r="M261" s="177" t="n"/>
      <c r="N261" s="177" t="n"/>
      <c r="O261" s="177" t="n"/>
      <c r="P261" s="177" t="n"/>
      <c r="Q261" s="177" t="n"/>
      <c r="R261" s="177" t="n"/>
      <c r="S261" s="177" t="n"/>
      <c r="T261" s="177" t="n"/>
      <c r="U261" s="177" t="n"/>
      <c r="V261" s="177" t="n"/>
      <c r="W261" s="177" t="n"/>
    </row>
    <row r="262" outlineLevel="1" ht="15.75" customHeight="1" s="297">
      <c r="A262" s="190" t="n"/>
      <c r="B262" s="204" t="n"/>
      <c r="C262" s="191" t="n"/>
      <c r="D262" s="205">
        <f>IFERROR(VLOOKUP($C262,'PORTIFÓLIO'!C:V,2,0),"")</f>
        <v/>
      </c>
      <c r="E262" s="190">
        <f>IFERROR(VLOOKUP($C262,'PORTIFÓLIO'!C:V,3,0),"")</f>
        <v/>
      </c>
      <c r="F262" s="190">
        <f>IFERROR(VLOOKUP($C262,'PORTIFÓLIO'!C:V,4,0),"")</f>
        <v/>
      </c>
      <c r="G262" s="206">
        <f>IFERROR(VLOOKUP($C262,'PORTIFÓLIO'!C:V,5,0),"")</f>
        <v/>
      </c>
      <c r="H262" s="247">
        <f t="array" ref="H262">IFERROR(INDEX('PORTIFÓLIO'!$H$4:$H$433,MATCH($C262,'PORTIFÓLIO'!$C$4:$C$433,0)),"")</f>
        <v/>
      </c>
      <c r="I262" s="257" t="n"/>
      <c r="J262" s="209">
        <f>I262*$B$2</f>
        <v/>
      </c>
      <c r="K262" s="248">
        <f t="array" ref="K262">IFERROR(I262*INDEX('PORTIFÓLIO'!$S$4:$S$433,MATCH($C262,'PORTIFÓLIO'!$C$4:$C$433,0)),"")</f>
        <v/>
      </c>
      <c r="L262" s="248">
        <f t="array" ref="L262">IFERROR(J262*INDEX('PORTIFÓLIO'!$S$4:$S$433,MATCH($C262,'PORTIFÓLIO'!$C$4:$C$433,0)),"")</f>
        <v/>
      </c>
      <c r="M262" s="177" t="n"/>
      <c r="N262" s="177" t="n"/>
      <c r="O262" s="177" t="n"/>
      <c r="P262" s="177" t="n"/>
      <c r="Q262" s="177" t="n"/>
      <c r="R262" s="177" t="n"/>
      <c r="S262" s="177" t="n"/>
      <c r="T262" s="177" t="n"/>
      <c r="U262" s="177" t="n"/>
      <c r="V262" s="177" t="n"/>
      <c r="W262" s="177" t="n"/>
    </row>
    <row r="263" outlineLevel="1" ht="15.75" customHeight="1" s="297">
      <c r="A263" s="190" t="n"/>
      <c r="B263" s="204" t="n"/>
      <c r="C263" s="191" t="n"/>
      <c r="D263" s="205">
        <f>IFERROR(VLOOKUP($C263,'PORTIFÓLIO'!C:V,2,0),"")</f>
        <v/>
      </c>
      <c r="E263" s="190">
        <f>IFERROR(VLOOKUP($C263,'PORTIFÓLIO'!C:V,3,0),"")</f>
        <v/>
      </c>
      <c r="F263" s="190">
        <f>IFERROR(VLOOKUP($C263,'PORTIFÓLIO'!C:V,4,0),"")</f>
        <v/>
      </c>
      <c r="G263" s="206">
        <f>IFERROR(VLOOKUP($C263,'PORTIFÓLIO'!C:V,5,0),"")</f>
        <v/>
      </c>
      <c r="H263" s="247">
        <f t="array" ref="H263">IFERROR(INDEX('PORTIFÓLIO'!$H$4:$H$433,MATCH($C263,'PORTIFÓLIO'!$C$4:$C$433,0)),"")</f>
        <v/>
      </c>
      <c r="I263" s="257" t="n"/>
      <c r="J263" s="209">
        <f>I263*$B$2</f>
        <v/>
      </c>
      <c r="K263" s="248">
        <f t="array" ref="K263">IFERROR(I263*INDEX('PORTIFÓLIO'!$S$4:$S$433,MATCH($C263,'PORTIFÓLIO'!$C$4:$C$433,0)),"")</f>
        <v/>
      </c>
      <c r="L263" s="248">
        <f t="array" ref="L263">IFERROR(J263*INDEX('PORTIFÓLIO'!$S$4:$S$433,MATCH($C263,'PORTIFÓLIO'!$C$4:$C$433,0)),"")</f>
        <v/>
      </c>
      <c r="M263" s="177" t="n"/>
      <c r="N263" s="177" t="n"/>
      <c r="O263" s="177" t="n"/>
      <c r="P263" s="177" t="n"/>
      <c r="Q263" s="177" t="n"/>
      <c r="R263" s="177" t="n"/>
      <c r="S263" s="177" t="n"/>
      <c r="T263" s="177" t="n"/>
      <c r="U263" s="177" t="n"/>
      <c r="V263" s="177" t="n"/>
      <c r="W263" s="177" t="n"/>
    </row>
    <row r="264" outlineLevel="1" ht="15.75" customHeight="1" s="297">
      <c r="A264" s="190" t="n"/>
      <c r="B264" s="204" t="n"/>
      <c r="C264" s="191" t="n"/>
      <c r="D264" s="205">
        <f>IFERROR(VLOOKUP($C264,'PORTIFÓLIO'!C:V,2,0),"")</f>
        <v/>
      </c>
      <c r="E264" s="190">
        <f>IFERROR(VLOOKUP($C264,'PORTIFÓLIO'!C:V,3,0),"")</f>
        <v/>
      </c>
      <c r="F264" s="190">
        <f>IFERROR(VLOOKUP($C264,'PORTIFÓLIO'!C:V,4,0),"")</f>
        <v/>
      </c>
      <c r="G264" s="206">
        <f>IFERROR(VLOOKUP($C264,'PORTIFÓLIO'!C:V,5,0),"")</f>
        <v/>
      </c>
      <c r="H264" s="247">
        <f t="array" ref="H264">IFERROR(INDEX('PORTIFÓLIO'!$H$4:$H$433,MATCH($C264,'PORTIFÓLIO'!$C$4:$C$433,0)),"")</f>
        <v/>
      </c>
      <c r="I264" s="257" t="n"/>
      <c r="J264" s="209">
        <f>I264*$B$2</f>
        <v/>
      </c>
      <c r="K264" s="248">
        <f t="array" ref="K264">IFERROR(I264*INDEX('PORTIFÓLIO'!$S$4:$S$433,MATCH($C264,'PORTIFÓLIO'!$C$4:$C$433,0)),"")</f>
        <v/>
      </c>
      <c r="L264" s="248">
        <f t="array" ref="L264">IFERROR(J264*INDEX('PORTIFÓLIO'!$S$4:$S$433,MATCH($C264,'PORTIFÓLIO'!$C$4:$C$433,0)),"")</f>
        <v/>
      </c>
      <c r="M264" s="177" t="n"/>
      <c r="N264" s="177" t="n"/>
      <c r="O264" s="177" t="n"/>
      <c r="P264" s="177" t="n"/>
      <c r="Q264" s="177" t="n"/>
      <c r="R264" s="177" t="n"/>
      <c r="S264" s="177" t="n"/>
      <c r="T264" s="177" t="n"/>
      <c r="U264" s="177" t="n"/>
      <c r="V264" s="177" t="n"/>
      <c r="W264" s="177" t="n"/>
    </row>
    <row r="265" outlineLevel="1" ht="15.75" customHeight="1" s="297">
      <c r="A265" s="190" t="n"/>
      <c r="B265" s="204" t="n"/>
      <c r="C265" s="191" t="n"/>
      <c r="D265" s="205">
        <f>IFERROR(VLOOKUP($C265,'PORTIFÓLIO'!C:V,2,0),"")</f>
        <v/>
      </c>
      <c r="E265" s="190">
        <f>IFERROR(VLOOKUP($C265,'PORTIFÓLIO'!C:V,3,0),"")</f>
        <v/>
      </c>
      <c r="F265" s="190">
        <f>IFERROR(VLOOKUP($C265,'PORTIFÓLIO'!C:V,4,0),"")</f>
        <v/>
      </c>
      <c r="G265" s="206">
        <f>IFERROR(VLOOKUP($C265,'PORTIFÓLIO'!C:V,5,0),"")</f>
        <v/>
      </c>
      <c r="H265" s="247">
        <f t="array" ref="H265">IFERROR(INDEX('PORTIFÓLIO'!$H$4:$H$433,MATCH($C265,'PORTIFÓLIO'!$C$4:$C$433,0)),"")</f>
        <v/>
      </c>
      <c r="I265" s="257" t="n"/>
      <c r="J265" s="209">
        <f>I265*$B$2</f>
        <v/>
      </c>
      <c r="K265" s="248">
        <f t="array" ref="K265">IFERROR(I265*INDEX('PORTIFÓLIO'!$S$4:$S$433,MATCH($C265,'PORTIFÓLIO'!$C$4:$C$433,0)),"")</f>
        <v/>
      </c>
      <c r="L265" s="248">
        <f t="array" ref="L265">IFERROR(J265*INDEX('PORTIFÓLIO'!$S$4:$S$433,MATCH($C265,'PORTIFÓLIO'!$C$4:$C$433,0)),"")</f>
        <v/>
      </c>
      <c r="M265" s="177" t="n"/>
      <c r="N265" s="177" t="n"/>
      <c r="O265" s="177" t="n"/>
      <c r="P265" s="177" t="n"/>
      <c r="Q265" s="177" t="n"/>
      <c r="R265" s="177" t="n"/>
      <c r="S265" s="177" t="n"/>
      <c r="T265" s="177" t="n"/>
      <c r="U265" s="177" t="n"/>
      <c r="V265" s="177" t="n"/>
      <c r="W265" s="177" t="n"/>
    </row>
    <row r="266" outlineLevel="1" ht="15.75" customHeight="1" s="297">
      <c r="A266" s="190" t="n"/>
      <c r="B266" s="204" t="n"/>
      <c r="C266" s="191" t="n"/>
      <c r="D266" s="205">
        <f>IFERROR(VLOOKUP($C266,'PORTIFÓLIO'!C:V,2,0),"")</f>
        <v/>
      </c>
      <c r="E266" s="190">
        <f>IFERROR(VLOOKUP($C266,'PORTIFÓLIO'!C:V,3,0),"")</f>
        <v/>
      </c>
      <c r="F266" s="190">
        <f>IFERROR(VLOOKUP($C266,'PORTIFÓLIO'!C:V,4,0),"")</f>
        <v/>
      </c>
      <c r="G266" s="206">
        <f>IFERROR(VLOOKUP($C266,'PORTIFÓLIO'!C:V,5,0),"")</f>
        <v/>
      </c>
      <c r="H266" s="247">
        <f t="array" ref="H266">IFERROR(INDEX('PORTIFÓLIO'!$H$4:$H$433,MATCH($C266,'PORTIFÓLIO'!$C$4:$C$433,0)),"")</f>
        <v/>
      </c>
      <c r="I266" s="257" t="n"/>
      <c r="J266" s="209">
        <f>I266*$B$2</f>
        <v/>
      </c>
      <c r="K266" s="248">
        <f t="array" ref="K266">IFERROR(I266*INDEX('PORTIFÓLIO'!$S$4:$S$433,MATCH($C266,'PORTIFÓLIO'!$C$4:$C$433,0)),"")</f>
        <v/>
      </c>
      <c r="L266" s="248">
        <f t="array" ref="L266">IFERROR(J266*INDEX('PORTIFÓLIO'!$S$4:$S$433,MATCH($C266,'PORTIFÓLIO'!$C$4:$C$433,0)),"")</f>
        <v/>
      </c>
      <c r="M266" s="177" t="n"/>
      <c r="N266" s="177" t="n"/>
      <c r="O266" s="177" t="n"/>
      <c r="P266" s="177" t="n"/>
      <c r="Q266" s="177" t="n"/>
      <c r="R266" s="177" t="n"/>
      <c r="S266" s="177" t="n"/>
      <c r="T266" s="177" t="n"/>
      <c r="U266" s="177" t="n"/>
      <c r="V266" s="177" t="n"/>
      <c r="W266" s="177" t="n"/>
    </row>
    <row r="267" outlineLevel="1" ht="15.75" customHeight="1" s="297">
      <c r="A267" s="190" t="n"/>
      <c r="B267" s="204" t="n"/>
      <c r="C267" s="191" t="n"/>
      <c r="D267" s="205">
        <f>IFERROR(VLOOKUP($C267,'PORTIFÓLIO'!C:V,2,0),"")</f>
        <v/>
      </c>
      <c r="E267" s="190">
        <f>IFERROR(VLOOKUP($C267,'PORTIFÓLIO'!C:V,3,0),"")</f>
        <v/>
      </c>
      <c r="F267" s="190">
        <f>IFERROR(VLOOKUP($C267,'PORTIFÓLIO'!C:V,4,0),"")</f>
        <v/>
      </c>
      <c r="G267" s="206">
        <f>IFERROR(VLOOKUP($C267,'PORTIFÓLIO'!C:V,5,0),"")</f>
        <v/>
      </c>
      <c r="H267" s="247">
        <f t="array" ref="H267">IFERROR(INDEX('PORTIFÓLIO'!$H$4:$H$433,MATCH($C267,'PORTIFÓLIO'!$C$4:$C$433,0)),"")</f>
        <v/>
      </c>
      <c r="I267" s="257" t="n"/>
      <c r="J267" s="209">
        <f>I267*$B$2</f>
        <v/>
      </c>
      <c r="K267" s="248">
        <f t="array" ref="K267">IFERROR(I267*INDEX('PORTIFÓLIO'!$S$4:$S$433,MATCH($C267,'PORTIFÓLIO'!$C$4:$C$433,0)),"")</f>
        <v/>
      </c>
      <c r="L267" s="248">
        <f t="array" ref="L267">IFERROR(J267*INDEX('PORTIFÓLIO'!$S$4:$S$433,MATCH($C267,'PORTIFÓLIO'!$C$4:$C$433,0)),"")</f>
        <v/>
      </c>
      <c r="M267" s="177" t="n"/>
      <c r="N267" s="177" t="n"/>
      <c r="O267" s="177" t="n"/>
      <c r="P267" s="177" t="n"/>
      <c r="Q267" s="177" t="n"/>
      <c r="R267" s="177" t="n"/>
      <c r="S267" s="177" t="n"/>
      <c r="T267" s="177" t="n"/>
      <c r="U267" s="177" t="n"/>
      <c r="V267" s="177" t="n"/>
      <c r="W267" s="177" t="n"/>
    </row>
    <row r="268" outlineLevel="1" ht="15.75" customHeight="1" s="297">
      <c r="A268" s="190" t="n"/>
      <c r="B268" s="204" t="n"/>
      <c r="C268" s="191" t="n"/>
      <c r="D268" s="205">
        <f>IFERROR(VLOOKUP($C268,'PORTIFÓLIO'!C:V,2,0),"")</f>
        <v/>
      </c>
      <c r="E268" s="190">
        <f>IFERROR(VLOOKUP($C268,'PORTIFÓLIO'!C:V,3,0),"")</f>
        <v/>
      </c>
      <c r="F268" s="190">
        <f>IFERROR(VLOOKUP($C268,'PORTIFÓLIO'!C:V,4,0),"")</f>
        <v/>
      </c>
      <c r="G268" s="206">
        <f>IFERROR(VLOOKUP($C268,'PORTIFÓLIO'!C:V,5,0),"")</f>
        <v/>
      </c>
      <c r="H268" s="247">
        <f t="array" ref="H268">IFERROR(INDEX('PORTIFÓLIO'!$H$4:$H$433,MATCH($C268,'PORTIFÓLIO'!$C$4:$C$433,0)),"")</f>
        <v/>
      </c>
      <c r="I268" s="257" t="n"/>
      <c r="J268" s="209">
        <f>I268*$B$2</f>
        <v/>
      </c>
      <c r="K268" s="248">
        <f t="array" ref="K268">IFERROR(I268*INDEX('PORTIFÓLIO'!$S$4:$S$433,MATCH($C268,'PORTIFÓLIO'!$C$4:$C$433,0)),"")</f>
        <v/>
      </c>
      <c r="L268" s="248">
        <f t="array" ref="L268">IFERROR(J268*INDEX('PORTIFÓLIO'!$S$4:$S$433,MATCH($C268,'PORTIFÓLIO'!$C$4:$C$433,0)),"")</f>
        <v/>
      </c>
      <c r="M268" s="177" t="n"/>
      <c r="N268" s="177" t="n"/>
      <c r="O268" s="177" t="n"/>
      <c r="P268" s="177" t="n"/>
      <c r="Q268" s="177" t="n"/>
      <c r="R268" s="177" t="n"/>
      <c r="S268" s="177" t="n"/>
      <c r="T268" s="177" t="n"/>
      <c r="U268" s="177" t="n"/>
      <c r="V268" s="177" t="n"/>
      <c r="W268" s="177" t="n"/>
    </row>
    <row r="269" outlineLevel="1" ht="15.75" customHeight="1" s="297">
      <c r="A269" s="190" t="n"/>
      <c r="B269" s="204" t="n"/>
      <c r="C269" s="191" t="n"/>
      <c r="D269" s="205">
        <f>IFERROR(VLOOKUP($C269,'PORTIFÓLIO'!C:V,2,0),"")</f>
        <v/>
      </c>
      <c r="E269" s="190">
        <f>IFERROR(VLOOKUP($C269,'PORTIFÓLIO'!C:V,3,0),"")</f>
        <v/>
      </c>
      <c r="F269" s="190">
        <f>IFERROR(VLOOKUP($C269,'PORTIFÓLIO'!C:V,4,0),"")</f>
        <v/>
      </c>
      <c r="G269" s="206">
        <f>IFERROR(VLOOKUP($C269,'PORTIFÓLIO'!C:V,5,0),"")</f>
        <v/>
      </c>
      <c r="H269" s="247">
        <f t="array" ref="H269">IFERROR(INDEX('PORTIFÓLIO'!$H$4:$H$433,MATCH($C269,'PORTIFÓLIO'!$C$4:$C$433,0)),"")</f>
        <v/>
      </c>
      <c r="I269" s="257" t="n"/>
      <c r="J269" s="209">
        <f>I269*$B$2</f>
        <v/>
      </c>
      <c r="K269" s="248">
        <f t="array" ref="K269">IFERROR(I269*INDEX('PORTIFÓLIO'!$S$4:$S$433,MATCH($C269,'PORTIFÓLIO'!$C$4:$C$433,0)),"")</f>
        <v/>
      </c>
      <c r="L269" s="248">
        <f t="array" ref="L269">IFERROR(J269*INDEX('PORTIFÓLIO'!$S$4:$S$433,MATCH($C269,'PORTIFÓLIO'!$C$4:$C$433,0)),"")</f>
        <v/>
      </c>
      <c r="M269" s="177" t="n"/>
      <c r="N269" s="177" t="n"/>
      <c r="O269" s="177" t="n"/>
      <c r="P269" s="177" t="n"/>
      <c r="Q269" s="177" t="n"/>
      <c r="R269" s="177" t="n"/>
      <c r="S269" s="177" t="n"/>
      <c r="T269" s="177" t="n"/>
      <c r="U269" s="177" t="n"/>
      <c r="V269" s="177" t="n"/>
      <c r="W269" s="177" t="n"/>
    </row>
    <row r="270" outlineLevel="1" ht="15.75" customHeight="1" s="297">
      <c r="A270" s="190" t="n"/>
      <c r="B270" s="204" t="n"/>
      <c r="C270" s="191" t="n"/>
      <c r="D270" s="205">
        <f>IFERROR(VLOOKUP($C270,'PORTIFÓLIO'!C:V,2,0),"")</f>
        <v/>
      </c>
      <c r="E270" s="190">
        <f>IFERROR(VLOOKUP($C270,'PORTIFÓLIO'!C:V,3,0),"")</f>
        <v/>
      </c>
      <c r="F270" s="190">
        <f>IFERROR(VLOOKUP($C270,'PORTIFÓLIO'!C:V,4,0),"")</f>
        <v/>
      </c>
      <c r="G270" s="206">
        <f>IFERROR(VLOOKUP($C270,'PORTIFÓLIO'!C:V,5,0),"")</f>
        <v/>
      </c>
      <c r="H270" s="247">
        <f t="array" ref="H270">IFERROR(INDEX('PORTIFÓLIO'!$H$4:$H$433,MATCH($C270,'PORTIFÓLIO'!$C$4:$C$433,0)),"")</f>
        <v/>
      </c>
      <c r="I270" s="257" t="n"/>
      <c r="J270" s="209">
        <f>I270*$B$2</f>
        <v/>
      </c>
      <c r="K270" s="248">
        <f t="array" ref="K270">IFERROR(I270*INDEX('PORTIFÓLIO'!$S$4:$S$433,MATCH($C270,'PORTIFÓLIO'!$C$4:$C$433,0)),"")</f>
        <v/>
      </c>
      <c r="L270" s="248">
        <f t="array" ref="L270">IFERROR(J270*INDEX('PORTIFÓLIO'!$S$4:$S$433,MATCH($C270,'PORTIFÓLIO'!$C$4:$C$433,0)),"")</f>
        <v/>
      </c>
      <c r="M270" s="177" t="n"/>
      <c r="N270" s="177" t="n"/>
      <c r="O270" s="177" t="n"/>
      <c r="P270" s="177" t="n"/>
      <c r="Q270" s="177" t="n"/>
      <c r="R270" s="177" t="n"/>
      <c r="S270" s="177" t="n"/>
      <c r="T270" s="177" t="n"/>
      <c r="U270" s="177" t="n"/>
      <c r="V270" s="177" t="n"/>
      <c r="W270" s="177" t="n"/>
    </row>
    <row r="271" ht="15.75" customHeight="1" s="297">
      <c r="A271" s="221" t="inlineStr">
        <is>
          <t>OPERAÇÃO 3</t>
        </is>
      </c>
      <c r="B271" s="197" t="n"/>
      <c r="C271" s="196" t="n"/>
      <c r="D271" s="198" t="n"/>
      <c r="E271" s="196" t="n"/>
      <c r="F271" s="196" t="n"/>
      <c r="G271" s="199" t="n"/>
      <c r="H271" s="199" t="n"/>
      <c r="I271" s="252" t="n"/>
      <c r="J271" s="202" t="n"/>
      <c r="K271" s="203">
        <f>SUBTOTAL(9,K272:K285)</f>
        <v/>
      </c>
      <c r="L271" s="203">
        <f>SUBTOTAL(9,L272:L285)</f>
        <v/>
      </c>
      <c r="M271" s="177" t="n"/>
      <c r="N271" s="177" t="n"/>
      <c r="O271" s="177" t="n"/>
      <c r="P271" s="177" t="n"/>
      <c r="Q271" s="177" t="n"/>
      <c r="R271" s="177" t="n"/>
      <c r="S271" s="177" t="n"/>
      <c r="T271" s="177" t="n"/>
      <c r="U271" s="177" t="n"/>
      <c r="V271" s="177" t="n"/>
      <c r="W271" s="177" t="n"/>
    </row>
    <row r="272" outlineLevel="1" ht="15.75" customHeight="1" s="297">
      <c r="A272" s="191" t="n"/>
      <c r="B272" s="204" t="n"/>
      <c r="C272" s="191" t="n"/>
      <c r="D272" s="205">
        <f>IFERROR(VLOOKUP($C272,'PORTIFÓLIO'!C:V,2,0),"")</f>
        <v/>
      </c>
      <c r="E272" s="190">
        <f>IFERROR(VLOOKUP($C272,'PORTIFÓLIO'!C:V,3,0),"")</f>
        <v/>
      </c>
      <c r="F272" s="190">
        <f>IFERROR(VLOOKUP($C272,'PORTIFÓLIO'!C:V,4,0),"")</f>
        <v/>
      </c>
      <c r="G272" s="206">
        <f>IFERROR(VLOOKUP($C272,'PORTIFÓLIO'!C:V,5,0),"")</f>
        <v/>
      </c>
      <c r="H272" s="247">
        <f t="array" ref="H272">IFERROR(INDEX('PORTIFÓLIO'!$H$4:$H$433,MATCH($C272,'PORTIFÓLIO'!$C$4:$C$433,0)),"")</f>
        <v/>
      </c>
      <c r="I272" s="253" t="n"/>
      <c r="J272" s="209">
        <f>I272*$B$2</f>
        <v/>
      </c>
      <c r="K272" s="248">
        <f t="array" ref="K272">IFERROR(I272*INDEX('PORTIFÓLIO'!$S$4:$S$433,MATCH($C272,'PORTIFÓLIO'!$C$4:$C$433,0)),"")</f>
        <v/>
      </c>
      <c r="L272" s="248">
        <f t="array" ref="L272">IFERROR(J272*INDEX('PORTIFÓLIO'!$S$4:$S$433,MATCH($C272,'PORTIFÓLIO'!$C$4:$C$433,0)),"")</f>
        <v/>
      </c>
      <c r="M272" s="177" t="n"/>
      <c r="N272" s="177" t="n"/>
      <c r="O272" s="177" t="n"/>
      <c r="P272" s="177" t="n"/>
      <c r="Q272" s="177" t="n"/>
      <c r="R272" s="177" t="n"/>
      <c r="S272" s="177" t="n"/>
      <c r="T272" s="177" t="n"/>
      <c r="U272" s="177" t="n"/>
      <c r="V272" s="177" t="n"/>
      <c r="W272" s="177" t="n"/>
    </row>
    <row r="273" outlineLevel="1" ht="15.75" customHeight="1" s="297">
      <c r="A273" s="190" t="n"/>
      <c r="B273" s="204" t="n"/>
      <c r="C273" s="191" t="n"/>
      <c r="D273" s="205">
        <f>IFERROR(VLOOKUP($C273,'PORTIFÓLIO'!C:V,2,0),"")</f>
        <v/>
      </c>
      <c r="E273" s="190">
        <f>IFERROR(VLOOKUP($C273,'PORTIFÓLIO'!C:V,3,0),"")</f>
        <v/>
      </c>
      <c r="F273" s="190">
        <f>IFERROR(VLOOKUP($C273,'PORTIFÓLIO'!C:V,4,0),"")</f>
        <v/>
      </c>
      <c r="G273" s="206">
        <f>IFERROR(VLOOKUP($C273,'PORTIFÓLIO'!C:V,5,0),"")</f>
        <v/>
      </c>
      <c r="H273" s="247">
        <f t="array" ref="H273">IFERROR(INDEX('PORTIFÓLIO'!$H$4:$H$433,MATCH($C273,'PORTIFÓLIO'!$C$4:$C$433,0)),"")</f>
        <v/>
      </c>
      <c r="I273" s="257" t="n"/>
      <c r="J273" s="209">
        <f>I273*$B$2</f>
        <v/>
      </c>
      <c r="K273" s="248">
        <f t="array" ref="K273">IFERROR(I273*INDEX('PORTIFÓLIO'!$S$4:$S$433,MATCH($C273,'PORTIFÓLIO'!$C$4:$C$433,0)),"")</f>
        <v/>
      </c>
      <c r="L273" s="248">
        <f t="array" ref="L273">IFERROR(J273*INDEX('PORTIFÓLIO'!$S$4:$S$433,MATCH($C273,'PORTIFÓLIO'!$C$4:$C$433,0)),"")</f>
        <v/>
      </c>
      <c r="M273" s="177" t="n"/>
      <c r="N273" s="177" t="n"/>
      <c r="O273" s="177" t="n"/>
      <c r="P273" s="177" t="n"/>
      <c r="Q273" s="177" t="n"/>
      <c r="R273" s="177" t="n"/>
      <c r="S273" s="177" t="n"/>
      <c r="T273" s="177" t="n"/>
      <c r="U273" s="177" t="n"/>
      <c r="V273" s="177" t="n"/>
      <c r="W273" s="177" t="n"/>
    </row>
    <row r="274" outlineLevel="1" ht="15.75" customHeight="1" s="297">
      <c r="A274" s="190" t="n"/>
      <c r="B274" s="204" t="n"/>
      <c r="C274" s="191" t="n"/>
      <c r="D274" s="205">
        <f>IFERROR(VLOOKUP($C274,'PORTIFÓLIO'!C:V,2,0),"")</f>
        <v/>
      </c>
      <c r="E274" s="190">
        <f>IFERROR(VLOOKUP($C274,'PORTIFÓLIO'!C:V,3,0),"")</f>
        <v/>
      </c>
      <c r="F274" s="190">
        <f>IFERROR(VLOOKUP($C274,'PORTIFÓLIO'!C:V,4,0),"")</f>
        <v/>
      </c>
      <c r="G274" s="206">
        <f>IFERROR(VLOOKUP($C274,'PORTIFÓLIO'!C:V,5,0),"")</f>
        <v/>
      </c>
      <c r="H274" s="247">
        <f t="array" ref="H274">IFERROR(INDEX('PORTIFÓLIO'!$H$4:$H$433,MATCH($C274,'PORTIFÓLIO'!$C$4:$C$433,0)),"")</f>
        <v/>
      </c>
      <c r="I274" s="257" t="n"/>
      <c r="J274" s="209">
        <f>I274*$B$2</f>
        <v/>
      </c>
      <c r="K274" s="248">
        <f t="array" ref="K274">IFERROR(I274*INDEX('PORTIFÓLIO'!$S$4:$S$433,MATCH($C274,'PORTIFÓLIO'!$C$4:$C$433,0)),"")</f>
        <v/>
      </c>
      <c r="L274" s="248">
        <f t="array" ref="L274">IFERROR(J274*INDEX('PORTIFÓLIO'!$S$4:$S$433,MATCH($C274,'PORTIFÓLIO'!$C$4:$C$433,0)),"")</f>
        <v/>
      </c>
      <c r="M274" s="177" t="n"/>
      <c r="N274" s="177" t="n"/>
      <c r="O274" s="177" t="n"/>
      <c r="P274" s="177" t="n"/>
      <c r="Q274" s="177" t="n"/>
      <c r="R274" s="177" t="n"/>
      <c r="S274" s="177" t="n"/>
      <c r="T274" s="177" t="n"/>
      <c r="U274" s="177" t="n"/>
      <c r="V274" s="177" t="n"/>
      <c r="W274" s="177" t="n"/>
    </row>
    <row r="275" outlineLevel="1" ht="15.75" customHeight="1" s="297">
      <c r="A275" s="190" t="n"/>
      <c r="B275" s="204" t="n"/>
      <c r="C275" s="191" t="n"/>
      <c r="D275" s="205">
        <f>IFERROR(VLOOKUP($C275,'PORTIFÓLIO'!C:V,2,0),"")</f>
        <v/>
      </c>
      <c r="E275" s="190">
        <f>IFERROR(VLOOKUP($C275,'PORTIFÓLIO'!C:V,3,0),"")</f>
        <v/>
      </c>
      <c r="F275" s="190">
        <f>IFERROR(VLOOKUP($C275,'PORTIFÓLIO'!C:V,4,0),"")</f>
        <v/>
      </c>
      <c r="G275" s="206">
        <f>IFERROR(VLOOKUP($C275,'PORTIFÓLIO'!C:V,5,0),"")</f>
        <v/>
      </c>
      <c r="H275" s="247">
        <f t="array" ref="H275">IFERROR(INDEX('PORTIFÓLIO'!$H$4:$H$433,MATCH($C275,'PORTIFÓLIO'!$C$4:$C$433,0)),"")</f>
        <v/>
      </c>
      <c r="I275" s="257" t="n"/>
      <c r="J275" s="209">
        <f>I275*$B$2</f>
        <v/>
      </c>
      <c r="K275" s="248">
        <f t="array" ref="K275">IFERROR(I275*INDEX('PORTIFÓLIO'!$S$4:$S$433,MATCH($C275,'PORTIFÓLIO'!$C$4:$C$433,0)),"")</f>
        <v/>
      </c>
      <c r="L275" s="248">
        <f t="array" ref="L275">IFERROR(J275*INDEX('PORTIFÓLIO'!$S$4:$S$433,MATCH($C275,'PORTIFÓLIO'!$C$4:$C$433,0)),"")</f>
        <v/>
      </c>
      <c r="M275" s="177" t="n"/>
      <c r="N275" s="177" t="n"/>
      <c r="O275" s="177" t="n"/>
      <c r="P275" s="177" t="n"/>
      <c r="Q275" s="177" t="n"/>
      <c r="R275" s="177" t="n"/>
      <c r="S275" s="177" t="n"/>
      <c r="T275" s="177" t="n"/>
      <c r="U275" s="177" t="n"/>
      <c r="V275" s="177" t="n"/>
      <c r="W275" s="177" t="n"/>
    </row>
    <row r="276" outlineLevel="1" ht="15.75" customHeight="1" s="297">
      <c r="A276" s="190" t="n"/>
      <c r="B276" s="204" t="n"/>
      <c r="C276" s="191" t="n"/>
      <c r="D276" s="205">
        <f>IFERROR(VLOOKUP($C276,'PORTIFÓLIO'!C:V,2,0),"")</f>
        <v/>
      </c>
      <c r="E276" s="190">
        <f>IFERROR(VLOOKUP($C276,'PORTIFÓLIO'!C:V,3,0),"")</f>
        <v/>
      </c>
      <c r="F276" s="190">
        <f>IFERROR(VLOOKUP($C276,'PORTIFÓLIO'!C:V,4,0),"")</f>
        <v/>
      </c>
      <c r="G276" s="206">
        <f>IFERROR(VLOOKUP($C276,'PORTIFÓLIO'!C:V,5,0),"")</f>
        <v/>
      </c>
      <c r="H276" s="247">
        <f t="array" ref="H276">IFERROR(INDEX('PORTIFÓLIO'!$H$4:$H$433,MATCH($C276,'PORTIFÓLIO'!$C$4:$C$433,0)),"")</f>
        <v/>
      </c>
      <c r="I276" s="257" t="n"/>
      <c r="J276" s="209">
        <f>I276*$B$2</f>
        <v/>
      </c>
      <c r="K276" s="248">
        <f t="array" ref="K276">IFERROR(I276*INDEX('PORTIFÓLIO'!$S$4:$S$433,MATCH($C276,'PORTIFÓLIO'!$C$4:$C$433,0)),"")</f>
        <v/>
      </c>
      <c r="L276" s="248">
        <f t="array" ref="L276">IFERROR(J276*INDEX('PORTIFÓLIO'!$S$4:$S$433,MATCH($C276,'PORTIFÓLIO'!$C$4:$C$433,0)),"")</f>
        <v/>
      </c>
      <c r="M276" s="177" t="n"/>
      <c r="N276" s="177" t="n"/>
      <c r="O276" s="177" t="n"/>
      <c r="P276" s="177" t="n"/>
      <c r="Q276" s="177" t="n"/>
      <c r="R276" s="177" t="n"/>
      <c r="S276" s="177" t="n"/>
      <c r="T276" s="177" t="n"/>
      <c r="U276" s="177" t="n"/>
      <c r="V276" s="177" t="n"/>
      <c r="W276" s="177" t="n"/>
    </row>
    <row r="277" outlineLevel="1" ht="15.75" customHeight="1" s="297">
      <c r="A277" s="190" t="n"/>
      <c r="B277" s="204" t="n"/>
      <c r="C277" s="191" t="n"/>
      <c r="D277" s="205">
        <f>IFERROR(VLOOKUP($C277,'PORTIFÓLIO'!C:V,2,0),"")</f>
        <v/>
      </c>
      <c r="E277" s="190">
        <f>IFERROR(VLOOKUP($C277,'PORTIFÓLIO'!C:V,3,0),"")</f>
        <v/>
      </c>
      <c r="F277" s="190">
        <f>IFERROR(VLOOKUP($C277,'PORTIFÓLIO'!C:V,4,0),"")</f>
        <v/>
      </c>
      <c r="G277" s="206">
        <f>IFERROR(VLOOKUP($C277,'PORTIFÓLIO'!C:V,5,0),"")</f>
        <v/>
      </c>
      <c r="H277" s="247">
        <f t="array" ref="H277">IFERROR(INDEX('PORTIFÓLIO'!$H$4:$H$433,MATCH($C277,'PORTIFÓLIO'!$C$4:$C$433,0)),"")</f>
        <v/>
      </c>
      <c r="I277" s="257" t="n"/>
      <c r="J277" s="209">
        <f>I277*$B$2</f>
        <v/>
      </c>
      <c r="K277" s="248">
        <f t="array" ref="K277">IFERROR(I277*INDEX('PORTIFÓLIO'!$S$4:$S$433,MATCH($C277,'PORTIFÓLIO'!$C$4:$C$433,0)),"")</f>
        <v/>
      </c>
      <c r="L277" s="248">
        <f t="array" ref="L277">IFERROR(J277*INDEX('PORTIFÓLIO'!$S$4:$S$433,MATCH($C277,'PORTIFÓLIO'!$C$4:$C$433,0)),"")</f>
        <v/>
      </c>
      <c r="M277" s="177" t="n"/>
      <c r="N277" s="177" t="n"/>
      <c r="O277" s="177" t="n"/>
      <c r="P277" s="177" t="n"/>
      <c r="Q277" s="177" t="n"/>
      <c r="R277" s="177" t="n"/>
      <c r="S277" s="177" t="n"/>
      <c r="T277" s="177" t="n"/>
      <c r="U277" s="177" t="n"/>
      <c r="V277" s="177" t="n"/>
      <c r="W277" s="177" t="n"/>
    </row>
    <row r="278" outlineLevel="1" ht="15.75" customHeight="1" s="297">
      <c r="A278" s="190" t="n"/>
      <c r="B278" s="204" t="n"/>
      <c r="C278" s="191" t="n"/>
      <c r="D278" s="205">
        <f>IFERROR(VLOOKUP($C278,'PORTIFÓLIO'!C:V,2,0),"")</f>
        <v/>
      </c>
      <c r="E278" s="190">
        <f>IFERROR(VLOOKUP($C278,'PORTIFÓLIO'!C:V,3,0),"")</f>
        <v/>
      </c>
      <c r="F278" s="190">
        <f>IFERROR(VLOOKUP($C278,'PORTIFÓLIO'!C:V,4,0),"")</f>
        <v/>
      </c>
      <c r="G278" s="206">
        <f>IFERROR(VLOOKUP($C278,'PORTIFÓLIO'!C:V,5,0),"")</f>
        <v/>
      </c>
      <c r="H278" s="247">
        <f t="array" ref="H278">IFERROR(INDEX('PORTIFÓLIO'!$H$4:$H$433,MATCH($C278,'PORTIFÓLIO'!$C$4:$C$433,0)),"")</f>
        <v/>
      </c>
      <c r="I278" s="257" t="n"/>
      <c r="J278" s="209">
        <f>I278*$B$2</f>
        <v/>
      </c>
      <c r="K278" s="248">
        <f t="array" ref="K278">IFERROR(I278*INDEX('PORTIFÓLIO'!$S$4:$S$433,MATCH($C278,'PORTIFÓLIO'!$C$4:$C$433,0)),"")</f>
        <v/>
      </c>
      <c r="L278" s="248">
        <f t="array" ref="L278">IFERROR(J278*INDEX('PORTIFÓLIO'!$S$4:$S$433,MATCH($C278,'PORTIFÓLIO'!$C$4:$C$433,0)),"")</f>
        <v/>
      </c>
      <c r="M278" s="177" t="n"/>
      <c r="N278" s="177" t="n"/>
      <c r="O278" s="177" t="n"/>
      <c r="P278" s="177" t="n"/>
      <c r="Q278" s="177" t="n"/>
      <c r="R278" s="177" t="n"/>
      <c r="S278" s="177" t="n"/>
      <c r="T278" s="177" t="n"/>
      <c r="U278" s="177" t="n"/>
      <c r="V278" s="177" t="n"/>
      <c r="W278" s="177" t="n"/>
    </row>
    <row r="279" outlineLevel="1" ht="15.75" customHeight="1" s="297">
      <c r="A279" s="190" t="n"/>
      <c r="B279" s="204" t="n"/>
      <c r="C279" s="191" t="n"/>
      <c r="D279" s="205">
        <f>IFERROR(VLOOKUP($C279,'PORTIFÓLIO'!C:V,2,0),"")</f>
        <v/>
      </c>
      <c r="E279" s="190">
        <f>IFERROR(VLOOKUP($C279,'PORTIFÓLIO'!C:V,3,0),"")</f>
        <v/>
      </c>
      <c r="F279" s="190">
        <f>IFERROR(VLOOKUP($C279,'PORTIFÓLIO'!C:V,4,0),"")</f>
        <v/>
      </c>
      <c r="G279" s="206">
        <f>IFERROR(VLOOKUP($C279,'PORTIFÓLIO'!C:V,5,0),"")</f>
        <v/>
      </c>
      <c r="H279" s="247">
        <f t="array" ref="H279">IFERROR(INDEX('PORTIFÓLIO'!$H$4:$H$433,MATCH($C279,'PORTIFÓLIO'!$C$4:$C$433,0)),"")</f>
        <v/>
      </c>
      <c r="I279" s="257" t="n"/>
      <c r="J279" s="209">
        <f>I279*$B$2</f>
        <v/>
      </c>
      <c r="K279" s="248">
        <f t="array" ref="K279">IFERROR(I279*INDEX('PORTIFÓLIO'!$S$4:$S$433,MATCH($C279,'PORTIFÓLIO'!$C$4:$C$433,0)),"")</f>
        <v/>
      </c>
      <c r="L279" s="248">
        <f t="array" ref="L279">IFERROR(J279*INDEX('PORTIFÓLIO'!$S$4:$S$433,MATCH($C279,'PORTIFÓLIO'!$C$4:$C$433,0)),"")</f>
        <v/>
      </c>
      <c r="M279" s="177" t="n"/>
      <c r="N279" s="177" t="n"/>
      <c r="O279" s="177" t="n"/>
      <c r="P279" s="177" t="n"/>
      <c r="Q279" s="177" t="n"/>
      <c r="R279" s="177" t="n"/>
      <c r="S279" s="177" t="n"/>
      <c r="T279" s="177" t="n"/>
      <c r="U279" s="177" t="n"/>
      <c r="V279" s="177" t="n"/>
      <c r="W279" s="177" t="n"/>
    </row>
    <row r="280" outlineLevel="1" ht="15.75" customHeight="1" s="297">
      <c r="A280" s="190" t="n"/>
      <c r="B280" s="204" t="n"/>
      <c r="C280" s="191" t="n"/>
      <c r="D280" s="205">
        <f>IFERROR(VLOOKUP($C280,'PORTIFÓLIO'!C:V,2,0),"")</f>
        <v/>
      </c>
      <c r="E280" s="190">
        <f>IFERROR(VLOOKUP($C280,'PORTIFÓLIO'!C:V,3,0),"")</f>
        <v/>
      </c>
      <c r="F280" s="190">
        <f>IFERROR(VLOOKUP($C280,'PORTIFÓLIO'!C:V,4,0),"")</f>
        <v/>
      </c>
      <c r="G280" s="206">
        <f>IFERROR(VLOOKUP($C280,'PORTIFÓLIO'!C:V,5,0),"")</f>
        <v/>
      </c>
      <c r="H280" s="247">
        <f t="array" ref="H280">IFERROR(INDEX('PORTIFÓLIO'!$H$4:$H$433,MATCH($C280,'PORTIFÓLIO'!$C$4:$C$433,0)),"")</f>
        <v/>
      </c>
      <c r="I280" s="253" t="n"/>
      <c r="J280" s="209">
        <f>I280*$B$2</f>
        <v/>
      </c>
      <c r="K280" s="248">
        <f t="array" ref="K280">IFERROR(I280*INDEX('PORTIFÓLIO'!$S$4:$S$433,MATCH($C280,'PORTIFÓLIO'!$C$4:$C$433,0)),"")</f>
        <v/>
      </c>
      <c r="L280" s="248">
        <f t="array" ref="L280">IFERROR(J280*INDEX('PORTIFÓLIO'!$S$4:$S$433,MATCH($C280,'PORTIFÓLIO'!$C$4:$C$433,0)),"")</f>
        <v/>
      </c>
      <c r="M280" s="177" t="n"/>
      <c r="N280" s="177" t="n"/>
      <c r="O280" s="177" t="n"/>
      <c r="P280" s="177" t="n"/>
      <c r="Q280" s="177" t="n"/>
      <c r="R280" s="177" t="n"/>
      <c r="S280" s="177" t="n"/>
      <c r="T280" s="177" t="n"/>
      <c r="U280" s="177" t="n"/>
      <c r="V280" s="177" t="n"/>
      <c r="W280" s="177" t="n"/>
    </row>
    <row r="281" outlineLevel="1" ht="15.75" customHeight="1" s="297">
      <c r="A281" s="190" t="n"/>
      <c r="B281" s="204" t="n"/>
      <c r="C281" s="191" t="n"/>
      <c r="D281" s="205">
        <f>IFERROR(VLOOKUP($C281,'PORTIFÓLIO'!C:V,2,0),"")</f>
        <v/>
      </c>
      <c r="E281" s="190">
        <f>IFERROR(VLOOKUP($C281,'PORTIFÓLIO'!C:V,3,0),"")</f>
        <v/>
      </c>
      <c r="F281" s="190">
        <f>IFERROR(VLOOKUP($C281,'PORTIFÓLIO'!C:V,4,0),"")</f>
        <v/>
      </c>
      <c r="G281" s="206">
        <f>IFERROR(VLOOKUP($C281,'PORTIFÓLIO'!C:V,5,0),"")</f>
        <v/>
      </c>
      <c r="H281" s="247">
        <f t="array" ref="H281">IFERROR(INDEX('PORTIFÓLIO'!$H$4:$H$433,MATCH($C281,'PORTIFÓLIO'!$C$4:$C$433,0)),"")</f>
        <v/>
      </c>
      <c r="I281" s="257" t="n"/>
      <c r="J281" s="209">
        <f>I281*$B$2</f>
        <v/>
      </c>
      <c r="K281" s="248">
        <f t="array" ref="K281">IFERROR(I281*INDEX('PORTIFÓLIO'!$S$4:$S$433,MATCH($C281,'PORTIFÓLIO'!$C$4:$C$433,0)),"")</f>
        <v/>
      </c>
      <c r="L281" s="248">
        <f t="array" ref="L281">IFERROR(J281*INDEX('PORTIFÓLIO'!$S$4:$S$433,MATCH($C281,'PORTIFÓLIO'!$C$4:$C$433,0)),"")</f>
        <v/>
      </c>
      <c r="M281" s="177" t="n"/>
      <c r="N281" s="177" t="n"/>
      <c r="O281" s="177" t="n"/>
      <c r="P281" s="177" t="n"/>
      <c r="Q281" s="177" t="n"/>
      <c r="R281" s="177" t="n"/>
      <c r="S281" s="177" t="n"/>
      <c r="T281" s="177" t="n"/>
      <c r="U281" s="177" t="n"/>
      <c r="V281" s="177" t="n"/>
      <c r="W281" s="177" t="n"/>
    </row>
    <row r="282" outlineLevel="1" ht="15.75" customHeight="1" s="297">
      <c r="A282" s="190" t="n"/>
      <c r="B282" s="204" t="n"/>
      <c r="C282" s="191" t="n"/>
      <c r="D282" s="205">
        <f>IFERROR(VLOOKUP($C282,'PORTIFÓLIO'!C:V,2,0),"")</f>
        <v/>
      </c>
      <c r="E282" s="190">
        <f>IFERROR(VLOOKUP($C282,'PORTIFÓLIO'!C:V,3,0),"")</f>
        <v/>
      </c>
      <c r="F282" s="190">
        <f>IFERROR(VLOOKUP($C282,'PORTIFÓLIO'!C:V,4,0),"")</f>
        <v/>
      </c>
      <c r="G282" s="206">
        <f>IFERROR(VLOOKUP($C282,'PORTIFÓLIO'!C:V,5,0),"")</f>
        <v/>
      </c>
      <c r="H282" s="247">
        <f t="array" ref="H282">IFERROR(INDEX('PORTIFÓLIO'!$H$4:$H$433,MATCH($C282,'PORTIFÓLIO'!$C$4:$C$433,0)),"")</f>
        <v/>
      </c>
      <c r="I282" s="257" t="n"/>
      <c r="J282" s="209">
        <f>I282*$B$2</f>
        <v/>
      </c>
      <c r="K282" s="248">
        <f t="array" ref="K282">IFERROR(I282*INDEX('PORTIFÓLIO'!$S$4:$S$433,MATCH($C282,'PORTIFÓLIO'!$C$4:$C$433,0)),"")</f>
        <v/>
      </c>
      <c r="L282" s="248">
        <f t="array" ref="L282">IFERROR(J282*INDEX('PORTIFÓLIO'!$S$4:$S$433,MATCH($C282,'PORTIFÓLIO'!$C$4:$C$433,0)),"")</f>
        <v/>
      </c>
      <c r="M282" s="177" t="n"/>
      <c r="N282" s="177" t="n"/>
      <c r="O282" s="177" t="n"/>
      <c r="P282" s="177" t="n"/>
      <c r="Q282" s="177" t="n"/>
      <c r="R282" s="177" t="n"/>
      <c r="S282" s="177" t="n"/>
      <c r="T282" s="177" t="n"/>
      <c r="U282" s="177" t="n"/>
      <c r="V282" s="177" t="n"/>
      <c r="W282" s="177" t="n"/>
    </row>
    <row r="283" outlineLevel="1" ht="15.75" customHeight="1" s="297">
      <c r="A283" s="190" t="n"/>
      <c r="B283" s="204" t="n"/>
      <c r="C283" s="191" t="n"/>
      <c r="D283" s="205">
        <f>IFERROR(VLOOKUP($C283,'PORTIFÓLIO'!C:V,2,0),"")</f>
        <v/>
      </c>
      <c r="E283" s="190">
        <f>IFERROR(VLOOKUP($C283,'PORTIFÓLIO'!C:V,3,0),"")</f>
        <v/>
      </c>
      <c r="F283" s="190">
        <f>IFERROR(VLOOKUP($C283,'PORTIFÓLIO'!C:V,4,0),"")</f>
        <v/>
      </c>
      <c r="G283" s="206">
        <f>IFERROR(VLOOKUP($C283,'PORTIFÓLIO'!C:V,5,0),"")</f>
        <v/>
      </c>
      <c r="H283" s="247">
        <f t="array" ref="H283">IFERROR(INDEX('PORTIFÓLIO'!$H$4:$H$433,MATCH($C283,'PORTIFÓLIO'!$C$4:$C$433,0)),"")</f>
        <v/>
      </c>
      <c r="I283" s="257" t="n"/>
      <c r="J283" s="209">
        <f>I283*$B$2</f>
        <v/>
      </c>
      <c r="K283" s="248">
        <f t="array" ref="K283">IFERROR(I283*INDEX('PORTIFÓLIO'!$S$4:$S$433,MATCH($C283,'PORTIFÓLIO'!$C$4:$C$433,0)),"")</f>
        <v/>
      </c>
      <c r="L283" s="248">
        <f t="array" ref="L283">IFERROR(J283*INDEX('PORTIFÓLIO'!$S$4:$S$433,MATCH($C283,'PORTIFÓLIO'!$C$4:$C$433,0)),"")</f>
        <v/>
      </c>
      <c r="M283" s="177" t="n"/>
      <c r="N283" s="177" t="n"/>
      <c r="O283" s="177" t="n"/>
      <c r="P283" s="177" t="n"/>
      <c r="Q283" s="177" t="n"/>
      <c r="R283" s="177" t="n"/>
      <c r="S283" s="177" t="n"/>
      <c r="T283" s="177" t="n"/>
      <c r="U283" s="177" t="n"/>
      <c r="V283" s="177" t="n"/>
      <c r="W283" s="177" t="n"/>
    </row>
    <row r="284" outlineLevel="1" ht="15.75" customHeight="1" s="297">
      <c r="A284" s="190" t="n"/>
      <c r="B284" s="204" t="n"/>
      <c r="C284" s="191" t="n"/>
      <c r="D284" s="205">
        <f>IFERROR(VLOOKUP($C284,'PORTIFÓLIO'!C:V,2,0),"")</f>
        <v/>
      </c>
      <c r="E284" s="190">
        <f>IFERROR(VLOOKUP($C284,'PORTIFÓLIO'!C:V,3,0),"")</f>
        <v/>
      </c>
      <c r="F284" s="190">
        <f>IFERROR(VLOOKUP($C284,'PORTIFÓLIO'!C:V,4,0),"")</f>
        <v/>
      </c>
      <c r="G284" s="206">
        <f>IFERROR(VLOOKUP($C284,'PORTIFÓLIO'!C:V,5,0),"")</f>
        <v/>
      </c>
      <c r="H284" s="247">
        <f t="array" ref="H284">IFERROR(INDEX('PORTIFÓLIO'!$H$4:$H$433,MATCH($C284,'PORTIFÓLIO'!$C$4:$C$433,0)),"")</f>
        <v/>
      </c>
      <c r="I284" s="257" t="n"/>
      <c r="J284" s="209">
        <f>I284*$B$2</f>
        <v/>
      </c>
      <c r="K284" s="248">
        <f t="array" ref="K284">IFERROR(I284*INDEX('PORTIFÓLIO'!$S$4:$S$433,MATCH($C284,'PORTIFÓLIO'!$C$4:$C$433,0)),"")</f>
        <v/>
      </c>
      <c r="L284" s="248">
        <f t="array" ref="L284">IFERROR(J284*INDEX('PORTIFÓLIO'!$S$4:$S$433,MATCH($C284,'PORTIFÓLIO'!$C$4:$C$433,0)),"")</f>
        <v/>
      </c>
      <c r="M284" s="177" t="n"/>
      <c r="N284" s="177" t="n"/>
      <c r="O284" s="177" t="n"/>
      <c r="P284" s="177" t="n"/>
      <c r="Q284" s="177" t="n"/>
      <c r="R284" s="177" t="n"/>
      <c r="S284" s="177" t="n"/>
      <c r="T284" s="177" t="n"/>
      <c r="U284" s="177" t="n"/>
      <c r="V284" s="177" t="n"/>
      <c r="W284" s="177" t="n"/>
    </row>
    <row r="285" outlineLevel="1" ht="15.75" customHeight="1" s="297">
      <c r="A285" s="190" t="n"/>
      <c r="B285" s="204" t="n"/>
      <c r="C285" s="191" t="n"/>
      <c r="D285" s="205">
        <f>IFERROR(VLOOKUP($C285,'PORTIFÓLIO'!C:V,2,0),"")</f>
        <v/>
      </c>
      <c r="E285" s="190">
        <f>IFERROR(VLOOKUP($C285,'PORTIFÓLIO'!C:V,3,0),"")</f>
        <v/>
      </c>
      <c r="F285" s="190">
        <f>IFERROR(VLOOKUP($C285,'PORTIFÓLIO'!C:V,4,0),"")</f>
        <v/>
      </c>
      <c r="G285" s="206">
        <f>IFERROR(VLOOKUP($C285,'PORTIFÓLIO'!C:V,5,0),"")</f>
        <v/>
      </c>
      <c r="H285" s="247">
        <f t="array" ref="H285">IFERROR(INDEX('PORTIFÓLIO'!$H$4:$H$433,MATCH($C285,'PORTIFÓLIO'!$C$4:$C$433,0)),"")</f>
        <v/>
      </c>
      <c r="I285" s="257" t="n"/>
      <c r="J285" s="209">
        <f>I285*$B$2</f>
        <v/>
      </c>
      <c r="K285" s="248">
        <f t="array" ref="K285">IFERROR(I285*INDEX('PORTIFÓLIO'!$S$4:$S$433,MATCH($C285,'PORTIFÓLIO'!$C$4:$C$433,0)),"")</f>
        <v/>
      </c>
      <c r="L285" s="248">
        <f t="array" ref="L285">IFERROR(J285*INDEX('PORTIFÓLIO'!$S$4:$S$433,MATCH($C285,'PORTIFÓLIO'!$C$4:$C$433,0)),"")</f>
        <v/>
      </c>
      <c r="M285" s="177" t="n"/>
      <c r="N285" s="177" t="n"/>
      <c r="O285" s="177" t="n"/>
      <c r="P285" s="177" t="n"/>
      <c r="Q285" s="177" t="n"/>
      <c r="R285" s="177" t="n"/>
      <c r="S285" s="177" t="n"/>
      <c r="T285" s="177" t="n"/>
      <c r="U285" s="177" t="n"/>
      <c r="V285" s="177" t="n"/>
      <c r="W285" s="177" t="n"/>
    </row>
    <row r="286" outlineLevel="1" ht="15.75" customHeight="1" s="297">
      <c r="A286" s="190" t="n"/>
      <c r="B286" s="204" t="n"/>
      <c r="C286" s="191" t="n"/>
      <c r="D286" s="205">
        <f>IFERROR(VLOOKUP($C286,'PORTIFÓLIO'!C:V,2,0),"")</f>
        <v/>
      </c>
      <c r="E286" s="190">
        <f>IFERROR(VLOOKUP($C286,'PORTIFÓLIO'!C:V,3,0),"")</f>
        <v/>
      </c>
      <c r="F286" s="190">
        <f>IFERROR(VLOOKUP($C286,'PORTIFÓLIO'!C:V,4,0),"")</f>
        <v/>
      </c>
      <c r="G286" s="206">
        <f>IFERROR(VLOOKUP($C286,'PORTIFÓLIO'!C:V,5,0),"")</f>
        <v/>
      </c>
      <c r="H286" s="247">
        <f t="array" ref="H286">IFERROR(INDEX('PORTIFÓLIO'!$H$4:$H$433,MATCH($C286,'PORTIFÓLIO'!$C$4:$C$433,0)),"")</f>
        <v/>
      </c>
      <c r="I286" s="257" t="n"/>
      <c r="J286" s="209">
        <f>I286*$B$2</f>
        <v/>
      </c>
      <c r="K286" s="248">
        <f t="array" ref="K286">IFERROR(I286*INDEX('PORTIFÓLIO'!$S$4:$S$433,MATCH($C286,'PORTIFÓLIO'!$C$4:$C$433,0)),"")</f>
        <v/>
      </c>
      <c r="L286" s="248">
        <f t="array" ref="L286">IFERROR(J286*INDEX('PORTIFÓLIO'!$S$4:$S$433,MATCH($C286,'PORTIFÓLIO'!$C$4:$C$433,0)),"")</f>
        <v/>
      </c>
      <c r="M286" s="177" t="n"/>
      <c r="N286" s="177" t="n"/>
      <c r="O286" s="177" t="n"/>
      <c r="P286" s="177" t="n"/>
      <c r="Q286" s="177" t="n"/>
      <c r="R286" s="177" t="n"/>
      <c r="S286" s="177" t="n"/>
      <c r="T286" s="177" t="n"/>
      <c r="U286" s="177" t="n"/>
      <c r="V286" s="177" t="n"/>
      <c r="W286" s="177" t="n"/>
    </row>
    <row r="287" outlineLevel="1" ht="15.75" customHeight="1" s="297">
      <c r="A287" s="190" t="n"/>
      <c r="B287" s="204" t="n"/>
      <c r="C287" s="191" t="n"/>
      <c r="D287" s="205">
        <f>IFERROR(VLOOKUP($C287,'PORTIFÓLIO'!C:V,2,0),"")</f>
        <v/>
      </c>
      <c r="E287" s="190">
        <f>IFERROR(VLOOKUP($C287,'PORTIFÓLIO'!C:V,3,0),"")</f>
        <v/>
      </c>
      <c r="F287" s="190">
        <f>IFERROR(VLOOKUP($C287,'PORTIFÓLIO'!C:V,4,0),"")</f>
        <v/>
      </c>
      <c r="G287" s="206">
        <f>IFERROR(VLOOKUP($C287,'PORTIFÓLIO'!C:V,5,0),"")</f>
        <v/>
      </c>
      <c r="H287" s="247">
        <f t="array" ref="H287">IFERROR(INDEX('PORTIFÓLIO'!$H$4:$H$433,MATCH($C287,'PORTIFÓLIO'!$C$4:$C$433,0)),"")</f>
        <v/>
      </c>
      <c r="I287" s="257" t="n"/>
      <c r="J287" s="209">
        <f>I287*$B$2</f>
        <v/>
      </c>
      <c r="K287" s="248">
        <f t="array" ref="K287">IFERROR(I287*INDEX('PORTIFÓLIO'!$S$4:$S$433,MATCH($C287,'PORTIFÓLIO'!$C$4:$C$433,0)),"")</f>
        <v/>
      </c>
      <c r="L287" s="248">
        <f t="array" ref="L287">IFERROR(J287*INDEX('PORTIFÓLIO'!$S$4:$S$433,MATCH($C287,'PORTIFÓLIO'!$C$4:$C$433,0)),"")</f>
        <v/>
      </c>
      <c r="M287" s="177" t="n"/>
      <c r="N287" s="177" t="n"/>
      <c r="O287" s="177" t="n"/>
      <c r="P287" s="177" t="n"/>
      <c r="Q287" s="177" t="n"/>
      <c r="R287" s="177" t="n"/>
      <c r="S287" s="177" t="n"/>
      <c r="T287" s="177" t="n"/>
      <c r="U287" s="177" t="n"/>
      <c r="V287" s="177" t="n"/>
      <c r="W287" s="177" t="n"/>
    </row>
    <row r="288" outlineLevel="1" ht="15.75" customHeight="1" s="297">
      <c r="A288" s="190" t="n"/>
      <c r="B288" s="204" t="n"/>
      <c r="C288" s="191" t="n"/>
      <c r="D288" s="205">
        <f>IFERROR(VLOOKUP($C288,'PORTIFÓLIO'!C:V,2,0),"")</f>
        <v/>
      </c>
      <c r="E288" s="190">
        <f>IFERROR(VLOOKUP($C288,'PORTIFÓLIO'!C:V,3,0),"")</f>
        <v/>
      </c>
      <c r="F288" s="190">
        <f>IFERROR(VLOOKUP($C288,'PORTIFÓLIO'!C:V,4,0),"")</f>
        <v/>
      </c>
      <c r="G288" s="206">
        <f>IFERROR(VLOOKUP($C288,'PORTIFÓLIO'!C:V,5,0),"")</f>
        <v/>
      </c>
      <c r="H288" s="247">
        <f t="array" ref="H288">IFERROR(INDEX('PORTIFÓLIO'!$H$4:$H$433,MATCH($C288,'PORTIFÓLIO'!$C$4:$C$433,0)),"")</f>
        <v/>
      </c>
      <c r="I288" s="257" t="n"/>
      <c r="J288" s="209">
        <f>I288*$B$2</f>
        <v/>
      </c>
      <c r="K288" s="248">
        <f t="array" ref="K288">IFERROR(I288*INDEX('PORTIFÓLIO'!$S$4:$S$433,MATCH($C288,'PORTIFÓLIO'!$C$4:$C$433,0)),"")</f>
        <v/>
      </c>
      <c r="L288" s="248">
        <f t="array" ref="L288">IFERROR(J288*INDEX('PORTIFÓLIO'!$S$4:$S$433,MATCH($C288,'PORTIFÓLIO'!$C$4:$C$433,0)),"")</f>
        <v/>
      </c>
      <c r="M288" s="177" t="n"/>
      <c r="N288" s="177" t="n"/>
      <c r="O288" s="177" t="n"/>
      <c r="P288" s="177" t="n"/>
      <c r="Q288" s="177" t="n"/>
      <c r="R288" s="177" t="n"/>
      <c r="S288" s="177" t="n"/>
      <c r="T288" s="177" t="n"/>
      <c r="U288" s="177" t="n"/>
      <c r="V288" s="177" t="n"/>
      <c r="W288" s="177" t="n"/>
    </row>
    <row r="289" outlineLevel="1" ht="15.75" customHeight="1" s="297">
      <c r="A289" s="190" t="n"/>
      <c r="B289" s="204" t="n"/>
      <c r="C289" s="191" t="n"/>
      <c r="D289" s="205">
        <f>IFERROR(VLOOKUP($C289,'PORTIFÓLIO'!C:V,2,0),"")</f>
        <v/>
      </c>
      <c r="E289" s="190">
        <f>IFERROR(VLOOKUP($C289,'PORTIFÓLIO'!C:V,3,0),"")</f>
        <v/>
      </c>
      <c r="F289" s="190">
        <f>IFERROR(VLOOKUP($C289,'PORTIFÓLIO'!C:V,4,0),"")</f>
        <v/>
      </c>
      <c r="G289" s="206">
        <f>IFERROR(VLOOKUP($C289,'PORTIFÓLIO'!C:V,5,0),"")</f>
        <v/>
      </c>
      <c r="H289" s="247">
        <f t="array" ref="H289">IFERROR(INDEX('PORTIFÓLIO'!$H$4:$H$433,MATCH($C289,'PORTIFÓLIO'!$C$4:$C$433,0)),"")</f>
        <v/>
      </c>
      <c r="I289" s="257" t="n"/>
      <c r="J289" s="209">
        <f>I289*$B$2</f>
        <v/>
      </c>
      <c r="K289" s="248">
        <f t="array" ref="K289">IFERROR(I289*INDEX('PORTIFÓLIO'!$S$4:$S$433,MATCH($C289,'PORTIFÓLIO'!$C$4:$C$433,0)),"")</f>
        <v/>
      </c>
      <c r="L289" s="248">
        <f t="array" ref="L289">IFERROR(J289*INDEX('PORTIFÓLIO'!$S$4:$S$433,MATCH($C289,'PORTIFÓLIO'!$C$4:$C$433,0)),"")</f>
        <v/>
      </c>
      <c r="M289" s="177" t="n"/>
      <c r="N289" s="177" t="n"/>
      <c r="O289" s="177" t="n"/>
      <c r="P289" s="177" t="n"/>
      <c r="Q289" s="177" t="n"/>
      <c r="R289" s="177" t="n"/>
      <c r="S289" s="177" t="n"/>
      <c r="T289" s="177" t="n"/>
      <c r="U289" s="177" t="n"/>
      <c r="V289" s="177" t="n"/>
      <c r="W289" s="177" t="n"/>
    </row>
    <row r="290" ht="15.75" customHeight="1" s="297">
      <c r="A290" s="221" t="inlineStr">
        <is>
          <t>OPERAÇÃO 4</t>
        </is>
      </c>
      <c r="B290" s="197" t="n"/>
      <c r="C290" s="196" t="n"/>
      <c r="D290" s="198" t="n"/>
      <c r="E290" s="196" t="n"/>
      <c r="F290" s="196" t="n"/>
      <c r="G290" s="199" t="n"/>
      <c r="H290" s="199" t="n"/>
      <c r="I290" s="252" t="n"/>
      <c r="J290" s="202" t="n"/>
      <c r="K290" s="203">
        <f>SUBTOTAL(9,K291:K304)</f>
        <v/>
      </c>
      <c r="L290" s="203">
        <f>SUBTOTAL(9,L291:L304)</f>
        <v/>
      </c>
      <c r="M290" s="177" t="n"/>
      <c r="N290" s="177" t="n"/>
      <c r="O290" s="177" t="n"/>
      <c r="P290" s="177" t="n"/>
      <c r="Q290" s="177" t="n"/>
      <c r="R290" s="177" t="n"/>
      <c r="S290" s="177" t="n"/>
      <c r="T290" s="177" t="n"/>
      <c r="U290" s="177" t="n"/>
      <c r="V290" s="177" t="n"/>
      <c r="W290" s="177" t="n"/>
    </row>
    <row r="291" outlineLevel="1" ht="15.75" customHeight="1" s="297">
      <c r="A291" s="191" t="n"/>
      <c r="B291" s="204" t="n"/>
      <c r="C291" s="191" t="n"/>
      <c r="D291" s="205">
        <f>IFERROR(VLOOKUP($C291,'PORTIFÓLIO'!C:V,2,0),"")</f>
        <v/>
      </c>
      <c r="E291" s="190">
        <f>IFERROR(VLOOKUP($C291,'PORTIFÓLIO'!C:V,3,0),"")</f>
        <v/>
      </c>
      <c r="F291" s="190">
        <f>IFERROR(VLOOKUP($C291,'PORTIFÓLIO'!C:V,4,0),"")</f>
        <v/>
      </c>
      <c r="G291" s="206">
        <f>IFERROR(VLOOKUP($C291,'PORTIFÓLIO'!C:V,5,0),"")</f>
        <v/>
      </c>
      <c r="H291" s="247">
        <f t="array" ref="H291">IFERROR(INDEX('PORTIFÓLIO'!$H$4:$H$433,MATCH($C291,'PORTIFÓLIO'!$C$4:$C$433,0)),"")</f>
        <v/>
      </c>
      <c r="I291" s="253" t="n"/>
      <c r="J291" s="209">
        <f>I291*$B$2</f>
        <v/>
      </c>
      <c r="K291" s="248">
        <f t="array" ref="K291">IFERROR(I291*INDEX('PORTIFÓLIO'!$S$4:$S$433,MATCH($C291,'PORTIFÓLIO'!$C$4:$C$433,0)),"")</f>
        <v/>
      </c>
      <c r="L291" s="248">
        <f t="array" ref="L291">IFERROR(J291*INDEX('PORTIFÓLIO'!$S$4:$S$433,MATCH($C291,'PORTIFÓLIO'!$C$4:$C$433,0)),"")</f>
        <v/>
      </c>
      <c r="M291" s="177" t="n"/>
      <c r="N291" s="177" t="n"/>
      <c r="O291" s="177" t="n"/>
      <c r="P291" s="177" t="n"/>
      <c r="Q291" s="177" t="n"/>
      <c r="R291" s="177" t="n"/>
      <c r="S291" s="177" t="n"/>
      <c r="T291" s="177" t="n"/>
      <c r="U291" s="177" t="n"/>
      <c r="V291" s="177" t="n"/>
      <c r="W291" s="177" t="n"/>
    </row>
    <row r="292" outlineLevel="1" ht="15.75" customHeight="1" s="297">
      <c r="A292" s="190" t="n"/>
      <c r="B292" s="204" t="n"/>
      <c r="C292" s="191" t="n"/>
      <c r="D292" s="205">
        <f>IFERROR(VLOOKUP($C292,'PORTIFÓLIO'!C:V,2,0),"")</f>
        <v/>
      </c>
      <c r="E292" s="190">
        <f>IFERROR(VLOOKUP($C292,'PORTIFÓLIO'!C:V,3,0),"")</f>
        <v/>
      </c>
      <c r="F292" s="190">
        <f>IFERROR(VLOOKUP($C292,'PORTIFÓLIO'!C:V,4,0),"")</f>
        <v/>
      </c>
      <c r="G292" s="206">
        <f>IFERROR(VLOOKUP($C292,'PORTIFÓLIO'!C:V,5,0),"")</f>
        <v/>
      </c>
      <c r="H292" s="247">
        <f t="array" ref="H292">IFERROR(INDEX('PORTIFÓLIO'!$H$4:$H$433,MATCH($C292,'PORTIFÓLIO'!$C$4:$C$433,0)),"")</f>
        <v/>
      </c>
      <c r="I292" s="257" t="n"/>
      <c r="J292" s="209">
        <f>I292*$B$2</f>
        <v/>
      </c>
      <c r="K292" s="248">
        <f t="array" ref="K292">IFERROR(I292*INDEX('PORTIFÓLIO'!$S$4:$S$433,MATCH($C292,'PORTIFÓLIO'!$C$4:$C$433,0)),"")</f>
        <v/>
      </c>
      <c r="L292" s="248">
        <f t="array" ref="L292">IFERROR(J292*INDEX('PORTIFÓLIO'!$S$4:$S$433,MATCH($C292,'PORTIFÓLIO'!$C$4:$C$433,0)),"")</f>
        <v/>
      </c>
      <c r="M292" s="177" t="n"/>
      <c r="N292" s="177" t="n"/>
      <c r="O292" s="177" t="n"/>
      <c r="P292" s="177" t="n"/>
      <c r="Q292" s="177" t="n"/>
      <c r="R292" s="177" t="n"/>
      <c r="S292" s="177" t="n"/>
      <c r="T292" s="177" t="n"/>
      <c r="U292" s="177" t="n"/>
      <c r="V292" s="177" t="n"/>
      <c r="W292" s="177" t="n"/>
    </row>
    <row r="293" outlineLevel="1" ht="15.75" customHeight="1" s="297">
      <c r="A293" s="190" t="n"/>
      <c r="B293" s="204" t="n"/>
      <c r="C293" s="191" t="n"/>
      <c r="D293" s="205">
        <f>IFERROR(VLOOKUP($C293,'PORTIFÓLIO'!C:V,2,0),"")</f>
        <v/>
      </c>
      <c r="E293" s="190">
        <f>IFERROR(VLOOKUP($C293,'PORTIFÓLIO'!C:V,3,0),"")</f>
        <v/>
      </c>
      <c r="F293" s="190">
        <f>IFERROR(VLOOKUP($C293,'PORTIFÓLIO'!C:V,4,0),"")</f>
        <v/>
      </c>
      <c r="G293" s="206">
        <f>IFERROR(VLOOKUP($C293,'PORTIFÓLIO'!C:V,5,0),"")</f>
        <v/>
      </c>
      <c r="H293" s="247">
        <f t="array" ref="H293">IFERROR(INDEX('PORTIFÓLIO'!$H$4:$H$433,MATCH($C293,'PORTIFÓLIO'!$C$4:$C$433,0)),"")</f>
        <v/>
      </c>
      <c r="I293" s="257" t="n"/>
      <c r="J293" s="209">
        <f>I293*$B$2</f>
        <v/>
      </c>
      <c r="K293" s="248">
        <f t="array" ref="K293">IFERROR(I293*INDEX('PORTIFÓLIO'!$S$4:$S$433,MATCH($C293,'PORTIFÓLIO'!$C$4:$C$433,0)),"")</f>
        <v/>
      </c>
      <c r="L293" s="248">
        <f t="array" ref="L293">IFERROR(J293*INDEX('PORTIFÓLIO'!$S$4:$S$433,MATCH($C293,'PORTIFÓLIO'!$C$4:$C$433,0)),"")</f>
        <v/>
      </c>
      <c r="M293" s="177" t="n"/>
      <c r="N293" s="177" t="n"/>
      <c r="O293" s="177" t="n"/>
      <c r="P293" s="177" t="n"/>
      <c r="Q293" s="177" t="n"/>
      <c r="R293" s="177" t="n"/>
      <c r="S293" s="177" t="n"/>
      <c r="T293" s="177" t="n"/>
      <c r="U293" s="177" t="n"/>
      <c r="V293" s="177" t="n"/>
      <c r="W293" s="177" t="n"/>
    </row>
    <row r="294" outlineLevel="1" ht="15.75" customHeight="1" s="297">
      <c r="A294" s="190" t="n"/>
      <c r="B294" s="204" t="n"/>
      <c r="C294" s="191" t="n"/>
      <c r="D294" s="205">
        <f>IFERROR(VLOOKUP($C294,'PORTIFÓLIO'!C:V,2,0),"")</f>
        <v/>
      </c>
      <c r="E294" s="190">
        <f>IFERROR(VLOOKUP($C294,'PORTIFÓLIO'!C:V,3,0),"")</f>
        <v/>
      </c>
      <c r="F294" s="190">
        <f>IFERROR(VLOOKUP($C294,'PORTIFÓLIO'!C:V,4,0),"")</f>
        <v/>
      </c>
      <c r="G294" s="206">
        <f>IFERROR(VLOOKUP($C294,'PORTIFÓLIO'!C:V,5,0),"")</f>
        <v/>
      </c>
      <c r="H294" s="247">
        <f t="array" ref="H294">IFERROR(INDEX('PORTIFÓLIO'!$H$4:$H$433,MATCH($C294,'PORTIFÓLIO'!$C$4:$C$433,0)),"")</f>
        <v/>
      </c>
      <c r="I294" s="257" t="n"/>
      <c r="J294" s="209">
        <f>I294*$B$2</f>
        <v/>
      </c>
      <c r="K294" s="248">
        <f t="array" ref="K294">IFERROR(I294*INDEX('PORTIFÓLIO'!$S$4:$S$433,MATCH($C294,'PORTIFÓLIO'!$C$4:$C$433,0)),"")</f>
        <v/>
      </c>
      <c r="L294" s="248">
        <f t="array" ref="L294">IFERROR(J294*INDEX('PORTIFÓLIO'!$S$4:$S$433,MATCH($C294,'PORTIFÓLIO'!$C$4:$C$433,0)),"")</f>
        <v/>
      </c>
      <c r="M294" s="177" t="n"/>
      <c r="N294" s="177" t="n"/>
      <c r="O294" s="177" t="n"/>
      <c r="P294" s="177" t="n"/>
      <c r="Q294" s="177" t="n"/>
      <c r="R294" s="177" t="n"/>
      <c r="S294" s="177" t="n"/>
      <c r="T294" s="177" t="n"/>
      <c r="U294" s="177" t="n"/>
      <c r="V294" s="177" t="n"/>
      <c r="W294" s="177" t="n"/>
    </row>
    <row r="295" outlineLevel="1" ht="15.75" customHeight="1" s="297">
      <c r="A295" s="190" t="n"/>
      <c r="B295" s="204" t="n"/>
      <c r="C295" s="191" t="n"/>
      <c r="D295" s="205">
        <f>IFERROR(VLOOKUP($C295,'PORTIFÓLIO'!C:V,2,0),"")</f>
        <v/>
      </c>
      <c r="E295" s="190">
        <f>IFERROR(VLOOKUP($C295,'PORTIFÓLIO'!C:V,3,0),"")</f>
        <v/>
      </c>
      <c r="F295" s="190">
        <f>IFERROR(VLOOKUP($C295,'PORTIFÓLIO'!C:V,4,0),"")</f>
        <v/>
      </c>
      <c r="G295" s="206">
        <f>IFERROR(VLOOKUP($C295,'PORTIFÓLIO'!C:V,5,0),"")</f>
        <v/>
      </c>
      <c r="H295" s="247">
        <f t="array" ref="H295">IFERROR(INDEX('PORTIFÓLIO'!$H$4:$H$433,MATCH($C295,'PORTIFÓLIO'!$C$4:$C$433,0)),"")</f>
        <v/>
      </c>
      <c r="I295" s="257" t="n"/>
      <c r="J295" s="209">
        <f>I295*$B$2</f>
        <v/>
      </c>
      <c r="K295" s="248">
        <f t="array" ref="K295">IFERROR(I295*INDEX('PORTIFÓLIO'!$S$4:$S$433,MATCH($C295,'PORTIFÓLIO'!$C$4:$C$433,0)),"")</f>
        <v/>
      </c>
      <c r="L295" s="248">
        <f t="array" ref="L295">IFERROR(J295*INDEX('PORTIFÓLIO'!$S$4:$S$433,MATCH($C295,'PORTIFÓLIO'!$C$4:$C$433,0)),"")</f>
        <v/>
      </c>
      <c r="M295" s="177" t="n"/>
      <c r="N295" s="177" t="n"/>
      <c r="O295" s="177" t="n"/>
      <c r="P295" s="177" t="n"/>
      <c r="Q295" s="177" t="n"/>
      <c r="R295" s="177" t="n"/>
      <c r="S295" s="177" t="n"/>
      <c r="T295" s="177" t="n"/>
      <c r="U295" s="177" t="n"/>
      <c r="V295" s="177" t="n"/>
      <c r="W295" s="177" t="n"/>
    </row>
    <row r="296" outlineLevel="1" ht="15.75" customHeight="1" s="297">
      <c r="A296" s="190" t="n"/>
      <c r="B296" s="204" t="n"/>
      <c r="C296" s="191" t="n"/>
      <c r="D296" s="205">
        <f>IFERROR(VLOOKUP($C296,'PORTIFÓLIO'!C:V,2,0),"")</f>
        <v/>
      </c>
      <c r="E296" s="190">
        <f>IFERROR(VLOOKUP($C296,'PORTIFÓLIO'!C:V,3,0),"")</f>
        <v/>
      </c>
      <c r="F296" s="190">
        <f>IFERROR(VLOOKUP($C296,'PORTIFÓLIO'!C:V,4,0),"")</f>
        <v/>
      </c>
      <c r="G296" s="206">
        <f>IFERROR(VLOOKUP($C296,'PORTIFÓLIO'!C:V,5,0),"")</f>
        <v/>
      </c>
      <c r="H296" s="247">
        <f t="array" ref="H296">IFERROR(INDEX('PORTIFÓLIO'!$H$4:$H$433,MATCH($C296,'PORTIFÓLIO'!$C$4:$C$433,0)),"")</f>
        <v/>
      </c>
      <c r="I296" s="257" t="n"/>
      <c r="J296" s="209">
        <f>I296*$B$2</f>
        <v/>
      </c>
      <c r="K296" s="248">
        <f t="array" ref="K296">IFERROR(I296*INDEX('PORTIFÓLIO'!$S$4:$S$433,MATCH($C296,'PORTIFÓLIO'!$C$4:$C$433,0)),"")</f>
        <v/>
      </c>
      <c r="L296" s="248">
        <f t="array" ref="L296">IFERROR(J296*INDEX('PORTIFÓLIO'!$S$4:$S$433,MATCH($C296,'PORTIFÓLIO'!$C$4:$C$433,0)),"")</f>
        <v/>
      </c>
      <c r="M296" s="177" t="n"/>
      <c r="N296" s="177" t="n"/>
      <c r="O296" s="177" t="n"/>
      <c r="P296" s="177" t="n"/>
      <c r="Q296" s="177" t="n"/>
      <c r="R296" s="177" t="n"/>
      <c r="S296" s="177" t="n"/>
      <c r="T296" s="177" t="n"/>
      <c r="U296" s="177" t="n"/>
      <c r="V296" s="177" t="n"/>
      <c r="W296" s="177" t="n"/>
    </row>
    <row r="297" outlineLevel="1" ht="15.75" customHeight="1" s="297">
      <c r="A297" s="190" t="n"/>
      <c r="B297" s="204" t="n"/>
      <c r="C297" s="191" t="n"/>
      <c r="D297" s="205">
        <f>IFERROR(VLOOKUP($C297,'PORTIFÓLIO'!C:V,2,0),"")</f>
        <v/>
      </c>
      <c r="E297" s="190">
        <f>IFERROR(VLOOKUP($C297,'PORTIFÓLIO'!C:V,3,0),"")</f>
        <v/>
      </c>
      <c r="F297" s="190">
        <f>IFERROR(VLOOKUP($C297,'PORTIFÓLIO'!C:V,4,0),"")</f>
        <v/>
      </c>
      <c r="G297" s="206">
        <f>IFERROR(VLOOKUP($C297,'PORTIFÓLIO'!C:V,5,0),"")</f>
        <v/>
      </c>
      <c r="H297" s="247">
        <f t="array" ref="H297">IFERROR(INDEX('PORTIFÓLIO'!$H$4:$H$433,MATCH($C297,'PORTIFÓLIO'!$C$4:$C$433,0)),"")</f>
        <v/>
      </c>
      <c r="I297" s="257" t="n"/>
      <c r="J297" s="209">
        <f>I297*$B$2</f>
        <v/>
      </c>
      <c r="K297" s="248">
        <f t="array" ref="K297">IFERROR(I297*INDEX('PORTIFÓLIO'!$S$4:$S$433,MATCH($C297,'PORTIFÓLIO'!$C$4:$C$433,0)),"")</f>
        <v/>
      </c>
      <c r="L297" s="248">
        <f t="array" ref="L297">IFERROR(J297*INDEX('PORTIFÓLIO'!$S$4:$S$433,MATCH($C297,'PORTIFÓLIO'!$C$4:$C$433,0)),"")</f>
        <v/>
      </c>
      <c r="M297" s="177" t="n"/>
      <c r="N297" s="177" t="n"/>
      <c r="O297" s="177" t="n"/>
      <c r="P297" s="177" t="n"/>
      <c r="Q297" s="177" t="n"/>
      <c r="R297" s="177" t="n"/>
      <c r="S297" s="177" t="n"/>
      <c r="T297" s="177" t="n"/>
      <c r="U297" s="177" t="n"/>
      <c r="V297" s="177" t="n"/>
      <c r="W297" s="177" t="n"/>
    </row>
    <row r="298" outlineLevel="1" ht="15.75" customHeight="1" s="297">
      <c r="A298" s="190" t="n"/>
      <c r="B298" s="204" t="n"/>
      <c r="C298" s="191" t="n"/>
      <c r="D298" s="205">
        <f>IFERROR(VLOOKUP($C298,'PORTIFÓLIO'!C:V,2,0),"")</f>
        <v/>
      </c>
      <c r="E298" s="190">
        <f>IFERROR(VLOOKUP($C298,'PORTIFÓLIO'!C:V,3,0),"")</f>
        <v/>
      </c>
      <c r="F298" s="190">
        <f>IFERROR(VLOOKUP($C298,'PORTIFÓLIO'!C:V,4,0),"")</f>
        <v/>
      </c>
      <c r="G298" s="206">
        <f>IFERROR(VLOOKUP($C298,'PORTIFÓLIO'!C:V,5,0),"")</f>
        <v/>
      </c>
      <c r="H298" s="247">
        <f t="array" ref="H298">IFERROR(INDEX('PORTIFÓLIO'!$H$4:$H$433,MATCH($C298,'PORTIFÓLIO'!$C$4:$C$433,0)),"")</f>
        <v/>
      </c>
      <c r="I298" s="257" t="n"/>
      <c r="J298" s="209">
        <f>I298*$B$2</f>
        <v/>
      </c>
      <c r="K298" s="248">
        <f t="array" ref="K298">IFERROR(I298*INDEX('PORTIFÓLIO'!$S$4:$S$433,MATCH($C298,'PORTIFÓLIO'!$C$4:$C$433,0)),"")</f>
        <v/>
      </c>
      <c r="L298" s="248">
        <f t="array" ref="L298">IFERROR(J298*INDEX('PORTIFÓLIO'!$S$4:$S$433,MATCH($C298,'PORTIFÓLIO'!$C$4:$C$433,0)),"")</f>
        <v/>
      </c>
      <c r="M298" s="177" t="n"/>
      <c r="N298" s="177" t="n"/>
      <c r="O298" s="177" t="n"/>
      <c r="P298" s="177" t="n"/>
      <c r="Q298" s="177" t="n"/>
      <c r="R298" s="177" t="n"/>
      <c r="S298" s="177" t="n"/>
      <c r="T298" s="177" t="n"/>
      <c r="U298" s="177" t="n"/>
      <c r="V298" s="177" t="n"/>
      <c r="W298" s="177" t="n"/>
    </row>
    <row r="299" outlineLevel="1" ht="15.75" customHeight="1" s="297">
      <c r="A299" s="190" t="n"/>
      <c r="B299" s="204" t="n"/>
      <c r="C299" s="191" t="n"/>
      <c r="D299" s="205">
        <f>IFERROR(VLOOKUP($C299,'PORTIFÓLIO'!C:V,2,0),"")</f>
        <v/>
      </c>
      <c r="E299" s="190">
        <f>IFERROR(VLOOKUP($C299,'PORTIFÓLIO'!C:V,3,0),"")</f>
        <v/>
      </c>
      <c r="F299" s="190">
        <f>IFERROR(VLOOKUP($C299,'PORTIFÓLIO'!C:V,4,0),"")</f>
        <v/>
      </c>
      <c r="G299" s="206">
        <f>IFERROR(VLOOKUP($C299,'PORTIFÓLIO'!C:V,5,0),"")</f>
        <v/>
      </c>
      <c r="H299" s="247">
        <f t="array" ref="H299">IFERROR(INDEX('PORTIFÓLIO'!$H$4:$H$433,MATCH($C299,'PORTIFÓLIO'!$C$4:$C$433,0)),"")</f>
        <v/>
      </c>
      <c r="I299" s="253" t="n"/>
      <c r="J299" s="209">
        <f>I299*$B$2</f>
        <v/>
      </c>
      <c r="K299" s="248">
        <f t="array" ref="K299">IFERROR(I299*INDEX('PORTIFÓLIO'!$S$4:$S$433,MATCH($C299,'PORTIFÓLIO'!$C$4:$C$433,0)),"")</f>
        <v/>
      </c>
      <c r="L299" s="248">
        <f t="array" ref="L299">IFERROR(J299*INDEX('PORTIFÓLIO'!$S$4:$S$433,MATCH($C299,'PORTIFÓLIO'!$C$4:$C$433,0)),"")</f>
        <v/>
      </c>
      <c r="M299" s="177" t="n"/>
      <c r="N299" s="177" t="n"/>
      <c r="O299" s="177" t="n"/>
      <c r="P299" s="177" t="n"/>
      <c r="Q299" s="177" t="n"/>
      <c r="R299" s="177" t="n"/>
      <c r="S299" s="177" t="n"/>
      <c r="T299" s="177" t="n"/>
      <c r="U299" s="177" t="n"/>
      <c r="V299" s="177" t="n"/>
      <c r="W299" s="177" t="n"/>
    </row>
    <row r="300" outlineLevel="1" ht="15.75" customHeight="1" s="297">
      <c r="A300" s="190" t="n"/>
      <c r="B300" s="204" t="n"/>
      <c r="C300" s="191" t="n"/>
      <c r="D300" s="205">
        <f>IFERROR(VLOOKUP($C300,'PORTIFÓLIO'!C:V,2,0),"")</f>
        <v/>
      </c>
      <c r="E300" s="190">
        <f>IFERROR(VLOOKUP($C300,'PORTIFÓLIO'!C:V,3,0),"")</f>
        <v/>
      </c>
      <c r="F300" s="190">
        <f>IFERROR(VLOOKUP($C300,'PORTIFÓLIO'!C:V,4,0),"")</f>
        <v/>
      </c>
      <c r="G300" s="206">
        <f>IFERROR(VLOOKUP($C300,'PORTIFÓLIO'!C:V,5,0),"")</f>
        <v/>
      </c>
      <c r="H300" s="247">
        <f t="array" ref="H300">IFERROR(INDEX('PORTIFÓLIO'!$H$4:$H$433,MATCH($C300,'PORTIFÓLIO'!$C$4:$C$433,0)),"")</f>
        <v/>
      </c>
      <c r="I300" s="257" t="n"/>
      <c r="J300" s="209">
        <f>I300*$B$2</f>
        <v/>
      </c>
      <c r="K300" s="248">
        <f t="array" ref="K300">IFERROR(I300*INDEX('PORTIFÓLIO'!$S$4:$S$433,MATCH($C300,'PORTIFÓLIO'!$C$4:$C$433,0)),"")</f>
        <v/>
      </c>
      <c r="L300" s="248">
        <f t="array" ref="L300">IFERROR(J300*INDEX('PORTIFÓLIO'!$S$4:$S$433,MATCH($C300,'PORTIFÓLIO'!$C$4:$C$433,0)),"")</f>
        <v/>
      </c>
      <c r="M300" s="177" t="n"/>
      <c r="N300" s="177" t="n"/>
      <c r="O300" s="177" t="n"/>
      <c r="P300" s="177" t="n"/>
      <c r="Q300" s="177" t="n"/>
      <c r="R300" s="177" t="n"/>
      <c r="S300" s="177" t="n"/>
      <c r="T300" s="177" t="n"/>
      <c r="U300" s="177" t="n"/>
      <c r="V300" s="177" t="n"/>
      <c r="W300" s="177" t="n"/>
    </row>
    <row r="301" outlineLevel="1" ht="15.75" customHeight="1" s="297">
      <c r="A301" s="190" t="n"/>
      <c r="B301" s="204" t="n"/>
      <c r="C301" s="191" t="n"/>
      <c r="D301" s="205">
        <f>IFERROR(VLOOKUP($C301,'PORTIFÓLIO'!C:V,2,0),"")</f>
        <v/>
      </c>
      <c r="E301" s="190">
        <f>IFERROR(VLOOKUP($C301,'PORTIFÓLIO'!C:V,3,0),"")</f>
        <v/>
      </c>
      <c r="F301" s="190">
        <f>IFERROR(VLOOKUP($C301,'PORTIFÓLIO'!C:V,4,0),"")</f>
        <v/>
      </c>
      <c r="G301" s="206">
        <f>IFERROR(VLOOKUP($C301,'PORTIFÓLIO'!C:V,5,0),"")</f>
        <v/>
      </c>
      <c r="H301" s="247">
        <f t="array" ref="H301">IFERROR(INDEX('PORTIFÓLIO'!$H$4:$H$433,MATCH($C301,'PORTIFÓLIO'!$C$4:$C$433,0)),"")</f>
        <v/>
      </c>
      <c r="I301" s="257" t="n"/>
      <c r="J301" s="209">
        <f>I301*$B$2</f>
        <v/>
      </c>
      <c r="K301" s="248">
        <f t="array" ref="K301">IFERROR(I301*INDEX('PORTIFÓLIO'!$S$4:$S$433,MATCH($C301,'PORTIFÓLIO'!$C$4:$C$433,0)),"")</f>
        <v/>
      </c>
      <c r="L301" s="248">
        <f t="array" ref="L301">IFERROR(J301*INDEX('PORTIFÓLIO'!$S$4:$S$433,MATCH($C301,'PORTIFÓLIO'!$C$4:$C$433,0)),"")</f>
        <v/>
      </c>
      <c r="M301" s="177" t="n"/>
      <c r="N301" s="177" t="n"/>
      <c r="O301" s="177" t="n"/>
      <c r="P301" s="177" t="n"/>
      <c r="Q301" s="177" t="n"/>
      <c r="R301" s="177" t="n"/>
      <c r="S301" s="177" t="n"/>
      <c r="T301" s="177" t="n"/>
      <c r="U301" s="177" t="n"/>
      <c r="V301" s="177" t="n"/>
      <c r="W301" s="177" t="n"/>
    </row>
    <row r="302" outlineLevel="1" ht="15.75" customHeight="1" s="297">
      <c r="A302" s="190" t="n"/>
      <c r="B302" s="204" t="n"/>
      <c r="C302" s="191" t="n"/>
      <c r="D302" s="205">
        <f>IFERROR(VLOOKUP($C302,'PORTIFÓLIO'!C:V,2,0),"")</f>
        <v/>
      </c>
      <c r="E302" s="190">
        <f>IFERROR(VLOOKUP($C302,'PORTIFÓLIO'!C:V,3,0),"")</f>
        <v/>
      </c>
      <c r="F302" s="190">
        <f>IFERROR(VLOOKUP($C302,'PORTIFÓLIO'!C:V,4,0),"")</f>
        <v/>
      </c>
      <c r="G302" s="206">
        <f>IFERROR(VLOOKUP($C302,'PORTIFÓLIO'!C:V,5,0),"")</f>
        <v/>
      </c>
      <c r="H302" s="247">
        <f t="array" ref="H302">IFERROR(INDEX('PORTIFÓLIO'!$H$4:$H$433,MATCH($C302,'PORTIFÓLIO'!$C$4:$C$433,0)),"")</f>
        <v/>
      </c>
      <c r="I302" s="257" t="n"/>
      <c r="J302" s="209">
        <f>I302*$B$2</f>
        <v/>
      </c>
      <c r="K302" s="248">
        <f t="array" ref="K302">IFERROR(I302*INDEX('PORTIFÓLIO'!$S$4:$S$433,MATCH($C302,'PORTIFÓLIO'!$C$4:$C$433,0)),"")</f>
        <v/>
      </c>
      <c r="L302" s="248">
        <f t="array" ref="L302">IFERROR(J302*INDEX('PORTIFÓLIO'!$S$4:$S$433,MATCH($C302,'PORTIFÓLIO'!$C$4:$C$433,0)),"")</f>
        <v/>
      </c>
      <c r="M302" s="177" t="n"/>
      <c r="N302" s="177" t="n"/>
      <c r="O302" s="177" t="n"/>
      <c r="P302" s="177" t="n"/>
      <c r="Q302" s="177" t="n"/>
      <c r="R302" s="177" t="n"/>
      <c r="S302" s="177" t="n"/>
      <c r="T302" s="177" t="n"/>
      <c r="U302" s="177" t="n"/>
      <c r="V302" s="177" t="n"/>
      <c r="W302" s="177" t="n"/>
    </row>
    <row r="303" outlineLevel="1" ht="15.75" customHeight="1" s="297">
      <c r="A303" s="190" t="n"/>
      <c r="B303" s="204" t="n"/>
      <c r="C303" s="191" t="n"/>
      <c r="D303" s="205">
        <f>IFERROR(VLOOKUP($C303,'PORTIFÓLIO'!C:V,2,0),"")</f>
        <v/>
      </c>
      <c r="E303" s="190">
        <f>IFERROR(VLOOKUP($C303,'PORTIFÓLIO'!C:V,3,0),"")</f>
        <v/>
      </c>
      <c r="F303" s="190">
        <f>IFERROR(VLOOKUP($C303,'PORTIFÓLIO'!C:V,4,0),"")</f>
        <v/>
      </c>
      <c r="G303" s="206">
        <f>IFERROR(VLOOKUP($C303,'PORTIFÓLIO'!C:V,5,0),"")</f>
        <v/>
      </c>
      <c r="H303" s="247">
        <f t="array" ref="H303">IFERROR(INDEX('PORTIFÓLIO'!$H$4:$H$433,MATCH($C303,'PORTIFÓLIO'!$C$4:$C$433,0)),"")</f>
        <v/>
      </c>
      <c r="I303" s="257" t="n"/>
      <c r="J303" s="209">
        <f>I303*$B$2</f>
        <v/>
      </c>
      <c r="K303" s="248">
        <f t="array" ref="K303">IFERROR(I303*INDEX('PORTIFÓLIO'!$S$4:$S$433,MATCH($C303,'PORTIFÓLIO'!$C$4:$C$433,0)),"")</f>
        <v/>
      </c>
      <c r="L303" s="248">
        <f t="array" ref="L303">IFERROR(J303*INDEX('PORTIFÓLIO'!$S$4:$S$433,MATCH($C303,'PORTIFÓLIO'!$C$4:$C$433,0)),"")</f>
        <v/>
      </c>
      <c r="M303" s="177" t="n"/>
      <c r="N303" s="177" t="n"/>
      <c r="O303" s="177" t="n"/>
      <c r="P303" s="177" t="n"/>
      <c r="Q303" s="177" t="n"/>
      <c r="R303" s="177" t="n"/>
      <c r="S303" s="177" t="n"/>
      <c r="T303" s="177" t="n"/>
      <c r="U303" s="177" t="n"/>
      <c r="V303" s="177" t="n"/>
      <c r="W303" s="177" t="n"/>
    </row>
    <row r="304" outlineLevel="1" ht="15.75" customHeight="1" s="297">
      <c r="A304" s="190" t="n"/>
      <c r="B304" s="204" t="n"/>
      <c r="C304" s="191" t="n"/>
      <c r="D304" s="205">
        <f>IFERROR(VLOOKUP($C304,'PORTIFÓLIO'!C:V,2,0),"")</f>
        <v/>
      </c>
      <c r="E304" s="190">
        <f>IFERROR(VLOOKUP($C304,'PORTIFÓLIO'!C:V,3,0),"")</f>
        <v/>
      </c>
      <c r="F304" s="190">
        <f>IFERROR(VLOOKUP($C304,'PORTIFÓLIO'!C:V,4,0),"")</f>
        <v/>
      </c>
      <c r="G304" s="206">
        <f>IFERROR(VLOOKUP($C304,'PORTIFÓLIO'!C:V,5,0),"")</f>
        <v/>
      </c>
      <c r="H304" s="247">
        <f t="array" ref="H304">IFERROR(INDEX('PORTIFÓLIO'!$H$4:$H$433,MATCH($C304,'PORTIFÓLIO'!$C$4:$C$433,0)),"")</f>
        <v/>
      </c>
      <c r="I304" s="257" t="n"/>
      <c r="J304" s="209">
        <f>I304*$B$2</f>
        <v/>
      </c>
      <c r="K304" s="248">
        <f t="array" ref="K304">IFERROR(I304*INDEX('PORTIFÓLIO'!$S$4:$S$433,MATCH($C304,'PORTIFÓLIO'!$C$4:$C$433,0)),"")</f>
        <v/>
      </c>
      <c r="L304" s="248">
        <f t="array" ref="L304">IFERROR(J304*INDEX('PORTIFÓLIO'!$S$4:$S$433,MATCH($C304,'PORTIFÓLIO'!$C$4:$C$433,0)),"")</f>
        <v/>
      </c>
      <c r="M304" s="177" t="n"/>
      <c r="N304" s="177" t="n"/>
      <c r="O304" s="177" t="n"/>
      <c r="P304" s="177" t="n"/>
      <c r="Q304" s="177" t="n"/>
      <c r="R304" s="177" t="n"/>
      <c r="S304" s="177" t="n"/>
      <c r="T304" s="177" t="n"/>
      <c r="U304" s="177" t="n"/>
      <c r="V304" s="177" t="n"/>
      <c r="W304" s="177" t="n"/>
    </row>
    <row r="305" outlineLevel="1" ht="15.75" customHeight="1" s="297">
      <c r="A305" s="190" t="n"/>
      <c r="B305" s="204" t="n"/>
      <c r="C305" s="191" t="n"/>
      <c r="D305" s="205">
        <f>IFERROR(VLOOKUP($C305,'PORTIFÓLIO'!C:V,2,0),"")</f>
        <v/>
      </c>
      <c r="E305" s="190">
        <f>IFERROR(VLOOKUP($C305,'PORTIFÓLIO'!C:V,3,0),"")</f>
        <v/>
      </c>
      <c r="F305" s="190">
        <f>IFERROR(VLOOKUP($C305,'PORTIFÓLIO'!C:V,4,0),"")</f>
        <v/>
      </c>
      <c r="G305" s="206">
        <f>IFERROR(VLOOKUP($C305,'PORTIFÓLIO'!C:V,5,0),"")</f>
        <v/>
      </c>
      <c r="H305" s="247">
        <f t="array" ref="H305">IFERROR(INDEX('PORTIFÓLIO'!$H$4:$H$433,MATCH($C305,'PORTIFÓLIO'!$C$4:$C$433,0)),"")</f>
        <v/>
      </c>
      <c r="I305" s="257" t="n"/>
      <c r="J305" s="209">
        <f>I305*$B$2</f>
        <v/>
      </c>
      <c r="K305" s="248">
        <f t="array" ref="K305">IFERROR(I305*INDEX('PORTIFÓLIO'!$S$4:$S$433,MATCH($C305,'PORTIFÓLIO'!$C$4:$C$433,0)),"")</f>
        <v/>
      </c>
      <c r="L305" s="248">
        <f t="array" ref="L305">IFERROR(J305*INDEX('PORTIFÓLIO'!$S$4:$S$433,MATCH($C305,'PORTIFÓLIO'!$C$4:$C$433,0)),"")</f>
        <v/>
      </c>
      <c r="M305" s="177" t="n"/>
      <c r="N305" s="177" t="n"/>
      <c r="O305" s="177" t="n"/>
      <c r="P305" s="177" t="n"/>
      <c r="Q305" s="177" t="n"/>
      <c r="R305" s="177" t="n"/>
      <c r="S305" s="177" t="n"/>
      <c r="T305" s="177" t="n"/>
      <c r="U305" s="177" t="n"/>
      <c r="V305" s="177" t="n"/>
      <c r="W305" s="177" t="n"/>
    </row>
    <row r="306" outlineLevel="1" ht="15.75" customHeight="1" s="297">
      <c r="A306" s="190" t="n"/>
      <c r="B306" s="204" t="n"/>
      <c r="C306" s="191" t="n"/>
      <c r="D306" s="205">
        <f>IFERROR(VLOOKUP($C306,'PORTIFÓLIO'!C:V,2,0),"")</f>
        <v/>
      </c>
      <c r="E306" s="190">
        <f>IFERROR(VLOOKUP($C306,'PORTIFÓLIO'!C:V,3,0),"")</f>
        <v/>
      </c>
      <c r="F306" s="190">
        <f>IFERROR(VLOOKUP($C306,'PORTIFÓLIO'!C:V,4,0),"")</f>
        <v/>
      </c>
      <c r="G306" s="206">
        <f>IFERROR(VLOOKUP($C306,'PORTIFÓLIO'!C:V,5,0),"")</f>
        <v/>
      </c>
      <c r="H306" s="247">
        <f t="array" ref="H306">IFERROR(INDEX('PORTIFÓLIO'!$H$4:$H$433,MATCH($C306,'PORTIFÓLIO'!$C$4:$C$433,0)),"")</f>
        <v/>
      </c>
      <c r="I306" s="257" t="n"/>
      <c r="J306" s="209">
        <f>I306*$B$2</f>
        <v/>
      </c>
      <c r="K306" s="248">
        <f t="array" ref="K306">IFERROR(I306*INDEX('PORTIFÓLIO'!$S$4:$S$433,MATCH($C306,'PORTIFÓLIO'!$C$4:$C$433,0)),"")</f>
        <v/>
      </c>
      <c r="L306" s="248">
        <f t="array" ref="L306">IFERROR(J306*INDEX('PORTIFÓLIO'!$S$4:$S$433,MATCH($C306,'PORTIFÓLIO'!$C$4:$C$433,0)),"")</f>
        <v/>
      </c>
      <c r="M306" s="177" t="n"/>
      <c r="N306" s="177" t="n"/>
      <c r="O306" s="177" t="n"/>
      <c r="P306" s="177" t="n"/>
      <c r="Q306" s="177" t="n"/>
      <c r="R306" s="177" t="n"/>
      <c r="S306" s="177" t="n"/>
      <c r="T306" s="177" t="n"/>
      <c r="U306" s="177" t="n"/>
      <c r="V306" s="177" t="n"/>
      <c r="W306" s="177" t="n"/>
    </row>
    <row r="307" outlineLevel="1" ht="15.75" customHeight="1" s="297">
      <c r="A307" s="190" t="n"/>
      <c r="B307" s="204" t="n"/>
      <c r="C307" s="191" t="n"/>
      <c r="D307" s="205">
        <f>IFERROR(VLOOKUP($C307,'PORTIFÓLIO'!C:V,2,0),"")</f>
        <v/>
      </c>
      <c r="E307" s="190">
        <f>IFERROR(VLOOKUP($C307,'PORTIFÓLIO'!C:V,3,0),"")</f>
        <v/>
      </c>
      <c r="F307" s="190">
        <f>IFERROR(VLOOKUP($C307,'PORTIFÓLIO'!C:V,4,0),"")</f>
        <v/>
      </c>
      <c r="G307" s="206">
        <f>IFERROR(VLOOKUP($C307,'PORTIFÓLIO'!C:V,5,0),"")</f>
        <v/>
      </c>
      <c r="H307" s="247">
        <f t="array" ref="H307">IFERROR(INDEX('PORTIFÓLIO'!$H$4:$H$433,MATCH($C307,'PORTIFÓLIO'!$C$4:$C$433,0)),"")</f>
        <v/>
      </c>
      <c r="I307" s="257" t="n"/>
      <c r="J307" s="209">
        <f>I307*$B$2</f>
        <v/>
      </c>
      <c r="K307" s="248">
        <f t="array" ref="K307">IFERROR(I307*INDEX('PORTIFÓLIO'!$S$4:$S$433,MATCH($C307,'PORTIFÓLIO'!$C$4:$C$433,0)),"")</f>
        <v/>
      </c>
      <c r="L307" s="248">
        <f t="array" ref="L307">IFERROR(J307*INDEX('PORTIFÓLIO'!$S$4:$S$433,MATCH($C307,'PORTIFÓLIO'!$C$4:$C$433,0)),"")</f>
        <v/>
      </c>
      <c r="M307" s="177" t="n"/>
      <c r="N307" s="177" t="n"/>
      <c r="O307" s="177" t="n"/>
      <c r="P307" s="177" t="n"/>
      <c r="Q307" s="177" t="n"/>
      <c r="R307" s="177" t="n"/>
      <c r="S307" s="177" t="n"/>
      <c r="T307" s="177" t="n"/>
      <c r="U307" s="177" t="n"/>
      <c r="V307" s="177" t="n"/>
      <c r="W307" s="177" t="n"/>
    </row>
    <row r="308" ht="15.75" customHeight="1" s="297">
      <c r="A308" s="221" t="inlineStr">
        <is>
          <t>OPERAÇÃO 5</t>
        </is>
      </c>
      <c r="B308" s="197" t="n"/>
      <c r="C308" s="196" t="n"/>
      <c r="D308" s="198" t="n"/>
      <c r="E308" s="196" t="n"/>
      <c r="F308" s="196" t="n"/>
      <c r="G308" s="199" t="n"/>
      <c r="H308" s="199" t="n"/>
      <c r="I308" s="252" t="n"/>
      <c r="J308" s="202" t="n"/>
      <c r="K308" s="203">
        <f>SUBTOTAL(9,K309:K322)</f>
        <v/>
      </c>
      <c r="L308" s="203">
        <f>SUBTOTAL(9,L309:L322)</f>
        <v/>
      </c>
      <c r="M308" s="177" t="n"/>
      <c r="N308" s="177" t="n"/>
      <c r="O308" s="177" t="n"/>
      <c r="P308" s="177" t="n"/>
      <c r="Q308" s="177" t="n"/>
      <c r="R308" s="177" t="n"/>
      <c r="S308" s="177" t="n"/>
      <c r="T308" s="177" t="n"/>
      <c r="U308" s="177" t="n"/>
      <c r="V308" s="177" t="n"/>
      <c r="W308" s="177" t="n"/>
    </row>
    <row r="309" outlineLevel="1" ht="15.75" customHeight="1" s="297">
      <c r="A309" s="191" t="n"/>
      <c r="B309" s="204" t="n"/>
      <c r="C309" s="191" t="n"/>
      <c r="D309" s="205">
        <f>IFERROR(VLOOKUP($C309,'PORTIFÓLIO'!C:V,2,0),"")</f>
        <v/>
      </c>
      <c r="E309" s="190">
        <f>IFERROR(VLOOKUP($C309,'PORTIFÓLIO'!C:V,3,0),"")</f>
        <v/>
      </c>
      <c r="F309" s="190">
        <f>IFERROR(VLOOKUP($C309,'PORTIFÓLIO'!C:V,4,0),"")</f>
        <v/>
      </c>
      <c r="G309" s="206">
        <f>IFERROR(VLOOKUP($C309,'PORTIFÓLIO'!C:V,5,0),"")</f>
        <v/>
      </c>
      <c r="H309" s="247">
        <f t="array" ref="H309">IFERROR(INDEX('PORTIFÓLIO'!$H$4:$H$433,MATCH($C309,'PORTIFÓLIO'!$C$4:$C$433,0)),"")</f>
        <v/>
      </c>
      <c r="I309" s="253" t="n"/>
      <c r="J309" s="209">
        <f>I309*$B$2</f>
        <v/>
      </c>
      <c r="K309" s="248">
        <f t="array" ref="K309">IFERROR(I309*INDEX('PORTIFÓLIO'!$S$4:$S$433,MATCH($C309,'PORTIFÓLIO'!$C$4:$C$433,0)),"")</f>
        <v/>
      </c>
      <c r="L309" s="248">
        <f t="array" ref="L309">IFERROR(J309*INDEX('PORTIFÓLIO'!$S$4:$S$433,MATCH($C309,'PORTIFÓLIO'!$C$4:$C$433,0)),"")</f>
        <v/>
      </c>
      <c r="M309" s="177" t="n"/>
      <c r="N309" s="177" t="n"/>
      <c r="O309" s="177" t="n"/>
      <c r="P309" s="177" t="n"/>
      <c r="Q309" s="177" t="n"/>
      <c r="R309" s="177" t="n"/>
      <c r="S309" s="177" t="n"/>
      <c r="T309" s="177" t="n"/>
      <c r="U309" s="177" t="n"/>
      <c r="V309" s="177" t="n"/>
      <c r="W309" s="177" t="n"/>
    </row>
    <row r="310" outlineLevel="1" ht="15.75" customHeight="1" s="297">
      <c r="A310" s="190" t="n"/>
      <c r="B310" s="204" t="n"/>
      <c r="C310" s="191" t="n"/>
      <c r="D310" s="205">
        <f>IFERROR(VLOOKUP($C310,'PORTIFÓLIO'!C:V,2,0),"")</f>
        <v/>
      </c>
      <c r="E310" s="190">
        <f>IFERROR(VLOOKUP($C310,'PORTIFÓLIO'!C:V,3,0),"")</f>
        <v/>
      </c>
      <c r="F310" s="190">
        <f>IFERROR(VLOOKUP($C310,'PORTIFÓLIO'!C:V,4,0),"")</f>
        <v/>
      </c>
      <c r="G310" s="206">
        <f>IFERROR(VLOOKUP($C310,'PORTIFÓLIO'!C:V,5,0),"")</f>
        <v/>
      </c>
      <c r="H310" s="247">
        <f t="array" ref="H310">IFERROR(INDEX('PORTIFÓLIO'!$H$4:$H$433,MATCH($C310,'PORTIFÓLIO'!$C$4:$C$433,0)),"")</f>
        <v/>
      </c>
      <c r="I310" s="257" t="n"/>
      <c r="J310" s="209">
        <f>I310*$B$2</f>
        <v/>
      </c>
      <c r="K310" s="248">
        <f t="array" ref="K310">IFERROR(I310*INDEX('PORTIFÓLIO'!$S$4:$S$433,MATCH($C310,'PORTIFÓLIO'!$C$4:$C$433,0)),"")</f>
        <v/>
      </c>
      <c r="L310" s="248">
        <f t="array" ref="L310">IFERROR(J310*INDEX('PORTIFÓLIO'!$S$4:$S$433,MATCH($C310,'PORTIFÓLIO'!$C$4:$C$433,0)),"")</f>
        <v/>
      </c>
      <c r="M310" s="177" t="n"/>
      <c r="N310" s="177" t="n"/>
      <c r="O310" s="177" t="n"/>
      <c r="P310" s="177" t="n"/>
      <c r="Q310" s="177" t="n"/>
      <c r="R310" s="177" t="n"/>
      <c r="S310" s="177" t="n"/>
      <c r="T310" s="177" t="n"/>
      <c r="U310" s="177" t="n"/>
      <c r="V310" s="177" t="n"/>
      <c r="W310" s="177" t="n"/>
    </row>
    <row r="311" outlineLevel="1" ht="15.75" customHeight="1" s="297">
      <c r="A311" s="190" t="n"/>
      <c r="B311" s="204" t="n"/>
      <c r="C311" s="191" t="n"/>
      <c r="D311" s="205">
        <f>IFERROR(VLOOKUP($C311,'PORTIFÓLIO'!C:V,2,0),"")</f>
        <v/>
      </c>
      <c r="E311" s="190">
        <f>IFERROR(VLOOKUP($C311,'PORTIFÓLIO'!C:V,3,0),"")</f>
        <v/>
      </c>
      <c r="F311" s="190">
        <f>IFERROR(VLOOKUP($C311,'PORTIFÓLIO'!C:V,4,0),"")</f>
        <v/>
      </c>
      <c r="G311" s="206">
        <f>IFERROR(VLOOKUP($C311,'PORTIFÓLIO'!C:V,5,0),"")</f>
        <v/>
      </c>
      <c r="H311" s="247">
        <f t="array" ref="H311">IFERROR(INDEX('PORTIFÓLIO'!$H$4:$H$433,MATCH($C311,'PORTIFÓLIO'!$C$4:$C$433,0)),"")</f>
        <v/>
      </c>
      <c r="I311" s="257" t="n"/>
      <c r="J311" s="209">
        <f>I311*$B$2</f>
        <v/>
      </c>
      <c r="K311" s="248">
        <f t="array" ref="K311">IFERROR(I311*INDEX('PORTIFÓLIO'!$S$4:$S$433,MATCH($C311,'PORTIFÓLIO'!$C$4:$C$433,0)),"")</f>
        <v/>
      </c>
      <c r="L311" s="248">
        <f t="array" ref="L311">IFERROR(J311*INDEX('PORTIFÓLIO'!$S$4:$S$433,MATCH($C311,'PORTIFÓLIO'!$C$4:$C$433,0)),"")</f>
        <v/>
      </c>
      <c r="M311" s="177" t="n"/>
      <c r="N311" s="177" t="n"/>
      <c r="O311" s="177" t="n"/>
      <c r="P311" s="177" t="n"/>
      <c r="Q311" s="177" t="n"/>
      <c r="R311" s="177" t="n"/>
      <c r="S311" s="177" t="n"/>
      <c r="T311" s="177" t="n"/>
      <c r="U311" s="177" t="n"/>
      <c r="V311" s="177" t="n"/>
      <c r="W311" s="177" t="n"/>
    </row>
    <row r="312" outlineLevel="1" ht="15.75" customHeight="1" s="297">
      <c r="A312" s="190" t="n"/>
      <c r="B312" s="204" t="n"/>
      <c r="C312" s="191" t="n"/>
      <c r="D312" s="205">
        <f>IFERROR(VLOOKUP($C312,'PORTIFÓLIO'!C:V,2,0),"")</f>
        <v/>
      </c>
      <c r="E312" s="190">
        <f>IFERROR(VLOOKUP($C312,'PORTIFÓLIO'!C:V,3,0),"")</f>
        <v/>
      </c>
      <c r="F312" s="190">
        <f>IFERROR(VLOOKUP($C312,'PORTIFÓLIO'!C:V,4,0),"")</f>
        <v/>
      </c>
      <c r="G312" s="206">
        <f>IFERROR(VLOOKUP($C312,'PORTIFÓLIO'!C:V,5,0),"")</f>
        <v/>
      </c>
      <c r="H312" s="247">
        <f t="array" ref="H312">IFERROR(INDEX('PORTIFÓLIO'!$H$4:$H$433,MATCH($C312,'PORTIFÓLIO'!$C$4:$C$433,0)),"")</f>
        <v/>
      </c>
      <c r="I312" s="257" t="n"/>
      <c r="J312" s="209">
        <f>I312*$B$2</f>
        <v/>
      </c>
      <c r="K312" s="248">
        <f t="array" ref="K312">IFERROR(I312*INDEX('PORTIFÓLIO'!$S$4:$S$433,MATCH($C312,'PORTIFÓLIO'!$C$4:$C$433,0)),"")</f>
        <v/>
      </c>
      <c r="L312" s="248">
        <f t="array" ref="L312">IFERROR(J312*INDEX('PORTIFÓLIO'!$S$4:$S$433,MATCH($C312,'PORTIFÓLIO'!$C$4:$C$433,0)),"")</f>
        <v/>
      </c>
      <c r="M312" s="177" t="n"/>
      <c r="N312" s="177" t="n"/>
      <c r="O312" s="177" t="n"/>
      <c r="P312" s="177" t="n"/>
      <c r="Q312" s="177" t="n"/>
      <c r="R312" s="177" t="n"/>
      <c r="S312" s="177" t="n"/>
      <c r="T312" s="177" t="n"/>
      <c r="U312" s="177" t="n"/>
      <c r="V312" s="177" t="n"/>
      <c r="W312" s="177" t="n"/>
    </row>
    <row r="313" outlineLevel="1" ht="15.75" customHeight="1" s="297">
      <c r="A313" s="190" t="n"/>
      <c r="B313" s="204" t="n"/>
      <c r="C313" s="191" t="n"/>
      <c r="D313" s="205">
        <f>IFERROR(VLOOKUP($C313,'PORTIFÓLIO'!C:V,2,0),"")</f>
        <v/>
      </c>
      <c r="E313" s="190">
        <f>IFERROR(VLOOKUP($C313,'PORTIFÓLIO'!C:V,3,0),"")</f>
        <v/>
      </c>
      <c r="F313" s="190">
        <f>IFERROR(VLOOKUP($C313,'PORTIFÓLIO'!C:V,4,0),"")</f>
        <v/>
      </c>
      <c r="G313" s="206">
        <f>IFERROR(VLOOKUP($C313,'PORTIFÓLIO'!C:V,5,0),"")</f>
        <v/>
      </c>
      <c r="H313" s="247">
        <f t="array" ref="H313">IFERROR(INDEX('PORTIFÓLIO'!$H$4:$H$433,MATCH($C313,'PORTIFÓLIO'!$C$4:$C$433,0)),"")</f>
        <v/>
      </c>
      <c r="I313" s="257" t="n"/>
      <c r="J313" s="209">
        <f>I313*$B$2</f>
        <v/>
      </c>
      <c r="K313" s="248">
        <f t="array" ref="K313">IFERROR(I313*INDEX('PORTIFÓLIO'!$S$4:$S$433,MATCH($C313,'PORTIFÓLIO'!$C$4:$C$433,0)),"")</f>
        <v/>
      </c>
      <c r="L313" s="248">
        <f t="array" ref="L313">IFERROR(J313*INDEX('PORTIFÓLIO'!$S$4:$S$433,MATCH($C313,'PORTIFÓLIO'!$C$4:$C$433,0)),"")</f>
        <v/>
      </c>
      <c r="M313" s="177" t="n"/>
      <c r="N313" s="177" t="n"/>
      <c r="O313" s="177" t="n"/>
      <c r="P313" s="177" t="n"/>
      <c r="Q313" s="177" t="n"/>
      <c r="R313" s="177" t="n"/>
      <c r="S313" s="177" t="n"/>
      <c r="T313" s="177" t="n"/>
      <c r="U313" s="177" t="n"/>
      <c r="V313" s="177" t="n"/>
      <c r="W313" s="177" t="n"/>
    </row>
    <row r="314" outlineLevel="1" ht="15.75" customHeight="1" s="297">
      <c r="A314" s="190" t="n"/>
      <c r="B314" s="204" t="n"/>
      <c r="C314" s="191" t="n"/>
      <c r="D314" s="205">
        <f>IFERROR(VLOOKUP($C314,'PORTIFÓLIO'!C:V,2,0),"")</f>
        <v/>
      </c>
      <c r="E314" s="190">
        <f>IFERROR(VLOOKUP($C314,'PORTIFÓLIO'!C:V,3,0),"")</f>
        <v/>
      </c>
      <c r="F314" s="190">
        <f>IFERROR(VLOOKUP($C314,'PORTIFÓLIO'!C:V,4,0),"")</f>
        <v/>
      </c>
      <c r="G314" s="206">
        <f>IFERROR(VLOOKUP($C314,'PORTIFÓLIO'!C:V,5,0),"")</f>
        <v/>
      </c>
      <c r="H314" s="247">
        <f t="array" ref="H314">IFERROR(INDEX('PORTIFÓLIO'!$H$4:$H$433,MATCH($C314,'PORTIFÓLIO'!$C$4:$C$433,0)),"")</f>
        <v/>
      </c>
      <c r="I314" s="257" t="n"/>
      <c r="J314" s="209">
        <f>I314*$B$2</f>
        <v/>
      </c>
      <c r="K314" s="248">
        <f t="array" ref="K314">IFERROR(I314*INDEX('PORTIFÓLIO'!$S$4:$S$433,MATCH($C314,'PORTIFÓLIO'!$C$4:$C$433,0)),"")</f>
        <v/>
      </c>
      <c r="L314" s="248">
        <f t="array" ref="L314">IFERROR(J314*INDEX('PORTIFÓLIO'!$S$4:$S$433,MATCH($C314,'PORTIFÓLIO'!$C$4:$C$433,0)),"")</f>
        <v/>
      </c>
      <c r="M314" s="177" t="n"/>
      <c r="N314" s="177" t="n"/>
      <c r="O314" s="177" t="n"/>
      <c r="P314" s="177" t="n"/>
      <c r="Q314" s="177" t="n"/>
      <c r="R314" s="177" t="n"/>
      <c r="S314" s="177" t="n"/>
      <c r="T314" s="177" t="n"/>
      <c r="U314" s="177" t="n"/>
      <c r="V314" s="177" t="n"/>
      <c r="W314" s="177" t="n"/>
    </row>
    <row r="315" outlineLevel="1" ht="15.75" customHeight="1" s="297">
      <c r="A315" s="190" t="n"/>
      <c r="B315" s="204" t="n"/>
      <c r="C315" s="191" t="n"/>
      <c r="D315" s="205">
        <f>IFERROR(VLOOKUP($C315,'PORTIFÓLIO'!C:V,2,0),"")</f>
        <v/>
      </c>
      <c r="E315" s="190">
        <f>IFERROR(VLOOKUP($C315,'PORTIFÓLIO'!C:V,3,0),"")</f>
        <v/>
      </c>
      <c r="F315" s="190">
        <f>IFERROR(VLOOKUP($C315,'PORTIFÓLIO'!C:V,4,0),"")</f>
        <v/>
      </c>
      <c r="G315" s="206">
        <f>IFERROR(VLOOKUP($C315,'PORTIFÓLIO'!C:V,5,0),"")</f>
        <v/>
      </c>
      <c r="H315" s="247">
        <f t="array" ref="H315">IFERROR(INDEX('PORTIFÓLIO'!$H$4:$H$433,MATCH($C315,'PORTIFÓLIO'!$C$4:$C$433,0)),"")</f>
        <v/>
      </c>
      <c r="I315" s="257" t="n"/>
      <c r="J315" s="209">
        <f>I315*$B$2</f>
        <v/>
      </c>
      <c r="K315" s="248">
        <f t="array" ref="K315">IFERROR(I315*INDEX('PORTIFÓLIO'!$S$4:$S$433,MATCH($C315,'PORTIFÓLIO'!$C$4:$C$433,0)),"")</f>
        <v/>
      </c>
      <c r="L315" s="248">
        <f t="array" ref="L315">IFERROR(J315*INDEX('PORTIFÓLIO'!$S$4:$S$433,MATCH($C315,'PORTIFÓLIO'!$C$4:$C$433,0)),"")</f>
        <v/>
      </c>
      <c r="M315" s="177" t="n"/>
      <c r="N315" s="177" t="n"/>
      <c r="O315" s="177" t="n"/>
      <c r="P315" s="177" t="n"/>
      <c r="Q315" s="177" t="n"/>
      <c r="R315" s="177" t="n"/>
      <c r="S315" s="177" t="n"/>
      <c r="T315" s="177" t="n"/>
      <c r="U315" s="177" t="n"/>
      <c r="V315" s="177" t="n"/>
      <c r="W315" s="177" t="n"/>
    </row>
    <row r="316" outlineLevel="1" ht="15.75" customHeight="1" s="297">
      <c r="A316" s="190" t="n"/>
      <c r="B316" s="204" t="n"/>
      <c r="C316" s="191" t="n"/>
      <c r="D316" s="205">
        <f>IFERROR(VLOOKUP($C316,'PORTIFÓLIO'!C:V,2,0),"")</f>
        <v/>
      </c>
      <c r="E316" s="190">
        <f>IFERROR(VLOOKUP($C316,'PORTIFÓLIO'!C:V,3,0),"")</f>
        <v/>
      </c>
      <c r="F316" s="190">
        <f>IFERROR(VLOOKUP($C316,'PORTIFÓLIO'!C:V,4,0),"")</f>
        <v/>
      </c>
      <c r="G316" s="206">
        <f>IFERROR(VLOOKUP($C316,'PORTIFÓLIO'!C:V,5,0),"")</f>
        <v/>
      </c>
      <c r="H316" s="247">
        <f t="array" ref="H316">IFERROR(INDEX('PORTIFÓLIO'!$H$4:$H$433,MATCH($C316,'PORTIFÓLIO'!$C$4:$C$433,0)),"")</f>
        <v/>
      </c>
      <c r="I316" s="257" t="n"/>
      <c r="J316" s="209">
        <f>I316*$B$2</f>
        <v/>
      </c>
      <c r="K316" s="248">
        <f t="array" ref="K316">IFERROR(I316*INDEX('PORTIFÓLIO'!$S$4:$S$433,MATCH($C316,'PORTIFÓLIO'!$C$4:$C$433,0)),"")</f>
        <v/>
      </c>
      <c r="L316" s="248">
        <f t="array" ref="L316">IFERROR(J316*INDEX('PORTIFÓLIO'!$S$4:$S$433,MATCH($C316,'PORTIFÓLIO'!$C$4:$C$433,0)),"")</f>
        <v/>
      </c>
      <c r="M316" s="177" t="n"/>
      <c r="N316" s="177" t="n"/>
      <c r="O316" s="177" t="n"/>
      <c r="P316" s="177" t="n"/>
      <c r="Q316" s="177" t="n"/>
      <c r="R316" s="177" t="n"/>
      <c r="S316" s="177" t="n"/>
      <c r="T316" s="177" t="n"/>
      <c r="U316" s="177" t="n"/>
      <c r="V316" s="177" t="n"/>
      <c r="W316" s="177" t="n"/>
    </row>
    <row r="317" outlineLevel="1" ht="15.75" customHeight="1" s="297">
      <c r="A317" s="190" t="n"/>
      <c r="B317" s="204" t="n"/>
      <c r="C317" s="191" t="n"/>
      <c r="D317" s="205">
        <f>IFERROR(VLOOKUP($C317,'PORTIFÓLIO'!C:V,2,0),"")</f>
        <v/>
      </c>
      <c r="E317" s="190">
        <f>IFERROR(VLOOKUP($C317,'PORTIFÓLIO'!C:V,3,0),"")</f>
        <v/>
      </c>
      <c r="F317" s="190">
        <f>IFERROR(VLOOKUP($C317,'PORTIFÓLIO'!C:V,4,0),"")</f>
        <v/>
      </c>
      <c r="G317" s="206">
        <f>IFERROR(VLOOKUP($C317,'PORTIFÓLIO'!C:V,5,0),"")</f>
        <v/>
      </c>
      <c r="H317" s="247">
        <f t="array" ref="H317">IFERROR(INDEX('PORTIFÓLIO'!$H$4:$H$433,MATCH($C317,'PORTIFÓLIO'!$C$4:$C$433,0)),"")</f>
        <v/>
      </c>
      <c r="I317" s="253" t="n"/>
      <c r="J317" s="209">
        <f>I317*$B$2</f>
        <v/>
      </c>
      <c r="K317" s="248">
        <f t="array" ref="K317">IFERROR(I317*INDEX('PORTIFÓLIO'!$S$4:$S$433,MATCH($C317,'PORTIFÓLIO'!$C$4:$C$433,0)),"")</f>
        <v/>
      </c>
      <c r="L317" s="248">
        <f t="array" ref="L317">IFERROR(J317*INDEX('PORTIFÓLIO'!$S$4:$S$433,MATCH($C317,'PORTIFÓLIO'!$C$4:$C$433,0)),"")</f>
        <v/>
      </c>
      <c r="M317" s="177" t="n"/>
      <c r="N317" s="177" t="n"/>
      <c r="O317" s="177" t="n"/>
      <c r="P317" s="177" t="n"/>
      <c r="Q317" s="177" t="n"/>
      <c r="R317" s="177" t="n"/>
      <c r="S317" s="177" t="n"/>
      <c r="T317" s="177" t="n"/>
      <c r="U317" s="177" t="n"/>
      <c r="V317" s="177" t="n"/>
      <c r="W317" s="177" t="n"/>
    </row>
    <row r="318" outlineLevel="1" ht="15.75" customHeight="1" s="297">
      <c r="A318" s="190" t="n"/>
      <c r="B318" s="204" t="n"/>
      <c r="C318" s="191" t="n"/>
      <c r="D318" s="205">
        <f>IFERROR(VLOOKUP($C318,'PORTIFÓLIO'!C:V,2,0),"")</f>
        <v/>
      </c>
      <c r="E318" s="190">
        <f>IFERROR(VLOOKUP($C318,'PORTIFÓLIO'!C:V,3,0),"")</f>
        <v/>
      </c>
      <c r="F318" s="190">
        <f>IFERROR(VLOOKUP($C318,'PORTIFÓLIO'!C:V,4,0),"")</f>
        <v/>
      </c>
      <c r="G318" s="206">
        <f>IFERROR(VLOOKUP($C318,'PORTIFÓLIO'!C:V,5,0),"")</f>
        <v/>
      </c>
      <c r="H318" s="247">
        <f t="array" ref="H318">IFERROR(INDEX('PORTIFÓLIO'!$H$4:$H$433,MATCH($C318,'PORTIFÓLIO'!$C$4:$C$433,0)),"")</f>
        <v/>
      </c>
      <c r="I318" s="257" t="n"/>
      <c r="J318" s="209">
        <f>I318*$B$2</f>
        <v/>
      </c>
      <c r="K318" s="248">
        <f t="array" ref="K318">IFERROR(I318*INDEX('PORTIFÓLIO'!$S$4:$S$433,MATCH($C318,'PORTIFÓLIO'!$C$4:$C$433,0)),"")</f>
        <v/>
      </c>
      <c r="L318" s="248">
        <f t="array" ref="L318">IFERROR(J318*INDEX('PORTIFÓLIO'!$S$4:$S$433,MATCH($C318,'PORTIFÓLIO'!$C$4:$C$433,0)),"")</f>
        <v/>
      </c>
      <c r="M318" s="177" t="n"/>
      <c r="N318" s="177" t="n"/>
      <c r="O318" s="177" t="n"/>
      <c r="P318" s="177" t="n"/>
      <c r="Q318" s="177" t="n"/>
      <c r="R318" s="177" t="n"/>
      <c r="S318" s="177" t="n"/>
      <c r="T318" s="177" t="n"/>
      <c r="U318" s="177" t="n"/>
      <c r="V318" s="177" t="n"/>
      <c r="W318" s="177" t="n"/>
    </row>
    <row r="319" outlineLevel="1" ht="15.75" customHeight="1" s="297">
      <c r="A319" s="190" t="n"/>
      <c r="B319" s="204" t="n"/>
      <c r="C319" s="191" t="n"/>
      <c r="D319" s="205">
        <f>IFERROR(VLOOKUP($C319,'PORTIFÓLIO'!C:V,2,0),"")</f>
        <v/>
      </c>
      <c r="E319" s="190">
        <f>IFERROR(VLOOKUP($C319,'PORTIFÓLIO'!C:V,3,0),"")</f>
        <v/>
      </c>
      <c r="F319" s="190">
        <f>IFERROR(VLOOKUP($C319,'PORTIFÓLIO'!C:V,4,0),"")</f>
        <v/>
      </c>
      <c r="G319" s="206">
        <f>IFERROR(VLOOKUP($C319,'PORTIFÓLIO'!C:V,5,0),"")</f>
        <v/>
      </c>
      <c r="H319" s="247">
        <f t="array" ref="H319">IFERROR(INDEX('PORTIFÓLIO'!$H$4:$H$433,MATCH($C319,'PORTIFÓLIO'!$C$4:$C$433,0)),"")</f>
        <v/>
      </c>
      <c r="I319" s="257" t="n"/>
      <c r="J319" s="209">
        <f>I319*$B$2</f>
        <v/>
      </c>
      <c r="K319" s="248">
        <f t="array" ref="K319">IFERROR(I319*INDEX('PORTIFÓLIO'!$S$4:$S$433,MATCH($C319,'PORTIFÓLIO'!$C$4:$C$433,0)),"")</f>
        <v/>
      </c>
      <c r="L319" s="248">
        <f t="array" ref="L319">IFERROR(J319*INDEX('PORTIFÓLIO'!$S$4:$S$433,MATCH($C319,'PORTIFÓLIO'!$C$4:$C$433,0)),"")</f>
        <v/>
      </c>
      <c r="M319" s="177" t="n"/>
      <c r="N319" s="177" t="n"/>
      <c r="O319" s="177" t="n"/>
      <c r="P319" s="177" t="n"/>
      <c r="Q319" s="177" t="n"/>
      <c r="R319" s="177" t="n"/>
      <c r="S319" s="177" t="n"/>
      <c r="T319" s="177" t="n"/>
      <c r="U319" s="177" t="n"/>
      <c r="V319" s="177" t="n"/>
      <c r="W319" s="177" t="n"/>
    </row>
    <row r="320" outlineLevel="1" ht="15.75" customHeight="1" s="297">
      <c r="A320" s="190" t="n"/>
      <c r="B320" s="204" t="n"/>
      <c r="C320" s="191" t="n"/>
      <c r="D320" s="205">
        <f>IFERROR(VLOOKUP($C320,'PORTIFÓLIO'!C:V,2,0),"")</f>
        <v/>
      </c>
      <c r="E320" s="190">
        <f>IFERROR(VLOOKUP($C320,'PORTIFÓLIO'!C:V,3,0),"")</f>
        <v/>
      </c>
      <c r="F320" s="190">
        <f>IFERROR(VLOOKUP($C320,'PORTIFÓLIO'!C:V,4,0),"")</f>
        <v/>
      </c>
      <c r="G320" s="206">
        <f>IFERROR(VLOOKUP($C320,'PORTIFÓLIO'!C:V,5,0),"")</f>
        <v/>
      </c>
      <c r="H320" s="247">
        <f t="array" ref="H320">IFERROR(INDEX('PORTIFÓLIO'!$H$4:$H$433,MATCH($C320,'PORTIFÓLIO'!$C$4:$C$433,0)),"")</f>
        <v/>
      </c>
      <c r="I320" s="257" t="n"/>
      <c r="J320" s="209">
        <f>I320*$B$2</f>
        <v/>
      </c>
      <c r="K320" s="248">
        <f t="array" ref="K320">IFERROR(I320*INDEX('PORTIFÓLIO'!$S$4:$S$433,MATCH($C320,'PORTIFÓLIO'!$C$4:$C$433,0)),"")</f>
        <v/>
      </c>
      <c r="L320" s="248">
        <f t="array" ref="L320">IFERROR(J320*INDEX('PORTIFÓLIO'!$S$4:$S$433,MATCH($C320,'PORTIFÓLIO'!$C$4:$C$433,0)),"")</f>
        <v/>
      </c>
      <c r="M320" s="177" t="n"/>
      <c r="N320" s="177" t="n"/>
      <c r="O320" s="177" t="n"/>
      <c r="P320" s="177" t="n"/>
      <c r="Q320" s="177" t="n"/>
      <c r="R320" s="177" t="n"/>
      <c r="S320" s="177" t="n"/>
      <c r="T320" s="177" t="n"/>
      <c r="U320" s="177" t="n"/>
      <c r="V320" s="177" t="n"/>
      <c r="W320" s="177" t="n"/>
    </row>
    <row r="321" outlineLevel="1" ht="15.75" customHeight="1" s="297">
      <c r="A321" s="190" t="n"/>
      <c r="B321" s="204" t="n"/>
      <c r="C321" s="191" t="n"/>
      <c r="D321" s="205">
        <f>IFERROR(VLOOKUP($C321,'PORTIFÓLIO'!C:V,2,0),"")</f>
        <v/>
      </c>
      <c r="E321" s="190">
        <f>IFERROR(VLOOKUP($C321,'PORTIFÓLIO'!C:V,3,0),"")</f>
        <v/>
      </c>
      <c r="F321" s="190">
        <f>IFERROR(VLOOKUP($C321,'PORTIFÓLIO'!C:V,4,0),"")</f>
        <v/>
      </c>
      <c r="G321" s="206">
        <f>IFERROR(VLOOKUP($C321,'PORTIFÓLIO'!C:V,5,0),"")</f>
        <v/>
      </c>
      <c r="H321" s="247">
        <f t="array" ref="H321">IFERROR(INDEX('PORTIFÓLIO'!$H$4:$H$433,MATCH($C321,'PORTIFÓLIO'!$C$4:$C$433,0)),"")</f>
        <v/>
      </c>
      <c r="I321" s="257" t="n"/>
      <c r="J321" s="209">
        <f>I321*$B$2</f>
        <v/>
      </c>
      <c r="K321" s="248">
        <f t="array" ref="K321">IFERROR(I321*INDEX('PORTIFÓLIO'!$S$4:$S$433,MATCH($C321,'PORTIFÓLIO'!$C$4:$C$433,0)),"")</f>
        <v/>
      </c>
      <c r="L321" s="248">
        <f t="array" ref="L321">IFERROR(J321*INDEX('PORTIFÓLIO'!$S$4:$S$433,MATCH($C321,'PORTIFÓLIO'!$C$4:$C$433,0)),"")</f>
        <v/>
      </c>
      <c r="M321" s="177" t="n"/>
      <c r="N321" s="177" t="n"/>
      <c r="O321" s="177" t="n"/>
      <c r="P321" s="177" t="n"/>
      <c r="Q321" s="177" t="n"/>
      <c r="R321" s="177" t="n"/>
      <c r="S321" s="177" t="n"/>
      <c r="T321" s="177" t="n"/>
      <c r="U321" s="177" t="n"/>
      <c r="V321" s="177" t="n"/>
      <c r="W321" s="177" t="n"/>
    </row>
    <row r="322" outlineLevel="1" ht="15.75" customHeight="1" s="297">
      <c r="A322" s="190" t="n"/>
      <c r="B322" s="204" t="n"/>
      <c r="C322" s="191" t="n"/>
      <c r="D322" s="205">
        <f>IFERROR(VLOOKUP($C322,'PORTIFÓLIO'!C:V,2,0),"")</f>
        <v/>
      </c>
      <c r="E322" s="190">
        <f>IFERROR(VLOOKUP($C322,'PORTIFÓLIO'!C:V,3,0),"")</f>
        <v/>
      </c>
      <c r="F322" s="190">
        <f>IFERROR(VLOOKUP($C322,'PORTIFÓLIO'!C:V,4,0),"")</f>
        <v/>
      </c>
      <c r="G322" s="206">
        <f>IFERROR(VLOOKUP($C322,'PORTIFÓLIO'!C:V,5,0),"")</f>
        <v/>
      </c>
      <c r="H322" s="247">
        <f t="array" ref="H322">IFERROR(INDEX('PORTIFÓLIO'!$H$4:$H$433,MATCH($C322,'PORTIFÓLIO'!$C$4:$C$433,0)),"")</f>
        <v/>
      </c>
      <c r="I322" s="257" t="n"/>
      <c r="J322" s="209">
        <f>I322*$B$2</f>
        <v/>
      </c>
      <c r="K322" s="248">
        <f t="array" ref="K322">IFERROR(I322*INDEX('PORTIFÓLIO'!$S$4:$S$433,MATCH($C322,'PORTIFÓLIO'!$C$4:$C$433,0)),"")</f>
        <v/>
      </c>
      <c r="L322" s="248">
        <f t="array" ref="L322">IFERROR(J322*INDEX('PORTIFÓLIO'!$S$4:$S$433,MATCH($C322,'PORTIFÓLIO'!$C$4:$C$433,0)),"")</f>
        <v/>
      </c>
      <c r="M322" s="177" t="n"/>
      <c r="N322" s="177" t="n"/>
      <c r="O322" s="177" t="n"/>
      <c r="P322" s="177" t="n"/>
      <c r="Q322" s="177" t="n"/>
      <c r="R322" s="177" t="n"/>
      <c r="S322" s="177" t="n"/>
      <c r="T322" s="177" t="n"/>
      <c r="U322" s="177" t="n"/>
      <c r="V322" s="177" t="n"/>
      <c r="W322" s="177" t="n"/>
    </row>
    <row r="323" outlineLevel="1" ht="15.75" customHeight="1" s="297">
      <c r="A323" s="190" t="n"/>
      <c r="B323" s="204" t="n"/>
      <c r="C323" s="191" t="n"/>
      <c r="D323" s="205">
        <f>IFERROR(VLOOKUP($C323,'PORTIFÓLIO'!C:V,2,0),"")</f>
        <v/>
      </c>
      <c r="E323" s="190">
        <f>IFERROR(VLOOKUP($C323,'PORTIFÓLIO'!C:V,3,0),"")</f>
        <v/>
      </c>
      <c r="F323" s="190">
        <f>IFERROR(VLOOKUP($C323,'PORTIFÓLIO'!C:V,4,0),"")</f>
        <v/>
      </c>
      <c r="G323" s="206">
        <f>IFERROR(VLOOKUP($C323,'PORTIFÓLIO'!C:V,5,0),"")</f>
        <v/>
      </c>
      <c r="H323" s="247">
        <f t="array" ref="H323">IFERROR(INDEX('PORTIFÓLIO'!$H$4:$H$433,MATCH($C323,'PORTIFÓLIO'!$C$4:$C$433,0)),"")</f>
        <v/>
      </c>
      <c r="I323" s="257" t="n"/>
      <c r="J323" s="209">
        <f>I323*$B$2</f>
        <v/>
      </c>
      <c r="K323" s="248">
        <f t="array" ref="K323">IFERROR(I323*INDEX('PORTIFÓLIO'!$S$4:$S$433,MATCH($C323,'PORTIFÓLIO'!$C$4:$C$433,0)),"")</f>
        <v/>
      </c>
      <c r="L323" s="248">
        <f t="array" ref="L323">IFERROR(J323*INDEX('PORTIFÓLIO'!$S$4:$S$433,MATCH($C323,'PORTIFÓLIO'!$C$4:$C$433,0)),"")</f>
        <v/>
      </c>
      <c r="M323" s="177" t="n"/>
      <c r="N323" s="177" t="n"/>
      <c r="O323" s="177" t="n"/>
      <c r="P323" s="177" t="n"/>
      <c r="Q323" s="177" t="n"/>
      <c r="R323" s="177" t="n"/>
      <c r="S323" s="177" t="n"/>
      <c r="T323" s="177" t="n"/>
      <c r="U323" s="177" t="n"/>
      <c r="V323" s="177" t="n"/>
      <c r="W323" s="177" t="n"/>
    </row>
    <row r="324" ht="15.75" customHeight="1" s="297">
      <c r="A324" s="221" t="inlineStr">
        <is>
          <t>OPERAÇÃO 6</t>
        </is>
      </c>
      <c r="B324" s="197" t="n"/>
      <c r="C324" s="196" t="n"/>
      <c r="D324" s="198" t="n"/>
      <c r="E324" s="196" t="n"/>
      <c r="F324" s="196" t="n"/>
      <c r="G324" s="199" t="n"/>
      <c r="H324" s="199" t="n"/>
      <c r="I324" s="252" t="n"/>
      <c r="J324" s="202" t="n"/>
      <c r="K324" s="203">
        <f>SUBTOTAL(9,K325:K338)</f>
        <v/>
      </c>
      <c r="L324" s="203">
        <f>SUBTOTAL(9,L325:L338)</f>
        <v/>
      </c>
      <c r="M324" s="177" t="n"/>
      <c r="N324" s="177" t="n"/>
      <c r="O324" s="177" t="n"/>
      <c r="P324" s="177" t="n"/>
      <c r="Q324" s="177" t="n"/>
      <c r="R324" s="177" t="n"/>
      <c r="S324" s="177" t="n"/>
      <c r="T324" s="177" t="n"/>
      <c r="U324" s="177" t="n"/>
      <c r="V324" s="177" t="n"/>
      <c r="W324" s="177" t="n"/>
    </row>
    <row r="325" outlineLevel="1" ht="15.75" customHeight="1" s="297">
      <c r="A325" s="191" t="n"/>
      <c r="B325" s="204" t="n"/>
      <c r="C325" s="191" t="n"/>
      <c r="D325" s="205">
        <f>IFERROR(VLOOKUP($C325,'PORTIFÓLIO'!C:V,2,0),"")</f>
        <v/>
      </c>
      <c r="E325" s="190">
        <f>IFERROR(VLOOKUP($C325,'PORTIFÓLIO'!C:V,3,0),"")</f>
        <v/>
      </c>
      <c r="F325" s="190">
        <f>IFERROR(VLOOKUP($C325,'PORTIFÓLIO'!C:V,4,0),"")</f>
        <v/>
      </c>
      <c r="G325" s="206">
        <f>IFERROR(VLOOKUP($C325,'PORTIFÓLIO'!C:V,5,0),"")</f>
        <v/>
      </c>
      <c r="H325" s="247">
        <f t="array" ref="H325">IFERROR(INDEX('PORTIFÓLIO'!$H$4:$H$433,MATCH($C325,'PORTIFÓLIO'!$C$4:$C$433,0)),"")</f>
        <v/>
      </c>
      <c r="I325" s="253" t="n"/>
      <c r="J325" s="209">
        <f>I325*$B$2</f>
        <v/>
      </c>
      <c r="K325" s="248">
        <f t="array" ref="K325">IFERROR(I325*INDEX('PORTIFÓLIO'!$S$4:$S$433,MATCH($C325,'PORTIFÓLIO'!$C$4:$C$433,0)),"")</f>
        <v/>
      </c>
      <c r="L325" s="248">
        <f t="array" ref="L325">IFERROR(J325*INDEX('PORTIFÓLIO'!$S$4:$S$433,MATCH($C325,'PORTIFÓLIO'!$C$4:$C$433,0)),"")</f>
        <v/>
      </c>
      <c r="M325" s="177" t="n"/>
      <c r="N325" s="177" t="n"/>
      <c r="O325" s="177" t="n"/>
      <c r="P325" s="177" t="n"/>
      <c r="Q325" s="177" t="n"/>
      <c r="R325" s="177" t="n"/>
      <c r="S325" s="177" t="n"/>
      <c r="T325" s="177" t="n"/>
      <c r="U325" s="177" t="n"/>
      <c r="V325" s="177" t="n"/>
      <c r="W325" s="177" t="n"/>
    </row>
    <row r="326" outlineLevel="1" ht="15.75" customHeight="1" s="297">
      <c r="A326" s="190" t="n"/>
      <c r="B326" s="204" t="n"/>
      <c r="C326" s="191" t="n"/>
      <c r="D326" s="205">
        <f>IFERROR(VLOOKUP($C326,'PORTIFÓLIO'!C:V,2,0),"")</f>
        <v/>
      </c>
      <c r="E326" s="190">
        <f>IFERROR(VLOOKUP($C326,'PORTIFÓLIO'!C:V,3,0),"")</f>
        <v/>
      </c>
      <c r="F326" s="190">
        <f>IFERROR(VLOOKUP($C326,'PORTIFÓLIO'!C:V,4,0),"")</f>
        <v/>
      </c>
      <c r="G326" s="206">
        <f>IFERROR(VLOOKUP($C326,'PORTIFÓLIO'!C:V,5,0),"")</f>
        <v/>
      </c>
      <c r="H326" s="247">
        <f t="array" ref="H326">IFERROR(INDEX('PORTIFÓLIO'!$H$4:$H$433,MATCH($C326,'PORTIFÓLIO'!$C$4:$C$433,0)),"")</f>
        <v/>
      </c>
      <c r="I326" s="257" t="n"/>
      <c r="J326" s="209">
        <f>I326*$B$2</f>
        <v/>
      </c>
      <c r="K326" s="248">
        <f t="array" ref="K326">IFERROR(I326*INDEX('PORTIFÓLIO'!$S$4:$S$433,MATCH($C326,'PORTIFÓLIO'!$C$4:$C$433,0)),"")</f>
        <v/>
      </c>
      <c r="L326" s="248">
        <f t="array" ref="L326">IFERROR(J326*INDEX('PORTIFÓLIO'!$S$4:$S$433,MATCH($C326,'PORTIFÓLIO'!$C$4:$C$433,0)),"")</f>
        <v/>
      </c>
      <c r="M326" s="177" t="n"/>
      <c r="N326" s="177" t="n"/>
      <c r="O326" s="177" t="n"/>
      <c r="P326" s="177" t="n"/>
      <c r="Q326" s="177" t="n"/>
      <c r="R326" s="177" t="n"/>
      <c r="S326" s="177" t="n"/>
      <c r="T326" s="177" t="n"/>
      <c r="U326" s="177" t="n"/>
      <c r="V326" s="177" t="n"/>
      <c r="W326" s="177" t="n"/>
    </row>
    <row r="327" outlineLevel="1" ht="15.75" customHeight="1" s="297">
      <c r="A327" s="190" t="n"/>
      <c r="B327" s="204" t="n"/>
      <c r="C327" s="191" t="n"/>
      <c r="D327" s="205">
        <f>IFERROR(VLOOKUP($C327,'PORTIFÓLIO'!C:V,2,0),"")</f>
        <v/>
      </c>
      <c r="E327" s="190">
        <f>IFERROR(VLOOKUP($C327,'PORTIFÓLIO'!C:V,3,0),"")</f>
        <v/>
      </c>
      <c r="F327" s="190">
        <f>IFERROR(VLOOKUP($C327,'PORTIFÓLIO'!C:V,4,0),"")</f>
        <v/>
      </c>
      <c r="G327" s="206">
        <f>IFERROR(VLOOKUP($C327,'PORTIFÓLIO'!C:V,5,0),"")</f>
        <v/>
      </c>
      <c r="H327" s="247">
        <f t="array" ref="H327">IFERROR(INDEX('PORTIFÓLIO'!$H$4:$H$433,MATCH($C327,'PORTIFÓLIO'!$C$4:$C$433,0)),"")</f>
        <v/>
      </c>
      <c r="I327" s="257" t="n"/>
      <c r="J327" s="209">
        <f>I327*$B$2</f>
        <v/>
      </c>
      <c r="K327" s="248">
        <f t="array" ref="K327">IFERROR(I327*INDEX('PORTIFÓLIO'!$S$4:$S$433,MATCH($C327,'PORTIFÓLIO'!$C$4:$C$433,0)),"")</f>
        <v/>
      </c>
      <c r="L327" s="248">
        <f t="array" ref="L327">IFERROR(J327*INDEX('PORTIFÓLIO'!$S$4:$S$433,MATCH($C327,'PORTIFÓLIO'!$C$4:$C$433,0)),"")</f>
        <v/>
      </c>
      <c r="M327" s="177" t="n"/>
      <c r="N327" s="177" t="n"/>
      <c r="O327" s="177" t="n"/>
      <c r="P327" s="177" t="n"/>
      <c r="Q327" s="177" t="n"/>
      <c r="R327" s="177" t="n"/>
      <c r="S327" s="177" t="n"/>
      <c r="T327" s="177" t="n"/>
      <c r="U327" s="177" t="n"/>
      <c r="V327" s="177" t="n"/>
      <c r="W327" s="177" t="n"/>
    </row>
    <row r="328" outlineLevel="1" ht="15.75" customHeight="1" s="297">
      <c r="A328" s="190" t="n"/>
      <c r="B328" s="204" t="n"/>
      <c r="C328" s="191" t="n"/>
      <c r="D328" s="205">
        <f>IFERROR(VLOOKUP($C328,'PORTIFÓLIO'!C:V,2,0),"")</f>
        <v/>
      </c>
      <c r="E328" s="190">
        <f>IFERROR(VLOOKUP($C328,'PORTIFÓLIO'!C:V,3,0),"")</f>
        <v/>
      </c>
      <c r="F328" s="190">
        <f>IFERROR(VLOOKUP($C328,'PORTIFÓLIO'!C:V,4,0),"")</f>
        <v/>
      </c>
      <c r="G328" s="206">
        <f>IFERROR(VLOOKUP($C328,'PORTIFÓLIO'!C:V,5,0),"")</f>
        <v/>
      </c>
      <c r="H328" s="247">
        <f t="array" ref="H328">IFERROR(INDEX('PORTIFÓLIO'!$H$4:$H$433,MATCH($C328,'PORTIFÓLIO'!$C$4:$C$433,0)),"")</f>
        <v/>
      </c>
      <c r="I328" s="257" t="n"/>
      <c r="J328" s="209">
        <f>I328*$B$2</f>
        <v/>
      </c>
      <c r="K328" s="248">
        <f t="array" ref="K328">IFERROR(I328*INDEX('PORTIFÓLIO'!$S$4:$S$433,MATCH($C328,'PORTIFÓLIO'!$C$4:$C$433,0)),"")</f>
        <v/>
      </c>
      <c r="L328" s="248">
        <f t="array" ref="L328">IFERROR(J328*INDEX('PORTIFÓLIO'!$S$4:$S$433,MATCH($C328,'PORTIFÓLIO'!$C$4:$C$433,0)),"")</f>
        <v/>
      </c>
      <c r="M328" s="177" t="n"/>
      <c r="N328" s="177" t="n"/>
      <c r="O328" s="177" t="n"/>
      <c r="P328" s="177" t="n"/>
      <c r="Q328" s="177" t="n"/>
      <c r="R328" s="177" t="n"/>
      <c r="S328" s="177" t="n"/>
      <c r="T328" s="177" t="n"/>
      <c r="U328" s="177" t="n"/>
      <c r="V328" s="177" t="n"/>
      <c r="W328" s="177" t="n"/>
    </row>
    <row r="329" outlineLevel="1" ht="15.75" customHeight="1" s="297">
      <c r="A329" s="190" t="n"/>
      <c r="B329" s="204" t="n"/>
      <c r="C329" s="191" t="n"/>
      <c r="D329" s="205">
        <f>IFERROR(VLOOKUP($C329,'PORTIFÓLIO'!C:V,2,0),"")</f>
        <v/>
      </c>
      <c r="E329" s="190">
        <f>IFERROR(VLOOKUP($C329,'PORTIFÓLIO'!C:V,3,0),"")</f>
        <v/>
      </c>
      <c r="F329" s="190">
        <f>IFERROR(VLOOKUP($C329,'PORTIFÓLIO'!C:V,4,0),"")</f>
        <v/>
      </c>
      <c r="G329" s="206">
        <f>IFERROR(VLOOKUP($C329,'PORTIFÓLIO'!C:V,5,0),"")</f>
        <v/>
      </c>
      <c r="H329" s="247">
        <f t="array" ref="H329">IFERROR(INDEX('PORTIFÓLIO'!$H$4:$H$433,MATCH($C329,'PORTIFÓLIO'!$C$4:$C$433,0)),"")</f>
        <v/>
      </c>
      <c r="I329" s="257" t="n"/>
      <c r="J329" s="209">
        <f>I329*$B$2</f>
        <v/>
      </c>
      <c r="K329" s="248">
        <f t="array" ref="K329">IFERROR(I329*INDEX('PORTIFÓLIO'!$S$4:$S$433,MATCH($C329,'PORTIFÓLIO'!$C$4:$C$433,0)),"")</f>
        <v/>
      </c>
      <c r="L329" s="248">
        <f t="array" ref="L329">IFERROR(J329*INDEX('PORTIFÓLIO'!$S$4:$S$433,MATCH($C329,'PORTIFÓLIO'!$C$4:$C$433,0)),"")</f>
        <v/>
      </c>
      <c r="M329" s="177" t="n"/>
      <c r="N329" s="177" t="n"/>
      <c r="O329" s="177" t="n"/>
      <c r="P329" s="177" t="n"/>
      <c r="Q329" s="177" t="n"/>
      <c r="R329" s="177" t="n"/>
      <c r="S329" s="177" t="n"/>
      <c r="T329" s="177" t="n"/>
      <c r="U329" s="177" t="n"/>
      <c r="V329" s="177" t="n"/>
      <c r="W329" s="177" t="n"/>
    </row>
    <row r="330" outlineLevel="1" ht="15.75" customHeight="1" s="297">
      <c r="A330" s="190" t="n"/>
      <c r="B330" s="204" t="n"/>
      <c r="C330" s="191" t="n"/>
      <c r="D330" s="205">
        <f>IFERROR(VLOOKUP($C330,'PORTIFÓLIO'!C:V,2,0),"")</f>
        <v/>
      </c>
      <c r="E330" s="190">
        <f>IFERROR(VLOOKUP($C330,'PORTIFÓLIO'!C:V,3,0),"")</f>
        <v/>
      </c>
      <c r="F330" s="190">
        <f>IFERROR(VLOOKUP($C330,'PORTIFÓLIO'!C:V,4,0),"")</f>
        <v/>
      </c>
      <c r="G330" s="206">
        <f>IFERROR(VLOOKUP($C330,'PORTIFÓLIO'!C:V,5,0),"")</f>
        <v/>
      </c>
      <c r="H330" s="247">
        <f t="array" ref="H330">IFERROR(INDEX('PORTIFÓLIO'!$H$4:$H$433,MATCH($C330,'PORTIFÓLIO'!$C$4:$C$433,0)),"")</f>
        <v/>
      </c>
      <c r="I330" s="257" t="n"/>
      <c r="J330" s="209">
        <f>I330*$B$2</f>
        <v/>
      </c>
      <c r="K330" s="248">
        <f t="array" ref="K330">IFERROR(I330*INDEX('PORTIFÓLIO'!$S$4:$S$433,MATCH($C330,'PORTIFÓLIO'!$C$4:$C$433,0)),"")</f>
        <v/>
      </c>
      <c r="L330" s="248">
        <f t="array" ref="L330">IFERROR(J330*INDEX('PORTIFÓLIO'!$S$4:$S$433,MATCH($C330,'PORTIFÓLIO'!$C$4:$C$433,0)),"")</f>
        <v/>
      </c>
      <c r="M330" s="177" t="n"/>
      <c r="N330" s="177" t="n"/>
      <c r="O330" s="177" t="n"/>
      <c r="P330" s="177" t="n"/>
      <c r="Q330" s="177" t="n"/>
      <c r="R330" s="177" t="n"/>
      <c r="S330" s="177" t="n"/>
      <c r="T330" s="177" t="n"/>
      <c r="U330" s="177" t="n"/>
      <c r="V330" s="177" t="n"/>
      <c r="W330" s="177" t="n"/>
    </row>
    <row r="331" outlineLevel="1" ht="15.75" customHeight="1" s="297">
      <c r="A331" s="190" t="n"/>
      <c r="B331" s="204" t="n"/>
      <c r="C331" s="191" t="n"/>
      <c r="D331" s="205">
        <f>IFERROR(VLOOKUP($C331,'PORTIFÓLIO'!C:V,2,0),"")</f>
        <v/>
      </c>
      <c r="E331" s="190">
        <f>IFERROR(VLOOKUP($C331,'PORTIFÓLIO'!C:V,3,0),"")</f>
        <v/>
      </c>
      <c r="F331" s="190">
        <f>IFERROR(VLOOKUP($C331,'PORTIFÓLIO'!C:V,4,0),"")</f>
        <v/>
      </c>
      <c r="G331" s="206">
        <f>IFERROR(VLOOKUP($C331,'PORTIFÓLIO'!C:V,5,0),"")</f>
        <v/>
      </c>
      <c r="H331" s="247">
        <f t="array" ref="H331">IFERROR(INDEX('PORTIFÓLIO'!$H$4:$H$433,MATCH($C331,'PORTIFÓLIO'!$C$4:$C$433,0)),"")</f>
        <v/>
      </c>
      <c r="I331" s="257" t="n"/>
      <c r="J331" s="209">
        <f>I331*$B$2</f>
        <v/>
      </c>
      <c r="K331" s="248">
        <f t="array" ref="K331">IFERROR(I331*INDEX('PORTIFÓLIO'!$S$4:$S$433,MATCH($C331,'PORTIFÓLIO'!$C$4:$C$433,0)),"")</f>
        <v/>
      </c>
      <c r="L331" s="248">
        <f t="array" ref="L331">IFERROR(J331*INDEX('PORTIFÓLIO'!$S$4:$S$433,MATCH($C331,'PORTIFÓLIO'!$C$4:$C$433,0)),"")</f>
        <v/>
      </c>
      <c r="M331" s="177" t="n"/>
      <c r="N331" s="177" t="n"/>
      <c r="O331" s="177" t="n"/>
      <c r="P331" s="177" t="n"/>
      <c r="Q331" s="177" t="n"/>
      <c r="R331" s="177" t="n"/>
      <c r="S331" s="177" t="n"/>
      <c r="T331" s="177" t="n"/>
      <c r="U331" s="177" t="n"/>
      <c r="V331" s="177" t="n"/>
      <c r="W331" s="177" t="n"/>
    </row>
    <row r="332" outlineLevel="1" ht="15.75" customHeight="1" s="297">
      <c r="A332" s="190" t="n"/>
      <c r="B332" s="204" t="n"/>
      <c r="C332" s="191" t="n"/>
      <c r="D332" s="205">
        <f>IFERROR(VLOOKUP($C332,'PORTIFÓLIO'!C:V,2,0),"")</f>
        <v/>
      </c>
      <c r="E332" s="190">
        <f>IFERROR(VLOOKUP($C332,'PORTIFÓLIO'!C:V,3,0),"")</f>
        <v/>
      </c>
      <c r="F332" s="190">
        <f>IFERROR(VLOOKUP($C332,'PORTIFÓLIO'!C:V,4,0),"")</f>
        <v/>
      </c>
      <c r="G332" s="206">
        <f>IFERROR(VLOOKUP($C332,'PORTIFÓLIO'!C:V,5,0),"")</f>
        <v/>
      </c>
      <c r="H332" s="247">
        <f t="array" ref="H332">IFERROR(INDEX('PORTIFÓLIO'!$H$4:$H$433,MATCH($C332,'PORTIFÓLIO'!$C$4:$C$433,0)),"")</f>
        <v/>
      </c>
      <c r="I332" s="257" t="n"/>
      <c r="J332" s="209">
        <f>I332*$B$2</f>
        <v/>
      </c>
      <c r="K332" s="248">
        <f t="array" ref="K332">IFERROR(I332*INDEX('PORTIFÓLIO'!$S$4:$S$433,MATCH($C332,'PORTIFÓLIO'!$C$4:$C$433,0)),"")</f>
        <v/>
      </c>
      <c r="L332" s="248">
        <f t="array" ref="L332">IFERROR(J332*INDEX('PORTIFÓLIO'!$S$4:$S$433,MATCH($C332,'PORTIFÓLIO'!$C$4:$C$433,0)),"")</f>
        <v/>
      </c>
      <c r="M332" s="177" t="n"/>
      <c r="N332" s="177" t="n"/>
      <c r="O332" s="177" t="n"/>
      <c r="P332" s="177" t="n"/>
      <c r="Q332" s="177" t="n"/>
      <c r="R332" s="177" t="n"/>
      <c r="S332" s="177" t="n"/>
      <c r="T332" s="177" t="n"/>
      <c r="U332" s="177" t="n"/>
      <c r="V332" s="177" t="n"/>
      <c r="W332" s="177" t="n"/>
    </row>
    <row r="333" outlineLevel="1" ht="15.75" customHeight="1" s="297">
      <c r="A333" s="190" t="n"/>
      <c r="B333" s="204" t="n"/>
      <c r="C333" s="191" t="n"/>
      <c r="D333" s="205">
        <f>IFERROR(VLOOKUP($C333,'PORTIFÓLIO'!C:V,2,0),"")</f>
        <v/>
      </c>
      <c r="E333" s="190">
        <f>IFERROR(VLOOKUP($C333,'PORTIFÓLIO'!C:V,3,0),"")</f>
        <v/>
      </c>
      <c r="F333" s="190">
        <f>IFERROR(VLOOKUP($C333,'PORTIFÓLIO'!C:V,4,0),"")</f>
        <v/>
      </c>
      <c r="G333" s="206">
        <f>IFERROR(VLOOKUP($C333,'PORTIFÓLIO'!C:V,5,0),"")</f>
        <v/>
      </c>
      <c r="H333" s="247">
        <f t="array" ref="H333">IFERROR(INDEX('PORTIFÓLIO'!$H$4:$H$433,MATCH($C333,'PORTIFÓLIO'!$C$4:$C$433,0)),"")</f>
        <v/>
      </c>
      <c r="I333" s="253" t="n"/>
      <c r="J333" s="209">
        <f>I333*$B$2</f>
        <v/>
      </c>
      <c r="K333" s="248">
        <f t="array" ref="K333">IFERROR(I333*INDEX('PORTIFÓLIO'!$S$4:$S$433,MATCH($C333,'PORTIFÓLIO'!$C$4:$C$433,0)),"")</f>
        <v/>
      </c>
      <c r="L333" s="248">
        <f t="array" ref="L333">IFERROR(J333*INDEX('PORTIFÓLIO'!$S$4:$S$433,MATCH($C333,'PORTIFÓLIO'!$C$4:$C$433,0)),"")</f>
        <v/>
      </c>
      <c r="M333" s="177" t="n"/>
      <c r="N333" s="177" t="n"/>
      <c r="O333" s="177" t="n"/>
      <c r="P333" s="177" t="n"/>
      <c r="Q333" s="177" t="n"/>
      <c r="R333" s="177" t="n"/>
      <c r="S333" s="177" t="n"/>
      <c r="T333" s="177" t="n"/>
      <c r="U333" s="177" t="n"/>
      <c r="V333" s="177" t="n"/>
      <c r="W333" s="177" t="n"/>
    </row>
    <row r="334" outlineLevel="1" ht="15.75" customHeight="1" s="297">
      <c r="A334" s="190" t="n"/>
      <c r="B334" s="204" t="n"/>
      <c r="C334" s="191" t="n"/>
      <c r="D334" s="205">
        <f>IFERROR(VLOOKUP($C334,'PORTIFÓLIO'!C:V,2,0),"")</f>
        <v/>
      </c>
      <c r="E334" s="190">
        <f>IFERROR(VLOOKUP($C334,'PORTIFÓLIO'!C:V,3,0),"")</f>
        <v/>
      </c>
      <c r="F334" s="190">
        <f>IFERROR(VLOOKUP($C334,'PORTIFÓLIO'!C:V,4,0),"")</f>
        <v/>
      </c>
      <c r="G334" s="206">
        <f>IFERROR(VLOOKUP($C334,'PORTIFÓLIO'!C:V,5,0),"")</f>
        <v/>
      </c>
      <c r="H334" s="247">
        <f t="array" ref="H334">IFERROR(INDEX('PORTIFÓLIO'!$H$4:$H$433,MATCH($C334,'PORTIFÓLIO'!$C$4:$C$433,0)),"")</f>
        <v/>
      </c>
      <c r="I334" s="257" t="n"/>
      <c r="J334" s="209">
        <f>I334*$B$2</f>
        <v/>
      </c>
      <c r="K334" s="248">
        <f t="array" ref="K334">IFERROR(I334*INDEX('PORTIFÓLIO'!$S$4:$S$433,MATCH($C334,'PORTIFÓLIO'!$C$4:$C$433,0)),"")</f>
        <v/>
      </c>
      <c r="L334" s="248">
        <f t="array" ref="L334">IFERROR(J334*INDEX('PORTIFÓLIO'!$S$4:$S$433,MATCH($C334,'PORTIFÓLIO'!$C$4:$C$433,0)),"")</f>
        <v/>
      </c>
      <c r="M334" s="177" t="n"/>
      <c r="N334" s="177" t="n"/>
      <c r="O334" s="177" t="n"/>
      <c r="P334" s="177" t="n"/>
      <c r="Q334" s="177" t="n"/>
      <c r="R334" s="177" t="n"/>
      <c r="S334" s="177" t="n"/>
      <c r="T334" s="177" t="n"/>
      <c r="U334" s="177" t="n"/>
      <c r="V334" s="177" t="n"/>
      <c r="W334" s="177" t="n"/>
    </row>
    <row r="335" outlineLevel="1" ht="15.75" customHeight="1" s="297">
      <c r="A335" s="190" t="n"/>
      <c r="B335" s="204" t="n"/>
      <c r="C335" s="191" t="n"/>
      <c r="D335" s="205">
        <f>IFERROR(VLOOKUP($C335,'PORTIFÓLIO'!C:V,2,0),"")</f>
        <v/>
      </c>
      <c r="E335" s="190">
        <f>IFERROR(VLOOKUP($C335,'PORTIFÓLIO'!C:V,3,0),"")</f>
        <v/>
      </c>
      <c r="F335" s="190">
        <f>IFERROR(VLOOKUP($C335,'PORTIFÓLIO'!C:V,4,0),"")</f>
        <v/>
      </c>
      <c r="G335" s="206">
        <f>IFERROR(VLOOKUP($C335,'PORTIFÓLIO'!C:V,5,0),"")</f>
        <v/>
      </c>
      <c r="H335" s="247">
        <f t="array" ref="H335">IFERROR(INDEX('PORTIFÓLIO'!$H$4:$H$433,MATCH($C335,'PORTIFÓLIO'!$C$4:$C$433,0)),"")</f>
        <v/>
      </c>
      <c r="I335" s="257" t="n"/>
      <c r="J335" s="209">
        <f>I335*$B$2</f>
        <v/>
      </c>
      <c r="K335" s="248">
        <f t="array" ref="K335">IFERROR(I335*INDEX('PORTIFÓLIO'!$S$4:$S$433,MATCH($C335,'PORTIFÓLIO'!$C$4:$C$433,0)),"")</f>
        <v/>
      </c>
      <c r="L335" s="248">
        <f t="array" ref="L335">IFERROR(J335*INDEX('PORTIFÓLIO'!$S$4:$S$433,MATCH($C335,'PORTIFÓLIO'!$C$4:$C$433,0)),"")</f>
        <v/>
      </c>
      <c r="M335" s="177" t="n"/>
      <c r="N335" s="177" t="n"/>
      <c r="O335" s="177" t="n"/>
      <c r="P335" s="177" t="n"/>
      <c r="Q335" s="177" t="n"/>
      <c r="R335" s="177" t="n"/>
      <c r="S335" s="177" t="n"/>
      <c r="T335" s="177" t="n"/>
      <c r="U335" s="177" t="n"/>
      <c r="V335" s="177" t="n"/>
      <c r="W335" s="177" t="n"/>
    </row>
    <row r="336" outlineLevel="1" ht="15.75" customHeight="1" s="297">
      <c r="A336" s="190" t="n"/>
      <c r="B336" s="204" t="n"/>
      <c r="C336" s="191" t="n"/>
      <c r="D336" s="205">
        <f>IFERROR(VLOOKUP($C336,'PORTIFÓLIO'!C:V,2,0),"")</f>
        <v/>
      </c>
      <c r="E336" s="190">
        <f>IFERROR(VLOOKUP($C336,'PORTIFÓLIO'!C:V,3,0),"")</f>
        <v/>
      </c>
      <c r="F336" s="190">
        <f>IFERROR(VLOOKUP($C336,'PORTIFÓLIO'!C:V,4,0),"")</f>
        <v/>
      </c>
      <c r="G336" s="206">
        <f>IFERROR(VLOOKUP($C336,'PORTIFÓLIO'!C:V,5,0),"")</f>
        <v/>
      </c>
      <c r="H336" s="247">
        <f t="array" ref="H336">IFERROR(INDEX('PORTIFÓLIO'!$H$4:$H$433,MATCH($C336,'PORTIFÓLIO'!$C$4:$C$433,0)),"")</f>
        <v/>
      </c>
      <c r="I336" s="257" t="n"/>
      <c r="J336" s="209">
        <f>I336*$B$2</f>
        <v/>
      </c>
      <c r="K336" s="248">
        <f t="array" ref="K336">IFERROR(I336*INDEX('PORTIFÓLIO'!$S$4:$S$433,MATCH($C336,'PORTIFÓLIO'!$C$4:$C$433,0)),"")</f>
        <v/>
      </c>
      <c r="L336" s="248">
        <f t="array" ref="L336">IFERROR(J336*INDEX('PORTIFÓLIO'!$S$4:$S$433,MATCH($C336,'PORTIFÓLIO'!$C$4:$C$433,0)),"")</f>
        <v/>
      </c>
      <c r="M336" s="177" t="n"/>
      <c r="N336" s="177" t="n"/>
      <c r="O336" s="177" t="n"/>
      <c r="P336" s="177" t="n"/>
      <c r="Q336" s="177" t="n"/>
      <c r="R336" s="177" t="n"/>
      <c r="S336" s="177" t="n"/>
      <c r="T336" s="177" t="n"/>
      <c r="U336" s="177" t="n"/>
      <c r="V336" s="177" t="n"/>
      <c r="W336" s="177" t="n"/>
    </row>
    <row r="337" outlineLevel="1" ht="15.75" customHeight="1" s="297">
      <c r="A337" s="190" t="n"/>
      <c r="B337" s="204" t="n"/>
      <c r="C337" s="191" t="n"/>
      <c r="D337" s="205">
        <f>IFERROR(VLOOKUP($C337,'PORTIFÓLIO'!C:V,2,0),"")</f>
        <v/>
      </c>
      <c r="E337" s="190">
        <f>IFERROR(VLOOKUP($C337,'PORTIFÓLIO'!C:V,3,0),"")</f>
        <v/>
      </c>
      <c r="F337" s="190">
        <f>IFERROR(VLOOKUP($C337,'PORTIFÓLIO'!C:V,4,0),"")</f>
        <v/>
      </c>
      <c r="G337" s="206">
        <f>IFERROR(VLOOKUP($C337,'PORTIFÓLIO'!C:V,5,0),"")</f>
        <v/>
      </c>
      <c r="H337" s="247">
        <f t="array" ref="H337">IFERROR(INDEX('PORTIFÓLIO'!$H$4:$H$433,MATCH($C337,'PORTIFÓLIO'!$C$4:$C$433,0)),"")</f>
        <v/>
      </c>
      <c r="I337" s="257" t="n"/>
      <c r="J337" s="209">
        <f>I337*$B$2</f>
        <v/>
      </c>
      <c r="K337" s="248">
        <f t="array" ref="K337">IFERROR(I337*INDEX('PORTIFÓLIO'!$S$4:$S$433,MATCH($C337,'PORTIFÓLIO'!$C$4:$C$433,0)),"")</f>
        <v/>
      </c>
      <c r="L337" s="248">
        <f t="array" ref="L337">IFERROR(J337*INDEX('PORTIFÓLIO'!$S$4:$S$433,MATCH($C337,'PORTIFÓLIO'!$C$4:$C$433,0)),"")</f>
        <v/>
      </c>
      <c r="M337" s="177" t="n"/>
      <c r="N337" s="177" t="n"/>
      <c r="O337" s="177" t="n"/>
      <c r="P337" s="177" t="n"/>
      <c r="Q337" s="177" t="n"/>
      <c r="R337" s="177" t="n"/>
      <c r="S337" s="177" t="n"/>
      <c r="T337" s="177" t="n"/>
      <c r="U337" s="177" t="n"/>
      <c r="V337" s="177" t="n"/>
      <c r="W337" s="177" t="n"/>
    </row>
    <row r="338" outlineLevel="1" ht="15.75" customHeight="1" s="297">
      <c r="A338" s="190" t="n"/>
      <c r="B338" s="204" t="n"/>
      <c r="C338" s="191" t="n"/>
      <c r="D338" s="205">
        <f>IFERROR(VLOOKUP($C338,'PORTIFÓLIO'!C:V,2,0),"")</f>
        <v/>
      </c>
      <c r="E338" s="190">
        <f>IFERROR(VLOOKUP($C338,'PORTIFÓLIO'!C:V,3,0),"")</f>
        <v/>
      </c>
      <c r="F338" s="190">
        <f>IFERROR(VLOOKUP($C338,'PORTIFÓLIO'!C:V,4,0),"")</f>
        <v/>
      </c>
      <c r="G338" s="206">
        <f>IFERROR(VLOOKUP($C338,'PORTIFÓLIO'!C:V,5,0),"")</f>
        <v/>
      </c>
      <c r="H338" s="247">
        <f t="array" ref="H338">IFERROR(INDEX('PORTIFÓLIO'!$H$4:$H$433,MATCH($C338,'PORTIFÓLIO'!$C$4:$C$433,0)),"")</f>
        <v/>
      </c>
      <c r="I338" s="257" t="n"/>
      <c r="J338" s="209">
        <f>I338*$B$2</f>
        <v/>
      </c>
      <c r="K338" s="248">
        <f t="array" ref="K338">IFERROR(I338*INDEX('PORTIFÓLIO'!$S$4:$S$433,MATCH($C338,'PORTIFÓLIO'!$C$4:$C$433,0)),"")</f>
        <v/>
      </c>
      <c r="L338" s="248">
        <f t="array" ref="L338">IFERROR(J338*INDEX('PORTIFÓLIO'!$S$4:$S$433,MATCH($C338,'PORTIFÓLIO'!$C$4:$C$433,0)),"")</f>
        <v/>
      </c>
      <c r="M338" s="177" t="n"/>
      <c r="N338" s="177" t="n"/>
      <c r="O338" s="177" t="n"/>
      <c r="P338" s="177" t="n"/>
      <c r="Q338" s="177" t="n"/>
      <c r="R338" s="177" t="n"/>
      <c r="S338" s="177" t="n"/>
      <c r="T338" s="177" t="n"/>
      <c r="U338" s="177" t="n"/>
      <c r="V338" s="177" t="n"/>
      <c r="W338" s="177" t="n"/>
    </row>
    <row r="339" outlineLevel="1" ht="15.75" customHeight="1" s="297">
      <c r="A339" s="190" t="n"/>
      <c r="B339" s="204" t="n"/>
      <c r="C339" s="191" t="n"/>
      <c r="D339" s="205">
        <f>IFERROR(VLOOKUP($C339,'PORTIFÓLIO'!C:V,2,0),"")</f>
        <v/>
      </c>
      <c r="E339" s="190">
        <f>IFERROR(VLOOKUP($C339,'PORTIFÓLIO'!C:V,3,0),"")</f>
        <v/>
      </c>
      <c r="F339" s="190">
        <f>IFERROR(VLOOKUP($C339,'PORTIFÓLIO'!C:V,4,0),"")</f>
        <v/>
      </c>
      <c r="G339" s="206">
        <f>IFERROR(VLOOKUP($C339,'PORTIFÓLIO'!C:V,5,0),"")</f>
        <v/>
      </c>
      <c r="H339" s="247">
        <f t="array" ref="H339">IFERROR(INDEX('PORTIFÓLIO'!$H$4:$H$433,MATCH($C339,'PORTIFÓLIO'!$C$4:$C$433,0)),"")</f>
        <v/>
      </c>
      <c r="I339" s="257" t="n"/>
      <c r="J339" s="209">
        <f>I339*$B$2</f>
        <v/>
      </c>
      <c r="K339" s="248">
        <f t="array" ref="K339">IFERROR(I339*INDEX('PORTIFÓLIO'!$S$4:$S$433,MATCH($C339,'PORTIFÓLIO'!$C$4:$C$433,0)),"")</f>
        <v/>
      </c>
      <c r="L339" s="248">
        <f t="array" ref="L339">IFERROR(J339*INDEX('PORTIFÓLIO'!$S$4:$S$433,MATCH($C339,'PORTIFÓLIO'!$C$4:$C$433,0)),"")</f>
        <v/>
      </c>
      <c r="M339" s="177" t="n"/>
      <c r="N339" s="177" t="n"/>
      <c r="O339" s="177" t="n"/>
      <c r="P339" s="177" t="n"/>
      <c r="Q339" s="177" t="n"/>
      <c r="R339" s="177" t="n"/>
      <c r="S339" s="177" t="n"/>
      <c r="T339" s="177" t="n"/>
      <c r="U339" s="177" t="n"/>
      <c r="V339" s="177" t="n"/>
      <c r="W339" s="177" t="n"/>
    </row>
    <row r="340" outlineLevel="1" ht="15.75" customHeight="1" s="297">
      <c r="A340" s="190" t="n"/>
      <c r="B340" s="238" t="n"/>
      <c r="C340" s="190" t="n"/>
      <c r="D340" s="205">
        <f>IFERROR(VLOOKUP($C340,'PORTIFÓLIO'!C:V,2,0),"")</f>
        <v/>
      </c>
      <c r="E340" s="190">
        <f>IFERROR(VLOOKUP($C340,'PORTIFÓLIO'!C:V,3,0),"")</f>
        <v/>
      </c>
      <c r="F340" s="190">
        <f>IFERROR(VLOOKUP($C340,'PORTIFÓLIO'!C:V,4,0),"")</f>
        <v/>
      </c>
      <c r="G340" s="206">
        <f>IFERROR(VLOOKUP($C340,'PORTIFÓLIO'!C:V,5,0),"")</f>
        <v/>
      </c>
      <c r="H340" s="247">
        <f t="array" ref="H340">IFERROR(INDEX('PORTIFÓLIO'!$H$4:$H$433,MATCH($C340,'PORTIFÓLIO'!$C$4:$C$433,0)),"")</f>
        <v/>
      </c>
      <c r="I340" s="257" t="n"/>
      <c r="J340" s="209" t="n"/>
      <c r="K340" s="248">
        <f t="array" ref="K340">IFERROR(I340*INDEX('PORTIFÓLIO'!$S$4:$S$433,MATCH($C340,'PORTIFÓLIO'!$C$4:$C$433,0)),"")</f>
        <v/>
      </c>
      <c r="L340" s="248">
        <f t="array" ref="L340">IFERROR(J340*INDEX('PORTIFÓLIO'!$S$4:$S$433,MATCH($C340,'PORTIFÓLIO'!$C$4:$C$433,0)),"")</f>
        <v/>
      </c>
      <c r="M340" s="177" t="n"/>
      <c r="N340" s="177" t="n"/>
      <c r="O340" s="177" t="n"/>
      <c r="P340" s="177" t="n"/>
      <c r="Q340" s="177" t="n"/>
      <c r="R340" s="177" t="n"/>
      <c r="S340" s="177" t="n"/>
      <c r="T340" s="177" t="n"/>
      <c r="U340" s="177" t="n"/>
      <c r="V340" s="177" t="n"/>
      <c r="W340" s="177" t="n"/>
    </row>
    <row r="341" ht="15.75" customHeight="1" s="297">
      <c r="A341" s="221" t="inlineStr">
        <is>
          <t>OPERAÇÃO 7</t>
        </is>
      </c>
      <c r="B341" s="197" t="n"/>
      <c r="C341" s="196" t="n"/>
      <c r="D341" s="198" t="n"/>
      <c r="E341" s="196" t="n"/>
      <c r="F341" s="196" t="n"/>
      <c r="G341" s="199" t="n"/>
      <c r="H341" s="199" t="n"/>
      <c r="I341" s="252" t="n"/>
      <c r="J341" s="202" t="n"/>
      <c r="K341" s="203">
        <f>SUBTOTAL(9,K342:K355)</f>
        <v/>
      </c>
      <c r="L341" s="203">
        <f>SUBTOTAL(9,L342:L355)</f>
        <v/>
      </c>
      <c r="M341" s="177" t="n"/>
      <c r="N341" s="177" t="n"/>
      <c r="O341" s="177" t="n"/>
      <c r="P341" s="177" t="n"/>
      <c r="Q341" s="177" t="n"/>
      <c r="R341" s="177" t="n"/>
      <c r="S341" s="177" t="n"/>
      <c r="T341" s="177" t="n"/>
      <c r="U341" s="177" t="n"/>
      <c r="V341" s="177" t="n"/>
      <c r="W341" s="177" t="n"/>
    </row>
    <row r="342" outlineLevel="1" ht="15.75" customHeight="1" s="297">
      <c r="A342" s="191" t="n"/>
      <c r="B342" s="204" t="n"/>
      <c r="C342" s="191" t="n"/>
      <c r="D342" s="205">
        <f>IFERROR(VLOOKUP($C342,'PORTIFÓLIO'!C:V,2,0),"")</f>
        <v/>
      </c>
      <c r="E342" s="190">
        <f>IFERROR(VLOOKUP($C342,'PORTIFÓLIO'!C:V,3,0),"")</f>
        <v/>
      </c>
      <c r="F342" s="190">
        <f>IFERROR(VLOOKUP($C342,'PORTIFÓLIO'!C:V,4,0),"")</f>
        <v/>
      </c>
      <c r="G342" s="206">
        <f>IFERROR(VLOOKUP($C342,'PORTIFÓLIO'!C:V,5,0),"")</f>
        <v/>
      </c>
      <c r="H342" s="247">
        <f t="array" ref="H342">IFERROR(INDEX('PORTIFÓLIO'!$H$4:$H$433,MATCH($C342,'PORTIFÓLIO'!$C$4:$C$433,0)),"")</f>
        <v/>
      </c>
      <c r="I342" s="253" t="n"/>
      <c r="J342" s="209">
        <f>I342*$B$2</f>
        <v/>
      </c>
      <c r="K342" s="248">
        <f t="array" ref="K342">IFERROR(I342*INDEX('PORTIFÓLIO'!$S$4:$S$433,MATCH($C342,'PORTIFÓLIO'!$C$4:$C$433,0)),"")</f>
        <v/>
      </c>
      <c r="L342" s="248">
        <f t="array" ref="L342">IFERROR(J342*INDEX('PORTIFÓLIO'!$S$4:$S$433,MATCH($C342,'PORTIFÓLIO'!$C$4:$C$433,0)),"")</f>
        <v/>
      </c>
      <c r="M342" s="177" t="n"/>
      <c r="N342" s="177" t="n"/>
      <c r="O342" s="177" t="n"/>
      <c r="P342" s="177" t="n"/>
      <c r="Q342" s="177" t="n"/>
      <c r="R342" s="177" t="n"/>
      <c r="S342" s="177" t="n"/>
      <c r="T342" s="177" t="n"/>
      <c r="U342" s="177" t="n"/>
      <c r="V342" s="177" t="n"/>
      <c r="W342" s="177" t="n"/>
    </row>
    <row r="343" outlineLevel="1" ht="15.75" customHeight="1" s="297">
      <c r="A343" s="190" t="n"/>
      <c r="B343" s="204" t="n"/>
      <c r="C343" s="191" t="n"/>
      <c r="D343" s="205">
        <f>IFERROR(VLOOKUP($C343,'PORTIFÓLIO'!C:V,2,0),"")</f>
        <v/>
      </c>
      <c r="E343" s="190">
        <f>IFERROR(VLOOKUP($C343,'PORTIFÓLIO'!C:V,3,0),"")</f>
        <v/>
      </c>
      <c r="F343" s="190">
        <f>IFERROR(VLOOKUP($C343,'PORTIFÓLIO'!C:V,4,0),"")</f>
        <v/>
      </c>
      <c r="G343" s="206">
        <f>IFERROR(VLOOKUP($C343,'PORTIFÓLIO'!C:V,5,0),"")</f>
        <v/>
      </c>
      <c r="H343" s="247">
        <f t="array" ref="H343">IFERROR(INDEX('PORTIFÓLIO'!$H$4:$H$433,MATCH($C343,'PORTIFÓLIO'!$C$4:$C$433,0)),"")</f>
        <v/>
      </c>
      <c r="I343" s="257" t="n"/>
      <c r="J343" s="209">
        <f>I343*$B$2</f>
        <v/>
      </c>
      <c r="K343" s="248">
        <f t="array" ref="K343">IFERROR(I343*INDEX('PORTIFÓLIO'!$S$4:$S$433,MATCH($C343,'PORTIFÓLIO'!$C$4:$C$433,0)),"")</f>
        <v/>
      </c>
      <c r="L343" s="248">
        <f t="array" ref="L343">IFERROR(J343*INDEX('PORTIFÓLIO'!$S$4:$S$433,MATCH($C343,'PORTIFÓLIO'!$C$4:$C$433,0)),"")</f>
        <v/>
      </c>
      <c r="M343" s="177" t="n"/>
      <c r="N343" s="177" t="n"/>
      <c r="O343" s="177" t="n"/>
      <c r="P343" s="177" t="n"/>
      <c r="Q343" s="177" t="n"/>
      <c r="R343" s="177" t="n"/>
      <c r="S343" s="177" t="n"/>
      <c r="T343" s="177" t="n"/>
      <c r="U343" s="177" t="n"/>
      <c r="V343" s="177" t="n"/>
      <c r="W343" s="177" t="n"/>
    </row>
    <row r="344" outlineLevel="1" ht="15.75" customHeight="1" s="297">
      <c r="A344" s="190" t="n"/>
      <c r="B344" s="204" t="n"/>
      <c r="C344" s="191" t="n"/>
      <c r="D344" s="205">
        <f>IFERROR(VLOOKUP($C344,'PORTIFÓLIO'!C:V,2,0),"")</f>
        <v/>
      </c>
      <c r="E344" s="190">
        <f>IFERROR(VLOOKUP($C344,'PORTIFÓLIO'!C:V,3,0),"")</f>
        <v/>
      </c>
      <c r="F344" s="190">
        <f>IFERROR(VLOOKUP($C344,'PORTIFÓLIO'!C:V,4,0),"")</f>
        <v/>
      </c>
      <c r="G344" s="206">
        <f>IFERROR(VLOOKUP($C344,'PORTIFÓLIO'!C:V,5,0),"")</f>
        <v/>
      </c>
      <c r="H344" s="247">
        <f t="array" ref="H344">IFERROR(INDEX('PORTIFÓLIO'!$H$4:$H$433,MATCH($C344,'PORTIFÓLIO'!$C$4:$C$433,0)),"")</f>
        <v/>
      </c>
      <c r="I344" s="257" t="n"/>
      <c r="J344" s="209">
        <f>I344*$B$2</f>
        <v/>
      </c>
      <c r="K344" s="248">
        <f t="array" ref="K344">IFERROR(I344*INDEX('PORTIFÓLIO'!$S$4:$S$433,MATCH($C344,'PORTIFÓLIO'!$C$4:$C$433,0)),"")</f>
        <v/>
      </c>
      <c r="L344" s="248">
        <f t="array" ref="L344">IFERROR(J344*INDEX('PORTIFÓLIO'!$S$4:$S$433,MATCH($C344,'PORTIFÓLIO'!$C$4:$C$433,0)),"")</f>
        <v/>
      </c>
      <c r="M344" s="177" t="n"/>
      <c r="N344" s="177" t="n"/>
      <c r="O344" s="177" t="n"/>
      <c r="P344" s="177" t="n"/>
      <c r="Q344" s="177" t="n"/>
      <c r="R344" s="177" t="n"/>
      <c r="S344" s="177" t="n"/>
      <c r="T344" s="177" t="n"/>
      <c r="U344" s="177" t="n"/>
      <c r="V344" s="177" t="n"/>
      <c r="W344" s="177" t="n"/>
    </row>
    <row r="345" outlineLevel="1" ht="15.75" customHeight="1" s="297">
      <c r="A345" s="190" t="n"/>
      <c r="B345" s="204" t="n"/>
      <c r="C345" s="191" t="n"/>
      <c r="D345" s="205">
        <f>IFERROR(VLOOKUP($C345,'PORTIFÓLIO'!C:V,2,0),"")</f>
        <v/>
      </c>
      <c r="E345" s="190">
        <f>IFERROR(VLOOKUP($C345,'PORTIFÓLIO'!C:V,3,0),"")</f>
        <v/>
      </c>
      <c r="F345" s="190">
        <f>IFERROR(VLOOKUP($C345,'PORTIFÓLIO'!C:V,4,0),"")</f>
        <v/>
      </c>
      <c r="G345" s="206">
        <f>IFERROR(VLOOKUP($C345,'PORTIFÓLIO'!C:V,5,0),"")</f>
        <v/>
      </c>
      <c r="H345" s="247">
        <f t="array" ref="H345">IFERROR(INDEX('PORTIFÓLIO'!$H$4:$H$433,MATCH($C345,'PORTIFÓLIO'!$C$4:$C$433,0)),"")</f>
        <v/>
      </c>
      <c r="I345" s="257" t="n"/>
      <c r="J345" s="209">
        <f>I345*$B$2</f>
        <v/>
      </c>
      <c r="K345" s="248">
        <f t="array" ref="K345">IFERROR(I345*INDEX('PORTIFÓLIO'!$S$4:$S$433,MATCH($C345,'PORTIFÓLIO'!$C$4:$C$433,0)),"")</f>
        <v/>
      </c>
      <c r="L345" s="248">
        <f t="array" ref="L345">IFERROR(J345*INDEX('PORTIFÓLIO'!$S$4:$S$433,MATCH($C345,'PORTIFÓLIO'!$C$4:$C$433,0)),"")</f>
        <v/>
      </c>
      <c r="M345" s="177" t="n"/>
      <c r="N345" s="177" t="n"/>
      <c r="O345" s="177" t="n"/>
      <c r="P345" s="177" t="n"/>
      <c r="Q345" s="177" t="n"/>
      <c r="R345" s="177" t="n"/>
      <c r="S345" s="177" t="n"/>
      <c r="T345" s="177" t="n"/>
      <c r="U345" s="177" t="n"/>
      <c r="V345" s="177" t="n"/>
      <c r="W345" s="177" t="n"/>
    </row>
    <row r="346" outlineLevel="1" ht="15.75" customHeight="1" s="297">
      <c r="A346" s="190" t="n"/>
      <c r="B346" s="204" t="n"/>
      <c r="C346" s="191" t="n"/>
      <c r="D346" s="205">
        <f>IFERROR(VLOOKUP($C346,'PORTIFÓLIO'!C:V,2,0),"")</f>
        <v/>
      </c>
      <c r="E346" s="190">
        <f>IFERROR(VLOOKUP($C346,'PORTIFÓLIO'!C:V,3,0),"")</f>
        <v/>
      </c>
      <c r="F346" s="190">
        <f>IFERROR(VLOOKUP($C346,'PORTIFÓLIO'!C:V,4,0),"")</f>
        <v/>
      </c>
      <c r="G346" s="206">
        <f>IFERROR(VLOOKUP($C346,'PORTIFÓLIO'!C:V,5,0),"")</f>
        <v/>
      </c>
      <c r="H346" s="247">
        <f t="array" ref="H346">IFERROR(INDEX('PORTIFÓLIO'!$H$4:$H$433,MATCH($C346,'PORTIFÓLIO'!$C$4:$C$433,0)),"")</f>
        <v/>
      </c>
      <c r="I346" s="257" t="n"/>
      <c r="J346" s="209">
        <f>I346*$B$2</f>
        <v/>
      </c>
      <c r="K346" s="248">
        <f t="array" ref="K346">IFERROR(I346*INDEX('PORTIFÓLIO'!$S$4:$S$433,MATCH($C346,'PORTIFÓLIO'!$C$4:$C$433,0)),"")</f>
        <v/>
      </c>
      <c r="L346" s="248">
        <f t="array" ref="L346">IFERROR(J346*INDEX('PORTIFÓLIO'!$S$4:$S$433,MATCH($C346,'PORTIFÓLIO'!$C$4:$C$433,0)),"")</f>
        <v/>
      </c>
      <c r="M346" s="177" t="n"/>
      <c r="N346" s="177" t="n"/>
      <c r="O346" s="177" t="n"/>
      <c r="P346" s="177" t="n"/>
      <c r="Q346" s="177" t="n"/>
      <c r="R346" s="177" t="n"/>
      <c r="S346" s="177" t="n"/>
      <c r="T346" s="177" t="n"/>
      <c r="U346" s="177" t="n"/>
      <c r="V346" s="177" t="n"/>
      <c r="W346" s="177" t="n"/>
    </row>
    <row r="347" outlineLevel="1" ht="15.75" customHeight="1" s="297">
      <c r="A347" s="190" t="n"/>
      <c r="B347" s="204" t="n"/>
      <c r="C347" s="191" t="n"/>
      <c r="D347" s="205">
        <f>IFERROR(VLOOKUP($C347,'PORTIFÓLIO'!C:V,2,0),"")</f>
        <v/>
      </c>
      <c r="E347" s="190">
        <f>IFERROR(VLOOKUP($C347,'PORTIFÓLIO'!C:V,3,0),"")</f>
        <v/>
      </c>
      <c r="F347" s="190">
        <f>IFERROR(VLOOKUP($C347,'PORTIFÓLIO'!C:V,4,0),"")</f>
        <v/>
      </c>
      <c r="G347" s="206">
        <f>IFERROR(VLOOKUP($C347,'PORTIFÓLIO'!C:V,5,0),"")</f>
        <v/>
      </c>
      <c r="H347" s="247">
        <f t="array" ref="H347">IFERROR(INDEX('PORTIFÓLIO'!$H$4:$H$433,MATCH($C347,'PORTIFÓLIO'!$C$4:$C$433,0)),"")</f>
        <v/>
      </c>
      <c r="I347" s="257" t="n"/>
      <c r="J347" s="209">
        <f>I347*$B$2</f>
        <v/>
      </c>
      <c r="K347" s="248">
        <f t="array" ref="K347">IFERROR(I347*INDEX('PORTIFÓLIO'!$S$4:$S$433,MATCH($C347,'PORTIFÓLIO'!$C$4:$C$433,0)),"")</f>
        <v/>
      </c>
      <c r="L347" s="248">
        <f t="array" ref="L347">IFERROR(J347*INDEX('PORTIFÓLIO'!$S$4:$S$433,MATCH($C347,'PORTIFÓLIO'!$C$4:$C$433,0)),"")</f>
        <v/>
      </c>
      <c r="M347" s="177" t="n"/>
      <c r="N347" s="177" t="n"/>
      <c r="O347" s="177" t="n"/>
      <c r="P347" s="177" t="n"/>
      <c r="Q347" s="177" t="n"/>
      <c r="R347" s="177" t="n"/>
      <c r="S347" s="177" t="n"/>
      <c r="T347" s="177" t="n"/>
      <c r="U347" s="177" t="n"/>
      <c r="V347" s="177" t="n"/>
      <c r="W347" s="177" t="n"/>
    </row>
    <row r="348" outlineLevel="1" ht="15.75" customHeight="1" s="297">
      <c r="A348" s="190" t="n"/>
      <c r="B348" s="204" t="n"/>
      <c r="C348" s="191" t="n"/>
      <c r="D348" s="205">
        <f>IFERROR(VLOOKUP($C348,'PORTIFÓLIO'!C:V,2,0),"")</f>
        <v/>
      </c>
      <c r="E348" s="190">
        <f>IFERROR(VLOOKUP($C348,'PORTIFÓLIO'!C:V,3,0),"")</f>
        <v/>
      </c>
      <c r="F348" s="190">
        <f>IFERROR(VLOOKUP($C348,'PORTIFÓLIO'!C:V,4,0),"")</f>
        <v/>
      </c>
      <c r="G348" s="206">
        <f>IFERROR(VLOOKUP($C348,'PORTIFÓLIO'!C:V,5,0),"")</f>
        <v/>
      </c>
      <c r="H348" s="247">
        <f t="array" ref="H348">IFERROR(INDEX('PORTIFÓLIO'!$H$4:$H$433,MATCH($C348,'PORTIFÓLIO'!$C$4:$C$433,0)),"")</f>
        <v/>
      </c>
      <c r="I348" s="257" t="n"/>
      <c r="J348" s="209">
        <f>I348*$B$2</f>
        <v/>
      </c>
      <c r="K348" s="248">
        <f t="array" ref="K348">IFERROR(I348*INDEX('PORTIFÓLIO'!$S$4:$S$433,MATCH($C348,'PORTIFÓLIO'!$C$4:$C$433,0)),"")</f>
        <v/>
      </c>
      <c r="L348" s="248">
        <f t="array" ref="L348">IFERROR(J348*INDEX('PORTIFÓLIO'!$S$4:$S$433,MATCH($C348,'PORTIFÓLIO'!$C$4:$C$433,0)),"")</f>
        <v/>
      </c>
      <c r="M348" s="177" t="n"/>
      <c r="N348" s="177" t="n"/>
      <c r="O348" s="177" t="n"/>
      <c r="P348" s="177" t="n"/>
      <c r="Q348" s="177" t="n"/>
      <c r="R348" s="177" t="n"/>
      <c r="S348" s="177" t="n"/>
      <c r="T348" s="177" t="n"/>
      <c r="U348" s="177" t="n"/>
      <c r="V348" s="177" t="n"/>
      <c r="W348" s="177" t="n"/>
    </row>
    <row r="349" outlineLevel="1" ht="15.75" customHeight="1" s="297">
      <c r="A349" s="190" t="n"/>
      <c r="B349" s="204" t="n"/>
      <c r="C349" s="191" t="n"/>
      <c r="D349" s="205">
        <f>IFERROR(VLOOKUP($C349,'PORTIFÓLIO'!C:V,2,0),"")</f>
        <v/>
      </c>
      <c r="E349" s="190">
        <f>IFERROR(VLOOKUP($C349,'PORTIFÓLIO'!C:V,3,0),"")</f>
        <v/>
      </c>
      <c r="F349" s="190">
        <f>IFERROR(VLOOKUP($C349,'PORTIFÓLIO'!C:V,4,0),"")</f>
        <v/>
      </c>
      <c r="G349" s="206">
        <f>IFERROR(VLOOKUP($C349,'PORTIFÓLIO'!C:V,5,0),"")</f>
        <v/>
      </c>
      <c r="H349" s="247">
        <f t="array" ref="H349">IFERROR(INDEX('PORTIFÓLIO'!$H$4:$H$433,MATCH($C349,'PORTIFÓLIO'!$C$4:$C$433,0)),"")</f>
        <v/>
      </c>
      <c r="I349" s="257" t="n"/>
      <c r="J349" s="209">
        <f>I349*$B$2</f>
        <v/>
      </c>
      <c r="K349" s="248">
        <f t="array" ref="K349">IFERROR(I349*INDEX('PORTIFÓLIO'!$S$4:$S$433,MATCH($C349,'PORTIFÓLIO'!$C$4:$C$433,0)),"")</f>
        <v/>
      </c>
      <c r="L349" s="248">
        <f t="array" ref="L349">IFERROR(J349*INDEX('PORTIFÓLIO'!$S$4:$S$433,MATCH($C349,'PORTIFÓLIO'!$C$4:$C$433,0)),"")</f>
        <v/>
      </c>
      <c r="M349" s="177" t="n"/>
      <c r="N349" s="177" t="n"/>
      <c r="O349" s="177" t="n"/>
      <c r="P349" s="177" t="n"/>
      <c r="Q349" s="177" t="n"/>
      <c r="R349" s="177" t="n"/>
      <c r="S349" s="177" t="n"/>
      <c r="T349" s="177" t="n"/>
      <c r="U349" s="177" t="n"/>
      <c r="V349" s="177" t="n"/>
      <c r="W349" s="177" t="n"/>
    </row>
    <row r="350" outlineLevel="1" ht="15.75" customHeight="1" s="297">
      <c r="A350" s="190" t="n"/>
      <c r="B350" s="204" t="n"/>
      <c r="C350" s="191" t="n"/>
      <c r="D350" s="205">
        <f>IFERROR(VLOOKUP($C350,'PORTIFÓLIO'!C:V,2,0),"")</f>
        <v/>
      </c>
      <c r="E350" s="190">
        <f>IFERROR(VLOOKUP($C350,'PORTIFÓLIO'!C:V,3,0),"")</f>
        <v/>
      </c>
      <c r="F350" s="190">
        <f>IFERROR(VLOOKUP($C350,'PORTIFÓLIO'!C:V,4,0),"")</f>
        <v/>
      </c>
      <c r="G350" s="206">
        <f>IFERROR(VLOOKUP($C350,'PORTIFÓLIO'!C:V,5,0),"")</f>
        <v/>
      </c>
      <c r="H350" s="247">
        <f t="array" ref="H350">IFERROR(INDEX('PORTIFÓLIO'!$H$4:$H$433,MATCH($C350,'PORTIFÓLIO'!$C$4:$C$433,0)),"")</f>
        <v/>
      </c>
      <c r="I350" s="253" t="n"/>
      <c r="J350" s="209">
        <f>I350*$B$2</f>
        <v/>
      </c>
      <c r="K350" s="248">
        <f t="array" ref="K350">IFERROR(I350*INDEX('PORTIFÓLIO'!$S$4:$S$433,MATCH($C350,'PORTIFÓLIO'!$C$4:$C$433,0)),"")</f>
        <v/>
      </c>
      <c r="L350" s="248">
        <f t="array" ref="L350">IFERROR(J350*INDEX('PORTIFÓLIO'!$S$4:$S$433,MATCH($C350,'PORTIFÓLIO'!$C$4:$C$433,0)),"")</f>
        <v/>
      </c>
      <c r="M350" s="177" t="n"/>
      <c r="N350" s="177" t="n"/>
      <c r="O350" s="177" t="n"/>
      <c r="P350" s="177" t="n"/>
      <c r="Q350" s="177" t="n"/>
      <c r="R350" s="177" t="n"/>
      <c r="S350" s="177" t="n"/>
      <c r="T350" s="177" t="n"/>
      <c r="U350" s="177" t="n"/>
      <c r="V350" s="177" t="n"/>
      <c r="W350" s="177" t="n"/>
    </row>
    <row r="351" outlineLevel="1" ht="15.75" customHeight="1" s="297">
      <c r="A351" s="190" t="n"/>
      <c r="B351" s="204" t="n"/>
      <c r="C351" s="191" t="n"/>
      <c r="D351" s="205">
        <f>IFERROR(VLOOKUP($C351,'PORTIFÓLIO'!C:V,2,0),"")</f>
        <v/>
      </c>
      <c r="E351" s="190">
        <f>IFERROR(VLOOKUP($C351,'PORTIFÓLIO'!C:V,3,0),"")</f>
        <v/>
      </c>
      <c r="F351" s="190">
        <f>IFERROR(VLOOKUP($C351,'PORTIFÓLIO'!C:V,4,0),"")</f>
        <v/>
      </c>
      <c r="G351" s="206">
        <f>IFERROR(VLOOKUP($C351,'PORTIFÓLIO'!C:V,5,0),"")</f>
        <v/>
      </c>
      <c r="H351" s="247">
        <f t="array" ref="H351">IFERROR(INDEX('PORTIFÓLIO'!$H$4:$H$433,MATCH($C351,'PORTIFÓLIO'!$C$4:$C$433,0)),"")</f>
        <v/>
      </c>
      <c r="I351" s="257" t="n"/>
      <c r="J351" s="209">
        <f>I351*$B$2</f>
        <v/>
      </c>
      <c r="K351" s="248">
        <f t="array" ref="K351">IFERROR(I351*INDEX('PORTIFÓLIO'!$S$4:$S$433,MATCH($C351,'PORTIFÓLIO'!$C$4:$C$433,0)),"")</f>
        <v/>
      </c>
      <c r="L351" s="248">
        <f t="array" ref="L351">IFERROR(J351*INDEX('PORTIFÓLIO'!$S$4:$S$433,MATCH($C351,'PORTIFÓLIO'!$C$4:$C$433,0)),"")</f>
        <v/>
      </c>
      <c r="M351" s="177" t="n"/>
      <c r="N351" s="177" t="n"/>
      <c r="O351" s="177" t="n"/>
      <c r="P351" s="177" t="n"/>
      <c r="Q351" s="177" t="n"/>
      <c r="R351" s="177" t="n"/>
      <c r="S351" s="177" t="n"/>
      <c r="T351" s="177" t="n"/>
      <c r="U351" s="177" t="n"/>
      <c r="V351" s="177" t="n"/>
      <c r="W351" s="177" t="n"/>
    </row>
    <row r="352" outlineLevel="1" ht="15.75" customHeight="1" s="297">
      <c r="A352" s="190" t="n"/>
      <c r="B352" s="204" t="n"/>
      <c r="C352" s="191" t="n"/>
      <c r="D352" s="205">
        <f>IFERROR(VLOOKUP($C352,'PORTIFÓLIO'!C:V,2,0),"")</f>
        <v/>
      </c>
      <c r="E352" s="190">
        <f>IFERROR(VLOOKUP($C352,'PORTIFÓLIO'!C:V,3,0),"")</f>
        <v/>
      </c>
      <c r="F352" s="190">
        <f>IFERROR(VLOOKUP($C352,'PORTIFÓLIO'!C:V,4,0),"")</f>
        <v/>
      </c>
      <c r="G352" s="206">
        <f>IFERROR(VLOOKUP($C352,'PORTIFÓLIO'!C:V,5,0),"")</f>
        <v/>
      </c>
      <c r="H352" s="247">
        <f t="array" ref="H352">IFERROR(INDEX('PORTIFÓLIO'!$H$4:$H$433,MATCH($C352,'PORTIFÓLIO'!$C$4:$C$433,0)),"")</f>
        <v/>
      </c>
      <c r="I352" s="257" t="n"/>
      <c r="J352" s="209">
        <f>I352*$B$2</f>
        <v/>
      </c>
      <c r="K352" s="248">
        <f t="array" ref="K352">IFERROR(I352*INDEX('PORTIFÓLIO'!$S$4:$S$433,MATCH($C352,'PORTIFÓLIO'!$C$4:$C$433,0)),"")</f>
        <v/>
      </c>
      <c r="L352" s="248">
        <f t="array" ref="L352">IFERROR(J352*INDEX('PORTIFÓLIO'!$S$4:$S$433,MATCH($C352,'PORTIFÓLIO'!$C$4:$C$433,0)),"")</f>
        <v/>
      </c>
      <c r="M352" s="177" t="n"/>
      <c r="N352" s="177" t="n"/>
      <c r="O352" s="177" t="n"/>
      <c r="P352" s="177" t="n"/>
      <c r="Q352" s="177" t="n"/>
      <c r="R352" s="177" t="n"/>
      <c r="S352" s="177" t="n"/>
      <c r="T352" s="177" t="n"/>
      <c r="U352" s="177" t="n"/>
      <c r="V352" s="177" t="n"/>
      <c r="W352" s="177" t="n"/>
    </row>
    <row r="353" outlineLevel="1" ht="15.75" customHeight="1" s="297">
      <c r="A353" s="190" t="n"/>
      <c r="B353" s="204" t="n"/>
      <c r="C353" s="191" t="n"/>
      <c r="D353" s="205">
        <f>IFERROR(VLOOKUP($C353,'PORTIFÓLIO'!C:V,2,0),"")</f>
        <v/>
      </c>
      <c r="E353" s="190">
        <f>IFERROR(VLOOKUP($C353,'PORTIFÓLIO'!C:V,3,0),"")</f>
        <v/>
      </c>
      <c r="F353" s="190">
        <f>IFERROR(VLOOKUP($C353,'PORTIFÓLIO'!C:V,4,0),"")</f>
        <v/>
      </c>
      <c r="G353" s="206">
        <f>IFERROR(VLOOKUP($C353,'PORTIFÓLIO'!C:V,5,0),"")</f>
        <v/>
      </c>
      <c r="H353" s="247">
        <f t="array" ref="H353">IFERROR(INDEX('PORTIFÓLIO'!$H$4:$H$433,MATCH($C353,'PORTIFÓLIO'!$C$4:$C$433,0)),"")</f>
        <v/>
      </c>
      <c r="I353" s="257" t="n"/>
      <c r="J353" s="209">
        <f>I353*$B$2</f>
        <v/>
      </c>
      <c r="K353" s="248">
        <f t="array" ref="K353">IFERROR(I353*INDEX('PORTIFÓLIO'!$S$4:$S$433,MATCH($C353,'PORTIFÓLIO'!$C$4:$C$433,0)),"")</f>
        <v/>
      </c>
      <c r="L353" s="248">
        <f t="array" ref="L353">IFERROR(J353*INDEX('PORTIFÓLIO'!$S$4:$S$433,MATCH($C353,'PORTIFÓLIO'!$C$4:$C$433,0)),"")</f>
        <v/>
      </c>
      <c r="M353" s="177" t="n"/>
      <c r="N353" s="177" t="n"/>
      <c r="O353" s="177" t="n"/>
      <c r="P353" s="177" t="n"/>
      <c r="Q353" s="177" t="n"/>
      <c r="R353" s="177" t="n"/>
      <c r="S353" s="177" t="n"/>
      <c r="T353" s="177" t="n"/>
      <c r="U353" s="177" t="n"/>
      <c r="V353" s="177" t="n"/>
      <c r="W353" s="177" t="n"/>
    </row>
    <row r="354" outlineLevel="1" ht="15.75" customHeight="1" s="297">
      <c r="A354" s="190" t="n"/>
      <c r="B354" s="204" t="n"/>
      <c r="C354" s="191" t="n"/>
      <c r="D354" s="205">
        <f>IFERROR(VLOOKUP($C354,'PORTIFÓLIO'!C:V,2,0),"")</f>
        <v/>
      </c>
      <c r="E354" s="190">
        <f>IFERROR(VLOOKUP($C354,'PORTIFÓLIO'!C:V,3,0),"")</f>
        <v/>
      </c>
      <c r="F354" s="190">
        <f>IFERROR(VLOOKUP($C354,'PORTIFÓLIO'!C:V,4,0),"")</f>
        <v/>
      </c>
      <c r="G354" s="206">
        <f>IFERROR(VLOOKUP($C354,'PORTIFÓLIO'!C:V,5,0),"")</f>
        <v/>
      </c>
      <c r="H354" s="247">
        <f t="array" ref="H354">IFERROR(INDEX('PORTIFÓLIO'!$H$4:$H$433,MATCH($C354,'PORTIFÓLIO'!$C$4:$C$433,0)),"")</f>
        <v/>
      </c>
      <c r="I354" s="257" t="n"/>
      <c r="J354" s="209">
        <f>I354*$B$2</f>
        <v/>
      </c>
      <c r="K354" s="248">
        <f t="array" ref="K354">IFERROR(I354*INDEX('PORTIFÓLIO'!$S$4:$S$433,MATCH($C354,'PORTIFÓLIO'!$C$4:$C$433,0)),"")</f>
        <v/>
      </c>
      <c r="L354" s="248">
        <f t="array" ref="L354">IFERROR(J354*INDEX('PORTIFÓLIO'!$S$4:$S$433,MATCH($C354,'PORTIFÓLIO'!$C$4:$C$433,0)),"")</f>
        <v/>
      </c>
      <c r="M354" s="177" t="n"/>
      <c r="N354" s="177" t="n"/>
      <c r="O354" s="177" t="n"/>
      <c r="P354" s="177" t="n"/>
      <c r="Q354" s="177" t="n"/>
      <c r="R354" s="177" t="n"/>
      <c r="S354" s="177" t="n"/>
      <c r="T354" s="177" t="n"/>
      <c r="U354" s="177" t="n"/>
      <c r="V354" s="177" t="n"/>
      <c r="W354" s="177" t="n"/>
    </row>
    <row r="355" outlineLevel="1" ht="15.75" customHeight="1" s="297">
      <c r="A355" s="190" t="n"/>
      <c r="B355" s="204" t="n"/>
      <c r="C355" s="191" t="n"/>
      <c r="D355" s="205">
        <f>IFERROR(VLOOKUP($C355,'PORTIFÓLIO'!C:V,2,0),"")</f>
        <v/>
      </c>
      <c r="E355" s="190">
        <f>IFERROR(VLOOKUP($C355,'PORTIFÓLIO'!C:V,3,0),"")</f>
        <v/>
      </c>
      <c r="F355" s="190">
        <f>IFERROR(VLOOKUP($C355,'PORTIFÓLIO'!C:V,4,0),"")</f>
        <v/>
      </c>
      <c r="G355" s="206">
        <f>IFERROR(VLOOKUP($C355,'PORTIFÓLIO'!C:V,5,0),"")</f>
        <v/>
      </c>
      <c r="H355" s="247">
        <f t="array" ref="H355">IFERROR(INDEX('PORTIFÓLIO'!$H$4:$H$433,MATCH($C355,'PORTIFÓLIO'!$C$4:$C$433,0)),"")</f>
        <v/>
      </c>
      <c r="I355" s="257" t="n"/>
      <c r="J355" s="209">
        <f>I355*$B$2</f>
        <v/>
      </c>
      <c r="K355" s="248">
        <f t="array" ref="K355">IFERROR(I355*INDEX('PORTIFÓLIO'!$S$4:$S$433,MATCH($C355,'PORTIFÓLIO'!$C$4:$C$433,0)),"")</f>
        <v/>
      </c>
      <c r="L355" s="248">
        <f t="array" ref="L355">IFERROR(J355*INDEX('PORTIFÓLIO'!$S$4:$S$433,MATCH($C355,'PORTIFÓLIO'!$C$4:$C$433,0)),"")</f>
        <v/>
      </c>
      <c r="M355" s="177" t="n"/>
      <c r="N355" s="177" t="n"/>
      <c r="O355" s="177" t="n"/>
      <c r="P355" s="177" t="n"/>
      <c r="Q355" s="177" t="n"/>
      <c r="R355" s="177" t="n"/>
      <c r="S355" s="177" t="n"/>
      <c r="T355" s="177" t="n"/>
      <c r="U355" s="177" t="n"/>
      <c r="V355" s="177" t="n"/>
      <c r="W355" s="177" t="n"/>
    </row>
    <row r="356" outlineLevel="1" ht="15.75" customHeight="1" s="297">
      <c r="A356" s="190" t="n"/>
      <c r="B356" s="204" t="n"/>
      <c r="C356" s="191" t="n"/>
      <c r="D356" s="205">
        <f>IFERROR(VLOOKUP($C356,'PORTIFÓLIO'!C:V,2,0),"")</f>
        <v/>
      </c>
      <c r="E356" s="190">
        <f>IFERROR(VLOOKUP($C356,'PORTIFÓLIO'!C:V,3,0),"")</f>
        <v/>
      </c>
      <c r="F356" s="190">
        <f>IFERROR(VLOOKUP($C356,'PORTIFÓLIO'!C:V,4,0),"")</f>
        <v/>
      </c>
      <c r="G356" s="206">
        <f>IFERROR(VLOOKUP($C356,'PORTIFÓLIO'!C:V,5,0),"")</f>
        <v/>
      </c>
      <c r="H356" s="247">
        <f t="array" ref="H356">IFERROR(INDEX('PORTIFÓLIO'!$H$4:$H$433,MATCH($C356,'PORTIFÓLIO'!$C$4:$C$433,0)),"")</f>
        <v/>
      </c>
      <c r="I356" s="257" t="n"/>
      <c r="J356" s="209">
        <f>I356*$B$2</f>
        <v/>
      </c>
      <c r="K356" s="248">
        <f t="array" ref="K356">IFERROR(I356*INDEX('PORTIFÓLIO'!$S$4:$S$433,MATCH($C356,'PORTIFÓLIO'!$C$4:$C$433,0)),"")</f>
        <v/>
      </c>
      <c r="L356" s="248">
        <f t="array" ref="L356">IFERROR(J356*INDEX('PORTIFÓLIO'!$S$4:$S$433,MATCH($C356,'PORTIFÓLIO'!$C$4:$C$433,0)),"")</f>
        <v/>
      </c>
      <c r="M356" s="177" t="n"/>
      <c r="N356" s="177" t="n"/>
      <c r="O356" s="177" t="n"/>
      <c r="P356" s="177" t="n"/>
      <c r="Q356" s="177" t="n"/>
      <c r="R356" s="177" t="n"/>
      <c r="S356" s="177" t="n"/>
      <c r="T356" s="177" t="n"/>
      <c r="U356" s="177" t="n"/>
      <c r="V356" s="177" t="n"/>
      <c r="W356" s="177" t="n"/>
    </row>
    <row r="357" outlineLevel="1" ht="15.75" customHeight="1" s="297">
      <c r="A357" s="190" t="n"/>
      <c r="B357" s="238" t="n"/>
      <c r="C357" s="190" t="n"/>
      <c r="D357" s="205">
        <f>IFERROR(VLOOKUP($C357,'PORTIFÓLIO'!C:V,2,0),"")</f>
        <v/>
      </c>
      <c r="E357" s="190">
        <f>IFERROR(VLOOKUP($C357,'PORTIFÓLIO'!C:V,3,0),"")</f>
        <v/>
      </c>
      <c r="F357" s="190">
        <f>IFERROR(VLOOKUP($C357,'PORTIFÓLIO'!C:V,4,0),"")</f>
        <v/>
      </c>
      <c r="G357" s="206">
        <f>IFERROR(VLOOKUP($C357,'PORTIFÓLIO'!C:V,5,0),"")</f>
        <v/>
      </c>
      <c r="H357" s="247">
        <f t="array" ref="H357">IFERROR(INDEX('PORTIFÓLIO'!$H$4:$H$433,MATCH($C357,'PORTIFÓLIO'!$C$4:$C$433,0)),"")</f>
        <v/>
      </c>
      <c r="I357" s="257" t="n"/>
      <c r="J357" s="209" t="n"/>
      <c r="K357" s="248">
        <f t="array" ref="K357">IFERROR(I357*INDEX('PORTIFÓLIO'!$S$4:$S$433,MATCH($C357,'PORTIFÓLIO'!$C$4:$C$433,0)),"")</f>
        <v/>
      </c>
      <c r="L357" s="248">
        <f t="array" ref="L357">IFERROR(J357*INDEX('PORTIFÓLIO'!$S$4:$S$433,MATCH($C357,'PORTIFÓLIO'!$C$4:$C$433,0)),"")</f>
        <v/>
      </c>
      <c r="M357" s="177" t="n"/>
      <c r="N357" s="177" t="n"/>
      <c r="O357" s="177" t="n"/>
      <c r="P357" s="177" t="n"/>
      <c r="Q357" s="177" t="n"/>
      <c r="R357" s="177" t="n"/>
      <c r="S357" s="177" t="n"/>
      <c r="T357" s="177" t="n"/>
      <c r="U357" s="177" t="n"/>
      <c r="V357" s="177" t="n"/>
      <c r="W357" s="177" t="n"/>
    </row>
    <row r="358" ht="15.75" customHeight="1" s="297">
      <c r="A358" s="221" t="inlineStr">
        <is>
          <t>OPERAÇÃO 8</t>
        </is>
      </c>
      <c r="B358" s="197" t="n"/>
      <c r="C358" s="196" t="n"/>
      <c r="D358" s="198" t="n"/>
      <c r="E358" s="196" t="n"/>
      <c r="F358" s="196" t="n"/>
      <c r="G358" s="199" t="n"/>
      <c r="H358" s="199" t="n"/>
      <c r="I358" s="252" t="n"/>
      <c r="J358" s="202" t="n"/>
      <c r="K358" s="203">
        <f>SUBTOTAL(9,K359:K372)</f>
        <v/>
      </c>
      <c r="L358" s="203">
        <f>SUBTOTAL(9,L359:L372)</f>
        <v/>
      </c>
      <c r="M358" s="177" t="n"/>
      <c r="N358" s="177" t="n"/>
      <c r="O358" s="177" t="n"/>
      <c r="P358" s="177" t="n"/>
      <c r="Q358" s="177" t="n"/>
      <c r="R358" s="177" t="n"/>
      <c r="S358" s="177" t="n"/>
      <c r="T358" s="177" t="n"/>
      <c r="U358" s="177" t="n"/>
      <c r="V358" s="177" t="n"/>
      <c r="W358" s="177" t="n"/>
    </row>
    <row r="359" outlineLevel="1" ht="15.75" customHeight="1" s="297">
      <c r="A359" s="191" t="n"/>
      <c r="B359" s="204" t="n"/>
      <c r="C359" s="191" t="n"/>
      <c r="D359" s="205">
        <f>IFERROR(VLOOKUP($C359,'PORTIFÓLIO'!C:V,2,0),"")</f>
        <v/>
      </c>
      <c r="E359" s="190">
        <f>IFERROR(VLOOKUP($C359,'PORTIFÓLIO'!C:V,3,0),"")</f>
        <v/>
      </c>
      <c r="F359" s="190">
        <f>IFERROR(VLOOKUP($C359,'PORTIFÓLIO'!C:V,4,0),"")</f>
        <v/>
      </c>
      <c r="G359" s="206">
        <f>IFERROR(VLOOKUP($C359,'PORTIFÓLIO'!C:V,5,0),"")</f>
        <v/>
      </c>
      <c r="H359" s="247">
        <f t="array" ref="H359">IFERROR(INDEX('PORTIFÓLIO'!$H$4:$H$433,MATCH($C359,'PORTIFÓLIO'!$C$4:$C$433,0)),"")</f>
        <v/>
      </c>
      <c r="I359" s="253" t="n"/>
      <c r="J359" s="209">
        <f>I359*$B$2</f>
        <v/>
      </c>
      <c r="K359" s="248">
        <f t="array" ref="K359">IFERROR(I359*INDEX('PORTIFÓLIO'!$S$4:$S$433,MATCH($C359,'PORTIFÓLIO'!$C$4:$C$433,0)),"")</f>
        <v/>
      </c>
      <c r="L359" s="248">
        <f t="array" ref="L359">IFERROR(J359*INDEX('PORTIFÓLIO'!$S$4:$S$433,MATCH($C359,'PORTIFÓLIO'!$C$4:$C$433,0)),"")</f>
        <v/>
      </c>
      <c r="M359" s="177" t="n"/>
      <c r="N359" s="177" t="n"/>
      <c r="O359" s="177" t="n"/>
      <c r="P359" s="177" t="n"/>
      <c r="Q359" s="177" t="n"/>
      <c r="R359" s="177" t="n"/>
      <c r="S359" s="177" t="n"/>
      <c r="T359" s="177" t="n"/>
      <c r="U359" s="177" t="n"/>
      <c r="V359" s="177" t="n"/>
      <c r="W359" s="177" t="n"/>
    </row>
    <row r="360" outlineLevel="1" ht="15.75" customHeight="1" s="297">
      <c r="A360" s="190" t="n"/>
      <c r="B360" s="204" t="n"/>
      <c r="C360" s="191" t="n"/>
      <c r="D360" s="205">
        <f>IFERROR(VLOOKUP($C360,'PORTIFÓLIO'!C:V,2,0),"")</f>
        <v/>
      </c>
      <c r="E360" s="190">
        <f>IFERROR(VLOOKUP($C360,'PORTIFÓLIO'!C:V,3,0),"")</f>
        <v/>
      </c>
      <c r="F360" s="190">
        <f>IFERROR(VLOOKUP($C360,'PORTIFÓLIO'!C:V,4,0),"")</f>
        <v/>
      </c>
      <c r="G360" s="206">
        <f>IFERROR(VLOOKUP($C360,'PORTIFÓLIO'!C:V,5,0),"")</f>
        <v/>
      </c>
      <c r="H360" s="247">
        <f t="array" ref="H360">IFERROR(INDEX('PORTIFÓLIO'!$H$4:$H$433,MATCH($C360,'PORTIFÓLIO'!$C$4:$C$433,0)),"")</f>
        <v/>
      </c>
      <c r="I360" s="257" t="n"/>
      <c r="J360" s="209">
        <f>I360*$B$2</f>
        <v/>
      </c>
      <c r="K360" s="248">
        <f t="array" ref="K360">IFERROR(I360*INDEX('PORTIFÓLIO'!$S$4:$S$433,MATCH($C360,'PORTIFÓLIO'!$C$4:$C$433,0)),"")</f>
        <v/>
      </c>
      <c r="L360" s="248">
        <f t="array" ref="L360">IFERROR(J360*INDEX('PORTIFÓLIO'!$S$4:$S$433,MATCH($C360,'PORTIFÓLIO'!$C$4:$C$433,0)),"")</f>
        <v/>
      </c>
      <c r="M360" s="177" t="n"/>
      <c r="N360" s="177" t="n"/>
      <c r="O360" s="177" t="n"/>
      <c r="P360" s="177" t="n"/>
      <c r="Q360" s="177" t="n"/>
      <c r="R360" s="177" t="n"/>
      <c r="S360" s="177" t="n"/>
      <c r="T360" s="177" t="n"/>
      <c r="U360" s="177" t="n"/>
      <c r="V360" s="177" t="n"/>
      <c r="W360" s="177" t="n"/>
    </row>
    <row r="361" outlineLevel="1" ht="15.75" customHeight="1" s="297">
      <c r="A361" s="190" t="n"/>
      <c r="B361" s="204" t="n"/>
      <c r="C361" s="191" t="n"/>
      <c r="D361" s="205">
        <f>IFERROR(VLOOKUP($C361,'PORTIFÓLIO'!C:V,2,0),"")</f>
        <v/>
      </c>
      <c r="E361" s="190">
        <f>IFERROR(VLOOKUP($C361,'PORTIFÓLIO'!C:V,3,0),"")</f>
        <v/>
      </c>
      <c r="F361" s="190">
        <f>IFERROR(VLOOKUP($C361,'PORTIFÓLIO'!C:V,4,0),"")</f>
        <v/>
      </c>
      <c r="G361" s="206">
        <f>IFERROR(VLOOKUP($C361,'PORTIFÓLIO'!C:V,5,0),"")</f>
        <v/>
      </c>
      <c r="H361" s="247">
        <f t="array" ref="H361">IFERROR(INDEX('PORTIFÓLIO'!$H$4:$H$433,MATCH($C361,'PORTIFÓLIO'!$C$4:$C$433,0)),"")</f>
        <v/>
      </c>
      <c r="I361" s="257" t="n"/>
      <c r="J361" s="209">
        <f>I361*$B$2</f>
        <v/>
      </c>
      <c r="K361" s="248">
        <f t="array" ref="K361">IFERROR(I361*INDEX('PORTIFÓLIO'!$S$4:$S$433,MATCH($C361,'PORTIFÓLIO'!$C$4:$C$433,0)),"")</f>
        <v/>
      </c>
      <c r="L361" s="248">
        <f t="array" ref="L361">IFERROR(J361*INDEX('PORTIFÓLIO'!$S$4:$S$433,MATCH($C361,'PORTIFÓLIO'!$C$4:$C$433,0)),"")</f>
        <v/>
      </c>
      <c r="M361" s="177" t="n"/>
      <c r="N361" s="177" t="n"/>
      <c r="O361" s="177" t="n"/>
      <c r="P361" s="177" t="n"/>
      <c r="Q361" s="177" t="n"/>
      <c r="R361" s="177" t="n"/>
      <c r="S361" s="177" t="n"/>
      <c r="T361" s="177" t="n"/>
      <c r="U361" s="177" t="n"/>
      <c r="V361" s="177" t="n"/>
      <c r="W361" s="177" t="n"/>
    </row>
    <row r="362" outlineLevel="1" ht="15.75" customHeight="1" s="297">
      <c r="A362" s="190" t="n"/>
      <c r="B362" s="204" t="n"/>
      <c r="C362" s="191" t="n"/>
      <c r="D362" s="205">
        <f>IFERROR(VLOOKUP($C362,'PORTIFÓLIO'!C:V,2,0),"")</f>
        <v/>
      </c>
      <c r="E362" s="190">
        <f>IFERROR(VLOOKUP($C362,'PORTIFÓLIO'!C:V,3,0),"")</f>
        <v/>
      </c>
      <c r="F362" s="190">
        <f>IFERROR(VLOOKUP($C362,'PORTIFÓLIO'!C:V,4,0),"")</f>
        <v/>
      </c>
      <c r="G362" s="206">
        <f>IFERROR(VLOOKUP($C362,'PORTIFÓLIO'!C:V,5,0),"")</f>
        <v/>
      </c>
      <c r="H362" s="247">
        <f t="array" ref="H362">IFERROR(INDEX('PORTIFÓLIO'!$H$4:$H$433,MATCH($C362,'PORTIFÓLIO'!$C$4:$C$433,0)),"")</f>
        <v/>
      </c>
      <c r="I362" s="257" t="n"/>
      <c r="J362" s="209">
        <f>I362*$B$2</f>
        <v/>
      </c>
      <c r="K362" s="248">
        <f t="array" ref="K362">IFERROR(I362*INDEX('PORTIFÓLIO'!$S$4:$S$433,MATCH($C362,'PORTIFÓLIO'!$C$4:$C$433,0)),"")</f>
        <v/>
      </c>
      <c r="L362" s="248">
        <f t="array" ref="L362">IFERROR(J362*INDEX('PORTIFÓLIO'!$S$4:$S$433,MATCH($C362,'PORTIFÓLIO'!$C$4:$C$433,0)),"")</f>
        <v/>
      </c>
      <c r="M362" s="177" t="n"/>
      <c r="N362" s="177" t="n"/>
      <c r="O362" s="177" t="n"/>
      <c r="P362" s="177" t="n"/>
      <c r="Q362" s="177" t="n"/>
      <c r="R362" s="177" t="n"/>
      <c r="S362" s="177" t="n"/>
      <c r="T362" s="177" t="n"/>
      <c r="U362" s="177" t="n"/>
      <c r="V362" s="177" t="n"/>
      <c r="W362" s="177" t="n"/>
    </row>
    <row r="363" outlineLevel="1" ht="15.75" customHeight="1" s="297">
      <c r="A363" s="190" t="n"/>
      <c r="B363" s="204" t="n"/>
      <c r="C363" s="191" t="n"/>
      <c r="D363" s="205">
        <f>IFERROR(VLOOKUP($C363,'PORTIFÓLIO'!C:V,2,0),"")</f>
        <v/>
      </c>
      <c r="E363" s="190">
        <f>IFERROR(VLOOKUP($C363,'PORTIFÓLIO'!C:V,3,0),"")</f>
        <v/>
      </c>
      <c r="F363" s="190">
        <f>IFERROR(VLOOKUP($C363,'PORTIFÓLIO'!C:V,4,0),"")</f>
        <v/>
      </c>
      <c r="G363" s="206">
        <f>IFERROR(VLOOKUP($C363,'PORTIFÓLIO'!C:V,5,0),"")</f>
        <v/>
      </c>
      <c r="H363" s="247">
        <f t="array" ref="H363">IFERROR(INDEX('PORTIFÓLIO'!$H$4:$H$433,MATCH($C363,'PORTIFÓLIO'!$C$4:$C$433,0)),"")</f>
        <v/>
      </c>
      <c r="I363" s="257" t="n"/>
      <c r="J363" s="209">
        <f>I363*$B$2</f>
        <v/>
      </c>
      <c r="K363" s="248">
        <f t="array" ref="K363">IFERROR(I363*INDEX('PORTIFÓLIO'!$S$4:$S$433,MATCH($C363,'PORTIFÓLIO'!$C$4:$C$433,0)),"")</f>
        <v/>
      </c>
      <c r="L363" s="248">
        <f t="array" ref="L363">IFERROR(J363*INDEX('PORTIFÓLIO'!$S$4:$S$433,MATCH($C363,'PORTIFÓLIO'!$C$4:$C$433,0)),"")</f>
        <v/>
      </c>
      <c r="M363" s="177" t="n"/>
      <c r="N363" s="177" t="n"/>
      <c r="O363" s="177" t="n"/>
      <c r="P363" s="177" t="n"/>
      <c r="Q363" s="177" t="n"/>
      <c r="R363" s="177" t="n"/>
      <c r="S363" s="177" t="n"/>
      <c r="T363" s="177" t="n"/>
      <c r="U363" s="177" t="n"/>
      <c r="V363" s="177" t="n"/>
      <c r="W363" s="177" t="n"/>
    </row>
    <row r="364" outlineLevel="1" ht="15.75" customHeight="1" s="297">
      <c r="A364" s="190" t="n"/>
      <c r="B364" s="204" t="n"/>
      <c r="C364" s="191" t="n"/>
      <c r="D364" s="205">
        <f>IFERROR(VLOOKUP($C364,'PORTIFÓLIO'!C:V,2,0),"")</f>
        <v/>
      </c>
      <c r="E364" s="190">
        <f>IFERROR(VLOOKUP($C364,'PORTIFÓLIO'!C:V,3,0),"")</f>
        <v/>
      </c>
      <c r="F364" s="190">
        <f>IFERROR(VLOOKUP($C364,'PORTIFÓLIO'!C:V,4,0),"")</f>
        <v/>
      </c>
      <c r="G364" s="206">
        <f>IFERROR(VLOOKUP($C364,'PORTIFÓLIO'!C:V,5,0),"")</f>
        <v/>
      </c>
      <c r="H364" s="247">
        <f t="array" ref="H364">IFERROR(INDEX('PORTIFÓLIO'!$H$4:$H$433,MATCH($C364,'PORTIFÓLIO'!$C$4:$C$433,0)),"")</f>
        <v/>
      </c>
      <c r="I364" s="257" t="n"/>
      <c r="J364" s="209">
        <f>I364*$B$2</f>
        <v/>
      </c>
      <c r="K364" s="248">
        <f t="array" ref="K364">IFERROR(I364*INDEX('PORTIFÓLIO'!$S$4:$S$433,MATCH($C364,'PORTIFÓLIO'!$C$4:$C$433,0)),"")</f>
        <v/>
      </c>
      <c r="L364" s="248">
        <f t="array" ref="L364">IFERROR(J364*INDEX('PORTIFÓLIO'!$S$4:$S$433,MATCH($C364,'PORTIFÓLIO'!$C$4:$C$433,0)),"")</f>
        <v/>
      </c>
      <c r="M364" s="177" t="n"/>
      <c r="N364" s="177" t="n"/>
      <c r="O364" s="177" t="n"/>
      <c r="P364" s="177" t="n"/>
      <c r="Q364" s="177" t="n"/>
      <c r="R364" s="177" t="n"/>
      <c r="S364" s="177" t="n"/>
      <c r="T364" s="177" t="n"/>
      <c r="U364" s="177" t="n"/>
      <c r="V364" s="177" t="n"/>
      <c r="W364" s="177" t="n"/>
    </row>
    <row r="365" outlineLevel="1" ht="15.75" customHeight="1" s="297">
      <c r="A365" s="190" t="n"/>
      <c r="B365" s="204" t="n"/>
      <c r="C365" s="191" t="n"/>
      <c r="D365" s="205">
        <f>IFERROR(VLOOKUP($C365,'PORTIFÓLIO'!C:V,2,0),"")</f>
        <v/>
      </c>
      <c r="E365" s="190">
        <f>IFERROR(VLOOKUP($C365,'PORTIFÓLIO'!C:V,3,0),"")</f>
        <v/>
      </c>
      <c r="F365" s="190">
        <f>IFERROR(VLOOKUP($C365,'PORTIFÓLIO'!C:V,4,0),"")</f>
        <v/>
      </c>
      <c r="G365" s="206">
        <f>IFERROR(VLOOKUP($C365,'PORTIFÓLIO'!C:V,5,0),"")</f>
        <v/>
      </c>
      <c r="H365" s="247">
        <f t="array" ref="H365">IFERROR(INDEX('PORTIFÓLIO'!$H$4:$H$433,MATCH($C365,'PORTIFÓLIO'!$C$4:$C$433,0)),"")</f>
        <v/>
      </c>
      <c r="I365" s="257" t="n"/>
      <c r="J365" s="209">
        <f>I365*$B$2</f>
        <v/>
      </c>
      <c r="K365" s="248">
        <f t="array" ref="K365">IFERROR(I365*INDEX('PORTIFÓLIO'!$S$4:$S$433,MATCH($C365,'PORTIFÓLIO'!$C$4:$C$433,0)),"")</f>
        <v/>
      </c>
      <c r="L365" s="248">
        <f t="array" ref="L365">IFERROR(J365*INDEX('PORTIFÓLIO'!$S$4:$S$433,MATCH($C365,'PORTIFÓLIO'!$C$4:$C$433,0)),"")</f>
        <v/>
      </c>
      <c r="M365" s="177" t="n"/>
      <c r="N365" s="177" t="n"/>
      <c r="O365" s="177" t="n"/>
      <c r="P365" s="177" t="n"/>
      <c r="Q365" s="177" t="n"/>
      <c r="R365" s="177" t="n"/>
      <c r="S365" s="177" t="n"/>
      <c r="T365" s="177" t="n"/>
      <c r="U365" s="177" t="n"/>
      <c r="V365" s="177" t="n"/>
      <c r="W365" s="177" t="n"/>
    </row>
    <row r="366" outlineLevel="1" ht="15.75" customHeight="1" s="297">
      <c r="A366" s="190" t="n"/>
      <c r="B366" s="204" t="n"/>
      <c r="C366" s="191" t="n"/>
      <c r="D366" s="205">
        <f>IFERROR(VLOOKUP($C366,'PORTIFÓLIO'!C:V,2,0),"")</f>
        <v/>
      </c>
      <c r="E366" s="190">
        <f>IFERROR(VLOOKUP($C366,'PORTIFÓLIO'!C:V,3,0),"")</f>
        <v/>
      </c>
      <c r="F366" s="190">
        <f>IFERROR(VLOOKUP($C366,'PORTIFÓLIO'!C:V,4,0),"")</f>
        <v/>
      </c>
      <c r="G366" s="206">
        <f>IFERROR(VLOOKUP($C366,'PORTIFÓLIO'!C:V,5,0),"")</f>
        <v/>
      </c>
      <c r="H366" s="247">
        <f t="array" ref="H366">IFERROR(INDEX('PORTIFÓLIO'!$H$4:$H$433,MATCH($C366,'PORTIFÓLIO'!$C$4:$C$433,0)),"")</f>
        <v/>
      </c>
      <c r="I366" s="257" t="n"/>
      <c r="J366" s="209">
        <f>I366*$B$2</f>
        <v/>
      </c>
      <c r="K366" s="248">
        <f t="array" ref="K366">IFERROR(I366*INDEX('PORTIFÓLIO'!$S$4:$S$433,MATCH($C366,'PORTIFÓLIO'!$C$4:$C$433,0)),"")</f>
        <v/>
      </c>
      <c r="L366" s="248">
        <f t="array" ref="L366">IFERROR(J366*INDEX('PORTIFÓLIO'!$S$4:$S$433,MATCH($C366,'PORTIFÓLIO'!$C$4:$C$433,0)),"")</f>
        <v/>
      </c>
      <c r="M366" s="177" t="n"/>
      <c r="N366" s="177" t="n"/>
      <c r="O366" s="177" t="n"/>
      <c r="P366" s="177" t="n"/>
      <c r="Q366" s="177" t="n"/>
      <c r="R366" s="177" t="n"/>
      <c r="S366" s="177" t="n"/>
      <c r="T366" s="177" t="n"/>
      <c r="U366" s="177" t="n"/>
      <c r="V366" s="177" t="n"/>
      <c r="W366" s="177" t="n"/>
    </row>
    <row r="367" outlineLevel="1" ht="15.75" customHeight="1" s="297">
      <c r="A367" s="190" t="n"/>
      <c r="B367" s="204" t="n"/>
      <c r="C367" s="191" t="n"/>
      <c r="D367" s="205">
        <f>IFERROR(VLOOKUP($C367,'PORTIFÓLIO'!C:V,2,0),"")</f>
        <v/>
      </c>
      <c r="E367" s="190">
        <f>IFERROR(VLOOKUP($C367,'PORTIFÓLIO'!C:V,3,0),"")</f>
        <v/>
      </c>
      <c r="F367" s="190">
        <f>IFERROR(VLOOKUP($C367,'PORTIFÓLIO'!C:V,4,0),"")</f>
        <v/>
      </c>
      <c r="G367" s="206">
        <f>IFERROR(VLOOKUP($C367,'PORTIFÓLIO'!C:V,5,0),"")</f>
        <v/>
      </c>
      <c r="H367" s="247">
        <f t="array" ref="H367">IFERROR(INDEX('PORTIFÓLIO'!$H$4:$H$433,MATCH($C367,'PORTIFÓLIO'!$C$4:$C$433,0)),"")</f>
        <v/>
      </c>
      <c r="I367" s="253" t="n"/>
      <c r="J367" s="209">
        <f>I367*$B$2</f>
        <v/>
      </c>
      <c r="K367" s="248">
        <f t="array" ref="K367">IFERROR(I367*INDEX('PORTIFÓLIO'!$S$4:$S$433,MATCH($C367,'PORTIFÓLIO'!$C$4:$C$433,0)),"")</f>
        <v/>
      </c>
      <c r="L367" s="248">
        <f t="array" ref="L367">IFERROR(J367*INDEX('PORTIFÓLIO'!$S$4:$S$433,MATCH($C367,'PORTIFÓLIO'!$C$4:$C$433,0)),"")</f>
        <v/>
      </c>
      <c r="M367" s="177" t="n"/>
      <c r="N367" s="177" t="n"/>
      <c r="O367" s="177" t="n"/>
      <c r="P367" s="177" t="n"/>
      <c r="Q367" s="177" t="n"/>
      <c r="R367" s="177" t="n"/>
      <c r="S367" s="177" t="n"/>
      <c r="T367" s="177" t="n"/>
      <c r="U367" s="177" t="n"/>
      <c r="V367" s="177" t="n"/>
      <c r="W367" s="177" t="n"/>
    </row>
    <row r="368" outlineLevel="1" ht="15.75" customHeight="1" s="297">
      <c r="A368" s="190" t="n"/>
      <c r="B368" s="204" t="n"/>
      <c r="C368" s="191" t="n"/>
      <c r="D368" s="205">
        <f>IFERROR(VLOOKUP($C368,'PORTIFÓLIO'!C:V,2,0),"")</f>
        <v/>
      </c>
      <c r="E368" s="190">
        <f>IFERROR(VLOOKUP($C368,'PORTIFÓLIO'!C:V,3,0),"")</f>
        <v/>
      </c>
      <c r="F368" s="190">
        <f>IFERROR(VLOOKUP($C368,'PORTIFÓLIO'!C:V,4,0),"")</f>
        <v/>
      </c>
      <c r="G368" s="206">
        <f>IFERROR(VLOOKUP($C368,'PORTIFÓLIO'!C:V,5,0),"")</f>
        <v/>
      </c>
      <c r="H368" s="247">
        <f t="array" ref="H368">IFERROR(INDEX('PORTIFÓLIO'!$H$4:$H$433,MATCH($C368,'PORTIFÓLIO'!$C$4:$C$433,0)),"")</f>
        <v/>
      </c>
      <c r="I368" s="257" t="n"/>
      <c r="J368" s="209">
        <f>I368*$B$2</f>
        <v/>
      </c>
      <c r="K368" s="248">
        <f t="array" ref="K368">IFERROR(I368*INDEX('PORTIFÓLIO'!$S$4:$S$433,MATCH($C368,'PORTIFÓLIO'!$C$4:$C$433,0)),"")</f>
        <v/>
      </c>
      <c r="L368" s="248">
        <f t="array" ref="L368">IFERROR(J368*INDEX('PORTIFÓLIO'!$S$4:$S$433,MATCH($C368,'PORTIFÓLIO'!$C$4:$C$433,0)),"")</f>
        <v/>
      </c>
      <c r="M368" s="177" t="n"/>
      <c r="N368" s="177" t="n"/>
      <c r="O368" s="177" t="n"/>
      <c r="P368" s="177" t="n"/>
      <c r="Q368" s="177" t="n"/>
      <c r="R368" s="177" t="n"/>
      <c r="S368" s="177" t="n"/>
      <c r="T368" s="177" t="n"/>
      <c r="U368" s="177" t="n"/>
      <c r="V368" s="177" t="n"/>
      <c r="W368" s="177" t="n"/>
    </row>
    <row r="369" outlineLevel="1" ht="15.75" customHeight="1" s="297">
      <c r="A369" s="190" t="n"/>
      <c r="B369" s="204" t="n"/>
      <c r="C369" s="191" t="n"/>
      <c r="D369" s="205">
        <f>IFERROR(VLOOKUP($C369,'PORTIFÓLIO'!C:V,2,0),"")</f>
        <v/>
      </c>
      <c r="E369" s="190">
        <f>IFERROR(VLOOKUP($C369,'PORTIFÓLIO'!C:V,3,0),"")</f>
        <v/>
      </c>
      <c r="F369" s="190">
        <f>IFERROR(VLOOKUP($C369,'PORTIFÓLIO'!C:V,4,0),"")</f>
        <v/>
      </c>
      <c r="G369" s="206">
        <f>IFERROR(VLOOKUP($C369,'PORTIFÓLIO'!C:V,5,0),"")</f>
        <v/>
      </c>
      <c r="H369" s="247">
        <f t="array" ref="H369">IFERROR(INDEX('PORTIFÓLIO'!$H$4:$H$433,MATCH($C369,'PORTIFÓLIO'!$C$4:$C$433,0)),"")</f>
        <v/>
      </c>
      <c r="I369" s="257" t="n"/>
      <c r="J369" s="209">
        <f>I369*$B$2</f>
        <v/>
      </c>
      <c r="K369" s="248">
        <f t="array" ref="K369">IFERROR(I369*INDEX('PORTIFÓLIO'!$S$4:$S$433,MATCH($C369,'PORTIFÓLIO'!$C$4:$C$433,0)),"")</f>
        <v/>
      </c>
      <c r="L369" s="248">
        <f t="array" ref="L369">IFERROR(J369*INDEX('PORTIFÓLIO'!$S$4:$S$433,MATCH($C369,'PORTIFÓLIO'!$C$4:$C$433,0)),"")</f>
        <v/>
      </c>
      <c r="M369" s="177" t="n"/>
      <c r="N369" s="177" t="n"/>
      <c r="O369" s="177" t="n"/>
      <c r="P369" s="177" t="n"/>
      <c r="Q369" s="177" t="n"/>
      <c r="R369" s="177" t="n"/>
      <c r="S369" s="177" t="n"/>
      <c r="T369" s="177" t="n"/>
      <c r="U369" s="177" t="n"/>
      <c r="V369" s="177" t="n"/>
      <c r="W369" s="177" t="n"/>
    </row>
    <row r="370" outlineLevel="1" ht="15.75" customHeight="1" s="297">
      <c r="A370" s="190" t="n"/>
      <c r="B370" s="204" t="n"/>
      <c r="C370" s="191" t="n"/>
      <c r="D370" s="205">
        <f>IFERROR(VLOOKUP($C370,'PORTIFÓLIO'!C:V,2,0),"")</f>
        <v/>
      </c>
      <c r="E370" s="190">
        <f>IFERROR(VLOOKUP($C370,'PORTIFÓLIO'!C:V,3,0),"")</f>
        <v/>
      </c>
      <c r="F370" s="190">
        <f>IFERROR(VLOOKUP($C370,'PORTIFÓLIO'!C:V,4,0),"")</f>
        <v/>
      </c>
      <c r="G370" s="206">
        <f>IFERROR(VLOOKUP($C370,'PORTIFÓLIO'!C:V,5,0),"")</f>
        <v/>
      </c>
      <c r="H370" s="247">
        <f t="array" ref="H370">IFERROR(INDEX('PORTIFÓLIO'!$H$4:$H$433,MATCH($C370,'PORTIFÓLIO'!$C$4:$C$433,0)),"")</f>
        <v/>
      </c>
      <c r="I370" s="257" t="n"/>
      <c r="J370" s="209">
        <f>I370*$B$2</f>
        <v/>
      </c>
      <c r="K370" s="248">
        <f t="array" ref="K370">IFERROR(I370*INDEX('PORTIFÓLIO'!$S$4:$S$433,MATCH($C370,'PORTIFÓLIO'!$C$4:$C$433,0)),"")</f>
        <v/>
      </c>
      <c r="L370" s="248">
        <f t="array" ref="L370">IFERROR(J370*INDEX('PORTIFÓLIO'!$S$4:$S$433,MATCH($C370,'PORTIFÓLIO'!$C$4:$C$433,0)),"")</f>
        <v/>
      </c>
      <c r="M370" s="177" t="n"/>
      <c r="N370" s="177" t="n"/>
      <c r="O370" s="177" t="n"/>
      <c r="P370" s="177" t="n"/>
      <c r="Q370" s="177" t="n"/>
      <c r="R370" s="177" t="n"/>
      <c r="S370" s="177" t="n"/>
      <c r="T370" s="177" t="n"/>
      <c r="U370" s="177" t="n"/>
      <c r="V370" s="177" t="n"/>
      <c r="W370" s="177" t="n"/>
    </row>
    <row r="371" outlineLevel="1" ht="15.75" customHeight="1" s="297">
      <c r="A371" s="190" t="n"/>
      <c r="B371" s="204" t="n"/>
      <c r="C371" s="191" t="n"/>
      <c r="D371" s="205">
        <f>IFERROR(VLOOKUP($C371,'PORTIFÓLIO'!C:V,2,0),"")</f>
        <v/>
      </c>
      <c r="E371" s="190">
        <f>IFERROR(VLOOKUP($C371,'PORTIFÓLIO'!C:V,3,0),"")</f>
        <v/>
      </c>
      <c r="F371" s="190">
        <f>IFERROR(VLOOKUP($C371,'PORTIFÓLIO'!C:V,4,0),"")</f>
        <v/>
      </c>
      <c r="G371" s="206">
        <f>IFERROR(VLOOKUP($C371,'PORTIFÓLIO'!C:V,5,0),"")</f>
        <v/>
      </c>
      <c r="H371" s="247">
        <f t="array" ref="H371">IFERROR(INDEX('PORTIFÓLIO'!$H$4:$H$433,MATCH($C371,'PORTIFÓLIO'!$C$4:$C$433,0)),"")</f>
        <v/>
      </c>
      <c r="I371" s="257" t="n"/>
      <c r="J371" s="209">
        <f>I371*$B$2</f>
        <v/>
      </c>
      <c r="K371" s="248">
        <f t="array" ref="K371">IFERROR(I371*INDEX('PORTIFÓLIO'!$S$4:$S$433,MATCH($C371,'PORTIFÓLIO'!$C$4:$C$433,0)),"")</f>
        <v/>
      </c>
      <c r="L371" s="248">
        <f t="array" ref="L371">IFERROR(J371*INDEX('PORTIFÓLIO'!$S$4:$S$433,MATCH($C371,'PORTIFÓLIO'!$C$4:$C$433,0)),"")</f>
        <v/>
      </c>
      <c r="M371" s="177" t="n"/>
      <c r="N371" s="177" t="n"/>
      <c r="O371" s="177" t="n"/>
      <c r="P371" s="177" t="n"/>
      <c r="Q371" s="177" t="n"/>
      <c r="R371" s="177" t="n"/>
      <c r="S371" s="177" t="n"/>
      <c r="T371" s="177" t="n"/>
      <c r="U371" s="177" t="n"/>
      <c r="V371" s="177" t="n"/>
      <c r="W371" s="177" t="n"/>
    </row>
    <row r="372" outlineLevel="1" ht="15.75" customHeight="1" s="297">
      <c r="A372" s="190" t="n"/>
      <c r="B372" s="204" t="n"/>
      <c r="C372" s="191" t="n"/>
      <c r="D372" s="205">
        <f>IFERROR(VLOOKUP($C372,'PORTIFÓLIO'!C:V,2,0),"")</f>
        <v/>
      </c>
      <c r="E372" s="190">
        <f>IFERROR(VLOOKUP($C372,'PORTIFÓLIO'!C:V,3,0),"")</f>
        <v/>
      </c>
      <c r="F372" s="190">
        <f>IFERROR(VLOOKUP($C372,'PORTIFÓLIO'!C:V,4,0),"")</f>
        <v/>
      </c>
      <c r="G372" s="206">
        <f>IFERROR(VLOOKUP($C372,'PORTIFÓLIO'!C:V,5,0),"")</f>
        <v/>
      </c>
      <c r="H372" s="247">
        <f t="array" ref="H372">IFERROR(INDEX('PORTIFÓLIO'!$H$4:$H$433,MATCH($C372,'PORTIFÓLIO'!$C$4:$C$433,0)),"")</f>
        <v/>
      </c>
      <c r="I372" s="257" t="n"/>
      <c r="J372" s="209">
        <f>I372*$B$2</f>
        <v/>
      </c>
      <c r="K372" s="248">
        <f t="array" ref="K372">IFERROR(I372*INDEX('PORTIFÓLIO'!$S$4:$S$433,MATCH($C372,'PORTIFÓLIO'!$C$4:$C$433,0)),"")</f>
        <v/>
      </c>
      <c r="L372" s="248">
        <f t="array" ref="L372">IFERROR(J372*INDEX('PORTIFÓLIO'!$S$4:$S$433,MATCH($C372,'PORTIFÓLIO'!$C$4:$C$433,0)),"")</f>
        <v/>
      </c>
      <c r="M372" s="177" t="n"/>
      <c r="N372" s="177" t="n"/>
      <c r="O372" s="177" t="n"/>
      <c r="P372" s="177" t="n"/>
      <c r="Q372" s="177" t="n"/>
      <c r="R372" s="177" t="n"/>
      <c r="S372" s="177" t="n"/>
      <c r="T372" s="177" t="n"/>
      <c r="U372" s="177" t="n"/>
      <c r="V372" s="177" t="n"/>
      <c r="W372" s="177" t="n"/>
    </row>
    <row r="373" outlineLevel="1" ht="15.75" customHeight="1" s="297">
      <c r="A373" s="190" t="n"/>
      <c r="B373" s="204" t="n"/>
      <c r="C373" s="191" t="n"/>
      <c r="D373" s="205">
        <f>IFERROR(VLOOKUP($C373,'PORTIFÓLIO'!C:V,2,0),"")</f>
        <v/>
      </c>
      <c r="E373" s="190">
        <f>IFERROR(VLOOKUP($C373,'PORTIFÓLIO'!C:V,3,0),"")</f>
        <v/>
      </c>
      <c r="F373" s="190">
        <f>IFERROR(VLOOKUP($C373,'PORTIFÓLIO'!C:V,4,0),"")</f>
        <v/>
      </c>
      <c r="G373" s="206">
        <f>IFERROR(VLOOKUP($C373,'PORTIFÓLIO'!C:V,5,0),"")</f>
        <v/>
      </c>
      <c r="H373" s="247">
        <f t="array" ref="H373">IFERROR(INDEX('PORTIFÓLIO'!$H$4:$H$433,MATCH($C373,'PORTIFÓLIO'!$C$4:$C$433,0)),"")</f>
        <v/>
      </c>
      <c r="I373" s="257" t="n"/>
      <c r="J373" s="209">
        <f>I373*$B$2</f>
        <v/>
      </c>
      <c r="K373" s="248">
        <f t="array" ref="K373">IFERROR(I373*INDEX('PORTIFÓLIO'!$S$4:$S$433,MATCH($C373,'PORTIFÓLIO'!$C$4:$C$433,0)),"")</f>
        <v/>
      </c>
      <c r="L373" s="248">
        <f t="array" ref="L373">IFERROR(J373*INDEX('PORTIFÓLIO'!$S$4:$S$433,MATCH($C373,'PORTIFÓLIO'!$C$4:$C$433,0)),"")</f>
        <v/>
      </c>
      <c r="M373" s="177" t="n"/>
      <c r="N373" s="177" t="n"/>
      <c r="O373" s="177" t="n"/>
      <c r="P373" s="177" t="n"/>
      <c r="Q373" s="177" t="n"/>
      <c r="R373" s="177" t="n"/>
      <c r="S373" s="177" t="n"/>
      <c r="T373" s="177" t="n"/>
      <c r="U373" s="177" t="n"/>
      <c r="V373" s="177" t="n"/>
      <c r="W373" s="177" t="n"/>
    </row>
    <row r="374" outlineLevel="1" ht="15.75" customHeight="1" s="297">
      <c r="A374" s="190" t="n"/>
      <c r="B374" s="238" t="n"/>
      <c r="C374" s="190" t="n"/>
      <c r="D374" s="205">
        <f>IFERROR(VLOOKUP($C374,'PORTIFÓLIO'!C:V,2,0),"")</f>
        <v/>
      </c>
      <c r="E374" s="190">
        <f>IFERROR(VLOOKUP($C374,'PORTIFÓLIO'!C:V,3,0),"")</f>
        <v/>
      </c>
      <c r="F374" s="190">
        <f>IFERROR(VLOOKUP($C374,'PORTIFÓLIO'!C:V,4,0),"")</f>
        <v/>
      </c>
      <c r="G374" s="206">
        <f>IFERROR(VLOOKUP($C374,'PORTIFÓLIO'!C:V,5,0),"")</f>
        <v/>
      </c>
      <c r="H374" s="247">
        <f t="array" ref="H374">IFERROR(INDEX('PORTIFÓLIO'!$H$4:$H$433,MATCH($C374,'PORTIFÓLIO'!$C$4:$C$433,0)),"")</f>
        <v/>
      </c>
      <c r="I374" s="257" t="n"/>
      <c r="J374" s="209" t="n"/>
      <c r="K374" s="248">
        <f t="array" ref="K374">IFERROR(I374*INDEX('PORTIFÓLIO'!$S$4:$S$433,MATCH($C374,'PORTIFÓLIO'!$C$4:$C$433,0)),"")</f>
        <v/>
      </c>
      <c r="L374" s="248">
        <f t="array" ref="L374">IFERROR(J374*INDEX('PORTIFÓLIO'!$S$4:$S$433,MATCH($C374,'PORTIFÓLIO'!$C$4:$C$433,0)),"")</f>
        <v/>
      </c>
      <c r="M374" s="177" t="n"/>
      <c r="N374" s="177" t="n"/>
      <c r="O374" s="177" t="n"/>
      <c r="P374" s="177" t="n"/>
      <c r="Q374" s="177" t="n"/>
      <c r="R374" s="177" t="n"/>
      <c r="S374" s="177" t="n"/>
      <c r="T374" s="177" t="n"/>
      <c r="U374" s="177" t="n"/>
      <c r="V374" s="177" t="n"/>
      <c r="W374" s="177" t="n"/>
    </row>
    <row r="375" ht="15.75" customHeight="1" s="297">
      <c r="A375" s="221" t="inlineStr">
        <is>
          <t>OPERAÇÃO 9</t>
        </is>
      </c>
      <c r="B375" s="197" t="n"/>
      <c r="C375" s="196" t="n"/>
      <c r="D375" s="198" t="n"/>
      <c r="E375" s="196" t="n"/>
      <c r="F375" s="196" t="n"/>
      <c r="G375" s="199" t="n"/>
      <c r="H375" s="199" t="n"/>
      <c r="I375" s="252" t="n"/>
      <c r="J375" s="202" t="n"/>
      <c r="K375" s="203">
        <f>SUBTOTAL(9,K376:K389)</f>
        <v/>
      </c>
      <c r="L375" s="203">
        <f>SUBTOTAL(9,L376:L389)</f>
        <v/>
      </c>
      <c r="M375" s="177" t="n"/>
      <c r="N375" s="177" t="n"/>
      <c r="O375" s="177" t="n"/>
      <c r="P375" s="177" t="n"/>
      <c r="Q375" s="177" t="n"/>
      <c r="R375" s="177" t="n"/>
      <c r="S375" s="177" t="n"/>
      <c r="T375" s="177" t="n"/>
      <c r="U375" s="177" t="n"/>
      <c r="V375" s="177" t="n"/>
      <c r="W375" s="177" t="n"/>
    </row>
    <row r="376" outlineLevel="1" ht="15.75" customHeight="1" s="297">
      <c r="A376" s="191" t="n"/>
      <c r="B376" s="204" t="n"/>
      <c r="C376" s="191" t="n"/>
      <c r="D376" s="205">
        <f>IFERROR(VLOOKUP($C376,'PORTIFÓLIO'!C:V,2,0),"")</f>
        <v/>
      </c>
      <c r="E376" s="190">
        <f>IFERROR(VLOOKUP($C376,'PORTIFÓLIO'!C:V,3,0),"")</f>
        <v/>
      </c>
      <c r="F376" s="190">
        <f>IFERROR(VLOOKUP($C376,'PORTIFÓLIO'!C:V,4,0),"")</f>
        <v/>
      </c>
      <c r="G376" s="206">
        <f>IFERROR(VLOOKUP($C376,'PORTIFÓLIO'!C:V,5,0),"")</f>
        <v/>
      </c>
      <c r="H376" s="247">
        <f t="array" ref="H376">IFERROR(INDEX('PORTIFÓLIO'!$H$4:$H$433,MATCH($C376,'PORTIFÓLIO'!$C$4:$C$433,0)),"")</f>
        <v/>
      </c>
      <c r="I376" s="253" t="n"/>
      <c r="J376" s="209">
        <f>I376*$B$2</f>
        <v/>
      </c>
      <c r="K376" s="248">
        <f t="array" ref="K376">IFERROR(I376*INDEX('PORTIFÓLIO'!$S$4:$S$433,MATCH($C376,'PORTIFÓLIO'!$C$4:$C$433,0)),"")</f>
        <v/>
      </c>
      <c r="L376" s="248">
        <f t="array" ref="L376">IFERROR(J376*INDEX('PORTIFÓLIO'!$S$4:$S$433,MATCH($C376,'PORTIFÓLIO'!$C$4:$C$433,0)),"")</f>
        <v/>
      </c>
      <c r="M376" s="177" t="n"/>
      <c r="N376" s="177" t="n"/>
      <c r="O376" s="177" t="n"/>
      <c r="P376" s="177" t="n"/>
      <c r="Q376" s="177" t="n"/>
      <c r="R376" s="177" t="n"/>
      <c r="S376" s="177" t="n"/>
      <c r="T376" s="177" t="n"/>
      <c r="U376" s="177" t="n"/>
      <c r="V376" s="177" t="n"/>
      <c r="W376" s="177" t="n"/>
    </row>
    <row r="377" outlineLevel="1" ht="15.75" customHeight="1" s="297">
      <c r="A377" s="190" t="n"/>
      <c r="B377" s="204" t="n"/>
      <c r="C377" s="191" t="n"/>
      <c r="D377" s="205">
        <f>IFERROR(VLOOKUP($C377,'PORTIFÓLIO'!C:V,2,0),"")</f>
        <v/>
      </c>
      <c r="E377" s="190">
        <f>IFERROR(VLOOKUP($C377,'PORTIFÓLIO'!C:V,3,0),"")</f>
        <v/>
      </c>
      <c r="F377" s="190">
        <f>IFERROR(VLOOKUP($C377,'PORTIFÓLIO'!C:V,4,0),"")</f>
        <v/>
      </c>
      <c r="G377" s="206">
        <f>IFERROR(VLOOKUP($C377,'PORTIFÓLIO'!C:V,5,0),"")</f>
        <v/>
      </c>
      <c r="H377" s="247">
        <f t="array" ref="H377">IFERROR(INDEX('PORTIFÓLIO'!$H$4:$H$433,MATCH($C377,'PORTIFÓLIO'!$C$4:$C$433,0)),"")</f>
        <v/>
      </c>
      <c r="I377" s="257" t="n"/>
      <c r="J377" s="209">
        <f>I377*$B$2</f>
        <v/>
      </c>
      <c r="K377" s="248">
        <f t="array" ref="K377">IFERROR(I377*INDEX('PORTIFÓLIO'!$S$4:$S$433,MATCH($C377,'PORTIFÓLIO'!$C$4:$C$433,0)),"")</f>
        <v/>
      </c>
      <c r="L377" s="248">
        <f t="array" ref="L377">IFERROR(J377*INDEX('PORTIFÓLIO'!$S$4:$S$433,MATCH($C377,'PORTIFÓLIO'!$C$4:$C$433,0)),"")</f>
        <v/>
      </c>
      <c r="M377" s="177" t="n"/>
      <c r="N377" s="177" t="n"/>
      <c r="O377" s="177" t="n"/>
      <c r="P377" s="177" t="n"/>
      <c r="Q377" s="177" t="n"/>
      <c r="R377" s="177" t="n"/>
      <c r="S377" s="177" t="n"/>
      <c r="T377" s="177" t="n"/>
      <c r="U377" s="177" t="n"/>
      <c r="V377" s="177" t="n"/>
      <c r="W377" s="177" t="n"/>
    </row>
    <row r="378" outlineLevel="1" ht="15.75" customHeight="1" s="297">
      <c r="A378" s="190" t="n"/>
      <c r="B378" s="204" t="n"/>
      <c r="C378" s="191" t="n"/>
      <c r="D378" s="205">
        <f>IFERROR(VLOOKUP($C378,'PORTIFÓLIO'!C:V,2,0),"")</f>
        <v/>
      </c>
      <c r="E378" s="190">
        <f>IFERROR(VLOOKUP($C378,'PORTIFÓLIO'!C:V,3,0),"")</f>
        <v/>
      </c>
      <c r="F378" s="190">
        <f>IFERROR(VLOOKUP($C378,'PORTIFÓLIO'!C:V,4,0),"")</f>
        <v/>
      </c>
      <c r="G378" s="206">
        <f>IFERROR(VLOOKUP($C378,'PORTIFÓLIO'!C:V,5,0),"")</f>
        <v/>
      </c>
      <c r="H378" s="247">
        <f t="array" ref="H378">IFERROR(INDEX('PORTIFÓLIO'!$H$4:$H$433,MATCH($C378,'PORTIFÓLIO'!$C$4:$C$433,0)),"")</f>
        <v/>
      </c>
      <c r="I378" s="257" t="n"/>
      <c r="J378" s="209">
        <f>I378*$B$2</f>
        <v/>
      </c>
      <c r="K378" s="248">
        <f t="array" ref="K378">IFERROR(I378*INDEX('PORTIFÓLIO'!$S$4:$S$433,MATCH($C378,'PORTIFÓLIO'!$C$4:$C$433,0)),"")</f>
        <v/>
      </c>
      <c r="L378" s="248">
        <f t="array" ref="L378">IFERROR(J378*INDEX('PORTIFÓLIO'!$S$4:$S$433,MATCH($C378,'PORTIFÓLIO'!$C$4:$C$433,0)),"")</f>
        <v/>
      </c>
      <c r="M378" s="177" t="n"/>
      <c r="N378" s="177" t="n"/>
      <c r="O378" s="177" t="n"/>
      <c r="P378" s="177" t="n"/>
      <c r="Q378" s="177" t="n"/>
      <c r="R378" s="177" t="n"/>
      <c r="S378" s="177" t="n"/>
      <c r="T378" s="177" t="n"/>
      <c r="U378" s="177" t="n"/>
      <c r="V378" s="177" t="n"/>
      <c r="W378" s="177" t="n"/>
    </row>
    <row r="379" outlineLevel="1" ht="15.75" customHeight="1" s="297">
      <c r="A379" s="190" t="n"/>
      <c r="B379" s="204" t="n"/>
      <c r="C379" s="191" t="n"/>
      <c r="D379" s="205">
        <f>IFERROR(VLOOKUP($C379,'PORTIFÓLIO'!C:V,2,0),"")</f>
        <v/>
      </c>
      <c r="E379" s="190">
        <f>IFERROR(VLOOKUP($C379,'PORTIFÓLIO'!C:V,3,0),"")</f>
        <v/>
      </c>
      <c r="F379" s="190">
        <f>IFERROR(VLOOKUP($C379,'PORTIFÓLIO'!C:V,4,0),"")</f>
        <v/>
      </c>
      <c r="G379" s="206">
        <f>IFERROR(VLOOKUP($C379,'PORTIFÓLIO'!C:V,5,0),"")</f>
        <v/>
      </c>
      <c r="H379" s="247">
        <f t="array" ref="H379">IFERROR(INDEX('PORTIFÓLIO'!$H$4:$H$433,MATCH($C379,'PORTIFÓLIO'!$C$4:$C$433,0)),"")</f>
        <v/>
      </c>
      <c r="I379" s="257" t="n"/>
      <c r="J379" s="209">
        <f>I379*$B$2</f>
        <v/>
      </c>
      <c r="K379" s="248">
        <f t="array" ref="K379">IFERROR(I379*INDEX('PORTIFÓLIO'!$S$4:$S$433,MATCH($C379,'PORTIFÓLIO'!$C$4:$C$433,0)),"")</f>
        <v/>
      </c>
      <c r="L379" s="248">
        <f t="array" ref="L379">IFERROR(J379*INDEX('PORTIFÓLIO'!$S$4:$S$433,MATCH($C379,'PORTIFÓLIO'!$C$4:$C$433,0)),"")</f>
        <v/>
      </c>
      <c r="M379" s="177" t="n"/>
      <c r="N379" s="177" t="n"/>
      <c r="O379" s="177" t="n"/>
      <c r="P379" s="177" t="n"/>
      <c r="Q379" s="177" t="n"/>
      <c r="R379" s="177" t="n"/>
      <c r="S379" s="177" t="n"/>
      <c r="T379" s="177" t="n"/>
      <c r="U379" s="177" t="n"/>
      <c r="V379" s="177" t="n"/>
      <c r="W379" s="177" t="n"/>
    </row>
    <row r="380" outlineLevel="1" ht="15.75" customHeight="1" s="297">
      <c r="A380" s="190" t="n"/>
      <c r="B380" s="204" t="n"/>
      <c r="C380" s="191" t="n"/>
      <c r="D380" s="205">
        <f>IFERROR(VLOOKUP($C380,'PORTIFÓLIO'!C:V,2,0),"")</f>
        <v/>
      </c>
      <c r="E380" s="190">
        <f>IFERROR(VLOOKUP($C380,'PORTIFÓLIO'!C:V,3,0),"")</f>
        <v/>
      </c>
      <c r="F380" s="190">
        <f>IFERROR(VLOOKUP($C380,'PORTIFÓLIO'!C:V,4,0),"")</f>
        <v/>
      </c>
      <c r="G380" s="206">
        <f>IFERROR(VLOOKUP($C380,'PORTIFÓLIO'!C:V,5,0),"")</f>
        <v/>
      </c>
      <c r="H380" s="247">
        <f t="array" ref="H380">IFERROR(INDEX('PORTIFÓLIO'!$H$4:$H$433,MATCH($C380,'PORTIFÓLIO'!$C$4:$C$433,0)),"")</f>
        <v/>
      </c>
      <c r="I380" s="257" t="n"/>
      <c r="J380" s="209">
        <f>I380*$B$2</f>
        <v/>
      </c>
      <c r="K380" s="248">
        <f t="array" ref="K380">IFERROR(I380*INDEX('PORTIFÓLIO'!$S$4:$S$433,MATCH($C380,'PORTIFÓLIO'!$C$4:$C$433,0)),"")</f>
        <v/>
      </c>
      <c r="L380" s="248">
        <f t="array" ref="L380">IFERROR(J380*INDEX('PORTIFÓLIO'!$S$4:$S$433,MATCH($C380,'PORTIFÓLIO'!$C$4:$C$433,0)),"")</f>
        <v/>
      </c>
      <c r="M380" s="177" t="n"/>
      <c r="N380" s="177" t="n"/>
      <c r="O380" s="177" t="n"/>
      <c r="P380" s="177" t="n"/>
      <c r="Q380" s="177" t="n"/>
      <c r="R380" s="177" t="n"/>
      <c r="S380" s="177" t="n"/>
      <c r="T380" s="177" t="n"/>
      <c r="U380" s="177" t="n"/>
      <c r="V380" s="177" t="n"/>
      <c r="W380" s="177" t="n"/>
    </row>
    <row r="381" outlineLevel="1" ht="15.75" customHeight="1" s="297">
      <c r="A381" s="190" t="n"/>
      <c r="B381" s="204" t="n"/>
      <c r="C381" s="191" t="n"/>
      <c r="D381" s="205">
        <f>IFERROR(VLOOKUP($C381,'PORTIFÓLIO'!C:V,2,0),"")</f>
        <v/>
      </c>
      <c r="E381" s="190">
        <f>IFERROR(VLOOKUP($C381,'PORTIFÓLIO'!C:V,3,0),"")</f>
        <v/>
      </c>
      <c r="F381" s="190">
        <f>IFERROR(VLOOKUP($C381,'PORTIFÓLIO'!C:V,4,0),"")</f>
        <v/>
      </c>
      <c r="G381" s="206">
        <f>IFERROR(VLOOKUP($C381,'PORTIFÓLIO'!C:V,5,0),"")</f>
        <v/>
      </c>
      <c r="H381" s="247">
        <f t="array" ref="H381">IFERROR(INDEX('PORTIFÓLIO'!$H$4:$H$433,MATCH($C381,'PORTIFÓLIO'!$C$4:$C$433,0)),"")</f>
        <v/>
      </c>
      <c r="I381" s="257" t="n"/>
      <c r="J381" s="209">
        <f>I381*$B$2</f>
        <v/>
      </c>
      <c r="K381" s="248">
        <f t="array" ref="K381">IFERROR(I381*INDEX('PORTIFÓLIO'!$S$4:$S$433,MATCH($C381,'PORTIFÓLIO'!$C$4:$C$433,0)),"")</f>
        <v/>
      </c>
      <c r="L381" s="248">
        <f t="array" ref="L381">IFERROR(J381*INDEX('PORTIFÓLIO'!$S$4:$S$433,MATCH($C381,'PORTIFÓLIO'!$C$4:$C$433,0)),"")</f>
        <v/>
      </c>
      <c r="M381" s="177" t="n"/>
      <c r="N381" s="177" t="n"/>
      <c r="O381" s="177" t="n"/>
      <c r="P381" s="177" t="n"/>
      <c r="Q381" s="177" t="n"/>
      <c r="R381" s="177" t="n"/>
      <c r="S381" s="177" t="n"/>
      <c r="T381" s="177" t="n"/>
      <c r="U381" s="177" t="n"/>
      <c r="V381" s="177" t="n"/>
      <c r="W381" s="177" t="n"/>
    </row>
    <row r="382" outlineLevel="1" ht="15.75" customHeight="1" s="297">
      <c r="A382" s="190" t="n"/>
      <c r="B382" s="204" t="n"/>
      <c r="C382" s="191" t="n"/>
      <c r="D382" s="205">
        <f>IFERROR(VLOOKUP($C382,'PORTIFÓLIO'!C:V,2,0),"")</f>
        <v/>
      </c>
      <c r="E382" s="190">
        <f>IFERROR(VLOOKUP($C382,'PORTIFÓLIO'!C:V,3,0),"")</f>
        <v/>
      </c>
      <c r="F382" s="190">
        <f>IFERROR(VLOOKUP($C382,'PORTIFÓLIO'!C:V,4,0),"")</f>
        <v/>
      </c>
      <c r="G382" s="206">
        <f>IFERROR(VLOOKUP($C382,'PORTIFÓLIO'!C:V,5,0),"")</f>
        <v/>
      </c>
      <c r="H382" s="247">
        <f t="array" ref="H382">IFERROR(INDEX('PORTIFÓLIO'!$H$4:$H$433,MATCH($C382,'PORTIFÓLIO'!$C$4:$C$433,0)),"")</f>
        <v/>
      </c>
      <c r="I382" s="257" t="n"/>
      <c r="J382" s="209">
        <f>I382*$B$2</f>
        <v/>
      </c>
      <c r="K382" s="248">
        <f t="array" ref="K382">IFERROR(I382*INDEX('PORTIFÓLIO'!$S$4:$S$433,MATCH($C382,'PORTIFÓLIO'!$C$4:$C$433,0)),"")</f>
        <v/>
      </c>
      <c r="L382" s="248">
        <f t="array" ref="L382">IFERROR(J382*INDEX('PORTIFÓLIO'!$S$4:$S$433,MATCH($C382,'PORTIFÓLIO'!$C$4:$C$433,0)),"")</f>
        <v/>
      </c>
      <c r="M382" s="177" t="n"/>
      <c r="N382" s="177" t="n"/>
      <c r="O382" s="177" t="n"/>
      <c r="P382" s="177" t="n"/>
      <c r="Q382" s="177" t="n"/>
      <c r="R382" s="177" t="n"/>
      <c r="S382" s="177" t="n"/>
      <c r="T382" s="177" t="n"/>
      <c r="U382" s="177" t="n"/>
      <c r="V382" s="177" t="n"/>
      <c r="W382" s="177" t="n"/>
    </row>
    <row r="383" outlineLevel="1" ht="15.75" customHeight="1" s="297">
      <c r="A383" s="190" t="n"/>
      <c r="B383" s="204" t="n"/>
      <c r="C383" s="191" t="n"/>
      <c r="D383" s="205">
        <f>IFERROR(VLOOKUP($C383,'PORTIFÓLIO'!C:V,2,0),"")</f>
        <v/>
      </c>
      <c r="E383" s="190">
        <f>IFERROR(VLOOKUP($C383,'PORTIFÓLIO'!C:V,3,0),"")</f>
        <v/>
      </c>
      <c r="F383" s="190">
        <f>IFERROR(VLOOKUP($C383,'PORTIFÓLIO'!C:V,4,0),"")</f>
        <v/>
      </c>
      <c r="G383" s="206">
        <f>IFERROR(VLOOKUP($C383,'PORTIFÓLIO'!C:V,5,0),"")</f>
        <v/>
      </c>
      <c r="H383" s="247">
        <f t="array" ref="H383">IFERROR(INDEX('PORTIFÓLIO'!$H$4:$H$433,MATCH($C383,'PORTIFÓLIO'!$C$4:$C$433,0)),"")</f>
        <v/>
      </c>
      <c r="I383" s="257" t="n"/>
      <c r="J383" s="209">
        <f>I383*$B$2</f>
        <v/>
      </c>
      <c r="K383" s="248">
        <f t="array" ref="K383">IFERROR(I383*INDEX('PORTIFÓLIO'!$S$4:$S$433,MATCH($C383,'PORTIFÓLIO'!$C$4:$C$433,0)),"")</f>
        <v/>
      </c>
      <c r="L383" s="248">
        <f t="array" ref="L383">IFERROR(J383*INDEX('PORTIFÓLIO'!$S$4:$S$433,MATCH($C383,'PORTIFÓLIO'!$C$4:$C$433,0)),"")</f>
        <v/>
      </c>
      <c r="M383" s="177" t="n"/>
      <c r="N383" s="177" t="n"/>
      <c r="O383" s="177" t="n"/>
      <c r="P383" s="177" t="n"/>
      <c r="Q383" s="177" t="n"/>
      <c r="R383" s="177" t="n"/>
      <c r="S383" s="177" t="n"/>
      <c r="T383" s="177" t="n"/>
      <c r="U383" s="177" t="n"/>
      <c r="V383" s="177" t="n"/>
      <c r="W383" s="177" t="n"/>
    </row>
    <row r="384" outlineLevel="1" ht="15.75" customHeight="1" s="297">
      <c r="A384" s="190" t="n"/>
      <c r="B384" s="204" t="n"/>
      <c r="C384" s="191" t="n"/>
      <c r="D384" s="205">
        <f>IFERROR(VLOOKUP($C384,'PORTIFÓLIO'!C:V,2,0),"")</f>
        <v/>
      </c>
      <c r="E384" s="190">
        <f>IFERROR(VLOOKUP($C384,'PORTIFÓLIO'!C:V,3,0),"")</f>
        <v/>
      </c>
      <c r="F384" s="190">
        <f>IFERROR(VLOOKUP($C384,'PORTIFÓLIO'!C:V,4,0),"")</f>
        <v/>
      </c>
      <c r="G384" s="206">
        <f>IFERROR(VLOOKUP($C384,'PORTIFÓLIO'!C:V,5,0),"")</f>
        <v/>
      </c>
      <c r="H384" s="247">
        <f t="array" ref="H384">IFERROR(INDEX('PORTIFÓLIO'!$H$4:$H$433,MATCH($C384,'PORTIFÓLIO'!$C$4:$C$433,0)),"")</f>
        <v/>
      </c>
      <c r="I384" s="253" t="n"/>
      <c r="J384" s="209">
        <f>I384*$B$2</f>
        <v/>
      </c>
      <c r="K384" s="248">
        <f t="array" ref="K384">IFERROR(I384*INDEX('PORTIFÓLIO'!$S$4:$S$433,MATCH($C384,'PORTIFÓLIO'!$C$4:$C$433,0)),"")</f>
        <v/>
      </c>
      <c r="L384" s="248">
        <f t="array" ref="L384">IFERROR(J384*INDEX('PORTIFÓLIO'!$S$4:$S$433,MATCH($C384,'PORTIFÓLIO'!$C$4:$C$433,0)),"")</f>
        <v/>
      </c>
      <c r="M384" s="177" t="n"/>
      <c r="N384" s="177" t="n"/>
      <c r="O384" s="177" t="n"/>
      <c r="P384" s="177" t="n"/>
      <c r="Q384" s="177" t="n"/>
      <c r="R384" s="177" t="n"/>
      <c r="S384" s="177" t="n"/>
      <c r="T384" s="177" t="n"/>
      <c r="U384" s="177" t="n"/>
      <c r="V384" s="177" t="n"/>
      <c r="W384" s="177" t="n"/>
    </row>
    <row r="385" outlineLevel="1" ht="15.75" customHeight="1" s="297">
      <c r="A385" s="190" t="n"/>
      <c r="B385" s="204" t="n"/>
      <c r="C385" s="191" t="n"/>
      <c r="D385" s="205">
        <f>IFERROR(VLOOKUP($C385,'PORTIFÓLIO'!C:V,2,0),"")</f>
        <v/>
      </c>
      <c r="E385" s="190">
        <f>IFERROR(VLOOKUP($C385,'PORTIFÓLIO'!C:V,3,0),"")</f>
        <v/>
      </c>
      <c r="F385" s="190">
        <f>IFERROR(VLOOKUP($C385,'PORTIFÓLIO'!C:V,4,0),"")</f>
        <v/>
      </c>
      <c r="G385" s="206">
        <f>IFERROR(VLOOKUP($C385,'PORTIFÓLIO'!C:V,5,0),"")</f>
        <v/>
      </c>
      <c r="H385" s="247">
        <f t="array" ref="H385">IFERROR(INDEX('PORTIFÓLIO'!$H$4:$H$433,MATCH($C385,'PORTIFÓLIO'!$C$4:$C$433,0)),"")</f>
        <v/>
      </c>
      <c r="I385" s="257" t="n"/>
      <c r="J385" s="209">
        <f>I385*$B$2</f>
        <v/>
      </c>
      <c r="K385" s="248">
        <f t="array" ref="K385">IFERROR(I385*INDEX('PORTIFÓLIO'!$S$4:$S$433,MATCH($C385,'PORTIFÓLIO'!$C$4:$C$433,0)),"")</f>
        <v/>
      </c>
      <c r="L385" s="248">
        <f t="array" ref="L385">IFERROR(J385*INDEX('PORTIFÓLIO'!$S$4:$S$433,MATCH($C385,'PORTIFÓLIO'!$C$4:$C$433,0)),"")</f>
        <v/>
      </c>
      <c r="M385" s="177" t="n"/>
      <c r="N385" s="177" t="n"/>
      <c r="O385" s="177" t="n"/>
      <c r="P385" s="177" t="n"/>
      <c r="Q385" s="177" t="n"/>
      <c r="R385" s="177" t="n"/>
      <c r="S385" s="177" t="n"/>
      <c r="T385" s="177" t="n"/>
      <c r="U385" s="177" t="n"/>
      <c r="V385" s="177" t="n"/>
      <c r="W385" s="177" t="n"/>
    </row>
    <row r="386" outlineLevel="1" ht="15.75" customHeight="1" s="297">
      <c r="A386" s="190" t="n"/>
      <c r="B386" s="204" t="n"/>
      <c r="C386" s="191" t="n"/>
      <c r="D386" s="205">
        <f>IFERROR(VLOOKUP($C386,'PORTIFÓLIO'!C:V,2,0),"")</f>
        <v/>
      </c>
      <c r="E386" s="190">
        <f>IFERROR(VLOOKUP($C386,'PORTIFÓLIO'!C:V,3,0),"")</f>
        <v/>
      </c>
      <c r="F386" s="190">
        <f>IFERROR(VLOOKUP($C386,'PORTIFÓLIO'!C:V,4,0),"")</f>
        <v/>
      </c>
      <c r="G386" s="206">
        <f>IFERROR(VLOOKUP($C386,'PORTIFÓLIO'!C:V,5,0),"")</f>
        <v/>
      </c>
      <c r="H386" s="247">
        <f t="array" ref="H386">IFERROR(INDEX('PORTIFÓLIO'!$H$4:$H$433,MATCH($C386,'PORTIFÓLIO'!$C$4:$C$433,0)),"")</f>
        <v/>
      </c>
      <c r="I386" s="257" t="n"/>
      <c r="J386" s="209">
        <f>I386*$B$2</f>
        <v/>
      </c>
      <c r="K386" s="248">
        <f t="array" ref="K386">IFERROR(I386*INDEX('PORTIFÓLIO'!$S$4:$S$433,MATCH($C386,'PORTIFÓLIO'!$C$4:$C$433,0)),"")</f>
        <v/>
      </c>
      <c r="L386" s="248">
        <f t="array" ref="L386">IFERROR(J386*INDEX('PORTIFÓLIO'!$S$4:$S$433,MATCH($C386,'PORTIFÓLIO'!$C$4:$C$433,0)),"")</f>
        <v/>
      </c>
      <c r="M386" s="177" t="n"/>
      <c r="N386" s="177" t="n"/>
      <c r="O386" s="177" t="n"/>
      <c r="P386" s="177" t="n"/>
      <c r="Q386" s="177" t="n"/>
      <c r="R386" s="177" t="n"/>
      <c r="S386" s="177" t="n"/>
      <c r="T386" s="177" t="n"/>
      <c r="U386" s="177" t="n"/>
      <c r="V386" s="177" t="n"/>
      <c r="W386" s="177" t="n"/>
    </row>
    <row r="387" outlineLevel="1" ht="15.75" customHeight="1" s="297">
      <c r="A387" s="190" t="n"/>
      <c r="B387" s="204" t="n"/>
      <c r="C387" s="191" t="n"/>
      <c r="D387" s="205">
        <f>IFERROR(VLOOKUP($C387,'PORTIFÓLIO'!C:V,2,0),"")</f>
        <v/>
      </c>
      <c r="E387" s="190">
        <f>IFERROR(VLOOKUP($C387,'PORTIFÓLIO'!C:V,3,0),"")</f>
        <v/>
      </c>
      <c r="F387" s="190">
        <f>IFERROR(VLOOKUP($C387,'PORTIFÓLIO'!C:V,4,0),"")</f>
        <v/>
      </c>
      <c r="G387" s="206">
        <f>IFERROR(VLOOKUP($C387,'PORTIFÓLIO'!C:V,5,0),"")</f>
        <v/>
      </c>
      <c r="H387" s="247">
        <f t="array" ref="H387">IFERROR(INDEX('PORTIFÓLIO'!$H$4:$H$433,MATCH($C387,'PORTIFÓLIO'!$C$4:$C$433,0)),"")</f>
        <v/>
      </c>
      <c r="I387" s="257" t="n"/>
      <c r="J387" s="209">
        <f>I387*$B$2</f>
        <v/>
      </c>
      <c r="K387" s="248">
        <f t="array" ref="K387">IFERROR(I387*INDEX('PORTIFÓLIO'!$S$4:$S$433,MATCH($C387,'PORTIFÓLIO'!$C$4:$C$433,0)),"")</f>
        <v/>
      </c>
      <c r="L387" s="248">
        <f t="array" ref="L387">IFERROR(J387*INDEX('PORTIFÓLIO'!$S$4:$S$433,MATCH($C387,'PORTIFÓLIO'!$C$4:$C$433,0)),"")</f>
        <v/>
      </c>
      <c r="M387" s="177" t="n"/>
      <c r="N387" s="177" t="n"/>
      <c r="O387" s="177" t="n"/>
      <c r="P387" s="177" t="n"/>
      <c r="Q387" s="177" t="n"/>
      <c r="R387" s="177" t="n"/>
      <c r="S387" s="177" t="n"/>
      <c r="T387" s="177" t="n"/>
      <c r="U387" s="177" t="n"/>
      <c r="V387" s="177" t="n"/>
      <c r="W387" s="177" t="n"/>
    </row>
    <row r="388" outlineLevel="1" ht="15.75" customHeight="1" s="297">
      <c r="A388" s="190" t="n"/>
      <c r="B388" s="204" t="n"/>
      <c r="C388" s="191" t="n"/>
      <c r="D388" s="205">
        <f>IFERROR(VLOOKUP($C388,'PORTIFÓLIO'!C:V,2,0),"")</f>
        <v/>
      </c>
      <c r="E388" s="190">
        <f>IFERROR(VLOOKUP($C388,'PORTIFÓLIO'!C:V,3,0),"")</f>
        <v/>
      </c>
      <c r="F388" s="190">
        <f>IFERROR(VLOOKUP($C388,'PORTIFÓLIO'!C:V,4,0),"")</f>
        <v/>
      </c>
      <c r="G388" s="206">
        <f>IFERROR(VLOOKUP($C388,'PORTIFÓLIO'!C:V,5,0),"")</f>
        <v/>
      </c>
      <c r="H388" s="247">
        <f t="array" ref="H388">IFERROR(INDEX('PORTIFÓLIO'!$H$4:$H$433,MATCH($C388,'PORTIFÓLIO'!$C$4:$C$433,0)),"")</f>
        <v/>
      </c>
      <c r="I388" s="257" t="n"/>
      <c r="J388" s="209">
        <f>I388*$B$2</f>
        <v/>
      </c>
      <c r="K388" s="248">
        <f t="array" ref="K388">IFERROR(I388*INDEX('PORTIFÓLIO'!$S$4:$S$433,MATCH($C388,'PORTIFÓLIO'!$C$4:$C$433,0)),"")</f>
        <v/>
      </c>
      <c r="L388" s="248">
        <f t="array" ref="L388">IFERROR(J388*INDEX('PORTIFÓLIO'!$S$4:$S$433,MATCH($C388,'PORTIFÓLIO'!$C$4:$C$433,0)),"")</f>
        <v/>
      </c>
      <c r="M388" s="177" t="n"/>
      <c r="N388" s="177" t="n"/>
      <c r="O388" s="177" t="n"/>
      <c r="P388" s="177" t="n"/>
      <c r="Q388" s="177" t="n"/>
      <c r="R388" s="177" t="n"/>
      <c r="S388" s="177" t="n"/>
      <c r="T388" s="177" t="n"/>
      <c r="U388" s="177" t="n"/>
      <c r="V388" s="177" t="n"/>
      <c r="W388" s="177" t="n"/>
    </row>
    <row r="389" outlineLevel="1" ht="15.75" customHeight="1" s="297">
      <c r="A389" s="190" t="n"/>
      <c r="B389" s="204" t="n"/>
      <c r="C389" s="191" t="n"/>
      <c r="D389" s="205">
        <f>IFERROR(VLOOKUP($C389,'PORTIFÓLIO'!C:V,2,0),"")</f>
        <v/>
      </c>
      <c r="E389" s="190">
        <f>IFERROR(VLOOKUP($C389,'PORTIFÓLIO'!C:V,3,0),"")</f>
        <v/>
      </c>
      <c r="F389" s="190">
        <f>IFERROR(VLOOKUP($C389,'PORTIFÓLIO'!C:V,4,0),"")</f>
        <v/>
      </c>
      <c r="G389" s="206">
        <f>IFERROR(VLOOKUP($C389,'PORTIFÓLIO'!C:V,5,0),"")</f>
        <v/>
      </c>
      <c r="H389" s="247">
        <f t="array" ref="H389">IFERROR(INDEX('PORTIFÓLIO'!$H$4:$H$433,MATCH($C389,'PORTIFÓLIO'!$C$4:$C$433,0)),"")</f>
        <v/>
      </c>
      <c r="I389" s="257" t="n"/>
      <c r="J389" s="209">
        <f>I389*$B$2</f>
        <v/>
      </c>
      <c r="K389" s="248">
        <f t="array" ref="K389">IFERROR(I389*INDEX('PORTIFÓLIO'!$S$4:$S$433,MATCH($C389,'PORTIFÓLIO'!$C$4:$C$433,0)),"")</f>
        <v/>
      </c>
      <c r="L389" s="248">
        <f t="array" ref="L389">IFERROR(J389*INDEX('PORTIFÓLIO'!$S$4:$S$433,MATCH($C389,'PORTIFÓLIO'!$C$4:$C$433,0)),"")</f>
        <v/>
      </c>
      <c r="M389" s="177" t="n"/>
      <c r="N389" s="177" t="n"/>
      <c r="O389" s="177" t="n"/>
      <c r="P389" s="177" t="n"/>
      <c r="Q389" s="177" t="n"/>
      <c r="R389" s="177" t="n"/>
      <c r="S389" s="177" t="n"/>
      <c r="T389" s="177" t="n"/>
      <c r="U389" s="177" t="n"/>
      <c r="V389" s="177" t="n"/>
      <c r="W389" s="177" t="n"/>
    </row>
    <row r="390" outlineLevel="1" ht="15.75" customHeight="1" s="297">
      <c r="A390" s="190" t="n"/>
      <c r="B390" s="204" t="n"/>
      <c r="C390" s="191" t="n"/>
      <c r="D390" s="205">
        <f>IFERROR(VLOOKUP($C390,'PORTIFÓLIO'!C:V,2,0),"")</f>
        <v/>
      </c>
      <c r="E390" s="190">
        <f>IFERROR(VLOOKUP($C390,'PORTIFÓLIO'!C:V,3,0),"")</f>
        <v/>
      </c>
      <c r="F390" s="190">
        <f>IFERROR(VLOOKUP($C390,'PORTIFÓLIO'!C:V,4,0),"")</f>
        <v/>
      </c>
      <c r="G390" s="206">
        <f>IFERROR(VLOOKUP($C390,'PORTIFÓLIO'!C:V,5,0),"")</f>
        <v/>
      </c>
      <c r="H390" s="247">
        <f t="array" ref="H390">IFERROR(INDEX('PORTIFÓLIO'!$H$4:$H$433,MATCH($C390,'PORTIFÓLIO'!$C$4:$C$433,0)),"")</f>
        <v/>
      </c>
      <c r="I390" s="257" t="n"/>
      <c r="J390" s="209">
        <f>I390*$B$2</f>
        <v/>
      </c>
      <c r="K390" s="248">
        <f t="array" ref="K390">IFERROR(I390*INDEX('PORTIFÓLIO'!$S$4:$S$433,MATCH($C390,'PORTIFÓLIO'!$C$4:$C$433,0)),"")</f>
        <v/>
      </c>
      <c r="L390" s="248">
        <f t="array" ref="L390">IFERROR(J390*INDEX('PORTIFÓLIO'!$S$4:$S$433,MATCH($C390,'PORTIFÓLIO'!$C$4:$C$433,0)),"")</f>
        <v/>
      </c>
      <c r="M390" s="177" t="n"/>
      <c r="N390" s="177" t="n"/>
      <c r="O390" s="177" t="n"/>
      <c r="P390" s="177" t="n"/>
      <c r="Q390" s="177" t="n"/>
      <c r="R390" s="177" t="n"/>
      <c r="S390" s="177" t="n"/>
      <c r="T390" s="177" t="n"/>
      <c r="U390" s="177" t="n"/>
      <c r="V390" s="177" t="n"/>
      <c r="W390" s="177" t="n"/>
    </row>
    <row r="391" outlineLevel="1" ht="15.75" customHeight="1" s="297">
      <c r="A391" s="190" t="n"/>
      <c r="B391" s="238" t="n"/>
      <c r="C391" s="190" t="n"/>
      <c r="D391" s="205">
        <f>IFERROR(VLOOKUP($C391,'PORTIFÓLIO'!C:V,2,0),"")</f>
        <v/>
      </c>
      <c r="E391" s="190">
        <f>IFERROR(VLOOKUP($C391,'PORTIFÓLIO'!C:V,3,0),"")</f>
        <v/>
      </c>
      <c r="F391" s="190">
        <f>IFERROR(VLOOKUP($C391,'PORTIFÓLIO'!C:V,4,0),"")</f>
        <v/>
      </c>
      <c r="G391" s="206">
        <f>IFERROR(VLOOKUP($C391,'PORTIFÓLIO'!C:V,5,0),"")</f>
        <v/>
      </c>
      <c r="H391" s="247">
        <f t="array" ref="H391">IFERROR(INDEX('PORTIFÓLIO'!$H$4:$H$433,MATCH($C391,'PORTIFÓLIO'!$C$4:$C$433,0)),"")</f>
        <v/>
      </c>
      <c r="I391" s="257" t="n"/>
      <c r="J391" s="209" t="n"/>
      <c r="K391" s="248">
        <f t="array" ref="K391">IFERROR(I391*INDEX('PORTIFÓLIO'!$S$4:$S$433,MATCH($C391,'PORTIFÓLIO'!$C$4:$C$433,0)),"")</f>
        <v/>
      </c>
      <c r="L391" s="248">
        <f t="array" ref="L391">IFERROR(J391*INDEX('PORTIFÓLIO'!$S$4:$S$433,MATCH($C391,'PORTIFÓLIO'!$C$4:$C$433,0)),"")</f>
        <v/>
      </c>
      <c r="M391" s="177" t="n"/>
      <c r="N391" s="177" t="n"/>
      <c r="O391" s="177" t="n"/>
      <c r="P391" s="177" t="n"/>
      <c r="Q391" s="177" t="n"/>
      <c r="R391" s="177" t="n"/>
      <c r="S391" s="177" t="n"/>
      <c r="T391" s="177" t="n"/>
      <c r="U391" s="177" t="n"/>
      <c r="V391" s="177" t="n"/>
      <c r="W391" s="177" t="n"/>
    </row>
    <row r="392" ht="15.75" customHeight="1" s="297">
      <c r="A392" s="221" t="inlineStr">
        <is>
          <t>OPERAÇÃO 10</t>
        </is>
      </c>
      <c r="B392" s="197" t="n"/>
      <c r="C392" s="196" t="n"/>
      <c r="D392" s="198" t="n"/>
      <c r="E392" s="196" t="n"/>
      <c r="F392" s="196" t="n"/>
      <c r="G392" s="199" t="n"/>
      <c r="H392" s="199" t="n"/>
      <c r="I392" s="252" t="n"/>
      <c r="J392" s="202" t="n"/>
      <c r="K392" s="203">
        <f>SUBTOTAL(9,K393:K406)</f>
        <v/>
      </c>
      <c r="L392" s="203">
        <f>SUBTOTAL(9,L393:L406)</f>
        <v/>
      </c>
      <c r="M392" s="177" t="n"/>
      <c r="N392" s="177" t="n"/>
      <c r="O392" s="177" t="n"/>
      <c r="P392" s="177" t="n"/>
      <c r="Q392" s="177" t="n"/>
      <c r="R392" s="177" t="n"/>
      <c r="S392" s="177" t="n"/>
      <c r="T392" s="177" t="n"/>
      <c r="U392" s="177" t="n"/>
      <c r="V392" s="177" t="n"/>
      <c r="W392" s="177" t="n"/>
    </row>
    <row r="393" outlineLevel="1" ht="15.75" customHeight="1" s="297">
      <c r="A393" s="191" t="n"/>
      <c r="B393" s="204" t="n"/>
      <c r="C393" s="191" t="n"/>
      <c r="D393" s="205">
        <f>IFERROR(VLOOKUP($C393,'PORTIFÓLIO'!C:V,2,0),"")</f>
        <v/>
      </c>
      <c r="E393" s="190">
        <f>IFERROR(VLOOKUP($C393,'PORTIFÓLIO'!C:V,3,0),"")</f>
        <v/>
      </c>
      <c r="F393" s="190">
        <f>IFERROR(VLOOKUP($C393,'PORTIFÓLIO'!C:V,4,0),"")</f>
        <v/>
      </c>
      <c r="G393" s="206">
        <f>IFERROR(VLOOKUP($C393,'PORTIFÓLIO'!C:V,5,0),"")</f>
        <v/>
      </c>
      <c r="H393" s="247">
        <f t="array" ref="H393">IFERROR(INDEX('PORTIFÓLIO'!$H$4:$H$433,MATCH($C393,'PORTIFÓLIO'!$C$4:$C$433,0)),"")</f>
        <v/>
      </c>
      <c r="I393" s="253" t="n"/>
      <c r="J393" s="209">
        <f>I393*$B$2</f>
        <v/>
      </c>
      <c r="K393" s="248">
        <f t="array" ref="K393">IFERROR(I393*INDEX('PORTIFÓLIO'!$S$4:$S$433,MATCH($C393,'PORTIFÓLIO'!$C$4:$C$433,0)),"")</f>
        <v/>
      </c>
      <c r="L393" s="248">
        <f t="array" ref="L393">IFERROR(J393*INDEX('PORTIFÓLIO'!$S$4:$S$433,MATCH($C393,'PORTIFÓLIO'!$C$4:$C$433,0)),"")</f>
        <v/>
      </c>
      <c r="M393" s="177" t="n"/>
      <c r="N393" s="177" t="n"/>
      <c r="O393" s="177" t="n"/>
      <c r="P393" s="177" t="n"/>
      <c r="Q393" s="177" t="n"/>
      <c r="R393" s="177" t="n"/>
      <c r="S393" s="177" t="n"/>
      <c r="T393" s="177" t="n"/>
      <c r="U393" s="177" t="n"/>
      <c r="V393" s="177" t="n"/>
      <c r="W393" s="177" t="n"/>
    </row>
    <row r="394" outlineLevel="1" ht="15.75" customHeight="1" s="297">
      <c r="A394" s="190" t="n"/>
      <c r="B394" s="204" t="n"/>
      <c r="C394" s="191" t="n"/>
      <c r="D394" s="205">
        <f>IFERROR(VLOOKUP($C394,'PORTIFÓLIO'!C:V,2,0),"")</f>
        <v/>
      </c>
      <c r="E394" s="190">
        <f>IFERROR(VLOOKUP($C394,'PORTIFÓLIO'!C:V,3,0),"")</f>
        <v/>
      </c>
      <c r="F394" s="190">
        <f>IFERROR(VLOOKUP($C394,'PORTIFÓLIO'!C:V,4,0),"")</f>
        <v/>
      </c>
      <c r="G394" s="206">
        <f>IFERROR(VLOOKUP($C394,'PORTIFÓLIO'!C:V,5,0),"")</f>
        <v/>
      </c>
      <c r="H394" s="247">
        <f t="array" ref="H394">IFERROR(INDEX('PORTIFÓLIO'!$H$4:$H$433,MATCH($C394,'PORTIFÓLIO'!$C$4:$C$433,0)),"")</f>
        <v/>
      </c>
      <c r="I394" s="257" t="n"/>
      <c r="J394" s="209">
        <f>I394*$B$2</f>
        <v/>
      </c>
      <c r="K394" s="248">
        <f t="array" ref="K394">IFERROR(I394*INDEX('PORTIFÓLIO'!$S$4:$S$433,MATCH($C394,'PORTIFÓLIO'!$C$4:$C$433,0)),"")</f>
        <v/>
      </c>
      <c r="L394" s="248">
        <f t="array" ref="L394">IFERROR(J394*INDEX('PORTIFÓLIO'!$S$4:$S$433,MATCH($C394,'PORTIFÓLIO'!$C$4:$C$433,0)),"")</f>
        <v/>
      </c>
      <c r="M394" s="177" t="n"/>
      <c r="N394" s="177" t="n"/>
      <c r="O394" s="177" t="n"/>
      <c r="P394" s="177" t="n"/>
      <c r="Q394" s="177" t="n"/>
      <c r="R394" s="177" t="n"/>
      <c r="S394" s="177" t="n"/>
      <c r="T394" s="177" t="n"/>
      <c r="U394" s="177" t="n"/>
      <c r="V394" s="177" t="n"/>
      <c r="W394" s="177" t="n"/>
    </row>
    <row r="395" outlineLevel="1" ht="15.75" customHeight="1" s="297">
      <c r="A395" s="190" t="n"/>
      <c r="B395" s="204" t="n"/>
      <c r="C395" s="191" t="n"/>
      <c r="D395" s="205">
        <f>IFERROR(VLOOKUP($C395,'PORTIFÓLIO'!C:V,2,0),"")</f>
        <v/>
      </c>
      <c r="E395" s="190">
        <f>IFERROR(VLOOKUP($C395,'PORTIFÓLIO'!C:V,3,0),"")</f>
        <v/>
      </c>
      <c r="F395" s="190">
        <f>IFERROR(VLOOKUP($C395,'PORTIFÓLIO'!C:V,4,0),"")</f>
        <v/>
      </c>
      <c r="G395" s="206">
        <f>IFERROR(VLOOKUP($C395,'PORTIFÓLIO'!C:V,5,0),"")</f>
        <v/>
      </c>
      <c r="H395" s="247">
        <f t="array" ref="H395">IFERROR(INDEX('PORTIFÓLIO'!$H$4:$H$433,MATCH($C395,'PORTIFÓLIO'!$C$4:$C$433,0)),"")</f>
        <v/>
      </c>
      <c r="I395" s="257" t="n"/>
      <c r="J395" s="209">
        <f>I395*$B$2</f>
        <v/>
      </c>
      <c r="K395" s="248">
        <f t="array" ref="K395">IFERROR(I395*INDEX('PORTIFÓLIO'!$S$4:$S$433,MATCH($C395,'PORTIFÓLIO'!$C$4:$C$433,0)),"")</f>
        <v/>
      </c>
      <c r="L395" s="248">
        <f t="array" ref="L395">IFERROR(J395*INDEX('PORTIFÓLIO'!$S$4:$S$433,MATCH($C395,'PORTIFÓLIO'!$C$4:$C$433,0)),"")</f>
        <v/>
      </c>
      <c r="M395" s="177" t="n"/>
      <c r="N395" s="177" t="n"/>
      <c r="O395" s="177" t="n"/>
      <c r="P395" s="177" t="n"/>
      <c r="Q395" s="177" t="n"/>
      <c r="R395" s="177" t="n"/>
      <c r="S395" s="177" t="n"/>
      <c r="T395" s="177" t="n"/>
      <c r="U395" s="177" t="n"/>
      <c r="V395" s="177" t="n"/>
      <c r="W395" s="177" t="n"/>
    </row>
    <row r="396" outlineLevel="1" ht="15.75" customHeight="1" s="297">
      <c r="A396" s="190" t="n"/>
      <c r="B396" s="204" t="n"/>
      <c r="C396" s="191" t="n"/>
      <c r="D396" s="205">
        <f>IFERROR(VLOOKUP($C396,'PORTIFÓLIO'!C:V,2,0),"")</f>
        <v/>
      </c>
      <c r="E396" s="190">
        <f>IFERROR(VLOOKUP($C396,'PORTIFÓLIO'!C:V,3,0),"")</f>
        <v/>
      </c>
      <c r="F396" s="190">
        <f>IFERROR(VLOOKUP($C396,'PORTIFÓLIO'!C:V,4,0),"")</f>
        <v/>
      </c>
      <c r="G396" s="206">
        <f>IFERROR(VLOOKUP($C396,'PORTIFÓLIO'!C:V,5,0),"")</f>
        <v/>
      </c>
      <c r="H396" s="247">
        <f t="array" ref="H396">IFERROR(INDEX('PORTIFÓLIO'!$H$4:$H$433,MATCH($C396,'PORTIFÓLIO'!$C$4:$C$433,0)),"")</f>
        <v/>
      </c>
      <c r="I396" s="257" t="n"/>
      <c r="J396" s="209">
        <f>I396*$B$2</f>
        <v/>
      </c>
      <c r="K396" s="248">
        <f t="array" ref="K396">IFERROR(I396*INDEX('PORTIFÓLIO'!$S$4:$S$433,MATCH($C396,'PORTIFÓLIO'!$C$4:$C$433,0)),"")</f>
        <v/>
      </c>
      <c r="L396" s="248">
        <f t="array" ref="L396">IFERROR(J396*INDEX('PORTIFÓLIO'!$S$4:$S$433,MATCH($C396,'PORTIFÓLIO'!$C$4:$C$433,0)),"")</f>
        <v/>
      </c>
      <c r="M396" s="177" t="n"/>
      <c r="N396" s="177" t="n"/>
      <c r="O396" s="177" t="n"/>
      <c r="P396" s="177" t="n"/>
      <c r="Q396" s="177" t="n"/>
      <c r="R396" s="177" t="n"/>
      <c r="S396" s="177" t="n"/>
      <c r="T396" s="177" t="n"/>
      <c r="U396" s="177" t="n"/>
      <c r="V396" s="177" t="n"/>
      <c r="W396" s="177" t="n"/>
    </row>
    <row r="397" outlineLevel="1" ht="15.75" customHeight="1" s="297">
      <c r="A397" s="190" t="n"/>
      <c r="B397" s="204" t="n"/>
      <c r="C397" s="191" t="n"/>
      <c r="D397" s="205">
        <f>IFERROR(VLOOKUP($C397,'PORTIFÓLIO'!C:V,2,0),"")</f>
        <v/>
      </c>
      <c r="E397" s="190">
        <f>IFERROR(VLOOKUP($C397,'PORTIFÓLIO'!C:V,3,0),"")</f>
        <v/>
      </c>
      <c r="F397" s="190">
        <f>IFERROR(VLOOKUP($C397,'PORTIFÓLIO'!C:V,4,0),"")</f>
        <v/>
      </c>
      <c r="G397" s="206">
        <f>IFERROR(VLOOKUP($C397,'PORTIFÓLIO'!C:V,5,0),"")</f>
        <v/>
      </c>
      <c r="H397" s="247">
        <f t="array" ref="H397">IFERROR(INDEX('PORTIFÓLIO'!$H$4:$H$433,MATCH($C397,'PORTIFÓLIO'!$C$4:$C$433,0)),"")</f>
        <v/>
      </c>
      <c r="I397" s="257" t="n"/>
      <c r="J397" s="209">
        <f>I397*$B$2</f>
        <v/>
      </c>
      <c r="K397" s="248">
        <f t="array" ref="K397">IFERROR(I397*INDEX('PORTIFÓLIO'!$S$4:$S$433,MATCH($C397,'PORTIFÓLIO'!$C$4:$C$433,0)),"")</f>
        <v/>
      </c>
      <c r="L397" s="248">
        <f t="array" ref="L397">IFERROR(J397*INDEX('PORTIFÓLIO'!$S$4:$S$433,MATCH($C397,'PORTIFÓLIO'!$C$4:$C$433,0)),"")</f>
        <v/>
      </c>
      <c r="M397" s="177" t="n"/>
      <c r="N397" s="177" t="n"/>
      <c r="O397" s="177" t="n"/>
      <c r="P397" s="177" t="n"/>
      <c r="Q397" s="177" t="n"/>
      <c r="R397" s="177" t="n"/>
      <c r="S397" s="177" t="n"/>
      <c r="T397" s="177" t="n"/>
      <c r="U397" s="177" t="n"/>
      <c r="V397" s="177" t="n"/>
      <c r="W397" s="177" t="n"/>
    </row>
    <row r="398" outlineLevel="1" ht="15.75" customHeight="1" s="297">
      <c r="A398" s="190" t="n"/>
      <c r="B398" s="204" t="n"/>
      <c r="C398" s="191" t="n"/>
      <c r="D398" s="205">
        <f>IFERROR(VLOOKUP($C398,'PORTIFÓLIO'!C:V,2,0),"")</f>
        <v/>
      </c>
      <c r="E398" s="190">
        <f>IFERROR(VLOOKUP($C398,'PORTIFÓLIO'!C:V,3,0),"")</f>
        <v/>
      </c>
      <c r="F398" s="190">
        <f>IFERROR(VLOOKUP($C398,'PORTIFÓLIO'!C:V,4,0),"")</f>
        <v/>
      </c>
      <c r="G398" s="206">
        <f>IFERROR(VLOOKUP($C398,'PORTIFÓLIO'!C:V,5,0),"")</f>
        <v/>
      </c>
      <c r="H398" s="247">
        <f t="array" ref="H398">IFERROR(INDEX('PORTIFÓLIO'!$H$4:$H$433,MATCH($C398,'PORTIFÓLIO'!$C$4:$C$433,0)),"")</f>
        <v/>
      </c>
      <c r="I398" s="257" t="n"/>
      <c r="J398" s="209">
        <f>I398*$B$2</f>
        <v/>
      </c>
      <c r="K398" s="248">
        <f t="array" ref="K398">IFERROR(I398*INDEX('PORTIFÓLIO'!$S$4:$S$433,MATCH($C398,'PORTIFÓLIO'!$C$4:$C$433,0)),"")</f>
        <v/>
      </c>
      <c r="L398" s="248">
        <f t="array" ref="L398">IFERROR(J398*INDEX('PORTIFÓLIO'!$S$4:$S$433,MATCH($C398,'PORTIFÓLIO'!$C$4:$C$433,0)),"")</f>
        <v/>
      </c>
      <c r="M398" s="177" t="n"/>
      <c r="N398" s="177" t="n"/>
      <c r="O398" s="177" t="n"/>
      <c r="P398" s="177" t="n"/>
      <c r="Q398" s="177" t="n"/>
      <c r="R398" s="177" t="n"/>
      <c r="S398" s="177" t="n"/>
      <c r="T398" s="177" t="n"/>
      <c r="U398" s="177" t="n"/>
      <c r="V398" s="177" t="n"/>
      <c r="W398" s="177" t="n"/>
    </row>
    <row r="399" outlineLevel="1" ht="15.75" customHeight="1" s="297">
      <c r="A399" s="190" t="n"/>
      <c r="B399" s="204" t="n"/>
      <c r="C399" s="191" t="n"/>
      <c r="D399" s="205">
        <f>IFERROR(VLOOKUP($C399,'PORTIFÓLIO'!C:V,2,0),"")</f>
        <v/>
      </c>
      <c r="E399" s="190">
        <f>IFERROR(VLOOKUP($C399,'PORTIFÓLIO'!C:V,3,0),"")</f>
        <v/>
      </c>
      <c r="F399" s="190">
        <f>IFERROR(VLOOKUP($C399,'PORTIFÓLIO'!C:V,4,0),"")</f>
        <v/>
      </c>
      <c r="G399" s="206">
        <f>IFERROR(VLOOKUP($C399,'PORTIFÓLIO'!C:V,5,0),"")</f>
        <v/>
      </c>
      <c r="H399" s="247">
        <f t="array" ref="H399">IFERROR(INDEX('PORTIFÓLIO'!$H$4:$H$433,MATCH($C399,'PORTIFÓLIO'!$C$4:$C$433,0)),"")</f>
        <v/>
      </c>
      <c r="I399" s="257" t="n"/>
      <c r="J399" s="209">
        <f>I399*$B$2</f>
        <v/>
      </c>
      <c r="K399" s="248">
        <f t="array" ref="K399">IFERROR(I399*INDEX('PORTIFÓLIO'!$S$4:$S$433,MATCH($C399,'PORTIFÓLIO'!$C$4:$C$433,0)),"")</f>
        <v/>
      </c>
      <c r="L399" s="248">
        <f t="array" ref="L399">IFERROR(J399*INDEX('PORTIFÓLIO'!$S$4:$S$433,MATCH($C399,'PORTIFÓLIO'!$C$4:$C$433,0)),"")</f>
        <v/>
      </c>
      <c r="M399" s="177" t="n"/>
      <c r="N399" s="177" t="n"/>
      <c r="O399" s="177" t="n"/>
      <c r="P399" s="177" t="n"/>
      <c r="Q399" s="177" t="n"/>
      <c r="R399" s="177" t="n"/>
      <c r="S399" s="177" t="n"/>
      <c r="T399" s="177" t="n"/>
      <c r="U399" s="177" t="n"/>
      <c r="V399" s="177" t="n"/>
      <c r="W399" s="177" t="n"/>
    </row>
    <row r="400" outlineLevel="1" ht="15.75" customHeight="1" s="297">
      <c r="A400" s="190" t="n"/>
      <c r="B400" s="204" t="n"/>
      <c r="C400" s="191" t="n"/>
      <c r="D400" s="205">
        <f>IFERROR(VLOOKUP($C400,'PORTIFÓLIO'!C:V,2,0),"")</f>
        <v/>
      </c>
      <c r="E400" s="190">
        <f>IFERROR(VLOOKUP($C400,'PORTIFÓLIO'!C:V,3,0),"")</f>
        <v/>
      </c>
      <c r="F400" s="190">
        <f>IFERROR(VLOOKUP($C400,'PORTIFÓLIO'!C:V,4,0),"")</f>
        <v/>
      </c>
      <c r="G400" s="206">
        <f>IFERROR(VLOOKUP($C400,'PORTIFÓLIO'!C:V,5,0),"")</f>
        <v/>
      </c>
      <c r="H400" s="247">
        <f t="array" ref="H400">IFERROR(INDEX('PORTIFÓLIO'!$H$4:$H$433,MATCH($C400,'PORTIFÓLIO'!$C$4:$C$433,0)),"")</f>
        <v/>
      </c>
      <c r="I400" s="257" t="n"/>
      <c r="J400" s="209">
        <f>I400*$B$2</f>
        <v/>
      </c>
      <c r="K400" s="248">
        <f t="array" ref="K400">IFERROR(I400*INDEX('PORTIFÓLIO'!$S$4:$S$433,MATCH($C400,'PORTIFÓLIO'!$C$4:$C$433,0)),"")</f>
        <v/>
      </c>
      <c r="L400" s="248">
        <f t="array" ref="L400">IFERROR(J400*INDEX('PORTIFÓLIO'!$S$4:$S$433,MATCH($C400,'PORTIFÓLIO'!$C$4:$C$433,0)),"")</f>
        <v/>
      </c>
      <c r="M400" s="177" t="n"/>
      <c r="N400" s="177" t="n"/>
      <c r="O400" s="177" t="n"/>
      <c r="P400" s="177" t="n"/>
      <c r="Q400" s="177" t="n"/>
      <c r="R400" s="177" t="n"/>
      <c r="S400" s="177" t="n"/>
      <c r="T400" s="177" t="n"/>
      <c r="U400" s="177" t="n"/>
      <c r="V400" s="177" t="n"/>
      <c r="W400" s="177" t="n"/>
    </row>
    <row r="401" outlineLevel="1" ht="15.75" customHeight="1" s="297">
      <c r="A401" s="190" t="n"/>
      <c r="B401" s="204" t="n"/>
      <c r="C401" s="191" t="n"/>
      <c r="D401" s="205">
        <f>IFERROR(VLOOKUP($C401,'PORTIFÓLIO'!C:V,2,0),"")</f>
        <v/>
      </c>
      <c r="E401" s="190">
        <f>IFERROR(VLOOKUP($C401,'PORTIFÓLIO'!C:V,3,0),"")</f>
        <v/>
      </c>
      <c r="F401" s="190">
        <f>IFERROR(VLOOKUP($C401,'PORTIFÓLIO'!C:V,4,0),"")</f>
        <v/>
      </c>
      <c r="G401" s="206">
        <f>IFERROR(VLOOKUP($C401,'PORTIFÓLIO'!C:V,5,0),"")</f>
        <v/>
      </c>
      <c r="H401" s="247">
        <f t="array" ref="H401">IFERROR(INDEX('PORTIFÓLIO'!$H$4:$H$433,MATCH($C401,'PORTIFÓLIO'!$C$4:$C$433,0)),"")</f>
        <v/>
      </c>
      <c r="I401" s="253" t="n"/>
      <c r="J401" s="209">
        <f>I401*$B$2</f>
        <v/>
      </c>
      <c r="K401" s="248">
        <f t="array" ref="K401">IFERROR(I401*INDEX('PORTIFÓLIO'!$S$4:$S$433,MATCH($C401,'PORTIFÓLIO'!$C$4:$C$433,0)),"")</f>
        <v/>
      </c>
      <c r="L401" s="248">
        <f t="array" ref="L401">IFERROR(J401*INDEX('PORTIFÓLIO'!$S$4:$S$433,MATCH($C401,'PORTIFÓLIO'!$C$4:$C$433,0)),"")</f>
        <v/>
      </c>
      <c r="M401" s="177" t="n"/>
      <c r="N401" s="177" t="n"/>
      <c r="O401" s="177" t="n"/>
      <c r="P401" s="177" t="n"/>
      <c r="Q401" s="177" t="n"/>
      <c r="R401" s="177" t="n"/>
      <c r="S401" s="177" t="n"/>
      <c r="T401" s="177" t="n"/>
      <c r="U401" s="177" t="n"/>
      <c r="V401" s="177" t="n"/>
      <c r="W401" s="177" t="n"/>
    </row>
    <row r="402" outlineLevel="1" ht="15.75" customHeight="1" s="297">
      <c r="A402" s="190" t="n"/>
      <c r="B402" s="204" t="n"/>
      <c r="C402" s="191" t="n"/>
      <c r="D402" s="205">
        <f>IFERROR(VLOOKUP($C402,'PORTIFÓLIO'!C:V,2,0),"")</f>
        <v/>
      </c>
      <c r="E402" s="190">
        <f>IFERROR(VLOOKUP($C402,'PORTIFÓLIO'!C:V,3,0),"")</f>
        <v/>
      </c>
      <c r="F402" s="190">
        <f>IFERROR(VLOOKUP($C402,'PORTIFÓLIO'!C:V,4,0),"")</f>
        <v/>
      </c>
      <c r="G402" s="206">
        <f>IFERROR(VLOOKUP($C402,'PORTIFÓLIO'!C:V,5,0),"")</f>
        <v/>
      </c>
      <c r="H402" s="247">
        <f t="array" ref="H402">IFERROR(INDEX('PORTIFÓLIO'!$H$4:$H$433,MATCH($C402,'PORTIFÓLIO'!$C$4:$C$433,0)),"")</f>
        <v/>
      </c>
      <c r="I402" s="257" t="n"/>
      <c r="J402" s="209">
        <f>I402*$B$2</f>
        <v/>
      </c>
      <c r="K402" s="248">
        <f t="array" ref="K402">IFERROR(I402*INDEX('PORTIFÓLIO'!$S$4:$S$433,MATCH($C402,'PORTIFÓLIO'!$C$4:$C$433,0)),"")</f>
        <v/>
      </c>
      <c r="L402" s="248">
        <f t="array" ref="L402">IFERROR(J402*INDEX('PORTIFÓLIO'!$S$4:$S$433,MATCH($C402,'PORTIFÓLIO'!$C$4:$C$433,0)),"")</f>
        <v/>
      </c>
      <c r="M402" s="177" t="n"/>
      <c r="N402" s="177" t="n"/>
      <c r="O402" s="177" t="n"/>
      <c r="P402" s="177" t="n"/>
      <c r="Q402" s="177" t="n"/>
      <c r="R402" s="177" t="n"/>
      <c r="S402" s="177" t="n"/>
      <c r="T402" s="177" t="n"/>
      <c r="U402" s="177" t="n"/>
      <c r="V402" s="177" t="n"/>
      <c r="W402" s="177" t="n"/>
    </row>
    <row r="403" outlineLevel="1" ht="15.75" customHeight="1" s="297">
      <c r="A403" s="190" t="n"/>
      <c r="B403" s="204" t="n"/>
      <c r="C403" s="191" t="n"/>
      <c r="D403" s="205">
        <f>IFERROR(VLOOKUP($C403,'PORTIFÓLIO'!C:V,2,0),"")</f>
        <v/>
      </c>
      <c r="E403" s="190">
        <f>IFERROR(VLOOKUP($C403,'PORTIFÓLIO'!C:V,3,0),"")</f>
        <v/>
      </c>
      <c r="F403" s="190">
        <f>IFERROR(VLOOKUP($C403,'PORTIFÓLIO'!C:V,4,0),"")</f>
        <v/>
      </c>
      <c r="G403" s="206">
        <f>IFERROR(VLOOKUP($C403,'PORTIFÓLIO'!C:V,5,0),"")</f>
        <v/>
      </c>
      <c r="H403" s="247">
        <f t="array" ref="H403">IFERROR(INDEX('PORTIFÓLIO'!$H$4:$H$433,MATCH($C403,'PORTIFÓLIO'!$C$4:$C$433,0)),"")</f>
        <v/>
      </c>
      <c r="I403" s="257" t="n"/>
      <c r="J403" s="209">
        <f>I403*$B$2</f>
        <v/>
      </c>
      <c r="K403" s="248">
        <f t="array" ref="K403">IFERROR(I403*INDEX('PORTIFÓLIO'!$S$4:$S$433,MATCH($C403,'PORTIFÓLIO'!$C$4:$C$433,0)),"")</f>
        <v/>
      </c>
      <c r="L403" s="248">
        <f t="array" ref="L403">IFERROR(J403*INDEX('PORTIFÓLIO'!$S$4:$S$433,MATCH($C403,'PORTIFÓLIO'!$C$4:$C$433,0)),"")</f>
        <v/>
      </c>
      <c r="M403" s="177" t="n"/>
      <c r="N403" s="177" t="n"/>
      <c r="O403" s="177" t="n"/>
      <c r="P403" s="177" t="n"/>
      <c r="Q403" s="177" t="n"/>
      <c r="R403" s="177" t="n"/>
      <c r="S403" s="177" t="n"/>
      <c r="T403" s="177" t="n"/>
      <c r="U403" s="177" t="n"/>
      <c r="V403" s="177" t="n"/>
      <c r="W403" s="177" t="n"/>
    </row>
    <row r="404" outlineLevel="1" ht="15.75" customHeight="1" s="297">
      <c r="A404" s="190" t="n"/>
      <c r="B404" s="204" t="n"/>
      <c r="C404" s="191" t="n"/>
      <c r="D404" s="205">
        <f>IFERROR(VLOOKUP($C404,'PORTIFÓLIO'!C:V,2,0),"")</f>
        <v/>
      </c>
      <c r="E404" s="190">
        <f>IFERROR(VLOOKUP($C404,'PORTIFÓLIO'!C:V,3,0),"")</f>
        <v/>
      </c>
      <c r="F404" s="190">
        <f>IFERROR(VLOOKUP($C404,'PORTIFÓLIO'!C:V,4,0),"")</f>
        <v/>
      </c>
      <c r="G404" s="206">
        <f>IFERROR(VLOOKUP($C404,'PORTIFÓLIO'!C:V,5,0),"")</f>
        <v/>
      </c>
      <c r="H404" s="247">
        <f t="array" ref="H404">IFERROR(INDEX('PORTIFÓLIO'!$H$4:$H$433,MATCH($C404,'PORTIFÓLIO'!$C$4:$C$433,0)),"")</f>
        <v/>
      </c>
      <c r="I404" s="257" t="n"/>
      <c r="J404" s="209">
        <f>I404*$B$2</f>
        <v/>
      </c>
      <c r="K404" s="248">
        <f t="array" ref="K404">IFERROR(I404*INDEX('PORTIFÓLIO'!$S$4:$S$433,MATCH($C404,'PORTIFÓLIO'!$C$4:$C$433,0)),"")</f>
        <v/>
      </c>
      <c r="L404" s="248">
        <f t="array" ref="L404">IFERROR(J404*INDEX('PORTIFÓLIO'!$S$4:$S$433,MATCH($C404,'PORTIFÓLIO'!$C$4:$C$433,0)),"")</f>
        <v/>
      </c>
      <c r="M404" s="177" t="n"/>
      <c r="N404" s="177" t="n"/>
      <c r="O404" s="177" t="n"/>
      <c r="P404" s="177" t="n"/>
      <c r="Q404" s="177" t="n"/>
      <c r="R404" s="177" t="n"/>
      <c r="S404" s="177" t="n"/>
      <c r="T404" s="177" t="n"/>
      <c r="U404" s="177" t="n"/>
      <c r="V404" s="177" t="n"/>
      <c r="W404" s="177" t="n"/>
    </row>
    <row r="405" outlineLevel="1" ht="15.75" customHeight="1" s="297">
      <c r="A405" s="190" t="n"/>
      <c r="B405" s="204" t="n"/>
      <c r="C405" s="191" t="n"/>
      <c r="D405" s="205">
        <f>IFERROR(VLOOKUP($C405,'PORTIFÓLIO'!C:V,2,0),"")</f>
        <v/>
      </c>
      <c r="E405" s="190">
        <f>IFERROR(VLOOKUP($C405,'PORTIFÓLIO'!C:V,3,0),"")</f>
        <v/>
      </c>
      <c r="F405" s="190">
        <f>IFERROR(VLOOKUP($C405,'PORTIFÓLIO'!C:V,4,0),"")</f>
        <v/>
      </c>
      <c r="G405" s="206">
        <f>IFERROR(VLOOKUP($C405,'PORTIFÓLIO'!C:V,5,0),"")</f>
        <v/>
      </c>
      <c r="H405" s="247">
        <f t="array" ref="H405">IFERROR(INDEX('PORTIFÓLIO'!$H$4:$H$433,MATCH($C405,'PORTIFÓLIO'!$C$4:$C$433,0)),"")</f>
        <v/>
      </c>
      <c r="I405" s="257" t="n"/>
      <c r="J405" s="209">
        <f>I405*$B$2</f>
        <v/>
      </c>
      <c r="K405" s="248">
        <f t="array" ref="K405">IFERROR(I405*INDEX('PORTIFÓLIO'!$S$4:$S$433,MATCH($C405,'PORTIFÓLIO'!$C$4:$C$433,0)),"")</f>
        <v/>
      </c>
      <c r="L405" s="248">
        <f t="array" ref="L405">IFERROR(J405*INDEX('PORTIFÓLIO'!$S$4:$S$433,MATCH($C405,'PORTIFÓLIO'!$C$4:$C$433,0)),"")</f>
        <v/>
      </c>
      <c r="M405" s="177" t="n"/>
      <c r="N405" s="177" t="n"/>
      <c r="O405" s="177" t="n"/>
      <c r="P405" s="177" t="n"/>
      <c r="Q405" s="177" t="n"/>
      <c r="R405" s="177" t="n"/>
      <c r="S405" s="177" t="n"/>
      <c r="T405" s="177" t="n"/>
      <c r="U405" s="177" t="n"/>
      <c r="V405" s="177" t="n"/>
      <c r="W405" s="177" t="n"/>
    </row>
    <row r="406" outlineLevel="1" ht="15.75" customHeight="1" s="297">
      <c r="A406" s="190" t="n"/>
      <c r="B406" s="204" t="n"/>
      <c r="C406" s="191" t="n"/>
      <c r="D406" s="205">
        <f>IFERROR(VLOOKUP($C406,'PORTIFÓLIO'!C:V,2,0),"")</f>
        <v/>
      </c>
      <c r="E406" s="190">
        <f>IFERROR(VLOOKUP($C406,'PORTIFÓLIO'!C:V,3,0),"")</f>
        <v/>
      </c>
      <c r="F406" s="190">
        <f>IFERROR(VLOOKUP($C406,'PORTIFÓLIO'!C:V,4,0),"")</f>
        <v/>
      </c>
      <c r="G406" s="206">
        <f>IFERROR(VLOOKUP($C406,'PORTIFÓLIO'!C:V,5,0),"")</f>
        <v/>
      </c>
      <c r="H406" s="247">
        <f t="array" ref="H406">IFERROR(INDEX('PORTIFÓLIO'!$H$4:$H$433,MATCH($C406,'PORTIFÓLIO'!$C$4:$C$433,0)),"")</f>
        <v/>
      </c>
      <c r="I406" s="257" t="n"/>
      <c r="J406" s="209">
        <f>I406*$B$2</f>
        <v/>
      </c>
      <c r="K406" s="248">
        <f t="array" ref="K406">IFERROR(I406*INDEX('PORTIFÓLIO'!$S$4:$S$433,MATCH($C406,'PORTIFÓLIO'!$C$4:$C$433,0)),"")</f>
        <v/>
      </c>
      <c r="L406" s="248">
        <f t="array" ref="L406">IFERROR(J406*INDEX('PORTIFÓLIO'!$S$4:$S$433,MATCH($C406,'PORTIFÓLIO'!$C$4:$C$433,0)),"")</f>
        <v/>
      </c>
      <c r="M406" s="177" t="n"/>
      <c r="N406" s="177" t="n"/>
      <c r="O406" s="177" t="n"/>
      <c r="P406" s="177" t="n"/>
      <c r="Q406" s="177" t="n"/>
      <c r="R406" s="177" t="n"/>
      <c r="S406" s="177" t="n"/>
      <c r="T406" s="177" t="n"/>
      <c r="U406" s="177" t="n"/>
      <c r="V406" s="177" t="n"/>
      <c r="W406" s="177" t="n"/>
    </row>
    <row r="407" outlineLevel="1" ht="15.75" customHeight="1" s="297">
      <c r="A407" s="190" t="n"/>
      <c r="B407" s="204" t="n"/>
      <c r="C407" s="191" t="n"/>
      <c r="D407" s="205">
        <f>IFERROR(VLOOKUP($C407,'PORTIFÓLIO'!C:V,2,0),"")</f>
        <v/>
      </c>
      <c r="E407" s="190">
        <f>IFERROR(VLOOKUP($C407,'PORTIFÓLIO'!C:V,3,0),"")</f>
        <v/>
      </c>
      <c r="F407" s="190">
        <f>IFERROR(VLOOKUP($C407,'PORTIFÓLIO'!C:V,4,0),"")</f>
        <v/>
      </c>
      <c r="G407" s="206">
        <f>IFERROR(VLOOKUP($C407,'PORTIFÓLIO'!C:V,5,0),"")</f>
        <v/>
      </c>
      <c r="H407" s="247">
        <f t="array" ref="H407">IFERROR(INDEX('PORTIFÓLIO'!$H$4:$H$433,MATCH($C407,'PORTIFÓLIO'!$C$4:$C$433,0)),"")</f>
        <v/>
      </c>
      <c r="I407" s="257" t="n"/>
      <c r="J407" s="209">
        <f>I407*$B$2</f>
        <v/>
      </c>
      <c r="K407" s="248">
        <f t="array" ref="K407">IFERROR(I407*INDEX('PORTIFÓLIO'!$S$4:$S$433,MATCH($C407,'PORTIFÓLIO'!$C$4:$C$433,0)),"")</f>
        <v/>
      </c>
      <c r="L407" s="248">
        <f t="array" ref="L407">IFERROR(J407*INDEX('PORTIFÓLIO'!$S$4:$S$433,MATCH($C407,'PORTIFÓLIO'!$C$4:$C$433,0)),"")</f>
        <v/>
      </c>
      <c r="M407" s="177" t="n"/>
      <c r="N407" s="177" t="n"/>
      <c r="O407" s="177" t="n"/>
      <c r="P407" s="177" t="n"/>
      <c r="Q407" s="177" t="n"/>
      <c r="R407" s="177" t="n"/>
      <c r="S407" s="177" t="n"/>
      <c r="T407" s="177" t="n"/>
      <c r="U407" s="177" t="n"/>
      <c r="V407" s="177" t="n"/>
      <c r="W407" s="177" t="n"/>
    </row>
    <row r="408" outlineLevel="1" ht="15.75" customHeight="1" s="297">
      <c r="A408" s="190" t="n"/>
      <c r="B408" s="238" t="n"/>
      <c r="C408" s="190" t="n"/>
      <c r="D408" s="205">
        <f>IFERROR(VLOOKUP($C408,'PORTIFÓLIO'!C:V,2,0),"")</f>
        <v/>
      </c>
      <c r="E408" s="190">
        <f>IFERROR(VLOOKUP($C408,'PORTIFÓLIO'!C:V,3,0),"")</f>
        <v/>
      </c>
      <c r="F408" s="190">
        <f>IFERROR(VLOOKUP($C408,'PORTIFÓLIO'!C:V,4,0),"")</f>
        <v/>
      </c>
      <c r="G408" s="206">
        <f>IFERROR(VLOOKUP($C408,'PORTIFÓLIO'!C:V,5,0),"")</f>
        <v/>
      </c>
      <c r="H408" s="247">
        <f t="array" ref="H408">IFERROR(INDEX('PORTIFÓLIO'!$H$4:$H$433,MATCH($C408,'PORTIFÓLIO'!$C$4:$C$433,0)),"")</f>
        <v/>
      </c>
      <c r="I408" s="257" t="n"/>
      <c r="J408" s="209">
        <f>I408*$B$2</f>
        <v/>
      </c>
      <c r="K408" s="248">
        <f t="array" ref="K408">IFERROR(I408*INDEX('PORTIFÓLIO'!$S$4:$S$433,MATCH($C408,'PORTIFÓLIO'!$C$4:$C$433,0)),"")</f>
        <v/>
      </c>
      <c r="L408" s="248">
        <f t="array" ref="L408">IFERROR(J408*INDEX('PORTIFÓLIO'!$S$4:$S$433,MATCH($C408,'PORTIFÓLIO'!$C$4:$C$433,0)),"")</f>
        <v/>
      </c>
      <c r="M408" s="177" t="n"/>
      <c r="N408" s="177" t="n"/>
      <c r="O408" s="177" t="n"/>
      <c r="P408" s="177" t="n"/>
      <c r="Q408" s="177" t="n"/>
      <c r="R408" s="177" t="n"/>
      <c r="S408" s="177" t="n"/>
      <c r="T408" s="177" t="n"/>
      <c r="U408" s="177" t="n"/>
      <c r="V408" s="177" t="n"/>
      <c r="W408" s="177" t="n"/>
    </row>
    <row r="409" ht="15.75" customHeight="1" s="297">
      <c r="A409" s="221" t="inlineStr">
        <is>
          <t>OPERAÇÃO 11</t>
        </is>
      </c>
      <c r="B409" s="197" t="n"/>
      <c r="C409" s="196" t="n"/>
      <c r="D409" s="198" t="n"/>
      <c r="E409" s="196" t="n"/>
      <c r="F409" s="196" t="n"/>
      <c r="G409" s="199" t="n"/>
      <c r="H409" s="199" t="n"/>
      <c r="I409" s="252" t="n"/>
      <c r="J409" s="202" t="n"/>
      <c r="K409" s="203">
        <f>SUBTOTAL(9,K410:K423)</f>
        <v/>
      </c>
      <c r="L409" s="203">
        <f>SUBTOTAL(9,L410:L423)</f>
        <v/>
      </c>
      <c r="M409" s="177" t="n"/>
      <c r="N409" s="177" t="n"/>
      <c r="O409" s="177" t="n"/>
      <c r="P409" s="177" t="n"/>
      <c r="Q409" s="177" t="n"/>
      <c r="R409" s="177" t="n"/>
      <c r="S409" s="177" t="n"/>
      <c r="T409" s="177" t="n"/>
      <c r="U409" s="177" t="n"/>
      <c r="V409" s="177" t="n"/>
      <c r="W409" s="177" t="n"/>
    </row>
    <row r="410" outlineLevel="1" ht="15.75" customHeight="1" s="297">
      <c r="A410" s="191" t="n"/>
      <c r="B410" s="204" t="n"/>
      <c r="C410" s="191" t="n"/>
      <c r="D410" s="205">
        <f>IFERROR(VLOOKUP($C410,'PORTIFÓLIO'!C:V,2,0),"")</f>
        <v/>
      </c>
      <c r="E410" s="190">
        <f>IFERROR(VLOOKUP($C410,'PORTIFÓLIO'!C:V,3,0),"")</f>
        <v/>
      </c>
      <c r="F410" s="190">
        <f>IFERROR(VLOOKUP($C410,'PORTIFÓLIO'!C:V,4,0),"")</f>
        <v/>
      </c>
      <c r="G410" s="206">
        <f>IFERROR(VLOOKUP($C410,'PORTIFÓLIO'!C:V,5,0),"")</f>
        <v/>
      </c>
      <c r="H410" s="247">
        <f t="array" ref="H410">IFERROR(INDEX('PORTIFÓLIO'!$H$4:$H$433,MATCH($C410,'PORTIFÓLIO'!$C$4:$C$433,0)),"")</f>
        <v/>
      </c>
      <c r="I410" s="253" t="n"/>
      <c r="J410" s="209">
        <f>I410*$B$2</f>
        <v/>
      </c>
      <c r="K410" s="248">
        <f t="array" ref="K410">IFERROR(I410*INDEX('PORTIFÓLIO'!$S$4:$S$433,MATCH($C410,'PORTIFÓLIO'!$C$4:$C$433,0)),"")</f>
        <v/>
      </c>
      <c r="L410" s="248">
        <f t="array" ref="L410">IFERROR(J410*INDEX('PORTIFÓLIO'!$S$4:$S$433,MATCH($C410,'PORTIFÓLIO'!$C$4:$C$433,0)),"")</f>
        <v/>
      </c>
      <c r="M410" s="177" t="n"/>
      <c r="N410" s="177" t="n"/>
      <c r="O410" s="177" t="n"/>
      <c r="P410" s="177" t="n"/>
      <c r="Q410" s="177" t="n"/>
      <c r="R410" s="177" t="n"/>
      <c r="S410" s="177" t="n"/>
      <c r="T410" s="177" t="n"/>
      <c r="U410" s="177" t="n"/>
      <c r="V410" s="177" t="n"/>
      <c r="W410" s="177" t="n"/>
    </row>
    <row r="411" outlineLevel="1" ht="15.75" customHeight="1" s="297">
      <c r="A411" s="190" t="n"/>
      <c r="B411" s="204" t="n"/>
      <c r="C411" s="191" t="n"/>
      <c r="D411" s="205">
        <f>IFERROR(VLOOKUP($C411,'PORTIFÓLIO'!C:V,2,0),"")</f>
        <v/>
      </c>
      <c r="E411" s="190">
        <f>IFERROR(VLOOKUP($C411,'PORTIFÓLIO'!C:V,3,0),"")</f>
        <v/>
      </c>
      <c r="F411" s="190">
        <f>IFERROR(VLOOKUP($C411,'PORTIFÓLIO'!C:V,4,0),"")</f>
        <v/>
      </c>
      <c r="G411" s="206">
        <f>IFERROR(VLOOKUP($C411,'PORTIFÓLIO'!C:V,5,0),"")</f>
        <v/>
      </c>
      <c r="H411" s="247">
        <f t="array" ref="H411">IFERROR(INDEX('PORTIFÓLIO'!$H$4:$H$433,MATCH($C411,'PORTIFÓLIO'!$C$4:$C$433,0)),"")</f>
        <v/>
      </c>
      <c r="I411" s="257" t="n"/>
      <c r="J411" s="209">
        <f>I411*$B$2</f>
        <v/>
      </c>
      <c r="K411" s="248">
        <f t="array" ref="K411">IFERROR(I411*INDEX('PORTIFÓLIO'!$S$4:$S$433,MATCH($C411,'PORTIFÓLIO'!$C$4:$C$433,0)),"")</f>
        <v/>
      </c>
      <c r="L411" s="248">
        <f t="array" ref="L411">IFERROR(J411*INDEX('PORTIFÓLIO'!$S$4:$S$433,MATCH($C411,'PORTIFÓLIO'!$C$4:$C$433,0)),"")</f>
        <v/>
      </c>
      <c r="M411" s="177" t="n"/>
      <c r="N411" s="177" t="n"/>
      <c r="O411" s="177" t="n"/>
      <c r="P411" s="177" t="n"/>
      <c r="Q411" s="177" t="n"/>
      <c r="R411" s="177" t="n"/>
      <c r="S411" s="177" t="n"/>
      <c r="T411" s="177" t="n"/>
      <c r="U411" s="177" t="n"/>
      <c r="V411" s="177" t="n"/>
      <c r="W411" s="177" t="n"/>
    </row>
    <row r="412" outlineLevel="1" ht="15.75" customHeight="1" s="297">
      <c r="A412" s="190" t="n"/>
      <c r="B412" s="204" t="n"/>
      <c r="C412" s="191" t="n"/>
      <c r="D412" s="205">
        <f>IFERROR(VLOOKUP($C412,'PORTIFÓLIO'!C:V,2,0),"")</f>
        <v/>
      </c>
      <c r="E412" s="190">
        <f>IFERROR(VLOOKUP($C412,'PORTIFÓLIO'!C:V,3,0),"")</f>
        <v/>
      </c>
      <c r="F412" s="190">
        <f>IFERROR(VLOOKUP($C412,'PORTIFÓLIO'!C:V,4,0),"")</f>
        <v/>
      </c>
      <c r="G412" s="206">
        <f>IFERROR(VLOOKUP($C412,'PORTIFÓLIO'!C:V,5,0),"")</f>
        <v/>
      </c>
      <c r="H412" s="247">
        <f t="array" ref="H412">IFERROR(INDEX('PORTIFÓLIO'!$H$4:$H$433,MATCH($C412,'PORTIFÓLIO'!$C$4:$C$433,0)),"")</f>
        <v/>
      </c>
      <c r="I412" s="257" t="n"/>
      <c r="J412" s="209">
        <f>I412*$B$2</f>
        <v/>
      </c>
      <c r="K412" s="248">
        <f t="array" ref="K412">IFERROR(I412*INDEX('PORTIFÓLIO'!$S$4:$S$433,MATCH($C412,'PORTIFÓLIO'!$C$4:$C$433,0)),"")</f>
        <v/>
      </c>
      <c r="L412" s="248">
        <f t="array" ref="L412">IFERROR(J412*INDEX('PORTIFÓLIO'!$S$4:$S$433,MATCH($C412,'PORTIFÓLIO'!$C$4:$C$433,0)),"")</f>
        <v/>
      </c>
      <c r="M412" s="177" t="n"/>
      <c r="N412" s="177" t="n"/>
      <c r="O412" s="177" t="n"/>
      <c r="P412" s="177" t="n"/>
      <c r="Q412" s="177" t="n"/>
      <c r="R412" s="177" t="n"/>
      <c r="S412" s="177" t="n"/>
      <c r="T412" s="177" t="n"/>
      <c r="U412" s="177" t="n"/>
      <c r="V412" s="177" t="n"/>
      <c r="W412" s="177" t="n"/>
    </row>
    <row r="413" outlineLevel="1" ht="15.75" customHeight="1" s="297">
      <c r="A413" s="190" t="n"/>
      <c r="B413" s="204" t="n"/>
      <c r="C413" s="191" t="n"/>
      <c r="D413" s="205">
        <f>IFERROR(VLOOKUP($C413,'PORTIFÓLIO'!C:V,2,0),"")</f>
        <v/>
      </c>
      <c r="E413" s="190">
        <f>IFERROR(VLOOKUP($C413,'PORTIFÓLIO'!C:V,3,0),"")</f>
        <v/>
      </c>
      <c r="F413" s="190">
        <f>IFERROR(VLOOKUP($C413,'PORTIFÓLIO'!C:V,4,0),"")</f>
        <v/>
      </c>
      <c r="G413" s="206">
        <f>IFERROR(VLOOKUP($C413,'PORTIFÓLIO'!C:V,5,0),"")</f>
        <v/>
      </c>
      <c r="H413" s="247">
        <f t="array" ref="H413">IFERROR(INDEX('PORTIFÓLIO'!$H$4:$H$433,MATCH($C413,'PORTIFÓLIO'!$C$4:$C$433,0)),"")</f>
        <v/>
      </c>
      <c r="I413" s="257" t="n"/>
      <c r="J413" s="209">
        <f>I413*$B$2</f>
        <v/>
      </c>
      <c r="K413" s="248">
        <f t="array" ref="K413">IFERROR(I413*INDEX('PORTIFÓLIO'!$S$4:$S$433,MATCH($C413,'PORTIFÓLIO'!$C$4:$C$433,0)),"")</f>
        <v/>
      </c>
      <c r="L413" s="248">
        <f t="array" ref="L413">IFERROR(J413*INDEX('PORTIFÓLIO'!$S$4:$S$433,MATCH($C413,'PORTIFÓLIO'!$C$4:$C$433,0)),"")</f>
        <v/>
      </c>
      <c r="M413" s="177" t="n"/>
      <c r="N413" s="177" t="n"/>
      <c r="O413" s="177" t="n"/>
      <c r="P413" s="177" t="n"/>
      <c r="Q413" s="177" t="n"/>
      <c r="R413" s="177" t="n"/>
      <c r="S413" s="177" t="n"/>
      <c r="T413" s="177" t="n"/>
      <c r="U413" s="177" t="n"/>
      <c r="V413" s="177" t="n"/>
      <c r="W413" s="177" t="n"/>
    </row>
    <row r="414" outlineLevel="1" ht="15.75" customHeight="1" s="297">
      <c r="A414" s="190" t="n"/>
      <c r="B414" s="204" t="n"/>
      <c r="C414" s="191" t="n"/>
      <c r="D414" s="205">
        <f>IFERROR(VLOOKUP($C414,'PORTIFÓLIO'!C:V,2,0),"")</f>
        <v/>
      </c>
      <c r="E414" s="190">
        <f>IFERROR(VLOOKUP($C414,'PORTIFÓLIO'!C:V,3,0),"")</f>
        <v/>
      </c>
      <c r="F414" s="190">
        <f>IFERROR(VLOOKUP($C414,'PORTIFÓLIO'!C:V,4,0),"")</f>
        <v/>
      </c>
      <c r="G414" s="206">
        <f>IFERROR(VLOOKUP($C414,'PORTIFÓLIO'!C:V,5,0),"")</f>
        <v/>
      </c>
      <c r="H414" s="247">
        <f t="array" ref="H414">IFERROR(INDEX('PORTIFÓLIO'!$H$4:$H$433,MATCH($C414,'PORTIFÓLIO'!$C$4:$C$433,0)),"")</f>
        <v/>
      </c>
      <c r="I414" s="257" t="n"/>
      <c r="J414" s="209">
        <f>I414*$B$2</f>
        <v/>
      </c>
      <c r="K414" s="248">
        <f t="array" ref="K414">IFERROR(I414*INDEX('PORTIFÓLIO'!$S$4:$S$433,MATCH($C414,'PORTIFÓLIO'!$C$4:$C$433,0)),"")</f>
        <v/>
      </c>
      <c r="L414" s="248">
        <f t="array" ref="L414">IFERROR(J414*INDEX('PORTIFÓLIO'!$S$4:$S$433,MATCH($C414,'PORTIFÓLIO'!$C$4:$C$433,0)),"")</f>
        <v/>
      </c>
      <c r="M414" s="177" t="n"/>
      <c r="N414" s="177" t="n"/>
      <c r="O414" s="177" t="n"/>
      <c r="P414" s="177" t="n"/>
      <c r="Q414" s="177" t="n"/>
      <c r="R414" s="177" t="n"/>
      <c r="S414" s="177" t="n"/>
      <c r="T414" s="177" t="n"/>
      <c r="U414" s="177" t="n"/>
      <c r="V414" s="177" t="n"/>
      <c r="W414" s="177" t="n"/>
    </row>
    <row r="415" outlineLevel="1" ht="15.75" customHeight="1" s="297">
      <c r="A415" s="190" t="n"/>
      <c r="B415" s="204" t="n"/>
      <c r="C415" s="191" t="n"/>
      <c r="D415" s="205">
        <f>IFERROR(VLOOKUP($C415,'PORTIFÓLIO'!C:V,2,0),"")</f>
        <v/>
      </c>
      <c r="E415" s="190">
        <f>IFERROR(VLOOKUP($C415,'PORTIFÓLIO'!C:V,3,0),"")</f>
        <v/>
      </c>
      <c r="F415" s="190">
        <f>IFERROR(VLOOKUP($C415,'PORTIFÓLIO'!C:V,4,0),"")</f>
        <v/>
      </c>
      <c r="G415" s="206">
        <f>IFERROR(VLOOKUP($C415,'PORTIFÓLIO'!C:V,5,0),"")</f>
        <v/>
      </c>
      <c r="H415" s="247">
        <f t="array" ref="H415">IFERROR(INDEX('PORTIFÓLIO'!$H$4:$H$433,MATCH($C415,'PORTIFÓLIO'!$C$4:$C$433,0)),"")</f>
        <v/>
      </c>
      <c r="I415" s="257" t="n"/>
      <c r="J415" s="209">
        <f>I415*$B$2</f>
        <v/>
      </c>
      <c r="K415" s="248">
        <f t="array" ref="K415">IFERROR(I415*INDEX('PORTIFÓLIO'!$S$4:$S$433,MATCH($C415,'PORTIFÓLIO'!$C$4:$C$433,0)),"")</f>
        <v/>
      </c>
      <c r="L415" s="248">
        <f t="array" ref="L415">IFERROR(J415*INDEX('PORTIFÓLIO'!$S$4:$S$433,MATCH($C415,'PORTIFÓLIO'!$C$4:$C$433,0)),"")</f>
        <v/>
      </c>
      <c r="M415" s="177" t="n"/>
      <c r="N415" s="177" t="n"/>
      <c r="O415" s="177" t="n"/>
      <c r="P415" s="177" t="n"/>
      <c r="Q415" s="177" t="n"/>
      <c r="R415" s="177" t="n"/>
      <c r="S415" s="177" t="n"/>
      <c r="T415" s="177" t="n"/>
      <c r="U415" s="177" t="n"/>
      <c r="V415" s="177" t="n"/>
      <c r="W415" s="177" t="n"/>
    </row>
    <row r="416" outlineLevel="1" ht="15.75" customHeight="1" s="297">
      <c r="A416" s="190" t="n"/>
      <c r="B416" s="204" t="n"/>
      <c r="C416" s="191" t="n"/>
      <c r="D416" s="205">
        <f>IFERROR(VLOOKUP($C416,'PORTIFÓLIO'!C:V,2,0),"")</f>
        <v/>
      </c>
      <c r="E416" s="190">
        <f>IFERROR(VLOOKUP($C416,'PORTIFÓLIO'!C:V,3,0),"")</f>
        <v/>
      </c>
      <c r="F416" s="190">
        <f>IFERROR(VLOOKUP($C416,'PORTIFÓLIO'!C:V,4,0),"")</f>
        <v/>
      </c>
      <c r="G416" s="206">
        <f>IFERROR(VLOOKUP($C416,'PORTIFÓLIO'!C:V,5,0),"")</f>
        <v/>
      </c>
      <c r="H416" s="247">
        <f t="array" ref="H416">IFERROR(INDEX('PORTIFÓLIO'!$H$4:$H$433,MATCH($C416,'PORTIFÓLIO'!$C$4:$C$433,0)),"")</f>
        <v/>
      </c>
      <c r="I416" s="257" t="n"/>
      <c r="J416" s="209">
        <f>I416*$B$2</f>
        <v/>
      </c>
      <c r="K416" s="248">
        <f t="array" ref="K416">IFERROR(I416*INDEX('PORTIFÓLIO'!$S$4:$S$433,MATCH($C416,'PORTIFÓLIO'!$C$4:$C$433,0)),"")</f>
        <v/>
      </c>
      <c r="L416" s="248">
        <f t="array" ref="L416">IFERROR(J416*INDEX('PORTIFÓLIO'!$S$4:$S$433,MATCH($C416,'PORTIFÓLIO'!$C$4:$C$433,0)),"")</f>
        <v/>
      </c>
      <c r="M416" s="177" t="n"/>
      <c r="N416" s="177" t="n"/>
      <c r="O416" s="177" t="n"/>
      <c r="P416" s="177" t="n"/>
      <c r="Q416" s="177" t="n"/>
      <c r="R416" s="177" t="n"/>
      <c r="S416" s="177" t="n"/>
      <c r="T416" s="177" t="n"/>
      <c r="U416" s="177" t="n"/>
      <c r="V416" s="177" t="n"/>
      <c r="W416" s="177" t="n"/>
    </row>
    <row r="417" outlineLevel="1" ht="15.75" customHeight="1" s="297">
      <c r="A417" s="190" t="n"/>
      <c r="B417" s="204" t="n"/>
      <c r="C417" s="191" t="n"/>
      <c r="D417" s="205">
        <f>IFERROR(VLOOKUP($C417,'PORTIFÓLIO'!C:V,2,0),"")</f>
        <v/>
      </c>
      <c r="E417" s="190">
        <f>IFERROR(VLOOKUP($C417,'PORTIFÓLIO'!C:V,3,0),"")</f>
        <v/>
      </c>
      <c r="F417" s="190">
        <f>IFERROR(VLOOKUP($C417,'PORTIFÓLIO'!C:V,4,0),"")</f>
        <v/>
      </c>
      <c r="G417" s="206">
        <f>IFERROR(VLOOKUP($C417,'PORTIFÓLIO'!C:V,5,0),"")</f>
        <v/>
      </c>
      <c r="H417" s="247">
        <f t="array" ref="H417">IFERROR(INDEX('PORTIFÓLIO'!$H$4:$H$433,MATCH($C417,'PORTIFÓLIO'!$C$4:$C$433,0)),"")</f>
        <v/>
      </c>
      <c r="I417" s="257" t="n"/>
      <c r="J417" s="209">
        <f>I417*$B$2</f>
        <v/>
      </c>
      <c r="K417" s="248">
        <f t="array" ref="K417">IFERROR(I417*INDEX('PORTIFÓLIO'!$S$4:$S$433,MATCH($C417,'PORTIFÓLIO'!$C$4:$C$433,0)),"")</f>
        <v/>
      </c>
      <c r="L417" s="248">
        <f t="array" ref="L417">IFERROR(J417*INDEX('PORTIFÓLIO'!$S$4:$S$433,MATCH($C417,'PORTIFÓLIO'!$C$4:$C$433,0)),"")</f>
        <v/>
      </c>
      <c r="M417" s="177" t="n"/>
      <c r="N417" s="177" t="n"/>
      <c r="O417" s="177" t="n"/>
      <c r="P417" s="177" t="n"/>
      <c r="Q417" s="177" t="n"/>
      <c r="R417" s="177" t="n"/>
      <c r="S417" s="177" t="n"/>
      <c r="T417" s="177" t="n"/>
      <c r="U417" s="177" t="n"/>
      <c r="V417" s="177" t="n"/>
      <c r="W417" s="177" t="n"/>
    </row>
    <row r="418" outlineLevel="1" ht="15.75" customHeight="1" s="297">
      <c r="A418" s="190" t="n"/>
      <c r="B418" s="204" t="n"/>
      <c r="C418" s="191" t="n"/>
      <c r="D418" s="205">
        <f>IFERROR(VLOOKUP($C418,'PORTIFÓLIO'!C:V,2,0),"")</f>
        <v/>
      </c>
      <c r="E418" s="190">
        <f>IFERROR(VLOOKUP($C418,'PORTIFÓLIO'!C:V,3,0),"")</f>
        <v/>
      </c>
      <c r="F418" s="190">
        <f>IFERROR(VLOOKUP($C418,'PORTIFÓLIO'!C:V,4,0),"")</f>
        <v/>
      </c>
      <c r="G418" s="206">
        <f>IFERROR(VLOOKUP($C418,'PORTIFÓLIO'!C:V,5,0),"")</f>
        <v/>
      </c>
      <c r="H418" s="247">
        <f t="array" ref="H418">IFERROR(INDEX('PORTIFÓLIO'!$H$4:$H$433,MATCH($C418,'PORTIFÓLIO'!$C$4:$C$433,0)),"")</f>
        <v/>
      </c>
      <c r="I418" s="253" t="n"/>
      <c r="J418" s="209">
        <f>I418*$B$2</f>
        <v/>
      </c>
      <c r="K418" s="248">
        <f t="array" ref="K418">IFERROR(I418*INDEX('PORTIFÓLIO'!$S$4:$S$433,MATCH($C418,'PORTIFÓLIO'!$C$4:$C$433,0)),"")</f>
        <v/>
      </c>
      <c r="L418" s="248">
        <f t="array" ref="L418">IFERROR(J418*INDEX('PORTIFÓLIO'!$S$4:$S$433,MATCH($C418,'PORTIFÓLIO'!$C$4:$C$433,0)),"")</f>
        <v/>
      </c>
      <c r="M418" s="177" t="n"/>
      <c r="N418" s="177" t="n"/>
      <c r="O418" s="177" t="n"/>
      <c r="P418" s="177" t="n"/>
      <c r="Q418" s="177" t="n"/>
      <c r="R418" s="177" t="n"/>
      <c r="S418" s="177" t="n"/>
      <c r="T418" s="177" t="n"/>
      <c r="U418" s="177" t="n"/>
      <c r="V418" s="177" t="n"/>
      <c r="W418" s="177" t="n"/>
    </row>
    <row r="419" outlineLevel="1" ht="15.75" customHeight="1" s="297">
      <c r="A419" s="190" t="n"/>
      <c r="B419" s="204" t="n"/>
      <c r="C419" s="191" t="n"/>
      <c r="D419" s="205">
        <f>IFERROR(VLOOKUP($C419,'PORTIFÓLIO'!C:V,2,0),"")</f>
        <v/>
      </c>
      <c r="E419" s="190">
        <f>IFERROR(VLOOKUP($C419,'PORTIFÓLIO'!C:V,3,0),"")</f>
        <v/>
      </c>
      <c r="F419" s="190">
        <f>IFERROR(VLOOKUP($C419,'PORTIFÓLIO'!C:V,4,0),"")</f>
        <v/>
      </c>
      <c r="G419" s="206">
        <f>IFERROR(VLOOKUP($C419,'PORTIFÓLIO'!C:V,5,0),"")</f>
        <v/>
      </c>
      <c r="H419" s="247">
        <f t="array" ref="H419">IFERROR(INDEX('PORTIFÓLIO'!$H$4:$H$433,MATCH($C419,'PORTIFÓLIO'!$C$4:$C$433,0)),"")</f>
        <v/>
      </c>
      <c r="I419" s="257" t="n"/>
      <c r="J419" s="209">
        <f>I419*$B$2</f>
        <v/>
      </c>
      <c r="K419" s="248">
        <f t="array" ref="K419">IFERROR(I419*INDEX('PORTIFÓLIO'!$S$4:$S$433,MATCH($C419,'PORTIFÓLIO'!$C$4:$C$433,0)),"")</f>
        <v/>
      </c>
      <c r="L419" s="248">
        <f t="array" ref="L419">IFERROR(J419*INDEX('PORTIFÓLIO'!$S$4:$S$433,MATCH($C419,'PORTIFÓLIO'!$C$4:$C$433,0)),"")</f>
        <v/>
      </c>
      <c r="M419" s="177" t="n"/>
      <c r="N419" s="177" t="n"/>
      <c r="O419" s="177" t="n"/>
      <c r="P419" s="177" t="n"/>
      <c r="Q419" s="177" t="n"/>
      <c r="R419" s="177" t="n"/>
      <c r="S419" s="177" t="n"/>
      <c r="T419" s="177" t="n"/>
      <c r="U419" s="177" t="n"/>
      <c r="V419" s="177" t="n"/>
      <c r="W419" s="177" t="n"/>
    </row>
    <row r="420" outlineLevel="1" ht="15.75" customHeight="1" s="297">
      <c r="A420" s="190" t="n"/>
      <c r="B420" s="204" t="n"/>
      <c r="C420" s="191" t="n"/>
      <c r="D420" s="205">
        <f>IFERROR(VLOOKUP($C420,'PORTIFÓLIO'!C:V,2,0),"")</f>
        <v/>
      </c>
      <c r="E420" s="190">
        <f>IFERROR(VLOOKUP($C420,'PORTIFÓLIO'!C:V,3,0),"")</f>
        <v/>
      </c>
      <c r="F420" s="190">
        <f>IFERROR(VLOOKUP($C420,'PORTIFÓLIO'!C:V,4,0),"")</f>
        <v/>
      </c>
      <c r="G420" s="206">
        <f>IFERROR(VLOOKUP($C420,'PORTIFÓLIO'!C:V,5,0),"")</f>
        <v/>
      </c>
      <c r="H420" s="247">
        <f t="array" ref="H420">IFERROR(INDEX('PORTIFÓLIO'!$H$4:$H$433,MATCH($C420,'PORTIFÓLIO'!$C$4:$C$433,0)),"")</f>
        <v/>
      </c>
      <c r="I420" s="257" t="n"/>
      <c r="J420" s="209">
        <f>I420*$B$2</f>
        <v/>
      </c>
      <c r="K420" s="248">
        <f t="array" ref="K420">IFERROR(I420*INDEX('PORTIFÓLIO'!$S$4:$S$433,MATCH($C420,'PORTIFÓLIO'!$C$4:$C$433,0)),"")</f>
        <v/>
      </c>
      <c r="L420" s="248">
        <f t="array" ref="L420">IFERROR(J420*INDEX('PORTIFÓLIO'!$S$4:$S$433,MATCH($C420,'PORTIFÓLIO'!$C$4:$C$433,0)),"")</f>
        <v/>
      </c>
      <c r="M420" s="177" t="n"/>
      <c r="N420" s="177" t="n"/>
      <c r="O420" s="177" t="n"/>
      <c r="P420" s="177" t="n"/>
      <c r="Q420" s="177" t="n"/>
      <c r="R420" s="177" t="n"/>
      <c r="S420" s="177" t="n"/>
      <c r="T420" s="177" t="n"/>
      <c r="U420" s="177" t="n"/>
      <c r="V420" s="177" t="n"/>
      <c r="W420" s="177" t="n"/>
    </row>
    <row r="421" outlineLevel="1" ht="15.75" customHeight="1" s="297">
      <c r="A421" s="190" t="n"/>
      <c r="B421" s="204" t="n"/>
      <c r="C421" s="191" t="n"/>
      <c r="D421" s="205">
        <f>IFERROR(VLOOKUP($C421,'PORTIFÓLIO'!C:V,2,0),"")</f>
        <v/>
      </c>
      <c r="E421" s="190">
        <f>IFERROR(VLOOKUP($C421,'PORTIFÓLIO'!C:V,3,0),"")</f>
        <v/>
      </c>
      <c r="F421" s="190">
        <f>IFERROR(VLOOKUP($C421,'PORTIFÓLIO'!C:V,4,0),"")</f>
        <v/>
      </c>
      <c r="G421" s="206">
        <f>IFERROR(VLOOKUP($C421,'PORTIFÓLIO'!C:V,5,0),"")</f>
        <v/>
      </c>
      <c r="H421" s="247">
        <f t="array" ref="H421">IFERROR(INDEX('PORTIFÓLIO'!$H$4:$H$433,MATCH($C421,'PORTIFÓLIO'!$C$4:$C$433,0)),"")</f>
        <v/>
      </c>
      <c r="I421" s="257" t="n"/>
      <c r="J421" s="209">
        <f>I421*$B$2</f>
        <v/>
      </c>
      <c r="K421" s="248">
        <f t="array" ref="K421">IFERROR(I421*INDEX('PORTIFÓLIO'!$S$4:$S$433,MATCH($C421,'PORTIFÓLIO'!$C$4:$C$433,0)),"")</f>
        <v/>
      </c>
      <c r="L421" s="248">
        <f t="array" ref="L421">IFERROR(J421*INDEX('PORTIFÓLIO'!$S$4:$S$433,MATCH($C421,'PORTIFÓLIO'!$C$4:$C$433,0)),"")</f>
        <v/>
      </c>
      <c r="M421" s="177" t="n"/>
      <c r="N421" s="177" t="n"/>
      <c r="O421" s="177" t="n"/>
      <c r="P421" s="177" t="n"/>
      <c r="Q421" s="177" t="n"/>
      <c r="R421" s="177" t="n"/>
      <c r="S421" s="177" t="n"/>
      <c r="T421" s="177" t="n"/>
      <c r="U421" s="177" t="n"/>
      <c r="V421" s="177" t="n"/>
      <c r="W421" s="177" t="n"/>
    </row>
    <row r="422" outlineLevel="1" ht="15.75" customHeight="1" s="297">
      <c r="A422" s="190" t="n"/>
      <c r="B422" s="204" t="n"/>
      <c r="C422" s="191" t="n"/>
      <c r="D422" s="205">
        <f>IFERROR(VLOOKUP($C422,'PORTIFÓLIO'!C:V,2,0),"")</f>
        <v/>
      </c>
      <c r="E422" s="190">
        <f>IFERROR(VLOOKUP($C422,'PORTIFÓLIO'!C:V,3,0),"")</f>
        <v/>
      </c>
      <c r="F422" s="190">
        <f>IFERROR(VLOOKUP($C422,'PORTIFÓLIO'!C:V,4,0),"")</f>
        <v/>
      </c>
      <c r="G422" s="206">
        <f>IFERROR(VLOOKUP($C422,'PORTIFÓLIO'!C:V,5,0),"")</f>
        <v/>
      </c>
      <c r="H422" s="247">
        <f t="array" ref="H422">IFERROR(INDEX('PORTIFÓLIO'!$H$4:$H$433,MATCH($C422,'PORTIFÓLIO'!$C$4:$C$433,0)),"")</f>
        <v/>
      </c>
      <c r="I422" s="257" t="n"/>
      <c r="J422" s="209">
        <f>I422*$B$2</f>
        <v/>
      </c>
      <c r="K422" s="248">
        <f t="array" ref="K422">IFERROR(I422*INDEX('PORTIFÓLIO'!$S$4:$S$433,MATCH($C422,'PORTIFÓLIO'!$C$4:$C$433,0)),"")</f>
        <v/>
      </c>
      <c r="L422" s="248">
        <f t="array" ref="L422">IFERROR(J422*INDEX('PORTIFÓLIO'!$S$4:$S$433,MATCH($C422,'PORTIFÓLIO'!$C$4:$C$433,0)),"")</f>
        <v/>
      </c>
      <c r="M422" s="177" t="n"/>
      <c r="N422" s="177" t="n"/>
      <c r="O422" s="177" t="n"/>
      <c r="P422" s="177" t="n"/>
      <c r="Q422" s="177" t="n"/>
      <c r="R422" s="177" t="n"/>
      <c r="S422" s="177" t="n"/>
      <c r="T422" s="177" t="n"/>
      <c r="U422" s="177" t="n"/>
      <c r="V422" s="177" t="n"/>
      <c r="W422" s="177" t="n"/>
    </row>
    <row r="423" outlineLevel="1" ht="15.75" customHeight="1" s="297">
      <c r="A423" s="190" t="n"/>
      <c r="B423" s="204" t="n"/>
      <c r="C423" s="191" t="n"/>
      <c r="D423" s="205">
        <f>IFERROR(VLOOKUP($C423,'PORTIFÓLIO'!C:V,2,0),"")</f>
        <v/>
      </c>
      <c r="E423" s="190">
        <f>IFERROR(VLOOKUP($C423,'PORTIFÓLIO'!C:V,3,0),"")</f>
        <v/>
      </c>
      <c r="F423" s="190">
        <f>IFERROR(VLOOKUP($C423,'PORTIFÓLIO'!C:V,4,0),"")</f>
        <v/>
      </c>
      <c r="G423" s="206">
        <f>IFERROR(VLOOKUP($C423,'PORTIFÓLIO'!C:V,5,0),"")</f>
        <v/>
      </c>
      <c r="H423" s="247">
        <f t="array" ref="H423">IFERROR(INDEX('PORTIFÓLIO'!$H$4:$H$433,MATCH($C423,'PORTIFÓLIO'!$C$4:$C$433,0)),"")</f>
        <v/>
      </c>
      <c r="I423" s="257" t="n"/>
      <c r="J423" s="209">
        <f>I423*$B$2</f>
        <v/>
      </c>
      <c r="K423" s="248">
        <f t="array" ref="K423">IFERROR(I423*INDEX('PORTIFÓLIO'!$S$4:$S$433,MATCH($C423,'PORTIFÓLIO'!$C$4:$C$433,0)),"")</f>
        <v/>
      </c>
      <c r="L423" s="248">
        <f t="array" ref="L423">IFERROR(J423*INDEX('PORTIFÓLIO'!$S$4:$S$433,MATCH($C423,'PORTIFÓLIO'!$C$4:$C$433,0)),"")</f>
        <v/>
      </c>
      <c r="M423" s="177" t="n"/>
      <c r="N423" s="177" t="n"/>
      <c r="O423" s="177" t="n"/>
      <c r="P423" s="177" t="n"/>
      <c r="Q423" s="177" t="n"/>
      <c r="R423" s="177" t="n"/>
      <c r="S423" s="177" t="n"/>
      <c r="T423" s="177" t="n"/>
      <c r="U423" s="177" t="n"/>
      <c r="V423" s="177" t="n"/>
      <c r="W423" s="177" t="n"/>
    </row>
    <row r="424" outlineLevel="1" ht="15.75" customHeight="1" s="297">
      <c r="A424" s="190" t="n"/>
      <c r="B424" s="204" t="n"/>
      <c r="C424" s="191" t="n"/>
      <c r="D424" s="205">
        <f>IFERROR(VLOOKUP($C424,'PORTIFÓLIO'!C:V,2,0),"")</f>
        <v/>
      </c>
      <c r="E424" s="190">
        <f>IFERROR(VLOOKUP($C424,'PORTIFÓLIO'!C:V,3,0),"")</f>
        <v/>
      </c>
      <c r="F424" s="190">
        <f>IFERROR(VLOOKUP($C424,'PORTIFÓLIO'!C:V,4,0),"")</f>
        <v/>
      </c>
      <c r="G424" s="206">
        <f>IFERROR(VLOOKUP($C424,'PORTIFÓLIO'!C:V,5,0),"")</f>
        <v/>
      </c>
      <c r="H424" s="247">
        <f t="array" ref="H424">IFERROR(INDEX('PORTIFÓLIO'!$H$4:$H$433,MATCH($C424,'PORTIFÓLIO'!$C$4:$C$433,0)),"")</f>
        <v/>
      </c>
      <c r="I424" s="257" t="n"/>
      <c r="J424" s="209">
        <f>I424*$B$2</f>
        <v/>
      </c>
      <c r="K424" s="248">
        <f t="array" ref="K424">IFERROR(I424*INDEX('PORTIFÓLIO'!$S$4:$S$433,MATCH($C424,'PORTIFÓLIO'!$C$4:$C$433,0)),"")</f>
        <v/>
      </c>
      <c r="L424" s="248">
        <f t="array" ref="L424">IFERROR(J424*INDEX('PORTIFÓLIO'!$S$4:$S$433,MATCH($C424,'PORTIFÓLIO'!$C$4:$C$433,0)),"")</f>
        <v/>
      </c>
      <c r="M424" s="177" t="n"/>
      <c r="N424" s="177" t="n"/>
      <c r="O424" s="177" t="n"/>
      <c r="P424" s="177" t="n"/>
      <c r="Q424" s="177" t="n"/>
      <c r="R424" s="177" t="n"/>
      <c r="S424" s="177" t="n"/>
      <c r="T424" s="177" t="n"/>
      <c r="U424" s="177" t="n"/>
      <c r="V424" s="177" t="n"/>
      <c r="W424" s="177" t="n"/>
    </row>
    <row r="425" outlineLevel="1" ht="15.75" customHeight="1" s="297">
      <c r="A425" s="190" t="n"/>
      <c r="B425" s="238" t="n"/>
      <c r="C425" s="190" t="n"/>
      <c r="D425" s="205">
        <f>IFERROR(VLOOKUP($C425,'PORTIFÓLIO'!C:V,2,0),"")</f>
        <v/>
      </c>
      <c r="E425" s="190">
        <f>IFERROR(VLOOKUP($C425,'PORTIFÓLIO'!C:V,3,0),"")</f>
        <v/>
      </c>
      <c r="F425" s="190">
        <f>IFERROR(VLOOKUP($C425,'PORTIFÓLIO'!C:V,4,0),"")</f>
        <v/>
      </c>
      <c r="G425" s="206">
        <f>IFERROR(VLOOKUP($C425,'PORTIFÓLIO'!C:V,5,0),"")</f>
        <v/>
      </c>
      <c r="H425" s="247">
        <f t="array" ref="H425">IFERROR(INDEX('PORTIFÓLIO'!$H$4:$H$433,MATCH($C425,'PORTIFÓLIO'!$C$4:$C$433,0)),"")</f>
        <v/>
      </c>
      <c r="I425" s="257" t="n"/>
      <c r="J425" s="209">
        <f>I425*$B$2</f>
        <v/>
      </c>
      <c r="K425" s="248">
        <f t="array" ref="K425">IFERROR(I425*INDEX('PORTIFÓLIO'!$S$4:$S$433,MATCH($C425,'PORTIFÓLIO'!$C$4:$C$433,0)),"")</f>
        <v/>
      </c>
      <c r="L425" s="248">
        <f t="array" ref="L425">IFERROR(J425*INDEX('PORTIFÓLIO'!$S$4:$S$433,MATCH($C425,'PORTIFÓLIO'!$C$4:$C$433,0)),"")</f>
        <v/>
      </c>
      <c r="M425" s="177" t="n"/>
      <c r="N425" s="177" t="n"/>
      <c r="O425" s="177" t="n"/>
      <c r="P425" s="177" t="n"/>
      <c r="Q425" s="177" t="n"/>
      <c r="R425" s="177" t="n"/>
      <c r="S425" s="177" t="n"/>
      <c r="T425" s="177" t="n"/>
      <c r="U425" s="177" t="n"/>
      <c r="V425" s="177" t="n"/>
      <c r="W425" s="177" t="n"/>
    </row>
    <row r="426" outlineLevel="1" ht="15.75" customHeight="1" s="297">
      <c r="A426" s="190" t="n"/>
      <c r="B426" s="238" t="n"/>
      <c r="C426" s="190" t="n"/>
      <c r="D426" s="205">
        <f>IFERROR(VLOOKUP($C426,'PORTIFÓLIO'!C:V,2,0),"")</f>
        <v/>
      </c>
      <c r="E426" s="190">
        <f>IFERROR(VLOOKUP($C426,'PORTIFÓLIO'!C:V,3,0),"")</f>
        <v/>
      </c>
      <c r="F426" s="190">
        <f>IFERROR(VLOOKUP($C426,'PORTIFÓLIO'!C:V,4,0),"")</f>
        <v/>
      </c>
      <c r="G426" s="206">
        <f>IFERROR(VLOOKUP($C426,'PORTIFÓLIO'!C:V,5,0),"")</f>
        <v/>
      </c>
      <c r="H426" s="247">
        <f t="array" ref="H426">IFERROR(INDEX('PORTIFÓLIO'!$H$4:$H$433,MATCH($C426,'PORTIFÓLIO'!$C$4:$C$433,0)),"")</f>
        <v/>
      </c>
      <c r="I426" s="257" t="n"/>
      <c r="J426" s="209">
        <f>I426*$B$2</f>
        <v/>
      </c>
      <c r="K426" s="248">
        <f t="array" ref="K426">IFERROR(I426*INDEX('PORTIFÓLIO'!$S$4:$S$433,MATCH($C426,'PORTIFÓLIO'!$C$4:$C$433,0)),"")</f>
        <v/>
      </c>
      <c r="L426" s="248">
        <f t="array" ref="L426">IFERROR(J426*INDEX('PORTIFÓLIO'!$S$4:$S$433,MATCH($C426,'PORTIFÓLIO'!$C$4:$C$433,0)),"")</f>
        <v/>
      </c>
      <c r="M426" s="177" t="n"/>
      <c r="N426" s="177" t="n"/>
      <c r="O426" s="177" t="n"/>
      <c r="P426" s="177" t="n"/>
      <c r="Q426" s="177" t="n"/>
      <c r="R426" s="177" t="n"/>
      <c r="S426" s="177" t="n"/>
      <c r="T426" s="177" t="n"/>
      <c r="U426" s="177" t="n"/>
      <c r="V426" s="177" t="n"/>
      <c r="W426" s="177" t="n"/>
    </row>
    <row r="427" ht="15.75" customHeight="1" s="297">
      <c r="A427" s="221" t="inlineStr">
        <is>
          <t>OPERAÇÃO 12</t>
        </is>
      </c>
      <c r="B427" s="197" t="n"/>
      <c r="C427" s="196" t="n"/>
      <c r="D427" s="198" t="n"/>
      <c r="E427" s="196" t="n"/>
      <c r="F427" s="196" t="n"/>
      <c r="G427" s="199" t="n"/>
      <c r="H427" s="199" t="n"/>
      <c r="I427" s="252" t="n"/>
      <c r="J427" s="202" t="n"/>
      <c r="K427" s="203">
        <f>SUBTOTAL(9,K428:K441)</f>
        <v/>
      </c>
      <c r="L427" s="203">
        <f>SUBTOTAL(9,L428:L441)</f>
        <v/>
      </c>
      <c r="M427" s="177" t="n"/>
      <c r="N427" s="177" t="n"/>
      <c r="O427" s="177" t="n"/>
      <c r="P427" s="177" t="n"/>
      <c r="Q427" s="177" t="n"/>
      <c r="R427" s="177" t="n"/>
      <c r="S427" s="177" t="n"/>
      <c r="T427" s="177" t="n"/>
      <c r="U427" s="177" t="n"/>
      <c r="V427" s="177" t="n"/>
      <c r="W427" s="177" t="n"/>
    </row>
    <row r="428" outlineLevel="1" ht="15.75" customHeight="1" s="297">
      <c r="A428" s="191" t="n"/>
      <c r="B428" s="204" t="n"/>
      <c r="C428" s="191" t="n"/>
      <c r="D428" s="205">
        <f>IFERROR(VLOOKUP($C428,'PORTIFÓLIO'!C:V,2,0),"")</f>
        <v/>
      </c>
      <c r="E428" s="190">
        <f>IFERROR(VLOOKUP($C428,'PORTIFÓLIO'!C:V,3,0),"")</f>
        <v/>
      </c>
      <c r="F428" s="190">
        <f>IFERROR(VLOOKUP($C428,'PORTIFÓLIO'!C:V,4,0),"")</f>
        <v/>
      </c>
      <c r="G428" s="206">
        <f>IFERROR(VLOOKUP($C428,'PORTIFÓLIO'!C:V,5,0),"")</f>
        <v/>
      </c>
      <c r="H428" s="247">
        <f t="array" ref="H428">IFERROR(INDEX('PORTIFÓLIO'!$H$4:$H$433,MATCH($C428,'PORTIFÓLIO'!$C$4:$C$433,0)),"")</f>
        <v/>
      </c>
      <c r="I428" s="257" t="n"/>
      <c r="J428" s="209">
        <f>I428*$B$2</f>
        <v/>
      </c>
      <c r="K428" s="248">
        <f t="array" ref="K428">IFERROR(I428*INDEX('PORTIFÓLIO'!$S$4:$S$433,MATCH($C428,'PORTIFÓLIO'!$C$4:$C$433,0)),"")</f>
        <v/>
      </c>
      <c r="L428" s="248">
        <f t="array" ref="L428">IFERROR(J428*INDEX('PORTIFÓLIO'!$S$4:$S$433,MATCH($C428,'PORTIFÓLIO'!$C$4:$C$433,0)),"")</f>
        <v/>
      </c>
      <c r="M428" s="177" t="n"/>
      <c r="N428" s="177" t="n"/>
      <c r="O428" s="177" t="n"/>
      <c r="P428" s="177" t="n"/>
      <c r="Q428" s="177" t="n"/>
      <c r="R428" s="177" t="n"/>
      <c r="S428" s="177" t="n"/>
      <c r="T428" s="177" t="n"/>
      <c r="U428" s="177" t="n"/>
      <c r="V428" s="177" t="n"/>
      <c r="W428" s="177" t="n"/>
    </row>
    <row r="429" outlineLevel="1" ht="15.75" customHeight="1" s="297">
      <c r="A429" s="190" t="n"/>
      <c r="B429" s="204" t="n"/>
      <c r="C429" s="191" t="n"/>
      <c r="D429" s="205">
        <f>IFERROR(VLOOKUP($C429,'PORTIFÓLIO'!C:V,2,0),"")</f>
        <v/>
      </c>
      <c r="E429" s="190">
        <f>IFERROR(VLOOKUP($C429,'PORTIFÓLIO'!C:V,3,0),"")</f>
        <v/>
      </c>
      <c r="F429" s="190">
        <f>IFERROR(VLOOKUP($C429,'PORTIFÓLIO'!C:V,4,0),"")</f>
        <v/>
      </c>
      <c r="G429" s="206">
        <f>IFERROR(VLOOKUP($C429,'PORTIFÓLIO'!C:V,5,0),"")</f>
        <v/>
      </c>
      <c r="H429" s="247">
        <f t="array" ref="H429">IFERROR(INDEX('PORTIFÓLIO'!$H$4:$H$433,MATCH($C429,'PORTIFÓLIO'!$C$4:$C$433,0)),"")</f>
        <v/>
      </c>
      <c r="I429" s="257" t="n"/>
      <c r="J429" s="209">
        <f>I429*$B$2</f>
        <v/>
      </c>
      <c r="K429" s="248">
        <f t="array" ref="K429">IFERROR(I429*INDEX('PORTIFÓLIO'!$S$4:$S$433,MATCH($C429,'PORTIFÓLIO'!$C$4:$C$433,0)),"")</f>
        <v/>
      </c>
      <c r="L429" s="248">
        <f t="array" ref="L429">IFERROR(J429*INDEX('PORTIFÓLIO'!$S$4:$S$433,MATCH($C429,'PORTIFÓLIO'!$C$4:$C$433,0)),"")</f>
        <v/>
      </c>
      <c r="M429" s="177" t="n"/>
      <c r="N429" s="177" t="n"/>
      <c r="O429" s="177" t="n"/>
      <c r="P429" s="177" t="n"/>
      <c r="Q429" s="177" t="n"/>
      <c r="R429" s="177" t="n"/>
      <c r="S429" s="177" t="n"/>
      <c r="T429" s="177" t="n"/>
      <c r="U429" s="177" t="n"/>
      <c r="V429" s="177" t="n"/>
      <c r="W429" s="177" t="n"/>
    </row>
    <row r="430" outlineLevel="1" ht="15.75" customHeight="1" s="297">
      <c r="A430" s="190" t="n"/>
      <c r="B430" s="204" t="n"/>
      <c r="C430" s="191" t="n"/>
      <c r="D430" s="205">
        <f>IFERROR(VLOOKUP($C430,'PORTIFÓLIO'!C:V,2,0),"")</f>
        <v/>
      </c>
      <c r="E430" s="190">
        <f>IFERROR(VLOOKUP($C430,'PORTIFÓLIO'!C:V,3,0),"")</f>
        <v/>
      </c>
      <c r="F430" s="190">
        <f>IFERROR(VLOOKUP($C430,'PORTIFÓLIO'!C:V,4,0),"")</f>
        <v/>
      </c>
      <c r="G430" s="206">
        <f>IFERROR(VLOOKUP($C430,'PORTIFÓLIO'!C:V,5,0),"")</f>
        <v/>
      </c>
      <c r="H430" s="247">
        <f t="array" ref="H430">IFERROR(INDEX('PORTIFÓLIO'!$H$4:$H$433,MATCH($C430,'PORTIFÓLIO'!$C$4:$C$433,0)),"")</f>
        <v/>
      </c>
      <c r="I430" s="257" t="n"/>
      <c r="J430" s="209">
        <f>I430*$B$2</f>
        <v/>
      </c>
      <c r="K430" s="248">
        <f t="array" ref="K430">IFERROR(I430*INDEX('PORTIFÓLIO'!$S$4:$S$433,MATCH($C430,'PORTIFÓLIO'!$C$4:$C$433,0)),"")</f>
        <v/>
      </c>
      <c r="L430" s="248">
        <f t="array" ref="L430">IFERROR(J430*INDEX('PORTIFÓLIO'!$S$4:$S$433,MATCH($C430,'PORTIFÓLIO'!$C$4:$C$433,0)),"")</f>
        <v/>
      </c>
      <c r="M430" s="177" t="n"/>
      <c r="N430" s="177" t="n"/>
      <c r="O430" s="177" t="n"/>
      <c r="P430" s="177" t="n"/>
      <c r="Q430" s="177" t="n"/>
      <c r="R430" s="177" t="n"/>
      <c r="S430" s="177" t="n"/>
      <c r="T430" s="177" t="n"/>
      <c r="U430" s="177" t="n"/>
      <c r="V430" s="177" t="n"/>
      <c r="W430" s="177" t="n"/>
    </row>
    <row r="431" outlineLevel="1" ht="15.75" customHeight="1" s="297">
      <c r="A431" s="190" t="n"/>
      <c r="B431" s="204" t="n"/>
      <c r="C431" s="191" t="n"/>
      <c r="D431" s="205">
        <f>IFERROR(VLOOKUP($C431,'PORTIFÓLIO'!C:V,2,0),"")</f>
        <v/>
      </c>
      <c r="E431" s="190">
        <f>IFERROR(VLOOKUP($C431,'PORTIFÓLIO'!C:V,3,0),"")</f>
        <v/>
      </c>
      <c r="F431" s="190">
        <f>IFERROR(VLOOKUP($C431,'PORTIFÓLIO'!C:V,4,0),"")</f>
        <v/>
      </c>
      <c r="G431" s="206">
        <f>IFERROR(VLOOKUP($C431,'PORTIFÓLIO'!C:V,5,0),"")</f>
        <v/>
      </c>
      <c r="H431" s="247">
        <f t="array" ref="H431">IFERROR(INDEX('PORTIFÓLIO'!$H$4:$H$433,MATCH($C431,'PORTIFÓLIO'!$C$4:$C$433,0)),"")</f>
        <v/>
      </c>
      <c r="I431" s="257" t="n"/>
      <c r="J431" s="209">
        <f>I431*$B$2</f>
        <v/>
      </c>
      <c r="K431" s="248">
        <f t="array" ref="K431">IFERROR(I431*INDEX('PORTIFÓLIO'!$S$4:$S$433,MATCH($C431,'PORTIFÓLIO'!$C$4:$C$433,0)),"")</f>
        <v/>
      </c>
      <c r="L431" s="248">
        <f t="array" ref="L431">IFERROR(J431*INDEX('PORTIFÓLIO'!$S$4:$S$433,MATCH($C431,'PORTIFÓLIO'!$C$4:$C$433,0)),"")</f>
        <v/>
      </c>
      <c r="M431" s="177" t="n"/>
      <c r="N431" s="177" t="n"/>
      <c r="O431" s="177" t="n"/>
      <c r="P431" s="177" t="n"/>
      <c r="Q431" s="177" t="n"/>
      <c r="R431" s="177" t="n"/>
      <c r="S431" s="177" t="n"/>
      <c r="T431" s="177" t="n"/>
      <c r="U431" s="177" t="n"/>
      <c r="V431" s="177" t="n"/>
      <c r="W431" s="177" t="n"/>
    </row>
    <row r="432" outlineLevel="1" ht="15.75" customHeight="1" s="297">
      <c r="A432" s="190" t="n"/>
      <c r="B432" s="204" t="n"/>
      <c r="C432" s="191" t="n"/>
      <c r="D432" s="205">
        <f>IFERROR(VLOOKUP($C432,'PORTIFÓLIO'!C:V,2,0),"")</f>
        <v/>
      </c>
      <c r="E432" s="190">
        <f>IFERROR(VLOOKUP($C432,'PORTIFÓLIO'!C:V,3,0),"")</f>
        <v/>
      </c>
      <c r="F432" s="190">
        <f>IFERROR(VLOOKUP($C432,'PORTIFÓLIO'!C:V,4,0),"")</f>
        <v/>
      </c>
      <c r="G432" s="206">
        <f>IFERROR(VLOOKUP($C432,'PORTIFÓLIO'!C:V,5,0),"")</f>
        <v/>
      </c>
      <c r="H432" s="247">
        <f t="array" ref="H432">IFERROR(INDEX('PORTIFÓLIO'!$H$4:$H$433,MATCH($C432,'PORTIFÓLIO'!$C$4:$C$433,0)),"")</f>
        <v/>
      </c>
      <c r="I432" s="257" t="n"/>
      <c r="J432" s="209">
        <f>I432*$B$2</f>
        <v/>
      </c>
      <c r="K432" s="248">
        <f t="array" ref="K432">IFERROR(I432*INDEX('PORTIFÓLIO'!$S$4:$S$433,MATCH($C432,'PORTIFÓLIO'!$C$4:$C$433,0)),"")</f>
        <v/>
      </c>
      <c r="L432" s="248">
        <f t="array" ref="L432">IFERROR(J432*INDEX('PORTIFÓLIO'!$S$4:$S$433,MATCH($C432,'PORTIFÓLIO'!$C$4:$C$433,0)),"")</f>
        <v/>
      </c>
      <c r="M432" s="177" t="n"/>
      <c r="N432" s="177" t="n"/>
      <c r="O432" s="177" t="n"/>
      <c r="P432" s="177" t="n"/>
      <c r="Q432" s="177" t="n"/>
      <c r="R432" s="177" t="n"/>
      <c r="S432" s="177" t="n"/>
      <c r="T432" s="177" t="n"/>
      <c r="U432" s="177" t="n"/>
      <c r="V432" s="177" t="n"/>
      <c r="W432" s="177" t="n"/>
    </row>
    <row r="433" outlineLevel="1" ht="15.75" customHeight="1" s="297">
      <c r="A433" s="190" t="n"/>
      <c r="B433" s="204" t="n"/>
      <c r="C433" s="191" t="n"/>
      <c r="D433" s="205">
        <f>IFERROR(VLOOKUP($C433,'PORTIFÓLIO'!C:V,2,0),"")</f>
        <v/>
      </c>
      <c r="E433" s="190">
        <f>IFERROR(VLOOKUP($C433,'PORTIFÓLIO'!C:V,3,0),"")</f>
        <v/>
      </c>
      <c r="F433" s="190">
        <f>IFERROR(VLOOKUP($C433,'PORTIFÓLIO'!C:V,4,0),"")</f>
        <v/>
      </c>
      <c r="G433" s="206">
        <f>IFERROR(VLOOKUP($C433,'PORTIFÓLIO'!C:V,5,0),"")</f>
        <v/>
      </c>
      <c r="H433" s="247">
        <f t="array" ref="H433">IFERROR(INDEX('PORTIFÓLIO'!$H$4:$H$433,MATCH($C433,'PORTIFÓLIO'!$C$4:$C$433,0)),"")</f>
        <v/>
      </c>
      <c r="I433" s="257" t="n"/>
      <c r="J433" s="209">
        <f>I433*$B$2</f>
        <v/>
      </c>
      <c r="K433" s="248">
        <f t="array" ref="K433">IFERROR(I433*INDEX('PORTIFÓLIO'!$S$4:$S$433,MATCH($C433,'PORTIFÓLIO'!$C$4:$C$433,0)),"")</f>
        <v/>
      </c>
      <c r="L433" s="248">
        <f t="array" ref="L433">IFERROR(J433*INDEX('PORTIFÓLIO'!$S$4:$S$433,MATCH($C433,'PORTIFÓLIO'!$C$4:$C$433,0)),"")</f>
        <v/>
      </c>
      <c r="M433" s="177" t="n"/>
      <c r="N433" s="177" t="n"/>
      <c r="O433" s="177" t="n"/>
      <c r="P433" s="177" t="n"/>
      <c r="Q433" s="177" t="n"/>
      <c r="R433" s="177" t="n"/>
      <c r="S433" s="177" t="n"/>
      <c r="T433" s="177" t="n"/>
      <c r="U433" s="177" t="n"/>
      <c r="V433" s="177" t="n"/>
      <c r="W433" s="177" t="n"/>
    </row>
    <row r="434" outlineLevel="1" ht="15.75" customHeight="1" s="297">
      <c r="A434" s="190" t="n"/>
      <c r="B434" s="204" t="n"/>
      <c r="C434" s="191" t="n"/>
      <c r="D434" s="205">
        <f>IFERROR(VLOOKUP($C434,'PORTIFÓLIO'!C:V,2,0),"")</f>
        <v/>
      </c>
      <c r="E434" s="190">
        <f>IFERROR(VLOOKUP($C434,'PORTIFÓLIO'!C:V,3,0),"")</f>
        <v/>
      </c>
      <c r="F434" s="190">
        <f>IFERROR(VLOOKUP($C434,'PORTIFÓLIO'!C:V,4,0),"")</f>
        <v/>
      </c>
      <c r="G434" s="206">
        <f>IFERROR(VLOOKUP($C434,'PORTIFÓLIO'!C:V,5,0),"")</f>
        <v/>
      </c>
      <c r="H434" s="247">
        <f t="array" ref="H434">IFERROR(INDEX('PORTIFÓLIO'!$H$4:$H$433,MATCH($C434,'PORTIFÓLIO'!$C$4:$C$433,0)),"")</f>
        <v/>
      </c>
      <c r="I434" s="257" t="n"/>
      <c r="J434" s="209">
        <f>I434*$B$2</f>
        <v/>
      </c>
      <c r="K434" s="248">
        <f t="array" ref="K434">IFERROR(I434*INDEX('PORTIFÓLIO'!$S$4:$S$433,MATCH($C434,'PORTIFÓLIO'!$C$4:$C$433,0)),"")</f>
        <v/>
      </c>
      <c r="L434" s="248">
        <f t="array" ref="L434">IFERROR(J434*INDEX('PORTIFÓLIO'!$S$4:$S$433,MATCH($C434,'PORTIFÓLIO'!$C$4:$C$433,0)),"")</f>
        <v/>
      </c>
      <c r="M434" s="177" t="n"/>
      <c r="N434" s="177" t="n"/>
      <c r="O434" s="177" t="n"/>
      <c r="P434" s="177" t="n"/>
      <c r="Q434" s="177" t="n"/>
      <c r="R434" s="177" t="n"/>
      <c r="S434" s="177" t="n"/>
      <c r="T434" s="177" t="n"/>
      <c r="U434" s="177" t="n"/>
      <c r="V434" s="177" t="n"/>
      <c r="W434" s="177" t="n"/>
    </row>
    <row r="435" outlineLevel="1" ht="15.75" customHeight="1" s="297">
      <c r="A435" s="190" t="n"/>
      <c r="B435" s="204" t="n"/>
      <c r="C435" s="191" t="n"/>
      <c r="D435" s="205">
        <f>IFERROR(VLOOKUP($C435,'PORTIFÓLIO'!C:V,2,0),"")</f>
        <v/>
      </c>
      <c r="E435" s="190">
        <f>IFERROR(VLOOKUP($C435,'PORTIFÓLIO'!C:V,3,0),"")</f>
        <v/>
      </c>
      <c r="F435" s="190">
        <f>IFERROR(VLOOKUP($C435,'PORTIFÓLIO'!C:V,4,0),"")</f>
        <v/>
      </c>
      <c r="G435" s="206">
        <f>IFERROR(VLOOKUP($C435,'PORTIFÓLIO'!C:V,5,0),"")</f>
        <v/>
      </c>
      <c r="H435" s="247">
        <f t="array" ref="H435">IFERROR(INDEX('PORTIFÓLIO'!$H$4:$H$433,MATCH($C435,'PORTIFÓLIO'!$C$4:$C$433,0)),"")</f>
        <v/>
      </c>
      <c r="I435" s="257" t="n"/>
      <c r="J435" s="209">
        <f>I435*$B$2</f>
        <v/>
      </c>
      <c r="K435" s="248">
        <f t="array" ref="K435">IFERROR(I435*INDEX('PORTIFÓLIO'!$S$4:$S$433,MATCH($C435,'PORTIFÓLIO'!$C$4:$C$433,0)),"")</f>
        <v/>
      </c>
      <c r="L435" s="248">
        <f t="array" ref="L435">IFERROR(J435*INDEX('PORTIFÓLIO'!$S$4:$S$433,MATCH($C435,'PORTIFÓLIO'!$C$4:$C$433,0)),"")</f>
        <v/>
      </c>
      <c r="M435" s="177" t="n"/>
      <c r="N435" s="177" t="n"/>
      <c r="O435" s="177" t="n"/>
      <c r="P435" s="177" t="n"/>
      <c r="Q435" s="177" t="n"/>
      <c r="R435" s="177" t="n"/>
      <c r="S435" s="177" t="n"/>
      <c r="T435" s="177" t="n"/>
      <c r="U435" s="177" t="n"/>
      <c r="V435" s="177" t="n"/>
      <c r="W435" s="177" t="n"/>
    </row>
    <row r="436" outlineLevel="1" ht="15.75" customHeight="1" s="297">
      <c r="A436" s="190" t="n"/>
      <c r="B436" s="204" t="n"/>
      <c r="C436" s="191" t="n"/>
      <c r="D436" s="205">
        <f>IFERROR(VLOOKUP($C436,'PORTIFÓLIO'!C:V,2,0),"")</f>
        <v/>
      </c>
      <c r="E436" s="190">
        <f>IFERROR(VLOOKUP($C436,'PORTIFÓLIO'!C:V,3,0),"")</f>
        <v/>
      </c>
      <c r="F436" s="190">
        <f>IFERROR(VLOOKUP($C436,'PORTIFÓLIO'!C:V,4,0),"")</f>
        <v/>
      </c>
      <c r="G436" s="206">
        <f>IFERROR(VLOOKUP($C436,'PORTIFÓLIO'!C:V,5,0),"")</f>
        <v/>
      </c>
      <c r="H436" s="247">
        <f t="array" ref="H436">IFERROR(INDEX('PORTIFÓLIO'!$H$4:$H$433,MATCH($C436,'PORTIFÓLIO'!$C$4:$C$433,0)),"")</f>
        <v/>
      </c>
      <c r="I436" s="257" t="n"/>
      <c r="J436" s="209">
        <f>I436*$B$2</f>
        <v/>
      </c>
      <c r="K436" s="248">
        <f t="array" ref="K436">IFERROR(I436*INDEX('PORTIFÓLIO'!$S$4:$S$433,MATCH($C436,'PORTIFÓLIO'!$C$4:$C$433,0)),"")</f>
        <v/>
      </c>
      <c r="L436" s="248">
        <f t="array" ref="L436">IFERROR(J436*INDEX('PORTIFÓLIO'!$S$4:$S$433,MATCH($C436,'PORTIFÓLIO'!$C$4:$C$433,0)),"")</f>
        <v/>
      </c>
      <c r="M436" s="177" t="n"/>
      <c r="N436" s="177" t="n"/>
      <c r="O436" s="177" t="n"/>
      <c r="P436" s="177" t="n"/>
      <c r="Q436" s="177" t="n"/>
      <c r="R436" s="177" t="n"/>
      <c r="S436" s="177" t="n"/>
      <c r="T436" s="177" t="n"/>
      <c r="U436" s="177" t="n"/>
      <c r="V436" s="177" t="n"/>
      <c r="W436" s="177" t="n"/>
    </row>
    <row r="437" outlineLevel="1" ht="15.75" customHeight="1" s="297">
      <c r="A437" s="190" t="n"/>
      <c r="B437" s="204" t="n"/>
      <c r="C437" s="191" t="n"/>
      <c r="D437" s="205">
        <f>IFERROR(VLOOKUP($C437,'PORTIFÓLIO'!C:V,2,0),"")</f>
        <v/>
      </c>
      <c r="E437" s="190">
        <f>IFERROR(VLOOKUP($C437,'PORTIFÓLIO'!C:V,3,0),"")</f>
        <v/>
      </c>
      <c r="F437" s="190">
        <f>IFERROR(VLOOKUP($C437,'PORTIFÓLIO'!C:V,4,0),"")</f>
        <v/>
      </c>
      <c r="G437" s="206">
        <f>IFERROR(VLOOKUP($C437,'PORTIFÓLIO'!C:V,5,0),"")</f>
        <v/>
      </c>
      <c r="H437" s="247">
        <f t="array" ref="H437">IFERROR(INDEX('PORTIFÓLIO'!$H$4:$H$433,MATCH($C437,'PORTIFÓLIO'!$C$4:$C$433,0)),"")</f>
        <v/>
      </c>
      <c r="I437" s="257" t="n"/>
      <c r="J437" s="209">
        <f>I437*$B$2</f>
        <v/>
      </c>
      <c r="K437" s="248">
        <f t="array" ref="K437">IFERROR(I437*INDEX('PORTIFÓLIO'!$S$4:$S$433,MATCH($C437,'PORTIFÓLIO'!$C$4:$C$433,0)),"")</f>
        <v/>
      </c>
      <c r="L437" s="248">
        <f t="array" ref="L437">IFERROR(J437*INDEX('PORTIFÓLIO'!$S$4:$S$433,MATCH($C437,'PORTIFÓLIO'!$C$4:$C$433,0)),"")</f>
        <v/>
      </c>
      <c r="M437" s="177" t="n"/>
      <c r="N437" s="177" t="n"/>
      <c r="O437" s="177" t="n"/>
      <c r="P437" s="177" t="n"/>
      <c r="Q437" s="177" t="n"/>
      <c r="R437" s="177" t="n"/>
      <c r="S437" s="177" t="n"/>
      <c r="T437" s="177" t="n"/>
      <c r="U437" s="177" t="n"/>
      <c r="V437" s="177" t="n"/>
      <c r="W437" s="177" t="n"/>
    </row>
    <row r="438" outlineLevel="1" ht="15.75" customHeight="1" s="297">
      <c r="A438" s="190" t="n"/>
      <c r="B438" s="204" t="n"/>
      <c r="C438" s="191" t="n"/>
      <c r="D438" s="205">
        <f>IFERROR(VLOOKUP($C438,'PORTIFÓLIO'!C:V,2,0),"")</f>
        <v/>
      </c>
      <c r="E438" s="190">
        <f>IFERROR(VLOOKUP($C438,'PORTIFÓLIO'!C:V,3,0),"")</f>
        <v/>
      </c>
      <c r="F438" s="190">
        <f>IFERROR(VLOOKUP($C438,'PORTIFÓLIO'!C:V,4,0),"")</f>
        <v/>
      </c>
      <c r="G438" s="206">
        <f>IFERROR(VLOOKUP($C438,'PORTIFÓLIO'!C:V,5,0),"")</f>
        <v/>
      </c>
      <c r="H438" s="247">
        <f t="array" ref="H438">IFERROR(INDEX('PORTIFÓLIO'!$H$4:$H$433,MATCH($C438,'PORTIFÓLIO'!$C$4:$C$433,0)),"")</f>
        <v/>
      </c>
      <c r="I438" s="257" t="n"/>
      <c r="J438" s="209">
        <f>I438*$B$2</f>
        <v/>
      </c>
      <c r="K438" s="248">
        <f t="array" ref="K438">IFERROR(I438*INDEX('PORTIFÓLIO'!$S$4:$S$433,MATCH($C438,'PORTIFÓLIO'!$C$4:$C$433,0)),"")</f>
        <v/>
      </c>
      <c r="L438" s="248">
        <f t="array" ref="L438">IFERROR(J438*INDEX('PORTIFÓLIO'!$S$4:$S$433,MATCH($C438,'PORTIFÓLIO'!$C$4:$C$433,0)),"")</f>
        <v/>
      </c>
      <c r="M438" s="177" t="n"/>
      <c r="N438" s="177" t="n"/>
      <c r="O438" s="177" t="n"/>
      <c r="P438" s="177" t="n"/>
      <c r="Q438" s="177" t="n"/>
      <c r="R438" s="177" t="n"/>
      <c r="S438" s="177" t="n"/>
      <c r="T438" s="177" t="n"/>
      <c r="U438" s="177" t="n"/>
      <c r="V438" s="177" t="n"/>
      <c r="W438" s="177" t="n"/>
    </row>
    <row r="439" outlineLevel="1" ht="15.75" customHeight="1" s="297">
      <c r="A439" s="190" t="n"/>
      <c r="B439" s="204" t="n"/>
      <c r="C439" s="191" t="n"/>
      <c r="D439" s="205">
        <f>IFERROR(VLOOKUP($C439,'PORTIFÓLIO'!C:V,2,0),"")</f>
        <v/>
      </c>
      <c r="E439" s="190">
        <f>IFERROR(VLOOKUP($C439,'PORTIFÓLIO'!C:V,3,0),"")</f>
        <v/>
      </c>
      <c r="F439" s="190">
        <f>IFERROR(VLOOKUP($C439,'PORTIFÓLIO'!C:V,4,0),"")</f>
        <v/>
      </c>
      <c r="G439" s="206">
        <f>IFERROR(VLOOKUP($C439,'PORTIFÓLIO'!C:V,5,0),"")</f>
        <v/>
      </c>
      <c r="H439" s="247">
        <f t="array" ref="H439">IFERROR(INDEX('PORTIFÓLIO'!$H$4:$H$433,MATCH($C439,'PORTIFÓLIO'!$C$4:$C$433,0)),"")</f>
        <v/>
      </c>
      <c r="I439" s="257" t="n"/>
      <c r="J439" s="209">
        <f>I439*$B$2</f>
        <v/>
      </c>
      <c r="K439" s="248">
        <f t="array" ref="K439">IFERROR(I439*INDEX('PORTIFÓLIO'!$S$4:$S$433,MATCH($C439,'PORTIFÓLIO'!$C$4:$C$433,0)),"")</f>
        <v/>
      </c>
      <c r="L439" s="248">
        <f t="array" ref="L439">IFERROR(J439*INDEX('PORTIFÓLIO'!$S$4:$S$433,MATCH($C439,'PORTIFÓLIO'!$C$4:$C$433,0)),"")</f>
        <v/>
      </c>
      <c r="M439" s="177" t="n"/>
      <c r="N439" s="177" t="n"/>
      <c r="O439" s="177" t="n"/>
      <c r="P439" s="177" t="n"/>
      <c r="Q439" s="177" t="n"/>
      <c r="R439" s="177" t="n"/>
      <c r="S439" s="177" t="n"/>
      <c r="T439" s="177" t="n"/>
      <c r="U439" s="177" t="n"/>
      <c r="V439" s="177" t="n"/>
      <c r="W439" s="177" t="n"/>
    </row>
    <row r="440" outlineLevel="1" ht="15.75" customHeight="1" s="297">
      <c r="A440" s="190" t="n"/>
      <c r="B440" s="204" t="n"/>
      <c r="C440" s="191" t="n"/>
      <c r="D440" s="205">
        <f>IFERROR(VLOOKUP($C440,'PORTIFÓLIO'!C:V,2,0),"")</f>
        <v/>
      </c>
      <c r="E440" s="190">
        <f>IFERROR(VLOOKUP($C440,'PORTIFÓLIO'!C:V,3,0),"")</f>
        <v/>
      </c>
      <c r="F440" s="190">
        <f>IFERROR(VLOOKUP($C440,'PORTIFÓLIO'!C:V,4,0),"")</f>
        <v/>
      </c>
      <c r="G440" s="206">
        <f>IFERROR(VLOOKUP($C440,'PORTIFÓLIO'!C:V,5,0),"")</f>
        <v/>
      </c>
      <c r="H440" s="247">
        <f t="array" ref="H440">IFERROR(INDEX('PORTIFÓLIO'!$H$4:$H$433,MATCH($C440,'PORTIFÓLIO'!$C$4:$C$433,0)),"")</f>
        <v/>
      </c>
      <c r="I440" s="257" t="n"/>
      <c r="J440" s="209">
        <f>I440*$B$2</f>
        <v/>
      </c>
      <c r="K440" s="248">
        <f t="array" ref="K440">IFERROR(I440*INDEX('PORTIFÓLIO'!$S$4:$S$433,MATCH($C440,'PORTIFÓLIO'!$C$4:$C$433,0)),"")</f>
        <v/>
      </c>
      <c r="L440" s="248">
        <f t="array" ref="L440">IFERROR(J440*INDEX('PORTIFÓLIO'!$S$4:$S$433,MATCH($C440,'PORTIFÓLIO'!$C$4:$C$433,0)),"")</f>
        <v/>
      </c>
      <c r="M440" s="177" t="n"/>
      <c r="N440" s="177" t="n"/>
      <c r="O440" s="177" t="n"/>
      <c r="P440" s="177" t="n"/>
      <c r="Q440" s="177" t="n"/>
      <c r="R440" s="177" t="n"/>
      <c r="S440" s="177" t="n"/>
      <c r="T440" s="177" t="n"/>
      <c r="U440" s="177" t="n"/>
      <c r="V440" s="177" t="n"/>
      <c r="W440" s="177" t="n"/>
    </row>
    <row r="441" outlineLevel="1" ht="15.75" customHeight="1" s="297">
      <c r="A441" s="190" t="n"/>
      <c r="B441" s="204" t="n"/>
      <c r="C441" s="191" t="n"/>
      <c r="D441" s="205">
        <f>IFERROR(VLOOKUP($C441,'PORTIFÓLIO'!C:V,2,0),"")</f>
        <v/>
      </c>
      <c r="E441" s="190">
        <f>IFERROR(VLOOKUP($C441,'PORTIFÓLIO'!C:V,3,0),"")</f>
        <v/>
      </c>
      <c r="F441" s="190">
        <f>IFERROR(VLOOKUP($C441,'PORTIFÓLIO'!C:V,4,0),"")</f>
        <v/>
      </c>
      <c r="G441" s="206">
        <f>IFERROR(VLOOKUP($C441,'PORTIFÓLIO'!C:V,5,0),"")</f>
        <v/>
      </c>
      <c r="H441" s="247">
        <f t="array" ref="H441">IFERROR(INDEX('PORTIFÓLIO'!$H$4:$H$433,MATCH($C441,'PORTIFÓLIO'!$C$4:$C$433,0)),"")</f>
        <v/>
      </c>
      <c r="I441" s="257" t="n"/>
      <c r="J441" s="209">
        <f>I441*$B$2</f>
        <v/>
      </c>
      <c r="K441" s="248">
        <f t="array" ref="K441">IFERROR(I441*INDEX('PORTIFÓLIO'!$S$4:$S$433,MATCH($C441,'PORTIFÓLIO'!$C$4:$C$433,0)),"")</f>
        <v/>
      </c>
      <c r="L441" s="248">
        <f t="array" ref="L441">IFERROR(J441*INDEX('PORTIFÓLIO'!$S$4:$S$433,MATCH($C441,'PORTIFÓLIO'!$C$4:$C$433,0)),"")</f>
        <v/>
      </c>
      <c r="M441" s="177" t="n"/>
      <c r="N441" s="177" t="n"/>
      <c r="O441" s="177" t="n"/>
      <c r="P441" s="177" t="n"/>
      <c r="Q441" s="177" t="n"/>
      <c r="R441" s="177" t="n"/>
      <c r="S441" s="177" t="n"/>
      <c r="T441" s="177" t="n"/>
      <c r="U441" s="177" t="n"/>
      <c r="V441" s="177" t="n"/>
      <c r="W441" s="177" t="n"/>
    </row>
    <row r="442" outlineLevel="1" ht="15.75" customHeight="1" s="297">
      <c r="A442" s="190" t="n"/>
      <c r="B442" s="204" t="n"/>
      <c r="C442" s="191" t="n"/>
      <c r="D442" s="205">
        <f>IFERROR(VLOOKUP($C442,'PORTIFÓLIO'!C:V,2,0),"")</f>
        <v/>
      </c>
      <c r="E442" s="190">
        <f>IFERROR(VLOOKUP($C442,'PORTIFÓLIO'!C:V,3,0),"")</f>
        <v/>
      </c>
      <c r="F442" s="190">
        <f>IFERROR(VLOOKUP($C442,'PORTIFÓLIO'!C:V,4,0),"")</f>
        <v/>
      </c>
      <c r="G442" s="206">
        <f>IFERROR(VLOOKUP($C442,'PORTIFÓLIO'!C:V,5,0),"")</f>
        <v/>
      </c>
      <c r="H442" s="247">
        <f t="array" ref="H442">IFERROR(INDEX('PORTIFÓLIO'!$H$4:$H$433,MATCH($C442,'PORTIFÓLIO'!$C$4:$C$433,0)),"")</f>
        <v/>
      </c>
      <c r="I442" s="257" t="n"/>
      <c r="J442" s="209">
        <f>I442*$B$2</f>
        <v/>
      </c>
      <c r="K442" s="248">
        <f t="array" ref="K442">IFERROR(I442*INDEX('PORTIFÓLIO'!$S$4:$S$433,MATCH($C442,'PORTIFÓLIO'!$C$4:$C$433,0)),"")</f>
        <v/>
      </c>
      <c r="L442" s="248">
        <f t="array" ref="L442">IFERROR(J442*INDEX('PORTIFÓLIO'!$S$4:$S$433,MATCH($C442,'PORTIFÓLIO'!$C$4:$C$433,0)),"")</f>
        <v/>
      </c>
      <c r="M442" s="177" t="n"/>
      <c r="N442" s="177" t="n"/>
      <c r="O442" s="177" t="n"/>
      <c r="P442" s="177" t="n"/>
      <c r="Q442" s="177" t="n"/>
      <c r="R442" s="177" t="n"/>
      <c r="S442" s="177" t="n"/>
      <c r="T442" s="177" t="n"/>
      <c r="U442" s="177" t="n"/>
      <c r="V442" s="177" t="n"/>
      <c r="W442" s="177" t="n"/>
    </row>
    <row r="443" outlineLevel="1" ht="15.75" customHeight="1" s="297">
      <c r="A443" s="190" t="n"/>
      <c r="B443" s="238" t="n"/>
      <c r="C443" s="190" t="n"/>
      <c r="D443" s="205">
        <f>IFERROR(VLOOKUP($C443,'PORTIFÓLIO'!C:V,2,0),"")</f>
        <v/>
      </c>
      <c r="E443" s="190">
        <f>IFERROR(VLOOKUP($C443,'PORTIFÓLIO'!C:V,3,0),"")</f>
        <v/>
      </c>
      <c r="F443" s="190">
        <f>IFERROR(VLOOKUP($C443,'PORTIFÓLIO'!C:V,4,0),"")</f>
        <v/>
      </c>
      <c r="G443" s="206">
        <f>IFERROR(VLOOKUP($C443,'PORTIFÓLIO'!C:V,5,0),"")</f>
        <v/>
      </c>
      <c r="H443" s="247">
        <f t="array" ref="H443">IFERROR(INDEX('PORTIFÓLIO'!$H$4:$H$433,MATCH($C443,'PORTIFÓLIO'!$C$4:$C$433,0)),"")</f>
        <v/>
      </c>
      <c r="I443" s="257" t="n"/>
      <c r="J443" s="209">
        <f>I443*$B$2</f>
        <v/>
      </c>
      <c r="K443" s="248">
        <f t="array" ref="K443">IFERROR(I443*INDEX('PORTIFÓLIO'!$S$4:$S$433,MATCH($C443,'PORTIFÓLIO'!$C$4:$C$433,0)),"")</f>
        <v/>
      </c>
      <c r="L443" s="248">
        <f t="array" ref="L443">IFERROR(J443*INDEX('PORTIFÓLIO'!$S$4:$S$433,MATCH($C443,'PORTIFÓLIO'!$C$4:$C$433,0)),"")</f>
        <v/>
      </c>
      <c r="M443" s="177" t="n"/>
      <c r="N443" s="177" t="n"/>
      <c r="O443" s="177" t="n"/>
      <c r="P443" s="177" t="n"/>
      <c r="Q443" s="177" t="n"/>
      <c r="R443" s="177" t="n"/>
      <c r="S443" s="177" t="n"/>
      <c r="T443" s="177" t="n"/>
      <c r="U443" s="177" t="n"/>
      <c r="V443" s="177" t="n"/>
      <c r="W443" s="177" t="n"/>
    </row>
    <row r="444" outlineLevel="1" ht="15.75" customHeight="1" s="297">
      <c r="A444" s="190" t="n"/>
      <c r="B444" s="238" t="n"/>
      <c r="C444" s="190" t="n"/>
      <c r="D444" s="205">
        <f>IFERROR(VLOOKUP($C444,'PORTIFÓLIO'!C:V,2,0),"")</f>
        <v/>
      </c>
      <c r="E444" s="190">
        <f>IFERROR(VLOOKUP($C444,'PORTIFÓLIO'!C:V,3,0),"")</f>
        <v/>
      </c>
      <c r="F444" s="190">
        <f>IFERROR(VLOOKUP($C444,'PORTIFÓLIO'!C:V,4,0),"")</f>
        <v/>
      </c>
      <c r="G444" s="206">
        <f>IFERROR(VLOOKUP($C444,'PORTIFÓLIO'!C:V,5,0),"")</f>
        <v/>
      </c>
      <c r="H444" s="247">
        <f t="array" ref="H444">IFERROR(INDEX('PORTIFÓLIO'!$H$4:$H$433,MATCH($C444,'PORTIFÓLIO'!$C$4:$C$433,0)),"")</f>
        <v/>
      </c>
      <c r="I444" s="257" t="n"/>
      <c r="J444" s="209">
        <f>I444*$B$2</f>
        <v/>
      </c>
      <c r="K444" s="248">
        <f t="array" ref="K444">IFERROR(I444*INDEX('PORTIFÓLIO'!$S$4:$S$433,MATCH($C444,'PORTIFÓLIO'!$C$4:$C$433,0)),"")</f>
        <v/>
      </c>
      <c r="L444" s="248">
        <f t="array" ref="L444">IFERROR(J444*INDEX('PORTIFÓLIO'!$S$4:$S$433,MATCH($C444,'PORTIFÓLIO'!$C$4:$C$433,0)),"")</f>
        <v/>
      </c>
      <c r="M444" s="177" t="n"/>
      <c r="N444" s="177" t="n"/>
      <c r="O444" s="177" t="n"/>
      <c r="P444" s="177" t="n"/>
      <c r="Q444" s="177" t="n"/>
      <c r="R444" s="177" t="n"/>
      <c r="S444" s="177" t="n"/>
      <c r="T444" s="177" t="n"/>
      <c r="U444" s="177" t="n"/>
      <c r="V444" s="177" t="n"/>
      <c r="W444" s="177" t="n"/>
    </row>
    <row r="445" outlineLevel="1" ht="15.75" customHeight="1" s="297">
      <c r="A445" s="190" t="n"/>
      <c r="B445" s="238" t="n"/>
      <c r="C445" s="190" t="n"/>
      <c r="D445" s="205">
        <f>IFERROR(VLOOKUP($C445,'PORTIFÓLIO'!C:V,2,0),"")</f>
        <v/>
      </c>
      <c r="E445" s="190">
        <f>IFERROR(VLOOKUP($C445,'PORTIFÓLIO'!C:V,3,0),"")</f>
        <v/>
      </c>
      <c r="F445" s="190">
        <f>IFERROR(VLOOKUP($C445,'PORTIFÓLIO'!C:V,4,0),"")</f>
        <v/>
      </c>
      <c r="G445" s="206">
        <f>IFERROR(VLOOKUP($C445,'PORTIFÓLIO'!C:V,5,0),"")</f>
        <v/>
      </c>
      <c r="H445" s="247">
        <f t="array" ref="H445">IFERROR(INDEX('PORTIFÓLIO'!$H$4:$H$433,MATCH($C445,'PORTIFÓLIO'!$C$4:$C$433,0)),"")</f>
        <v/>
      </c>
      <c r="I445" s="257" t="n"/>
      <c r="J445" s="209">
        <f>I445*$B$2</f>
        <v/>
      </c>
      <c r="K445" s="248">
        <f t="array" ref="K445">IFERROR(I445*INDEX('PORTIFÓLIO'!$S$4:$S$433,MATCH($C445,'PORTIFÓLIO'!$C$4:$C$433,0)),"")</f>
        <v/>
      </c>
      <c r="L445" s="248">
        <f t="array" ref="L445">IFERROR(J445*INDEX('PORTIFÓLIO'!$S$4:$S$433,MATCH($C445,'PORTIFÓLIO'!$C$4:$C$433,0)),"")</f>
        <v/>
      </c>
      <c r="M445" s="177" t="n"/>
      <c r="N445" s="177" t="n"/>
      <c r="O445" s="177" t="n"/>
      <c r="P445" s="177" t="n"/>
      <c r="Q445" s="177" t="n"/>
      <c r="R445" s="177" t="n"/>
      <c r="S445" s="177" t="n"/>
      <c r="T445" s="177" t="n"/>
      <c r="U445" s="177" t="n"/>
      <c r="V445" s="177" t="n"/>
      <c r="W445" s="177" t="n"/>
    </row>
    <row r="446" outlineLevel="1" ht="15.75" customHeight="1" s="297">
      <c r="A446" s="190" t="n"/>
      <c r="B446" s="238" t="n"/>
      <c r="C446" s="190" t="n"/>
      <c r="D446" s="205">
        <f>IFERROR(VLOOKUP($C446,'PORTIFÓLIO'!C:V,2,0),"")</f>
        <v/>
      </c>
      <c r="E446" s="190">
        <f>IFERROR(VLOOKUP($C446,'PORTIFÓLIO'!C:V,3,0),"")</f>
        <v/>
      </c>
      <c r="F446" s="190">
        <f>IFERROR(VLOOKUP($C446,'PORTIFÓLIO'!C:V,4,0),"")</f>
        <v/>
      </c>
      <c r="G446" s="206">
        <f>IFERROR(VLOOKUP($C446,'PORTIFÓLIO'!C:V,5,0),"")</f>
        <v/>
      </c>
      <c r="H446" s="247">
        <f t="array" ref="H446">IFERROR(INDEX('PORTIFÓLIO'!$H$4:$H$433,MATCH($C446,'PORTIFÓLIO'!$C$4:$C$433,0)),"")</f>
        <v/>
      </c>
      <c r="I446" s="257" t="n"/>
      <c r="J446" s="209">
        <f>I446*$B$2</f>
        <v/>
      </c>
      <c r="K446" s="248">
        <f t="array" ref="K446">IFERROR(I446*INDEX('PORTIFÓLIO'!$S$4:$S$433,MATCH($C446,'PORTIFÓLIO'!$C$4:$C$433,0)),"")</f>
        <v/>
      </c>
      <c r="L446" s="248">
        <f t="array" ref="L446">IFERROR(J446*INDEX('PORTIFÓLIO'!$S$4:$S$433,MATCH($C446,'PORTIFÓLIO'!$C$4:$C$433,0)),"")</f>
        <v/>
      </c>
      <c r="M446" s="177" t="n"/>
      <c r="N446" s="177" t="n"/>
      <c r="O446" s="177" t="n"/>
      <c r="P446" s="177" t="n"/>
      <c r="Q446" s="177" t="n"/>
      <c r="R446" s="177" t="n"/>
      <c r="S446" s="177" t="n"/>
      <c r="T446" s="177" t="n"/>
      <c r="U446" s="177" t="n"/>
      <c r="V446" s="177" t="n"/>
      <c r="W446" s="177" t="n"/>
    </row>
    <row r="447" outlineLevel="1" ht="15.75" customHeight="1" s="297">
      <c r="A447" s="190" t="n"/>
      <c r="B447" s="238" t="n"/>
      <c r="C447" s="190" t="n"/>
      <c r="D447" s="205">
        <f>IFERROR(VLOOKUP($C447,'PORTIFÓLIO'!C:V,2,0),"")</f>
        <v/>
      </c>
      <c r="E447" s="190">
        <f>IFERROR(VLOOKUP($C447,'PORTIFÓLIO'!C:V,3,0),"")</f>
        <v/>
      </c>
      <c r="F447" s="190">
        <f>IFERROR(VLOOKUP($C447,'PORTIFÓLIO'!C:V,4,0),"")</f>
        <v/>
      </c>
      <c r="G447" s="206">
        <f>IFERROR(VLOOKUP($C447,'PORTIFÓLIO'!C:V,5,0),"")</f>
        <v/>
      </c>
      <c r="H447" s="247">
        <f t="array" ref="H447">IFERROR(INDEX('PORTIFÓLIO'!$H$4:$H$433,MATCH($C447,'PORTIFÓLIO'!$C$4:$C$433,0)),"")</f>
        <v/>
      </c>
      <c r="I447" s="257" t="n"/>
      <c r="J447" s="209">
        <f>I447*$B$2</f>
        <v/>
      </c>
      <c r="K447" s="248">
        <f t="array" ref="K447">IFERROR(I447*INDEX('PORTIFÓLIO'!$S$4:$S$433,MATCH($C447,'PORTIFÓLIO'!$C$4:$C$433,0)),"")</f>
        <v/>
      </c>
      <c r="L447" s="248">
        <f t="array" ref="L447">IFERROR(J447*INDEX('PORTIFÓLIO'!$S$4:$S$433,MATCH($C447,'PORTIFÓLIO'!$C$4:$C$433,0)),"")</f>
        <v/>
      </c>
      <c r="M447" s="177" t="n"/>
      <c r="N447" s="177" t="n"/>
      <c r="O447" s="177" t="n"/>
      <c r="P447" s="177" t="n"/>
      <c r="Q447" s="177" t="n"/>
      <c r="R447" s="177" t="n"/>
      <c r="S447" s="177" t="n"/>
      <c r="T447" s="177" t="n"/>
      <c r="U447" s="177" t="n"/>
      <c r="V447" s="177" t="n"/>
      <c r="W447" s="177" t="n"/>
    </row>
    <row r="448" outlineLevel="1" ht="15.75" customHeight="1" s="297">
      <c r="A448" s="190" t="n"/>
      <c r="B448" s="238" t="n"/>
      <c r="C448" s="190" t="n"/>
      <c r="D448" s="205">
        <f>IFERROR(VLOOKUP($C448,'PORTIFÓLIO'!C:V,2,0),"")</f>
        <v/>
      </c>
      <c r="E448" s="190">
        <f>IFERROR(VLOOKUP($C448,'PORTIFÓLIO'!C:V,3,0),"")</f>
        <v/>
      </c>
      <c r="F448" s="190">
        <f>IFERROR(VLOOKUP($C448,'PORTIFÓLIO'!C:V,4,0),"")</f>
        <v/>
      </c>
      <c r="G448" s="206">
        <f>IFERROR(VLOOKUP($C448,'PORTIFÓLIO'!C:V,5,0),"")</f>
        <v/>
      </c>
      <c r="H448" s="247">
        <f t="array" ref="H448">IFERROR(INDEX('PORTIFÓLIO'!$H$4:$H$433,MATCH($C448,'PORTIFÓLIO'!$C$4:$C$433,0)),"")</f>
        <v/>
      </c>
      <c r="I448" s="257" t="n"/>
      <c r="J448" s="209">
        <f>I448*$B$2</f>
        <v/>
      </c>
      <c r="K448" s="248">
        <f t="array" ref="K448">IFERROR(I448*INDEX('PORTIFÓLIO'!$S$4:$S$433,MATCH($C448,'PORTIFÓLIO'!$C$4:$C$433,0)),"")</f>
        <v/>
      </c>
      <c r="L448" s="248">
        <f t="array" ref="L448">IFERROR(J448*INDEX('PORTIFÓLIO'!$S$4:$S$433,MATCH($C448,'PORTIFÓLIO'!$C$4:$C$433,0)),"")</f>
        <v/>
      </c>
      <c r="M448" s="177" t="n"/>
      <c r="N448" s="177" t="n"/>
      <c r="O448" s="177" t="n"/>
      <c r="P448" s="177" t="n"/>
      <c r="Q448" s="177" t="n"/>
      <c r="R448" s="177" t="n"/>
      <c r="S448" s="177" t="n"/>
      <c r="T448" s="177" t="n"/>
      <c r="U448" s="177" t="n"/>
      <c r="V448" s="177" t="n"/>
      <c r="W448" s="177" t="n"/>
    </row>
    <row r="449" outlineLevel="1" ht="15.75" customHeight="1" s="297">
      <c r="A449" s="190" t="n"/>
      <c r="B449" s="238" t="n"/>
      <c r="C449" s="190" t="n"/>
      <c r="D449" s="205">
        <f>IFERROR(VLOOKUP($C449,'PORTIFÓLIO'!C:V,2,0),"")</f>
        <v/>
      </c>
      <c r="E449" s="190">
        <f>IFERROR(VLOOKUP($C449,'PORTIFÓLIO'!C:V,3,0),"")</f>
        <v/>
      </c>
      <c r="F449" s="190">
        <f>IFERROR(VLOOKUP($C449,'PORTIFÓLIO'!C:V,4,0),"")</f>
        <v/>
      </c>
      <c r="G449" s="206">
        <f>IFERROR(VLOOKUP($C449,'PORTIFÓLIO'!C:V,5,0),"")</f>
        <v/>
      </c>
      <c r="H449" s="247">
        <f t="array" ref="H449">IFERROR(INDEX('PORTIFÓLIO'!$H$4:$H$433,MATCH($C449,'PORTIFÓLIO'!$C$4:$C$433,0)),"")</f>
        <v/>
      </c>
      <c r="I449" s="257" t="n"/>
      <c r="J449" s="209">
        <f>I449*$B$2</f>
        <v/>
      </c>
      <c r="K449" s="248">
        <f t="array" ref="K449">IFERROR(I449*INDEX('PORTIFÓLIO'!$S$4:$S$433,MATCH($C449,'PORTIFÓLIO'!$C$4:$C$433,0)),"")</f>
        <v/>
      </c>
      <c r="L449" s="248">
        <f t="array" ref="L449">IFERROR(J449*INDEX('PORTIFÓLIO'!$S$4:$S$433,MATCH($C449,'PORTIFÓLIO'!$C$4:$C$433,0)),"")</f>
        <v/>
      </c>
      <c r="M449" s="177" t="n"/>
      <c r="N449" s="177" t="n"/>
      <c r="O449" s="177" t="n"/>
      <c r="P449" s="177" t="n"/>
      <c r="Q449" s="177" t="n"/>
      <c r="R449" s="177" t="n"/>
      <c r="S449" s="177" t="n"/>
      <c r="T449" s="177" t="n"/>
      <c r="U449" s="177" t="n"/>
      <c r="V449" s="177" t="n"/>
      <c r="W449" s="177" t="n"/>
    </row>
    <row r="450" outlineLevel="1" ht="15.75" customHeight="1" s="297">
      <c r="A450" s="190" t="n"/>
      <c r="B450" s="238" t="n"/>
      <c r="C450" s="190" t="n"/>
      <c r="D450" s="205">
        <f>IFERROR(VLOOKUP($C450,'PORTIFÓLIO'!C:V,2,0),"")</f>
        <v/>
      </c>
      <c r="E450" s="190">
        <f>IFERROR(VLOOKUP($C450,'PORTIFÓLIO'!C:V,3,0),"")</f>
        <v/>
      </c>
      <c r="F450" s="190">
        <f>IFERROR(VLOOKUP($C450,'PORTIFÓLIO'!C:V,4,0),"")</f>
        <v/>
      </c>
      <c r="G450" s="206">
        <f>IFERROR(VLOOKUP($C450,'PORTIFÓLIO'!C:V,5,0),"")</f>
        <v/>
      </c>
      <c r="H450" s="247">
        <f t="array" ref="H450">IFERROR(INDEX('PORTIFÓLIO'!$H$4:$H$433,MATCH($C450,'PORTIFÓLIO'!$C$4:$C$433,0)),"")</f>
        <v/>
      </c>
      <c r="I450" s="257" t="n"/>
      <c r="J450" s="209">
        <f>I450*$B$2</f>
        <v/>
      </c>
      <c r="K450" s="248">
        <f t="array" ref="K450">IFERROR(I450*INDEX('PORTIFÓLIO'!$S$4:$S$433,MATCH($C450,'PORTIFÓLIO'!$C$4:$C$433,0)),"")</f>
        <v/>
      </c>
      <c r="L450" s="248">
        <f t="array" ref="L450">IFERROR(J450*INDEX('PORTIFÓLIO'!$S$4:$S$433,MATCH($C450,'PORTIFÓLIO'!$C$4:$C$433,0)),"")</f>
        <v/>
      </c>
      <c r="M450" s="177" t="n"/>
      <c r="N450" s="177" t="n"/>
      <c r="O450" s="177" t="n"/>
      <c r="P450" s="177" t="n"/>
      <c r="Q450" s="177" t="n"/>
      <c r="R450" s="177" t="n"/>
      <c r="S450" s="177" t="n"/>
      <c r="T450" s="177" t="n"/>
      <c r="U450" s="177" t="n"/>
      <c r="V450" s="177" t="n"/>
      <c r="W450" s="177" t="n"/>
    </row>
    <row r="451" outlineLevel="1" ht="15.75" customHeight="1" s="297">
      <c r="A451" s="190" t="n"/>
      <c r="B451" s="238" t="n"/>
      <c r="C451" s="190" t="n"/>
      <c r="D451" s="205">
        <f>IFERROR(VLOOKUP($C451,'PORTIFÓLIO'!C:V,2,0),"")</f>
        <v/>
      </c>
      <c r="E451" s="190">
        <f>IFERROR(VLOOKUP($C451,'PORTIFÓLIO'!C:V,3,0),"")</f>
        <v/>
      </c>
      <c r="F451" s="190">
        <f>IFERROR(VLOOKUP($C451,'PORTIFÓLIO'!C:V,4,0),"")</f>
        <v/>
      </c>
      <c r="G451" s="206">
        <f>IFERROR(VLOOKUP($C451,'PORTIFÓLIO'!C:V,5,0),"")</f>
        <v/>
      </c>
      <c r="H451" s="247">
        <f t="array" ref="H451">IFERROR(INDEX('PORTIFÓLIO'!$H$4:$H$433,MATCH($C451,'PORTIFÓLIO'!$C$4:$C$433,0)),"")</f>
        <v/>
      </c>
      <c r="I451" s="257" t="n"/>
      <c r="J451" s="209">
        <f>I451*$B$2</f>
        <v/>
      </c>
      <c r="K451" s="248">
        <f t="array" ref="K451">IFERROR(I451*INDEX('PORTIFÓLIO'!$S$4:$S$433,MATCH($C451,'PORTIFÓLIO'!$C$4:$C$433,0)),"")</f>
        <v/>
      </c>
      <c r="L451" s="248">
        <f t="array" ref="L451">IFERROR(J451*INDEX('PORTIFÓLIO'!$S$4:$S$433,MATCH($C451,'PORTIFÓLIO'!$C$4:$C$433,0)),"")</f>
        <v/>
      </c>
      <c r="M451" s="177" t="n"/>
      <c r="N451" s="177" t="n"/>
      <c r="O451" s="177" t="n"/>
      <c r="P451" s="177" t="n"/>
      <c r="Q451" s="177" t="n"/>
      <c r="R451" s="177" t="n"/>
      <c r="S451" s="177" t="n"/>
      <c r="T451" s="177" t="n"/>
      <c r="U451" s="177" t="n"/>
      <c r="V451" s="177" t="n"/>
      <c r="W451" s="177" t="n"/>
    </row>
    <row r="452" ht="15.75" customHeight="1" s="297">
      <c r="A452" s="238" t="n"/>
      <c r="B452" s="238" t="n"/>
      <c r="C452" s="238" t="n"/>
      <c r="D452" s="238" t="n"/>
      <c r="E452" s="238" t="n"/>
      <c r="F452" s="238" t="n"/>
      <c r="G452" s="206" t="n"/>
      <c r="H452" s="238" t="n"/>
      <c r="I452" s="238" t="n"/>
      <c r="J452" s="238" t="n"/>
      <c r="K452" s="249">
        <f>SUBTOTAL(9,K237:K427)</f>
        <v/>
      </c>
      <c r="L452" s="249">
        <f>SUBTOTAL(9,L237:L427)</f>
        <v/>
      </c>
      <c r="M452" s="177" t="n"/>
      <c r="N452" s="177" t="n"/>
      <c r="O452" s="177" t="n"/>
      <c r="P452" s="177" t="n"/>
      <c r="Q452" s="177" t="n"/>
      <c r="R452" s="177" t="n"/>
      <c r="S452" s="177" t="n"/>
      <c r="T452" s="177" t="n"/>
      <c r="U452" s="177" t="n"/>
      <c r="V452" s="177" t="n"/>
      <c r="W452" s="177" t="n"/>
    </row>
    <row r="453" ht="15.75" customHeight="1" s="297">
      <c r="A453" s="177" t="n"/>
      <c r="B453" s="177" t="n"/>
      <c r="C453" s="177" t="n"/>
      <c r="D453" s="177" t="n"/>
      <c r="E453" s="177" t="n"/>
      <c r="F453" s="177" t="n"/>
      <c r="G453" s="177" t="n"/>
      <c r="H453" s="177" t="n"/>
      <c r="I453" s="177" t="n"/>
      <c r="J453" s="177" t="n"/>
      <c r="K453" s="177" t="n"/>
      <c r="L453" s="177" t="n"/>
      <c r="M453" s="177" t="n"/>
      <c r="N453" s="177" t="n"/>
      <c r="O453" s="177" t="n"/>
      <c r="P453" s="177" t="n"/>
      <c r="Q453" s="177" t="n"/>
      <c r="R453" s="177" t="n"/>
      <c r="S453" s="177" t="n"/>
      <c r="T453" s="177" t="n"/>
      <c r="U453" s="177" t="n"/>
      <c r="V453" s="177" t="n"/>
      <c r="W453" s="177" t="n"/>
    </row>
    <row r="454" ht="15.75" customHeight="1" s="297">
      <c r="A454" s="177" t="n"/>
      <c r="B454" s="177" t="n"/>
      <c r="C454" s="177" t="n"/>
      <c r="D454" s="177" t="n"/>
      <c r="E454" s="177" t="n"/>
      <c r="F454" s="177" t="n"/>
      <c r="G454" s="177" t="n"/>
      <c r="H454" s="177" t="n"/>
      <c r="I454" s="177" t="n"/>
      <c r="J454" s="177" t="n"/>
      <c r="K454" s="177" t="n"/>
      <c r="L454" s="177" t="n"/>
      <c r="M454" s="177" t="n"/>
      <c r="N454" s="177" t="n"/>
      <c r="O454" s="177" t="n"/>
      <c r="P454" s="177" t="n"/>
      <c r="Q454" s="177" t="n"/>
      <c r="R454" s="177" t="n"/>
      <c r="S454" s="177" t="n"/>
      <c r="T454" s="177" t="n"/>
      <c r="U454" s="177" t="n"/>
      <c r="V454" s="177" t="n"/>
      <c r="W454" s="177" t="n"/>
    </row>
    <row r="455" ht="15.75" customHeight="1" s="297">
      <c r="A455" s="177" t="n"/>
      <c r="B455" s="177" t="n"/>
      <c r="C455" s="177" t="n"/>
      <c r="D455" s="177" t="n"/>
      <c r="E455" s="177" t="n"/>
      <c r="F455" s="177" t="n"/>
      <c r="G455" s="177" t="n"/>
      <c r="H455" s="177" t="n"/>
      <c r="I455" s="177" t="n"/>
      <c r="J455" s="177" t="n"/>
      <c r="K455" s="177" t="n"/>
      <c r="L455" s="177" t="n"/>
      <c r="M455" s="177" t="n"/>
      <c r="N455" s="177" t="n"/>
      <c r="O455" s="177" t="n"/>
      <c r="P455" s="177" t="n"/>
      <c r="Q455" s="177" t="n"/>
      <c r="R455" s="177" t="n"/>
      <c r="S455" s="177" t="n"/>
      <c r="T455" s="177" t="n"/>
      <c r="U455" s="177" t="n"/>
      <c r="V455" s="177" t="n"/>
      <c r="W455" s="177" t="n"/>
    </row>
    <row r="456" ht="15.75" customHeight="1" s="297">
      <c r="A456" s="177" t="n"/>
      <c r="B456" s="177" t="n"/>
      <c r="C456" s="177" t="n"/>
      <c r="D456" s="177" t="n"/>
      <c r="E456" s="177" t="n"/>
      <c r="F456" s="177" t="n"/>
      <c r="G456" s="177" t="n"/>
      <c r="H456" s="177" t="n"/>
      <c r="I456" s="177" t="n"/>
      <c r="J456" s="177" t="n"/>
      <c r="K456" s="177" t="n"/>
      <c r="L456" s="177" t="n"/>
      <c r="M456" s="177" t="n"/>
      <c r="N456" s="177" t="n"/>
      <c r="O456" s="177" t="n"/>
      <c r="P456" s="177" t="n"/>
      <c r="Q456" s="177" t="n"/>
      <c r="R456" s="177" t="n"/>
      <c r="S456" s="177" t="n"/>
      <c r="T456" s="177" t="n"/>
      <c r="U456" s="177" t="n"/>
      <c r="V456" s="177" t="n"/>
      <c r="W456" s="177" t="n"/>
    </row>
    <row r="457" ht="15.75" customHeight="1" s="297">
      <c r="A457" s="177" t="n"/>
      <c r="B457" s="177" t="n"/>
      <c r="C457" s="177" t="n"/>
      <c r="D457" s="177" t="n"/>
      <c r="E457" s="177" t="n"/>
      <c r="F457" s="177" t="n"/>
      <c r="G457" s="177" t="n"/>
      <c r="H457" s="177" t="n"/>
      <c r="I457" s="177" t="n"/>
      <c r="J457" s="177" t="n"/>
      <c r="K457" s="177" t="n"/>
      <c r="L457" s="177" t="n"/>
      <c r="M457" s="177" t="n"/>
      <c r="N457" s="177" t="n"/>
      <c r="O457" s="177" t="n"/>
      <c r="P457" s="177" t="n"/>
      <c r="Q457" s="177" t="n"/>
      <c r="R457" s="177" t="n"/>
      <c r="S457" s="177" t="n"/>
      <c r="T457" s="177" t="n"/>
      <c r="U457" s="177" t="n"/>
      <c r="V457" s="177" t="n"/>
      <c r="W457" s="177" t="n"/>
    </row>
    <row r="458" ht="15.75" customHeight="1" s="297">
      <c r="A458" s="177" t="n"/>
      <c r="B458" s="177" t="n"/>
      <c r="C458" s="177" t="n"/>
      <c r="D458" s="177" t="n"/>
      <c r="E458" s="177" t="n"/>
      <c r="F458" s="177" t="n"/>
      <c r="G458" s="177" t="n"/>
      <c r="H458" s="177" t="n"/>
      <c r="I458" s="177" t="n"/>
      <c r="J458" s="177" t="n"/>
      <c r="K458" s="177" t="n"/>
      <c r="L458" s="177" t="n"/>
      <c r="M458" s="177" t="n"/>
      <c r="N458" s="177" t="n"/>
      <c r="O458" s="177" t="n"/>
      <c r="P458" s="177" t="n"/>
      <c r="Q458" s="177" t="n"/>
      <c r="R458" s="177" t="n"/>
      <c r="S458" s="177" t="n"/>
      <c r="T458" s="177" t="n"/>
      <c r="U458" s="177" t="n"/>
      <c r="V458" s="177" t="n"/>
      <c r="W458" s="177" t="n"/>
    </row>
    <row r="459" ht="15.75" customHeight="1" s="297">
      <c r="A459" s="177" t="n"/>
      <c r="B459" s="177" t="n"/>
      <c r="C459" s="177" t="n"/>
      <c r="D459" s="177" t="n"/>
      <c r="E459" s="177" t="n"/>
      <c r="F459" s="177" t="n"/>
      <c r="G459" s="177" t="n"/>
      <c r="H459" s="177" t="n"/>
      <c r="I459" s="177" t="n"/>
      <c r="J459" s="177" t="n"/>
      <c r="K459" s="177" t="n"/>
      <c r="L459" s="177" t="n"/>
      <c r="M459" s="177" t="n"/>
      <c r="N459" s="177" t="n"/>
      <c r="O459" s="177" t="n"/>
      <c r="P459" s="177" t="n"/>
      <c r="Q459" s="177" t="n"/>
      <c r="R459" s="177" t="n"/>
      <c r="S459" s="177" t="n"/>
      <c r="T459" s="177" t="n"/>
      <c r="U459" s="177" t="n"/>
      <c r="V459" s="177" t="n"/>
      <c r="W459" s="177" t="n"/>
    </row>
    <row r="460" ht="15.75" customHeight="1" s="297">
      <c r="A460" s="177" t="n"/>
      <c r="B460" s="177" t="n"/>
      <c r="C460" s="177" t="n"/>
      <c r="D460" s="177" t="n"/>
      <c r="E460" s="177" t="n"/>
      <c r="F460" s="177" t="n"/>
      <c r="G460" s="177" t="n"/>
      <c r="H460" s="177" t="n"/>
      <c r="I460" s="177" t="n"/>
      <c r="J460" s="177" t="n"/>
      <c r="K460" s="177" t="n"/>
      <c r="L460" s="177" t="n"/>
      <c r="M460" s="177" t="n"/>
      <c r="N460" s="177" t="n"/>
      <c r="O460" s="177" t="n"/>
      <c r="P460" s="177" t="n"/>
      <c r="Q460" s="177" t="n"/>
      <c r="R460" s="177" t="n"/>
      <c r="S460" s="177" t="n"/>
      <c r="T460" s="177" t="n"/>
      <c r="U460" s="177" t="n"/>
      <c r="V460" s="177" t="n"/>
      <c r="W460" s="177" t="n"/>
    </row>
    <row r="461" ht="15.75" customHeight="1" s="297">
      <c r="A461" s="177" t="n"/>
      <c r="B461" s="177" t="n"/>
      <c r="C461" s="177" t="n"/>
      <c r="D461" s="177" t="n"/>
      <c r="E461" s="177" t="n"/>
      <c r="F461" s="177" t="n"/>
      <c r="G461" s="177" t="n"/>
      <c r="H461" s="177" t="n"/>
      <c r="I461" s="177" t="n"/>
      <c r="J461" s="177" t="n"/>
      <c r="K461" s="177" t="n"/>
      <c r="L461" s="177" t="n"/>
      <c r="M461" s="177" t="n"/>
      <c r="N461" s="177" t="n"/>
      <c r="O461" s="177" t="n"/>
      <c r="P461" s="177" t="n"/>
      <c r="Q461" s="177" t="n"/>
      <c r="R461" s="177" t="n"/>
      <c r="S461" s="177" t="n"/>
      <c r="T461" s="177" t="n"/>
      <c r="U461" s="177" t="n"/>
      <c r="V461" s="177" t="n"/>
      <c r="W461" s="177" t="n"/>
    </row>
    <row r="462" ht="15.75" customHeight="1" s="297">
      <c r="A462" s="177" t="n"/>
      <c r="B462" s="177" t="n"/>
      <c r="C462" s="177" t="n"/>
      <c r="D462" s="177" t="n"/>
      <c r="E462" s="177" t="n"/>
      <c r="F462" s="177" t="n"/>
      <c r="G462" s="177" t="n"/>
      <c r="H462" s="177" t="n"/>
      <c r="I462" s="177" t="n"/>
      <c r="J462" s="177" t="n"/>
      <c r="K462" s="177" t="n"/>
      <c r="L462" s="177" t="n"/>
      <c r="M462" s="177" t="n"/>
      <c r="N462" s="177" t="n"/>
      <c r="O462" s="177" t="n"/>
      <c r="P462" s="177" t="n"/>
      <c r="Q462" s="177" t="n"/>
      <c r="R462" s="177" t="n"/>
      <c r="S462" s="177" t="n"/>
      <c r="T462" s="177" t="n"/>
      <c r="U462" s="177" t="n"/>
      <c r="V462" s="177" t="n"/>
      <c r="W462" s="177" t="n"/>
    </row>
    <row r="463" ht="15.75" customHeight="1" s="297">
      <c r="A463" s="177" t="n"/>
      <c r="B463" s="177" t="n"/>
      <c r="C463" s="177" t="n"/>
      <c r="D463" s="177" t="n"/>
      <c r="E463" s="177" t="n"/>
      <c r="F463" s="177" t="n"/>
      <c r="G463" s="177" t="n"/>
      <c r="H463" s="177" t="n"/>
      <c r="I463" s="177" t="n"/>
      <c r="J463" s="177" t="n"/>
      <c r="K463" s="177" t="n"/>
      <c r="L463" s="177" t="n"/>
      <c r="M463" s="177" t="n"/>
      <c r="N463" s="177" t="n"/>
      <c r="O463" s="177" t="n"/>
      <c r="P463" s="177" t="n"/>
      <c r="Q463" s="177" t="n"/>
      <c r="R463" s="177" t="n"/>
      <c r="S463" s="177" t="n"/>
      <c r="T463" s="177" t="n"/>
      <c r="U463" s="177" t="n"/>
      <c r="V463" s="177" t="n"/>
      <c r="W463" s="177" t="n"/>
    </row>
    <row r="464" ht="15.75" customHeight="1" s="297">
      <c r="A464" s="177" t="n"/>
      <c r="B464" s="177" t="n"/>
      <c r="C464" s="177" t="n"/>
      <c r="D464" s="177" t="n"/>
      <c r="E464" s="177" t="n"/>
      <c r="F464" s="177" t="n"/>
      <c r="G464" s="177" t="n"/>
      <c r="H464" s="177" t="n"/>
      <c r="I464" s="177" t="n"/>
      <c r="J464" s="177" t="n"/>
      <c r="K464" s="177" t="n"/>
      <c r="L464" s="177" t="n"/>
      <c r="M464" s="177" t="n"/>
      <c r="N464" s="177" t="n"/>
      <c r="O464" s="177" t="n"/>
      <c r="P464" s="177" t="n"/>
      <c r="Q464" s="177" t="n"/>
      <c r="R464" s="177" t="n"/>
      <c r="S464" s="177" t="n"/>
      <c r="T464" s="177" t="n"/>
      <c r="U464" s="177" t="n"/>
      <c r="V464" s="177" t="n"/>
      <c r="W464" s="177" t="n"/>
    </row>
    <row r="465" ht="15.75" customHeight="1" s="297">
      <c r="A465" s="177" t="n"/>
      <c r="B465" s="177" t="n"/>
      <c r="C465" s="177" t="n"/>
      <c r="D465" s="177" t="n"/>
      <c r="E465" s="177" t="n"/>
      <c r="F465" s="177" t="n"/>
      <c r="G465" s="177" t="n"/>
      <c r="H465" s="177" t="n"/>
      <c r="I465" s="177" t="n"/>
      <c r="J465" s="177" t="n"/>
      <c r="K465" s="177" t="n"/>
      <c r="L465" s="177" t="n"/>
      <c r="M465" s="177" t="n"/>
      <c r="N465" s="177" t="n"/>
      <c r="O465" s="177" t="n"/>
      <c r="P465" s="177" t="n"/>
      <c r="Q465" s="177" t="n"/>
      <c r="R465" s="177" t="n"/>
      <c r="S465" s="177" t="n"/>
      <c r="T465" s="177" t="n"/>
      <c r="U465" s="177" t="n"/>
      <c r="V465" s="177" t="n"/>
      <c r="W465" s="177" t="n"/>
    </row>
    <row r="466" ht="15.75" customHeight="1" s="297">
      <c r="A466" s="177" t="n"/>
      <c r="B466" s="177" t="n"/>
      <c r="C466" s="177" t="n"/>
      <c r="D466" s="177" t="n"/>
      <c r="E466" s="177" t="n"/>
      <c r="F466" s="177" t="n"/>
      <c r="G466" s="177" t="n"/>
      <c r="H466" s="177" t="n"/>
      <c r="I466" s="177" t="n"/>
      <c r="J466" s="177" t="n"/>
      <c r="K466" s="177" t="n"/>
      <c r="L466" s="177" t="n"/>
      <c r="M466" s="177" t="n"/>
      <c r="N466" s="177" t="n"/>
      <c r="O466" s="177" t="n"/>
      <c r="P466" s="177" t="n"/>
      <c r="Q466" s="177" t="n"/>
      <c r="R466" s="177" t="n"/>
      <c r="S466" s="177" t="n"/>
      <c r="T466" s="177" t="n"/>
      <c r="U466" s="177" t="n"/>
      <c r="V466" s="177" t="n"/>
      <c r="W466" s="177" t="n"/>
    </row>
    <row r="467" ht="15.75" customHeight="1" s="297">
      <c r="A467" s="177" t="n"/>
      <c r="B467" s="177" t="n"/>
      <c r="C467" s="177" t="n"/>
      <c r="D467" s="177" t="n"/>
      <c r="E467" s="177" t="n"/>
      <c r="F467" s="177" t="n"/>
      <c r="G467" s="177" t="n"/>
      <c r="H467" s="177" t="n"/>
      <c r="I467" s="177" t="n"/>
      <c r="J467" s="177" t="n"/>
      <c r="K467" s="177" t="n"/>
      <c r="L467" s="177" t="n"/>
      <c r="M467" s="177" t="n"/>
      <c r="N467" s="177" t="n"/>
      <c r="O467" s="177" t="n"/>
      <c r="P467" s="177" t="n"/>
      <c r="Q467" s="177" t="n"/>
      <c r="R467" s="177" t="n"/>
      <c r="S467" s="177" t="n"/>
      <c r="T467" s="177" t="n"/>
      <c r="U467" s="177" t="n"/>
      <c r="V467" s="177" t="n"/>
      <c r="W467" s="177" t="n"/>
    </row>
    <row r="468" ht="15.75" customHeight="1" s="297">
      <c r="A468" s="177" t="n"/>
      <c r="B468" s="177" t="n"/>
      <c r="C468" s="177" t="n"/>
      <c r="D468" s="177" t="n"/>
      <c r="E468" s="177" t="n"/>
      <c r="F468" s="177" t="n"/>
      <c r="G468" s="177" t="n"/>
      <c r="H468" s="177" t="n"/>
      <c r="I468" s="177" t="n"/>
      <c r="J468" s="177" t="n"/>
      <c r="K468" s="177" t="n"/>
      <c r="L468" s="177" t="n"/>
      <c r="M468" s="177" t="n"/>
      <c r="N468" s="177" t="n"/>
      <c r="O468" s="177" t="n"/>
      <c r="P468" s="177" t="n"/>
      <c r="Q468" s="177" t="n"/>
      <c r="R468" s="177" t="n"/>
      <c r="S468" s="177" t="n"/>
      <c r="T468" s="177" t="n"/>
      <c r="U468" s="177" t="n"/>
      <c r="V468" s="177" t="n"/>
      <c r="W468" s="177" t="n"/>
    </row>
    <row r="469" ht="15.75" customHeight="1" s="297">
      <c r="A469" s="177" t="n"/>
      <c r="B469" s="177" t="n"/>
      <c r="C469" s="177" t="n"/>
      <c r="D469" s="177" t="n"/>
      <c r="E469" s="177" t="n"/>
      <c r="F469" s="177" t="n"/>
      <c r="G469" s="177" t="n"/>
      <c r="H469" s="177" t="n"/>
      <c r="I469" s="177" t="n"/>
      <c r="J469" s="177" t="n"/>
      <c r="K469" s="177" t="n"/>
      <c r="L469" s="177" t="n"/>
      <c r="M469" s="177" t="n"/>
      <c r="N469" s="177" t="n"/>
      <c r="O469" s="177" t="n"/>
      <c r="P469" s="177" t="n"/>
      <c r="Q469" s="177" t="n"/>
      <c r="R469" s="177" t="n"/>
      <c r="S469" s="177" t="n"/>
      <c r="T469" s="177" t="n"/>
      <c r="U469" s="177" t="n"/>
      <c r="V469" s="177" t="n"/>
      <c r="W469" s="177" t="n"/>
    </row>
    <row r="470" ht="15.75" customHeight="1" s="297">
      <c r="A470" s="177" t="n"/>
      <c r="B470" s="177" t="n"/>
      <c r="C470" s="177" t="n"/>
      <c r="D470" s="177" t="n"/>
      <c r="E470" s="177" t="n"/>
      <c r="F470" s="177" t="n"/>
      <c r="G470" s="177" t="n"/>
      <c r="H470" s="177" t="n"/>
      <c r="I470" s="177" t="n"/>
      <c r="J470" s="177" t="n"/>
      <c r="K470" s="177" t="n"/>
      <c r="L470" s="177" t="n"/>
      <c r="M470" s="177" t="n"/>
      <c r="N470" s="177" t="n"/>
      <c r="O470" s="177" t="n"/>
      <c r="P470" s="177" t="n"/>
      <c r="Q470" s="177" t="n"/>
      <c r="R470" s="177" t="n"/>
      <c r="S470" s="177" t="n"/>
      <c r="T470" s="177" t="n"/>
      <c r="U470" s="177" t="n"/>
      <c r="V470" s="177" t="n"/>
      <c r="W470" s="177" t="n"/>
    </row>
    <row r="471" ht="15.75" customHeight="1" s="297">
      <c r="A471" s="177" t="n"/>
      <c r="B471" s="177" t="n"/>
      <c r="C471" s="177" t="n"/>
      <c r="D471" s="177" t="n"/>
      <c r="E471" s="177" t="n"/>
      <c r="F471" s="177" t="n"/>
      <c r="G471" s="177" t="n"/>
      <c r="H471" s="177" t="n"/>
      <c r="I471" s="177" t="n"/>
      <c r="J471" s="177" t="n"/>
      <c r="K471" s="177" t="n"/>
      <c r="L471" s="177" t="n"/>
      <c r="M471" s="177" t="n"/>
      <c r="N471" s="177" t="n"/>
      <c r="O471" s="177" t="n"/>
      <c r="P471" s="177" t="n"/>
      <c r="Q471" s="177" t="n"/>
      <c r="R471" s="177" t="n"/>
      <c r="S471" s="177" t="n"/>
      <c r="T471" s="177" t="n"/>
      <c r="U471" s="177" t="n"/>
      <c r="V471" s="177" t="n"/>
      <c r="W471" s="177" t="n"/>
    </row>
    <row r="472" ht="15.75" customHeight="1" s="297">
      <c r="A472" s="177" t="n"/>
      <c r="B472" s="177" t="n"/>
      <c r="C472" s="177" t="n"/>
      <c r="D472" s="177" t="n"/>
      <c r="E472" s="177" t="n"/>
      <c r="F472" s="177" t="n"/>
      <c r="G472" s="177" t="n"/>
      <c r="H472" s="177" t="n"/>
      <c r="I472" s="177" t="n"/>
      <c r="J472" s="177" t="n"/>
      <c r="K472" s="177" t="n"/>
      <c r="L472" s="177" t="n"/>
      <c r="M472" s="177" t="n"/>
      <c r="N472" s="177" t="n"/>
      <c r="O472" s="177" t="n"/>
      <c r="P472" s="177" t="n"/>
      <c r="Q472" s="177" t="n"/>
      <c r="R472" s="177" t="n"/>
      <c r="S472" s="177" t="n"/>
      <c r="T472" s="177" t="n"/>
      <c r="U472" s="177" t="n"/>
      <c r="V472" s="177" t="n"/>
      <c r="W472" s="177" t="n"/>
    </row>
    <row r="473" ht="15.75" customHeight="1" s="297">
      <c r="A473" s="177" t="n"/>
      <c r="B473" s="177" t="n"/>
      <c r="C473" s="177" t="n"/>
      <c r="D473" s="177" t="n"/>
      <c r="E473" s="177" t="n"/>
      <c r="F473" s="177" t="n"/>
      <c r="G473" s="177" t="n"/>
      <c r="H473" s="177" t="n"/>
      <c r="I473" s="177" t="n"/>
      <c r="J473" s="177" t="n"/>
      <c r="K473" s="177" t="n"/>
      <c r="L473" s="177" t="n"/>
      <c r="M473" s="177" t="n"/>
      <c r="N473" s="177" t="n"/>
      <c r="O473" s="177" t="n"/>
      <c r="P473" s="177" t="n"/>
      <c r="Q473" s="177" t="n"/>
      <c r="R473" s="177" t="n"/>
      <c r="S473" s="177" t="n"/>
      <c r="T473" s="177" t="n"/>
      <c r="U473" s="177" t="n"/>
      <c r="V473" s="177" t="n"/>
      <c r="W473" s="177" t="n"/>
    </row>
    <row r="474" ht="15.75" customHeight="1" s="297">
      <c r="A474" s="177" t="n"/>
      <c r="B474" s="177" t="n"/>
      <c r="C474" s="177" t="n"/>
      <c r="D474" s="177" t="n"/>
      <c r="E474" s="177" t="n"/>
      <c r="F474" s="177" t="n"/>
      <c r="G474" s="177" t="n"/>
      <c r="H474" s="177" t="n"/>
      <c r="I474" s="177" t="n"/>
      <c r="J474" s="177" t="n"/>
      <c r="K474" s="177" t="n"/>
      <c r="L474" s="177" t="n"/>
      <c r="M474" s="177" t="n"/>
      <c r="N474" s="177" t="n"/>
      <c r="O474" s="177" t="n"/>
      <c r="P474" s="177" t="n"/>
      <c r="Q474" s="177" t="n"/>
      <c r="R474" s="177" t="n"/>
      <c r="S474" s="177" t="n"/>
      <c r="T474" s="177" t="n"/>
      <c r="U474" s="177" t="n"/>
      <c r="V474" s="177" t="n"/>
      <c r="W474" s="177" t="n"/>
    </row>
    <row r="475" ht="15.75" customHeight="1" s="297">
      <c r="A475" s="177" t="n"/>
      <c r="B475" s="177" t="n"/>
      <c r="C475" s="177" t="n"/>
      <c r="D475" s="177" t="n"/>
      <c r="E475" s="177" t="n"/>
      <c r="F475" s="177" t="n"/>
      <c r="G475" s="177" t="n"/>
      <c r="H475" s="177" t="n"/>
      <c r="I475" s="177" t="n"/>
      <c r="J475" s="177" t="n"/>
      <c r="K475" s="177" t="n"/>
      <c r="L475" s="177" t="n"/>
      <c r="M475" s="177" t="n"/>
      <c r="N475" s="177" t="n"/>
      <c r="O475" s="177" t="n"/>
      <c r="P475" s="177" t="n"/>
      <c r="Q475" s="177" t="n"/>
      <c r="R475" s="177" t="n"/>
      <c r="S475" s="177" t="n"/>
      <c r="T475" s="177" t="n"/>
      <c r="U475" s="177" t="n"/>
      <c r="V475" s="177" t="n"/>
      <c r="W475" s="177" t="n"/>
    </row>
    <row r="476" ht="15.75" customHeight="1" s="297">
      <c r="A476" s="177" t="n"/>
      <c r="B476" s="177" t="n"/>
      <c r="C476" s="177" t="n"/>
      <c r="D476" s="177" t="n"/>
      <c r="E476" s="177" t="n"/>
      <c r="F476" s="177" t="n"/>
      <c r="G476" s="177" t="n"/>
      <c r="H476" s="177" t="n"/>
      <c r="I476" s="177" t="n"/>
      <c r="J476" s="177" t="n"/>
      <c r="K476" s="177" t="n"/>
      <c r="L476" s="177" t="n"/>
      <c r="M476" s="177" t="n"/>
      <c r="N476" s="177" t="n"/>
      <c r="O476" s="177" t="n"/>
      <c r="P476" s="177" t="n"/>
      <c r="Q476" s="177" t="n"/>
      <c r="R476" s="177" t="n"/>
      <c r="S476" s="177" t="n"/>
      <c r="T476" s="177" t="n"/>
      <c r="U476" s="177" t="n"/>
      <c r="V476" s="177" t="n"/>
      <c r="W476" s="177" t="n"/>
    </row>
    <row r="477" ht="15.75" customHeight="1" s="297">
      <c r="A477" s="177" t="n"/>
      <c r="B477" s="177" t="n"/>
      <c r="C477" s="177" t="n"/>
      <c r="D477" s="177" t="n"/>
      <c r="E477" s="177" t="n"/>
      <c r="F477" s="177" t="n"/>
      <c r="G477" s="177" t="n"/>
      <c r="H477" s="177" t="n"/>
      <c r="I477" s="177" t="n"/>
      <c r="J477" s="177" t="n"/>
      <c r="K477" s="177" t="n"/>
      <c r="L477" s="177" t="n"/>
      <c r="M477" s="177" t="n"/>
      <c r="N477" s="177" t="n"/>
      <c r="O477" s="177" t="n"/>
      <c r="P477" s="177" t="n"/>
      <c r="Q477" s="177" t="n"/>
      <c r="R477" s="177" t="n"/>
      <c r="S477" s="177" t="n"/>
      <c r="T477" s="177" t="n"/>
      <c r="U477" s="177" t="n"/>
      <c r="V477" s="177" t="n"/>
      <c r="W477" s="177" t="n"/>
    </row>
    <row r="478" ht="15.75" customHeight="1" s="297">
      <c r="A478" s="177" t="n"/>
      <c r="B478" s="177" t="n"/>
      <c r="C478" s="177" t="n"/>
      <c r="D478" s="177" t="n"/>
      <c r="E478" s="177" t="n"/>
      <c r="F478" s="177" t="n"/>
      <c r="G478" s="177" t="n"/>
      <c r="H478" s="177" t="n"/>
      <c r="I478" s="177" t="n"/>
      <c r="J478" s="177" t="n"/>
      <c r="K478" s="177" t="n"/>
      <c r="L478" s="177" t="n"/>
      <c r="M478" s="177" t="n"/>
      <c r="N478" s="177" t="n"/>
      <c r="O478" s="177" t="n"/>
      <c r="P478" s="177" t="n"/>
      <c r="Q478" s="177" t="n"/>
      <c r="R478" s="177" t="n"/>
      <c r="S478" s="177" t="n"/>
      <c r="T478" s="177" t="n"/>
      <c r="U478" s="177" t="n"/>
      <c r="V478" s="177" t="n"/>
      <c r="W478" s="177" t="n"/>
    </row>
    <row r="479" ht="15.75" customHeight="1" s="297">
      <c r="A479" s="177" t="n"/>
      <c r="B479" s="177" t="n"/>
      <c r="C479" s="177" t="n"/>
      <c r="D479" s="177" t="n"/>
      <c r="E479" s="177" t="n"/>
      <c r="F479" s="177" t="n"/>
      <c r="G479" s="177" t="n"/>
      <c r="H479" s="177" t="n"/>
      <c r="I479" s="177" t="n"/>
      <c r="J479" s="177" t="n"/>
      <c r="K479" s="177" t="n"/>
      <c r="L479" s="177" t="n"/>
      <c r="M479" s="177" t="n"/>
      <c r="N479" s="177" t="n"/>
      <c r="O479" s="177" t="n"/>
      <c r="P479" s="177" t="n"/>
      <c r="Q479" s="177" t="n"/>
      <c r="R479" s="177" t="n"/>
      <c r="S479" s="177" t="n"/>
      <c r="T479" s="177" t="n"/>
      <c r="U479" s="177" t="n"/>
      <c r="V479" s="177" t="n"/>
      <c r="W479" s="177" t="n"/>
    </row>
    <row r="480" ht="15.75" customHeight="1" s="297">
      <c r="A480" s="177" t="n"/>
      <c r="B480" s="177" t="n"/>
      <c r="C480" s="177" t="n"/>
      <c r="D480" s="177" t="n"/>
      <c r="E480" s="177" t="n"/>
      <c r="F480" s="177" t="n"/>
      <c r="G480" s="177" t="n"/>
      <c r="H480" s="177" t="n"/>
      <c r="I480" s="177" t="n"/>
      <c r="J480" s="177" t="n"/>
      <c r="K480" s="177" t="n"/>
      <c r="L480" s="177" t="n"/>
      <c r="M480" s="177" t="n"/>
      <c r="N480" s="177" t="n"/>
      <c r="O480" s="177" t="n"/>
      <c r="P480" s="177" t="n"/>
      <c r="Q480" s="177" t="n"/>
      <c r="R480" s="177" t="n"/>
      <c r="S480" s="177" t="n"/>
      <c r="T480" s="177" t="n"/>
      <c r="U480" s="177" t="n"/>
      <c r="V480" s="177" t="n"/>
      <c r="W480" s="177" t="n"/>
    </row>
    <row r="481" ht="15.75" customHeight="1" s="297">
      <c r="A481" s="177" t="n"/>
      <c r="B481" s="177" t="n"/>
      <c r="C481" s="177" t="n"/>
      <c r="D481" s="177" t="n"/>
      <c r="E481" s="177" t="n"/>
      <c r="F481" s="177" t="n"/>
      <c r="G481" s="177" t="n"/>
      <c r="H481" s="177" t="n"/>
      <c r="I481" s="177" t="n"/>
      <c r="J481" s="177" t="n"/>
      <c r="K481" s="177" t="n"/>
      <c r="L481" s="177" t="n"/>
      <c r="M481" s="177" t="n"/>
      <c r="N481" s="177" t="n"/>
      <c r="O481" s="177" t="n"/>
      <c r="P481" s="177" t="n"/>
      <c r="Q481" s="177" t="n"/>
      <c r="R481" s="177" t="n"/>
      <c r="S481" s="177" t="n"/>
      <c r="T481" s="177" t="n"/>
      <c r="U481" s="177" t="n"/>
      <c r="V481" s="177" t="n"/>
      <c r="W481" s="177" t="n"/>
    </row>
    <row r="482" ht="15.75" customHeight="1" s="297">
      <c r="A482" s="177" t="n"/>
      <c r="B482" s="177" t="n"/>
      <c r="C482" s="177" t="n"/>
      <c r="D482" s="177" t="n"/>
      <c r="E482" s="177" t="n"/>
      <c r="F482" s="177" t="n"/>
      <c r="G482" s="177" t="n"/>
      <c r="H482" s="177" t="n"/>
      <c r="I482" s="177" t="n"/>
      <c r="J482" s="177" t="n"/>
      <c r="K482" s="177" t="n"/>
      <c r="L482" s="177" t="n"/>
      <c r="M482" s="177" t="n"/>
      <c r="N482" s="177" t="n"/>
      <c r="O482" s="177" t="n"/>
      <c r="P482" s="177" t="n"/>
      <c r="Q482" s="177" t="n"/>
      <c r="R482" s="177" t="n"/>
      <c r="S482" s="177" t="n"/>
      <c r="T482" s="177" t="n"/>
      <c r="U482" s="177" t="n"/>
      <c r="V482" s="177" t="n"/>
      <c r="W482" s="177" t="n"/>
    </row>
    <row r="483" ht="15.75" customHeight="1" s="297">
      <c r="A483" s="177" t="n"/>
      <c r="B483" s="177" t="n"/>
      <c r="C483" s="177" t="n"/>
      <c r="D483" s="177" t="n"/>
      <c r="E483" s="177" t="n"/>
      <c r="F483" s="177" t="n"/>
      <c r="G483" s="177" t="n"/>
      <c r="H483" s="177" t="n"/>
      <c r="I483" s="177" t="n"/>
      <c r="J483" s="177" t="n"/>
      <c r="K483" s="177" t="n"/>
      <c r="L483" s="177" t="n"/>
      <c r="M483" s="177" t="n"/>
      <c r="N483" s="177" t="n"/>
      <c r="O483" s="177" t="n"/>
      <c r="P483" s="177" t="n"/>
      <c r="Q483" s="177" t="n"/>
      <c r="R483" s="177" t="n"/>
      <c r="S483" s="177" t="n"/>
      <c r="T483" s="177" t="n"/>
      <c r="U483" s="177" t="n"/>
      <c r="V483" s="177" t="n"/>
      <c r="W483" s="177" t="n"/>
    </row>
    <row r="484" ht="15.75" customHeight="1" s="297">
      <c r="A484" s="177" t="n"/>
      <c r="B484" s="177" t="n"/>
      <c r="C484" s="177" t="n"/>
      <c r="D484" s="177" t="n"/>
      <c r="E484" s="177" t="n"/>
      <c r="F484" s="177" t="n"/>
      <c r="G484" s="177" t="n"/>
      <c r="H484" s="177" t="n"/>
      <c r="I484" s="177" t="n"/>
      <c r="J484" s="177" t="n"/>
      <c r="K484" s="177" t="n"/>
      <c r="L484" s="177" t="n"/>
      <c r="M484" s="177" t="n"/>
      <c r="N484" s="177" t="n"/>
      <c r="O484" s="177" t="n"/>
      <c r="P484" s="177" t="n"/>
      <c r="Q484" s="177" t="n"/>
      <c r="R484" s="177" t="n"/>
      <c r="S484" s="177" t="n"/>
      <c r="T484" s="177" t="n"/>
      <c r="U484" s="177" t="n"/>
      <c r="V484" s="177" t="n"/>
      <c r="W484" s="177" t="n"/>
    </row>
    <row r="485" ht="15.75" customHeight="1" s="297">
      <c r="A485" s="177" t="n"/>
      <c r="B485" s="177" t="n"/>
      <c r="C485" s="177" t="n"/>
      <c r="D485" s="177" t="n"/>
      <c r="E485" s="177" t="n"/>
      <c r="F485" s="177" t="n"/>
      <c r="G485" s="177" t="n"/>
      <c r="H485" s="177" t="n"/>
      <c r="I485" s="177" t="n"/>
      <c r="J485" s="177" t="n"/>
      <c r="K485" s="177" t="n"/>
      <c r="L485" s="177" t="n"/>
      <c r="M485" s="177" t="n"/>
      <c r="N485" s="177" t="n"/>
      <c r="O485" s="177" t="n"/>
      <c r="P485" s="177" t="n"/>
      <c r="Q485" s="177" t="n"/>
      <c r="R485" s="177" t="n"/>
      <c r="S485" s="177" t="n"/>
      <c r="T485" s="177" t="n"/>
      <c r="U485" s="177" t="n"/>
      <c r="V485" s="177" t="n"/>
      <c r="W485" s="177" t="n"/>
    </row>
    <row r="486" ht="15.75" customHeight="1" s="297">
      <c r="A486" s="177" t="n"/>
      <c r="B486" s="177" t="n"/>
      <c r="C486" s="177" t="n"/>
      <c r="D486" s="177" t="n"/>
      <c r="E486" s="177" t="n"/>
      <c r="F486" s="177" t="n"/>
      <c r="G486" s="177" t="n"/>
      <c r="H486" s="177" t="n"/>
      <c r="I486" s="177" t="n"/>
      <c r="J486" s="177" t="n"/>
      <c r="K486" s="177" t="n"/>
      <c r="L486" s="177" t="n"/>
      <c r="M486" s="177" t="n"/>
      <c r="N486" s="177" t="n"/>
      <c r="O486" s="177" t="n"/>
      <c r="P486" s="177" t="n"/>
      <c r="Q486" s="177" t="n"/>
      <c r="R486" s="177" t="n"/>
      <c r="S486" s="177" t="n"/>
      <c r="T486" s="177" t="n"/>
      <c r="U486" s="177" t="n"/>
      <c r="V486" s="177" t="n"/>
      <c r="W486" s="177" t="n"/>
    </row>
    <row r="487" ht="15.75" customHeight="1" s="297">
      <c r="A487" s="177" t="n"/>
      <c r="B487" s="177" t="n"/>
      <c r="C487" s="177" t="n"/>
      <c r="D487" s="177" t="n"/>
      <c r="E487" s="177" t="n"/>
      <c r="F487" s="177" t="n"/>
      <c r="G487" s="177" t="n"/>
      <c r="H487" s="177" t="n"/>
      <c r="I487" s="177" t="n"/>
      <c r="J487" s="177" t="n"/>
      <c r="K487" s="177" t="n"/>
      <c r="L487" s="177" t="n"/>
      <c r="M487" s="177" t="n"/>
      <c r="N487" s="177" t="n"/>
      <c r="O487" s="177" t="n"/>
      <c r="P487" s="177" t="n"/>
      <c r="Q487" s="177" t="n"/>
      <c r="R487" s="177" t="n"/>
      <c r="S487" s="177" t="n"/>
      <c r="T487" s="177" t="n"/>
      <c r="U487" s="177" t="n"/>
      <c r="V487" s="177" t="n"/>
      <c r="W487" s="177" t="n"/>
    </row>
    <row r="488" ht="15.75" customHeight="1" s="297">
      <c r="A488" s="177" t="n"/>
      <c r="B488" s="177" t="n"/>
      <c r="C488" s="177" t="n"/>
      <c r="D488" s="177" t="n"/>
      <c r="E488" s="177" t="n"/>
      <c r="F488" s="177" t="n"/>
      <c r="G488" s="177" t="n"/>
      <c r="H488" s="177" t="n"/>
      <c r="I488" s="177" t="n"/>
      <c r="J488" s="177" t="n"/>
      <c r="K488" s="177" t="n"/>
      <c r="L488" s="177" t="n"/>
      <c r="M488" s="177" t="n"/>
      <c r="N488" s="177" t="n"/>
      <c r="O488" s="177" t="n"/>
      <c r="P488" s="177" t="n"/>
      <c r="Q488" s="177" t="n"/>
      <c r="R488" s="177" t="n"/>
      <c r="S488" s="177" t="n"/>
      <c r="T488" s="177" t="n"/>
      <c r="U488" s="177" t="n"/>
      <c r="V488" s="177" t="n"/>
      <c r="W488" s="177" t="n"/>
    </row>
    <row r="489" ht="15.75" customHeight="1" s="297">
      <c r="A489" s="177" t="n"/>
      <c r="B489" s="177" t="n"/>
      <c r="C489" s="177" t="n"/>
      <c r="D489" s="177" t="n"/>
      <c r="E489" s="177" t="n"/>
      <c r="F489" s="177" t="n"/>
      <c r="G489" s="177" t="n"/>
      <c r="H489" s="177" t="n"/>
      <c r="I489" s="177" t="n"/>
      <c r="J489" s="177" t="n"/>
      <c r="K489" s="177" t="n"/>
      <c r="L489" s="177" t="n"/>
      <c r="M489" s="177" t="n"/>
      <c r="N489" s="177" t="n"/>
      <c r="O489" s="177" t="n"/>
      <c r="P489" s="177" t="n"/>
      <c r="Q489" s="177" t="n"/>
      <c r="R489" s="177" t="n"/>
      <c r="S489" s="177" t="n"/>
      <c r="T489" s="177" t="n"/>
      <c r="U489" s="177" t="n"/>
      <c r="V489" s="177" t="n"/>
      <c r="W489" s="177" t="n"/>
    </row>
    <row r="490" ht="15.75" customHeight="1" s="297">
      <c r="A490" s="177" t="n"/>
      <c r="B490" s="177" t="n"/>
      <c r="C490" s="177" t="n"/>
      <c r="D490" s="177" t="n"/>
      <c r="E490" s="177" t="n"/>
      <c r="F490" s="177" t="n"/>
      <c r="G490" s="177" t="n"/>
      <c r="H490" s="177" t="n"/>
      <c r="I490" s="177" t="n"/>
      <c r="J490" s="177" t="n"/>
      <c r="K490" s="177" t="n"/>
      <c r="L490" s="177" t="n"/>
      <c r="M490" s="177" t="n"/>
      <c r="N490" s="177" t="n"/>
      <c r="O490" s="177" t="n"/>
      <c r="P490" s="177" t="n"/>
      <c r="Q490" s="177" t="n"/>
      <c r="R490" s="177" t="n"/>
      <c r="S490" s="177" t="n"/>
      <c r="T490" s="177" t="n"/>
      <c r="U490" s="177" t="n"/>
      <c r="V490" s="177" t="n"/>
      <c r="W490" s="177" t="n"/>
    </row>
    <row r="491" ht="15.75" customHeight="1" s="297">
      <c r="A491" s="177" t="n"/>
      <c r="B491" s="177" t="n"/>
      <c r="C491" s="177" t="n"/>
      <c r="D491" s="177" t="n"/>
      <c r="E491" s="177" t="n"/>
      <c r="F491" s="177" t="n"/>
      <c r="G491" s="177" t="n"/>
      <c r="H491" s="177" t="n"/>
      <c r="I491" s="177" t="n"/>
      <c r="J491" s="177" t="n"/>
      <c r="K491" s="177" t="n"/>
      <c r="L491" s="177" t="n"/>
      <c r="M491" s="177" t="n"/>
      <c r="N491" s="177" t="n"/>
      <c r="O491" s="177" t="n"/>
      <c r="P491" s="177" t="n"/>
      <c r="Q491" s="177" t="n"/>
      <c r="R491" s="177" t="n"/>
      <c r="S491" s="177" t="n"/>
      <c r="T491" s="177" t="n"/>
      <c r="U491" s="177" t="n"/>
      <c r="V491" s="177" t="n"/>
      <c r="W491" s="177" t="n"/>
    </row>
    <row r="492" ht="15.75" customHeight="1" s="297">
      <c r="A492" s="177" t="n"/>
      <c r="B492" s="177" t="n"/>
      <c r="C492" s="177" t="n"/>
      <c r="D492" s="177" t="n"/>
      <c r="E492" s="177" t="n"/>
      <c r="F492" s="177" t="n"/>
      <c r="G492" s="177" t="n"/>
      <c r="H492" s="177" t="n"/>
      <c r="I492" s="177" t="n"/>
      <c r="J492" s="177" t="n"/>
      <c r="K492" s="177" t="n"/>
      <c r="L492" s="177" t="n"/>
      <c r="M492" s="177" t="n"/>
      <c r="N492" s="177" t="n"/>
      <c r="O492" s="177" t="n"/>
      <c r="P492" s="177" t="n"/>
      <c r="Q492" s="177" t="n"/>
      <c r="R492" s="177" t="n"/>
      <c r="S492" s="177" t="n"/>
      <c r="T492" s="177" t="n"/>
      <c r="U492" s="177" t="n"/>
      <c r="V492" s="177" t="n"/>
      <c r="W492" s="177" t="n"/>
    </row>
    <row r="493" ht="15.75" customHeight="1" s="297">
      <c r="A493" s="177" t="n"/>
      <c r="B493" s="177" t="n"/>
      <c r="C493" s="177" t="n"/>
      <c r="D493" s="177" t="n"/>
      <c r="E493" s="177" t="n"/>
      <c r="F493" s="177" t="n"/>
      <c r="G493" s="177" t="n"/>
      <c r="H493" s="177" t="n"/>
      <c r="I493" s="177" t="n"/>
      <c r="J493" s="177" t="n"/>
      <c r="K493" s="177" t="n"/>
      <c r="L493" s="177" t="n"/>
      <c r="M493" s="177" t="n"/>
      <c r="N493" s="177" t="n"/>
      <c r="O493" s="177" t="n"/>
      <c r="P493" s="177" t="n"/>
      <c r="Q493" s="177" t="n"/>
      <c r="R493" s="177" t="n"/>
      <c r="S493" s="177" t="n"/>
      <c r="T493" s="177" t="n"/>
      <c r="U493" s="177" t="n"/>
      <c r="V493" s="177" t="n"/>
      <c r="W493" s="177" t="n"/>
    </row>
    <row r="494" ht="15.75" customHeight="1" s="297">
      <c r="A494" s="177" t="n"/>
      <c r="B494" s="177" t="n"/>
      <c r="C494" s="177" t="n"/>
      <c r="D494" s="177" t="n"/>
      <c r="E494" s="177" t="n"/>
      <c r="F494" s="177" t="n"/>
      <c r="G494" s="177" t="n"/>
      <c r="H494" s="177" t="n"/>
      <c r="I494" s="177" t="n"/>
      <c r="J494" s="177" t="n"/>
      <c r="K494" s="177" t="n"/>
      <c r="L494" s="177" t="n"/>
      <c r="M494" s="177" t="n"/>
      <c r="N494" s="177" t="n"/>
      <c r="O494" s="177" t="n"/>
      <c r="P494" s="177" t="n"/>
      <c r="Q494" s="177" t="n"/>
      <c r="R494" s="177" t="n"/>
      <c r="S494" s="177" t="n"/>
      <c r="T494" s="177" t="n"/>
      <c r="U494" s="177" t="n"/>
      <c r="V494" s="177" t="n"/>
      <c r="W494" s="177" t="n"/>
    </row>
    <row r="495" ht="15.75" customHeight="1" s="297">
      <c r="A495" s="177" t="n"/>
      <c r="B495" s="177" t="n"/>
      <c r="C495" s="177" t="n"/>
      <c r="D495" s="177" t="n"/>
      <c r="E495" s="177" t="n"/>
      <c r="F495" s="177" t="n"/>
      <c r="G495" s="177" t="n"/>
      <c r="H495" s="177" t="n"/>
      <c r="I495" s="177" t="n"/>
      <c r="J495" s="177" t="n"/>
      <c r="K495" s="177" t="n"/>
      <c r="L495" s="177" t="n"/>
      <c r="M495" s="177" t="n"/>
      <c r="N495" s="177" t="n"/>
      <c r="O495" s="177" t="n"/>
      <c r="P495" s="177" t="n"/>
      <c r="Q495" s="177" t="n"/>
      <c r="R495" s="177" t="n"/>
      <c r="S495" s="177" t="n"/>
      <c r="T495" s="177" t="n"/>
      <c r="U495" s="177" t="n"/>
      <c r="V495" s="177" t="n"/>
      <c r="W495" s="177" t="n"/>
    </row>
    <row r="496" ht="15.75" customHeight="1" s="297">
      <c r="A496" s="177" t="n"/>
      <c r="B496" s="177" t="n"/>
      <c r="C496" s="177" t="n"/>
      <c r="D496" s="177" t="n"/>
      <c r="E496" s="177" t="n"/>
      <c r="F496" s="177" t="n"/>
      <c r="G496" s="177" t="n"/>
      <c r="H496" s="177" t="n"/>
      <c r="I496" s="177" t="n"/>
      <c r="J496" s="177" t="n"/>
      <c r="K496" s="177" t="n"/>
      <c r="L496" s="177" t="n"/>
      <c r="M496" s="177" t="n"/>
      <c r="N496" s="177" t="n"/>
      <c r="O496" s="177" t="n"/>
      <c r="P496" s="177" t="n"/>
      <c r="Q496" s="177" t="n"/>
      <c r="R496" s="177" t="n"/>
      <c r="S496" s="177" t="n"/>
      <c r="T496" s="177" t="n"/>
      <c r="U496" s="177" t="n"/>
      <c r="V496" s="177" t="n"/>
      <c r="W496" s="177" t="n"/>
    </row>
    <row r="497" ht="15.75" customHeight="1" s="297">
      <c r="A497" s="177" t="n"/>
      <c r="B497" s="177" t="n"/>
      <c r="C497" s="177" t="n"/>
      <c r="D497" s="177" t="n"/>
      <c r="E497" s="177" t="n"/>
      <c r="F497" s="177" t="n"/>
      <c r="G497" s="177" t="n"/>
      <c r="H497" s="177" t="n"/>
      <c r="I497" s="177" t="n"/>
      <c r="J497" s="177" t="n"/>
      <c r="K497" s="177" t="n"/>
      <c r="L497" s="177" t="n"/>
      <c r="M497" s="177" t="n"/>
      <c r="N497" s="177" t="n"/>
      <c r="O497" s="177" t="n"/>
      <c r="P497" s="177" t="n"/>
      <c r="Q497" s="177" t="n"/>
      <c r="R497" s="177" t="n"/>
      <c r="S497" s="177" t="n"/>
      <c r="T497" s="177" t="n"/>
      <c r="U497" s="177" t="n"/>
      <c r="V497" s="177" t="n"/>
      <c r="W497" s="177" t="n"/>
    </row>
    <row r="498" ht="15.75" customHeight="1" s="297">
      <c r="A498" s="177" t="n"/>
      <c r="B498" s="177" t="n"/>
      <c r="C498" s="177" t="n"/>
      <c r="D498" s="177" t="n"/>
      <c r="E498" s="177" t="n"/>
      <c r="F498" s="177" t="n"/>
      <c r="G498" s="177" t="n"/>
      <c r="H498" s="177" t="n"/>
      <c r="I498" s="177" t="n"/>
      <c r="J498" s="177" t="n"/>
      <c r="K498" s="177" t="n"/>
      <c r="L498" s="177" t="n"/>
      <c r="M498" s="177" t="n"/>
      <c r="N498" s="177" t="n"/>
      <c r="O498" s="177" t="n"/>
      <c r="P498" s="177" t="n"/>
      <c r="Q498" s="177" t="n"/>
      <c r="R498" s="177" t="n"/>
      <c r="S498" s="177" t="n"/>
      <c r="T498" s="177" t="n"/>
      <c r="U498" s="177" t="n"/>
      <c r="V498" s="177" t="n"/>
      <c r="W498" s="177" t="n"/>
    </row>
    <row r="499" ht="15.75" customHeight="1" s="297">
      <c r="A499" s="177" t="n"/>
      <c r="B499" s="177" t="n"/>
      <c r="C499" s="177" t="n"/>
      <c r="D499" s="177" t="n"/>
      <c r="E499" s="177" t="n"/>
      <c r="F499" s="177" t="n"/>
      <c r="G499" s="177" t="n"/>
      <c r="H499" s="177" t="n"/>
      <c r="I499" s="177" t="n"/>
      <c r="J499" s="177" t="n"/>
      <c r="K499" s="177" t="n"/>
      <c r="L499" s="177" t="n"/>
      <c r="M499" s="177" t="n"/>
      <c r="N499" s="177" t="n"/>
      <c r="O499" s="177" t="n"/>
      <c r="P499" s="177" t="n"/>
      <c r="Q499" s="177" t="n"/>
      <c r="R499" s="177" t="n"/>
      <c r="S499" s="177" t="n"/>
      <c r="T499" s="177" t="n"/>
      <c r="U499" s="177" t="n"/>
      <c r="V499" s="177" t="n"/>
      <c r="W499" s="177" t="n"/>
    </row>
    <row r="500" ht="15.75" customHeight="1" s="297">
      <c r="A500" s="177" t="n"/>
      <c r="B500" s="177" t="n"/>
      <c r="C500" s="177" t="n"/>
      <c r="D500" s="177" t="n"/>
      <c r="E500" s="177" t="n"/>
      <c r="F500" s="177" t="n"/>
      <c r="G500" s="177" t="n"/>
      <c r="H500" s="177" t="n"/>
      <c r="I500" s="177" t="n"/>
      <c r="J500" s="177" t="n"/>
      <c r="K500" s="177" t="n"/>
      <c r="L500" s="177" t="n"/>
      <c r="M500" s="177" t="n"/>
      <c r="N500" s="177" t="n"/>
      <c r="O500" s="177" t="n"/>
      <c r="P500" s="177" t="n"/>
      <c r="Q500" s="177" t="n"/>
      <c r="R500" s="177" t="n"/>
      <c r="S500" s="177" t="n"/>
      <c r="T500" s="177" t="n"/>
      <c r="U500" s="177" t="n"/>
      <c r="V500" s="177" t="n"/>
      <c r="W500" s="177" t="n"/>
    </row>
    <row r="501" ht="15.75" customHeight="1" s="297">
      <c r="A501" s="177" t="n"/>
      <c r="B501" s="177" t="n"/>
      <c r="C501" s="177" t="n"/>
      <c r="D501" s="177" t="n"/>
      <c r="E501" s="177" t="n"/>
      <c r="F501" s="177" t="n"/>
      <c r="G501" s="177" t="n"/>
      <c r="H501" s="177" t="n"/>
      <c r="I501" s="177" t="n"/>
      <c r="J501" s="177" t="n"/>
      <c r="K501" s="177" t="n"/>
      <c r="L501" s="177" t="n"/>
      <c r="M501" s="177" t="n"/>
      <c r="N501" s="177" t="n"/>
      <c r="O501" s="177" t="n"/>
      <c r="P501" s="177" t="n"/>
      <c r="Q501" s="177" t="n"/>
      <c r="R501" s="177" t="n"/>
      <c r="S501" s="177" t="n"/>
      <c r="T501" s="177" t="n"/>
      <c r="U501" s="177" t="n"/>
      <c r="V501" s="177" t="n"/>
      <c r="W501" s="177" t="n"/>
    </row>
    <row r="502" ht="15.75" customHeight="1" s="297">
      <c r="A502" s="177" t="n"/>
      <c r="B502" s="177" t="n"/>
      <c r="C502" s="177" t="n"/>
      <c r="D502" s="177" t="n"/>
      <c r="E502" s="177" t="n"/>
      <c r="F502" s="177" t="n"/>
      <c r="G502" s="177" t="n"/>
      <c r="H502" s="177" t="n"/>
      <c r="I502" s="177" t="n"/>
      <c r="J502" s="177" t="n"/>
      <c r="K502" s="177" t="n"/>
      <c r="L502" s="177" t="n"/>
      <c r="M502" s="177" t="n"/>
      <c r="N502" s="177" t="n"/>
      <c r="O502" s="177" t="n"/>
      <c r="P502" s="177" t="n"/>
      <c r="Q502" s="177" t="n"/>
      <c r="R502" s="177" t="n"/>
      <c r="S502" s="177" t="n"/>
      <c r="T502" s="177" t="n"/>
      <c r="U502" s="177" t="n"/>
      <c r="V502" s="177" t="n"/>
      <c r="W502" s="177" t="n"/>
    </row>
    <row r="503" ht="15.75" customHeight="1" s="297">
      <c r="A503" s="177" t="n"/>
      <c r="B503" s="177" t="n"/>
      <c r="C503" s="177" t="n"/>
      <c r="D503" s="177" t="n"/>
      <c r="E503" s="177" t="n"/>
      <c r="F503" s="177" t="n"/>
      <c r="G503" s="177" t="n"/>
      <c r="H503" s="177" t="n"/>
      <c r="I503" s="177" t="n"/>
      <c r="J503" s="177" t="n"/>
      <c r="K503" s="177" t="n"/>
      <c r="L503" s="177" t="n"/>
      <c r="M503" s="177" t="n"/>
      <c r="N503" s="177" t="n"/>
      <c r="O503" s="177" t="n"/>
      <c r="P503" s="177" t="n"/>
      <c r="Q503" s="177" t="n"/>
      <c r="R503" s="177" t="n"/>
      <c r="S503" s="177" t="n"/>
      <c r="T503" s="177" t="n"/>
      <c r="U503" s="177" t="n"/>
      <c r="V503" s="177" t="n"/>
      <c r="W503" s="177" t="n"/>
    </row>
    <row r="504" ht="15.75" customHeight="1" s="297">
      <c r="A504" s="177" t="n"/>
      <c r="B504" s="177" t="n"/>
      <c r="C504" s="177" t="n"/>
      <c r="D504" s="177" t="n"/>
      <c r="E504" s="177" t="n"/>
      <c r="F504" s="177" t="n"/>
      <c r="G504" s="177" t="n"/>
      <c r="H504" s="177" t="n"/>
      <c r="I504" s="177" t="n"/>
      <c r="J504" s="177" t="n"/>
      <c r="K504" s="177" t="n"/>
      <c r="L504" s="177" t="n"/>
      <c r="M504" s="177" t="n"/>
      <c r="N504" s="177" t="n"/>
      <c r="O504" s="177" t="n"/>
      <c r="P504" s="177" t="n"/>
      <c r="Q504" s="177" t="n"/>
      <c r="R504" s="177" t="n"/>
      <c r="S504" s="177" t="n"/>
      <c r="T504" s="177" t="n"/>
      <c r="U504" s="177" t="n"/>
      <c r="V504" s="177" t="n"/>
      <c r="W504" s="177" t="n"/>
    </row>
    <row r="505" ht="15.75" customHeight="1" s="297">
      <c r="A505" s="177" t="n"/>
      <c r="B505" s="177" t="n"/>
      <c r="C505" s="177" t="n"/>
      <c r="D505" s="177" t="n"/>
      <c r="E505" s="177" t="n"/>
      <c r="F505" s="177" t="n"/>
      <c r="G505" s="177" t="n"/>
      <c r="H505" s="177" t="n"/>
      <c r="I505" s="177" t="n"/>
      <c r="J505" s="177" t="n"/>
      <c r="K505" s="177" t="n"/>
      <c r="L505" s="177" t="n"/>
      <c r="M505" s="177" t="n"/>
      <c r="N505" s="177" t="n"/>
      <c r="O505" s="177" t="n"/>
      <c r="P505" s="177" t="n"/>
      <c r="Q505" s="177" t="n"/>
      <c r="R505" s="177" t="n"/>
      <c r="S505" s="177" t="n"/>
      <c r="T505" s="177" t="n"/>
      <c r="U505" s="177" t="n"/>
      <c r="V505" s="177" t="n"/>
      <c r="W505" s="177" t="n"/>
    </row>
    <row r="506" ht="15.75" customHeight="1" s="297">
      <c r="A506" s="177" t="n"/>
      <c r="B506" s="177" t="n"/>
      <c r="C506" s="177" t="n"/>
      <c r="D506" s="177" t="n"/>
      <c r="E506" s="177" t="n"/>
      <c r="F506" s="177" t="n"/>
      <c r="G506" s="177" t="n"/>
      <c r="H506" s="177" t="n"/>
      <c r="I506" s="177" t="n"/>
      <c r="J506" s="177" t="n"/>
      <c r="K506" s="177" t="n"/>
      <c r="L506" s="177" t="n"/>
      <c r="M506" s="177" t="n"/>
      <c r="N506" s="177" t="n"/>
      <c r="O506" s="177" t="n"/>
      <c r="P506" s="177" t="n"/>
      <c r="Q506" s="177" t="n"/>
      <c r="R506" s="177" t="n"/>
      <c r="S506" s="177" t="n"/>
      <c r="T506" s="177" t="n"/>
      <c r="U506" s="177" t="n"/>
      <c r="V506" s="177" t="n"/>
      <c r="W506" s="177" t="n"/>
    </row>
    <row r="507" ht="15.75" customHeight="1" s="297">
      <c r="A507" s="177" t="n"/>
      <c r="B507" s="177" t="n"/>
      <c r="C507" s="177" t="n"/>
      <c r="D507" s="177" t="n"/>
      <c r="E507" s="177" t="n"/>
      <c r="F507" s="177" t="n"/>
      <c r="G507" s="177" t="n"/>
      <c r="H507" s="177" t="n"/>
      <c r="I507" s="177" t="n"/>
      <c r="J507" s="177" t="n"/>
      <c r="K507" s="177" t="n"/>
      <c r="L507" s="177" t="n"/>
      <c r="M507" s="177" t="n"/>
      <c r="N507" s="177" t="n"/>
      <c r="O507" s="177" t="n"/>
      <c r="P507" s="177" t="n"/>
      <c r="Q507" s="177" t="n"/>
      <c r="R507" s="177" t="n"/>
      <c r="S507" s="177" t="n"/>
      <c r="T507" s="177" t="n"/>
      <c r="U507" s="177" t="n"/>
      <c r="V507" s="177" t="n"/>
      <c r="W507" s="177" t="n"/>
    </row>
    <row r="508" ht="15.75" customHeight="1" s="297">
      <c r="A508" s="177" t="n"/>
      <c r="B508" s="177" t="n"/>
      <c r="C508" s="177" t="n"/>
      <c r="D508" s="177" t="n"/>
      <c r="E508" s="177" t="n"/>
      <c r="F508" s="177" t="n"/>
      <c r="G508" s="177" t="n"/>
      <c r="H508" s="177" t="n"/>
      <c r="I508" s="177" t="n"/>
      <c r="J508" s="177" t="n"/>
      <c r="K508" s="177" t="n"/>
      <c r="L508" s="177" t="n"/>
      <c r="M508" s="177" t="n"/>
      <c r="N508" s="177" t="n"/>
      <c r="O508" s="177" t="n"/>
      <c r="P508" s="177" t="n"/>
      <c r="Q508" s="177" t="n"/>
      <c r="R508" s="177" t="n"/>
      <c r="S508" s="177" t="n"/>
      <c r="T508" s="177" t="n"/>
      <c r="U508" s="177" t="n"/>
      <c r="V508" s="177" t="n"/>
      <c r="W508" s="177" t="n"/>
    </row>
    <row r="509" ht="15.75" customHeight="1" s="297">
      <c r="A509" s="177" t="n"/>
      <c r="B509" s="177" t="n"/>
      <c r="C509" s="177" t="n"/>
      <c r="D509" s="177" t="n"/>
      <c r="E509" s="177" t="n"/>
      <c r="F509" s="177" t="n"/>
      <c r="G509" s="177" t="n"/>
      <c r="H509" s="177" t="n"/>
      <c r="I509" s="177" t="n"/>
      <c r="J509" s="177" t="n"/>
      <c r="K509" s="177" t="n"/>
      <c r="L509" s="177" t="n"/>
      <c r="M509" s="177" t="n"/>
      <c r="N509" s="177" t="n"/>
      <c r="O509" s="177" t="n"/>
      <c r="P509" s="177" t="n"/>
      <c r="Q509" s="177" t="n"/>
      <c r="R509" s="177" t="n"/>
      <c r="S509" s="177" t="n"/>
      <c r="T509" s="177" t="n"/>
      <c r="U509" s="177" t="n"/>
      <c r="V509" s="177" t="n"/>
      <c r="W509" s="177" t="n"/>
    </row>
    <row r="510" ht="15.75" customHeight="1" s="297">
      <c r="A510" s="177" t="n"/>
      <c r="B510" s="177" t="n"/>
      <c r="C510" s="177" t="n"/>
      <c r="D510" s="177" t="n"/>
      <c r="E510" s="177" t="n"/>
      <c r="F510" s="177" t="n"/>
      <c r="G510" s="177" t="n"/>
      <c r="H510" s="177" t="n"/>
      <c r="I510" s="177" t="n"/>
      <c r="J510" s="177" t="n"/>
      <c r="K510" s="177" t="n"/>
      <c r="L510" s="177" t="n"/>
      <c r="M510" s="177" t="n"/>
      <c r="N510" s="177" t="n"/>
      <c r="O510" s="177" t="n"/>
      <c r="P510" s="177" t="n"/>
      <c r="Q510" s="177" t="n"/>
      <c r="R510" s="177" t="n"/>
      <c r="S510" s="177" t="n"/>
      <c r="T510" s="177" t="n"/>
      <c r="U510" s="177" t="n"/>
      <c r="V510" s="177" t="n"/>
      <c r="W510" s="177" t="n"/>
    </row>
    <row r="511" ht="15.75" customHeight="1" s="297">
      <c r="A511" s="177" t="n"/>
      <c r="B511" s="177" t="n"/>
      <c r="C511" s="177" t="n"/>
      <c r="D511" s="177" t="n"/>
      <c r="E511" s="177" t="n"/>
      <c r="F511" s="177" t="n"/>
      <c r="G511" s="177" t="n"/>
      <c r="H511" s="177" t="n"/>
      <c r="I511" s="177" t="n"/>
      <c r="J511" s="177" t="n"/>
      <c r="K511" s="177" t="n"/>
      <c r="L511" s="177" t="n"/>
      <c r="M511" s="177" t="n"/>
      <c r="N511" s="177" t="n"/>
      <c r="O511" s="177" t="n"/>
      <c r="P511" s="177" t="n"/>
      <c r="Q511" s="177" t="n"/>
      <c r="R511" s="177" t="n"/>
      <c r="S511" s="177" t="n"/>
      <c r="T511" s="177" t="n"/>
      <c r="U511" s="177" t="n"/>
      <c r="V511" s="177" t="n"/>
      <c r="W511" s="177" t="n"/>
    </row>
    <row r="512" ht="15.75" customHeight="1" s="297">
      <c r="A512" s="177" t="n"/>
      <c r="B512" s="177" t="n"/>
      <c r="C512" s="177" t="n"/>
      <c r="D512" s="177" t="n"/>
      <c r="E512" s="177" t="n"/>
      <c r="F512" s="177" t="n"/>
      <c r="G512" s="177" t="n"/>
      <c r="H512" s="177" t="n"/>
      <c r="I512" s="177" t="n"/>
      <c r="J512" s="177" t="n"/>
      <c r="K512" s="177" t="n"/>
      <c r="L512" s="177" t="n"/>
      <c r="M512" s="177" t="n"/>
      <c r="N512" s="177" t="n"/>
      <c r="O512" s="177" t="n"/>
      <c r="P512" s="177" t="n"/>
      <c r="Q512" s="177" t="n"/>
      <c r="R512" s="177" t="n"/>
      <c r="S512" s="177" t="n"/>
      <c r="T512" s="177" t="n"/>
      <c r="U512" s="177" t="n"/>
      <c r="V512" s="177" t="n"/>
      <c r="W512" s="177" t="n"/>
    </row>
    <row r="513" ht="15.75" customHeight="1" s="297">
      <c r="A513" s="177" t="n"/>
      <c r="B513" s="177" t="n"/>
      <c r="C513" s="177" t="n"/>
      <c r="D513" s="177" t="n"/>
      <c r="E513" s="177" t="n"/>
      <c r="F513" s="177" t="n"/>
      <c r="G513" s="177" t="n"/>
      <c r="H513" s="177" t="n"/>
      <c r="I513" s="177" t="n"/>
      <c r="J513" s="177" t="n"/>
      <c r="K513" s="177" t="n"/>
      <c r="L513" s="177" t="n"/>
      <c r="M513" s="177" t="n"/>
      <c r="N513" s="177" t="n"/>
      <c r="O513" s="177" t="n"/>
      <c r="P513" s="177" t="n"/>
      <c r="Q513" s="177" t="n"/>
      <c r="R513" s="177" t="n"/>
      <c r="S513" s="177" t="n"/>
      <c r="T513" s="177" t="n"/>
      <c r="U513" s="177" t="n"/>
      <c r="V513" s="177" t="n"/>
      <c r="W513" s="177" t="n"/>
    </row>
    <row r="514" ht="15.75" customHeight="1" s="297">
      <c r="A514" s="177" t="n"/>
      <c r="B514" s="177" t="n"/>
      <c r="C514" s="177" t="n"/>
      <c r="D514" s="177" t="n"/>
      <c r="E514" s="177" t="n"/>
      <c r="F514" s="177" t="n"/>
      <c r="G514" s="177" t="n"/>
      <c r="H514" s="177" t="n"/>
      <c r="I514" s="177" t="n"/>
      <c r="J514" s="177" t="n"/>
      <c r="K514" s="177" t="n"/>
      <c r="L514" s="177" t="n"/>
      <c r="M514" s="177" t="n"/>
      <c r="N514" s="177" t="n"/>
      <c r="O514" s="177" t="n"/>
      <c r="P514" s="177" t="n"/>
      <c r="Q514" s="177" t="n"/>
      <c r="R514" s="177" t="n"/>
      <c r="S514" s="177" t="n"/>
      <c r="T514" s="177" t="n"/>
      <c r="U514" s="177" t="n"/>
      <c r="V514" s="177" t="n"/>
      <c r="W514" s="177" t="n"/>
    </row>
    <row r="515" ht="15.75" customHeight="1" s="297">
      <c r="A515" s="177" t="n"/>
      <c r="B515" s="177" t="n"/>
      <c r="C515" s="177" t="n"/>
      <c r="D515" s="177" t="n"/>
      <c r="E515" s="177" t="n"/>
      <c r="F515" s="177" t="n"/>
      <c r="G515" s="177" t="n"/>
      <c r="H515" s="177" t="n"/>
      <c r="I515" s="177" t="n"/>
      <c r="J515" s="177" t="n"/>
      <c r="K515" s="177" t="n"/>
      <c r="L515" s="177" t="n"/>
      <c r="M515" s="177" t="n"/>
      <c r="N515" s="177" t="n"/>
      <c r="O515" s="177" t="n"/>
      <c r="P515" s="177" t="n"/>
      <c r="Q515" s="177" t="n"/>
      <c r="R515" s="177" t="n"/>
      <c r="S515" s="177" t="n"/>
      <c r="T515" s="177" t="n"/>
      <c r="U515" s="177" t="n"/>
      <c r="V515" s="177" t="n"/>
      <c r="W515" s="177" t="n"/>
    </row>
    <row r="516" ht="15.75" customHeight="1" s="297">
      <c r="A516" s="177" t="n"/>
      <c r="B516" s="177" t="n"/>
      <c r="C516" s="177" t="n"/>
      <c r="D516" s="177" t="n"/>
      <c r="E516" s="177" t="n"/>
      <c r="F516" s="177" t="n"/>
      <c r="G516" s="177" t="n"/>
      <c r="H516" s="177" t="n"/>
      <c r="I516" s="177" t="n"/>
      <c r="J516" s="177" t="n"/>
      <c r="K516" s="177" t="n"/>
      <c r="L516" s="177" t="n"/>
      <c r="M516" s="177" t="n"/>
      <c r="N516" s="177" t="n"/>
      <c r="O516" s="177" t="n"/>
      <c r="P516" s="177" t="n"/>
      <c r="Q516" s="177" t="n"/>
      <c r="R516" s="177" t="n"/>
      <c r="S516" s="177" t="n"/>
      <c r="T516" s="177" t="n"/>
      <c r="U516" s="177" t="n"/>
      <c r="V516" s="177" t="n"/>
      <c r="W516" s="177" t="n"/>
    </row>
    <row r="517" ht="15.75" customHeight="1" s="297">
      <c r="A517" s="177" t="n"/>
      <c r="B517" s="177" t="n"/>
      <c r="C517" s="177" t="n"/>
      <c r="D517" s="177" t="n"/>
      <c r="E517" s="177" t="n"/>
      <c r="F517" s="177" t="n"/>
      <c r="G517" s="177" t="n"/>
      <c r="H517" s="177" t="n"/>
      <c r="I517" s="177" t="n"/>
      <c r="J517" s="177" t="n"/>
      <c r="K517" s="177" t="n"/>
      <c r="L517" s="177" t="n"/>
      <c r="M517" s="177" t="n"/>
      <c r="N517" s="177" t="n"/>
      <c r="O517" s="177" t="n"/>
      <c r="P517" s="177" t="n"/>
      <c r="Q517" s="177" t="n"/>
      <c r="R517" s="177" t="n"/>
      <c r="S517" s="177" t="n"/>
      <c r="T517" s="177" t="n"/>
      <c r="U517" s="177" t="n"/>
      <c r="V517" s="177" t="n"/>
      <c r="W517" s="177" t="n"/>
    </row>
    <row r="518" ht="15.75" customHeight="1" s="297">
      <c r="A518" s="177" t="n"/>
      <c r="B518" s="177" t="n"/>
      <c r="C518" s="177" t="n"/>
      <c r="D518" s="177" t="n"/>
      <c r="E518" s="177" t="n"/>
      <c r="F518" s="177" t="n"/>
      <c r="G518" s="177" t="n"/>
      <c r="H518" s="177" t="n"/>
      <c r="I518" s="177" t="n"/>
      <c r="J518" s="177" t="n"/>
      <c r="K518" s="177" t="n"/>
      <c r="L518" s="177" t="n"/>
      <c r="M518" s="177" t="n"/>
      <c r="N518" s="177" t="n"/>
      <c r="O518" s="177" t="n"/>
      <c r="P518" s="177" t="n"/>
      <c r="Q518" s="177" t="n"/>
      <c r="R518" s="177" t="n"/>
      <c r="S518" s="177" t="n"/>
      <c r="T518" s="177" t="n"/>
      <c r="U518" s="177" t="n"/>
      <c r="V518" s="177" t="n"/>
      <c r="W518" s="177" t="n"/>
    </row>
    <row r="519" ht="15.75" customHeight="1" s="297">
      <c r="A519" s="177" t="n"/>
      <c r="B519" s="177" t="n"/>
      <c r="C519" s="177" t="n"/>
      <c r="D519" s="177" t="n"/>
      <c r="E519" s="177" t="n"/>
      <c r="F519" s="177" t="n"/>
      <c r="G519" s="177" t="n"/>
      <c r="H519" s="177" t="n"/>
      <c r="I519" s="177" t="n"/>
      <c r="J519" s="177" t="n"/>
      <c r="K519" s="177" t="n"/>
      <c r="L519" s="177" t="n"/>
      <c r="M519" s="177" t="n"/>
      <c r="N519" s="177" t="n"/>
      <c r="O519" s="177" t="n"/>
      <c r="P519" s="177" t="n"/>
      <c r="Q519" s="177" t="n"/>
      <c r="R519" s="177" t="n"/>
      <c r="S519" s="177" t="n"/>
      <c r="T519" s="177" t="n"/>
      <c r="U519" s="177" t="n"/>
      <c r="V519" s="177" t="n"/>
      <c r="W519" s="177" t="n"/>
    </row>
    <row r="520" ht="15.75" customHeight="1" s="297">
      <c r="A520" s="177" t="n"/>
      <c r="B520" s="177" t="n"/>
      <c r="C520" s="177" t="n"/>
      <c r="D520" s="177" t="n"/>
      <c r="E520" s="177" t="n"/>
      <c r="F520" s="177" t="n"/>
      <c r="G520" s="177" t="n"/>
      <c r="H520" s="177" t="n"/>
      <c r="I520" s="177" t="n"/>
      <c r="J520" s="177" t="n"/>
      <c r="K520" s="177" t="n"/>
      <c r="L520" s="177" t="n"/>
      <c r="M520" s="177" t="n"/>
      <c r="N520" s="177" t="n"/>
      <c r="O520" s="177" t="n"/>
      <c r="P520" s="177" t="n"/>
      <c r="Q520" s="177" t="n"/>
      <c r="R520" s="177" t="n"/>
      <c r="S520" s="177" t="n"/>
      <c r="T520" s="177" t="n"/>
      <c r="U520" s="177" t="n"/>
      <c r="V520" s="177" t="n"/>
      <c r="W520" s="177" t="n"/>
    </row>
    <row r="521" ht="15.75" customHeight="1" s="297">
      <c r="A521" s="177" t="n"/>
      <c r="B521" s="177" t="n"/>
      <c r="C521" s="177" t="n"/>
      <c r="D521" s="177" t="n"/>
      <c r="E521" s="177" t="n"/>
      <c r="F521" s="177" t="n"/>
      <c r="G521" s="177" t="n"/>
      <c r="H521" s="177" t="n"/>
      <c r="I521" s="177" t="n"/>
      <c r="J521" s="177" t="n"/>
      <c r="K521" s="177" t="n"/>
      <c r="L521" s="177" t="n"/>
      <c r="M521" s="177" t="n"/>
      <c r="N521" s="177" t="n"/>
      <c r="O521" s="177" t="n"/>
      <c r="P521" s="177" t="n"/>
      <c r="Q521" s="177" t="n"/>
      <c r="R521" s="177" t="n"/>
      <c r="S521" s="177" t="n"/>
      <c r="T521" s="177" t="n"/>
      <c r="U521" s="177" t="n"/>
      <c r="V521" s="177" t="n"/>
      <c r="W521" s="177" t="n"/>
    </row>
    <row r="522" ht="15.75" customHeight="1" s="297">
      <c r="A522" s="177" t="n"/>
      <c r="B522" s="177" t="n"/>
      <c r="C522" s="177" t="n"/>
      <c r="D522" s="177" t="n"/>
      <c r="E522" s="177" t="n"/>
      <c r="F522" s="177" t="n"/>
      <c r="G522" s="177" t="n"/>
      <c r="H522" s="177" t="n"/>
      <c r="I522" s="177" t="n"/>
      <c r="J522" s="177" t="n"/>
      <c r="K522" s="177" t="n"/>
      <c r="L522" s="177" t="n"/>
      <c r="M522" s="177" t="n"/>
      <c r="N522" s="177" t="n"/>
      <c r="O522" s="177" t="n"/>
      <c r="P522" s="177" t="n"/>
      <c r="Q522" s="177" t="n"/>
      <c r="R522" s="177" t="n"/>
      <c r="S522" s="177" t="n"/>
      <c r="T522" s="177" t="n"/>
      <c r="U522" s="177" t="n"/>
      <c r="V522" s="177" t="n"/>
      <c r="W522" s="177" t="n"/>
    </row>
    <row r="523" ht="15.75" customHeight="1" s="297">
      <c r="A523" s="177" t="n"/>
      <c r="B523" s="177" t="n"/>
      <c r="C523" s="177" t="n"/>
      <c r="D523" s="177" t="n"/>
      <c r="E523" s="177" t="n"/>
      <c r="F523" s="177" t="n"/>
      <c r="G523" s="177" t="n"/>
      <c r="H523" s="177" t="n"/>
      <c r="I523" s="177" t="n"/>
      <c r="J523" s="177" t="n"/>
      <c r="K523" s="177" t="n"/>
      <c r="L523" s="177" t="n"/>
      <c r="M523" s="177" t="n"/>
      <c r="N523" s="177" t="n"/>
      <c r="O523" s="177" t="n"/>
      <c r="P523" s="177" t="n"/>
      <c r="Q523" s="177" t="n"/>
      <c r="R523" s="177" t="n"/>
      <c r="S523" s="177" t="n"/>
      <c r="T523" s="177" t="n"/>
      <c r="U523" s="177" t="n"/>
      <c r="V523" s="177" t="n"/>
      <c r="W523" s="177" t="n"/>
    </row>
    <row r="524" ht="15.75" customHeight="1" s="297">
      <c r="A524" s="177" t="n"/>
      <c r="B524" s="177" t="n"/>
      <c r="C524" s="177" t="n"/>
      <c r="D524" s="177" t="n"/>
      <c r="E524" s="177" t="n"/>
      <c r="F524" s="177" t="n"/>
      <c r="G524" s="177" t="n"/>
      <c r="H524" s="177" t="n"/>
      <c r="I524" s="177" t="n"/>
      <c r="J524" s="177" t="n"/>
      <c r="K524" s="177" t="n"/>
      <c r="L524" s="177" t="n"/>
      <c r="M524" s="177" t="n"/>
      <c r="N524" s="177" t="n"/>
      <c r="O524" s="177" t="n"/>
      <c r="P524" s="177" t="n"/>
      <c r="Q524" s="177" t="n"/>
      <c r="R524" s="177" t="n"/>
      <c r="S524" s="177" t="n"/>
      <c r="T524" s="177" t="n"/>
      <c r="U524" s="177" t="n"/>
      <c r="V524" s="177" t="n"/>
      <c r="W524" s="177" t="n"/>
    </row>
    <row r="525" ht="15.75" customHeight="1" s="297">
      <c r="A525" s="177" t="n"/>
      <c r="B525" s="177" t="n"/>
      <c r="C525" s="177" t="n"/>
      <c r="D525" s="177" t="n"/>
      <c r="E525" s="177" t="n"/>
      <c r="F525" s="177" t="n"/>
      <c r="G525" s="177" t="n"/>
      <c r="H525" s="177" t="n"/>
      <c r="I525" s="177" t="n"/>
      <c r="J525" s="177" t="n"/>
      <c r="K525" s="177" t="n"/>
      <c r="L525" s="177" t="n"/>
      <c r="M525" s="177" t="n"/>
      <c r="N525" s="177" t="n"/>
      <c r="O525" s="177" t="n"/>
      <c r="P525" s="177" t="n"/>
      <c r="Q525" s="177" t="n"/>
      <c r="R525" s="177" t="n"/>
      <c r="S525" s="177" t="n"/>
      <c r="T525" s="177" t="n"/>
      <c r="U525" s="177" t="n"/>
      <c r="V525" s="177" t="n"/>
      <c r="W525" s="177" t="n"/>
    </row>
    <row r="526" ht="15.75" customHeight="1" s="297">
      <c r="A526" s="177" t="n"/>
      <c r="B526" s="177" t="n"/>
      <c r="C526" s="177" t="n"/>
      <c r="D526" s="177" t="n"/>
      <c r="E526" s="177" t="n"/>
      <c r="F526" s="177" t="n"/>
      <c r="G526" s="177" t="n"/>
      <c r="H526" s="177" t="n"/>
      <c r="I526" s="177" t="n"/>
      <c r="J526" s="177" t="n"/>
      <c r="K526" s="177" t="n"/>
      <c r="L526" s="177" t="n"/>
      <c r="M526" s="177" t="n"/>
      <c r="N526" s="177" t="n"/>
      <c r="O526" s="177" t="n"/>
      <c r="P526" s="177" t="n"/>
      <c r="Q526" s="177" t="n"/>
      <c r="R526" s="177" t="n"/>
      <c r="S526" s="177" t="n"/>
      <c r="T526" s="177" t="n"/>
      <c r="U526" s="177" t="n"/>
      <c r="V526" s="177" t="n"/>
      <c r="W526" s="177" t="n"/>
    </row>
    <row r="527" ht="15.75" customHeight="1" s="297">
      <c r="A527" s="177" t="n"/>
      <c r="B527" s="177" t="n"/>
      <c r="C527" s="177" t="n"/>
      <c r="D527" s="177" t="n"/>
      <c r="E527" s="177" t="n"/>
      <c r="F527" s="177" t="n"/>
      <c r="G527" s="177" t="n"/>
      <c r="H527" s="177" t="n"/>
      <c r="I527" s="177" t="n"/>
      <c r="J527" s="177" t="n"/>
      <c r="K527" s="177" t="n"/>
      <c r="L527" s="177" t="n"/>
      <c r="M527" s="177" t="n"/>
      <c r="N527" s="177" t="n"/>
      <c r="O527" s="177" t="n"/>
      <c r="P527" s="177" t="n"/>
      <c r="Q527" s="177" t="n"/>
      <c r="R527" s="177" t="n"/>
      <c r="S527" s="177" t="n"/>
      <c r="T527" s="177" t="n"/>
      <c r="U527" s="177" t="n"/>
      <c r="V527" s="177" t="n"/>
      <c r="W527" s="177" t="n"/>
    </row>
    <row r="528" ht="15.75" customHeight="1" s="297">
      <c r="A528" s="177" t="n"/>
      <c r="B528" s="177" t="n"/>
      <c r="C528" s="177" t="n"/>
      <c r="D528" s="177" t="n"/>
      <c r="E528" s="177" t="n"/>
      <c r="F528" s="177" t="n"/>
      <c r="G528" s="177" t="n"/>
      <c r="H528" s="177" t="n"/>
      <c r="I528" s="177" t="n"/>
      <c r="J528" s="177" t="n"/>
      <c r="K528" s="177" t="n"/>
      <c r="L528" s="177" t="n"/>
      <c r="M528" s="177" t="n"/>
      <c r="N528" s="177" t="n"/>
      <c r="O528" s="177" t="n"/>
      <c r="P528" s="177" t="n"/>
      <c r="Q528" s="177" t="n"/>
      <c r="R528" s="177" t="n"/>
      <c r="S528" s="177" t="n"/>
      <c r="T528" s="177" t="n"/>
      <c r="U528" s="177" t="n"/>
      <c r="V528" s="177" t="n"/>
      <c r="W528" s="177" t="n"/>
    </row>
    <row r="529" ht="15.75" customHeight="1" s="297">
      <c r="A529" s="177" t="n"/>
      <c r="B529" s="177" t="n"/>
      <c r="C529" s="177" t="n"/>
      <c r="D529" s="177" t="n"/>
      <c r="E529" s="177" t="n"/>
      <c r="F529" s="177" t="n"/>
      <c r="G529" s="177" t="n"/>
      <c r="H529" s="177" t="n"/>
      <c r="I529" s="177" t="n"/>
      <c r="J529" s="177" t="n"/>
      <c r="K529" s="177" t="n"/>
      <c r="L529" s="177" t="n"/>
      <c r="M529" s="177" t="n"/>
      <c r="N529" s="177" t="n"/>
      <c r="O529" s="177" t="n"/>
      <c r="P529" s="177" t="n"/>
      <c r="Q529" s="177" t="n"/>
      <c r="R529" s="177" t="n"/>
      <c r="S529" s="177" t="n"/>
      <c r="T529" s="177" t="n"/>
      <c r="U529" s="177" t="n"/>
      <c r="V529" s="177" t="n"/>
      <c r="W529" s="177" t="n"/>
    </row>
    <row r="530" ht="15.75" customHeight="1" s="297">
      <c r="A530" s="177" t="n"/>
      <c r="B530" s="177" t="n"/>
      <c r="C530" s="177" t="n"/>
      <c r="D530" s="177" t="n"/>
      <c r="E530" s="177" t="n"/>
      <c r="F530" s="177" t="n"/>
      <c r="G530" s="177" t="n"/>
      <c r="H530" s="177" t="n"/>
      <c r="I530" s="177" t="n"/>
      <c r="J530" s="177" t="n"/>
      <c r="K530" s="177" t="n"/>
      <c r="L530" s="177" t="n"/>
      <c r="M530" s="177" t="n"/>
      <c r="N530" s="177" t="n"/>
      <c r="O530" s="177" t="n"/>
      <c r="P530" s="177" t="n"/>
      <c r="Q530" s="177" t="n"/>
      <c r="R530" s="177" t="n"/>
      <c r="S530" s="177" t="n"/>
      <c r="T530" s="177" t="n"/>
      <c r="U530" s="177" t="n"/>
      <c r="V530" s="177" t="n"/>
      <c r="W530" s="177" t="n"/>
    </row>
    <row r="531" ht="15.75" customHeight="1" s="297">
      <c r="A531" s="177" t="n"/>
      <c r="B531" s="177" t="n"/>
      <c r="C531" s="177" t="n"/>
      <c r="D531" s="177" t="n"/>
      <c r="E531" s="177" t="n"/>
      <c r="F531" s="177" t="n"/>
      <c r="G531" s="177" t="n"/>
      <c r="H531" s="177" t="n"/>
      <c r="I531" s="177" t="n"/>
      <c r="J531" s="177" t="n"/>
      <c r="K531" s="177" t="n"/>
      <c r="L531" s="177" t="n"/>
      <c r="M531" s="177" t="n"/>
      <c r="N531" s="177" t="n"/>
      <c r="O531" s="177" t="n"/>
      <c r="P531" s="177" t="n"/>
      <c r="Q531" s="177" t="n"/>
      <c r="R531" s="177" t="n"/>
      <c r="S531" s="177" t="n"/>
      <c r="T531" s="177" t="n"/>
      <c r="U531" s="177" t="n"/>
      <c r="V531" s="177" t="n"/>
      <c r="W531" s="177" t="n"/>
    </row>
    <row r="532" ht="15.75" customHeight="1" s="297">
      <c r="A532" s="177" t="n"/>
      <c r="B532" s="177" t="n"/>
      <c r="C532" s="177" t="n"/>
      <c r="D532" s="177" t="n"/>
      <c r="E532" s="177" t="n"/>
      <c r="F532" s="177" t="n"/>
      <c r="G532" s="177" t="n"/>
      <c r="H532" s="177" t="n"/>
      <c r="I532" s="177" t="n"/>
      <c r="J532" s="177" t="n"/>
      <c r="K532" s="177" t="n"/>
      <c r="L532" s="177" t="n"/>
      <c r="M532" s="177" t="n"/>
      <c r="N532" s="177" t="n"/>
      <c r="O532" s="177" t="n"/>
      <c r="P532" s="177" t="n"/>
      <c r="Q532" s="177" t="n"/>
      <c r="R532" s="177" t="n"/>
      <c r="S532" s="177" t="n"/>
      <c r="T532" s="177" t="n"/>
      <c r="U532" s="177" t="n"/>
      <c r="V532" s="177" t="n"/>
      <c r="W532" s="177" t="n"/>
    </row>
    <row r="533" ht="15.75" customHeight="1" s="297">
      <c r="A533" s="177" t="n"/>
      <c r="B533" s="177" t="n"/>
      <c r="C533" s="177" t="n"/>
      <c r="D533" s="177" t="n"/>
      <c r="E533" s="177" t="n"/>
      <c r="F533" s="177" t="n"/>
      <c r="G533" s="177" t="n"/>
      <c r="H533" s="177" t="n"/>
      <c r="I533" s="177" t="n"/>
      <c r="J533" s="177" t="n"/>
      <c r="K533" s="177" t="n"/>
      <c r="L533" s="177" t="n"/>
      <c r="M533" s="177" t="n"/>
      <c r="N533" s="177" t="n"/>
      <c r="O533" s="177" t="n"/>
      <c r="P533" s="177" t="n"/>
      <c r="Q533" s="177" t="n"/>
      <c r="R533" s="177" t="n"/>
      <c r="S533" s="177" t="n"/>
      <c r="T533" s="177" t="n"/>
      <c r="U533" s="177" t="n"/>
      <c r="V533" s="177" t="n"/>
      <c r="W533" s="177" t="n"/>
    </row>
    <row r="534" ht="15.75" customHeight="1" s="297">
      <c r="A534" s="177" t="n"/>
      <c r="B534" s="177" t="n"/>
      <c r="C534" s="177" t="n"/>
      <c r="D534" s="177" t="n"/>
      <c r="E534" s="177" t="n"/>
      <c r="F534" s="177" t="n"/>
      <c r="G534" s="177" t="n"/>
      <c r="H534" s="177" t="n"/>
      <c r="I534" s="177" t="n"/>
      <c r="J534" s="177" t="n"/>
      <c r="K534" s="177" t="n"/>
      <c r="L534" s="177" t="n"/>
      <c r="M534" s="177" t="n"/>
      <c r="N534" s="177" t="n"/>
      <c r="O534" s="177" t="n"/>
      <c r="P534" s="177" t="n"/>
      <c r="Q534" s="177" t="n"/>
      <c r="R534" s="177" t="n"/>
      <c r="S534" s="177" t="n"/>
      <c r="T534" s="177" t="n"/>
      <c r="U534" s="177" t="n"/>
      <c r="V534" s="177" t="n"/>
      <c r="W534" s="177" t="n"/>
    </row>
    <row r="535" ht="15.75" customHeight="1" s="297">
      <c r="A535" s="177" t="n"/>
      <c r="B535" s="177" t="n"/>
      <c r="C535" s="177" t="n"/>
      <c r="D535" s="177" t="n"/>
      <c r="E535" s="177" t="n"/>
      <c r="F535" s="177" t="n"/>
      <c r="G535" s="177" t="n"/>
      <c r="H535" s="177" t="n"/>
      <c r="I535" s="177" t="n"/>
      <c r="J535" s="177" t="n"/>
      <c r="K535" s="177" t="n"/>
      <c r="L535" s="177" t="n"/>
      <c r="M535" s="177" t="n"/>
      <c r="N535" s="177" t="n"/>
      <c r="O535" s="177" t="n"/>
      <c r="P535" s="177" t="n"/>
      <c r="Q535" s="177" t="n"/>
      <c r="R535" s="177" t="n"/>
      <c r="S535" s="177" t="n"/>
      <c r="T535" s="177" t="n"/>
      <c r="U535" s="177" t="n"/>
      <c r="V535" s="177" t="n"/>
      <c r="W535" s="177" t="n"/>
    </row>
    <row r="536" ht="15.75" customHeight="1" s="297">
      <c r="A536" s="177" t="n"/>
      <c r="B536" s="177" t="n"/>
      <c r="C536" s="177" t="n"/>
      <c r="D536" s="177" t="n"/>
      <c r="E536" s="177" t="n"/>
      <c r="F536" s="177" t="n"/>
      <c r="G536" s="177" t="n"/>
      <c r="H536" s="177" t="n"/>
      <c r="I536" s="177" t="n"/>
      <c r="J536" s="177" t="n"/>
      <c r="K536" s="177" t="n"/>
      <c r="L536" s="177" t="n"/>
      <c r="M536" s="177" t="n"/>
      <c r="N536" s="177" t="n"/>
      <c r="O536" s="177" t="n"/>
      <c r="P536" s="177" t="n"/>
      <c r="Q536" s="177" t="n"/>
      <c r="R536" s="177" t="n"/>
      <c r="S536" s="177" t="n"/>
      <c r="T536" s="177" t="n"/>
      <c r="U536" s="177" t="n"/>
      <c r="V536" s="177" t="n"/>
      <c r="W536" s="177" t="n"/>
    </row>
    <row r="537" ht="15.75" customHeight="1" s="297">
      <c r="A537" s="177" t="n"/>
      <c r="B537" s="177" t="n"/>
      <c r="C537" s="177" t="n"/>
      <c r="D537" s="177" t="n"/>
      <c r="E537" s="177" t="n"/>
      <c r="F537" s="177" t="n"/>
      <c r="G537" s="177" t="n"/>
      <c r="H537" s="177" t="n"/>
      <c r="I537" s="177" t="n"/>
      <c r="J537" s="177" t="n"/>
      <c r="K537" s="177" t="n"/>
      <c r="L537" s="177" t="n"/>
      <c r="M537" s="177" t="n"/>
      <c r="N537" s="177" t="n"/>
      <c r="O537" s="177" t="n"/>
      <c r="P537" s="177" t="n"/>
      <c r="Q537" s="177" t="n"/>
      <c r="R537" s="177" t="n"/>
      <c r="S537" s="177" t="n"/>
      <c r="T537" s="177" t="n"/>
      <c r="U537" s="177" t="n"/>
      <c r="V537" s="177" t="n"/>
      <c r="W537" s="177" t="n"/>
    </row>
    <row r="538" ht="15.75" customHeight="1" s="297">
      <c r="A538" s="177" t="n"/>
      <c r="B538" s="177" t="n"/>
      <c r="C538" s="177" t="n"/>
      <c r="D538" s="177" t="n"/>
      <c r="E538" s="177" t="n"/>
      <c r="F538" s="177" t="n"/>
      <c r="G538" s="177" t="n"/>
      <c r="H538" s="177" t="n"/>
      <c r="I538" s="177" t="n"/>
      <c r="J538" s="177" t="n"/>
      <c r="K538" s="177" t="n"/>
      <c r="L538" s="177" t="n"/>
      <c r="M538" s="177" t="n"/>
      <c r="N538" s="177" t="n"/>
      <c r="O538" s="177" t="n"/>
      <c r="P538" s="177" t="n"/>
      <c r="Q538" s="177" t="n"/>
      <c r="R538" s="177" t="n"/>
      <c r="S538" s="177" t="n"/>
      <c r="T538" s="177" t="n"/>
      <c r="U538" s="177" t="n"/>
      <c r="V538" s="177" t="n"/>
      <c r="W538" s="177" t="n"/>
    </row>
    <row r="539" ht="15.75" customHeight="1" s="297">
      <c r="A539" s="177" t="n"/>
      <c r="B539" s="177" t="n"/>
      <c r="C539" s="177" t="n"/>
      <c r="D539" s="177" t="n"/>
      <c r="E539" s="177" t="n"/>
      <c r="F539" s="177" t="n"/>
      <c r="G539" s="177" t="n"/>
      <c r="H539" s="177" t="n"/>
      <c r="I539" s="177" t="n"/>
      <c r="J539" s="177" t="n"/>
      <c r="K539" s="177" t="n"/>
      <c r="L539" s="177" t="n"/>
      <c r="M539" s="177" t="n"/>
      <c r="N539" s="177" t="n"/>
      <c r="O539" s="177" t="n"/>
      <c r="P539" s="177" t="n"/>
      <c r="Q539" s="177" t="n"/>
      <c r="R539" s="177" t="n"/>
      <c r="S539" s="177" t="n"/>
      <c r="T539" s="177" t="n"/>
      <c r="U539" s="177" t="n"/>
      <c r="V539" s="177" t="n"/>
      <c r="W539" s="177" t="n"/>
    </row>
    <row r="540" ht="15.75" customHeight="1" s="297">
      <c r="A540" s="177" t="n"/>
      <c r="B540" s="177" t="n"/>
      <c r="C540" s="177" t="n"/>
      <c r="D540" s="177" t="n"/>
      <c r="E540" s="177" t="n"/>
      <c r="F540" s="177" t="n"/>
      <c r="G540" s="177" t="n"/>
      <c r="H540" s="177" t="n"/>
      <c r="I540" s="177" t="n"/>
      <c r="J540" s="177" t="n"/>
      <c r="K540" s="177" t="n"/>
      <c r="L540" s="177" t="n"/>
      <c r="M540" s="177" t="n"/>
      <c r="N540" s="177" t="n"/>
      <c r="O540" s="177" t="n"/>
      <c r="P540" s="177" t="n"/>
      <c r="Q540" s="177" t="n"/>
      <c r="R540" s="177" t="n"/>
      <c r="S540" s="177" t="n"/>
      <c r="T540" s="177" t="n"/>
      <c r="U540" s="177" t="n"/>
      <c r="V540" s="177" t="n"/>
      <c r="W540" s="177" t="n"/>
    </row>
    <row r="541" ht="15.75" customHeight="1" s="297">
      <c r="A541" s="177" t="n"/>
      <c r="B541" s="177" t="n"/>
      <c r="C541" s="177" t="n"/>
      <c r="D541" s="177" t="n"/>
      <c r="E541" s="177" t="n"/>
      <c r="F541" s="177" t="n"/>
      <c r="G541" s="177" t="n"/>
      <c r="H541" s="177" t="n"/>
      <c r="I541" s="177" t="n"/>
      <c r="J541" s="177" t="n"/>
      <c r="K541" s="177" t="n"/>
      <c r="L541" s="177" t="n"/>
      <c r="M541" s="177" t="n"/>
      <c r="N541" s="177" t="n"/>
      <c r="O541" s="177" t="n"/>
      <c r="P541" s="177" t="n"/>
      <c r="Q541" s="177" t="n"/>
      <c r="R541" s="177" t="n"/>
      <c r="S541" s="177" t="n"/>
      <c r="T541" s="177" t="n"/>
      <c r="U541" s="177" t="n"/>
      <c r="V541" s="177" t="n"/>
      <c r="W541" s="177" t="n"/>
    </row>
    <row r="542" ht="15.75" customHeight="1" s="297">
      <c r="A542" s="177" t="n"/>
      <c r="B542" s="177" t="n"/>
      <c r="C542" s="177" t="n"/>
      <c r="D542" s="177" t="n"/>
      <c r="E542" s="177" t="n"/>
      <c r="F542" s="177" t="n"/>
      <c r="G542" s="177" t="n"/>
      <c r="H542" s="177" t="n"/>
      <c r="I542" s="177" t="n"/>
      <c r="J542" s="177" t="n"/>
      <c r="K542" s="177" t="n"/>
      <c r="L542" s="177" t="n"/>
      <c r="M542" s="177" t="n"/>
      <c r="N542" s="177" t="n"/>
      <c r="O542" s="177" t="n"/>
      <c r="P542" s="177" t="n"/>
      <c r="Q542" s="177" t="n"/>
      <c r="R542" s="177" t="n"/>
      <c r="S542" s="177" t="n"/>
      <c r="T542" s="177" t="n"/>
      <c r="U542" s="177" t="n"/>
      <c r="V542" s="177" t="n"/>
      <c r="W542" s="177" t="n"/>
    </row>
    <row r="543" ht="15.75" customHeight="1" s="297">
      <c r="A543" s="177" t="n"/>
      <c r="B543" s="177" t="n"/>
      <c r="C543" s="177" t="n"/>
      <c r="D543" s="177" t="n"/>
      <c r="E543" s="177" t="n"/>
      <c r="F543" s="177" t="n"/>
      <c r="G543" s="177" t="n"/>
      <c r="H543" s="177" t="n"/>
      <c r="I543" s="177" t="n"/>
      <c r="J543" s="177" t="n"/>
      <c r="K543" s="177" t="n"/>
      <c r="L543" s="177" t="n"/>
      <c r="M543" s="177" t="n"/>
      <c r="N543" s="177" t="n"/>
      <c r="O543" s="177" t="n"/>
      <c r="P543" s="177" t="n"/>
      <c r="Q543" s="177" t="n"/>
      <c r="R543" s="177" t="n"/>
      <c r="S543" s="177" t="n"/>
      <c r="T543" s="177" t="n"/>
      <c r="U543" s="177" t="n"/>
      <c r="V543" s="177" t="n"/>
      <c r="W543" s="177" t="n"/>
    </row>
    <row r="544" ht="15.75" customHeight="1" s="297">
      <c r="A544" s="177" t="n"/>
      <c r="B544" s="177" t="n"/>
      <c r="C544" s="177" t="n"/>
      <c r="D544" s="177" t="n"/>
      <c r="E544" s="177" t="n"/>
      <c r="F544" s="177" t="n"/>
      <c r="G544" s="177" t="n"/>
      <c r="H544" s="177" t="n"/>
      <c r="I544" s="177" t="n"/>
      <c r="J544" s="177" t="n"/>
      <c r="K544" s="177" t="n"/>
      <c r="L544" s="177" t="n"/>
      <c r="M544" s="177" t="n"/>
      <c r="N544" s="177" t="n"/>
      <c r="O544" s="177" t="n"/>
      <c r="P544" s="177" t="n"/>
      <c r="Q544" s="177" t="n"/>
      <c r="R544" s="177" t="n"/>
      <c r="S544" s="177" t="n"/>
      <c r="T544" s="177" t="n"/>
      <c r="U544" s="177" t="n"/>
      <c r="V544" s="177" t="n"/>
      <c r="W544" s="177" t="n"/>
    </row>
    <row r="545" ht="15.75" customHeight="1" s="297">
      <c r="A545" s="177" t="n"/>
      <c r="B545" s="177" t="n"/>
      <c r="C545" s="177" t="n"/>
      <c r="D545" s="177" t="n"/>
      <c r="E545" s="177" t="n"/>
      <c r="F545" s="177" t="n"/>
      <c r="G545" s="177" t="n"/>
      <c r="H545" s="177" t="n"/>
      <c r="I545" s="177" t="n"/>
      <c r="J545" s="177" t="n"/>
      <c r="K545" s="177" t="n"/>
      <c r="L545" s="177" t="n"/>
      <c r="M545" s="177" t="n"/>
      <c r="N545" s="177" t="n"/>
      <c r="O545" s="177" t="n"/>
      <c r="P545" s="177" t="n"/>
      <c r="Q545" s="177" t="n"/>
      <c r="R545" s="177" t="n"/>
      <c r="S545" s="177" t="n"/>
      <c r="T545" s="177" t="n"/>
      <c r="U545" s="177" t="n"/>
      <c r="V545" s="177" t="n"/>
      <c r="W545" s="177" t="n"/>
    </row>
    <row r="546" ht="15.75" customHeight="1" s="297">
      <c r="A546" s="177" t="n"/>
      <c r="B546" s="177" t="n"/>
      <c r="C546" s="177" t="n"/>
      <c r="D546" s="177" t="n"/>
      <c r="E546" s="177" t="n"/>
      <c r="F546" s="177" t="n"/>
      <c r="G546" s="177" t="n"/>
      <c r="H546" s="177" t="n"/>
      <c r="I546" s="177" t="n"/>
      <c r="J546" s="177" t="n"/>
      <c r="K546" s="177" t="n"/>
      <c r="L546" s="177" t="n"/>
      <c r="M546" s="177" t="n"/>
      <c r="N546" s="177" t="n"/>
      <c r="O546" s="177" t="n"/>
      <c r="P546" s="177" t="n"/>
      <c r="Q546" s="177" t="n"/>
      <c r="R546" s="177" t="n"/>
      <c r="S546" s="177" t="n"/>
      <c r="T546" s="177" t="n"/>
      <c r="U546" s="177" t="n"/>
      <c r="V546" s="177" t="n"/>
      <c r="W546" s="177" t="n"/>
    </row>
    <row r="547" ht="15.75" customHeight="1" s="297">
      <c r="A547" s="177" t="n"/>
      <c r="B547" s="177" t="n"/>
      <c r="C547" s="177" t="n"/>
      <c r="D547" s="177" t="n"/>
      <c r="E547" s="177" t="n"/>
      <c r="F547" s="177" t="n"/>
      <c r="G547" s="177" t="n"/>
      <c r="H547" s="177" t="n"/>
      <c r="I547" s="177" t="n"/>
      <c r="J547" s="177" t="n"/>
      <c r="K547" s="177" t="n"/>
      <c r="L547" s="177" t="n"/>
      <c r="M547" s="177" t="n"/>
      <c r="N547" s="177" t="n"/>
      <c r="O547" s="177" t="n"/>
      <c r="P547" s="177" t="n"/>
      <c r="Q547" s="177" t="n"/>
      <c r="R547" s="177" t="n"/>
      <c r="S547" s="177" t="n"/>
      <c r="T547" s="177" t="n"/>
      <c r="U547" s="177" t="n"/>
      <c r="V547" s="177" t="n"/>
      <c r="W547" s="177" t="n"/>
    </row>
    <row r="548" ht="15.75" customHeight="1" s="297">
      <c r="A548" s="177" t="n"/>
      <c r="B548" s="177" t="n"/>
      <c r="C548" s="177" t="n"/>
      <c r="D548" s="177" t="n"/>
      <c r="E548" s="177" t="n"/>
      <c r="F548" s="177" t="n"/>
      <c r="G548" s="177" t="n"/>
      <c r="H548" s="177" t="n"/>
      <c r="I548" s="177" t="n"/>
      <c r="J548" s="177" t="n"/>
      <c r="K548" s="177" t="n"/>
      <c r="L548" s="177" t="n"/>
      <c r="M548" s="177" t="n"/>
      <c r="N548" s="177" t="n"/>
      <c r="O548" s="177" t="n"/>
      <c r="P548" s="177" t="n"/>
      <c r="Q548" s="177" t="n"/>
      <c r="R548" s="177" t="n"/>
      <c r="S548" s="177" t="n"/>
      <c r="T548" s="177" t="n"/>
      <c r="U548" s="177" t="n"/>
      <c r="V548" s="177" t="n"/>
      <c r="W548" s="177" t="n"/>
    </row>
    <row r="549" ht="15.75" customHeight="1" s="297">
      <c r="A549" s="177" t="n"/>
      <c r="B549" s="177" t="n"/>
      <c r="C549" s="177" t="n"/>
      <c r="D549" s="177" t="n"/>
      <c r="E549" s="177" t="n"/>
      <c r="F549" s="177" t="n"/>
      <c r="G549" s="177" t="n"/>
      <c r="H549" s="177" t="n"/>
      <c r="I549" s="177" t="n"/>
      <c r="J549" s="177" t="n"/>
      <c r="K549" s="177" t="n"/>
      <c r="L549" s="177" t="n"/>
      <c r="M549" s="177" t="n"/>
      <c r="N549" s="177" t="n"/>
      <c r="O549" s="177" t="n"/>
      <c r="P549" s="177" t="n"/>
      <c r="Q549" s="177" t="n"/>
      <c r="R549" s="177" t="n"/>
      <c r="S549" s="177" t="n"/>
      <c r="T549" s="177" t="n"/>
      <c r="U549" s="177" t="n"/>
      <c r="V549" s="177" t="n"/>
      <c r="W549" s="177" t="n"/>
    </row>
    <row r="550" ht="15.75" customHeight="1" s="297">
      <c r="A550" s="177" t="n"/>
      <c r="B550" s="177" t="n"/>
      <c r="C550" s="177" t="n"/>
      <c r="D550" s="177" t="n"/>
      <c r="E550" s="177" t="n"/>
      <c r="F550" s="177" t="n"/>
      <c r="G550" s="177" t="n"/>
      <c r="H550" s="177" t="n"/>
      <c r="I550" s="177" t="n"/>
      <c r="J550" s="177" t="n"/>
      <c r="K550" s="177" t="n"/>
      <c r="L550" s="177" t="n"/>
      <c r="M550" s="177" t="n"/>
      <c r="N550" s="177" t="n"/>
      <c r="O550" s="177" t="n"/>
      <c r="P550" s="177" t="n"/>
      <c r="Q550" s="177" t="n"/>
      <c r="R550" s="177" t="n"/>
      <c r="S550" s="177" t="n"/>
      <c r="T550" s="177" t="n"/>
      <c r="U550" s="177" t="n"/>
      <c r="V550" s="177" t="n"/>
      <c r="W550" s="177" t="n"/>
    </row>
    <row r="551" ht="15.75" customHeight="1" s="297">
      <c r="A551" s="177" t="n"/>
      <c r="B551" s="177" t="n"/>
      <c r="C551" s="177" t="n"/>
      <c r="D551" s="177" t="n"/>
      <c r="E551" s="177" t="n"/>
      <c r="F551" s="177" t="n"/>
      <c r="G551" s="177" t="n"/>
      <c r="H551" s="177" t="n"/>
      <c r="I551" s="177" t="n"/>
      <c r="J551" s="177" t="n"/>
      <c r="K551" s="177" t="n"/>
      <c r="L551" s="177" t="n"/>
      <c r="M551" s="177" t="n"/>
      <c r="N551" s="177" t="n"/>
      <c r="O551" s="177" t="n"/>
      <c r="P551" s="177" t="n"/>
      <c r="Q551" s="177" t="n"/>
      <c r="R551" s="177" t="n"/>
      <c r="S551" s="177" t="n"/>
      <c r="T551" s="177" t="n"/>
      <c r="U551" s="177" t="n"/>
      <c r="V551" s="177" t="n"/>
      <c r="W551" s="177" t="n"/>
    </row>
    <row r="552" ht="15.75" customHeight="1" s="297">
      <c r="A552" s="177" t="n"/>
      <c r="B552" s="177" t="n"/>
      <c r="C552" s="177" t="n"/>
      <c r="D552" s="177" t="n"/>
      <c r="E552" s="177" t="n"/>
      <c r="F552" s="177" t="n"/>
      <c r="G552" s="177" t="n"/>
      <c r="H552" s="177" t="n"/>
      <c r="I552" s="177" t="n"/>
      <c r="J552" s="177" t="n"/>
      <c r="K552" s="177" t="n"/>
      <c r="L552" s="177" t="n"/>
      <c r="M552" s="177" t="n"/>
      <c r="N552" s="177" t="n"/>
      <c r="O552" s="177" t="n"/>
      <c r="P552" s="177" t="n"/>
      <c r="Q552" s="177" t="n"/>
      <c r="R552" s="177" t="n"/>
      <c r="S552" s="177" t="n"/>
      <c r="T552" s="177" t="n"/>
      <c r="U552" s="177" t="n"/>
      <c r="V552" s="177" t="n"/>
      <c r="W552" s="177" t="n"/>
    </row>
    <row r="553" ht="15.75" customHeight="1" s="297">
      <c r="A553" s="177" t="n"/>
      <c r="B553" s="177" t="n"/>
      <c r="C553" s="177" t="n"/>
      <c r="D553" s="177" t="n"/>
      <c r="E553" s="177" t="n"/>
      <c r="F553" s="177" t="n"/>
      <c r="G553" s="177" t="n"/>
      <c r="H553" s="177" t="n"/>
      <c r="I553" s="177" t="n"/>
      <c r="J553" s="177" t="n"/>
      <c r="K553" s="177" t="n"/>
      <c r="L553" s="177" t="n"/>
      <c r="M553" s="177" t="n"/>
      <c r="N553" s="177" t="n"/>
      <c r="O553" s="177" t="n"/>
      <c r="P553" s="177" t="n"/>
      <c r="Q553" s="177" t="n"/>
      <c r="R553" s="177" t="n"/>
      <c r="S553" s="177" t="n"/>
      <c r="T553" s="177" t="n"/>
      <c r="U553" s="177" t="n"/>
      <c r="V553" s="177" t="n"/>
      <c r="W553" s="177" t="n"/>
    </row>
    <row r="554" ht="15.75" customHeight="1" s="297">
      <c r="A554" s="177" t="n"/>
      <c r="B554" s="177" t="n"/>
      <c r="C554" s="177" t="n"/>
      <c r="D554" s="177" t="n"/>
      <c r="E554" s="177" t="n"/>
      <c r="F554" s="177" t="n"/>
      <c r="G554" s="177" t="n"/>
      <c r="H554" s="177" t="n"/>
      <c r="I554" s="177" t="n"/>
      <c r="J554" s="177" t="n"/>
      <c r="K554" s="177" t="n"/>
      <c r="L554" s="177" t="n"/>
      <c r="M554" s="177" t="n"/>
      <c r="N554" s="177" t="n"/>
      <c r="O554" s="177" t="n"/>
      <c r="P554" s="177" t="n"/>
      <c r="Q554" s="177" t="n"/>
      <c r="R554" s="177" t="n"/>
      <c r="S554" s="177" t="n"/>
      <c r="T554" s="177" t="n"/>
      <c r="U554" s="177" t="n"/>
      <c r="V554" s="177" t="n"/>
      <c r="W554" s="177" t="n"/>
    </row>
    <row r="555" ht="15.75" customHeight="1" s="297">
      <c r="A555" s="177" t="n"/>
      <c r="B555" s="177" t="n"/>
      <c r="C555" s="177" t="n"/>
      <c r="D555" s="177" t="n"/>
      <c r="E555" s="177" t="n"/>
      <c r="F555" s="177" t="n"/>
      <c r="G555" s="177" t="n"/>
      <c r="H555" s="177" t="n"/>
      <c r="I555" s="177" t="n"/>
      <c r="J555" s="177" t="n"/>
      <c r="K555" s="177" t="n"/>
      <c r="L555" s="177" t="n"/>
      <c r="M555" s="177" t="n"/>
      <c r="N555" s="177" t="n"/>
      <c r="O555" s="177" t="n"/>
      <c r="P555" s="177" t="n"/>
      <c r="Q555" s="177" t="n"/>
      <c r="R555" s="177" t="n"/>
      <c r="S555" s="177" t="n"/>
      <c r="T555" s="177" t="n"/>
      <c r="U555" s="177" t="n"/>
      <c r="V555" s="177" t="n"/>
      <c r="W555" s="177" t="n"/>
    </row>
    <row r="556" ht="15.75" customHeight="1" s="297">
      <c r="A556" s="177" t="n"/>
      <c r="B556" s="177" t="n"/>
      <c r="C556" s="177" t="n"/>
      <c r="D556" s="177" t="n"/>
      <c r="E556" s="177" t="n"/>
      <c r="F556" s="177" t="n"/>
      <c r="G556" s="177" t="n"/>
      <c r="H556" s="177" t="n"/>
      <c r="I556" s="177" t="n"/>
      <c r="J556" s="177" t="n"/>
      <c r="K556" s="177" t="n"/>
      <c r="L556" s="177" t="n"/>
      <c r="M556" s="177" t="n"/>
      <c r="N556" s="177" t="n"/>
      <c r="O556" s="177" t="n"/>
      <c r="P556" s="177" t="n"/>
      <c r="Q556" s="177" t="n"/>
      <c r="R556" s="177" t="n"/>
      <c r="S556" s="177" t="n"/>
      <c r="T556" s="177" t="n"/>
      <c r="U556" s="177" t="n"/>
      <c r="V556" s="177" t="n"/>
      <c r="W556" s="177" t="n"/>
    </row>
    <row r="557" ht="15.75" customHeight="1" s="297">
      <c r="A557" s="177" t="n"/>
      <c r="B557" s="177" t="n"/>
      <c r="C557" s="177" t="n"/>
      <c r="D557" s="177" t="n"/>
      <c r="E557" s="177" t="n"/>
      <c r="F557" s="177" t="n"/>
      <c r="G557" s="177" t="n"/>
      <c r="H557" s="177" t="n"/>
      <c r="I557" s="177" t="n"/>
      <c r="J557" s="177" t="n"/>
      <c r="K557" s="177" t="n"/>
      <c r="L557" s="177" t="n"/>
      <c r="M557" s="177" t="n"/>
      <c r="N557" s="177" t="n"/>
      <c r="O557" s="177" t="n"/>
      <c r="P557" s="177" t="n"/>
      <c r="Q557" s="177" t="n"/>
      <c r="R557" s="177" t="n"/>
      <c r="S557" s="177" t="n"/>
      <c r="T557" s="177" t="n"/>
      <c r="U557" s="177" t="n"/>
      <c r="V557" s="177" t="n"/>
      <c r="W557" s="177" t="n"/>
    </row>
    <row r="558" ht="15.75" customHeight="1" s="297">
      <c r="A558" s="177" t="n"/>
      <c r="B558" s="177" t="n"/>
      <c r="C558" s="177" t="n"/>
      <c r="D558" s="177" t="n"/>
      <c r="E558" s="177" t="n"/>
      <c r="F558" s="177" t="n"/>
      <c r="G558" s="177" t="n"/>
      <c r="H558" s="177" t="n"/>
      <c r="I558" s="177" t="n"/>
      <c r="J558" s="177" t="n"/>
      <c r="K558" s="177" t="n"/>
      <c r="L558" s="177" t="n"/>
      <c r="M558" s="177" t="n"/>
      <c r="N558" s="177" t="n"/>
      <c r="O558" s="177" t="n"/>
      <c r="P558" s="177" t="n"/>
      <c r="Q558" s="177" t="n"/>
      <c r="R558" s="177" t="n"/>
      <c r="S558" s="177" t="n"/>
      <c r="T558" s="177" t="n"/>
      <c r="U558" s="177" t="n"/>
      <c r="V558" s="177" t="n"/>
      <c r="W558" s="177" t="n"/>
    </row>
    <row r="559" ht="15.75" customHeight="1" s="297">
      <c r="A559" s="177" t="n"/>
      <c r="B559" s="177" t="n"/>
      <c r="C559" s="177" t="n"/>
      <c r="D559" s="177" t="n"/>
      <c r="E559" s="177" t="n"/>
      <c r="F559" s="177" t="n"/>
      <c r="G559" s="177" t="n"/>
      <c r="H559" s="177" t="n"/>
      <c r="I559" s="177" t="n"/>
      <c r="J559" s="177" t="n"/>
      <c r="K559" s="177" t="n"/>
      <c r="L559" s="177" t="n"/>
      <c r="M559" s="177" t="n"/>
      <c r="N559" s="177" t="n"/>
      <c r="O559" s="177" t="n"/>
      <c r="P559" s="177" t="n"/>
      <c r="Q559" s="177" t="n"/>
      <c r="R559" s="177" t="n"/>
      <c r="S559" s="177" t="n"/>
      <c r="T559" s="177" t="n"/>
      <c r="U559" s="177" t="n"/>
      <c r="V559" s="177" t="n"/>
      <c r="W559" s="177" t="n"/>
    </row>
    <row r="560" ht="15.75" customHeight="1" s="297">
      <c r="A560" s="177" t="n"/>
      <c r="B560" s="177" t="n"/>
      <c r="C560" s="177" t="n"/>
      <c r="D560" s="177" t="n"/>
      <c r="E560" s="177" t="n"/>
      <c r="F560" s="177" t="n"/>
      <c r="G560" s="177" t="n"/>
      <c r="H560" s="177" t="n"/>
      <c r="I560" s="177" t="n"/>
      <c r="J560" s="177" t="n"/>
      <c r="K560" s="177" t="n"/>
      <c r="L560" s="177" t="n"/>
      <c r="M560" s="177" t="n"/>
      <c r="N560" s="177" t="n"/>
      <c r="O560" s="177" t="n"/>
      <c r="P560" s="177" t="n"/>
      <c r="Q560" s="177" t="n"/>
      <c r="R560" s="177" t="n"/>
      <c r="S560" s="177" t="n"/>
      <c r="T560" s="177" t="n"/>
      <c r="U560" s="177" t="n"/>
      <c r="V560" s="177" t="n"/>
      <c r="W560" s="177" t="n"/>
    </row>
    <row r="561" ht="15.75" customHeight="1" s="297">
      <c r="A561" s="177" t="n"/>
      <c r="B561" s="177" t="n"/>
      <c r="C561" s="177" t="n"/>
      <c r="D561" s="177" t="n"/>
      <c r="E561" s="177" t="n"/>
      <c r="F561" s="177" t="n"/>
      <c r="G561" s="177" t="n"/>
      <c r="H561" s="177" t="n"/>
      <c r="I561" s="177" t="n"/>
      <c r="J561" s="177" t="n"/>
      <c r="K561" s="177" t="n"/>
      <c r="L561" s="177" t="n"/>
      <c r="M561" s="177" t="n"/>
      <c r="N561" s="177" t="n"/>
      <c r="O561" s="177" t="n"/>
      <c r="P561" s="177" t="n"/>
      <c r="Q561" s="177" t="n"/>
      <c r="R561" s="177" t="n"/>
      <c r="S561" s="177" t="n"/>
      <c r="T561" s="177" t="n"/>
      <c r="U561" s="177" t="n"/>
      <c r="V561" s="177" t="n"/>
      <c r="W561" s="177" t="n"/>
    </row>
    <row r="562" ht="15.75" customHeight="1" s="297">
      <c r="A562" s="177" t="n"/>
      <c r="B562" s="177" t="n"/>
      <c r="C562" s="177" t="n"/>
      <c r="D562" s="177" t="n"/>
      <c r="E562" s="177" t="n"/>
      <c r="F562" s="177" t="n"/>
      <c r="G562" s="177" t="n"/>
      <c r="H562" s="177" t="n"/>
      <c r="I562" s="177" t="n"/>
      <c r="J562" s="177" t="n"/>
      <c r="K562" s="177" t="n"/>
      <c r="L562" s="177" t="n"/>
      <c r="M562" s="177" t="n"/>
      <c r="N562" s="177" t="n"/>
      <c r="O562" s="177" t="n"/>
      <c r="P562" s="177" t="n"/>
      <c r="Q562" s="177" t="n"/>
      <c r="R562" s="177" t="n"/>
      <c r="S562" s="177" t="n"/>
      <c r="T562" s="177" t="n"/>
      <c r="U562" s="177" t="n"/>
      <c r="V562" s="177" t="n"/>
      <c r="W562" s="177" t="n"/>
    </row>
    <row r="563" ht="15.75" customHeight="1" s="297">
      <c r="A563" s="177" t="n"/>
      <c r="B563" s="177" t="n"/>
      <c r="C563" s="177" t="n"/>
      <c r="D563" s="177" t="n"/>
      <c r="E563" s="177" t="n"/>
      <c r="F563" s="177" t="n"/>
      <c r="G563" s="177" t="n"/>
      <c r="H563" s="177" t="n"/>
      <c r="I563" s="177" t="n"/>
      <c r="J563" s="177" t="n"/>
      <c r="K563" s="177" t="n"/>
      <c r="L563" s="177" t="n"/>
      <c r="M563" s="177" t="n"/>
      <c r="N563" s="177" t="n"/>
      <c r="O563" s="177" t="n"/>
      <c r="P563" s="177" t="n"/>
      <c r="Q563" s="177" t="n"/>
      <c r="R563" s="177" t="n"/>
      <c r="S563" s="177" t="n"/>
      <c r="T563" s="177" t="n"/>
      <c r="U563" s="177" t="n"/>
      <c r="V563" s="177" t="n"/>
      <c r="W563" s="177" t="n"/>
    </row>
    <row r="564" ht="15.75" customHeight="1" s="297">
      <c r="A564" s="177" t="n"/>
      <c r="B564" s="177" t="n"/>
      <c r="C564" s="177" t="n"/>
      <c r="D564" s="177" t="n"/>
      <c r="E564" s="177" t="n"/>
      <c r="F564" s="177" t="n"/>
      <c r="G564" s="177" t="n"/>
      <c r="H564" s="177" t="n"/>
      <c r="I564" s="177" t="n"/>
      <c r="J564" s="177" t="n"/>
      <c r="K564" s="177" t="n"/>
      <c r="L564" s="177" t="n"/>
      <c r="M564" s="177" t="n"/>
      <c r="N564" s="177" t="n"/>
      <c r="O564" s="177" t="n"/>
      <c r="P564" s="177" t="n"/>
      <c r="Q564" s="177" t="n"/>
      <c r="R564" s="177" t="n"/>
      <c r="S564" s="177" t="n"/>
      <c r="T564" s="177" t="n"/>
      <c r="U564" s="177" t="n"/>
      <c r="V564" s="177" t="n"/>
      <c r="W564" s="177" t="n"/>
    </row>
    <row r="565" ht="15.75" customHeight="1" s="297">
      <c r="A565" s="177" t="n"/>
      <c r="B565" s="177" t="n"/>
      <c r="C565" s="177" t="n"/>
      <c r="D565" s="177" t="n"/>
      <c r="E565" s="177" t="n"/>
      <c r="F565" s="177" t="n"/>
      <c r="G565" s="177" t="n"/>
      <c r="H565" s="177" t="n"/>
      <c r="I565" s="177" t="n"/>
      <c r="J565" s="177" t="n"/>
      <c r="K565" s="177" t="n"/>
      <c r="L565" s="177" t="n"/>
      <c r="M565" s="177" t="n"/>
      <c r="N565" s="177" t="n"/>
      <c r="O565" s="177" t="n"/>
      <c r="P565" s="177" t="n"/>
      <c r="Q565" s="177" t="n"/>
      <c r="R565" s="177" t="n"/>
      <c r="S565" s="177" t="n"/>
      <c r="T565" s="177" t="n"/>
      <c r="U565" s="177" t="n"/>
      <c r="V565" s="177" t="n"/>
      <c r="W565" s="177" t="n"/>
    </row>
    <row r="566" ht="15.75" customHeight="1" s="297">
      <c r="A566" s="177" t="n"/>
      <c r="B566" s="177" t="n"/>
      <c r="C566" s="177" t="n"/>
      <c r="D566" s="177" t="n"/>
      <c r="E566" s="177" t="n"/>
      <c r="F566" s="177" t="n"/>
      <c r="G566" s="177" t="n"/>
      <c r="H566" s="177" t="n"/>
      <c r="I566" s="177" t="n"/>
      <c r="J566" s="177" t="n"/>
      <c r="K566" s="177" t="n"/>
      <c r="L566" s="177" t="n"/>
      <c r="M566" s="177" t="n"/>
      <c r="N566" s="177" t="n"/>
      <c r="O566" s="177" t="n"/>
      <c r="P566" s="177" t="n"/>
      <c r="Q566" s="177" t="n"/>
      <c r="R566" s="177" t="n"/>
      <c r="S566" s="177" t="n"/>
      <c r="T566" s="177" t="n"/>
      <c r="U566" s="177" t="n"/>
      <c r="V566" s="177" t="n"/>
      <c r="W566" s="177" t="n"/>
    </row>
    <row r="567" ht="15.75" customHeight="1" s="297">
      <c r="A567" s="177" t="n"/>
      <c r="B567" s="177" t="n"/>
      <c r="C567" s="177" t="n"/>
      <c r="D567" s="177" t="n"/>
      <c r="E567" s="177" t="n"/>
      <c r="F567" s="177" t="n"/>
      <c r="G567" s="177" t="n"/>
      <c r="H567" s="177" t="n"/>
      <c r="I567" s="177" t="n"/>
      <c r="J567" s="177" t="n"/>
      <c r="K567" s="177" t="n"/>
      <c r="L567" s="177" t="n"/>
      <c r="M567" s="177" t="n"/>
      <c r="N567" s="177" t="n"/>
      <c r="O567" s="177" t="n"/>
      <c r="P567" s="177" t="n"/>
      <c r="Q567" s="177" t="n"/>
      <c r="R567" s="177" t="n"/>
      <c r="S567" s="177" t="n"/>
      <c r="T567" s="177" t="n"/>
      <c r="U567" s="177" t="n"/>
      <c r="V567" s="177" t="n"/>
      <c r="W567" s="177" t="n"/>
    </row>
    <row r="568" ht="15.75" customHeight="1" s="297">
      <c r="A568" s="177" t="n"/>
      <c r="B568" s="177" t="n"/>
      <c r="C568" s="177" t="n"/>
      <c r="D568" s="177" t="n"/>
      <c r="E568" s="177" t="n"/>
      <c r="F568" s="177" t="n"/>
      <c r="G568" s="177" t="n"/>
      <c r="H568" s="177" t="n"/>
      <c r="I568" s="177" t="n"/>
      <c r="J568" s="177" t="n"/>
      <c r="K568" s="177" t="n"/>
      <c r="L568" s="177" t="n"/>
      <c r="M568" s="177" t="n"/>
      <c r="N568" s="177" t="n"/>
      <c r="O568" s="177" t="n"/>
      <c r="P568" s="177" t="n"/>
      <c r="Q568" s="177" t="n"/>
      <c r="R568" s="177" t="n"/>
      <c r="S568" s="177" t="n"/>
      <c r="T568" s="177" t="n"/>
      <c r="U568" s="177" t="n"/>
      <c r="V568" s="177" t="n"/>
      <c r="W568" s="177" t="n"/>
    </row>
    <row r="569" ht="15.75" customHeight="1" s="297">
      <c r="A569" s="177" t="n"/>
      <c r="B569" s="177" t="n"/>
      <c r="C569" s="177" t="n"/>
      <c r="D569" s="177" t="n"/>
      <c r="E569" s="177" t="n"/>
      <c r="F569" s="177" t="n"/>
      <c r="G569" s="177" t="n"/>
      <c r="H569" s="177" t="n"/>
      <c r="I569" s="177" t="n"/>
      <c r="J569" s="177" t="n"/>
      <c r="K569" s="177" t="n"/>
      <c r="L569" s="177" t="n"/>
      <c r="M569" s="177" t="n"/>
      <c r="N569" s="177" t="n"/>
      <c r="O569" s="177" t="n"/>
      <c r="P569" s="177" t="n"/>
      <c r="Q569" s="177" t="n"/>
      <c r="R569" s="177" t="n"/>
      <c r="S569" s="177" t="n"/>
      <c r="T569" s="177" t="n"/>
      <c r="U569" s="177" t="n"/>
      <c r="V569" s="177" t="n"/>
      <c r="W569" s="177" t="n"/>
    </row>
    <row r="570" ht="15.75" customHeight="1" s="297">
      <c r="A570" s="177" t="n"/>
      <c r="B570" s="177" t="n"/>
      <c r="C570" s="177" t="n"/>
      <c r="D570" s="177" t="n"/>
      <c r="E570" s="177" t="n"/>
      <c r="F570" s="177" t="n"/>
      <c r="G570" s="177" t="n"/>
      <c r="H570" s="177" t="n"/>
      <c r="I570" s="177" t="n"/>
      <c r="J570" s="177" t="n"/>
      <c r="K570" s="177" t="n"/>
      <c r="L570" s="177" t="n"/>
      <c r="M570" s="177" t="n"/>
      <c r="N570" s="177" t="n"/>
      <c r="O570" s="177" t="n"/>
      <c r="P570" s="177" t="n"/>
      <c r="Q570" s="177" t="n"/>
      <c r="R570" s="177" t="n"/>
      <c r="S570" s="177" t="n"/>
      <c r="T570" s="177" t="n"/>
      <c r="U570" s="177" t="n"/>
      <c r="V570" s="177" t="n"/>
      <c r="W570" s="177" t="n"/>
    </row>
    <row r="571" ht="15.75" customHeight="1" s="297">
      <c r="A571" s="177" t="n"/>
      <c r="B571" s="177" t="n"/>
      <c r="C571" s="177" t="n"/>
      <c r="D571" s="177" t="n"/>
      <c r="E571" s="177" t="n"/>
      <c r="F571" s="177" t="n"/>
      <c r="G571" s="177" t="n"/>
      <c r="H571" s="177" t="n"/>
      <c r="I571" s="177" t="n"/>
      <c r="J571" s="177" t="n"/>
      <c r="K571" s="177" t="n"/>
      <c r="L571" s="177" t="n"/>
      <c r="M571" s="177" t="n"/>
      <c r="N571" s="177" t="n"/>
      <c r="O571" s="177" t="n"/>
      <c r="P571" s="177" t="n"/>
      <c r="Q571" s="177" t="n"/>
      <c r="R571" s="177" t="n"/>
      <c r="S571" s="177" t="n"/>
      <c r="T571" s="177" t="n"/>
      <c r="U571" s="177" t="n"/>
      <c r="V571" s="177" t="n"/>
      <c r="W571" s="177" t="n"/>
    </row>
    <row r="572" ht="15.75" customHeight="1" s="297">
      <c r="A572" s="177" t="n"/>
      <c r="B572" s="177" t="n"/>
      <c r="C572" s="177" t="n"/>
      <c r="D572" s="177" t="n"/>
      <c r="E572" s="177" t="n"/>
      <c r="F572" s="177" t="n"/>
      <c r="G572" s="177" t="n"/>
      <c r="H572" s="177" t="n"/>
      <c r="I572" s="177" t="n"/>
      <c r="J572" s="177" t="n"/>
      <c r="K572" s="177" t="n"/>
      <c r="L572" s="177" t="n"/>
      <c r="M572" s="177" t="n"/>
      <c r="N572" s="177" t="n"/>
      <c r="O572" s="177" t="n"/>
      <c r="P572" s="177" t="n"/>
      <c r="Q572" s="177" t="n"/>
      <c r="R572" s="177" t="n"/>
      <c r="S572" s="177" t="n"/>
      <c r="T572" s="177" t="n"/>
      <c r="U572" s="177" t="n"/>
      <c r="V572" s="177" t="n"/>
      <c r="W572" s="177" t="n"/>
    </row>
    <row r="573" ht="15.75" customHeight="1" s="297">
      <c r="A573" s="177" t="n"/>
      <c r="B573" s="177" t="n"/>
      <c r="C573" s="177" t="n"/>
      <c r="D573" s="177" t="n"/>
      <c r="E573" s="177" t="n"/>
      <c r="F573" s="177" t="n"/>
      <c r="G573" s="177" t="n"/>
      <c r="H573" s="177" t="n"/>
      <c r="I573" s="177" t="n"/>
      <c r="J573" s="177" t="n"/>
      <c r="K573" s="177" t="n"/>
      <c r="L573" s="177" t="n"/>
      <c r="M573" s="177" t="n"/>
      <c r="N573" s="177" t="n"/>
      <c r="O573" s="177" t="n"/>
      <c r="P573" s="177" t="n"/>
      <c r="Q573" s="177" t="n"/>
      <c r="R573" s="177" t="n"/>
      <c r="S573" s="177" t="n"/>
      <c r="T573" s="177" t="n"/>
      <c r="U573" s="177" t="n"/>
      <c r="V573" s="177" t="n"/>
      <c r="W573" s="177" t="n"/>
    </row>
    <row r="574" ht="15.75" customHeight="1" s="297">
      <c r="A574" s="177" t="n"/>
      <c r="B574" s="177" t="n"/>
      <c r="C574" s="177" t="n"/>
      <c r="D574" s="177" t="n"/>
      <c r="E574" s="177" t="n"/>
      <c r="F574" s="177" t="n"/>
      <c r="G574" s="177" t="n"/>
      <c r="H574" s="177" t="n"/>
      <c r="I574" s="177" t="n"/>
      <c r="J574" s="177" t="n"/>
      <c r="K574" s="177" t="n"/>
      <c r="L574" s="177" t="n"/>
      <c r="M574" s="177" t="n"/>
      <c r="N574" s="177" t="n"/>
      <c r="O574" s="177" t="n"/>
      <c r="P574" s="177" t="n"/>
      <c r="Q574" s="177" t="n"/>
      <c r="R574" s="177" t="n"/>
      <c r="S574" s="177" t="n"/>
      <c r="T574" s="177" t="n"/>
      <c r="U574" s="177" t="n"/>
      <c r="V574" s="177" t="n"/>
      <c r="W574" s="177" t="n"/>
    </row>
    <row r="575" ht="15.75" customHeight="1" s="297">
      <c r="A575" s="177" t="n"/>
      <c r="B575" s="177" t="n"/>
      <c r="C575" s="177" t="n"/>
      <c r="D575" s="177" t="n"/>
      <c r="E575" s="177" t="n"/>
      <c r="F575" s="177" t="n"/>
      <c r="G575" s="177" t="n"/>
      <c r="H575" s="177" t="n"/>
      <c r="I575" s="177" t="n"/>
      <c r="J575" s="177" t="n"/>
      <c r="K575" s="177" t="n"/>
      <c r="L575" s="177" t="n"/>
      <c r="M575" s="177" t="n"/>
      <c r="N575" s="177" t="n"/>
      <c r="O575" s="177" t="n"/>
      <c r="P575" s="177" t="n"/>
      <c r="Q575" s="177" t="n"/>
      <c r="R575" s="177" t="n"/>
      <c r="S575" s="177" t="n"/>
      <c r="T575" s="177" t="n"/>
      <c r="U575" s="177" t="n"/>
      <c r="V575" s="177" t="n"/>
      <c r="W575" s="177" t="n"/>
    </row>
    <row r="576" ht="15.75" customHeight="1" s="297">
      <c r="A576" s="177" t="n"/>
      <c r="B576" s="177" t="n"/>
      <c r="C576" s="177" t="n"/>
      <c r="D576" s="177" t="n"/>
      <c r="E576" s="177" t="n"/>
      <c r="F576" s="177" t="n"/>
      <c r="G576" s="177" t="n"/>
      <c r="H576" s="177" t="n"/>
      <c r="I576" s="177" t="n"/>
      <c r="J576" s="177" t="n"/>
      <c r="K576" s="177" t="n"/>
      <c r="L576" s="177" t="n"/>
      <c r="M576" s="177" t="n"/>
      <c r="N576" s="177" t="n"/>
      <c r="O576" s="177" t="n"/>
      <c r="P576" s="177" t="n"/>
      <c r="Q576" s="177" t="n"/>
      <c r="R576" s="177" t="n"/>
      <c r="S576" s="177" t="n"/>
      <c r="T576" s="177" t="n"/>
      <c r="U576" s="177" t="n"/>
      <c r="V576" s="177" t="n"/>
      <c r="W576" s="177" t="n"/>
    </row>
    <row r="577" ht="15.75" customHeight="1" s="297">
      <c r="A577" s="177" t="n"/>
      <c r="B577" s="177" t="n"/>
      <c r="C577" s="177" t="n"/>
      <c r="D577" s="177" t="n"/>
      <c r="E577" s="177" t="n"/>
      <c r="F577" s="177" t="n"/>
      <c r="G577" s="177" t="n"/>
      <c r="H577" s="177" t="n"/>
      <c r="I577" s="177" t="n"/>
      <c r="J577" s="177" t="n"/>
      <c r="K577" s="177" t="n"/>
      <c r="L577" s="177" t="n"/>
      <c r="M577" s="177" t="n"/>
      <c r="N577" s="177" t="n"/>
      <c r="O577" s="177" t="n"/>
      <c r="P577" s="177" t="n"/>
      <c r="Q577" s="177" t="n"/>
      <c r="R577" s="177" t="n"/>
      <c r="S577" s="177" t="n"/>
      <c r="T577" s="177" t="n"/>
      <c r="U577" s="177" t="n"/>
      <c r="V577" s="177" t="n"/>
      <c r="W577" s="177" t="n"/>
    </row>
    <row r="578" ht="15.75" customHeight="1" s="297">
      <c r="A578" s="177" t="n"/>
      <c r="B578" s="177" t="n"/>
      <c r="C578" s="177" t="n"/>
      <c r="D578" s="177" t="n"/>
      <c r="E578" s="177" t="n"/>
      <c r="F578" s="177" t="n"/>
      <c r="G578" s="177" t="n"/>
      <c r="H578" s="177" t="n"/>
      <c r="I578" s="177" t="n"/>
      <c r="J578" s="177" t="n"/>
      <c r="K578" s="177" t="n"/>
      <c r="L578" s="177" t="n"/>
      <c r="M578" s="177" t="n"/>
      <c r="N578" s="177" t="n"/>
      <c r="O578" s="177" t="n"/>
      <c r="P578" s="177" t="n"/>
      <c r="Q578" s="177" t="n"/>
      <c r="R578" s="177" t="n"/>
      <c r="S578" s="177" t="n"/>
      <c r="T578" s="177" t="n"/>
      <c r="U578" s="177" t="n"/>
      <c r="V578" s="177" t="n"/>
      <c r="W578" s="177" t="n"/>
    </row>
    <row r="579" ht="15.75" customHeight="1" s="297">
      <c r="A579" s="177" t="n"/>
      <c r="B579" s="177" t="n"/>
      <c r="C579" s="177" t="n"/>
      <c r="D579" s="177" t="n"/>
      <c r="E579" s="177" t="n"/>
      <c r="F579" s="177" t="n"/>
      <c r="G579" s="177" t="n"/>
      <c r="H579" s="177" t="n"/>
      <c r="I579" s="177" t="n"/>
      <c r="J579" s="177" t="n"/>
      <c r="K579" s="177" t="n"/>
      <c r="L579" s="177" t="n"/>
      <c r="M579" s="177" t="n"/>
      <c r="N579" s="177" t="n"/>
      <c r="O579" s="177" t="n"/>
      <c r="P579" s="177" t="n"/>
      <c r="Q579" s="177" t="n"/>
      <c r="R579" s="177" t="n"/>
      <c r="S579" s="177" t="n"/>
      <c r="T579" s="177" t="n"/>
      <c r="U579" s="177" t="n"/>
      <c r="V579" s="177" t="n"/>
      <c r="W579" s="177" t="n"/>
    </row>
    <row r="580" ht="15.75" customHeight="1" s="297">
      <c r="A580" s="177" t="n"/>
      <c r="B580" s="177" t="n"/>
      <c r="C580" s="177" t="n"/>
      <c r="D580" s="177" t="n"/>
      <c r="E580" s="177" t="n"/>
      <c r="F580" s="177" t="n"/>
      <c r="G580" s="177" t="n"/>
      <c r="H580" s="177" t="n"/>
      <c r="I580" s="177" t="n"/>
      <c r="J580" s="177" t="n"/>
      <c r="K580" s="177" t="n"/>
      <c r="L580" s="177" t="n"/>
      <c r="M580" s="177" t="n"/>
      <c r="N580" s="177" t="n"/>
      <c r="O580" s="177" t="n"/>
      <c r="P580" s="177" t="n"/>
      <c r="Q580" s="177" t="n"/>
      <c r="R580" s="177" t="n"/>
      <c r="S580" s="177" t="n"/>
      <c r="T580" s="177" t="n"/>
      <c r="U580" s="177" t="n"/>
      <c r="V580" s="177" t="n"/>
      <c r="W580" s="177" t="n"/>
    </row>
    <row r="581" ht="15.75" customHeight="1" s="297">
      <c r="A581" s="177" t="n"/>
      <c r="B581" s="177" t="n"/>
      <c r="C581" s="177" t="n"/>
      <c r="D581" s="177" t="n"/>
      <c r="E581" s="177" t="n"/>
      <c r="F581" s="177" t="n"/>
      <c r="G581" s="177" t="n"/>
      <c r="H581" s="177" t="n"/>
      <c r="I581" s="177" t="n"/>
      <c r="J581" s="177" t="n"/>
      <c r="K581" s="177" t="n"/>
      <c r="L581" s="177" t="n"/>
      <c r="M581" s="177" t="n"/>
      <c r="N581" s="177" t="n"/>
      <c r="O581" s="177" t="n"/>
      <c r="P581" s="177" t="n"/>
      <c r="Q581" s="177" t="n"/>
      <c r="R581" s="177" t="n"/>
      <c r="S581" s="177" t="n"/>
      <c r="T581" s="177" t="n"/>
      <c r="U581" s="177" t="n"/>
      <c r="V581" s="177" t="n"/>
      <c r="W581" s="177" t="n"/>
    </row>
    <row r="582" ht="15.75" customHeight="1" s="297">
      <c r="A582" s="177" t="n"/>
      <c r="B582" s="177" t="n"/>
      <c r="C582" s="177" t="n"/>
      <c r="D582" s="177" t="n"/>
      <c r="E582" s="177" t="n"/>
      <c r="F582" s="177" t="n"/>
      <c r="G582" s="177" t="n"/>
      <c r="H582" s="177" t="n"/>
      <c r="I582" s="177" t="n"/>
      <c r="J582" s="177" t="n"/>
      <c r="K582" s="177" t="n"/>
      <c r="L582" s="177" t="n"/>
      <c r="M582" s="177" t="n"/>
      <c r="N582" s="177" t="n"/>
      <c r="O582" s="177" t="n"/>
      <c r="P582" s="177" t="n"/>
      <c r="Q582" s="177" t="n"/>
      <c r="R582" s="177" t="n"/>
      <c r="S582" s="177" t="n"/>
      <c r="T582" s="177" t="n"/>
      <c r="U582" s="177" t="n"/>
      <c r="V582" s="177" t="n"/>
      <c r="W582" s="177" t="n"/>
    </row>
    <row r="583" ht="15.75" customHeight="1" s="297">
      <c r="A583" s="177" t="n"/>
      <c r="B583" s="177" t="n"/>
      <c r="C583" s="177" t="n"/>
      <c r="D583" s="177" t="n"/>
      <c r="E583" s="177" t="n"/>
      <c r="F583" s="177" t="n"/>
      <c r="G583" s="177" t="n"/>
      <c r="H583" s="177" t="n"/>
      <c r="I583" s="177" t="n"/>
      <c r="J583" s="177" t="n"/>
      <c r="K583" s="177" t="n"/>
      <c r="L583" s="177" t="n"/>
      <c r="M583" s="177" t="n"/>
      <c r="N583" s="177" t="n"/>
      <c r="O583" s="177" t="n"/>
      <c r="P583" s="177" t="n"/>
      <c r="Q583" s="177" t="n"/>
      <c r="R583" s="177" t="n"/>
      <c r="S583" s="177" t="n"/>
      <c r="T583" s="177" t="n"/>
      <c r="U583" s="177" t="n"/>
      <c r="V583" s="177" t="n"/>
      <c r="W583" s="177" t="n"/>
    </row>
    <row r="584" ht="15.75" customHeight="1" s="297">
      <c r="A584" s="177" t="n"/>
      <c r="B584" s="177" t="n"/>
      <c r="C584" s="177" t="n"/>
      <c r="D584" s="177" t="n"/>
      <c r="E584" s="177" t="n"/>
      <c r="F584" s="177" t="n"/>
      <c r="G584" s="177" t="n"/>
      <c r="H584" s="177" t="n"/>
      <c r="I584" s="177" t="n"/>
      <c r="J584" s="177" t="n"/>
      <c r="K584" s="177" t="n"/>
      <c r="L584" s="177" t="n"/>
      <c r="M584" s="177" t="n"/>
      <c r="N584" s="177" t="n"/>
      <c r="O584" s="177" t="n"/>
      <c r="P584" s="177" t="n"/>
      <c r="Q584" s="177" t="n"/>
      <c r="R584" s="177" t="n"/>
      <c r="S584" s="177" t="n"/>
      <c r="T584" s="177" t="n"/>
      <c r="U584" s="177" t="n"/>
      <c r="V584" s="177" t="n"/>
      <c r="W584" s="177" t="n"/>
    </row>
    <row r="585" ht="15.75" customHeight="1" s="297">
      <c r="A585" s="177" t="n"/>
      <c r="B585" s="177" t="n"/>
      <c r="C585" s="177" t="n"/>
      <c r="D585" s="177" t="n"/>
      <c r="E585" s="177" t="n"/>
      <c r="F585" s="177" t="n"/>
      <c r="G585" s="177" t="n"/>
      <c r="H585" s="177" t="n"/>
      <c r="I585" s="177" t="n"/>
      <c r="J585" s="177" t="n"/>
      <c r="K585" s="177" t="n"/>
      <c r="L585" s="177" t="n"/>
      <c r="M585" s="177" t="n"/>
      <c r="N585" s="177" t="n"/>
      <c r="O585" s="177" t="n"/>
      <c r="P585" s="177" t="n"/>
      <c r="Q585" s="177" t="n"/>
      <c r="R585" s="177" t="n"/>
      <c r="S585" s="177" t="n"/>
      <c r="T585" s="177" t="n"/>
      <c r="U585" s="177" t="n"/>
      <c r="V585" s="177" t="n"/>
      <c r="W585" s="177" t="n"/>
    </row>
    <row r="586" ht="15.75" customHeight="1" s="297">
      <c r="A586" s="177" t="n"/>
      <c r="B586" s="177" t="n"/>
      <c r="C586" s="177" t="n"/>
      <c r="D586" s="177" t="n"/>
      <c r="E586" s="177" t="n"/>
      <c r="F586" s="177" t="n"/>
      <c r="G586" s="177" t="n"/>
      <c r="H586" s="177" t="n"/>
      <c r="I586" s="177" t="n"/>
      <c r="J586" s="177" t="n"/>
      <c r="K586" s="177" t="n"/>
      <c r="L586" s="177" t="n"/>
      <c r="M586" s="177" t="n"/>
      <c r="N586" s="177" t="n"/>
      <c r="O586" s="177" t="n"/>
      <c r="P586" s="177" t="n"/>
      <c r="Q586" s="177" t="n"/>
      <c r="R586" s="177" t="n"/>
      <c r="S586" s="177" t="n"/>
      <c r="T586" s="177" t="n"/>
      <c r="U586" s="177" t="n"/>
      <c r="V586" s="177" t="n"/>
      <c r="W586" s="177" t="n"/>
    </row>
    <row r="587" ht="15.75" customHeight="1" s="297">
      <c r="A587" s="177" t="n"/>
      <c r="B587" s="177" t="n"/>
      <c r="C587" s="177" t="n"/>
      <c r="D587" s="177" t="n"/>
      <c r="E587" s="177" t="n"/>
      <c r="F587" s="177" t="n"/>
      <c r="G587" s="177" t="n"/>
      <c r="H587" s="177" t="n"/>
      <c r="I587" s="177" t="n"/>
      <c r="J587" s="177" t="n"/>
      <c r="K587" s="177" t="n"/>
      <c r="L587" s="177" t="n"/>
      <c r="M587" s="177" t="n"/>
      <c r="N587" s="177" t="n"/>
      <c r="O587" s="177" t="n"/>
      <c r="P587" s="177" t="n"/>
      <c r="Q587" s="177" t="n"/>
      <c r="R587" s="177" t="n"/>
      <c r="S587" s="177" t="n"/>
      <c r="T587" s="177" t="n"/>
      <c r="U587" s="177" t="n"/>
      <c r="V587" s="177" t="n"/>
      <c r="W587" s="177" t="n"/>
    </row>
    <row r="588" ht="15.75" customHeight="1" s="297">
      <c r="A588" s="177" t="n"/>
      <c r="B588" s="177" t="n"/>
      <c r="C588" s="177" t="n"/>
      <c r="D588" s="177" t="n"/>
      <c r="E588" s="177" t="n"/>
      <c r="F588" s="177" t="n"/>
      <c r="G588" s="177" t="n"/>
      <c r="H588" s="177" t="n"/>
      <c r="I588" s="177" t="n"/>
      <c r="J588" s="177" t="n"/>
      <c r="K588" s="177" t="n"/>
      <c r="L588" s="177" t="n"/>
      <c r="M588" s="177" t="n"/>
      <c r="N588" s="177" t="n"/>
      <c r="O588" s="177" t="n"/>
      <c r="P588" s="177" t="n"/>
      <c r="Q588" s="177" t="n"/>
      <c r="R588" s="177" t="n"/>
      <c r="S588" s="177" t="n"/>
      <c r="T588" s="177" t="n"/>
      <c r="U588" s="177" t="n"/>
      <c r="V588" s="177" t="n"/>
      <c r="W588" s="177" t="n"/>
    </row>
    <row r="589" ht="15.75" customHeight="1" s="297">
      <c r="A589" s="177" t="n"/>
      <c r="B589" s="177" t="n"/>
      <c r="C589" s="177" t="n"/>
      <c r="D589" s="177" t="n"/>
      <c r="E589" s="177" t="n"/>
      <c r="F589" s="177" t="n"/>
      <c r="G589" s="177" t="n"/>
      <c r="H589" s="177" t="n"/>
      <c r="I589" s="177" t="n"/>
      <c r="J589" s="177" t="n"/>
      <c r="K589" s="177" t="n"/>
      <c r="L589" s="177" t="n"/>
      <c r="M589" s="177" t="n"/>
      <c r="N589" s="177" t="n"/>
      <c r="O589" s="177" t="n"/>
      <c r="P589" s="177" t="n"/>
      <c r="Q589" s="177" t="n"/>
      <c r="R589" s="177" t="n"/>
      <c r="S589" s="177" t="n"/>
      <c r="T589" s="177" t="n"/>
      <c r="U589" s="177" t="n"/>
      <c r="V589" s="177" t="n"/>
      <c r="W589" s="177" t="n"/>
    </row>
    <row r="590" ht="15.75" customHeight="1" s="297">
      <c r="A590" s="177" t="n"/>
      <c r="B590" s="177" t="n"/>
      <c r="C590" s="177" t="n"/>
      <c r="D590" s="177" t="n"/>
      <c r="E590" s="177" t="n"/>
      <c r="F590" s="177" t="n"/>
      <c r="G590" s="177" t="n"/>
      <c r="H590" s="177" t="n"/>
      <c r="I590" s="177" t="n"/>
      <c r="J590" s="177" t="n"/>
      <c r="K590" s="177" t="n"/>
      <c r="L590" s="177" t="n"/>
      <c r="M590" s="177" t="n"/>
      <c r="N590" s="177" t="n"/>
      <c r="O590" s="177" t="n"/>
      <c r="P590" s="177" t="n"/>
      <c r="Q590" s="177" t="n"/>
      <c r="R590" s="177" t="n"/>
      <c r="S590" s="177" t="n"/>
      <c r="T590" s="177" t="n"/>
      <c r="U590" s="177" t="n"/>
      <c r="V590" s="177" t="n"/>
      <c r="W590" s="177" t="n"/>
    </row>
    <row r="591" ht="15.75" customHeight="1" s="297">
      <c r="A591" s="177" t="n"/>
      <c r="B591" s="177" t="n"/>
      <c r="C591" s="177" t="n"/>
      <c r="D591" s="177" t="n"/>
      <c r="E591" s="177" t="n"/>
      <c r="F591" s="177" t="n"/>
      <c r="G591" s="177" t="n"/>
      <c r="H591" s="177" t="n"/>
      <c r="I591" s="177" t="n"/>
      <c r="J591" s="177" t="n"/>
      <c r="K591" s="177" t="n"/>
      <c r="L591" s="177" t="n"/>
      <c r="M591" s="177" t="n"/>
      <c r="N591" s="177" t="n"/>
      <c r="O591" s="177" t="n"/>
      <c r="P591" s="177" t="n"/>
      <c r="Q591" s="177" t="n"/>
      <c r="R591" s="177" t="n"/>
      <c r="S591" s="177" t="n"/>
      <c r="T591" s="177" t="n"/>
      <c r="U591" s="177" t="n"/>
      <c r="V591" s="177" t="n"/>
      <c r="W591" s="177" t="n"/>
    </row>
    <row r="592" ht="15.75" customHeight="1" s="297">
      <c r="A592" s="177" t="n"/>
      <c r="B592" s="177" t="n"/>
      <c r="C592" s="177" t="n"/>
      <c r="D592" s="177" t="n"/>
      <c r="E592" s="177" t="n"/>
      <c r="F592" s="177" t="n"/>
      <c r="G592" s="177" t="n"/>
      <c r="H592" s="177" t="n"/>
      <c r="I592" s="177" t="n"/>
      <c r="J592" s="177" t="n"/>
      <c r="K592" s="177" t="n"/>
      <c r="L592" s="177" t="n"/>
      <c r="M592" s="177" t="n"/>
      <c r="N592" s="177" t="n"/>
      <c r="O592" s="177" t="n"/>
      <c r="P592" s="177" t="n"/>
      <c r="Q592" s="177" t="n"/>
      <c r="R592" s="177" t="n"/>
      <c r="S592" s="177" t="n"/>
      <c r="T592" s="177" t="n"/>
      <c r="U592" s="177" t="n"/>
      <c r="V592" s="177" t="n"/>
      <c r="W592" s="177" t="n"/>
    </row>
    <row r="593" ht="15.75" customHeight="1" s="297">
      <c r="A593" s="177" t="n"/>
      <c r="B593" s="177" t="n"/>
      <c r="C593" s="177" t="n"/>
      <c r="D593" s="177" t="n"/>
      <c r="E593" s="177" t="n"/>
      <c r="F593" s="177" t="n"/>
      <c r="G593" s="177" t="n"/>
      <c r="H593" s="177" t="n"/>
      <c r="I593" s="177" t="n"/>
      <c r="J593" s="177" t="n"/>
      <c r="K593" s="177" t="n"/>
      <c r="L593" s="177" t="n"/>
      <c r="M593" s="177" t="n"/>
      <c r="N593" s="177" t="n"/>
      <c r="O593" s="177" t="n"/>
      <c r="P593" s="177" t="n"/>
      <c r="Q593" s="177" t="n"/>
      <c r="R593" s="177" t="n"/>
      <c r="S593" s="177" t="n"/>
      <c r="T593" s="177" t="n"/>
      <c r="U593" s="177" t="n"/>
      <c r="V593" s="177" t="n"/>
      <c r="W593" s="177" t="n"/>
    </row>
    <row r="594" ht="15.75" customHeight="1" s="297">
      <c r="A594" s="177" t="n"/>
      <c r="B594" s="177" t="n"/>
      <c r="C594" s="177" t="n"/>
      <c r="D594" s="177" t="n"/>
      <c r="E594" s="177" t="n"/>
      <c r="F594" s="177" t="n"/>
      <c r="G594" s="177" t="n"/>
      <c r="H594" s="177" t="n"/>
      <c r="I594" s="177" t="n"/>
      <c r="J594" s="177" t="n"/>
      <c r="K594" s="177" t="n"/>
      <c r="L594" s="177" t="n"/>
      <c r="M594" s="177" t="n"/>
      <c r="N594" s="177" t="n"/>
      <c r="O594" s="177" t="n"/>
      <c r="P594" s="177" t="n"/>
      <c r="Q594" s="177" t="n"/>
      <c r="R594" s="177" t="n"/>
      <c r="S594" s="177" t="n"/>
      <c r="T594" s="177" t="n"/>
      <c r="U594" s="177" t="n"/>
      <c r="V594" s="177" t="n"/>
      <c r="W594" s="177" t="n"/>
    </row>
    <row r="595" ht="15.75" customHeight="1" s="297">
      <c r="A595" s="177" t="n"/>
      <c r="B595" s="177" t="n"/>
      <c r="C595" s="177" t="n"/>
      <c r="D595" s="177" t="n"/>
      <c r="E595" s="177" t="n"/>
      <c r="F595" s="177" t="n"/>
      <c r="G595" s="177" t="n"/>
      <c r="H595" s="177" t="n"/>
      <c r="I595" s="177" t="n"/>
      <c r="J595" s="177" t="n"/>
      <c r="K595" s="177" t="n"/>
      <c r="L595" s="177" t="n"/>
      <c r="M595" s="177" t="n"/>
      <c r="N595" s="177" t="n"/>
      <c r="O595" s="177" t="n"/>
      <c r="P595" s="177" t="n"/>
      <c r="Q595" s="177" t="n"/>
      <c r="R595" s="177" t="n"/>
      <c r="S595" s="177" t="n"/>
      <c r="T595" s="177" t="n"/>
      <c r="U595" s="177" t="n"/>
      <c r="V595" s="177" t="n"/>
      <c r="W595" s="177" t="n"/>
    </row>
    <row r="596" ht="15.75" customHeight="1" s="297">
      <c r="A596" s="177" t="n"/>
      <c r="B596" s="177" t="n"/>
      <c r="C596" s="177" t="n"/>
      <c r="D596" s="177" t="n"/>
      <c r="E596" s="177" t="n"/>
      <c r="F596" s="177" t="n"/>
      <c r="G596" s="177" t="n"/>
      <c r="H596" s="177" t="n"/>
      <c r="I596" s="177" t="n"/>
      <c r="J596" s="177" t="n"/>
      <c r="K596" s="177" t="n"/>
      <c r="L596" s="177" t="n"/>
      <c r="M596" s="177" t="n"/>
      <c r="N596" s="177" t="n"/>
      <c r="O596" s="177" t="n"/>
      <c r="P596" s="177" t="n"/>
      <c r="Q596" s="177" t="n"/>
      <c r="R596" s="177" t="n"/>
      <c r="S596" s="177" t="n"/>
      <c r="T596" s="177" t="n"/>
      <c r="U596" s="177" t="n"/>
      <c r="V596" s="177" t="n"/>
      <c r="W596" s="177" t="n"/>
    </row>
    <row r="597" ht="15.75" customHeight="1" s="297">
      <c r="A597" s="177" t="n"/>
      <c r="B597" s="177" t="n"/>
      <c r="C597" s="177" t="n"/>
      <c r="D597" s="177" t="n"/>
      <c r="E597" s="177" t="n"/>
      <c r="F597" s="177" t="n"/>
      <c r="G597" s="177" t="n"/>
      <c r="H597" s="177" t="n"/>
      <c r="I597" s="177" t="n"/>
      <c r="J597" s="177" t="n"/>
      <c r="K597" s="177" t="n"/>
      <c r="L597" s="177" t="n"/>
      <c r="M597" s="177" t="n"/>
      <c r="N597" s="177" t="n"/>
      <c r="O597" s="177" t="n"/>
      <c r="P597" s="177" t="n"/>
      <c r="Q597" s="177" t="n"/>
      <c r="R597" s="177" t="n"/>
      <c r="S597" s="177" t="n"/>
      <c r="T597" s="177" t="n"/>
      <c r="U597" s="177" t="n"/>
      <c r="V597" s="177" t="n"/>
      <c r="W597" s="177" t="n"/>
    </row>
    <row r="598" ht="15.75" customHeight="1" s="297">
      <c r="A598" s="177" t="n"/>
      <c r="B598" s="177" t="n"/>
      <c r="C598" s="177" t="n"/>
      <c r="D598" s="177" t="n"/>
      <c r="E598" s="177" t="n"/>
      <c r="F598" s="177" t="n"/>
      <c r="G598" s="177" t="n"/>
      <c r="H598" s="177" t="n"/>
      <c r="I598" s="177" t="n"/>
      <c r="J598" s="177" t="n"/>
      <c r="K598" s="177" t="n"/>
      <c r="L598" s="177" t="n"/>
      <c r="M598" s="177" t="n"/>
      <c r="N598" s="177" t="n"/>
      <c r="O598" s="177" t="n"/>
      <c r="P598" s="177" t="n"/>
      <c r="Q598" s="177" t="n"/>
      <c r="R598" s="177" t="n"/>
      <c r="S598" s="177" t="n"/>
      <c r="T598" s="177" t="n"/>
      <c r="U598" s="177" t="n"/>
      <c r="V598" s="177" t="n"/>
      <c r="W598" s="177" t="n"/>
    </row>
    <row r="599" ht="15.75" customHeight="1" s="297">
      <c r="A599" s="177" t="n"/>
      <c r="B599" s="177" t="n"/>
      <c r="C599" s="177" t="n"/>
      <c r="D599" s="177" t="n"/>
      <c r="E599" s="177" t="n"/>
      <c r="F599" s="177" t="n"/>
      <c r="G599" s="177" t="n"/>
      <c r="H599" s="177" t="n"/>
      <c r="I599" s="177" t="n"/>
      <c r="J599" s="177" t="n"/>
      <c r="K599" s="177" t="n"/>
      <c r="L599" s="177" t="n"/>
      <c r="M599" s="177" t="n"/>
      <c r="N599" s="177" t="n"/>
      <c r="O599" s="177" t="n"/>
      <c r="P599" s="177" t="n"/>
      <c r="Q599" s="177" t="n"/>
      <c r="R599" s="177" t="n"/>
      <c r="S599" s="177" t="n"/>
      <c r="T599" s="177" t="n"/>
      <c r="U599" s="177" t="n"/>
      <c r="V599" s="177" t="n"/>
      <c r="W599" s="177" t="n"/>
    </row>
    <row r="600" ht="15.75" customHeight="1" s="297">
      <c r="A600" s="177" t="n"/>
      <c r="B600" s="177" t="n"/>
      <c r="C600" s="177" t="n"/>
      <c r="D600" s="177" t="n"/>
      <c r="E600" s="177" t="n"/>
      <c r="F600" s="177" t="n"/>
      <c r="G600" s="177" t="n"/>
      <c r="H600" s="177" t="n"/>
      <c r="I600" s="177" t="n"/>
      <c r="J600" s="177" t="n"/>
      <c r="K600" s="177" t="n"/>
      <c r="L600" s="177" t="n"/>
      <c r="M600" s="177" t="n"/>
      <c r="N600" s="177" t="n"/>
      <c r="O600" s="177" t="n"/>
      <c r="P600" s="177" t="n"/>
      <c r="Q600" s="177" t="n"/>
      <c r="R600" s="177" t="n"/>
      <c r="S600" s="177" t="n"/>
      <c r="T600" s="177" t="n"/>
      <c r="U600" s="177" t="n"/>
      <c r="V600" s="177" t="n"/>
      <c r="W600" s="177" t="n"/>
    </row>
    <row r="601" ht="15.75" customHeight="1" s="297">
      <c r="A601" s="177" t="n"/>
      <c r="B601" s="177" t="n"/>
      <c r="C601" s="177" t="n"/>
      <c r="D601" s="177" t="n"/>
      <c r="E601" s="177" t="n"/>
      <c r="F601" s="177" t="n"/>
      <c r="G601" s="177" t="n"/>
      <c r="H601" s="177" t="n"/>
      <c r="I601" s="177" t="n"/>
      <c r="J601" s="177" t="n"/>
      <c r="K601" s="177" t="n"/>
      <c r="L601" s="177" t="n"/>
      <c r="M601" s="177" t="n"/>
      <c r="N601" s="177" t="n"/>
      <c r="O601" s="177" t="n"/>
      <c r="P601" s="177" t="n"/>
      <c r="Q601" s="177" t="n"/>
      <c r="R601" s="177" t="n"/>
      <c r="S601" s="177" t="n"/>
      <c r="T601" s="177" t="n"/>
      <c r="U601" s="177" t="n"/>
      <c r="V601" s="177" t="n"/>
      <c r="W601" s="177" t="n"/>
    </row>
    <row r="602" ht="15.75" customHeight="1" s="297">
      <c r="A602" s="177" t="n"/>
      <c r="B602" s="177" t="n"/>
      <c r="C602" s="177" t="n"/>
      <c r="D602" s="177" t="n"/>
      <c r="E602" s="177" t="n"/>
      <c r="F602" s="177" t="n"/>
      <c r="G602" s="177" t="n"/>
      <c r="H602" s="177" t="n"/>
      <c r="I602" s="177" t="n"/>
      <c r="J602" s="177" t="n"/>
      <c r="K602" s="177" t="n"/>
      <c r="L602" s="177" t="n"/>
      <c r="M602" s="177" t="n"/>
      <c r="N602" s="177" t="n"/>
      <c r="O602" s="177" t="n"/>
      <c r="P602" s="177" t="n"/>
      <c r="Q602" s="177" t="n"/>
      <c r="R602" s="177" t="n"/>
      <c r="S602" s="177" t="n"/>
      <c r="T602" s="177" t="n"/>
      <c r="U602" s="177" t="n"/>
      <c r="V602" s="177" t="n"/>
      <c r="W602" s="177" t="n"/>
    </row>
    <row r="603" ht="15.75" customHeight="1" s="297">
      <c r="A603" s="177" t="n"/>
      <c r="B603" s="177" t="n"/>
      <c r="C603" s="177" t="n"/>
      <c r="D603" s="177" t="n"/>
      <c r="E603" s="177" t="n"/>
      <c r="F603" s="177" t="n"/>
      <c r="G603" s="177" t="n"/>
      <c r="H603" s="177" t="n"/>
      <c r="I603" s="177" t="n"/>
      <c r="J603" s="177" t="n"/>
      <c r="K603" s="177" t="n"/>
      <c r="L603" s="177" t="n"/>
      <c r="M603" s="177" t="n"/>
      <c r="N603" s="177" t="n"/>
      <c r="O603" s="177" t="n"/>
      <c r="P603" s="177" t="n"/>
      <c r="Q603" s="177" t="n"/>
      <c r="R603" s="177" t="n"/>
      <c r="S603" s="177" t="n"/>
      <c r="T603" s="177" t="n"/>
      <c r="U603" s="177" t="n"/>
      <c r="V603" s="177" t="n"/>
      <c r="W603" s="177" t="n"/>
    </row>
    <row r="604" ht="15.75" customHeight="1" s="297">
      <c r="A604" s="177" t="n"/>
      <c r="B604" s="177" t="n"/>
      <c r="C604" s="177" t="n"/>
      <c r="D604" s="177" t="n"/>
      <c r="E604" s="177" t="n"/>
      <c r="F604" s="177" t="n"/>
      <c r="G604" s="177" t="n"/>
      <c r="H604" s="177" t="n"/>
      <c r="I604" s="177" t="n"/>
      <c r="J604" s="177" t="n"/>
      <c r="K604" s="177" t="n"/>
      <c r="L604" s="177" t="n"/>
      <c r="M604" s="177" t="n"/>
      <c r="N604" s="177" t="n"/>
      <c r="O604" s="177" t="n"/>
      <c r="P604" s="177" t="n"/>
      <c r="Q604" s="177" t="n"/>
      <c r="R604" s="177" t="n"/>
      <c r="S604" s="177" t="n"/>
      <c r="T604" s="177" t="n"/>
      <c r="U604" s="177" t="n"/>
      <c r="V604" s="177" t="n"/>
      <c r="W604" s="177" t="n"/>
    </row>
    <row r="605" ht="15.75" customHeight="1" s="297">
      <c r="A605" s="177" t="n"/>
      <c r="B605" s="177" t="n"/>
      <c r="C605" s="177" t="n"/>
      <c r="D605" s="177" t="n"/>
      <c r="E605" s="177" t="n"/>
      <c r="F605" s="177" t="n"/>
      <c r="G605" s="177" t="n"/>
      <c r="H605" s="177" t="n"/>
      <c r="I605" s="177" t="n"/>
      <c r="J605" s="177" t="n"/>
      <c r="K605" s="177" t="n"/>
      <c r="L605" s="177" t="n"/>
      <c r="M605" s="177" t="n"/>
      <c r="N605" s="177" t="n"/>
      <c r="O605" s="177" t="n"/>
      <c r="P605" s="177" t="n"/>
      <c r="Q605" s="177" t="n"/>
      <c r="R605" s="177" t="n"/>
      <c r="S605" s="177" t="n"/>
      <c r="T605" s="177" t="n"/>
      <c r="U605" s="177" t="n"/>
      <c r="V605" s="177" t="n"/>
      <c r="W605" s="177" t="n"/>
    </row>
    <row r="606" ht="15.75" customHeight="1" s="297">
      <c r="A606" s="177" t="n"/>
      <c r="B606" s="177" t="n"/>
      <c r="C606" s="177" t="n"/>
      <c r="D606" s="177" t="n"/>
      <c r="E606" s="177" t="n"/>
      <c r="F606" s="177" t="n"/>
      <c r="G606" s="177" t="n"/>
      <c r="H606" s="177" t="n"/>
      <c r="I606" s="177" t="n"/>
      <c r="J606" s="177" t="n"/>
      <c r="K606" s="177" t="n"/>
      <c r="L606" s="177" t="n"/>
      <c r="M606" s="177" t="n"/>
      <c r="N606" s="177" t="n"/>
      <c r="O606" s="177" t="n"/>
      <c r="P606" s="177" t="n"/>
      <c r="Q606" s="177" t="n"/>
      <c r="R606" s="177" t="n"/>
      <c r="S606" s="177" t="n"/>
      <c r="T606" s="177" t="n"/>
      <c r="U606" s="177" t="n"/>
      <c r="V606" s="177" t="n"/>
      <c r="W606" s="177" t="n"/>
    </row>
    <row r="607" ht="15.75" customHeight="1" s="297">
      <c r="A607" s="177" t="n"/>
      <c r="B607" s="177" t="n"/>
      <c r="C607" s="177" t="n"/>
      <c r="D607" s="177" t="n"/>
      <c r="E607" s="177" t="n"/>
      <c r="F607" s="177" t="n"/>
      <c r="G607" s="177" t="n"/>
      <c r="H607" s="177" t="n"/>
      <c r="I607" s="177" t="n"/>
      <c r="J607" s="177" t="n"/>
      <c r="K607" s="177" t="n"/>
      <c r="L607" s="177" t="n"/>
      <c r="M607" s="177" t="n"/>
      <c r="N607" s="177" t="n"/>
      <c r="O607" s="177" t="n"/>
      <c r="P607" s="177" t="n"/>
      <c r="Q607" s="177" t="n"/>
      <c r="R607" s="177" t="n"/>
      <c r="S607" s="177" t="n"/>
      <c r="T607" s="177" t="n"/>
      <c r="U607" s="177" t="n"/>
      <c r="V607" s="177" t="n"/>
      <c r="W607" s="177" t="n"/>
    </row>
    <row r="608" ht="15.75" customHeight="1" s="297">
      <c r="A608" s="177" t="n"/>
      <c r="B608" s="177" t="n"/>
      <c r="C608" s="177" t="n"/>
      <c r="D608" s="177" t="n"/>
      <c r="E608" s="177" t="n"/>
      <c r="F608" s="177" t="n"/>
      <c r="G608" s="177" t="n"/>
      <c r="H608" s="177" t="n"/>
      <c r="I608" s="177" t="n"/>
      <c r="J608" s="177" t="n"/>
      <c r="K608" s="177" t="n"/>
      <c r="L608" s="177" t="n"/>
      <c r="M608" s="177" t="n"/>
      <c r="N608" s="177" t="n"/>
      <c r="O608" s="177" t="n"/>
      <c r="P608" s="177" t="n"/>
      <c r="Q608" s="177" t="n"/>
      <c r="R608" s="177" t="n"/>
      <c r="S608" s="177" t="n"/>
      <c r="T608" s="177" t="n"/>
      <c r="U608" s="177" t="n"/>
      <c r="V608" s="177" t="n"/>
      <c r="W608" s="177" t="n"/>
    </row>
    <row r="609" ht="15.75" customHeight="1" s="297">
      <c r="A609" s="177" t="n"/>
      <c r="B609" s="177" t="n"/>
      <c r="C609" s="177" t="n"/>
      <c r="D609" s="177" t="n"/>
      <c r="E609" s="177" t="n"/>
      <c r="F609" s="177" t="n"/>
      <c r="G609" s="177" t="n"/>
      <c r="H609" s="177" t="n"/>
      <c r="I609" s="177" t="n"/>
      <c r="J609" s="177" t="n"/>
      <c r="K609" s="177" t="n"/>
      <c r="L609" s="177" t="n"/>
      <c r="M609" s="177" t="n"/>
      <c r="N609" s="177" t="n"/>
      <c r="O609" s="177" t="n"/>
      <c r="P609" s="177" t="n"/>
      <c r="Q609" s="177" t="n"/>
      <c r="R609" s="177" t="n"/>
      <c r="S609" s="177" t="n"/>
      <c r="T609" s="177" t="n"/>
      <c r="U609" s="177" t="n"/>
      <c r="V609" s="177" t="n"/>
      <c r="W609" s="177" t="n"/>
    </row>
    <row r="610" ht="15.75" customHeight="1" s="297">
      <c r="A610" s="177" t="n"/>
      <c r="B610" s="177" t="n"/>
      <c r="C610" s="177" t="n"/>
      <c r="D610" s="177" t="n"/>
      <c r="E610" s="177" t="n"/>
      <c r="F610" s="177" t="n"/>
      <c r="G610" s="177" t="n"/>
      <c r="H610" s="177" t="n"/>
      <c r="I610" s="177" t="n"/>
      <c r="J610" s="177" t="n"/>
      <c r="K610" s="177" t="n"/>
      <c r="L610" s="177" t="n"/>
      <c r="M610" s="177" t="n"/>
      <c r="N610" s="177" t="n"/>
      <c r="O610" s="177" t="n"/>
      <c r="P610" s="177" t="n"/>
      <c r="Q610" s="177" t="n"/>
      <c r="R610" s="177" t="n"/>
      <c r="S610" s="177" t="n"/>
      <c r="T610" s="177" t="n"/>
      <c r="U610" s="177" t="n"/>
      <c r="V610" s="177" t="n"/>
      <c r="W610" s="177" t="n"/>
    </row>
    <row r="611" ht="15.75" customHeight="1" s="297">
      <c r="A611" s="177" t="n"/>
      <c r="B611" s="177" t="n"/>
      <c r="C611" s="177" t="n"/>
      <c r="D611" s="177" t="n"/>
      <c r="E611" s="177" t="n"/>
      <c r="F611" s="177" t="n"/>
      <c r="G611" s="177" t="n"/>
      <c r="H611" s="177" t="n"/>
      <c r="I611" s="177" t="n"/>
      <c r="J611" s="177" t="n"/>
      <c r="K611" s="177" t="n"/>
      <c r="L611" s="177" t="n"/>
      <c r="M611" s="177" t="n"/>
      <c r="N611" s="177" t="n"/>
      <c r="O611" s="177" t="n"/>
      <c r="P611" s="177" t="n"/>
      <c r="Q611" s="177" t="n"/>
      <c r="R611" s="177" t="n"/>
      <c r="S611" s="177" t="n"/>
      <c r="T611" s="177" t="n"/>
      <c r="U611" s="177" t="n"/>
      <c r="V611" s="177" t="n"/>
      <c r="W611" s="177" t="n"/>
    </row>
    <row r="612" ht="15.75" customHeight="1" s="297">
      <c r="A612" s="177" t="n"/>
      <c r="B612" s="177" t="n"/>
      <c r="C612" s="177" t="n"/>
      <c r="D612" s="177" t="n"/>
      <c r="E612" s="177" t="n"/>
      <c r="F612" s="177" t="n"/>
      <c r="G612" s="177" t="n"/>
      <c r="H612" s="177" t="n"/>
      <c r="I612" s="177" t="n"/>
      <c r="J612" s="177" t="n"/>
      <c r="K612" s="177" t="n"/>
      <c r="L612" s="177" t="n"/>
      <c r="M612" s="177" t="n"/>
      <c r="N612" s="177" t="n"/>
      <c r="O612" s="177" t="n"/>
      <c r="P612" s="177" t="n"/>
      <c r="Q612" s="177" t="n"/>
      <c r="R612" s="177" t="n"/>
      <c r="S612" s="177" t="n"/>
      <c r="T612" s="177" t="n"/>
      <c r="U612" s="177" t="n"/>
      <c r="V612" s="177" t="n"/>
      <c r="W612" s="177" t="n"/>
    </row>
    <row r="613" ht="15.75" customHeight="1" s="297">
      <c r="A613" s="177" t="n"/>
      <c r="B613" s="177" t="n"/>
      <c r="C613" s="177" t="n"/>
      <c r="D613" s="177" t="n"/>
      <c r="E613" s="177" t="n"/>
      <c r="F613" s="177" t="n"/>
      <c r="G613" s="177" t="n"/>
      <c r="H613" s="177" t="n"/>
      <c r="I613" s="177" t="n"/>
      <c r="J613" s="177" t="n"/>
      <c r="K613" s="177" t="n"/>
      <c r="L613" s="177" t="n"/>
      <c r="M613" s="177" t="n"/>
      <c r="N613" s="177" t="n"/>
      <c r="O613" s="177" t="n"/>
      <c r="P613" s="177" t="n"/>
      <c r="Q613" s="177" t="n"/>
      <c r="R613" s="177" t="n"/>
      <c r="S613" s="177" t="n"/>
      <c r="T613" s="177" t="n"/>
      <c r="U613" s="177" t="n"/>
      <c r="V613" s="177" t="n"/>
      <c r="W613" s="177" t="n"/>
    </row>
    <row r="614" ht="15.75" customHeight="1" s="297">
      <c r="A614" s="177" t="n"/>
      <c r="B614" s="177" t="n"/>
      <c r="C614" s="177" t="n"/>
      <c r="D614" s="177" t="n"/>
      <c r="E614" s="177" t="n"/>
      <c r="F614" s="177" t="n"/>
      <c r="G614" s="177" t="n"/>
      <c r="H614" s="177" t="n"/>
      <c r="I614" s="177" t="n"/>
      <c r="J614" s="177" t="n"/>
      <c r="K614" s="177" t="n"/>
      <c r="L614" s="177" t="n"/>
      <c r="M614" s="177" t="n"/>
      <c r="N614" s="177" t="n"/>
      <c r="O614" s="177" t="n"/>
      <c r="P614" s="177" t="n"/>
      <c r="Q614" s="177" t="n"/>
      <c r="R614" s="177" t="n"/>
      <c r="S614" s="177" t="n"/>
      <c r="T614" s="177" t="n"/>
      <c r="U614" s="177" t="n"/>
      <c r="V614" s="177" t="n"/>
      <c r="W614" s="177" t="n"/>
    </row>
    <row r="615" ht="15.75" customHeight="1" s="297">
      <c r="A615" s="177" t="n"/>
      <c r="B615" s="177" t="n"/>
      <c r="C615" s="177" t="n"/>
      <c r="D615" s="177" t="n"/>
      <c r="E615" s="177" t="n"/>
      <c r="F615" s="177" t="n"/>
      <c r="G615" s="177" t="n"/>
      <c r="H615" s="177" t="n"/>
      <c r="I615" s="177" t="n"/>
      <c r="J615" s="177" t="n"/>
      <c r="K615" s="177" t="n"/>
      <c r="L615" s="177" t="n"/>
      <c r="M615" s="177" t="n"/>
      <c r="N615" s="177" t="n"/>
      <c r="O615" s="177" t="n"/>
      <c r="P615" s="177" t="n"/>
      <c r="Q615" s="177" t="n"/>
      <c r="R615" s="177" t="n"/>
      <c r="S615" s="177" t="n"/>
      <c r="T615" s="177" t="n"/>
      <c r="U615" s="177" t="n"/>
      <c r="V615" s="177" t="n"/>
      <c r="W615" s="177" t="n"/>
    </row>
    <row r="616" ht="15.75" customHeight="1" s="297">
      <c r="A616" s="177" t="n"/>
      <c r="B616" s="177" t="n"/>
      <c r="C616" s="177" t="n"/>
      <c r="D616" s="177" t="n"/>
      <c r="E616" s="177" t="n"/>
      <c r="F616" s="177" t="n"/>
      <c r="G616" s="177" t="n"/>
      <c r="H616" s="177" t="n"/>
      <c r="I616" s="177" t="n"/>
      <c r="J616" s="177" t="n"/>
      <c r="K616" s="177" t="n"/>
      <c r="L616" s="177" t="n"/>
      <c r="M616" s="177" t="n"/>
      <c r="N616" s="177" t="n"/>
      <c r="O616" s="177" t="n"/>
      <c r="P616" s="177" t="n"/>
      <c r="Q616" s="177" t="n"/>
      <c r="R616" s="177" t="n"/>
      <c r="S616" s="177" t="n"/>
      <c r="T616" s="177" t="n"/>
      <c r="U616" s="177" t="n"/>
      <c r="V616" s="177" t="n"/>
      <c r="W616" s="177" t="n"/>
    </row>
    <row r="617" ht="15.75" customHeight="1" s="297">
      <c r="A617" s="177" t="n"/>
      <c r="B617" s="177" t="n"/>
      <c r="C617" s="177" t="n"/>
      <c r="D617" s="177" t="n"/>
      <c r="E617" s="177" t="n"/>
      <c r="F617" s="177" t="n"/>
      <c r="G617" s="177" t="n"/>
      <c r="H617" s="177" t="n"/>
      <c r="I617" s="177" t="n"/>
      <c r="J617" s="177" t="n"/>
      <c r="K617" s="177" t="n"/>
      <c r="L617" s="177" t="n"/>
      <c r="M617" s="177" t="n"/>
      <c r="N617" s="177" t="n"/>
      <c r="O617" s="177" t="n"/>
      <c r="P617" s="177" t="n"/>
      <c r="Q617" s="177" t="n"/>
      <c r="R617" s="177" t="n"/>
      <c r="S617" s="177" t="n"/>
      <c r="T617" s="177" t="n"/>
      <c r="U617" s="177" t="n"/>
      <c r="V617" s="177" t="n"/>
      <c r="W617" s="177" t="n"/>
    </row>
    <row r="618" ht="15.75" customHeight="1" s="297">
      <c r="A618" s="177" t="n"/>
      <c r="B618" s="177" t="n"/>
      <c r="C618" s="177" t="n"/>
      <c r="D618" s="177" t="n"/>
      <c r="E618" s="177" t="n"/>
      <c r="F618" s="177" t="n"/>
      <c r="G618" s="177" t="n"/>
      <c r="H618" s="177" t="n"/>
      <c r="I618" s="177" t="n"/>
      <c r="J618" s="177" t="n"/>
      <c r="K618" s="177" t="n"/>
      <c r="L618" s="177" t="n"/>
      <c r="M618" s="177" t="n"/>
      <c r="N618" s="177" t="n"/>
      <c r="O618" s="177" t="n"/>
      <c r="P618" s="177" t="n"/>
      <c r="Q618" s="177" t="n"/>
      <c r="R618" s="177" t="n"/>
      <c r="S618" s="177" t="n"/>
      <c r="T618" s="177" t="n"/>
      <c r="U618" s="177" t="n"/>
      <c r="V618" s="177" t="n"/>
      <c r="W618" s="177" t="n"/>
    </row>
    <row r="619" ht="15.75" customHeight="1" s="297">
      <c r="A619" s="177" t="n"/>
      <c r="B619" s="177" t="n"/>
      <c r="C619" s="177" t="n"/>
      <c r="D619" s="177" t="n"/>
      <c r="E619" s="177" t="n"/>
      <c r="F619" s="177" t="n"/>
      <c r="G619" s="177" t="n"/>
      <c r="H619" s="177" t="n"/>
      <c r="I619" s="177" t="n"/>
      <c r="J619" s="177" t="n"/>
      <c r="K619" s="177" t="n"/>
      <c r="L619" s="177" t="n"/>
      <c r="M619" s="177" t="n"/>
      <c r="N619" s="177" t="n"/>
      <c r="O619" s="177" t="n"/>
      <c r="P619" s="177" t="n"/>
      <c r="Q619" s="177" t="n"/>
      <c r="R619" s="177" t="n"/>
      <c r="S619" s="177" t="n"/>
      <c r="T619" s="177" t="n"/>
      <c r="U619" s="177" t="n"/>
      <c r="V619" s="177" t="n"/>
      <c r="W619" s="177" t="n"/>
    </row>
    <row r="620" ht="15.75" customHeight="1" s="297">
      <c r="A620" s="177" t="n"/>
      <c r="B620" s="177" t="n"/>
      <c r="C620" s="177" t="n"/>
      <c r="D620" s="177" t="n"/>
      <c r="E620" s="177" t="n"/>
      <c r="F620" s="177" t="n"/>
      <c r="G620" s="177" t="n"/>
      <c r="H620" s="177" t="n"/>
      <c r="I620" s="177" t="n"/>
      <c r="J620" s="177" t="n"/>
      <c r="K620" s="177" t="n"/>
      <c r="L620" s="177" t="n"/>
      <c r="M620" s="177" t="n"/>
      <c r="N620" s="177" t="n"/>
      <c r="O620" s="177" t="n"/>
      <c r="P620" s="177" t="n"/>
      <c r="Q620" s="177" t="n"/>
      <c r="R620" s="177" t="n"/>
      <c r="S620" s="177" t="n"/>
      <c r="T620" s="177" t="n"/>
      <c r="U620" s="177" t="n"/>
      <c r="V620" s="177" t="n"/>
      <c r="W620" s="177" t="n"/>
    </row>
    <row r="621" ht="15.75" customHeight="1" s="297">
      <c r="A621" s="177" t="n"/>
      <c r="B621" s="177" t="n"/>
      <c r="C621" s="177" t="n"/>
      <c r="D621" s="177" t="n"/>
      <c r="E621" s="177" t="n"/>
      <c r="F621" s="177" t="n"/>
      <c r="G621" s="177" t="n"/>
      <c r="H621" s="177" t="n"/>
      <c r="I621" s="177" t="n"/>
      <c r="J621" s="177" t="n"/>
      <c r="K621" s="177" t="n"/>
      <c r="L621" s="177" t="n"/>
      <c r="M621" s="177" t="n"/>
      <c r="N621" s="177" t="n"/>
      <c r="O621" s="177" t="n"/>
      <c r="P621" s="177" t="n"/>
      <c r="Q621" s="177" t="n"/>
      <c r="R621" s="177" t="n"/>
      <c r="S621" s="177" t="n"/>
      <c r="T621" s="177" t="n"/>
      <c r="U621" s="177" t="n"/>
      <c r="V621" s="177" t="n"/>
      <c r="W621" s="177" t="n"/>
    </row>
    <row r="622" ht="15.75" customHeight="1" s="297">
      <c r="A622" s="177" t="n"/>
      <c r="B622" s="177" t="n"/>
      <c r="C622" s="177" t="n"/>
      <c r="D622" s="177" t="n"/>
      <c r="E622" s="177" t="n"/>
      <c r="F622" s="177" t="n"/>
      <c r="G622" s="177" t="n"/>
      <c r="H622" s="177" t="n"/>
      <c r="I622" s="177" t="n"/>
      <c r="J622" s="177" t="n"/>
      <c r="K622" s="177" t="n"/>
      <c r="L622" s="177" t="n"/>
      <c r="M622" s="177" t="n"/>
      <c r="N622" s="177" t="n"/>
      <c r="O622" s="177" t="n"/>
      <c r="P622" s="177" t="n"/>
      <c r="Q622" s="177" t="n"/>
      <c r="R622" s="177" t="n"/>
      <c r="S622" s="177" t="n"/>
      <c r="T622" s="177" t="n"/>
      <c r="U622" s="177" t="n"/>
      <c r="V622" s="177" t="n"/>
      <c r="W622" s="177" t="n"/>
    </row>
    <row r="623" ht="15.75" customHeight="1" s="297">
      <c r="A623" s="177" t="n"/>
      <c r="B623" s="177" t="n"/>
      <c r="C623" s="177" t="n"/>
      <c r="D623" s="177" t="n"/>
      <c r="E623" s="177" t="n"/>
      <c r="F623" s="177" t="n"/>
      <c r="G623" s="177" t="n"/>
      <c r="H623" s="177" t="n"/>
      <c r="I623" s="177" t="n"/>
      <c r="J623" s="177" t="n"/>
      <c r="K623" s="177" t="n"/>
      <c r="L623" s="177" t="n"/>
      <c r="M623" s="177" t="n"/>
      <c r="N623" s="177" t="n"/>
      <c r="O623" s="177" t="n"/>
      <c r="P623" s="177" t="n"/>
      <c r="Q623" s="177" t="n"/>
      <c r="R623" s="177" t="n"/>
      <c r="S623" s="177" t="n"/>
      <c r="T623" s="177" t="n"/>
      <c r="U623" s="177" t="n"/>
      <c r="V623" s="177" t="n"/>
      <c r="W623" s="177" t="n"/>
    </row>
    <row r="624" ht="15.75" customHeight="1" s="297">
      <c r="A624" s="177" t="n"/>
      <c r="B624" s="177" t="n"/>
      <c r="C624" s="177" t="n"/>
      <c r="D624" s="177" t="n"/>
      <c r="E624" s="177" t="n"/>
      <c r="F624" s="177" t="n"/>
      <c r="G624" s="177" t="n"/>
      <c r="H624" s="177" t="n"/>
      <c r="I624" s="177" t="n"/>
      <c r="J624" s="177" t="n"/>
      <c r="K624" s="177" t="n"/>
      <c r="L624" s="177" t="n"/>
      <c r="M624" s="177" t="n"/>
      <c r="N624" s="177" t="n"/>
      <c r="O624" s="177" t="n"/>
      <c r="P624" s="177" t="n"/>
      <c r="Q624" s="177" t="n"/>
      <c r="R624" s="177" t="n"/>
      <c r="S624" s="177" t="n"/>
      <c r="T624" s="177" t="n"/>
      <c r="U624" s="177" t="n"/>
      <c r="V624" s="177" t="n"/>
      <c r="W624" s="177" t="n"/>
    </row>
    <row r="625" ht="15.75" customHeight="1" s="297">
      <c r="A625" s="177" t="n"/>
      <c r="B625" s="177" t="n"/>
      <c r="C625" s="177" t="n"/>
      <c r="D625" s="177" t="n"/>
      <c r="E625" s="177" t="n"/>
      <c r="F625" s="177" t="n"/>
      <c r="G625" s="177" t="n"/>
      <c r="H625" s="177" t="n"/>
      <c r="I625" s="177" t="n"/>
      <c r="J625" s="177" t="n"/>
      <c r="K625" s="177" t="n"/>
      <c r="L625" s="177" t="n"/>
      <c r="M625" s="177" t="n"/>
      <c r="N625" s="177" t="n"/>
      <c r="O625" s="177" t="n"/>
      <c r="P625" s="177" t="n"/>
      <c r="Q625" s="177" t="n"/>
      <c r="R625" s="177" t="n"/>
      <c r="S625" s="177" t="n"/>
      <c r="T625" s="177" t="n"/>
      <c r="U625" s="177" t="n"/>
      <c r="V625" s="177" t="n"/>
      <c r="W625" s="177" t="n"/>
    </row>
    <row r="626" ht="15.75" customHeight="1" s="297">
      <c r="A626" s="177" t="n"/>
      <c r="B626" s="177" t="n"/>
      <c r="C626" s="177" t="n"/>
      <c r="D626" s="177" t="n"/>
      <c r="E626" s="177" t="n"/>
      <c r="F626" s="177" t="n"/>
      <c r="G626" s="177" t="n"/>
      <c r="H626" s="177" t="n"/>
      <c r="I626" s="177" t="n"/>
      <c r="J626" s="177" t="n"/>
      <c r="K626" s="177" t="n"/>
      <c r="L626" s="177" t="n"/>
      <c r="M626" s="177" t="n"/>
      <c r="N626" s="177" t="n"/>
      <c r="O626" s="177" t="n"/>
      <c r="P626" s="177" t="n"/>
      <c r="Q626" s="177" t="n"/>
      <c r="R626" s="177" t="n"/>
      <c r="S626" s="177" t="n"/>
      <c r="T626" s="177" t="n"/>
      <c r="U626" s="177" t="n"/>
      <c r="V626" s="177" t="n"/>
      <c r="W626" s="177" t="n"/>
    </row>
    <row r="627" ht="15.75" customHeight="1" s="297">
      <c r="A627" s="177" t="n"/>
      <c r="B627" s="177" t="n"/>
      <c r="C627" s="177" t="n"/>
      <c r="D627" s="177" t="n"/>
      <c r="E627" s="177" t="n"/>
      <c r="F627" s="177" t="n"/>
      <c r="G627" s="177" t="n"/>
      <c r="H627" s="177" t="n"/>
      <c r="I627" s="177" t="n"/>
      <c r="J627" s="177" t="n"/>
      <c r="K627" s="177" t="n"/>
      <c r="L627" s="177" t="n"/>
      <c r="M627" s="177" t="n"/>
      <c r="N627" s="177" t="n"/>
      <c r="O627" s="177" t="n"/>
      <c r="P627" s="177" t="n"/>
      <c r="Q627" s="177" t="n"/>
      <c r="R627" s="177" t="n"/>
      <c r="S627" s="177" t="n"/>
      <c r="T627" s="177" t="n"/>
      <c r="U627" s="177" t="n"/>
      <c r="V627" s="177" t="n"/>
      <c r="W627" s="177" t="n"/>
    </row>
    <row r="628" ht="15.75" customHeight="1" s="297">
      <c r="A628" s="177" t="n"/>
      <c r="B628" s="177" t="n"/>
      <c r="C628" s="177" t="n"/>
      <c r="D628" s="177" t="n"/>
      <c r="E628" s="177" t="n"/>
      <c r="F628" s="177" t="n"/>
      <c r="G628" s="177" t="n"/>
      <c r="H628" s="177" t="n"/>
      <c r="I628" s="177" t="n"/>
      <c r="J628" s="177" t="n"/>
      <c r="K628" s="177" t="n"/>
      <c r="L628" s="177" t="n"/>
      <c r="M628" s="177" t="n"/>
      <c r="N628" s="177" t="n"/>
      <c r="O628" s="177" t="n"/>
      <c r="P628" s="177" t="n"/>
      <c r="Q628" s="177" t="n"/>
      <c r="R628" s="177" t="n"/>
      <c r="S628" s="177" t="n"/>
      <c r="T628" s="177" t="n"/>
      <c r="U628" s="177" t="n"/>
      <c r="V628" s="177" t="n"/>
      <c r="W628" s="177" t="n"/>
    </row>
    <row r="629" ht="15.75" customHeight="1" s="297">
      <c r="A629" s="177" t="n"/>
      <c r="B629" s="177" t="n"/>
      <c r="C629" s="177" t="n"/>
      <c r="D629" s="177" t="n"/>
      <c r="E629" s="177" t="n"/>
      <c r="F629" s="177" t="n"/>
      <c r="G629" s="177" t="n"/>
      <c r="H629" s="177" t="n"/>
      <c r="I629" s="177" t="n"/>
      <c r="J629" s="177" t="n"/>
      <c r="K629" s="177" t="n"/>
      <c r="L629" s="177" t="n"/>
      <c r="M629" s="177" t="n"/>
      <c r="N629" s="177" t="n"/>
      <c r="O629" s="177" t="n"/>
      <c r="P629" s="177" t="n"/>
      <c r="Q629" s="177" t="n"/>
      <c r="R629" s="177" t="n"/>
      <c r="S629" s="177" t="n"/>
      <c r="T629" s="177" t="n"/>
      <c r="U629" s="177" t="n"/>
      <c r="V629" s="177" t="n"/>
      <c r="W629" s="177" t="n"/>
    </row>
    <row r="630" ht="15.75" customHeight="1" s="297">
      <c r="A630" s="177" t="n"/>
      <c r="B630" s="177" t="n"/>
      <c r="C630" s="177" t="n"/>
      <c r="D630" s="177" t="n"/>
      <c r="E630" s="177" t="n"/>
      <c r="F630" s="177" t="n"/>
      <c r="G630" s="177" t="n"/>
      <c r="H630" s="177" t="n"/>
      <c r="I630" s="177" t="n"/>
      <c r="J630" s="177" t="n"/>
      <c r="K630" s="177" t="n"/>
      <c r="L630" s="177" t="n"/>
      <c r="M630" s="177" t="n"/>
      <c r="N630" s="177" t="n"/>
      <c r="O630" s="177" t="n"/>
      <c r="P630" s="177" t="n"/>
      <c r="Q630" s="177" t="n"/>
      <c r="R630" s="177" t="n"/>
      <c r="S630" s="177" t="n"/>
      <c r="T630" s="177" t="n"/>
      <c r="U630" s="177" t="n"/>
      <c r="V630" s="177" t="n"/>
      <c r="W630" s="177" t="n"/>
    </row>
    <row r="631" ht="15.75" customHeight="1" s="297">
      <c r="A631" s="177" t="n"/>
      <c r="B631" s="177" t="n"/>
      <c r="C631" s="177" t="n"/>
      <c r="D631" s="177" t="n"/>
      <c r="E631" s="177" t="n"/>
      <c r="F631" s="177" t="n"/>
      <c r="G631" s="177" t="n"/>
      <c r="H631" s="177" t="n"/>
      <c r="I631" s="177" t="n"/>
      <c r="J631" s="177" t="n"/>
      <c r="K631" s="177" t="n"/>
      <c r="L631" s="177" t="n"/>
      <c r="M631" s="177" t="n"/>
      <c r="N631" s="177" t="n"/>
      <c r="O631" s="177" t="n"/>
      <c r="P631" s="177" t="n"/>
      <c r="Q631" s="177" t="n"/>
      <c r="R631" s="177" t="n"/>
      <c r="S631" s="177" t="n"/>
      <c r="T631" s="177" t="n"/>
      <c r="U631" s="177" t="n"/>
      <c r="V631" s="177" t="n"/>
      <c r="W631" s="177" t="n"/>
    </row>
    <row r="632" ht="15.75" customHeight="1" s="297">
      <c r="A632" s="177" t="n"/>
      <c r="B632" s="177" t="n"/>
      <c r="C632" s="177" t="n"/>
      <c r="D632" s="177" t="n"/>
      <c r="E632" s="177" t="n"/>
      <c r="F632" s="177" t="n"/>
      <c r="G632" s="177" t="n"/>
      <c r="H632" s="177" t="n"/>
      <c r="I632" s="177" t="n"/>
      <c r="J632" s="177" t="n"/>
      <c r="K632" s="177" t="n"/>
      <c r="L632" s="177" t="n"/>
      <c r="M632" s="177" t="n"/>
      <c r="N632" s="177" t="n"/>
      <c r="O632" s="177" t="n"/>
      <c r="P632" s="177" t="n"/>
      <c r="Q632" s="177" t="n"/>
      <c r="R632" s="177" t="n"/>
      <c r="S632" s="177" t="n"/>
      <c r="T632" s="177" t="n"/>
      <c r="U632" s="177" t="n"/>
      <c r="V632" s="177" t="n"/>
      <c r="W632" s="177" t="n"/>
    </row>
    <row r="633" ht="15.75" customHeight="1" s="297">
      <c r="A633" s="177" t="n"/>
      <c r="B633" s="177" t="n"/>
      <c r="C633" s="177" t="n"/>
      <c r="D633" s="177" t="n"/>
      <c r="E633" s="177" t="n"/>
      <c r="F633" s="177" t="n"/>
      <c r="G633" s="177" t="n"/>
      <c r="H633" s="177" t="n"/>
      <c r="I633" s="177" t="n"/>
      <c r="J633" s="177" t="n"/>
      <c r="K633" s="177" t="n"/>
      <c r="L633" s="177" t="n"/>
      <c r="M633" s="177" t="n"/>
      <c r="N633" s="177" t="n"/>
      <c r="O633" s="177" t="n"/>
      <c r="P633" s="177" t="n"/>
      <c r="Q633" s="177" t="n"/>
      <c r="R633" s="177" t="n"/>
      <c r="S633" s="177" t="n"/>
      <c r="T633" s="177" t="n"/>
      <c r="U633" s="177" t="n"/>
      <c r="V633" s="177" t="n"/>
      <c r="W633" s="177" t="n"/>
    </row>
    <row r="634" ht="15.75" customHeight="1" s="297">
      <c r="A634" s="177" t="n"/>
      <c r="B634" s="177" t="n"/>
      <c r="C634" s="177" t="n"/>
      <c r="D634" s="177" t="n"/>
      <c r="E634" s="177" t="n"/>
      <c r="F634" s="177" t="n"/>
      <c r="G634" s="177" t="n"/>
      <c r="H634" s="177" t="n"/>
      <c r="I634" s="177" t="n"/>
      <c r="J634" s="177" t="n"/>
      <c r="K634" s="177" t="n"/>
      <c r="L634" s="177" t="n"/>
      <c r="M634" s="177" t="n"/>
      <c r="N634" s="177" t="n"/>
      <c r="O634" s="177" t="n"/>
      <c r="P634" s="177" t="n"/>
      <c r="Q634" s="177" t="n"/>
      <c r="R634" s="177" t="n"/>
      <c r="S634" s="177" t="n"/>
      <c r="T634" s="177" t="n"/>
      <c r="U634" s="177" t="n"/>
      <c r="V634" s="177" t="n"/>
      <c r="W634" s="177" t="n"/>
    </row>
    <row r="635" ht="15.75" customHeight="1" s="297">
      <c r="A635" s="177" t="n"/>
      <c r="B635" s="177" t="n"/>
      <c r="C635" s="177" t="n"/>
      <c r="D635" s="177" t="n"/>
      <c r="E635" s="177" t="n"/>
      <c r="F635" s="177" t="n"/>
      <c r="G635" s="177" t="n"/>
      <c r="H635" s="177" t="n"/>
      <c r="I635" s="177" t="n"/>
      <c r="J635" s="177" t="n"/>
      <c r="K635" s="177" t="n"/>
      <c r="L635" s="177" t="n"/>
      <c r="M635" s="177" t="n"/>
      <c r="N635" s="177" t="n"/>
      <c r="O635" s="177" t="n"/>
      <c r="P635" s="177" t="n"/>
      <c r="Q635" s="177" t="n"/>
      <c r="R635" s="177" t="n"/>
      <c r="S635" s="177" t="n"/>
      <c r="T635" s="177" t="n"/>
      <c r="U635" s="177" t="n"/>
      <c r="V635" s="177" t="n"/>
      <c r="W635" s="177" t="n"/>
    </row>
    <row r="636" ht="15.75" customHeight="1" s="297">
      <c r="A636" s="177" t="n"/>
      <c r="B636" s="177" t="n"/>
      <c r="C636" s="177" t="n"/>
      <c r="D636" s="177" t="n"/>
      <c r="E636" s="177" t="n"/>
      <c r="F636" s="177" t="n"/>
      <c r="G636" s="177" t="n"/>
      <c r="H636" s="177" t="n"/>
      <c r="I636" s="177" t="n"/>
      <c r="J636" s="177" t="n"/>
      <c r="K636" s="177" t="n"/>
      <c r="L636" s="177" t="n"/>
      <c r="M636" s="177" t="n"/>
      <c r="N636" s="177" t="n"/>
      <c r="O636" s="177" t="n"/>
      <c r="P636" s="177" t="n"/>
      <c r="Q636" s="177" t="n"/>
      <c r="R636" s="177" t="n"/>
      <c r="S636" s="177" t="n"/>
      <c r="T636" s="177" t="n"/>
      <c r="U636" s="177" t="n"/>
      <c r="V636" s="177" t="n"/>
      <c r="W636" s="177" t="n"/>
    </row>
    <row r="637" ht="15.75" customHeight="1" s="297">
      <c r="A637" s="177" t="n"/>
      <c r="B637" s="177" t="n"/>
      <c r="C637" s="177" t="n"/>
      <c r="D637" s="177" t="n"/>
      <c r="E637" s="177" t="n"/>
      <c r="F637" s="177" t="n"/>
      <c r="G637" s="177" t="n"/>
      <c r="H637" s="177" t="n"/>
      <c r="I637" s="177" t="n"/>
      <c r="J637" s="177" t="n"/>
      <c r="K637" s="177" t="n"/>
      <c r="L637" s="177" t="n"/>
      <c r="M637" s="177" t="n"/>
      <c r="N637" s="177" t="n"/>
      <c r="O637" s="177" t="n"/>
      <c r="P637" s="177" t="n"/>
      <c r="Q637" s="177" t="n"/>
      <c r="R637" s="177" t="n"/>
      <c r="S637" s="177" t="n"/>
      <c r="T637" s="177" t="n"/>
      <c r="U637" s="177" t="n"/>
      <c r="V637" s="177" t="n"/>
      <c r="W637" s="177" t="n"/>
    </row>
    <row r="638" ht="15.75" customHeight="1" s="297">
      <c r="A638" s="177" t="n"/>
      <c r="B638" s="177" t="n"/>
      <c r="C638" s="177" t="n"/>
      <c r="D638" s="177" t="n"/>
      <c r="E638" s="177" t="n"/>
      <c r="F638" s="177" t="n"/>
      <c r="G638" s="177" t="n"/>
      <c r="H638" s="177" t="n"/>
      <c r="I638" s="177" t="n"/>
      <c r="J638" s="177" t="n"/>
      <c r="K638" s="177" t="n"/>
      <c r="L638" s="177" t="n"/>
      <c r="M638" s="177" t="n"/>
      <c r="N638" s="177" t="n"/>
      <c r="O638" s="177" t="n"/>
      <c r="P638" s="177" t="n"/>
      <c r="Q638" s="177" t="n"/>
      <c r="R638" s="177" t="n"/>
      <c r="S638" s="177" t="n"/>
      <c r="T638" s="177" t="n"/>
      <c r="U638" s="177" t="n"/>
      <c r="V638" s="177" t="n"/>
      <c r="W638" s="177" t="n"/>
    </row>
    <row r="639" ht="15.75" customHeight="1" s="297">
      <c r="A639" s="177" t="n"/>
      <c r="B639" s="177" t="n"/>
      <c r="C639" s="177" t="n"/>
      <c r="D639" s="177" t="n"/>
      <c r="E639" s="177" t="n"/>
      <c r="F639" s="177" t="n"/>
      <c r="G639" s="177" t="n"/>
      <c r="H639" s="177" t="n"/>
      <c r="I639" s="177" t="n"/>
      <c r="J639" s="177" t="n"/>
      <c r="K639" s="177" t="n"/>
      <c r="L639" s="177" t="n"/>
      <c r="M639" s="177" t="n"/>
      <c r="N639" s="177" t="n"/>
      <c r="O639" s="177" t="n"/>
      <c r="P639" s="177" t="n"/>
      <c r="Q639" s="177" t="n"/>
      <c r="R639" s="177" t="n"/>
      <c r="S639" s="177" t="n"/>
      <c r="T639" s="177" t="n"/>
      <c r="U639" s="177" t="n"/>
      <c r="V639" s="177" t="n"/>
      <c r="W639" s="177" t="n"/>
    </row>
    <row r="640" ht="15.75" customHeight="1" s="297">
      <c r="A640" s="177" t="n"/>
      <c r="B640" s="177" t="n"/>
      <c r="C640" s="177" t="n"/>
      <c r="D640" s="177" t="n"/>
      <c r="E640" s="177" t="n"/>
      <c r="F640" s="177" t="n"/>
      <c r="G640" s="177" t="n"/>
      <c r="H640" s="177" t="n"/>
      <c r="I640" s="177" t="n"/>
      <c r="J640" s="177" t="n"/>
      <c r="K640" s="177" t="n"/>
      <c r="L640" s="177" t="n"/>
      <c r="M640" s="177" t="n"/>
      <c r="N640" s="177" t="n"/>
      <c r="O640" s="177" t="n"/>
      <c r="P640" s="177" t="n"/>
      <c r="Q640" s="177" t="n"/>
      <c r="R640" s="177" t="n"/>
      <c r="S640" s="177" t="n"/>
      <c r="T640" s="177" t="n"/>
      <c r="U640" s="177" t="n"/>
      <c r="V640" s="177" t="n"/>
      <c r="W640" s="177" t="n"/>
    </row>
    <row r="641" ht="15.75" customHeight="1" s="297">
      <c r="A641" s="177" t="n"/>
      <c r="B641" s="177" t="n"/>
      <c r="C641" s="177" t="n"/>
      <c r="D641" s="177" t="n"/>
      <c r="E641" s="177" t="n"/>
      <c r="F641" s="177" t="n"/>
      <c r="G641" s="177" t="n"/>
      <c r="H641" s="177" t="n"/>
      <c r="I641" s="177" t="n"/>
      <c r="J641" s="177" t="n"/>
      <c r="K641" s="177" t="n"/>
      <c r="L641" s="177" t="n"/>
      <c r="M641" s="177" t="n"/>
      <c r="N641" s="177" t="n"/>
      <c r="O641" s="177" t="n"/>
      <c r="P641" s="177" t="n"/>
      <c r="Q641" s="177" t="n"/>
      <c r="R641" s="177" t="n"/>
      <c r="S641" s="177" t="n"/>
      <c r="T641" s="177" t="n"/>
      <c r="U641" s="177" t="n"/>
      <c r="V641" s="177" t="n"/>
      <c r="W641" s="177" t="n"/>
    </row>
    <row r="642" ht="15.75" customHeight="1" s="297">
      <c r="A642" s="177" t="n"/>
      <c r="B642" s="177" t="n"/>
      <c r="C642" s="177" t="n"/>
      <c r="D642" s="177" t="n"/>
      <c r="E642" s="177" t="n"/>
      <c r="F642" s="177" t="n"/>
      <c r="G642" s="177" t="n"/>
      <c r="H642" s="177" t="n"/>
      <c r="I642" s="177" t="n"/>
      <c r="J642" s="177" t="n"/>
      <c r="K642" s="177" t="n"/>
      <c r="L642" s="177" t="n"/>
      <c r="M642" s="177" t="n"/>
      <c r="N642" s="177" t="n"/>
      <c r="O642" s="177" t="n"/>
      <c r="P642" s="177" t="n"/>
      <c r="Q642" s="177" t="n"/>
      <c r="R642" s="177" t="n"/>
      <c r="S642" s="177" t="n"/>
      <c r="T642" s="177" t="n"/>
      <c r="U642" s="177" t="n"/>
      <c r="V642" s="177" t="n"/>
      <c r="W642" s="177" t="n"/>
    </row>
    <row r="643" ht="15.75" customHeight="1" s="297">
      <c r="A643" s="177" t="n"/>
      <c r="B643" s="177" t="n"/>
      <c r="C643" s="177" t="n"/>
      <c r="D643" s="177" t="n"/>
      <c r="E643" s="177" t="n"/>
      <c r="F643" s="177" t="n"/>
      <c r="G643" s="177" t="n"/>
      <c r="H643" s="177" t="n"/>
      <c r="I643" s="177" t="n"/>
      <c r="J643" s="177" t="n"/>
      <c r="K643" s="177" t="n"/>
      <c r="L643" s="177" t="n"/>
      <c r="M643" s="177" t="n"/>
      <c r="N643" s="177" t="n"/>
      <c r="O643" s="177" t="n"/>
      <c r="P643" s="177" t="n"/>
      <c r="Q643" s="177" t="n"/>
      <c r="R643" s="177" t="n"/>
      <c r="S643" s="177" t="n"/>
      <c r="T643" s="177" t="n"/>
      <c r="U643" s="177" t="n"/>
      <c r="V643" s="177" t="n"/>
      <c r="W643" s="177" t="n"/>
    </row>
    <row r="644" ht="15.75" customHeight="1" s="297">
      <c r="A644" s="177" t="n"/>
      <c r="B644" s="177" t="n"/>
      <c r="C644" s="177" t="n"/>
      <c r="D644" s="177" t="n"/>
      <c r="E644" s="177" t="n"/>
      <c r="F644" s="177" t="n"/>
      <c r="G644" s="177" t="n"/>
      <c r="H644" s="177" t="n"/>
      <c r="I644" s="177" t="n"/>
      <c r="J644" s="177" t="n"/>
      <c r="K644" s="177" t="n"/>
      <c r="L644" s="177" t="n"/>
      <c r="M644" s="177" t="n"/>
      <c r="N644" s="177" t="n"/>
      <c r="O644" s="177" t="n"/>
      <c r="P644" s="177" t="n"/>
      <c r="Q644" s="177" t="n"/>
      <c r="R644" s="177" t="n"/>
      <c r="S644" s="177" t="n"/>
      <c r="T644" s="177" t="n"/>
      <c r="U644" s="177" t="n"/>
      <c r="V644" s="177" t="n"/>
      <c r="W644" s="177" t="n"/>
    </row>
    <row r="645" ht="15.75" customHeight="1" s="297">
      <c r="A645" s="177" t="n"/>
      <c r="B645" s="177" t="n"/>
      <c r="C645" s="177" t="n"/>
      <c r="D645" s="177" t="n"/>
      <c r="E645" s="177" t="n"/>
      <c r="F645" s="177" t="n"/>
      <c r="G645" s="177" t="n"/>
      <c r="H645" s="177" t="n"/>
      <c r="I645" s="177" t="n"/>
      <c r="J645" s="177" t="n"/>
      <c r="K645" s="177" t="n"/>
      <c r="L645" s="177" t="n"/>
      <c r="M645" s="177" t="n"/>
      <c r="N645" s="177" t="n"/>
      <c r="O645" s="177" t="n"/>
      <c r="P645" s="177" t="n"/>
      <c r="Q645" s="177" t="n"/>
      <c r="R645" s="177" t="n"/>
      <c r="S645" s="177" t="n"/>
      <c r="T645" s="177" t="n"/>
      <c r="U645" s="177" t="n"/>
      <c r="V645" s="177" t="n"/>
      <c r="W645" s="177" t="n"/>
    </row>
    <row r="646" ht="15.75" customHeight="1" s="297">
      <c r="A646" s="177" t="n"/>
      <c r="B646" s="177" t="n"/>
      <c r="C646" s="177" t="n"/>
      <c r="D646" s="177" t="n"/>
      <c r="E646" s="177" t="n"/>
      <c r="F646" s="177" t="n"/>
      <c r="G646" s="177" t="n"/>
      <c r="H646" s="177" t="n"/>
      <c r="I646" s="177" t="n"/>
      <c r="J646" s="177" t="n"/>
      <c r="K646" s="177" t="n"/>
      <c r="L646" s="177" t="n"/>
      <c r="M646" s="177" t="n"/>
      <c r="N646" s="177" t="n"/>
      <c r="O646" s="177" t="n"/>
      <c r="P646" s="177" t="n"/>
      <c r="Q646" s="177" t="n"/>
      <c r="R646" s="177" t="n"/>
      <c r="S646" s="177" t="n"/>
      <c r="T646" s="177" t="n"/>
      <c r="U646" s="177" t="n"/>
      <c r="V646" s="177" t="n"/>
      <c r="W646" s="177" t="n"/>
    </row>
    <row r="647" ht="15.75" customHeight="1" s="297">
      <c r="A647" s="177" t="n"/>
      <c r="B647" s="177" t="n"/>
      <c r="C647" s="177" t="n"/>
      <c r="D647" s="177" t="n"/>
      <c r="E647" s="177" t="n"/>
      <c r="F647" s="177" t="n"/>
      <c r="G647" s="177" t="n"/>
      <c r="H647" s="177" t="n"/>
      <c r="I647" s="177" t="n"/>
      <c r="J647" s="177" t="n"/>
      <c r="K647" s="177" t="n"/>
      <c r="L647" s="177" t="n"/>
      <c r="M647" s="177" t="n"/>
      <c r="N647" s="177" t="n"/>
      <c r="O647" s="177" t="n"/>
      <c r="P647" s="177" t="n"/>
      <c r="Q647" s="177" t="n"/>
      <c r="R647" s="177" t="n"/>
      <c r="S647" s="177" t="n"/>
      <c r="T647" s="177" t="n"/>
      <c r="U647" s="177" t="n"/>
      <c r="V647" s="177" t="n"/>
      <c r="W647" s="177" t="n"/>
    </row>
    <row r="648" ht="15.75" customHeight="1" s="297">
      <c r="A648" s="177" t="n"/>
      <c r="B648" s="177" t="n"/>
      <c r="C648" s="177" t="n"/>
      <c r="D648" s="177" t="n"/>
      <c r="E648" s="177" t="n"/>
      <c r="F648" s="177" t="n"/>
      <c r="G648" s="177" t="n"/>
      <c r="H648" s="177" t="n"/>
      <c r="I648" s="177" t="n"/>
      <c r="J648" s="177" t="n"/>
      <c r="K648" s="177" t="n"/>
      <c r="L648" s="177" t="n"/>
      <c r="M648" s="177" t="n"/>
      <c r="N648" s="177" t="n"/>
      <c r="O648" s="177" t="n"/>
      <c r="P648" s="177" t="n"/>
      <c r="Q648" s="177" t="n"/>
      <c r="R648" s="177" t="n"/>
      <c r="S648" s="177" t="n"/>
      <c r="T648" s="177" t="n"/>
      <c r="U648" s="177" t="n"/>
      <c r="V648" s="177" t="n"/>
      <c r="W648" s="177" t="n"/>
    </row>
    <row r="649" ht="15.75" customHeight="1" s="297">
      <c r="A649" s="177" t="n"/>
      <c r="B649" s="177" t="n"/>
      <c r="C649" s="177" t="n"/>
      <c r="D649" s="177" t="n"/>
      <c r="E649" s="177" t="n"/>
      <c r="F649" s="177" t="n"/>
      <c r="G649" s="177" t="n"/>
      <c r="H649" s="177" t="n"/>
      <c r="I649" s="177" t="n"/>
      <c r="J649" s="177" t="n"/>
      <c r="K649" s="177" t="n"/>
      <c r="L649" s="177" t="n"/>
      <c r="M649" s="177" t="n"/>
      <c r="N649" s="177" t="n"/>
      <c r="O649" s="177" t="n"/>
      <c r="P649" s="177" t="n"/>
      <c r="Q649" s="177" t="n"/>
      <c r="R649" s="177" t="n"/>
      <c r="S649" s="177" t="n"/>
      <c r="T649" s="177" t="n"/>
      <c r="U649" s="177" t="n"/>
      <c r="V649" s="177" t="n"/>
      <c r="W649" s="177" t="n"/>
    </row>
    <row r="650" ht="15.75" customHeight="1" s="297">
      <c r="A650" s="177" t="n"/>
      <c r="B650" s="177" t="n"/>
      <c r="C650" s="177" t="n"/>
      <c r="D650" s="177" t="n"/>
      <c r="E650" s="177" t="n"/>
      <c r="F650" s="177" t="n"/>
      <c r="G650" s="177" t="n"/>
      <c r="H650" s="177" t="n"/>
      <c r="I650" s="177" t="n"/>
      <c r="J650" s="177" t="n"/>
      <c r="K650" s="177" t="n"/>
      <c r="L650" s="177" t="n"/>
      <c r="M650" s="177" t="n"/>
      <c r="N650" s="177" t="n"/>
      <c r="O650" s="177" t="n"/>
      <c r="P650" s="177" t="n"/>
      <c r="Q650" s="177" t="n"/>
      <c r="R650" s="177" t="n"/>
      <c r="S650" s="177" t="n"/>
      <c r="T650" s="177" t="n"/>
      <c r="U650" s="177" t="n"/>
      <c r="V650" s="177" t="n"/>
      <c r="W650" s="177" t="n"/>
    </row>
    <row r="651" ht="15.75" customHeight="1" s="297">
      <c r="A651" s="177" t="n"/>
      <c r="B651" s="177" t="n"/>
      <c r="C651" s="177" t="n"/>
      <c r="D651" s="177" t="n"/>
      <c r="E651" s="177" t="n"/>
      <c r="F651" s="177" t="n"/>
      <c r="G651" s="177" t="n"/>
      <c r="H651" s="177" t="n"/>
      <c r="I651" s="177" t="n"/>
      <c r="J651" s="177" t="n"/>
      <c r="K651" s="177" t="n"/>
      <c r="L651" s="177" t="n"/>
      <c r="M651" s="177" t="n"/>
      <c r="N651" s="177" t="n"/>
      <c r="O651" s="177" t="n"/>
      <c r="P651" s="177" t="n"/>
      <c r="Q651" s="177" t="n"/>
      <c r="R651" s="177" t="n"/>
      <c r="S651" s="177" t="n"/>
      <c r="T651" s="177" t="n"/>
      <c r="U651" s="177" t="n"/>
      <c r="V651" s="177" t="n"/>
      <c r="W651" s="177" t="n"/>
    </row>
    <row r="652" ht="15.75" customHeight="1" s="297">
      <c r="A652" s="177" t="n"/>
      <c r="B652" s="177" t="n"/>
      <c r="C652" s="177" t="n"/>
      <c r="D652" s="177" t="n"/>
      <c r="E652" s="177" t="n"/>
      <c r="F652" s="177" t="n"/>
      <c r="G652" s="177" t="n"/>
      <c r="H652" s="177" t="n"/>
      <c r="I652" s="177" t="n"/>
      <c r="J652" s="177" t="n"/>
      <c r="K652" s="177" t="n"/>
      <c r="L652" s="177" t="n"/>
      <c r="M652" s="177" t="n"/>
      <c r="N652" s="177" t="n"/>
      <c r="O652" s="177" t="n"/>
      <c r="P652" s="177" t="n"/>
      <c r="Q652" s="177" t="n"/>
      <c r="R652" s="177" t="n"/>
      <c r="S652" s="177" t="n"/>
      <c r="T652" s="177" t="n"/>
      <c r="U652" s="177" t="n"/>
      <c r="V652" s="177" t="n"/>
      <c r="W652" s="177"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7"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85 C103 C120 C135 C151 C167" showDropDown="0" showInputMessage="0" showErrorMessage="0" allowBlank="1" type="list">
      <formula1>"RUMBA,ASSIST,MEES,AUREO,JOINT ULTRA,ADGREEN,ENERGIC,EXTRAVON,OCHIMA"</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49:C50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51 C71 C86"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8:C70"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PLANTIO'!B5</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PLANTIO'!E5</f>
        <v/>
      </c>
      <c r="C2" s="269" t="inlineStr">
        <is>
          <t>Produtividade estimada Sc/há</t>
        </is>
      </c>
      <c r="D2" s="270">
        <f>'ÁREA PLANTIO'!D5</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PLANTIO'!C5</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GLUFOSINATO NORTOX 880 SG</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0.5</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AUREO</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GLUFOSINATO NORTOX 880 SG</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ZETHAMAXX</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0.4</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AUREO</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inlineStr">
        <is>
          <t>NUTRIÇÃO</t>
        </is>
      </c>
      <c r="C50" s="213" t="inlineStr">
        <is>
          <t>BOP</t>
        </is>
      </c>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v>1</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TMG ITAÚBA I2X</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BIOLÓGICOS</t>
        </is>
      </c>
      <c r="C67" s="213" t="inlineStr">
        <is>
          <t>Bio ND</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Az</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1</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Hidric</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SoluBio Raiz Performance</t>
        </is>
      </c>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NUTRIÇÃO</t>
        </is>
      </c>
      <c r="C71" s="213" t="inlineStr">
        <is>
          <t>Potenza NiCoMo</t>
        </is>
      </c>
      <c r="D71" s="214">
        <f>IFERROR(VLOOKUP($C71,'PORTIFÓLIO'!C:V,2,0),"")</f>
        <v/>
      </c>
      <c r="E71" s="211">
        <f>IFERROR(VLOOKUP($C71,'PORTIFÓLIO'!C:V,3,0),"")</f>
        <v/>
      </c>
      <c r="F71" s="211">
        <f>IFERROR(VLOOKUP($C71,'PORTIFÓLIO'!C:V,4,0),"")</f>
        <v/>
      </c>
      <c r="G71" s="225">
        <f>IFERROR(VLOOKUP($C71,'PORTIFÓLIO'!C:V,5,0),"")</f>
        <v/>
      </c>
      <c r="H71" s="254">
        <f t="array" ref="H71">IFERROR(INDEX('PORTIFÓLIO'!$H$4:$H$433,MATCH($C71,'PORTIFÓLIO'!$C$4:$C$433,0)),"")</f>
        <v/>
      </c>
      <c r="I71" s="255" t="n">
        <v>0.1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n"/>
      <c r="D85" s="214">
        <f>IFERROR(VLOOKUP($C85,'PORTIFÓLIO'!C:V,2,0),"")</f>
        <v/>
      </c>
      <c r="E85" s="211">
        <f>IFERROR(VLOOKUP($C85,'PORTIFÓLIO'!C:V,3,0),"")</f>
        <v/>
      </c>
      <c r="F85" s="211">
        <f>IFERROR(VLOOKUP($C85,'PORTIFÓLIO'!C:V,4,0),"")</f>
        <v/>
      </c>
      <c r="G85" s="21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AUREO</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AUREO</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TEBUCO A NORTOX</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AUREO</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AUREO</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PLANTIO'!B5</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PLANTIO'!E5</f>
        <v/>
      </c>
      <c r="C228" s="269" t="inlineStr">
        <is>
          <t>Produtividade estimada Sc/há</t>
        </is>
      </c>
      <c r="D228" s="270">
        <f>'ÁREA PLANTIO'!I5</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PLANTIO'!H5</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7"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85 C103 C120 C135 C151 C167" showDropDown="0" showInputMessage="0" showErrorMessage="0" allowBlank="1" type="list">
      <formula1>"RUMBA,ASSIST,MEES,AUREO,JOINT ULTRA,ADGREEN,ENERGIC,EXTRAVON,OCHIMA"</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50 C71"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8:C70"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PLANTIO'!B6</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PLANTIO'!E6</f>
        <v/>
      </c>
      <c r="C2" s="269" t="inlineStr">
        <is>
          <t>Produtividade estimada Sc/há</t>
        </is>
      </c>
      <c r="D2" s="270">
        <f>'ÁREA PLANTIO'!D6</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PLANTIO'!C6</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0.8</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GLUFOSINATO NORTOX 880 SG</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inlineStr">
        <is>
          <t>NUTRIÇÃO</t>
        </is>
      </c>
      <c r="C50" s="213" t="inlineStr">
        <is>
          <t>BOP</t>
        </is>
      </c>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v>1</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TMG ITAÚBA I2X</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BIOLÓGICOS</t>
        </is>
      </c>
      <c r="C67" s="213" t="inlineStr">
        <is>
          <t>Bio ND</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Az</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1</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Hidric</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SoluBio Raiz Performance</t>
        </is>
      </c>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NUTRIÇÃO</t>
        </is>
      </c>
      <c r="C71" s="213" t="inlineStr">
        <is>
          <t>Potenza NiCoMo</t>
        </is>
      </c>
      <c r="D71" s="214">
        <f>IFERROR(VLOOKUP($C71,'PORTIFÓLIO'!C:V,2,0),"")</f>
        <v/>
      </c>
      <c r="E71" s="211">
        <f>IFERROR(VLOOKUP($C71,'PORTIFÓLIO'!C:V,3,0),"")</f>
        <v/>
      </c>
      <c r="F71" s="211">
        <f>IFERROR(VLOOKUP($C71,'PORTIFÓLIO'!C:V,4,0),"")</f>
        <v/>
      </c>
      <c r="G71" s="225">
        <f>IFERROR(VLOOKUP($C71,'PORTIFÓLIO'!C:V,5,0),"")</f>
        <v/>
      </c>
      <c r="H71" s="254">
        <f t="array" ref="H71">IFERROR(INDEX('PORTIFÓLIO'!$H$4:$H$433,MATCH($C71,'PORTIFÓLIO'!$C$4:$C$433,0)),"")</f>
        <v/>
      </c>
      <c r="I71" s="255" t="n">
        <v>0.1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TEBUCO A NORTOX</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PLANTIO'!B6</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PLANTIO'!E6</f>
        <v/>
      </c>
      <c r="C228" s="269" t="inlineStr">
        <is>
          <t>Produtividade estimada Sc/há</t>
        </is>
      </c>
      <c r="D228" s="270">
        <f>'ÁREA PLANTIO'!I6</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PLANTIO'!H6</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7"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50 C71"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C85 C167"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8:C70"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PLANTIO'!B7</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PLANTIO'!E7</f>
        <v/>
      </c>
      <c r="C2" s="269" t="inlineStr">
        <is>
          <t>Produtividade estimada Sc/há</t>
        </is>
      </c>
      <c r="D2" s="270">
        <f>'ÁREA PLANTIO'!D7</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PLANTIO'!C7</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GLUFOS-WYN 880</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0.5</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BRASMAX HERA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BIOLÓGICOS</t>
        </is>
      </c>
      <c r="C67" s="213" t="inlineStr">
        <is>
          <t>Bio ND</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Az</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1</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Hidric</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SoluBio Raiz Performance</t>
        </is>
      </c>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NUTRIÇÃO</t>
        </is>
      </c>
      <c r="C71" s="213" t="inlineStr">
        <is>
          <t>Potenza NiCoMo</t>
        </is>
      </c>
      <c r="D71" s="214">
        <f>IFERROR(VLOOKUP($C71,'PORTIFÓLIO'!C:V,2,0),"")</f>
        <v/>
      </c>
      <c r="E71" s="211">
        <f>IFERROR(VLOOKUP($C71,'PORTIFÓLIO'!C:V,3,0),"")</f>
        <v/>
      </c>
      <c r="F71" s="211">
        <f>IFERROR(VLOOKUP($C71,'PORTIFÓLIO'!C:V,4,0),"")</f>
        <v/>
      </c>
      <c r="G71" s="225">
        <f>IFERROR(VLOOKUP($C71,'PORTIFÓLIO'!C:V,5,0),"")</f>
        <v/>
      </c>
      <c r="H71" s="254">
        <f t="array" ref="H71">IFERROR(INDEX('PORTIFÓLIO'!$H$4:$H$433,MATCH($C71,'PORTIFÓLIO'!$C$4:$C$433,0)),"")</f>
        <v/>
      </c>
      <c r="I71" s="255" t="n">
        <v>0.1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0.6</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PLANTIO'!B7</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PLANTIO'!E7</f>
        <v/>
      </c>
      <c r="C228" s="269" t="inlineStr">
        <is>
          <t>Produtividade estimada Sc/há</t>
        </is>
      </c>
      <c r="D228" s="270">
        <f>'ÁREA PLANTIO'!I7</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PLANTIO'!H7</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7"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31 C71"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8:C70"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PLANTIO'!B8</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PLANTIO'!E8</f>
        <v/>
      </c>
      <c r="C2" s="269" t="inlineStr">
        <is>
          <t>Produtividade estimada Sc/há</t>
        </is>
      </c>
      <c r="D2" s="270">
        <f>'ÁREA PLANTIO'!D8</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PLANTIO'!C8</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GLUFOS-WYN 880</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0.5</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inlineStr">
        <is>
          <t>NUTRIÇÃO</t>
        </is>
      </c>
      <c r="C50" s="213" t="inlineStr">
        <is>
          <t>BOP</t>
        </is>
      </c>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v>1</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HERA I2X</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BIOLÓGICOS</t>
        </is>
      </c>
      <c r="C67" s="213" t="inlineStr">
        <is>
          <t>Bio ND</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Az</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1</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Hidric</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SoluBio Raiz Performance</t>
        </is>
      </c>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NUTRIÇÃO</t>
        </is>
      </c>
      <c r="C71" s="213" t="inlineStr">
        <is>
          <t>Potenza NiCoMo</t>
        </is>
      </c>
      <c r="D71" s="214">
        <f>IFERROR(VLOOKUP($C71,'PORTIFÓLIO'!C:V,2,0),"")</f>
        <v/>
      </c>
      <c r="E71" s="211">
        <f>IFERROR(VLOOKUP($C71,'PORTIFÓLIO'!C:V,3,0),"")</f>
        <v/>
      </c>
      <c r="F71" s="211">
        <f>IFERROR(VLOOKUP($C71,'PORTIFÓLIO'!C:V,4,0),"")</f>
        <v/>
      </c>
      <c r="G71" s="225">
        <f>IFERROR(VLOOKUP($C71,'PORTIFÓLIO'!C:V,5,0),"")</f>
        <v/>
      </c>
      <c r="H71" s="254">
        <f t="array" ref="H71">IFERROR(INDEX('PORTIFÓLIO'!$H$4:$H$433,MATCH($C71,'PORTIFÓLIO'!$C$4:$C$433,0)),"")</f>
        <v/>
      </c>
      <c r="I71" s="255" t="n">
        <v>0.1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0.6</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inlineStr">
        <is>
          <t>FUNGICIDA</t>
        </is>
      </c>
      <c r="C201" s="213" t="inlineStr">
        <is>
          <t>NATIVO</t>
        </is>
      </c>
      <c r="D201" s="214">
        <f>IFERROR(VLOOKUP($C201,'PORTIFÓLIO'!C:V,2,0),"")</f>
        <v/>
      </c>
      <c r="E201" s="211">
        <f>IFERROR(VLOOKUP($C201,'PORTIFÓLIO'!C:V,3,0),"")</f>
        <v/>
      </c>
      <c r="F201" s="211">
        <f>IFERROR(VLOOKUP($C201,'PORTIFÓLIO'!C:V,4,0),"")</f>
        <v/>
      </c>
      <c r="G201" s="225">
        <f>IFERROR(VLOOKUP($C201,'PORTIFÓLIO'!C:V,5,0),"")</f>
        <v/>
      </c>
      <c r="H201" s="254">
        <f t="array" ref="H201">IFERROR(INDEX('PORTIFÓLIO'!$H$4:$H$433,MATCH($C201,'PORTIFÓLIO'!$C$4:$C$433,0)),"")</f>
        <v/>
      </c>
      <c r="I201" s="255" t="n">
        <v>0.6</v>
      </c>
      <c r="J201" s="218">
        <f>I201*$B$2</f>
        <v/>
      </c>
      <c r="K201" s="219">
        <f t="array" ref="K201">IFERROR(I201*INDEX('PORTIFÓLIO'!$S$4:$S$433,MATCH($C201,'PORTIFÓLIO'!$C$4:$C$433,0)),"")</f>
        <v/>
      </c>
      <c r="L201" s="219">
        <f t="array" ref="L201">IFERROR(J201*INDEX('PORTIFÓLIO'!$S$4:$S$433,MATCH($C201,'PORTIFÓLIO'!$C$4:$C$433,0)),"")</f>
        <v/>
      </c>
      <c r="M201" s="220" t="n"/>
      <c r="N201" s="220" t="n"/>
      <c r="O201" s="220" t="n"/>
      <c r="P201" s="220" t="n"/>
      <c r="Q201" s="220" t="n"/>
      <c r="R201" s="220" t="n"/>
      <c r="S201" s="220" t="n"/>
      <c r="T201" s="220" t="n"/>
      <c r="U201" s="220" t="n"/>
      <c r="V201" s="220" t="n"/>
      <c r="W201" s="220" t="n"/>
    </row>
    <row r="202" outlineLevel="1" ht="15.75" customHeight="1" s="297">
      <c r="A202" s="211" t="n"/>
      <c r="B202" s="212" t="inlineStr">
        <is>
          <t>FUNGICIDA</t>
        </is>
      </c>
      <c r="C202" s="213" t="inlineStr">
        <is>
          <t>BRAVONIL 720</t>
        </is>
      </c>
      <c r="D202" s="214">
        <f>IFERROR(VLOOKUP($C202,'PORTIFÓLIO'!C:V,2,0),"")</f>
        <v/>
      </c>
      <c r="E202" s="211">
        <f>IFERROR(VLOOKUP($C202,'PORTIFÓLIO'!C:V,3,0),"")</f>
        <v/>
      </c>
      <c r="F202" s="211">
        <f>IFERROR(VLOOKUP($C202,'PORTIFÓLIO'!C:V,4,0),"")</f>
        <v/>
      </c>
      <c r="G202" s="225">
        <f>IFERROR(VLOOKUP($C202,'PORTIFÓLIO'!C:V,5,0),"")</f>
        <v/>
      </c>
      <c r="H202" s="254">
        <f t="array" ref="H202">IFERROR(INDEX('PORTIFÓLIO'!$H$4:$H$433,MATCH($C202,'PORTIFÓLIO'!$C$4:$C$433,0)),"")</f>
        <v/>
      </c>
      <c r="I202" s="255" t="n">
        <v>1.2</v>
      </c>
      <c r="J202" s="218">
        <f>I202*$B$2</f>
        <v/>
      </c>
      <c r="K202" s="219">
        <f t="array" ref="K202">IFERROR(I202*INDEX('PORTIFÓLIO'!$S$4:$S$433,MATCH($C202,'PORTIFÓLIO'!$C$4:$C$433,0)),"")</f>
        <v/>
      </c>
      <c r="L202" s="219">
        <f t="array" ref="L202">IFERROR(J202*INDEX('PORTIFÓLIO'!$S$4:$S$433,MATCH($C202,'PORTIFÓLIO'!$C$4:$C$433,0)),"")</f>
        <v/>
      </c>
      <c r="M202" s="220" t="n"/>
      <c r="N202" s="220" t="n"/>
      <c r="O202" s="220" t="n"/>
      <c r="P202" s="220" t="n"/>
      <c r="Q202" s="220" t="n"/>
      <c r="R202" s="220" t="n"/>
      <c r="S202" s="220" t="n"/>
      <c r="T202" s="220" t="n"/>
      <c r="U202" s="220" t="n"/>
      <c r="V202" s="220" t="n"/>
      <c r="W202" s="220" t="n"/>
    </row>
    <row r="203" outlineLevel="1" ht="15.75" customHeight="1" s="297">
      <c r="A203" s="211" t="n"/>
      <c r="B203" s="212" t="inlineStr">
        <is>
          <t>INSETICIDA</t>
        </is>
      </c>
      <c r="C203" s="213" t="inlineStr">
        <is>
          <t>GALIL SC</t>
        </is>
      </c>
      <c r="D203" s="214">
        <f>IFERROR(VLOOKUP($C203,'PORTIFÓLIO'!C:V,2,0),"")</f>
        <v/>
      </c>
      <c r="E203" s="211">
        <f>IFERROR(VLOOKUP($C203,'PORTIFÓLIO'!C:V,3,0),"")</f>
        <v/>
      </c>
      <c r="F203" s="211">
        <f>IFERROR(VLOOKUP($C203,'PORTIFÓLIO'!C:V,4,0),"")</f>
        <v/>
      </c>
      <c r="G203" s="225">
        <f>IFERROR(VLOOKUP($C203,'PORTIFÓLIO'!C:V,5,0),"")</f>
        <v/>
      </c>
      <c r="H203" s="254">
        <f t="array" ref="H203">IFERROR(INDEX('PORTIFÓLIO'!$H$4:$H$433,MATCH($C203,'PORTIFÓLIO'!$C$4:$C$433,0)),"")</f>
        <v/>
      </c>
      <c r="I203" s="255" t="n">
        <v>0.4</v>
      </c>
      <c r="J203" s="218">
        <f>I203*$B$2</f>
        <v/>
      </c>
      <c r="K203" s="219">
        <f t="array" ref="K203">IFERROR(I203*INDEX('PORTIFÓLIO'!$S$4:$S$433,MATCH($C203,'PORTIFÓLIO'!$C$4:$C$433,0)),"")</f>
        <v/>
      </c>
      <c r="L203" s="219">
        <f t="array" ref="L203">IFERROR(J203*INDEX('PORTIFÓLIO'!$S$4:$S$433,MATCH($C203,'PORTIFÓLIO'!$C$4:$C$433,0)),"")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 t="array" ref="K204">IFERROR(I204*INDEX('PORTIFÓLIO'!$S$4:$S$433,MATCH($C204,'PORTIFÓLIO'!$C$4:$C$433,0)),"")</f>
        <v/>
      </c>
      <c r="L204" s="219">
        <f t="array" ref="L204">IFERROR(J204*INDEX('PORTIFÓLIO'!$S$4:$S$433,MATCH($C204,'PORTIFÓLIO'!$C$4:$C$433,0)),"")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 t="array" ref="K205">IFERROR(I205*INDEX('PORTIFÓLIO'!$S$4:$S$433,MATCH($C205,'PORTIFÓLIO'!$C$4:$C$433,0)),"")</f>
        <v/>
      </c>
      <c r="L205" s="219">
        <f t="array" ref="L205">IFERROR(J205*INDEX('PORTIFÓLIO'!$S$4:$S$433,MATCH($C205,'PORTIFÓLIO'!$C$4:$C$433,0)),"")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 t="array" ref="K206">IFERROR(I206*INDEX('PORTIFÓLIO'!$S$4:$S$433,MATCH($C206,'PORTIFÓLIO'!$C$4:$C$433,0)),"")</f>
        <v/>
      </c>
      <c r="L206" s="219">
        <f t="array" ref="L206">IFERROR(J206*INDEX('PORTIFÓLIO'!$S$4:$S$433,MATCH($C206,'PORTIFÓLIO'!$C$4:$C$433,0)),"")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 t="array" ref="K207">IFERROR(I207*INDEX('PORTIFÓLIO'!$S$4:$S$433,MATCH($C207,'PORTIFÓLIO'!$C$4:$C$433,0)),"")</f>
        <v/>
      </c>
      <c r="L207" s="219">
        <f t="array" ref="L207">IFERROR(J207*INDEX('PORTIFÓLIO'!$S$4:$S$433,MATCH($C207,'PORTIFÓLIO'!$C$4:$C$433,0)),"")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 t="array" ref="K208">IFERROR(I208*INDEX('PORTIFÓLIO'!$S$4:$S$433,MATCH($C208,'PORTIFÓLIO'!$C$4:$C$433,0)),"")</f>
        <v/>
      </c>
      <c r="L208" s="219">
        <f t="array" ref="L208">IFERROR(J208*INDEX('PORTIFÓLIO'!$S$4:$S$433,MATCH($C208,'PORTIFÓLIO'!$C$4:$C$433,0)),"")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 t="array" ref="K209">IFERROR(I209*INDEX('PORTIFÓLIO'!$S$4:$S$433,MATCH($C209,'PORTIFÓLIO'!$C$4:$C$433,0)),"")</f>
        <v/>
      </c>
      <c r="L209" s="219">
        <f t="array" ref="L209">IFERROR(J209*INDEX('PORTIFÓLIO'!$S$4:$S$433,MATCH($C209,'PORTIFÓLIO'!$C$4:$C$433,0)),"")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 t="array" ref="K210">IFERROR(I210*INDEX('PORTIFÓLIO'!$S$4:$S$433,MATCH($C210,'PORTIFÓLIO'!$C$4:$C$433,0)),"")</f>
        <v/>
      </c>
      <c r="L210" s="219">
        <f t="array" ref="L210">IFERROR(J210*INDEX('PORTIFÓLIO'!$S$4:$S$433,MATCH($C210,'PORTIFÓLIO'!$C$4:$C$433,0)),"")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 t="array" ref="K211">IFERROR(I211*INDEX('PORTIFÓLIO'!$S$4:$S$433,MATCH($C211,'PORTIFÓLIO'!$C$4:$C$433,0)),"")</f>
        <v/>
      </c>
      <c r="L211" s="219">
        <f t="array" ref="L211">IFERROR(J211*INDEX('PORTIFÓLIO'!$S$4:$S$433,MATCH($C211,'PORTIFÓLIO'!$C$4:$C$433,0)),"")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 t="array" ref="K212">IFERROR(I212*INDEX('PORTIFÓLIO'!$S$4:$S$433,MATCH($C212,'PORTIFÓLIO'!$C$4:$C$433,0)),"")</f>
        <v/>
      </c>
      <c r="L212" s="219">
        <f t="array" ref="L212">IFERROR(J212*INDEX('PORTIFÓLIO'!$S$4:$S$433,MATCH($C212,'PORTIFÓLIO'!$C$4:$C$433,0)),"")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 t="array" ref="K213">IFERROR(I213*INDEX('PORTIFÓLIO'!$S$4:$S$433,MATCH($C213,'PORTIFÓLIO'!$C$4:$C$433,0)),"")</f>
        <v/>
      </c>
      <c r="L213" s="219">
        <f t="array" ref="L213">IFERROR(J213*INDEX('PORTIFÓLIO'!$S$4:$S$433,MATCH($C213,'PORTIFÓLIO'!$C$4:$C$433,0)),"")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 t="array" ref="K214">IFERROR(I214*INDEX('PORTIFÓLIO'!$S$4:$S$433,MATCH($C214,'PORTIFÓLIO'!$C$4:$C$433,0)),"")</f>
        <v/>
      </c>
      <c r="L214" s="219">
        <f t="array" ref="L214">IFERROR(J214*INDEX('PORTIFÓLIO'!$S$4:$S$433,MATCH($C214,'PORTIFÓLIO'!$C$4:$C$433,0)),"")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 t="array" ref="K215">IFERROR(I215*INDEX('PORTIFÓLIO'!$S$4:$S$433,MATCH($C215,'PORTIFÓLIO'!$C$4:$C$433,0)),"")</f>
        <v/>
      </c>
      <c r="L215" s="219">
        <f t="array" ref="L215">IFERROR(J215*INDEX('PORTIFÓLIO'!$S$4:$S$433,MATCH($C215,'PORTIFÓLIO'!$C$4:$C$433,0)),"")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 t="array" ref="K216">IFERROR(I216*INDEX('PORTIFÓLIO'!$S$4:$S$433,MATCH($C216,'PORTIFÓLIO'!$C$4:$C$433,0)),"")</f>
        <v/>
      </c>
      <c r="L216" s="219">
        <f t="array" ref="L216">IFERROR(J216*INDEX('PORTIFÓLIO'!$S$4:$S$433,MATCH($C216,'PORTIFÓLIO'!$C$4:$C$433,0)),"")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 t="array" ref="K217">IFERROR(I217*INDEX('PORTIFÓLIO'!$S$4:$S$433,MATCH($C217,'PORTIFÓLIO'!$C$4:$C$433,0)),"")</f>
        <v/>
      </c>
      <c r="L217" s="219">
        <f t="array" ref="L217">IFERROR(J217*INDEX('PORTIFÓLIO'!$S$4:$S$433,MATCH($C217,'PORTIFÓLIO'!$C$4:$C$433,0)),"")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 t="array" ref="K218">IFERROR(I218*INDEX('PORTIFÓLIO'!$S$4:$S$433,MATCH($C218,'PORTIFÓLIO'!$C$4:$C$433,0)),"")</f>
        <v/>
      </c>
      <c r="L218" s="219">
        <f t="array" ref="L218">IFERROR(J218*INDEX('PORTIFÓLIO'!$S$4:$S$433,MATCH($C218,'PORTIFÓLIO'!$C$4:$C$433,0)),"")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 t="array" ref="K219">IFERROR(I219*INDEX('PORTIFÓLIO'!$S$4:$S$433,MATCH($C219,'PORTIFÓLIO'!$C$4:$C$433,0)),"")</f>
        <v/>
      </c>
      <c r="L219" s="219">
        <f t="array" ref="L219">IFERROR(J219*INDEX('PORTIFÓLIO'!$S$4:$S$433,MATCH($C219,'PORTIFÓLIO'!$C$4:$C$433,0)),"")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 t="array" ref="K220">IFERROR(I220*INDEX('PORTIFÓLIO'!$S$4:$S$433,MATCH($C220,'PORTIFÓLIO'!$C$4:$C$433,0)),"")</f>
        <v/>
      </c>
      <c r="L220" s="219">
        <f t="array" ref="L220">IFERROR(J220*INDEX('PORTIFÓLIO'!$S$4:$S$433,MATCH($C220,'PORTIFÓLIO'!$C$4:$C$433,0)),"")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 t="array" ref="K221">IFERROR(I221*INDEX('PORTIFÓLIO'!$S$4:$S$433,MATCH($C221,'PORTIFÓLIO'!$C$4:$C$433,0)),"")</f>
        <v/>
      </c>
      <c r="L221" s="219">
        <f t="array" ref="L221">IFERROR(J221*INDEX('PORTIFÓLIO'!$S$4:$S$433,MATCH($C221,'PORTIFÓLIO'!$C$4:$C$433,0)),"")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 t="array" ref="K222">IFERROR(I222*INDEX('PORTIFÓLIO'!$S$4:$S$433,MATCH($C222,'PORTIFÓLIO'!$C$4:$C$433,0)),"")</f>
        <v/>
      </c>
      <c r="L222" s="219">
        <f t="array" ref="L222">IFERROR(J222*INDEX('PORTIFÓLIO'!$S$4:$S$433,MATCH($C222,'PORTIFÓLIO'!$C$4:$C$433,0)),"")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 t="array" ref="K223">IFERROR(I223*INDEX('PORTIFÓLIO'!$S$4:$S$433,MATCH($C223,'PORTIFÓLIO'!$C$4:$C$433,0)),"")</f>
        <v/>
      </c>
      <c r="L223" s="219">
        <f t="array" ref="L223">IFERROR(J223*INDEX('PORTIFÓLIO'!$S$4:$S$433,MATCH($C223,'PORTIFÓLIO'!$C$4:$C$433,0)),"")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 t="array" ref="K224">IFERROR(I224*INDEX('PORTIFÓLIO'!$S$4:$S$433,MATCH($C224,'PORTIFÓLIO'!$C$4:$C$433,0)),"")</f>
        <v/>
      </c>
      <c r="L224" s="219">
        <f t="array" ref="L224">IFERROR(J224*INDEX('PORTIFÓLIO'!$S$4:$S$433,MATCH($C224,'PORTIFÓLIO'!$C$4:$C$433,0)),"")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PLANTIO'!B8</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PLANTIO'!E8</f>
        <v/>
      </c>
      <c r="C228" s="269" t="inlineStr">
        <is>
          <t>Produtividade estimada Sc/há</t>
        </is>
      </c>
      <c r="D228" s="270">
        <f>'ÁREA PLANTIO'!I8</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PLANTIO'!H8</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7"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33 C52 C89 C105 C139 C156 C166 C173 C190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64" showDropDown="0" showInputMessage="0" showErrorMessage="0" allowBlank="1" type="list">
      <formula1>"FEIJÃO,SEMENTE TRIGO,SEMENTE MILHO,MG540PWU,MG711PWU,MG616PWU,P3707PWU,P39209PWU,P40537PWU,FS650PWU,SEMENTE SOJA CV,OLIMPO,M8349,CORDIUS C2795 CE,HERA I2X,SPARTA 8.0,IMPETO,NEO 790,APORÉ 7.3,GUAPÓ 7.7,MITICA 7.7,TMG MURICI I2X 7.6,DOMÍNIO 8.4,LENDA,SEMENT"&amp;"E SOJA RR,BRACHIARIA RUZIZIENCES,CAPIM MIAGE,TMG INGÁ I2X 6.9,TMG 2383 IPRO 8.3,BRACHIARIA BASICA,GH 2478 IPRO 8.1,HO COCARI I2X 8.2,SEMENTE DE SORGO"</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C203"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50 C71"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C85 C167" showDropDown="0" showInputMessage="0" showErrorMessage="0" allowBlank="1" type="list">
      <formula1>"RUMBA,ASSIST,MEES,AUREO EC,JOINT ULTRA,ENERGIC,EXTRAVON,OCHIMA,STRIDES"</formula1>
    </dataValidation>
    <dataValidation sqref="C84 C98:C99 C104 C115:C117 C132:C133 C149:C150 C201:C202"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8:C70"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PLANTIO'!B9</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PLANTIO'!E9</f>
        <v/>
      </c>
      <c r="C2" s="269" t="inlineStr">
        <is>
          <t>Produtividade estimada Sc/há</t>
        </is>
      </c>
      <c r="D2" s="270">
        <f>'ÁREA PLANTIO'!D9</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PLANTIO'!C9</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5</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0.4</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SULFATO DE AMÔNIO</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0.6</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inlineStr">
        <is>
          <t>FERTILIZANTES</t>
        </is>
      </c>
      <c r="C15" s="213" t="inlineStr">
        <is>
          <t>URÉIA</t>
        </is>
      </c>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v>0.25</v>
      </c>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inlineStr">
        <is>
          <t>FERTILIZANTES</t>
        </is>
      </c>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6"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6"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ZAPP QI 620</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GLUFOS-WYN 880</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0.5</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HERBICIDA</t>
        </is>
      </c>
      <c r="C28" s="213" t="inlineStr">
        <is>
          <t>DUAL GOLD</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1</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0.02</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ADJUVANTE</t>
        </is>
      </c>
      <c r="C30" s="213" t="inlineStr">
        <is>
          <t>JOINT ULTRA</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0.2</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SEMENTE</t>
        </is>
      </c>
      <c r="C45" s="213" t="inlineStr">
        <is>
          <t>SEMENTE MILHO</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1.2</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FERTILIZANTES</t>
        </is>
      </c>
      <c r="C46" s="213" t="inlineStr">
        <is>
          <t>08-40-00 - 100M</t>
        </is>
      </c>
      <c r="D46" s="214">
        <f>IFERROR(VLOOKUP($C46,'PORTIFÓLIO'!C:V,2,0),"")</f>
        <v/>
      </c>
      <c r="E46" s="211">
        <f>IFERROR(VLOOKUP($C46,'PORTIFÓLIO'!C:V,3,0),"")</f>
        <v/>
      </c>
      <c r="F46" s="211">
        <f>IFERROR(VLOOKUP($C46,'PORTIFÓLIO'!C:V,4,0),"")</f>
        <v/>
      </c>
      <c r="G46" s="215">
        <f>IFERROR(VLOOKUP($C46,'PORTIFÓLIO'!C:V,5,0),"")</f>
        <v/>
      </c>
      <c r="H46" s="254">
        <f t="array" ref="H46">IFERROR(INDEX('PORTIFÓLIO'!$H$4:$H$433,MATCH($C46,'PORTIFÓLIO'!$C$4:$C$433,0)),"")</f>
        <v/>
      </c>
      <c r="I46" s="255" t="n">
        <v>0.15</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n"/>
      <c r="C47" s="213" t="n"/>
      <c r="D47" s="214">
        <f>IFERROR(VLOOKUP($C47,'PORTIFÓLIO'!C:V,2,0),"")</f>
        <v/>
      </c>
      <c r="E47" s="211">
        <f>IFERROR(VLOOKUP($C47,'PORTIFÓLIO'!C:V,3,0),"")</f>
        <v/>
      </c>
      <c r="F47" s="211">
        <f>IFERROR(VLOOKUP($C47,'PORTIFÓLIO'!C:V,4,0),"")</f>
        <v/>
      </c>
      <c r="G47" s="215">
        <f>IFERROR(VLOOKUP($C47,'PORTIFÓLIO'!C:V,5,0),"")</f>
        <v/>
      </c>
      <c r="H47" s="254">
        <f t="array" ref="H47">IFERROR(INDEX('PORTIFÓLIO'!$H$4:$H$433,MATCH($C47,'PORTIFÓLIO'!$C$4:$C$433,0)),"")</f>
        <v/>
      </c>
      <c r="I47" s="255" t="n"/>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n"/>
      <c r="C48" s="213" t="n"/>
      <c r="D48" s="214">
        <f>IFERROR(VLOOKUP($C48,'PORTIFÓLIO'!C:V,2,0),"")</f>
        <v/>
      </c>
      <c r="E48" s="211">
        <f>IFERROR(VLOOKUP($C48,'PORTIFÓLIO'!C:V,3,0),"")</f>
        <v/>
      </c>
      <c r="F48" s="211">
        <f>IFERROR(VLOOKUP($C48,'PORTIFÓLIO'!C:V,4,0),"")</f>
        <v/>
      </c>
      <c r="G48" s="215">
        <f>IFERROR(VLOOKUP($C48,'PORTIFÓLIO'!C:V,5,0),"")</f>
        <v/>
      </c>
      <c r="H48" s="254">
        <f t="array" ref="H48">IFERROR(INDEX('PORTIFÓLIO'!$H$4:$H$433,MATCH($C48,'PORTIFÓLIO'!$C$4:$C$433,0)),"")</f>
        <v/>
      </c>
      <c r="I48" s="255" t="n"/>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n"/>
      <c r="C49" s="213" t="n"/>
      <c r="D49" s="214">
        <f>IFERROR(VLOOKUP($C49,'PORTIFÓLIO'!C:V,2,0),"")</f>
        <v/>
      </c>
      <c r="E49" s="211">
        <f>IFERROR(VLOOKUP($C49,'PORTIFÓLIO'!C:V,3,0),"")</f>
        <v/>
      </c>
      <c r="F49" s="211">
        <f>IFERROR(VLOOKUP($C49,'PORTIFÓLIO'!C:V,4,0),"")</f>
        <v/>
      </c>
      <c r="G49" s="215">
        <f>IFERROR(VLOOKUP($C49,'PORTIFÓLIO'!C:V,5,0),"")</f>
        <v/>
      </c>
      <c r="H49" s="254">
        <f t="array" ref="H49">IFERROR(INDEX('PORTIFÓLIO'!$H$4:$H$433,MATCH($C49,'PORTIFÓLIO'!$C$4:$C$433,0)),"")</f>
        <v/>
      </c>
      <c r="I49" s="256" t="n"/>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6"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6"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INSETICIDA</t>
        </is>
      </c>
      <c r="C64" s="213" t="inlineStr">
        <is>
          <t>CLORFENAPIR NORTOX</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1</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INSETICIDA</t>
        </is>
      </c>
      <c r="C65" s="213" t="inlineStr">
        <is>
          <t>IMIDACLOPRID NORTOX 480 SC</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0.25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n"/>
      <c r="C66" s="213" t="n"/>
      <c r="D66" s="214">
        <f>IFERROR(VLOOKUP($C66,'PORTIFÓLIO'!C:V,2,0),"")</f>
        <v/>
      </c>
      <c r="E66" s="211">
        <f>IFERROR(VLOOKUP($C66,'PORTIFÓLIO'!C:V,3,0),"")</f>
        <v/>
      </c>
      <c r="F66" s="211">
        <f>IFERROR(VLOOKUP($C66,'PORTIFÓLIO'!C:V,4,0),"")</f>
        <v/>
      </c>
      <c r="G66" s="215">
        <f>IFERROR(VLOOKUP($C66,'PORTIFÓLIO'!C:V,5,0),"")</f>
        <v/>
      </c>
      <c r="H66" s="254">
        <f t="array" ref="H66">IFERROR(INDEX('PORTIFÓLIO'!$H$4:$H$433,MATCH($C66,'PORTIFÓLIO'!$C$4:$C$433,0)),"")</f>
        <v/>
      </c>
      <c r="I66" s="255" t="n"/>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n"/>
      <c r="C67" s="213" t="n"/>
      <c r="D67" s="214">
        <f>IFERROR(VLOOKUP($C67,'PORTIFÓLIO'!C:V,2,0),"")</f>
        <v/>
      </c>
      <c r="E67" s="211">
        <f>IFERROR(VLOOKUP($C67,'PORTIFÓLIO'!C:V,3,0),"")</f>
        <v/>
      </c>
      <c r="F67" s="211">
        <f>IFERROR(VLOOKUP($C67,'PORTIFÓLIO'!C:V,4,0),"")</f>
        <v/>
      </c>
      <c r="G67" s="215">
        <f>IFERROR(VLOOKUP($C67,'PORTIFÓLIO'!C:V,5,0),"")</f>
        <v/>
      </c>
      <c r="H67" s="254">
        <f t="array" ref="H67">IFERROR(INDEX('PORTIFÓLIO'!$H$4:$H$433,MATCH($C67,'PORTIFÓLIO'!$C$4:$C$433,0)),"")</f>
        <v/>
      </c>
      <c r="I67" s="256" t="n"/>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n"/>
      <c r="C68" s="213" t="n"/>
      <c r="D68" s="214">
        <f>IFERROR(VLOOKUP($C68,'PORTIFÓLIO'!C:V,2,0),"")</f>
        <v/>
      </c>
      <c r="E68" s="211">
        <f>IFERROR(VLOOKUP($C68,'PORTIFÓLIO'!C:V,3,0),"")</f>
        <v/>
      </c>
      <c r="F68" s="211">
        <f>IFERROR(VLOOKUP($C68,'PORTIFÓLIO'!C:V,4,0),"")</f>
        <v/>
      </c>
      <c r="G68" s="215">
        <f>IFERROR(VLOOKUP($C68,'PORTIFÓLIO'!C:V,5,0),"")</f>
        <v/>
      </c>
      <c r="H68" s="254">
        <f t="array" ref="H68">IFERROR(INDEX('PORTIFÓLIO'!$H$4:$H$433,MATCH($C68,'PORTIFÓLIO'!$C$4:$C$433,0)),"")</f>
        <v/>
      </c>
      <c r="I68" s="256" t="n"/>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n"/>
      <c r="C69" s="213" t="n"/>
      <c r="D69" s="214">
        <f>IFERROR(VLOOKUP($C69,'PORTIFÓLIO'!C:V,2,0),"")</f>
        <v/>
      </c>
      <c r="E69" s="211">
        <f>IFERROR(VLOOKUP($C69,'PORTIFÓLIO'!C:V,3,0),"")</f>
        <v/>
      </c>
      <c r="F69" s="211">
        <f>IFERROR(VLOOKUP($C69,'PORTIFÓLIO'!C:V,4,0),"")</f>
        <v/>
      </c>
      <c r="G69" s="215">
        <f>IFERROR(VLOOKUP($C69,'PORTIFÓLIO'!C:V,5,0),"")</f>
        <v/>
      </c>
      <c r="H69" s="254">
        <f t="array" ref="H69">IFERROR(INDEX('PORTIFÓLIO'!$H$4:$H$433,MATCH($C69,'PORTIFÓLIO'!$C$4:$C$433,0)),"")</f>
        <v/>
      </c>
      <c r="I69" s="256" t="n"/>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n"/>
      <c r="C70" s="213" t="n"/>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6" t="n"/>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n"/>
      <c r="C71" s="213" t="n"/>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6" t="n"/>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GESAPRIM GRDA</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INSETICIDA</t>
        </is>
      </c>
      <c r="C83" s="213" t="inlineStr">
        <is>
          <t>CLORFENAPIR NORTOX</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1</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INSETICIDA</t>
        </is>
      </c>
      <c r="C84" s="213" t="inlineStr">
        <is>
          <t>DIFLUBENZURON CCAB 480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0.2</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HERBICIDA</t>
        </is>
      </c>
      <c r="C85" s="213" t="inlineStr">
        <is>
          <t>ROUNDUP WG</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1.5</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inlineStr">
        <is>
          <t>ADJUVANTE</t>
        </is>
      </c>
      <c r="C86" s="213" t="inlineStr">
        <is>
          <t>JOINT ULTRA</t>
        </is>
      </c>
      <c r="D86" s="214">
        <f>IFERROR(VLOOKUP($C86,'PORTIFÓLIO'!C:V,2,0),"")</f>
        <v/>
      </c>
      <c r="E86" s="211">
        <f>IFERROR(VLOOKUP($C86,'PORTIFÓLIO'!C:V,3,0),"")</f>
        <v/>
      </c>
      <c r="F86" s="211">
        <f>IFERROR(VLOOKUP($C86,'PORTIFÓLIO'!C:V,4,0),"")</f>
        <v/>
      </c>
      <c r="G86" s="225">
        <f>IFERROR(VLOOKUP($C86,'PORTIFÓLIO'!C:V,5,0),"")</f>
        <v/>
      </c>
      <c r="H86" s="254">
        <f t="array" ref="H86">IFERROR(INDEX('PORTIFÓLIO'!$H$4:$H$433,MATCH($C86,'PORTIFÓLIO'!$C$4:$C$433,0)),"")</f>
        <v/>
      </c>
      <c r="I86" s="255" t="n">
        <v>0.2</v>
      </c>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inlineStr">
        <is>
          <t>HERBICIDA</t>
        </is>
      </c>
      <c r="C87" s="213" t="inlineStr">
        <is>
          <t>GLUFOS-WYN 880</t>
        </is>
      </c>
      <c r="D87" s="214">
        <f>IFERROR(VLOOKUP($C87,'PORTIFÓLIO'!C:V,2,0),"")</f>
        <v/>
      </c>
      <c r="E87" s="211">
        <f>IFERROR(VLOOKUP($C87,'PORTIFÓLIO'!C:V,3,0),"")</f>
        <v/>
      </c>
      <c r="F87" s="211">
        <f>IFERROR(VLOOKUP($C87,'PORTIFÓLIO'!C:V,4,0),"")</f>
        <v/>
      </c>
      <c r="G87" s="225">
        <f>IFERROR(VLOOKUP($C87,'PORTIFÓLIO'!C:V,5,0),"")</f>
        <v/>
      </c>
      <c r="H87" s="254">
        <f t="array" ref="H87">IFERROR(INDEX('PORTIFÓLIO'!$H$4:$H$433,MATCH($C87,'PORTIFÓLIO'!$C$4:$C$433,0)),"")</f>
        <v/>
      </c>
      <c r="I87" s="255" t="n">
        <v>0.5</v>
      </c>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INSETICIDA</t>
        </is>
      </c>
      <c r="C99" s="213" t="inlineStr">
        <is>
          <t>CLORFENAPIR NORTOX</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PROCLAIM 50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0.2</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ADJUVANTE</t>
        </is>
      </c>
      <c r="C101" s="213" t="inlineStr">
        <is>
          <t>JOINT ULTRA</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FUNGICIDA</t>
        </is>
      </c>
      <c r="C102" s="213" t="inlineStr">
        <is>
          <t>MANCOZEB CCAB 750 WG</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1.5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n"/>
      <c r="C103" s="213" t="n"/>
      <c r="D103" s="214">
        <f>IFERROR(VLOOKUP($C103,'PORTIFÓLIO'!C:V,2,0),"")</f>
        <v/>
      </c>
      <c r="E103" s="211">
        <f>IFERROR(VLOOKUP($C103,'PORTIFÓLIO'!C:V,3,0),"")</f>
        <v/>
      </c>
      <c r="F103" s="211">
        <f>IFERROR(VLOOKUP($C103,'PORTIFÓLIO'!C:V,4,0),"")</f>
        <v/>
      </c>
      <c r="G103" s="215">
        <f>IFERROR(VLOOKUP($C103,'PORTIFÓLIO'!C:V,5,0),"")</f>
        <v/>
      </c>
      <c r="H103" s="254">
        <f t="array" ref="H103">IFERROR(INDEX('PORTIFÓLIO'!$H$4:$H$433,MATCH($C103,'PORTIFÓLIO'!$C$4:$C$433,0)),"")</f>
        <v/>
      </c>
      <c r="I103" s="256" t="n"/>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n"/>
      <c r="C104" s="213" t="n"/>
      <c r="D104" s="214">
        <f>IFERROR(VLOOKUP($C104,'PORTIFÓLIO'!C:V,2,0),"")</f>
        <v/>
      </c>
      <c r="E104" s="211">
        <f>IFERROR(VLOOKUP($C104,'PORTIFÓLIO'!C:V,3,0),"")</f>
        <v/>
      </c>
      <c r="F104" s="211">
        <f>IFERROR(VLOOKUP($C104,'PORTIFÓLIO'!C:V,4,0),"")</f>
        <v/>
      </c>
      <c r="G104" s="215">
        <f>IFERROR(VLOOKUP($C104,'PORTIFÓLIO'!C:V,5,0),"")</f>
        <v/>
      </c>
      <c r="H104" s="254">
        <f t="array" ref="H104">IFERROR(INDEX('PORTIFÓLIO'!$H$4:$H$433,MATCH($C104,'PORTIFÓLIO'!$C$4:$C$433,0)),"")</f>
        <v/>
      </c>
      <c r="I104" s="256" t="n"/>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MIRAVIS DUO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0.6</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INSETICIDA</t>
        </is>
      </c>
      <c r="C116" s="283" t="inlineStr">
        <is>
          <t>EXALT</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0.15</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INSETICIDA</t>
        </is>
      </c>
      <c r="C117" s="283" t="inlineStr">
        <is>
          <t>GALIL SC</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0.5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ADJUVANTE</t>
        </is>
      </c>
      <c r="C118" s="283" t="inlineStr">
        <is>
          <t>JOINT ULTRA</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0.2</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FUNGICIDA</t>
        </is>
      </c>
      <c r="C119" s="283" t="inlineStr">
        <is>
          <t>MANCOZEB CCAB 750 WG</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1.5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n"/>
      <c r="C120" s="213" t="n"/>
      <c r="D120" s="214">
        <f>IFERROR(VLOOKUP($C120,'PORTIFÓLIO'!C:V,2,0),"")</f>
        <v/>
      </c>
      <c r="E120" s="211">
        <f>IFERROR(VLOOKUP($C120,'PORTIFÓLIO'!C:V,3,0),"")</f>
        <v/>
      </c>
      <c r="F120" s="211">
        <f>IFERROR(VLOOKUP($C120,'PORTIFÓLIO'!C:V,4,0),"")</f>
        <v/>
      </c>
      <c r="G120" s="215">
        <f>IFERROR(VLOOKUP($C120,'PORTIFÓLIO'!C:V,5,0),"")</f>
        <v/>
      </c>
      <c r="H120" s="254">
        <f t="array" ref="H120">IFERROR(INDEX('PORTIFÓLIO'!$H$4:$H$433,MATCH($C120,'PORTIFÓLIO'!$C$4:$C$433,0)),"")</f>
        <v/>
      </c>
      <c r="I120" s="255" t="n"/>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6"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6"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NATIVO</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1</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ADJUVANTE</t>
        </is>
      </c>
      <c r="C133" s="213" t="inlineStr">
        <is>
          <t>JOINT ULTRA</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0.2</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n"/>
      <c r="C134" s="213" t="n"/>
      <c r="D134" s="214">
        <f>IFERROR(VLOOKUP($C134,'PORTIFÓLIO'!C:V,2,0),"")</f>
        <v/>
      </c>
      <c r="E134" s="211">
        <f>IFERROR(VLOOKUP($C134,'PORTIFÓLIO'!C:V,3,0),"")</f>
        <v/>
      </c>
      <c r="F134" s="211">
        <f>IFERROR(VLOOKUP($C134,'PORTIFÓLIO'!C:V,4,0),"")</f>
        <v/>
      </c>
      <c r="G134" s="215">
        <f>IFERROR(VLOOKUP($C134,'PORTIFÓLIO'!C:V,5,0),"")</f>
        <v/>
      </c>
      <c r="H134" s="254">
        <f t="array" ref="H134">IFERROR(INDEX('PORTIFÓLIO'!$H$4:$H$433,MATCH($C134,'PORTIFÓLIO'!$C$4:$C$433,0)),"")</f>
        <v/>
      </c>
      <c r="I134" s="255" t="n"/>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n"/>
      <c r="C135" s="213" t="n"/>
      <c r="D135" s="214">
        <f>IFERROR(VLOOKUP($C135,'PORTIFÓLIO'!C:V,2,0),"")</f>
        <v/>
      </c>
      <c r="E135" s="211">
        <f>IFERROR(VLOOKUP($C135,'PORTIFÓLIO'!C:V,3,0),"")</f>
        <v/>
      </c>
      <c r="F135" s="211">
        <f>IFERROR(VLOOKUP($C135,'PORTIFÓLIO'!C:V,4,0),"")</f>
        <v/>
      </c>
      <c r="G135" s="215">
        <f>IFERROR(VLOOKUP($C135,'PORTIFÓLIO'!C:V,5,0),"")</f>
        <v/>
      </c>
      <c r="H135" s="254">
        <f t="array" ref="H135">IFERROR(INDEX('PORTIFÓLIO'!$H$4:$H$433,MATCH($C135,'PORTIFÓLIO'!$C$4:$C$433,0)),"")</f>
        <v/>
      </c>
      <c r="I135" s="255" t="n"/>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MÁQUINAS</t>
        </is>
      </c>
      <c r="C149" s="294" t="inlineStr">
        <is>
          <t>CASE MAGNUM 340 + SUBSOLADOR 11 ASTES</t>
        </is>
      </c>
      <c r="D149" s="214">
        <f>IFERROR(VLOOKUP($C149,'PORTIFÓLIO'!C:V,2,0),"")</f>
        <v/>
      </c>
      <c r="E149" s="211">
        <f>IFERROR(VLOOKUP($C149,'PORTIFÓLIO'!C:V,3,0),"")</f>
        <v/>
      </c>
      <c r="F149" s="211">
        <f>IFERROR(VLOOKUP($C149,'PORTIFÓLIO'!C:V,4,0),"")</f>
        <v/>
      </c>
      <c r="G149" s="215">
        <f>IFERROR(VLOOKUP($C149,'PORTIFÓLIO'!C:V,5,0),"")</f>
        <v/>
      </c>
      <c r="H149" s="254">
        <f t="array" ref="H149">IFERROR(INDEX('PORTIFÓLIO'!$H$4:$H$433,MATCH($C149,'PORTIFÓLIO'!$C$4:$C$433,0)),"")</f>
        <v/>
      </c>
      <c r="I149" s="255" t="n">
        <v>0.47</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MÁQUINAS</t>
        </is>
      </c>
      <c r="C150" s="294" t="inlineStr">
        <is>
          <t>TRATOR-JD 7500 + BRUTUS 12000</t>
        </is>
      </c>
      <c r="D150" s="214">
        <f>IFERROR(VLOOKUP($C150,'PORTIFÓLIO'!C:V,2,0),"")</f>
        <v/>
      </c>
      <c r="E150" s="211">
        <f>IFERROR(VLOOKUP($C150,'PORTIFÓLIO'!C:V,3,0),"")</f>
        <v/>
      </c>
      <c r="F150" s="211">
        <f>IFERROR(VLOOKUP($C150,'PORTIFÓLIO'!C:V,4,0),"")</f>
        <v/>
      </c>
      <c r="G150" s="215">
        <f>IFERROR(VLOOKUP($C150,'PORTIFÓLIO'!C:V,5,0),"")</f>
        <v/>
      </c>
      <c r="H150" s="254">
        <f t="array" ref="H150">IFERROR(INDEX('PORTIFÓLIO'!$H$4:$H$433,MATCH($C150,'PORTIFÓLIO'!$C$4:$C$433,0)),"")</f>
        <v/>
      </c>
      <c r="I150" s="255" t="n">
        <v>0.32</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MÁQUINAS</t>
        </is>
      </c>
      <c r="C151" s="294" t="inlineStr">
        <is>
          <t>TRATOR-JD 7500 + ADUBADORA HERCULES 10000</t>
        </is>
      </c>
      <c r="D151" s="214">
        <f>IFERROR(VLOOKUP($C151,'PORTIFÓLIO'!C:V,2,0),"")</f>
        <v/>
      </c>
      <c r="E151" s="211">
        <f>IFERROR(VLOOKUP($C151,'PORTIFÓLIO'!C:V,3,0),"")</f>
        <v/>
      </c>
      <c r="F151" s="211">
        <f>IFERROR(VLOOKUP($C151,'PORTIFÓLIO'!C:V,4,0),"")</f>
        <v/>
      </c>
      <c r="G151" s="21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inlineStr">
        <is>
          <t>MÁQUINAS</t>
        </is>
      </c>
      <c r="C152" s="294" t="inlineStr">
        <is>
          <t>AIR TRATOR AT-502B + AIR TRATOR AT-502B</t>
        </is>
      </c>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5" t="n">
        <v>0.03</v>
      </c>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inlineStr">
        <is>
          <t>MÁQUINAS</t>
        </is>
      </c>
      <c r="C153" s="294" t="inlineStr">
        <is>
          <t>COLHETADEIRA - NH-CR9060 + MILHO BRAVA 11</t>
        </is>
      </c>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5" t="n">
        <v>0.21</v>
      </c>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inlineStr">
        <is>
          <t>MÁQUINAS</t>
        </is>
      </c>
      <c r="C154" s="294" t="inlineStr">
        <is>
          <t>CASE STEIGER 420 + HORSCH MAESTRO DUO 36.50</t>
        </is>
      </c>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5" t="n">
        <v>0.08</v>
      </c>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inlineStr">
        <is>
          <t>MÁQUINAS</t>
        </is>
      </c>
      <c r="C155" s="294"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5"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inlineStr">
        <is>
          <t>MÁQUINAS</t>
        </is>
      </c>
      <c r="C156" s="294"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5"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inlineStr">
        <is>
          <t>MÁQUINAS</t>
        </is>
      </c>
      <c r="C157" s="294"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inlineStr">
        <is>
          <t>MÁQUINAS</t>
        </is>
      </c>
      <c r="C158" s="294"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5"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inlineStr">
        <is>
          <t>FUNGICIDA</t>
        </is>
      </c>
      <c r="C159" s="294"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94"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94"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94"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94"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12" t="n"/>
      <c r="C164" s="295"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n"/>
      <c r="C166" s="213" t="n"/>
      <c r="D166" s="214">
        <f>IFERROR(VLOOKUP($C166,'PORTIFÓLIO'!C:V,2,0),"")</f>
        <v/>
      </c>
      <c r="E166" s="211">
        <f>IFERROR(VLOOKUP($C166,'PORTIFÓLIO'!C:V,3,0),"")</f>
        <v/>
      </c>
      <c r="F166" s="211">
        <f>IFERROR(VLOOKUP($C166,'PORTIFÓLIO'!C:V,4,0),"")</f>
        <v/>
      </c>
      <c r="G166" s="215">
        <f>IFERROR(VLOOKUP($C166,'PORTIFÓLIO'!C:V,5,0),"")</f>
        <v/>
      </c>
      <c r="H166" s="254">
        <f t="array" ref="H166">IFERROR(INDEX('PORTIFÓLIO'!$H$4:$H$433,MATCH($C166,'PORTIFÓLIO'!$C$4:$C$433,0)),"")</f>
        <v/>
      </c>
      <c r="I166" s="255" t="n"/>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n"/>
      <c r="C167" s="213" t="n"/>
      <c r="D167" s="214">
        <f>IFERROR(VLOOKUP($C167,'PORTIFÓLIO'!C:V,2,0),"")</f>
        <v/>
      </c>
      <c r="E167" s="211">
        <f>IFERROR(VLOOKUP($C167,'PORTIFÓLIO'!C:V,3,0),"")</f>
        <v/>
      </c>
      <c r="F167" s="211">
        <f>IFERROR(VLOOKUP($C167,'PORTIFÓLIO'!C:V,4,0),"")</f>
        <v/>
      </c>
      <c r="G167" s="215">
        <f>IFERROR(VLOOKUP($C167,'PORTIFÓLIO'!C:V,5,0),"")</f>
        <v/>
      </c>
      <c r="H167" s="254">
        <f t="array" ref="H167">IFERROR(INDEX('PORTIFÓLIO'!$H$4:$H$433,MATCH($C167,'PORTIFÓLIO'!$C$4:$C$433,0)),"")</f>
        <v/>
      </c>
      <c r="I167" s="255" t="n"/>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n"/>
      <c r="C183" s="213" t="n"/>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n"/>
      <c r="C184" s="213" t="n"/>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t="n"/>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n"/>
      <c r="C185" s="213" t="n"/>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t="n"/>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n"/>
      <c r="C186" s="213" t="n"/>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t="n"/>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n"/>
      <c r="C187" s="213" t="n"/>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6" t="n"/>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n"/>
      <c r="C188" s="213" t="n"/>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6" t="n"/>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n"/>
      <c r="C189" s="213" t="n"/>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6" t="n"/>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PLANTIO'!B9</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PLANTIO'!E9</f>
        <v/>
      </c>
      <c r="C228" s="269" t="inlineStr">
        <is>
          <t>Produtividade estimada Sc/há</t>
        </is>
      </c>
      <c r="D228" s="270">
        <f>'ÁREA PLANTIO'!I9</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PLANTIO'!H9</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C149:C164">
    <cfRule type="notContainsBlanks" priority="1" dxfId="10">
      <formula>LEN(TRIM(C149))&gt;0</formula>
    </cfRule>
  </conditionalFormatting>
  <conditionalFormatting sqref="K10:L224 K237:L451">
    <cfRule type="cellIs" priority="2"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3">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4">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5">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6">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7">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8">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9">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10">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1">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2">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3">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4">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5">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6">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7">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8">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9">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20">
      <colorScale>
        <cfvo type="min"/>
        <cfvo type="percentile" val="50"/>
        <cfvo type="max"/>
        <color rgb="FF63BE7B"/>
        <color rgb="FFFCFCFF"/>
        <color rgb="FFF8696B"/>
      </colorScale>
    </cfRule>
    <cfRule type="colorScale" priority="21">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2">
      <colorScale>
        <cfvo type="min"/>
        <cfvo type="percentile" val="50"/>
        <cfvo type="max"/>
        <color rgb="FF63BE7B"/>
        <color rgb="FFFCFCFF"/>
        <color rgb="FFF8696B"/>
      </colorScale>
    </cfRule>
    <cfRule type="colorScale" priority="23">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4">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5">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6">
      <colorScale>
        <cfvo type="min"/>
        <cfvo type="percentile" val="50"/>
        <cfvo type="max"/>
        <color rgb="FF63BE7B"/>
        <color rgb="FFFCFCFF"/>
        <color rgb="FFF8696B"/>
      </colorScale>
    </cfRule>
    <cfRule type="colorScale" priority="27">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8">
      <colorScale>
        <cfvo type="min"/>
        <cfvo type="percentile" val="50"/>
        <cfvo type="max"/>
        <color rgb="FF63BE7B"/>
        <color rgb="FFFCFCFF"/>
        <color rgb="FFF8696B"/>
      </colorScale>
    </cfRule>
    <cfRule type="colorScale" priority="29">
      <colorScale>
        <cfvo type="min"/>
        <cfvo type="percentile" val="50"/>
        <cfvo type="max"/>
        <color rgb="FF63BE7B"/>
        <color rgb="FFFFEB84"/>
        <color rgb="FFF8696B"/>
      </colorScale>
    </cfRule>
    <cfRule type="colorScale" priority="30">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1">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2">
      <colorScale>
        <cfvo type="min"/>
        <cfvo type="percentile" val="50"/>
        <cfvo type="max"/>
        <color rgb="FF63BE7B"/>
        <color rgb="FFFFEB84"/>
        <color rgb="FFF8696B"/>
      </colorScale>
    </cfRule>
    <cfRule type="colorScale" priority="43">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3">
      <colorScale>
        <cfvo type="min"/>
        <cfvo type="percentile" val="50"/>
        <cfvo type="max"/>
        <color rgb="FF63BE7B"/>
        <color rgb="FFFCFCFF"/>
        <color rgb="FFF8696B"/>
      </colorScale>
    </cfRule>
    <cfRule type="colorScale" priority="34">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5">
      <colorScale>
        <cfvo type="min"/>
        <cfvo type="percentile" val="50"/>
        <cfvo type="max"/>
        <color rgb="FF63BE7B"/>
        <color rgb="FFFFEB84"/>
        <color rgb="FFF8696B"/>
      </colorScale>
    </cfRule>
    <cfRule type="colorScale" priority="40">
      <colorScale>
        <cfvo type="min"/>
        <cfvo type="percentile" val="50"/>
        <cfvo type="max"/>
        <color rgb="FF63BE7B"/>
        <color rgb="FFFCFCFF"/>
        <color rgb="FFF8696B"/>
      </colorScale>
    </cfRule>
    <cfRule type="colorScale" priority="41">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6">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7">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8">
      <colorScale>
        <cfvo type="min"/>
        <cfvo type="percentile" val="50"/>
        <cfvo type="max"/>
        <color rgb="FF63BE7B"/>
        <color rgb="FFFCFCFF"/>
        <color rgb="FFF8696B"/>
      </colorScale>
    </cfRule>
    <cfRule type="colorScale" priority="39">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2">
      <colorScale>
        <cfvo type="min"/>
        <cfvo type="percentile" val="50"/>
        <cfvo type="max"/>
        <color rgb="FF63BE7B"/>
        <color rgb="FFFFEB84"/>
        <color rgb="FFF8696B"/>
      </colorScale>
    </cfRule>
  </conditionalFormatting>
  <conditionalFormatting sqref="A98 A325">
    <cfRule type="colorScale" priority="44">
      <colorScale>
        <cfvo type="min"/>
        <cfvo type="percentile" val="50"/>
        <cfvo type="max"/>
        <color rgb="FF63BE7B"/>
        <color rgb="FFFCFCFF"/>
        <color rgb="FFF8696B"/>
      </colorScale>
    </cfRule>
    <cfRule type="colorScale" priority="45">
      <colorScale>
        <cfvo type="min"/>
        <cfvo type="percentile" val="50"/>
        <cfvo type="max"/>
        <color rgb="FF63BE7B"/>
        <color rgb="FFFFEB84"/>
        <color rgb="FFF8696B"/>
      </colorScale>
    </cfRule>
  </conditionalFormatting>
  <conditionalFormatting sqref="A99 A326">
    <cfRule type="colorScale" priority="46">
      <colorScale>
        <cfvo type="min"/>
        <cfvo type="percentile" val="50"/>
        <cfvo type="max"/>
        <color rgb="FF63BE7B"/>
        <color rgb="FFFFEB84"/>
        <color rgb="FFF8696B"/>
      </colorScale>
    </cfRule>
  </conditionalFormatting>
  <conditionalFormatting sqref="A100:A104 A327:A331">
    <cfRule type="colorScale" priority="47">
      <colorScale>
        <cfvo type="min"/>
        <cfvo type="percentile" val="50"/>
        <cfvo type="max"/>
        <color rgb="FF63BE7B"/>
        <color rgb="FFFFEB84"/>
        <color rgb="FFF8696B"/>
      </colorScale>
    </cfRule>
  </conditionalFormatting>
  <conditionalFormatting sqref="A115 A342">
    <cfRule type="colorScale" priority="48">
      <colorScale>
        <cfvo type="min"/>
        <cfvo type="percentile" val="50"/>
        <cfvo type="max"/>
        <color rgb="FF63BE7B"/>
        <color rgb="FFFCFCFF"/>
        <color rgb="FFF8696B"/>
      </colorScale>
    </cfRule>
    <cfRule type="colorScale" priority="49">
      <colorScale>
        <cfvo type="min"/>
        <cfvo type="percentile" val="50"/>
        <cfvo type="max"/>
        <color rgb="FF63BE7B"/>
        <color rgb="FFFFEB84"/>
        <color rgb="FFF8696B"/>
      </colorScale>
    </cfRule>
  </conditionalFormatting>
  <conditionalFormatting sqref="A116:A129 A343:A356">
    <cfRule type="colorScale" priority="50">
      <colorScale>
        <cfvo type="min"/>
        <cfvo type="percentile" val="50"/>
        <cfvo type="max"/>
        <color rgb="FF63BE7B"/>
        <color rgb="FFFFEB84"/>
        <color rgb="FFF8696B"/>
      </colorScale>
    </cfRule>
  </conditionalFormatting>
  <conditionalFormatting sqref="A132:A133 A359:A360">
    <cfRule type="colorScale" priority="51">
      <colorScale>
        <cfvo type="min"/>
        <cfvo type="percentile" val="50"/>
        <cfvo type="max"/>
        <color rgb="FF63BE7B"/>
        <color rgb="FFFFEB84"/>
        <color rgb="FFF8696B"/>
      </colorScale>
    </cfRule>
  </conditionalFormatting>
  <conditionalFormatting sqref="A149:A163 A376:A390">
    <cfRule type="colorScale" priority="52">
      <colorScale>
        <cfvo type="min"/>
        <cfvo type="percentile" val="50"/>
        <cfvo type="max"/>
        <color rgb="FF63BE7B"/>
        <color rgb="FFFFEB84"/>
        <color rgb="FFF8696B"/>
      </colorScale>
    </cfRule>
  </conditionalFormatting>
  <conditionalFormatting sqref="A166:A180 A393:A407">
    <cfRule type="colorScale" priority="53">
      <colorScale>
        <cfvo type="min"/>
        <cfvo type="percentile" val="50"/>
        <cfvo type="max"/>
        <color rgb="FF63BE7B"/>
        <color rgb="FFFFEB84"/>
        <color rgb="FFF8696B"/>
      </colorScale>
    </cfRule>
  </conditionalFormatting>
  <conditionalFormatting sqref="A183:A185 A410:A412">
    <cfRule type="colorScale" priority="54">
      <colorScale>
        <cfvo type="min"/>
        <cfvo type="percentile" val="50"/>
        <cfvo type="max"/>
        <color rgb="FF63BE7B"/>
        <color rgb="FFFFEB84"/>
        <color rgb="FFF8696B"/>
      </colorScale>
    </cfRule>
  </conditionalFormatting>
  <conditionalFormatting sqref="A201:A203 A428:A430">
    <cfRule type="colorScale" priority="55">
      <colorScale>
        <cfvo type="min"/>
        <cfvo type="percentile" val="50"/>
        <cfvo type="max"/>
        <color rgb="FF63BE7B"/>
        <color rgb="FFFFEB84"/>
        <color rgb="FFF8696B"/>
      </colorScale>
    </cfRule>
  </conditionalFormatting>
  <conditionalFormatting sqref="A208:A210 A435:A437">
    <cfRule type="colorScale" priority="56">
      <colorScale>
        <cfvo type="min"/>
        <cfvo type="percentile" val="50"/>
        <cfvo type="max"/>
        <color rgb="FF63BE7B"/>
        <color rgb="FFFFEB84"/>
        <color rgb="FFF8696B"/>
      </colorScale>
    </cfRule>
  </conditionalFormatting>
  <conditionalFormatting sqref="A211:A224 A438:A451">
    <cfRule type="colorScale" priority="57">
      <colorScale>
        <cfvo type="min"/>
        <cfvo type="percentile" val="50"/>
        <cfvo type="max"/>
        <color rgb="FF63BE7B"/>
        <color rgb="FFFFEB84"/>
        <color rgb="FFF8696B"/>
      </colorScale>
    </cfRule>
  </conditionalFormatting>
  <conditionalFormatting sqref="J10:L224 J237:L451">
    <cfRule type="cellIs" priority="58" operator="equal" dxfId="8">
      <formula>0</formula>
    </cfRule>
  </conditionalFormatting>
  <dataValidations count="23">
    <dataValidation sqref="C12:C16 C46 C50 C67 C69 C103 C137 C169 C171 C186 C188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60:C161"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formula1>
    </dataValidation>
    <dataValidation sqref="C27:C28 C87"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14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 C/TOPPER,TRATOR-JD 7500 + ADUBADORA "&amp;"HERCULES 10000,VOLVO NH380 + CAÇAMBA 430SC,CASE MAGNUM 340 + SUBSOLADOR 11 ASTES,PULVERIZADOR- JD4730 + PULVERIZADOR- JD4730,AIR TRATOR AT-502B + AIR TRATOR AT-502B,+"</formula1>
    </dataValidation>
    <dataValidation sqref="C30 C133" showDropDown="0" showInputMessage="0" showErrorMessage="0" allowBlank="1" type="list">
      <formula1>"RUMBA,ASSIST,MEES,AUREO,JOINT ULTRA,ADGREEN,ENERGIC,EXTRAVON,OCHIMA"</formula1>
    </dataValidation>
    <dataValidation sqref="C26 C33 C52 C71 C82 C85 C89 C105 C122 C139 C166 C173 C184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29 C65 C8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98 C115 C120 C159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51 C70 C88 C104 C121 C138 C172 C189 C207 C244 C259 C278 C297 C315 C331 C348 C365 C382 C399 C416 C434" showDropDown="0" showInputMessage="0" showErrorMessage="0" allowBlank="1" type="list">
      <formula1>"CALCÁRIO DOLOMITICO,GESSO AGRICOLA"</formula1>
    </dataValidation>
    <dataValidation sqref="C45 C49 C68 C136 C170 C183 C187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162:C164"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formula1>
    </dataValidation>
    <dataValidation sqref="C31"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47 C86 C101 C118 C167" showDropDown="0" showInputMessage="0" showErrorMessage="0" allowBlank="1" type="list">
      <formula1>"RUMBA,ASSIST,MEES,AUREO EC,JOINT ULTRA,ENERGIC,EXTRAVON,OCHIMA,STRIDES"</formula1>
    </dataValidation>
    <dataValidation sqref="C102 C119 C132"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155 C15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JD4730+PULVERIZADOR- JD4730,AIR TRATOR AT-502"&amp;"B+AIR TRATOR AT-502B,+"</formula1>
    </dataValidation>
    <dataValidation sqref="B237:B451" showDropDown="0" showInputMessage="0" showErrorMessage="1" allowBlank="1" type="list">
      <formula1>#REF!</formula1>
    </dataValidation>
    <dataValidation sqref="C66 C168 C185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56:C157"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430SC,TRATOR - CASE MAGNUM 340+SUBSOLADOR 11 ASTES,PULVERIZADOR- JD4730+PULVERIZADOR- JD4730,+"</formula1>
    </dataValidation>
    <dataValidation sqref="C15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B10:B224" showDropDown="0" showInputMessage="0" showErrorMessage="0" allowBlank="1" type="list">
      <formula1>#REF!</formula1>
    </dataValidation>
    <dataValidation sqref="C150:C152 C154"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formula1>
    </dataValidation>
    <dataValidation sqref="C19 C34 C48 C53:C54 C59 C64 C72:C73 C83 C90:C91 C96 C99:C100 C106:C107 C112 C116:C117 C123:C124 C129 C140:C141 C146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PLANTIO'!B10</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PLANTIO'!E10</f>
        <v/>
      </c>
      <c r="C2" s="269" t="inlineStr">
        <is>
          <t>Produtividade estimada Sc/há</t>
        </is>
      </c>
      <c r="D2" s="270">
        <f>'ÁREA PLANTIO'!D10</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PLANTIO'!C10</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n"/>
      <c r="C11" s="213" t="n"/>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n"/>
      <c r="C12" s="213" t="n"/>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n"/>
      <c r="C13" s="213" t="n"/>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n"/>
      <c r="C14" s="213" t="n"/>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n"/>
      <c r="C26" s="213" t="n"/>
      <c r="D26" s="214">
        <f>IFERROR(VLOOKUP($C26,'PORTIFÓLIO'!C:V,2,0),"")</f>
        <v/>
      </c>
      <c r="E26" s="211">
        <f>IFERROR(VLOOKUP($C26,'PORTIFÓLIO'!C:V,3,0),"")</f>
        <v/>
      </c>
      <c r="F26" s="211">
        <f>IFERROR(VLOOKUP($C26,'PORTIFÓLIO'!C:V,4,0),"")</f>
        <v/>
      </c>
      <c r="G26" s="215">
        <f>IFERROR(VLOOKUP($C26,'PORTIFÓLIO'!C:V,5,0),"")</f>
        <v/>
      </c>
      <c r="H26" s="254">
        <f t="array" ref="H26">IFERROR(INDEX('PORTIFÓLIO'!$H$4:$H$433,MATCH($C26,'PORTIFÓLIO'!$C$4:$C$433,0)),"")</f>
        <v/>
      </c>
      <c r="I26" s="255" t="n"/>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n"/>
      <c r="C27" s="213" t="n"/>
      <c r="D27" s="214">
        <f>IFERROR(VLOOKUP($C27,'PORTIFÓLIO'!C:V,2,0),"")</f>
        <v/>
      </c>
      <c r="E27" s="211">
        <f>IFERROR(VLOOKUP($C27,'PORTIFÓLIO'!C:V,3,0),"")</f>
        <v/>
      </c>
      <c r="F27" s="211">
        <f>IFERROR(VLOOKUP($C27,'PORTIFÓLIO'!C:V,4,0),"")</f>
        <v/>
      </c>
      <c r="G27" s="215">
        <f>IFERROR(VLOOKUP($C27,'PORTIFÓLIO'!C:V,5,0),"")</f>
        <v/>
      </c>
      <c r="H27" s="254">
        <f t="array" ref="H27">IFERROR(INDEX('PORTIFÓLIO'!$H$4:$H$433,MATCH($C27,'PORTIFÓLIO'!$C$4:$C$433,0)),"")</f>
        <v/>
      </c>
      <c r="I27" s="255" t="n"/>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n"/>
      <c r="C28" s="213" t="n"/>
      <c r="D28" s="214">
        <f>IFERROR(VLOOKUP($C28,'PORTIFÓLIO'!C:V,2,0),"")</f>
        <v/>
      </c>
      <c r="E28" s="211">
        <f>IFERROR(VLOOKUP($C28,'PORTIFÓLIO'!C:V,3,0),"")</f>
        <v/>
      </c>
      <c r="F28" s="211">
        <f>IFERROR(VLOOKUP($C28,'PORTIFÓLIO'!C:V,4,0),"")</f>
        <v/>
      </c>
      <c r="G28" s="215">
        <f>IFERROR(VLOOKUP($C28,'PORTIFÓLIO'!C:V,5,0),"")</f>
        <v/>
      </c>
      <c r="H28" s="254">
        <f t="array" ref="H28">IFERROR(INDEX('PORTIFÓLIO'!$H$4:$H$433,MATCH($C28,'PORTIFÓLIO'!$C$4:$C$433,0)),"")</f>
        <v/>
      </c>
      <c r="I28" s="255" t="n"/>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n"/>
      <c r="C29" s="213" t="n"/>
      <c r="D29" s="214">
        <f>IFERROR(VLOOKUP($C29,'PORTIFÓLIO'!C:V,2,0),"")</f>
        <v/>
      </c>
      <c r="E29" s="211">
        <f>IFERROR(VLOOKUP($C29,'PORTIFÓLIO'!C:V,3,0),"")</f>
        <v/>
      </c>
      <c r="F29" s="211">
        <f>IFERROR(VLOOKUP($C29,'PORTIFÓLIO'!C:V,4,0),"")</f>
        <v/>
      </c>
      <c r="G29" s="215">
        <f>IFERROR(VLOOKUP($C29,'PORTIFÓLIO'!C:V,5,0),"")</f>
        <v/>
      </c>
      <c r="H29" s="254">
        <f t="array" ref="H29">IFERROR(INDEX('PORTIFÓLIO'!$H$4:$H$433,MATCH($C29,'PORTIFÓLIO'!$C$4:$C$433,0)),"")</f>
        <v/>
      </c>
      <c r="I29" s="255" t="n"/>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n"/>
      <c r="C30" s="213" t="n"/>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n"/>
      <c r="C45" s="213" t="n"/>
      <c r="D45" s="214">
        <f>IFERROR(VLOOKUP($C45,'PORTIFÓLIO'!C:V,2,0),"")</f>
        <v/>
      </c>
      <c r="E45" s="211">
        <f>IFERROR(VLOOKUP($C45,'PORTIFÓLIO'!C:V,3,0),"")</f>
        <v/>
      </c>
      <c r="F45" s="211">
        <f>IFERROR(VLOOKUP($C45,'PORTIFÓLIO'!C:V,4,0),"")</f>
        <v/>
      </c>
      <c r="G45" s="215">
        <f>IFERROR(VLOOKUP($C45,'PORTIFÓLIO'!C:V,5,0),"")</f>
        <v/>
      </c>
      <c r="H45" s="254">
        <f t="array" ref="H45">IFERROR(INDEX('PORTIFÓLIO'!$H$4:$H$433,MATCH($C45,'PORTIFÓLIO'!$C$4:$C$433,0)),"")</f>
        <v/>
      </c>
      <c r="I45" s="255" t="n"/>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n"/>
      <c r="C46" s="213" t="n"/>
      <c r="D46" s="214">
        <f>IFERROR(VLOOKUP($C46,'PORTIFÓLIO'!C:V,2,0),"")</f>
        <v/>
      </c>
      <c r="E46" s="211">
        <f>IFERROR(VLOOKUP($C46,'PORTIFÓLIO'!C:V,3,0),"")</f>
        <v/>
      </c>
      <c r="F46" s="211">
        <f>IFERROR(VLOOKUP($C46,'PORTIFÓLIO'!C:V,4,0),"")</f>
        <v/>
      </c>
      <c r="G46" s="215">
        <f>IFERROR(VLOOKUP($C46,'PORTIFÓLIO'!C:V,5,0),"")</f>
        <v/>
      </c>
      <c r="H46" s="254">
        <f t="array" ref="H46">IFERROR(INDEX('PORTIFÓLIO'!$H$4:$H$433,MATCH($C46,'PORTIFÓLIO'!$C$4:$C$433,0)),"")</f>
        <v/>
      </c>
      <c r="I46" s="255" t="n"/>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n"/>
      <c r="C47" s="213" t="n"/>
      <c r="D47" s="214">
        <f>IFERROR(VLOOKUP($C47,'PORTIFÓLIO'!C:V,2,0),"")</f>
        <v/>
      </c>
      <c r="E47" s="211">
        <f>IFERROR(VLOOKUP($C47,'PORTIFÓLIO'!C:V,3,0),"")</f>
        <v/>
      </c>
      <c r="F47" s="211">
        <f>IFERROR(VLOOKUP($C47,'PORTIFÓLIO'!C:V,4,0),"")</f>
        <v/>
      </c>
      <c r="G47" s="215">
        <f>IFERROR(VLOOKUP($C47,'PORTIFÓLIO'!C:V,5,0),"")</f>
        <v/>
      </c>
      <c r="H47" s="254">
        <f t="array" ref="H47">IFERROR(INDEX('PORTIFÓLIO'!$H$4:$H$433,MATCH($C47,'PORTIFÓLIO'!$C$4:$C$433,0)),"")</f>
        <v/>
      </c>
      <c r="I47" s="255" t="n"/>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n"/>
      <c r="C48" s="213" t="n"/>
      <c r="D48" s="214">
        <f>IFERROR(VLOOKUP($C48,'PORTIFÓLIO'!C:V,2,0),"")</f>
        <v/>
      </c>
      <c r="E48" s="211">
        <f>IFERROR(VLOOKUP($C48,'PORTIFÓLIO'!C:V,3,0),"")</f>
        <v/>
      </c>
      <c r="F48" s="211">
        <f>IFERROR(VLOOKUP($C48,'PORTIFÓLIO'!C:V,4,0),"")</f>
        <v/>
      </c>
      <c r="G48" s="215">
        <f>IFERROR(VLOOKUP($C48,'PORTIFÓLIO'!C:V,5,0),"")</f>
        <v/>
      </c>
      <c r="H48" s="254">
        <f t="array" ref="H48">IFERROR(INDEX('PORTIFÓLIO'!$H$4:$H$433,MATCH($C48,'PORTIFÓLIO'!$C$4:$C$433,0)),"")</f>
        <v/>
      </c>
      <c r="I48" s="255" t="n"/>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n"/>
      <c r="C49" s="213" t="n"/>
      <c r="D49" s="214">
        <f>IFERROR(VLOOKUP($C49,'PORTIFÓLIO'!C:V,2,0),"")</f>
        <v/>
      </c>
      <c r="E49" s="211">
        <f>IFERROR(VLOOKUP($C49,'PORTIFÓLIO'!C:V,3,0),"")</f>
        <v/>
      </c>
      <c r="F49" s="211">
        <f>IFERROR(VLOOKUP($C49,'PORTIFÓLIO'!C:V,4,0),"")</f>
        <v/>
      </c>
      <c r="G49" s="215">
        <f>IFERROR(VLOOKUP($C49,'PORTIFÓLIO'!C:V,5,0),"")</f>
        <v/>
      </c>
      <c r="H49" s="254">
        <f t="array" ref="H49">IFERROR(INDEX('PORTIFÓLIO'!$H$4:$H$433,MATCH($C49,'PORTIFÓLIO'!$C$4:$C$433,0)),"")</f>
        <v/>
      </c>
      <c r="I49" s="255" t="n"/>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n"/>
      <c r="C64" s="213" t="n"/>
      <c r="D64" s="214">
        <f>IFERROR(VLOOKUP($C64,'PORTIFÓLIO'!C:V,2,0),"")</f>
        <v/>
      </c>
      <c r="E64" s="211">
        <f>IFERROR(VLOOKUP($C64,'PORTIFÓLIO'!C:V,3,0),"")</f>
        <v/>
      </c>
      <c r="F64" s="211">
        <f>IFERROR(VLOOKUP($C64,'PORTIFÓLIO'!C:V,4,0),"")</f>
        <v/>
      </c>
      <c r="G64" s="215">
        <f>IFERROR(VLOOKUP($C64,'PORTIFÓLIO'!C:V,5,0),"")</f>
        <v/>
      </c>
      <c r="H64" s="254">
        <f t="array" ref="H64">IFERROR(INDEX('PORTIFÓLIO'!$H$4:$H$433,MATCH($C64,'PORTIFÓLIO'!$C$4:$C$433,0)),"")</f>
        <v/>
      </c>
      <c r="I64" s="255" t="n"/>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n"/>
      <c r="C65" s="213" t="n"/>
      <c r="D65" s="214">
        <f>IFERROR(VLOOKUP($C65,'PORTIFÓLIO'!C:V,2,0),"")</f>
        <v/>
      </c>
      <c r="E65" s="211">
        <f>IFERROR(VLOOKUP($C65,'PORTIFÓLIO'!C:V,3,0),"")</f>
        <v/>
      </c>
      <c r="F65" s="211">
        <f>IFERROR(VLOOKUP($C65,'PORTIFÓLIO'!C:V,4,0),"")</f>
        <v/>
      </c>
      <c r="G65" s="215">
        <f>IFERROR(VLOOKUP($C65,'PORTIFÓLIO'!C:V,5,0),"")</f>
        <v/>
      </c>
      <c r="H65" s="254">
        <f t="array" ref="H65">IFERROR(INDEX('PORTIFÓLIO'!$H$4:$H$433,MATCH($C65,'PORTIFÓLIO'!$C$4:$C$433,0)),"")</f>
        <v/>
      </c>
      <c r="I65" s="255" t="n"/>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n"/>
      <c r="C66" s="213" t="n"/>
      <c r="D66" s="214">
        <f>IFERROR(VLOOKUP($C66,'PORTIFÓLIO'!C:V,2,0),"")</f>
        <v/>
      </c>
      <c r="E66" s="211">
        <f>IFERROR(VLOOKUP($C66,'PORTIFÓLIO'!C:V,3,0),"")</f>
        <v/>
      </c>
      <c r="F66" s="211">
        <f>IFERROR(VLOOKUP($C66,'PORTIFÓLIO'!C:V,4,0),"")</f>
        <v/>
      </c>
      <c r="G66" s="215">
        <f>IFERROR(VLOOKUP($C66,'PORTIFÓLIO'!C:V,5,0),"")</f>
        <v/>
      </c>
      <c r="H66" s="254">
        <f t="array" ref="H66">IFERROR(INDEX('PORTIFÓLIO'!$H$4:$H$433,MATCH($C66,'PORTIFÓLIO'!$C$4:$C$433,0)),"")</f>
        <v/>
      </c>
      <c r="I66" s="255" t="n"/>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n"/>
      <c r="C67" s="213" t="n"/>
      <c r="D67" s="214">
        <f>IFERROR(VLOOKUP($C67,'PORTIFÓLIO'!C:V,2,0),"")</f>
        <v/>
      </c>
      <c r="E67" s="211">
        <f>IFERROR(VLOOKUP($C67,'PORTIFÓLIO'!C:V,3,0),"")</f>
        <v/>
      </c>
      <c r="F67" s="211">
        <f>IFERROR(VLOOKUP($C67,'PORTIFÓLIO'!C:V,4,0),"")</f>
        <v/>
      </c>
      <c r="G67" s="215">
        <f>IFERROR(VLOOKUP($C67,'PORTIFÓLIO'!C:V,5,0),"")</f>
        <v/>
      </c>
      <c r="H67" s="254">
        <f t="array" ref="H67">IFERROR(INDEX('PORTIFÓLIO'!$H$4:$H$433,MATCH($C67,'PORTIFÓLIO'!$C$4:$C$433,0)),"")</f>
        <v/>
      </c>
      <c r="I67" s="255" t="n"/>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n"/>
      <c r="C68" s="213" t="n"/>
      <c r="D68" s="214">
        <f>IFERROR(VLOOKUP($C68,'PORTIFÓLIO'!C:V,2,0),"")</f>
        <v/>
      </c>
      <c r="E68" s="211">
        <f>IFERROR(VLOOKUP($C68,'PORTIFÓLIO'!C:V,3,0),"")</f>
        <v/>
      </c>
      <c r="F68" s="211">
        <f>IFERROR(VLOOKUP($C68,'PORTIFÓLIO'!C:V,4,0),"")</f>
        <v/>
      </c>
      <c r="G68" s="215">
        <f>IFERROR(VLOOKUP($C68,'PORTIFÓLIO'!C:V,5,0),"")</f>
        <v/>
      </c>
      <c r="H68" s="254">
        <f t="array" ref="H68">IFERROR(INDEX('PORTIFÓLIO'!$H$4:$H$433,MATCH($C68,'PORTIFÓLIO'!$C$4:$C$433,0)),"")</f>
        <v/>
      </c>
      <c r="I68" s="255" t="n"/>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n"/>
      <c r="C69" s="213" t="n"/>
      <c r="D69" s="214">
        <f>IFERROR(VLOOKUP($C69,'PORTIFÓLIO'!C:V,2,0),"")</f>
        <v/>
      </c>
      <c r="E69" s="211">
        <f>IFERROR(VLOOKUP($C69,'PORTIFÓLIO'!C:V,3,0),"")</f>
        <v/>
      </c>
      <c r="F69" s="211">
        <f>IFERROR(VLOOKUP($C69,'PORTIFÓLIO'!C:V,4,0),"")</f>
        <v/>
      </c>
      <c r="G69" s="215">
        <f>IFERROR(VLOOKUP($C69,'PORTIFÓLIO'!C:V,5,0),"")</f>
        <v/>
      </c>
      <c r="H69" s="254">
        <f t="array" ref="H69">IFERROR(INDEX('PORTIFÓLIO'!$H$4:$H$433,MATCH($C69,'PORTIFÓLIO'!$C$4:$C$433,0)),"")</f>
        <v/>
      </c>
      <c r="I69" s="255" t="n"/>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n"/>
      <c r="C70" s="213" t="n"/>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6" t="n"/>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n"/>
      <c r="C71" s="213" t="n"/>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6" t="n"/>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n"/>
      <c r="C82" s="213" t="n"/>
      <c r="D82" s="214">
        <f>IFERROR(VLOOKUP($C82,'PORTIFÓLIO'!C:V,2,0),"")</f>
        <v/>
      </c>
      <c r="E82" s="211">
        <f>IFERROR(VLOOKUP($C82,'PORTIFÓLIO'!C:V,3,0),"")</f>
        <v/>
      </c>
      <c r="F82" s="211">
        <f>IFERROR(VLOOKUP($C82,'PORTIFÓLIO'!C:V,4,0),"")</f>
        <v/>
      </c>
      <c r="G82" s="215">
        <f>IFERROR(VLOOKUP($C82,'PORTIFÓLIO'!C:V,5,0),"")</f>
        <v/>
      </c>
      <c r="H82" s="254">
        <f t="array" ref="H82">IFERROR(INDEX('PORTIFÓLIO'!$H$4:$H$433,MATCH($C82,'PORTIFÓLIO'!$C$4:$C$433,0)),"")</f>
        <v/>
      </c>
      <c r="I82" s="255" t="n"/>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n"/>
      <c r="C83" s="213" t="n"/>
      <c r="D83" s="214">
        <f>IFERROR(VLOOKUP($C83,'PORTIFÓLIO'!C:V,2,0),"")</f>
        <v/>
      </c>
      <c r="E83" s="211">
        <f>IFERROR(VLOOKUP($C83,'PORTIFÓLIO'!C:V,3,0),"")</f>
        <v/>
      </c>
      <c r="F83" s="211">
        <f>IFERROR(VLOOKUP($C83,'PORTIFÓLIO'!C:V,4,0),"")</f>
        <v/>
      </c>
      <c r="G83" s="215">
        <f>IFERROR(VLOOKUP($C83,'PORTIFÓLIO'!C:V,5,0),"")</f>
        <v/>
      </c>
      <c r="H83" s="254">
        <f t="array" ref="H83">IFERROR(INDEX('PORTIFÓLIO'!$H$4:$H$433,MATCH($C83,'PORTIFÓLIO'!$C$4:$C$433,0)),"")</f>
        <v/>
      </c>
      <c r="I83" s="255" t="n"/>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n"/>
      <c r="C84" s="213" t="n"/>
      <c r="D84" s="214">
        <f>IFERROR(VLOOKUP($C84,'PORTIFÓLIO'!C:V,2,0),"")</f>
        <v/>
      </c>
      <c r="E84" s="211">
        <f>IFERROR(VLOOKUP($C84,'PORTIFÓLIO'!C:V,3,0),"")</f>
        <v/>
      </c>
      <c r="F84" s="211">
        <f>IFERROR(VLOOKUP($C84,'PORTIFÓLIO'!C:V,4,0),"")</f>
        <v/>
      </c>
      <c r="G84" s="215">
        <f>IFERROR(VLOOKUP($C84,'PORTIFÓLIO'!C:V,5,0),"")</f>
        <v/>
      </c>
      <c r="H84" s="254">
        <f t="array" ref="H84">IFERROR(INDEX('PORTIFÓLIO'!$H$4:$H$433,MATCH($C84,'PORTIFÓLIO'!$C$4:$C$433,0)),"")</f>
        <v/>
      </c>
      <c r="I84" s="255" t="n"/>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n"/>
      <c r="C85" s="213" t="n"/>
      <c r="D85" s="214">
        <f>IFERROR(VLOOKUP($C85,'PORTIFÓLIO'!C:V,2,0),"")</f>
        <v/>
      </c>
      <c r="E85" s="211">
        <f>IFERROR(VLOOKUP($C85,'PORTIFÓLIO'!C:V,3,0),"")</f>
        <v/>
      </c>
      <c r="F85" s="211">
        <f>IFERROR(VLOOKUP($C85,'PORTIFÓLIO'!C:V,4,0),"")</f>
        <v/>
      </c>
      <c r="G85" s="215">
        <f>IFERROR(VLOOKUP($C85,'PORTIFÓLIO'!C:V,5,0),"")</f>
        <v/>
      </c>
      <c r="H85" s="254">
        <f t="array" ref="H85">IFERROR(INDEX('PORTIFÓLIO'!$H$4:$H$433,MATCH($C85,'PORTIFÓLIO'!$C$4:$C$433,0)),"")</f>
        <v/>
      </c>
      <c r="I85" s="255" t="n"/>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n"/>
      <c r="C98" s="213" t="n"/>
      <c r="D98" s="214">
        <f>IFERROR(VLOOKUP($C98,'PORTIFÓLIO'!C:V,2,0),"")</f>
        <v/>
      </c>
      <c r="E98" s="211">
        <f>IFERROR(VLOOKUP($C98,'PORTIFÓLIO'!C:V,3,0),"")</f>
        <v/>
      </c>
      <c r="F98" s="211">
        <f>IFERROR(VLOOKUP($C98,'PORTIFÓLIO'!C:V,4,0),"")</f>
        <v/>
      </c>
      <c r="G98" s="215">
        <f>IFERROR(VLOOKUP($C98,'PORTIFÓLIO'!C:V,5,0),"")</f>
        <v/>
      </c>
      <c r="H98" s="254">
        <f t="array" ref="H98">IFERROR(INDEX('PORTIFÓLIO'!$H$4:$H$433,MATCH($C98,'PORTIFÓLIO'!$C$4:$C$433,0)),"")</f>
        <v/>
      </c>
      <c r="I98" s="255" t="n"/>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n"/>
      <c r="C100" s="213" t="n"/>
      <c r="D100" s="214">
        <f>IFERROR(VLOOKUP($C100,'PORTIFÓLIO'!C:V,2,0),"")</f>
        <v/>
      </c>
      <c r="E100" s="211">
        <f>IFERROR(VLOOKUP($C100,'PORTIFÓLIO'!C:V,3,0),"")</f>
        <v/>
      </c>
      <c r="F100" s="211">
        <f>IFERROR(VLOOKUP($C100,'PORTIFÓLIO'!C:V,4,0),"")</f>
        <v/>
      </c>
      <c r="G100" s="215">
        <f>IFERROR(VLOOKUP($C100,'PORTIFÓLIO'!C:V,5,0),"")</f>
        <v/>
      </c>
      <c r="H100" s="254">
        <f t="array" ref="H100">IFERROR(INDEX('PORTIFÓLIO'!$H$4:$H$433,MATCH($C100,'PORTIFÓLIO'!$C$4:$C$433,0)),"")</f>
        <v/>
      </c>
      <c r="I100" s="255" t="n"/>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n"/>
      <c r="C101" s="213" t="n"/>
      <c r="D101" s="214">
        <f>IFERROR(VLOOKUP($C101,'PORTIFÓLIO'!C:V,2,0),"")</f>
        <v/>
      </c>
      <c r="E101" s="211">
        <f>IFERROR(VLOOKUP($C101,'PORTIFÓLIO'!C:V,3,0),"")</f>
        <v/>
      </c>
      <c r="F101" s="211">
        <f>IFERROR(VLOOKUP($C101,'PORTIFÓLIO'!C:V,4,0),"")</f>
        <v/>
      </c>
      <c r="G101" s="215">
        <f>IFERROR(VLOOKUP($C101,'PORTIFÓLIO'!C:V,5,0),"")</f>
        <v/>
      </c>
      <c r="H101" s="254">
        <f t="array" ref="H101">IFERROR(INDEX('PORTIFÓLIO'!$H$4:$H$433,MATCH($C101,'PORTIFÓLIO'!$C$4:$C$433,0)),"")</f>
        <v/>
      </c>
      <c r="I101" s="255" t="n"/>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n"/>
      <c r="C102" s="213" t="n"/>
      <c r="D102" s="214">
        <f>IFERROR(VLOOKUP($C102,'PORTIFÓLIO'!C:V,2,0),"")</f>
        <v/>
      </c>
      <c r="E102" s="211">
        <f>IFERROR(VLOOKUP($C102,'PORTIFÓLIO'!C:V,3,0),"")</f>
        <v/>
      </c>
      <c r="F102" s="211">
        <f>IFERROR(VLOOKUP($C102,'PORTIFÓLIO'!C:V,4,0),"")</f>
        <v/>
      </c>
      <c r="G102" s="215">
        <f>IFERROR(VLOOKUP($C102,'PORTIFÓLIO'!C:V,5,0),"")</f>
        <v/>
      </c>
      <c r="H102" s="254">
        <f t="array" ref="H102">IFERROR(INDEX('PORTIFÓLIO'!$H$4:$H$433,MATCH($C102,'PORTIFÓLIO'!$C$4:$C$433,0)),"")</f>
        <v/>
      </c>
      <c r="I102" s="255" t="n"/>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n"/>
      <c r="C103" s="213" t="n"/>
      <c r="D103" s="214">
        <f>IFERROR(VLOOKUP($C103,'PORTIFÓLIO'!C:V,2,0),"")</f>
        <v/>
      </c>
      <c r="E103" s="211">
        <f>IFERROR(VLOOKUP($C103,'PORTIFÓLIO'!C:V,3,0),"")</f>
        <v/>
      </c>
      <c r="F103" s="211">
        <f>IFERROR(VLOOKUP($C103,'PORTIFÓLIO'!C:V,4,0),"")</f>
        <v/>
      </c>
      <c r="G103" s="215">
        <f>IFERROR(VLOOKUP($C103,'PORTIFÓLIO'!C:V,5,0),"")</f>
        <v/>
      </c>
      <c r="H103" s="254">
        <f t="array" ref="H103">IFERROR(INDEX('PORTIFÓLIO'!$H$4:$H$433,MATCH($C103,'PORTIFÓLIO'!$C$4:$C$433,0)),"")</f>
        <v/>
      </c>
      <c r="I103" s="255" t="n"/>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n"/>
      <c r="C104" s="213" t="n"/>
      <c r="D104" s="214">
        <f>IFERROR(VLOOKUP($C104,'PORTIFÓLIO'!C:V,2,0),"")</f>
        <v/>
      </c>
      <c r="E104" s="211">
        <f>IFERROR(VLOOKUP($C104,'PORTIFÓLIO'!C:V,3,0),"")</f>
        <v/>
      </c>
      <c r="F104" s="211">
        <f>IFERROR(VLOOKUP($C104,'PORTIFÓLIO'!C:V,4,0),"")</f>
        <v/>
      </c>
      <c r="G104" s="215">
        <f>IFERROR(VLOOKUP($C104,'PORTIFÓLIO'!C:V,5,0),"")</f>
        <v/>
      </c>
      <c r="H104" s="254">
        <f t="array" ref="H104">IFERROR(INDEX('PORTIFÓLIO'!$H$4:$H$433,MATCH($C104,'PORTIFÓLIO'!$C$4:$C$433,0)),"")</f>
        <v/>
      </c>
      <c r="I104" s="256" t="n"/>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n"/>
      <c r="C115" s="283" t="n"/>
      <c r="D115" s="214">
        <f>IFERROR(VLOOKUP($C115,'PORTIFÓLIO'!C:V,2,0),"")</f>
        <v/>
      </c>
      <c r="E115" s="211">
        <f>IFERROR(VLOOKUP($C115,'PORTIFÓLIO'!C:V,3,0),"")</f>
        <v/>
      </c>
      <c r="F115" s="211">
        <f>IFERROR(VLOOKUP($C115,'PORTIFÓLIO'!C:V,4,0),"")</f>
        <v/>
      </c>
      <c r="G115" s="215">
        <f>IFERROR(VLOOKUP($C115,'PORTIFÓLIO'!C:V,5,0),"")</f>
        <v/>
      </c>
      <c r="H115" s="254">
        <f t="array" ref="H115">IFERROR(INDEX('PORTIFÓLIO'!$H$4:$H$433,MATCH($C115,'PORTIFÓLIO'!$C$4:$C$433,0)),"")</f>
        <v/>
      </c>
      <c r="I115" s="255" t="n"/>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n"/>
      <c r="C117" s="283" t="n"/>
      <c r="D117" s="214">
        <f>IFERROR(VLOOKUP($C117,'PORTIFÓLIO'!C:V,2,0),"")</f>
        <v/>
      </c>
      <c r="E117" s="211">
        <f>IFERROR(VLOOKUP($C117,'PORTIFÓLIO'!C:V,3,0),"")</f>
        <v/>
      </c>
      <c r="F117" s="211">
        <f>IFERROR(VLOOKUP($C117,'PORTIFÓLIO'!C:V,4,0),"")</f>
        <v/>
      </c>
      <c r="G117" s="215">
        <f>IFERROR(VLOOKUP($C117,'PORTIFÓLIO'!C:V,5,0),"")</f>
        <v/>
      </c>
      <c r="H117" s="254">
        <f t="array" ref="H117">IFERROR(INDEX('PORTIFÓLIO'!$H$4:$H$433,MATCH($C117,'PORTIFÓLIO'!$C$4:$C$433,0)),"")</f>
        <v/>
      </c>
      <c r="I117" s="255" t="n"/>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n"/>
      <c r="C118" s="283" t="n"/>
      <c r="D118" s="214">
        <f>IFERROR(VLOOKUP($C118,'PORTIFÓLIO'!C:V,2,0),"")</f>
        <v/>
      </c>
      <c r="E118" s="211">
        <f>IFERROR(VLOOKUP($C118,'PORTIFÓLIO'!C:V,3,0),"")</f>
        <v/>
      </c>
      <c r="F118" s="211">
        <f>IFERROR(VLOOKUP($C118,'PORTIFÓLIO'!C:V,4,0),"")</f>
        <v/>
      </c>
      <c r="G118" s="215">
        <f>IFERROR(VLOOKUP($C118,'PORTIFÓLIO'!C:V,5,0),"")</f>
        <v/>
      </c>
      <c r="H118" s="254">
        <f t="array" ref="H118">IFERROR(INDEX('PORTIFÓLIO'!$H$4:$H$433,MATCH($C118,'PORTIFÓLIO'!$C$4:$C$433,0)),"")</f>
        <v/>
      </c>
      <c r="I118" s="255" t="n"/>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n"/>
      <c r="C119" s="283" t="n"/>
      <c r="D119" s="214">
        <f>IFERROR(VLOOKUP($C119,'PORTIFÓLIO'!C:V,2,0),"")</f>
        <v/>
      </c>
      <c r="E119" s="211">
        <f>IFERROR(VLOOKUP($C119,'PORTIFÓLIO'!C:V,3,0),"")</f>
        <v/>
      </c>
      <c r="F119" s="211">
        <f>IFERROR(VLOOKUP($C119,'PORTIFÓLIO'!C:V,4,0),"")</f>
        <v/>
      </c>
      <c r="G119" s="215">
        <f>IFERROR(VLOOKUP($C119,'PORTIFÓLIO'!C:V,5,0),"")</f>
        <v/>
      </c>
      <c r="H119" s="254">
        <f t="array" ref="H119">IFERROR(INDEX('PORTIFÓLIO'!$H$4:$H$433,MATCH($C119,'PORTIFÓLIO'!$C$4:$C$433,0)),"")</f>
        <v/>
      </c>
      <c r="I119" s="255" t="n"/>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n"/>
      <c r="C120" s="213" t="n"/>
      <c r="D120" s="214">
        <f>IFERROR(VLOOKUP($C120,'PORTIFÓLIO'!C:V,2,0),"")</f>
        <v/>
      </c>
      <c r="E120" s="211">
        <f>IFERROR(VLOOKUP($C120,'PORTIFÓLIO'!C:V,3,0),"")</f>
        <v/>
      </c>
      <c r="F120" s="211">
        <f>IFERROR(VLOOKUP($C120,'PORTIFÓLIO'!C:V,4,0),"")</f>
        <v/>
      </c>
      <c r="G120" s="215">
        <f>IFERROR(VLOOKUP($C120,'PORTIFÓLIO'!C:V,5,0),"")</f>
        <v/>
      </c>
      <c r="H120" s="254">
        <f t="array" ref="H120">IFERROR(INDEX('PORTIFÓLIO'!$H$4:$H$433,MATCH($C120,'PORTIFÓLIO'!$C$4:$C$433,0)),"")</f>
        <v/>
      </c>
      <c r="I120" s="255" t="n"/>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n"/>
      <c r="C132" s="213" t="n"/>
      <c r="D132" s="214">
        <f>IFERROR(VLOOKUP($C132,'PORTIFÓLIO'!C:V,2,0),"")</f>
        <v/>
      </c>
      <c r="E132" s="211">
        <f>IFERROR(VLOOKUP($C132,'PORTIFÓLIO'!C:V,3,0),"")</f>
        <v/>
      </c>
      <c r="F132" s="211">
        <f>IFERROR(VLOOKUP($C132,'PORTIFÓLIO'!C:V,4,0),"")</f>
        <v/>
      </c>
      <c r="G132" s="215">
        <f>IFERROR(VLOOKUP($C132,'PORTIFÓLIO'!C:V,5,0),"")</f>
        <v/>
      </c>
      <c r="H132" s="254">
        <f t="array" ref="H132">IFERROR(INDEX('PORTIFÓLIO'!$H$4:$H$433,MATCH($C132,'PORTIFÓLIO'!$C$4:$C$433,0)),"")</f>
        <v/>
      </c>
      <c r="I132" s="255" t="n"/>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n"/>
      <c r="C133" s="213" t="n"/>
      <c r="D133" s="214">
        <f>IFERROR(VLOOKUP($C133,'PORTIFÓLIO'!C:V,2,0),"")</f>
        <v/>
      </c>
      <c r="E133" s="211">
        <f>IFERROR(VLOOKUP($C133,'PORTIFÓLIO'!C:V,3,0),"")</f>
        <v/>
      </c>
      <c r="F133" s="211">
        <f>IFERROR(VLOOKUP($C133,'PORTIFÓLIO'!C:V,4,0),"")</f>
        <v/>
      </c>
      <c r="G133" s="215">
        <f>IFERROR(VLOOKUP($C133,'PORTIFÓLIO'!C:V,5,0),"")</f>
        <v/>
      </c>
      <c r="H133" s="254">
        <f t="array" ref="H133">IFERROR(INDEX('PORTIFÓLIO'!$H$4:$H$433,MATCH($C133,'PORTIFÓLIO'!$C$4:$C$433,0)),"")</f>
        <v/>
      </c>
      <c r="I133" s="255" t="n"/>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n"/>
      <c r="C134" s="213" t="n"/>
      <c r="D134" s="214">
        <f>IFERROR(VLOOKUP($C134,'PORTIFÓLIO'!C:V,2,0),"")</f>
        <v/>
      </c>
      <c r="E134" s="211">
        <f>IFERROR(VLOOKUP($C134,'PORTIFÓLIO'!C:V,3,0),"")</f>
        <v/>
      </c>
      <c r="F134" s="211">
        <f>IFERROR(VLOOKUP($C134,'PORTIFÓLIO'!C:V,4,0),"")</f>
        <v/>
      </c>
      <c r="G134" s="215">
        <f>IFERROR(VLOOKUP($C134,'PORTIFÓLIO'!C:V,5,0),"")</f>
        <v/>
      </c>
      <c r="H134" s="254">
        <f t="array" ref="H134">IFERROR(INDEX('PORTIFÓLIO'!$H$4:$H$433,MATCH($C134,'PORTIFÓLIO'!$C$4:$C$433,0)),"")</f>
        <v/>
      </c>
      <c r="I134" s="255" t="n"/>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n"/>
      <c r="C135" s="213" t="n"/>
      <c r="D135" s="214">
        <f>IFERROR(VLOOKUP($C135,'PORTIFÓLIO'!C:V,2,0),"")</f>
        <v/>
      </c>
      <c r="E135" s="211">
        <f>IFERROR(VLOOKUP($C135,'PORTIFÓLIO'!C:V,3,0),"")</f>
        <v/>
      </c>
      <c r="F135" s="211">
        <f>IFERROR(VLOOKUP($C135,'PORTIFÓLIO'!C:V,4,0),"")</f>
        <v/>
      </c>
      <c r="G135" s="215">
        <f>IFERROR(VLOOKUP($C135,'PORTIFÓLIO'!C:V,5,0),"")</f>
        <v/>
      </c>
      <c r="H135" s="254">
        <f t="array" ref="H135">IFERROR(INDEX('PORTIFÓLIO'!$H$4:$H$433,MATCH($C135,'PORTIFÓLIO'!$C$4:$C$433,0)),"")</f>
        <v/>
      </c>
      <c r="I135" s="255" t="n"/>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n"/>
      <c r="C149" s="213" t="n"/>
      <c r="D149" s="214">
        <f>IFERROR(VLOOKUP($C149,'PORTIFÓLIO'!C:V,2,0),"")</f>
        <v/>
      </c>
      <c r="E149" s="211">
        <f>IFERROR(VLOOKUP($C149,'PORTIFÓLIO'!C:V,3,0),"")</f>
        <v/>
      </c>
      <c r="F149" s="211">
        <f>IFERROR(VLOOKUP($C149,'PORTIFÓLIO'!C:V,4,0),"")</f>
        <v/>
      </c>
      <c r="G149" s="215">
        <f>IFERROR(VLOOKUP($C149,'PORTIFÓLIO'!C:V,5,0),"")</f>
        <v/>
      </c>
      <c r="H149" s="254">
        <f t="array" ref="H149">IFERROR(INDEX('PORTIFÓLIO'!$H$4:$H$433,MATCH($C149,'PORTIFÓLIO'!$C$4:$C$433,0)),"")</f>
        <v/>
      </c>
      <c r="I149" s="255" t="n"/>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n"/>
      <c r="C150" s="213" t="n"/>
      <c r="D150" s="214">
        <f>IFERROR(VLOOKUP($C150,'PORTIFÓLIO'!C:V,2,0),"")</f>
        <v/>
      </c>
      <c r="E150" s="211">
        <f>IFERROR(VLOOKUP($C150,'PORTIFÓLIO'!C:V,3,0),"")</f>
        <v/>
      </c>
      <c r="F150" s="211">
        <f>IFERROR(VLOOKUP($C150,'PORTIFÓLIO'!C:V,4,0),"")</f>
        <v/>
      </c>
      <c r="G150" s="215">
        <f>IFERROR(VLOOKUP($C150,'PORTIFÓLIO'!C:V,5,0),"")</f>
        <v/>
      </c>
      <c r="H150" s="254">
        <f t="array" ref="H150">IFERROR(INDEX('PORTIFÓLIO'!$H$4:$H$433,MATCH($C150,'PORTIFÓLIO'!$C$4:$C$433,0)),"")</f>
        <v/>
      </c>
      <c r="I150" s="255" t="n"/>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n"/>
      <c r="C151" s="213" t="n"/>
      <c r="D151" s="214">
        <f>IFERROR(VLOOKUP($C151,'PORTIFÓLIO'!C:V,2,0),"")</f>
        <v/>
      </c>
      <c r="E151" s="211">
        <f>IFERROR(VLOOKUP($C151,'PORTIFÓLIO'!C:V,3,0),"")</f>
        <v/>
      </c>
      <c r="F151" s="211">
        <f>IFERROR(VLOOKUP($C151,'PORTIFÓLIO'!C:V,4,0),"")</f>
        <v/>
      </c>
      <c r="G151" s="215">
        <f>IFERROR(VLOOKUP($C151,'PORTIFÓLIO'!C:V,5,0),"")</f>
        <v/>
      </c>
      <c r="H151" s="254">
        <f t="array" ref="H151">IFERROR(INDEX('PORTIFÓLIO'!$H$4:$H$433,MATCH($C151,'PORTIFÓLIO'!$C$4:$C$433,0)),"")</f>
        <v/>
      </c>
      <c r="I151" s="255" t="n"/>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n"/>
      <c r="C166" s="213" t="n"/>
      <c r="D166" s="214">
        <f>IFERROR(VLOOKUP($C166,'PORTIFÓLIO'!C:V,2,0),"")</f>
        <v/>
      </c>
      <c r="E166" s="211">
        <f>IFERROR(VLOOKUP($C166,'PORTIFÓLIO'!C:V,3,0),"")</f>
        <v/>
      </c>
      <c r="F166" s="211">
        <f>IFERROR(VLOOKUP($C166,'PORTIFÓLIO'!C:V,4,0),"")</f>
        <v/>
      </c>
      <c r="G166" s="215">
        <f>IFERROR(VLOOKUP($C166,'PORTIFÓLIO'!C:V,5,0),"")</f>
        <v/>
      </c>
      <c r="H166" s="254">
        <f t="array" ref="H166">IFERROR(INDEX('PORTIFÓLIO'!$H$4:$H$433,MATCH($C166,'PORTIFÓLIO'!$C$4:$C$433,0)),"")</f>
        <v/>
      </c>
      <c r="I166" s="255" t="n"/>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n"/>
      <c r="C167" s="213" t="n"/>
      <c r="D167" s="214">
        <f>IFERROR(VLOOKUP($C167,'PORTIFÓLIO'!C:V,2,0),"")</f>
        <v/>
      </c>
      <c r="E167" s="211">
        <f>IFERROR(VLOOKUP($C167,'PORTIFÓLIO'!C:V,3,0),"")</f>
        <v/>
      </c>
      <c r="F167" s="211">
        <f>IFERROR(VLOOKUP($C167,'PORTIFÓLIO'!C:V,4,0),"")</f>
        <v/>
      </c>
      <c r="G167" s="215">
        <f>IFERROR(VLOOKUP($C167,'PORTIFÓLIO'!C:V,5,0),"")</f>
        <v/>
      </c>
      <c r="H167" s="254">
        <f t="array" ref="H167">IFERROR(INDEX('PORTIFÓLIO'!$H$4:$H$433,MATCH($C167,'PORTIFÓLIO'!$C$4:$C$433,0)),"")</f>
        <v/>
      </c>
      <c r="I167" s="255" t="n"/>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n"/>
      <c r="C183" s="213" t="n"/>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n"/>
      <c r="C184" s="213" t="n"/>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t="n"/>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n"/>
      <c r="C185" s="213" t="n"/>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t="n"/>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n"/>
      <c r="C186" s="213" t="n"/>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t="n"/>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n"/>
      <c r="C187" s="213" t="n"/>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n"/>
      <c r="C188" s="213" t="n"/>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n"/>
      <c r="C189" s="213" t="n"/>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PLANTIO'!B10</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PLANTIO'!E10</f>
        <v/>
      </c>
      <c r="C228" s="269" t="inlineStr">
        <is>
          <t>Produtividade estimada Sc/há</t>
        </is>
      </c>
      <c r="D228" s="270">
        <f>'ÁREA PLANTIO'!I10</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PLANTIO'!H8</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G453" s="296" t="n"/>
      <c r="U453" s="79" t="n"/>
    </row>
    <row r="454" ht="15.75" customHeight="1" s="297">
      <c r="G454" s="296" t="n"/>
      <c r="U454" s="79" t="n"/>
    </row>
    <row r="455" ht="15.75" customHeight="1" s="297">
      <c r="G455" s="296" t="n"/>
      <c r="U455" s="79" t="n"/>
    </row>
    <row r="456" ht="15.75" customHeight="1" s="297">
      <c r="G456" s="296" t="n"/>
      <c r="U456" s="79" t="n"/>
    </row>
    <row r="457" ht="15.75" customHeight="1" s="297">
      <c r="G457" s="296" t="n"/>
      <c r="U457" s="79" t="n"/>
    </row>
    <row r="458" ht="15.75" customHeight="1" s="297">
      <c r="G458" s="296" t="n"/>
      <c r="U458" s="79" t="n"/>
    </row>
    <row r="459" ht="15.75" customHeight="1" s="297">
      <c r="G459" s="296" t="n"/>
      <c r="U459" s="79" t="n"/>
    </row>
    <row r="460" ht="15.75" customHeight="1" s="297">
      <c r="G460" s="296" t="n"/>
      <c r="U460" s="79" t="n"/>
    </row>
    <row r="461" ht="15.75" customHeight="1" s="297">
      <c r="G461" s="296" t="n"/>
      <c r="U461" s="79" t="n"/>
    </row>
    <row r="462" ht="15.75" customHeight="1" s="297">
      <c r="G462" s="296" t="n"/>
      <c r="U462" s="79" t="n"/>
    </row>
    <row r="463" ht="15.75" customHeight="1" s="297">
      <c r="G463" s="296" t="n"/>
      <c r="U463" s="79" t="n"/>
    </row>
    <row r="464" ht="15.75" customHeight="1" s="297">
      <c r="G464" s="296" t="n"/>
      <c r="U464" s="79" t="n"/>
    </row>
    <row r="465" ht="15.75" customHeight="1" s="297">
      <c r="G465" s="296" t="n"/>
      <c r="U465" s="79" t="n"/>
    </row>
    <row r="466" ht="15.75" customHeight="1" s="297">
      <c r="G466" s="296" t="n"/>
      <c r="U466" s="79" t="n"/>
    </row>
    <row r="467" ht="15.75" customHeight="1" s="297">
      <c r="G467" s="296" t="n"/>
      <c r="U467" s="79" t="n"/>
    </row>
    <row r="468" ht="15.75" customHeight="1" s="297">
      <c r="G468" s="296" t="n"/>
      <c r="U468" s="79" t="n"/>
    </row>
    <row r="469" ht="15.75" customHeight="1" s="297">
      <c r="G469" s="296" t="n"/>
      <c r="U469" s="79" t="n"/>
    </row>
    <row r="470" ht="15.75" customHeight="1" s="297">
      <c r="G470" s="296" t="n"/>
      <c r="U470" s="79" t="n"/>
    </row>
    <row r="471" ht="15.75" customHeight="1" s="297">
      <c r="G471" s="296" t="n"/>
      <c r="U471" s="79" t="n"/>
    </row>
    <row r="472" ht="15.75" customHeight="1" s="297">
      <c r="G472" s="296" t="n"/>
      <c r="U472" s="79" t="n"/>
    </row>
    <row r="473" ht="15.75" customHeight="1" s="297">
      <c r="G473" s="296" t="n"/>
      <c r="U473" s="79" t="n"/>
    </row>
    <row r="474" ht="15.75" customHeight="1" s="297">
      <c r="G474" s="296" t="n"/>
      <c r="U474" s="79" t="n"/>
    </row>
    <row r="475" ht="15.75" customHeight="1" s="297">
      <c r="G475" s="296" t="n"/>
      <c r="U475" s="79" t="n"/>
    </row>
    <row r="476" ht="15.75" customHeight="1" s="297">
      <c r="G476" s="296" t="n"/>
      <c r="U476" s="79" t="n"/>
    </row>
    <row r="477" ht="15.75" customHeight="1" s="297">
      <c r="G477" s="296" t="n"/>
      <c r="U477" s="79" t="n"/>
    </row>
    <row r="478" ht="15.75" customHeight="1" s="297">
      <c r="G478" s="296" t="n"/>
      <c r="U478" s="79" t="n"/>
    </row>
    <row r="479" ht="15.75" customHeight="1" s="297">
      <c r="G479" s="296" t="n"/>
      <c r="U479" s="79" t="n"/>
    </row>
    <row r="480" ht="15.75" customHeight="1" s="297">
      <c r="G480" s="296" t="n"/>
      <c r="U480" s="79" t="n"/>
    </row>
    <row r="481" ht="15.75" customHeight="1" s="297">
      <c r="G481" s="296" t="n"/>
      <c r="U481" s="79" t="n"/>
    </row>
    <row r="482" ht="15.75" customHeight="1" s="297">
      <c r="G482" s="296" t="n"/>
      <c r="U482" s="79" t="n"/>
    </row>
    <row r="483" ht="15.75" customHeight="1" s="297">
      <c r="G483" s="296" t="n"/>
      <c r="U483" s="79" t="n"/>
    </row>
    <row r="484" ht="15.75" customHeight="1" s="297">
      <c r="G484" s="296" t="n"/>
      <c r="U484" s="79" t="n"/>
    </row>
    <row r="485" ht="15.75" customHeight="1" s="297">
      <c r="G485" s="296" t="n"/>
      <c r="U485" s="79" t="n"/>
    </row>
    <row r="486" ht="15.75" customHeight="1" s="297">
      <c r="G486" s="296" t="n"/>
      <c r="U486" s="79" t="n"/>
    </row>
    <row r="487" ht="15.75" customHeight="1" s="297">
      <c r="G487" s="296" t="n"/>
      <c r="U487" s="79" t="n"/>
    </row>
    <row r="488" ht="15.75" customHeight="1" s="297">
      <c r="G488" s="296" t="n"/>
      <c r="U488" s="79" t="n"/>
    </row>
    <row r="489" ht="15.75" customHeight="1" s="297">
      <c r="G489" s="296" t="n"/>
      <c r="U489" s="79" t="n"/>
    </row>
    <row r="490" ht="15.75" customHeight="1" s="297">
      <c r="G490" s="296" t="n"/>
      <c r="U490" s="79" t="n"/>
    </row>
    <row r="491" ht="15.75" customHeight="1" s="297">
      <c r="G491" s="296" t="n"/>
      <c r="U491" s="79" t="n"/>
    </row>
    <row r="492" ht="15.75" customHeight="1" s="297">
      <c r="G492" s="296" t="n"/>
      <c r="U492" s="79" t="n"/>
    </row>
    <row r="493" ht="15.75" customHeight="1" s="297">
      <c r="G493" s="296" t="n"/>
      <c r="U493" s="79" t="n"/>
    </row>
    <row r="494" ht="15.75" customHeight="1" s="297">
      <c r="G494" s="296" t="n"/>
      <c r="U494" s="79" t="n"/>
    </row>
    <row r="495" ht="15.75" customHeight="1" s="297">
      <c r="G495" s="296" t="n"/>
      <c r="U495" s="79" t="n"/>
    </row>
    <row r="496" ht="15.75" customHeight="1" s="297">
      <c r="G496" s="296" t="n"/>
      <c r="U496" s="79" t="n"/>
    </row>
    <row r="497" ht="15.75" customHeight="1" s="297">
      <c r="G497" s="296" t="n"/>
      <c r="U497" s="79" t="n"/>
    </row>
    <row r="498" ht="15.75" customHeight="1" s="297">
      <c r="G498" s="296" t="n"/>
      <c r="U498" s="79" t="n"/>
    </row>
    <row r="499" ht="15.75" customHeight="1" s="297">
      <c r="G499" s="296" t="n"/>
      <c r="U499" s="79" t="n"/>
    </row>
    <row r="500" ht="15.75" customHeight="1" s="297">
      <c r="G500" s="296" t="n"/>
      <c r="U500" s="79" t="n"/>
    </row>
    <row r="501" ht="15.75" customHeight="1" s="297">
      <c r="G501" s="296" t="n"/>
      <c r="U501" s="79" t="n"/>
    </row>
    <row r="502" ht="15.75" customHeight="1" s="297">
      <c r="G502" s="296" t="n"/>
      <c r="U502" s="79" t="n"/>
    </row>
    <row r="503" ht="15.75" customHeight="1" s="297">
      <c r="G503" s="296" t="n"/>
      <c r="U503" s="79" t="n"/>
    </row>
    <row r="504" ht="15.75" customHeight="1" s="297">
      <c r="G504" s="296" t="n"/>
      <c r="U504" s="79" t="n"/>
    </row>
    <row r="505" ht="15.75" customHeight="1" s="297">
      <c r="G505" s="296" t="n"/>
      <c r="U505" s="79" t="n"/>
    </row>
    <row r="506" ht="15.75" customHeight="1" s="297">
      <c r="G506" s="296" t="n"/>
      <c r="U506" s="79" t="n"/>
    </row>
    <row r="507" ht="15.75" customHeight="1" s="297">
      <c r="G507" s="296" t="n"/>
      <c r="U507" s="79" t="n"/>
    </row>
    <row r="508" ht="15.75" customHeight="1" s="297">
      <c r="G508" s="296" t="n"/>
      <c r="U508" s="79" t="n"/>
    </row>
    <row r="509" ht="15.75" customHeight="1" s="297">
      <c r="G509" s="296" t="n"/>
      <c r="U509" s="79" t="n"/>
    </row>
    <row r="510" ht="15.75" customHeight="1" s="297">
      <c r="G510" s="296" t="n"/>
      <c r="U510" s="79" t="n"/>
    </row>
    <row r="511" ht="15.75" customHeight="1" s="297">
      <c r="G511" s="296" t="n"/>
      <c r="U511" s="79" t="n"/>
    </row>
    <row r="512" ht="15.75" customHeight="1" s="297">
      <c r="G512" s="296" t="n"/>
      <c r="U512" s="79" t="n"/>
    </row>
    <row r="513" ht="15.75" customHeight="1" s="297">
      <c r="G513" s="296" t="n"/>
      <c r="U513" s="79" t="n"/>
    </row>
    <row r="514" ht="15.75" customHeight="1" s="297">
      <c r="G514" s="296" t="n"/>
      <c r="U514" s="79" t="n"/>
    </row>
    <row r="515" ht="15.75" customHeight="1" s="297">
      <c r="G515" s="296" t="n"/>
      <c r="U515" s="79" t="n"/>
    </row>
    <row r="516" ht="15.75" customHeight="1" s="297">
      <c r="G516" s="296" t="n"/>
      <c r="U516" s="79" t="n"/>
    </row>
    <row r="517" ht="15.75" customHeight="1" s="297">
      <c r="G517" s="296" t="n"/>
      <c r="U517" s="79" t="n"/>
    </row>
    <row r="518" ht="15.75" customHeight="1" s="297">
      <c r="G518" s="296" t="n"/>
      <c r="U518" s="79" t="n"/>
    </row>
    <row r="519" ht="15.75" customHeight="1" s="297">
      <c r="G519" s="296" t="n"/>
      <c r="U519" s="79" t="n"/>
    </row>
    <row r="520" ht="15.75" customHeight="1" s="297">
      <c r="G520" s="296" t="n"/>
      <c r="U520" s="79" t="n"/>
    </row>
    <row r="521" ht="15.75" customHeight="1" s="297">
      <c r="G521" s="296" t="n"/>
      <c r="U521" s="79" t="n"/>
    </row>
    <row r="522" ht="15.75" customHeight="1" s="297">
      <c r="G522" s="296" t="n"/>
      <c r="U522" s="79" t="n"/>
    </row>
    <row r="523" ht="15.75" customHeight="1" s="297">
      <c r="G523" s="296" t="n"/>
      <c r="U523" s="79" t="n"/>
    </row>
    <row r="524" ht="15.75" customHeight="1" s="297">
      <c r="G524" s="296" t="n"/>
      <c r="U524" s="79" t="n"/>
    </row>
    <row r="525" ht="15.75" customHeight="1" s="297">
      <c r="G525" s="296" t="n"/>
      <c r="U525" s="79" t="n"/>
    </row>
    <row r="526" ht="15.75" customHeight="1" s="297">
      <c r="G526" s="296" t="n"/>
      <c r="U526" s="79" t="n"/>
    </row>
    <row r="527" ht="15.75" customHeight="1" s="297">
      <c r="G527" s="296" t="n"/>
      <c r="U527" s="79" t="n"/>
    </row>
    <row r="528" ht="15.75" customHeight="1" s="297">
      <c r="G528" s="296" t="n"/>
      <c r="U528" s="79" t="n"/>
    </row>
    <row r="529" ht="15.75" customHeight="1" s="297">
      <c r="G529" s="296" t="n"/>
      <c r="U529" s="79" t="n"/>
    </row>
    <row r="530" ht="15.75" customHeight="1" s="297">
      <c r="G530" s="296" t="n"/>
      <c r="U530" s="79" t="n"/>
    </row>
    <row r="531" ht="15.75" customHeight="1" s="297">
      <c r="G531" s="296" t="n"/>
      <c r="U531" s="79" t="n"/>
    </row>
    <row r="532" ht="15.75" customHeight="1" s="297">
      <c r="G532" s="296" t="n"/>
      <c r="U532" s="79" t="n"/>
    </row>
    <row r="533" ht="15.75" customHeight="1" s="297">
      <c r="G533" s="296" t="n"/>
      <c r="U533" s="79" t="n"/>
    </row>
    <row r="534" ht="15.75" customHeight="1" s="297">
      <c r="G534" s="296" t="n"/>
      <c r="U534" s="79" t="n"/>
    </row>
    <row r="535" ht="15.75" customHeight="1" s="297">
      <c r="G535" s="296" t="n"/>
      <c r="U535" s="79" t="n"/>
    </row>
    <row r="536" ht="15.75" customHeight="1" s="297">
      <c r="G536" s="296" t="n"/>
      <c r="U536" s="79" t="n"/>
    </row>
    <row r="537" ht="15.75" customHeight="1" s="297">
      <c r="G537" s="296" t="n"/>
      <c r="U537" s="79" t="n"/>
    </row>
    <row r="538" ht="15.75" customHeight="1" s="297">
      <c r="G538" s="296" t="n"/>
      <c r="U538" s="79" t="n"/>
    </row>
    <row r="539" ht="15.75" customHeight="1" s="297">
      <c r="G539" s="296" t="n"/>
      <c r="U539" s="79" t="n"/>
    </row>
    <row r="540" ht="15.75" customHeight="1" s="297">
      <c r="G540" s="296" t="n"/>
      <c r="U540" s="79" t="n"/>
    </row>
    <row r="541" ht="15.75" customHeight="1" s="297">
      <c r="G541" s="296" t="n"/>
      <c r="U541" s="79" t="n"/>
    </row>
    <row r="542" ht="15.75" customHeight="1" s="297">
      <c r="G542" s="296" t="n"/>
      <c r="U542" s="79" t="n"/>
    </row>
    <row r="543" ht="15.75" customHeight="1" s="297">
      <c r="G543" s="296" t="n"/>
      <c r="U543" s="79" t="n"/>
    </row>
    <row r="544" ht="15.75" customHeight="1" s="297">
      <c r="G544" s="296" t="n"/>
      <c r="U544" s="79" t="n"/>
    </row>
    <row r="545" ht="15.75" customHeight="1" s="297">
      <c r="G545" s="296" t="n"/>
      <c r="U545" s="79" t="n"/>
    </row>
    <row r="546" ht="15.75" customHeight="1" s="297">
      <c r="G546" s="296" t="n"/>
      <c r="U546" s="79" t="n"/>
    </row>
    <row r="547" ht="15.75" customHeight="1" s="297">
      <c r="G547" s="296" t="n"/>
      <c r="U547" s="79" t="n"/>
    </row>
    <row r="548" ht="15.75" customHeight="1" s="297">
      <c r="G548" s="296" t="n"/>
      <c r="U548" s="79" t="n"/>
    </row>
    <row r="549" ht="15.75" customHeight="1" s="297">
      <c r="G549" s="296" t="n"/>
      <c r="U549" s="79" t="n"/>
    </row>
    <row r="550" ht="15.75" customHeight="1" s="297">
      <c r="G550" s="296" t="n"/>
      <c r="U550" s="79" t="n"/>
    </row>
    <row r="551" ht="15.75" customHeight="1" s="297">
      <c r="G551" s="296" t="n"/>
      <c r="U551" s="79" t="n"/>
    </row>
    <row r="552" ht="15.75" customHeight="1" s="297">
      <c r="G552" s="296" t="n"/>
      <c r="U552" s="79" t="n"/>
    </row>
    <row r="553" ht="15.75" customHeight="1" s="297">
      <c r="G553" s="296" t="n"/>
      <c r="U553" s="79" t="n"/>
    </row>
    <row r="554" ht="15.75" customHeight="1" s="297">
      <c r="G554" s="296" t="n"/>
      <c r="U554" s="79" t="n"/>
    </row>
    <row r="555" ht="15.75" customHeight="1" s="297">
      <c r="G555" s="296" t="n"/>
      <c r="U555" s="79" t="n"/>
    </row>
    <row r="556" ht="15.75" customHeight="1" s="297">
      <c r="G556" s="296" t="n"/>
      <c r="U556" s="79" t="n"/>
    </row>
    <row r="557" ht="15.75" customHeight="1" s="297">
      <c r="G557" s="296" t="n"/>
      <c r="U557" s="79" t="n"/>
    </row>
    <row r="558" ht="15.75" customHeight="1" s="297">
      <c r="G558" s="296" t="n"/>
      <c r="U558" s="79" t="n"/>
    </row>
    <row r="559" ht="15.75" customHeight="1" s="297">
      <c r="G559" s="296" t="n"/>
      <c r="U559" s="79" t="n"/>
    </row>
    <row r="560" ht="15.75" customHeight="1" s="297">
      <c r="G560" s="296" t="n"/>
      <c r="U560" s="79" t="n"/>
    </row>
    <row r="561" ht="15.75" customHeight="1" s="297">
      <c r="G561" s="296" t="n"/>
      <c r="U561" s="79" t="n"/>
    </row>
    <row r="562" ht="15.75" customHeight="1" s="297">
      <c r="G562" s="296" t="n"/>
      <c r="U562" s="79" t="n"/>
    </row>
    <row r="563" ht="15.75" customHeight="1" s="297">
      <c r="G563" s="296" t="n"/>
      <c r="U563" s="79" t="n"/>
    </row>
    <row r="564" ht="15.75" customHeight="1" s="297">
      <c r="G564" s="296" t="n"/>
      <c r="U564" s="79" t="n"/>
    </row>
    <row r="565" ht="15.75" customHeight="1" s="297">
      <c r="G565" s="296" t="n"/>
      <c r="U565" s="79" t="n"/>
    </row>
    <row r="566" ht="15.75" customHeight="1" s="297">
      <c r="G566" s="296" t="n"/>
      <c r="U566" s="79" t="n"/>
    </row>
    <row r="567" ht="15.75" customHeight="1" s="297">
      <c r="G567" s="296" t="n"/>
      <c r="U567" s="79" t="n"/>
    </row>
    <row r="568" ht="15.75" customHeight="1" s="297">
      <c r="G568" s="296" t="n"/>
      <c r="U568" s="79" t="n"/>
    </row>
    <row r="569" ht="15.75" customHeight="1" s="297">
      <c r="G569" s="296" t="n"/>
      <c r="U569" s="79" t="n"/>
    </row>
    <row r="570" ht="15.75" customHeight="1" s="297">
      <c r="G570" s="296" t="n"/>
      <c r="U570" s="79" t="n"/>
    </row>
    <row r="571" ht="15.75" customHeight="1" s="297">
      <c r="G571" s="296" t="n"/>
      <c r="U571" s="79" t="n"/>
    </row>
    <row r="572" ht="15.75" customHeight="1" s="297">
      <c r="G572" s="296" t="n"/>
      <c r="U572" s="79" t="n"/>
    </row>
    <row r="573" ht="15.75" customHeight="1" s="297">
      <c r="G573" s="296" t="n"/>
      <c r="U573" s="79" t="n"/>
    </row>
    <row r="574" ht="15.75" customHeight="1" s="297">
      <c r="G574" s="296" t="n"/>
      <c r="U574" s="79" t="n"/>
    </row>
    <row r="575" ht="15.75" customHeight="1" s="297">
      <c r="G575" s="296" t="n"/>
      <c r="U575" s="79" t="n"/>
    </row>
    <row r="576" ht="15.75" customHeight="1" s="297">
      <c r="G576" s="296" t="n"/>
      <c r="U576" s="79" t="n"/>
    </row>
    <row r="577" ht="15.75" customHeight="1" s="297">
      <c r="G577" s="296" t="n"/>
      <c r="U577" s="79" t="n"/>
    </row>
    <row r="578" ht="15.75" customHeight="1" s="297">
      <c r="G578" s="296" t="n"/>
      <c r="U578" s="79" t="n"/>
    </row>
    <row r="579" ht="15.75" customHeight="1" s="297">
      <c r="G579" s="296" t="n"/>
      <c r="U579" s="79" t="n"/>
    </row>
    <row r="580" ht="15.75" customHeight="1" s="297">
      <c r="G580" s="296" t="n"/>
      <c r="U580" s="79" t="n"/>
    </row>
    <row r="581" ht="15.75" customHeight="1" s="297">
      <c r="G581" s="296" t="n"/>
      <c r="U581" s="79" t="n"/>
    </row>
    <row r="582" ht="15.75" customHeight="1" s="297">
      <c r="G582" s="296" t="n"/>
      <c r="U582" s="79" t="n"/>
    </row>
    <row r="583" ht="15.75" customHeight="1" s="297">
      <c r="G583" s="296" t="n"/>
      <c r="U583" s="79" t="n"/>
    </row>
    <row r="584" ht="15.75" customHeight="1" s="297">
      <c r="G584" s="296" t="n"/>
      <c r="U584" s="79" t="n"/>
    </row>
    <row r="585" ht="15.75" customHeight="1" s="297">
      <c r="G585" s="296" t="n"/>
      <c r="U585" s="79" t="n"/>
    </row>
    <row r="586" ht="15.75" customHeight="1" s="297">
      <c r="G586" s="296" t="n"/>
      <c r="U586" s="79" t="n"/>
    </row>
    <row r="587" ht="15.75" customHeight="1" s="297">
      <c r="G587" s="296" t="n"/>
      <c r="U587" s="79" t="n"/>
    </row>
    <row r="588" ht="15.75" customHeight="1" s="297">
      <c r="G588" s="296" t="n"/>
      <c r="U588" s="79" t="n"/>
    </row>
    <row r="589" ht="15.75" customHeight="1" s="297">
      <c r="G589" s="296" t="n"/>
      <c r="U589" s="79" t="n"/>
    </row>
    <row r="590" ht="15.75" customHeight="1" s="297">
      <c r="G590" s="296" t="n"/>
      <c r="U590" s="79" t="n"/>
    </row>
    <row r="591" ht="15.75" customHeight="1" s="297">
      <c r="G591" s="296" t="n"/>
      <c r="U591" s="79" t="n"/>
    </row>
    <row r="592" ht="15.75" customHeight="1" s="297">
      <c r="G592" s="296" t="n"/>
      <c r="U592" s="79" t="n"/>
    </row>
    <row r="593" ht="15.75" customHeight="1" s="297">
      <c r="G593" s="296" t="n"/>
      <c r="U593" s="79" t="n"/>
    </row>
    <row r="594" ht="15.75" customHeight="1" s="297">
      <c r="G594" s="296" t="n"/>
      <c r="U594" s="79" t="n"/>
    </row>
    <row r="595" ht="15.75" customHeight="1" s="297">
      <c r="G595" s="296" t="n"/>
      <c r="U595" s="79" t="n"/>
    </row>
    <row r="596" ht="15.75" customHeight="1" s="297">
      <c r="G596" s="296" t="n"/>
      <c r="U596" s="79" t="n"/>
    </row>
    <row r="597" ht="15.75" customHeight="1" s="297">
      <c r="G597" s="296" t="n"/>
      <c r="U597" s="79" t="n"/>
    </row>
    <row r="598" ht="15.75" customHeight="1" s="297">
      <c r="G598" s="296" t="n"/>
      <c r="U598" s="79" t="n"/>
    </row>
    <row r="599" ht="15.75" customHeight="1" s="297">
      <c r="G599" s="296" t="n"/>
      <c r="U599" s="79" t="n"/>
    </row>
    <row r="600" ht="15.75" customHeight="1" s="297">
      <c r="G600" s="296" t="n"/>
      <c r="U600" s="79" t="n"/>
    </row>
    <row r="601" ht="15.75" customHeight="1" s="297">
      <c r="G601" s="296" t="n"/>
      <c r="U601" s="79" t="n"/>
    </row>
    <row r="602" ht="15.75" customHeight="1" s="297">
      <c r="G602" s="296" t="n"/>
      <c r="U602" s="79" t="n"/>
    </row>
    <row r="603" ht="15.75" customHeight="1" s="297">
      <c r="G603" s="296" t="n"/>
      <c r="U603" s="79" t="n"/>
    </row>
    <row r="604" ht="15.75" customHeight="1" s="297">
      <c r="G604" s="296" t="n"/>
      <c r="U604" s="79" t="n"/>
    </row>
    <row r="605" ht="15.75" customHeight="1" s="297">
      <c r="G605" s="296" t="n"/>
      <c r="U605" s="79" t="n"/>
    </row>
    <row r="606" ht="15.75" customHeight="1" s="297">
      <c r="G606" s="296" t="n"/>
      <c r="U606" s="79" t="n"/>
    </row>
    <row r="607" ht="15.75" customHeight="1" s="297">
      <c r="G607" s="296" t="n"/>
      <c r="U607" s="79" t="n"/>
    </row>
    <row r="608" ht="15.75" customHeight="1" s="297">
      <c r="G608" s="296" t="n"/>
      <c r="U608" s="79" t="n"/>
    </row>
    <row r="609" ht="15.75" customHeight="1" s="297">
      <c r="G609" s="296" t="n"/>
      <c r="U609" s="79" t="n"/>
    </row>
    <row r="610" ht="15.75" customHeight="1" s="297">
      <c r="G610" s="296" t="n"/>
      <c r="U610" s="79" t="n"/>
    </row>
    <row r="611" ht="15.75" customHeight="1" s="297">
      <c r="G611" s="296" t="n"/>
      <c r="U611" s="79" t="n"/>
    </row>
    <row r="612" ht="15.75" customHeight="1" s="297">
      <c r="G612" s="296" t="n"/>
      <c r="U612" s="79" t="n"/>
    </row>
    <row r="613" ht="15.75" customHeight="1" s="297">
      <c r="G613" s="296" t="n"/>
      <c r="U613" s="79" t="n"/>
    </row>
    <row r="614" ht="15.75" customHeight="1" s="297">
      <c r="G614" s="296" t="n"/>
      <c r="U614" s="79" t="n"/>
    </row>
    <row r="615" ht="15.75" customHeight="1" s="297">
      <c r="G615" s="296" t="n"/>
      <c r="U615" s="79" t="n"/>
    </row>
    <row r="616" ht="15.75" customHeight="1" s="297">
      <c r="G616" s="296" t="n"/>
      <c r="U616" s="79" t="n"/>
    </row>
    <row r="617" ht="15.75" customHeight="1" s="297">
      <c r="G617" s="296" t="n"/>
      <c r="U617" s="79" t="n"/>
    </row>
    <row r="618" ht="15.75" customHeight="1" s="297">
      <c r="G618" s="296" t="n"/>
      <c r="U618" s="79" t="n"/>
    </row>
    <row r="619" ht="15.75" customHeight="1" s="297">
      <c r="G619" s="296" t="n"/>
      <c r="U619" s="79" t="n"/>
    </row>
    <row r="620" ht="15.75" customHeight="1" s="297">
      <c r="G620" s="296" t="n"/>
      <c r="U620" s="79" t="n"/>
    </row>
    <row r="621" ht="15.75" customHeight="1" s="297">
      <c r="G621" s="296" t="n"/>
      <c r="U621" s="79" t="n"/>
    </row>
    <row r="622" ht="15.75" customHeight="1" s="297">
      <c r="G622" s="296" t="n"/>
      <c r="U622" s="79" t="n"/>
    </row>
    <row r="623" ht="15.75" customHeight="1" s="297">
      <c r="G623" s="296" t="n"/>
      <c r="U623" s="79" t="n"/>
    </row>
    <row r="624" ht="15.75" customHeight="1" s="297">
      <c r="G624" s="296" t="n"/>
      <c r="U624" s="79" t="n"/>
    </row>
    <row r="625" ht="15.75" customHeight="1" s="297">
      <c r="G625" s="296" t="n"/>
      <c r="U625" s="79" t="n"/>
    </row>
    <row r="626" ht="15.75" customHeight="1" s="297">
      <c r="G626" s="296" t="n"/>
      <c r="U626" s="79" t="n"/>
    </row>
    <row r="627" ht="15.75" customHeight="1" s="297">
      <c r="G627" s="296" t="n"/>
      <c r="U627" s="79" t="n"/>
    </row>
    <row r="628" ht="15.75" customHeight="1" s="297">
      <c r="G628" s="296" t="n"/>
      <c r="U628" s="79" t="n"/>
    </row>
    <row r="629" ht="15.75" customHeight="1" s="297">
      <c r="G629" s="296" t="n"/>
      <c r="U629" s="79" t="n"/>
    </row>
    <row r="630" ht="15.75" customHeight="1" s="297">
      <c r="G630" s="296" t="n"/>
      <c r="U630" s="79" t="n"/>
    </row>
    <row r="631" ht="15.75" customHeight="1" s="297">
      <c r="G631" s="296" t="n"/>
      <c r="U631" s="79" t="n"/>
    </row>
    <row r="632" ht="15.75" customHeight="1" s="297">
      <c r="G632" s="296" t="n"/>
      <c r="U632" s="79" t="n"/>
    </row>
    <row r="633" ht="15.75" customHeight="1" s="297">
      <c r="G633" s="296" t="n"/>
      <c r="U633" s="79" t="n"/>
    </row>
    <row r="634" ht="15.75" customHeight="1" s="297">
      <c r="G634" s="296" t="n"/>
      <c r="U634" s="79" t="n"/>
    </row>
    <row r="635" ht="15.75" customHeight="1" s="297">
      <c r="G635" s="296" t="n"/>
      <c r="U635" s="79" t="n"/>
    </row>
    <row r="636" ht="15.75" customHeight="1" s="297">
      <c r="G636" s="296" t="n"/>
      <c r="U636" s="79" t="n"/>
    </row>
    <row r="637" ht="15.75" customHeight="1" s="297">
      <c r="G637" s="296" t="n"/>
      <c r="U637" s="79" t="n"/>
    </row>
    <row r="638" ht="15.75" customHeight="1" s="297">
      <c r="G638" s="296" t="n"/>
      <c r="U638" s="79" t="n"/>
    </row>
    <row r="639" ht="15.75" customHeight="1" s="297">
      <c r="G639" s="296" t="n"/>
      <c r="U639" s="79" t="n"/>
    </row>
    <row r="640" ht="15.75" customHeight="1" s="297">
      <c r="G640" s="296" t="n"/>
      <c r="U640" s="79" t="n"/>
    </row>
    <row r="641" ht="15.75" customHeight="1" s="297">
      <c r="G641" s="296" t="n"/>
      <c r="U641" s="79" t="n"/>
    </row>
    <row r="642" ht="15.75" customHeight="1" s="297">
      <c r="G642" s="296" t="n"/>
      <c r="U642" s="79" t="n"/>
    </row>
    <row r="643" ht="15.75" customHeight="1" s="297">
      <c r="G643" s="296" t="n"/>
      <c r="U643" s="79" t="n"/>
    </row>
    <row r="644" ht="15.75" customHeight="1" s="297">
      <c r="G644" s="296" t="n"/>
      <c r="U644" s="79" t="n"/>
    </row>
    <row r="645" ht="15.75" customHeight="1" s="297">
      <c r="G645" s="296" t="n"/>
      <c r="U645" s="79" t="n"/>
    </row>
    <row r="646" ht="15.75" customHeight="1" s="297">
      <c r="G646" s="296" t="n"/>
      <c r="U646" s="79" t="n"/>
    </row>
    <row r="647" ht="15.75" customHeight="1" s="297">
      <c r="G647" s="296" t="n"/>
      <c r="U647" s="79" t="n"/>
    </row>
    <row r="648" ht="15.75" customHeight="1" s="297">
      <c r="G648" s="296" t="n"/>
      <c r="U648" s="79" t="n"/>
    </row>
    <row r="649" ht="15.75" customHeight="1" s="297">
      <c r="G649" s="296" t="n"/>
      <c r="U649" s="79" t="n"/>
    </row>
    <row r="650" ht="15.75" customHeight="1" s="297">
      <c r="G650" s="296" t="n"/>
      <c r="U650" s="79" t="n"/>
    </row>
    <row r="651" ht="15.75" customHeight="1" s="297">
      <c r="G651" s="296" t="n"/>
      <c r="U651" s="79" t="n"/>
    </row>
    <row r="652" ht="15.75" customHeight="1" s="297">
      <c r="G652" s="296" t="n"/>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conditionalFormatting sqref="C149:C164">
    <cfRule type="notContainsBlanks" priority="58" dxfId="10">
      <formula>LEN(TRIM(C149))&gt;0</formula>
    </cfRule>
  </conditionalFormatting>
  <dataValidations count="19">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26:C27 C45 C47:C48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9 C103 C121 C135 C151" showDropDown="0" showInputMessage="0" showErrorMessage="0" allowBlank="1" type="list">
      <formula1>"RUMBA,ASSIST,MEES,AUREO,JOINT ULTRA,ADGREEN,ENERGIC,EXTRAVON,OCHIMA"</formula1>
    </dataValidation>
    <dataValidation sqref="C68:C69"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46 C52 C71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50 C100:C102 C118:C120 C122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98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70 C88 C104 C138 C155 C172 C207 C244 C259 C278 C297 C315 C331 C348 C365 C382 C399 C416 C434" showDropDown="0" showInputMessage="0" showErrorMessage="0" allowBlank="1" type="list">
      <formula1>"CALCÁRIO DOLOMITICO,GESSO AGRICOLA"</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1 C85 C167" showDropDown="0" showInputMessage="0" showErrorMessage="0" allowBlank="1" type="list">
      <formula1>"RUMBA,ASSIST,MEES,AUREO EC,JOINT ULTRA,ENERGIC,EXTRAVON,OCHIMA,STRIDES"</formula1>
    </dataValidation>
    <dataValidation sqref="C84 C99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2: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6.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PLANTIO'!B11</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PLANTIO'!E11</f>
        <v/>
      </c>
      <c r="C2" s="269" t="inlineStr">
        <is>
          <t>Produtividade estimada Sc/há</t>
        </is>
      </c>
      <c r="D2" s="270">
        <f>'ÁREA PLANTIO'!D11</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PLANTIO'!C11</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0.95</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NUTRIÇÃO</t>
        </is>
      </c>
      <c r="C30" s="213" t="inlineStr">
        <is>
          <t>BOP</t>
        </is>
      </c>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v>1</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MITICA 7.7</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0.02</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0.6</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PLANTIO'!B11</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PLANTIO'!E11</f>
        <v/>
      </c>
      <c r="C228" s="269" t="inlineStr">
        <is>
          <t>Produtividade estimada Sc/há</t>
        </is>
      </c>
      <c r="D228" s="270">
        <f>'ÁREA PLANTIO'!I11</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PLANTIO'!H11</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inlineStr">
        <is>
          <t>HERBICIDA</t>
        </is>
      </c>
      <c r="C238" s="213" t="inlineStr">
        <is>
          <t>ROUNDUP WG</t>
        </is>
      </c>
      <c r="D238" s="214">
        <f>IFERROR(VLOOKUP($C238,'PORTIFÓLIO'!C:V,2,0),"")</f>
        <v/>
      </c>
      <c r="E238" s="211">
        <f>IFERROR(VLOOKUP($C238,'PORTIFÓLIO'!C:V,3,0),"")</f>
        <v/>
      </c>
      <c r="F238" s="211">
        <f>IFERROR(VLOOKUP($C238,'PORTIFÓLIO'!C:V,4,0),"")</f>
        <v/>
      </c>
      <c r="G238" s="225">
        <f>IFERROR(VLOOKUP($C238,'PORTIFÓLIO'!C:V,5,0),"")</f>
        <v/>
      </c>
      <c r="H238" s="254">
        <f t="array" ref="H238">IFERROR(INDEX('PORTIFÓLIO'!$H$4:$H$433,MATCH($C238,'PORTIFÓLIO'!$C$4:$C$433,0)),"")</f>
        <v/>
      </c>
      <c r="I238" s="255" t="n">
        <v>2</v>
      </c>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inlineStr">
        <is>
          <t>HERBICIDA</t>
        </is>
      </c>
      <c r="C239" s="213" t="inlineStr">
        <is>
          <t>GLUFOSINATO NORTOX 880 SG</t>
        </is>
      </c>
      <c r="D239" s="214">
        <f>IFERROR(VLOOKUP($C239,'PORTIFÓLIO'!C:V,2,0),"")</f>
        <v/>
      </c>
      <c r="E239" s="211">
        <f>IFERROR(VLOOKUP($C239,'PORTIFÓLIO'!C:V,3,0),"")</f>
        <v/>
      </c>
      <c r="F239" s="211">
        <f>IFERROR(VLOOKUP($C239,'PORTIFÓLIO'!C:V,4,0),"")</f>
        <v/>
      </c>
      <c r="G239" s="225">
        <f>IFERROR(VLOOKUP($C239,'PORTIFÓLIO'!C:V,5,0),"")</f>
        <v/>
      </c>
      <c r="H239" s="254">
        <f t="array" ref="H239">IFERROR(INDEX('PORTIFÓLIO'!$H$4:$H$433,MATCH($C239,'PORTIFÓLIO'!$C$4:$C$433,0)),"")</f>
        <v/>
      </c>
      <c r="I239" s="255" t="n">
        <v>0.8</v>
      </c>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inlineStr">
        <is>
          <t>ADJUVANTE</t>
        </is>
      </c>
      <c r="C240" s="213" t="inlineStr">
        <is>
          <t>JOINT ULTRA</t>
        </is>
      </c>
      <c r="D240" s="214">
        <f>IFERROR(VLOOKUP($C240,'PORTIFÓLIO'!C:V,2,0),"")</f>
        <v/>
      </c>
      <c r="E240" s="211">
        <f>IFERROR(VLOOKUP($C240,'PORTIFÓLIO'!C:V,3,0),"")</f>
        <v/>
      </c>
      <c r="F240" s="211">
        <f>IFERROR(VLOOKUP($C240,'PORTIFÓLIO'!C:V,4,0),"")</f>
        <v/>
      </c>
      <c r="G240" s="225">
        <f>IFERROR(VLOOKUP($C240,'PORTIFÓLIO'!C:V,5,0),"")</f>
        <v/>
      </c>
      <c r="H240" s="254">
        <f t="array" ref="H240">IFERROR(INDEX('PORTIFÓLIO'!$H$4:$H$433,MATCH($C240,'PORTIFÓLIO'!$C$4:$C$433,0)),"")</f>
        <v/>
      </c>
      <c r="I240" s="255" t="n">
        <v>0.2</v>
      </c>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inlineStr">
        <is>
          <t>INSETICIDA</t>
        </is>
      </c>
      <c r="C241" s="213" t="inlineStr">
        <is>
          <t>MAGNUM</t>
        </is>
      </c>
      <c r="D241" s="214">
        <f>IFERROR(VLOOKUP($C241,'PORTIFÓLIO'!C:V,2,0),"")</f>
        <v/>
      </c>
      <c r="E241" s="211">
        <f>IFERROR(VLOOKUP($C241,'PORTIFÓLIO'!C:V,3,0),"")</f>
        <v/>
      </c>
      <c r="F241" s="211">
        <f>IFERROR(VLOOKUP($C241,'PORTIFÓLIO'!C:V,4,0),"")</f>
        <v/>
      </c>
      <c r="G241" s="225">
        <f>IFERROR(VLOOKUP($C241,'PORTIFÓLIO'!C:V,5,0),"")</f>
        <v/>
      </c>
      <c r="H241" s="254">
        <f t="array" ref="H241">IFERROR(INDEX('PORTIFÓLIO'!$H$4:$H$433,MATCH($C241,'PORTIFÓLIO'!$C$4:$C$433,0)),"")</f>
        <v/>
      </c>
      <c r="I241" s="255" t="n">
        <v>1</v>
      </c>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inlineStr">
        <is>
          <t>HERBICIDA</t>
        </is>
      </c>
      <c r="C242" s="213" t="inlineStr">
        <is>
          <t>DUAL GOLD</t>
        </is>
      </c>
      <c r="D242" s="214">
        <f>IFERROR(VLOOKUP($C242,'PORTIFÓLIO'!C:V,2,0),"")</f>
        <v/>
      </c>
      <c r="E242" s="211">
        <f>IFERROR(VLOOKUP($C242,'PORTIFÓLIO'!C:V,3,0),"")</f>
        <v/>
      </c>
      <c r="F242" s="211">
        <f>IFERROR(VLOOKUP($C242,'PORTIFÓLIO'!C:V,4,0),"")</f>
        <v/>
      </c>
      <c r="G242" s="225">
        <f>IFERROR(VLOOKUP($C242,'PORTIFÓLIO'!C:V,5,0),"")</f>
        <v/>
      </c>
      <c r="H242" s="254">
        <f t="array" ref="H242">IFERROR(INDEX('PORTIFÓLIO'!$H$4:$H$433,MATCH($C242,'PORTIFÓLIO'!$C$4:$C$433,0)),"")</f>
        <v/>
      </c>
      <c r="I242" s="255" t="n">
        <v>1.2</v>
      </c>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inlineStr">
        <is>
          <t>HERBICIDA</t>
        </is>
      </c>
      <c r="C243" s="213" t="inlineStr">
        <is>
          <t>GESAPRIM GRDA</t>
        </is>
      </c>
      <c r="D243" s="214">
        <f>IFERROR(VLOOKUP($C243,'PORTIFÓLIO'!C:V,2,0),"")</f>
        <v/>
      </c>
      <c r="E243" s="211">
        <f>IFERROR(VLOOKUP($C243,'PORTIFÓLIO'!C:V,3,0),"")</f>
        <v/>
      </c>
      <c r="F243" s="211">
        <f>IFERROR(VLOOKUP($C243,'PORTIFÓLIO'!C:V,4,0),"")</f>
        <v/>
      </c>
      <c r="G243" s="225">
        <f>IFERROR(VLOOKUP($C243,'PORTIFÓLIO'!C:V,5,0),"")</f>
        <v/>
      </c>
      <c r="H243" s="254">
        <f t="array" ref="H243">IFERROR(INDEX('PORTIFÓLIO'!$H$4:$H$433,MATCH($C243,'PORTIFÓLIO'!$C$4:$C$433,0)),"")</f>
        <v/>
      </c>
      <c r="I243" s="255" t="n">
        <v>2</v>
      </c>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inlineStr">
        <is>
          <t>FERTILIZANTES</t>
        </is>
      </c>
      <c r="C244" s="213" t="inlineStr">
        <is>
          <t>10-46-00 + S</t>
        </is>
      </c>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5" t="n">
        <v>0.2</v>
      </c>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inlineStr">
        <is>
          <t>FERTILIZANTES</t>
        </is>
      </c>
      <c r="C245" s="213" t="inlineStr">
        <is>
          <t>KCL 60%</t>
        </is>
      </c>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5" t="n">
        <v>0.4</v>
      </c>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inlineStr">
        <is>
          <t>FERTILIZANTES</t>
        </is>
      </c>
      <c r="C246" s="213" t="inlineStr">
        <is>
          <t>SULFATO DE AMÔNIO</t>
        </is>
      </c>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v>0.4</v>
      </c>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inlineStr">
        <is>
          <t>FERTILIZANTES</t>
        </is>
      </c>
      <c r="C247" s="213" t="inlineStr">
        <is>
          <t>URÉIA</t>
        </is>
      </c>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v>0.35</v>
      </c>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3">
    <dataValidation sqref="C12:C14 C87 C137 C152 C154 C169 C171 C204 C206 C244:C247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C238:C239 C242:C24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C240"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49 C100:C102 C118:C119 C134 C241"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8: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30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C85 C167"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7.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c r="A1" s="260" t="inlineStr">
        <is>
          <t>Talhão:</t>
        </is>
      </c>
      <c r="B1" s="261">
        <f>'ÁREA PLANTIO'!B12</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PLANTIO'!E12</f>
        <v/>
      </c>
      <c r="C2" s="269" t="inlineStr">
        <is>
          <t>Produtividade estimada Sc/há</t>
        </is>
      </c>
      <c r="D2" s="270">
        <f>'ÁREA PLANTIO'!D12</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PLANTIO'!C12</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0.5</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NUTRIÇÃO</t>
        </is>
      </c>
      <c r="C30" s="213" t="inlineStr">
        <is>
          <t>BOP</t>
        </is>
      </c>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v>1</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GLUFOSINATO NORTOX 880 SG</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inlineStr">
        <is>
          <t>INSETICIDA</t>
        </is>
      </c>
      <c r="C50" s="213" t="inlineStr">
        <is>
          <t>FIPRONIL 800 WG CCAB</t>
        </is>
      </c>
      <c r="D50" s="214">
        <f>IFERROR(VLOOKUP($C50,'PORTIFÓLIO'!C:V,2,0),"")</f>
        <v/>
      </c>
      <c r="E50" s="211">
        <f>IFERROR(VLOOKUP($C50,'PORTIFÓLIO'!C:V,3,0),"")</f>
        <v/>
      </c>
      <c r="F50" s="211">
        <f>IFERROR(VLOOKUP($C50,'PORTIFÓLIO'!C:V,4,0),"")</f>
        <v/>
      </c>
      <c r="G50" s="225">
        <f>IFERROR(VLOOKUP($C50,'PORTIFÓLIO'!C:V,5,0),"")</f>
        <v/>
      </c>
      <c r="H50" s="254">
        <f t="array" ref="H50">IFERROR(INDEX('PORTIFÓLIO'!$H$4:$H$433,MATCH($C50,'PORTIFÓLIO'!$C$4:$C$433,0)),"")</f>
        <v/>
      </c>
      <c r="I50" s="255" t="n">
        <v>0.04</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S6525 I2X</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FUNGICIDA</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VERANGO PRIME</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0.21</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CHARRUA 430 SC</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0.4</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FLUAZINAM NORTOX 500 SC</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FLUAZINAM NORTOX 500 SC</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VERDAVIS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0.25</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PLANTIO'!B12</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PLANTIO'!E12</f>
        <v/>
      </c>
      <c r="C228" s="269" t="inlineStr">
        <is>
          <t>Produtividade estimada Sc/há</t>
        </is>
      </c>
      <c r="D228" s="270">
        <f>'ÁREA PLANTIO'!I12</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PLANTIO'!H12</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3">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49:C50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64" showDropDown="0" showInputMessage="0" showErrorMessage="0" allowBlank="1" type="list">
      <formula1>"FEIJÃO,SEMENTE TRIGO,SEMENTE MILHO,MG540PWU,MG711PWU,MG616PWU,P3707PWU,P39209PWU,P40537PWU,FS650PWU,SEMENTE SOJA CV,OLIMPO,M8349,CORDIUS C2795 CE,HERA I2X,SPARTA 8.0,CORDIUS C2795 CE 7.9,IMPETO,NEO 790,APORÉ 7.3,GUAPÓ 7.7,MITICA 7.7,TMG MURICI I2X 7.6,DOM"&amp;"ÍNIO 8.4,LENDA,BRASMAX HERA,BRASMAX OLIMPO,S6525 I2X,TMG ITAÚBA I2X,SEMENTE SOJA RR,BRACHIARIA RUZIZIENCES,CAPIM MIAGE,TMG INGÁ I2X 6.9,TMG 2383 IPRO 8.3,BRACHIARIA BASICA,GH 2478 IPRO 8.1,HO COCARI I2X 8.2,SEMENTE DE SORGO"</formula1>
    </dataValidation>
    <dataValidation sqref="C30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31 C85 C167" showDropDown="0" showInputMessage="0" showErrorMessage="0" allowBlank="1" type="list">
      <formula1>"RUMBA,ASSIST,MEES,AUREO EC,JOINT ULTRA,ENERGIC,EXTRAVON,OCHIMA,STRIDES"</formula1>
    </dataValidation>
    <dataValidation sqref="C84 C98: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8.xml><?xml version="1.0" encoding="utf-8"?>
<worksheet xmlns="http://schemas.openxmlformats.org/spreadsheetml/2006/main">
  <sheetPr>
    <outlinePr summaryBelow="1" summaryRight="1"/>
    <pageSetUpPr fitToPage="1"/>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PLANTIO'!B13</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PLANTIO'!E13</f>
        <v/>
      </c>
      <c r="C2" s="269" t="inlineStr">
        <is>
          <t>Produtividade estimada Sc/há</t>
        </is>
      </c>
      <c r="D2" s="270">
        <f>'ÁREA PLANTIO'!D13</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PLANTIO'!C13</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0.3</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GLUFOSINATO NORTOX 880 SG</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STONE</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v>0.03</v>
      </c>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LENDA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CLETODIM 240 EC BRILLIANCE</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AZIMUT</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0.5</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t="n"/>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ENGEO PLENO 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PLANTIO'!B13</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PLANTIO'!E13</f>
        <v/>
      </c>
      <c r="C228" s="269" t="inlineStr">
        <is>
          <t>Produtividade estimada Sc/há</t>
        </is>
      </c>
      <c r="D228" s="270">
        <f>'ÁREA PLANTIO'!I13</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PLANTIO'!H13</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1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8 C104 C115 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19.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PLANTIO'!B14</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PLANTIO'!E14</f>
        <v/>
      </c>
      <c r="C2" s="269" t="inlineStr">
        <is>
          <t>Produtividade estimada Sc/há</t>
        </is>
      </c>
      <c r="D2" s="270">
        <f>'ÁREA PLANTIO'!D14</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PLANTIO'!C14</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0.3</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GLUFOSINATO NORTOX 880 SG</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STONE</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LENDA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POQUER</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AZIMUT</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0.5</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ENGEO PLENO 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PLANTIO'!B14</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PLANTIO'!E14</f>
        <v/>
      </c>
      <c r="C228" s="269" t="inlineStr">
        <is>
          <t>Produtividade estimada Sc/há</t>
        </is>
      </c>
      <c r="D228" s="270">
        <f>'ÁREA PLANTIO'!I14</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PLANTIO'!H14</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1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8 C104 C115 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0.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PLANTIO'!B15</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PLANTIO'!E15</f>
        <v/>
      </c>
      <c r="C2" s="269" t="inlineStr">
        <is>
          <t>Produtividade estimada Sc/há</t>
        </is>
      </c>
      <c r="D2" s="270">
        <f>'ÁREA PLANTIO'!D15</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PLANTIO'!C15</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0.3</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STONE</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LENDA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POQUER</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AZIMUT</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0.5</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ENGEO PLENO 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PLANTIO'!B15</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PLANTIO'!E15</f>
        <v/>
      </c>
      <c r="C228" s="269" t="inlineStr">
        <is>
          <t>Produtividade estimada Sc/há</t>
        </is>
      </c>
      <c r="D228" s="270">
        <f>'ÁREA PLANTIO'!I15</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PLANTIO'!H15</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1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8 C104 C115 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PLANTIO'!B17</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PLANTIO'!E17</f>
        <v/>
      </c>
      <c r="C2" s="269" t="inlineStr">
        <is>
          <t>Produtividade estimada Sc/há</t>
        </is>
      </c>
      <c r="D2" s="270">
        <f>'ÁREA PLANTIO'!D17</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PLANTIO'!C17</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0.25</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inlineStr">
        <is>
          <t>FERTILIZANTES</t>
        </is>
      </c>
      <c r="C15" s="213" t="inlineStr">
        <is>
          <t>URÉIA</t>
        </is>
      </c>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v>0.2</v>
      </c>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inlineStr">
        <is>
          <t>FERTILIZANTES</t>
        </is>
      </c>
      <c r="C16" s="213" t="inlineStr">
        <is>
          <t>SULFATO DE AMÔNIO</t>
        </is>
      </c>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v>0.25</v>
      </c>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6"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6"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ADJUVANTE</t>
        </is>
      </c>
      <c r="C27" s="213" t="inlineStr">
        <is>
          <t>JOINT ULTRA</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0.2</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HERBICIDA</t>
        </is>
      </c>
      <c r="C28" s="213" t="inlineStr">
        <is>
          <t>GLUFOS-WYN 880</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0.5</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n"/>
      <c r="C29" s="213" t="n"/>
      <c r="D29" s="214">
        <f>IFERROR(VLOOKUP($C29,'PORTIFÓLIO'!C:V,2,0),"")</f>
        <v/>
      </c>
      <c r="E29" s="211">
        <f>IFERROR(VLOOKUP($C29,'PORTIFÓLIO'!C:V,3,0),"")</f>
        <v/>
      </c>
      <c r="F29" s="211">
        <f>IFERROR(VLOOKUP($C29,'PORTIFÓLIO'!C:V,4,0),"")</f>
        <v/>
      </c>
      <c r="G29" s="215">
        <f>IFERROR(VLOOKUP($C29,'PORTIFÓLIO'!C:V,5,0),"")</f>
        <v/>
      </c>
      <c r="H29" s="254">
        <f t="array" ref="H29">IFERROR(INDEX('PORTIFÓLIO'!$H$4:$H$433,MATCH($C29,'PORTIFÓLIO'!$C$4:$C$433,0)),"")</f>
        <v/>
      </c>
      <c r="I29" s="255" t="n"/>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n"/>
      <c r="C30" s="213" t="n"/>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SEMENTE</t>
        </is>
      </c>
      <c r="C45" s="213" t="inlineStr">
        <is>
          <t>BRACHIARIA BASICA</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3</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n"/>
      <c r="C46" s="213" t="n"/>
      <c r="D46" s="214">
        <f>IFERROR(VLOOKUP($C46,'PORTIFÓLIO'!C:V,2,0),"")</f>
        <v/>
      </c>
      <c r="E46" s="211">
        <f>IFERROR(VLOOKUP($C46,'PORTIFÓLIO'!C:V,3,0),"")</f>
        <v/>
      </c>
      <c r="F46" s="211">
        <f>IFERROR(VLOOKUP($C46,'PORTIFÓLIO'!C:V,4,0),"")</f>
        <v/>
      </c>
      <c r="G46" s="215">
        <f>IFERROR(VLOOKUP($C46,'PORTIFÓLIO'!C:V,5,0),"")</f>
        <v/>
      </c>
      <c r="H46" s="254">
        <f t="array" ref="H46">IFERROR(INDEX('PORTIFÓLIO'!$H$4:$H$433,MATCH($C46,'PORTIFÓLIO'!$C$4:$C$433,0)),"")</f>
        <v/>
      </c>
      <c r="I46" s="255" t="n"/>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n"/>
      <c r="C47" s="213" t="n"/>
      <c r="D47" s="214">
        <f>IFERROR(VLOOKUP($C47,'PORTIFÓLIO'!C:V,2,0),"")</f>
        <v/>
      </c>
      <c r="E47" s="211">
        <f>IFERROR(VLOOKUP($C47,'PORTIFÓLIO'!C:V,3,0),"")</f>
        <v/>
      </c>
      <c r="F47" s="211">
        <f>IFERROR(VLOOKUP($C47,'PORTIFÓLIO'!C:V,4,0),"")</f>
        <v/>
      </c>
      <c r="G47" s="215">
        <f>IFERROR(VLOOKUP($C47,'PORTIFÓLIO'!C:V,5,0),"")</f>
        <v/>
      </c>
      <c r="H47" s="254">
        <f t="array" ref="H47">IFERROR(INDEX('PORTIFÓLIO'!$H$4:$H$433,MATCH($C47,'PORTIFÓLIO'!$C$4:$C$433,0)),"")</f>
        <v/>
      </c>
      <c r="I47" s="255" t="n"/>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n"/>
      <c r="C48" s="213" t="n"/>
      <c r="D48" s="214">
        <f>IFERROR(VLOOKUP($C48,'PORTIFÓLIO'!C:V,2,0),"")</f>
        <v/>
      </c>
      <c r="E48" s="211">
        <f>IFERROR(VLOOKUP($C48,'PORTIFÓLIO'!C:V,3,0),"")</f>
        <v/>
      </c>
      <c r="F48" s="211">
        <f>IFERROR(VLOOKUP($C48,'PORTIFÓLIO'!C:V,4,0),"")</f>
        <v/>
      </c>
      <c r="G48" s="215">
        <f>IFERROR(VLOOKUP($C48,'PORTIFÓLIO'!C:V,5,0),"")</f>
        <v/>
      </c>
      <c r="H48" s="254">
        <f t="array" ref="H48">IFERROR(INDEX('PORTIFÓLIO'!$H$4:$H$433,MATCH($C48,'PORTIFÓLIO'!$C$4:$C$433,0)),"")</f>
        <v/>
      </c>
      <c r="I48" s="255" t="n"/>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n"/>
      <c r="C49" s="213" t="n"/>
      <c r="D49" s="214">
        <f>IFERROR(VLOOKUP($C49,'PORTIFÓLIO'!C:V,2,0),"")</f>
        <v/>
      </c>
      <c r="E49" s="211">
        <f>IFERROR(VLOOKUP($C49,'PORTIFÓLIO'!C:V,3,0),"")</f>
        <v/>
      </c>
      <c r="F49" s="211">
        <f>IFERROR(VLOOKUP($C49,'PORTIFÓLIO'!C:V,4,0),"")</f>
        <v/>
      </c>
      <c r="G49" s="215">
        <f>IFERROR(VLOOKUP($C49,'PORTIFÓLIO'!C:V,5,0),"")</f>
        <v/>
      </c>
      <c r="H49" s="254">
        <f t="array" ref="H49">IFERROR(INDEX('PORTIFÓLIO'!$H$4:$H$433,MATCH($C49,'PORTIFÓLIO'!$C$4:$C$433,0)),"")</f>
        <v/>
      </c>
      <c r="I49" s="256" t="n"/>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6"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6"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HERBICIDA</t>
        </is>
      </c>
      <c r="C64" s="213" t="inlineStr">
        <is>
          <t>ROUNDUP WG</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1.5</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ADJUVANTE</t>
        </is>
      </c>
      <c r="C65" s="213" t="inlineStr">
        <is>
          <t>JOINT ULTRA</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0.2</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INSETICIDA</t>
        </is>
      </c>
      <c r="C66" s="213" t="inlineStr">
        <is>
          <t>FIPRONIL 800 WG CCAB</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HERBICIDA</t>
        </is>
      </c>
      <c r="C67" s="213" t="inlineStr">
        <is>
          <t>GLUFOS-WYN 880</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0.5</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n"/>
      <c r="C68" s="213" t="n"/>
      <c r="D68" s="214">
        <f>IFERROR(VLOOKUP($C68,'PORTIFÓLIO'!C:V,2,0),"")</f>
        <v/>
      </c>
      <c r="E68" s="211">
        <f>IFERROR(VLOOKUP($C68,'PORTIFÓLIO'!C:V,3,0),"")</f>
        <v/>
      </c>
      <c r="F68" s="211">
        <f>IFERROR(VLOOKUP($C68,'PORTIFÓLIO'!C:V,4,0),"")</f>
        <v/>
      </c>
      <c r="G68" s="215">
        <f>IFERROR(VLOOKUP($C68,'PORTIFÓLIO'!C:V,5,0),"")</f>
        <v/>
      </c>
      <c r="H68" s="254">
        <f t="array" ref="H68">IFERROR(INDEX('PORTIFÓLIO'!$H$4:$H$433,MATCH($C68,'PORTIFÓLIO'!$C$4:$C$433,0)),"")</f>
        <v/>
      </c>
      <c r="I68" s="256" t="n"/>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n"/>
      <c r="C69" s="213" t="n"/>
      <c r="D69" s="214">
        <f>IFERROR(VLOOKUP($C69,'PORTIFÓLIO'!C:V,2,0),"")</f>
        <v/>
      </c>
      <c r="E69" s="211">
        <f>IFERROR(VLOOKUP($C69,'PORTIFÓLIO'!C:V,3,0),"")</f>
        <v/>
      </c>
      <c r="F69" s="211">
        <f>IFERROR(VLOOKUP($C69,'PORTIFÓLIO'!C:V,4,0),"")</f>
        <v/>
      </c>
      <c r="G69" s="215">
        <f>IFERROR(VLOOKUP($C69,'PORTIFÓLIO'!C:V,5,0),"")</f>
        <v/>
      </c>
      <c r="H69" s="254">
        <f t="array" ref="H69">IFERROR(INDEX('PORTIFÓLIO'!$H$4:$H$433,MATCH($C69,'PORTIFÓLIO'!$C$4:$C$433,0)),"")</f>
        <v/>
      </c>
      <c r="I69" s="256" t="n"/>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n"/>
      <c r="C70" s="213" t="n"/>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6" t="n"/>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n"/>
      <c r="C71" s="213" t="n"/>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6" t="n"/>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IMAZETAPIR NORTOX</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1</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AMINOL 806</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1</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INSETICIDA</t>
        </is>
      </c>
      <c r="C84" s="213" t="inlineStr">
        <is>
          <t>CLORFENAPIR NORTOX</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1</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n"/>
      <c r="C85" s="213" t="n"/>
      <c r="D85" s="214">
        <f>IFERROR(VLOOKUP($C85,'PORTIFÓLIO'!C:V,2,0),"")</f>
        <v/>
      </c>
      <c r="E85" s="211">
        <f>IFERROR(VLOOKUP($C85,'PORTIFÓLIO'!C:V,3,0),"")</f>
        <v/>
      </c>
      <c r="F85" s="211">
        <f>IFERROR(VLOOKUP($C85,'PORTIFÓLIO'!C:V,4,0),"")</f>
        <v/>
      </c>
      <c r="G85" s="215">
        <f>IFERROR(VLOOKUP($C85,'PORTIFÓLIO'!C:V,5,0),"")</f>
        <v/>
      </c>
      <c r="H85" s="254">
        <f t="array" ref="H85">IFERROR(INDEX('PORTIFÓLIO'!$H$4:$H$433,MATCH($C85,'PORTIFÓLIO'!$C$4:$C$433,0)),"")</f>
        <v/>
      </c>
      <c r="I85" s="255" t="n"/>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AZIMUT</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0.5</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MANCOZEB CCAB 750 WG</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METOMIL 215 SL NORTOX</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1.5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ADJUVANTE</t>
        </is>
      </c>
      <c r="C101" s="213" t="inlineStr">
        <is>
          <t>JOINT ULTRA</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n"/>
      <c r="C102" s="213" t="n"/>
      <c r="D102" s="214">
        <f>IFERROR(VLOOKUP($C102,'PORTIFÓLIO'!C:V,2,0),"")</f>
        <v/>
      </c>
      <c r="E102" s="211">
        <f>IFERROR(VLOOKUP($C102,'PORTIFÓLIO'!C:V,3,0),"")</f>
        <v/>
      </c>
      <c r="F102" s="211">
        <f>IFERROR(VLOOKUP($C102,'PORTIFÓLIO'!C:V,4,0),"")</f>
        <v/>
      </c>
      <c r="G102" s="215">
        <f>IFERROR(VLOOKUP($C102,'PORTIFÓLIO'!C:V,5,0),"")</f>
        <v/>
      </c>
      <c r="H102" s="254">
        <f t="array" ref="H102">IFERROR(INDEX('PORTIFÓLIO'!$H$4:$H$433,MATCH($C102,'PORTIFÓLIO'!$C$4:$C$433,0)),"")</f>
        <v/>
      </c>
      <c r="I102" s="256" t="n"/>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n"/>
      <c r="C103" s="213" t="n"/>
      <c r="D103" s="214">
        <f>IFERROR(VLOOKUP($C103,'PORTIFÓLIO'!C:V,2,0),"")</f>
        <v/>
      </c>
      <c r="E103" s="211">
        <f>IFERROR(VLOOKUP($C103,'PORTIFÓLIO'!C:V,3,0),"")</f>
        <v/>
      </c>
      <c r="F103" s="211">
        <f>IFERROR(VLOOKUP($C103,'PORTIFÓLIO'!C:V,4,0),"")</f>
        <v/>
      </c>
      <c r="G103" s="215">
        <f>IFERROR(VLOOKUP($C103,'PORTIFÓLIO'!C:V,5,0),"")</f>
        <v/>
      </c>
      <c r="H103" s="254">
        <f t="array" ref="H103">IFERROR(INDEX('PORTIFÓLIO'!$H$4:$H$433,MATCH($C103,'PORTIFÓLIO'!$C$4:$C$433,0)),"")</f>
        <v/>
      </c>
      <c r="I103" s="256" t="n"/>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n"/>
      <c r="C104" s="213" t="n"/>
      <c r="D104" s="214">
        <f>IFERROR(VLOOKUP($C104,'PORTIFÓLIO'!C:V,2,0),"")</f>
        <v/>
      </c>
      <c r="E104" s="211">
        <f>IFERROR(VLOOKUP($C104,'PORTIFÓLIO'!C:V,3,0),"")</f>
        <v/>
      </c>
      <c r="F104" s="211">
        <f>IFERROR(VLOOKUP($C104,'PORTIFÓLIO'!C:V,4,0),"")</f>
        <v/>
      </c>
      <c r="G104" s="215">
        <f>IFERROR(VLOOKUP($C104,'PORTIFÓLIO'!C:V,5,0),"")</f>
        <v/>
      </c>
      <c r="H104" s="254">
        <f t="array" ref="H104">IFERROR(INDEX('PORTIFÓLIO'!$H$4:$H$433,MATCH($C104,'PORTIFÓLIO'!$C$4:$C$433,0)),"")</f>
        <v/>
      </c>
      <c r="I104" s="256" t="n"/>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AZIMUT</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MANCOZEB CCAB 750 WG</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1.5</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INSETICIDA</t>
        </is>
      </c>
      <c r="C117" s="283" t="inlineStr">
        <is>
          <t>CLORFENAPIR NORTOX</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ADJUVANTE</t>
        </is>
      </c>
      <c r="C118" s="283" t="inlineStr">
        <is>
          <t>JOINT ULTRA</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0.2</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n"/>
      <c r="C119" s="283" t="n"/>
      <c r="D119" s="214">
        <f>IFERROR(VLOOKUP($C119,'PORTIFÓLIO'!C:V,2,0),"")</f>
        <v/>
      </c>
      <c r="E119" s="211">
        <f>IFERROR(VLOOKUP($C119,'PORTIFÓLIO'!C:V,3,0),"")</f>
        <v/>
      </c>
      <c r="F119" s="211">
        <f>IFERROR(VLOOKUP($C119,'PORTIFÓLIO'!C:V,4,0),"")</f>
        <v/>
      </c>
      <c r="G119" s="215">
        <f>IFERROR(VLOOKUP($C119,'PORTIFÓLIO'!C:V,5,0),"")</f>
        <v/>
      </c>
      <c r="H119" s="254">
        <f t="array" ref="H119">IFERROR(INDEX('PORTIFÓLIO'!$H$4:$H$433,MATCH($C119,'PORTIFÓLIO'!$C$4:$C$433,0)),"")</f>
        <v/>
      </c>
      <c r="I119" s="255" t="n"/>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n"/>
      <c r="C120" s="213" t="n"/>
      <c r="D120" s="214">
        <f>IFERROR(VLOOKUP($C120,'PORTIFÓLIO'!C:V,2,0),"")</f>
        <v/>
      </c>
      <c r="E120" s="211">
        <f>IFERROR(VLOOKUP($C120,'PORTIFÓLIO'!C:V,3,0),"")</f>
        <v/>
      </c>
      <c r="F120" s="211">
        <f>IFERROR(VLOOKUP($C120,'PORTIFÓLIO'!C:V,4,0),"")</f>
        <v/>
      </c>
      <c r="G120" s="215">
        <f>IFERROR(VLOOKUP($C120,'PORTIFÓLIO'!C:V,5,0),"")</f>
        <v/>
      </c>
      <c r="H120" s="254">
        <f t="array" ref="H120">IFERROR(INDEX('PORTIFÓLIO'!$H$4:$H$433,MATCH($C120,'PORTIFÓLIO'!$C$4:$C$433,0)),"")</f>
        <v/>
      </c>
      <c r="I120" s="255" t="n"/>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6"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6"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MAGNUM</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1</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inlineStr">
        <is>
          <t>INSETICIDA</t>
        </is>
      </c>
      <c r="C136" s="213" t="inlineStr">
        <is>
          <t>INTREPID 240 SC</t>
        </is>
      </c>
      <c r="D136" s="214">
        <f>IFERROR(VLOOKUP($C136,'PORTIFÓLIO'!C:V,2,0),"")</f>
        <v/>
      </c>
      <c r="E136" s="211">
        <f>IFERROR(VLOOKUP($C136,'PORTIFÓLIO'!C:V,3,0),"")</f>
        <v/>
      </c>
      <c r="F136" s="211">
        <f>IFERROR(VLOOKUP($C136,'PORTIFÓLIO'!C:V,4,0),"")</f>
        <v/>
      </c>
      <c r="G136" s="225">
        <f>IFERROR(VLOOKUP($C136,'PORTIFÓLIO'!C:V,5,0),"")</f>
        <v/>
      </c>
      <c r="H136" s="254">
        <f t="array" ref="H136">IFERROR(INDEX('PORTIFÓLIO'!$H$4:$H$433,MATCH($C136,'PORTIFÓLIO'!$C$4:$C$433,0)),"")</f>
        <v/>
      </c>
      <c r="I136" s="255" t="n">
        <v>0.2</v>
      </c>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inlineStr">
        <is>
          <t>INSETICIDA</t>
        </is>
      </c>
      <c r="C152" s="213" t="inlineStr">
        <is>
          <t>MAGNUM</t>
        </is>
      </c>
      <c r="D152" s="214">
        <f>IFERROR(VLOOKUP($C152,'PORTIFÓLIO'!C:V,2,0),"")</f>
        <v/>
      </c>
      <c r="E152" s="211">
        <f>IFERROR(VLOOKUP($C152,'PORTIFÓLIO'!C:V,3,0),"")</f>
        <v/>
      </c>
      <c r="F152" s="211">
        <f>IFERROR(VLOOKUP($C152,'PORTIFÓLIO'!C:V,4,0),"")</f>
        <v/>
      </c>
      <c r="G152" s="225">
        <f>IFERROR(VLOOKUP($C152,'PORTIFÓLIO'!C:V,5,0),"")</f>
        <v/>
      </c>
      <c r="H152" s="254">
        <f t="array" ref="H152">IFERROR(INDEX('PORTIFÓLIO'!$H$4:$H$433,MATCH($C152,'PORTIFÓLIO'!$C$4:$C$433,0)),"")</f>
        <v/>
      </c>
      <c r="I152" s="255" t="n">
        <v>1</v>
      </c>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n"/>
      <c r="C166" s="213" t="n"/>
      <c r="D166" s="214">
        <f>IFERROR(VLOOKUP($C166,'PORTIFÓLIO'!C:V,2,0),"")</f>
        <v/>
      </c>
      <c r="E166" s="211">
        <f>IFERROR(VLOOKUP($C166,'PORTIFÓLIO'!C:V,3,0),"")</f>
        <v/>
      </c>
      <c r="F166" s="211">
        <f>IFERROR(VLOOKUP($C166,'PORTIFÓLIO'!C:V,4,0),"")</f>
        <v/>
      </c>
      <c r="G166" s="215">
        <f>IFERROR(VLOOKUP($C166,'PORTIFÓLIO'!C:V,5,0),"")</f>
        <v/>
      </c>
      <c r="H166" s="254">
        <f t="array" ref="H166">IFERROR(INDEX('PORTIFÓLIO'!$H$4:$H$433,MATCH($C166,'PORTIFÓLIO'!$C$4:$C$433,0)),"")</f>
        <v/>
      </c>
      <c r="I166" s="255" t="n"/>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n"/>
      <c r="C167" s="213" t="n"/>
      <c r="D167" s="214">
        <f>IFERROR(VLOOKUP($C167,'PORTIFÓLIO'!C:V,2,0),"")</f>
        <v/>
      </c>
      <c r="E167" s="211">
        <f>IFERROR(VLOOKUP($C167,'PORTIFÓLIO'!C:V,3,0),"")</f>
        <v/>
      </c>
      <c r="F167" s="211">
        <f>IFERROR(VLOOKUP($C167,'PORTIFÓLIO'!C:V,4,0),"")</f>
        <v/>
      </c>
      <c r="G167" s="215">
        <f>IFERROR(VLOOKUP($C167,'PORTIFÓLIO'!C:V,5,0),"")</f>
        <v/>
      </c>
      <c r="H167" s="254">
        <f t="array" ref="H167">IFERROR(INDEX('PORTIFÓLIO'!$H$4:$H$433,MATCH($C167,'PORTIFÓLIO'!$C$4:$C$433,0)),"")</f>
        <v/>
      </c>
      <c r="I167" s="255" t="n"/>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NH T7.260 + JAN 20000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0.1</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H184*5</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JACTO UNIPORT 2000 + JACTO UNIPORT 2000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H185*4</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NH T7.260 + CASE 2213</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5" t="n">
        <v>0.26</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AIR TRATOR AT-502B + AIR TRATOR AT-502B</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6">
        <f>H187*4</f>
        <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n"/>
      <c r="C188" s="213" t="n"/>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6" t="n"/>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n"/>
      <c r="C189" s="213" t="n"/>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6" t="n"/>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PLANTIO'!B17</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PLANTIO'!E17</f>
        <v/>
      </c>
      <c r="C228" s="269" t="inlineStr">
        <is>
          <t>Produtividade estimada Sc/há</t>
        </is>
      </c>
      <c r="D228" s="270">
        <f>'ÁREA PLANTIO'!I17</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PLANTIO'!H17</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1" t="inlineStr">
        <is>
          <t>Coluna 1</t>
        </is>
      </c>
      <c r="C236" s="211" t="inlineStr">
        <is>
          <t>Coluna 2</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16">
    <dataValidation sqref="C12:C16 C50 C69 C87 C103 C137 C154 C169 C171 C188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C184"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185"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30PES,JACTO UNIPORT 2000 + JACTO UNIPORT 2000,+"</formula1>
    </dataValidation>
    <dataValidation sqref="C28 C64 C6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18 C26 C33 C46 C52 C71 C89 C105 C122 C139 C15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66 C100 C134 C136 C152"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132 C149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17 C51 C70 C88 C104 C121 C138 C155 C172 C189 C207 C244 C259 C278 C297 C315 C331 C348 C365 C382 C399 C416 C434" showDropDown="0" showInputMessage="0" showErrorMessage="0" allowBlank="1" type="list">
      <formula1>"CALCÁRIO DOLOMITICO,GESSO AGRICOLA"</formula1>
    </dataValidation>
    <dataValidation sqref="C45 C49 C68 C86 C102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27 C31 C47 C65 C85 C101 C118 C135 C151 C167" showDropDown="0" showInputMessage="0" showErrorMessage="0" allowBlank="1" type="list">
      <formula1>"RUMBA,ASSIST,MEES,AUREO EC,JOINT ULTRA,ENERGIC,EXTRAVON,OCHIMA,STRIDES"</formula1>
    </dataValidation>
    <dataValidation sqref="C98:C99 C115:C116 C133 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B10:B224 B237:B451" showDropDown="0" showInputMessage="0" showErrorMessage="1" allowBlank="1" type="list">
      <formula1>#REF!</formula1>
    </dataValidation>
    <dataValidation sqref="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6:C187"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30PES,JACTO UNIPORT 2000 + JACTO UNIPORT 2000,NH T7.260 + CASE 2213,+"</formula1>
    </dataValidation>
    <dataValidation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2.xml><?xml version="1.0" encoding="utf-8"?>
<worksheet xmlns="http://schemas.openxmlformats.org/spreadsheetml/2006/main">
  <sheetPr>
    <outlinePr summaryBelow="1" summaryRight="1"/>
    <pageSetUpPr fitToPage="1"/>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PLANTIO'!B16</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PLANTIO'!E16</f>
        <v/>
      </c>
      <c r="C2" s="269" t="inlineStr">
        <is>
          <t>Produtividade estimada Sc/há</t>
        </is>
      </c>
      <c r="D2" s="270">
        <f>'ÁREA PLANTIO'!D16</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PLANTIO'!C16</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3"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0.25</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inlineStr">
        <is>
          <t>FERTILIZANTES</t>
        </is>
      </c>
      <c r="C15" s="213" t="inlineStr">
        <is>
          <t>URÉIA</t>
        </is>
      </c>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v>0.2</v>
      </c>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inlineStr">
        <is>
          <t>FERTILIZANTES</t>
        </is>
      </c>
      <c r="C16" s="213" t="inlineStr">
        <is>
          <t>SULFATO DE AMÔNIO</t>
        </is>
      </c>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v>0.25</v>
      </c>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6"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6"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ADJUVANTE</t>
        </is>
      </c>
      <c r="C27" s="213" t="inlineStr">
        <is>
          <t>JOINT ULTRA</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0.2</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HERBICIDA</t>
        </is>
      </c>
      <c r="C28" s="213" t="inlineStr">
        <is>
          <t>GLUFOS-WYN 880</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0.5</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n"/>
      <c r="C29" s="213" t="n"/>
      <c r="D29" s="214">
        <f>IFERROR(VLOOKUP($C29,'PORTIFÓLIO'!C:V,2,0),"")</f>
        <v/>
      </c>
      <c r="E29" s="211">
        <f>IFERROR(VLOOKUP($C29,'PORTIFÓLIO'!C:V,3,0),"")</f>
        <v/>
      </c>
      <c r="F29" s="211">
        <f>IFERROR(VLOOKUP($C29,'PORTIFÓLIO'!C:V,4,0),"")</f>
        <v/>
      </c>
      <c r="G29" s="215">
        <f>IFERROR(VLOOKUP($C29,'PORTIFÓLIO'!C:V,5,0),"")</f>
        <v/>
      </c>
      <c r="H29" s="254">
        <f t="array" ref="H29">IFERROR(INDEX('PORTIFÓLIO'!$H$4:$H$433,MATCH($C29,'PORTIFÓLIO'!$C$4:$C$433,0)),"")</f>
        <v/>
      </c>
      <c r="I29" s="255" t="n"/>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n"/>
      <c r="C30" s="213" t="n"/>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SEMENTE</t>
        </is>
      </c>
      <c r="C45" s="213" t="inlineStr">
        <is>
          <t>BRACHIARIA BASICA</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3</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n"/>
      <c r="C46" s="213" t="n"/>
      <c r="D46" s="214">
        <f>IFERROR(VLOOKUP($C46,'PORTIFÓLIO'!C:V,2,0),"")</f>
        <v/>
      </c>
      <c r="E46" s="211">
        <f>IFERROR(VLOOKUP($C46,'PORTIFÓLIO'!C:V,3,0),"")</f>
        <v/>
      </c>
      <c r="F46" s="211">
        <f>IFERROR(VLOOKUP($C46,'PORTIFÓLIO'!C:V,4,0),"")</f>
        <v/>
      </c>
      <c r="G46" s="215">
        <f>IFERROR(VLOOKUP($C46,'PORTIFÓLIO'!C:V,5,0),"")</f>
        <v/>
      </c>
      <c r="H46" s="254">
        <f t="array" ref="H46">IFERROR(INDEX('PORTIFÓLIO'!$H$4:$H$433,MATCH($C46,'PORTIFÓLIO'!$C$4:$C$433,0)),"")</f>
        <v/>
      </c>
      <c r="I46" s="255" t="n"/>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n"/>
      <c r="C47" s="213" t="n"/>
      <c r="D47" s="214">
        <f>IFERROR(VLOOKUP($C47,'PORTIFÓLIO'!C:V,2,0),"")</f>
        <v/>
      </c>
      <c r="E47" s="211">
        <f>IFERROR(VLOOKUP($C47,'PORTIFÓLIO'!C:V,3,0),"")</f>
        <v/>
      </c>
      <c r="F47" s="211">
        <f>IFERROR(VLOOKUP($C47,'PORTIFÓLIO'!C:V,4,0),"")</f>
        <v/>
      </c>
      <c r="G47" s="215">
        <f>IFERROR(VLOOKUP($C47,'PORTIFÓLIO'!C:V,5,0),"")</f>
        <v/>
      </c>
      <c r="H47" s="254">
        <f t="array" ref="H47">IFERROR(INDEX('PORTIFÓLIO'!$H$4:$H$433,MATCH($C47,'PORTIFÓLIO'!$C$4:$C$433,0)),"")</f>
        <v/>
      </c>
      <c r="I47" s="255" t="n"/>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n"/>
      <c r="C48" s="213" t="n"/>
      <c r="D48" s="214">
        <f>IFERROR(VLOOKUP($C48,'PORTIFÓLIO'!C:V,2,0),"")</f>
        <v/>
      </c>
      <c r="E48" s="211">
        <f>IFERROR(VLOOKUP($C48,'PORTIFÓLIO'!C:V,3,0),"")</f>
        <v/>
      </c>
      <c r="F48" s="211">
        <f>IFERROR(VLOOKUP($C48,'PORTIFÓLIO'!C:V,4,0),"")</f>
        <v/>
      </c>
      <c r="G48" s="215">
        <f>IFERROR(VLOOKUP($C48,'PORTIFÓLIO'!C:V,5,0),"")</f>
        <v/>
      </c>
      <c r="H48" s="254">
        <f t="array" ref="H48">IFERROR(INDEX('PORTIFÓLIO'!$H$4:$H$433,MATCH($C48,'PORTIFÓLIO'!$C$4:$C$433,0)),"")</f>
        <v/>
      </c>
      <c r="I48" s="255" t="n"/>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n"/>
      <c r="C49" s="213" t="n"/>
      <c r="D49" s="214">
        <f>IFERROR(VLOOKUP($C49,'PORTIFÓLIO'!C:V,2,0),"")</f>
        <v/>
      </c>
      <c r="E49" s="211">
        <f>IFERROR(VLOOKUP($C49,'PORTIFÓLIO'!C:V,3,0),"")</f>
        <v/>
      </c>
      <c r="F49" s="211">
        <f>IFERROR(VLOOKUP($C49,'PORTIFÓLIO'!C:V,4,0),"")</f>
        <v/>
      </c>
      <c r="G49" s="215">
        <f>IFERROR(VLOOKUP($C49,'PORTIFÓLIO'!C:V,5,0),"")</f>
        <v/>
      </c>
      <c r="H49" s="254">
        <f t="array" ref="H49">IFERROR(INDEX('PORTIFÓLIO'!$H$4:$H$433,MATCH($C49,'PORTIFÓLIO'!$C$4:$C$433,0)),"")</f>
        <v/>
      </c>
      <c r="I49" s="256" t="n"/>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6"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6"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HERBICIDA</t>
        </is>
      </c>
      <c r="C64" s="213" t="inlineStr">
        <is>
          <t>GLUFOS-WYN 880</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0.5</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ADJUVANTE</t>
        </is>
      </c>
      <c r="C65" s="213" t="inlineStr">
        <is>
          <t>JOINT ULTRA</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0.2</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INSETICIDA</t>
        </is>
      </c>
      <c r="C66" s="213" t="inlineStr">
        <is>
          <t>FIPRONIL 800 WG CCAB</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HERBICIDA</t>
        </is>
      </c>
      <c r="C67" s="213" t="inlineStr">
        <is>
          <t>ROUNDUP WG</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2</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n"/>
      <c r="C68" s="213" t="n"/>
      <c r="D68" s="214">
        <f>IFERROR(VLOOKUP($C68,'PORTIFÓLIO'!C:V,2,0),"")</f>
        <v/>
      </c>
      <c r="E68" s="211">
        <f>IFERROR(VLOOKUP($C68,'PORTIFÓLIO'!C:V,3,0),"")</f>
        <v/>
      </c>
      <c r="F68" s="211">
        <f>IFERROR(VLOOKUP($C68,'PORTIFÓLIO'!C:V,4,0),"")</f>
        <v/>
      </c>
      <c r="G68" s="215">
        <f>IFERROR(VLOOKUP($C68,'PORTIFÓLIO'!C:V,5,0),"")</f>
        <v/>
      </c>
      <c r="H68" s="254">
        <f t="array" ref="H68">IFERROR(INDEX('PORTIFÓLIO'!$H$4:$H$433,MATCH($C68,'PORTIFÓLIO'!$C$4:$C$433,0)),"")</f>
        <v/>
      </c>
      <c r="I68" s="256" t="n"/>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n"/>
      <c r="C69" s="213" t="n"/>
      <c r="D69" s="214">
        <f>IFERROR(VLOOKUP($C69,'PORTIFÓLIO'!C:V,2,0),"")</f>
        <v/>
      </c>
      <c r="E69" s="211">
        <f>IFERROR(VLOOKUP($C69,'PORTIFÓLIO'!C:V,3,0),"")</f>
        <v/>
      </c>
      <c r="F69" s="211">
        <f>IFERROR(VLOOKUP($C69,'PORTIFÓLIO'!C:V,4,0),"")</f>
        <v/>
      </c>
      <c r="G69" s="215">
        <f>IFERROR(VLOOKUP($C69,'PORTIFÓLIO'!C:V,5,0),"")</f>
        <v/>
      </c>
      <c r="H69" s="254">
        <f t="array" ref="H69">IFERROR(INDEX('PORTIFÓLIO'!$H$4:$H$433,MATCH($C69,'PORTIFÓLIO'!$C$4:$C$433,0)),"")</f>
        <v/>
      </c>
      <c r="I69" s="256" t="n"/>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n"/>
      <c r="C70" s="213" t="n"/>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6" t="n"/>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n"/>
      <c r="C71" s="213" t="n"/>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6" t="n"/>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IMAZETAPIR NORTOX</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1</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AMINOL 806</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1</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INSETICIDA</t>
        </is>
      </c>
      <c r="C84" s="213" t="inlineStr">
        <is>
          <t>CLORFENAPIR NORTOX</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1</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n"/>
      <c r="C85" s="213" t="n"/>
      <c r="D85" s="214">
        <f>IFERROR(VLOOKUP($C85,'PORTIFÓLIO'!C:V,2,0),"")</f>
        <v/>
      </c>
      <c r="E85" s="211">
        <f>IFERROR(VLOOKUP($C85,'PORTIFÓLIO'!C:V,3,0),"")</f>
        <v/>
      </c>
      <c r="F85" s="211">
        <f>IFERROR(VLOOKUP($C85,'PORTIFÓLIO'!C:V,4,0),"")</f>
        <v/>
      </c>
      <c r="G85" s="215">
        <f>IFERROR(VLOOKUP($C85,'PORTIFÓLIO'!C:V,5,0),"")</f>
        <v/>
      </c>
      <c r="H85" s="254">
        <f t="array" ref="H85">IFERROR(INDEX('PORTIFÓLIO'!$H$4:$H$433,MATCH($C85,'PORTIFÓLIO'!$C$4:$C$433,0)),"")</f>
        <v/>
      </c>
      <c r="I85" s="255" t="n"/>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AZIMUT</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0.5</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MANCOZEB CCAB 750 WG</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METOMIL 215 SL NORTOX</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1.5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ADJUVANTE</t>
        </is>
      </c>
      <c r="C101" s="213" t="inlineStr">
        <is>
          <t>JOINT ULTRA</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n"/>
      <c r="C102" s="213" t="n"/>
      <c r="D102" s="214">
        <f>IFERROR(VLOOKUP($C102,'PORTIFÓLIO'!C:V,2,0),"")</f>
        <v/>
      </c>
      <c r="E102" s="211">
        <f>IFERROR(VLOOKUP($C102,'PORTIFÓLIO'!C:V,3,0),"")</f>
        <v/>
      </c>
      <c r="F102" s="211">
        <f>IFERROR(VLOOKUP($C102,'PORTIFÓLIO'!C:V,4,0),"")</f>
        <v/>
      </c>
      <c r="G102" s="215">
        <f>IFERROR(VLOOKUP($C102,'PORTIFÓLIO'!C:V,5,0),"")</f>
        <v/>
      </c>
      <c r="H102" s="254">
        <f t="array" ref="H102">IFERROR(INDEX('PORTIFÓLIO'!$H$4:$H$433,MATCH($C102,'PORTIFÓLIO'!$C$4:$C$433,0)),"")</f>
        <v/>
      </c>
      <c r="I102" s="256" t="n"/>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n"/>
      <c r="C103" s="213" t="n"/>
      <c r="D103" s="214">
        <f>IFERROR(VLOOKUP($C103,'PORTIFÓLIO'!C:V,2,0),"")</f>
        <v/>
      </c>
      <c r="E103" s="211">
        <f>IFERROR(VLOOKUP($C103,'PORTIFÓLIO'!C:V,3,0),"")</f>
        <v/>
      </c>
      <c r="F103" s="211">
        <f>IFERROR(VLOOKUP($C103,'PORTIFÓLIO'!C:V,4,0),"")</f>
        <v/>
      </c>
      <c r="G103" s="215">
        <f>IFERROR(VLOOKUP($C103,'PORTIFÓLIO'!C:V,5,0),"")</f>
        <v/>
      </c>
      <c r="H103" s="254">
        <f t="array" ref="H103">IFERROR(INDEX('PORTIFÓLIO'!$H$4:$H$433,MATCH($C103,'PORTIFÓLIO'!$C$4:$C$433,0)),"")</f>
        <v/>
      </c>
      <c r="I103" s="256" t="n"/>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n"/>
      <c r="C104" s="213" t="n"/>
      <c r="D104" s="214">
        <f>IFERROR(VLOOKUP($C104,'PORTIFÓLIO'!C:V,2,0),"")</f>
        <v/>
      </c>
      <c r="E104" s="211">
        <f>IFERROR(VLOOKUP($C104,'PORTIFÓLIO'!C:V,3,0),"")</f>
        <v/>
      </c>
      <c r="F104" s="211">
        <f>IFERROR(VLOOKUP($C104,'PORTIFÓLIO'!C:V,4,0),"")</f>
        <v/>
      </c>
      <c r="G104" s="215">
        <f>IFERROR(VLOOKUP($C104,'PORTIFÓLIO'!C:V,5,0),"")</f>
        <v/>
      </c>
      <c r="H104" s="254">
        <f t="array" ref="H104">IFERROR(INDEX('PORTIFÓLIO'!$H$4:$H$433,MATCH($C104,'PORTIFÓLIO'!$C$4:$C$433,0)),"")</f>
        <v/>
      </c>
      <c r="I104" s="256" t="n"/>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AZIMUT</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MANCOZEB CCAB 750 WG</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1.5</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INSETICIDA</t>
        </is>
      </c>
      <c r="C117" s="283" t="inlineStr">
        <is>
          <t>CLORFENAPIR NORTOX</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ADJUVANTE</t>
        </is>
      </c>
      <c r="C118" s="283" t="inlineStr">
        <is>
          <t>JOINT ULTRA</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0.2</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n"/>
      <c r="C119" s="283" t="n"/>
      <c r="D119" s="214">
        <f>IFERROR(VLOOKUP($C119,'PORTIFÓLIO'!C:V,2,0),"")</f>
        <v/>
      </c>
      <c r="E119" s="211">
        <f>IFERROR(VLOOKUP($C119,'PORTIFÓLIO'!C:V,3,0),"")</f>
        <v/>
      </c>
      <c r="F119" s="211">
        <f>IFERROR(VLOOKUP($C119,'PORTIFÓLIO'!C:V,4,0),"")</f>
        <v/>
      </c>
      <c r="G119" s="215">
        <f>IFERROR(VLOOKUP($C119,'PORTIFÓLIO'!C:V,5,0),"")</f>
        <v/>
      </c>
      <c r="H119" s="254">
        <f t="array" ref="H119">IFERROR(INDEX('PORTIFÓLIO'!$H$4:$H$433,MATCH($C119,'PORTIFÓLIO'!$C$4:$C$433,0)),"")</f>
        <v/>
      </c>
      <c r="I119" s="255" t="n"/>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n"/>
      <c r="C120" s="213" t="n"/>
      <c r="D120" s="214">
        <f>IFERROR(VLOOKUP($C120,'PORTIFÓLIO'!C:V,2,0),"")</f>
        <v/>
      </c>
      <c r="E120" s="211">
        <f>IFERROR(VLOOKUP($C120,'PORTIFÓLIO'!C:V,3,0),"")</f>
        <v/>
      </c>
      <c r="F120" s="211">
        <f>IFERROR(VLOOKUP($C120,'PORTIFÓLIO'!C:V,4,0),"")</f>
        <v/>
      </c>
      <c r="G120" s="215">
        <f>IFERROR(VLOOKUP($C120,'PORTIFÓLIO'!C:V,5,0),"")</f>
        <v/>
      </c>
      <c r="H120" s="254">
        <f t="array" ref="H120">IFERROR(INDEX('PORTIFÓLIO'!$H$4:$H$433,MATCH($C120,'PORTIFÓLIO'!$C$4:$C$433,0)),"")</f>
        <v/>
      </c>
      <c r="I120" s="255" t="n"/>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6"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6"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MAGNUM</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1</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inlineStr">
        <is>
          <t>INSETICIDA</t>
        </is>
      </c>
      <c r="C136" s="213" t="inlineStr">
        <is>
          <t>INTREPID 240 SC</t>
        </is>
      </c>
      <c r="D136" s="214">
        <f>IFERROR(VLOOKUP($C136,'PORTIFÓLIO'!C:V,2,0),"")</f>
        <v/>
      </c>
      <c r="E136" s="211">
        <f>IFERROR(VLOOKUP($C136,'PORTIFÓLIO'!C:V,3,0),"")</f>
        <v/>
      </c>
      <c r="F136" s="211">
        <f>IFERROR(VLOOKUP($C136,'PORTIFÓLIO'!C:V,4,0),"")</f>
        <v/>
      </c>
      <c r="G136" s="225">
        <f>IFERROR(VLOOKUP($C136,'PORTIFÓLIO'!C:V,5,0),"")</f>
        <v/>
      </c>
      <c r="H136" s="254">
        <f t="array" ref="H136">IFERROR(INDEX('PORTIFÓLIO'!$H$4:$H$433,MATCH($C136,'PORTIFÓLIO'!$C$4:$C$433,0)),"")</f>
        <v/>
      </c>
      <c r="I136" s="255" t="n">
        <v>0.2</v>
      </c>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inlineStr">
        <is>
          <t>INSETICIDA</t>
        </is>
      </c>
      <c r="C152" s="213" t="inlineStr">
        <is>
          <t>MAGNUM</t>
        </is>
      </c>
      <c r="D152" s="214">
        <f>IFERROR(VLOOKUP($C152,'PORTIFÓLIO'!C:V,2,0),"")</f>
        <v/>
      </c>
      <c r="E152" s="211">
        <f>IFERROR(VLOOKUP($C152,'PORTIFÓLIO'!C:V,3,0),"")</f>
        <v/>
      </c>
      <c r="F152" s="211">
        <f>IFERROR(VLOOKUP($C152,'PORTIFÓLIO'!C:V,4,0),"")</f>
        <v/>
      </c>
      <c r="G152" s="225">
        <f>IFERROR(VLOOKUP($C152,'PORTIFÓLIO'!C:V,5,0),"")</f>
        <v/>
      </c>
      <c r="H152" s="254">
        <f t="array" ref="H152">IFERROR(INDEX('PORTIFÓLIO'!$H$4:$H$433,MATCH($C152,'PORTIFÓLIO'!$C$4:$C$433,0)),"")</f>
        <v/>
      </c>
      <c r="I152" s="255" t="n">
        <v>1</v>
      </c>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n"/>
      <c r="C166" s="213" t="n"/>
      <c r="D166" s="214">
        <f>IFERROR(VLOOKUP($C166,'PORTIFÓLIO'!C:V,2,0),"")</f>
        <v/>
      </c>
      <c r="E166" s="211">
        <f>IFERROR(VLOOKUP($C166,'PORTIFÓLIO'!C:V,3,0),"")</f>
        <v/>
      </c>
      <c r="F166" s="211">
        <f>IFERROR(VLOOKUP($C166,'PORTIFÓLIO'!C:V,4,0),"")</f>
        <v/>
      </c>
      <c r="G166" s="215">
        <f>IFERROR(VLOOKUP($C166,'PORTIFÓLIO'!C:V,5,0),"")</f>
        <v/>
      </c>
      <c r="H166" s="254">
        <f t="array" ref="H166">IFERROR(INDEX('PORTIFÓLIO'!$H$4:$H$433,MATCH($C166,'PORTIFÓLIO'!$C$4:$C$433,0)),"")</f>
        <v/>
      </c>
      <c r="I166" s="255" t="n"/>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n"/>
      <c r="C167" s="213" t="n"/>
      <c r="D167" s="214">
        <f>IFERROR(VLOOKUP($C167,'PORTIFÓLIO'!C:V,2,0),"")</f>
        <v/>
      </c>
      <c r="E167" s="211">
        <f>IFERROR(VLOOKUP($C167,'PORTIFÓLIO'!C:V,3,0),"")</f>
        <v/>
      </c>
      <c r="F167" s="211">
        <f>IFERROR(VLOOKUP($C167,'PORTIFÓLIO'!C:V,4,0),"")</f>
        <v/>
      </c>
      <c r="G167" s="215">
        <f>IFERROR(VLOOKUP($C167,'PORTIFÓLIO'!C:V,5,0),"")</f>
        <v/>
      </c>
      <c r="H167" s="254">
        <f t="array" ref="H167">IFERROR(INDEX('PORTIFÓLIO'!$H$4:$H$433,MATCH($C167,'PORTIFÓLIO'!$C$4:$C$433,0)),"")</f>
        <v/>
      </c>
      <c r="I167" s="255" t="n"/>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n"/>
      <c r="C183" s="213" t="n"/>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n"/>
      <c r="C184" s="213" t="n"/>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t="n"/>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n"/>
      <c r="C185" s="213" t="n"/>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t="n"/>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n"/>
      <c r="C186" s="213" t="n"/>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t="n"/>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n"/>
      <c r="C187" s="213" t="n"/>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6" t="n"/>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n"/>
      <c r="C188" s="213" t="n"/>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6" t="n"/>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n"/>
      <c r="C189" s="213" t="n"/>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6" t="n"/>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PLANTIO'!B16</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PLANTIO'!E16</f>
        <v/>
      </c>
      <c r="C228" s="269" t="inlineStr">
        <is>
          <t>Produtividade estimada Sc/há</t>
        </is>
      </c>
      <c r="D228" s="270">
        <f>'ÁREA PLANTIO'!I16</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PLANTIO'!H16</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13">
    <dataValidation sqref="C12:C16 C50 C69 C87 C103 C137 C154 C169 C171 C186 C188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28 C64 C6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18 C26 C33 C46 C52 C71 C89 C105 C122 C139 C156 C173 C184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66 C100 C134 C136 C152"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98 C115 C132 C149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17 C51 C70 C88 C104 C121 C138 C155 C172 C189 C207 C244 C259 C278 C297 C315 C331 C348 C365 C382 C399 C416 C434" showDropDown="0" showInputMessage="0" showErrorMessage="0" allowBlank="1" type="list">
      <formula1>"CALCÁRIO DOLOMITICO,GESSO AGRICOLA"</formula1>
    </dataValidation>
    <dataValidation sqref="C45 C49 C68 C86 C102 C153 C170 C183 C187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27 C31 C47 C65 C85 C101 C118 C135 C151 C167" showDropDown="0" showInputMessage="0" showErrorMessage="0" allowBlank="1" type="list">
      <formula1>"RUMBA,ASSIST,MEES,AUREO EC,JOINT ULTRA,ENERGIC,EXTRAVON,OCHIMA,STRIDES"</formula1>
    </dataValidation>
    <dataValidation sqref="C99 C116 C133 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B10:B224 B237:B451" showDropDown="0" showInputMessage="0" showErrorMessage="1" allowBlank="1" type="list">
      <formula1>#REF!</formula1>
    </dataValidation>
    <dataValidation sqref="C168 C185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3.xml><?xml version="1.0" encoding="utf-8"?>
<worksheet xmlns="http://schemas.openxmlformats.org/spreadsheetml/2006/main">
  <sheetPr>
    <outlinePr summaryBelow="1" summaryRight="1"/>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PLANTIO'!B18</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PLANTIO'!E18</f>
        <v/>
      </c>
      <c r="C2" s="269" t="inlineStr">
        <is>
          <t>Produtividade estimada Sc/há</t>
        </is>
      </c>
      <c r="D2" s="270">
        <f>'ÁREA PLANTIO'!D18</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PLANTIO'!C18</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0.3</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INSETICIDA</t>
        </is>
      </c>
      <c r="C30" s="213" t="inlineStr">
        <is>
          <t>FIPRONIL 800 WG CCAB</t>
        </is>
      </c>
      <c r="D30" s="214">
        <f>IFERROR(VLOOKUP($C30,'PORTIFÓLIO'!C:V,2,0),"")</f>
        <v/>
      </c>
      <c r="E30" s="211">
        <f>IFERROR(VLOOKUP($C30,'PORTIFÓLIO'!C:V,3,0),"")</f>
        <v/>
      </c>
      <c r="F30" s="211">
        <f>IFERROR(VLOOKUP($C30,'PORTIFÓLIO'!C:V,4,0),"")</f>
        <v/>
      </c>
      <c r="G30" s="225">
        <f>IFERROR(VLOOKUP($C30,'PORTIFÓLIO'!C:V,5,0),"")</f>
        <v/>
      </c>
      <c r="H30" s="254">
        <f t="array" ref="H30">IFERROR(INDEX('PORTIFÓLIO'!$H$4:$H$433,MATCH($C30,'PORTIFÓLIO'!$C$4:$C$433,0)),"")</f>
        <v/>
      </c>
      <c r="I30" s="255" t="n">
        <v>0.04</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inlineStr">
        <is>
          <t>NUTRIÇÃO</t>
        </is>
      </c>
      <c r="C31" s="213" t="inlineStr">
        <is>
          <t>BOP</t>
        </is>
      </c>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v>1</v>
      </c>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STONE</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LENDA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POQUER</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AZIMUT</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0.5</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ENGEO PLENO 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PLANTIO'!B18</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PLANTIO'!E18</f>
        <v/>
      </c>
      <c r="C228" s="269" t="inlineStr">
        <is>
          <t>Produtividade estimada Sc/há</t>
        </is>
      </c>
      <c r="D228" s="270">
        <f>'ÁREA PLANTIO'!I18</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PLANTIO'!H18</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conditionalFormatting sqref="B234">
    <cfRule type="notContainsBlanks" priority="58" dxfId="10">
      <formula>LEN(TRIM(B234))&gt;0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33 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C30 C49 C100:C102 C118:C119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1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8 C104 C115 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34 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4.xml><?xml version="1.0" encoding="utf-8"?>
<worksheet xmlns="http://schemas.openxmlformats.org/spreadsheetml/2006/main">
  <sheetPr>
    <outlinePr summaryBelow="0"/>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PLANTIO'!B19</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PLANTIO'!E19</f>
        <v/>
      </c>
      <c r="C2" s="269" t="inlineStr">
        <is>
          <t>Produtividade estimada Sc/há</t>
        </is>
      </c>
      <c r="D2" s="270">
        <f>'ÁREA PLANTIO'!D19</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PLANTIO'!C19</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1" t="inlineStr">
        <is>
          <t>Coluna 1</t>
        </is>
      </c>
      <c r="C9" s="211" t="inlineStr">
        <is>
          <t>Coluna 2</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SUPER DUO</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0.8</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0.25</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inlineStr">
        <is>
          <t>FERTILIZANTES</t>
        </is>
      </c>
      <c r="C15" s="213" t="inlineStr">
        <is>
          <t>URÉIA</t>
        </is>
      </c>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v>0.2</v>
      </c>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inlineStr">
        <is>
          <t>FERTILIZANTES</t>
        </is>
      </c>
      <c r="C16" s="213" t="inlineStr">
        <is>
          <t>SULFATO DE AMÔNIO</t>
        </is>
      </c>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v>0.25</v>
      </c>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6"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6"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ADJUVANTE</t>
        </is>
      </c>
      <c r="C27" s="213" t="inlineStr">
        <is>
          <t>JOINT ULTRA</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0.2</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HERBICIDA</t>
        </is>
      </c>
      <c r="C28" s="213" t="inlineStr">
        <is>
          <t>GLUFOS-WYN 880</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0.5</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FIPRONIL 800 WG CCAB</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n"/>
      <c r="C30" s="213" t="n"/>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SEMENTE</t>
        </is>
      </c>
      <c r="C45" s="213" t="inlineStr">
        <is>
          <t>BRACHIARIA BASICA</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3</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n"/>
      <c r="C46" s="213" t="n"/>
      <c r="D46" s="214">
        <f>IFERROR(VLOOKUP($C46,'PORTIFÓLIO'!C:V,2,0),"")</f>
        <v/>
      </c>
      <c r="E46" s="211">
        <f>IFERROR(VLOOKUP($C46,'PORTIFÓLIO'!C:V,3,0),"")</f>
        <v/>
      </c>
      <c r="F46" s="211">
        <f>IFERROR(VLOOKUP($C46,'PORTIFÓLIO'!C:V,4,0),"")</f>
        <v/>
      </c>
      <c r="G46" s="215">
        <f>IFERROR(VLOOKUP($C46,'PORTIFÓLIO'!C:V,5,0),"")</f>
        <v/>
      </c>
      <c r="H46" s="254">
        <f t="array" ref="H46">IFERROR(INDEX('PORTIFÓLIO'!$H$4:$H$433,MATCH($C46,'PORTIFÓLIO'!$C$4:$C$433,0)),"")</f>
        <v/>
      </c>
      <c r="I46" s="255" t="n"/>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n"/>
      <c r="C47" s="213" t="n"/>
      <c r="D47" s="214">
        <f>IFERROR(VLOOKUP($C47,'PORTIFÓLIO'!C:V,2,0),"")</f>
        <v/>
      </c>
      <c r="E47" s="211">
        <f>IFERROR(VLOOKUP($C47,'PORTIFÓLIO'!C:V,3,0),"")</f>
        <v/>
      </c>
      <c r="F47" s="211">
        <f>IFERROR(VLOOKUP($C47,'PORTIFÓLIO'!C:V,4,0),"")</f>
        <v/>
      </c>
      <c r="G47" s="215">
        <f>IFERROR(VLOOKUP($C47,'PORTIFÓLIO'!C:V,5,0),"")</f>
        <v/>
      </c>
      <c r="H47" s="254">
        <f t="array" ref="H47">IFERROR(INDEX('PORTIFÓLIO'!$H$4:$H$433,MATCH($C47,'PORTIFÓLIO'!$C$4:$C$433,0)),"")</f>
        <v/>
      </c>
      <c r="I47" s="255" t="n"/>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n"/>
      <c r="C48" s="213" t="n"/>
      <c r="D48" s="214">
        <f>IFERROR(VLOOKUP($C48,'PORTIFÓLIO'!C:V,2,0),"")</f>
        <v/>
      </c>
      <c r="E48" s="211">
        <f>IFERROR(VLOOKUP($C48,'PORTIFÓLIO'!C:V,3,0),"")</f>
        <v/>
      </c>
      <c r="F48" s="211">
        <f>IFERROR(VLOOKUP($C48,'PORTIFÓLIO'!C:V,4,0),"")</f>
        <v/>
      </c>
      <c r="G48" s="215">
        <f>IFERROR(VLOOKUP($C48,'PORTIFÓLIO'!C:V,5,0),"")</f>
        <v/>
      </c>
      <c r="H48" s="254">
        <f t="array" ref="H48">IFERROR(INDEX('PORTIFÓLIO'!$H$4:$H$433,MATCH($C48,'PORTIFÓLIO'!$C$4:$C$433,0)),"")</f>
        <v/>
      </c>
      <c r="I48" s="255" t="n"/>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n"/>
      <c r="C49" s="213" t="n"/>
      <c r="D49" s="214">
        <f>IFERROR(VLOOKUP($C49,'PORTIFÓLIO'!C:V,2,0),"")</f>
        <v/>
      </c>
      <c r="E49" s="211">
        <f>IFERROR(VLOOKUP($C49,'PORTIFÓLIO'!C:V,3,0),"")</f>
        <v/>
      </c>
      <c r="F49" s="211">
        <f>IFERROR(VLOOKUP($C49,'PORTIFÓLIO'!C:V,4,0),"")</f>
        <v/>
      </c>
      <c r="G49" s="215">
        <f>IFERROR(VLOOKUP($C49,'PORTIFÓLIO'!C:V,5,0),"")</f>
        <v/>
      </c>
      <c r="H49" s="254">
        <f t="array" ref="H49">IFERROR(INDEX('PORTIFÓLIO'!$H$4:$H$433,MATCH($C49,'PORTIFÓLIO'!$C$4:$C$433,0)),"")</f>
        <v/>
      </c>
      <c r="I49" s="256" t="n"/>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6"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6"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HERBICIDA</t>
        </is>
      </c>
      <c r="C64" s="213" t="inlineStr">
        <is>
          <t>ROUNDUP WG</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2</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ADJUVANTE</t>
        </is>
      </c>
      <c r="C65" s="213" t="inlineStr">
        <is>
          <t>JOINT ULTRA</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0.2</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INSETICIDA</t>
        </is>
      </c>
      <c r="C66" s="213" t="inlineStr">
        <is>
          <t>FIPRONIL 800 WG CCAB</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HERBICIDA</t>
        </is>
      </c>
      <c r="C67" s="213" t="inlineStr">
        <is>
          <t>GLUFOS-WYN 880</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0.5</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n"/>
      <c r="C68" s="213" t="n"/>
      <c r="D68" s="214">
        <f>IFERROR(VLOOKUP($C68,'PORTIFÓLIO'!C:V,2,0),"")</f>
        <v/>
      </c>
      <c r="E68" s="211">
        <f>IFERROR(VLOOKUP($C68,'PORTIFÓLIO'!C:V,3,0),"")</f>
        <v/>
      </c>
      <c r="F68" s="211">
        <f>IFERROR(VLOOKUP($C68,'PORTIFÓLIO'!C:V,4,0),"")</f>
        <v/>
      </c>
      <c r="G68" s="215">
        <f>IFERROR(VLOOKUP($C68,'PORTIFÓLIO'!C:V,5,0),"")</f>
        <v/>
      </c>
      <c r="H68" s="254">
        <f t="array" ref="H68">IFERROR(INDEX('PORTIFÓLIO'!$H$4:$H$433,MATCH($C68,'PORTIFÓLIO'!$C$4:$C$433,0)),"")</f>
        <v/>
      </c>
      <c r="I68" s="256" t="n"/>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n"/>
      <c r="C69" s="213" t="n"/>
      <c r="D69" s="214">
        <f>IFERROR(VLOOKUP($C69,'PORTIFÓLIO'!C:V,2,0),"")</f>
        <v/>
      </c>
      <c r="E69" s="211">
        <f>IFERROR(VLOOKUP($C69,'PORTIFÓLIO'!C:V,3,0),"")</f>
        <v/>
      </c>
      <c r="F69" s="211">
        <f>IFERROR(VLOOKUP($C69,'PORTIFÓLIO'!C:V,4,0),"")</f>
        <v/>
      </c>
      <c r="G69" s="215">
        <f>IFERROR(VLOOKUP($C69,'PORTIFÓLIO'!C:V,5,0),"")</f>
        <v/>
      </c>
      <c r="H69" s="254">
        <f t="array" ref="H69">IFERROR(INDEX('PORTIFÓLIO'!$H$4:$H$433,MATCH($C69,'PORTIFÓLIO'!$C$4:$C$433,0)),"")</f>
        <v/>
      </c>
      <c r="I69" s="256" t="n"/>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n"/>
      <c r="C70" s="213" t="n"/>
      <c r="D70" s="214">
        <f>IFERROR(VLOOKUP($C70,'PORTIFÓLIO'!C:V,2,0),"")</f>
        <v/>
      </c>
      <c r="E70" s="211">
        <f>IFERROR(VLOOKUP($C70,'PORTIFÓLIO'!C:V,3,0),"")</f>
        <v/>
      </c>
      <c r="F70" s="211">
        <f>IFERROR(VLOOKUP($C70,'PORTIFÓLIO'!C:V,4,0),"")</f>
        <v/>
      </c>
      <c r="G70" s="215">
        <f>IFERROR(VLOOKUP($C70,'PORTIFÓLIO'!C:V,5,0),"")</f>
        <v/>
      </c>
      <c r="H70" s="254">
        <f t="array" ref="H70">IFERROR(INDEX('PORTIFÓLIO'!$H$4:$H$433,MATCH($C70,'PORTIFÓLIO'!$C$4:$C$433,0)),"")</f>
        <v/>
      </c>
      <c r="I70" s="256" t="n"/>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n"/>
      <c r="C71" s="213" t="n"/>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6" t="n"/>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n"/>
      <c r="C72" s="213" t="n"/>
      <c r="D72" s="214">
        <f>IFERROR(VLOOKUP($C72,'PORTIFÓLIO'!C:V,2,0),"")</f>
        <v/>
      </c>
      <c r="E72" s="211">
        <f>IFERROR(VLOOKUP($C72,'PORTIFÓLIO'!C:V,3,0),"")</f>
        <v/>
      </c>
      <c r="F72" s="211">
        <f>IFERROR(VLOOKUP($C72,'PORTIFÓLIO'!C:V,4,0),"")</f>
        <v/>
      </c>
      <c r="G72" s="215">
        <f>IFERROR(VLOOKUP($C72,'PORTIFÓLIO'!C:V,5,0),"")</f>
        <v/>
      </c>
      <c r="H72" s="254">
        <f t="array" ref="H72">IFERROR(INDEX('PORTIFÓLIO'!$H$4:$H$433,MATCH($C72,'PORTIFÓLIO'!$C$4:$C$433,0)),"")</f>
        <v/>
      </c>
      <c r="I72" s="255" t="n"/>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IMAZETAPIR NORTOX</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1</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AMINOL 806</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1</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INSETICIDA</t>
        </is>
      </c>
      <c r="C84" s="213" t="inlineStr">
        <is>
          <t>CLORFENAPIR NORTOX</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1</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n"/>
      <c r="C85" s="213" t="n"/>
      <c r="D85" s="214">
        <f>IFERROR(VLOOKUP($C85,'PORTIFÓLIO'!C:V,2,0),"")</f>
        <v/>
      </c>
      <c r="E85" s="211">
        <f>IFERROR(VLOOKUP($C85,'PORTIFÓLIO'!C:V,3,0),"")</f>
        <v/>
      </c>
      <c r="F85" s="211">
        <f>IFERROR(VLOOKUP($C85,'PORTIFÓLIO'!C:V,4,0),"")</f>
        <v/>
      </c>
      <c r="G85" s="215">
        <f>IFERROR(VLOOKUP($C85,'PORTIFÓLIO'!C:V,5,0),"")</f>
        <v/>
      </c>
      <c r="H85" s="254">
        <f t="array" ref="H85">IFERROR(INDEX('PORTIFÓLIO'!$H$4:$H$433,MATCH($C85,'PORTIFÓLIO'!$C$4:$C$433,0)),"")</f>
        <v/>
      </c>
      <c r="I85" s="255" t="n"/>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AZIMUT</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0.5</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inlineStr">
        <is>
          <t>FUNGICIDA</t>
        </is>
      </c>
      <c r="C99" s="213" t="inlineStr">
        <is>
          <t>MANCOZEB CCAB 750 WG</t>
        </is>
      </c>
      <c r="D99" s="214">
        <f>IFERROR(VLOOKUP($C99,'PORTIFÓLIO'!C:V,2,0),"")</f>
        <v/>
      </c>
      <c r="E99" s="211">
        <f>IFERROR(VLOOKUP($C99,'PORTIFÓLIO'!C:V,3,0),"")</f>
        <v/>
      </c>
      <c r="F99" s="211">
        <f>IFERROR(VLOOKUP($C99,'PORTIFÓLIO'!C:V,4,0),"")</f>
        <v/>
      </c>
      <c r="G99" s="225">
        <f>IFERROR(VLOOKUP($C99,'PORTIFÓLIO'!C:V,5,0),"")</f>
        <v/>
      </c>
      <c r="H99" s="254">
        <f t="array" ref="H99">IFERROR(INDEX('PORTIFÓLIO'!$H$4:$H$433,MATCH($C99,'PORTIFÓLIO'!$C$4:$C$433,0)),"")</f>
        <v/>
      </c>
      <c r="I99" s="255" t="n">
        <v>1</v>
      </c>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METOMIL 215 SL NORTOX</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1.5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ADJUVANTE</t>
        </is>
      </c>
      <c r="C101" s="213" t="inlineStr">
        <is>
          <t>JOINT ULTRA</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n"/>
      <c r="C102" s="213" t="n"/>
      <c r="D102" s="214">
        <f>IFERROR(VLOOKUP($C102,'PORTIFÓLIO'!C:V,2,0),"")</f>
        <v/>
      </c>
      <c r="E102" s="211">
        <f>IFERROR(VLOOKUP($C102,'PORTIFÓLIO'!C:V,3,0),"")</f>
        <v/>
      </c>
      <c r="F102" s="211">
        <f>IFERROR(VLOOKUP($C102,'PORTIFÓLIO'!C:V,4,0),"")</f>
        <v/>
      </c>
      <c r="G102" s="215">
        <f>IFERROR(VLOOKUP($C102,'PORTIFÓLIO'!C:V,5,0),"")</f>
        <v/>
      </c>
      <c r="H102" s="254">
        <f t="array" ref="H102">IFERROR(INDEX('PORTIFÓLIO'!$H$4:$H$433,MATCH($C102,'PORTIFÓLIO'!$C$4:$C$433,0)),"")</f>
        <v/>
      </c>
      <c r="I102" s="256" t="n"/>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n"/>
      <c r="C103" s="213" t="n"/>
      <c r="D103" s="214">
        <f>IFERROR(VLOOKUP($C103,'PORTIFÓLIO'!C:V,2,0),"")</f>
        <v/>
      </c>
      <c r="E103" s="211">
        <f>IFERROR(VLOOKUP($C103,'PORTIFÓLIO'!C:V,3,0),"")</f>
        <v/>
      </c>
      <c r="F103" s="211">
        <f>IFERROR(VLOOKUP($C103,'PORTIFÓLIO'!C:V,4,0),"")</f>
        <v/>
      </c>
      <c r="G103" s="215">
        <f>IFERROR(VLOOKUP($C103,'PORTIFÓLIO'!C:V,5,0),"")</f>
        <v/>
      </c>
      <c r="H103" s="254">
        <f t="array" ref="H103">IFERROR(INDEX('PORTIFÓLIO'!$H$4:$H$433,MATCH($C103,'PORTIFÓLIO'!$C$4:$C$433,0)),"")</f>
        <v/>
      </c>
      <c r="I103" s="256" t="n"/>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n"/>
      <c r="C104" s="213" t="n"/>
      <c r="D104" s="214">
        <f>IFERROR(VLOOKUP($C104,'PORTIFÓLIO'!C:V,2,0),"")</f>
        <v/>
      </c>
      <c r="E104" s="211">
        <f>IFERROR(VLOOKUP($C104,'PORTIFÓLIO'!C:V,3,0),"")</f>
        <v/>
      </c>
      <c r="F104" s="211">
        <f>IFERROR(VLOOKUP($C104,'PORTIFÓLIO'!C:V,4,0),"")</f>
        <v/>
      </c>
      <c r="G104" s="215">
        <f>IFERROR(VLOOKUP($C104,'PORTIFÓLIO'!C:V,5,0),"")</f>
        <v/>
      </c>
      <c r="H104" s="254">
        <f t="array" ref="H104">IFERROR(INDEX('PORTIFÓLIO'!$H$4:$H$433,MATCH($C104,'PORTIFÓLIO'!$C$4:$C$433,0)),"")</f>
        <v/>
      </c>
      <c r="I104" s="256" t="n"/>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AZIMUT</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inlineStr">
        <is>
          <t>FUNGICIDA</t>
        </is>
      </c>
      <c r="C116" s="283" t="inlineStr">
        <is>
          <t>MANCOZEB CCAB 750 WG</t>
        </is>
      </c>
      <c r="D116" s="214">
        <f>IFERROR(VLOOKUP($C116,'PORTIFÓLIO'!C:V,2,0),"")</f>
        <v/>
      </c>
      <c r="E116" s="211">
        <f>IFERROR(VLOOKUP($C116,'PORTIFÓLIO'!C:V,3,0),"")</f>
        <v/>
      </c>
      <c r="F116" s="211">
        <f>IFERROR(VLOOKUP($C116,'PORTIFÓLIO'!C:V,4,0),"")</f>
        <v/>
      </c>
      <c r="G116" s="225">
        <f>IFERROR(VLOOKUP($C116,'PORTIFÓLIO'!C:V,5,0),"")</f>
        <v/>
      </c>
      <c r="H116" s="254">
        <f t="array" ref="H116">IFERROR(INDEX('PORTIFÓLIO'!$H$4:$H$433,MATCH($C116,'PORTIFÓLIO'!$C$4:$C$433,0)),"")</f>
        <v/>
      </c>
      <c r="I116" s="255" t="n">
        <v>1.5</v>
      </c>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INSETICIDA</t>
        </is>
      </c>
      <c r="C117" s="283" t="inlineStr">
        <is>
          <t>CLORFENAPIR NORTOX</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ADJUVANTE</t>
        </is>
      </c>
      <c r="C118" s="283" t="inlineStr">
        <is>
          <t>JOINT ULTRA</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0.2</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n"/>
      <c r="C119" s="283" t="n"/>
      <c r="D119" s="214">
        <f>IFERROR(VLOOKUP($C119,'PORTIFÓLIO'!C:V,2,0),"")</f>
        <v/>
      </c>
      <c r="E119" s="211">
        <f>IFERROR(VLOOKUP($C119,'PORTIFÓLIO'!C:V,3,0),"")</f>
        <v/>
      </c>
      <c r="F119" s="211">
        <f>IFERROR(VLOOKUP($C119,'PORTIFÓLIO'!C:V,4,0),"")</f>
        <v/>
      </c>
      <c r="G119" s="215">
        <f>IFERROR(VLOOKUP($C119,'PORTIFÓLIO'!C:V,5,0),"")</f>
        <v/>
      </c>
      <c r="H119" s="254">
        <f t="array" ref="H119">IFERROR(INDEX('PORTIFÓLIO'!$H$4:$H$433,MATCH($C119,'PORTIFÓLIO'!$C$4:$C$433,0)),"")</f>
        <v/>
      </c>
      <c r="I119" s="255" t="n"/>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n"/>
      <c r="C120" s="213" t="n"/>
      <c r="D120" s="214">
        <f>IFERROR(VLOOKUP($C120,'PORTIFÓLIO'!C:V,2,0),"")</f>
        <v/>
      </c>
      <c r="E120" s="211">
        <f>IFERROR(VLOOKUP($C120,'PORTIFÓLIO'!C:V,3,0),"")</f>
        <v/>
      </c>
      <c r="F120" s="211">
        <f>IFERROR(VLOOKUP($C120,'PORTIFÓLIO'!C:V,4,0),"")</f>
        <v/>
      </c>
      <c r="G120" s="215">
        <f>IFERROR(VLOOKUP($C120,'PORTIFÓLIO'!C:V,5,0),"")</f>
        <v/>
      </c>
      <c r="H120" s="254">
        <f t="array" ref="H120">IFERROR(INDEX('PORTIFÓLIO'!$H$4:$H$433,MATCH($C120,'PORTIFÓLIO'!$C$4:$C$433,0)),"")</f>
        <v/>
      </c>
      <c r="I120" s="255" t="n"/>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6"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6"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MAGNUM</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1</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inlineStr">
        <is>
          <t>INSETICIDA</t>
        </is>
      </c>
      <c r="C136" s="213" t="inlineStr">
        <is>
          <t>INTREPID 240 SC</t>
        </is>
      </c>
      <c r="D136" s="214">
        <f>IFERROR(VLOOKUP($C136,'PORTIFÓLIO'!C:V,2,0),"")</f>
        <v/>
      </c>
      <c r="E136" s="211">
        <f>IFERROR(VLOOKUP($C136,'PORTIFÓLIO'!C:V,3,0),"")</f>
        <v/>
      </c>
      <c r="F136" s="211">
        <f>IFERROR(VLOOKUP($C136,'PORTIFÓLIO'!C:V,4,0),"")</f>
        <v/>
      </c>
      <c r="G136" s="225">
        <f>IFERROR(VLOOKUP($C136,'PORTIFÓLIO'!C:V,5,0),"")</f>
        <v/>
      </c>
      <c r="H136" s="254">
        <f t="array" ref="H136">IFERROR(INDEX('PORTIFÓLIO'!$H$4:$H$433,MATCH($C136,'PORTIFÓLIO'!$C$4:$C$433,0)),"")</f>
        <v/>
      </c>
      <c r="I136" s="255" t="n">
        <v>0.2</v>
      </c>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MANCOZEB CCAB 750 WG</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inlineStr">
        <is>
          <t>INSETICIDA</t>
        </is>
      </c>
      <c r="C152" s="213" t="inlineStr">
        <is>
          <t>MAGNUM</t>
        </is>
      </c>
      <c r="D152" s="214">
        <f>IFERROR(VLOOKUP($C152,'PORTIFÓLIO'!C:V,2,0),"")</f>
        <v/>
      </c>
      <c r="E152" s="211">
        <f>IFERROR(VLOOKUP($C152,'PORTIFÓLIO'!C:V,3,0),"")</f>
        <v/>
      </c>
      <c r="F152" s="211">
        <f>IFERROR(VLOOKUP($C152,'PORTIFÓLIO'!C:V,4,0),"")</f>
        <v/>
      </c>
      <c r="G152" s="225">
        <f>IFERROR(VLOOKUP($C152,'PORTIFÓLIO'!C:V,5,0),"")</f>
        <v/>
      </c>
      <c r="H152" s="254">
        <f t="array" ref="H152">IFERROR(INDEX('PORTIFÓLIO'!$H$4:$H$433,MATCH($C152,'PORTIFÓLIO'!$C$4:$C$433,0)),"")</f>
        <v/>
      </c>
      <c r="I152" s="255" t="n">
        <v>1</v>
      </c>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n"/>
      <c r="C166" s="213" t="n"/>
      <c r="D166" s="214">
        <f>IFERROR(VLOOKUP($C166,'PORTIFÓLIO'!C:V,2,0),"")</f>
        <v/>
      </c>
      <c r="E166" s="211">
        <f>IFERROR(VLOOKUP($C166,'PORTIFÓLIO'!C:V,3,0),"")</f>
        <v/>
      </c>
      <c r="F166" s="211">
        <f>IFERROR(VLOOKUP($C166,'PORTIFÓLIO'!C:V,4,0),"")</f>
        <v/>
      </c>
      <c r="G166" s="215">
        <f>IFERROR(VLOOKUP($C166,'PORTIFÓLIO'!C:V,5,0),"")</f>
        <v/>
      </c>
      <c r="H166" s="254">
        <f t="array" ref="H166">IFERROR(INDEX('PORTIFÓLIO'!$H$4:$H$433,MATCH($C166,'PORTIFÓLIO'!$C$4:$C$433,0)),"")</f>
        <v/>
      </c>
      <c r="I166" s="255" t="n"/>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n"/>
      <c r="C167" s="213" t="n"/>
      <c r="D167" s="214">
        <f>IFERROR(VLOOKUP($C167,'PORTIFÓLIO'!C:V,2,0),"")</f>
        <v/>
      </c>
      <c r="E167" s="211">
        <f>IFERROR(VLOOKUP($C167,'PORTIFÓLIO'!C:V,3,0),"")</f>
        <v/>
      </c>
      <c r="F167" s="211">
        <f>IFERROR(VLOOKUP($C167,'PORTIFÓLIO'!C:V,4,0),"")</f>
        <v/>
      </c>
      <c r="G167" s="215">
        <f>IFERROR(VLOOKUP($C167,'PORTIFÓLIO'!C:V,5,0),"")</f>
        <v/>
      </c>
      <c r="H167" s="254">
        <f t="array" ref="H167">IFERROR(INDEX('PORTIFÓLIO'!$H$4:$H$433,MATCH($C167,'PORTIFÓLIO'!$C$4:$C$433,0)),"")</f>
        <v/>
      </c>
      <c r="I167" s="255" t="n"/>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n"/>
      <c r="C183" s="213" t="n"/>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n"/>
      <c r="C184" s="213" t="n"/>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t="n"/>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n"/>
      <c r="C185" s="213" t="n"/>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t="n"/>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n"/>
      <c r="C186" s="213" t="n"/>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t="n"/>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n"/>
      <c r="C187" s="213" t="n"/>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6" t="n"/>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n"/>
      <c r="C188" s="213" t="n"/>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6" t="n"/>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n"/>
      <c r="C189" s="213" t="n"/>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6" t="n"/>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PLANTIO'!B19</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PLANTIO'!E19</f>
        <v/>
      </c>
      <c r="C228" s="269" t="inlineStr">
        <is>
          <t>Produtividade estimada Sc/há</t>
        </is>
      </c>
      <c r="D228" s="270">
        <f>'ÁREA PLANTIO'!I19</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PLANTIO'!H17</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13">
    <dataValidation sqref="C12:C16 C50 C69 C87 C103 C137 C154 C169 C171 C186 C188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28 C64 C67 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18 C26 C33 C46 C52 C71 C82 C89 C105 C122 C139 C156 C173 C184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29 C66 C100 C134 C136 C152"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98 C115 C132 C149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17 C51 C70 C88 C104 C121 C138 C155 C172 C189 C207 C244 C259 C278 C297 C315 C331 C348 C365 C382 C399 C416 C434" showDropDown="0" showInputMessage="0" showErrorMessage="0" allowBlank="1" type="list">
      <formula1>"CALCÁRIO DOLOMITICO,GESSO AGRICOLA"</formula1>
    </dataValidation>
    <dataValidation sqref="C45 C49 C68 C86 C102 C153 C170 C183 C187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27 C31 C47 C65 C85 C101 C118 C135 C151 C167" showDropDown="0" showInputMessage="0" showErrorMessage="0" allowBlank="1" type="list">
      <formula1>"RUMBA,ASSIST,MEES,AUREO EC,JOINT ULTRA,ENERGIC,EXTRAVON,OCHIMA,STRIDES"</formula1>
    </dataValidation>
    <dataValidation sqref="C99 C116 C133 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B10:B224 B237:B451" showDropDown="0" showInputMessage="0" showErrorMessage="1" allowBlank="1" type="list">
      <formula1>#REF!</formula1>
    </dataValidation>
    <dataValidation sqref="C168 C185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9 C30 C34 C48 C53:C54 C59 C72:C73 C84 C90:C91 C96 C106:C107 C112 C117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outlinePr summaryBelow="0"/>
    <pageSetUpPr/>
  </sheetPr>
  <dimension ref="A1:W652"/>
  <sheetViews>
    <sheetView workbookViewId="0">
      <selection activeCell="A1" sqref="A1"/>
    </sheetView>
  </sheetViews>
  <sheetFormatPr baseColWidth="8" defaultColWidth="12.63" defaultRowHeight="15" customHeight="1" outlineLevelRow="1"/>
  <cols>
    <col width="13.88" customWidth="1" style="297" min="1" max="1"/>
    <col width="22.75" customWidth="1" style="297" min="2" max="2"/>
    <col width="33.63" customWidth="1" style="297" min="3" max="3"/>
    <col width="40.25" customWidth="1" style="297" min="4" max="4"/>
    <col width="20.13" customWidth="1" style="297" min="5" max="5"/>
    <col width="13.13" customWidth="1" style="297" min="6" max="6"/>
    <col width="13.75" customWidth="1" style="297" min="7" max="7"/>
    <col width="10.38" customWidth="1" style="297" min="8" max="9"/>
    <col width="14" customWidth="1" style="297" min="10" max="10"/>
    <col width="14.38" customWidth="1" style="297" min="11" max="23"/>
  </cols>
  <sheetData>
    <row r="1" ht="15.75" customHeight="1" s="297">
      <c r="A1" s="260" t="inlineStr">
        <is>
          <t>Talhão:</t>
        </is>
      </c>
      <c r="B1" s="261">
        <f>'ÁREA PLANTIO'!B20</f>
        <v/>
      </c>
      <c r="C1" s="262" t="inlineStr">
        <is>
          <t>Custo estimado R$/há</t>
        </is>
      </c>
      <c r="D1" s="263">
        <f>$K$225</f>
        <v/>
      </c>
      <c r="E1" s="264" t="n"/>
      <c r="F1" s="265" t="inlineStr">
        <is>
          <t>ÁREA PLANTIO</t>
        </is>
      </c>
      <c r="G1" s="266" t="n"/>
      <c r="H1" s="267" t="n"/>
      <c r="I1" s="267" t="n"/>
      <c r="J1" s="267" t="n"/>
      <c r="K1" s="266" t="n"/>
      <c r="L1" s="220" t="n"/>
      <c r="M1" s="220" t="n"/>
      <c r="N1" s="220" t="n"/>
      <c r="O1" s="220" t="n"/>
      <c r="P1" s="220" t="n"/>
      <c r="Q1" s="220" t="n"/>
      <c r="R1" s="220" t="n"/>
      <c r="S1" s="220" t="n"/>
      <c r="T1" s="220" t="n"/>
      <c r="U1" s="220" t="n"/>
      <c r="V1" s="220" t="n"/>
      <c r="W1" s="220" t="n"/>
    </row>
    <row r="2" ht="15.75" customHeight="1" s="297">
      <c r="A2" s="260" t="inlineStr">
        <is>
          <t>Área:</t>
        </is>
      </c>
      <c r="B2" s="268">
        <f>'ÁREA PLANTIO'!E20</f>
        <v/>
      </c>
      <c r="C2" s="269" t="inlineStr">
        <is>
          <t>Produtividade estimada Sc/há</t>
        </is>
      </c>
      <c r="D2" s="270">
        <f>'ÁREA PLANTIO'!D20</f>
        <v/>
      </c>
      <c r="E2" s="264" t="n"/>
      <c r="F2" s="264" t="n"/>
      <c r="G2" s="266" t="n"/>
      <c r="H2" s="267" t="n"/>
      <c r="I2" s="267" t="n"/>
      <c r="J2" s="267" t="n"/>
      <c r="K2" s="266" t="n"/>
      <c r="L2" s="220" t="n"/>
      <c r="M2" s="220" t="n"/>
      <c r="N2" s="220" t="n"/>
      <c r="O2" s="220" t="n"/>
      <c r="P2" s="220" t="n"/>
      <c r="Q2" s="220" t="n"/>
      <c r="R2" s="220" t="n"/>
      <c r="S2" s="220" t="n"/>
      <c r="T2" s="220" t="n"/>
      <c r="U2" s="220" t="n"/>
      <c r="V2" s="220" t="n"/>
      <c r="W2" s="220" t="n"/>
    </row>
    <row r="3" ht="15.75" customHeight="1" s="297">
      <c r="A3" s="260" t="inlineStr">
        <is>
          <t>Empreedimento:</t>
        </is>
      </c>
      <c r="B3" s="267">
        <f>'ÁREA PLANTIO'!C20</f>
        <v/>
      </c>
      <c r="C3" s="269" t="inlineStr">
        <is>
          <t>Custo estimado por SC</t>
        </is>
      </c>
      <c r="D3" s="271">
        <f>D1/D2</f>
        <v/>
      </c>
      <c r="E3" s="264" t="n"/>
      <c r="F3" s="264" t="n"/>
      <c r="G3" s="266" t="n"/>
      <c r="H3" s="267" t="n"/>
      <c r="I3" s="267" t="n"/>
      <c r="J3" s="267" t="n"/>
      <c r="K3" s="266" t="n"/>
      <c r="L3" s="220" t="n"/>
      <c r="M3" s="220" t="n"/>
      <c r="N3" s="220" t="n"/>
      <c r="O3" s="220" t="n"/>
      <c r="P3" s="220" t="n"/>
      <c r="Q3" s="220" t="n"/>
      <c r="R3" s="220" t="n"/>
      <c r="S3" s="220" t="n"/>
      <c r="T3" s="220" t="n"/>
      <c r="U3" s="220" t="n"/>
      <c r="V3" s="220" t="n"/>
      <c r="W3" s="220" t="n"/>
    </row>
    <row r="4" ht="15.75" customHeight="1" s="297">
      <c r="A4" s="272" t="inlineStr">
        <is>
          <t>Data de plantio:</t>
        </is>
      </c>
      <c r="B4" s="273" t="n">
        <v>45606</v>
      </c>
      <c r="C4" s="274" t="n"/>
      <c r="D4" s="275" t="n"/>
      <c r="E4" s="276" t="n"/>
      <c r="F4" s="264" t="n"/>
      <c r="G4" s="266" t="n"/>
      <c r="H4" s="267" t="n"/>
      <c r="I4" s="267" t="n"/>
      <c r="J4" s="267" t="n"/>
      <c r="K4" s="266" t="n"/>
      <c r="L4" s="220" t="n"/>
      <c r="M4" s="220" t="n"/>
      <c r="N4" s="220" t="n"/>
      <c r="O4" s="220" t="n"/>
      <c r="P4" s="220" t="n"/>
      <c r="Q4" s="220" t="n"/>
      <c r="R4" s="220" t="n"/>
      <c r="S4" s="220" t="n"/>
      <c r="T4" s="220" t="n"/>
      <c r="U4" s="220" t="n"/>
      <c r="V4" s="220" t="n"/>
      <c r="W4" s="220" t="n"/>
    </row>
    <row r="5" ht="15.75" customHeight="1" s="297">
      <c r="E5" s="277" t="n"/>
      <c r="F5" s="264" t="n"/>
      <c r="G5" s="266" t="n"/>
      <c r="H5" s="267" t="n"/>
      <c r="I5" s="267" t="n"/>
      <c r="J5" s="267" t="n"/>
      <c r="K5" s="266" t="n"/>
      <c r="L5" s="220" t="n"/>
      <c r="M5" s="220" t="n"/>
      <c r="N5" s="220" t="n"/>
      <c r="O5" s="220" t="n"/>
      <c r="P5" s="220" t="n"/>
      <c r="Q5" s="220" t="n"/>
      <c r="R5" s="220" t="n"/>
      <c r="S5" s="220" t="n"/>
      <c r="T5" s="220" t="n"/>
      <c r="U5" s="220" t="n"/>
      <c r="V5" s="220" t="n"/>
      <c r="W5" s="220" t="n"/>
    </row>
    <row r="6" ht="15.75" customHeight="1" s="297">
      <c r="A6" s="260" t="n"/>
      <c r="B6" s="267" t="n"/>
      <c r="C6" s="264" t="n"/>
      <c r="D6" s="264" t="n"/>
      <c r="E6" s="264" t="n"/>
      <c r="F6" s="264" t="n"/>
      <c r="G6" s="266" t="n"/>
      <c r="H6" s="267" t="n"/>
      <c r="I6" s="267" t="n"/>
      <c r="J6" s="267" t="n"/>
      <c r="K6" s="266" t="n"/>
      <c r="L6" s="220" t="n"/>
      <c r="M6" s="220" t="n"/>
      <c r="N6" s="220" t="n"/>
      <c r="O6" s="220" t="n"/>
      <c r="P6" s="220" t="n"/>
      <c r="Q6" s="220" t="n"/>
      <c r="R6" s="220" t="n"/>
      <c r="S6" s="220" t="n"/>
      <c r="T6" s="220" t="n"/>
      <c r="U6" s="220" t="n"/>
      <c r="V6" s="220" t="n"/>
      <c r="W6" s="220" t="n"/>
    </row>
    <row r="7" ht="15.75" customHeight="1" s="297">
      <c r="A7" s="267" t="n"/>
      <c r="B7" s="267" t="n"/>
      <c r="C7" s="264" t="n"/>
      <c r="D7" s="264" t="n"/>
      <c r="E7" s="264" t="n"/>
      <c r="F7" s="264" t="n"/>
      <c r="G7" s="266" t="n"/>
      <c r="H7" s="267" t="n"/>
      <c r="I7" s="267" t="n"/>
      <c r="J7" s="267" t="n"/>
      <c r="K7" s="266" t="n"/>
      <c r="L7" s="220" t="n"/>
      <c r="M7" s="220" t="n"/>
      <c r="N7" s="220" t="n"/>
      <c r="O7" s="220" t="n"/>
      <c r="P7" s="220" t="n"/>
      <c r="Q7" s="220" t="n"/>
      <c r="R7" s="220" t="n"/>
      <c r="S7" s="220" t="n"/>
      <c r="T7" s="220" t="n"/>
      <c r="U7" s="220" t="n"/>
      <c r="V7" s="220" t="n"/>
      <c r="W7" s="220" t="n"/>
    </row>
    <row r="8" ht="15.75" customHeight="1" s="297">
      <c r="A8" s="267" t="n"/>
      <c r="B8" s="267" t="n"/>
      <c r="C8" s="267" t="n"/>
      <c r="D8" s="267" t="n"/>
      <c r="E8" s="264" t="n"/>
      <c r="F8" s="264" t="n"/>
      <c r="G8" s="266" t="n"/>
      <c r="H8" s="267" t="n"/>
      <c r="I8" s="267" t="n"/>
      <c r="J8" s="267" t="n"/>
      <c r="K8" s="266" t="n"/>
      <c r="L8" s="220" t="n"/>
      <c r="M8" s="220" t="n"/>
      <c r="N8" s="220" t="n"/>
      <c r="O8" s="220" t="n"/>
      <c r="P8" s="220" t="n"/>
      <c r="Q8" s="220" t="n"/>
      <c r="R8" s="220" t="n"/>
      <c r="S8" s="220" t="n"/>
      <c r="T8" s="220" t="n"/>
      <c r="U8" s="220" t="n"/>
      <c r="V8" s="220" t="n"/>
      <c r="W8" s="220" t="n"/>
    </row>
    <row r="9" ht="15.75" customHeight="1" s="297">
      <c r="A9" s="211" t="inlineStr">
        <is>
          <t>DAP da Operação</t>
        </is>
      </c>
      <c r="B9" s="213" t="inlineStr">
        <is>
          <t>Classe</t>
        </is>
      </c>
      <c r="C9" s="213" t="inlineStr">
        <is>
          <t>Produto</t>
        </is>
      </c>
      <c r="D9" s="211" t="inlineStr">
        <is>
          <t>Ingrediente Ativo</t>
        </is>
      </c>
      <c r="E9" s="211" t="inlineStr">
        <is>
          <t>Concentração</t>
        </is>
      </c>
      <c r="F9" s="211" t="inlineStr">
        <is>
          <t>Unidade</t>
        </is>
      </c>
      <c r="G9" s="278" t="inlineStr">
        <is>
          <t>Bula</t>
        </is>
      </c>
      <c r="H9" s="278" t="inlineStr">
        <is>
          <t>Sugestão</t>
        </is>
      </c>
      <c r="I9" s="278" t="inlineStr">
        <is>
          <t>Dose</t>
        </is>
      </c>
      <c r="J9" s="279" t="inlineStr">
        <is>
          <t>Total</t>
        </is>
      </c>
      <c r="K9" s="280" t="inlineStr">
        <is>
          <t>CUSTO/HA</t>
        </is>
      </c>
      <c r="L9" s="281" t="inlineStr">
        <is>
          <t>VALOR TOTAL</t>
        </is>
      </c>
      <c r="M9" s="220" t="n"/>
      <c r="N9" s="220" t="n"/>
      <c r="O9" s="220" t="n"/>
      <c r="P9" s="220" t="n"/>
      <c r="Q9" s="220" t="n"/>
      <c r="R9" s="220" t="n"/>
      <c r="S9" s="220" t="n"/>
      <c r="T9" s="220" t="n"/>
      <c r="U9" s="220" t="n"/>
      <c r="V9" s="220" t="n"/>
      <c r="W9" s="220" t="n"/>
    </row>
    <row r="10" ht="15.75" customHeight="1" s="297">
      <c r="A10" s="231" t="inlineStr">
        <is>
          <t>OPERAÇÃO 1</t>
        </is>
      </c>
      <c r="B10" s="230" t="n"/>
      <c r="C10" s="231" t="n"/>
      <c r="D10" s="232" t="inlineStr">
        <is>
          <t>-</t>
        </is>
      </c>
      <c r="E10" s="231" t="n"/>
      <c r="F10" s="231" t="n"/>
      <c r="G10" s="233" t="n"/>
      <c r="H10" s="282" t="n"/>
      <c r="I10" s="258" t="n"/>
      <c r="J10" s="236" t="n"/>
      <c r="K10" s="237">
        <f>SUBTOTAL(9,K11:K24)</f>
        <v/>
      </c>
      <c r="L10" s="237">
        <f>SUBTOTAL(9,L11:L24)</f>
        <v/>
      </c>
      <c r="M10" s="220" t="n"/>
      <c r="N10" s="220" t="n"/>
      <c r="O10" s="220" t="n"/>
      <c r="P10" s="220" t="n"/>
      <c r="Q10" s="220" t="n"/>
      <c r="R10" s="220" t="n"/>
      <c r="S10" s="220" t="n"/>
      <c r="T10" s="220" t="n"/>
      <c r="U10" s="220" t="n"/>
      <c r="V10" s="220" t="n"/>
      <c r="W10" s="220" t="n"/>
    </row>
    <row r="11" outlineLevel="1" s="297">
      <c r="A11" s="213" t="n"/>
      <c r="B11" s="212" t="inlineStr">
        <is>
          <t>CORRETIVOS</t>
        </is>
      </c>
      <c r="C11" s="213" t="inlineStr">
        <is>
          <t>CALCÁRIO DOLOMITICO</t>
        </is>
      </c>
      <c r="D11" s="214">
        <f>IFERROR(VLOOKUP($C11,'PORTIFÓLIO'!C:V,2,0),"")</f>
        <v/>
      </c>
      <c r="E11" s="211">
        <f>IFERROR(VLOOKUP($C11,'PORTIFÓLIO'!C:V,3,0),"")</f>
        <v/>
      </c>
      <c r="F11" s="211">
        <f>IFERROR(VLOOKUP($C11,'PORTIFÓLIO'!C:V,4,0),"")</f>
        <v/>
      </c>
      <c r="G11" s="215">
        <f>IFERROR(VLOOKUP($C11,'PORTIFÓLIO'!C:V,5,0),"")</f>
        <v/>
      </c>
      <c r="H11" s="254">
        <f t="array" ref="H11">IFERROR(INDEX('PORTIFÓLIO'!$H$4:$H$433,MATCH($C11,'PORTIFÓLIO'!$C$4:$C$433,0)),"")</f>
        <v/>
      </c>
      <c r="I11" s="255" t="n">
        <v>3</v>
      </c>
      <c r="J11" s="218">
        <f>I11*$B$2</f>
        <v/>
      </c>
      <c r="K11" s="219">
        <f t="array" ref="K11">IFERROR(I11*INDEX('PORTIFÓLIO'!$S$4:$S$433,MATCH($C11,'PORTIFÓLIO'!$C$4:$C$433,0)),"")</f>
        <v/>
      </c>
      <c r="L11" s="219">
        <f t="array" ref="L11">IFERROR(J11*INDEX('PORTIFÓLIO'!$S$4:$S$433,MATCH($C11,'PORTIFÓLIO'!$C$4:$C$433,0)),"")</f>
        <v/>
      </c>
      <c r="M11" s="220" t="n"/>
      <c r="N11" s="220" t="n"/>
      <c r="O11" s="220" t="n"/>
      <c r="P11" s="220" t="n"/>
      <c r="Q11" s="220" t="n"/>
      <c r="R11" s="220" t="n"/>
      <c r="S11" s="220" t="n"/>
      <c r="T11" s="220" t="n"/>
      <c r="U11" s="220">
        <f>IFERROR(__xludf.DUMMYFUNCTION("FILTER('PORTIFÓLIO'!C:C, 'PORTIFÓLIO'!B:B=B11)"),"#REF!")</f>
        <v/>
      </c>
      <c r="V11" s="220" t="n"/>
      <c r="W11" s="220" t="n"/>
    </row>
    <row r="12" outlineLevel="1" s="297">
      <c r="A12" s="213" t="n"/>
      <c r="B12" s="212" t="inlineStr">
        <is>
          <t>FERTILIZANTES</t>
        </is>
      </c>
      <c r="C12" s="213" t="inlineStr">
        <is>
          <t>SSP 21</t>
        </is>
      </c>
      <c r="D12" s="214">
        <f>IFERROR(VLOOKUP($C12,'PORTIFÓLIO'!C:V,2,0),"")</f>
        <v/>
      </c>
      <c r="E12" s="211">
        <f>IFERROR(VLOOKUP($C12,'PORTIFÓLIO'!C:V,3,0),"")</f>
        <v/>
      </c>
      <c r="F12" s="211">
        <f>IFERROR(VLOOKUP($C12,'PORTIFÓLIO'!C:V,4,0),"")</f>
        <v/>
      </c>
      <c r="G12" s="215">
        <f>IFERROR(VLOOKUP($C12,'PORTIFÓLIO'!C:V,5,0),"")</f>
        <v/>
      </c>
      <c r="H12" s="254">
        <f t="array" ref="H12">IFERROR(INDEX('PORTIFÓLIO'!$H$4:$H$433,MATCH($C12,'PORTIFÓLIO'!$C$4:$C$433,0)),"")</f>
        <v/>
      </c>
      <c r="I12" s="255" t="n">
        <v>0.2</v>
      </c>
      <c r="J12" s="218">
        <f>I12*$B$2</f>
        <v/>
      </c>
      <c r="K12" s="219">
        <f t="array" ref="K12">IFERROR(I12*INDEX('PORTIFÓLIO'!$S$4:$S$433,MATCH($C12,'PORTIFÓLIO'!$C$4:$C$433,0)),"")</f>
        <v/>
      </c>
      <c r="L12" s="219">
        <f t="array" ref="L12">IFERROR(J12*INDEX('PORTIFÓLIO'!$S$4:$S$433,MATCH($C12,'PORTIFÓLIO'!$C$4:$C$433,0)),"")</f>
        <v/>
      </c>
      <c r="M12" s="220" t="n"/>
      <c r="N12" s="220" t="n"/>
      <c r="O12" s="220" t="n"/>
      <c r="P12" s="220" t="n"/>
      <c r="Q12" s="220" t="n"/>
      <c r="R12" s="220" t="n"/>
      <c r="S12" s="220" t="n"/>
      <c r="T12" s="220" t="n"/>
      <c r="U12" s="220">
        <f>IFERROR(__xludf.DUMMYFUNCTION("FILTER('PORTIFÓLIO'!C:C, 'PORTIFÓLIO'!B:B=B12)"),"#REF!")</f>
        <v/>
      </c>
      <c r="V12" s="220" t="n"/>
      <c r="W12" s="220" t="n"/>
    </row>
    <row r="13" outlineLevel="1" s="297">
      <c r="A13" s="213" t="n"/>
      <c r="B13" s="212" t="inlineStr">
        <is>
          <t>FERTILIZANTES</t>
        </is>
      </c>
      <c r="C13" s="213" t="inlineStr">
        <is>
          <t>KCL 60%</t>
        </is>
      </c>
      <c r="D13" s="214">
        <f>IFERROR(VLOOKUP($C13,'PORTIFÓLIO'!C:V,2,0),"")</f>
        <v/>
      </c>
      <c r="E13" s="211">
        <f>IFERROR(VLOOKUP($C13,'PORTIFÓLIO'!C:V,3,0),"")</f>
        <v/>
      </c>
      <c r="F13" s="211">
        <f>IFERROR(VLOOKUP($C13,'PORTIFÓLIO'!C:V,4,0),"")</f>
        <v/>
      </c>
      <c r="G13" s="215">
        <f>IFERROR(VLOOKUP($C13,'PORTIFÓLIO'!C:V,5,0),"")</f>
        <v/>
      </c>
      <c r="H13" s="254">
        <f t="array" ref="H13">IFERROR(INDEX('PORTIFÓLIO'!$H$4:$H$433,MATCH($C13,'PORTIFÓLIO'!$C$4:$C$433,0)),"")</f>
        <v/>
      </c>
      <c r="I13" s="255" t="n">
        <v>0.3</v>
      </c>
      <c r="J13" s="218">
        <f>I13*$B$2</f>
        <v/>
      </c>
      <c r="K13" s="219">
        <f t="array" ref="K13">IFERROR(I13*INDEX('PORTIFÓLIO'!$S$4:$S$433,MATCH($C13,'PORTIFÓLIO'!$C$4:$C$433,0)),"")</f>
        <v/>
      </c>
      <c r="L13" s="219">
        <f t="array" ref="L13">IFERROR(J13*INDEX('PORTIFÓLIO'!$S$4:$S$433,MATCH($C13,'PORTIFÓLIO'!$C$4:$C$433,0)),"")</f>
        <v/>
      </c>
      <c r="M13" s="220" t="n"/>
      <c r="N13" s="220" t="n"/>
      <c r="O13" s="220" t="n"/>
      <c r="P13" s="220" t="n"/>
      <c r="Q13" s="220" t="n"/>
      <c r="R13" s="220" t="n"/>
      <c r="S13" s="220" t="n"/>
      <c r="T13" s="220" t="n"/>
      <c r="U13" s="220">
        <f>IFERROR(__xludf.DUMMYFUNCTION("FILTER('PORTIFÓLIO'!C:C, 'PORTIFÓLIO'!B:B=B13)"),"#REF!")</f>
        <v/>
      </c>
      <c r="V13" s="220" t="n"/>
      <c r="W13" s="220" t="n"/>
    </row>
    <row r="14" outlineLevel="1" s="297">
      <c r="A14" s="211" t="n"/>
      <c r="B14" s="212" t="inlineStr">
        <is>
          <t>FERTILIZANTES</t>
        </is>
      </c>
      <c r="C14" s="213" t="inlineStr">
        <is>
          <t xml:space="preserve">00-01-00+Cu2 Mn8 Zn7 </t>
        </is>
      </c>
      <c r="D14" s="214">
        <f>IFERROR(VLOOKUP($C14,'PORTIFÓLIO'!C:V,2,0),"")</f>
        <v/>
      </c>
      <c r="E14" s="211">
        <f>IFERROR(VLOOKUP($C14,'PORTIFÓLIO'!C:V,3,0),"")</f>
        <v/>
      </c>
      <c r="F14" s="211">
        <f>IFERROR(VLOOKUP($C14,'PORTIFÓLIO'!C:V,4,0),"")</f>
        <v/>
      </c>
      <c r="G14" s="215">
        <f>IFERROR(VLOOKUP($C14,'PORTIFÓLIO'!C:V,5,0),"")</f>
        <v/>
      </c>
      <c r="H14" s="254">
        <f t="array" ref="H14">IFERROR(INDEX('PORTIFÓLIO'!$H$4:$H$433,MATCH($C14,'PORTIFÓLIO'!$C$4:$C$433,0)),"")</f>
        <v/>
      </c>
      <c r="I14" s="255" t="n">
        <v>0.05</v>
      </c>
      <c r="J14" s="218">
        <f>I14*$B$2</f>
        <v/>
      </c>
      <c r="K14" s="219">
        <f t="array" ref="K14">IFERROR(I14*INDEX('PORTIFÓLIO'!$S$4:$S$433,MATCH($C14,'PORTIFÓLIO'!$C$4:$C$433,0)),"")</f>
        <v/>
      </c>
      <c r="L14" s="219">
        <f t="array" ref="L14">IFERROR(J14*INDEX('PORTIFÓLIO'!$S$4:$S$433,MATCH($C14,'PORTIFÓLIO'!$C$4:$C$433,0)),"")</f>
        <v/>
      </c>
      <c r="M14" s="220" t="n"/>
      <c r="N14" s="220" t="n"/>
      <c r="O14" s="220" t="n"/>
      <c r="P14" s="220" t="n"/>
      <c r="Q14" s="220" t="n"/>
      <c r="R14" s="220" t="n"/>
      <c r="S14" s="220" t="n"/>
      <c r="T14" s="220" t="n"/>
      <c r="U14" s="220">
        <f>IFERROR(__xludf.DUMMYFUNCTION("FILTER('PORTIFÓLIO'!C:C, 'PORTIFÓLIO'!B:B=B14)"),"#REF!")</f>
        <v/>
      </c>
      <c r="V14" s="220" t="n"/>
      <c r="W14" s="220" t="n"/>
    </row>
    <row r="15" outlineLevel="1" s="297">
      <c r="A15" s="211" t="n"/>
      <c r="B15" s="212" t="n"/>
      <c r="C15" s="213" t="n"/>
      <c r="D15" s="214">
        <f>IFERROR(VLOOKUP($C15,'PORTIFÓLIO'!C:V,2,0),"")</f>
        <v/>
      </c>
      <c r="E15" s="211">
        <f>IFERROR(VLOOKUP($C15,'PORTIFÓLIO'!C:V,3,0),"")</f>
        <v/>
      </c>
      <c r="F15" s="211">
        <f>IFERROR(VLOOKUP($C15,'PORTIFÓLIO'!C:V,4,0),"")</f>
        <v/>
      </c>
      <c r="G15" s="215">
        <f>IFERROR(VLOOKUP($C15,'PORTIFÓLIO'!C:V,5,0),"")</f>
        <v/>
      </c>
      <c r="H15" s="254">
        <f t="array" ref="H15">IFERROR(INDEX('PORTIFÓLIO'!$H$4:$H$433,MATCH($C15,'PORTIFÓLIO'!$C$4:$C$433,0)),"")</f>
        <v/>
      </c>
      <c r="I15" s="255" t="n"/>
      <c r="J15" s="218">
        <f>I15*$B$2</f>
        <v/>
      </c>
      <c r="K15" s="219">
        <f t="array" ref="K15">IFERROR(I15*INDEX('PORTIFÓLIO'!$S$4:$S$433,MATCH($C15,'PORTIFÓLIO'!$C$4:$C$433,0)),"")</f>
        <v/>
      </c>
      <c r="L15" s="219">
        <f t="array" ref="L15">IFERROR(J15*INDEX('PORTIFÓLIO'!$S$4:$S$433,MATCH($C15,'PORTIFÓLIO'!$C$4:$C$433,0)),"")</f>
        <v/>
      </c>
      <c r="M15" s="220" t="n"/>
      <c r="N15" s="220" t="n"/>
      <c r="O15" s="220" t="n"/>
      <c r="P15" s="220" t="n"/>
      <c r="Q15" s="220" t="n"/>
      <c r="R15" s="220" t="n"/>
      <c r="S15" s="220" t="n"/>
      <c r="T15" s="220" t="n"/>
      <c r="U15" s="220">
        <f>IFERROR(__xludf.DUMMYFUNCTION("FILTER('PORTIFÓLIO'!C:C, 'PORTIFÓLIO'!B:B=B15)"),"#REF!")</f>
        <v/>
      </c>
      <c r="V15" s="220" t="n"/>
      <c r="W15" s="220" t="n"/>
    </row>
    <row r="16" outlineLevel="1" s="297">
      <c r="A16" s="211" t="n"/>
      <c r="B16" s="212" t="n"/>
      <c r="C16" s="213" t="n"/>
      <c r="D16" s="214">
        <f>IFERROR(VLOOKUP($C16,'PORTIFÓLIO'!C:V,2,0),"")</f>
        <v/>
      </c>
      <c r="E16" s="211">
        <f>IFERROR(VLOOKUP($C16,'PORTIFÓLIO'!C:V,3,0),"")</f>
        <v/>
      </c>
      <c r="F16" s="211">
        <f>IFERROR(VLOOKUP($C16,'PORTIFÓLIO'!C:V,4,0),"")</f>
        <v/>
      </c>
      <c r="G16" s="215">
        <f>IFERROR(VLOOKUP($C16,'PORTIFÓLIO'!C:V,5,0),"")</f>
        <v/>
      </c>
      <c r="H16" s="254">
        <f t="array" ref="H16">IFERROR(INDEX('PORTIFÓLIO'!$H$4:$H$433,MATCH($C16,'PORTIFÓLIO'!$C$4:$C$433,0)),"")</f>
        <v/>
      </c>
      <c r="I16" s="255" t="n"/>
      <c r="J16" s="218">
        <f>I16*$B$2</f>
        <v/>
      </c>
      <c r="K16" s="219">
        <f t="array" ref="K16">IFERROR(I16*INDEX('PORTIFÓLIO'!$S$4:$S$433,MATCH($C16,'PORTIFÓLIO'!$C$4:$C$433,0)),"")</f>
        <v/>
      </c>
      <c r="L16" s="219">
        <f t="array" ref="L16">IFERROR(J16*INDEX('PORTIFÓLIO'!$S$4:$S$433,MATCH($C16,'PORTIFÓLIO'!$C$4:$C$433,0)),"")</f>
        <v/>
      </c>
      <c r="M16" s="220" t="n"/>
      <c r="N16" s="220" t="n"/>
      <c r="O16" s="220" t="n"/>
      <c r="P16" s="220" t="n"/>
      <c r="Q16" s="220" t="n"/>
      <c r="R16" s="220" t="n"/>
      <c r="S16" s="220" t="n"/>
      <c r="T16" s="220" t="n"/>
      <c r="U16" s="220">
        <f>IFERROR(__xludf.DUMMYFUNCTION("FILTER('PORTIFÓLIO'!C:C, 'PORTIFÓLIO'!B:B=B16)"),"#REF!")</f>
        <v/>
      </c>
      <c r="V16" s="220" t="n"/>
      <c r="W16" s="220" t="n"/>
    </row>
    <row r="17" outlineLevel="1" s="297">
      <c r="A17" s="211" t="n"/>
      <c r="B17" s="212" t="n"/>
      <c r="C17" s="213" t="n"/>
      <c r="D17" s="214">
        <f>IFERROR(VLOOKUP($C17,'PORTIFÓLIO'!C:V,2,0),"")</f>
        <v/>
      </c>
      <c r="E17" s="211">
        <f>IFERROR(VLOOKUP($C17,'PORTIFÓLIO'!C:V,3,0),"")</f>
        <v/>
      </c>
      <c r="F17" s="211">
        <f>IFERROR(VLOOKUP($C17,'PORTIFÓLIO'!C:V,4,0),"")</f>
        <v/>
      </c>
      <c r="G17" s="215">
        <f>IFERROR(VLOOKUP($C17,'PORTIFÓLIO'!C:V,5,0),"")</f>
        <v/>
      </c>
      <c r="H17" s="254">
        <f t="array" ref="H17">IFERROR(INDEX('PORTIFÓLIO'!$H$4:$H$433,MATCH($C17,'PORTIFÓLIO'!$C$4:$C$433,0)),"")</f>
        <v/>
      </c>
      <c r="I17" s="255" t="n"/>
      <c r="J17" s="218">
        <f>I17*$B$2</f>
        <v/>
      </c>
      <c r="K17" s="219">
        <f t="array" ref="K17">IFERROR(I17*INDEX('PORTIFÓLIO'!$S$4:$S$433,MATCH($C17,'PORTIFÓLIO'!$C$4:$C$433,0)),"")</f>
        <v/>
      </c>
      <c r="L17" s="219">
        <f t="array" ref="L17">IFERROR(J17*INDEX('PORTIFÓLIO'!$S$4:$S$433,MATCH($C17,'PORTIFÓLIO'!$C$4:$C$433,0)),"")</f>
        <v/>
      </c>
      <c r="M17" s="220" t="n"/>
      <c r="N17" s="220" t="n"/>
      <c r="O17" s="220" t="n"/>
      <c r="P17" s="220" t="n"/>
      <c r="Q17" s="220" t="n"/>
      <c r="R17" s="220" t="n"/>
      <c r="S17" s="220" t="n"/>
      <c r="T17" s="220" t="n"/>
      <c r="U17" s="220">
        <f>IFERROR(__xludf.DUMMYFUNCTION("FILTER('PORTIFÓLIO'!C:C, 'PORTIFÓLIO'!B:B=B17)"),"#REF!")</f>
        <v/>
      </c>
      <c r="V17" s="220" t="n"/>
      <c r="W17" s="220" t="n"/>
    </row>
    <row r="18" outlineLevel="1" s="297">
      <c r="A18" s="211" t="n"/>
      <c r="B18" s="212" t="n"/>
      <c r="C18" s="213" t="n"/>
      <c r="D18" s="214">
        <f>IFERROR(VLOOKUP($C18,'PORTIFÓLIO'!C:V,2,0),"")</f>
        <v/>
      </c>
      <c r="E18" s="211">
        <f>IFERROR(VLOOKUP($C18,'PORTIFÓLIO'!C:V,3,0),"")</f>
        <v/>
      </c>
      <c r="F18" s="211">
        <f>IFERROR(VLOOKUP($C18,'PORTIFÓLIO'!C:V,4,0),"")</f>
        <v/>
      </c>
      <c r="G18" s="215">
        <f>IFERROR(VLOOKUP($C18,'PORTIFÓLIO'!C:V,5,0),"")</f>
        <v/>
      </c>
      <c r="H18" s="254">
        <f t="array" ref="H18">IFERROR(INDEX('PORTIFÓLIO'!$H$4:$H$433,MATCH($C18,'PORTIFÓLIO'!$C$4:$C$433,0)),"")</f>
        <v/>
      </c>
      <c r="I18" s="255" t="n"/>
      <c r="J18" s="218">
        <f>I18*$B$2</f>
        <v/>
      </c>
      <c r="K18" s="219">
        <f t="array" ref="K18">IFERROR(I18*INDEX('PORTIFÓLIO'!$S$4:$S$433,MATCH($C18,'PORTIFÓLIO'!$C$4:$C$433,0)),"")</f>
        <v/>
      </c>
      <c r="L18" s="219">
        <f t="array" ref="L18">IFERROR(J18*INDEX('PORTIFÓLIO'!$S$4:$S$433,MATCH($C18,'PORTIFÓLIO'!$C$4:$C$433,0)),"")</f>
        <v/>
      </c>
      <c r="M18" s="220" t="n"/>
      <c r="N18" s="220" t="n"/>
      <c r="O18" s="220" t="n"/>
      <c r="P18" s="220" t="n"/>
      <c r="Q18" s="220" t="n"/>
      <c r="R18" s="220" t="n"/>
      <c r="S18" s="220" t="n"/>
      <c r="T18" s="220" t="n"/>
      <c r="U18" s="220">
        <f>IFERROR(__xludf.DUMMYFUNCTION("FILTER('PORTIFÓLIO'!C:C, 'PORTIFÓLIO'!B:B=B18)"),"#REF!")</f>
        <v/>
      </c>
      <c r="V18" s="220" t="n"/>
      <c r="W18" s="220" t="n"/>
    </row>
    <row r="19" outlineLevel="1" s="297">
      <c r="A19" s="211" t="n"/>
      <c r="B19" s="212" t="n"/>
      <c r="C19" s="213" t="n"/>
      <c r="D19" s="214">
        <f>IFERROR(VLOOKUP($C19,'PORTIFÓLIO'!C:V,2,0),"")</f>
        <v/>
      </c>
      <c r="E19" s="211">
        <f>IFERROR(VLOOKUP($C19,'PORTIFÓLIO'!C:V,3,0),"")</f>
        <v/>
      </c>
      <c r="F19" s="211">
        <f>IFERROR(VLOOKUP($C19,'PORTIFÓLIO'!C:V,4,0),"")</f>
        <v/>
      </c>
      <c r="G19" s="215">
        <f>IFERROR(VLOOKUP($C19,'PORTIFÓLIO'!C:V,5,0),"")</f>
        <v/>
      </c>
      <c r="H19" s="254">
        <f t="array" ref="H19">IFERROR(INDEX('PORTIFÓLIO'!$H$4:$H$433,MATCH($C19,'PORTIFÓLIO'!$C$4:$C$433,0)),"")</f>
        <v/>
      </c>
      <c r="I19" s="255" t="n"/>
      <c r="J19" s="218">
        <f>I19*$B$2</f>
        <v/>
      </c>
      <c r="K19" s="219">
        <f t="array" ref="K19">IFERROR(I19*INDEX('PORTIFÓLIO'!$S$4:$S$433,MATCH($C19,'PORTIFÓLIO'!$C$4:$C$433,0)),"")</f>
        <v/>
      </c>
      <c r="L19" s="219">
        <f t="array" ref="L19">IFERROR(J19*INDEX('PORTIFÓLIO'!$S$4:$S$433,MATCH($C19,'PORTIFÓLIO'!$C$4:$C$433,0)),"")</f>
        <v/>
      </c>
      <c r="M19" s="220" t="n"/>
      <c r="N19" s="220" t="n"/>
      <c r="O19" s="220" t="n"/>
      <c r="P19" s="220" t="n"/>
      <c r="Q19" s="220" t="n"/>
      <c r="R19" s="220" t="n"/>
      <c r="S19" s="220" t="n"/>
      <c r="T19" s="220" t="n"/>
      <c r="U19" s="220">
        <f>IFERROR(__xludf.DUMMYFUNCTION("FILTER('PORTIFÓLIO'!C:C, 'PORTIFÓLIO'!B:B=B19)"),"")</f>
        <v/>
      </c>
      <c r="V19" s="220" t="n"/>
      <c r="W19" s="220" t="n"/>
    </row>
    <row r="20" outlineLevel="1" s="297">
      <c r="A20" s="211" t="n"/>
      <c r="B20" s="212" t="n"/>
      <c r="C20" s="213" t="n"/>
      <c r="D20" s="214">
        <f>IFERROR(VLOOKUP($C20,'PORTIFÓLIO'!C:V,2,0),"")</f>
        <v/>
      </c>
      <c r="E20" s="211">
        <f>IFERROR(VLOOKUP($C20,'PORTIFÓLIO'!C:V,3,0),"")</f>
        <v/>
      </c>
      <c r="F20" s="211">
        <f>IFERROR(VLOOKUP($C20,'PORTIFÓLIO'!C:V,4,0),"")</f>
        <v/>
      </c>
      <c r="G20" s="215">
        <f>IFERROR(VLOOKUP($C20,'PORTIFÓLIO'!C:V,5,0),"")</f>
        <v/>
      </c>
      <c r="H20" s="254">
        <f t="array" ref="H20">IFERROR(INDEX('PORTIFÓLIO'!$H$4:$H$433,MATCH($C20,'PORTIFÓLIO'!$C$4:$C$433,0)),"")</f>
        <v/>
      </c>
      <c r="I20" s="255" t="n"/>
      <c r="J20" s="218">
        <f>I20*$B$2</f>
        <v/>
      </c>
      <c r="K20" s="219">
        <f t="array" ref="K20">IFERROR(I20*INDEX('PORTIFÓLIO'!$S$4:$S$433,MATCH($C20,'PORTIFÓLIO'!$C$4:$C$433,0)),"")</f>
        <v/>
      </c>
      <c r="L20" s="219">
        <f t="array" ref="L20">IFERROR(J20*INDEX('PORTIFÓLIO'!$S$4:$S$433,MATCH($C20,'PORTIFÓLIO'!$C$4:$C$433,0)),"")</f>
        <v/>
      </c>
      <c r="M20" s="220" t="n"/>
      <c r="N20" s="220" t="n"/>
      <c r="O20" s="220" t="n"/>
      <c r="P20" s="220" t="n"/>
      <c r="Q20" s="220" t="n"/>
      <c r="R20" s="220" t="n"/>
      <c r="S20" s="220" t="n"/>
      <c r="T20" s="220" t="n"/>
      <c r="U20" s="220" t="n"/>
      <c r="V20" s="220" t="n"/>
      <c r="W20" s="220" t="n"/>
    </row>
    <row r="21" outlineLevel="1" ht="15.75" customHeight="1" s="297">
      <c r="A21" s="211" t="n"/>
      <c r="B21" s="212" t="n"/>
      <c r="C21" s="213" t="n"/>
      <c r="D21" s="214">
        <f>IFERROR(VLOOKUP($C21,'PORTIFÓLIO'!C:V,2,0),"")</f>
        <v/>
      </c>
      <c r="E21" s="211">
        <f>IFERROR(VLOOKUP($C21,'PORTIFÓLIO'!C:V,3,0),"")</f>
        <v/>
      </c>
      <c r="F21" s="211">
        <f>IFERROR(VLOOKUP($C21,'PORTIFÓLIO'!C:V,4,0),"")</f>
        <v/>
      </c>
      <c r="G21" s="215">
        <f>IFERROR(VLOOKUP($C21,'PORTIFÓLIO'!C:V,5,0),"")</f>
        <v/>
      </c>
      <c r="H21" s="254">
        <f t="array" ref="H21">IFERROR(INDEX('PORTIFÓLIO'!$H$4:$H$433,MATCH($C21,'PORTIFÓLIO'!$C$4:$C$433,0)),"")</f>
        <v/>
      </c>
      <c r="I21" s="255" t="n"/>
      <c r="J21" s="218">
        <f>I21*$B$2</f>
        <v/>
      </c>
      <c r="K21" s="219">
        <f t="array" ref="K21">IFERROR(I21*INDEX('PORTIFÓLIO'!$S$4:$S$433,MATCH($C21,'PORTIFÓLIO'!$C$4:$C$433,0)),"")</f>
        <v/>
      </c>
      <c r="L21" s="219">
        <f t="array" ref="L21">IFERROR(J21*INDEX('PORTIFÓLIO'!$S$4:$S$433,MATCH($C21,'PORTIFÓLIO'!$C$4:$C$433,0)),"")</f>
        <v/>
      </c>
      <c r="M21" s="220" t="n"/>
      <c r="N21" s="220" t="n"/>
      <c r="O21" s="220" t="n"/>
      <c r="P21" s="220" t="n"/>
      <c r="Q21" s="220" t="n"/>
      <c r="R21" s="220" t="n"/>
      <c r="S21" s="220" t="n"/>
      <c r="T21" s="220" t="n"/>
      <c r="U21" s="220" t="n"/>
      <c r="V21" s="220" t="n"/>
      <c r="W21" s="220" t="n"/>
    </row>
    <row r="22" outlineLevel="1" ht="15.75" customHeight="1" s="297">
      <c r="A22" s="211" t="n"/>
      <c r="B22" s="212" t="n"/>
      <c r="C22" s="213" t="n"/>
      <c r="D22" s="214">
        <f>IFERROR(VLOOKUP($C22,'PORTIFÓLIO'!C:V,2,0),"")</f>
        <v/>
      </c>
      <c r="E22" s="211">
        <f>IFERROR(VLOOKUP($C22,'PORTIFÓLIO'!C:V,3,0),"")</f>
        <v/>
      </c>
      <c r="F22" s="211">
        <f>IFERROR(VLOOKUP($C22,'PORTIFÓLIO'!C:V,4,0),"")</f>
        <v/>
      </c>
      <c r="G22" s="215">
        <f>IFERROR(VLOOKUP($C22,'PORTIFÓLIO'!C:V,5,0),"")</f>
        <v/>
      </c>
      <c r="H22" s="254">
        <f t="array" ref="H22">IFERROR(INDEX('PORTIFÓLIO'!$H$4:$H$433,MATCH($C22,'PORTIFÓLIO'!$C$4:$C$433,0)),"")</f>
        <v/>
      </c>
      <c r="I22" s="255" t="n"/>
      <c r="J22" s="218">
        <f>I22*$B$2</f>
        <v/>
      </c>
      <c r="K22" s="219">
        <f t="array" ref="K22">IFERROR(I22*INDEX('PORTIFÓLIO'!$S$4:$S$433,MATCH($C22,'PORTIFÓLIO'!$C$4:$C$433,0)),"")</f>
        <v/>
      </c>
      <c r="L22" s="219">
        <f t="array" ref="L22">IFERROR(J22*INDEX('PORTIFÓLIO'!$S$4:$S$433,MATCH($C22,'PORTIFÓLIO'!$C$4:$C$433,0)),"")</f>
        <v/>
      </c>
      <c r="M22" s="220" t="n"/>
      <c r="N22" s="220" t="n"/>
      <c r="O22" s="220" t="n"/>
      <c r="P22" s="220" t="n"/>
      <c r="Q22" s="220" t="n"/>
      <c r="R22" s="220" t="n"/>
      <c r="S22" s="220" t="n"/>
      <c r="T22" s="220" t="n"/>
      <c r="U22" s="220" t="n"/>
      <c r="V22" s="220" t="n"/>
      <c r="W22" s="220" t="n"/>
    </row>
    <row r="23" outlineLevel="1" ht="15.75" customHeight="1" s="297">
      <c r="A23" s="211" t="n"/>
      <c r="B23" s="212" t="n"/>
      <c r="C23" s="213" t="n"/>
      <c r="D23" s="214">
        <f>IFERROR(VLOOKUP($C23,'PORTIFÓLIO'!C:V,2,0),"")</f>
        <v/>
      </c>
      <c r="E23" s="211">
        <f>IFERROR(VLOOKUP($C23,'PORTIFÓLIO'!C:V,3,0),"")</f>
        <v/>
      </c>
      <c r="F23" s="211">
        <f>IFERROR(VLOOKUP($C23,'PORTIFÓLIO'!C:V,4,0),"")</f>
        <v/>
      </c>
      <c r="G23" s="215">
        <f>IFERROR(VLOOKUP($C23,'PORTIFÓLIO'!C:V,5,0),"")</f>
        <v/>
      </c>
      <c r="H23" s="254">
        <f t="array" ref="H23">IFERROR(INDEX('PORTIFÓLIO'!$H$4:$H$433,MATCH($C23,'PORTIFÓLIO'!$C$4:$C$433,0)),"")</f>
        <v/>
      </c>
      <c r="I23" s="255" t="n"/>
      <c r="J23" s="218">
        <f>I23*$B$2</f>
        <v/>
      </c>
      <c r="K23" s="219">
        <f t="array" ref="K23">IFERROR(I23*INDEX('PORTIFÓLIO'!$S$4:$S$433,MATCH($C23,'PORTIFÓLIO'!$C$4:$C$433,0)),"")</f>
        <v/>
      </c>
      <c r="L23" s="219">
        <f t="array" ref="L23">IFERROR(J23*INDEX('PORTIFÓLIO'!$S$4:$S$433,MATCH($C23,'PORTIFÓLIO'!$C$4:$C$433,0)),"")</f>
        <v/>
      </c>
      <c r="M23" s="220" t="n"/>
      <c r="N23" s="220" t="n"/>
      <c r="O23" s="220" t="n"/>
      <c r="P23" s="220" t="n"/>
      <c r="Q23" s="220" t="n"/>
      <c r="R23" s="220" t="n"/>
      <c r="S23" s="220" t="n"/>
      <c r="T23" s="220" t="n"/>
      <c r="U23" s="220" t="n"/>
      <c r="V23" s="220" t="n"/>
      <c r="W23" s="220" t="n"/>
    </row>
    <row r="24" outlineLevel="1" ht="15.75" customHeight="1" s="297">
      <c r="A24" s="211" t="n"/>
      <c r="B24" s="212" t="n"/>
      <c r="C24" s="213" t="n"/>
      <c r="D24" s="214">
        <f>IFERROR(VLOOKUP($C24,'PORTIFÓLIO'!C:V,2,0),"")</f>
        <v/>
      </c>
      <c r="E24" s="211">
        <f>IFERROR(VLOOKUP($C24,'PORTIFÓLIO'!C:V,3,0),"")</f>
        <v/>
      </c>
      <c r="F24" s="211">
        <f>IFERROR(VLOOKUP($C24,'PORTIFÓLIO'!C:V,4,0),"")</f>
        <v/>
      </c>
      <c r="G24" s="215">
        <f>IFERROR(VLOOKUP($C24,'PORTIFÓLIO'!C:V,5,0),"")</f>
        <v/>
      </c>
      <c r="H24" s="254">
        <f t="array" ref="H24">IFERROR(INDEX('PORTIFÓLIO'!$H$4:$H$433,MATCH($C24,'PORTIFÓLIO'!$C$4:$C$433,0)),"")</f>
        <v/>
      </c>
      <c r="I24" s="255" t="n"/>
      <c r="J24" s="218">
        <f>I24*$B$2</f>
        <v/>
      </c>
      <c r="K24" s="219">
        <f t="array" ref="K24">IFERROR(I24*INDEX('PORTIFÓLIO'!$S$4:$S$433,MATCH($C24,'PORTIFÓLIO'!$C$4:$C$433,0)),"")</f>
        <v/>
      </c>
      <c r="L24" s="219">
        <f t="array" ref="L24">IFERROR(J24*INDEX('PORTIFÓLIO'!$S$4:$S$433,MATCH($C24,'PORTIFÓLIO'!$C$4:$C$433,0)),"")</f>
        <v/>
      </c>
      <c r="M24" s="220" t="n"/>
      <c r="N24" s="220" t="n"/>
      <c r="O24" s="220" t="n"/>
      <c r="P24" s="220" t="n"/>
      <c r="Q24" s="220" t="n"/>
      <c r="R24" s="220" t="n"/>
      <c r="S24" s="220" t="n"/>
      <c r="T24" s="220" t="n"/>
      <c r="U24" s="220" t="n"/>
      <c r="V24" s="220" t="n"/>
      <c r="W24" s="220" t="n"/>
    </row>
    <row r="25" ht="15.75" customHeight="1" s="297">
      <c r="A25" s="229" t="inlineStr">
        <is>
          <t>OPERAÇÃO 2</t>
        </is>
      </c>
      <c r="B25" s="230" t="n"/>
      <c r="C25" s="231" t="n"/>
      <c r="D25" s="232" t="n"/>
      <c r="E25" s="231" t="n"/>
      <c r="F25" s="231" t="n"/>
      <c r="G25" s="233" t="n"/>
      <c r="H25" s="233" t="n"/>
      <c r="I25" s="258" t="n"/>
      <c r="J25" s="236" t="n"/>
      <c r="K25" s="237">
        <f>SUBTOTAL(9,K26:K39)</f>
        <v/>
      </c>
      <c r="L25" s="237">
        <f>SUBTOTAL(9,L26:L39)</f>
        <v/>
      </c>
      <c r="M25" s="220" t="n"/>
      <c r="N25" s="220" t="n"/>
      <c r="O25" s="220" t="n"/>
      <c r="P25" s="220" t="n"/>
      <c r="Q25" s="220" t="n"/>
      <c r="R25" s="220" t="n"/>
      <c r="S25" s="220" t="n"/>
      <c r="T25" s="220" t="n"/>
      <c r="U25" s="220" t="n"/>
      <c r="V25" s="220" t="n"/>
      <c r="W25" s="220" t="n"/>
    </row>
    <row r="26" outlineLevel="1" ht="15.75" customHeight="1" s="297">
      <c r="A26" s="213" t="n"/>
      <c r="B26" s="212" t="inlineStr">
        <is>
          <t>HERBICIDA</t>
        </is>
      </c>
      <c r="C26" s="213" t="inlineStr">
        <is>
          <t>ROUNDUP WG</t>
        </is>
      </c>
      <c r="D26" s="214">
        <f>IFERROR(VLOOKUP($C26,'PORTIFÓLIO'!C:V,2,0),"")</f>
        <v/>
      </c>
      <c r="E26" s="211">
        <f>IFERROR(VLOOKUP($C26,'PORTIFÓLIO'!C:V,3,0),"")</f>
        <v/>
      </c>
      <c r="F26" s="211">
        <f>IFERROR(VLOOKUP($C26,'PORTIFÓLIO'!C:V,4,0),"")</f>
        <v/>
      </c>
      <c r="G26" s="225">
        <f>IFERROR(VLOOKUP($C26,'PORTIFÓLIO'!C:V,5,0),"")</f>
        <v/>
      </c>
      <c r="H26" s="254">
        <f t="array" ref="H26">IFERROR(INDEX('PORTIFÓLIO'!$H$4:$H$433,MATCH($C26,'PORTIFÓLIO'!$C$4:$C$433,0)),"")</f>
        <v/>
      </c>
      <c r="I26" s="255" t="n">
        <v>2</v>
      </c>
      <c r="J26" s="218">
        <f>I26*$B$2</f>
        <v/>
      </c>
      <c r="K26" s="219">
        <f t="array" ref="K26">IFERROR(I26*INDEX('PORTIFÓLIO'!$S$4:$S$433,MATCH($C26,'PORTIFÓLIO'!$C$4:$C$433,0)),"")</f>
        <v/>
      </c>
      <c r="L26" s="219">
        <f t="array" ref="L26">IFERROR(J26*INDEX('PORTIFÓLIO'!$S$4:$S$433,MATCH($C26,'PORTIFÓLIO'!$C$4:$C$433,0)),"")</f>
        <v/>
      </c>
      <c r="M26" s="220" t="n"/>
      <c r="N26" s="220" t="n"/>
      <c r="O26" s="220" t="n"/>
      <c r="P26" s="220" t="n"/>
      <c r="Q26" s="220" t="n"/>
      <c r="R26" s="220" t="n"/>
      <c r="S26" s="220" t="n"/>
      <c r="T26" s="220" t="n"/>
      <c r="U26" s="220" t="n"/>
      <c r="V26" s="220" t="n"/>
      <c r="W26" s="220" t="n"/>
    </row>
    <row r="27" outlineLevel="1" ht="15.75" customHeight="1" s="297">
      <c r="A27" s="211" t="n"/>
      <c r="B27" s="212" t="inlineStr">
        <is>
          <t>HERBICIDA</t>
        </is>
      </c>
      <c r="C27" s="213" t="inlineStr">
        <is>
          <t>ARADDO</t>
        </is>
      </c>
      <c r="D27" s="214">
        <f>IFERROR(VLOOKUP($C27,'PORTIFÓLIO'!C:V,2,0),"")</f>
        <v/>
      </c>
      <c r="E27" s="211">
        <f>IFERROR(VLOOKUP($C27,'PORTIFÓLIO'!C:V,3,0),"")</f>
        <v/>
      </c>
      <c r="F27" s="211">
        <f>IFERROR(VLOOKUP($C27,'PORTIFÓLIO'!C:V,4,0),"")</f>
        <v/>
      </c>
      <c r="G27" s="225">
        <f>IFERROR(VLOOKUP($C27,'PORTIFÓLIO'!C:V,5,0),"")</f>
        <v/>
      </c>
      <c r="H27" s="254">
        <f t="array" ref="H27">IFERROR(INDEX('PORTIFÓLIO'!$H$4:$H$433,MATCH($C27,'PORTIFÓLIO'!$C$4:$C$433,0)),"")</f>
        <v/>
      </c>
      <c r="I27" s="255" t="n">
        <v>1</v>
      </c>
      <c r="J27" s="218">
        <f>I27*$B$2</f>
        <v/>
      </c>
      <c r="K27" s="219">
        <f t="array" ref="K27">IFERROR(I27*INDEX('PORTIFÓLIO'!$S$4:$S$433,MATCH($C27,'PORTIFÓLIO'!$C$4:$C$433,0)),"")</f>
        <v/>
      </c>
      <c r="L27" s="219">
        <f t="array" ref="L27">IFERROR(J27*INDEX('PORTIFÓLIO'!$S$4:$S$433,MATCH($C27,'PORTIFÓLIO'!$C$4:$C$433,0)),"")</f>
        <v/>
      </c>
      <c r="M27" s="220" t="n"/>
      <c r="N27" s="220" t="n"/>
      <c r="O27" s="220" t="n"/>
      <c r="P27" s="220" t="n"/>
      <c r="Q27" s="220" t="n"/>
      <c r="R27" s="220" t="n"/>
      <c r="S27" s="220" t="n"/>
      <c r="T27" s="220" t="n"/>
      <c r="U27" s="220" t="n"/>
      <c r="V27" s="220" t="n"/>
      <c r="W27" s="220" t="n"/>
    </row>
    <row r="28" outlineLevel="1" ht="15.75" customHeight="1" s="297">
      <c r="A28" s="211" t="n"/>
      <c r="B28" s="212" t="inlineStr">
        <is>
          <t>ADJUVANTE</t>
        </is>
      </c>
      <c r="C28" s="213" t="inlineStr">
        <is>
          <t>JOINT ULTRA</t>
        </is>
      </c>
      <c r="D28" s="214">
        <f>IFERROR(VLOOKUP($C28,'PORTIFÓLIO'!C:V,2,0),"")</f>
        <v/>
      </c>
      <c r="E28" s="211">
        <f>IFERROR(VLOOKUP($C28,'PORTIFÓLIO'!C:V,3,0),"")</f>
        <v/>
      </c>
      <c r="F28" s="211">
        <f>IFERROR(VLOOKUP($C28,'PORTIFÓLIO'!C:V,4,0),"")</f>
        <v/>
      </c>
      <c r="G28" s="225">
        <f>IFERROR(VLOOKUP($C28,'PORTIFÓLIO'!C:V,5,0),"")</f>
        <v/>
      </c>
      <c r="H28" s="254">
        <f t="array" ref="H28">IFERROR(INDEX('PORTIFÓLIO'!$H$4:$H$433,MATCH($C28,'PORTIFÓLIO'!$C$4:$C$433,0)),"")</f>
        <v/>
      </c>
      <c r="I28" s="255" t="n">
        <v>0.2</v>
      </c>
      <c r="J28" s="218">
        <f>I28*$B$2</f>
        <v/>
      </c>
      <c r="K28" s="219">
        <f t="array" ref="K28">IFERROR(I28*INDEX('PORTIFÓLIO'!$S$4:$S$433,MATCH($C28,'PORTIFÓLIO'!$C$4:$C$433,0)),"")</f>
        <v/>
      </c>
      <c r="L28" s="219">
        <f t="array" ref="L28">IFERROR(J28*INDEX('PORTIFÓLIO'!$S$4:$S$433,MATCH($C28,'PORTIFÓLIO'!$C$4:$C$433,0)),"")</f>
        <v/>
      </c>
      <c r="M28" s="220" t="n"/>
      <c r="N28" s="220" t="n"/>
      <c r="O28" s="220" t="n"/>
      <c r="P28" s="220" t="n"/>
      <c r="Q28" s="220" t="n"/>
      <c r="R28" s="220" t="n"/>
      <c r="S28" s="220" t="n"/>
      <c r="T28" s="220" t="n"/>
      <c r="U28" s="220" t="n"/>
      <c r="V28" s="220" t="n"/>
      <c r="W28" s="220" t="n"/>
    </row>
    <row r="29" outlineLevel="1" ht="15.75" customHeight="1" s="297">
      <c r="A29" s="211" t="n"/>
      <c r="B29" s="212" t="inlineStr">
        <is>
          <t>INSETICIDA</t>
        </is>
      </c>
      <c r="C29" s="213" t="inlineStr">
        <is>
          <t>PREMIO</t>
        </is>
      </c>
      <c r="D29" s="214">
        <f>IFERROR(VLOOKUP($C29,'PORTIFÓLIO'!C:V,2,0),"")</f>
        <v/>
      </c>
      <c r="E29" s="211">
        <f>IFERROR(VLOOKUP($C29,'PORTIFÓLIO'!C:V,3,0),"")</f>
        <v/>
      </c>
      <c r="F29" s="211">
        <f>IFERROR(VLOOKUP($C29,'PORTIFÓLIO'!C:V,4,0),"")</f>
        <v/>
      </c>
      <c r="G29" s="225">
        <f>IFERROR(VLOOKUP($C29,'PORTIFÓLIO'!C:V,5,0),"")</f>
        <v/>
      </c>
      <c r="H29" s="254">
        <f t="array" ref="H29">IFERROR(INDEX('PORTIFÓLIO'!$H$4:$H$433,MATCH($C29,'PORTIFÓLIO'!$C$4:$C$433,0)),"")</f>
        <v/>
      </c>
      <c r="I29" s="255" t="n">
        <v>0.04</v>
      </c>
      <c r="J29" s="218">
        <f>I29*$B$2</f>
        <v/>
      </c>
      <c r="K29" s="219">
        <f t="array" ref="K29">IFERROR(I29*INDEX('PORTIFÓLIO'!$S$4:$S$433,MATCH($C29,'PORTIFÓLIO'!$C$4:$C$433,0)),"")</f>
        <v/>
      </c>
      <c r="L29" s="219">
        <f t="array" ref="L29">IFERROR(J29*INDEX('PORTIFÓLIO'!$S$4:$S$433,MATCH($C29,'PORTIFÓLIO'!$C$4:$C$433,0)),"")</f>
        <v/>
      </c>
      <c r="M29" s="220" t="n"/>
      <c r="N29" s="220" t="n"/>
      <c r="O29" s="220" t="n"/>
      <c r="P29" s="220" t="n"/>
      <c r="Q29" s="220" t="n"/>
      <c r="R29" s="220" t="n"/>
      <c r="S29" s="220" t="n"/>
      <c r="T29" s="220" t="n"/>
      <c r="U29" s="220" t="n"/>
      <c r="V29" s="220" t="n"/>
      <c r="W29" s="220" t="n"/>
    </row>
    <row r="30" outlineLevel="1" ht="15.75" customHeight="1" s="297">
      <c r="A30" s="211" t="n"/>
      <c r="B30" s="212" t="inlineStr">
        <is>
          <t>NUTRIÇÃO</t>
        </is>
      </c>
      <c r="C30" s="213" t="inlineStr">
        <is>
          <t>BOP</t>
        </is>
      </c>
      <c r="D30" s="214">
        <f>IFERROR(VLOOKUP($C30,'PORTIFÓLIO'!C:V,2,0),"")</f>
        <v/>
      </c>
      <c r="E30" s="211">
        <f>IFERROR(VLOOKUP($C30,'PORTIFÓLIO'!C:V,3,0),"")</f>
        <v/>
      </c>
      <c r="F30" s="211">
        <f>IFERROR(VLOOKUP($C30,'PORTIFÓLIO'!C:V,4,0),"")</f>
        <v/>
      </c>
      <c r="G30" s="215">
        <f>IFERROR(VLOOKUP($C30,'PORTIFÓLIO'!C:V,5,0),"")</f>
        <v/>
      </c>
      <c r="H30" s="254">
        <f t="array" ref="H30">IFERROR(INDEX('PORTIFÓLIO'!$H$4:$H$433,MATCH($C30,'PORTIFÓLIO'!$C$4:$C$433,0)),"")</f>
        <v/>
      </c>
      <c r="I30" s="255" t="n">
        <v>1</v>
      </c>
      <c r="J30" s="218">
        <f>I30*$B$2</f>
        <v/>
      </c>
      <c r="K30" s="219">
        <f t="array" ref="K30">IFERROR(I30*INDEX('PORTIFÓLIO'!$S$4:$S$433,MATCH($C30,'PORTIFÓLIO'!$C$4:$C$433,0)),"")</f>
        <v/>
      </c>
      <c r="L30" s="219">
        <f t="array" ref="L30">IFERROR(J30*INDEX('PORTIFÓLIO'!$S$4:$S$433,MATCH($C30,'PORTIFÓLIO'!$C$4:$C$433,0)),"")</f>
        <v/>
      </c>
      <c r="M30" s="220" t="n"/>
      <c r="N30" s="220" t="n"/>
      <c r="O30" s="220" t="n"/>
      <c r="P30" s="220" t="n"/>
      <c r="Q30" s="220" t="n"/>
      <c r="R30" s="220" t="n"/>
      <c r="S30" s="220" t="n"/>
      <c r="T30" s="220" t="n"/>
      <c r="U30" s="220" t="n"/>
      <c r="V30" s="220" t="n"/>
      <c r="W30" s="220" t="n"/>
    </row>
    <row r="31" outlineLevel="1" ht="15.75" customHeight="1" s="297">
      <c r="A31" s="211" t="n"/>
      <c r="B31" s="212" t="n"/>
      <c r="C31" s="213" t="n"/>
      <c r="D31" s="214">
        <f>IFERROR(VLOOKUP($C31,'PORTIFÓLIO'!C:V,2,0),"")</f>
        <v/>
      </c>
      <c r="E31" s="211">
        <f>IFERROR(VLOOKUP($C31,'PORTIFÓLIO'!C:V,3,0),"")</f>
        <v/>
      </c>
      <c r="F31" s="211">
        <f>IFERROR(VLOOKUP($C31,'PORTIFÓLIO'!C:V,4,0),"")</f>
        <v/>
      </c>
      <c r="G31" s="215">
        <f>IFERROR(VLOOKUP($C31,'PORTIFÓLIO'!C:V,5,0),"")</f>
        <v/>
      </c>
      <c r="H31" s="254">
        <f t="array" ref="H31">IFERROR(INDEX('PORTIFÓLIO'!$H$4:$H$433,MATCH($C31,'PORTIFÓLIO'!$C$4:$C$433,0)),"")</f>
        <v/>
      </c>
      <c r="I31" s="255" t="n"/>
      <c r="J31" s="218">
        <f>I31*$B$2</f>
        <v/>
      </c>
      <c r="K31" s="219">
        <f t="array" ref="K31">IFERROR(I31*INDEX('PORTIFÓLIO'!$S$4:$S$433,MATCH($C31,'PORTIFÓLIO'!$C$4:$C$433,0)),"")</f>
        <v/>
      </c>
      <c r="L31" s="219">
        <f t="array" ref="L31">IFERROR(J31*INDEX('PORTIFÓLIO'!$S$4:$S$433,MATCH($C31,'PORTIFÓLIO'!$C$4:$C$433,0)),"")</f>
        <v/>
      </c>
      <c r="M31" s="220" t="n"/>
      <c r="N31" s="220" t="n"/>
      <c r="O31" s="220" t="n"/>
      <c r="P31" s="220" t="n"/>
      <c r="Q31" s="220" t="n"/>
      <c r="R31" s="220" t="n"/>
      <c r="S31" s="220" t="n"/>
      <c r="T31" s="220" t="n"/>
      <c r="U31" s="220" t="n"/>
      <c r="V31" s="220" t="n"/>
      <c r="W31" s="220" t="n"/>
    </row>
    <row r="32" outlineLevel="1" ht="15.75" customHeight="1" s="297">
      <c r="A32" s="211" t="n"/>
      <c r="B32" s="212" t="n"/>
      <c r="C32" s="213" t="n"/>
      <c r="D32" s="214">
        <f>IFERROR(VLOOKUP($C32,'PORTIFÓLIO'!C:V,2,0),"")</f>
        <v/>
      </c>
      <c r="E32" s="211">
        <f>IFERROR(VLOOKUP($C32,'PORTIFÓLIO'!C:V,3,0),"")</f>
        <v/>
      </c>
      <c r="F32" s="211">
        <f>IFERROR(VLOOKUP($C32,'PORTIFÓLIO'!C:V,4,0),"")</f>
        <v/>
      </c>
      <c r="G32" s="215">
        <f>IFERROR(VLOOKUP($C32,'PORTIFÓLIO'!C:V,5,0),"")</f>
        <v/>
      </c>
      <c r="H32" s="254">
        <f t="array" ref="H32">IFERROR(INDEX('PORTIFÓLIO'!$H$4:$H$433,MATCH($C32,'PORTIFÓLIO'!$C$4:$C$433,0)),"")</f>
        <v/>
      </c>
      <c r="I32" s="256" t="n"/>
      <c r="J32" s="218">
        <f>I32*$B$2</f>
        <v/>
      </c>
      <c r="K32" s="219">
        <f t="array" ref="K32">IFERROR(I32*INDEX('PORTIFÓLIO'!$S$4:$S$433,MATCH($C32,'PORTIFÓLIO'!$C$4:$C$433,0)),"")</f>
        <v/>
      </c>
      <c r="L32" s="219">
        <f t="array" ref="L32">IFERROR(J32*INDEX('PORTIFÓLIO'!$S$4:$S$433,MATCH($C32,'PORTIFÓLIO'!$C$4:$C$433,0)),"")</f>
        <v/>
      </c>
      <c r="M32" s="220" t="n"/>
      <c r="N32" s="220" t="n"/>
      <c r="O32" s="220" t="n"/>
      <c r="P32" s="220" t="n"/>
      <c r="Q32" s="220" t="n"/>
      <c r="R32" s="220" t="n"/>
      <c r="S32" s="220" t="n"/>
      <c r="T32" s="220" t="n"/>
      <c r="U32" s="220" t="n"/>
      <c r="V32" s="220" t="n"/>
      <c r="W32" s="220" t="n"/>
    </row>
    <row r="33" outlineLevel="1" ht="15.75" customHeight="1" s="297">
      <c r="A33" s="211" t="n"/>
      <c r="B33" s="212" t="n"/>
      <c r="C33" s="213" t="n"/>
      <c r="D33" s="214">
        <f>IFERROR(VLOOKUP($C33,'PORTIFÓLIO'!C:V,2,0),"")</f>
        <v/>
      </c>
      <c r="E33" s="211">
        <f>IFERROR(VLOOKUP($C33,'PORTIFÓLIO'!C:V,3,0),"")</f>
        <v/>
      </c>
      <c r="F33" s="211">
        <f>IFERROR(VLOOKUP($C33,'PORTIFÓLIO'!C:V,4,0),"")</f>
        <v/>
      </c>
      <c r="G33" s="215">
        <f>IFERROR(VLOOKUP($C33,'PORTIFÓLIO'!C:V,5,0),"")</f>
        <v/>
      </c>
      <c r="H33" s="254">
        <f t="array" ref="H33">IFERROR(INDEX('PORTIFÓLIO'!$H$4:$H$433,MATCH($C33,'PORTIFÓLIO'!$C$4:$C$433,0)),"")</f>
        <v/>
      </c>
      <c r="I33" s="256" t="n"/>
      <c r="J33" s="218">
        <f>I33*$B$2</f>
        <v/>
      </c>
      <c r="K33" s="219">
        <f t="array" ref="K33">IFERROR(I33*INDEX('PORTIFÓLIO'!$S$4:$S$433,MATCH($C33,'PORTIFÓLIO'!$C$4:$C$433,0)),"")</f>
        <v/>
      </c>
      <c r="L33" s="219">
        <f t="array" ref="L33">IFERROR(J33*INDEX('PORTIFÓLIO'!$S$4:$S$433,MATCH($C33,'PORTIFÓLIO'!$C$4:$C$433,0)),"")</f>
        <v/>
      </c>
      <c r="M33" s="220" t="n"/>
      <c r="N33" s="220" t="n"/>
      <c r="O33" s="220" t="n"/>
      <c r="P33" s="220" t="n"/>
      <c r="Q33" s="220" t="n"/>
      <c r="R33" s="220" t="n"/>
      <c r="S33" s="220" t="n"/>
      <c r="T33" s="220" t="n"/>
      <c r="U33" s="220" t="n"/>
      <c r="V33" s="220" t="n"/>
      <c r="W33" s="220" t="n"/>
    </row>
    <row r="34" outlineLevel="1" ht="15.75" customHeight="1" s="297">
      <c r="A34" s="211" t="n"/>
      <c r="B34" s="212" t="n"/>
      <c r="C34" s="213" t="n"/>
      <c r="D34" s="214">
        <f>IFERROR(VLOOKUP($C34,'PORTIFÓLIO'!C:V,2,0),"")</f>
        <v/>
      </c>
      <c r="E34" s="211">
        <f>IFERROR(VLOOKUP($C34,'PORTIFÓLIO'!C:V,3,0),"")</f>
        <v/>
      </c>
      <c r="F34" s="211">
        <f>IFERROR(VLOOKUP($C34,'PORTIFÓLIO'!C:V,4,0),"")</f>
        <v/>
      </c>
      <c r="G34" s="215">
        <f>IFERROR(VLOOKUP($C34,'PORTIFÓLIO'!C:V,5,0),"")</f>
        <v/>
      </c>
      <c r="H34" s="254">
        <f t="array" ref="H34">IFERROR(INDEX('PORTIFÓLIO'!$H$4:$H$433,MATCH($C34,'PORTIFÓLIO'!$C$4:$C$433,0)),"")</f>
        <v/>
      </c>
      <c r="I34" s="255" t="n"/>
      <c r="J34" s="218">
        <f>I34*$B$2</f>
        <v/>
      </c>
      <c r="K34" s="219">
        <f t="array" ref="K34">IFERROR(I34*INDEX('PORTIFÓLIO'!$S$4:$S$433,MATCH($C34,'PORTIFÓLIO'!$C$4:$C$433,0)),"")</f>
        <v/>
      </c>
      <c r="L34" s="219">
        <f t="array" ref="L34">IFERROR(J34*INDEX('PORTIFÓLIO'!$S$4:$S$433,MATCH($C34,'PORTIFÓLIO'!$C$4:$C$433,0)),"")</f>
        <v/>
      </c>
      <c r="M34" s="220" t="n"/>
      <c r="N34" s="220" t="n"/>
      <c r="O34" s="220" t="n"/>
      <c r="P34" s="220" t="n"/>
      <c r="Q34" s="220" t="n"/>
      <c r="R34" s="220" t="n"/>
      <c r="S34" s="220" t="n"/>
      <c r="T34" s="220" t="n"/>
      <c r="U34" s="220" t="n"/>
      <c r="V34" s="220" t="n"/>
      <c r="W34" s="220" t="n"/>
    </row>
    <row r="35" outlineLevel="1" ht="15.75" customHeight="1" s="297">
      <c r="A35" s="211" t="n"/>
      <c r="B35" s="212" t="n"/>
      <c r="C35" s="213" t="n"/>
      <c r="D35" s="214">
        <f>IFERROR(VLOOKUP($C35,'PORTIFÓLIO'!C:V,2,0),"")</f>
        <v/>
      </c>
      <c r="E35" s="211">
        <f>IFERROR(VLOOKUP($C35,'PORTIFÓLIO'!C:V,3,0),"")</f>
        <v/>
      </c>
      <c r="F35" s="211">
        <f>IFERROR(VLOOKUP($C35,'PORTIFÓLIO'!C:V,4,0),"")</f>
        <v/>
      </c>
      <c r="G35" s="215">
        <f>IFERROR(VLOOKUP($C35,'PORTIFÓLIO'!C:V,5,0),"")</f>
        <v/>
      </c>
      <c r="H35" s="254">
        <f t="array" ref="H35">IFERROR(INDEX('PORTIFÓLIO'!$H$4:$H$433,MATCH($C35,'PORTIFÓLIO'!$C$4:$C$433,0)),"")</f>
        <v/>
      </c>
      <c r="I35" s="256" t="n"/>
      <c r="J35" s="218">
        <f>I35*$B$2</f>
        <v/>
      </c>
      <c r="K35" s="219">
        <f t="array" ref="K35">IFERROR(I35*INDEX('PORTIFÓLIO'!$S$4:$S$433,MATCH($C35,'PORTIFÓLIO'!$C$4:$C$433,0)),"")</f>
        <v/>
      </c>
      <c r="L35" s="219">
        <f t="array" ref="L35">IFERROR(J35*INDEX('PORTIFÓLIO'!$S$4:$S$433,MATCH($C35,'PORTIFÓLIO'!$C$4:$C$433,0)),"")</f>
        <v/>
      </c>
      <c r="M35" s="220" t="n"/>
      <c r="N35" s="220" t="n"/>
      <c r="O35" s="220" t="n"/>
      <c r="P35" s="220" t="n"/>
      <c r="Q35" s="220" t="n"/>
      <c r="R35" s="220" t="n"/>
      <c r="S35" s="220" t="n"/>
      <c r="T35" s="220" t="n"/>
      <c r="U35" s="220" t="n"/>
      <c r="V35" s="220" t="n"/>
      <c r="W35" s="220" t="n"/>
    </row>
    <row r="36" outlineLevel="1" ht="15.75" customHeight="1" s="297">
      <c r="A36" s="211" t="n"/>
      <c r="B36" s="212" t="n"/>
      <c r="C36" s="213" t="n"/>
      <c r="D36" s="214">
        <f>IFERROR(VLOOKUP($C36,'PORTIFÓLIO'!C:V,2,0),"")</f>
        <v/>
      </c>
      <c r="E36" s="211">
        <f>IFERROR(VLOOKUP($C36,'PORTIFÓLIO'!C:V,3,0),"")</f>
        <v/>
      </c>
      <c r="F36" s="211">
        <f>IFERROR(VLOOKUP($C36,'PORTIFÓLIO'!C:V,4,0),"")</f>
        <v/>
      </c>
      <c r="G36" s="215">
        <f>IFERROR(VLOOKUP($C36,'PORTIFÓLIO'!C:V,5,0),"")</f>
        <v/>
      </c>
      <c r="H36" s="254">
        <f t="array" ref="H36">IFERROR(INDEX('PORTIFÓLIO'!$H$4:$H$433,MATCH($C36,'PORTIFÓLIO'!$C$4:$C$433,0)),"")</f>
        <v/>
      </c>
      <c r="I36" s="256" t="n"/>
      <c r="J36" s="218">
        <f>I36*$B$2</f>
        <v/>
      </c>
      <c r="K36" s="219">
        <f t="array" ref="K36">IFERROR(I36*INDEX('PORTIFÓLIO'!$S$4:$S$433,MATCH($C36,'PORTIFÓLIO'!$C$4:$C$433,0)),"")</f>
        <v/>
      </c>
      <c r="L36" s="219">
        <f t="array" ref="L36">IFERROR(J36*INDEX('PORTIFÓLIO'!$S$4:$S$433,MATCH($C36,'PORTIFÓLIO'!$C$4:$C$433,0)),"")</f>
        <v/>
      </c>
      <c r="M36" s="220" t="n"/>
      <c r="N36" s="220" t="n"/>
      <c r="O36" s="220" t="n"/>
      <c r="P36" s="220" t="n"/>
      <c r="Q36" s="220" t="n"/>
      <c r="R36" s="220" t="n"/>
      <c r="S36" s="220" t="n"/>
      <c r="T36" s="220" t="n"/>
      <c r="U36" s="220" t="n"/>
      <c r="V36" s="220" t="n"/>
      <c r="W36" s="220" t="n"/>
    </row>
    <row r="37" outlineLevel="1" ht="15.75" customHeight="1" s="297">
      <c r="A37" s="211" t="n"/>
      <c r="B37" s="212" t="n"/>
      <c r="C37" s="213" t="n"/>
      <c r="D37" s="214">
        <f>IFERROR(VLOOKUP($C37,'PORTIFÓLIO'!C:V,2,0),"")</f>
        <v/>
      </c>
      <c r="E37" s="211">
        <f>IFERROR(VLOOKUP($C37,'PORTIFÓLIO'!C:V,3,0),"")</f>
        <v/>
      </c>
      <c r="F37" s="211">
        <f>IFERROR(VLOOKUP($C37,'PORTIFÓLIO'!C:V,4,0),"")</f>
        <v/>
      </c>
      <c r="G37" s="215">
        <f>IFERROR(VLOOKUP($C37,'PORTIFÓLIO'!C:V,5,0),"")</f>
        <v/>
      </c>
      <c r="H37" s="254">
        <f t="array" ref="H37">IFERROR(INDEX('PORTIFÓLIO'!$H$4:$H$433,MATCH($C37,'PORTIFÓLIO'!$C$4:$C$433,0)),"")</f>
        <v/>
      </c>
      <c r="I37" s="256" t="n"/>
      <c r="J37" s="218">
        <f>I37*$B$2</f>
        <v/>
      </c>
      <c r="K37" s="219">
        <f t="array" ref="K37">IFERROR(I37*INDEX('PORTIFÓLIO'!$S$4:$S$433,MATCH($C37,'PORTIFÓLIO'!$C$4:$C$433,0)),"")</f>
        <v/>
      </c>
      <c r="L37" s="219">
        <f t="array" ref="L37">IFERROR(J37*INDEX('PORTIFÓLIO'!$S$4:$S$433,MATCH($C37,'PORTIFÓLIO'!$C$4:$C$433,0)),"")</f>
        <v/>
      </c>
      <c r="M37" s="220" t="n"/>
      <c r="N37" s="220" t="n"/>
      <c r="O37" s="220" t="n"/>
      <c r="P37" s="220" t="n"/>
      <c r="Q37" s="220" t="n"/>
      <c r="R37" s="220" t="n"/>
      <c r="S37" s="220" t="n"/>
      <c r="T37" s="220" t="n"/>
      <c r="U37" s="220" t="n"/>
      <c r="V37" s="220" t="n"/>
      <c r="W37" s="220" t="n"/>
    </row>
    <row r="38" outlineLevel="1" ht="15.75" customHeight="1" s="297">
      <c r="A38" s="211" t="n"/>
      <c r="B38" s="212" t="n"/>
      <c r="C38" s="213" t="n"/>
      <c r="D38" s="214">
        <f>IFERROR(VLOOKUP($C38,'PORTIFÓLIO'!C:V,2,0),"")</f>
        <v/>
      </c>
      <c r="E38" s="211">
        <f>IFERROR(VLOOKUP($C38,'PORTIFÓLIO'!C:V,3,0),"")</f>
        <v/>
      </c>
      <c r="F38" s="211">
        <f>IFERROR(VLOOKUP($C38,'PORTIFÓLIO'!C:V,4,0),"")</f>
        <v/>
      </c>
      <c r="G38" s="215">
        <f>IFERROR(VLOOKUP($C38,'PORTIFÓLIO'!C:V,5,0),"")</f>
        <v/>
      </c>
      <c r="H38" s="254">
        <f t="array" ref="H38">IFERROR(INDEX('PORTIFÓLIO'!$H$4:$H$433,MATCH($C38,'PORTIFÓLIO'!$C$4:$C$433,0)),"")</f>
        <v/>
      </c>
      <c r="I38" s="256" t="n"/>
      <c r="J38" s="218">
        <f>I38*$B$2</f>
        <v/>
      </c>
      <c r="K38" s="219">
        <f t="array" ref="K38">IFERROR(I38*INDEX('PORTIFÓLIO'!$S$4:$S$433,MATCH($C38,'PORTIFÓLIO'!$C$4:$C$433,0)),"")</f>
        <v/>
      </c>
      <c r="L38" s="219">
        <f t="array" ref="L38">IFERROR(J38*INDEX('PORTIFÓLIO'!$S$4:$S$433,MATCH($C38,'PORTIFÓLIO'!$C$4:$C$433,0)),"")</f>
        <v/>
      </c>
      <c r="M38" s="220" t="n"/>
      <c r="N38" s="220" t="n"/>
      <c r="O38" s="220" t="n"/>
      <c r="P38" s="220" t="n"/>
      <c r="Q38" s="220" t="n"/>
      <c r="R38" s="220" t="n"/>
      <c r="S38" s="220" t="n"/>
      <c r="T38" s="220" t="n"/>
      <c r="U38" s="220" t="n"/>
      <c r="V38" s="220" t="n"/>
      <c r="W38" s="220" t="n"/>
    </row>
    <row r="39" outlineLevel="1" ht="15.75" customHeight="1" s="297">
      <c r="A39" s="211" t="n"/>
      <c r="B39" s="212" t="n"/>
      <c r="C39" s="213" t="n"/>
      <c r="D39" s="214">
        <f>IFERROR(VLOOKUP($C39,'PORTIFÓLIO'!C:V,2,0),"")</f>
        <v/>
      </c>
      <c r="E39" s="211">
        <f>IFERROR(VLOOKUP($C39,'PORTIFÓLIO'!C:V,3,0),"")</f>
        <v/>
      </c>
      <c r="F39" s="211">
        <f>IFERROR(VLOOKUP($C39,'PORTIFÓLIO'!C:V,4,0),"")</f>
        <v/>
      </c>
      <c r="G39" s="215">
        <f>IFERROR(VLOOKUP($C39,'PORTIFÓLIO'!C:V,5,0),"")</f>
        <v/>
      </c>
      <c r="H39" s="254">
        <f t="array" ref="H39">IFERROR(INDEX('PORTIFÓLIO'!$H$4:$H$433,MATCH($C39,'PORTIFÓLIO'!$C$4:$C$433,0)),"")</f>
        <v/>
      </c>
      <c r="I39" s="256" t="n"/>
      <c r="J39" s="218">
        <f>I39*$B$2</f>
        <v/>
      </c>
      <c r="K39" s="219">
        <f t="array" ref="K39">IFERROR(I39*INDEX('PORTIFÓLIO'!$S$4:$S$433,MATCH($C39,'PORTIFÓLIO'!$C$4:$C$433,0)),"")</f>
        <v/>
      </c>
      <c r="L39" s="219">
        <f t="array" ref="L39">IFERROR(J39*INDEX('PORTIFÓLIO'!$S$4:$S$433,MATCH($C39,'PORTIFÓLIO'!$C$4:$C$433,0)),"")</f>
        <v/>
      </c>
      <c r="M39" s="220" t="n"/>
      <c r="N39" s="220" t="n"/>
      <c r="O39" s="220" t="n"/>
      <c r="P39" s="220" t="n"/>
      <c r="Q39" s="220" t="n"/>
      <c r="R39" s="220" t="n"/>
      <c r="S39" s="220" t="n"/>
      <c r="T39" s="220" t="n"/>
      <c r="U39" s="220" t="n"/>
      <c r="V39" s="220" t="n"/>
      <c r="W39" s="220" t="n"/>
    </row>
    <row r="40" outlineLevel="1" ht="15.75" customHeight="1" s="297">
      <c r="A40" s="211" t="n"/>
      <c r="B40" s="212" t="n"/>
      <c r="C40" s="213" t="n"/>
      <c r="D40" s="214">
        <f>IFERROR(VLOOKUP($C40,'PORTIFÓLIO'!C:V,2,0),"")</f>
        <v/>
      </c>
      <c r="E40" s="211">
        <f>IFERROR(VLOOKUP($C40,'PORTIFÓLIO'!C:V,3,0),"")</f>
        <v/>
      </c>
      <c r="F40" s="211">
        <f>IFERROR(VLOOKUP($C40,'PORTIFÓLIO'!C:V,4,0),"")</f>
        <v/>
      </c>
      <c r="G40" s="215">
        <f>IFERROR(VLOOKUP($C40,'PORTIFÓLIO'!C:V,5,0),"")</f>
        <v/>
      </c>
      <c r="H40" s="254">
        <f t="array" ref="H40">IFERROR(INDEX('PORTIFÓLIO'!$H$4:$H$433,MATCH($C40,'PORTIFÓLIO'!$C$4:$C$433,0)),"")</f>
        <v/>
      </c>
      <c r="I40" s="256" t="n"/>
      <c r="J40" s="218">
        <f>I40*$B$2</f>
        <v/>
      </c>
      <c r="K40" s="219">
        <f t="array" ref="K40">IFERROR(I40*INDEX('PORTIFÓLIO'!$S$4:$S$433,MATCH($C40,'PORTIFÓLIO'!$C$4:$C$433,0)),"")</f>
        <v/>
      </c>
      <c r="L40" s="219">
        <f t="array" ref="L40">IFERROR(J40*INDEX('PORTIFÓLIO'!$S$4:$S$433,MATCH($C40,'PORTIFÓLIO'!$C$4:$C$433,0)),"")</f>
        <v/>
      </c>
      <c r="M40" s="220" t="n"/>
      <c r="N40" s="220" t="n"/>
      <c r="O40" s="220" t="n"/>
      <c r="P40" s="220" t="n"/>
      <c r="Q40" s="220" t="n"/>
      <c r="R40" s="220" t="n"/>
      <c r="S40" s="220" t="n"/>
      <c r="T40" s="220" t="n"/>
      <c r="U40" s="220" t="n"/>
      <c r="V40" s="220" t="n"/>
      <c r="W40" s="220" t="n"/>
    </row>
    <row r="41" outlineLevel="1" ht="15.75" customHeight="1" s="297">
      <c r="A41" s="211" t="n"/>
      <c r="B41" s="212" t="n"/>
      <c r="C41" s="213" t="n"/>
      <c r="D41" s="214">
        <f>IFERROR(VLOOKUP($C41,'PORTIFÓLIO'!C:V,2,0),"")</f>
        <v/>
      </c>
      <c r="E41" s="211">
        <f>IFERROR(VLOOKUP($C41,'PORTIFÓLIO'!C:V,3,0),"")</f>
        <v/>
      </c>
      <c r="F41" s="211">
        <f>IFERROR(VLOOKUP($C41,'PORTIFÓLIO'!C:V,4,0),"")</f>
        <v/>
      </c>
      <c r="G41" s="215">
        <f>IFERROR(VLOOKUP($C41,'PORTIFÓLIO'!C:V,5,0),"")</f>
        <v/>
      </c>
      <c r="H41" s="254">
        <f t="array" ref="H41">IFERROR(INDEX('PORTIFÓLIO'!$H$4:$H$433,MATCH($C41,'PORTIFÓLIO'!$C$4:$C$433,0)),"")</f>
        <v/>
      </c>
      <c r="I41" s="256" t="n"/>
      <c r="J41" s="218">
        <f>I41*$B$2</f>
        <v/>
      </c>
      <c r="K41" s="219">
        <f t="array" ref="K41">IFERROR(I41*INDEX('PORTIFÓLIO'!$S$4:$S$433,MATCH($C41,'PORTIFÓLIO'!$C$4:$C$433,0)),"")</f>
        <v/>
      </c>
      <c r="L41" s="219">
        <f t="array" ref="L41">IFERROR(J41*INDEX('PORTIFÓLIO'!$S$4:$S$433,MATCH($C41,'PORTIFÓLIO'!$C$4:$C$433,0)),"")</f>
        <v/>
      </c>
      <c r="M41" s="220" t="n"/>
      <c r="N41" s="220" t="n"/>
      <c r="O41" s="220" t="n"/>
      <c r="P41" s="220" t="n"/>
      <c r="Q41" s="220" t="n"/>
      <c r="R41" s="220" t="n"/>
      <c r="S41" s="220" t="n"/>
      <c r="T41" s="220" t="n"/>
      <c r="U41" s="220" t="n"/>
      <c r="V41" s="220" t="n"/>
      <c r="W41" s="220" t="n"/>
    </row>
    <row r="42" outlineLevel="1" ht="15.75" customHeight="1" s="297">
      <c r="A42" s="211" t="n"/>
      <c r="B42" s="212" t="n"/>
      <c r="C42" s="213" t="n"/>
      <c r="D42" s="214">
        <f>IFERROR(VLOOKUP($C42,'PORTIFÓLIO'!C:V,2,0),"")</f>
        <v/>
      </c>
      <c r="E42" s="211">
        <f>IFERROR(VLOOKUP($C42,'PORTIFÓLIO'!C:V,3,0),"")</f>
        <v/>
      </c>
      <c r="F42" s="211">
        <f>IFERROR(VLOOKUP($C42,'PORTIFÓLIO'!C:V,4,0),"")</f>
        <v/>
      </c>
      <c r="G42" s="215">
        <f>IFERROR(VLOOKUP($C42,'PORTIFÓLIO'!C:V,5,0),"")</f>
        <v/>
      </c>
      <c r="H42" s="254">
        <f t="array" ref="H42">IFERROR(INDEX('PORTIFÓLIO'!$H$4:$H$433,MATCH($C42,'PORTIFÓLIO'!$C$4:$C$433,0)),"")</f>
        <v/>
      </c>
      <c r="I42" s="256" t="n"/>
      <c r="J42" s="218">
        <f>I42*$B$2</f>
        <v/>
      </c>
      <c r="K42" s="219">
        <f t="array" ref="K42">IFERROR(I42*INDEX('PORTIFÓLIO'!$S$4:$S$433,MATCH($C42,'PORTIFÓLIO'!$C$4:$C$433,0)),"")</f>
        <v/>
      </c>
      <c r="L42" s="219">
        <f t="array" ref="L42">IFERROR(J42*INDEX('PORTIFÓLIO'!$S$4:$S$433,MATCH($C42,'PORTIFÓLIO'!$C$4:$C$433,0)),"")</f>
        <v/>
      </c>
      <c r="M42" s="220" t="n"/>
      <c r="N42" s="220" t="n"/>
      <c r="O42" s="220" t="n"/>
      <c r="P42" s="220" t="n"/>
      <c r="Q42" s="220" t="n"/>
      <c r="R42" s="220" t="n"/>
      <c r="S42" s="220" t="n"/>
      <c r="T42" s="220" t="n"/>
      <c r="U42" s="220" t="n"/>
      <c r="V42" s="220" t="n"/>
      <c r="W42" s="220" t="n"/>
    </row>
    <row r="43" outlineLevel="1" ht="15.75" customHeight="1" s="297">
      <c r="A43" s="211" t="n"/>
      <c r="B43" s="212" t="n"/>
      <c r="C43" s="213" t="n"/>
      <c r="D43" s="214">
        <f>IFERROR(VLOOKUP($C43,'PORTIFÓLIO'!C:V,2,0),"")</f>
        <v/>
      </c>
      <c r="E43" s="211">
        <f>IFERROR(VLOOKUP($C43,'PORTIFÓLIO'!C:V,3,0),"")</f>
        <v/>
      </c>
      <c r="F43" s="211">
        <f>IFERROR(VLOOKUP($C43,'PORTIFÓLIO'!C:V,4,0),"")</f>
        <v/>
      </c>
      <c r="G43" s="215">
        <f>IFERROR(VLOOKUP($C43,'PORTIFÓLIO'!C:V,5,0),"")</f>
        <v/>
      </c>
      <c r="H43" s="254">
        <f t="array" ref="H43">IFERROR(INDEX('PORTIFÓLIO'!$H$4:$H$433,MATCH($C43,'PORTIFÓLIO'!$C$4:$C$433,0)),"")</f>
        <v/>
      </c>
      <c r="I43" s="256" t="n"/>
      <c r="J43" s="218">
        <f>I43*$B$2</f>
        <v/>
      </c>
      <c r="K43" s="219">
        <f t="array" ref="K43">IFERROR(I43*INDEX('PORTIFÓLIO'!$S$4:$S$433,MATCH($C43,'PORTIFÓLIO'!$C$4:$C$433,0)),"")</f>
        <v/>
      </c>
      <c r="L43" s="219">
        <f t="array" ref="L43">IFERROR(J43*INDEX('PORTIFÓLIO'!$S$4:$S$433,MATCH($C43,'PORTIFÓLIO'!$C$4:$C$433,0)),"")</f>
        <v/>
      </c>
      <c r="M43" s="220" t="n"/>
      <c r="N43" s="220" t="n"/>
      <c r="O43" s="220" t="n"/>
      <c r="P43" s="220" t="n"/>
      <c r="Q43" s="220" t="n"/>
      <c r="R43" s="220" t="n"/>
      <c r="S43" s="220" t="n"/>
      <c r="T43" s="220" t="n"/>
      <c r="U43" s="220" t="n"/>
      <c r="V43" s="220" t="n"/>
      <c r="W43" s="220" t="n"/>
    </row>
    <row r="44" ht="15.75" customHeight="1" s="297">
      <c r="A44" s="229" t="inlineStr">
        <is>
          <t>OPERAÇÃO 3</t>
        </is>
      </c>
      <c r="B44" s="230" t="n"/>
      <c r="C44" s="231" t="n"/>
      <c r="D44" s="232" t="inlineStr">
        <is>
          <t>-</t>
        </is>
      </c>
      <c r="E44" s="231" t="n"/>
      <c r="F44" s="231" t="n"/>
      <c r="G44" s="233" t="n"/>
      <c r="H44" s="233" t="n"/>
      <c r="I44" s="258" t="n"/>
      <c r="J44" s="236" t="n"/>
      <c r="K44" s="237">
        <f>SUBTOTAL(9,K45:K58)</f>
        <v/>
      </c>
      <c r="L44" s="237">
        <f>SUBTOTAL(9,L45:L58)</f>
        <v/>
      </c>
      <c r="M44" s="220" t="n"/>
      <c r="N44" s="220" t="n"/>
      <c r="O44" s="220" t="n"/>
      <c r="P44" s="220" t="n"/>
      <c r="Q44" s="220" t="n"/>
      <c r="R44" s="220" t="n"/>
      <c r="S44" s="220" t="n"/>
      <c r="T44" s="220" t="n"/>
      <c r="U44" s="220" t="n"/>
      <c r="V44" s="220" t="n"/>
      <c r="W44" s="220" t="n"/>
    </row>
    <row r="45" outlineLevel="1" ht="15.75" customHeight="1" s="297">
      <c r="A45" s="213" t="n"/>
      <c r="B45" s="212" t="inlineStr">
        <is>
          <t>HERBICIDA</t>
        </is>
      </c>
      <c r="C45" s="213" t="inlineStr">
        <is>
          <t>GLUFOS-WYN 880</t>
        </is>
      </c>
      <c r="D45" s="214">
        <f>IFERROR(VLOOKUP($C45,'PORTIFÓLIO'!C:V,2,0),"")</f>
        <v/>
      </c>
      <c r="E45" s="211">
        <f>IFERROR(VLOOKUP($C45,'PORTIFÓLIO'!C:V,3,0),"")</f>
        <v/>
      </c>
      <c r="F45" s="211">
        <f>IFERROR(VLOOKUP($C45,'PORTIFÓLIO'!C:V,4,0),"")</f>
        <v/>
      </c>
      <c r="G45" s="225">
        <f>IFERROR(VLOOKUP($C45,'PORTIFÓLIO'!C:V,5,0),"")</f>
        <v/>
      </c>
      <c r="H45" s="254">
        <f t="array" ref="H45">IFERROR(INDEX('PORTIFÓLIO'!$H$4:$H$433,MATCH($C45,'PORTIFÓLIO'!$C$4:$C$433,0)),"")</f>
        <v/>
      </c>
      <c r="I45" s="255" t="n">
        <v>0.5</v>
      </c>
      <c r="J45" s="218">
        <f>I45*$B$2</f>
        <v/>
      </c>
      <c r="K45" s="219">
        <f t="array" ref="K45">IFERROR(I45*INDEX('PORTIFÓLIO'!$S$4:$S$433,MATCH($C45,'PORTIFÓLIO'!$C$4:$C$433,0)),"")</f>
        <v/>
      </c>
      <c r="L45" s="219">
        <f t="array" ref="L45">IFERROR(J45*INDEX('PORTIFÓLIO'!$S$4:$S$433,MATCH($C45,'PORTIFÓLIO'!$C$4:$C$433,0)),"")</f>
        <v/>
      </c>
      <c r="M45" s="220" t="n"/>
      <c r="N45" s="220" t="n"/>
      <c r="O45" s="220" t="n"/>
      <c r="P45" s="220" t="n"/>
      <c r="Q45" s="220" t="n"/>
      <c r="R45" s="220" t="n"/>
      <c r="S45" s="220" t="n"/>
      <c r="T45" s="220" t="n"/>
      <c r="U45" s="220" t="n"/>
      <c r="V45" s="220" t="n"/>
      <c r="W45" s="220" t="n"/>
    </row>
    <row r="46" outlineLevel="1" ht="15.75" customHeight="1" s="297">
      <c r="A46" s="211" t="n"/>
      <c r="B46" s="212" t="inlineStr">
        <is>
          <t>HERBICIDA</t>
        </is>
      </c>
      <c r="C46" s="213" t="inlineStr">
        <is>
          <t>REATOR 360 CS</t>
        </is>
      </c>
      <c r="D46" s="214">
        <f>IFERROR(VLOOKUP($C46,'PORTIFÓLIO'!C:V,2,0),"")</f>
        <v/>
      </c>
      <c r="E46" s="211">
        <f>IFERROR(VLOOKUP($C46,'PORTIFÓLIO'!C:V,3,0),"")</f>
        <v/>
      </c>
      <c r="F46" s="211">
        <f>IFERROR(VLOOKUP($C46,'PORTIFÓLIO'!C:V,4,0),"")</f>
        <v/>
      </c>
      <c r="G46" s="225">
        <f>IFERROR(VLOOKUP($C46,'PORTIFÓLIO'!C:V,5,0),"")</f>
        <v/>
      </c>
      <c r="H46" s="254">
        <f t="array" ref="H46">IFERROR(INDEX('PORTIFÓLIO'!$H$4:$H$433,MATCH($C46,'PORTIFÓLIO'!$C$4:$C$433,0)),"")</f>
        <v/>
      </c>
      <c r="I46" s="255" t="n">
        <v>1</v>
      </c>
      <c r="J46" s="218">
        <f>I46*$B$2</f>
        <v/>
      </c>
      <c r="K46" s="219">
        <f t="array" ref="K46">IFERROR(I46*INDEX('PORTIFÓLIO'!$S$4:$S$433,MATCH($C46,'PORTIFÓLIO'!$C$4:$C$433,0)),"")</f>
        <v/>
      </c>
      <c r="L46" s="219">
        <f t="array" ref="L46">IFERROR(J46*INDEX('PORTIFÓLIO'!$S$4:$S$433,MATCH($C46,'PORTIFÓLIO'!$C$4:$C$433,0)),"")</f>
        <v/>
      </c>
      <c r="M46" s="220" t="n"/>
      <c r="N46" s="220" t="n"/>
      <c r="O46" s="220" t="n"/>
      <c r="P46" s="220" t="n"/>
      <c r="Q46" s="220" t="n"/>
      <c r="R46" s="220" t="n"/>
      <c r="S46" s="220" t="n"/>
      <c r="T46" s="220" t="n"/>
      <c r="U46" s="220" t="n"/>
      <c r="V46" s="220" t="n"/>
      <c r="W46" s="220" t="n"/>
    </row>
    <row r="47" outlineLevel="1" ht="15.75" customHeight="1" s="297">
      <c r="A47" s="211" t="n"/>
      <c r="B47" s="212" t="inlineStr">
        <is>
          <t>HERBICIDA</t>
        </is>
      </c>
      <c r="C47" s="213" t="inlineStr">
        <is>
          <t>DUAL GOLD</t>
        </is>
      </c>
      <c r="D47" s="214">
        <f>IFERROR(VLOOKUP($C47,'PORTIFÓLIO'!C:V,2,0),"")</f>
        <v/>
      </c>
      <c r="E47" s="211">
        <f>IFERROR(VLOOKUP($C47,'PORTIFÓLIO'!C:V,3,0),"")</f>
        <v/>
      </c>
      <c r="F47" s="211">
        <f>IFERROR(VLOOKUP($C47,'PORTIFÓLIO'!C:V,4,0),"")</f>
        <v/>
      </c>
      <c r="G47" s="225">
        <f>IFERROR(VLOOKUP($C47,'PORTIFÓLIO'!C:V,5,0),"")</f>
        <v/>
      </c>
      <c r="H47" s="254">
        <f t="array" ref="H47">IFERROR(INDEX('PORTIFÓLIO'!$H$4:$H$433,MATCH($C47,'PORTIFÓLIO'!$C$4:$C$433,0)),"")</f>
        <v/>
      </c>
      <c r="I47" s="255" t="n">
        <v>1</v>
      </c>
      <c r="J47" s="218">
        <f>I47*$B$2</f>
        <v/>
      </c>
      <c r="K47" s="219">
        <f t="array" ref="K47">IFERROR(I47*INDEX('PORTIFÓLIO'!$S$4:$S$433,MATCH($C47,'PORTIFÓLIO'!$C$4:$C$433,0)),"")</f>
        <v/>
      </c>
      <c r="L47" s="219">
        <f t="array" ref="L47">IFERROR(J47*INDEX('PORTIFÓLIO'!$S$4:$S$433,MATCH($C47,'PORTIFÓLIO'!$C$4:$C$433,0)),"")</f>
        <v/>
      </c>
      <c r="M47" s="220" t="n"/>
      <c r="N47" s="220" t="n"/>
      <c r="O47" s="220" t="n"/>
      <c r="P47" s="220" t="n"/>
      <c r="Q47" s="220" t="n"/>
      <c r="R47" s="220" t="n"/>
      <c r="S47" s="220" t="n"/>
      <c r="T47" s="220" t="n"/>
      <c r="U47" s="220" t="n"/>
      <c r="V47" s="220" t="n"/>
      <c r="W47" s="220" t="n"/>
    </row>
    <row r="48" outlineLevel="1" ht="15.75" customHeight="1" s="297">
      <c r="A48" s="211" t="n"/>
      <c r="B48" s="212" t="inlineStr">
        <is>
          <t>ADJUVANTE</t>
        </is>
      </c>
      <c r="C48" s="213" t="inlineStr">
        <is>
          <t>JOINT ULTRA</t>
        </is>
      </c>
      <c r="D48" s="214">
        <f>IFERROR(VLOOKUP($C48,'PORTIFÓLIO'!C:V,2,0),"")</f>
        <v/>
      </c>
      <c r="E48" s="211">
        <f>IFERROR(VLOOKUP($C48,'PORTIFÓLIO'!C:V,3,0),"")</f>
        <v/>
      </c>
      <c r="F48" s="211">
        <f>IFERROR(VLOOKUP($C48,'PORTIFÓLIO'!C:V,4,0),"")</f>
        <v/>
      </c>
      <c r="G48" s="225">
        <f>IFERROR(VLOOKUP($C48,'PORTIFÓLIO'!C:V,5,0),"")</f>
        <v/>
      </c>
      <c r="H48" s="254">
        <f t="array" ref="H48">IFERROR(INDEX('PORTIFÓLIO'!$H$4:$H$433,MATCH($C48,'PORTIFÓLIO'!$C$4:$C$433,0)),"")</f>
        <v/>
      </c>
      <c r="I48" s="255" t="n">
        <v>0.2</v>
      </c>
      <c r="J48" s="218">
        <f>I48*$B$2</f>
        <v/>
      </c>
      <c r="K48" s="219">
        <f t="array" ref="K48">IFERROR(I48*INDEX('PORTIFÓLIO'!$S$4:$S$433,MATCH($C48,'PORTIFÓLIO'!$C$4:$C$433,0)),"")</f>
        <v/>
      </c>
      <c r="L48" s="219">
        <f t="array" ref="L48">IFERROR(J48*INDEX('PORTIFÓLIO'!$S$4:$S$433,MATCH($C48,'PORTIFÓLIO'!$C$4:$C$433,0)),"")</f>
        <v/>
      </c>
      <c r="M48" s="220" t="n"/>
      <c r="N48" s="220" t="n"/>
      <c r="O48" s="220" t="n"/>
      <c r="P48" s="220" t="n"/>
      <c r="Q48" s="220" t="n"/>
      <c r="R48" s="220" t="n"/>
      <c r="S48" s="220" t="n"/>
      <c r="T48" s="220" t="n"/>
      <c r="U48" s="220" t="n"/>
      <c r="V48" s="220" t="n"/>
      <c r="W48" s="220" t="n"/>
    </row>
    <row r="49" outlineLevel="1" ht="15.75" customHeight="1" s="297">
      <c r="A49" s="211" t="n"/>
      <c r="B49" s="212" t="inlineStr">
        <is>
          <t>INSETICIDA</t>
        </is>
      </c>
      <c r="C49" s="213" t="inlineStr">
        <is>
          <t>PREMIO</t>
        </is>
      </c>
      <c r="D49" s="214">
        <f>IFERROR(VLOOKUP($C49,'PORTIFÓLIO'!C:V,2,0),"")</f>
        <v/>
      </c>
      <c r="E49" s="211">
        <f>IFERROR(VLOOKUP($C49,'PORTIFÓLIO'!C:V,3,0),"")</f>
        <v/>
      </c>
      <c r="F49" s="211">
        <f>IFERROR(VLOOKUP($C49,'PORTIFÓLIO'!C:V,4,0),"")</f>
        <v/>
      </c>
      <c r="G49" s="225">
        <f>IFERROR(VLOOKUP($C49,'PORTIFÓLIO'!C:V,5,0),"")</f>
        <v/>
      </c>
      <c r="H49" s="254">
        <f t="array" ref="H49">IFERROR(INDEX('PORTIFÓLIO'!$H$4:$H$433,MATCH($C49,'PORTIFÓLIO'!$C$4:$C$433,0)),"")</f>
        <v/>
      </c>
      <c r="I49" s="255" t="n">
        <v>0.04</v>
      </c>
      <c r="J49" s="218">
        <f>I49*$B$2</f>
        <v/>
      </c>
      <c r="K49" s="219">
        <f t="array" ref="K49">IFERROR(I49*INDEX('PORTIFÓLIO'!$S$4:$S$433,MATCH($C49,'PORTIFÓLIO'!$C$4:$C$433,0)),"")</f>
        <v/>
      </c>
      <c r="L49" s="219">
        <f t="array" ref="L49">IFERROR(J49*INDEX('PORTIFÓLIO'!$S$4:$S$433,MATCH($C49,'PORTIFÓLIO'!$C$4:$C$433,0)),"")</f>
        <v/>
      </c>
      <c r="M49" s="220" t="n"/>
      <c r="N49" s="220" t="n"/>
      <c r="O49" s="220" t="n"/>
      <c r="P49" s="220" t="n"/>
      <c r="Q49" s="220" t="n"/>
      <c r="R49" s="220" t="n"/>
      <c r="S49" s="220" t="n"/>
      <c r="T49" s="220" t="n"/>
      <c r="U49" s="220" t="n"/>
      <c r="V49" s="220" t="n"/>
      <c r="W49" s="220" t="n"/>
    </row>
    <row r="50" outlineLevel="1" ht="15.75" customHeight="1" s="297">
      <c r="A50" s="211" t="n"/>
      <c r="B50" s="212" t="n"/>
      <c r="C50" s="213" t="n"/>
      <c r="D50" s="214">
        <f>IFERROR(VLOOKUP($C50,'PORTIFÓLIO'!C:V,2,0),"")</f>
        <v/>
      </c>
      <c r="E50" s="211">
        <f>IFERROR(VLOOKUP($C50,'PORTIFÓLIO'!C:V,3,0),"")</f>
        <v/>
      </c>
      <c r="F50" s="211">
        <f>IFERROR(VLOOKUP($C50,'PORTIFÓLIO'!C:V,4,0),"")</f>
        <v/>
      </c>
      <c r="G50" s="215">
        <f>IFERROR(VLOOKUP($C50,'PORTIFÓLIO'!C:V,5,0),"")</f>
        <v/>
      </c>
      <c r="H50" s="254">
        <f t="array" ref="H50">IFERROR(INDEX('PORTIFÓLIO'!$H$4:$H$433,MATCH($C50,'PORTIFÓLIO'!$C$4:$C$433,0)),"")</f>
        <v/>
      </c>
      <c r="I50" s="255" t="n"/>
      <c r="J50" s="218">
        <f>I50*$B$2</f>
        <v/>
      </c>
      <c r="K50" s="219">
        <f t="array" ref="K50">IFERROR(I50*INDEX('PORTIFÓLIO'!$S$4:$S$433,MATCH($C50,'PORTIFÓLIO'!$C$4:$C$433,0)),"")</f>
        <v/>
      </c>
      <c r="L50" s="219">
        <f t="array" ref="L50">IFERROR(J50*INDEX('PORTIFÓLIO'!$S$4:$S$433,MATCH($C50,'PORTIFÓLIO'!$C$4:$C$433,0)),"")</f>
        <v/>
      </c>
      <c r="M50" s="220" t="n"/>
      <c r="N50" s="220" t="n"/>
      <c r="O50" s="220" t="n"/>
      <c r="P50" s="220" t="n"/>
      <c r="Q50" s="220" t="n"/>
      <c r="R50" s="220" t="n"/>
      <c r="S50" s="220" t="n"/>
      <c r="T50" s="220" t="n"/>
      <c r="U50" s="220" t="n"/>
      <c r="V50" s="220" t="n"/>
      <c r="W50" s="220" t="n"/>
    </row>
    <row r="51" outlineLevel="1" ht="15.75" customHeight="1" s="297">
      <c r="A51" s="211" t="n"/>
      <c r="B51" s="212" t="n"/>
      <c r="C51" s="213" t="n"/>
      <c r="D51" s="214">
        <f>IFERROR(VLOOKUP($C51,'PORTIFÓLIO'!C:V,2,0),"")</f>
        <v/>
      </c>
      <c r="E51" s="211">
        <f>IFERROR(VLOOKUP($C51,'PORTIFÓLIO'!C:V,3,0),"")</f>
        <v/>
      </c>
      <c r="F51" s="211">
        <f>IFERROR(VLOOKUP($C51,'PORTIFÓLIO'!C:V,4,0),"")</f>
        <v/>
      </c>
      <c r="G51" s="215">
        <f>IFERROR(VLOOKUP($C51,'PORTIFÓLIO'!C:V,5,0),"")</f>
        <v/>
      </c>
      <c r="H51" s="254">
        <f t="array" ref="H51">IFERROR(INDEX('PORTIFÓLIO'!$H$4:$H$433,MATCH($C51,'PORTIFÓLIO'!$C$4:$C$433,0)),"")</f>
        <v/>
      </c>
      <c r="I51" s="255" t="n"/>
      <c r="J51" s="218">
        <f>I51*$B$2</f>
        <v/>
      </c>
      <c r="K51" s="219">
        <f t="array" ref="K51">IFERROR(I51*INDEX('PORTIFÓLIO'!$S$4:$S$433,MATCH($C51,'PORTIFÓLIO'!$C$4:$C$433,0)),"")</f>
        <v/>
      </c>
      <c r="L51" s="219">
        <f t="array" ref="L51">IFERROR(J51*INDEX('PORTIFÓLIO'!$S$4:$S$433,MATCH($C51,'PORTIFÓLIO'!$C$4:$C$433,0)),"")</f>
        <v/>
      </c>
      <c r="M51" s="220" t="n"/>
      <c r="N51" s="220" t="n"/>
      <c r="O51" s="220" t="n"/>
      <c r="P51" s="220" t="n"/>
      <c r="Q51" s="220" t="n"/>
      <c r="R51" s="220" t="n"/>
      <c r="S51" s="220" t="n"/>
      <c r="T51" s="220" t="n"/>
      <c r="U51" s="220" t="n"/>
      <c r="V51" s="220" t="n"/>
      <c r="W51" s="220" t="n"/>
    </row>
    <row r="52" outlineLevel="1" ht="15.75" customHeight="1" s="297">
      <c r="A52" s="211" t="n"/>
      <c r="B52" s="212" t="n"/>
      <c r="C52" s="213" t="n"/>
      <c r="D52" s="214">
        <f>IFERROR(VLOOKUP($C52,'PORTIFÓLIO'!C:V,2,0),"")</f>
        <v/>
      </c>
      <c r="E52" s="211">
        <f>IFERROR(VLOOKUP($C52,'PORTIFÓLIO'!C:V,3,0),"")</f>
        <v/>
      </c>
      <c r="F52" s="211">
        <f>IFERROR(VLOOKUP($C52,'PORTIFÓLIO'!C:V,4,0),"")</f>
        <v/>
      </c>
      <c r="G52" s="215">
        <f>IFERROR(VLOOKUP($C52,'PORTIFÓLIO'!C:V,5,0),"")</f>
        <v/>
      </c>
      <c r="H52" s="254">
        <f t="array" ref="H52">IFERROR(INDEX('PORTIFÓLIO'!$H$4:$H$433,MATCH($C52,'PORTIFÓLIO'!$C$4:$C$433,0)),"")</f>
        <v/>
      </c>
      <c r="I52" s="256" t="n"/>
      <c r="J52" s="218">
        <f>I52*$B$2</f>
        <v/>
      </c>
      <c r="K52" s="219">
        <f t="array" ref="K52">IFERROR(I52*INDEX('PORTIFÓLIO'!$S$4:$S$433,MATCH($C52,'PORTIFÓLIO'!$C$4:$C$433,0)),"")</f>
        <v/>
      </c>
      <c r="L52" s="219">
        <f t="array" ref="L52">IFERROR(J52*INDEX('PORTIFÓLIO'!$S$4:$S$433,MATCH($C52,'PORTIFÓLIO'!$C$4:$C$433,0)),"")</f>
        <v/>
      </c>
      <c r="M52" s="220" t="n"/>
      <c r="N52" s="220" t="n"/>
      <c r="O52" s="220" t="n"/>
      <c r="P52" s="220" t="n"/>
      <c r="Q52" s="220" t="n"/>
      <c r="R52" s="220" t="n"/>
      <c r="S52" s="220" t="n"/>
      <c r="T52" s="220" t="n"/>
      <c r="U52" s="220" t="n"/>
      <c r="V52" s="220" t="n"/>
      <c r="W52" s="220" t="n"/>
    </row>
    <row r="53" outlineLevel="1" ht="15.75" customHeight="1" s="297">
      <c r="A53" s="211" t="n"/>
      <c r="B53" s="212" t="n"/>
      <c r="C53" s="213" t="n"/>
      <c r="D53" s="214">
        <f>IFERROR(VLOOKUP($C53,'PORTIFÓLIO'!C:V,2,0),"")</f>
        <v/>
      </c>
      <c r="E53" s="211">
        <f>IFERROR(VLOOKUP($C53,'PORTIFÓLIO'!C:V,3,0),"")</f>
        <v/>
      </c>
      <c r="F53" s="211">
        <f>IFERROR(VLOOKUP($C53,'PORTIFÓLIO'!C:V,4,0),"")</f>
        <v/>
      </c>
      <c r="G53" s="215">
        <f>IFERROR(VLOOKUP($C53,'PORTIFÓLIO'!C:V,5,0),"")</f>
        <v/>
      </c>
      <c r="H53" s="254">
        <f t="array" ref="H53">IFERROR(INDEX('PORTIFÓLIO'!$H$4:$H$433,MATCH($C53,'PORTIFÓLIO'!$C$4:$C$433,0)),"")</f>
        <v/>
      </c>
      <c r="I53" s="255" t="n"/>
      <c r="J53" s="218">
        <f>I53*$B$2</f>
        <v/>
      </c>
      <c r="K53" s="219">
        <f t="array" ref="K53">IFERROR(I53*INDEX('PORTIFÓLIO'!$S$4:$S$433,MATCH($C53,'PORTIFÓLIO'!$C$4:$C$433,0)),"")</f>
        <v/>
      </c>
      <c r="L53" s="219">
        <f t="array" ref="L53">IFERROR(J53*INDEX('PORTIFÓLIO'!$S$4:$S$433,MATCH($C53,'PORTIFÓLIO'!$C$4:$C$433,0)),"")</f>
        <v/>
      </c>
      <c r="M53" s="220" t="n"/>
      <c r="N53" s="220" t="n"/>
      <c r="O53" s="220" t="n"/>
      <c r="P53" s="220" t="n"/>
      <c r="Q53" s="220" t="n"/>
      <c r="R53" s="220" t="n"/>
      <c r="S53" s="220" t="n"/>
      <c r="T53" s="220" t="n"/>
      <c r="U53" s="220" t="n"/>
      <c r="V53" s="220" t="n"/>
      <c r="W53" s="220" t="n"/>
    </row>
    <row r="54" outlineLevel="1" ht="15.75" customHeight="1" s="297">
      <c r="A54" s="211" t="n"/>
      <c r="B54" s="212" t="n"/>
      <c r="C54" s="213" t="n"/>
      <c r="D54" s="214">
        <f>IFERROR(VLOOKUP($C54,'PORTIFÓLIO'!C:V,2,0),"")</f>
        <v/>
      </c>
      <c r="E54" s="211">
        <f>IFERROR(VLOOKUP($C54,'PORTIFÓLIO'!C:V,3,0),"")</f>
        <v/>
      </c>
      <c r="F54" s="211">
        <f>IFERROR(VLOOKUP($C54,'PORTIFÓLIO'!C:V,4,0),"")</f>
        <v/>
      </c>
      <c r="G54" s="215">
        <f>IFERROR(VLOOKUP($C54,'PORTIFÓLIO'!C:V,5,0),"")</f>
        <v/>
      </c>
      <c r="H54" s="254">
        <f t="array" ref="H54">IFERROR(INDEX('PORTIFÓLIO'!$H$4:$H$433,MATCH($C54,'PORTIFÓLIO'!$C$4:$C$433,0)),"")</f>
        <v/>
      </c>
      <c r="I54" s="256" t="n"/>
      <c r="J54" s="218">
        <f>I54*$B$2</f>
        <v/>
      </c>
      <c r="K54" s="219">
        <f t="array" ref="K54">IFERROR(I54*INDEX('PORTIFÓLIO'!$S$4:$S$433,MATCH($C54,'PORTIFÓLIO'!$C$4:$C$433,0)),"")</f>
        <v/>
      </c>
      <c r="L54" s="219">
        <f t="array" ref="L54">IFERROR(J54*INDEX('PORTIFÓLIO'!$S$4:$S$433,MATCH($C54,'PORTIFÓLIO'!$C$4:$C$433,0)),"")</f>
        <v/>
      </c>
      <c r="M54" s="220" t="n"/>
      <c r="N54" s="220" t="n"/>
      <c r="O54" s="220" t="n"/>
      <c r="P54" s="220" t="n"/>
      <c r="Q54" s="220" t="n"/>
      <c r="R54" s="220" t="n"/>
      <c r="S54" s="220" t="n"/>
      <c r="T54" s="220" t="n"/>
      <c r="U54" s="220" t="n"/>
      <c r="V54" s="220" t="n"/>
      <c r="W54" s="220" t="n"/>
    </row>
    <row r="55" outlineLevel="1" ht="15.75" customHeight="1" s="297">
      <c r="A55" s="211" t="n"/>
      <c r="B55" s="212" t="n"/>
      <c r="C55" s="213" t="n"/>
      <c r="D55" s="214">
        <f>IFERROR(VLOOKUP($C55,'PORTIFÓLIO'!C:V,2,0),"")</f>
        <v/>
      </c>
      <c r="E55" s="211">
        <f>IFERROR(VLOOKUP($C55,'PORTIFÓLIO'!C:V,3,0),"")</f>
        <v/>
      </c>
      <c r="F55" s="211">
        <f>IFERROR(VLOOKUP($C55,'PORTIFÓLIO'!C:V,4,0),"")</f>
        <v/>
      </c>
      <c r="G55" s="215">
        <f>IFERROR(VLOOKUP($C55,'PORTIFÓLIO'!C:V,5,0),"")</f>
        <v/>
      </c>
      <c r="H55" s="254">
        <f t="array" ref="H55">IFERROR(INDEX('PORTIFÓLIO'!$H$4:$H$433,MATCH($C55,'PORTIFÓLIO'!$C$4:$C$433,0)),"")</f>
        <v/>
      </c>
      <c r="I55" s="256" t="n"/>
      <c r="J55" s="218">
        <f>I55*$B$2</f>
        <v/>
      </c>
      <c r="K55" s="219">
        <f t="array" ref="K55">IFERROR(I55*INDEX('PORTIFÓLIO'!$S$4:$S$433,MATCH($C55,'PORTIFÓLIO'!$C$4:$C$433,0)),"")</f>
        <v/>
      </c>
      <c r="L55" s="219">
        <f t="array" ref="L55">IFERROR(J55*INDEX('PORTIFÓLIO'!$S$4:$S$433,MATCH($C55,'PORTIFÓLIO'!$C$4:$C$433,0)),"")</f>
        <v/>
      </c>
      <c r="M55" s="220" t="n"/>
      <c r="N55" s="220" t="n"/>
      <c r="O55" s="220" t="n"/>
      <c r="P55" s="220" t="n"/>
      <c r="Q55" s="220" t="n"/>
      <c r="R55" s="220" t="n"/>
      <c r="S55" s="220" t="n"/>
      <c r="T55" s="220" t="n"/>
      <c r="U55" s="220" t="n"/>
      <c r="V55" s="220" t="n"/>
      <c r="W55" s="220" t="n"/>
    </row>
    <row r="56" outlineLevel="1" ht="15.75" customHeight="1" s="297">
      <c r="A56" s="211" t="n"/>
      <c r="B56" s="212" t="n"/>
      <c r="C56" s="213" t="n"/>
      <c r="D56" s="214">
        <f>IFERROR(VLOOKUP($C56,'PORTIFÓLIO'!C:V,2,0),"")</f>
        <v/>
      </c>
      <c r="E56" s="211">
        <f>IFERROR(VLOOKUP($C56,'PORTIFÓLIO'!C:V,3,0),"")</f>
        <v/>
      </c>
      <c r="F56" s="211">
        <f>IFERROR(VLOOKUP($C56,'PORTIFÓLIO'!C:V,4,0),"")</f>
        <v/>
      </c>
      <c r="G56" s="215">
        <f>IFERROR(VLOOKUP($C56,'PORTIFÓLIO'!C:V,5,0),"")</f>
        <v/>
      </c>
      <c r="H56" s="254">
        <f t="array" ref="H56">IFERROR(INDEX('PORTIFÓLIO'!$H$4:$H$433,MATCH($C56,'PORTIFÓLIO'!$C$4:$C$433,0)),"")</f>
        <v/>
      </c>
      <c r="I56" s="256" t="n"/>
      <c r="J56" s="218">
        <f>I56*$B$2</f>
        <v/>
      </c>
      <c r="K56" s="219">
        <f t="array" ref="K56">IFERROR(I56*INDEX('PORTIFÓLIO'!$S$4:$S$433,MATCH($C56,'PORTIFÓLIO'!$C$4:$C$433,0)),"")</f>
        <v/>
      </c>
      <c r="L56" s="219">
        <f t="array" ref="L56">IFERROR(J56*INDEX('PORTIFÓLIO'!$S$4:$S$433,MATCH($C56,'PORTIFÓLIO'!$C$4:$C$433,0)),"")</f>
        <v/>
      </c>
      <c r="M56" s="220" t="n"/>
      <c r="N56" s="220" t="n"/>
      <c r="O56" s="220" t="n"/>
      <c r="P56" s="220" t="n"/>
      <c r="Q56" s="220" t="n"/>
      <c r="R56" s="220" t="n"/>
      <c r="S56" s="220" t="n"/>
      <c r="T56" s="220" t="n"/>
      <c r="U56" s="220" t="n"/>
      <c r="V56" s="220" t="n"/>
      <c r="W56" s="220" t="n"/>
    </row>
    <row r="57" outlineLevel="1" ht="15.75" customHeight="1" s="297">
      <c r="A57" s="211" t="n"/>
      <c r="B57" s="212" t="n"/>
      <c r="C57" s="213" t="n"/>
      <c r="D57" s="214">
        <f>IFERROR(VLOOKUP($C57,'PORTIFÓLIO'!C:V,2,0),"")</f>
        <v/>
      </c>
      <c r="E57" s="211">
        <f>IFERROR(VLOOKUP($C57,'PORTIFÓLIO'!C:V,3,0),"")</f>
        <v/>
      </c>
      <c r="F57" s="211">
        <f>IFERROR(VLOOKUP($C57,'PORTIFÓLIO'!C:V,4,0),"")</f>
        <v/>
      </c>
      <c r="G57" s="215">
        <f>IFERROR(VLOOKUP($C57,'PORTIFÓLIO'!C:V,5,0),"")</f>
        <v/>
      </c>
      <c r="H57" s="254">
        <f t="array" ref="H57">IFERROR(INDEX('PORTIFÓLIO'!$H$4:$H$433,MATCH($C57,'PORTIFÓLIO'!$C$4:$C$433,0)),"")</f>
        <v/>
      </c>
      <c r="I57" s="256" t="n"/>
      <c r="J57" s="218">
        <f>I57*$B$2</f>
        <v/>
      </c>
      <c r="K57" s="219">
        <f t="array" ref="K57">IFERROR(I57*INDEX('PORTIFÓLIO'!$S$4:$S$433,MATCH($C57,'PORTIFÓLIO'!$C$4:$C$433,0)),"")</f>
        <v/>
      </c>
      <c r="L57" s="219">
        <f t="array" ref="L57">IFERROR(J57*INDEX('PORTIFÓLIO'!$S$4:$S$433,MATCH($C57,'PORTIFÓLIO'!$C$4:$C$433,0)),"")</f>
        <v/>
      </c>
      <c r="M57" s="220" t="n"/>
      <c r="N57" s="220" t="n"/>
      <c r="O57" s="220" t="n"/>
      <c r="P57" s="220" t="n"/>
      <c r="Q57" s="220" t="n"/>
      <c r="R57" s="220" t="n"/>
      <c r="S57" s="220" t="n"/>
      <c r="T57" s="220" t="n"/>
      <c r="U57" s="220" t="n"/>
      <c r="V57" s="220" t="n"/>
      <c r="W57" s="220" t="n"/>
    </row>
    <row r="58" outlineLevel="1" ht="15.75" customHeight="1" s="297">
      <c r="A58" s="211" t="n"/>
      <c r="B58" s="212" t="n"/>
      <c r="C58" s="213" t="n"/>
      <c r="D58" s="214">
        <f>IFERROR(VLOOKUP($C58,'PORTIFÓLIO'!C:V,2,0),"")</f>
        <v/>
      </c>
      <c r="E58" s="211">
        <f>IFERROR(VLOOKUP($C58,'PORTIFÓLIO'!C:V,3,0),"")</f>
        <v/>
      </c>
      <c r="F58" s="211">
        <f>IFERROR(VLOOKUP($C58,'PORTIFÓLIO'!C:V,4,0),"")</f>
        <v/>
      </c>
      <c r="G58" s="215">
        <f>IFERROR(VLOOKUP($C58,'PORTIFÓLIO'!C:V,5,0),"")</f>
        <v/>
      </c>
      <c r="H58" s="254">
        <f t="array" ref="H58">IFERROR(INDEX('PORTIFÓLIO'!$H$4:$H$433,MATCH($C58,'PORTIFÓLIO'!$C$4:$C$433,0)),"")</f>
        <v/>
      </c>
      <c r="I58" s="256" t="n"/>
      <c r="J58" s="218">
        <f>I58*$B$2</f>
        <v/>
      </c>
      <c r="K58" s="219">
        <f t="array" ref="K58">IFERROR(I58*INDEX('PORTIFÓLIO'!$S$4:$S$433,MATCH($C58,'PORTIFÓLIO'!$C$4:$C$433,0)),"")</f>
        <v/>
      </c>
      <c r="L58" s="219">
        <f t="array" ref="L58">IFERROR(J58*INDEX('PORTIFÓLIO'!$S$4:$S$433,MATCH($C58,'PORTIFÓLIO'!$C$4:$C$433,0)),"")</f>
        <v/>
      </c>
      <c r="M58" s="220" t="n"/>
      <c r="N58" s="220" t="n"/>
      <c r="O58" s="220" t="n"/>
      <c r="P58" s="220" t="n"/>
      <c r="Q58" s="220" t="n"/>
      <c r="R58" s="220" t="n"/>
      <c r="S58" s="220" t="n"/>
      <c r="T58" s="220" t="n"/>
      <c r="U58" s="220" t="n"/>
      <c r="V58" s="220" t="n"/>
      <c r="W58" s="220" t="n"/>
    </row>
    <row r="59" outlineLevel="1" ht="15.75" customHeight="1" s="297">
      <c r="A59" s="211" t="n"/>
      <c r="B59" s="212" t="n"/>
      <c r="C59" s="213" t="n"/>
      <c r="D59" s="214">
        <f>IFERROR(VLOOKUP($C59,'PORTIFÓLIO'!C:V,2,0),"")</f>
        <v/>
      </c>
      <c r="E59" s="211">
        <f>IFERROR(VLOOKUP($C59,'PORTIFÓLIO'!C:V,3,0),"")</f>
        <v/>
      </c>
      <c r="F59" s="211">
        <f>IFERROR(VLOOKUP($C59,'PORTIFÓLIO'!C:V,4,0),"")</f>
        <v/>
      </c>
      <c r="G59" s="215">
        <f>IFERROR(VLOOKUP($C59,'PORTIFÓLIO'!C:V,5,0),"")</f>
        <v/>
      </c>
      <c r="H59" s="254">
        <f t="array" ref="H59">IFERROR(INDEX('PORTIFÓLIO'!$H$4:$H$433,MATCH($C59,'PORTIFÓLIO'!$C$4:$C$433,0)),"")</f>
        <v/>
      </c>
      <c r="I59" s="256" t="n"/>
      <c r="J59" s="218">
        <f>I59*$B$2</f>
        <v/>
      </c>
      <c r="K59" s="219">
        <f t="array" ref="K59">IFERROR(I59*INDEX('PORTIFÓLIO'!$S$4:$S$433,MATCH($C59,'PORTIFÓLIO'!$C$4:$C$433,0)),"")</f>
        <v/>
      </c>
      <c r="L59" s="219">
        <f t="array" ref="L59">IFERROR(J59*INDEX('PORTIFÓLIO'!$S$4:$S$433,MATCH($C59,'PORTIFÓLIO'!$C$4:$C$433,0)),"")</f>
        <v/>
      </c>
      <c r="M59" s="220" t="n"/>
      <c r="N59" s="220" t="n"/>
      <c r="O59" s="220" t="n"/>
      <c r="P59" s="220" t="n"/>
      <c r="Q59" s="220" t="n"/>
      <c r="R59" s="220" t="n"/>
      <c r="S59" s="220" t="n"/>
      <c r="T59" s="220" t="n"/>
      <c r="U59" s="220" t="n"/>
      <c r="V59" s="220" t="n"/>
      <c r="W59" s="220" t="n"/>
    </row>
    <row r="60" outlineLevel="1" ht="15.75" customHeight="1" s="297">
      <c r="A60" s="211" t="n"/>
      <c r="B60" s="212" t="n"/>
      <c r="C60" s="213" t="n"/>
      <c r="D60" s="214">
        <f>IFERROR(VLOOKUP($C60,'PORTIFÓLIO'!C:V,2,0),"")</f>
        <v/>
      </c>
      <c r="E60" s="211">
        <f>IFERROR(VLOOKUP($C60,'PORTIFÓLIO'!C:V,3,0),"")</f>
        <v/>
      </c>
      <c r="F60" s="211">
        <f>IFERROR(VLOOKUP($C60,'PORTIFÓLIO'!C:V,4,0),"")</f>
        <v/>
      </c>
      <c r="G60" s="215">
        <f>IFERROR(VLOOKUP($C60,'PORTIFÓLIO'!C:V,5,0),"")</f>
        <v/>
      </c>
      <c r="H60" s="254">
        <f t="array" ref="H60">IFERROR(INDEX('PORTIFÓLIO'!$H$4:$H$433,MATCH($C60,'PORTIFÓLIO'!$C$4:$C$433,0)),"")</f>
        <v/>
      </c>
      <c r="I60" s="256" t="n"/>
      <c r="J60" s="218">
        <f>I60*$B$2</f>
        <v/>
      </c>
      <c r="K60" s="219">
        <f t="array" ref="K60">IFERROR(I60*INDEX('PORTIFÓLIO'!$S$4:$S$433,MATCH($C60,'PORTIFÓLIO'!$C$4:$C$433,0)),"")</f>
        <v/>
      </c>
      <c r="L60" s="219">
        <f t="array" ref="L60">IFERROR(J60*INDEX('PORTIFÓLIO'!$S$4:$S$433,MATCH($C60,'PORTIFÓLIO'!$C$4:$C$433,0)),"")</f>
        <v/>
      </c>
      <c r="M60" s="220" t="n"/>
      <c r="N60" s="220" t="n"/>
      <c r="O60" s="220" t="n"/>
      <c r="P60" s="220" t="n"/>
      <c r="Q60" s="220" t="n"/>
      <c r="R60" s="220" t="n"/>
      <c r="S60" s="220" t="n"/>
      <c r="T60" s="220" t="n"/>
      <c r="U60" s="220" t="n"/>
      <c r="V60" s="220" t="n"/>
      <c r="W60" s="220" t="n"/>
    </row>
    <row r="61" outlineLevel="1" ht="15.75" customHeight="1" s="297">
      <c r="A61" s="211" t="n"/>
      <c r="B61" s="212" t="n"/>
      <c r="C61" s="213" t="n"/>
      <c r="D61" s="214">
        <f>IFERROR(VLOOKUP($C61,'PORTIFÓLIO'!C:V,2,0),"")</f>
        <v/>
      </c>
      <c r="E61" s="211">
        <f>IFERROR(VLOOKUP($C61,'PORTIFÓLIO'!C:V,3,0),"")</f>
        <v/>
      </c>
      <c r="F61" s="211">
        <f>IFERROR(VLOOKUP($C61,'PORTIFÓLIO'!C:V,4,0),"")</f>
        <v/>
      </c>
      <c r="G61" s="215">
        <f>IFERROR(VLOOKUP($C61,'PORTIFÓLIO'!C:V,5,0),"")</f>
        <v/>
      </c>
      <c r="H61" s="254">
        <f t="array" ref="H61">IFERROR(INDEX('PORTIFÓLIO'!$H$4:$H$433,MATCH($C61,'PORTIFÓLIO'!$C$4:$C$433,0)),"")</f>
        <v/>
      </c>
      <c r="I61" s="256" t="n"/>
      <c r="J61" s="218">
        <f>I61*$B$2</f>
        <v/>
      </c>
      <c r="K61" s="219">
        <f t="array" ref="K61">IFERROR(I61*INDEX('PORTIFÓLIO'!$S$4:$S$433,MATCH($C61,'PORTIFÓLIO'!$C$4:$C$433,0)),"")</f>
        <v/>
      </c>
      <c r="L61" s="219">
        <f t="array" ref="L61">IFERROR(J61*INDEX('PORTIFÓLIO'!$S$4:$S$433,MATCH($C61,'PORTIFÓLIO'!$C$4:$C$433,0)),"")</f>
        <v/>
      </c>
      <c r="M61" s="220" t="n"/>
      <c r="N61" s="220" t="n"/>
      <c r="O61" s="220" t="n"/>
      <c r="P61" s="220" t="n"/>
      <c r="Q61" s="220" t="n"/>
      <c r="R61" s="220" t="n"/>
      <c r="S61" s="220" t="n"/>
      <c r="T61" s="220" t="n"/>
      <c r="U61" s="220" t="n"/>
      <c r="V61" s="220" t="n"/>
      <c r="W61" s="220" t="n"/>
    </row>
    <row r="62" outlineLevel="1" ht="15.75" customHeight="1" s="297">
      <c r="A62" s="211" t="n"/>
      <c r="B62" s="212" t="n"/>
      <c r="C62" s="213" t="n"/>
      <c r="D62" s="214">
        <f>IFERROR(VLOOKUP($C62,'PORTIFÓLIO'!C:V,2,0),"")</f>
        <v/>
      </c>
      <c r="E62" s="211">
        <f>IFERROR(VLOOKUP($C62,'PORTIFÓLIO'!C:V,3,0),"")</f>
        <v/>
      </c>
      <c r="F62" s="211">
        <f>IFERROR(VLOOKUP($C62,'PORTIFÓLIO'!C:V,4,0),"")</f>
        <v/>
      </c>
      <c r="G62" s="215">
        <f>IFERROR(VLOOKUP($C62,'PORTIFÓLIO'!C:V,5,0),"")</f>
        <v/>
      </c>
      <c r="H62" s="254">
        <f t="array" ref="H62">IFERROR(INDEX('PORTIFÓLIO'!$H$4:$H$433,MATCH($C62,'PORTIFÓLIO'!$C$4:$C$433,0)),"")</f>
        <v/>
      </c>
      <c r="I62" s="256" t="n"/>
      <c r="J62" s="218">
        <f>I62*$B$2</f>
        <v/>
      </c>
      <c r="K62" s="219">
        <f t="array" ref="K62">IFERROR(I62*INDEX('PORTIFÓLIO'!$S$4:$S$433,MATCH($C62,'PORTIFÓLIO'!$C$4:$C$433,0)),"")</f>
        <v/>
      </c>
      <c r="L62" s="219">
        <f t="array" ref="L62">IFERROR(J62*INDEX('PORTIFÓLIO'!$S$4:$S$433,MATCH($C62,'PORTIFÓLIO'!$C$4:$C$433,0)),"")</f>
        <v/>
      </c>
      <c r="M62" s="220" t="n"/>
      <c r="N62" s="220" t="n"/>
      <c r="O62" s="220" t="n"/>
      <c r="P62" s="220" t="n"/>
      <c r="Q62" s="220" t="n"/>
      <c r="R62" s="220" t="n"/>
      <c r="S62" s="220" t="n"/>
      <c r="T62" s="220" t="n"/>
      <c r="U62" s="220" t="n"/>
      <c r="V62" s="220" t="n"/>
      <c r="W62" s="220" t="n"/>
    </row>
    <row r="63" ht="15.75" customHeight="1" s="297">
      <c r="A63" s="229" t="inlineStr">
        <is>
          <t>OPERAÇÃO 4</t>
        </is>
      </c>
      <c r="B63" s="230" t="n"/>
      <c r="C63" s="231" t="n"/>
      <c r="D63" s="232" t="n"/>
      <c r="E63" s="231" t="n"/>
      <c r="F63" s="231" t="n"/>
      <c r="G63" s="233" t="n"/>
      <c r="H63" s="233" t="n"/>
      <c r="I63" s="258" t="n"/>
      <c r="J63" s="236" t="n"/>
      <c r="K63" s="237">
        <f>SUBTOTAL(9,K64:K76)</f>
        <v/>
      </c>
      <c r="L63" s="237">
        <f>SUBTOTAL(9,L64:L76)</f>
        <v/>
      </c>
      <c r="M63" s="220" t="n"/>
      <c r="N63" s="220" t="n"/>
      <c r="O63" s="220" t="n"/>
      <c r="P63" s="220" t="n"/>
      <c r="Q63" s="220" t="n"/>
      <c r="R63" s="220" t="n"/>
      <c r="S63" s="220" t="n"/>
      <c r="T63" s="220" t="n"/>
      <c r="U63" s="220" t="n"/>
      <c r="V63" s="220" t="n"/>
      <c r="W63" s="220" t="n"/>
    </row>
    <row r="64" outlineLevel="1" ht="15.75" customHeight="1" s="297">
      <c r="A64" s="213" t="n"/>
      <c r="B64" s="212" t="inlineStr">
        <is>
          <t>SEMENTE</t>
        </is>
      </c>
      <c r="C64" s="213" t="inlineStr">
        <is>
          <t>LENDA</t>
        </is>
      </c>
      <c r="D64" s="214">
        <f>IFERROR(VLOOKUP($C64,'PORTIFÓLIO'!C:V,2,0),"")</f>
        <v/>
      </c>
      <c r="E64" s="211">
        <f>IFERROR(VLOOKUP($C64,'PORTIFÓLIO'!C:V,3,0),"")</f>
        <v/>
      </c>
      <c r="F64" s="211">
        <f>IFERROR(VLOOKUP($C64,'PORTIFÓLIO'!C:V,4,0),"")</f>
        <v/>
      </c>
      <c r="G64" s="225">
        <f>IFERROR(VLOOKUP($C64,'PORTIFÓLIO'!C:V,5,0),"")</f>
        <v/>
      </c>
      <c r="H64" s="254">
        <f t="array" ref="H64">IFERROR(INDEX('PORTIFÓLIO'!$H$4:$H$433,MATCH($C64,'PORTIFÓLIO'!$C$4:$C$433,0)),"")</f>
        <v/>
      </c>
      <c r="I64" s="255" t="n">
        <v>0.04</v>
      </c>
      <c r="J64" s="218">
        <f>I64*$B$2</f>
        <v/>
      </c>
      <c r="K64" s="219">
        <f t="array" ref="K64">IFERROR(I64*INDEX('PORTIFÓLIO'!$S$4:$S$433,MATCH($C64,'PORTIFÓLIO'!$C$4:$C$433,0)),"")</f>
        <v/>
      </c>
      <c r="L64" s="219">
        <f t="array" ref="L64">IFERROR(J64*INDEX('PORTIFÓLIO'!$S$4:$S$433,MATCH($C64,'PORTIFÓLIO'!$C$4:$C$433,0)),"")</f>
        <v/>
      </c>
      <c r="M64" s="220" t="n"/>
      <c r="N64" s="220" t="n"/>
      <c r="O64" s="220" t="n"/>
      <c r="P64" s="220" t="n"/>
      <c r="Q64" s="220" t="n"/>
      <c r="R64" s="220" t="n"/>
      <c r="S64" s="220" t="n"/>
      <c r="T64" s="220" t="n"/>
      <c r="U64" s="220" t="n"/>
      <c r="V64" s="220" t="n"/>
      <c r="W64" s="220" t="n"/>
    </row>
    <row r="65" outlineLevel="1" ht="15.75" customHeight="1" s="297">
      <c r="A65" s="211" t="n"/>
      <c r="B65" s="212" t="inlineStr">
        <is>
          <t>TS</t>
        </is>
      </c>
      <c r="C65" s="213" t="inlineStr">
        <is>
          <t>CRUISER ADVANCED</t>
        </is>
      </c>
      <c r="D65" s="214">
        <f>IFERROR(VLOOKUP($C65,'PORTIFÓLIO'!C:V,2,0),"")</f>
        <v/>
      </c>
      <c r="E65" s="211">
        <f>IFERROR(VLOOKUP($C65,'PORTIFÓLIO'!C:V,3,0),"")</f>
        <v/>
      </c>
      <c r="F65" s="211">
        <f>IFERROR(VLOOKUP($C65,'PORTIFÓLIO'!C:V,4,0),"")</f>
        <v/>
      </c>
      <c r="G65" s="225">
        <f>IFERROR(VLOOKUP($C65,'PORTIFÓLIO'!C:V,5,0),"")</f>
        <v/>
      </c>
      <c r="H65" s="254">
        <f t="array" ref="H65">IFERROR(INDEX('PORTIFÓLIO'!$H$4:$H$433,MATCH($C65,'PORTIFÓLIO'!$C$4:$C$433,0)),"")</f>
        <v/>
      </c>
      <c r="I65" s="255" t="n">
        <v>0.05</v>
      </c>
      <c r="J65" s="218">
        <f>I65*$B$2</f>
        <v/>
      </c>
      <c r="K65" s="219">
        <f t="array" ref="K65">IFERROR(I65*INDEX('PORTIFÓLIO'!$S$4:$S$433,MATCH($C65,'PORTIFÓLIO'!$C$4:$C$433,0)),"")</f>
        <v/>
      </c>
      <c r="L65" s="219">
        <f t="array" ref="L65">IFERROR(J65*INDEX('PORTIFÓLIO'!$S$4:$S$433,MATCH($C65,'PORTIFÓLIO'!$C$4:$C$433,0)),"")</f>
        <v/>
      </c>
      <c r="M65" s="220" t="n"/>
      <c r="N65" s="220" t="n"/>
      <c r="O65" s="220" t="n"/>
      <c r="P65" s="220" t="n"/>
      <c r="Q65" s="220" t="n"/>
      <c r="R65" s="220" t="n"/>
      <c r="S65" s="220" t="n"/>
      <c r="T65" s="220" t="n"/>
      <c r="U65" s="220" t="n"/>
      <c r="V65" s="220" t="n"/>
      <c r="W65" s="220" t="n"/>
    </row>
    <row r="66" outlineLevel="1" ht="15.75" customHeight="1" s="297">
      <c r="A66" s="211" t="n"/>
      <c r="B66" s="212" t="inlineStr">
        <is>
          <t>TS</t>
        </is>
      </c>
      <c r="C66" s="213" t="inlineStr">
        <is>
          <t>SPECTRO</t>
        </is>
      </c>
      <c r="D66" s="214">
        <f>IFERROR(VLOOKUP($C66,'PORTIFÓLIO'!C:V,2,0),"")</f>
        <v/>
      </c>
      <c r="E66" s="211">
        <f>IFERROR(VLOOKUP($C66,'PORTIFÓLIO'!C:V,3,0),"")</f>
        <v/>
      </c>
      <c r="F66" s="211">
        <f>IFERROR(VLOOKUP($C66,'PORTIFÓLIO'!C:V,4,0),"")</f>
        <v/>
      </c>
      <c r="G66" s="225">
        <f>IFERROR(VLOOKUP($C66,'PORTIFÓLIO'!C:V,5,0),"")</f>
        <v/>
      </c>
      <c r="H66" s="254">
        <f t="array" ref="H66">IFERROR(INDEX('PORTIFÓLIO'!$H$4:$H$433,MATCH($C66,'PORTIFÓLIO'!$C$4:$C$433,0)),"")</f>
        <v/>
      </c>
      <c r="I66" s="255" t="n">
        <v>0.02</v>
      </c>
      <c r="J66" s="218">
        <f>I66*$B$2</f>
        <v/>
      </c>
      <c r="K66" s="219">
        <f t="array" ref="K66">IFERROR(I66*INDEX('PORTIFÓLIO'!$S$4:$S$433,MATCH($C66,'PORTIFÓLIO'!$C$4:$C$433,0)),"")</f>
        <v/>
      </c>
      <c r="L66" s="219">
        <f t="array" ref="L66">IFERROR(J66*INDEX('PORTIFÓLIO'!$S$4:$S$433,MATCH($C66,'PORTIFÓLIO'!$C$4:$C$433,0)),"")</f>
        <v/>
      </c>
      <c r="M66" s="220" t="n"/>
      <c r="N66" s="220" t="n"/>
      <c r="O66" s="220" t="n"/>
      <c r="P66" s="220" t="n"/>
      <c r="Q66" s="220" t="n"/>
      <c r="R66" s="220" t="n"/>
      <c r="S66" s="220" t="n"/>
      <c r="T66" s="220" t="n"/>
      <c r="U66" s="220" t="n"/>
      <c r="V66" s="220" t="n"/>
      <c r="W66" s="220" t="n"/>
    </row>
    <row r="67" outlineLevel="1" ht="15.75" customHeight="1" s="297">
      <c r="A67" s="211" t="n"/>
      <c r="B67" s="212" t="inlineStr">
        <is>
          <t>TS</t>
        </is>
      </c>
      <c r="C67" s="213" t="inlineStr">
        <is>
          <t>VICTRATO</t>
        </is>
      </c>
      <c r="D67" s="214">
        <f>IFERROR(VLOOKUP($C67,'PORTIFÓLIO'!C:V,2,0),"")</f>
        <v/>
      </c>
      <c r="E67" s="211">
        <f>IFERROR(VLOOKUP($C67,'PORTIFÓLIO'!C:V,3,0),"")</f>
        <v/>
      </c>
      <c r="F67" s="211">
        <f>IFERROR(VLOOKUP($C67,'PORTIFÓLIO'!C:V,4,0),"")</f>
        <v/>
      </c>
      <c r="G67" s="225">
        <f>IFERROR(VLOOKUP($C67,'PORTIFÓLIO'!C:V,5,0),"")</f>
        <v/>
      </c>
      <c r="H67" s="254">
        <f t="array" ref="H67">IFERROR(INDEX('PORTIFÓLIO'!$H$4:$H$433,MATCH($C67,'PORTIFÓLIO'!$C$4:$C$433,0)),"")</f>
        <v/>
      </c>
      <c r="I67" s="255" t="n">
        <v>0.04</v>
      </c>
      <c r="J67" s="218">
        <f>I67*$B$2</f>
        <v/>
      </c>
      <c r="K67" s="219">
        <f t="array" ref="K67">IFERROR(I67*INDEX('PORTIFÓLIO'!$S$4:$S$433,MATCH($C67,'PORTIFÓLIO'!$C$4:$C$433,0)),"")</f>
        <v/>
      </c>
      <c r="L67" s="219">
        <f t="array" ref="L67">IFERROR(J67*INDEX('PORTIFÓLIO'!$S$4:$S$433,MATCH($C67,'PORTIFÓLIO'!$C$4:$C$433,0)),"")</f>
        <v/>
      </c>
      <c r="M67" s="220" t="n"/>
      <c r="N67" s="220" t="n"/>
      <c r="O67" s="220" t="n"/>
      <c r="P67" s="220" t="n"/>
      <c r="Q67" s="220" t="n"/>
      <c r="R67" s="220" t="n"/>
      <c r="S67" s="220" t="n"/>
      <c r="T67" s="220" t="n"/>
      <c r="U67" s="220" t="n"/>
      <c r="V67" s="220" t="n"/>
      <c r="W67" s="220" t="n"/>
    </row>
    <row r="68" outlineLevel="1" ht="15.75" customHeight="1" s="297">
      <c r="A68" s="211" t="n"/>
      <c r="B68" s="212" t="inlineStr">
        <is>
          <t>BIOLÓGICOS</t>
        </is>
      </c>
      <c r="C68" s="213" t="inlineStr">
        <is>
          <t>Bio ND</t>
        </is>
      </c>
      <c r="D68" s="214">
        <f>IFERROR(VLOOKUP($C68,'PORTIFÓLIO'!C:V,2,0),"")</f>
        <v/>
      </c>
      <c r="E68" s="211">
        <f>IFERROR(VLOOKUP($C68,'PORTIFÓLIO'!C:V,3,0),"")</f>
        <v/>
      </c>
      <c r="F68" s="211">
        <f>IFERROR(VLOOKUP($C68,'PORTIFÓLIO'!C:V,4,0),"")</f>
        <v/>
      </c>
      <c r="G68" s="225">
        <f>IFERROR(VLOOKUP($C68,'PORTIFÓLIO'!C:V,5,0),"")</f>
        <v/>
      </c>
      <c r="H68" s="254">
        <f t="array" ref="H68">IFERROR(INDEX('PORTIFÓLIO'!$H$4:$H$433,MATCH($C68,'PORTIFÓLIO'!$C$4:$C$433,0)),"")</f>
        <v/>
      </c>
      <c r="I68" s="255" t="n">
        <v>4</v>
      </c>
      <c r="J68" s="218">
        <f>I68*$B$2</f>
        <v/>
      </c>
      <c r="K68" s="219">
        <f t="array" ref="K68">IFERROR(I68*INDEX('PORTIFÓLIO'!$S$4:$S$433,MATCH($C68,'PORTIFÓLIO'!$C$4:$C$433,0)),"")</f>
        <v/>
      </c>
      <c r="L68" s="219">
        <f t="array" ref="L68">IFERROR(J68*INDEX('PORTIFÓLIO'!$S$4:$S$433,MATCH($C68,'PORTIFÓLIO'!$C$4:$C$433,0)),"")</f>
        <v/>
      </c>
      <c r="M68" s="220" t="n"/>
      <c r="N68" s="220" t="n"/>
      <c r="O68" s="220" t="n"/>
      <c r="P68" s="220" t="n"/>
      <c r="Q68" s="220" t="n"/>
      <c r="R68" s="220" t="n"/>
      <c r="S68" s="220" t="n"/>
      <c r="T68" s="220" t="n"/>
      <c r="U68" s="220" t="n"/>
      <c r="V68" s="220" t="n"/>
      <c r="W68" s="220" t="n"/>
    </row>
    <row r="69" outlineLevel="1" ht="15.75" customHeight="1" s="297">
      <c r="A69" s="211" t="n"/>
      <c r="B69" s="212" t="inlineStr">
        <is>
          <t>BIOLÓGICOS</t>
        </is>
      </c>
      <c r="C69" s="213" t="inlineStr">
        <is>
          <t>Bio Az</t>
        </is>
      </c>
      <c r="D69" s="214">
        <f>IFERROR(VLOOKUP($C69,'PORTIFÓLIO'!C:V,2,0),"")</f>
        <v/>
      </c>
      <c r="E69" s="211">
        <f>IFERROR(VLOOKUP($C69,'PORTIFÓLIO'!C:V,3,0),"")</f>
        <v/>
      </c>
      <c r="F69" s="211">
        <f>IFERROR(VLOOKUP($C69,'PORTIFÓLIO'!C:V,4,0),"")</f>
        <v/>
      </c>
      <c r="G69" s="225">
        <f>IFERROR(VLOOKUP($C69,'PORTIFÓLIO'!C:V,5,0),"")</f>
        <v/>
      </c>
      <c r="H69" s="254">
        <f t="array" ref="H69">IFERROR(INDEX('PORTIFÓLIO'!$H$4:$H$433,MATCH($C69,'PORTIFÓLIO'!$C$4:$C$433,0)),"")</f>
        <v/>
      </c>
      <c r="I69" s="255" t="n">
        <v>1</v>
      </c>
      <c r="J69" s="218">
        <f>I69*$B$2</f>
        <v/>
      </c>
      <c r="K69" s="219">
        <f t="array" ref="K69">IFERROR(I69*INDEX('PORTIFÓLIO'!$S$4:$S$433,MATCH($C69,'PORTIFÓLIO'!$C$4:$C$433,0)),"")</f>
        <v/>
      </c>
      <c r="L69" s="219">
        <f t="array" ref="L69">IFERROR(J69*INDEX('PORTIFÓLIO'!$S$4:$S$433,MATCH($C69,'PORTIFÓLIO'!$C$4:$C$433,0)),"")</f>
        <v/>
      </c>
      <c r="M69" s="220" t="n"/>
      <c r="N69" s="220" t="n"/>
      <c r="O69" s="220" t="n"/>
      <c r="P69" s="220" t="n"/>
      <c r="Q69" s="220" t="n"/>
      <c r="R69" s="220" t="n"/>
      <c r="S69" s="220" t="n"/>
      <c r="T69" s="220" t="n"/>
      <c r="U69" s="220" t="n"/>
      <c r="V69" s="220" t="n"/>
      <c r="W69" s="220" t="n"/>
    </row>
    <row r="70" outlineLevel="1" ht="15.75" customHeight="1" s="297">
      <c r="A70" s="211" t="n"/>
      <c r="B70" s="212" t="inlineStr">
        <is>
          <t>BIOLÓGICOS</t>
        </is>
      </c>
      <c r="C70" s="213" t="inlineStr">
        <is>
          <t>Bio Hidric</t>
        </is>
      </c>
      <c r="D70" s="214">
        <f>IFERROR(VLOOKUP($C70,'PORTIFÓLIO'!C:V,2,0),"")</f>
        <v/>
      </c>
      <c r="E70" s="211">
        <f>IFERROR(VLOOKUP($C70,'PORTIFÓLIO'!C:V,3,0),"")</f>
        <v/>
      </c>
      <c r="F70" s="211">
        <f>IFERROR(VLOOKUP($C70,'PORTIFÓLIO'!C:V,4,0),"")</f>
        <v/>
      </c>
      <c r="G70" s="225">
        <f>IFERROR(VLOOKUP($C70,'PORTIFÓLIO'!C:V,5,0),"")</f>
        <v/>
      </c>
      <c r="H70" s="254">
        <f t="array" ref="H70">IFERROR(INDEX('PORTIFÓLIO'!$H$4:$H$433,MATCH($C70,'PORTIFÓLIO'!$C$4:$C$433,0)),"")</f>
        <v/>
      </c>
      <c r="I70" s="255" t="n">
        <v>1</v>
      </c>
      <c r="J70" s="218">
        <f>I70*$B$2</f>
        <v/>
      </c>
      <c r="K70" s="219">
        <f t="array" ref="K70">IFERROR(I70*INDEX('PORTIFÓLIO'!$S$4:$S$433,MATCH($C70,'PORTIFÓLIO'!$C$4:$C$433,0)),"")</f>
        <v/>
      </c>
      <c r="L70" s="219">
        <f t="array" ref="L70">IFERROR(J70*INDEX('PORTIFÓLIO'!$S$4:$S$433,MATCH($C70,'PORTIFÓLIO'!$C$4:$C$433,0)),"")</f>
        <v/>
      </c>
      <c r="M70" s="220" t="n"/>
      <c r="N70" s="220" t="n"/>
      <c r="O70" s="220" t="n"/>
      <c r="P70" s="220" t="n"/>
      <c r="Q70" s="220" t="n"/>
      <c r="R70" s="220" t="n"/>
      <c r="S70" s="220" t="n"/>
      <c r="T70" s="220" t="n"/>
      <c r="U70" s="220" t="n"/>
      <c r="V70" s="220" t="n"/>
      <c r="W70" s="220" t="n"/>
    </row>
    <row r="71" outlineLevel="1" ht="15.75" customHeight="1" s="297">
      <c r="A71" s="211" t="n"/>
      <c r="B71" s="212" t="inlineStr">
        <is>
          <t>BIOLÓGICOS</t>
        </is>
      </c>
      <c r="C71" s="213" t="inlineStr">
        <is>
          <t>SoluBio Raiz Performance</t>
        </is>
      </c>
      <c r="D71" s="214">
        <f>IFERROR(VLOOKUP($C71,'PORTIFÓLIO'!C:V,2,0),"")</f>
        <v/>
      </c>
      <c r="E71" s="211">
        <f>IFERROR(VLOOKUP($C71,'PORTIFÓLIO'!C:V,3,0),"")</f>
        <v/>
      </c>
      <c r="F71" s="211">
        <f>IFERROR(VLOOKUP($C71,'PORTIFÓLIO'!C:V,4,0),"")</f>
        <v/>
      </c>
      <c r="G71" s="215">
        <f>IFERROR(VLOOKUP($C71,'PORTIFÓLIO'!C:V,5,0),"")</f>
        <v/>
      </c>
      <c r="H71" s="254">
        <f t="array" ref="H71">IFERROR(INDEX('PORTIFÓLIO'!$H$4:$H$433,MATCH($C71,'PORTIFÓLIO'!$C$4:$C$433,0)),"")</f>
        <v/>
      </c>
      <c r="I71" s="255" t="n">
        <v>1</v>
      </c>
      <c r="J71" s="218">
        <f>I71*$B$2</f>
        <v/>
      </c>
      <c r="K71" s="219">
        <f t="array" ref="K71">IFERROR(I71*INDEX('PORTIFÓLIO'!$S$4:$S$433,MATCH($C71,'PORTIFÓLIO'!$C$4:$C$433,0)),"")</f>
        <v/>
      </c>
      <c r="L71" s="219">
        <f t="array" ref="L71">IFERROR(J71*INDEX('PORTIFÓLIO'!$S$4:$S$433,MATCH($C71,'PORTIFÓLIO'!$C$4:$C$433,0)),"")</f>
        <v/>
      </c>
      <c r="M71" s="220" t="n"/>
      <c r="N71" s="220" t="n"/>
      <c r="O71" s="220" t="n"/>
      <c r="P71" s="220" t="n"/>
      <c r="Q71" s="220" t="n"/>
      <c r="R71" s="220" t="n"/>
      <c r="S71" s="220" t="n"/>
      <c r="T71" s="220" t="n"/>
      <c r="U71" s="220" t="n"/>
      <c r="V71" s="220" t="n"/>
      <c r="W71" s="220" t="n"/>
    </row>
    <row r="72" outlineLevel="1" ht="15.75" customHeight="1" s="297">
      <c r="A72" s="211" t="n"/>
      <c r="B72" s="212" t="inlineStr">
        <is>
          <t>NUTRIÇÃO</t>
        </is>
      </c>
      <c r="C72" s="213" t="inlineStr">
        <is>
          <t>Potenza NiCoMo</t>
        </is>
      </c>
      <c r="D72" s="214">
        <f>IFERROR(VLOOKUP($C72,'PORTIFÓLIO'!C:V,2,0),"")</f>
        <v/>
      </c>
      <c r="E72" s="211">
        <f>IFERROR(VLOOKUP($C72,'PORTIFÓLIO'!C:V,3,0),"")</f>
        <v/>
      </c>
      <c r="F72" s="211">
        <f>IFERROR(VLOOKUP($C72,'PORTIFÓLIO'!C:V,4,0),"")</f>
        <v/>
      </c>
      <c r="G72" s="225">
        <f>IFERROR(VLOOKUP($C72,'PORTIFÓLIO'!C:V,5,0),"")</f>
        <v/>
      </c>
      <c r="H72" s="254">
        <f t="array" ref="H72">IFERROR(INDEX('PORTIFÓLIO'!$H$4:$H$433,MATCH($C72,'PORTIFÓLIO'!$C$4:$C$433,0)),"")</f>
        <v/>
      </c>
      <c r="I72" s="255" t="n">
        <v>0.1</v>
      </c>
      <c r="J72" s="218">
        <f>I72*$B$2</f>
        <v/>
      </c>
      <c r="K72" s="219">
        <f t="array" ref="K72">IFERROR(I72*INDEX('PORTIFÓLIO'!$S$4:$S$433,MATCH($C72,'PORTIFÓLIO'!$C$4:$C$433,0)),"")</f>
        <v/>
      </c>
      <c r="L72" s="219">
        <f t="array" ref="L72">IFERROR(J72*INDEX('PORTIFÓLIO'!$S$4:$S$433,MATCH($C72,'PORTIFÓLIO'!$C$4:$C$433,0)),"")</f>
        <v/>
      </c>
      <c r="M72" s="220" t="n"/>
      <c r="N72" s="220" t="n"/>
      <c r="O72" s="220" t="n"/>
      <c r="P72" s="220" t="n"/>
      <c r="Q72" s="220" t="n"/>
      <c r="R72" s="220" t="n"/>
      <c r="S72" s="220" t="n"/>
      <c r="T72" s="220" t="n"/>
      <c r="U72" s="220" t="n"/>
      <c r="V72" s="220" t="n"/>
      <c r="W72" s="220" t="n"/>
    </row>
    <row r="73" outlineLevel="1" ht="15.75" customHeight="1" s="297">
      <c r="A73" s="211" t="n"/>
      <c r="B73" s="212" t="n"/>
      <c r="C73" s="213" t="n"/>
      <c r="D73" s="214">
        <f>IFERROR(VLOOKUP($C73,'PORTIFÓLIO'!C:V,2,0),"")</f>
        <v/>
      </c>
      <c r="E73" s="211">
        <f>IFERROR(VLOOKUP($C73,'PORTIFÓLIO'!C:V,3,0),"")</f>
        <v/>
      </c>
      <c r="F73" s="211">
        <f>IFERROR(VLOOKUP($C73,'PORTIFÓLIO'!C:V,4,0),"")</f>
        <v/>
      </c>
      <c r="G73" s="215">
        <f>IFERROR(VLOOKUP($C73,'PORTIFÓLIO'!C:V,5,0),"")</f>
        <v/>
      </c>
      <c r="H73" s="254">
        <f t="array" ref="H73">IFERROR(INDEX('PORTIFÓLIO'!$H$4:$H$433,MATCH($C73,'PORTIFÓLIO'!$C$4:$C$433,0)),"")</f>
        <v/>
      </c>
      <c r="I73" s="256" t="n"/>
      <c r="J73" s="218">
        <f>I73*$B$2</f>
        <v/>
      </c>
      <c r="K73" s="219">
        <f t="array" ref="K73">IFERROR(I73*INDEX('PORTIFÓLIO'!$S$4:$S$433,MATCH($C73,'PORTIFÓLIO'!$C$4:$C$433,0)),"")</f>
        <v/>
      </c>
      <c r="L73" s="219">
        <f t="array" ref="L73">IFERROR(J73*INDEX('PORTIFÓLIO'!$S$4:$S$433,MATCH($C73,'PORTIFÓLIO'!$C$4:$C$433,0)),"")</f>
        <v/>
      </c>
      <c r="M73" s="220" t="n"/>
      <c r="N73" s="220" t="n"/>
      <c r="O73" s="220" t="n"/>
      <c r="P73" s="220" t="n"/>
      <c r="Q73" s="220" t="n"/>
      <c r="R73" s="220" t="n"/>
      <c r="S73" s="220" t="n"/>
      <c r="T73" s="220" t="n"/>
      <c r="U73" s="220" t="n"/>
      <c r="V73" s="220" t="n"/>
      <c r="W73" s="220" t="n"/>
    </row>
    <row r="74" outlineLevel="1" ht="15.75" customHeight="1" s="297">
      <c r="A74" s="211" t="n"/>
      <c r="B74" s="212" t="n"/>
      <c r="C74" s="213" t="n"/>
      <c r="D74" s="214">
        <f>IFERROR(VLOOKUP($C74,'PORTIFÓLIO'!C:V,2,0),"")</f>
        <v/>
      </c>
      <c r="E74" s="211">
        <f>IFERROR(VLOOKUP($C74,'PORTIFÓLIO'!C:V,3,0),"")</f>
        <v/>
      </c>
      <c r="F74" s="211">
        <f>IFERROR(VLOOKUP($C74,'PORTIFÓLIO'!C:V,4,0),"")</f>
        <v/>
      </c>
      <c r="G74" s="215">
        <f>IFERROR(VLOOKUP($C74,'PORTIFÓLIO'!C:V,5,0),"")</f>
        <v/>
      </c>
      <c r="H74" s="254">
        <f t="array" ref="H74">IFERROR(INDEX('PORTIFÓLIO'!$H$4:$H$433,MATCH($C74,'PORTIFÓLIO'!$C$4:$C$433,0)),"")</f>
        <v/>
      </c>
      <c r="I74" s="256" t="n"/>
      <c r="J74" s="218">
        <f>I74*$B$2</f>
        <v/>
      </c>
      <c r="K74" s="219">
        <f t="array" ref="K74">IFERROR(I74*INDEX('PORTIFÓLIO'!$S$4:$S$433,MATCH($C74,'PORTIFÓLIO'!$C$4:$C$433,0)),"")</f>
        <v/>
      </c>
      <c r="L74" s="219">
        <f t="array" ref="L74">IFERROR(J74*INDEX('PORTIFÓLIO'!$S$4:$S$433,MATCH($C74,'PORTIFÓLIO'!$C$4:$C$433,0)),"")</f>
        <v/>
      </c>
      <c r="M74" s="220" t="n"/>
      <c r="N74" s="220" t="n"/>
      <c r="O74" s="220" t="n"/>
      <c r="P74" s="220" t="n"/>
      <c r="Q74" s="220" t="n"/>
      <c r="R74" s="220" t="n"/>
      <c r="S74" s="220" t="n"/>
      <c r="T74" s="220" t="n"/>
      <c r="U74" s="220" t="n"/>
      <c r="V74" s="220" t="n"/>
      <c r="W74" s="220" t="n"/>
    </row>
    <row r="75" outlineLevel="1" ht="15.75" customHeight="1" s="297">
      <c r="A75" s="211" t="n"/>
      <c r="B75" s="212" t="n"/>
      <c r="C75" s="213" t="n"/>
      <c r="D75" s="214">
        <f>IFERROR(VLOOKUP($C75,'PORTIFÓLIO'!C:V,2,0),"")</f>
        <v/>
      </c>
      <c r="E75" s="211">
        <f>IFERROR(VLOOKUP($C75,'PORTIFÓLIO'!C:V,3,0),"")</f>
        <v/>
      </c>
      <c r="F75" s="211">
        <f>IFERROR(VLOOKUP($C75,'PORTIFÓLIO'!C:V,4,0),"")</f>
        <v/>
      </c>
      <c r="G75" s="215">
        <f>IFERROR(VLOOKUP($C75,'PORTIFÓLIO'!C:V,5,0),"")</f>
        <v/>
      </c>
      <c r="H75" s="254">
        <f t="array" ref="H75">IFERROR(INDEX('PORTIFÓLIO'!$H$4:$H$433,MATCH($C75,'PORTIFÓLIO'!$C$4:$C$433,0)),"")</f>
        <v/>
      </c>
      <c r="I75" s="256" t="n"/>
      <c r="J75" s="218">
        <f>I75*$B$2</f>
        <v/>
      </c>
      <c r="K75" s="219">
        <f t="array" ref="K75">IFERROR(I75*INDEX('PORTIFÓLIO'!$S$4:$S$433,MATCH($C75,'PORTIFÓLIO'!$C$4:$C$433,0)),"")</f>
        <v/>
      </c>
      <c r="L75" s="219">
        <f t="array" ref="L75">IFERROR(J75*INDEX('PORTIFÓLIO'!$S$4:$S$433,MATCH($C75,'PORTIFÓLIO'!$C$4:$C$433,0)),"")</f>
        <v/>
      </c>
      <c r="M75" s="220" t="n"/>
      <c r="N75" s="220" t="n"/>
      <c r="O75" s="220" t="n"/>
      <c r="P75" s="220" t="n"/>
      <c r="Q75" s="220" t="n"/>
      <c r="R75" s="220" t="n"/>
      <c r="S75" s="220" t="n"/>
      <c r="T75" s="220" t="n"/>
      <c r="U75" s="220" t="n"/>
      <c r="V75" s="220" t="n"/>
      <c r="W75" s="220" t="n"/>
    </row>
    <row r="76" outlineLevel="1" ht="15.75" customHeight="1" s="297">
      <c r="A76" s="211" t="n"/>
      <c r="B76" s="212" t="n"/>
      <c r="C76" s="213" t="n"/>
      <c r="D76" s="214">
        <f>IFERROR(VLOOKUP($C76,'PORTIFÓLIO'!C:V,2,0),"")</f>
        <v/>
      </c>
      <c r="E76" s="211">
        <f>IFERROR(VLOOKUP($C76,'PORTIFÓLIO'!C:V,3,0),"")</f>
        <v/>
      </c>
      <c r="F76" s="211">
        <f>IFERROR(VLOOKUP($C76,'PORTIFÓLIO'!C:V,4,0),"")</f>
        <v/>
      </c>
      <c r="G76" s="215">
        <f>IFERROR(VLOOKUP($C76,'PORTIFÓLIO'!C:V,5,0),"")</f>
        <v/>
      </c>
      <c r="H76" s="254">
        <f t="array" ref="H76">IFERROR(INDEX('PORTIFÓLIO'!$H$4:$H$433,MATCH($C76,'PORTIFÓLIO'!$C$4:$C$433,0)),"")</f>
        <v/>
      </c>
      <c r="I76" s="256" t="n"/>
      <c r="J76" s="218">
        <f>I76*$B$2</f>
        <v/>
      </c>
      <c r="K76" s="219">
        <f t="array" ref="K76">IFERROR(I76*INDEX('PORTIFÓLIO'!$S$4:$S$433,MATCH($C76,'PORTIFÓLIO'!$C$4:$C$433,0)),"")</f>
        <v/>
      </c>
      <c r="L76" s="219">
        <f t="array" ref="L76">IFERROR(J76*INDEX('PORTIFÓLIO'!$S$4:$S$433,MATCH($C76,'PORTIFÓLIO'!$C$4:$C$433,0)),"")</f>
        <v/>
      </c>
      <c r="M76" s="220" t="n"/>
      <c r="N76" s="220" t="n"/>
      <c r="O76" s="220" t="n"/>
      <c r="P76" s="220" t="n"/>
      <c r="Q76" s="220" t="n"/>
      <c r="R76" s="220" t="n"/>
      <c r="S76" s="220" t="n"/>
      <c r="T76" s="220" t="n"/>
      <c r="U76" s="220" t="n"/>
      <c r="V76" s="220" t="n"/>
      <c r="W76" s="220" t="n"/>
    </row>
    <row r="77" outlineLevel="1" ht="15.75" customHeight="1" s="297">
      <c r="A77" s="211" t="n"/>
      <c r="B77" s="212" t="n"/>
      <c r="C77" s="213" t="n"/>
      <c r="D77" s="214">
        <f>IFERROR(VLOOKUP($C77,'PORTIFÓLIO'!C:V,2,0),"")</f>
        <v/>
      </c>
      <c r="E77" s="211">
        <f>IFERROR(VLOOKUP($C77,'PORTIFÓLIO'!C:V,3,0),"")</f>
        <v/>
      </c>
      <c r="F77" s="211">
        <f>IFERROR(VLOOKUP($C77,'PORTIFÓLIO'!C:V,4,0),"")</f>
        <v/>
      </c>
      <c r="G77" s="215">
        <f>IFERROR(VLOOKUP($C77,'PORTIFÓLIO'!C:V,5,0),"")</f>
        <v/>
      </c>
      <c r="H77" s="254">
        <f t="array" ref="H77">IFERROR(INDEX('PORTIFÓLIO'!$H$4:$H$433,MATCH($C77,'PORTIFÓLIO'!$C$4:$C$433,0)),"")</f>
        <v/>
      </c>
      <c r="I77" s="256" t="n"/>
      <c r="J77" s="218">
        <f>I77*$B$2</f>
        <v/>
      </c>
      <c r="K77" s="219">
        <f t="array" ref="K77">IFERROR(I77*INDEX('PORTIFÓLIO'!$S$4:$S$433,MATCH($C77,'PORTIFÓLIO'!$C$4:$C$433,0)),"")</f>
        <v/>
      </c>
      <c r="L77" s="219">
        <f t="array" ref="L77">IFERROR(J77*INDEX('PORTIFÓLIO'!$S$4:$S$433,MATCH($C77,'PORTIFÓLIO'!$C$4:$C$433,0)),"")</f>
        <v/>
      </c>
      <c r="M77" s="220" t="n"/>
      <c r="N77" s="220" t="n"/>
      <c r="O77" s="220" t="n"/>
      <c r="P77" s="220" t="n"/>
      <c r="Q77" s="220" t="n"/>
      <c r="R77" s="220" t="n"/>
      <c r="S77" s="220" t="n"/>
      <c r="T77" s="220" t="n"/>
      <c r="U77" s="220" t="n"/>
      <c r="V77" s="220" t="n"/>
      <c r="W77" s="220" t="n"/>
    </row>
    <row r="78" outlineLevel="1" ht="15.75" customHeight="1" s="297">
      <c r="A78" s="211" t="n"/>
      <c r="B78" s="212" t="n"/>
      <c r="C78" s="213" t="n"/>
      <c r="D78" s="214">
        <f>IFERROR(VLOOKUP($C78,'PORTIFÓLIO'!C:V,2,0),"")</f>
        <v/>
      </c>
      <c r="E78" s="211">
        <f>IFERROR(VLOOKUP($C78,'PORTIFÓLIO'!C:V,3,0),"")</f>
        <v/>
      </c>
      <c r="F78" s="211">
        <f>IFERROR(VLOOKUP($C78,'PORTIFÓLIO'!C:V,4,0),"")</f>
        <v/>
      </c>
      <c r="G78" s="215">
        <f>IFERROR(VLOOKUP($C78,'PORTIFÓLIO'!C:V,5,0),"")</f>
        <v/>
      </c>
      <c r="H78" s="254">
        <f t="array" ref="H78">IFERROR(INDEX('PORTIFÓLIO'!$H$4:$H$433,MATCH($C78,'PORTIFÓLIO'!$C$4:$C$433,0)),"")</f>
        <v/>
      </c>
      <c r="I78" s="256" t="n"/>
      <c r="J78" s="218">
        <f>I78*$B$2</f>
        <v/>
      </c>
      <c r="K78" s="219">
        <f t="array" ref="K78">IFERROR(I78*INDEX('PORTIFÓLIO'!$S$4:$S$433,MATCH($C78,'PORTIFÓLIO'!$C$4:$C$433,0)),"")</f>
        <v/>
      </c>
      <c r="L78" s="219">
        <f t="array" ref="L78">IFERROR(J78*INDEX('PORTIFÓLIO'!$S$4:$S$433,MATCH($C78,'PORTIFÓLIO'!$C$4:$C$433,0)),"")</f>
        <v/>
      </c>
      <c r="M78" s="220" t="n"/>
      <c r="N78" s="220" t="n"/>
      <c r="O78" s="220" t="n"/>
      <c r="P78" s="220" t="n"/>
      <c r="Q78" s="220" t="n"/>
      <c r="R78" s="220" t="n"/>
      <c r="S78" s="220" t="n"/>
      <c r="T78" s="220" t="n"/>
      <c r="U78" s="220" t="n"/>
      <c r="V78" s="220" t="n"/>
      <c r="W78" s="220" t="n"/>
    </row>
    <row r="79" outlineLevel="1" ht="15.75" customHeight="1" s="297">
      <c r="A79" s="211" t="n"/>
      <c r="B79" s="212" t="n"/>
      <c r="C79" s="213" t="n"/>
      <c r="D79" s="214">
        <f>IFERROR(VLOOKUP($C79,'PORTIFÓLIO'!C:V,2,0),"")</f>
        <v/>
      </c>
      <c r="E79" s="211">
        <f>IFERROR(VLOOKUP($C79,'PORTIFÓLIO'!C:V,3,0),"")</f>
        <v/>
      </c>
      <c r="F79" s="211">
        <f>IFERROR(VLOOKUP($C79,'PORTIFÓLIO'!C:V,4,0),"")</f>
        <v/>
      </c>
      <c r="G79" s="215">
        <f>IFERROR(VLOOKUP($C79,'PORTIFÓLIO'!C:V,5,0),"")</f>
        <v/>
      </c>
      <c r="H79" s="254">
        <f t="array" ref="H79">IFERROR(INDEX('PORTIFÓLIO'!$H$4:$H$433,MATCH($C79,'PORTIFÓLIO'!$C$4:$C$433,0)),"")</f>
        <v/>
      </c>
      <c r="I79" s="256" t="n"/>
      <c r="J79" s="218">
        <f>I79*$B$2</f>
        <v/>
      </c>
      <c r="K79" s="219">
        <f t="array" ref="K79">IFERROR(I79*INDEX('PORTIFÓLIO'!$S$4:$S$433,MATCH($C79,'PORTIFÓLIO'!$C$4:$C$433,0)),"")</f>
        <v/>
      </c>
      <c r="L79" s="219">
        <f t="array" ref="L79">IFERROR(J79*INDEX('PORTIFÓLIO'!$S$4:$S$433,MATCH($C79,'PORTIFÓLIO'!$C$4:$C$433,0)),"")</f>
        <v/>
      </c>
      <c r="M79" s="220" t="n"/>
      <c r="N79" s="220" t="n"/>
      <c r="O79" s="220" t="n"/>
      <c r="P79" s="220" t="n"/>
      <c r="Q79" s="220" t="n"/>
      <c r="R79" s="220" t="n"/>
      <c r="S79" s="220" t="n"/>
      <c r="T79" s="220" t="n"/>
      <c r="U79" s="220" t="n"/>
      <c r="V79" s="220" t="n"/>
      <c r="W79" s="220" t="n"/>
    </row>
    <row r="80" outlineLevel="1" ht="15.75" customHeight="1" s="297">
      <c r="A80" s="211" t="n"/>
      <c r="B80" s="212" t="n"/>
      <c r="C80" s="213" t="n"/>
      <c r="D80" s="214">
        <f>IFERROR(VLOOKUP($C80,'PORTIFÓLIO'!C:V,2,0),"")</f>
        <v/>
      </c>
      <c r="E80" s="211">
        <f>IFERROR(VLOOKUP($C80,'PORTIFÓLIO'!C:V,3,0),"")</f>
        <v/>
      </c>
      <c r="F80" s="211">
        <f>IFERROR(VLOOKUP($C80,'PORTIFÓLIO'!C:V,4,0),"")</f>
        <v/>
      </c>
      <c r="G80" s="215">
        <f>IFERROR(VLOOKUP($C80,'PORTIFÓLIO'!C:V,5,0),"")</f>
        <v/>
      </c>
      <c r="H80" s="254">
        <f t="array" ref="H80">IFERROR(INDEX('PORTIFÓLIO'!$H$4:$H$433,MATCH($C80,'PORTIFÓLIO'!$C$4:$C$433,0)),"")</f>
        <v/>
      </c>
      <c r="I80" s="256" t="n"/>
      <c r="J80" s="218">
        <f>I80*$B$2</f>
        <v/>
      </c>
      <c r="K80" s="219">
        <f t="array" ref="K80">IFERROR(I80*INDEX('PORTIFÓLIO'!$S$4:$S$433,MATCH($C80,'PORTIFÓLIO'!$C$4:$C$433,0)),"")</f>
        <v/>
      </c>
      <c r="L80" s="219">
        <f t="array" ref="L80">IFERROR(J80*INDEX('PORTIFÓLIO'!$S$4:$S$433,MATCH($C80,'PORTIFÓLIO'!$C$4:$C$433,0)),"")</f>
        <v/>
      </c>
      <c r="M80" s="220" t="n"/>
      <c r="N80" s="220" t="n"/>
      <c r="O80" s="220" t="n"/>
      <c r="P80" s="220" t="n"/>
      <c r="Q80" s="220" t="n"/>
      <c r="R80" s="220" t="n"/>
      <c r="S80" s="220" t="n"/>
      <c r="T80" s="220" t="n"/>
      <c r="U80" s="220" t="n"/>
      <c r="V80" s="220" t="n"/>
      <c r="W80" s="220" t="n"/>
    </row>
    <row r="81" ht="15.75" customHeight="1" s="297">
      <c r="A81" s="229" t="inlineStr">
        <is>
          <t>OPERAÇÃO 5</t>
        </is>
      </c>
      <c r="B81" s="230" t="n"/>
      <c r="C81" s="231" t="n"/>
      <c r="D81" s="232" t="inlineStr">
        <is>
          <t>-</t>
        </is>
      </c>
      <c r="E81" s="231" t="n"/>
      <c r="F81" s="231" t="n"/>
      <c r="G81" s="233" t="n"/>
      <c r="H81" s="233" t="n"/>
      <c r="I81" s="258" t="n"/>
      <c r="J81" s="236" t="n"/>
      <c r="K81" s="237">
        <f>SUBTOTAL(9,K82:K95)</f>
        <v/>
      </c>
      <c r="L81" s="237">
        <f>SUBTOTAL(9,L82:L95)</f>
        <v/>
      </c>
      <c r="M81" s="220" t="n"/>
      <c r="N81" s="220" t="n"/>
      <c r="O81" s="220" t="n"/>
      <c r="P81" s="220" t="n"/>
      <c r="Q81" s="220" t="n"/>
      <c r="R81" s="220" t="n"/>
      <c r="S81" s="220" t="n"/>
      <c r="T81" s="220" t="n"/>
      <c r="U81" s="220" t="n"/>
      <c r="V81" s="220" t="n"/>
      <c r="W81" s="220" t="n"/>
    </row>
    <row r="82" outlineLevel="1" ht="15.75" customHeight="1" s="297">
      <c r="A82" s="213" t="n"/>
      <c r="B82" s="212" t="inlineStr">
        <is>
          <t>HERBICIDA</t>
        </is>
      </c>
      <c r="C82" s="213" t="inlineStr">
        <is>
          <t>ROUNDUP WG</t>
        </is>
      </c>
      <c r="D82" s="214">
        <f>IFERROR(VLOOKUP($C82,'PORTIFÓLIO'!C:V,2,0),"")</f>
        <v/>
      </c>
      <c r="E82" s="211">
        <f>IFERROR(VLOOKUP($C82,'PORTIFÓLIO'!C:V,3,0),"")</f>
        <v/>
      </c>
      <c r="F82" s="211">
        <f>IFERROR(VLOOKUP($C82,'PORTIFÓLIO'!C:V,4,0),"")</f>
        <v/>
      </c>
      <c r="G82" s="225">
        <f>IFERROR(VLOOKUP($C82,'PORTIFÓLIO'!C:V,5,0),"")</f>
        <v/>
      </c>
      <c r="H82" s="254">
        <f t="array" ref="H82">IFERROR(INDEX('PORTIFÓLIO'!$H$4:$H$433,MATCH($C82,'PORTIFÓLIO'!$C$4:$C$433,0)),"")</f>
        <v/>
      </c>
      <c r="I82" s="255" t="n">
        <v>2</v>
      </c>
      <c r="J82" s="218">
        <f>I82*$B$2</f>
        <v/>
      </c>
      <c r="K82" s="219">
        <f t="array" ref="K82">IFERROR(I82*INDEX('PORTIFÓLIO'!$S$4:$S$433,MATCH($C82,'PORTIFÓLIO'!$C$4:$C$433,0)),"")</f>
        <v/>
      </c>
      <c r="L82" s="219">
        <f t="array" ref="L82">IFERROR(J82*INDEX('PORTIFÓLIO'!$S$4:$S$433,MATCH($C82,'PORTIFÓLIO'!$C$4:$C$433,0)),"")</f>
        <v/>
      </c>
      <c r="M82" s="220" t="n"/>
      <c r="N82" s="220" t="n"/>
      <c r="O82" s="220" t="n"/>
      <c r="P82" s="220" t="n"/>
      <c r="Q82" s="220" t="n"/>
      <c r="R82" s="220" t="n"/>
      <c r="S82" s="220" t="n"/>
      <c r="T82" s="220" t="n"/>
      <c r="U82" s="220" t="n"/>
      <c r="V82" s="220" t="n"/>
      <c r="W82" s="220" t="n"/>
    </row>
    <row r="83" outlineLevel="1" ht="15.75" customHeight="1" s="297">
      <c r="A83" s="211" t="n"/>
      <c r="B83" s="212" t="inlineStr">
        <is>
          <t>HERBICIDA</t>
        </is>
      </c>
      <c r="C83" s="213" t="inlineStr">
        <is>
          <t>POQUER</t>
        </is>
      </c>
      <c r="D83" s="214">
        <f>IFERROR(VLOOKUP($C83,'PORTIFÓLIO'!C:V,2,0),"")</f>
        <v/>
      </c>
      <c r="E83" s="211">
        <f>IFERROR(VLOOKUP($C83,'PORTIFÓLIO'!C:V,3,0),"")</f>
        <v/>
      </c>
      <c r="F83" s="211">
        <f>IFERROR(VLOOKUP($C83,'PORTIFÓLIO'!C:V,4,0),"")</f>
        <v/>
      </c>
      <c r="G83" s="225">
        <f>IFERROR(VLOOKUP($C83,'PORTIFÓLIO'!C:V,5,0),"")</f>
        <v/>
      </c>
      <c r="H83" s="254">
        <f t="array" ref="H83">IFERROR(INDEX('PORTIFÓLIO'!$H$4:$H$433,MATCH($C83,'PORTIFÓLIO'!$C$4:$C$433,0)),"")</f>
        <v/>
      </c>
      <c r="I83" s="255" t="n">
        <v>0.4</v>
      </c>
      <c r="J83" s="218">
        <f>I83*$B$2</f>
        <v/>
      </c>
      <c r="K83" s="219">
        <f t="array" ref="K83">IFERROR(I83*INDEX('PORTIFÓLIO'!$S$4:$S$433,MATCH($C83,'PORTIFÓLIO'!$C$4:$C$433,0)),"")</f>
        <v/>
      </c>
      <c r="L83" s="219">
        <f t="array" ref="L83">IFERROR(J83*INDEX('PORTIFÓLIO'!$S$4:$S$433,MATCH($C83,'PORTIFÓLIO'!$C$4:$C$433,0)),"")</f>
        <v/>
      </c>
      <c r="M83" s="220" t="n"/>
      <c r="N83" s="220" t="n"/>
      <c r="O83" s="220" t="n"/>
      <c r="P83" s="220" t="n"/>
      <c r="Q83" s="220" t="n"/>
      <c r="R83" s="220" t="n"/>
      <c r="S83" s="220" t="n"/>
      <c r="T83" s="220" t="n"/>
      <c r="U83" s="220" t="n"/>
      <c r="V83" s="220" t="n"/>
      <c r="W83" s="220" t="n"/>
    </row>
    <row r="84" outlineLevel="1" ht="15.75" customHeight="1" s="297">
      <c r="A84" s="211" t="n"/>
      <c r="B84" s="212" t="inlineStr">
        <is>
          <t>FUNGICIDA</t>
        </is>
      </c>
      <c r="C84" s="213" t="inlineStr">
        <is>
          <t>AZIMUT</t>
        </is>
      </c>
      <c r="D84" s="214">
        <f>IFERROR(VLOOKUP($C84,'PORTIFÓLIO'!C:V,2,0),"")</f>
        <v/>
      </c>
      <c r="E84" s="211">
        <f>IFERROR(VLOOKUP($C84,'PORTIFÓLIO'!C:V,3,0),"")</f>
        <v/>
      </c>
      <c r="F84" s="211">
        <f>IFERROR(VLOOKUP($C84,'PORTIFÓLIO'!C:V,4,0),"")</f>
        <v/>
      </c>
      <c r="G84" s="225">
        <f>IFERROR(VLOOKUP($C84,'PORTIFÓLIO'!C:V,5,0),"")</f>
        <v/>
      </c>
      <c r="H84" s="254">
        <f t="array" ref="H84">IFERROR(INDEX('PORTIFÓLIO'!$H$4:$H$433,MATCH($C84,'PORTIFÓLIO'!$C$4:$C$433,0)),"")</f>
        <v/>
      </c>
      <c r="I84" s="255" t="n">
        <v>0.5</v>
      </c>
      <c r="J84" s="218">
        <f>I84*$B$2</f>
        <v/>
      </c>
      <c r="K84" s="219">
        <f t="array" ref="K84">IFERROR(I84*INDEX('PORTIFÓLIO'!$S$4:$S$433,MATCH($C84,'PORTIFÓLIO'!$C$4:$C$433,0)),"")</f>
        <v/>
      </c>
      <c r="L84" s="219">
        <f t="array" ref="L84">IFERROR(J84*INDEX('PORTIFÓLIO'!$S$4:$S$433,MATCH($C84,'PORTIFÓLIO'!$C$4:$C$433,0)),"")</f>
        <v/>
      </c>
      <c r="M84" s="220" t="n"/>
      <c r="N84" s="220" t="n"/>
      <c r="O84" s="220" t="n"/>
      <c r="P84" s="220" t="n"/>
      <c r="Q84" s="220" t="n"/>
      <c r="R84" s="220" t="n"/>
      <c r="S84" s="220" t="n"/>
      <c r="T84" s="220" t="n"/>
      <c r="U84" s="220" t="n"/>
      <c r="V84" s="220" t="n"/>
      <c r="W84" s="220" t="n"/>
    </row>
    <row r="85" outlineLevel="1" ht="15.75" customHeight="1" s="297">
      <c r="A85" s="211" t="n"/>
      <c r="B85" s="212" t="inlineStr">
        <is>
          <t>ADJUVANTE</t>
        </is>
      </c>
      <c r="C85" s="213" t="inlineStr">
        <is>
          <t>JOINT ULTRA</t>
        </is>
      </c>
      <c r="D85" s="214">
        <f>IFERROR(VLOOKUP($C85,'PORTIFÓLIO'!C:V,2,0),"")</f>
        <v/>
      </c>
      <c r="E85" s="211">
        <f>IFERROR(VLOOKUP($C85,'PORTIFÓLIO'!C:V,3,0),"")</f>
        <v/>
      </c>
      <c r="F85" s="211">
        <f>IFERROR(VLOOKUP($C85,'PORTIFÓLIO'!C:V,4,0),"")</f>
        <v/>
      </c>
      <c r="G85" s="225">
        <f>IFERROR(VLOOKUP($C85,'PORTIFÓLIO'!C:V,5,0),"")</f>
        <v/>
      </c>
      <c r="H85" s="254">
        <f t="array" ref="H85">IFERROR(INDEX('PORTIFÓLIO'!$H$4:$H$433,MATCH($C85,'PORTIFÓLIO'!$C$4:$C$433,0)),"")</f>
        <v/>
      </c>
      <c r="I85" s="255" t="n">
        <v>0.2</v>
      </c>
      <c r="J85" s="218">
        <f>I85*$B$2</f>
        <v/>
      </c>
      <c r="K85" s="219">
        <f t="array" ref="K85">IFERROR(I85*INDEX('PORTIFÓLIO'!$S$4:$S$433,MATCH($C85,'PORTIFÓLIO'!$C$4:$C$433,0)),"")</f>
        <v/>
      </c>
      <c r="L85" s="219">
        <f t="array" ref="L85">IFERROR(J85*INDEX('PORTIFÓLIO'!$S$4:$S$433,MATCH($C85,'PORTIFÓLIO'!$C$4:$C$433,0)),"")</f>
        <v/>
      </c>
      <c r="M85" s="220" t="n"/>
      <c r="N85" s="220" t="n"/>
      <c r="O85" s="220" t="n"/>
      <c r="P85" s="220" t="n"/>
      <c r="Q85" s="220" t="n"/>
      <c r="R85" s="220" t="n"/>
      <c r="S85" s="220" t="n"/>
      <c r="T85" s="220" t="n"/>
      <c r="U85" s="220" t="n"/>
      <c r="V85" s="220" t="n"/>
      <c r="W85" s="220" t="n"/>
    </row>
    <row r="86" outlineLevel="1" ht="15.75" customHeight="1" s="297">
      <c r="A86" s="211" t="n"/>
      <c r="B86" s="212" t="n"/>
      <c r="C86" s="213" t="n"/>
      <c r="D86" s="214">
        <f>IFERROR(VLOOKUP($C86,'PORTIFÓLIO'!C:V,2,0),"")</f>
        <v/>
      </c>
      <c r="E86" s="211">
        <f>IFERROR(VLOOKUP($C86,'PORTIFÓLIO'!C:V,3,0),"")</f>
        <v/>
      </c>
      <c r="F86" s="211">
        <f>IFERROR(VLOOKUP($C86,'PORTIFÓLIO'!C:V,4,0),"")</f>
        <v/>
      </c>
      <c r="G86" s="215">
        <f>IFERROR(VLOOKUP($C86,'PORTIFÓLIO'!C:V,5,0),"")</f>
        <v/>
      </c>
      <c r="H86" s="254">
        <f t="array" ref="H86">IFERROR(INDEX('PORTIFÓLIO'!$H$4:$H$433,MATCH($C86,'PORTIFÓLIO'!$C$4:$C$433,0)),"")</f>
        <v/>
      </c>
      <c r="I86" s="256" t="n"/>
      <c r="J86" s="218">
        <f>I86*$B$2</f>
        <v/>
      </c>
      <c r="K86" s="219">
        <f t="array" ref="K86">IFERROR(I86*INDEX('PORTIFÓLIO'!$S$4:$S$433,MATCH($C86,'PORTIFÓLIO'!$C$4:$C$433,0)),"")</f>
        <v/>
      </c>
      <c r="L86" s="219">
        <f t="array" ref="L86">IFERROR(J86*INDEX('PORTIFÓLIO'!$S$4:$S$433,MATCH($C86,'PORTIFÓLIO'!$C$4:$C$433,0)),"")</f>
        <v/>
      </c>
      <c r="M86" s="220" t="n"/>
      <c r="N86" s="220" t="n"/>
      <c r="O86" s="220" t="n"/>
      <c r="P86" s="220" t="n"/>
      <c r="Q86" s="220" t="n"/>
      <c r="R86" s="220" t="n"/>
      <c r="S86" s="220" t="n"/>
      <c r="T86" s="220" t="n"/>
      <c r="U86" s="220" t="n"/>
      <c r="V86" s="220" t="n"/>
      <c r="W86" s="220" t="n"/>
    </row>
    <row r="87" outlineLevel="1" ht="15.75" customHeight="1" s="297">
      <c r="A87" s="211" t="n"/>
      <c r="B87" s="212" t="n"/>
      <c r="C87" s="213" t="n"/>
      <c r="D87" s="214">
        <f>IFERROR(VLOOKUP($C87,'PORTIFÓLIO'!C:V,2,0),"")</f>
        <v/>
      </c>
      <c r="E87" s="211">
        <f>IFERROR(VLOOKUP($C87,'PORTIFÓLIO'!C:V,3,0),"")</f>
        <v/>
      </c>
      <c r="F87" s="211">
        <f>IFERROR(VLOOKUP($C87,'PORTIFÓLIO'!C:V,4,0),"")</f>
        <v/>
      </c>
      <c r="G87" s="215">
        <f>IFERROR(VLOOKUP($C87,'PORTIFÓLIO'!C:V,5,0),"")</f>
        <v/>
      </c>
      <c r="H87" s="254">
        <f t="array" ref="H87">IFERROR(INDEX('PORTIFÓLIO'!$H$4:$H$433,MATCH($C87,'PORTIFÓLIO'!$C$4:$C$433,0)),"")</f>
        <v/>
      </c>
      <c r="I87" s="256" t="n"/>
      <c r="J87" s="218">
        <f>I87*$B$2</f>
        <v/>
      </c>
      <c r="K87" s="219">
        <f t="array" ref="K87">IFERROR(I87*INDEX('PORTIFÓLIO'!$S$4:$S$433,MATCH($C87,'PORTIFÓLIO'!$C$4:$C$433,0)),"")</f>
        <v/>
      </c>
      <c r="L87" s="219">
        <f t="array" ref="L87">IFERROR(J87*INDEX('PORTIFÓLIO'!$S$4:$S$433,MATCH($C87,'PORTIFÓLIO'!$C$4:$C$433,0)),"")</f>
        <v/>
      </c>
      <c r="M87" s="220" t="n"/>
      <c r="N87" s="220" t="n"/>
      <c r="O87" s="220" t="n"/>
      <c r="P87" s="220" t="n"/>
      <c r="Q87" s="220" t="n"/>
      <c r="R87" s="220" t="n"/>
      <c r="S87" s="220" t="n"/>
      <c r="T87" s="220" t="n"/>
      <c r="U87" s="220" t="n"/>
      <c r="V87" s="220" t="n"/>
      <c r="W87" s="220" t="n"/>
    </row>
    <row r="88" outlineLevel="1" ht="15.75" customHeight="1" s="297">
      <c r="A88" s="211" t="n"/>
      <c r="B88" s="212" t="n"/>
      <c r="C88" s="213" t="n"/>
      <c r="D88" s="214">
        <f>IFERROR(VLOOKUP($C88,'PORTIFÓLIO'!C:V,2,0),"")</f>
        <v/>
      </c>
      <c r="E88" s="211">
        <f>IFERROR(VLOOKUP($C88,'PORTIFÓLIO'!C:V,3,0),"")</f>
        <v/>
      </c>
      <c r="F88" s="211">
        <f>IFERROR(VLOOKUP($C88,'PORTIFÓLIO'!C:V,4,0),"")</f>
        <v/>
      </c>
      <c r="G88" s="215">
        <f>IFERROR(VLOOKUP($C88,'PORTIFÓLIO'!C:V,5,0),"")</f>
        <v/>
      </c>
      <c r="H88" s="254">
        <f t="array" ref="H88">IFERROR(INDEX('PORTIFÓLIO'!$H$4:$H$433,MATCH($C88,'PORTIFÓLIO'!$C$4:$C$433,0)),"")</f>
        <v/>
      </c>
      <c r="I88" s="256" t="n"/>
      <c r="J88" s="218">
        <f>I88*$B$2</f>
        <v/>
      </c>
      <c r="K88" s="219">
        <f t="array" ref="K88">IFERROR(I88*INDEX('PORTIFÓLIO'!$S$4:$S$433,MATCH($C88,'PORTIFÓLIO'!$C$4:$C$433,0)),"")</f>
        <v/>
      </c>
      <c r="L88" s="219">
        <f t="array" ref="L88">IFERROR(J88*INDEX('PORTIFÓLIO'!$S$4:$S$433,MATCH($C88,'PORTIFÓLIO'!$C$4:$C$433,0)),"")</f>
        <v/>
      </c>
      <c r="M88" s="220" t="n"/>
      <c r="N88" s="220" t="n"/>
      <c r="O88" s="220" t="n"/>
      <c r="P88" s="220" t="n"/>
      <c r="Q88" s="220" t="n"/>
      <c r="R88" s="220" t="n"/>
      <c r="S88" s="220" t="n"/>
      <c r="T88" s="220" t="n"/>
      <c r="U88" s="220" t="n"/>
      <c r="V88" s="220" t="n"/>
      <c r="W88" s="220" t="n"/>
    </row>
    <row r="89" outlineLevel="1" ht="15.75" customHeight="1" s="297">
      <c r="A89" s="211" t="n"/>
      <c r="B89" s="212" t="n"/>
      <c r="C89" s="213" t="n"/>
      <c r="D89" s="214">
        <f>IFERROR(VLOOKUP($C89,'PORTIFÓLIO'!C:V,2,0),"")</f>
        <v/>
      </c>
      <c r="E89" s="211">
        <f>IFERROR(VLOOKUP($C89,'PORTIFÓLIO'!C:V,3,0),"")</f>
        <v/>
      </c>
      <c r="F89" s="211">
        <f>IFERROR(VLOOKUP($C89,'PORTIFÓLIO'!C:V,4,0),"")</f>
        <v/>
      </c>
      <c r="G89" s="215">
        <f>IFERROR(VLOOKUP($C89,'PORTIFÓLIO'!C:V,5,0),"")</f>
        <v/>
      </c>
      <c r="H89" s="254">
        <f t="array" ref="H89">IFERROR(INDEX('PORTIFÓLIO'!$H$4:$H$433,MATCH($C89,'PORTIFÓLIO'!$C$4:$C$433,0)),"")</f>
        <v/>
      </c>
      <c r="I89" s="256" t="n"/>
      <c r="J89" s="218">
        <f>I89*$B$2</f>
        <v/>
      </c>
      <c r="K89" s="219">
        <f t="array" ref="K89">IFERROR(I89*INDEX('PORTIFÓLIO'!$S$4:$S$433,MATCH($C89,'PORTIFÓLIO'!$C$4:$C$433,0)),"")</f>
        <v/>
      </c>
      <c r="L89" s="219">
        <f t="array" ref="L89">IFERROR(J89*INDEX('PORTIFÓLIO'!$S$4:$S$433,MATCH($C89,'PORTIFÓLIO'!$C$4:$C$433,0)),"")</f>
        <v/>
      </c>
      <c r="M89" s="220" t="n"/>
      <c r="N89" s="220" t="n"/>
      <c r="O89" s="220" t="n"/>
      <c r="P89" s="220" t="n"/>
      <c r="Q89" s="220" t="n"/>
      <c r="R89" s="220" t="n"/>
      <c r="S89" s="220" t="n"/>
      <c r="T89" s="220" t="n"/>
      <c r="U89" s="220" t="n"/>
      <c r="V89" s="220" t="n"/>
      <c r="W89" s="220" t="n"/>
    </row>
    <row r="90" outlineLevel="1" ht="15.75" customHeight="1" s="297">
      <c r="A90" s="211" t="n"/>
      <c r="B90" s="212" t="n"/>
      <c r="C90" s="213" t="n"/>
      <c r="D90" s="214">
        <f>IFERROR(VLOOKUP($C90,'PORTIFÓLIO'!C:V,2,0),"")</f>
        <v/>
      </c>
      <c r="E90" s="211">
        <f>IFERROR(VLOOKUP($C90,'PORTIFÓLIO'!C:V,3,0),"")</f>
        <v/>
      </c>
      <c r="F90" s="211">
        <f>IFERROR(VLOOKUP($C90,'PORTIFÓLIO'!C:V,4,0),"")</f>
        <v/>
      </c>
      <c r="G90" s="215">
        <f>IFERROR(VLOOKUP($C90,'PORTIFÓLIO'!C:V,5,0),"")</f>
        <v/>
      </c>
      <c r="H90" s="254">
        <f t="array" ref="H90">IFERROR(INDEX('PORTIFÓLIO'!$H$4:$H$433,MATCH($C90,'PORTIFÓLIO'!$C$4:$C$433,0)),"")</f>
        <v/>
      </c>
      <c r="I90" s="255" t="n"/>
      <c r="J90" s="218">
        <f>I90*$B$2</f>
        <v/>
      </c>
      <c r="K90" s="219">
        <f t="array" ref="K90">IFERROR(I90*INDEX('PORTIFÓLIO'!$S$4:$S$433,MATCH($C90,'PORTIFÓLIO'!$C$4:$C$433,0)),"")</f>
        <v/>
      </c>
      <c r="L90" s="219">
        <f t="array" ref="L90">IFERROR(J90*INDEX('PORTIFÓLIO'!$S$4:$S$433,MATCH($C90,'PORTIFÓLIO'!$C$4:$C$433,0)),"")</f>
        <v/>
      </c>
      <c r="M90" s="220" t="n"/>
      <c r="N90" s="220" t="n"/>
      <c r="O90" s="220" t="n"/>
      <c r="P90" s="220" t="n"/>
      <c r="Q90" s="220" t="n"/>
      <c r="R90" s="220" t="n"/>
      <c r="S90" s="220" t="n"/>
      <c r="T90" s="220" t="n"/>
      <c r="U90" s="220" t="n"/>
      <c r="V90" s="220" t="n"/>
      <c r="W90" s="220" t="n"/>
    </row>
    <row r="91" outlineLevel="1" ht="15.75" customHeight="1" s="297">
      <c r="A91" s="211" t="n"/>
      <c r="B91" s="212" t="n"/>
      <c r="C91" s="213" t="n"/>
      <c r="D91" s="214">
        <f>IFERROR(VLOOKUP($C91,'PORTIFÓLIO'!C:V,2,0),"")</f>
        <v/>
      </c>
      <c r="E91" s="211">
        <f>IFERROR(VLOOKUP($C91,'PORTIFÓLIO'!C:V,3,0),"")</f>
        <v/>
      </c>
      <c r="F91" s="211">
        <f>IFERROR(VLOOKUP($C91,'PORTIFÓLIO'!C:V,4,0),"")</f>
        <v/>
      </c>
      <c r="G91" s="215">
        <f>IFERROR(VLOOKUP($C91,'PORTIFÓLIO'!C:V,5,0),"")</f>
        <v/>
      </c>
      <c r="H91" s="254">
        <f t="array" ref="H91">IFERROR(INDEX('PORTIFÓLIO'!$H$4:$H$433,MATCH($C91,'PORTIFÓLIO'!$C$4:$C$433,0)),"")</f>
        <v/>
      </c>
      <c r="I91" s="256" t="n"/>
      <c r="J91" s="218">
        <f>I91*$B$2</f>
        <v/>
      </c>
      <c r="K91" s="219">
        <f t="array" ref="K91">IFERROR(I91*INDEX('PORTIFÓLIO'!$S$4:$S$433,MATCH($C91,'PORTIFÓLIO'!$C$4:$C$433,0)),"")</f>
        <v/>
      </c>
      <c r="L91" s="219">
        <f t="array" ref="L91">IFERROR(J91*INDEX('PORTIFÓLIO'!$S$4:$S$433,MATCH($C91,'PORTIFÓLIO'!$C$4:$C$433,0)),"")</f>
        <v/>
      </c>
      <c r="M91" s="220" t="n"/>
      <c r="N91" s="220" t="n"/>
      <c r="O91" s="220" t="n"/>
      <c r="P91" s="220" t="n"/>
      <c r="Q91" s="220" t="n"/>
      <c r="R91" s="220" t="n"/>
      <c r="S91" s="220" t="n"/>
      <c r="T91" s="220" t="n"/>
      <c r="U91" s="220" t="n"/>
      <c r="V91" s="220" t="n"/>
      <c r="W91" s="220" t="n"/>
    </row>
    <row r="92" outlineLevel="1" ht="15.75" customHeight="1" s="297">
      <c r="A92" s="211" t="n"/>
      <c r="B92" s="212" t="n"/>
      <c r="C92" s="213" t="n"/>
      <c r="D92" s="214">
        <f>IFERROR(VLOOKUP($C92,'PORTIFÓLIO'!C:V,2,0),"")</f>
        <v/>
      </c>
      <c r="E92" s="211">
        <f>IFERROR(VLOOKUP($C92,'PORTIFÓLIO'!C:V,3,0),"")</f>
        <v/>
      </c>
      <c r="F92" s="211">
        <f>IFERROR(VLOOKUP($C92,'PORTIFÓLIO'!C:V,4,0),"")</f>
        <v/>
      </c>
      <c r="G92" s="215">
        <f>IFERROR(VLOOKUP($C92,'PORTIFÓLIO'!C:V,5,0),"")</f>
        <v/>
      </c>
      <c r="H92" s="254">
        <f t="array" ref="H92">IFERROR(INDEX('PORTIFÓLIO'!$H$4:$H$433,MATCH($C92,'PORTIFÓLIO'!$C$4:$C$433,0)),"")</f>
        <v/>
      </c>
      <c r="I92" s="256" t="n"/>
      <c r="J92" s="218">
        <f>I92*$B$2</f>
        <v/>
      </c>
      <c r="K92" s="219">
        <f t="array" ref="K92">IFERROR(I92*INDEX('PORTIFÓLIO'!$S$4:$S$433,MATCH($C92,'PORTIFÓLIO'!$C$4:$C$433,0)),"")</f>
        <v/>
      </c>
      <c r="L92" s="219">
        <f t="array" ref="L92">IFERROR(J92*INDEX('PORTIFÓLIO'!$S$4:$S$433,MATCH($C92,'PORTIFÓLIO'!$C$4:$C$433,0)),"")</f>
        <v/>
      </c>
      <c r="M92" s="220" t="n"/>
      <c r="N92" s="220" t="n"/>
      <c r="O92" s="220" t="n"/>
      <c r="P92" s="220" t="n"/>
      <c r="Q92" s="220" t="n"/>
      <c r="R92" s="220" t="n"/>
      <c r="S92" s="220" t="n"/>
      <c r="T92" s="220" t="n"/>
      <c r="U92" s="220" t="n"/>
      <c r="V92" s="220" t="n"/>
      <c r="W92" s="220" t="n"/>
    </row>
    <row r="93" outlineLevel="1" ht="15.75" customHeight="1" s="297">
      <c r="A93" s="211" t="n"/>
      <c r="B93" s="212" t="n"/>
      <c r="C93" s="213" t="n"/>
      <c r="D93" s="214">
        <f>IFERROR(VLOOKUP($C93,'PORTIFÓLIO'!C:V,2,0),"")</f>
        <v/>
      </c>
      <c r="E93" s="211">
        <f>IFERROR(VLOOKUP($C93,'PORTIFÓLIO'!C:V,3,0),"")</f>
        <v/>
      </c>
      <c r="F93" s="211">
        <f>IFERROR(VLOOKUP($C93,'PORTIFÓLIO'!C:V,4,0),"")</f>
        <v/>
      </c>
      <c r="G93" s="215">
        <f>IFERROR(VLOOKUP($C93,'PORTIFÓLIO'!C:V,5,0),"")</f>
        <v/>
      </c>
      <c r="H93" s="254">
        <f t="array" ref="H93">IFERROR(INDEX('PORTIFÓLIO'!$H$4:$H$433,MATCH($C93,'PORTIFÓLIO'!$C$4:$C$433,0)),"")</f>
        <v/>
      </c>
      <c r="I93" s="256" t="n"/>
      <c r="J93" s="218">
        <f>I93*$B$2</f>
        <v/>
      </c>
      <c r="K93" s="219">
        <f t="array" ref="K93">IFERROR(I93*INDEX('PORTIFÓLIO'!$S$4:$S$433,MATCH($C93,'PORTIFÓLIO'!$C$4:$C$433,0)),"")</f>
        <v/>
      </c>
      <c r="L93" s="219">
        <f t="array" ref="L93">IFERROR(J93*INDEX('PORTIFÓLIO'!$S$4:$S$433,MATCH($C93,'PORTIFÓLIO'!$C$4:$C$433,0)),"")</f>
        <v/>
      </c>
      <c r="M93" s="220" t="n"/>
      <c r="N93" s="220" t="n"/>
      <c r="O93" s="220" t="n"/>
      <c r="P93" s="220" t="n"/>
      <c r="Q93" s="220" t="n"/>
      <c r="R93" s="220" t="n"/>
      <c r="S93" s="220" t="n"/>
      <c r="T93" s="220" t="n"/>
      <c r="U93" s="220" t="n"/>
      <c r="V93" s="220" t="n"/>
      <c r="W93" s="220" t="n"/>
    </row>
    <row r="94" outlineLevel="1" ht="15.75" customHeight="1" s="297">
      <c r="A94" s="211" t="n"/>
      <c r="B94" s="212" t="n"/>
      <c r="C94" s="213" t="n"/>
      <c r="D94" s="214">
        <f>IFERROR(VLOOKUP($C94,'PORTIFÓLIO'!C:V,2,0),"")</f>
        <v/>
      </c>
      <c r="E94" s="211">
        <f>IFERROR(VLOOKUP($C94,'PORTIFÓLIO'!C:V,3,0),"")</f>
        <v/>
      </c>
      <c r="F94" s="211">
        <f>IFERROR(VLOOKUP($C94,'PORTIFÓLIO'!C:V,4,0),"")</f>
        <v/>
      </c>
      <c r="G94" s="215">
        <f>IFERROR(VLOOKUP($C94,'PORTIFÓLIO'!C:V,5,0),"")</f>
        <v/>
      </c>
      <c r="H94" s="254">
        <f t="array" ref="H94">IFERROR(INDEX('PORTIFÓLIO'!$H$4:$H$433,MATCH($C94,'PORTIFÓLIO'!$C$4:$C$433,0)),"")</f>
        <v/>
      </c>
      <c r="I94" s="256" t="n"/>
      <c r="J94" s="218">
        <f>I94*$B$2</f>
        <v/>
      </c>
      <c r="K94" s="219">
        <f t="array" ref="K94">IFERROR(I94*INDEX('PORTIFÓLIO'!$S$4:$S$433,MATCH($C94,'PORTIFÓLIO'!$C$4:$C$433,0)),"")</f>
        <v/>
      </c>
      <c r="L94" s="219">
        <f t="array" ref="L94">IFERROR(J94*INDEX('PORTIFÓLIO'!$S$4:$S$433,MATCH($C94,'PORTIFÓLIO'!$C$4:$C$433,0)),"")</f>
        <v/>
      </c>
      <c r="M94" s="220" t="n"/>
      <c r="N94" s="220" t="n"/>
      <c r="O94" s="220" t="n"/>
      <c r="P94" s="220" t="n"/>
      <c r="Q94" s="220" t="n"/>
      <c r="R94" s="220" t="n"/>
      <c r="S94" s="220" t="n"/>
      <c r="T94" s="220" t="n"/>
      <c r="U94" s="220" t="n"/>
      <c r="V94" s="220" t="n"/>
      <c r="W94" s="220" t="n"/>
    </row>
    <row r="95" outlineLevel="1" ht="15.75" customHeight="1" s="297">
      <c r="A95" s="211" t="n"/>
      <c r="B95" s="212" t="n"/>
      <c r="C95" s="213" t="n"/>
      <c r="D95" s="214">
        <f>IFERROR(VLOOKUP($C95,'PORTIFÓLIO'!C:V,2,0),"")</f>
        <v/>
      </c>
      <c r="E95" s="211">
        <f>IFERROR(VLOOKUP($C95,'PORTIFÓLIO'!C:V,3,0),"")</f>
        <v/>
      </c>
      <c r="F95" s="211">
        <f>IFERROR(VLOOKUP($C95,'PORTIFÓLIO'!C:V,4,0),"")</f>
        <v/>
      </c>
      <c r="G95" s="215">
        <f>IFERROR(VLOOKUP($C95,'PORTIFÓLIO'!C:V,5,0),"")</f>
        <v/>
      </c>
      <c r="H95" s="254">
        <f t="array" ref="H95">IFERROR(INDEX('PORTIFÓLIO'!$H$4:$H$433,MATCH($C95,'PORTIFÓLIO'!$C$4:$C$433,0)),"")</f>
        <v/>
      </c>
      <c r="I95" s="256" t="n"/>
      <c r="J95" s="218">
        <f>I95*$B$2</f>
        <v/>
      </c>
      <c r="K95" s="219">
        <f t="array" ref="K95">IFERROR(I95*INDEX('PORTIFÓLIO'!$S$4:$S$433,MATCH($C95,'PORTIFÓLIO'!$C$4:$C$433,0)),"")</f>
        <v/>
      </c>
      <c r="L95" s="219">
        <f t="array" ref="L95">IFERROR(J95*INDEX('PORTIFÓLIO'!$S$4:$S$433,MATCH($C95,'PORTIFÓLIO'!$C$4:$C$433,0)),"")</f>
        <v/>
      </c>
      <c r="M95" s="220" t="n"/>
      <c r="N95" s="220" t="n"/>
      <c r="O95" s="220" t="n"/>
      <c r="P95" s="220" t="n"/>
      <c r="Q95" s="220" t="n"/>
      <c r="R95" s="220" t="n"/>
      <c r="S95" s="220" t="n"/>
      <c r="T95" s="220" t="n"/>
      <c r="U95" s="220" t="n"/>
      <c r="V95" s="220" t="n"/>
      <c r="W95" s="220" t="n"/>
    </row>
    <row r="96" outlineLevel="1" ht="15.75" customHeight="1" s="297">
      <c r="A96" s="211" t="n"/>
      <c r="B96" s="212" t="n"/>
      <c r="C96" s="213" t="n"/>
      <c r="D96" s="214">
        <f>IFERROR(VLOOKUP($C96,'PORTIFÓLIO'!C:V,2,0),"")</f>
        <v/>
      </c>
      <c r="E96" s="211">
        <f>IFERROR(VLOOKUP($C96,'PORTIFÓLIO'!C:V,3,0),"")</f>
        <v/>
      </c>
      <c r="F96" s="211">
        <f>IFERROR(VLOOKUP($C96,'PORTIFÓLIO'!C:V,4,0),"")</f>
        <v/>
      </c>
      <c r="G96" s="215">
        <f>IFERROR(VLOOKUP($C96,'PORTIFÓLIO'!C:V,5,0),"")</f>
        <v/>
      </c>
      <c r="H96" s="254">
        <f t="array" ref="H96">IFERROR(INDEX('PORTIFÓLIO'!$H$4:$H$433,MATCH($C96,'PORTIFÓLIO'!$C$4:$C$433,0)),"")</f>
        <v/>
      </c>
      <c r="I96" s="256" t="n"/>
      <c r="J96" s="218">
        <f>I96*$B$2</f>
        <v/>
      </c>
      <c r="K96" s="219">
        <f t="array" ref="K96">IFERROR(I96*INDEX('PORTIFÓLIO'!$S$4:$S$433,MATCH($C96,'PORTIFÓLIO'!$C$4:$C$433,0)),"")</f>
        <v/>
      </c>
      <c r="L96" s="219">
        <f t="array" ref="L96">IFERROR(J96*INDEX('PORTIFÓLIO'!$S$4:$S$433,MATCH($C96,'PORTIFÓLIO'!$C$4:$C$433,0)),"")</f>
        <v/>
      </c>
      <c r="M96" s="220" t="n"/>
      <c r="N96" s="220" t="n"/>
      <c r="O96" s="220" t="n"/>
      <c r="P96" s="220" t="n"/>
      <c r="Q96" s="220" t="n"/>
      <c r="R96" s="220" t="n"/>
      <c r="S96" s="220" t="n"/>
      <c r="T96" s="220" t="n"/>
      <c r="U96" s="220" t="n"/>
      <c r="V96" s="220" t="n"/>
      <c r="W96" s="220" t="n"/>
    </row>
    <row r="97" ht="15.75" customHeight="1" s="297">
      <c r="A97" s="229" t="inlineStr">
        <is>
          <t>OPERAÇÃO 6</t>
        </is>
      </c>
      <c r="B97" s="230" t="n"/>
      <c r="C97" s="231" t="n"/>
      <c r="D97" s="232" t="n"/>
      <c r="E97" s="231" t="n"/>
      <c r="F97" s="231" t="n"/>
      <c r="G97" s="233" t="n"/>
      <c r="H97" s="233" t="n"/>
      <c r="I97" s="258" t="n"/>
      <c r="J97" s="236" t="n"/>
      <c r="K97" s="237">
        <f>SUBTOTAL(9,K98:K111)</f>
        <v/>
      </c>
      <c r="L97" s="237">
        <f>SUBTOTAL(9,L98:L111)</f>
        <v/>
      </c>
      <c r="M97" s="220" t="n"/>
      <c r="N97" s="220" t="n"/>
      <c r="O97" s="220" t="n"/>
      <c r="P97" s="220" t="n"/>
      <c r="Q97" s="220" t="n"/>
      <c r="R97" s="220" t="n"/>
      <c r="S97" s="220" t="n"/>
      <c r="T97" s="220" t="n"/>
      <c r="U97" s="220" t="n"/>
      <c r="V97" s="220" t="n"/>
      <c r="W97" s="220" t="n"/>
    </row>
    <row r="98" outlineLevel="1" ht="15.75" customHeight="1" s="297">
      <c r="A98" s="213" t="n"/>
      <c r="B98" s="212" t="inlineStr">
        <is>
          <t>FUNGICIDA</t>
        </is>
      </c>
      <c r="C98" s="213" t="inlineStr">
        <is>
          <t>BELYAN</t>
        </is>
      </c>
      <c r="D98" s="214">
        <f>IFERROR(VLOOKUP($C98,'PORTIFÓLIO'!C:V,2,0),"")</f>
        <v/>
      </c>
      <c r="E98" s="211">
        <f>IFERROR(VLOOKUP($C98,'PORTIFÓLIO'!C:V,3,0),"")</f>
        <v/>
      </c>
      <c r="F98" s="211">
        <f>IFERROR(VLOOKUP($C98,'PORTIFÓLIO'!C:V,4,0),"")</f>
        <v/>
      </c>
      <c r="G98" s="225">
        <f>IFERROR(VLOOKUP($C98,'PORTIFÓLIO'!C:V,5,0),"")</f>
        <v/>
      </c>
      <c r="H98" s="254">
        <f t="array" ref="H98">IFERROR(INDEX('PORTIFÓLIO'!$H$4:$H$433,MATCH($C98,'PORTIFÓLIO'!$C$4:$C$433,0)),"")</f>
        <v/>
      </c>
      <c r="I98" s="255" t="n">
        <v>0.7</v>
      </c>
      <c r="J98" s="218">
        <f>I98*$B$2</f>
        <v/>
      </c>
      <c r="K98" s="219">
        <f t="array" ref="K98">IFERROR(I98*INDEX('PORTIFÓLIO'!$S$4:$S$433,MATCH($C98,'PORTIFÓLIO'!$C$4:$C$433,0)),"")</f>
        <v/>
      </c>
      <c r="L98" s="219">
        <f t="array" ref="L98">IFERROR(J98*INDEX('PORTIFÓLIO'!$S$4:$S$433,MATCH($C98,'PORTIFÓLIO'!$C$4:$C$433,0)),"")</f>
        <v/>
      </c>
      <c r="M98" s="220" t="n"/>
      <c r="N98" s="220" t="n"/>
      <c r="O98" s="220" t="n"/>
      <c r="P98" s="220" t="n"/>
      <c r="Q98" s="220" t="n"/>
      <c r="R98" s="220" t="n"/>
      <c r="S98" s="220" t="n"/>
      <c r="T98" s="220" t="n"/>
      <c r="U98" s="220" t="n"/>
      <c r="V98" s="220" t="n"/>
      <c r="W98" s="220" t="n"/>
    </row>
    <row r="99" outlineLevel="1" ht="15.75" customHeight="1" s="297">
      <c r="A99" s="211" t="n"/>
      <c r="B99" s="212" t="n"/>
      <c r="C99" s="213" t="n"/>
      <c r="D99" s="214">
        <f>IFERROR(VLOOKUP($C99,'PORTIFÓLIO'!C:V,2,0),"")</f>
        <v/>
      </c>
      <c r="E99" s="211">
        <f>IFERROR(VLOOKUP($C99,'PORTIFÓLIO'!C:V,3,0),"")</f>
        <v/>
      </c>
      <c r="F99" s="211">
        <f>IFERROR(VLOOKUP($C99,'PORTIFÓLIO'!C:V,4,0),"")</f>
        <v/>
      </c>
      <c r="G99" s="215">
        <f>IFERROR(VLOOKUP($C99,'PORTIFÓLIO'!C:V,5,0),"")</f>
        <v/>
      </c>
      <c r="H99" s="254">
        <f t="array" ref="H99">IFERROR(INDEX('PORTIFÓLIO'!$H$4:$H$433,MATCH($C99,'PORTIFÓLIO'!$C$4:$C$433,0)),"")</f>
        <v/>
      </c>
      <c r="I99" s="255" t="n"/>
      <c r="J99" s="218">
        <f>I99*$B$2</f>
        <v/>
      </c>
      <c r="K99" s="219">
        <f t="array" ref="K99">IFERROR(I99*INDEX('PORTIFÓLIO'!$S$4:$S$433,MATCH($C99,'PORTIFÓLIO'!$C$4:$C$433,0)),"")</f>
        <v/>
      </c>
      <c r="L99" s="219">
        <f t="array" ref="L99">IFERROR(J99*INDEX('PORTIFÓLIO'!$S$4:$S$433,MATCH($C99,'PORTIFÓLIO'!$C$4:$C$433,0)),"")</f>
        <v/>
      </c>
      <c r="M99" s="220" t="n"/>
      <c r="N99" s="220" t="n"/>
      <c r="O99" s="220" t="n"/>
      <c r="P99" s="220" t="n"/>
      <c r="Q99" s="220" t="n"/>
      <c r="R99" s="220" t="n"/>
      <c r="S99" s="220" t="n"/>
      <c r="T99" s="220" t="n"/>
      <c r="U99" s="220" t="n"/>
      <c r="V99" s="220" t="n"/>
      <c r="W99" s="220" t="n"/>
    </row>
    <row r="100" outlineLevel="1" ht="15.75" customHeight="1" s="297">
      <c r="A100" s="211" t="n"/>
      <c r="B100" s="212" t="inlineStr">
        <is>
          <t>INSETICIDA</t>
        </is>
      </c>
      <c r="C100" s="213" t="inlineStr">
        <is>
          <t>TALSTAR 400</t>
        </is>
      </c>
      <c r="D100" s="214">
        <f>IFERROR(VLOOKUP($C100,'PORTIFÓLIO'!C:V,2,0),"")</f>
        <v/>
      </c>
      <c r="E100" s="211">
        <f>IFERROR(VLOOKUP($C100,'PORTIFÓLIO'!C:V,3,0),"")</f>
        <v/>
      </c>
      <c r="F100" s="211">
        <f>IFERROR(VLOOKUP($C100,'PORTIFÓLIO'!C:V,4,0),"")</f>
        <v/>
      </c>
      <c r="G100" s="225">
        <f>IFERROR(VLOOKUP($C100,'PORTIFÓLIO'!C:V,5,0),"")</f>
        <v/>
      </c>
      <c r="H100" s="254">
        <f t="array" ref="H100">IFERROR(INDEX('PORTIFÓLIO'!$H$4:$H$433,MATCH($C100,'PORTIFÓLIO'!$C$4:$C$433,0)),"")</f>
        <v/>
      </c>
      <c r="I100" s="255" t="n">
        <v>0.05</v>
      </c>
      <c r="J100" s="218">
        <f>I100*$B$2</f>
        <v/>
      </c>
      <c r="K100" s="219">
        <f t="array" ref="K100">IFERROR(I100*INDEX('PORTIFÓLIO'!$S$4:$S$433,MATCH($C100,'PORTIFÓLIO'!$C$4:$C$433,0)),"")</f>
        <v/>
      </c>
      <c r="L100" s="219">
        <f t="array" ref="L100">IFERROR(J100*INDEX('PORTIFÓLIO'!$S$4:$S$433,MATCH($C100,'PORTIFÓLIO'!$C$4:$C$433,0)),"")</f>
        <v/>
      </c>
      <c r="M100" s="220" t="n"/>
      <c r="N100" s="220" t="n"/>
      <c r="O100" s="220" t="n"/>
      <c r="P100" s="220" t="n"/>
      <c r="Q100" s="220" t="n"/>
      <c r="R100" s="220" t="n"/>
      <c r="S100" s="220" t="n"/>
      <c r="T100" s="220" t="n"/>
      <c r="U100" s="220" t="n"/>
      <c r="V100" s="220" t="n"/>
      <c r="W100" s="220" t="n"/>
    </row>
    <row r="101" outlineLevel="1" ht="15.75" customHeight="1" s="297">
      <c r="A101" s="211" t="n"/>
      <c r="B101" s="212" t="inlineStr">
        <is>
          <t>INSETICIDA</t>
        </is>
      </c>
      <c r="C101" s="213" t="inlineStr">
        <is>
          <t>IMIDACLOPRID NORTOX 480 SC</t>
        </is>
      </c>
      <c r="D101" s="214">
        <f>IFERROR(VLOOKUP($C101,'PORTIFÓLIO'!C:V,2,0),"")</f>
        <v/>
      </c>
      <c r="E101" s="211">
        <f>IFERROR(VLOOKUP($C101,'PORTIFÓLIO'!C:V,3,0),"")</f>
        <v/>
      </c>
      <c r="F101" s="211">
        <f>IFERROR(VLOOKUP($C101,'PORTIFÓLIO'!C:V,4,0),"")</f>
        <v/>
      </c>
      <c r="G101" s="225">
        <f>IFERROR(VLOOKUP($C101,'PORTIFÓLIO'!C:V,5,0),"")</f>
        <v/>
      </c>
      <c r="H101" s="254">
        <f t="array" ref="H101">IFERROR(INDEX('PORTIFÓLIO'!$H$4:$H$433,MATCH($C101,'PORTIFÓLIO'!$C$4:$C$433,0)),"")</f>
        <v/>
      </c>
      <c r="I101" s="255" t="n">
        <v>0.25</v>
      </c>
      <c r="J101" s="218">
        <f>I101*$B$2</f>
        <v/>
      </c>
      <c r="K101" s="219">
        <f t="array" ref="K101">IFERROR(I101*INDEX('PORTIFÓLIO'!$S$4:$S$433,MATCH($C101,'PORTIFÓLIO'!$C$4:$C$433,0)),"")</f>
        <v/>
      </c>
      <c r="L101" s="219">
        <f t="array" ref="L101">IFERROR(J101*INDEX('PORTIFÓLIO'!$S$4:$S$433,MATCH($C101,'PORTIFÓLIO'!$C$4:$C$433,0)),"")</f>
        <v/>
      </c>
      <c r="M101" s="220" t="n"/>
      <c r="N101" s="220" t="n"/>
      <c r="O101" s="220" t="n"/>
      <c r="P101" s="220" t="n"/>
      <c r="Q101" s="220" t="n"/>
      <c r="R101" s="220" t="n"/>
      <c r="S101" s="220" t="n"/>
      <c r="T101" s="220" t="n"/>
      <c r="U101" s="220" t="n"/>
      <c r="V101" s="220" t="n"/>
      <c r="W101" s="220" t="n"/>
    </row>
    <row r="102" outlineLevel="1" ht="15.75" customHeight="1" s="297">
      <c r="A102" s="211" t="n"/>
      <c r="B102" s="212" t="inlineStr">
        <is>
          <t>INSETICIDA</t>
        </is>
      </c>
      <c r="C102" s="213" t="inlineStr">
        <is>
          <t>DIFLUBENZURON CCAB 480 SC</t>
        </is>
      </c>
      <c r="D102" s="214">
        <f>IFERROR(VLOOKUP($C102,'PORTIFÓLIO'!C:V,2,0),"")</f>
        <v/>
      </c>
      <c r="E102" s="211">
        <f>IFERROR(VLOOKUP($C102,'PORTIFÓLIO'!C:V,3,0),"")</f>
        <v/>
      </c>
      <c r="F102" s="211">
        <f>IFERROR(VLOOKUP($C102,'PORTIFÓLIO'!C:V,4,0),"")</f>
        <v/>
      </c>
      <c r="G102" s="225">
        <f>IFERROR(VLOOKUP($C102,'PORTIFÓLIO'!C:V,5,0),"")</f>
        <v/>
      </c>
      <c r="H102" s="254">
        <f t="array" ref="H102">IFERROR(INDEX('PORTIFÓLIO'!$H$4:$H$433,MATCH($C102,'PORTIFÓLIO'!$C$4:$C$433,0)),"")</f>
        <v/>
      </c>
      <c r="I102" s="255" t="n">
        <v>0.05</v>
      </c>
      <c r="J102" s="218">
        <f>I102*$B$2</f>
        <v/>
      </c>
      <c r="K102" s="219">
        <f t="array" ref="K102">IFERROR(I102*INDEX('PORTIFÓLIO'!$S$4:$S$433,MATCH($C102,'PORTIFÓLIO'!$C$4:$C$433,0)),"")</f>
        <v/>
      </c>
      <c r="L102" s="219">
        <f t="array" ref="L102">IFERROR(J102*INDEX('PORTIFÓLIO'!$S$4:$S$433,MATCH($C102,'PORTIFÓLIO'!$C$4:$C$433,0)),"")</f>
        <v/>
      </c>
      <c r="M102" s="220" t="n"/>
      <c r="N102" s="220" t="n"/>
      <c r="O102" s="220" t="n"/>
      <c r="P102" s="220" t="n"/>
      <c r="Q102" s="220" t="n"/>
      <c r="R102" s="220" t="n"/>
      <c r="S102" s="220" t="n"/>
      <c r="T102" s="220" t="n"/>
      <c r="U102" s="220" t="n"/>
      <c r="V102" s="220" t="n"/>
      <c r="W102" s="220" t="n"/>
    </row>
    <row r="103" outlineLevel="1" ht="15.75" customHeight="1" s="297">
      <c r="A103" s="211" t="n"/>
      <c r="B103" s="212" t="inlineStr">
        <is>
          <t>ADJUVANTE</t>
        </is>
      </c>
      <c r="C103" s="213" t="inlineStr">
        <is>
          <t>RUMBA</t>
        </is>
      </c>
      <c r="D103" s="214">
        <f>IFERROR(VLOOKUP($C103,'PORTIFÓLIO'!C:V,2,0),"")</f>
        <v/>
      </c>
      <c r="E103" s="211">
        <f>IFERROR(VLOOKUP($C103,'PORTIFÓLIO'!C:V,3,0),"")</f>
        <v/>
      </c>
      <c r="F103" s="211">
        <f>IFERROR(VLOOKUP($C103,'PORTIFÓLIO'!C:V,4,0),"")</f>
        <v/>
      </c>
      <c r="G103" s="225">
        <f>IFERROR(VLOOKUP($C103,'PORTIFÓLIO'!C:V,5,0),"")</f>
        <v/>
      </c>
      <c r="H103" s="254">
        <f t="array" ref="H103">IFERROR(INDEX('PORTIFÓLIO'!$H$4:$H$433,MATCH($C103,'PORTIFÓLIO'!$C$4:$C$433,0)),"")</f>
        <v/>
      </c>
      <c r="I103" s="255" t="n">
        <v>0.2</v>
      </c>
      <c r="J103" s="218">
        <f>I103*$B$2</f>
        <v/>
      </c>
      <c r="K103" s="219">
        <f t="array" ref="K103">IFERROR(I103*INDEX('PORTIFÓLIO'!$S$4:$S$433,MATCH($C103,'PORTIFÓLIO'!$C$4:$C$433,0)),"")</f>
        <v/>
      </c>
      <c r="L103" s="219">
        <f t="array" ref="L103">IFERROR(J103*INDEX('PORTIFÓLIO'!$S$4:$S$433,MATCH($C103,'PORTIFÓLIO'!$C$4:$C$433,0)),"")</f>
        <v/>
      </c>
      <c r="M103" s="220" t="n"/>
      <c r="N103" s="220" t="n"/>
      <c r="O103" s="220" t="n"/>
      <c r="P103" s="220" t="n"/>
      <c r="Q103" s="220" t="n"/>
      <c r="R103" s="220" t="n"/>
      <c r="S103" s="220" t="n"/>
      <c r="T103" s="220" t="n"/>
      <c r="U103" s="220" t="n"/>
      <c r="V103" s="220" t="n"/>
      <c r="W103" s="220" t="n"/>
    </row>
    <row r="104" outlineLevel="1" ht="15.75" customHeight="1" s="297">
      <c r="A104" s="211" t="n"/>
      <c r="B104" s="212" t="inlineStr">
        <is>
          <t>FUNGICIDA</t>
        </is>
      </c>
      <c r="C104" s="213" t="inlineStr">
        <is>
          <t>MANCOZEB CCAB 750 WG</t>
        </is>
      </c>
      <c r="D104" s="214">
        <f>IFERROR(VLOOKUP($C104,'PORTIFÓLIO'!C:V,2,0),"")</f>
        <v/>
      </c>
      <c r="E104" s="211">
        <f>IFERROR(VLOOKUP($C104,'PORTIFÓLIO'!C:V,3,0),"")</f>
        <v/>
      </c>
      <c r="F104" s="211">
        <f>IFERROR(VLOOKUP($C104,'PORTIFÓLIO'!C:V,4,0),"")</f>
        <v/>
      </c>
      <c r="G104" s="225">
        <f>IFERROR(VLOOKUP($C104,'PORTIFÓLIO'!C:V,5,0),"")</f>
        <v/>
      </c>
      <c r="H104" s="254">
        <f t="array" ref="H104">IFERROR(INDEX('PORTIFÓLIO'!$H$4:$H$433,MATCH($C104,'PORTIFÓLIO'!$C$4:$C$433,0)),"")</f>
        <v/>
      </c>
      <c r="I104" s="255" t="n">
        <v>1.5</v>
      </c>
      <c r="J104" s="218">
        <f>I104*$B$2</f>
        <v/>
      </c>
      <c r="K104" s="219">
        <f t="array" ref="K104">IFERROR(I104*INDEX('PORTIFÓLIO'!$S$4:$S$433,MATCH($C104,'PORTIFÓLIO'!$C$4:$C$433,0)),"")</f>
        <v/>
      </c>
      <c r="L104" s="219">
        <f t="array" ref="L104">IFERROR(J104*INDEX('PORTIFÓLIO'!$S$4:$S$433,MATCH($C104,'PORTIFÓLIO'!$C$4:$C$433,0)),"")</f>
        <v/>
      </c>
      <c r="M104" s="220" t="n"/>
      <c r="N104" s="220" t="n"/>
      <c r="O104" s="220" t="n"/>
      <c r="P104" s="220" t="n"/>
      <c r="Q104" s="220" t="n"/>
      <c r="R104" s="220" t="n"/>
      <c r="S104" s="220" t="n"/>
      <c r="T104" s="220" t="n"/>
      <c r="U104" s="220" t="n"/>
      <c r="V104" s="220" t="n"/>
      <c r="W104" s="220" t="n"/>
    </row>
    <row r="105" outlineLevel="1" ht="15.75" customHeight="1" s="297">
      <c r="A105" s="211" t="n"/>
      <c r="B105" s="212" t="n"/>
      <c r="C105" s="213" t="n"/>
      <c r="D105" s="214">
        <f>IFERROR(VLOOKUP($C105,'PORTIFÓLIO'!C:V,2,0),"")</f>
        <v/>
      </c>
      <c r="E105" s="211">
        <f>IFERROR(VLOOKUP($C105,'PORTIFÓLIO'!C:V,3,0),"")</f>
        <v/>
      </c>
      <c r="F105" s="211">
        <f>IFERROR(VLOOKUP($C105,'PORTIFÓLIO'!C:V,4,0),"")</f>
        <v/>
      </c>
      <c r="G105" s="215">
        <f>IFERROR(VLOOKUP($C105,'PORTIFÓLIO'!C:V,5,0),"")</f>
        <v/>
      </c>
      <c r="H105" s="254">
        <f t="array" ref="H105">IFERROR(INDEX('PORTIFÓLIO'!$H$4:$H$433,MATCH($C105,'PORTIFÓLIO'!$C$4:$C$433,0)),"")</f>
        <v/>
      </c>
      <c r="I105" s="256" t="n"/>
      <c r="J105" s="218">
        <f>I105*$B$2</f>
        <v/>
      </c>
      <c r="K105" s="219">
        <f t="array" ref="K105">IFERROR(I105*INDEX('PORTIFÓLIO'!$S$4:$S$433,MATCH($C105,'PORTIFÓLIO'!$C$4:$C$433,0)),"")</f>
        <v/>
      </c>
      <c r="L105" s="219">
        <f t="array" ref="L105">IFERROR(J105*INDEX('PORTIFÓLIO'!$S$4:$S$433,MATCH($C105,'PORTIFÓLIO'!$C$4:$C$433,0)),"")</f>
        <v/>
      </c>
      <c r="M105" s="220" t="n"/>
      <c r="N105" s="220" t="n"/>
      <c r="O105" s="220" t="n"/>
      <c r="P105" s="220" t="n"/>
      <c r="Q105" s="220" t="n"/>
      <c r="R105" s="220" t="n"/>
      <c r="S105" s="220" t="n"/>
      <c r="T105" s="220" t="n"/>
      <c r="U105" s="220" t="n"/>
      <c r="V105" s="220" t="n"/>
      <c r="W105" s="220" t="n"/>
    </row>
    <row r="106" outlineLevel="1" ht="15.75" customHeight="1" s="297">
      <c r="A106" s="211" t="n"/>
      <c r="B106" s="212" t="n"/>
      <c r="C106" s="213" t="n"/>
      <c r="D106" s="214">
        <f>IFERROR(VLOOKUP($C106,'PORTIFÓLIO'!C:V,2,0),"")</f>
        <v/>
      </c>
      <c r="E106" s="211">
        <f>IFERROR(VLOOKUP($C106,'PORTIFÓLIO'!C:V,3,0),"")</f>
        <v/>
      </c>
      <c r="F106" s="211">
        <f>IFERROR(VLOOKUP($C106,'PORTIFÓLIO'!C:V,4,0),"")</f>
        <v/>
      </c>
      <c r="G106" s="215">
        <f>IFERROR(VLOOKUP($C106,'PORTIFÓLIO'!C:V,5,0),"")</f>
        <v/>
      </c>
      <c r="H106" s="254">
        <f t="array" ref="H106">IFERROR(INDEX('PORTIFÓLIO'!$H$4:$H$433,MATCH($C106,'PORTIFÓLIO'!$C$4:$C$433,0)),"")</f>
        <v/>
      </c>
      <c r="I106" s="255" t="n"/>
      <c r="J106" s="218">
        <f>I106*$B$2</f>
        <v/>
      </c>
      <c r="K106" s="219">
        <f t="array" ref="K106">IFERROR(I106*INDEX('PORTIFÓLIO'!$S$4:$S$433,MATCH($C106,'PORTIFÓLIO'!$C$4:$C$433,0)),"")</f>
        <v/>
      </c>
      <c r="L106" s="219">
        <f t="array" ref="L106">IFERROR(J106*INDEX('PORTIFÓLIO'!$S$4:$S$433,MATCH($C106,'PORTIFÓLIO'!$C$4:$C$433,0)),"")</f>
        <v/>
      </c>
      <c r="M106" s="220" t="n"/>
      <c r="N106" s="220" t="n"/>
      <c r="O106" s="220" t="n"/>
      <c r="P106" s="220" t="n"/>
      <c r="Q106" s="220" t="n"/>
      <c r="R106" s="220" t="n"/>
      <c r="S106" s="220" t="n"/>
      <c r="T106" s="220" t="n"/>
      <c r="U106" s="220" t="n"/>
      <c r="V106" s="220" t="n"/>
      <c r="W106" s="220" t="n"/>
    </row>
    <row r="107" outlineLevel="1" ht="15.75" customHeight="1" s="297">
      <c r="A107" s="211" t="n"/>
      <c r="B107" s="212" t="n"/>
      <c r="C107" s="213" t="n"/>
      <c r="D107" s="214">
        <f>IFERROR(VLOOKUP($C107,'PORTIFÓLIO'!C:V,2,0),"")</f>
        <v/>
      </c>
      <c r="E107" s="211">
        <f>IFERROR(VLOOKUP($C107,'PORTIFÓLIO'!C:V,3,0),"")</f>
        <v/>
      </c>
      <c r="F107" s="211">
        <f>IFERROR(VLOOKUP($C107,'PORTIFÓLIO'!C:V,4,0),"")</f>
        <v/>
      </c>
      <c r="G107" s="215">
        <f>IFERROR(VLOOKUP($C107,'PORTIFÓLIO'!C:V,5,0),"")</f>
        <v/>
      </c>
      <c r="H107" s="254">
        <f t="array" ref="H107">IFERROR(INDEX('PORTIFÓLIO'!$H$4:$H$433,MATCH($C107,'PORTIFÓLIO'!$C$4:$C$433,0)),"")</f>
        <v/>
      </c>
      <c r="I107" s="256" t="n"/>
      <c r="J107" s="218">
        <f>I107*$B$2</f>
        <v/>
      </c>
      <c r="K107" s="219">
        <f t="array" ref="K107">IFERROR(I107*INDEX('PORTIFÓLIO'!$S$4:$S$433,MATCH($C107,'PORTIFÓLIO'!$C$4:$C$433,0)),"")</f>
        <v/>
      </c>
      <c r="L107" s="219">
        <f t="array" ref="L107">IFERROR(J107*INDEX('PORTIFÓLIO'!$S$4:$S$433,MATCH($C107,'PORTIFÓLIO'!$C$4:$C$433,0)),"")</f>
        <v/>
      </c>
      <c r="M107" s="220" t="n"/>
      <c r="N107" s="220" t="n"/>
      <c r="O107" s="220" t="n"/>
      <c r="P107" s="220" t="n"/>
      <c r="Q107" s="220" t="n"/>
      <c r="R107" s="220" t="n"/>
      <c r="S107" s="220" t="n"/>
      <c r="T107" s="220" t="n"/>
      <c r="U107" s="220" t="n"/>
      <c r="V107" s="220" t="n"/>
      <c r="W107" s="220" t="n"/>
    </row>
    <row r="108" outlineLevel="1" ht="15.75" customHeight="1" s="297">
      <c r="A108" s="211" t="n"/>
      <c r="B108" s="212" t="n"/>
      <c r="C108" s="213" t="n"/>
      <c r="D108" s="214">
        <f>IFERROR(VLOOKUP($C108,'PORTIFÓLIO'!C:V,2,0),"")</f>
        <v/>
      </c>
      <c r="E108" s="211">
        <f>IFERROR(VLOOKUP($C108,'PORTIFÓLIO'!C:V,3,0),"")</f>
        <v/>
      </c>
      <c r="F108" s="211">
        <f>IFERROR(VLOOKUP($C108,'PORTIFÓLIO'!C:V,4,0),"")</f>
        <v/>
      </c>
      <c r="G108" s="215">
        <f>IFERROR(VLOOKUP($C108,'PORTIFÓLIO'!C:V,5,0),"")</f>
        <v/>
      </c>
      <c r="H108" s="254">
        <f t="array" ref="H108">IFERROR(INDEX('PORTIFÓLIO'!$H$4:$H$433,MATCH($C108,'PORTIFÓLIO'!$C$4:$C$433,0)),"")</f>
        <v/>
      </c>
      <c r="I108" s="256" t="n"/>
      <c r="J108" s="218">
        <f>I108*$B$2</f>
        <v/>
      </c>
      <c r="K108" s="219">
        <f t="array" ref="K108">IFERROR(I108*INDEX('PORTIFÓLIO'!$S$4:$S$433,MATCH($C108,'PORTIFÓLIO'!$C$4:$C$433,0)),"")</f>
        <v/>
      </c>
      <c r="L108" s="219">
        <f t="array" ref="L108">IFERROR(J108*INDEX('PORTIFÓLIO'!$S$4:$S$433,MATCH($C108,'PORTIFÓLIO'!$C$4:$C$433,0)),"")</f>
        <v/>
      </c>
      <c r="M108" s="220" t="n"/>
      <c r="N108" s="220" t="n"/>
      <c r="O108" s="220" t="n"/>
      <c r="P108" s="220" t="n"/>
      <c r="Q108" s="220" t="n"/>
      <c r="R108" s="220" t="n"/>
      <c r="S108" s="220" t="n"/>
      <c r="T108" s="220" t="n"/>
      <c r="U108" s="220" t="n"/>
      <c r="V108" s="220" t="n"/>
      <c r="W108" s="220" t="n"/>
    </row>
    <row r="109" outlineLevel="1" ht="15.75" customHeight="1" s="297">
      <c r="A109" s="211" t="n"/>
      <c r="B109" s="212" t="n"/>
      <c r="C109" s="213" t="n"/>
      <c r="D109" s="214">
        <f>IFERROR(VLOOKUP($C109,'PORTIFÓLIO'!C:V,2,0),"")</f>
        <v/>
      </c>
      <c r="E109" s="211">
        <f>IFERROR(VLOOKUP($C109,'PORTIFÓLIO'!C:V,3,0),"")</f>
        <v/>
      </c>
      <c r="F109" s="211">
        <f>IFERROR(VLOOKUP($C109,'PORTIFÓLIO'!C:V,4,0),"")</f>
        <v/>
      </c>
      <c r="G109" s="215">
        <f>IFERROR(VLOOKUP($C109,'PORTIFÓLIO'!C:V,5,0),"")</f>
        <v/>
      </c>
      <c r="H109" s="254">
        <f t="array" ref="H109">IFERROR(INDEX('PORTIFÓLIO'!$H$4:$H$433,MATCH($C109,'PORTIFÓLIO'!$C$4:$C$433,0)),"")</f>
        <v/>
      </c>
      <c r="I109" s="256" t="n"/>
      <c r="J109" s="218">
        <f>I109*$B$2</f>
        <v/>
      </c>
      <c r="K109" s="219">
        <f t="array" ref="K109">IFERROR(I109*INDEX('PORTIFÓLIO'!$S$4:$S$433,MATCH($C109,'PORTIFÓLIO'!$C$4:$C$433,0)),"")</f>
        <v/>
      </c>
      <c r="L109" s="219">
        <f t="array" ref="L109">IFERROR(J109*INDEX('PORTIFÓLIO'!$S$4:$S$433,MATCH($C109,'PORTIFÓLIO'!$C$4:$C$433,0)),"")</f>
        <v/>
      </c>
      <c r="M109" s="220" t="n"/>
      <c r="N109" s="220" t="n"/>
      <c r="O109" s="220" t="n"/>
      <c r="P109" s="220" t="n"/>
      <c r="Q109" s="220" t="n"/>
      <c r="R109" s="220" t="n"/>
      <c r="S109" s="220" t="n"/>
      <c r="T109" s="220" t="n"/>
      <c r="U109" s="220" t="n"/>
      <c r="V109" s="220" t="n"/>
      <c r="W109" s="220" t="n"/>
    </row>
    <row r="110" outlineLevel="1" ht="15.75" customHeight="1" s="297">
      <c r="A110" s="211" t="n"/>
      <c r="B110" s="212" t="n"/>
      <c r="C110" s="213" t="n"/>
      <c r="D110" s="214">
        <f>IFERROR(VLOOKUP($C110,'PORTIFÓLIO'!C:V,2,0),"")</f>
        <v/>
      </c>
      <c r="E110" s="211">
        <f>IFERROR(VLOOKUP($C110,'PORTIFÓLIO'!C:V,3,0),"")</f>
        <v/>
      </c>
      <c r="F110" s="211">
        <f>IFERROR(VLOOKUP($C110,'PORTIFÓLIO'!C:V,4,0),"")</f>
        <v/>
      </c>
      <c r="G110" s="215">
        <f>IFERROR(VLOOKUP($C110,'PORTIFÓLIO'!C:V,5,0),"")</f>
        <v/>
      </c>
      <c r="H110" s="254">
        <f t="array" ref="H110">IFERROR(INDEX('PORTIFÓLIO'!$H$4:$H$433,MATCH($C110,'PORTIFÓLIO'!$C$4:$C$433,0)),"")</f>
        <v/>
      </c>
      <c r="I110" s="256" t="n"/>
      <c r="J110" s="218">
        <f>I110*$B$2</f>
        <v/>
      </c>
      <c r="K110" s="219">
        <f t="array" ref="K110">IFERROR(I110*INDEX('PORTIFÓLIO'!$S$4:$S$433,MATCH($C110,'PORTIFÓLIO'!$C$4:$C$433,0)),"")</f>
        <v/>
      </c>
      <c r="L110" s="219">
        <f t="array" ref="L110">IFERROR(J110*INDEX('PORTIFÓLIO'!$S$4:$S$433,MATCH($C110,'PORTIFÓLIO'!$C$4:$C$433,0)),"")</f>
        <v/>
      </c>
      <c r="M110" s="220" t="n"/>
      <c r="N110" s="220" t="n"/>
      <c r="O110" s="220" t="n"/>
      <c r="P110" s="220" t="n"/>
      <c r="Q110" s="220" t="n"/>
      <c r="R110" s="220" t="n"/>
      <c r="S110" s="220" t="n"/>
      <c r="T110" s="220" t="n"/>
      <c r="U110" s="220" t="n"/>
      <c r="V110" s="220" t="n"/>
      <c r="W110" s="220" t="n"/>
    </row>
    <row r="111" outlineLevel="1" ht="15.75" customHeight="1" s="297">
      <c r="A111" s="211" t="n"/>
      <c r="B111" s="212" t="n"/>
      <c r="C111" s="213" t="n"/>
      <c r="D111" s="214">
        <f>IFERROR(VLOOKUP($C111,'PORTIFÓLIO'!C:V,2,0),"")</f>
        <v/>
      </c>
      <c r="E111" s="211">
        <f>IFERROR(VLOOKUP($C111,'PORTIFÓLIO'!C:V,3,0),"")</f>
        <v/>
      </c>
      <c r="F111" s="211">
        <f>IFERROR(VLOOKUP($C111,'PORTIFÓLIO'!C:V,4,0),"")</f>
        <v/>
      </c>
      <c r="G111" s="215">
        <f>IFERROR(VLOOKUP($C111,'PORTIFÓLIO'!C:V,5,0),"")</f>
        <v/>
      </c>
      <c r="H111" s="254">
        <f t="array" ref="H111">IFERROR(INDEX('PORTIFÓLIO'!$H$4:$H$433,MATCH($C111,'PORTIFÓLIO'!$C$4:$C$433,0)),"")</f>
        <v/>
      </c>
      <c r="I111" s="256" t="n"/>
      <c r="J111" s="218">
        <f>I111*$B$2</f>
        <v/>
      </c>
      <c r="K111" s="219">
        <f t="array" ref="K111">IFERROR(I111*INDEX('PORTIFÓLIO'!$S$4:$S$433,MATCH($C111,'PORTIFÓLIO'!$C$4:$C$433,0)),"")</f>
        <v/>
      </c>
      <c r="L111" s="219">
        <f t="array" ref="L111">IFERROR(J111*INDEX('PORTIFÓLIO'!$S$4:$S$433,MATCH($C111,'PORTIFÓLIO'!$C$4:$C$433,0)),"")</f>
        <v/>
      </c>
      <c r="M111" s="220" t="n"/>
      <c r="N111" s="220" t="n"/>
      <c r="O111" s="220" t="n"/>
      <c r="P111" s="220" t="n"/>
      <c r="Q111" s="220" t="n"/>
      <c r="R111" s="220" t="n"/>
      <c r="S111" s="220" t="n"/>
      <c r="T111" s="220" t="n"/>
      <c r="U111" s="220" t="n"/>
      <c r="V111" s="220" t="n"/>
      <c r="W111" s="220" t="n"/>
    </row>
    <row r="112" outlineLevel="1" ht="15.75" customHeight="1" s="297">
      <c r="A112" s="211" t="n"/>
      <c r="B112" s="212" t="n"/>
      <c r="C112" s="213" t="n"/>
      <c r="D112" s="214">
        <f>IFERROR(VLOOKUP($C112,'PORTIFÓLIO'!C:V,2,0),"")</f>
        <v/>
      </c>
      <c r="E112" s="211">
        <f>IFERROR(VLOOKUP($C112,'PORTIFÓLIO'!C:V,3,0),"")</f>
        <v/>
      </c>
      <c r="F112" s="211">
        <f>IFERROR(VLOOKUP($C112,'PORTIFÓLIO'!C:V,4,0),"")</f>
        <v/>
      </c>
      <c r="G112" s="215">
        <f>IFERROR(VLOOKUP($C112,'PORTIFÓLIO'!C:V,5,0),"")</f>
        <v/>
      </c>
      <c r="H112" s="254">
        <f t="array" ref="H112">IFERROR(INDEX('PORTIFÓLIO'!$H$4:$H$433,MATCH($C112,'PORTIFÓLIO'!$C$4:$C$433,0)),"")</f>
        <v/>
      </c>
      <c r="I112" s="256" t="n"/>
      <c r="J112" s="218">
        <f>I112*$B$2</f>
        <v/>
      </c>
      <c r="K112" s="219">
        <f t="array" ref="K112">IFERROR(I112*INDEX('PORTIFÓLIO'!$S$4:$S$433,MATCH($C112,'PORTIFÓLIO'!$C$4:$C$433,0)),"")</f>
        <v/>
      </c>
      <c r="L112" s="219">
        <f t="array" ref="L112">IFERROR(J112*INDEX('PORTIFÓLIO'!$S$4:$S$433,MATCH($C112,'PORTIFÓLIO'!$C$4:$C$433,0)),"")</f>
        <v/>
      </c>
      <c r="M112" s="220" t="n"/>
      <c r="N112" s="220" t="n"/>
      <c r="O112" s="220" t="n"/>
      <c r="P112" s="220" t="n"/>
      <c r="Q112" s="220" t="n"/>
      <c r="R112" s="220" t="n"/>
      <c r="S112" s="220" t="n"/>
      <c r="T112" s="220" t="n"/>
      <c r="U112" s="220" t="n"/>
      <c r="V112" s="220" t="n"/>
      <c r="W112" s="220" t="n"/>
    </row>
    <row r="113" outlineLevel="1" ht="15.75" customHeight="1" s="297">
      <c r="A113" s="211" t="n"/>
      <c r="B113" s="212" t="n"/>
      <c r="C113" s="211" t="n"/>
      <c r="D113" s="214">
        <f>IFERROR(VLOOKUP($C113,'PORTIFÓLIO'!C:V,2,0),"")</f>
        <v/>
      </c>
      <c r="E113" s="211">
        <f>IFERROR(VLOOKUP($C113,'PORTIFÓLIO'!C:V,3,0),"")</f>
        <v/>
      </c>
      <c r="F113" s="211">
        <f>IFERROR(VLOOKUP($C113,'PORTIFÓLIO'!C:V,4,0),"")</f>
        <v/>
      </c>
      <c r="G113" s="215">
        <f>IFERROR(VLOOKUP($C113,'PORTIFÓLIO'!C:V,5,0),"")</f>
        <v/>
      </c>
      <c r="H113" s="254">
        <f t="array" ref="H113">IFERROR(INDEX('PORTIFÓLIO'!$H$4:$H$433,MATCH($C113,'PORTIFÓLIO'!$C$4:$C$433,0)),"")</f>
        <v/>
      </c>
      <c r="I113" s="256" t="n"/>
      <c r="J113" s="218" t="n"/>
      <c r="K113" s="219">
        <f t="array" ref="K113">IFERROR(I113*INDEX('PORTIFÓLIO'!$S$4:$S$433,MATCH($C113,'PORTIFÓLIO'!$C$4:$C$433,0)),"")</f>
        <v/>
      </c>
      <c r="L113" s="219">
        <f t="array" ref="L113">IFERROR(J113*INDEX('PORTIFÓLIO'!$S$4:$S$433,MATCH($C113,'PORTIFÓLIO'!$C$4:$C$433,0)),"")</f>
        <v/>
      </c>
      <c r="M113" s="220" t="n"/>
      <c r="N113" s="220" t="n"/>
      <c r="O113" s="220" t="n"/>
      <c r="P113" s="220" t="n"/>
      <c r="Q113" s="220" t="n"/>
      <c r="R113" s="220" t="n"/>
      <c r="S113" s="220" t="n"/>
      <c r="T113" s="220" t="n"/>
      <c r="U113" s="220" t="n"/>
      <c r="V113" s="220" t="n"/>
      <c r="W113" s="220" t="n"/>
    </row>
    <row r="114" ht="15.75" customHeight="1" s="297">
      <c r="A114" s="229" t="inlineStr">
        <is>
          <t>OPERAÇÃO 7</t>
        </is>
      </c>
      <c r="B114" s="230" t="n"/>
      <c r="C114" s="231" t="n"/>
      <c r="D114" s="232" t="n"/>
      <c r="E114" s="231" t="n"/>
      <c r="F114" s="231" t="n"/>
      <c r="G114" s="233" t="n"/>
      <c r="H114" s="233" t="n"/>
      <c r="I114" s="258" t="n"/>
      <c r="J114" s="236" t="n"/>
      <c r="K114" s="237">
        <f>SUBTOTAL(9,K115:K128)</f>
        <v/>
      </c>
      <c r="L114" s="237">
        <f>SUBTOTAL(9,L115:L128)</f>
        <v/>
      </c>
      <c r="M114" s="220" t="n"/>
      <c r="N114" s="220" t="n"/>
      <c r="O114" s="220" t="n"/>
      <c r="P114" s="220" t="n"/>
      <c r="Q114" s="220" t="n"/>
      <c r="R114" s="220" t="n"/>
      <c r="S114" s="220" t="n"/>
      <c r="T114" s="220" t="n"/>
      <c r="U114" s="220" t="n"/>
      <c r="V114" s="220" t="n"/>
      <c r="W114" s="220" t="n"/>
    </row>
    <row r="115" outlineLevel="1" ht="15.75" customHeight="1" s="297">
      <c r="A115" s="213" t="n"/>
      <c r="B115" s="212" t="inlineStr">
        <is>
          <t>FUNGICIDA</t>
        </is>
      </c>
      <c r="C115" s="283" t="inlineStr">
        <is>
          <t>FOX XPRO</t>
        </is>
      </c>
      <c r="D115" s="214">
        <f>IFERROR(VLOOKUP($C115,'PORTIFÓLIO'!C:V,2,0),"")</f>
        <v/>
      </c>
      <c r="E115" s="211">
        <f>IFERROR(VLOOKUP($C115,'PORTIFÓLIO'!C:V,3,0),"")</f>
        <v/>
      </c>
      <c r="F115" s="211">
        <f>IFERROR(VLOOKUP($C115,'PORTIFÓLIO'!C:V,4,0),"")</f>
        <v/>
      </c>
      <c r="G115" s="225">
        <f>IFERROR(VLOOKUP($C115,'PORTIFÓLIO'!C:V,5,0),"")</f>
        <v/>
      </c>
      <c r="H115" s="254">
        <f t="array" ref="H115">IFERROR(INDEX('PORTIFÓLIO'!$H$4:$H$433,MATCH($C115,'PORTIFÓLIO'!$C$4:$C$433,0)),"")</f>
        <v/>
      </c>
      <c r="I115" s="255" t="n">
        <v>0.5</v>
      </c>
      <c r="J115" s="218">
        <f>I115*$B$2</f>
        <v/>
      </c>
      <c r="K115" s="219">
        <f t="array" ref="K115">IFERROR(I115*INDEX('PORTIFÓLIO'!$S$4:$S$433,MATCH($C115,'PORTIFÓLIO'!$C$4:$C$433,0)),"")</f>
        <v/>
      </c>
      <c r="L115" s="219">
        <f t="array" ref="L115">IFERROR(J115*INDEX('PORTIFÓLIO'!$S$4:$S$433,MATCH($C115,'PORTIFÓLIO'!$C$4:$C$433,0)),"")</f>
        <v/>
      </c>
      <c r="M115" s="220" t="n"/>
      <c r="N115" s="220" t="n"/>
      <c r="O115" s="220" t="n"/>
      <c r="P115" s="220" t="n"/>
      <c r="Q115" s="220" t="n"/>
      <c r="R115" s="220" t="n"/>
      <c r="S115" s="220" t="n"/>
      <c r="T115" s="220" t="n"/>
      <c r="U115" s="220" t="n"/>
      <c r="V115" s="220" t="n"/>
      <c r="W115" s="220" t="n"/>
    </row>
    <row r="116" outlineLevel="1" ht="15.75" customHeight="1" s="297">
      <c r="A116" s="211" t="n"/>
      <c r="B116" s="212" t="n"/>
      <c r="C116" s="283" t="n"/>
      <c r="D116" s="214">
        <f>IFERROR(VLOOKUP($C116,'PORTIFÓLIO'!C:V,2,0),"")</f>
        <v/>
      </c>
      <c r="E116" s="211">
        <f>IFERROR(VLOOKUP($C116,'PORTIFÓLIO'!C:V,3,0),"")</f>
        <v/>
      </c>
      <c r="F116" s="211">
        <f>IFERROR(VLOOKUP($C116,'PORTIFÓLIO'!C:V,4,0),"")</f>
        <v/>
      </c>
      <c r="G116" s="215">
        <f>IFERROR(VLOOKUP($C116,'PORTIFÓLIO'!C:V,5,0),"")</f>
        <v/>
      </c>
      <c r="H116" s="254">
        <f t="array" ref="H116">IFERROR(INDEX('PORTIFÓLIO'!$H$4:$H$433,MATCH($C116,'PORTIFÓLIO'!$C$4:$C$433,0)),"")</f>
        <v/>
      </c>
      <c r="I116" s="255" t="n"/>
      <c r="J116" s="218">
        <f>I116*$B$2</f>
        <v/>
      </c>
      <c r="K116" s="219">
        <f t="array" ref="K116">IFERROR(I116*INDEX('PORTIFÓLIO'!$S$4:$S$433,MATCH($C116,'PORTIFÓLIO'!$C$4:$C$433,0)),"")</f>
        <v/>
      </c>
      <c r="L116" s="219">
        <f t="array" ref="L116">IFERROR(J116*INDEX('PORTIFÓLIO'!$S$4:$S$433,MATCH($C116,'PORTIFÓLIO'!$C$4:$C$433,0)),"")</f>
        <v/>
      </c>
      <c r="M116" s="220" t="n"/>
      <c r="N116" s="220" t="n"/>
      <c r="O116" s="220" t="n"/>
      <c r="P116" s="220" t="n"/>
      <c r="Q116" s="220" t="n"/>
      <c r="R116" s="220" t="n"/>
      <c r="S116" s="220" t="n"/>
      <c r="T116" s="220" t="n"/>
      <c r="U116" s="220" t="n"/>
      <c r="V116" s="220" t="n"/>
      <c r="W116" s="220" t="n"/>
    </row>
    <row r="117" outlineLevel="1" ht="15.75" customHeight="1" s="297">
      <c r="A117" s="211" t="n"/>
      <c r="B117" s="212" t="inlineStr">
        <is>
          <t>FUNGICIDA</t>
        </is>
      </c>
      <c r="C117" s="283" t="inlineStr">
        <is>
          <t>MANCOZEB CCAB 750 WG</t>
        </is>
      </c>
      <c r="D117" s="214">
        <f>IFERROR(VLOOKUP($C117,'PORTIFÓLIO'!C:V,2,0),"")</f>
        <v/>
      </c>
      <c r="E117" s="211">
        <f>IFERROR(VLOOKUP($C117,'PORTIFÓLIO'!C:V,3,0),"")</f>
        <v/>
      </c>
      <c r="F117" s="211">
        <f>IFERROR(VLOOKUP($C117,'PORTIFÓLIO'!C:V,4,0),"")</f>
        <v/>
      </c>
      <c r="G117" s="225">
        <f>IFERROR(VLOOKUP($C117,'PORTIFÓLIO'!C:V,5,0),"")</f>
        <v/>
      </c>
      <c r="H117" s="254">
        <f t="array" ref="H117">IFERROR(INDEX('PORTIFÓLIO'!$H$4:$H$433,MATCH($C117,'PORTIFÓLIO'!$C$4:$C$433,0)),"")</f>
        <v/>
      </c>
      <c r="I117" s="255" t="n">
        <v>1.5</v>
      </c>
      <c r="J117" s="218">
        <f>I117*$B$2</f>
        <v/>
      </c>
      <c r="K117" s="219">
        <f t="array" ref="K117">IFERROR(I117*INDEX('PORTIFÓLIO'!$S$4:$S$433,MATCH($C117,'PORTIFÓLIO'!$C$4:$C$433,0)),"")</f>
        <v/>
      </c>
      <c r="L117" s="219">
        <f t="array" ref="L117">IFERROR(J117*INDEX('PORTIFÓLIO'!$S$4:$S$433,MATCH($C117,'PORTIFÓLIO'!$C$4:$C$433,0)),"")</f>
        <v/>
      </c>
      <c r="M117" s="220" t="n"/>
      <c r="N117" s="220" t="n"/>
      <c r="O117" s="220" t="n"/>
      <c r="P117" s="220" t="n"/>
      <c r="Q117" s="220" t="n"/>
      <c r="R117" s="220" t="n"/>
      <c r="S117" s="220" t="n"/>
      <c r="T117" s="220" t="n"/>
      <c r="U117" s="220" t="n"/>
      <c r="V117" s="220" t="n"/>
      <c r="W117" s="220" t="n"/>
    </row>
    <row r="118" outlineLevel="1" ht="15.75" customHeight="1" s="297">
      <c r="A118" s="211" t="n"/>
      <c r="B118" s="212" t="inlineStr">
        <is>
          <t>INSETICIDA</t>
        </is>
      </c>
      <c r="C118" s="283" t="inlineStr">
        <is>
          <t>MAGNUM</t>
        </is>
      </c>
      <c r="D118" s="214">
        <f>IFERROR(VLOOKUP($C118,'PORTIFÓLIO'!C:V,2,0),"")</f>
        <v/>
      </c>
      <c r="E118" s="211">
        <f>IFERROR(VLOOKUP($C118,'PORTIFÓLIO'!C:V,3,0),"")</f>
        <v/>
      </c>
      <c r="F118" s="211">
        <f>IFERROR(VLOOKUP($C118,'PORTIFÓLIO'!C:V,4,0),"")</f>
        <v/>
      </c>
      <c r="G118" s="225">
        <f>IFERROR(VLOOKUP($C118,'PORTIFÓLIO'!C:V,5,0),"")</f>
        <v/>
      </c>
      <c r="H118" s="254">
        <f t="array" ref="H118">IFERROR(INDEX('PORTIFÓLIO'!$H$4:$H$433,MATCH($C118,'PORTIFÓLIO'!$C$4:$C$433,0)),"")</f>
        <v/>
      </c>
      <c r="I118" s="255" t="n">
        <v>0.6</v>
      </c>
      <c r="J118" s="218">
        <f>I118*$B$2</f>
        <v/>
      </c>
      <c r="K118" s="219">
        <f t="array" ref="K118">IFERROR(I118*INDEX('PORTIFÓLIO'!$S$4:$S$433,MATCH($C118,'PORTIFÓLIO'!$C$4:$C$433,0)),"")</f>
        <v/>
      </c>
      <c r="L118" s="219">
        <f t="array" ref="L118">IFERROR(J118*INDEX('PORTIFÓLIO'!$S$4:$S$433,MATCH($C118,'PORTIFÓLIO'!$C$4:$C$433,0)),"")</f>
        <v/>
      </c>
      <c r="M118" s="220" t="n"/>
      <c r="N118" s="220" t="n"/>
      <c r="O118" s="220" t="n"/>
      <c r="P118" s="220" t="n"/>
      <c r="Q118" s="220" t="n"/>
      <c r="R118" s="220" t="n"/>
      <c r="S118" s="220" t="n"/>
      <c r="T118" s="220" t="n"/>
      <c r="U118" s="220" t="n"/>
      <c r="V118" s="220" t="n"/>
      <c r="W118" s="220" t="n"/>
    </row>
    <row r="119" outlineLevel="1" ht="15.75" customHeight="1" s="297">
      <c r="A119" s="211" t="n"/>
      <c r="B119" s="212" t="inlineStr">
        <is>
          <t>INSETICIDA</t>
        </is>
      </c>
      <c r="C119" s="283" t="inlineStr">
        <is>
          <t>DIFLUBENZURON CCAB 480 SC</t>
        </is>
      </c>
      <c r="D119" s="214">
        <f>IFERROR(VLOOKUP($C119,'PORTIFÓLIO'!C:V,2,0),"")</f>
        <v/>
      </c>
      <c r="E119" s="211">
        <f>IFERROR(VLOOKUP($C119,'PORTIFÓLIO'!C:V,3,0),"")</f>
        <v/>
      </c>
      <c r="F119" s="211">
        <f>IFERROR(VLOOKUP($C119,'PORTIFÓLIO'!C:V,4,0),"")</f>
        <v/>
      </c>
      <c r="G119" s="225">
        <f>IFERROR(VLOOKUP($C119,'PORTIFÓLIO'!C:V,5,0),"")</f>
        <v/>
      </c>
      <c r="H119" s="254">
        <f t="array" ref="H119">IFERROR(INDEX('PORTIFÓLIO'!$H$4:$H$433,MATCH($C119,'PORTIFÓLIO'!$C$4:$C$433,0)),"")</f>
        <v/>
      </c>
      <c r="I119" s="255" t="n">
        <v>0.05</v>
      </c>
      <c r="J119" s="218">
        <f>I119*$B$2</f>
        <v/>
      </c>
      <c r="K119" s="219">
        <f t="array" ref="K119">IFERROR(I119*INDEX('PORTIFÓLIO'!$S$4:$S$433,MATCH($C119,'PORTIFÓLIO'!$C$4:$C$433,0)),"")</f>
        <v/>
      </c>
      <c r="L119" s="219">
        <f t="array" ref="L119">IFERROR(J119*INDEX('PORTIFÓLIO'!$S$4:$S$433,MATCH($C119,'PORTIFÓLIO'!$C$4:$C$433,0)),"")</f>
        <v/>
      </c>
      <c r="M119" s="220" t="n"/>
      <c r="N119" s="220" t="n"/>
      <c r="O119" s="220" t="n"/>
      <c r="P119" s="220" t="n"/>
      <c r="Q119" s="220" t="n"/>
      <c r="R119" s="220" t="n"/>
      <c r="S119" s="220" t="n"/>
      <c r="T119" s="220" t="n"/>
      <c r="U119" s="220" t="n"/>
      <c r="V119" s="220" t="n"/>
      <c r="W119" s="220" t="n"/>
    </row>
    <row r="120" outlineLevel="1" ht="15.75" customHeight="1" s="297">
      <c r="A120" s="211" t="n"/>
      <c r="B120" s="212" t="inlineStr">
        <is>
          <t>ADJUVANTE</t>
        </is>
      </c>
      <c r="C120" s="213" t="inlineStr">
        <is>
          <t>JOINT ULTRA</t>
        </is>
      </c>
      <c r="D120" s="214">
        <f>IFERROR(VLOOKUP($C120,'PORTIFÓLIO'!C:V,2,0),"")</f>
        <v/>
      </c>
      <c r="E120" s="211">
        <f>IFERROR(VLOOKUP($C120,'PORTIFÓLIO'!C:V,3,0),"")</f>
        <v/>
      </c>
      <c r="F120" s="211">
        <f>IFERROR(VLOOKUP($C120,'PORTIFÓLIO'!C:V,4,0),"")</f>
        <v/>
      </c>
      <c r="G120" s="225">
        <f>IFERROR(VLOOKUP($C120,'PORTIFÓLIO'!C:V,5,0),"")</f>
        <v/>
      </c>
      <c r="H120" s="254">
        <f t="array" ref="H120">IFERROR(INDEX('PORTIFÓLIO'!$H$4:$H$433,MATCH($C120,'PORTIFÓLIO'!$C$4:$C$433,0)),"")</f>
        <v/>
      </c>
      <c r="I120" s="255" t="n">
        <v>0.2</v>
      </c>
      <c r="J120" s="218">
        <f>I120*$B$2</f>
        <v/>
      </c>
      <c r="K120" s="219">
        <f t="array" ref="K120">IFERROR(I120*INDEX('PORTIFÓLIO'!$S$4:$S$433,MATCH($C120,'PORTIFÓLIO'!$C$4:$C$433,0)),"")</f>
        <v/>
      </c>
      <c r="L120" s="219">
        <f t="array" ref="L120">IFERROR(J120*INDEX('PORTIFÓLIO'!$S$4:$S$433,MATCH($C120,'PORTIFÓLIO'!$C$4:$C$433,0)),"")</f>
        <v/>
      </c>
      <c r="M120" s="220" t="n"/>
      <c r="N120" s="220" t="n"/>
      <c r="O120" s="220" t="n"/>
      <c r="P120" s="220" t="n"/>
      <c r="Q120" s="220" t="n"/>
      <c r="R120" s="220" t="n"/>
      <c r="S120" s="220" t="n"/>
      <c r="T120" s="220" t="n"/>
      <c r="U120" s="220" t="n"/>
      <c r="V120" s="220" t="n"/>
      <c r="W120" s="220" t="n"/>
    </row>
    <row r="121" outlineLevel="1" ht="15.75" customHeight="1" s="297">
      <c r="A121" s="211" t="n"/>
      <c r="B121" s="212" t="n"/>
      <c r="C121" s="213" t="n"/>
      <c r="D121" s="214">
        <f>IFERROR(VLOOKUP($C121,'PORTIFÓLIO'!C:V,2,0),"")</f>
        <v/>
      </c>
      <c r="E121" s="211">
        <f>IFERROR(VLOOKUP($C121,'PORTIFÓLIO'!C:V,3,0),"")</f>
        <v/>
      </c>
      <c r="F121" s="211">
        <f>IFERROR(VLOOKUP($C121,'PORTIFÓLIO'!C:V,4,0),"")</f>
        <v/>
      </c>
      <c r="G121" s="215">
        <f>IFERROR(VLOOKUP($C121,'PORTIFÓLIO'!C:V,5,0),"")</f>
        <v/>
      </c>
      <c r="H121" s="254">
        <f t="array" ref="H121">IFERROR(INDEX('PORTIFÓLIO'!$H$4:$H$433,MATCH($C121,'PORTIFÓLIO'!$C$4:$C$433,0)),"")</f>
        <v/>
      </c>
      <c r="I121" s="255" t="n"/>
      <c r="J121" s="218">
        <f>I121*$B$2</f>
        <v/>
      </c>
      <c r="K121" s="219">
        <f t="array" ref="K121">IFERROR(I121*INDEX('PORTIFÓLIO'!$S$4:$S$433,MATCH($C121,'PORTIFÓLIO'!$C$4:$C$433,0)),"")</f>
        <v/>
      </c>
      <c r="L121" s="219">
        <f t="array" ref="L121">IFERROR(J121*INDEX('PORTIFÓLIO'!$S$4:$S$433,MATCH($C121,'PORTIFÓLIO'!$C$4:$C$433,0)),"")</f>
        <v/>
      </c>
      <c r="M121" s="220" t="n"/>
      <c r="N121" s="220" t="n"/>
      <c r="O121" s="220" t="n"/>
      <c r="P121" s="220" t="n"/>
      <c r="Q121" s="220" t="n"/>
      <c r="R121" s="220" t="n"/>
      <c r="S121" s="220" t="n"/>
      <c r="T121" s="220" t="n"/>
      <c r="U121" s="220" t="n"/>
      <c r="V121" s="220" t="n"/>
      <c r="W121" s="220" t="n"/>
    </row>
    <row r="122" outlineLevel="1" ht="15.75" customHeight="1" s="297">
      <c r="A122" s="211" t="n"/>
      <c r="B122" s="212" t="n"/>
      <c r="C122" s="213" t="n"/>
      <c r="D122" s="214">
        <f>IFERROR(VLOOKUP($C122,'PORTIFÓLIO'!C:V,2,0),"")</f>
        <v/>
      </c>
      <c r="E122" s="211">
        <f>IFERROR(VLOOKUP($C122,'PORTIFÓLIO'!C:V,3,0),"")</f>
        <v/>
      </c>
      <c r="F122" s="211">
        <f>IFERROR(VLOOKUP($C122,'PORTIFÓLIO'!C:V,4,0),"")</f>
        <v/>
      </c>
      <c r="G122" s="215">
        <f>IFERROR(VLOOKUP($C122,'PORTIFÓLIO'!C:V,5,0),"")</f>
        <v/>
      </c>
      <c r="H122" s="254">
        <f t="array" ref="H122">IFERROR(INDEX('PORTIFÓLIO'!$H$4:$H$433,MATCH($C122,'PORTIFÓLIO'!$C$4:$C$433,0)),"")</f>
        <v/>
      </c>
      <c r="I122" s="255" t="n"/>
      <c r="J122" s="218">
        <f>I122*$B$2</f>
        <v/>
      </c>
      <c r="K122" s="219">
        <f t="array" ref="K122">IFERROR(I122*INDEX('PORTIFÓLIO'!$S$4:$S$433,MATCH($C122,'PORTIFÓLIO'!$C$4:$C$433,0)),"")</f>
        <v/>
      </c>
      <c r="L122" s="219">
        <f t="array" ref="L122">IFERROR(J122*INDEX('PORTIFÓLIO'!$S$4:$S$433,MATCH($C122,'PORTIFÓLIO'!$C$4:$C$433,0)),"")</f>
        <v/>
      </c>
      <c r="M122" s="220" t="n"/>
      <c r="N122" s="220" t="n"/>
      <c r="O122" s="220" t="n"/>
      <c r="P122" s="220" t="n"/>
      <c r="Q122" s="220" t="n"/>
      <c r="R122" s="220" t="n"/>
      <c r="S122" s="220" t="n"/>
      <c r="T122" s="220" t="n"/>
      <c r="U122" s="220" t="n"/>
      <c r="V122" s="220" t="n"/>
      <c r="W122" s="220" t="n"/>
    </row>
    <row r="123" outlineLevel="1" ht="15.75" customHeight="1" s="297">
      <c r="A123" s="211" t="n"/>
      <c r="B123" s="212" t="n"/>
      <c r="C123" s="213" t="n"/>
      <c r="D123" s="214">
        <f>IFERROR(VLOOKUP($C123,'PORTIFÓLIO'!C:V,2,0),"")</f>
        <v/>
      </c>
      <c r="E123" s="211">
        <f>IFERROR(VLOOKUP($C123,'PORTIFÓLIO'!C:V,3,0),"")</f>
        <v/>
      </c>
      <c r="F123" s="211">
        <f>IFERROR(VLOOKUP($C123,'PORTIFÓLIO'!C:V,4,0),"")</f>
        <v/>
      </c>
      <c r="G123" s="215">
        <f>IFERROR(VLOOKUP($C123,'PORTIFÓLIO'!C:V,5,0),"")</f>
        <v/>
      </c>
      <c r="H123" s="254">
        <f t="array" ref="H123">IFERROR(INDEX('PORTIFÓLIO'!$H$4:$H$433,MATCH($C123,'PORTIFÓLIO'!$C$4:$C$433,0)),"")</f>
        <v/>
      </c>
      <c r="I123" s="255" t="n"/>
      <c r="J123" s="218">
        <f>I123*$B$2</f>
        <v/>
      </c>
      <c r="K123" s="219">
        <f t="array" ref="K123">IFERROR(I123*INDEX('PORTIFÓLIO'!$S$4:$S$433,MATCH($C123,'PORTIFÓLIO'!$C$4:$C$433,0)),"")</f>
        <v/>
      </c>
      <c r="L123" s="219">
        <f t="array" ref="L123">IFERROR(J123*INDEX('PORTIFÓLIO'!$S$4:$S$433,MATCH($C123,'PORTIFÓLIO'!$C$4:$C$433,0)),"")</f>
        <v/>
      </c>
      <c r="M123" s="220" t="n"/>
      <c r="N123" s="220" t="n"/>
      <c r="O123" s="220" t="n"/>
      <c r="P123" s="220" t="n"/>
      <c r="Q123" s="220" t="n"/>
      <c r="R123" s="220" t="n"/>
      <c r="S123" s="220" t="n"/>
      <c r="T123" s="220" t="n"/>
      <c r="U123" s="220" t="n"/>
      <c r="V123" s="220" t="n"/>
      <c r="W123" s="220" t="n"/>
    </row>
    <row r="124" outlineLevel="1" ht="15.75" customHeight="1" s="297">
      <c r="A124" s="211" t="n"/>
      <c r="B124" s="212" t="n"/>
      <c r="C124" s="213" t="n"/>
      <c r="D124" s="214">
        <f>IFERROR(VLOOKUP($C124,'PORTIFÓLIO'!C:V,2,0),"")</f>
        <v/>
      </c>
      <c r="E124" s="211">
        <f>IFERROR(VLOOKUP($C124,'PORTIFÓLIO'!C:V,3,0),"")</f>
        <v/>
      </c>
      <c r="F124" s="211">
        <f>IFERROR(VLOOKUP($C124,'PORTIFÓLIO'!C:V,4,0),"")</f>
        <v/>
      </c>
      <c r="G124" s="215">
        <f>IFERROR(VLOOKUP($C124,'PORTIFÓLIO'!C:V,5,0),"")</f>
        <v/>
      </c>
      <c r="H124" s="254">
        <f t="array" ref="H124">IFERROR(INDEX('PORTIFÓLIO'!$H$4:$H$433,MATCH($C124,'PORTIFÓLIO'!$C$4:$C$433,0)),"")</f>
        <v/>
      </c>
      <c r="I124" s="256" t="n"/>
      <c r="J124" s="218">
        <f>I124*$B$2</f>
        <v/>
      </c>
      <c r="K124" s="219">
        <f t="array" ref="K124">IFERROR(I124*INDEX('PORTIFÓLIO'!$S$4:$S$433,MATCH($C124,'PORTIFÓLIO'!$C$4:$C$433,0)),"")</f>
        <v/>
      </c>
      <c r="L124" s="219">
        <f t="array" ref="L124">IFERROR(J124*INDEX('PORTIFÓLIO'!$S$4:$S$433,MATCH($C124,'PORTIFÓLIO'!$C$4:$C$433,0)),"")</f>
        <v/>
      </c>
      <c r="M124" s="220" t="n"/>
      <c r="N124" s="220" t="n"/>
      <c r="O124" s="220" t="n"/>
      <c r="P124" s="220" t="n"/>
      <c r="Q124" s="220" t="n"/>
      <c r="R124" s="220" t="n"/>
      <c r="S124" s="220" t="n"/>
      <c r="T124" s="220" t="n"/>
      <c r="U124" s="220" t="n"/>
      <c r="V124" s="220" t="n"/>
      <c r="W124" s="220" t="n"/>
    </row>
    <row r="125" outlineLevel="1" ht="15.75" customHeight="1" s="297">
      <c r="A125" s="211" t="n"/>
      <c r="B125" s="212" t="n"/>
      <c r="C125" s="213" t="n"/>
      <c r="D125" s="214">
        <f>IFERROR(VLOOKUP($C125,'PORTIFÓLIO'!C:V,2,0),"")</f>
        <v/>
      </c>
      <c r="E125" s="211">
        <f>IFERROR(VLOOKUP($C125,'PORTIFÓLIO'!C:V,3,0),"")</f>
        <v/>
      </c>
      <c r="F125" s="211">
        <f>IFERROR(VLOOKUP($C125,'PORTIFÓLIO'!C:V,4,0),"")</f>
        <v/>
      </c>
      <c r="G125" s="215">
        <f>IFERROR(VLOOKUP($C125,'PORTIFÓLIO'!C:V,5,0),"")</f>
        <v/>
      </c>
      <c r="H125" s="254">
        <f t="array" ref="H125">IFERROR(INDEX('PORTIFÓLIO'!$H$4:$H$433,MATCH($C125,'PORTIFÓLIO'!$C$4:$C$433,0)),"")</f>
        <v/>
      </c>
      <c r="I125" s="256" t="n"/>
      <c r="J125" s="218">
        <f>I125*$B$2</f>
        <v/>
      </c>
      <c r="K125" s="219">
        <f t="array" ref="K125">IFERROR(I125*INDEX('PORTIFÓLIO'!$S$4:$S$433,MATCH($C125,'PORTIFÓLIO'!$C$4:$C$433,0)),"")</f>
        <v/>
      </c>
      <c r="L125" s="219">
        <f t="array" ref="L125">IFERROR(J125*INDEX('PORTIFÓLIO'!$S$4:$S$433,MATCH($C125,'PORTIFÓLIO'!$C$4:$C$433,0)),"")</f>
        <v/>
      </c>
      <c r="M125" s="220" t="n"/>
      <c r="N125" s="220" t="n"/>
      <c r="O125" s="220" t="n"/>
      <c r="P125" s="220" t="n"/>
      <c r="Q125" s="220" t="n"/>
      <c r="R125" s="220" t="n"/>
      <c r="S125" s="220" t="n"/>
      <c r="T125" s="220" t="n"/>
      <c r="U125" s="220" t="n"/>
      <c r="V125" s="220" t="n"/>
      <c r="W125" s="220" t="n"/>
    </row>
    <row r="126" outlineLevel="1" ht="15.75" customHeight="1" s="297">
      <c r="A126" s="211" t="n"/>
      <c r="B126" s="212" t="n"/>
      <c r="C126" s="213" t="n"/>
      <c r="D126" s="214">
        <f>IFERROR(VLOOKUP($C126,'PORTIFÓLIO'!C:V,2,0),"")</f>
        <v/>
      </c>
      <c r="E126" s="211">
        <f>IFERROR(VLOOKUP($C126,'PORTIFÓLIO'!C:V,3,0),"")</f>
        <v/>
      </c>
      <c r="F126" s="211">
        <f>IFERROR(VLOOKUP($C126,'PORTIFÓLIO'!C:V,4,0),"")</f>
        <v/>
      </c>
      <c r="G126" s="215">
        <f>IFERROR(VLOOKUP($C126,'PORTIFÓLIO'!C:V,5,0),"")</f>
        <v/>
      </c>
      <c r="H126" s="254">
        <f t="array" ref="H126">IFERROR(INDEX('PORTIFÓLIO'!$H$4:$H$433,MATCH($C126,'PORTIFÓLIO'!$C$4:$C$433,0)),"")</f>
        <v/>
      </c>
      <c r="I126" s="256" t="n"/>
      <c r="J126" s="218">
        <f>I126*$B$2</f>
        <v/>
      </c>
      <c r="K126" s="219">
        <f t="array" ref="K126">IFERROR(I126*INDEX('PORTIFÓLIO'!$S$4:$S$433,MATCH($C126,'PORTIFÓLIO'!$C$4:$C$433,0)),"")</f>
        <v/>
      </c>
      <c r="L126" s="219">
        <f t="array" ref="L126">IFERROR(J126*INDEX('PORTIFÓLIO'!$S$4:$S$433,MATCH($C126,'PORTIFÓLIO'!$C$4:$C$433,0)),"")</f>
        <v/>
      </c>
      <c r="M126" s="220" t="n"/>
      <c r="N126" s="220" t="n"/>
      <c r="O126" s="220" t="n"/>
      <c r="P126" s="220" t="n"/>
      <c r="Q126" s="220" t="n"/>
      <c r="R126" s="220" t="n"/>
      <c r="S126" s="220" t="n"/>
      <c r="T126" s="220" t="n"/>
      <c r="U126" s="220" t="n"/>
      <c r="V126" s="220" t="n"/>
      <c r="W126" s="220" t="n"/>
    </row>
    <row r="127" outlineLevel="1" ht="15.75" customHeight="1" s="297">
      <c r="A127" s="211" t="n"/>
      <c r="B127" s="212" t="n"/>
      <c r="C127" s="213" t="n"/>
      <c r="D127" s="214">
        <f>IFERROR(VLOOKUP($C127,'PORTIFÓLIO'!C:V,2,0),"")</f>
        <v/>
      </c>
      <c r="E127" s="211">
        <f>IFERROR(VLOOKUP($C127,'PORTIFÓLIO'!C:V,3,0),"")</f>
        <v/>
      </c>
      <c r="F127" s="211">
        <f>IFERROR(VLOOKUP($C127,'PORTIFÓLIO'!C:V,4,0),"")</f>
        <v/>
      </c>
      <c r="G127" s="215">
        <f>IFERROR(VLOOKUP($C127,'PORTIFÓLIO'!C:V,5,0),"")</f>
        <v/>
      </c>
      <c r="H127" s="254">
        <f t="array" ref="H127">IFERROR(INDEX('PORTIFÓLIO'!$H$4:$H$433,MATCH($C127,'PORTIFÓLIO'!$C$4:$C$433,0)),"")</f>
        <v/>
      </c>
      <c r="I127" s="256" t="n"/>
      <c r="J127" s="218">
        <f>I127*$B$2</f>
        <v/>
      </c>
      <c r="K127" s="219">
        <f t="array" ref="K127">IFERROR(I127*INDEX('PORTIFÓLIO'!$S$4:$S$433,MATCH($C127,'PORTIFÓLIO'!$C$4:$C$433,0)),"")</f>
        <v/>
      </c>
      <c r="L127" s="219">
        <f t="array" ref="L127">IFERROR(J127*INDEX('PORTIFÓLIO'!$S$4:$S$433,MATCH($C127,'PORTIFÓLIO'!$C$4:$C$433,0)),"")</f>
        <v/>
      </c>
      <c r="M127" s="220" t="n"/>
      <c r="N127" s="220" t="n"/>
      <c r="O127" s="220" t="n"/>
      <c r="P127" s="220" t="n"/>
      <c r="Q127" s="220" t="n"/>
      <c r="R127" s="220" t="n"/>
      <c r="S127" s="220" t="n"/>
      <c r="T127" s="220" t="n"/>
      <c r="U127" s="220" t="n"/>
      <c r="V127" s="220" t="n"/>
      <c r="W127" s="220" t="n"/>
    </row>
    <row r="128" outlineLevel="1" ht="15.75" customHeight="1" s="297">
      <c r="A128" s="211" t="n"/>
      <c r="B128" s="212" t="n"/>
      <c r="C128" s="213" t="n"/>
      <c r="D128" s="214">
        <f>IFERROR(VLOOKUP($C128,'PORTIFÓLIO'!C:V,2,0),"")</f>
        <v/>
      </c>
      <c r="E128" s="211">
        <f>IFERROR(VLOOKUP($C128,'PORTIFÓLIO'!C:V,3,0),"")</f>
        <v/>
      </c>
      <c r="F128" s="211">
        <f>IFERROR(VLOOKUP($C128,'PORTIFÓLIO'!C:V,4,0),"")</f>
        <v/>
      </c>
      <c r="G128" s="215">
        <f>IFERROR(VLOOKUP($C128,'PORTIFÓLIO'!C:V,5,0),"")</f>
        <v/>
      </c>
      <c r="H128" s="254">
        <f t="array" ref="H128">IFERROR(INDEX('PORTIFÓLIO'!$H$4:$H$433,MATCH($C128,'PORTIFÓLIO'!$C$4:$C$433,0)),"")</f>
        <v/>
      </c>
      <c r="I128" s="256" t="n"/>
      <c r="J128" s="218">
        <f>I128*$B$2</f>
        <v/>
      </c>
      <c r="K128" s="219">
        <f t="array" ref="K128">IFERROR(I128*INDEX('PORTIFÓLIO'!$S$4:$S$433,MATCH($C128,'PORTIFÓLIO'!$C$4:$C$433,0)),"")</f>
        <v/>
      </c>
      <c r="L128" s="219">
        <f t="array" ref="L128">IFERROR(J128*INDEX('PORTIFÓLIO'!$S$4:$S$433,MATCH($C128,'PORTIFÓLIO'!$C$4:$C$433,0)),"")</f>
        <v/>
      </c>
      <c r="M128" s="220" t="n"/>
      <c r="N128" s="220" t="n"/>
      <c r="O128" s="220" t="n"/>
      <c r="P128" s="220" t="n"/>
      <c r="Q128" s="220" t="n"/>
      <c r="R128" s="220" t="n"/>
      <c r="S128" s="220" t="n"/>
      <c r="T128" s="220" t="n"/>
      <c r="U128" s="220" t="n"/>
      <c r="V128" s="220" t="n"/>
      <c r="W128" s="220" t="n"/>
    </row>
    <row r="129" outlineLevel="1" ht="15.75" customHeight="1" s="297">
      <c r="A129" s="211" t="n"/>
      <c r="B129" s="212" t="n"/>
      <c r="C129" s="213" t="n"/>
      <c r="D129" s="214">
        <f>IFERROR(VLOOKUP($C129,'PORTIFÓLIO'!C:V,2,0),"")</f>
        <v/>
      </c>
      <c r="E129" s="211">
        <f>IFERROR(VLOOKUP($C129,'PORTIFÓLIO'!C:V,3,0),"")</f>
        <v/>
      </c>
      <c r="F129" s="211">
        <f>IFERROR(VLOOKUP($C129,'PORTIFÓLIO'!C:V,4,0),"")</f>
        <v/>
      </c>
      <c r="G129" s="215">
        <f>IFERROR(VLOOKUP($C129,'PORTIFÓLIO'!C:V,5,0),"")</f>
        <v/>
      </c>
      <c r="H129" s="254">
        <f t="array" ref="H129">IFERROR(INDEX('PORTIFÓLIO'!$H$4:$H$433,MATCH($C129,'PORTIFÓLIO'!$C$4:$C$433,0)),"")</f>
        <v/>
      </c>
      <c r="I129" s="256" t="n"/>
      <c r="J129" s="218">
        <f>I129*$B$2</f>
        <v/>
      </c>
      <c r="K129" s="219">
        <f t="array" ref="K129">IFERROR(I129*INDEX('PORTIFÓLIO'!$S$4:$S$433,MATCH($C129,'PORTIFÓLIO'!$C$4:$C$433,0)),"")</f>
        <v/>
      </c>
      <c r="L129" s="219">
        <f t="array" ref="L129">IFERROR(J129*INDEX('PORTIFÓLIO'!$S$4:$S$433,MATCH($C129,'PORTIFÓLIO'!$C$4:$C$433,0)),"")</f>
        <v/>
      </c>
      <c r="M129" s="220" t="n"/>
      <c r="N129" s="220" t="n"/>
      <c r="O129" s="220" t="n"/>
      <c r="P129" s="220" t="n"/>
      <c r="Q129" s="220" t="n"/>
      <c r="R129" s="220" t="n"/>
      <c r="S129" s="220" t="n"/>
      <c r="T129" s="220" t="n"/>
      <c r="U129" s="220" t="n"/>
      <c r="V129" s="220" t="n"/>
      <c r="W129" s="220" t="n"/>
    </row>
    <row r="130" outlineLevel="1" ht="15.75" customHeight="1" s="297">
      <c r="A130" s="211" t="n"/>
      <c r="B130" s="227" t="n"/>
      <c r="C130" s="211" t="n"/>
      <c r="D130" s="214">
        <f>IFERROR(VLOOKUP($C130,'PORTIFÓLIO'!C:V,2,0),"")</f>
        <v/>
      </c>
      <c r="E130" s="211">
        <f>IFERROR(VLOOKUP($C130,'PORTIFÓLIO'!C:V,3,0),"")</f>
        <v/>
      </c>
      <c r="F130" s="211">
        <f>IFERROR(VLOOKUP($C130,'PORTIFÓLIO'!C:V,4,0),"")</f>
        <v/>
      </c>
      <c r="G130" s="215">
        <f>IFERROR(VLOOKUP($C130,'PORTIFÓLIO'!C:V,5,0),"")</f>
        <v/>
      </c>
      <c r="H130" s="254">
        <f t="array" ref="H130">IFERROR(INDEX('PORTIFÓLIO'!$H$4:$H$433,MATCH($C130,'PORTIFÓLIO'!$C$4:$C$433,0)),"")</f>
        <v/>
      </c>
      <c r="I130" s="256" t="n"/>
      <c r="J130" s="218" t="n"/>
      <c r="K130" s="219">
        <f t="array" ref="K130">IFERROR(I130*INDEX('PORTIFÓLIO'!$S$4:$S$433,MATCH($C130,'PORTIFÓLIO'!$C$4:$C$433,0)),"")</f>
        <v/>
      </c>
      <c r="L130" s="219">
        <f t="array" ref="L130">IFERROR(J130*INDEX('PORTIFÓLIO'!$S$4:$S$433,MATCH($C130,'PORTIFÓLIO'!$C$4:$C$433,0)),"")</f>
        <v/>
      </c>
      <c r="M130" s="220" t="n"/>
      <c r="N130" s="220" t="n"/>
      <c r="O130" s="220" t="n"/>
      <c r="P130" s="220" t="n"/>
      <c r="Q130" s="220" t="n"/>
      <c r="R130" s="220" t="n"/>
      <c r="S130" s="220" t="n"/>
      <c r="T130" s="220" t="n"/>
      <c r="U130" s="220" t="n"/>
      <c r="V130" s="220" t="n"/>
      <c r="W130" s="220" t="n"/>
    </row>
    <row r="131" ht="15.75" customHeight="1" s="297">
      <c r="A131" s="229" t="inlineStr">
        <is>
          <t>OPERAÇÃO 8</t>
        </is>
      </c>
      <c r="B131" s="230" t="n"/>
      <c r="C131" s="231" t="n"/>
      <c r="D131" s="232" t="n"/>
      <c r="E131" s="231" t="n"/>
      <c r="F131" s="231" t="n"/>
      <c r="G131" s="233" t="n"/>
      <c r="H131" s="233" t="n"/>
      <c r="I131" s="258" t="n"/>
      <c r="J131" s="236" t="n"/>
      <c r="K131" s="237">
        <f>SUBTOTAL(9,K132:K145)</f>
        <v/>
      </c>
      <c r="L131" s="237">
        <f>SUBTOTAL(9,L132:L145)</f>
        <v/>
      </c>
      <c r="M131" s="220" t="n"/>
      <c r="N131" s="220" t="n"/>
      <c r="O131" s="220" t="n"/>
      <c r="P131" s="220" t="n"/>
      <c r="Q131" s="220" t="n"/>
      <c r="R131" s="220" t="n"/>
      <c r="S131" s="220" t="n"/>
      <c r="T131" s="220" t="n"/>
      <c r="U131" s="220" t="n"/>
      <c r="V131" s="220" t="n"/>
      <c r="W131" s="220" t="n"/>
    </row>
    <row r="132" outlineLevel="1" ht="15.75" customHeight="1" s="297">
      <c r="A132" s="213" t="n"/>
      <c r="B132" s="212" t="inlineStr">
        <is>
          <t>FUNGICIDA</t>
        </is>
      </c>
      <c r="C132" s="213" t="inlineStr">
        <is>
          <t>APROACH POWER</t>
        </is>
      </c>
      <c r="D132" s="214">
        <f>IFERROR(VLOOKUP($C132,'PORTIFÓLIO'!C:V,2,0),"")</f>
        <v/>
      </c>
      <c r="E132" s="211">
        <f>IFERROR(VLOOKUP($C132,'PORTIFÓLIO'!C:V,3,0),"")</f>
        <v/>
      </c>
      <c r="F132" s="211">
        <f>IFERROR(VLOOKUP($C132,'PORTIFÓLIO'!C:V,4,0),"")</f>
        <v/>
      </c>
      <c r="G132" s="225">
        <f>IFERROR(VLOOKUP($C132,'PORTIFÓLIO'!C:V,5,0),"")</f>
        <v/>
      </c>
      <c r="H132" s="254">
        <f t="array" ref="H132">IFERROR(INDEX('PORTIFÓLIO'!$H$4:$H$433,MATCH($C132,'PORTIFÓLIO'!$C$4:$C$433,0)),"")</f>
        <v/>
      </c>
      <c r="I132" s="255" t="n">
        <v>0.6</v>
      </c>
      <c r="J132" s="218">
        <f>I132*$B$2</f>
        <v/>
      </c>
      <c r="K132" s="219">
        <f t="array" ref="K132">IFERROR(I132*INDEX('PORTIFÓLIO'!$S$4:$S$433,MATCH($C132,'PORTIFÓLIO'!$C$4:$C$433,0)),"")</f>
        <v/>
      </c>
      <c r="L132" s="219">
        <f t="array" ref="L132">IFERROR(J132*INDEX('PORTIFÓLIO'!$S$4:$S$433,MATCH($C132,'PORTIFÓLIO'!$C$4:$C$433,0)),"")</f>
        <v/>
      </c>
      <c r="M132" s="220" t="n"/>
      <c r="N132" s="220" t="n"/>
      <c r="O132" s="220" t="n"/>
      <c r="P132" s="220" t="n"/>
      <c r="Q132" s="220" t="n"/>
      <c r="R132" s="220" t="n"/>
      <c r="S132" s="220" t="n"/>
      <c r="T132" s="220" t="n"/>
      <c r="U132" s="220" t="n"/>
      <c r="V132" s="220" t="n"/>
      <c r="W132" s="220" t="n"/>
    </row>
    <row r="133" outlineLevel="1" ht="15.75" customHeight="1" s="297">
      <c r="A133" s="211" t="n"/>
      <c r="B133" s="212" t="inlineStr">
        <is>
          <t>FUNGICIDA</t>
        </is>
      </c>
      <c r="C133" s="213" t="inlineStr">
        <is>
          <t>MANCOZEB CCAB 750 WG</t>
        </is>
      </c>
      <c r="D133" s="214">
        <f>IFERROR(VLOOKUP($C133,'PORTIFÓLIO'!C:V,2,0),"")</f>
        <v/>
      </c>
      <c r="E133" s="211">
        <f>IFERROR(VLOOKUP($C133,'PORTIFÓLIO'!C:V,3,0),"")</f>
        <v/>
      </c>
      <c r="F133" s="211">
        <f>IFERROR(VLOOKUP($C133,'PORTIFÓLIO'!C:V,4,0),"")</f>
        <v/>
      </c>
      <c r="G133" s="225">
        <f>IFERROR(VLOOKUP($C133,'PORTIFÓLIO'!C:V,5,0),"")</f>
        <v/>
      </c>
      <c r="H133" s="254">
        <f t="array" ref="H133">IFERROR(INDEX('PORTIFÓLIO'!$H$4:$H$433,MATCH($C133,'PORTIFÓLIO'!$C$4:$C$433,0)),"")</f>
        <v/>
      </c>
      <c r="I133" s="255" t="n">
        <v>1.5</v>
      </c>
      <c r="J133" s="218">
        <f>I133*$B$2</f>
        <v/>
      </c>
      <c r="K133" s="219">
        <f t="array" ref="K133">IFERROR(I133*INDEX('PORTIFÓLIO'!$S$4:$S$433,MATCH($C133,'PORTIFÓLIO'!$C$4:$C$433,0)),"")</f>
        <v/>
      </c>
      <c r="L133" s="219">
        <f t="array" ref="L133">IFERROR(J133*INDEX('PORTIFÓLIO'!$S$4:$S$433,MATCH($C133,'PORTIFÓLIO'!$C$4:$C$433,0)),"")</f>
        <v/>
      </c>
      <c r="M133" s="220" t="n"/>
      <c r="N133" s="220" t="n"/>
      <c r="O133" s="220" t="n"/>
      <c r="P133" s="220" t="n"/>
      <c r="Q133" s="220" t="n"/>
      <c r="R133" s="220" t="n"/>
      <c r="S133" s="220" t="n"/>
      <c r="T133" s="220" t="n"/>
      <c r="U133" s="220" t="n"/>
      <c r="V133" s="220" t="n"/>
      <c r="W133" s="220" t="n"/>
    </row>
    <row r="134" outlineLevel="1" ht="15.75" customHeight="1" s="297">
      <c r="A134" s="211" t="n"/>
      <c r="B134" s="212" t="inlineStr">
        <is>
          <t>INSETICIDA</t>
        </is>
      </c>
      <c r="C134" s="213" t="inlineStr">
        <is>
          <t>ENGEO PLENO S</t>
        </is>
      </c>
      <c r="D134" s="214">
        <f>IFERROR(VLOOKUP($C134,'PORTIFÓLIO'!C:V,2,0),"")</f>
        <v/>
      </c>
      <c r="E134" s="211">
        <f>IFERROR(VLOOKUP($C134,'PORTIFÓLIO'!C:V,3,0),"")</f>
        <v/>
      </c>
      <c r="F134" s="211">
        <f>IFERROR(VLOOKUP($C134,'PORTIFÓLIO'!C:V,4,0),"")</f>
        <v/>
      </c>
      <c r="G134" s="225">
        <f>IFERROR(VLOOKUP($C134,'PORTIFÓLIO'!C:V,5,0),"")</f>
        <v/>
      </c>
      <c r="H134" s="254">
        <f t="array" ref="H134">IFERROR(INDEX('PORTIFÓLIO'!$H$4:$H$433,MATCH($C134,'PORTIFÓLIO'!$C$4:$C$433,0)),"")</f>
        <v/>
      </c>
      <c r="I134" s="255" t="n">
        <v>0.2</v>
      </c>
      <c r="J134" s="218">
        <f>I134*$B$2</f>
        <v/>
      </c>
      <c r="K134" s="219">
        <f t="array" ref="K134">IFERROR(I134*INDEX('PORTIFÓLIO'!$S$4:$S$433,MATCH($C134,'PORTIFÓLIO'!$C$4:$C$433,0)),"")</f>
        <v/>
      </c>
      <c r="L134" s="219">
        <f t="array" ref="L134">IFERROR(J134*INDEX('PORTIFÓLIO'!$S$4:$S$433,MATCH($C134,'PORTIFÓLIO'!$C$4:$C$433,0)),"")</f>
        <v/>
      </c>
      <c r="M134" s="220" t="n"/>
      <c r="N134" s="220" t="n"/>
      <c r="O134" s="220" t="n"/>
      <c r="P134" s="220" t="n"/>
      <c r="Q134" s="220" t="n"/>
      <c r="R134" s="220" t="n"/>
      <c r="S134" s="220" t="n"/>
      <c r="T134" s="220" t="n"/>
      <c r="U134" s="220" t="n"/>
      <c r="V134" s="220" t="n"/>
      <c r="W134" s="220" t="n"/>
    </row>
    <row r="135" outlineLevel="1" ht="15.75" customHeight="1" s="297">
      <c r="A135" s="211" t="n"/>
      <c r="B135" s="212" t="inlineStr">
        <is>
          <t>ADJUVANTE</t>
        </is>
      </c>
      <c r="C135" s="213" t="inlineStr">
        <is>
          <t>JOINT ULTRA</t>
        </is>
      </c>
      <c r="D135" s="214">
        <f>IFERROR(VLOOKUP($C135,'PORTIFÓLIO'!C:V,2,0),"")</f>
        <v/>
      </c>
      <c r="E135" s="211">
        <f>IFERROR(VLOOKUP($C135,'PORTIFÓLIO'!C:V,3,0),"")</f>
        <v/>
      </c>
      <c r="F135" s="211">
        <f>IFERROR(VLOOKUP($C135,'PORTIFÓLIO'!C:V,4,0),"")</f>
        <v/>
      </c>
      <c r="G135" s="225">
        <f>IFERROR(VLOOKUP($C135,'PORTIFÓLIO'!C:V,5,0),"")</f>
        <v/>
      </c>
      <c r="H135" s="254">
        <f t="array" ref="H135">IFERROR(INDEX('PORTIFÓLIO'!$H$4:$H$433,MATCH($C135,'PORTIFÓLIO'!$C$4:$C$433,0)),"")</f>
        <v/>
      </c>
      <c r="I135" s="255" t="n">
        <v>0.2</v>
      </c>
      <c r="J135" s="218">
        <f>I135*$B$2</f>
        <v/>
      </c>
      <c r="K135" s="219">
        <f t="array" ref="K135">IFERROR(I135*INDEX('PORTIFÓLIO'!$S$4:$S$433,MATCH($C135,'PORTIFÓLIO'!$C$4:$C$433,0)),"")</f>
        <v/>
      </c>
      <c r="L135" s="219">
        <f t="array" ref="L135">IFERROR(J135*INDEX('PORTIFÓLIO'!$S$4:$S$433,MATCH($C135,'PORTIFÓLIO'!$C$4:$C$433,0)),"")</f>
        <v/>
      </c>
      <c r="M135" s="220" t="n"/>
      <c r="N135" s="220" t="n"/>
      <c r="O135" s="220" t="n"/>
      <c r="P135" s="220" t="n"/>
      <c r="Q135" s="220" t="n"/>
      <c r="R135" s="220" t="n"/>
      <c r="S135" s="220" t="n"/>
      <c r="T135" s="220" t="n"/>
      <c r="U135" s="220" t="n"/>
      <c r="V135" s="220" t="n"/>
      <c r="W135" s="220" t="n"/>
    </row>
    <row r="136" outlineLevel="1" ht="15.75" customHeight="1" s="297">
      <c r="A136" s="211" t="n"/>
      <c r="B136" s="212" t="n"/>
      <c r="C136" s="213" t="n"/>
      <c r="D136" s="214">
        <f>IFERROR(VLOOKUP($C136,'PORTIFÓLIO'!C:V,2,0),"")</f>
        <v/>
      </c>
      <c r="E136" s="211">
        <f>IFERROR(VLOOKUP($C136,'PORTIFÓLIO'!C:V,3,0),"")</f>
        <v/>
      </c>
      <c r="F136" s="211">
        <f>IFERROR(VLOOKUP($C136,'PORTIFÓLIO'!C:V,4,0),"")</f>
        <v/>
      </c>
      <c r="G136" s="215">
        <f>IFERROR(VLOOKUP($C136,'PORTIFÓLIO'!C:V,5,0),"")</f>
        <v/>
      </c>
      <c r="H136" s="254">
        <f t="array" ref="H136">IFERROR(INDEX('PORTIFÓLIO'!$H$4:$H$433,MATCH($C136,'PORTIFÓLIO'!$C$4:$C$433,0)),"")</f>
        <v/>
      </c>
      <c r="I136" s="256" t="n"/>
      <c r="J136" s="218">
        <f>I136*$B$2</f>
        <v/>
      </c>
      <c r="K136" s="219">
        <f t="array" ref="K136">IFERROR(I136*INDEX('PORTIFÓLIO'!$S$4:$S$433,MATCH($C136,'PORTIFÓLIO'!$C$4:$C$433,0)),"")</f>
        <v/>
      </c>
      <c r="L136" s="219">
        <f t="array" ref="L136">IFERROR(J136*INDEX('PORTIFÓLIO'!$S$4:$S$433,MATCH($C136,'PORTIFÓLIO'!$C$4:$C$433,0)),"")</f>
        <v/>
      </c>
      <c r="M136" s="220" t="n"/>
      <c r="N136" s="220" t="n"/>
      <c r="O136" s="220" t="n"/>
      <c r="P136" s="220" t="n"/>
      <c r="Q136" s="220" t="n"/>
      <c r="R136" s="220" t="n"/>
      <c r="S136" s="220" t="n"/>
      <c r="T136" s="220" t="n"/>
      <c r="U136" s="220" t="n"/>
      <c r="V136" s="220" t="n"/>
      <c r="W136" s="220" t="n"/>
    </row>
    <row r="137" outlineLevel="1" ht="15.75" customHeight="1" s="297">
      <c r="A137" s="211" t="n"/>
      <c r="B137" s="212" t="n"/>
      <c r="C137" s="213" t="n"/>
      <c r="D137" s="214">
        <f>IFERROR(VLOOKUP($C137,'PORTIFÓLIO'!C:V,2,0),"")</f>
        <v/>
      </c>
      <c r="E137" s="211">
        <f>IFERROR(VLOOKUP($C137,'PORTIFÓLIO'!C:V,3,0),"")</f>
        <v/>
      </c>
      <c r="F137" s="211">
        <f>IFERROR(VLOOKUP($C137,'PORTIFÓLIO'!C:V,4,0),"")</f>
        <v/>
      </c>
      <c r="G137" s="215">
        <f>IFERROR(VLOOKUP($C137,'PORTIFÓLIO'!C:V,5,0),"")</f>
        <v/>
      </c>
      <c r="H137" s="254">
        <f t="array" ref="H137">IFERROR(INDEX('PORTIFÓLIO'!$H$4:$H$433,MATCH($C137,'PORTIFÓLIO'!$C$4:$C$433,0)),"")</f>
        <v/>
      </c>
      <c r="I137" s="256" t="n"/>
      <c r="J137" s="218">
        <f>I137*$B$2</f>
        <v/>
      </c>
      <c r="K137" s="219">
        <f t="array" ref="K137">IFERROR(I137*INDEX('PORTIFÓLIO'!$S$4:$S$433,MATCH($C137,'PORTIFÓLIO'!$C$4:$C$433,0)),"")</f>
        <v/>
      </c>
      <c r="L137" s="219">
        <f t="array" ref="L137">IFERROR(J137*INDEX('PORTIFÓLIO'!$S$4:$S$433,MATCH($C137,'PORTIFÓLIO'!$C$4:$C$433,0)),"")</f>
        <v/>
      </c>
      <c r="M137" s="220" t="n"/>
      <c r="N137" s="220" t="n"/>
      <c r="O137" s="220" t="n"/>
      <c r="P137" s="220" t="n"/>
      <c r="Q137" s="220" t="n"/>
      <c r="R137" s="220" t="n"/>
      <c r="S137" s="220" t="n"/>
      <c r="T137" s="220" t="n"/>
      <c r="U137" s="220" t="n"/>
      <c r="V137" s="220" t="n"/>
      <c r="W137" s="220" t="n"/>
    </row>
    <row r="138" outlineLevel="1" ht="15.75" customHeight="1" s="297">
      <c r="A138" s="211" t="n"/>
      <c r="B138" s="212" t="n"/>
      <c r="C138" s="213" t="n"/>
      <c r="D138" s="214">
        <f>IFERROR(VLOOKUP($C138,'PORTIFÓLIO'!C:V,2,0),"")</f>
        <v/>
      </c>
      <c r="E138" s="211">
        <f>IFERROR(VLOOKUP($C138,'PORTIFÓLIO'!C:V,3,0),"")</f>
        <v/>
      </c>
      <c r="F138" s="211">
        <f>IFERROR(VLOOKUP($C138,'PORTIFÓLIO'!C:V,4,0),"")</f>
        <v/>
      </c>
      <c r="G138" s="215">
        <f>IFERROR(VLOOKUP($C138,'PORTIFÓLIO'!C:V,5,0),"")</f>
        <v/>
      </c>
      <c r="H138" s="254">
        <f t="array" ref="H138">IFERROR(INDEX('PORTIFÓLIO'!$H$4:$H$433,MATCH($C138,'PORTIFÓLIO'!$C$4:$C$433,0)),"")</f>
        <v/>
      </c>
      <c r="I138" s="256" t="n"/>
      <c r="J138" s="218">
        <f>I138*$B$2</f>
        <v/>
      </c>
      <c r="K138" s="219">
        <f t="array" ref="K138">IFERROR(I138*INDEX('PORTIFÓLIO'!$S$4:$S$433,MATCH($C138,'PORTIFÓLIO'!$C$4:$C$433,0)),"")</f>
        <v/>
      </c>
      <c r="L138" s="219">
        <f t="array" ref="L138">IFERROR(J138*INDEX('PORTIFÓLIO'!$S$4:$S$433,MATCH($C138,'PORTIFÓLIO'!$C$4:$C$433,0)),"")</f>
        <v/>
      </c>
      <c r="M138" s="220" t="n"/>
      <c r="N138" s="220" t="n"/>
      <c r="O138" s="220" t="n"/>
      <c r="P138" s="220" t="n"/>
      <c r="Q138" s="220" t="n"/>
      <c r="R138" s="220" t="n"/>
      <c r="S138" s="220" t="n"/>
      <c r="T138" s="220" t="n"/>
      <c r="U138" s="220" t="n"/>
      <c r="V138" s="220" t="n"/>
      <c r="W138" s="220" t="n"/>
    </row>
    <row r="139" outlineLevel="1" ht="15.75" customHeight="1" s="297">
      <c r="A139" s="211" t="n"/>
      <c r="B139" s="212" t="n"/>
      <c r="C139" s="213" t="n"/>
      <c r="D139" s="214">
        <f>IFERROR(VLOOKUP($C139,'PORTIFÓLIO'!C:V,2,0),"")</f>
        <v/>
      </c>
      <c r="E139" s="211">
        <f>IFERROR(VLOOKUP($C139,'PORTIFÓLIO'!C:V,3,0),"")</f>
        <v/>
      </c>
      <c r="F139" s="211">
        <f>IFERROR(VLOOKUP($C139,'PORTIFÓLIO'!C:V,4,0),"")</f>
        <v/>
      </c>
      <c r="G139" s="215">
        <f>IFERROR(VLOOKUP($C139,'PORTIFÓLIO'!C:V,5,0),"")</f>
        <v/>
      </c>
      <c r="H139" s="254">
        <f t="array" ref="H139">IFERROR(INDEX('PORTIFÓLIO'!$H$4:$H$433,MATCH($C139,'PORTIFÓLIO'!$C$4:$C$433,0)),"")</f>
        <v/>
      </c>
      <c r="I139" s="256" t="n"/>
      <c r="J139" s="218">
        <f>I139*$B$2</f>
        <v/>
      </c>
      <c r="K139" s="219">
        <f t="array" ref="K139">IFERROR(I139*INDEX('PORTIFÓLIO'!$S$4:$S$433,MATCH($C139,'PORTIFÓLIO'!$C$4:$C$433,0)),"")</f>
        <v/>
      </c>
      <c r="L139" s="219">
        <f t="array" ref="L139">IFERROR(J139*INDEX('PORTIFÓLIO'!$S$4:$S$433,MATCH($C139,'PORTIFÓLIO'!$C$4:$C$433,0)),"")</f>
        <v/>
      </c>
      <c r="M139" s="220" t="n"/>
      <c r="N139" s="220" t="n"/>
      <c r="O139" s="220" t="n"/>
      <c r="P139" s="220" t="n"/>
      <c r="Q139" s="220" t="n"/>
      <c r="R139" s="220" t="n"/>
      <c r="S139" s="220" t="n"/>
      <c r="T139" s="220" t="n"/>
      <c r="U139" s="220" t="n"/>
      <c r="V139" s="220" t="n"/>
      <c r="W139" s="220" t="n"/>
    </row>
    <row r="140" outlineLevel="1" ht="15.75" customHeight="1" s="297">
      <c r="A140" s="211" t="n"/>
      <c r="B140" s="212" t="n"/>
      <c r="C140" s="213" t="n"/>
      <c r="D140" s="214">
        <f>IFERROR(VLOOKUP($C140,'PORTIFÓLIO'!C:V,2,0),"")</f>
        <v/>
      </c>
      <c r="E140" s="211">
        <f>IFERROR(VLOOKUP($C140,'PORTIFÓLIO'!C:V,3,0),"")</f>
        <v/>
      </c>
      <c r="F140" s="211">
        <f>IFERROR(VLOOKUP($C140,'PORTIFÓLIO'!C:V,4,0),"")</f>
        <v/>
      </c>
      <c r="G140" s="215">
        <f>IFERROR(VLOOKUP($C140,'PORTIFÓLIO'!C:V,5,0),"")</f>
        <v/>
      </c>
      <c r="H140" s="254">
        <f t="array" ref="H140">IFERROR(INDEX('PORTIFÓLIO'!$H$4:$H$433,MATCH($C140,'PORTIFÓLIO'!$C$4:$C$433,0)),"")</f>
        <v/>
      </c>
      <c r="I140" s="255" t="n"/>
      <c r="J140" s="218">
        <f>I140*$B$2</f>
        <v/>
      </c>
      <c r="K140" s="219">
        <f t="array" ref="K140">IFERROR(I140*INDEX('PORTIFÓLIO'!$S$4:$S$433,MATCH($C140,'PORTIFÓLIO'!$C$4:$C$433,0)),"")</f>
        <v/>
      </c>
      <c r="L140" s="219">
        <f t="array" ref="L140">IFERROR(J140*INDEX('PORTIFÓLIO'!$S$4:$S$433,MATCH($C140,'PORTIFÓLIO'!$C$4:$C$433,0)),"")</f>
        <v/>
      </c>
      <c r="M140" s="220" t="n"/>
      <c r="N140" s="220" t="n"/>
      <c r="O140" s="220" t="n"/>
      <c r="P140" s="220" t="n"/>
      <c r="Q140" s="220" t="n"/>
      <c r="R140" s="220" t="n"/>
      <c r="S140" s="220" t="n"/>
      <c r="T140" s="220" t="n"/>
      <c r="U140" s="220" t="n"/>
      <c r="V140" s="220" t="n"/>
      <c r="W140" s="220" t="n"/>
    </row>
    <row r="141" outlineLevel="1" ht="15.75" customHeight="1" s="297">
      <c r="A141" s="211" t="n"/>
      <c r="B141" s="212" t="n"/>
      <c r="C141" s="213" t="n"/>
      <c r="D141" s="214">
        <f>IFERROR(VLOOKUP($C141,'PORTIFÓLIO'!C:V,2,0),"")</f>
        <v/>
      </c>
      <c r="E141" s="211">
        <f>IFERROR(VLOOKUP($C141,'PORTIFÓLIO'!C:V,3,0),"")</f>
        <v/>
      </c>
      <c r="F141" s="211">
        <f>IFERROR(VLOOKUP($C141,'PORTIFÓLIO'!C:V,4,0),"")</f>
        <v/>
      </c>
      <c r="G141" s="215">
        <f>IFERROR(VLOOKUP($C141,'PORTIFÓLIO'!C:V,5,0),"")</f>
        <v/>
      </c>
      <c r="H141" s="254">
        <f t="array" ref="H141">IFERROR(INDEX('PORTIFÓLIO'!$H$4:$H$433,MATCH($C141,'PORTIFÓLIO'!$C$4:$C$433,0)),"")</f>
        <v/>
      </c>
      <c r="I141" s="256" t="n"/>
      <c r="J141" s="218">
        <f>I141*$B$2</f>
        <v/>
      </c>
      <c r="K141" s="219">
        <f t="array" ref="K141">IFERROR(I141*INDEX('PORTIFÓLIO'!$S$4:$S$433,MATCH($C141,'PORTIFÓLIO'!$C$4:$C$433,0)),"")</f>
        <v/>
      </c>
      <c r="L141" s="219">
        <f t="array" ref="L141">IFERROR(J141*INDEX('PORTIFÓLIO'!$S$4:$S$433,MATCH($C141,'PORTIFÓLIO'!$C$4:$C$433,0)),"")</f>
        <v/>
      </c>
      <c r="M141" s="220" t="n"/>
      <c r="N141" s="220" t="n"/>
      <c r="O141" s="220" t="n"/>
      <c r="P141" s="220" t="n"/>
      <c r="Q141" s="220" t="n"/>
      <c r="R141" s="220" t="n"/>
      <c r="S141" s="220" t="n"/>
      <c r="T141" s="220" t="n"/>
      <c r="U141" s="220" t="n"/>
      <c r="V141" s="220" t="n"/>
      <c r="W141" s="220" t="n"/>
    </row>
    <row r="142" outlineLevel="1" ht="15.75" customHeight="1" s="297">
      <c r="A142" s="211" t="n"/>
      <c r="B142" s="212" t="n"/>
      <c r="C142" s="213" t="n"/>
      <c r="D142" s="214">
        <f>IFERROR(VLOOKUP($C142,'PORTIFÓLIO'!C:V,2,0),"")</f>
        <v/>
      </c>
      <c r="E142" s="211">
        <f>IFERROR(VLOOKUP($C142,'PORTIFÓLIO'!C:V,3,0),"")</f>
        <v/>
      </c>
      <c r="F142" s="211">
        <f>IFERROR(VLOOKUP($C142,'PORTIFÓLIO'!C:V,4,0),"")</f>
        <v/>
      </c>
      <c r="G142" s="215">
        <f>IFERROR(VLOOKUP($C142,'PORTIFÓLIO'!C:V,5,0),"")</f>
        <v/>
      </c>
      <c r="H142" s="254">
        <f t="array" ref="H142">IFERROR(INDEX('PORTIFÓLIO'!$H$4:$H$433,MATCH($C142,'PORTIFÓLIO'!$C$4:$C$433,0)),"")</f>
        <v/>
      </c>
      <c r="I142" s="256" t="n"/>
      <c r="J142" s="218">
        <f>I142*$B$2</f>
        <v/>
      </c>
      <c r="K142" s="219">
        <f t="array" ref="K142">IFERROR(I142*INDEX('PORTIFÓLIO'!$S$4:$S$433,MATCH($C142,'PORTIFÓLIO'!$C$4:$C$433,0)),"")</f>
        <v/>
      </c>
      <c r="L142" s="219">
        <f t="array" ref="L142">IFERROR(J142*INDEX('PORTIFÓLIO'!$S$4:$S$433,MATCH($C142,'PORTIFÓLIO'!$C$4:$C$433,0)),"")</f>
        <v/>
      </c>
      <c r="M142" s="220" t="n"/>
      <c r="N142" s="220" t="n"/>
      <c r="O142" s="220" t="n"/>
      <c r="P142" s="220" t="n"/>
      <c r="Q142" s="220" t="n"/>
      <c r="R142" s="220" t="n"/>
      <c r="S142" s="220" t="n"/>
      <c r="T142" s="220" t="n"/>
      <c r="U142" s="220" t="n"/>
      <c r="V142" s="220" t="n"/>
      <c r="W142" s="220" t="n"/>
    </row>
    <row r="143" outlineLevel="1" ht="15.75" customHeight="1" s="297">
      <c r="A143" s="211" t="n"/>
      <c r="B143" s="212" t="n"/>
      <c r="C143" s="213" t="n"/>
      <c r="D143" s="214">
        <f>IFERROR(VLOOKUP($C143,'PORTIFÓLIO'!C:V,2,0),"")</f>
        <v/>
      </c>
      <c r="E143" s="211">
        <f>IFERROR(VLOOKUP($C143,'PORTIFÓLIO'!C:V,3,0),"")</f>
        <v/>
      </c>
      <c r="F143" s="211">
        <f>IFERROR(VLOOKUP($C143,'PORTIFÓLIO'!C:V,4,0),"")</f>
        <v/>
      </c>
      <c r="G143" s="215">
        <f>IFERROR(VLOOKUP($C143,'PORTIFÓLIO'!C:V,5,0),"")</f>
        <v/>
      </c>
      <c r="H143" s="254">
        <f t="array" ref="H143">IFERROR(INDEX('PORTIFÓLIO'!$H$4:$H$433,MATCH($C143,'PORTIFÓLIO'!$C$4:$C$433,0)),"")</f>
        <v/>
      </c>
      <c r="I143" s="256" t="n"/>
      <c r="J143" s="218">
        <f>I143*$B$2</f>
        <v/>
      </c>
      <c r="K143" s="219">
        <f t="array" ref="K143">IFERROR(I143*INDEX('PORTIFÓLIO'!$S$4:$S$433,MATCH($C143,'PORTIFÓLIO'!$C$4:$C$433,0)),"")</f>
        <v/>
      </c>
      <c r="L143" s="219">
        <f t="array" ref="L143">IFERROR(J143*INDEX('PORTIFÓLIO'!$S$4:$S$433,MATCH($C143,'PORTIFÓLIO'!$C$4:$C$433,0)),"")</f>
        <v/>
      </c>
      <c r="M143" s="220" t="n"/>
      <c r="N143" s="220" t="n"/>
      <c r="O143" s="220" t="n"/>
      <c r="P143" s="220" t="n"/>
      <c r="Q143" s="220" t="n"/>
      <c r="R143" s="220" t="n"/>
      <c r="S143" s="220" t="n"/>
      <c r="T143" s="220" t="n"/>
      <c r="U143" s="220" t="n"/>
      <c r="V143" s="220" t="n"/>
      <c r="W143" s="220" t="n"/>
    </row>
    <row r="144" outlineLevel="1" ht="15.75" customHeight="1" s="297">
      <c r="A144" s="211" t="n"/>
      <c r="B144" s="212" t="n"/>
      <c r="C144" s="213" t="n"/>
      <c r="D144" s="214">
        <f>IFERROR(VLOOKUP($C144,'PORTIFÓLIO'!C:V,2,0),"")</f>
        <v/>
      </c>
      <c r="E144" s="211">
        <f>IFERROR(VLOOKUP($C144,'PORTIFÓLIO'!C:V,3,0),"")</f>
        <v/>
      </c>
      <c r="F144" s="211">
        <f>IFERROR(VLOOKUP($C144,'PORTIFÓLIO'!C:V,4,0),"")</f>
        <v/>
      </c>
      <c r="G144" s="215">
        <f>IFERROR(VLOOKUP($C144,'PORTIFÓLIO'!C:V,5,0),"")</f>
        <v/>
      </c>
      <c r="H144" s="254">
        <f t="array" ref="H144">IFERROR(INDEX('PORTIFÓLIO'!$H$4:$H$433,MATCH($C144,'PORTIFÓLIO'!$C$4:$C$433,0)),"")</f>
        <v/>
      </c>
      <c r="I144" s="256" t="n"/>
      <c r="J144" s="218">
        <f>I144*$B$2</f>
        <v/>
      </c>
      <c r="K144" s="219">
        <f t="array" ref="K144">IFERROR(I144*INDEX('PORTIFÓLIO'!$S$4:$S$433,MATCH($C144,'PORTIFÓLIO'!$C$4:$C$433,0)),"")</f>
        <v/>
      </c>
      <c r="L144" s="219">
        <f t="array" ref="L144">IFERROR(J144*INDEX('PORTIFÓLIO'!$S$4:$S$433,MATCH($C144,'PORTIFÓLIO'!$C$4:$C$433,0)),"")</f>
        <v/>
      </c>
      <c r="M144" s="220" t="n"/>
      <c r="N144" s="220" t="n"/>
      <c r="O144" s="220" t="n"/>
      <c r="P144" s="220" t="n"/>
      <c r="Q144" s="220" t="n"/>
      <c r="R144" s="220" t="n"/>
      <c r="S144" s="220" t="n"/>
      <c r="T144" s="220" t="n"/>
      <c r="U144" s="220" t="n"/>
      <c r="V144" s="220" t="n"/>
      <c r="W144" s="220" t="n"/>
    </row>
    <row r="145" outlineLevel="1" ht="15.75" customHeight="1" s="297">
      <c r="A145" s="211" t="n"/>
      <c r="B145" s="212" t="n"/>
      <c r="C145" s="213" t="n"/>
      <c r="D145" s="214">
        <f>IFERROR(VLOOKUP($C145,'PORTIFÓLIO'!C:V,2,0),"")</f>
        <v/>
      </c>
      <c r="E145" s="211">
        <f>IFERROR(VLOOKUP($C145,'PORTIFÓLIO'!C:V,3,0),"")</f>
        <v/>
      </c>
      <c r="F145" s="211">
        <f>IFERROR(VLOOKUP($C145,'PORTIFÓLIO'!C:V,4,0),"")</f>
        <v/>
      </c>
      <c r="G145" s="215">
        <f>IFERROR(VLOOKUP($C145,'PORTIFÓLIO'!C:V,5,0),"")</f>
        <v/>
      </c>
      <c r="H145" s="254">
        <f t="array" ref="H145">IFERROR(INDEX('PORTIFÓLIO'!$H$4:$H$433,MATCH($C145,'PORTIFÓLIO'!$C$4:$C$433,0)),"")</f>
        <v/>
      </c>
      <c r="I145" s="256" t="n"/>
      <c r="J145" s="218">
        <f>I145*$B$2</f>
        <v/>
      </c>
      <c r="K145" s="219">
        <f t="array" ref="K145">IFERROR(I145*INDEX('PORTIFÓLIO'!$S$4:$S$433,MATCH($C145,'PORTIFÓLIO'!$C$4:$C$433,0)),"")</f>
        <v/>
      </c>
      <c r="L145" s="219">
        <f t="array" ref="L145">IFERROR(J145*INDEX('PORTIFÓLIO'!$S$4:$S$433,MATCH($C145,'PORTIFÓLIO'!$C$4:$C$433,0)),"")</f>
        <v/>
      </c>
      <c r="M145" s="220" t="n"/>
      <c r="N145" s="220" t="n"/>
      <c r="O145" s="220" t="n"/>
      <c r="P145" s="220" t="n"/>
      <c r="Q145" s="220" t="n"/>
      <c r="R145" s="220" t="n"/>
      <c r="S145" s="220" t="n"/>
      <c r="T145" s="220" t="n"/>
      <c r="U145" s="220" t="n"/>
      <c r="V145" s="220" t="n"/>
      <c r="W145" s="220" t="n"/>
    </row>
    <row r="146" outlineLevel="1" ht="15.75" customHeight="1" s="297">
      <c r="A146" s="211" t="n"/>
      <c r="B146" s="212" t="n"/>
      <c r="C146" s="213" t="n"/>
      <c r="D146" s="214">
        <f>IFERROR(VLOOKUP($C146,'PORTIFÓLIO'!C:V,2,0),"")</f>
        <v/>
      </c>
      <c r="E146" s="211">
        <f>IFERROR(VLOOKUP($C146,'PORTIFÓLIO'!C:V,3,0),"")</f>
        <v/>
      </c>
      <c r="F146" s="211">
        <f>IFERROR(VLOOKUP($C146,'PORTIFÓLIO'!C:V,4,0),"")</f>
        <v/>
      </c>
      <c r="G146" s="215">
        <f>IFERROR(VLOOKUP($C146,'PORTIFÓLIO'!C:V,5,0),"")</f>
        <v/>
      </c>
      <c r="H146" s="254">
        <f t="array" ref="H146">IFERROR(INDEX('PORTIFÓLIO'!$H$4:$H$433,MATCH($C146,'PORTIFÓLIO'!$C$4:$C$433,0)),"")</f>
        <v/>
      </c>
      <c r="I146" s="256" t="n"/>
      <c r="J146" s="218">
        <f>I146*$B$2</f>
        <v/>
      </c>
      <c r="K146" s="219">
        <f t="array" ref="K146">IFERROR(I146*INDEX('PORTIFÓLIO'!$S$4:$S$433,MATCH($C146,'PORTIFÓLIO'!$C$4:$C$433,0)),"")</f>
        <v/>
      </c>
      <c r="L146" s="219">
        <f t="array" ref="L146">IFERROR(J146*INDEX('PORTIFÓLIO'!$S$4:$S$433,MATCH($C146,'PORTIFÓLIO'!$C$4:$C$433,0)),"")</f>
        <v/>
      </c>
      <c r="M146" s="220" t="n"/>
      <c r="N146" s="220" t="n"/>
      <c r="O146" s="220" t="n"/>
      <c r="P146" s="220" t="n"/>
      <c r="Q146" s="220" t="n"/>
      <c r="R146" s="220" t="n"/>
      <c r="S146" s="220" t="n"/>
      <c r="T146" s="220" t="n"/>
      <c r="U146" s="220" t="n"/>
      <c r="V146" s="220" t="n"/>
      <c r="W146" s="220" t="n"/>
    </row>
    <row r="147" outlineLevel="1" ht="15.75" customHeight="1" s="297">
      <c r="A147" s="211" t="n"/>
      <c r="B147" s="227" t="n"/>
      <c r="C147" s="211" t="n"/>
      <c r="D147" s="214">
        <f>IFERROR(VLOOKUP($C147,'PORTIFÓLIO'!C:V,2,0),"")</f>
        <v/>
      </c>
      <c r="E147" s="211">
        <f>IFERROR(VLOOKUP($C147,'PORTIFÓLIO'!C:V,3,0),"")</f>
        <v/>
      </c>
      <c r="F147" s="211">
        <f>IFERROR(VLOOKUP($C147,'PORTIFÓLIO'!C:V,4,0),"")</f>
        <v/>
      </c>
      <c r="G147" s="215">
        <f>IFERROR(VLOOKUP($C147,'PORTIFÓLIO'!C:V,5,0),"")</f>
        <v/>
      </c>
      <c r="H147" s="254">
        <f t="array" ref="H147">IFERROR(INDEX('PORTIFÓLIO'!$H$4:$H$433,MATCH($C147,'PORTIFÓLIO'!$C$4:$C$433,0)),"")</f>
        <v/>
      </c>
      <c r="I147" s="256" t="n"/>
      <c r="J147" s="218" t="n"/>
      <c r="K147" s="219">
        <f t="array" ref="K147">IFERROR(I147*INDEX('PORTIFÓLIO'!$S$4:$S$433,MATCH($C147,'PORTIFÓLIO'!$C$4:$C$433,0)),"")</f>
        <v/>
      </c>
      <c r="L147" s="219">
        <f t="array" ref="L147">IFERROR(J147*INDEX('PORTIFÓLIO'!$S$4:$S$433,MATCH($C147,'PORTIFÓLIO'!$C$4:$C$433,0)),"")</f>
        <v/>
      </c>
      <c r="M147" s="220" t="n"/>
      <c r="N147" s="220" t="n"/>
      <c r="O147" s="220" t="n"/>
      <c r="P147" s="220" t="n"/>
      <c r="Q147" s="220" t="n"/>
      <c r="R147" s="220" t="n"/>
      <c r="S147" s="220" t="n"/>
      <c r="T147" s="220" t="n"/>
      <c r="U147" s="220" t="n"/>
      <c r="V147" s="220" t="n"/>
      <c r="W147" s="220" t="n"/>
    </row>
    <row r="148" ht="15.75" customHeight="1" s="297">
      <c r="A148" s="229" t="inlineStr">
        <is>
          <t>OPERAÇÃO 9</t>
        </is>
      </c>
      <c r="B148" s="230" t="n"/>
      <c r="C148" s="231" t="n"/>
      <c r="D148" s="232" t="n"/>
      <c r="E148" s="231" t="n"/>
      <c r="F148" s="231" t="n"/>
      <c r="G148" s="233" t="n"/>
      <c r="H148" s="233" t="n"/>
      <c r="I148" s="258" t="n"/>
      <c r="J148" s="236" t="n"/>
      <c r="K148" s="237">
        <f>SUBTOTAL(9,K149:K162)</f>
        <v/>
      </c>
      <c r="L148" s="237">
        <f>SUBTOTAL(9,L149:L162)</f>
        <v/>
      </c>
      <c r="M148" s="220" t="n"/>
      <c r="N148" s="220" t="n"/>
      <c r="O148" s="220" t="n"/>
      <c r="P148" s="220" t="n"/>
      <c r="Q148" s="220" t="n"/>
      <c r="R148" s="220" t="n"/>
      <c r="S148" s="220" t="n"/>
      <c r="T148" s="220" t="n"/>
      <c r="U148" s="220" t="n"/>
      <c r="V148" s="220" t="n"/>
      <c r="W148" s="220" t="n"/>
    </row>
    <row r="149" outlineLevel="1" ht="15.75" customHeight="1" s="297">
      <c r="A149" s="213" t="n"/>
      <c r="B149" s="212" t="inlineStr">
        <is>
          <t>FUNGICIDA</t>
        </is>
      </c>
      <c r="C149" s="213" t="inlineStr">
        <is>
          <t>AZIMUT</t>
        </is>
      </c>
      <c r="D149" s="214">
        <f>IFERROR(VLOOKUP($C149,'PORTIFÓLIO'!C:V,2,0),"")</f>
        <v/>
      </c>
      <c r="E149" s="211">
        <f>IFERROR(VLOOKUP($C149,'PORTIFÓLIO'!C:V,3,0),"")</f>
        <v/>
      </c>
      <c r="F149" s="211">
        <f>IFERROR(VLOOKUP($C149,'PORTIFÓLIO'!C:V,4,0),"")</f>
        <v/>
      </c>
      <c r="G149" s="225">
        <f>IFERROR(VLOOKUP($C149,'PORTIFÓLIO'!C:V,5,0),"")</f>
        <v/>
      </c>
      <c r="H149" s="254">
        <f t="array" ref="H149">IFERROR(INDEX('PORTIFÓLIO'!$H$4:$H$433,MATCH($C149,'PORTIFÓLIO'!$C$4:$C$433,0)),"")</f>
        <v/>
      </c>
      <c r="I149" s="255" t="n">
        <v>0.5</v>
      </c>
      <c r="J149" s="218">
        <f>I149*$B$2</f>
        <v/>
      </c>
      <c r="K149" s="219">
        <f t="array" ref="K149">IFERROR(I149*INDEX('PORTIFÓLIO'!$S$4:$S$433,MATCH($C149,'PORTIFÓLIO'!$C$4:$C$433,0)),"")</f>
        <v/>
      </c>
      <c r="L149" s="219">
        <f t="array" ref="L149">IFERROR(J149*INDEX('PORTIFÓLIO'!$S$4:$S$433,MATCH($C149,'PORTIFÓLIO'!$C$4:$C$433,0)),"")</f>
        <v/>
      </c>
      <c r="M149" s="220" t="n"/>
      <c r="N149" s="220" t="n"/>
      <c r="O149" s="220" t="n"/>
      <c r="P149" s="220" t="n"/>
      <c r="Q149" s="220" t="n"/>
      <c r="R149" s="220" t="n"/>
      <c r="S149" s="220" t="n"/>
      <c r="T149" s="220" t="n"/>
      <c r="U149" s="220" t="n"/>
      <c r="V149" s="220" t="n"/>
      <c r="W149" s="220" t="n"/>
    </row>
    <row r="150" outlineLevel="1" ht="15.75" customHeight="1" s="297">
      <c r="A150" s="211" t="n"/>
      <c r="B150" s="212" t="inlineStr">
        <is>
          <t>FUNGICIDA</t>
        </is>
      </c>
      <c r="C150" s="213" t="inlineStr">
        <is>
          <t>BRAVONIL 720</t>
        </is>
      </c>
      <c r="D150" s="214">
        <f>IFERROR(VLOOKUP($C150,'PORTIFÓLIO'!C:V,2,0),"")</f>
        <v/>
      </c>
      <c r="E150" s="211">
        <f>IFERROR(VLOOKUP($C150,'PORTIFÓLIO'!C:V,3,0),"")</f>
        <v/>
      </c>
      <c r="F150" s="211">
        <f>IFERROR(VLOOKUP($C150,'PORTIFÓLIO'!C:V,4,0),"")</f>
        <v/>
      </c>
      <c r="G150" s="225">
        <f>IFERROR(VLOOKUP($C150,'PORTIFÓLIO'!C:V,5,0),"")</f>
        <v/>
      </c>
      <c r="H150" s="254">
        <f t="array" ref="H150">IFERROR(INDEX('PORTIFÓLIO'!$H$4:$H$433,MATCH($C150,'PORTIFÓLIO'!$C$4:$C$433,0)),"")</f>
        <v/>
      </c>
      <c r="I150" s="255" t="n">
        <v>1.5</v>
      </c>
      <c r="J150" s="218">
        <f>I150*$B$2</f>
        <v/>
      </c>
      <c r="K150" s="219">
        <f t="array" ref="K150">IFERROR(I150*INDEX('PORTIFÓLIO'!$S$4:$S$433,MATCH($C150,'PORTIFÓLIO'!$C$4:$C$433,0)),"")</f>
        <v/>
      </c>
      <c r="L150" s="219">
        <f t="array" ref="L150">IFERROR(J150*INDEX('PORTIFÓLIO'!$S$4:$S$433,MATCH($C150,'PORTIFÓLIO'!$C$4:$C$433,0)),"")</f>
        <v/>
      </c>
      <c r="M150" s="220" t="n"/>
      <c r="N150" s="220" t="n"/>
      <c r="O150" s="220" t="n"/>
      <c r="P150" s="220" t="n"/>
      <c r="Q150" s="220" t="n"/>
      <c r="R150" s="220" t="n"/>
      <c r="S150" s="220" t="n"/>
      <c r="T150" s="220" t="n"/>
      <c r="U150" s="220" t="n"/>
      <c r="V150" s="220" t="n"/>
      <c r="W150" s="220" t="n"/>
    </row>
    <row r="151" outlineLevel="1" ht="15.75" customHeight="1" s="297">
      <c r="A151" s="211" t="n"/>
      <c r="B151" s="212" t="inlineStr">
        <is>
          <t>ADJUVANTE</t>
        </is>
      </c>
      <c r="C151" s="213" t="inlineStr">
        <is>
          <t>JOINT ULTRA</t>
        </is>
      </c>
      <c r="D151" s="214">
        <f>IFERROR(VLOOKUP($C151,'PORTIFÓLIO'!C:V,2,0),"")</f>
        <v/>
      </c>
      <c r="E151" s="211">
        <f>IFERROR(VLOOKUP($C151,'PORTIFÓLIO'!C:V,3,0),"")</f>
        <v/>
      </c>
      <c r="F151" s="211">
        <f>IFERROR(VLOOKUP($C151,'PORTIFÓLIO'!C:V,4,0),"")</f>
        <v/>
      </c>
      <c r="G151" s="225">
        <f>IFERROR(VLOOKUP($C151,'PORTIFÓLIO'!C:V,5,0),"")</f>
        <v/>
      </c>
      <c r="H151" s="254">
        <f t="array" ref="H151">IFERROR(INDEX('PORTIFÓLIO'!$H$4:$H$433,MATCH($C151,'PORTIFÓLIO'!$C$4:$C$433,0)),"")</f>
        <v/>
      </c>
      <c r="I151" s="255" t="n">
        <v>0.2</v>
      </c>
      <c r="J151" s="218">
        <f>I151*$B$2</f>
        <v/>
      </c>
      <c r="K151" s="219">
        <f t="array" ref="K151">IFERROR(I151*INDEX('PORTIFÓLIO'!$S$4:$S$433,MATCH($C151,'PORTIFÓLIO'!$C$4:$C$433,0)),"")</f>
        <v/>
      </c>
      <c r="L151" s="219">
        <f t="array" ref="L151">IFERROR(J151*INDEX('PORTIFÓLIO'!$S$4:$S$433,MATCH($C151,'PORTIFÓLIO'!$C$4:$C$433,0)),"")</f>
        <v/>
      </c>
      <c r="M151" s="220" t="n"/>
      <c r="N151" s="220" t="n"/>
      <c r="O151" s="220" t="n"/>
      <c r="P151" s="220" t="n"/>
      <c r="Q151" s="220" t="n"/>
      <c r="R151" s="220" t="n"/>
      <c r="S151" s="220" t="n"/>
      <c r="T151" s="220" t="n"/>
      <c r="U151" s="220" t="n"/>
      <c r="V151" s="220" t="n"/>
      <c r="W151" s="220" t="n"/>
    </row>
    <row r="152" outlineLevel="1" ht="15.75" customHeight="1" s="297">
      <c r="A152" s="211" t="n"/>
      <c r="B152" s="212" t="n"/>
      <c r="C152" s="213" t="n"/>
      <c r="D152" s="214">
        <f>IFERROR(VLOOKUP($C152,'PORTIFÓLIO'!C:V,2,0),"")</f>
        <v/>
      </c>
      <c r="E152" s="211">
        <f>IFERROR(VLOOKUP($C152,'PORTIFÓLIO'!C:V,3,0),"")</f>
        <v/>
      </c>
      <c r="F152" s="211">
        <f>IFERROR(VLOOKUP($C152,'PORTIFÓLIO'!C:V,4,0),"")</f>
        <v/>
      </c>
      <c r="G152" s="215">
        <f>IFERROR(VLOOKUP($C152,'PORTIFÓLIO'!C:V,5,0),"")</f>
        <v/>
      </c>
      <c r="H152" s="254">
        <f t="array" ref="H152">IFERROR(INDEX('PORTIFÓLIO'!$H$4:$H$433,MATCH($C152,'PORTIFÓLIO'!$C$4:$C$433,0)),"")</f>
        <v/>
      </c>
      <c r="I152" s="256" t="n"/>
      <c r="J152" s="218">
        <f>I152*$B$2</f>
        <v/>
      </c>
      <c r="K152" s="219">
        <f t="array" ref="K152">IFERROR(I152*INDEX('PORTIFÓLIO'!$S$4:$S$433,MATCH($C152,'PORTIFÓLIO'!$C$4:$C$433,0)),"")</f>
        <v/>
      </c>
      <c r="L152" s="219">
        <f t="array" ref="L152">IFERROR(J152*INDEX('PORTIFÓLIO'!$S$4:$S$433,MATCH($C152,'PORTIFÓLIO'!$C$4:$C$433,0)),"")</f>
        <v/>
      </c>
      <c r="M152" s="220" t="n"/>
      <c r="N152" s="220" t="n"/>
      <c r="O152" s="220" t="n"/>
      <c r="P152" s="220" t="n"/>
      <c r="Q152" s="220" t="n"/>
      <c r="R152" s="220" t="n"/>
      <c r="S152" s="220" t="n"/>
      <c r="T152" s="220" t="n"/>
      <c r="U152" s="220" t="n"/>
      <c r="V152" s="220" t="n"/>
      <c r="W152" s="220" t="n"/>
    </row>
    <row r="153" outlineLevel="1" ht="15.75" customHeight="1" s="297">
      <c r="A153" s="211" t="n"/>
      <c r="B153" s="212" t="n"/>
      <c r="C153" s="213" t="n"/>
      <c r="D153" s="214">
        <f>IFERROR(VLOOKUP($C153,'PORTIFÓLIO'!C:V,2,0),"")</f>
        <v/>
      </c>
      <c r="E153" s="211">
        <f>IFERROR(VLOOKUP($C153,'PORTIFÓLIO'!C:V,3,0),"")</f>
        <v/>
      </c>
      <c r="F153" s="211">
        <f>IFERROR(VLOOKUP($C153,'PORTIFÓLIO'!C:V,4,0),"")</f>
        <v/>
      </c>
      <c r="G153" s="215">
        <f>IFERROR(VLOOKUP($C153,'PORTIFÓLIO'!C:V,5,0),"")</f>
        <v/>
      </c>
      <c r="H153" s="254">
        <f t="array" ref="H153">IFERROR(INDEX('PORTIFÓLIO'!$H$4:$H$433,MATCH($C153,'PORTIFÓLIO'!$C$4:$C$433,0)),"")</f>
        <v/>
      </c>
      <c r="I153" s="256" t="n"/>
      <c r="J153" s="218">
        <f>I153*$B$2</f>
        <v/>
      </c>
      <c r="K153" s="219">
        <f t="array" ref="K153">IFERROR(I153*INDEX('PORTIFÓLIO'!$S$4:$S$433,MATCH($C153,'PORTIFÓLIO'!$C$4:$C$433,0)),"")</f>
        <v/>
      </c>
      <c r="L153" s="219">
        <f t="array" ref="L153">IFERROR(J153*INDEX('PORTIFÓLIO'!$S$4:$S$433,MATCH($C153,'PORTIFÓLIO'!$C$4:$C$433,0)),"")</f>
        <v/>
      </c>
      <c r="M153" s="220" t="n"/>
      <c r="N153" s="220" t="n"/>
      <c r="O153" s="220" t="n"/>
      <c r="P153" s="220" t="n"/>
      <c r="Q153" s="220" t="n"/>
      <c r="R153" s="220" t="n"/>
      <c r="S153" s="220" t="n"/>
      <c r="T153" s="220" t="n"/>
      <c r="U153" s="220" t="n"/>
      <c r="V153" s="220" t="n"/>
      <c r="W153" s="220" t="n"/>
    </row>
    <row r="154" outlineLevel="1" ht="15.75" customHeight="1" s="297">
      <c r="A154" s="211" t="n"/>
      <c r="B154" s="212" t="n"/>
      <c r="C154" s="213" t="n"/>
      <c r="D154" s="214">
        <f>IFERROR(VLOOKUP($C154,'PORTIFÓLIO'!C:V,2,0),"")</f>
        <v/>
      </c>
      <c r="E154" s="211">
        <f>IFERROR(VLOOKUP($C154,'PORTIFÓLIO'!C:V,3,0),"")</f>
        <v/>
      </c>
      <c r="F154" s="211">
        <f>IFERROR(VLOOKUP($C154,'PORTIFÓLIO'!C:V,4,0),"")</f>
        <v/>
      </c>
      <c r="G154" s="215">
        <f>IFERROR(VLOOKUP($C154,'PORTIFÓLIO'!C:V,5,0),"")</f>
        <v/>
      </c>
      <c r="H154" s="254">
        <f t="array" ref="H154">IFERROR(INDEX('PORTIFÓLIO'!$H$4:$H$433,MATCH($C154,'PORTIFÓLIO'!$C$4:$C$433,0)),"")</f>
        <v/>
      </c>
      <c r="I154" s="256" t="n"/>
      <c r="J154" s="218">
        <f>I154*$B$2</f>
        <v/>
      </c>
      <c r="K154" s="219">
        <f t="array" ref="K154">IFERROR(I154*INDEX('PORTIFÓLIO'!$S$4:$S$433,MATCH($C154,'PORTIFÓLIO'!$C$4:$C$433,0)),"")</f>
        <v/>
      </c>
      <c r="L154" s="219">
        <f t="array" ref="L154">IFERROR(J154*INDEX('PORTIFÓLIO'!$S$4:$S$433,MATCH($C154,'PORTIFÓLIO'!$C$4:$C$433,0)),"")</f>
        <v/>
      </c>
      <c r="M154" s="220" t="n"/>
      <c r="N154" s="220" t="n"/>
      <c r="O154" s="220" t="n"/>
      <c r="P154" s="220" t="n"/>
      <c r="Q154" s="220" t="n"/>
      <c r="R154" s="220" t="n"/>
      <c r="S154" s="220" t="n"/>
      <c r="T154" s="220" t="n"/>
      <c r="U154" s="220" t="n"/>
      <c r="V154" s="220" t="n"/>
      <c r="W154" s="220" t="n"/>
    </row>
    <row r="155" outlineLevel="1" ht="15.75" customHeight="1" s="297">
      <c r="A155" s="211" t="n"/>
      <c r="B155" s="212" t="n"/>
      <c r="C155" s="213" t="n"/>
      <c r="D155" s="214">
        <f>IFERROR(VLOOKUP($C155,'PORTIFÓLIO'!C:V,2,0),"")</f>
        <v/>
      </c>
      <c r="E155" s="211">
        <f>IFERROR(VLOOKUP($C155,'PORTIFÓLIO'!C:V,3,0),"")</f>
        <v/>
      </c>
      <c r="F155" s="211">
        <f>IFERROR(VLOOKUP($C155,'PORTIFÓLIO'!C:V,4,0),"")</f>
        <v/>
      </c>
      <c r="G155" s="215">
        <f>IFERROR(VLOOKUP($C155,'PORTIFÓLIO'!C:V,5,0),"")</f>
        <v/>
      </c>
      <c r="H155" s="254">
        <f t="array" ref="H155">IFERROR(INDEX('PORTIFÓLIO'!$H$4:$H$433,MATCH($C155,'PORTIFÓLIO'!$C$4:$C$433,0)),"")</f>
        <v/>
      </c>
      <c r="I155" s="256" t="n"/>
      <c r="J155" s="218">
        <f>I155*$B$2</f>
        <v/>
      </c>
      <c r="K155" s="219">
        <f t="array" ref="K155">IFERROR(I155*INDEX('PORTIFÓLIO'!$S$4:$S$433,MATCH($C155,'PORTIFÓLIO'!$C$4:$C$433,0)),"")</f>
        <v/>
      </c>
      <c r="L155" s="219">
        <f t="array" ref="L155">IFERROR(J155*INDEX('PORTIFÓLIO'!$S$4:$S$433,MATCH($C155,'PORTIFÓLIO'!$C$4:$C$433,0)),"")</f>
        <v/>
      </c>
      <c r="M155" s="220" t="n"/>
      <c r="N155" s="220" t="n"/>
      <c r="O155" s="220" t="n"/>
      <c r="P155" s="220" t="n"/>
      <c r="Q155" s="220" t="n"/>
      <c r="R155" s="220" t="n"/>
      <c r="S155" s="220" t="n"/>
      <c r="T155" s="220" t="n"/>
      <c r="U155" s="220" t="n"/>
      <c r="V155" s="220" t="n"/>
      <c r="W155" s="220" t="n"/>
    </row>
    <row r="156" outlineLevel="1" ht="15.75" customHeight="1" s="297">
      <c r="A156" s="211" t="n"/>
      <c r="B156" s="212" t="n"/>
      <c r="C156" s="213" t="n"/>
      <c r="D156" s="214">
        <f>IFERROR(VLOOKUP($C156,'PORTIFÓLIO'!C:V,2,0),"")</f>
        <v/>
      </c>
      <c r="E156" s="211">
        <f>IFERROR(VLOOKUP($C156,'PORTIFÓLIO'!C:V,3,0),"")</f>
        <v/>
      </c>
      <c r="F156" s="211">
        <f>IFERROR(VLOOKUP($C156,'PORTIFÓLIO'!C:V,4,0),"")</f>
        <v/>
      </c>
      <c r="G156" s="215">
        <f>IFERROR(VLOOKUP($C156,'PORTIFÓLIO'!C:V,5,0),"")</f>
        <v/>
      </c>
      <c r="H156" s="254">
        <f t="array" ref="H156">IFERROR(INDEX('PORTIFÓLIO'!$H$4:$H$433,MATCH($C156,'PORTIFÓLIO'!$C$4:$C$433,0)),"")</f>
        <v/>
      </c>
      <c r="I156" s="256" t="n"/>
      <c r="J156" s="218">
        <f>I156*$B$2</f>
        <v/>
      </c>
      <c r="K156" s="219">
        <f t="array" ref="K156">IFERROR(I156*INDEX('PORTIFÓLIO'!$S$4:$S$433,MATCH($C156,'PORTIFÓLIO'!$C$4:$C$433,0)),"")</f>
        <v/>
      </c>
      <c r="L156" s="219">
        <f t="array" ref="L156">IFERROR(J156*INDEX('PORTIFÓLIO'!$S$4:$S$433,MATCH($C156,'PORTIFÓLIO'!$C$4:$C$433,0)),"")</f>
        <v/>
      </c>
      <c r="M156" s="220" t="n"/>
      <c r="N156" s="220" t="n"/>
      <c r="O156" s="220" t="n"/>
      <c r="P156" s="220" t="n"/>
      <c r="Q156" s="220" t="n"/>
      <c r="R156" s="220" t="n"/>
      <c r="S156" s="220" t="n"/>
      <c r="T156" s="220" t="n"/>
      <c r="U156" s="220" t="n"/>
      <c r="V156" s="220" t="n"/>
      <c r="W156" s="220" t="n"/>
    </row>
    <row r="157" outlineLevel="1" ht="15.75" customHeight="1" s="297">
      <c r="A157" s="211" t="n"/>
      <c r="B157" s="212" t="n"/>
      <c r="C157" s="213" t="n"/>
      <c r="D157" s="214">
        <f>IFERROR(VLOOKUP($C157,'PORTIFÓLIO'!C:V,2,0),"")</f>
        <v/>
      </c>
      <c r="E157" s="211">
        <f>IFERROR(VLOOKUP($C157,'PORTIFÓLIO'!C:V,3,0),"")</f>
        <v/>
      </c>
      <c r="F157" s="211">
        <f>IFERROR(VLOOKUP($C157,'PORTIFÓLIO'!C:V,4,0),"")</f>
        <v/>
      </c>
      <c r="G157" s="215">
        <f>IFERROR(VLOOKUP($C157,'PORTIFÓLIO'!C:V,5,0),"")</f>
        <v/>
      </c>
      <c r="H157" s="254">
        <f t="array" ref="H157">IFERROR(INDEX('PORTIFÓLIO'!$H$4:$H$433,MATCH($C157,'PORTIFÓLIO'!$C$4:$C$433,0)),"")</f>
        <v/>
      </c>
      <c r="I157" s="255" t="n"/>
      <c r="J157" s="218">
        <f>I157*$B$2</f>
        <v/>
      </c>
      <c r="K157" s="219">
        <f t="array" ref="K157">IFERROR(I157*INDEX('PORTIFÓLIO'!$S$4:$S$433,MATCH($C157,'PORTIFÓLIO'!$C$4:$C$433,0)),"")</f>
        <v/>
      </c>
      <c r="L157" s="219">
        <f t="array" ref="L157">IFERROR(J157*INDEX('PORTIFÓLIO'!$S$4:$S$433,MATCH($C157,'PORTIFÓLIO'!$C$4:$C$433,0)),"")</f>
        <v/>
      </c>
      <c r="M157" s="220" t="n"/>
      <c r="N157" s="220" t="n"/>
      <c r="O157" s="220" t="n"/>
      <c r="P157" s="220" t="n"/>
      <c r="Q157" s="220" t="n"/>
      <c r="R157" s="220" t="n"/>
      <c r="S157" s="220" t="n"/>
      <c r="T157" s="220" t="n"/>
      <c r="U157" s="220" t="n"/>
      <c r="V157" s="220" t="n"/>
      <c r="W157" s="220" t="n"/>
    </row>
    <row r="158" outlineLevel="1" ht="15.75" customHeight="1" s="297">
      <c r="A158" s="211" t="n"/>
      <c r="B158" s="212" t="n"/>
      <c r="C158" s="213" t="n"/>
      <c r="D158" s="214">
        <f>IFERROR(VLOOKUP($C158,'PORTIFÓLIO'!C:V,2,0),"")</f>
        <v/>
      </c>
      <c r="E158" s="211">
        <f>IFERROR(VLOOKUP($C158,'PORTIFÓLIO'!C:V,3,0),"")</f>
        <v/>
      </c>
      <c r="F158" s="211">
        <f>IFERROR(VLOOKUP($C158,'PORTIFÓLIO'!C:V,4,0),"")</f>
        <v/>
      </c>
      <c r="G158" s="215">
        <f>IFERROR(VLOOKUP($C158,'PORTIFÓLIO'!C:V,5,0),"")</f>
        <v/>
      </c>
      <c r="H158" s="254">
        <f t="array" ref="H158">IFERROR(INDEX('PORTIFÓLIO'!$H$4:$H$433,MATCH($C158,'PORTIFÓLIO'!$C$4:$C$433,0)),"")</f>
        <v/>
      </c>
      <c r="I158" s="256" t="n"/>
      <c r="J158" s="218">
        <f>I158*$B$2</f>
        <v/>
      </c>
      <c r="K158" s="219">
        <f t="array" ref="K158">IFERROR(I158*INDEX('PORTIFÓLIO'!$S$4:$S$433,MATCH($C158,'PORTIFÓLIO'!$C$4:$C$433,0)),"")</f>
        <v/>
      </c>
      <c r="L158" s="219">
        <f t="array" ref="L158">IFERROR(J158*INDEX('PORTIFÓLIO'!$S$4:$S$433,MATCH($C158,'PORTIFÓLIO'!$C$4:$C$433,0)),"")</f>
        <v/>
      </c>
      <c r="M158" s="220" t="n"/>
      <c r="N158" s="220" t="n"/>
      <c r="O158" s="220" t="n"/>
      <c r="P158" s="220" t="n"/>
      <c r="Q158" s="220" t="n"/>
      <c r="R158" s="220" t="n"/>
      <c r="S158" s="220" t="n"/>
      <c r="T158" s="220" t="n"/>
      <c r="U158" s="220" t="n"/>
      <c r="V158" s="220" t="n"/>
      <c r="W158" s="220" t="n"/>
    </row>
    <row r="159" outlineLevel="1" ht="15.75" customHeight="1" s="297">
      <c r="A159" s="211" t="n"/>
      <c r="B159" s="212" t="n"/>
      <c r="C159" s="213" t="n"/>
      <c r="D159" s="214">
        <f>IFERROR(VLOOKUP($C159,'PORTIFÓLIO'!C:V,2,0),"")</f>
        <v/>
      </c>
      <c r="E159" s="211">
        <f>IFERROR(VLOOKUP($C159,'PORTIFÓLIO'!C:V,3,0),"")</f>
        <v/>
      </c>
      <c r="F159" s="211">
        <f>IFERROR(VLOOKUP($C159,'PORTIFÓLIO'!C:V,4,0),"")</f>
        <v/>
      </c>
      <c r="G159" s="215">
        <f>IFERROR(VLOOKUP($C159,'PORTIFÓLIO'!C:V,5,0),"")</f>
        <v/>
      </c>
      <c r="H159" s="254">
        <f t="array" ref="H159">IFERROR(INDEX('PORTIFÓLIO'!$H$4:$H$433,MATCH($C159,'PORTIFÓLIO'!$C$4:$C$433,0)),"")</f>
        <v/>
      </c>
      <c r="I159" s="256" t="n"/>
      <c r="J159" s="218">
        <f>I159*$B$2</f>
        <v/>
      </c>
      <c r="K159" s="219">
        <f t="array" ref="K159">IFERROR(I159*INDEX('PORTIFÓLIO'!$S$4:$S$433,MATCH($C159,'PORTIFÓLIO'!$C$4:$C$433,0)),"")</f>
        <v/>
      </c>
      <c r="L159" s="219">
        <f t="array" ref="L159">IFERROR(J159*INDEX('PORTIFÓLIO'!$S$4:$S$433,MATCH($C159,'PORTIFÓLIO'!$C$4:$C$433,0)),"")</f>
        <v/>
      </c>
      <c r="M159" s="220" t="n"/>
      <c r="N159" s="220" t="n"/>
      <c r="O159" s="220" t="n"/>
      <c r="P159" s="220" t="n"/>
      <c r="Q159" s="220" t="n"/>
      <c r="R159" s="220" t="n"/>
      <c r="S159" s="220" t="n"/>
      <c r="T159" s="220" t="n"/>
      <c r="U159" s="220" t="n"/>
      <c r="V159" s="220" t="n"/>
      <c r="W159" s="220" t="n"/>
    </row>
    <row r="160" outlineLevel="1" ht="15.75" customHeight="1" s="297">
      <c r="A160" s="211" t="n"/>
      <c r="B160" s="212" t="n"/>
      <c r="C160" s="213" t="n"/>
      <c r="D160" s="214">
        <f>IFERROR(VLOOKUP($C160,'PORTIFÓLIO'!C:V,2,0),"")</f>
        <v/>
      </c>
      <c r="E160" s="211">
        <f>IFERROR(VLOOKUP($C160,'PORTIFÓLIO'!C:V,3,0),"")</f>
        <v/>
      </c>
      <c r="F160" s="211">
        <f>IFERROR(VLOOKUP($C160,'PORTIFÓLIO'!C:V,4,0),"")</f>
        <v/>
      </c>
      <c r="G160" s="215">
        <f>IFERROR(VLOOKUP($C160,'PORTIFÓLIO'!C:V,5,0),"")</f>
        <v/>
      </c>
      <c r="H160" s="254">
        <f t="array" ref="H160">IFERROR(INDEX('PORTIFÓLIO'!$H$4:$H$433,MATCH($C160,'PORTIFÓLIO'!$C$4:$C$433,0)),"")</f>
        <v/>
      </c>
      <c r="I160" s="256" t="n"/>
      <c r="J160" s="218">
        <f>I160*$B$2</f>
        <v/>
      </c>
      <c r="K160" s="219">
        <f t="array" ref="K160">IFERROR(I160*INDEX('PORTIFÓLIO'!$S$4:$S$433,MATCH($C160,'PORTIFÓLIO'!$C$4:$C$433,0)),"")</f>
        <v/>
      </c>
      <c r="L160" s="219">
        <f t="array" ref="L160">IFERROR(J160*INDEX('PORTIFÓLIO'!$S$4:$S$433,MATCH($C160,'PORTIFÓLIO'!$C$4:$C$433,0)),"")</f>
        <v/>
      </c>
      <c r="M160" s="220" t="n"/>
      <c r="N160" s="220" t="n"/>
      <c r="O160" s="220" t="n"/>
      <c r="P160" s="220" t="n"/>
      <c r="Q160" s="220" t="n"/>
      <c r="R160" s="220" t="n"/>
      <c r="S160" s="220" t="n"/>
      <c r="T160" s="220" t="n"/>
      <c r="U160" s="220" t="n"/>
      <c r="V160" s="220" t="n"/>
      <c r="W160" s="220" t="n"/>
    </row>
    <row r="161" outlineLevel="1" ht="15.75" customHeight="1" s="297">
      <c r="A161" s="211" t="n"/>
      <c r="B161" s="212" t="n"/>
      <c r="C161" s="213" t="n"/>
      <c r="D161" s="214">
        <f>IFERROR(VLOOKUP($C161,'PORTIFÓLIO'!C:V,2,0),"")</f>
        <v/>
      </c>
      <c r="E161" s="211">
        <f>IFERROR(VLOOKUP($C161,'PORTIFÓLIO'!C:V,3,0),"")</f>
        <v/>
      </c>
      <c r="F161" s="211">
        <f>IFERROR(VLOOKUP($C161,'PORTIFÓLIO'!C:V,4,0),"")</f>
        <v/>
      </c>
      <c r="G161" s="215">
        <f>IFERROR(VLOOKUP($C161,'PORTIFÓLIO'!C:V,5,0),"")</f>
        <v/>
      </c>
      <c r="H161" s="254">
        <f t="array" ref="H161">IFERROR(INDEX('PORTIFÓLIO'!$H$4:$H$433,MATCH($C161,'PORTIFÓLIO'!$C$4:$C$433,0)),"")</f>
        <v/>
      </c>
      <c r="I161" s="256" t="n"/>
      <c r="J161" s="218">
        <f>I161*$B$2</f>
        <v/>
      </c>
      <c r="K161" s="219">
        <f t="array" ref="K161">IFERROR(I161*INDEX('PORTIFÓLIO'!$S$4:$S$433,MATCH($C161,'PORTIFÓLIO'!$C$4:$C$433,0)),"")</f>
        <v/>
      </c>
      <c r="L161" s="219">
        <f t="array" ref="L161">IFERROR(J161*INDEX('PORTIFÓLIO'!$S$4:$S$433,MATCH($C161,'PORTIFÓLIO'!$C$4:$C$433,0)),"")</f>
        <v/>
      </c>
      <c r="M161" s="220" t="n"/>
      <c r="N161" s="220" t="n"/>
      <c r="O161" s="220" t="n"/>
      <c r="P161" s="220" t="n"/>
      <c r="Q161" s="220" t="n"/>
      <c r="R161" s="220" t="n"/>
      <c r="S161" s="220" t="n"/>
      <c r="T161" s="220" t="n"/>
      <c r="U161" s="220" t="n"/>
      <c r="V161" s="220" t="n"/>
      <c r="W161" s="220" t="n"/>
    </row>
    <row r="162" outlineLevel="1" ht="15.75" customHeight="1" s="297">
      <c r="A162" s="211" t="n"/>
      <c r="B162" s="212" t="n"/>
      <c r="C162" s="213" t="n"/>
      <c r="D162" s="214">
        <f>IFERROR(VLOOKUP($C162,'PORTIFÓLIO'!C:V,2,0),"")</f>
        <v/>
      </c>
      <c r="E162" s="211">
        <f>IFERROR(VLOOKUP($C162,'PORTIFÓLIO'!C:V,3,0),"")</f>
        <v/>
      </c>
      <c r="F162" s="211">
        <f>IFERROR(VLOOKUP($C162,'PORTIFÓLIO'!C:V,4,0),"")</f>
        <v/>
      </c>
      <c r="G162" s="215">
        <f>IFERROR(VLOOKUP($C162,'PORTIFÓLIO'!C:V,5,0),"")</f>
        <v/>
      </c>
      <c r="H162" s="254">
        <f t="array" ref="H162">IFERROR(INDEX('PORTIFÓLIO'!$H$4:$H$433,MATCH($C162,'PORTIFÓLIO'!$C$4:$C$433,0)),"")</f>
        <v/>
      </c>
      <c r="I162" s="256" t="n"/>
      <c r="J162" s="218">
        <f>I162*$B$2</f>
        <v/>
      </c>
      <c r="K162" s="219">
        <f t="array" ref="K162">IFERROR(I162*INDEX('PORTIFÓLIO'!$S$4:$S$433,MATCH($C162,'PORTIFÓLIO'!$C$4:$C$433,0)),"")</f>
        <v/>
      </c>
      <c r="L162" s="219">
        <f t="array" ref="L162">IFERROR(J162*INDEX('PORTIFÓLIO'!$S$4:$S$433,MATCH($C162,'PORTIFÓLIO'!$C$4:$C$433,0)),"")</f>
        <v/>
      </c>
      <c r="M162" s="220" t="n"/>
      <c r="N162" s="220" t="n"/>
      <c r="O162" s="220" t="n"/>
      <c r="P162" s="220" t="n"/>
      <c r="Q162" s="220" t="n"/>
      <c r="R162" s="220" t="n"/>
      <c r="S162" s="220" t="n"/>
      <c r="T162" s="220" t="n"/>
      <c r="U162" s="220" t="n"/>
      <c r="V162" s="220" t="n"/>
      <c r="W162" s="220" t="n"/>
    </row>
    <row r="163" outlineLevel="1" ht="15.75" customHeight="1" s="297">
      <c r="A163" s="211" t="n"/>
      <c r="B163" s="212" t="n"/>
      <c r="C163" s="213" t="n"/>
      <c r="D163" s="214">
        <f>IFERROR(VLOOKUP($C163,'PORTIFÓLIO'!C:V,2,0),"")</f>
        <v/>
      </c>
      <c r="E163" s="211">
        <f>IFERROR(VLOOKUP($C163,'PORTIFÓLIO'!C:V,3,0),"")</f>
        <v/>
      </c>
      <c r="F163" s="211">
        <f>IFERROR(VLOOKUP($C163,'PORTIFÓLIO'!C:V,4,0),"")</f>
        <v/>
      </c>
      <c r="G163" s="215">
        <f>IFERROR(VLOOKUP($C163,'PORTIFÓLIO'!C:V,5,0),"")</f>
        <v/>
      </c>
      <c r="H163" s="254">
        <f t="array" ref="H163">IFERROR(INDEX('PORTIFÓLIO'!$H$4:$H$433,MATCH($C163,'PORTIFÓLIO'!$C$4:$C$433,0)),"")</f>
        <v/>
      </c>
      <c r="I163" s="256" t="n"/>
      <c r="J163" s="218">
        <f>I163*$B$2</f>
        <v/>
      </c>
      <c r="K163" s="219">
        <f t="array" ref="K163">IFERROR(I163*INDEX('PORTIFÓLIO'!$S$4:$S$433,MATCH($C163,'PORTIFÓLIO'!$C$4:$C$433,0)),"")</f>
        <v/>
      </c>
      <c r="L163" s="219">
        <f t="array" ref="L163">IFERROR(J163*INDEX('PORTIFÓLIO'!$S$4:$S$433,MATCH($C163,'PORTIFÓLIO'!$C$4:$C$433,0)),"")</f>
        <v/>
      </c>
      <c r="M163" s="220" t="n"/>
      <c r="N163" s="220" t="n"/>
      <c r="O163" s="220" t="n"/>
      <c r="P163" s="220" t="n"/>
      <c r="Q163" s="220" t="n"/>
      <c r="R163" s="220" t="n"/>
      <c r="S163" s="220" t="n"/>
      <c r="T163" s="220" t="n"/>
      <c r="U163" s="220" t="n"/>
      <c r="V163" s="220" t="n"/>
      <c r="W163" s="220" t="n"/>
    </row>
    <row r="164" outlineLevel="1" ht="15.75" customHeight="1" s="297">
      <c r="A164" s="211" t="n"/>
      <c r="B164" s="227" t="n"/>
      <c r="C164" s="211" t="n"/>
      <c r="D164" s="214">
        <f>IFERROR(VLOOKUP($C164,'PORTIFÓLIO'!C:V,2,0),"")</f>
        <v/>
      </c>
      <c r="E164" s="211">
        <f>IFERROR(VLOOKUP($C164,'PORTIFÓLIO'!C:V,3,0),"")</f>
        <v/>
      </c>
      <c r="F164" s="211">
        <f>IFERROR(VLOOKUP($C164,'PORTIFÓLIO'!C:V,4,0),"")</f>
        <v/>
      </c>
      <c r="G164" s="215">
        <f>IFERROR(VLOOKUP($C164,'PORTIFÓLIO'!C:V,5,0),"")</f>
        <v/>
      </c>
      <c r="H164" s="254">
        <f t="array" ref="H164">IFERROR(INDEX('PORTIFÓLIO'!$H$4:$H$433,MATCH($C164,'PORTIFÓLIO'!$C$4:$C$433,0)),"")</f>
        <v/>
      </c>
      <c r="I164" s="256" t="n"/>
      <c r="J164" s="218" t="n"/>
      <c r="K164" s="219">
        <f t="array" ref="K164">IFERROR(I164*INDEX('PORTIFÓLIO'!$S$4:$S$433,MATCH($C164,'PORTIFÓLIO'!$C$4:$C$433,0)),"")</f>
        <v/>
      </c>
      <c r="L164" s="219">
        <f t="array" ref="L164">IFERROR(J164*INDEX('PORTIFÓLIO'!$S$4:$S$433,MATCH($C164,'PORTIFÓLIO'!$C$4:$C$433,0)),"")</f>
        <v/>
      </c>
      <c r="M164" s="220" t="n"/>
      <c r="N164" s="220" t="n"/>
      <c r="O164" s="220" t="n"/>
      <c r="P164" s="220" t="n"/>
      <c r="Q164" s="220" t="n"/>
      <c r="R164" s="220" t="n"/>
      <c r="S164" s="220" t="n"/>
      <c r="T164" s="220" t="n"/>
      <c r="U164" s="220" t="n"/>
      <c r="V164" s="220" t="n"/>
      <c r="W164" s="220" t="n"/>
    </row>
    <row r="165" ht="15.75" customHeight="1" s="297">
      <c r="A165" s="229" t="inlineStr">
        <is>
          <t>OPERAÇÃO 10</t>
        </is>
      </c>
      <c r="B165" s="230" t="n"/>
      <c r="C165" s="231" t="n"/>
      <c r="D165" s="232" t="n"/>
      <c r="E165" s="231" t="n"/>
      <c r="F165" s="231" t="n"/>
      <c r="G165" s="233" t="n"/>
      <c r="H165" s="233" t="n"/>
      <c r="I165" s="258" t="n"/>
      <c r="J165" s="236" t="n"/>
      <c r="K165" s="237">
        <f>SUBTOTAL(9,K166:K179)</f>
        <v/>
      </c>
      <c r="L165" s="237">
        <f>SUBTOTAL(9,L166:L179)</f>
        <v/>
      </c>
      <c r="M165" s="220" t="n"/>
      <c r="N165" s="220" t="n"/>
      <c r="O165" s="220" t="n"/>
      <c r="P165" s="220" t="n"/>
      <c r="Q165" s="220" t="n"/>
      <c r="R165" s="220" t="n"/>
      <c r="S165" s="220" t="n"/>
      <c r="T165" s="220" t="n"/>
      <c r="U165" s="220" t="n"/>
      <c r="V165" s="220" t="n"/>
      <c r="W165" s="220" t="n"/>
    </row>
    <row r="166" outlineLevel="1" ht="15.75" customHeight="1" s="297">
      <c r="A166" s="213" t="n"/>
      <c r="B166" s="212" t="inlineStr">
        <is>
          <t>HERBICIDA</t>
        </is>
      </c>
      <c r="C166" s="213" t="inlineStr">
        <is>
          <t>REGLONE</t>
        </is>
      </c>
      <c r="D166" s="214">
        <f>IFERROR(VLOOKUP($C166,'PORTIFÓLIO'!C:V,2,0),"")</f>
        <v/>
      </c>
      <c r="E166" s="211">
        <f>IFERROR(VLOOKUP($C166,'PORTIFÓLIO'!C:V,3,0),"")</f>
        <v/>
      </c>
      <c r="F166" s="211">
        <f>IFERROR(VLOOKUP($C166,'PORTIFÓLIO'!C:V,4,0),"")</f>
        <v/>
      </c>
      <c r="G166" s="225">
        <f>IFERROR(VLOOKUP($C166,'PORTIFÓLIO'!C:V,5,0),"")</f>
        <v/>
      </c>
      <c r="H166" s="254">
        <f t="array" ref="H166">IFERROR(INDEX('PORTIFÓLIO'!$H$4:$H$433,MATCH($C166,'PORTIFÓLIO'!$C$4:$C$433,0)),"")</f>
        <v/>
      </c>
      <c r="I166" s="255" t="n">
        <v>2</v>
      </c>
      <c r="J166" s="218">
        <f>I166*$B$2</f>
        <v/>
      </c>
      <c r="K166" s="219">
        <f t="array" ref="K166">IFERROR(I166*INDEX('PORTIFÓLIO'!$S$4:$S$433,MATCH($C166,'PORTIFÓLIO'!$C$4:$C$433,0)),"")</f>
        <v/>
      </c>
      <c r="L166" s="219">
        <f t="array" ref="L166">IFERROR(J166*INDEX('PORTIFÓLIO'!$S$4:$S$433,MATCH($C166,'PORTIFÓLIO'!$C$4:$C$433,0)),"")</f>
        <v/>
      </c>
      <c r="M166" s="220" t="n"/>
      <c r="N166" s="220" t="n"/>
      <c r="O166" s="220" t="n"/>
      <c r="P166" s="220" t="n"/>
      <c r="Q166" s="220" t="n"/>
      <c r="R166" s="220" t="n"/>
      <c r="S166" s="220" t="n"/>
      <c r="T166" s="220" t="n"/>
      <c r="U166" s="220" t="n"/>
      <c r="V166" s="220" t="n"/>
      <c r="W166" s="220" t="n"/>
    </row>
    <row r="167" outlineLevel="1" ht="15.75" customHeight="1" s="297">
      <c r="A167" s="211" t="n"/>
      <c r="B167" s="212" t="inlineStr">
        <is>
          <t>ADJUVANTE</t>
        </is>
      </c>
      <c r="C167" s="213" t="inlineStr">
        <is>
          <t>JOINT ULTRA</t>
        </is>
      </c>
      <c r="D167" s="214">
        <f>IFERROR(VLOOKUP($C167,'PORTIFÓLIO'!C:V,2,0),"")</f>
        <v/>
      </c>
      <c r="E167" s="211">
        <f>IFERROR(VLOOKUP($C167,'PORTIFÓLIO'!C:V,3,0),"")</f>
        <v/>
      </c>
      <c r="F167" s="211">
        <f>IFERROR(VLOOKUP($C167,'PORTIFÓLIO'!C:V,4,0),"")</f>
        <v/>
      </c>
      <c r="G167" s="225">
        <f>IFERROR(VLOOKUP($C167,'PORTIFÓLIO'!C:V,5,0),"")</f>
        <v/>
      </c>
      <c r="H167" s="254">
        <f t="array" ref="H167">IFERROR(INDEX('PORTIFÓLIO'!$H$4:$H$433,MATCH($C167,'PORTIFÓLIO'!$C$4:$C$433,0)),"")</f>
        <v/>
      </c>
      <c r="I167" s="255" t="n">
        <v>0.2</v>
      </c>
      <c r="J167" s="218">
        <f>I167*$B$2</f>
        <v/>
      </c>
      <c r="K167" s="219">
        <f t="array" ref="K167">IFERROR(I167*INDEX('PORTIFÓLIO'!$S$4:$S$433,MATCH($C167,'PORTIFÓLIO'!$C$4:$C$433,0)),"")</f>
        <v/>
      </c>
      <c r="L167" s="219">
        <f t="array" ref="L167">IFERROR(J167*INDEX('PORTIFÓLIO'!$S$4:$S$433,MATCH($C167,'PORTIFÓLIO'!$C$4:$C$433,0)),"")</f>
        <v/>
      </c>
      <c r="M167" s="220" t="n"/>
      <c r="N167" s="220" t="n"/>
      <c r="O167" s="220" t="n"/>
      <c r="P167" s="220" t="n"/>
      <c r="Q167" s="220" t="n"/>
      <c r="R167" s="220" t="n"/>
      <c r="S167" s="220" t="n"/>
      <c r="T167" s="220" t="n"/>
      <c r="U167" s="220" t="n"/>
      <c r="V167" s="220" t="n"/>
      <c r="W167" s="220" t="n"/>
    </row>
    <row r="168" outlineLevel="1" ht="15.75" customHeight="1" s="297">
      <c r="A168" s="211" t="n"/>
      <c r="B168" s="212" t="n"/>
      <c r="C168" s="213" t="n"/>
      <c r="D168" s="214">
        <f>IFERROR(VLOOKUP($C168,'PORTIFÓLIO'!C:V,2,0),"")</f>
        <v/>
      </c>
      <c r="E168" s="211">
        <f>IFERROR(VLOOKUP($C168,'PORTIFÓLIO'!C:V,3,0),"")</f>
        <v/>
      </c>
      <c r="F168" s="211">
        <f>IFERROR(VLOOKUP($C168,'PORTIFÓLIO'!C:V,4,0),"")</f>
        <v/>
      </c>
      <c r="G168" s="215">
        <f>IFERROR(VLOOKUP($C168,'PORTIFÓLIO'!C:V,5,0),"")</f>
        <v/>
      </c>
      <c r="H168" s="254">
        <f t="array" ref="H168">IFERROR(INDEX('PORTIFÓLIO'!$H$4:$H$433,MATCH($C168,'PORTIFÓLIO'!$C$4:$C$433,0)),"")</f>
        <v/>
      </c>
      <c r="I168" s="256" t="n"/>
      <c r="J168" s="218">
        <f>I168*$B$2</f>
        <v/>
      </c>
      <c r="K168" s="219">
        <f t="array" ref="K168">IFERROR(I168*INDEX('PORTIFÓLIO'!$S$4:$S$433,MATCH($C168,'PORTIFÓLIO'!$C$4:$C$433,0)),"")</f>
        <v/>
      </c>
      <c r="L168" s="219">
        <f t="array" ref="L168">IFERROR(J168*INDEX('PORTIFÓLIO'!$S$4:$S$433,MATCH($C168,'PORTIFÓLIO'!$C$4:$C$433,0)),"")</f>
        <v/>
      </c>
      <c r="M168" s="220" t="n"/>
      <c r="N168" s="220" t="n"/>
      <c r="O168" s="220" t="n"/>
      <c r="P168" s="220" t="n"/>
      <c r="Q168" s="220" t="n"/>
      <c r="R168" s="220" t="n"/>
      <c r="S168" s="220" t="n"/>
      <c r="T168" s="220" t="n"/>
      <c r="U168" s="220" t="n"/>
      <c r="V168" s="220" t="n"/>
      <c r="W168" s="220" t="n"/>
    </row>
    <row r="169" outlineLevel="1" ht="15.75" customHeight="1" s="297">
      <c r="A169" s="211" t="n"/>
      <c r="B169" s="212" t="n"/>
      <c r="C169" s="213" t="n"/>
      <c r="D169" s="214">
        <f>IFERROR(VLOOKUP($C169,'PORTIFÓLIO'!C:V,2,0),"")</f>
        <v/>
      </c>
      <c r="E169" s="211">
        <f>IFERROR(VLOOKUP($C169,'PORTIFÓLIO'!C:V,3,0),"")</f>
        <v/>
      </c>
      <c r="F169" s="211">
        <f>IFERROR(VLOOKUP($C169,'PORTIFÓLIO'!C:V,4,0),"")</f>
        <v/>
      </c>
      <c r="G169" s="215">
        <f>IFERROR(VLOOKUP($C169,'PORTIFÓLIO'!C:V,5,0),"")</f>
        <v/>
      </c>
      <c r="H169" s="254">
        <f t="array" ref="H169">IFERROR(INDEX('PORTIFÓLIO'!$H$4:$H$433,MATCH($C169,'PORTIFÓLIO'!$C$4:$C$433,0)),"")</f>
        <v/>
      </c>
      <c r="I169" s="256" t="n"/>
      <c r="J169" s="218">
        <f>I169*$B$2</f>
        <v/>
      </c>
      <c r="K169" s="219">
        <f t="array" ref="K169">IFERROR(I169*INDEX('PORTIFÓLIO'!$S$4:$S$433,MATCH($C169,'PORTIFÓLIO'!$C$4:$C$433,0)),"")</f>
        <v/>
      </c>
      <c r="L169" s="219">
        <f t="array" ref="L169">IFERROR(J169*INDEX('PORTIFÓLIO'!$S$4:$S$433,MATCH($C169,'PORTIFÓLIO'!$C$4:$C$433,0)),"")</f>
        <v/>
      </c>
      <c r="M169" s="220" t="n"/>
      <c r="N169" s="220" t="n"/>
      <c r="O169" s="220" t="n"/>
      <c r="P169" s="220" t="n"/>
      <c r="Q169" s="220" t="n"/>
      <c r="R169" s="220" t="n"/>
      <c r="S169" s="220" t="n"/>
      <c r="T169" s="220" t="n"/>
      <c r="U169" s="220" t="n"/>
      <c r="V169" s="220" t="n"/>
      <c r="W169" s="220" t="n"/>
    </row>
    <row r="170" outlineLevel="1" ht="15.75" customHeight="1" s="297">
      <c r="A170" s="211" t="n"/>
      <c r="B170" s="212" t="n"/>
      <c r="C170" s="213" t="n"/>
      <c r="D170" s="214">
        <f>IFERROR(VLOOKUP($C170,'PORTIFÓLIO'!C:V,2,0),"")</f>
        <v/>
      </c>
      <c r="E170" s="211">
        <f>IFERROR(VLOOKUP($C170,'PORTIFÓLIO'!C:V,3,0),"")</f>
        <v/>
      </c>
      <c r="F170" s="211">
        <f>IFERROR(VLOOKUP($C170,'PORTIFÓLIO'!C:V,4,0),"")</f>
        <v/>
      </c>
      <c r="G170" s="215">
        <f>IFERROR(VLOOKUP($C170,'PORTIFÓLIO'!C:V,5,0),"")</f>
        <v/>
      </c>
      <c r="H170" s="254">
        <f t="array" ref="H170">IFERROR(INDEX('PORTIFÓLIO'!$H$4:$H$433,MATCH($C170,'PORTIFÓLIO'!$C$4:$C$433,0)),"")</f>
        <v/>
      </c>
      <c r="I170" s="256" t="n"/>
      <c r="J170" s="218">
        <f>I170*$B$2</f>
        <v/>
      </c>
      <c r="K170" s="219">
        <f t="array" ref="K170">IFERROR(I170*INDEX('PORTIFÓLIO'!$S$4:$S$433,MATCH($C170,'PORTIFÓLIO'!$C$4:$C$433,0)),"")</f>
        <v/>
      </c>
      <c r="L170" s="219">
        <f t="array" ref="L170">IFERROR(J170*INDEX('PORTIFÓLIO'!$S$4:$S$433,MATCH($C170,'PORTIFÓLIO'!$C$4:$C$433,0)),"")</f>
        <v/>
      </c>
      <c r="M170" s="220" t="n"/>
      <c r="N170" s="220" t="n"/>
      <c r="O170" s="220" t="n"/>
      <c r="P170" s="220" t="n"/>
      <c r="Q170" s="220" t="n"/>
      <c r="R170" s="220" t="n"/>
      <c r="S170" s="220" t="n"/>
      <c r="T170" s="220" t="n"/>
      <c r="U170" s="220" t="n"/>
      <c r="V170" s="220" t="n"/>
      <c r="W170" s="220" t="n"/>
    </row>
    <row r="171" outlineLevel="1" ht="15.75" customHeight="1" s="297">
      <c r="A171" s="211" t="n"/>
      <c r="B171" s="212" t="n"/>
      <c r="C171" s="213" t="n"/>
      <c r="D171" s="214">
        <f>IFERROR(VLOOKUP($C171,'PORTIFÓLIO'!C:V,2,0),"")</f>
        <v/>
      </c>
      <c r="E171" s="211">
        <f>IFERROR(VLOOKUP($C171,'PORTIFÓLIO'!C:V,3,0),"")</f>
        <v/>
      </c>
      <c r="F171" s="211">
        <f>IFERROR(VLOOKUP($C171,'PORTIFÓLIO'!C:V,4,0),"")</f>
        <v/>
      </c>
      <c r="G171" s="215">
        <f>IFERROR(VLOOKUP($C171,'PORTIFÓLIO'!C:V,5,0),"")</f>
        <v/>
      </c>
      <c r="H171" s="254">
        <f t="array" ref="H171">IFERROR(INDEX('PORTIFÓLIO'!$H$4:$H$433,MATCH($C171,'PORTIFÓLIO'!$C$4:$C$433,0)),"")</f>
        <v/>
      </c>
      <c r="I171" s="256" t="n"/>
      <c r="J171" s="218">
        <f>I171*$B$2</f>
        <v/>
      </c>
      <c r="K171" s="219">
        <f t="array" ref="K171">IFERROR(I171*INDEX('PORTIFÓLIO'!$S$4:$S$433,MATCH($C171,'PORTIFÓLIO'!$C$4:$C$433,0)),"")</f>
        <v/>
      </c>
      <c r="L171" s="219">
        <f t="array" ref="L171">IFERROR(J171*INDEX('PORTIFÓLIO'!$S$4:$S$433,MATCH($C171,'PORTIFÓLIO'!$C$4:$C$433,0)),"")</f>
        <v/>
      </c>
      <c r="M171" s="220" t="n"/>
      <c r="N171" s="220" t="n"/>
      <c r="O171" s="220" t="n"/>
      <c r="P171" s="220" t="n"/>
      <c r="Q171" s="220" t="n"/>
      <c r="R171" s="220" t="n"/>
      <c r="S171" s="220" t="n"/>
      <c r="T171" s="220" t="n"/>
      <c r="U171" s="220" t="n"/>
      <c r="V171" s="220" t="n"/>
      <c r="W171" s="220" t="n"/>
    </row>
    <row r="172" outlineLevel="1" ht="15.75" customHeight="1" s="297">
      <c r="A172" s="211" t="n"/>
      <c r="B172" s="212" t="n"/>
      <c r="C172" s="213" t="n"/>
      <c r="D172" s="214">
        <f>IFERROR(VLOOKUP($C172,'PORTIFÓLIO'!C:V,2,0),"")</f>
        <v/>
      </c>
      <c r="E172" s="211">
        <f>IFERROR(VLOOKUP($C172,'PORTIFÓLIO'!C:V,3,0),"")</f>
        <v/>
      </c>
      <c r="F172" s="211">
        <f>IFERROR(VLOOKUP($C172,'PORTIFÓLIO'!C:V,4,0),"")</f>
        <v/>
      </c>
      <c r="G172" s="215">
        <f>IFERROR(VLOOKUP($C172,'PORTIFÓLIO'!C:V,5,0),"")</f>
        <v/>
      </c>
      <c r="H172" s="254">
        <f t="array" ref="H172">IFERROR(INDEX('PORTIFÓLIO'!$H$4:$H$433,MATCH($C172,'PORTIFÓLIO'!$C$4:$C$433,0)),"")</f>
        <v/>
      </c>
      <c r="I172" s="256" t="n"/>
      <c r="J172" s="218">
        <f>I172*$B$2</f>
        <v/>
      </c>
      <c r="K172" s="219">
        <f t="array" ref="K172">IFERROR(I172*INDEX('PORTIFÓLIO'!$S$4:$S$433,MATCH($C172,'PORTIFÓLIO'!$C$4:$C$433,0)),"")</f>
        <v/>
      </c>
      <c r="L172" s="219">
        <f t="array" ref="L172">IFERROR(J172*INDEX('PORTIFÓLIO'!$S$4:$S$433,MATCH($C172,'PORTIFÓLIO'!$C$4:$C$433,0)),"")</f>
        <v/>
      </c>
      <c r="M172" s="220" t="n"/>
      <c r="N172" s="220" t="n"/>
      <c r="O172" s="220" t="n"/>
      <c r="P172" s="220" t="n"/>
      <c r="Q172" s="220" t="n"/>
      <c r="R172" s="220" t="n"/>
      <c r="S172" s="220" t="n"/>
      <c r="T172" s="220" t="n"/>
      <c r="U172" s="220" t="n"/>
      <c r="V172" s="220" t="n"/>
      <c r="W172" s="220" t="n"/>
    </row>
    <row r="173" outlineLevel="1" ht="15.75" customHeight="1" s="297">
      <c r="A173" s="211" t="n"/>
      <c r="B173" s="212" t="n"/>
      <c r="C173" s="213" t="n"/>
      <c r="D173" s="214">
        <f>IFERROR(VLOOKUP($C173,'PORTIFÓLIO'!C:V,2,0),"")</f>
        <v/>
      </c>
      <c r="E173" s="211">
        <f>IFERROR(VLOOKUP($C173,'PORTIFÓLIO'!C:V,3,0),"")</f>
        <v/>
      </c>
      <c r="F173" s="211">
        <f>IFERROR(VLOOKUP($C173,'PORTIFÓLIO'!C:V,4,0),"")</f>
        <v/>
      </c>
      <c r="G173" s="215">
        <f>IFERROR(VLOOKUP($C173,'PORTIFÓLIO'!C:V,5,0),"")</f>
        <v/>
      </c>
      <c r="H173" s="254">
        <f t="array" ref="H173">IFERROR(INDEX('PORTIFÓLIO'!$H$4:$H$433,MATCH($C173,'PORTIFÓLIO'!$C$4:$C$433,0)),"")</f>
        <v/>
      </c>
      <c r="I173" s="256" t="n"/>
      <c r="J173" s="218">
        <f>I173*$B$2</f>
        <v/>
      </c>
      <c r="K173" s="219">
        <f t="array" ref="K173">IFERROR(I173*INDEX('PORTIFÓLIO'!$S$4:$S$433,MATCH($C173,'PORTIFÓLIO'!$C$4:$C$433,0)),"")</f>
        <v/>
      </c>
      <c r="L173" s="219">
        <f t="array" ref="L173">IFERROR(J173*INDEX('PORTIFÓLIO'!$S$4:$S$433,MATCH($C173,'PORTIFÓLIO'!$C$4:$C$433,0)),"")</f>
        <v/>
      </c>
      <c r="M173" s="220" t="n"/>
      <c r="N173" s="220" t="n"/>
      <c r="O173" s="220" t="n"/>
      <c r="P173" s="220" t="n"/>
      <c r="Q173" s="220" t="n"/>
      <c r="R173" s="220" t="n"/>
      <c r="S173" s="220" t="n"/>
      <c r="T173" s="220" t="n"/>
      <c r="U173" s="220" t="n"/>
      <c r="V173" s="220" t="n"/>
      <c r="W173" s="220" t="n"/>
    </row>
    <row r="174" outlineLevel="1" ht="15.75" customHeight="1" s="297">
      <c r="A174" s="211" t="n"/>
      <c r="B174" s="212" t="n"/>
      <c r="C174" s="213" t="n"/>
      <c r="D174" s="214">
        <f>IFERROR(VLOOKUP($C174,'PORTIFÓLIO'!C:V,2,0),"")</f>
        <v/>
      </c>
      <c r="E174" s="211">
        <f>IFERROR(VLOOKUP($C174,'PORTIFÓLIO'!C:V,3,0),"")</f>
        <v/>
      </c>
      <c r="F174" s="211">
        <f>IFERROR(VLOOKUP($C174,'PORTIFÓLIO'!C:V,4,0),"")</f>
        <v/>
      </c>
      <c r="G174" s="215">
        <f>IFERROR(VLOOKUP($C174,'PORTIFÓLIO'!C:V,5,0),"")</f>
        <v/>
      </c>
      <c r="H174" s="254">
        <f t="array" ref="H174">IFERROR(INDEX('PORTIFÓLIO'!$H$4:$H$433,MATCH($C174,'PORTIFÓLIO'!$C$4:$C$433,0)),"")</f>
        <v/>
      </c>
      <c r="I174" s="255" t="n"/>
      <c r="J174" s="218">
        <f>I174*$B$2</f>
        <v/>
      </c>
      <c r="K174" s="219">
        <f t="array" ref="K174">IFERROR(I174*INDEX('PORTIFÓLIO'!$S$4:$S$433,MATCH($C174,'PORTIFÓLIO'!$C$4:$C$433,0)),"")</f>
        <v/>
      </c>
      <c r="L174" s="219">
        <f t="array" ref="L174">IFERROR(J174*INDEX('PORTIFÓLIO'!$S$4:$S$433,MATCH($C174,'PORTIFÓLIO'!$C$4:$C$433,0)),"")</f>
        <v/>
      </c>
      <c r="M174" s="220" t="n"/>
      <c r="N174" s="220" t="n"/>
      <c r="O174" s="220" t="n"/>
      <c r="P174" s="220" t="n"/>
      <c r="Q174" s="220" t="n"/>
      <c r="R174" s="220" t="n"/>
      <c r="S174" s="220" t="n"/>
      <c r="T174" s="220" t="n"/>
      <c r="U174" s="220" t="n"/>
      <c r="V174" s="220" t="n"/>
      <c r="W174" s="220" t="n"/>
    </row>
    <row r="175" outlineLevel="1" ht="15.75" customHeight="1" s="297">
      <c r="A175" s="211" t="n"/>
      <c r="B175" s="212" t="n"/>
      <c r="C175" s="213" t="n"/>
      <c r="D175" s="214">
        <f>IFERROR(VLOOKUP($C175,'PORTIFÓLIO'!C:V,2,0),"")</f>
        <v/>
      </c>
      <c r="E175" s="211">
        <f>IFERROR(VLOOKUP($C175,'PORTIFÓLIO'!C:V,3,0),"")</f>
        <v/>
      </c>
      <c r="F175" s="211">
        <f>IFERROR(VLOOKUP($C175,'PORTIFÓLIO'!C:V,4,0),"")</f>
        <v/>
      </c>
      <c r="G175" s="215">
        <f>IFERROR(VLOOKUP($C175,'PORTIFÓLIO'!C:V,5,0),"")</f>
        <v/>
      </c>
      <c r="H175" s="254">
        <f t="array" ref="H175">IFERROR(INDEX('PORTIFÓLIO'!$H$4:$H$433,MATCH($C175,'PORTIFÓLIO'!$C$4:$C$433,0)),"")</f>
        <v/>
      </c>
      <c r="I175" s="256" t="n"/>
      <c r="J175" s="218">
        <f>I175*$B$2</f>
        <v/>
      </c>
      <c r="K175" s="219">
        <f t="array" ref="K175">IFERROR(I175*INDEX('PORTIFÓLIO'!$S$4:$S$433,MATCH($C175,'PORTIFÓLIO'!$C$4:$C$433,0)),"")</f>
        <v/>
      </c>
      <c r="L175" s="219">
        <f t="array" ref="L175">IFERROR(J175*INDEX('PORTIFÓLIO'!$S$4:$S$433,MATCH($C175,'PORTIFÓLIO'!$C$4:$C$433,0)),"")</f>
        <v/>
      </c>
      <c r="M175" s="220" t="n"/>
      <c r="N175" s="220" t="n"/>
      <c r="O175" s="220" t="n"/>
      <c r="P175" s="220" t="n"/>
      <c r="Q175" s="220" t="n"/>
      <c r="R175" s="220" t="n"/>
      <c r="S175" s="220" t="n"/>
      <c r="T175" s="220" t="n"/>
      <c r="U175" s="220" t="n"/>
      <c r="V175" s="220" t="n"/>
      <c r="W175" s="220" t="n"/>
    </row>
    <row r="176" outlineLevel="1" ht="15.75" customHeight="1" s="297">
      <c r="A176" s="211" t="n"/>
      <c r="B176" s="212" t="n"/>
      <c r="C176" s="213" t="n"/>
      <c r="D176" s="214">
        <f>IFERROR(VLOOKUP($C176,'PORTIFÓLIO'!C:V,2,0),"")</f>
        <v/>
      </c>
      <c r="E176" s="211">
        <f>IFERROR(VLOOKUP($C176,'PORTIFÓLIO'!C:V,3,0),"")</f>
        <v/>
      </c>
      <c r="F176" s="211">
        <f>IFERROR(VLOOKUP($C176,'PORTIFÓLIO'!C:V,4,0),"")</f>
        <v/>
      </c>
      <c r="G176" s="215">
        <f>IFERROR(VLOOKUP($C176,'PORTIFÓLIO'!C:V,5,0),"")</f>
        <v/>
      </c>
      <c r="H176" s="254">
        <f t="array" ref="H176">IFERROR(INDEX('PORTIFÓLIO'!$H$4:$H$433,MATCH($C176,'PORTIFÓLIO'!$C$4:$C$433,0)),"")</f>
        <v/>
      </c>
      <c r="I176" s="256" t="n"/>
      <c r="J176" s="218">
        <f>I176*$B$2</f>
        <v/>
      </c>
      <c r="K176" s="219">
        <f t="array" ref="K176">IFERROR(I176*INDEX('PORTIFÓLIO'!$S$4:$S$433,MATCH($C176,'PORTIFÓLIO'!$C$4:$C$433,0)),"")</f>
        <v/>
      </c>
      <c r="L176" s="219">
        <f t="array" ref="L176">IFERROR(J176*INDEX('PORTIFÓLIO'!$S$4:$S$433,MATCH($C176,'PORTIFÓLIO'!$C$4:$C$433,0)),"")</f>
        <v/>
      </c>
      <c r="M176" s="220" t="n"/>
      <c r="N176" s="220" t="n"/>
      <c r="O176" s="220" t="n"/>
      <c r="P176" s="220" t="n"/>
      <c r="Q176" s="220" t="n"/>
      <c r="R176" s="220" t="n"/>
      <c r="S176" s="220" t="n"/>
      <c r="T176" s="220" t="n"/>
      <c r="U176" s="220" t="n"/>
      <c r="V176" s="220" t="n"/>
      <c r="W176" s="220" t="n"/>
    </row>
    <row r="177" outlineLevel="1" ht="15.75" customHeight="1" s="297">
      <c r="A177" s="211" t="n"/>
      <c r="B177" s="212" t="n"/>
      <c r="C177" s="213" t="n"/>
      <c r="D177" s="214">
        <f>IFERROR(VLOOKUP($C177,'PORTIFÓLIO'!C:V,2,0),"")</f>
        <v/>
      </c>
      <c r="E177" s="211">
        <f>IFERROR(VLOOKUP($C177,'PORTIFÓLIO'!C:V,3,0),"")</f>
        <v/>
      </c>
      <c r="F177" s="211">
        <f>IFERROR(VLOOKUP($C177,'PORTIFÓLIO'!C:V,4,0),"")</f>
        <v/>
      </c>
      <c r="G177" s="215">
        <f>IFERROR(VLOOKUP($C177,'PORTIFÓLIO'!C:V,5,0),"")</f>
        <v/>
      </c>
      <c r="H177" s="254">
        <f t="array" ref="H177">IFERROR(INDEX('PORTIFÓLIO'!$H$4:$H$433,MATCH($C177,'PORTIFÓLIO'!$C$4:$C$433,0)),"")</f>
        <v/>
      </c>
      <c r="I177" s="256" t="n"/>
      <c r="J177" s="218">
        <f>I177*$B$2</f>
        <v/>
      </c>
      <c r="K177" s="219">
        <f t="array" ref="K177">IFERROR(I177*INDEX('PORTIFÓLIO'!$S$4:$S$433,MATCH($C177,'PORTIFÓLIO'!$C$4:$C$433,0)),"")</f>
        <v/>
      </c>
      <c r="L177" s="219">
        <f t="array" ref="L177">IFERROR(J177*INDEX('PORTIFÓLIO'!$S$4:$S$433,MATCH($C177,'PORTIFÓLIO'!$C$4:$C$433,0)),"")</f>
        <v/>
      </c>
      <c r="M177" s="220" t="n"/>
      <c r="N177" s="220" t="n"/>
      <c r="O177" s="220" t="n"/>
      <c r="P177" s="220" t="n"/>
      <c r="Q177" s="220" t="n"/>
      <c r="R177" s="220" t="n"/>
      <c r="S177" s="220" t="n"/>
      <c r="T177" s="220" t="n"/>
      <c r="U177" s="220" t="n"/>
      <c r="V177" s="220" t="n"/>
      <c r="W177" s="220" t="n"/>
    </row>
    <row r="178" outlineLevel="1" ht="15.75" customHeight="1" s="297">
      <c r="A178" s="211" t="n"/>
      <c r="B178" s="212" t="n"/>
      <c r="C178" s="213" t="n"/>
      <c r="D178" s="214">
        <f>IFERROR(VLOOKUP($C178,'PORTIFÓLIO'!C:V,2,0),"")</f>
        <v/>
      </c>
      <c r="E178" s="211">
        <f>IFERROR(VLOOKUP($C178,'PORTIFÓLIO'!C:V,3,0),"")</f>
        <v/>
      </c>
      <c r="F178" s="211">
        <f>IFERROR(VLOOKUP($C178,'PORTIFÓLIO'!C:V,4,0),"")</f>
        <v/>
      </c>
      <c r="G178" s="215">
        <f>IFERROR(VLOOKUP($C178,'PORTIFÓLIO'!C:V,5,0),"")</f>
        <v/>
      </c>
      <c r="H178" s="254">
        <f t="array" ref="H178">IFERROR(INDEX('PORTIFÓLIO'!$H$4:$H$433,MATCH($C178,'PORTIFÓLIO'!$C$4:$C$433,0)),"")</f>
        <v/>
      </c>
      <c r="I178" s="256" t="n"/>
      <c r="J178" s="218">
        <f>I178*$B$2</f>
        <v/>
      </c>
      <c r="K178" s="219">
        <f t="array" ref="K178">IFERROR(I178*INDEX('PORTIFÓLIO'!$S$4:$S$433,MATCH($C178,'PORTIFÓLIO'!$C$4:$C$433,0)),"")</f>
        <v/>
      </c>
      <c r="L178" s="219">
        <f t="array" ref="L178">IFERROR(J178*INDEX('PORTIFÓLIO'!$S$4:$S$433,MATCH($C178,'PORTIFÓLIO'!$C$4:$C$433,0)),"")</f>
        <v/>
      </c>
      <c r="M178" s="220" t="n"/>
      <c r="N178" s="220" t="n"/>
      <c r="O178" s="220" t="n"/>
      <c r="P178" s="220" t="n"/>
      <c r="Q178" s="220" t="n"/>
      <c r="R178" s="220" t="n"/>
      <c r="S178" s="220" t="n"/>
      <c r="T178" s="220" t="n"/>
      <c r="U178" s="220" t="n"/>
      <c r="V178" s="220" t="n"/>
      <c r="W178" s="220" t="n"/>
    </row>
    <row r="179" outlineLevel="1" ht="15.75" customHeight="1" s="297">
      <c r="A179" s="211" t="n"/>
      <c r="B179" s="212" t="n"/>
      <c r="C179" s="213" t="n"/>
      <c r="D179" s="214">
        <f>IFERROR(VLOOKUP($C179,'PORTIFÓLIO'!C:V,2,0),"")</f>
        <v/>
      </c>
      <c r="E179" s="211">
        <f>IFERROR(VLOOKUP($C179,'PORTIFÓLIO'!C:V,3,0),"")</f>
        <v/>
      </c>
      <c r="F179" s="211">
        <f>IFERROR(VLOOKUP($C179,'PORTIFÓLIO'!C:V,4,0),"")</f>
        <v/>
      </c>
      <c r="G179" s="215">
        <f>IFERROR(VLOOKUP($C179,'PORTIFÓLIO'!C:V,5,0),"")</f>
        <v/>
      </c>
      <c r="H179" s="254">
        <f t="array" ref="H179">IFERROR(INDEX('PORTIFÓLIO'!$H$4:$H$433,MATCH($C179,'PORTIFÓLIO'!$C$4:$C$433,0)),"")</f>
        <v/>
      </c>
      <c r="I179" s="256" t="n"/>
      <c r="J179" s="218">
        <f>I179*$B$2</f>
        <v/>
      </c>
      <c r="K179" s="219">
        <f t="array" ref="K179">IFERROR(I179*INDEX('PORTIFÓLIO'!$S$4:$S$433,MATCH($C179,'PORTIFÓLIO'!$C$4:$C$433,0)),"")</f>
        <v/>
      </c>
      <c r="L179" s="219">
        <f t="array" ref="L179">IFERROR(J179*INDEX('PORTIFÓLIO'!$S$4:$S$433,MATCH($C179,'PORTIFÓLIO'!$C$4:$C$433,0)),"")</f>
        <v/>
      </c>
      <c r="M179" s="220" t="n"/>
      <c r="N179" s="220" t="n"/>
      <c r="O179" s="220" t="n"/>
      <c r="P179" s="220" t="n"/>
      <c r="Q179" s="220" t="n"/>
      <c r="R179" s="220" t="n"/>
      <c r="S179" s="220" t="n"/>
      <c r="T179" s="220" t="n"/>
      <c r="U179" s="220" t="n"/>
      <c r="V179" s="220" t="n"/>
      <c r="W179" s="220" t="n"/>
    </row>
    <row r="180" outlineLevel="1" ht="15.75" customHeight="1" s="297">
      <c r="A180" s="211" t="n"/>
      <c r="B180" s="212" t="n"/>
      <c r="C180" s="213" t="n"/>
      <c r="D180" s="214">
        <f>IFERROR(VLOOKUP($C180,'PORTIFÓLIO'!C:V,2,0),"")</f>
        <v/>
      </c>
      <c r="E180" s="211">
        <f>IFERROR(VLOOKUP($C180,'PORTIFÓLIO'!C:V,3,0),"")</f>
        <v/>
      </c>
      <c r="F180" s="211">
        <f>IFERROR(VLOOKUP($C180,'PORTIFÓLIO'!C:V,4,0),"")</f>
        <v/>
      </c>
      <c r="G180" s="215">
        <f>IFERROR(VLOOKUP($C180,'PORTIFÓLIO'!C:V,5,0),"")</f>
        <v/>
      </c>
      <c r="H180" s="254">
        <f t="array" ref="H180">IFERROR(INDEX('PORTIFÓLIO'!$H$4:$H$433,MATCH($C180,'PORTIFÓLIO'!$C$4:$C$433,0)),"")</f>
        <v/>
      </c>
      <c r="I180" s="256" t="n"/>
      <c r="J180" s="218">
        <f>I180*$B$2</f>
        <v/>
      </c>
      <c r="K180" s="219">
        <f t="array" ref="K180">IFERROR(I180*INDEX('PORTIFÓLIO'!$S$4:$S$433,MATCH($C180,'PORTIFÓLIO'!$C$4:$C$433,0)),"")</f>
        <v/>
      </c>
      <c r="L180" s="219">
        <f t="array" ref="L180">IFERROR(J180*INDEX('PORTIFÓLIO'!$S$4:$S$433,MATCH($C180,'PORTIFÓLIO'!$C$4:$C$433,0)),"")</f>
        <v/>
      </c>
      <c r="M180" s="220" t="n"/>
      <c r="N180" s="220" t="n"/>
      <c r="O180" s="220" t="n"/>
      <c r="P180" s="220" t="n"/>
      <c r="Q180" s="220" t="n"/>
      <c r="R180" s="220" t="n"/>
      <c r="S180" s="220" t="n"/>
      <c r="T180" s="220" t="n"/>
      <c r="U180" s="220" t="n"/>
      <c r="V180" s="220" t="n"/>
      <c r="W180" s="220" t="n"/>
    </row>
    <row r="181" outlineLevel="1" ht="15.75" customHeight="1" s="297">
      <c r="A181" s="211" t="n"/>
      <c r="B181" s="227" t="n"/>
      <c r="C181" s="211" t="n"/>
      <c r="D181" s="214">
        <f>IFERROR(VLOOKUP($C181,'PORTIFÓLIO'!C:V,2,0),"")</f>
        <v/>
      </c>
      <c r="E181" s="211">
        <f>IFERROR(VLOOKUP($C181,'PORTIFÓLIO'!C:V,3,0),"")</f>
        <v/>
      </c>
      <c r="F181" s="211">
        <f>IFERROR(VLOOKUP($C181,'PORTIFÓLIO'!C:V,4,0),"")</f>
        <v/>
      </c>
      <c r="G181" s="215">
        <f>IFERROR(VLOOKUP($C181,'PORTIFÓLIO'!C:V,5,0),"")</f>
        <v/>
      </c>
      <c r="H181" s="254">
        <f t="array" ref="H181">IFERROR(INDEX('PORTIFÓLIO'!$H$4:$H$433,MATCH($C181,'PORTIFÓLIO'!$C$4:$C$433,0)),"")</f>
        <v/>
      </c>
      <c r="I181" s="256" t="n"/>
      <c r="J181" s="218">
        <f>I181*$B$2</f>
        <v/>
      </c>
      <c r="K181" s="219">
        <f t="array" ref="K181">IFERROR(I181*INDEX('PORTIFÓLIO'!$S$4:$S$433,MATCH($C181,'PORTIFÓLIO'!$C$4:$C$433,0)),"")</f>
        <v/>
      </c>
      <c r="L181" s="219">
        <f t="array" ref="L181">IFERROR(J181*INDEX('PORTIFÓLIO'!$S$4:$S$433,MATCH($C181,'PORTIFÓLIO'!$C$4:$C$433,0)),"")</f>
        <v/>
      </c>
      <c r="M181" s="220" t="n"/>
      <c r="N181" s="220" t="n"/>
      <c r="O181" s="220" t="n"/>
      <c r="P181" s="220" t="n"/>
      <c r="Q181" s="220" t="n"/>
      <c r="R181" s="220" t="n"/>
      <c r="S181" s="220" t="n"/>
      <c r="T181" s="220" t="n"/>
      <c r="U181" s="220" t="n"/>
      <c r="V181" s="220" t="n"/>
      <c r="W181" s="220" t="n"/>
    </row>
    <row r="182" ht="15.75" customHeight="1" s="297">
      <c r="A182" s="229" t="inlineStr">
        <is>
          <t>OPERAÇÃO 11</t>
        </is>
      </c>
      <c r="B182" s="230" t="n"/>
      <c r="C182" s="231" t="n"/>
      <c r="D182" s="232" t="n"/>
      <c r="E182" s="231" t="n"/>
      <c r="F182" s="231" t="n"/>
      <c r="G182" s="233" t="n"/>
      <c r="H182" s="233" t="n"/>
      <c r="I182" s="258" t="n"/>
      <c r="J182" s="236" t="n"/>
      <c r="K182" s="237">
        <f>SUBTOTAL(9,K183:K196)</f>
        <v/>
      </c>
      <c r="L182" s="237">
        <f>SUBTOTAL(9,L183:L196)</f>
        <v/>
      </c>
      <c r="M182" s="220" t="n"/>
      <c r="N182" s="220" t="n"/>
      <c r="O182" s="220" t="n"/>
      <c r="P182" s="220" t="n"/>
      <c r="Q182" s="220" t="n"/>
      <c r="R182" s="220" t="n"/>
      <c r="S182" s="220" t="n"/>
      <c r="T182" s="220" t="n"/>
      <c r="U182" s="220" t="n"/>
      <c r="V182" s="220" t="n"/>
      <c r="W182" s="220" t="n"/>
    </row>
    <row r="183" outlineLevel="1" ht="15.75" customHeight="1" s="297">
      <c r="A183" s="213" t="n"/>
      <c r="B183" s="212" t="inlineStr">
        <is>
          <t>MÁQUINAS</t>
        </is>
      </c>
      <c r="C183" s="213" t="inlineStr">
        <is>
          <t>TRATOR-JD 7500 + BRUTUS 12000</t>
        </is>
      </c>
      <c r="D183" s="214">
        <f>IFERROR(VLOOKUP($C183,'PORTIFÓLIO'!C:V,2,0),"")</f>
        <v/>
      </c>
      <c r="E183" s="211">
        <f>IFERROR(VLOOKUP($C183,'PORTIFÓLIO'!C:V,3,0),"")</f>
        <v/>
      </c>
      <c r="F183" s="211">
        <f>IFERROR(VLOOKUP($C183,'PORTIFÓLIO'!C:V,4,0),"")</f>
        <v/>
      </c>
      <c r="G183" s="215">
        <f t="array" ref="G183">IFERROR(INDEX('PORTIFÓLIO'!$H$4:$H$433,MATCH($C183,'PORTIFÓLIO'!$C$4:$C$433,0)),"")</f>
        <v/>
      </c>
      <c r="H183" s="254">
        <f t="array" ref="H183">IFERROR(INDEX('PORTIFÓLIO'!$H$4:$H$433,MATCH($C183,'PORTIFÓLIO'!$C$4:$C$433,0)),"")</f>
        <v/>
      </c>
      <c r="I183" s="255" t="n">
        <v>0.32</v>
      </c>
      <c r="J183" s="218">
        <f>I183*$B$2</f>
        <v/>
      </c>
      <c r="K183" s="219">
        <f t="array" ref="K183">IFERROR(I183*INDEX('PORTIFÓLIO'!$S$4:$S$433,MATCH($C183,'PORTIFÓLIO'!$C$4:$C$433,0)),"")</f>
        <v/>
      </c>
      <c r="L183" s="219">
        <f t="array" ref="L183">IFERROR(J183*INDEX('PORTIFÓLIO'!$S$4:$S$433,MATCH($C183,'PORTIFÓLIO'!$C$4:$C$433,0)),"")</f>
        <v/>
      </c>
      <c r="M183" s="220" t="n"/>
      <c r="N183" s="220" t="n"/>
      <c r="O183" s="220" t="n"/>
      <c r="P183" s="220" t="n"/>
      <c r="Q183" s="220" t="n"/>
      <c r="R183" s="220" t="n"/>
      <c r="S183" s="220" t="n"/>
      <c r="T183" s="220" t="n"/>
      <c r="U183" s="220" t="n"/>
      <c r="V183" s="220" t="n"/>
      <c r="W183" s="220" t="n"/>
    </row>
    <row r="184" outlineLevel="1" ht="15.75" customHeight="1" s="297">
      <c r="A184" s="211" t="n"/>
      <c r="B184" s="212" t="inlineStr">
        <is>
          <t>MÁQUINAS</t>
        </is>
      </c>
      <c r="C184" s="213" t="inlineStr">
        <is>
          <t>TRATOR-JD 7500 + ADUBADORA HERCULES 10000</t>
        </is>
      </c>
      <c r="D184" s="214">
        <f>IFERROR(VLOOKUP($C184,'PORTIFÓLIO'!C:V,2,0),"")</f>
        <v/>
      </c>
      <c r="E184" s="211">
        <f>IFERROR(VLOOKUP($C184,'PORTIFÓLIO'!C:V,3,0),"")</f>
        <v/>
      </c>
      <c r="F184" s="211">
        <f>IFERROR(VLOOKUP($C184,'PORTIFÓLIO'!C:V,4,0),"")</f>
        <v/>
      </c>
      <c r="G184" s="215">
        <f t="array" ref="G184">IFERROR(INDEX('PORTIFÓLIO'!$H$4:$H$433,MATCH($C184,'PORTIFÓLIO'!$C$4:$C$433,0)),"")</f>
        <v/>
      </c>
      <c r="H184" s="254">
        <f t="array" ref="H184">IFERROR(INDEX('PORTIFÓLIO'!$H$4:$H$433,MATCH($C184,'PORTIFÓLIO'!$C$4:$C$433,0)),"")</f>
        <v/>
      </c>
      <c r="I184" s="256">
        <f>G184*4</f>
        <v/>
      </c>
      <c r="J184" s="218">
        <f>I184*$B$2</f>
        <v/>
      </c>
      <c r="K184" s="219">
        <f t="array" ref="K184">IFERROR(I184*INDEX('PORTIFÓLIO'!$S$4:$S$433,MATCH($C184,'PORTIFÓLIO'!$C$4:$C$433,0)),"")</f>
        <v/>
      </c>
      <c r="L184" s="219">
        <f t="array" ref="L184">IFERROR(J184*INDEX('PORTIFÓLIO'!$S$4:$S$433,MATCH($C184,'PORTIFÓLIO'!$C$4:$C$433,0)),"")</f>
        <v/>
      </c>
      <c r="M184" s="220" t="n"/>
      <c r="N184" s="220" t="n"/>
      <c r="O184" s="220" t="n"/>
      <c r="P184" s="220" t="n"/>
      <c r="Q184" s="220" t="n"/>
      <c r="R184" s="220" t="n"/>
      <c r="S184" s="220" t="n"/>
      <c r="T184" s="220" t="n"/>
      <c r="U184" s="220" t="n"/>
      <c r="V184" s="220" t="n"/>
      <c r="W184" s="220" t="n"/>
    </row>
    <row r="185" outlineLevel="1" ht="15.75" customHeight="1" s="297">
      <c r="A185" s="211" t="n"/>
      <c r="B185" s="212" t="inlineStr">
        <is>
          <t>MÁQUINAS</t>
        </is>
      </c>
      <c r="C185" s="213" t="inlineStr">
        <is>
          <t>PULVERIZADOR- JD4730 + PULVERIZADOR- JD4730</t>
        </is>
      </c>
      <c r="D185" s="214">
        <f>IFERROR(VLOOKUP($C185,'PORTIFÓLIO'!C:V,2,0),"")</f>
        <v/>
      </c>
      <c r="E185" s="211">
        <f>IFERROR(VLOOKUP($C185,'PORTIFÓLIO'!C:V,3,0),"")</f>
        <v/>
      </c>
      <c r="F185" s="211">
        <f>IFERROR(VLOOKUP($C185,'PORTIFÓLIO'!C:V,4,0),"")</f>
        <v/>
      </c>
      <c r="G185" s="215">
        <f t="array" ref="G185">IFERROR(INDEX('PORTIFÓLIO'!$H$4:$H$433,MATCH($C185,'PORTIFÓLIO'!$C$4:$C$433,0)),"")</f>
        <v/>
      </c>
      <c r="H185" s="254">
        <f t="array" ref="H185">IFERROR(INDEX('PORTIFÓLIO'!$H$4:$H$433,MATCH($C185,'PORTIFÓLIO'!$C$4:$C$433,0)),"")</f>
        <v/>
      </c>
      <c r="I185" s="256">
        <f>G185*3</f>
        <v/>
      </c>
      <c r="J185" s="218">
        <f>I185*$B$2</f>
        <v/>
      </c>
      <c r="K185" s="219">
        <f t="array" ref="K185">IFERROR(I185*INDEX('PORTIFÓLIO'!$S$4:$S$433,MATCH($C185,'PORTIFÓLIO'!$C$4:$C$433,0)),"")</f>
        <v/>
      </c>
      <c r="L185" s="219">
        <f t="array" ref="L185">IFERROR(J185*INDEX('PORTIFÓLIO'!$S$4:$S$433,MATCH($C185,'PORTIFÓLIO'!$C$4:$C$433,0)),"")</f>
        <v/>
      </c>
      <c r="M185" s="220" t="n"/>
      <c r="N185" s="220" t="n"/>
      <c r="O185" s="220" t="n"/>
      <c r="P185" s="220" t="n"/>
      <c r="Q185" s="220" t="n"/>
      <c r="R185" s="220" t="n"/>
      <c r="S185" s="220" t="n"/>
      <c r="T185" s="220" t="n"/>
      <c r="U185" s="220" t="n"/>
      <c r="V185" s="220" t="n"/>
      <c r="W185" s="220" t="n"/>
    </row>
    <row r="186" outlineLevel="1" ht="15.75" customHeight="1" s="297">
      <c r="A186" s="211" t="n"/>
      <c r="B186" s="212" t="inlineStr">
        <is>
          <t>MÁQUINAS</t>
        </is>
      </c>
      <c r="C186" s="213" t="inlineStr">
        <is>
          <t>AIR TRATOR AT-502B + AIR TRATOR AT-502B</t>
        </is>
      </c>
      <c r="D186" s="214">
        <f>IFERROR(VLOOKUP($C186,'PORTIFÓLIO'!C:V,2,0),"")</f>
        <v/>
      </c>
      <c r="E186" s="211">
        <f>IFERROR(VLOOKUP($C186,'PORTIFÓLIO'!C:V,3,0),"")</f>
        <v/>
      </c>
      <c r="F186" s="211">
        <f>IFERROR(VLOOKUP($C186,'PORTIFÓLIO'!C:V,4,0),"")</f>
        <v/>
      </c>
      <c r="G186" s="215">
        <f t="array" ref="G186">IFERROR(INDEX('PORTIFÓLIO'!$H$4:$H$433,MATCH($C186,'PORTIFÓLIO'!$C$4:$C$433,0)),"")</f>
        <v/>
      </c>
      <c r="H186" s="254">
        <f t="array" ref="H186">IFERROR(INDEX('PORTIFÓLIO'!$H$4:$H$433,MATCH($C186,'PORTIFÓLIO'!$C$4:$C$433,0)),"")</f>
        <v/>
      </c>
      <c r="I186" s="256">
        <f>G186*5</f>
        <v/>
      </c>
      <c r="J186" s="218">
        <f>I186*$B$2</f>
        <v/>
      </c>
      <c r="K186" s="219">
        <f t="array" ref="K186">IFERROR(I186*INDEX('PORTIFÓLIO'!$S$4:$S$433,MATCH($C186,'PORTIFÓLIO'!$C$4:$C$433,0)),"")</f>
        <v/>
      </c>
      <c r="L186" s="219">
        <f t="array" ref="L186">IFERROR(J186*INDEX('PORTIFÓLIO'!$S$4:$S$433,MATCH($C186,'PORTIFÓLIO'!$C$4:$C$433,0)),"")</f>
        <v/>
      </c>
      <c r="M186" s="220" t="n"/>
      <c r="N186" s="220" t="n"/>
      <c r="O186" s="220" t="n"/>
      <c r="P186" s="220" t="n"/>
      <c r="Q186" s="220" t="n"/>
      <c r="R186" s="220" t="n"/>
      <c r="S186" s="220" t="n"/>
      <c r="T186" s="220" t="n"/>
      <c r="U186" s="220" t="n"/>
      <c r="V186" s="220" t="n"/>
      <c r="W186" s="220" t="n"/>
    </row>
    <row r="187" outlineLevel="1" ht="15.75" customHeight="1" s="297">
      <c r="A187" s="211" t="n"/>
      <c r="B187" s="212" t="inlineStr">
        <is>
          <t>MÁQUINAS</t>
        </is>
      </c>
      <c r="C187" s="213" t="inlineStr">
        <is>
          <t>CASE STEIGER 420 + HORSCH MAESTRO DUO 36.50</t>
        </is>
      </c>
      <c r="D187" s="214">
        <f>IFERROR(VLOOKUP($C187,'PORTIFÓLIO'!C:V,2,0),"")</f>
        <v/>
      </c>
      <c r="E187" s="211">
        <f>IFERROR(VLOOKUP($C187,'PORTIFÓLIO'!C:V,3,0),"")</f>
        <v/>
      </c>
      <c r="F187" s="211">
        <f>IFERROR(VLOOKUP($C187,'PORTIFÓLIO'!C:V,4,0),"")</f>
        <v/>
      </c>
      <c r="G187" s="215">
        <f t="array" ref="G187">IFERROR(INDEX('PORTIFÓLIO'!$H$4:$H$433,MATCH($C187,'PORTIFÓLIO'!$C$4:$C$433,0)),"")</f>
        <v/>
      </c>
      <c r="H187" s="254">
        <f t="array" ref="H187">IFERROR(INDEX('PORTIFÓLIO'!$H$4:$H$433,MATCH($C187,'PORTIFÓLIO'!$C$4:$C$433,0)),"")</f>
        <v/>
      </c>
      <c r="I187" s="255" t="n">
        <v>0.081</v>
      </c>
      <c r="J187" s="218">
        <f>I187*$B$2</f>
        <v/>
      </c>
      <c r="K187" s="219">
        <f t="array" ref="K187">IFERROR(I187*INDEX('PORTIFÓLIO'!$S$4:$S$433,MATCH($C187,'PORTIFÓLIO'!$C$4:$C$433,0)),"")</f>
        <v/>
      </c>
      <c r="L187" s="219">
        <f t="array" ref="L187">IFERROR(J187*INDEX('PORTIFÓLIO'!$S$4:$S$433,MATCH($C187,'PORTIFÓLIO'!$C$4:$C$433,0)),"")</f>
        <v/>
      </c>
      <c r="M187" s="220" t="n"/>
      <c r="N187" s="220" t="n"/>
      <c r="O187" s="220" t="n"/>
      <c r="P187" s="220" t="n"/>
      <c r="Q187" s="220" t="n"/>
      <c r="R187" s="220" t="n"/>
      <c r="S187" s="220" t="n"/>
      <c r="T187" s="220" t="n"/>
      <c r="U187" s="220" t="n"/>
      <c r="V187" s="220" t="n"/>
      <c r="W187" s="220" t="n"/>
    </row>
    <row r="188" outlineLevel="1" ht="15.75" customHeight="1" s="297">
      <c r="A188" s="211" t="n"/>
      <c r="B188" s="212" t="inlineStr">
        <is>
          <t>MÁQUINAS</t>
        </is>
      </c>
      <c r="C188" s="213" t="inlineStr">
        <is>
          <t>CR 8.90 NEW HOLLAND + 880 CF45</t>
        </is>
      </c>
      <c r="D188" s="214">
        <f>IFERROR(VLOOKUP($C188,'PORTIFÓLIO'!C:V,2,0),"")</f>
        <v/>
      </c>
      <c r="E188" s="211">
        <f>IFERROR(VLOOKUP($C188,'PORTIFÓLIO'!C:V,3,0),"")</f>
        <v/>
      </c>
      <c r="F188" s="211">
        <f>IFERROR(VLOOKUP($C188,'PORTIFÓLIO'!C:V,4,0),"")</f>
        <v/>
      </c>
      <c r="G188" s="215">
        <f t="array" ref="G188">IFERROR(INDEX('PORTIFÓLIO'!$H$4:$H$433,MATCH($C188,'PORTIFÓLIO'!$C$4:$C$433,0)),"")</f>
        <v/>
      </c>
      <c r="H188" s="254">
        <f t="array" ref="H188">IFERROR(INDEX('PORTIFÓLIO'!$H$4:$H$433,MATCH($C188,'PORTIFÓLIO'!$C$4:$C$433,0)),"")</f>
        <v/>
      </c>
      <c r="I188" s="255" t="n">
        <v>0.15</v>
      </c>
      <c r="J188" s="218">
        <f>I188*$B$2</f>
        <v/>
      </c>
      <c r="K188" s="219">
        <f t="array" ref="K188">IFERROR(I188*INDEX('PORTIFÓLIO'!$S$4:$S$433,MATCH($C188,'PORTIFÓLIO'!$C$4:$C$433,0)),"")</f>
        <v/>
      </c>
      <c r="L188" s="219">
        <f t="array" ref="L188">IFERROR(J188*INDEX('PORTIFÓLIO'!$S$4:$S$433,MATCH($C188,'PORTIFÓLIO'!$C$4:$C$433,0)),"")</f>
        <v/>
      </c>
      <c r="M188" s="220" t="n"/>
      <c r="N188" s="220" t="n"/>
      <c r="O188" s="220" t="n"/>
      <c r="P188" s="220" t="n"/>
      <c r="Q188" s="220" t="n"/>
      <c r="R188" s="220" t="n"/>
      <c r="S188" s="220" t="n"/>
      <c r="T188" s="220" t="n"/>
      <c r="U188" s="220" t="n"/>
      <c r="V188" s="220" t="n"/>
      <c r="W188" s="220" t="n"/>
    </row>
    <row r="189" outlineLevel="1" ht="15.75" customHeight="1" s="297">
      <c r="A189" s="211" t="n"/>
      <c r="B189" s="212" t="inlineStr">
        <is>
          <t>MÁQUINAS</t>
        </is>
      </c>
      <c r="C189" s="213" t="inlineStr">
        <is>
          <t>VOLVO NH380 + CAÇAMBA 430SC</t>
        </is>
      </c>
      <c r="D189" s="214">
        <f>IFERROR(VLOOKUP($C189,'PORTIFÓLIO'!C:V,2,0),"")</f>
        <v/>
      </c>
      <c r="E189" s="211">
        <f>IFERROR(VLOOKUP($C189,'PORTIFÓLIO'!C:V,3,0),"")</f>
        <v/>
      </c>
      <c r="F189" s="211">
        <f>IFERROR(VLOOKUP($C189,'PORTIFÓLIO'!C:V,4,0),"")</f>
        <v/>
      </c>
      <c r="G189" s="215">
        <f t="array" ref="G189">IFERROR(INDEX('PORTIFÓLIO'!$H$4:$H$433,MATCH($C189,'PORTIFÓLIO'!$C$4:$C$433,0)),"")</f>
        <v/>
      </c>
      <c r="H189" s="254">
        <f t="array" ref="H189">IFERROR(INDEX('PORTIFÓLIO'!$H$4:$H$433,MATCH($C189,'PORTIFÓLIO'!$C$4:$C$433,0)),"")</f>
        <v/>
      </c>
      <c r="I189" s="255" t="n">
        <v>0.1</v>
      </c>
      <c r="J189" s="218">
        <f>I189*$B$2</f>
        <v/>
      </c>
      <c r="K189" s="219">
        <f t="array" ref="K189">IFERROR(I189*INDEX('PORTIFÓLIO'!$S$4:$S$433,MATCH($C189,'PORTIFÓLIO'!$C$4:$C$433,0)),"")</f>
        <v/>
      </c>
      <c r="L189" s="219">
        <f t="array" ref="L189">IFERROR(J189*INDEX('PORTIFÓLIO'!$S$4:$S$433,MATCH($C189,'PORTIFÓLIO'!$C$4:$C$433,0)),"")</f>
        <v/>
      </c>
      <c r="M189" s="220" t="n"/>
      <c r="N189" s="220" t="n"/>
      <c r="O189" s="220" t="n"/>
      <c r="P189" s="220" t="n"/>
      <c r="Q189" s="220" t="n"/>
      <c r="R189" s="220" t="n"/>
      <c r="S189" s="220" t="n"/>
      <c r="T189" s="220" t="n"/>
      <c r="U189" s="220" t="n"/>
      <c r="V189" s="220" t="n"/>
      <c r="W189" s="220" t="n"/>
    </row>
    <row r="190" outlineLevel="1" ht="15.75" customHeight="1" s="297">
      <c r="A190" s="211" t="n"/>
      <c r="B190" s="212" t="n"/>
      <c r="C190" s="213" t="n"/>
      <c r="D190" s="214">
        <f>IFERROR(VLOOKUP($C190,'PORTIFÓLIO'!C:V,2,0),"")</f>
        <v/>
      </c>
      <c r="E190" s="211">
        <f>IFERROR(VLOOKUP($C190,'PORTIFÓLIO'!C:V,3,0),"")</f>
        <v/>
      </c>
      <c r="F190" s="211">
        <f>IFERROR(VLOOKUP($C190,'PORTIFÓLIO'!C:V,4,0),"")</f>
        <v/>
      </c>
      <c r="G190" s="215">
        <f>IFERROR(VLOOKUP($C190,'PORTIFÓLIO'!C:V,5,0),"")</f>
        <v/>
      </c>
      <c r="H190" s="254">
        <f t="array" ref="H190">IFERROR(INDEX('PORTIFÓLIO'!$H$4:$H$433,MATCH($C190,'PORTIFÓLIO'!$C$4:$C$433,0)),"")</f>
        <v/>
      </c>
      <c r="I190" s="256" t="n"/>
      <c r="J190" s="218">
        <f>I190*$B$2</f>
        <v/>
      </c>
      <c r="K190" s="219">
        <f t="array" ref="K190">IFERROR(I190*INDEX('PORTIFÓLIO'!$S$4:$S$433,MATCH($C190,'PORTIFÓLIO'!$C$4:$C$433,0)),"")</f>
        <v/>
      </c>
      <c r="L190" s="219">
        <f t="array" ref="L190">IFERROR(J190*INDEX('PORTIFÓLIO'!$S$4:$S$433,MATCH($C190,'PORTIFÓLIO'!$C$4:$C$433,0)),"")</f>
        <v/>
      </c>
      <c r="M190" s="220" t="n"/>
      <c r="N190" s="220" t="n"/>
      <c r="O190" s="220" t="n"/>
      <c r="P190" s="220" t="n"/>
      <c r="Q190" s="220" t="n"/>
      <c r="R190" s="220" t="n"/>
      <c r="S190" s="220" t="n"/>
      <c r="T190" s="220" t="n"/>
      <c r="U190" s="220" t="n"/>
      <c r="V190" s="220" t="n"/>
      <c r="W190" s="220" t="n"/>
    </row>
    <row r="191" outlineLevel="1" ht="15.75" customHeight="1" s="297">
      <c r="A191" s="211" t="n"/>
      <c r="B191" s="212" t="n"/>
      <c r="C191" s="213" t="n"/>
      <c r="D191" s="214">
        <f>IFERROR(VLOOKUP($C191,'PORTIFÓLIO'!C:V,2,0),"")</f>
        <v/>
      </c>
      <c r="E191" s="211">
        <f>IFERROR(VLOOKUP($C191,'PORTIFÓLIO'!C:V,3,0),"")</f>
        <v/>
      </c>
      <c r="F191" s="211">
        <f>IFERROR(VLOOKUP($C191,'PORTIFÓLIO'!C:V,4,0),"")</f>
        <v/>
      </c>
      <c r="G191" s="215">
        <f>IFERROR(VLOOKUP($C191,'PORTIFÓLIO'!C:V,5,0),"")</f>
        <v/>
      </c>
      <c r="H191" s="254">
        <f t="array" ref="H191">IFERROR(INDEX('PORTIFÓLIO'!$H$4:$H$433,MATCH($C191,'PORTIFÓLIO'!$C$4:$C$433,0)),"")</f>
        <v/>
      </c>
      <c r="I191" s="255" t="n"/>
      <c r="J191" s="218">
        <f>I191*$B$2</f>
        <v/>
      </c>
      <c r="K191" s="219">
        <f t="array" ref="K191">IFERROR(I191*INDEX('PORTIFÓLIO'!$S$4:$S$433,MATCH($C191,'PORTIFÓLIO'!$C$4:$C$433,0)),"")</f>
        <v/>
      </c>
      <c r="L191" s="219">
        <f t="array" ref="L191">IFERROR(J191*INDEX('PORTIFÓLIO'!$S$4:$S$433,MATCH($C191,'PORTIFÓLIO'!$C$4:$C$433,0)),"")</f>
        <v/>
      </c>
      <c r="M191" s="220" t="n"/>
      <c r="N191" s="220" t="n"/>
      <c r="O191" s="220" t="n"/>
      <c r="P191" s="220" t="n"/>
      <c r="Q191" s="220" t="n"/>
      <c r="R191" s="220" t="n"/>
      <c r="S191" s="220" t="n"/>
      <c r="T191" s="220" t="n"/>
      <c r="U191" s="220" t="n"/>
      <c r="V191" s="220" t="n"/>
      <c r="W191" s="220" t="n"/>
    </row>
    <row r="192" outlineLevel="1" ht="15.75" customHeight="1" s="297">
      <c r="A192" s="211" t="n"/>
      <c r="B192" s="212" t="n"/>
      <c r="C192" s="213" t="n"/>
      <c r="D192" s="214">
        <f>IFERROR(VLOOKUP($C192,'PORTIFÓLIO'!C:V,2,0),"")</f>
        <v/>
      </c>
      <c r="E192" s="211">
        <f>IFERROR(VLOOKUP($C192,'PORTIFÓLIO'!C:V,3,0),"")</f>
        <v/>
      </c>
      <c r="F192" s="211">
        <f>IFERROR(VLOOKUP($C192,'PORTIFÓLIO'!C:V,4,0),"")</f>
        <v/>
      </c>
      <c r="G192" s="215">
        <f>IFERROR(VLOOKUP($C192,'PORTIFÓLIO'!C:V,5,0),"")</f>
        <v/>
      </c>
      <c r="H192" s="254">
        <f t="array" ref="H192">IFERROR(INDEX('PORTIFÓLIO'!$H$4:$H$433,MATCH($C192,'PORTIFÓLIO'!$C$4:$C$433,0)),"")</f>
        <v/>
      </c>
      <c r="I192" s="256" t="n"/>
      <c r="J192" s="218">
        <f>I192*$B$2</f>
        <v/>
      </c>
      <c r="K192" s="219">
        <f t="array" ref="K192">IFERROR(I192*INDEX('PORTIFÓLIO'!$S$4:$S$433,MATCH($C192,'PORTIFÓLIO'!$C$4:$C$433,0)),"")</f>
        <v/>
      </c>
      <c r="L192" s="219">
        <f t="array" ref="L192">IFERROR(J192*INDEX('PORTIFÓLIO'!$S$4:$S$433,MATCH($C192,'PORTIFÓLIO'!$C$4:$C$433,0)),"")</f>
        <v/>
      </c>
      <c r="M192" s="220" t="n"/>
      <c r="N192" s="220" t="n"/>
      <c r="O192" s="220" t="n"/>
      <c r="P192" s="220" t="n"/>
      <c r="Q192" s="220" t="n"/>
      <c r="R192" s="220" t="n"/>
      <c r="S192" s="220" t="n"/>
      <c r="T192" s="220" t="n"/>
      <c r="U192" s="220" t="n"/>
      <c r="V192" s="220" t="n"/>
      <c r="W192" s="220" t="n"/>
    </row>
    <row r="193" outlineLevel="1" ht="15.75" customHeight="1" s="297">
      <c r="A193" s="211" t="n"/>
      <c r="B193" s="212" t="n"/>
      <c r="C193" s="213" t="n"/>
      <c r="D193" s="214">
        <f>IFERROR(VLOOKUP($C193,'PORTIFÓLIO'!C:V,2,0),"")</f>
        <v/>
      </c>
      <c r="E193" s="211">
        <f>IFERROR(VLOOKUP($C193,'PORTIFÓLIO'!C:V,3,0),"")</f>
        <v/>
      </c>
      <c r="F193" s="211">
        <f>IFERROR(VLOOKUP($C193,'PORTIFÓLIO'!C:V,4,0),"")</f>
        <v/>
      </c>
      <c r="G193" s="215">
        <f>IFERROR(VLOOKUP($C193,'PORTIFÓLIO'!C:V,5,0),"")</f>
        <v/>
      </c>
      <c r="H193" s="254">
        <f t="array" ref="H193">IFERROR(INDEX('PORTIFÓLIO'!$H$4:$H$433,MATCH($C193,'PORTIFÓLIO'!$C$4:$C$433,0)),"")</f>
        <v/>
      </c>
      <c r="I193" s="256" t="n"/>
      <c r="J193" s="218">
        <f>I193*$B$2</f>
        <v/>
      </c>
      <c r="K193" s="219">
        <f t="array" ref="K193">IFERROR(I193*INDEX('PORTIFÓLIO'!$S$4:$S$433,MATCH($C193,'PORTIFÓLIO'!$C$4:$C$433,0)),"")</f>
        <v/>
      </c>
      <c r="L193" s="219">
        <f t="array" ref="L193">IFERROR(J193*INDEX('PORTIFÓLIO'!$S$4:$S$433,MATCH($C193,'PORTIFÓLIO'!$C$4:$C$433,0)),"")</f>
        <v/>
      </c>
      <c r="M193" s="220" t="n"/>
      <c r="N193" s="220" t="n"/>
      <c r="O193" s="220" t="n"/>
      <c r="P193" s="220" t="n"/>
      <c r="Q193" s="220" t="n"/>
      <c r="R193" s="220" t="n"/>
      <c r="S193" s="220" t="n"/>
      <c r="T193" s="220" t="n"/>
      <c r="U193" s="220" t="n"/>
      <c r="V193" s="220" t="n"/>
      <c r="W193" s="220" t="n"/>
    </row>
    <row r="194" outlineLevel="1" ht="15.75" customHeight="1" s="297">
      <c r="A194" s="211" t="n"/>
      <c r="B194" s="212" t="n"/>
      <c r="C194" s="213" t="n"/>
      <c r="D194" s="214">
        <f>IFERROR(VLOOKUP($C194,'PORTIFÓLIO'!C:V,2,0),"")</f>
        <v/>
      </c>
      <c r="E194" s="211">
        <f>IFERROR(VLOOKUP($C194,'PORTIFÓLIO'!C:V,3,0),"")</f>
        <v/>
      </c>
      <c r="F194" s="211">
        <f>IFERROR(VLOOKUP($C194,'PORTIFÓLIO'!C:V,4,0),"")</f>
        <v/>
      </c>
      <c r="G194" s="215">
        <f>IFERROR(VLOOKUP($C194,'PORTIFÓLIO'!C:V,5,0),"")</f>
        <v/>
      </c>
      <c r="H194" s="254">
        <f t="array" ref="H194">IFERROR(INDEX('PORTIFÓLIO'!$H$4:$H$433,MATCH($C194,'PORTIFÓLIO'!$C$4:$C$433,0)),"")</f>
        <v/>
      </c>
      <c r="I194" s="256" t="n"/>
      <c r="J194" s="218">
        <f>I194*$B$2</f>
        <v/>
      </c>
      <c r="K194" s="219">
        <f t="array" ref="K194">IFERROR(I194*INDEX('PORTIFÓLIO'!$S$4:$S$433,MATCH($C194,'PORTIFÓLIO'!$C$4:$C$433,0)),"")</f>
        <v/>
      </c>
      <c r="L194" s="219">
        <f t="array" ref="L194">IFERROR(J194*INDEX('PORTIFÓLIO'!$S$4:$S$433,MATCH($C194,'PORTIFÓLIO'!$C$4:$C$433,0)),"")</f>
        <v/>
      </c>
      <c r="M194" s="220" t="n"/>
      <c r="N194" s="220" t="n"/>
      <c r="O194" s="220" t="n"/>
      <c r="P194" s="220" t="n"/>
      <c r="Q194" s="220" t="n"/>
      <c r="R194" s="220" t="n"/>
      <c r="S194" s="220" t="n"/>
      <c r="T194" s="220" t="n"/>
      <c r="U194" s="220" t="n"/>
      <c r="V194" s="220" t="n"/>
      <c r="W194" s="220" t="n"/>
    </row>
    <row r="195" outlineLevel="1" ht="15.75" customHeight="1" s="297">
      <c r="A195" s="211" t="n"/>
      <c r="B195" s="212" t="n"/>
      <c r="C195" s="213" t="n"/>
      <c r="D195" s="214">
        <f>IFERROR(VLOOKUP($C195,'PORTIFÓLIO'!C:V,2,0),"")</f>
        <v/>
      </c>
      <c r="E195" s="211">
        <f>IFERROR(VLOOKUP($C195,'PORTIFÓLIO'!C:V,3,0),"")</f>
        <v/>
      </c>
      <c r="F195" s="211">
        <f>IFERROR(VLOOKUP($C195,'PORTIFÓLIO'!C:V,4,0),"")</f>
        <v/>
      </c>
      <c r="G195" s="215">
        <f>IFERROR(VLOOKUP($C195,'PORTIFÓLIO'!C:V,5,0),"")</f>
        <v/>
      </c>
      <c r="H195" s="254">
        <f t="array" ref="H195">IFERROR(INDEX('PORTIFÓLIO'!$H$4:$H$433,MATCH($C195,'PORTIFÓLIO'!$C$4:$C$433,0)),"")</f>
        <v/>
      </c>
      <c r="I195" s="256" t="n"/>
      <c r="J195" s="218">
        <f>I195*$B$2</f>
        <v/>
      </c>
      <c r="K195" s="219">
        <f t="array" ref="K195">IFERROR(I195*INDEX('PORTIFÓLIO'!$S$4:$S$433,MATCH($C195,'PORTIFÓLIO'!$C$4:$C$433,0)),"")</f>
        <v/>
      </c>
      <c r="L195" s="219">
        <f t="array" ref="L195">IFERROR(J195*INDEX('PORTIFÓLIO'!$S$4:$S$433,MATCH($C195,'PORTIFÓLIO'!$C$4:$C$433,0)),"")</f>
        <v/>
      </c>
      <c r="M195" s="220" t="n"/>
      <c r="N195" s="220" t="n"/>
      <c r="O195" s="220" t="n"/>
      <c r="P195" s="220" t="n"/>
      <c r="Q195" s="220" t="n"/>
      <c r="R195" s="220" t="n"/>
      <c r="S195" s="220" t="n"/>
      <c r="T195" s="220" t="n"/>
      <c r="U195" s="220" t="n"/>
      <c r="V195" s="220" t="n"/>
      <c r="W195" s="220" t="n"/>
    </row>
    <row r="196" outlineLevel="1" ht="15.75" customHeight="1" s="297">
      <c r="A196" s="211" t="n"/>
      <c r="B196" s="212" t="n"/>
      <c r="C196" s="213" t="n"/>
      <c r="D196" s="214">
        <f>IFERROR(VLOOKUP($C196,'PORTIFÓLIO'!C:V,2,0),"")</f>
        <v/>
      </c>
      <c r="E196" s="211">
        <f>IFERROR(VLOOKUP($C196,'PORTIFÓLIO'!C:V,3,0),"")</f>
        <v/>
      </c>
      <c r="F196" s="211">
        <f>IFERROR(VLOOKUP($C196,'PORTIFÓLIO'!C:V,4,0),"")</f>
        <v/>
      </c>
      <c r="G196" s="215">
        <f>IFERROR(VLOOKUP($C196,'PORTIFÓLIO'!C:V,5,0),"")</f>
        <v/>
      </c>
      <c r="H196" s="254">
        <f t="array" ref="H196">IFERROR(INDEX('PORTIFÓLIO'!$H$4:$H$433,MATCH($C196,'PORTIFÓLIO'!$C$4:$C$433,0)),"")</f>
        <v/>
      </c>
      <c r="I196" s="256" t="n"/>
      <c r="J196" s="218">
        <f>I196*$B$2</f>
        <v/>
      </c>
      <c r="K196" s="219">
        <f t="array" ref="K196">IFERROR(I196*INDEX('PORTIFÓLIO'!$S$4:$S$433,MATCH($C196,'PORTIFÓLIO'!$C$4:$C$433,0)),"")</f>
        <v/>
      </c>
      <c r="L196" s="219">
        <f t="array" ref="L196">IFERROR(J196*INDEX('PORTIFÓLIO'!$S$4:$S$433,MATCH($C196,'PORTIFÓLIO'!$C$4:$C$433,0)),"")</f>
        <v/>
      </c>
      <c r="M196" s="220" t="n"/>
      <c r="N196" s="220" t="n"/>
      <c r="O196" s="220" t="n"/>
      <c r="P196" s="220" t="n"/>
      <c r="Q196" s="220" t="n"/>
      <c r="R196" s="220" t="n"/>
      <c r="S196" s="220" t="n"/>
      <c r="T196" s="220" t="n"/>
      <c r="U196" s="220" t="n"/>
      <c r="V196" s="220" t="n"/>
      <c r="W196" s="220" t="n"/>
    </row>
    <row r="197" outlineLevel="1" ht="15.75" customHeight="1" s="297">
      <c r="A197" s="211" t="n"/>
      <c r="B197" s="212" t="n"/>
      <c r="C197" s="213" t="n"/>
      <c r="D197" s="214">
        <f>IFERROR(VLOOKUP($C197,'PORTIFÓLIO'!C:V,2,0),"")</f>
        <v/>
      </c>
      <c r="E197" s="211">
        <f>IFERROR(VLOOKUP($C197,'PORTIFÓLIO'!C:V,3,0),"")</f>
        <v/>
      </c>
      <c r="F197" s="211">
        <f>IFERROR(VLOOKUP($C197,'PORTIFÓLIO'!C:V,4,0),"")</f>
        <v/>
      </c>
      <c r="G197" s="215">
        <f>IFERROR(VLOOKUP($C197,'PORTIFÓLIO'!C:V,5,0),"")</f>
        <v/>
      </c>
      <c r="H197" s="254">
        <f t="array" ref="H197">IFERROR(INDEX('PORTIFÓLIO'!$H$4:$H$433,MATCH($C197,'PORTIFÓLIO'!$C$4:$C$433,0)),"")</f>
        <v/>
      </c>
      <c r="I197" s="256" t="n"/>
      <c r="J197" s="218">
        <f>I197*$B$2</f>
        <v/>
      </c>
      <c r="K197" s="219">
        <f t="array" ref="K197">IFERROR(I197*INDEX('PORTIFÓLIO'!$S$4:$S$433,MATCH($C197,'PORTIFÓLIO'!$C$4:$C$433,0)),"")</f>
        <v/>
      </c>
      <c r="L197" s="219">
        <f t="array" ref="L197">IFERROR(J197*INDEX('PORTIFÓLIO'!$S$4:$S$433,MATCH($C197,'PORTIFÓLIO'!$C$4:$C$433,0)),"")</f>
        <v/>
      </c>
      <c r="M197" s="220" t="n"/>
      <c r="N197" s="220" t="n"/>
      <c r="O197" s="220" t="n"/>
      <c r="P197" s="220" t="n"/>
      <c r="Q197" s="220" t="n"/>
      <c r="R197" s="220" t="n"/>
      <c r="S197" s="220" t="n"/>
      <c r="T197" s="220" t="n"/>
      <c r="U197" s="220" t="n"/>
      <c r="V197" s="220" t="n"/>
      <c r="W197" s="220" t="n"/>
    </row>
    <row r="198" outlineLevel="1" ht="15.75" customHeight="1" s="297">
      <c r="A198" s="211" t="n"/>
      <c r="B198" s="227" t="n"/>
      <c r="C198" s="211" t="n"/>
      <c r="D198" s="214">
        <f>IFERROR(VLOOKUP($C198,'PORTIFÓLIO'!C:V,2,0),"")</f>
        <v/>
      </c>
      <c r="E198" s="211">
        <f>IFERROR(VLOOKUP($C198,'PORTIFÓLIO'!C:V,3,0),"")</f>
        <v/>
      </c>
      <c r="F198" s="211">
        <f>IFERROR(VLOOKUP($C198,'PORTIFÓLIO'!C:V,4,0),"")</f>
        <v/>
      </c>
      <c r="G198" s="215">
        <f>IFERROR(VLOOKUP($C198,'PORTIFÓLIO'!C:V,5,0),"")</f>
        <v/>
      </c>
      <c r="H198" s="254">
        <f t="array" ref="H198">IFERROR(INDEX('PORTIFÓLIO'!$H$4:$H$433,MATCH($C198,'PORTIFÓLIO'!$C$4:$C$433,0)),"")</f>
        <v/>
      </c>
      <c r="I198" s="256" t="n"/>
      <c r="J198" s="218">
        <f>I198*$B$2</f>
        <v/>
      </c>
      <c r="K198" s="219">
        <f t="array" ref="K198">IFERROR(I198*INDEX('PORTIFÓLIO'!$S$4:$S$433,MATCH($C198,'PORTIFÓLIO'!$C$4:$C$433,0)),"")</f>
        <v/>
      </c>
      <c r="L198" s="219">
        <f t="array" ref="L198">IFERROR(J198*INDEX('PORTIFÓLIO'!$S$4:$S$433,MATCH($C198,'PORTIFÓLIO'!$C$4:$C$433,0)),"")</f>
        <v/>
      </c>
      <c r="M198" s="220" t="n"/>
      <c r="N198" s="220" t="n"/>
      <c r="O198" s="220" t="n"/>
      <c r="P198" s="220" t="n"/>
      <c r="Q198" s="220" t="n"/>
      <c r="R198" s="220" t="n"/>
      <c r="S198" s="220" t="n"/>
      <c r="T198" s="220" t="n"/>
      <c r="U198" s="220" t="n"/>
      <c r="V198" s="220" t="n"/>
      <c r="W198" s="220" t="n"/>
    </row>
    <row r="199" outlineLevel="1" ht="15.75" customHeight="1" s="297">
      <c r="A199" s="211" t="n"/>
      <c r="B199" s="227" t="n"/>
      <c r="C199" s="211" t="n"/>
      <c r="D199" s="214">
        <f>IFERROR(VLOOKUP($C199,'PORTIFÓLIO'!C:V,2,0),"")</f>
        <v/>
      </c>
      <c r="E199" s="211">
        <f>IFERROR(VLOOKUP($C199,'PORTIFÓLIO'!C:V,3,0),"")</f>
        <v/>
      </c>
      <c r="F199" s="211">
        <f>IFERROR(VLOOKUP($C199,'PORTIFÓLIO'!C:V,4,0),"")</f>
        <v/>
      </c>
      <c r="G199" s="215">
        <f>IFERROR(VLOOKUP($C199,'PORTIFÓLIO'!C:V,5,0),"")</f>
        <v/>
      </c>
      <c r="H199" s="254">
        <f t="array" ref="H199">IFERROR(INDEX('PORTIFÓLIO'!$H$4:$H$433,MATCH($C199,'PORTIFÓLIO'!$C$4:$C$433,0)),"")</f>
        <v/>
      </c>
      <c r="I199" s="256" t="n"/>
      <c r="J199" s="218">
        <f>I199*$B$2</f>
        <v/>
      </c>
      <c r="K199" s="219">
        <f t="array" ref="K199">IFERROR(I199*INDEX('PORTIFÓLIO'!$S$4:$S$433,MATCH($C199,'PORTIFÓLIO'!$C$4:$C$433,0)),"")</f>
        <v/>
      </c>
      <c r="L199" s="219">
        <f t="array" ref="L199">IFERROR(J199*INDEX('PORTIFÓLIO'!$S$4:$S$433,MATCH($C199,'PORTIFÓLIO'!$C$4:$C$433,0)),"")</f>
        <v/>
      </c>
      <c r="M199" s="220" t="n"/>
      <c r="N199" s="220" t="n"/>
      <c r="O199" s="220" t="n"/>
      <c r="P199" s="220" t="n"/>
      <c r="Q199" s="220" t="n"/>
      <c r="R199" s="220" t="n"/>
      <c r="S199" s="220" t="n"/>
      <c r="T199" s="220" t="n"/>
      <c r="U199" s="220" t="n"/>
      <c r="V199" s="220" t="n"/>
      <c r="W199" s="220" t="n"/>
    </row>
    <row r="200" ht="15.75" customHeight="1" s="297">
      <c r="A200" s="229" t="inlineStr">
        <is>
          <t>OPERAÇÃO 12</t>
        </is>
      </c>
      <c r="B200" s="230" t="n"/>
      <c r="C200" s="231" t="n"/>
      <c r="D200" s="232" t="n"/>
      <c r="E200" s="231" t="n"/>
      <c r="F200" s="231" t="n"/>
      <c r="G200" s="233" t="n"/>
      <c r="H200" s="233" t="n"/>
      <c r="I200" s="258" t="n"/>
      <c r="J200" s="236" t="n"/>
      <c r="K200" s="237">
        <f>SUBTOTAL(9,K201:K214)</f>
        <v/>
      </c>
      <c r="L200" s="237">
        <f>SUBTOTAL(9,L201:L214)</f>
        <v/>
      </c>
      <c r="M200" s="220" t="n"/>
      <c r="N200" s="220" t="n"/>
      <c r="O200" s="220" t="n"/>
      <c r="P200" s="220" t="n"/>
      <c r="Q200" s="220" t="n"/>
      <c r="R200" s="220" t="n"/>
      <c r="S200" s="220" t="n"/>
      <c r="T200" s="220" t="n"/>
      <c r="U200" s="220" t="n"/>
      <c r="V200" s="220" t="n"/>
      <c r="W200" s="220" t="n"/>
    </row>
    <row r="201" outlineLevel="1" ht="15.75" customHeight="1" s="297">
      <c r="A201" s="213" t="n"/>
      <c r="B201" s="212" t="n"/>
      <c r="C201" s="213" t="n"/>
      <c r="D201" s="214">
        <f>IFERROR(VLOOKUP($C201,'PORTIFÓLIO'!C:V,2,0),"")</f>
        <v/>
      </c>
      <c r="E201" s="211">
        <f>IFERROR(VLOOKUP($C201,'PORTIFÓLIO'!C:V,3,0),"")</f>
        <v/>
      </c>
      <c r="F201" s="211">
        <f>IFERROR(VLOOKUP($C201,'PORTIFÓLIO'!C:V,4,0),"")</f>
        <v/>
      </c>
      <c r="G201" s="215">
        <f>IFERROR(VLOOKUP($C201,'PORTIFÓLIO'!C:V,5,0),"")</f>
        <v/>
      </c>
      <c r="H201" s="254">
        <f t="array" ref="H201">IFERROR(INDEX('PORTIFÓLIO'!$H$4:$H$433,MATCH($C201,'PORTIFÓLIO'!$C$4:$C$433,0)),"")</f>
        <v/>
      </c>
      <c r="I201" s="256" t="n"/>
      <c r="J201" s="218">
        <f>I201*$B$2</f>
        <v/>
      </c>
      <c r="K201" s="219">
        <f>IFERROR(I201* VLOOKUP($C201,'PORTIFÓLIO'!C:V,10,0),"")</f>
        <v/>
      </c>
      <c r="L201" s="219">
        <f>IFERROR(J201* VLOOKUP($C201,'PORTIFÓLIO'!C:V,10,0),"")</f>
        <v/>
      </c>
      <c r="M201" s="220" t="n"/>
      <c r="N201" s="220" t="n"/>
      <c r="O201" s="220" t="n"/>
      <c r="P201" s="220" t="n"/>
      <c r="Q201" s="220" t="n"/>
      <c r="R201" s="220" t="n"/>
      <c r="S201" s="220" t="n"/>
      <c r="T201" s="220" t="n"/>
      <c r="U201" s="220" t="n"/>
      <c r="V201" s="220" t="n"/>
      <c r="W201" s="220" t="n"/>
    </row>
    <row r="202" outlineLevel="1" ht="15.75" customHeight="1" s="297">
      <c r="A202" s="211" t="n"/>
      <c r="B202" s="212" t="n"/>
      <c r="C202" s="213" t="n"/>
      <c r="D202" s="214">
        <f>IFERROR(VLOOKUP($C202,'PORTIFÓLIO'!C:V,2,0),"")</f>
        <v/>
      </c>
      <c r="E202" s="211">
        <f>IFERROR(VLOOKUP($C202,'PORTIFÓLIO'!C:V,3,0),"")</f>
        <v/>
      </c>
      <c r="F202" s="211">
        <f>IFERROR(VLOOKUP($C202,'PORTIFÓLIO'!C:V,4,0),"")</f>
        <v/>
      </c>
      <c r="G202" s="215">
        <f>IFERROR(VLOOKUP($C202,'PORTIFÓLIO'!C:V,5,0),"")</f>
        <v/>
      </c>
      <c r="H202" s="254">
        <f t="array" ref="H202">IFERROR(INDEX('PORTIFÓLIO'!$H$4:$H$433,MATCH($C202,'PORTIFÓLIO'!$C$4:$C$433,0)),"")</f>
        <v/>
      </c>
      <c r="I202" s="256" t="n"/>
      <c r="J202" s="218">
        <f>I202*$B$2</f>
        <v/>
      </c>
      <c r="K202" s="219">
        <f>IFERROR(I202* VLOOKUP($C202,'PORTIFÓLIO'!C:V,10,0),"")</f>
        <v/>
      </c>
      <c r="L202" s="219">
        <f>IFERROR(J202* VLOOKUP($C202,'PORTIFÓLIO'!C:V,10,0),"")</f>
        <v/>
      </c>
      <c r="M202" s="220" t="n"/>
      <c r="N202" s="220" t="n"/>
      <c r="O202" s="220" t="n"/>
      <c r="P202" s="220" t="n"/>
      <c r="Q202" s="220" t="n"/>
      <c r="R202" s="220" t="n"/>
      <c r="S202" s="220" t="n"/>
      <c r="T202" s="220" t="n"/>
      <c r="U202" s="220" t="n"/>
      <c r="V202" s="220" t="n"/>
      <c r="W202" s="220" t="n"/>
    </row>
    <row r="203" outlineLevel="1" ht="15.75" customHeight="1" s="297">
      <c r="A203" s="211" t="n"/>
      <c r="B203" s="212" t="n"/>
      <c r="C203" s="213" t="n"/>
      <c r="D203" s="214">
        <f>IFERROR(VLOOKUP($C203,'PORTIFÓLIO'!C:V,2,0),"")</f>
        <v/>
      </c>
      <c r="E203" s="211">
        <f>IFERROR(VLOOKUP($C203,'PORTIFÓLIO'!C:V,3,0),"")</f>
        <v/>
      </c>
      <c r="F203" s="211">
        <f>IFERROR(VLOOKUP($C203,'PORTIFÓLIO'!C:V,4,0),"")</f>
        <v/>
      </c>
      <c r="G203" s="215">
        <f>IFERROR(VLOOKUP($C203,'PORTIFÓLIO'!C:V,5,0),"")</f>
        <v/>
      </c>
      <c r="H203" s="254">
        <f t="array" ref="H203">IFERROR(INDEX('PORTIFÓLIO'!$H$4:$H$433,MATCH($C203,'PORTIFÓLIO'!$C$4:$C$433,0)),"")</f>
        <v/>
      </c>
      <c r="I203" s="256" t="n"/>
      <c r="J203" s="218">
        <f>I203*$B$2</f>
        <v/>
      </c>
      <c r="K203" s="219">
        <f>IFERROR(I203* VLOOKUP($C203,'PORTIFÓLIO'!C:V,10,0),"")</f>
        <v/>
      </c>
      <c r="L203" s="219">
        <f>IFERROR(J203* VLOOKUP($C203,'PORTIFÓLIO'!C:V,10,0),"")</f>
        <v/>
      </c>
      <c r="M203" s="220" t="n"/>
      <c r="N203" s="220" t="n"/>
      <c r="O203" s="220" t="n"/>
      <c r="P203" s="220" t="n"/>
      <c r="Q203" s="220" t="n"/>
      <c r="R203" s="220" t="n"/>
      <c r="S203" s="220" t="n"/>
      <c r="T203" s="220" t="n"/>
      <c r="U203" s="220" t="n"/>
      <c r="V203" s="220" t="n"/>
      <c r="W203" s="220" t="n"/>
    </row>
    <row r="204" outlineLevel="1" ht="15.75" customHeight="1" s="297">
      <c r="A204" s="211" t="n"/>
      <c r="B204" s="212" t="n"/>
      <c r="C204" s="213" t="n"/>
      <c r="D204" s="214">
        <f>IFERROR(VLOOKUP($C204,'PORTIFÓLIO'!C:V,2,0),"")</f>
        <v/>
      </c>
      <c r="E204" s="211">
        <f>IFERROR(VLOOKUP($C204,'PORTIFÓLIO'!C:V,3,0),"")</f>
        <v/>
      </c>
      <c r="F204" s="211">
        <f>IFERROR(VLOOKUP($C204,'PORTIFÓLIO'!C:V,4,0),"")</f>
        <v/>
      </c>
      <c r="G204" s="215">
        <f>IFERROR(VLOOKUP($C204,'PORTIFÓLIO'!C:V,5,0),"")</f>
        <v/>
      </c>
      <c r="H204" s="254">
        <f t="array" ref="H204">IFERROR(INDEX('PORTIFÓLIO'!$H$4:$H$433,MATCH($C204,'PORTIFÓLIO'!$C$4:$C$433,0)),"")</f>
        <v/>
      </c>
      <c r="I204" s="256" t="n"/>
      <c r="J204" s="218">
        <f>I204*$B$2</f>
        <v/>
      </c>
      <c r="K204" s="219">
        <f>IFERROR(I204* VLOOKUP($C204,'PORTIFÓLIO'!C:V,10,0),"")</f>
        <v/>
      </c>
      <c r="L204" s="219">
        <f>IFERROR(J204* VLOOKUP($C204,'PORTIFÓLIO'!C:V,10,0),"")</f>
        <v/>
      </c>
      <c r="M204" s="220" t="n"/>
      <c r="N204" s="220" t="n"/>
      <c r="O204" s="220" t="n"/>
      <c r="P204" s="220" t="n"/>
      <c r="Q204" s="220" t="n"/>
      <c r="R204" s="220" t="n"/>
      <c r="S204" s="220" t="n"/>
      <c r="T204" s="220" t="n"/>
      <c r="U204" s="220" t="n"/>
      <c r="V204" s="220" t="n"/>
      <c r="W204" s="220" t="n"/>
    </row>
    <row r="205" outlineLevel="1" ht="15.75" customHeight="1" s="297">
      <c r="A205" s="211" t="n"/>
      <c r="B205" s="212" t="n"/>
      <c r="C205" s="213" t="n"/>
      <c r="D205" s="214">
        <f>IFERROR(VLOOKUP($C205,'PORTIFÓLIO'!C:V,2,0),"")</f>
        <v/>
      </c>
      <c r="E205" s="211">
        <f>IFERROR(VLOOKUP($C205,'PORTIFÓLIO'!C:V,3,0),"")</f>
        <v/>
      </c>
      <c r="F205" s="211">
        <f>IFERROR(VLOOKUP($C205,'PORTIFÓLIO'!C:V,4,0),"")</f>
        <v/>
      </c>
      <c r="G205" s="215">
        <f>IFERROR(VLOOKUP($C205,'PORTIFÓLIO'!C:V,5,0),"")</f>
        <v/>
      </c>
      <c r="H205" s="254">
        <f t="array" ref="H205">IFERROR(INDEX('PORTIFÓLIO'!$H$4:$H$433,MATCH($C205,'PORTIFÓLIO'!$C$4:$C$433,0)),"")</f>
        <v/>
      </c>
      <c r="I205" s="256" t="n"/>
      <c r="J205" s="218">
        <f>I205*$B$2</f>
        <v/>
      </c>
      <c r="K205" s="219">
        <f>IFERROR(I205* VLOOKUP($C205,'PORTIFÓLIO'!C:V,10,0),"")</f>
        <v/>
      </c>
      <c r="L205" s="219">
        <f>IFERROR(J205* VLOOKUP($C205,'PORTIFÓLIO'!C:V,10,0),"")</f>
        <v/>
      </c>
      <c r="M205" s="220" t="n"/>
      <c r="N205" s="220" t="n"/>
      <c r="O205" s="220" t="n"/>
      <c r="P205" s="220" t="n"/>
      <c r="Q205" s="220" t="n"/>
      <c r="R205" s="220" t="n"/>
      <c r="S205" s="220" t="n"/>
      <c r="T205" s="220" t="n"/>
      <c r="U205" s="220" t="n"/>
      <c r="V205" s="220" t="n"/>
      <c r="W205" s="220" t="n"/>
    </row>
    <row r="206" outlineLevel="1" ht="15.75" customHeight="1" s="297">
      <c r="A206" s="211" t="n"/>
      <c r="B206" s="212" t="n"/>
      <c r="C206" s="213" t="n"/>
      <c r="D206" s="214">
        <f>IFERROR(VLOOKUP($C206,'PORTIFÓLIO'!C:V,2,0),"")</f>
        <v/>
      </c>
      <c r="E206" s="211">
        <f>IFERROR(VLOOKUP($C206,'PORTIFÓLIO'!C:V,3,0),"")</f>
        <v/>
      </c>
      <c r="F206" s="211">
        <f>IFERROR(VLOOKUP($C206,'PORTIFÓLIO'!C:V,4,0),"")</f>
        <v/>
      </c>
      <c r="G206" s="215">
        <f>IFERROR(VLOOKUP($C206,'PORTIFÓLIO'!C:V,5,0),"")</f>
        <v/>
      </c>
      <c r="H206" s="254">
        <f t="array" ref="H206">IFERROR(INDEX('PORTIFÓLIO'!$H$4:$H$433,MATCH($C206,'PORTIFÓLIO'!$C$4:$C$433,0)),"")</f>
        <v/>
      </c>
      <c r="I206" s="256" t="n"/>
      <c r="J206" s="218">
        <f>I206*$B$2</f>
        <v/>
      </c>
      <c r="K206" s="219">
        <f>IFERROR(I206* VLOOKUP($C206,'PORTIFÓLIO'!C:V,10,0),"")</f>
        <v/>
      </c>
      <c r="L206" s="219">
        <f>IFERROR(J206* VLOOKUP($C206,'PORTIFÓLIO'!C:V,10,0),"")</f>
        <v/>
      </c>
      <c r="M206" s="220" t="n"/>
      <c r="N206" s="220" t="n"/>
      <c r="O206" s="220" t="n"/>
      <c r="P206" s="220" t="n"/>
      <c r="Q206" s="220" t="n"/>
      <c r="R206" s="220" t="n"/>
      <c r="S206" s="220" t="n"/>
      <c r="T206" s="220" t="n"/>
      <c r="U206" s="220" t="n"/>
      <c r="V206" s="220" t="n"/>
      <c r="W206" s="220" t="n"/>
    </row>
    <row r="207" outlineLevel="1" ht="15.75" customHeight="1" s="297">
      <c r="A207" s="211" t="n"/>
      <c r="B207" s="212" t="n"/>
      <c r="C207" s="213" t="n"/>
      <c r="D207" s="214">
        <f>IFERROR(VLOOKUP($C207,'PORTIFÓLIO'!C:V,2,0),"")</f>
        <v/>
      </c>
      <c r="E207" s="211">
        <f>IFERROR(VLOOKUP($C207,'PORTIFÓLIO'!C:V,3,0),"")</f>
        <v/>
      </c>
      <c r="F207" s="211">
        <f>IFERROR(VLOOKUP($C207,'PORTIFÓLIO'!C:V,4,0),"")</f>
        <v/>
      </c>
      <c r="G207" s="215">
        <f>IFERROR(VLOOKUP($C207,'PORTIFÓLIO'!C:V,5,0),"")</f>
        <v/>
      </c>
      <c r="H207" s="254">
        <f t="array" ref="H207">IFERROR(INDEX('PORTIFÓLIO'!$H$4:$H$433,MATCH($C207,'PORTIFÓLIO'!$C$4:$C$433,0)),"")</f>
        <v/>
      </c>
      <c r="I207" s="256" t="n"/>
      <c r="J207" s="218">
        <f>I207*$B$2</f>
        <v/>
      </c>
      <c r="K207" s="219">
        <f>IFERROR(I207* VLOOKUP($C207,'PORTIFÓLIO'!C:V,10,0),"")</f>
        <v/>
      </c>
      <c r="L207" s="219">
        <f>IFERROR(J207* VLOOKUP($C207,'PORTIFÓLIO'!C:V,10,0),"")</f>
        <v/>
      </c>
      <c r="M207" s="220" t="n"/>
      <c r="N207" s="220" t="n"/>
      <c r="O207" s="220" t="n"/>
      <c r="P207" s="220" t="n"/>
      <c r="Q207" s="220" t="n"/>
      <c r="R207" s="220" t="n"/>
      <c r="S207" s="220" t="n"/>
      <c r="T207" s="220" t="n"/>
      <c r="U207" s="220" t="n"/>
      <c r="V207" s="220" t="n"/>
      <c r="W207" s="220" t="n"/>
    </row>
    <row r="208" outlineLevel="1" ht="15.75" customHeight="1" s="297">
      <c r="A208" s="211" t="n"/>
      <c r="B208" s="212" t="n"/>
      <c r="C208" s="213" t="n"/>
      <c r="D208" s="214">
        <f>IFERROR(VLOOKUP($C208,'PORTIFÓLIO'!C:V,2,0),"")</f>
        <v/>
      </c>
      <c r="E208" s="211">
        <f>IFERROR(VLOOKUP($C208,'PORTIFÓLIO'!C:V,3,0),"")</f>
        <v/>
      </c>
      <c r="F208" s="211">
        <f>IFERROR(VLOOKUP($C208,'PORTIFÓLIO'!C:V,4,0),"")</f>
        <v/>
      </c>
      <c r="G208" s="215">
        <f>IFERROR(VLOOKUP($C208,'PORTIFÓLIO'!C:V,5,0),"")</f>
        <v/>
      </c>
      <c r="H208" s="254">
        <f t="array" ref="H208">IFERROR(INDEX('PORTIFÓLIO'!$H$4:$H$433,MATCH($C208,'PORTIFÓLIO'!$C$4:$C$433,0)),"")</f>
        <v/>
      </c>
      <c r="I208" s="256" t="n"/>
      <c r="J208" s="218">
        <f>I208*$B$2</f>
        <v/>
      </c>
      <c r="K208" s="219">
        <f>IFERROR(I208* VLOOKUP($C208,'PORTIFÓLIO'!C:V,10,0),"")</f>
        <v/>
      </c>
      <c r="L208" s="219">
        <f>IFERROR(J208* VLOOKUP($C208,'PORTIFÓLIO'!C:V,10,0),"")</f>
        <v/>
      </c>
      <c r="M208" s="220" t="n"/>
      <c r="N208" s="220" t="n"/>
      <c r="O208" s="220" t="n"/>
      <c r="P208" s="220" t="n"/>
      <c r="Q208" s="220" t="n"/>
      <c r="R208" s="220" t="n"/>
      <c r="S208" s="220" t="n"/>
      <c r="T208" s="220" t="n"/>
      <c r="U208" s="220" t="n"/>
      <c r="V208" s="220" t="n"/>
      <c r="W208" s="220" t="n"/>
    </row>
    <row r="209" outlineLevel="1" ht="15.75" customHeight="1" s="297">
      <c r="A209" s="211" t="n"/>
      <c r="B209" s="212" t="n"/>
      <c r="C209" s="213" t="n"/>
      <c r="D209" s="214">
        <f>IFERROR(VLOOKUP($C209,'PORTIFÓLIO'!C:V,2,0),"")</f>
        <v/>
      </c>
      <c r="E209" s="211">
        <f>IFERROR(VLOOKUP($C209,'PORTIFÓLIO'!C:V,3,0),"")</f>
        <v/>
      </c>
      <c r="F209" s="211">
        <f>IFERROR(VLOOKUP($C209,'PORTIFÓLIO'!C:V,4,0),"")</f>
        <v/>
      </c>
      <c r="G209" s="215">
        <f>IFERROR(VLOOKUP($C209,'PORTIFÓLIO'!C:V,5,0),"")</f>
        <v/>
      </c>
      <c r="H209" s="254">
        <f t="array" ref="H209">IFERROR(INDEX('PORTIFÓLIO'!$H$4:$H$433,MATCH($C209,'PORTIFÓLIO'!$C$4:$C$433,0)),"")</f>
        <v/>
      </c>
      <c r="I209" s="256" t="n"/>
      <c r="J209" s="218">
        <f>I209*$B$2</f>
        <v/>
      </c>
      <c r="K209" s="219">
        <f>IFERROR(I209* VLOOKUP($C209,'PORTIFÓLIO'!C:V,10,0),"")</f>
        <v/>
      </c>
      <c r="L209" s="219">
        <f>IFERROR(J209* VLOOKUP($C209,'PORTIFÓLIO'!C:V,10,0),"")</f>
        <v/>
      </c>
      <c r="M209" s="220" t="n"/>
      <c r="N209" s="220" t="n"/>
      <c r="O209" s="220" t="n"/>
      <c r="P209" s="220" t="n"/>
      <c r="Q209" s="220" t="n"/>
      <c r="R209" s="220" t="n"/>
      <c r="S209" s="220" t="n"/>
      <c r="T209" s="220" t="n"/>
      <c r="U209" s="220" t="n"/>
      <c r="V209" s="220" t="n"/>
      <c r="W209" s="220" t="n"/>
    </row>
    <row r="210" outlineLevel="1" ht="15.75" customHeight="1" s="297">
      <c r="A210" s="211" t="n"/>
      <c r="B210" s="212" t="n"/>
      <c r="C210" s="213" t="n"/>
      <c r="D210" s="214">
        <f>IFERROR(VLOOKUP($C210,'PORTIFÓLIO'!C:V,2,0),"")</f>
        <v/>
      </c>
      <c r="E210" s="211">
        <f>IFERROR(VLOOKUP($C210,'PORTIFÓLIO'!C:V,3,0),"")</f>
        <v/>
      </c>
      <c r="F210" s="211">
        <f>IFERROR(VLOOKUP($C210,'PORTIFÓLIO'!C:V,4,0),"")</f>
        <v/>
      </c>
      <c r="G210" s="215">
        <f>IFERROR(VLOOKUP($C210,'PORTIFÓLIO'!C:V,5,0),"")</f>
        <v/>
      </c>
      <c r="H210" s="254">
        <f t="array" ref="H210">IFERROR(INDEX('PORTIFÓLIO'!$H$4:$H$433,MATCH($C210,'PORTIFÓLIO'!$C$4:$C$433,0)),"")</f>
        <v/>
      </c>
      <c r="I210" s="256" t="n"/>
      <c r="J210" s="218">
        <f>I210*$B$2</f>
        <v/>
      </c>
      <c r="K210" s="219">
        <f>IFERROR(I210* VLOOKUP($C210,'PORTIFÓLIO'!C:V,10,0),"")</f>
        <v/>
      </c>
      <c r="L210" s="219">
        <f>IFERROR(J210* VLOOKUP($C210,'PORTIFÓLIO'!C:V,10,0),"")</f>
        <v/>
      </c>
      <c r="M210" s="220" t="n"/>
      <c r="N210" s="220" t="n"/>
      <c r="O210" s="220" t="n"/>
      <c r="P210" s="220" t="n"/>
      <c r="Q210" s="220" t="n"/>
      <c r="R210" s="220" t="n"/>
      <c r="S210" s="220" t="n"/>
      <c r="T210" s="220" t="n"/>
      <c r="U210" s="220" t="n"/>
      <c r="V210" s="220" t="n"/>
      <c r="W210" s="220" t="n"/>
    </row>
    <row r="211" outlineLevel="1" ht="15.75" customHeight="1" s="297">
      <c r="A211" s="211" t="n"/>
      <c r="B211" s="212" t="n"/>
      <c r="C211" s="213" t="n"/>
      <c r="D211" s="214">
        <f>IFERROR(VLOOKUP($C211,'PORTIFÓLIO'!C:V,2,0),"")</f>
        <v/>
      </c>
      <c r="E211" s="211">
        <f>IFERROR(VLOOKUP($C211,'PORTIFÓLIO'!C:V,3,0),"")</f>
        <v/>
      </c>
      <c r="F211" s="211">
        <f>IFERROR(VLOOKUP($C211,'PORTIFÓLIO'!C:V,4,0),"")</f>
        <v/>
      </c>
      <c r="G211" s="215">
        <f>IFERROR(VLOOKUP($C211,'PORTIFÓLIO'!C:V,5,0),"")</f>
        <v/>
      </c>
      <c r="H211" s="254">
        <f t="array" ref="H211">IFERROR(INDEX('PORTIFÓLIO'!$H$4:$H$433,MATCH($C211,'PORTIFÓLIO'!$C$4:$C$433,0)),"")</f>
        <v/>
      </c>
      <c r="I211" s="256" t="n"/>
      <c r="J211" s="218">
        <f>I211*$B$2</f>
        <v/>
      </c>
      <c r="K211" s="219">
        <f>IFERROR(I211* VLOOKUP($C211,'PORTIFÓLIO'!C:V,10,0),"")</f>
        <v/>
      </c>
      <c r="L211" s="219">
        <f>IFERROR(J211* VLOOKUP($C211,'PORTIFÓLIO'!C:V,10,0),"")</f>
        <v/>
      </c>
      <c r="M211" s="220" t="n"/>
      <c r="N211" s="220" t="n"/>
      <c r="O211" s="220" t="n"/>
      <c r="P211" s="220" t="n"/>
      <c r="Q211" s="220" t="n"/>
      <c r="R211" s="220" t="n"/>
      <c r="S211" s="220" t="n"/>
      <c r="T211" s="220" t="n"/>
      <c r="U211" s="220" t="n"/>
      <c r="V211" s="220" t="n"/>
      <c r="W211" s="220" t="n"/>
    </row>
    <row r="212" outlineLevel="1" ht="15.75" customHeight="1" s="297">
      <c r="A212" s="211" t="n"/>
      <c r="B212" s="212" t="n"/>
      <c r="C212" s="213" t="n"/>
      <c r="D212" s="214">
        <f>IFERROR(VLOOKUP($C212,'PORTIFÓLIO'!C:V,2,0),"")</f>
        <v/>
      </c>
      <c r="E212" s="211">
        <f>IFERROR(VLOOKUP($C212,'PORTIFÓLIO'!C:V,3,0),"")</f>
        <v/>
      </c>
      <c r="F212" s="211">
        <f>IFERROR(VLOOKUP($C212,'PORTIFÓLIO'!C:V,4,0),"")</f>
        <v/>
      </c>
      <c r="G212" s="215">
        <f>IFERROR(VLOOKUP($C212,'PORTIFÓLIO'!C:V,5,0),"")</f>
        <v/>
      </c>
      <c r="H212" s="254">
        <f t="array" ref="H212">IFERROR(INDEX('PORTIFÓLIO'!$H$4:$H$433,MATCH($C212,'PORTIFÓLIO'!$C$4:$C$433,0)),"")</f>
        <v/>
      </c>
      <c r="I212" s="256" t="n"/>
      <c r="J212" s="218">
        <f>I212*$B$2</f>
        <v/>
      </c>
      <c r="K212" s="219">
        <f>IFERROR(I212* VLOOKUP($C212,'PORTIFÓLIO'!C:V,10,0),"")</f>
        <v/>
      </c>
      <c r="L212" s="219">
        <f>IFERROR(J212* VLOOKUP($C212,'PORTIFÓLIO'!C:V,10,0),"")</f>
        <v/>
      </c>
      <c r="M212" s="220" t="n"/>
      <c r="N212" s="220" t="n"/>
      <c r="O212" s="220" t="n"/>
      <c r="P212" s="220" t="n"/>
      <c r="Q212" s="220" t="n"/>
      <c r="R212" s="220" t="n"/>
      <c r="S212" s="220" t="n"/>
      <c r="T212" s="220" t="n"/>
      <c r="U212" s="220" t="n"/>
      <c r="V212" s="220" t="n"/>
      <c r="W212" s="220" t="n"/>
    </row>
    <row r="213" outlineLevel="1" ht="15.75" customHeight="1" s="297">
      <c r="A213" s="211" t="n"/>
      <c r="B213" s="212" t="n"/>
      <c r="C213" s="213" t="n"/>
      <c r="D213" s="214">
        <f>IFERROR(VLOOKUP($C213,'PORTIFÓLIO'!C:V,2,0),"")</f>
        <v/>
      </c>
      <c r="E213" s="211">
        <f>IFERROR(VLOOKUP($C213,'PORTIFÓLIO'!C:V,3,0),"")</f>
        <v/>
      </c>
      <c r="F213" s="211">
        <f>IFERROR(VLOOKUP($C213,'PORTIFÓLIO'!C:V,4,0),"")</f>
        <v/>
      </c>
      <c r="G213" s="215">
        <f>IFERROR(VLOOKUP($C213,'PORTIFÓLIO'!C:V,5,0),"")</f>
        <v/>
      </c>
      <c r="H213" s="254">
        <f t="array" ref="H213">IFERROR(INDEX('PORTIFÓLIO'!$H$4:$H$433,MATCH($C213,'PORTIFÓLIO'!$C$4:$C$433,0)),"")</f>
        <v/>
      </c>
      <c r="I213" s="256" t="n"/>
      <c r="J213" s="218">
        <f>I213*$B$2</f>
        <v/>
      </c>
      <c r="K213" s="219">
        <f>IFERROR(I213* VLOOKUP($C213,'PORTIFÓLIO'!C:V,10,0),"")</f>
        <v/>
      </c>
      <c r="L213" s="219">
        <f>IFERROR(J213* VLOOKUP($C213,'PORTIFÓLIO'!C:V,10,0),"")</f>
        <v/>
      </c>
      <c r="M213" s="220" t="n"/>
      <c r="N213" s="220" t="n"/>
      <c r="O213" s="220" t="n"/>
      <c r="P213" s="220" t="n"/>
      <c r="Q213" s="220" t="n"/>
      <c r="R213" s="220" t="n"/>
      <c r="S213" s="220" t="n"/>
      <c r="T213" s="220" t="n"/>
      <c r="U213" s="220" t="n"/>
      <c r="V213" s="220" t="n"/>
      <c r="W213" s="220" t="n"/>
    </row>
    <row r="214" outlineLevel="1" ht="15.75" customHeight="1" s="297">
      <c r="A214" s="211" t="n"/>
      <c r="B214" s="212" t="n"/>
      <c r="C214" s="213" t="n"/>
      <c r="D214" s="214">
        <f>IFERROR(VLOOKUP($C214,'PORTIFÓLIO'!C:V,2,0),"")</f>
        <v/>
      </c>
      <c r="E214" s="211">
        <f>IFERROR(VLOOKUP($C214,'PORTIFÓLIO'!C:V,3,0),"")</f>
        <v/>
      </c>
      <c r="F214" s="211">
        <f>IFERROR(VLOOKUP($C214,'PORTIFÓLIO'!C:V,4,0),"")</f>
        <v/>
      </c>
      <c r="G214" s="215">
        <f>IFERROR(VLOOKUP($C214,'PORTIFÓLIO'!C:V,5,0),"")</f>
        <v/>
      </c>
      <c r="H214" s="254">
        <f t="array" ref="H214">IFERROR(INDEX('PORTIFÓLIO'!$H$4:$H$433,MATCH($C214,'PORTIFÓLIO'!$C$4:$C$433,0)),"")</f>
        <v/>
      </c>
      <c r="I214" s="256" t="n"/>
      <c r="J214" s="218">
        <f>I214*$B$2</f>
        <v/>
      </c>
      <c r="K214" s="219">
        <f>IFERROR(I214* VLOOKUP($C214,'PORTIFÓLIO'!C:V,10,0),"")</f>
        <v/>
      </c>
      <c r="L214" s="219">
        <f>IFERROR(J214* VLOOKUP($C214,'PORTIFÓLIO'!C:V,10,0),"")</f>
        <v/>
      </c>
      <c r="M214" s="220" t="n"/>
      <c r="N214" s="220" t="n"/>
      <c r="O214" s="220" t="n"/>
      <c r="P214" s="220" t="n"/>
      <c r="Q214" s="220" t="n"/>
      <c r="R214" s="220" t="n"/>
      <c r="S214" s="220" t="n"/>
      <c r="T214" s="220" t="n"/>
      <c r="U214" s="220" t="n"/>
      <c r="V214" s="220" t="n"/>
      <c r="W214" s="220" t="n"/>
    </row>
    <row r="215" outlineLevel="1" ht="15.75" customHeight="1" s="297">
      <c r="A215" s="211" t="n"/>
      <c r="B215" s="212" t="n"/>
      <c r="C215" s="213" t="n"/>
      <c r="D215" s="214">
        <f>IFERROR(VLOOKUP($C215,'PORTIFÓLIO'!C:V,2,0),"")</f>
        <v/>
      </c>
      <c r="E215" s="211">
        <f>IFERROR(VLOOKUP($C215,'PORTIFÓLIO'!C:V,3,0),"")</f>
        <v/>
      </c>
      <c r="F215" s="211">
        <f>IFERROR(VLOOKUP($C215,'PORTIFÓLIO'!C:V,4,0),"")</f>
        <v/>
      </c>
      <c r="G215" s="215">
        <f>IFERROR(VLOOKUP($C215,'PORTIFÓLIO'!C:V,5,0),"")</f>
        <v/>
      </c>
      <c r="H215" s="254">
        <f t="array" ref="H215">IFERROR(INDEX('PORTIFÓLIO'!$H$4:$H$433,MATCH($C215,'PORTIFÓLIO'!$C$4:$C$433,0)),"")</f>
        <v/>
      </c>
      <c r="I215" s="256" t="n"/>
      <c r="J215" s="218">
        <f>I215*$B$2</f>
        <v/>
      </c>
      <c r="K215" s="219">
        <f>IFERROR(I215* VLOOKUP($C215,'PORTIFÓLIO'!C:V,10,0),"")</f>
        <v/>
      </c>
      <c r="L215" s="219">
        <f>IFERROR(J215* VLOOKUP($C215,'PORTIFÓLIO'!C:V,10,0),"")</f>
        <v/>
      </c>
      <c r="M215" s="220" t="n"/>
      <c r="N215" s="220" t="n"/>
      <c r="O215" s="220" t="n"/>
      <c r="P215" s="220" t="n"/>
      <c r="Q215" s="220" t="n"/>
      <c r="R215" s="220" t="n"/>
      <c r="S215" s="220" t="n"/>
      <c r="T215" s="220" t="n"/>
      <c r="U215" s="220" t="n"/>
      <c r="V215" s="220" t="n"/>
      <c r="W215" s="220" t="n"/>
    </row>
    <row r="216" outlineLevel="1" ht="15.75" customHeight="1" s="297">
      <c r="A216" s="211" t="n"/>
      <c r="B216" s="227" t="n"/>
      <c r="C216" s="211" t="n"/>
      <c r="D216" s="214">
        <f>IFERROR(VLOOKUP($C216,'PORTIFÓLIO'!C:V,2,0),"")</f>
        <v/>
      </c>
      <c r="E216" s="211">
        <f>IFERROR(VLOOKUP($C216,'PORTIFÓLIO'!C:V,3,0),"")</f>
        <v/>
      </c>
      <c r="F216" s="211">
        <f>IFERROR(VLOOKUP($C216,'PORTIFÓLIO'!C:V,4,0),"")</f>
        <v/>
      </c>
      <c r="G216" s="215">
        <f>IFERROR(VLOOKUP($C216,'PORTIFÓLIO'!C:V,5,0),"")</f>
        <v/>
      </c>
      <c r="H216" s="254">
        <f t="array" ref="H216">IFERROR(INDEX('PORTIFÓLIO'!$H$4:$H$433,MATCH($C216,'PORTIFÓLIO'!$C$4:$C$433,0)),"")</f>
        <v/>
      </c>
      <c r="I216" s="256" t="n"/>
      <c r="J216" s="218">
        <f>I216*$B$2</f>
        <v/>
      </c>
      <c r="K216" s="219">
        <f>IFERROR(I216* VLOOKUP($C216,'PORTIFÓLIO'!C:V,10,0),"")</f>
        <v/>
      </c>
      <c r="L216" s="219">
        <f>IFERROR(J216* VLOOKUP($C216,'PORTIFÓLIO'!C:V,10,0),"")</f>
        <v/>
      </c>
      <c r="M216" s="220" t="n"/>
      <c r="N216" s="220" t="n"/>
      <c r="O216" s="220" t="n"/>
      <c r="P216" s="220" t="n"/>
      <c r="Q216" s="220" t="n"/>
      <c r="R216" s="220" t="n"/>
      <c r="S216" s="220" t="n"/>
      <c r="T216" s="220" t="n"/>
      <c r="U216" s="220" t="n"/>
      <c r="V216" s="220" t="n"/>
      <c r="W216" s="220" t="n"/>
    </row>
    <row r="217" outlineLevel="1" ht="15.75" customHeight="1" s="297">
      <c r="A217" s="211" t="n"/>
      <c r="B217" s="227" t="n"/>
      <c r="C217" s="211" t="n"/>
      <c r="D217" s="214">
        <f>IFERROR(VLOOKUP($C217,'PORTIFÓLIO'!C:V,2,0),"")</f>
        <v/>
      </c>
      <c r="E217" s="211">
        <f>IFERROR(VLOOKUP($C217,'PORTIFÓLIO'!C:V,3,0),"")</f>
        <v/>
      </c>
      <c r="F217" s="211">
        <f>IFERROR(VLOOKUP($C217,'PORTIFÓLIO'!C:V,4,0),"")</f>
        <v/>
      </c>
      <c r="G217" s="215">
        <f>IFERROR(VLOOKUP($C217,'PORTIFÓLIO'!C:V,5,0),"")</f>
        <v/>
      </c>
      <c r="H217" s="254">
        <f t="array" ref="H217">IFERROR(INDEX('PORTIFÓLIO'!$H$4:$H$433,MATCH($C217,'PORTIFÓLIO'!$C$4:$C$433,0)),"")</f>
        <v/>
      </c>
      <c r="I217" s="256" t="n"/>
      <c r="J217" s="218">
        <f>I217*$B$2</f>
        <v/>
      </c>
      <c r="K217" s="219">
        <f>IFERROR(I217* VLOOKUP($C217,'PORTIFÓLIO'!C:V,10,0),"")</f>
        <v/>
      </c>
      <c r="L217" s="219">
        <f>IFERROR(J217* VLOOKUP($C217,'PORTIFÓLIO'!C:V,10,0),"")</f>
        <v/>
      </c>
      <c r="M217" s="220" t="n"/>
      <c r="N217" s="220" t="n"/>
      <c r="O217" s="220" t="n"/>
      <c r="P217" s="220" t="n"/>
      <c r="Q217" s="220" t="n"/>
      <c r="R217" s="220" t="n"/>
      <c r="S217" s="220" t="n"/>
      <c r="T217" s="220" t="n"/>
      <c r="U217" s="220" t="n"/>
      <c r="V217" s="220" t="n"/>
      <c r="W217" s="220" t="n"/>
    </row>
    <row r="218" outlineLevel="1" ht="15.75" customHeight="1" s="297">
      <c r="A218" s="211" t="n"/>
      <c r="B218" s="227" t="n"/>
      <c r="C218" s="211" t="n"/>
      <c r="D218" s="214">
        <f>IFERROR(VLOOKUP($C218,'PORTIFÓLIO'!C:V,2,0),"")</f>
        <v/>
      </c>
      <c r="E218" s="211">
        <f>IFERROR(VLOOKUP($C218,'PORTIFÓLIO'!C:V,3,0),"")</f>
        <v/>
      </c>
      <c r="F218" s="211">
        <f>IFERROR(VLOOKUP($C218,'PORTIFÓLIO'!C:V,4,0),"")</f>
        <v/>
      </c>
      <c r="G218" s="215">
        <f>IFERROR(VLOOKUP($C218,'PORTIFÓLIO'!C:V,5,0),"")</f>
        <v/>
      </c>
      <c r="H218" s="254">
        <f t="array" ref="H218">IFERROR(INDEX('PORTIFÓLIO'!$H$4:$H$433,MATCH($C218,'PORTIFÓLIO'!$C$4:$C$433,0)),"")</f>
        <v/>
      </c>
      <c r="I218" s="256" t="n"/>
      <c r="J218" s="218">
        <f>I218*$B$2</f>
        <v/>
      </c>
      <c r="K218" s="219">
        <f>IFERROR(I218* VLOOKUP($C218,'PORTIFÓLIO'!C:V,10,0),"")</f>
        <v/>
      </c>
      <c r="L218" s="219">
        <f>IFERROR(J218* VLOOKUP($C218,'PORTIFÓLIO'!C:V,10,0),"")</f>
        <v/>
      </c>
      <c r="M218" s="220" t="n"/>
      <c r="N218" s="220" t="n"/>
      <c r="O218" s="220" t="n"/>
      <c r="P218" s="220" t="n"/>
      <c r="Q218" s="220" t="n"/>
      <c r="R218" s="220" t="n"/>
      <c r="S218" s="220" t="n"/>
      <c r="T218" s="220" t="n"/>
      <c r="U218" s="220" t="n"/>
      <c r="V218" s="220" t="n"/>
      <c r="W218" s="220" t="n"/>
    </row>
    <row r="219" outlineLevel="1" ht="15.75" customHeight="1" s="297">
      <c r="A219" s="211" t="n"/>
      <c r="B219" s="227" t="n"/>
      <c r="C219" s="211" t="n"/>
      <c r="D219" s="214">
        <f>IFERROR(VLOOKUP($C219,'PORTIFÓLIO'!C:V,2,0),"")</f>
        <v/>
      </c>
      <c r="E219" s="211">
        <f>IFERROR(VLOOKUP($C219,'PORTIFÓLIO'!C:V,3,0),"")</f>
        <v/>
      </c>
      <c r="F219" s="211">
        <f>IFERROR(VLOOKUP($C219,'PORTIFÓLIO'!C:V,4,0),"")</f>
        <v/>
      </c>
      <c r="G219" s="215">
        <f>IFERROR(VLOOKUP($C219,'PORTIFÓLIO'!C:V,5,0),"")</f>
        <v/>
      </c>
      <c r="H219" s="254">
        <f t="array" ref="H219">IFERROR(INDEX('PORTIFÓLIO'!$H$4:$H$433,MATCH($C219,'PORTIFÓLIO'!$C$4:$C$433,0)),"")</f>
        <v/>
      </c>
      <c r="I219" s="256" t="n"/>
      <c r="J219" s="218">
        <f>I219*$B$2</f>
        <v/>
      </c>
      <c r="K219" s="219">
        <f>IFERROR(I219* VLOOKUP($C219,'PORTIFÓLIO'!C:V,10,0),"")</f>
        <v/>
      </c>
      <c r="L219" s="219">
        <f>IFERROR(J219* VLOOKUP($C219,'PORTIFÓLIO'!C:V,10,0),"")</f>
        <v/>
      </c>
      <c r="M219" s="220" t="n"/>
      <c r="N219" s="220" t="n"/>
      <c r="O219" s="220" t="n"/>
      <c r="P219" s="220" t="n"/>
      <c r="Q219" s="220" t="n"/>
      <c r="R219" s="220" t="n"/>
      <c r="S219" s="220" t="n"/>
      <c r="T219" s="220" t="n"/>
      <c r="U219" s="220" t="n"/>
      <c r="V219" s="220" t="n"/>
      <c r="W219" s="220" t="n"/>
    </row>
    <row r="220" outlineLevel="1" ht="15.75" customHeight="1" s="297">
      <c r="A220" s="211" t="n"/>
      <c r="B220" s="227" t="n"/>
      <c r="C220" s="211" t="n"/>
      <c r="D220" s="214">
        <f>IFERROR(VLOOKUP($C220,'PORTIFÓLIO'!C:V,2,0),"")</f>
        <v/>
      </c>
      <c r="E220" s="211">
        <f>IFERROR(VLOOKUP($C220,'PORTIFÓLIO'!C:V,3,0),"")</f>
        <v/>
      </c>
      <c r="F220" s="211">
        <f>IFERROR(VLOOKUP($C220,'PORTIFÓLIO'!C:V,4,0),"")</f>
        <v/>
      </c>
      <c r="G220" s="215">
        <f>IFERROR(VLOOKUP($C220,'PORTIFÓLIO'!C:V,5,0),"")</f>
        <v/>
      </c>
      <c r="H220" s="254">
        <f t="array" ref="H220">IFERROR(INDEX('PORTIFÓLIO'!$H$4:$H$433,MATCH($C220,'PORTIFÓLIO'!$C$4:$C$433,0)),"")</f>
        <v/>
      </c>
      <c r="I220" s="256" t="n"/>
      <c r="J220" s="218">
        <f>I220*$B$2</f>
        <v/>
      </c>
      <c r="K220" s="219">
        <f>IFERROR(I220* VLOOKUP($C220,'PORTIFÓLIO'!C:V,10,0),"")</f>
        <v/>
      </c>
      <c r="L220" s="219">
        <f>IFERROR(J220* VLOOKUP($C220,'PORTIFÓLIO'!C:V,10,0),"")</f>
        <v/>
      </c>
      <c r="M220" s="220" t="n"/>
      <c r="N220" s="220" t="n"/>
      <c r="O220" s="220" t="n"/>
      <c r="P220" s="220" t="n"/>
      <c r="Q220" s="220" t="n"/>
      <c r="R220" s="220" t="n"/>
      <c r="S220" s="220" t="n"/>
      <c r="T220" s="220" t="n"/>
      <c r="U220" s="220" t="n"/>
      <c r="V220" s="220" t="n"/>
      <c r="W220" s="220" t="n"/>
    </row>
    <row r="221" outlineLevel="1" ht="15.75" customHeight="1" s="297">
      <c r="A221" s="211" t="n"/>
      <c r="B221" s="227" t="n"/>
      <c r="C221" s="211" t="n"/>
      <c r="D221" s="214">
        <f>IFERROR(VLOOKUP($C221,'PORTIFÓLIO'!C:V,2,0),"")</f>
        <v/>
      </c>
      <c r="E221" s="211">
        <f>IFERROR(VLOOKUP($C221,'PORTIFÓLIO'!C:V,3,0),"")</f>
        <v/>
      </c>
      <c r="F221" s="211">
        <f>IFERROR(VLOOKUP($C221,'PORTIFÓLIO'!C:V,4,0),"")</f>
        <v/>
      </c>
      <c r="G221" s="215">
        <f>IFERROR(VLOOKUP($C221,'PORTIFÓLIO'!C:V,5,0),"")</f>
        <v/>
      </c>
      <c r="H221" s="254">
        <f t="array" ref="H221">IFERROR(INDEX('PORTIFÓLIO'!$H$4:$H$433,MATCH($C221,'PORTIFÓLIO'!$C$4:$C$433,0)),"")</f>
        <v/>
      </c>
      <c r="I221" s="256" t="n"/>
      <c r="J221" s="218">
        <f>I221*$B$2</f>
        <v/>
      </c>
      <c r="K221" s="219">
        <f>IFERROR(I221* VLOOKUP($C221,'PORTIFÓLIO'!C:V,10,0),"")</f>
        <v/>
      </c>
      <c r="L221" s="219">
        <f>IFERROR(J221* VLOOKUP($C221,'PORTIFÓLIO'!C:V,10,0),"")</f>
        <v/>
      </c>
      <c r="M221" s="220" t="n"/>
      <c r="N221" s="220" t="n"/>
      <c r="O221" s="220" t="n"/>
      <c r="P221" s="220" t="n"/>
      <c r="Q221" s="220" t="n"/>
      <c r="R221" s="220" t="n"/>
      <c r="S221" s="220" t="n"/>
      <c r="T221" s="220" t="n"/>
      <c r="U221" s="220" t="n"/>
      <c r="V221" s="220" t="n"/>
      <c r="W221" s="220" t="n"/>
    </row>
    <row r="222" outlineLevel="1" ht="15.75" customHeight="1" s="297">
      <c r="A222" s="211" t="n"/>
      <c r="B222" s="227" t="n"/>
      <c r="C222" s="211" t="n"/>
      <c r="D222" s="214">
        <f>IFERROR(VLOOKUP($C222,'PORTIFÓLIO'!C:V,2,0),"")</f>
        <v/>
      </c>
      <c r="E222" s="211">
        <f>IFERROR(VLOOKUP($C222,'PORTIFÓLIO'!C:V,3,0),"")</f>
        <v/>
      </c>
      <c r="F222" s="211">
        <f>IFERROR(VLOOKUP($C222,'PORTIFÓLIO'!C:V,4,0),"")</f>
        <v/>
      </c>
      <c r="G222" s="215">
        <f>IFERROR(VLOOKUP($C222,'PORTIFÓLIO'!C:V,5,0),"")</f>
        <v/>
      </c>
      <c r="H222" s="254">
        <f t="array" ref="H222">IFERROR(INDEX('PORTIFÓLIO'!$H$4:$H$433,MATCH($C222,'PORTIFÓLIO'!$C$4:$C$433,0)),"")</f>
        <v/>
      </c>
      <c r="I222" s="256" t="n"/>
      <c r="J222" s="218">
        <f>I222*$B$2</f>
        <v/>
      </c>
      <c r="K222" s="219">
        <f>IFERROR(I222* VLOOKUP($C222,'PORTIFÓLIO'!C:V,10,0),"")</f>
        <v/>
      </c>
      <c r="L222" s="219">
        <f>IFERROR(J222* VLOOKUP($C222,'PORTIFÓLIO'!C:V,10,0),"")</f>
        <v/>
      </c>
      <c r="M222" s="220" t="n"/>
      <c r="N222" s="220" t="n"/>
      <c r="O222" s="220" t="n"/>
      <c r="P222" s="220" t="n"/>
      <c r="Q222" s="220" t="n"/>
      <c r="R222" s="220" t="n"/>
      <c r="S222" s="220" t="n"/>
      <c r="T222" s="220" t="n"/>
      <c r="U222" s="220" t="n"/>
      <c r="V222" s="220" t="n"/>
      <c r="W222" s="220" t="n"/>
    </row>
    <row r="223" outlineLevel="1" ht="15.75" customHeight="1" s="297">
      <c r="A223" s="211" t="n"/>
      <c r="B223" s="227" t="n"/>
      <c r="C223" s="211" t="n"/>
      <c r="D223" s="214">
        <f>IFERROR(VLOOKUP($C223,'PORTIFÓLIO'!C:V,2,0),"")</f>
        <v/>
      </c>
      <c r="E223" s="211">
        <f>IFERROR(VLOOKUP($C223,'PORTIFÓLIO'!C:V,3,0),"")</f>
        <v/>
      </c>
      <c r="F223" s="211">
        <f>IFERROR(VLOOKUP($C223,'PORTIFÓLIO'!C:V,4,0),"")</f>
        <v/>
      </c>
      <c r="G223" s="215">
        <f>IFERROR(VLOOKUP($C223,'PORTIFÓLIO'!C:V,5,0),"")</f>
        <v/>
      </c>
      <c r="H223" s="254">
        <f t="array" ref="H223">IFERROR(INDEX('PORTIFÓLIO'!$H$4:$H$433,MATCH($C223,'PORTIFÓLIO'!$C$4:$C$433,0)),"")</f>
        <v/>
      </c>
      <c r="I223" s="256" t="n"/>
      <c r="J223" s="218">
        <f>I223*$B$2</f>
        <v/>
      </c>
      <c r="K223" s="219">
        <f>IFERROR(I223* VLOOKUP($C223,'PORTIFÓLIO'!C:V,10,0),"")</f>
        <v/>
      </c>
      <c r="L223" s="219">
        <f>IFERROR(J223* VLOOKUP($C223,'PORTIFÓLIO'!C:V,10,0),"")</f>
        <v/>
      </c>
      <c r="M223" s="220" t="n"/>
      <c r="N223" s="220" t="n"/>
      <c r="O223" s="220" t="n"/>
      <c r="P223" s="220" t="n"/>
      <c r="Q223" s="220" t="n"/>
      <c r="R223" s="220" t="n"/>
      <c r="S223" s="220" t="n"/>
      <c r="T223" s="220" t="n"/>
      <c r="U223" s="220" t="n"/>
      <c r="V223" s="220" t="n"/>
      <c r="W223" s="220" t="n"/>
    </row>
    <row r="224" outlineLevel="1" ht="15.75" customHeight="1" s="297">
      <c r="A224" s="211" t="n"/>
      <c r="B224" s="227" t="n"/>
      <c r="C224" s="211" t="n"/>
      <c r="D224" s="214">
        <f>IFERROR(VLOOKUP($C224,'PORTIFÓLIO'!C:V,2,0),"")</f>
        <v/>
      </c>
      <c r="E224" s="211">
        <f>IFERROR(VLOOKUP($C224,'PORTIFÓLIO'!C:V,3,0),"")</f>
        <v/>
      </c>
      <c r="F224" s="211">
        <f>IFERROR(VLOOKUP($C224,'PORTIFÓLIO'!C:V,4,0),"")</f>
        <v/>
      </c>
      <c r="G224" s="215">
        <f>IFERROR(VLOOKUP($C224,'PORTIFÓLIO'!C:V,5,0),"")</f>
        <v/>
      </c>
      <c r="H224" s="254">
        <f t="array" ref="H224">IFERROR(INDEX('PORTIFÓLIO'!$H$4:$H$433,MATCH($C224,'PORTIFÓLIO'!$C$4:$C$433,0)),"")</f>
        <v/>
      </c>
      <c r="I224" s="256" t="n"/>
      <c r="J224" s="218">
        <f>I224*$B$2</f>
        <v/>
      </c>
      <c r="K224" s="219">
        <f>IFERROR(I224* VLOOKUP($C224,'PORTIFÓLIO'!C:V,10,0),"")</f>
        <v/>
      </c>
      <c r="L224" s="219">
        <f>IFERROR(J224* VLOOKUP($C224,'PORTIFÓLIO'!C:V,10,0),"")</f>
        <v/>
      </c>
      <c r="M224" s="220" t="n"/>
      <c r="N224" s="220" t="n"/>
      <c r="O224" s="220" t="n"/>
      <c r="P224" s="220" t="n"/>
      <c r="Q224" s="220" t="n"/>
      <c r="R224" s="220" t="n"/>
      <c r="S224" s="220" t="n"/>
      <c r="T224" s="220" t="n"/>
      <c r="U224" s="220" t="n"/>
      <c r="V224" s="220" t="n"/>
      <c r="W224" s="220" t="n"/>
    </row>
    <row r="225" ht="15.75" customHeight="1" s="297">
      <c r="A225" s="227" t="n"/>
      <c r="B225" s="227" t="n"/>
      <c r="C225" s="227" t="n"/>
      <c r="D225" s="227" t="n"/>
      <c r="E225" s="227" t="n"/>
      <c r="F225" s="227" t="n"/>
      <c r="G225" s="215" t="n"/>
      <c r="H225" s="278">
        <f t="array" ref="H225">IFERROR(INDEX('PORTIFÓLIO'!$H$4:$H$433,MATCH($C225,'PORTIFÓLIO'!$C$4:$C$433,0)),"")</f>
        <v/>
      </c>
      <c r="I225" s="227" t="n"/>
      <c r="J225" s="227" t="n"/>
      <c r="K225" s="284">
        <f>SUBTOTAL(9,K10:K200)</f>
        <v/>
      </c>
      <c r="L225" s="284">
        <f>SUBTOTAL(9,L10:L200)</f>
        <v/>
      </c>
      <c r="M225" s="220" t="n"/>
      <c r="N225" s="220" t="n"/>
      <c r="O225" s="220" t="n"/>
      <c r="P225" s="220" t="n"/>
      <c r="Q225" s="220" t="n"/>
      <c r="R225" s="220" t="n"/>
      <c r="S225" s="220" t="n"/>
      <c r="T225" s="220" t="n"/>
      <c r="U225" s="220" t="n"/>
      <c r="V225" s="220" t="n"/>
      <c r="W225" s="220" t="n"/>
    </row>
    <row r="226" ht="15.75" customHeight="1" s="297">
      <c r="A226" s="285" t="n"/>
      <c r="B226" s="285" t="n"/>
      <c r="C226" s="285" t="n"/>
      <c r="D226" s="285" t="n"/>
      <c r="E226" s="285" t="n"/>
      <c r="F226" s="285" t="n"/>
      <c r="G226" s="286" t="n"/>
      <c r="H226" s="286" t="n"/>
      <c r="I226" s="285" t="n"/>
      <c r="J226" s="285" t="n"/>
      <c r="K226" s="285" t="n"/>
      <c r="L226" s="285" t="n"/>
      <c r="M226" s="285" t="n"/>
      <c r="N226" s="285" t="n"/>
      <c r="O226" s="285" t="n"/>
      <c r="P226" s="285" t="n"/>
      <c r="Q226" s="285" t="n"/>
      <c r="R226" s="285" t="n"/>
      <c r="S226" s="285" t="n"/>
      <c r="T226" s="285" t="n"/>
      <c r="U226" s="285" t="n"/>
      <c r="V226" s="285" t="n"/>
      <c r="W226" s="285" t="n"/>
    </row>
    <row r="227" ht="15.75" customHeight="1" s="297">
      <c r="A227" s="260" t="inlineStr">
        <is>
          <t>Talhão:</t>
        </is>
      </c>
      <c r="B227" s="261">
        <f>'ÁREA PLANTIO'!B20</f>
        <v/>
      </c>
      <c r="C227" s="262" t="inlineStr">
        <is>
          <t>Custo estimado R$/há</t>
        </is>
      </c>
      <c r="D227" s="263">
        <f>$K$452</f>
        <v/>
      </c>
      <c r="E227" s="264" t="n"/>
      <c r="F227" s="265" t="inlineStr">
        <is>
          <t>ÁREA PLANTIO</t>
        </is>
      </c>
      <c r="G227" s="266" t="n"/>
      <c r="H227" s="287">
        <f t="array" ref="H227">IFERROR(INDEX('PORTIFÓLIO'!$H$4:$H$433,MATCH($C227,'PORTIFÓLIO'!$C$4:$C$433,0)),"")</f>
        <v/>
      </c>
      <c r="I227" s="267" t="n"/>
      <c r="J227" s="267" t="n"/>
      <c r="K227" s="266" t="n"/>
      <c r="L227" s="220" t="n"/>
      <c r="M227" s="220" t="n"/>
      <c r="N227" s="220" t="n"/>
      <c r="O227" s="220" t="n"/>
      <c r="P227" s="220" t="n"/>
      <c r="Q227" s="220" t="n"/>
      <c r="R227" s="220" t="n"/>
      <c r="S227" s="220" t="n"/>
      <c r="T227" s="220" t="n"/>
      <c r="U227" s="220" t="n"/>
      <c r="V227" s="220" t="n"/>
      <c r="W227" s="220" t="n"/>
    </row>
    <row r="228" ht="15.75" customHeight="1" s="297">
      <c r="A228" s="260" t="inlineStr">
        <is>
          <t>Área:</t>
        </is>
      </c>
      <c r="B228" s="268">
        <f>'ÁREA PLANTIO'!E20</f>
        <v/>
      </c>
      <c r="C228" s="269" t="inlineStr">
        <is>
          <t>Produtividade estimada Sc/há</t>
        </is>
      </c>
      <c r="D228" s="270">
        <f>'ÁREA PLANTIO'!I20</f>
        <v/>
      </c>
      <c r="E228" s="264" t="n"/>
      <c r="F228" s="264" t="n"/>
      <c r="G228" s="266" t="n"/>
      <c r="H228" s="287">
        <f t="array" ref="H228">IFERROR(INDEX('PORTIFÓLIO'!$H$4:$H$433,MATCH($C228,'PORTIFÓLIO'!$C$4:$C$433,0)),"")</f>
        <v/>
      </c>
      <c r="I228" s="267" t="n"/>
      <c r="J228" s="267" t="n"/>
      <c r="K228" s="266" t="n"/>
      <c r="L228" s="220" t="n"/>
      <c r="M228" s="220" t="n"/>
      <c r="N228" s="220" t="n"/>
      <c r="O228" s="220" t="n"/>
      <c r="P228" s="220" t="n"/>
      <c r="Q228" s="220" t="n"/>
      <c r="R228" s="220" t="n"/>
      <c r="S228" s="220" t="n"/>
      <c r="T228" s="220" t="n"/>
      <c r="U228" s="220" t="n"/>
      <c r="V228" s="220" t="n"/>
      <c r="W228" s="220" t="n"/>
    </row>
    <row r="229" ht="15.75" customHeight="1" s="297">
      <c r="A229" s="260" t="inlineStr">
        <is>
          <t>Empreedimento:</t>
        </is>
      </c>
      <c r="B229" s="267">
        <f>'ÁREA PLANTIO'!H18</f>
        <v/>
      </c>
      <c r="C229" s="269" t="inlineStr">
        <is>
          <t>Custo estimado por SC</t>
        </is>
      </c>
      <c r="D229" s="271">
        <f>D227/D228</f>
        <v/>
      </c>
      <c r="E229" s="264" t="n"/>
      <c r="F229" s="264" t="n"/>
      <c r="G229" s="266" t="n"/>
      <c r="H229" s="287">
        <f t="array" ref="H229">IFERROR(INDEX('PORTIFÓLIO'!$H$4:$H$433,MATCH($C229,'PORTIFÓLIO'!$C$4:$C$433,0)),"")</f>
        <v/>
      </c>
      <c r="I229" s="267" t="n"/>
      <c r="J229" s="267" t="n"/>
      <c r="K229" s="266" t="n"/>
      <c r="L229" s="220" t="n"/>
      <c r="M229" s="220" t="n"/>
      <c r="N229" s="220" t="n"/>
      <c r="O229" s="220" t="n"/>
      <c r="P229" s="220" t="n"/>
      <c r="Q229" s="220" t="n"/>
      <c r="R229" s="220" t="n"/>
      <c r="S229" s="220" t="n"/>
      <c r="T229" s="220" t="n"/>
      <c r="U229" s="220" t="n"/>
      <c r="V229" s="220" t="n"/>
      <c r="W229" s="220" t="n"/>
    </row>
    <row r="230" ht="15.75" customHeight="1" s="297">
      <c r="A230" s="272" t="inlineStr">
        <is>
          <t>Data de plantio:</t>
        </is>
      </c>
      <c r="B230" s="273" t="n">
        <v>45606</v>
      </c>
      <c r="C230" s="274" t="n"/>
      <c r="D230" s="275" t="n"/>
      <c r="E230" s="276" t="n"/>
      <c r="F230" s="264" t="n"/>
      <c r="G230" s="266" t="n"/>
      <c r="H230" s="287">
        <f t="array" ref="H230">IFERROR(INDEX('PORTIFÓLIO'!$H$4:$H$433,MATCH($C230,'PORTIFÓLIO'!$C$4:$C$433,0)),"")</f>
        <v/>
      </c>
      <c r="I230" s="267" t="n"/>
      <c r="J230" s="267" t="n"/>
      <c r="K230" s="266" t="n"/>
      <c r="L230" s="220" t="n"/>
      <c r="M230" s="220" t="n"/>
      <c r="N230" s="220" t="n"/>
      <c r="O230" s="220" t="n"/>
      <c r="P230" s="220" t="n"/>
      <c r="Q230" s="220" t="n"/>
      <c r="R230" s="220" t="n"/>
      <c r="S230" s="220" t="n"/>
      <c r="T230" s="220" t="n"/>
      <c r="U230" s="220" t="n"/>
      <c r="V230" s="220" t="n"/>
      <c r="W230" s="220" t="n"/>
    </row>
    <row r="231" ht="15.75" customHeight="1" s="297">
      <c r="E231" s="277" t="n"/>
      <c r="F231" s="264" t="n"/>
      <c r="G231" s="266" t="n"/>
      <c r="H231" s="287">
        <f t="array" ref="H231">IFERROR(INDEX('PORTIFÓLIO'!$H$4:$H$433,MATCH($C231,'PORTIFÓLIO'!$C$4:$C$433,0)),"")</f>
        <v/>
      </c>
      <c r="I231" s="267" t="n"/>
      <c r="J231" s="267" t="n"/>
      <c r="K231" s="266" t="n"/>
      <c r="L231" s="220" t="n"/>
      <c r="M231" s="220" t="n"/>
      <c r="N231" s="220" t="n"/>
      <c r="O231" s="220" t="n"/>
      <c r="P231" s="220" t="n"/>
      <c r="Q231" s="220" t="n"/>
      <c r="R231" s="220" t="n"/>
      <c r="S231" s="220" t="n"/>
      <c r="T231" s="220" t="n"/>
      <c r="U231" s="220" t="n"/>
      <c r="V231" s="220" t="n"/>
      <c r="W231" s="220" t="n"/>
    </row>
    <row r="232" ht="15.75" customHeight="1" s="297">
      <c r="A232" s="260" t="n"/>
      <c r="B232" s="267" t="n"/>
      <c r="C232" s="264" t="n"/>
      <c r="D232" s="264" t="n"/>
      <c r="E232" s="264" t="n"/>
      <c r="F232" s="264" t="n"/>
      <c r="G232" s="266" t="n"/>
      <c r="H232" s="287">
        <f t="array" ref="H232">IFERROR(INDEX('PORTIFÓLIO'!$H$4:$H$433,MATCH($C232,'PORTIFÓLIO'!$C$4:$C$433,0)),"")</f>
        <v/>
      </c>
      <c r="I232" s="267" t="n"/>
      <c r="J232" s="267" t="n"/>
      <c r="K232" s="266" t="n"/>
      <c r="L232" s="220" t="n"/>
      <c r="M232" s="220" t="n"/>
      <c r="N232" s="220" t="n"/>
      <c r="O232" s="220" t="n"/>
      <c r="P232" s="220" t="n"/>
      <c r="Q232" s="220" t="n"/>
      <c r="R232" s="220" t="n"/>
      <c r="S232" s="220" t="n"/>
      <c r="T232" s="220" t="n"/>
      <c r="U232" s="220" t="n"/>
      <c r="V232" s="220" t="n"/>
      <c r="W232" s="220" t="n"/>
    </row>
    <row r="233" ht="15.75" customHeight="1" s="297">
      <c r="A233" s="267" t="n"/>
      <c r="B233" s="267" t="n"/>
      <c r="C233" s="264" t="n"/>
      <c r="D233" s="264" t="n"/>
      <c r="E233" s="264" t="n"/>
      <c r="F233" s="264" t="n"/>
      <c r="G233" s="266" t="n"/>
      <c r="H233" s="287">
        <f t="array" ref="H233">IFERROR(INDEX('PORTIFÓLIO'!$H$4:$H$433,MATCH($C233,'PORTIFÓLIO'!$C$4:$C$433,0)),"")</f>
        <v/>
      </c>
      <c r="I233" s="267" t="n"/>
      <c r="J233" s="267" t="n"/>
      <c r="K233" s="266" t="n"/>
      <c r="L233" s="220" t="n"/>
      <c r="M233" s="220" t="n"/>
      <c r="N233" s="220" t="n"/>
      <c r="O233" s="220" t="n"/>
      <c r="P233" s="220" t="n"/>
      <c r="Q233" s="220" t="n"/>
      <c r="R233" s="220" t="n"/>
      <c r="S233" s="220" t="n"/>
      <c r="T233" s="220" t="n"/>
      <c r="U233" s="220" t="n"/>
      <c r="V233" s="220" t="n"/>
      <c r="W233" s="220" t="n"/>
    </row>
    <row r="234" ht="15.75" customHeight="1" s="297">
      <c r="A234" s="267" t="n"/>
      <c r="B234" s="267" t="n"/>
      <c r="C234" s="267" t="n"/>
      <c r="D234" s="267" t="n"/>
      <c r="E234" s="264" t="n"/>
      <c r="F234" s="264" t="n"/>
      <c r="G234" s="266" t="n"/>
      <c r="H234" s="287">
        <f t="array" ref="H234">IFERROR(INDEX('PORTIFÓLIO'!$H$4:$H$433,MATCH($C234,'PORTIFÓLIO'!$C$4:$C$433,0)),"")</f>
        <v/>
      </c>
      <c r="I234" s="267" t="n"/>
      <c r="J234" s="267" t="n"/>
      <c r="K234" s="266" t="n"/>
      <c r="L234" s="220" t="n"/>
      <c r="M234" s="220" t="n"/>
      <c r="N234" s="220" t="n"/>
      <c r="O234" s="220" t="n"/>
      <c r="P234" s="220" t="n"/>
      <c r="Q234" s="220" t="n"/>
      <c r="R234" s="220" t="n"/>
      <c r="S234" s="220" t="n"/>
      <c r="T234" s="220" t="n"/>
      <c r="U234" s="220" t="n"/>
      <c r="V234" s="220" t="n"/>
      <c r="W234" s="220" t="n"/>
    </row>
    <row r="235" ht="15.75" customHeight="1" s="297">
      <c r="A235" s="267" t="n"/>
      <c r="B235" s="267" t="n"/>
      <c r="C235" s="267" t="n"/>
      <c r="D235" s="267" t="n"/>
      <c r="E235" s="267" t="n"/>
      <c r="F235" s="267" t="n"/>
      <c r="G235" s="266" t="n"/>
      <c r="H235" s="287" t="n"/>
      <c r="I235" s="287" t="n"/>
      <c r="J235" s="288" t="n"/>
      <c r="K235" s="289" t="n"/>
      <c r="L235" s="290" t="n"/>
      <c r="M235" s="220" t="n"/>
      <c r="N235" s="220" t="n"/>
      <c r="O235" s="220" t="n"/>
      <c r="P235" s="220" t="n"/>
      <c r="Q235" s="220" t="n"/>
      <c r="R235" s="220" t="n"/>
      <c r="S235" s="220" t="n"/>
      <c r="T235" s="220" t="n"/>
      <c r="U235" s="220" t="n"/>
      <c r="V235" s="220" t="n"/>
      <c r="W235" s="220" t="n"/>
    </row>
    <row r="236" ht="15.75" customHeight="1" s="297">
      <c r="A236" s="211" t="inlineStr">
        <is>
          <t>DAP da Operação</t>
        </is>
      </c>
      <c r="B236" s="213" t="inlineStr">
        <is>
          <t>Classe</t>
        </is>
      </c>
      <c r="C236" s="213" t="inlineStr">
        <is>
          <t>Produto</t>
        </is>
      </c>
      <c r="D236" s="211" t="inlineStr">
        <is>
          <t>Ingrediente Ativo</t>
        </is>
      </c>
      <c r="E236" s="211" t="inlineStr">
        <is>
          <t>Concentração</t>
        </is>
      </c>
      <c r="F236" s="211" t="inlineStr">
        <is>
          <t>Unidade</t>
        </is>
      </c>
      <c r="G236" s="291" t="inlineStr">
        <is>
          <t>Sugestão</t>
        </is>
      </c>
      <c r="H236" s="278" t="inlineStr">
        <is>
          <t>Bula</t>
        </is>
      </c>
      <c r="I236" s="278" t="inlineStr">
        <is>
          <t>Dose</t>
        </is>
      </c>
      <c r="J236" s="279" t="inlineStr">
        <is>
          <t>Total</t>
        </is>
      </c>
      <c r="K236" s="280" t="inlineStr">
        <is>
          <t>CUSTO/HA</t>
        </is>
      </c>
      <c r="L236" s="281" t="inlineStr">
        <is>
          <t>VALOR TOTAL</t>
        </is>
      </c>
      <c r="M236" s="220" t="n"/>
      <c r="N236" s="220" t="n"/>
      <c r="O236" s="220" t="n"/>
      <c r="P236" s="220" t="n"/>
      <c r="Q236" s="220" t="n"/>
      <c r="R236" s="220" t="n"/>
      <c r="S236" s="220" t="n"/>
      <c r="T236" s="220" t="n"/>
      <c r="U236" s="220" t="n"/>
      <c r="V236" s="220" t="n"/>
      <c r="W236" s="220" t="n"/>
    </row>
    <row r="237" ht="15.75" customHeight="1" s="297">
      <c r="A237" s="231" t="inlineStr">
        <is>
          <t>OPERAÇÃO 1</t>
        </is>
      </c>
      <c r="B237" s="230" t="n"/>
      <c r="C237" s="231" t="n"/>
      <c r="D237" s="232" t="n"/>
      <c r="E237" s="231" t="n"/>
      <c r="F237" s="231" t="n"/>
      <c r="G237" s="233" t="n"/>
      <c r="H237" s="233" t="n"/>
      <c r="I237" s="258" t="n"/>
      <c r="J237" s="236" t="n"/>
      <c r="K237" s="237">
        <f>SUBTOTAL(9,K238:K251)</f>
        <v/>
      </c>
      <c r="L237" s="237">
        <f>SUBTOTAL(9,L238:L251)</f>
        <v/>
      </c>
      <c r="M237" s="220" t="n"/>
      <c r="N237" s="220" t="n"/>
      <c r="O237" s="220" t="n"/>
      <c r="P237" s="220" t="n"/>
      <c r="Q237" s="220" t="n"/>
      <c r="R237" s="220" t="n"/>
      <c r="S237" s="220" t="n"/>
      <c r="T237" s="220" t="n"/>
      <c r="U237" s="220" t="n"/>
      <c r="V237" s="220" t="n"/>
      <c r="W237" s="220" t="n"/>
    </row>
    <row r="238" outlineLevel="1" ht="15.75" customHeight="1" s="297">
      <c r="A238" s="211" t="n"/>
      <c r="B238" s="212" t="n"/>
      <c r="C238" s="213" t="n"/>
      <c r="D238" s="214">
        <f>IFERROR(VLOOKUP($C238,'PORTIFÓLIO'!C:V,2,0),"")</f>
        <v/>
      </c>
      <c r="E238" s="211">
        <f>IFERROR(VLOOKUP($C238,'PORTIFÓLIO'!C:V,3,0),"")</f>
        <v/>
      </c>
      <c r="F238" s="211">
        <f>IFERROR(VLOOKUP($C238,'PORTIFÓLIO'!C:V,4,0),"")</f>
        <v/>
      </c>
      <c r="G238" s="215">
        <f>IFERROR(VLOOKUP($C238,'PORTIFÓLIO'!C:V,5,0),"")</f>
        <v/>
      </c>
      <c r="H238" s="254">
        <f t="array" ref="H238">IFERROR(INDEX('PORTIFÓLIO'!$H$4:$H$433,MATCH($C238,'PORTIFÓLIO'!$C$4:$C$433,0)),"")</f>
        <v/>
      </c>
      <c r="I238" s="255" t="n"/>
      <c r="J238" s="218">
        <f>I238*$B$2</f>
        <v/>
      </c>
      <c r="K238" s="219">
        <f t="array" ref="K238">IFERROR(I238*INDEX('PORTIFÓLIO'!$S$4:$S$433,MATCH($C238,'PORTIFÓLIO'!$C$4:$C$433,0)),"")</f>
        <v/>
      </c>
      <c r="L238" s="219">
        <f t="array" ref="L238">IFERROR(J238*INDEX('PORTIFÓLIO'!$S$4:$S$433,MATCH($C238,'PORTIFÓLIO'!$C$4:$C$433,0)),"")</f>
        <v/>
      </c>
      <c r="M238" s="220" t="n"/>
      <c r="N238" s="220" t="n"/>
      <c r="O238" s="220" t="n"/>
      <c r="P238" s="220" t="n"/>
      <c r="Q238" s="220" t="n"/>
      <c r="R238" s="220" t="n"/>
      <c r="S238" s="220" t="n"/>
      <c r="T238" s="220" t="n"/>
      <c r="U238" s="220" t="n"/>
      <c r="V238" s="220" t="n"/>
      <c r="W238" s="220" t="n"/>
    </row>
    <row r="239" outlineLevel="1" ht="15.75" customHeight="1" s="297">
      <c r="A239" s="211" t="n"/>
      <c r="B239" s="212" t="n"/>
      <c r="C239" s="213" t="n"/>
      <c r="D239" s="214">
        <f>IFERROR(VLOOKUP($C239,'PORTIFÓLIO'!C:V,2,0),"")</f>
        <v/>
      </c>
      <c r="E239" s="211">
        <f>IFERROR(VLOOKUP($C239,'PORTIFÓLIO'!C:V,3,0),"")</f>
        <v/>
      </c>
      <c r="F239" s="211">
        <f>IFERROR(VLOOKUP($C239,'PORTIFÓLIO'!C:V,4,0),"")</f>
        <v/>
      </c>
      <c r="G239" s="215">
        <f>IFERROR(VLOOKUP($C239,'PORTIFÓLIO'!C:V,5,0),"")</f>
        <v/>
      </c>
      <c r="H239" s="254">
        <f t="array" ref="H239">IFERROR(INDEX('PORTIFÓLIO'!$H$4:$H$433,MATCH($C239,'PORTIFÓLIO'!$C$4:$C$433,0)),"")</f>
        <v/>
      </c>
      <c r="I239" s="255" t="n"/>
      <c r="J239" s="218">
        <f>I239*$B$2</f>
        <v/>
      </c>
      <c r="K239" s="219">
        <f t="array" ref="K239">IFERROR(I239*INDEX('PORTIFÓLIO'!$S$4:$S$433,MATCH($C239,'PORTIFÓLIO'!$C$4:$C$433,0)),"")</f>
        <v/>
      </c>
      <c r="L239" s="219">
        <f t="array" ref="L239">IFERROR(J239*INDEX('PORTIFÓLIO'!$S$4:$S$433,MATCH($C239,'PORTIFÓLIO'!$C$4:$C$433,0)),"")</f>
        <v/>
      </c>
      <c r="M239" s="220" t="n"/>
      <c r="N239" s="220" t="n"/>
      <c r="O239" s="220" t="n"/>
      <c r="P239" s="220" t="n"/>
      <c r="Q239" s="220" t="n"/>
      <c r="R239" s="220" t="n"/>
      <c r="S239" s="220" t="n"/>
      <c r="T239" s="220" t="n"/>
      <c r="U239" s="220" t="n"/>
      <c r="V239" s="220" t="n"/>
      <c r="W239" s="220" t="n"/>
    </row>
    <row r="240" outlineLevel="1" ht="15.75" customHeight="1" s="297">
      <c r="A240" s="211" t="n"/>
      <c r="B240" s="212" t="n"/>
      <c r="C240" s="213" t="n"/>
      <c r="D240" s="214">
        <f>IFERROR(VLOOKUP($C240,'PORTIFÓLIO'!C:V,2,0),"")</f>
        <v/>
      </c>
      <c r="E240" s="211">
        <f>IFERROR(VLOOKUP($C240,'PORTIFÓLIO'!C:V,3,0),"")</f>
        <v/>
      </c>
      <c r="F240" s="211">
        <f>IFERROR(VLOOKUP($C240,'PORTIFÓLIO'!C:V,4,0),"")</f>
        <v/>
      </c>
      <c r="G240" s="215">
        <f>IFERROR(VLOOKUP($C240,'PORTIFÓLIO'!C:V,5,0),"")</f>
        <v/>
      </c>
      <c r="H240" s="254">
        <f t="array" ref="H240">IFERROR(INDEX('PORTIFÓLIO'!$H$4:$H$433,MATCH($C240,'PORTIFÓLIO'!$C$4:$C$433,0)),"")</f>
        <v/>
      </c>
      <c r="I240" s="256" t="n"/>
      <c r="J240" s="218">
        <f>I240*$B$2</f>
        <v/>
      </c>
      <c r="K240" s="219">
        <f t="array" ref="K240">IFERROR(I240*INDEX('PORTIFÓLIO'!$S$4:$S$433,MATCH($C240,'PORTIFÓLIO'!$C$4:$C$433,0)),"")</f>
        <v/>
      </c>
      <c r="L240" s="219">
        <f t="array" ref="L240">IFERROR(J240*INDEX('PORTIFÓLIO'!$S$4:$S$433,MATCH($C240,'PORTIFÓLIO'!$C$4:$C$433,0)),"")</f>
        <v/>
      </c>
      <c r="M240" s="220" t="n"/>
      <c r="N240" s="220" t="n"/>
      <c r="O240" s="220" t="n"/>
      <c r="P240" s="220" t="n"/>
      <c r="Q240" s="220" t="n"/>
      <c r="R240" s="220" t="n"/>
      <c r="S240" s="220" t="n"/>
      <c r="T240" s="220" t="n"/>
      <c r="U240" s="220" t="n"/>
      <c r="V240" s="220" t="n"/>
      <c r="W240" s="220" t="n"/>
    </row>
    <row r="241" outlineLevel="1" ht="15.75" customHeight="1" s="297">
      <c r="A241" s="211" t="n"/>
      <c r="B241" s="212" t="n"/>
      <c r="C241" s="213" t="n"/>
      <c r="D241" s="214">
        <f>IFERROR(VLOOKUP($C241,'PORTIFÓLIO'!C:V,2,0),"")</f>
        <v/>
      </c>
      <c r="E241" s="211">
        <f>IFERROR(VLOOKUP($C241,'PORTIFÓLIO'!C:V,3,0),"")</f>
        <v/>
      </c>
      <c r="F241" s="211">
        <f>IFERROR(VLOOKUP($C241,'PORTIFÓLIO'!C:V,4,0),"")</f>
        <v/>
      </c>
      <c r="G241" s="215">
        <f>IFERROR(VLOOKUP($C241,'PORTIFÓLIO'!C:V,5,0),"")</f>
        <v/>
      </c>
      <c r="H241" s="254">
        <f t="array" ref="H241">IFERROR(INDEX('PORTIFÓLIO'!$H$4:$H$433,MATCH($C241,'PORTIFÓLIO'!$C$4:$C$433,0)),"")</f>
        <v/>
      </c>
      <c r="I241" s="256" t="n"/>
      <c r="J241" s="218">
        <f>I241*$B$2</f>
        <v/>
      </c>
      <c r="K241" s="219">
        <f t="array" ref="K241">IFERROR(I241*INDEX('PORTIFÓLIO'!$S$4:$S$433,MATCH($C241,'PORTIFÓLIO'!$C$4:$C$433,0)),"")</f>
        <v/>
      </c>
      <c r="L241" s="219">
        <f t="array" ref="L241">IFERROR(J241*INDEX('PORTIFÓLIO'!$S$4:$S$433,MATCH($C241,'PORTIFÓLIO'!$C$4:$C$433,0)),"")</f>
        <v/>
      </c>
      <c r="M241" s="220" t="n"/>
      <c r="N241" s="220" t="n"/>
      <c r="O241" s="220" t="n"/>
      <c r="P241" s="220" t="n"/>
      <c r="Q241" s="220" t="n"/>
      <c r="R241" s="220" t="n"/>
      <c r="S241" s="220" t="n"/>
      <c r="T241" s="220" t="n"/>
      <c r="U241" s="220" t="n"/>
      <c r="V241" s="220" t="n"/>
      <c r="W241" s="220" t="n"/>
    </row>
    <row r="242" outlineLevel="1" ht="15.75" customHeight="1" s="297">
      <c r="A242" s="211" t="n"/>
      <c r="B242" s="212" t="n"/>
      <c r="C242" s="213" t="n"/>
      <c r="D242" s="214">
        <f>IFERROR(VLOOKUP($C242,'PORTIFÓLIO'!C:V,2,0),"")</f>
        <v/>
      </c>
      <c r="E242" s="211">
        <f>IFERROR(VLOOKUP($C242,'PORTIFÓLIO'!C:V,3,0),"")</f>
        <v/>
      </c>
      <c r="F242" s="211">
        <f>IFERROR(VLOOKUP($C242,'PORTIFÓLIO'!C:V,4,0),"")</f>
        <v/>
      </c>
      <c r="G242" s="215">
        <f>IFERROR(VLOOKUP($C242,'PORTIFÓLIO'!C:V,5,0),"")</f>
        <v/>
      </c>
      <c r="H242" s="254">
        <f t="array" ref="H242">IFERROR(INDEX('PORTIFÓLIO'!$H$4:$H$433,MATCH($C242,'PORTIFÓLIO'!$C$4:$C$433,0)),"")</f>
        <v/>
      </c>
      <c r="I242" s="255" t="n"/>
      <c r="J242" s="218">
        <f>I242*$B$2</f>
        <v/>
      </c>
      <c r="K242" s="219">
        <f t="array" ref="K242">IFERROR(I242*INDEX('PORTIFÓLIO'!$S$4:$S$433,MATCH($C242,'PORTIFÓLIO'!$C$4:$C$433,0)),"")</f>
        <v/>
      </c>
      <c r="L242" s="219">
        <f t="array" ref="L242">IFERROR(J242*INDEX('PORTIFÓLIO'!$S$4:$S$433,MATCH($C242,'PORTIFÓLIO'!$C$4:$C$433,0)),"")</f>
        <v/>
      </c>
      <c r="M242" s="220" t="n"/>
      <c r="N242" s="220" t="n"/>
      <c r="O242" s="220" t="n"/>
      <c r="P242" s="220" t="n"/>
      <c r="Q242" s="220" t="n"/>
      <c r="R242" s="220" t="n"/>
      <c r="S242" s="220" t="n"/>
      <c r="T242" s="220" t="n"/>
      <c r="U242" s="220" t="n"/>
      <c r="V242" s="220" t="n"/>
      <c r="W242" s="220" t="n"/>
    </row>
    <row r="243" outlineLevel="1" ht="15.75" customHeight="1" s="297">
      <c r="A243" s="211" t="n"/>
      <c r="B243" s="212" t="n"/>
      <c r="C243" s="213" t="n"/>
      <c r="D243" s="214">
        <f>IFERROR(VLOOKUP($C243,'PORTIFÓLIO'!C:V,2,0),"")</f>
        <v/>
      </c>
      <c r="E243" s="211">
        <f>IFERROR(VLOOKUP($C243,'PORTIFÓLIO'!C:V,3,0),"")</f>
        <v/>
      </c>
      <c r="F243" s="211">
        <f>IFERROR(VLOOKUP($C243,'PORTIFÓLIO'!C:V,4,0),"")</f>
        <v/>
      </c>
      <c r="G243" s="215">
        <f>IFERROR(VLOOKUP($C243,'PORTIFÓLIO'!C:V,5,0),"")</f>
        <v/>
      </c>
      <c r="H243" s="254">
        <f t="array" ref="H243">IFERROR(INDEX('PORTIFÓLIO'!$H$4:$H$433,MATCH($C243,'PORTIFÓLIO'!$C$4:$C$433,0)),"")</f>
        <v/>
      </c>
      <c r="I243" s="256" t="n"/>
      <c r="J243" s="218">
        <f>I243*$B$2</f>
        <v/>
      </c>
      <c r="K243" s="219">
        <f t="array" ref="K243">IFERROR(I243*INDEX('PORTIFÓLIO'!$S$4:$S$433,MATCH($C243,'PORTIFÓLIO'!$C$4:$C$433,0)),"")</f>
        <v/>
      </c>
      <c r="L243" s="219">
        <f t="array" ref="L243">IFERROR(J243*INDEX('PORTIFÓLIO'!$S$4:$S$433,MATCH($C243,'PORTIFÓLIO'!$C$4:$C$433,0)),"")</f>
        <v/>
      </c>
      <c r="M243" s="220" t="n"/>
      <c r="N243" s="220" t="n"/>
      <c r="O243" s="220" t="n"/>
      <c r="P243" s="220" t="n"/>
      <c r="Q243" s="220" t="n"/>
      <c r="R243" s="220" t="n"/>
      <c r="S243" s="220" t="n"/>
      <c r="T243" s="220" t="n"/>
      <c r="U243" s="220" t="n"/>
      <c r="V243" s="220" t="n"/>
      <c r="W243" s="220" t="n"/>
    </row>
    <row r="244" outlineLevel="1" ht="15.75" customHeight="1" s="297">
      <c r="A244" s="211" t="n"/>
      <c r="B244" s="212" t="n"/>
      <c r="C244" s="213" t="n"/>
      <c r="D244" s="214">
        <f>IFERROR(VLOOKUP($C244,'PORTIFÓLIO'!C:V,2,0),"")</f>
        <v/>
      </c>
      <c r="E244" s="211">
        <f>IFERROR(VLOOKUP($C244,'PORTIFÓLIO'!C:V,3,0),"")</f>
        <v/>
      </c>
      <c r="F244" s="211">
        <f>IFERROR(VLOOKUP($C244,'PORTIFÓLIO'!C:V,4,0),"")</f>
        <v/>
      </c>
      <c r="G244" s="215">
        <f>IFERROR(VLOOKUP($C244,'PORTIFÓLIO'!C:V,5,0),"")</f>
        <v/>
      </c>
      <c r="H244" s="254">
        <f t="array" ref="H244">IFERROR(INDEX('PORTIFÓLIO'!$H$4:$H$433,MATCH($C244,'PORTIFÓLIO'!$C$4:$C$433,0)),"")</f>
        <v/>
      </c>
      <c r="I244" s="256" t="n"/>
      <c r="J244" s="218">
        <f>I244*$B$2</f>
        <v/>
      </c>
      <c r="K244" s="219">
        <f t="array" ref="K244">IFERROR(I244*INDEX('PORTIFÓLIO'!$S$4:$S$433,MATCH($C244,'PORTIFÓLIO'!$C$4:$C$433,0)),"")</f>
        <v/>
      </c>
      <c r="L244" s="219">
        <f t="array" ref="L244">IFERROR(J244*INDEX('PORTIFÓLIO'!$S$4:$S$433,MATCH($C244,'PORTIFÓLIO'!$C$4:$C$433,0)),"")</f>
        <v/>
      </c>
      <c r="M244" s="220" t="n"/>
      <c r="N244" s="220" t="n"/>
      <c r="O244" s="220" t="n"/>
      <c r="P244" s="220" t="n"/>
      <c r="Q244" s="220" t="n"/>
      <c r="R244" s="220" t="n"/>
      <c r="S244" s="220" t="n"/>
      <c r="T244" s="220" t="n"/>
      <c r="U244" s="220" t="n"/>
      <c r="V244" s="220" t="n"/>
      <c r="W244" s="220" t="n"/>
    </row>
    <row r="245" outlineLevel="1" ht="15.75" customHeight="1" s="297">
      <c r="A245" s="211" t="n"/>
      <c r="B245" s="212" t="n"/>
      <c r="C245" s="213" t="n"/>
      <c r="D245" s="214">
        <f>IFERROR(VLOOKUP($C245,'PORTIFÓLIO'!C:V,2,0),"")</f>
        <v/>
      </c>
      <c r="E245" s="211">
        <f>IFERROR(VLOOKUP($C245,'PORTIFÓLIO'!C:V,3,0),"")</f>
        <v/>
      </c>
      <c r="F245" s="211">
        <f>IFERROR(VLOOKUP($C245,'PORTIFÓLIO'!C:V,4,0),"")</f>
        <v/>
      </c>
      <c r="G245" s="215">
        <f>IFERROR(VLOOKUP($C245,'PORTIFÓLIO'!C:V,5,0),"")</f>
        <v/>
      </c>
      <c r="H245" s="254">
        <f t="array" ref="H245">IFERROR(INDEX('PORTIFÓLIO'!$H$4:$H$433,MATCH($C245,'PORTIFÓLIO'!$C$4:$C$433,0)),"")</f>
        <v/>
      </c>
      <c r="I245" s="256" t="n"/>
      <c r="J245" s="218">
        <f>I245*$B$2</f>
        <v/>
      </c>
      <c r="K245" s="219">
        <f t="array" ref="K245">IFERROR(I245*INDEX('PORTIFÓLIO'!$S$4:$S$433,MATCH($C245,'PORTIFÓLIO'!$C$4:$C$433,0)),"")</f>
        <v/>
      </c>
      <c r="L245" s="219">
        <f t="array" ref="L245">IFERROR(J245*INDEX('PORTIFÓLIO'!$S$4:$S$433,MATCH($C245,'PORTIFÓLIO'!$C$4:$C$433,0)),"")</f>
        <v/>
      </c>
      <c r="M245" s="220" t="n"/>
      <c r="N245" s="220" t="n"/>
      <c r="O245" s="220" t="n"/>
      <c r="P245" s="220" t="n"/>
      <c r="Q245" s="220" t="n"/>
      <c r="R245" s="220" t="n"/>
      <c r="S245" s="220" t="n"/>
      <c r="T245" s="220" t="n"/>
      <c r="U245" s="220" t="n"/>
      <c r="V245" s="220" t="n"/>
      <c r="W245" s="220" t="n"/>
    </row>
    <row r="246" outlineLevel="1" ht="15.75" customHeight="1" s="297">
      <c r="A246" s="211" t="n"/>
      <c r="B246" s="212" t="n"/>
      <c r="C246" s="213" t="n"/>
      <c r="D246" s="214">
        <f>IFERROR(VLOOKUP($C246,'PORTIFÓLIO'!C:V,2,0),"")</f>
        <v/>
      </c>
      <c r="E246" s="211">
        <f>IFERROR(VLOOKUP($C246,'PORTIFÓLIO'!C:V,3,0),"")</f>
        <v/>
      </c>
      <c r="F246" s="211">
        <f>IFERROR(VLOOKUP($C246,'PORTIFÓLIO'!C:V,4,0),"")</f>
        <v/>
      </c>
      <c r="G246" s="215">
        <f>IFERROR(VLOOKUP($C246,'PORTIFÓLIO'!C:V,5,0),"")</f>
        <v/>
      </c>
      <c r="H246" s="254">
        <f t="array" ref="H246">IFERROR(INDEX('PORTIFÓLIO'!$H$4:$H$433,MATCH($C246,'PORTIFÓLIO'!$C$4:$C$433,0)),"")</f>
        <v/>
      </c>
      <c r="I246" s="255" t="n"/>
      <c r="J246" s="218">
        <f>I246*$B$2</f>
        <v/>
      </c>
      <c r="K246" s="219">
        <f t="array" ref="K246">IFERROR(I246*INDEX('PORTIFÓLIO'!$S$4:$S$433,MATCH($C246,'PORTIFÓLIO'!$C$4:$C$433,0)),"")</f>
        <v/>
      </c>
      <c r="L246" s="219">
        <f t="array" ref="L246">IFERROR(J246*INDEX('PORTIFÓLIO'!$S$4:$S$433,MATCH($C246,'PORTIFÓLIO'!$C$4:$C$433,0)),"")</f>
        <v/>
      </c>
      <c r="M246" s="220" t="n"/>
      <c r="N246" s="220" t="n"/>
      <c r="O246" s="220" t="n"/>
      <c r="P246" s="220" t="n"/>
      <c r="Q246" s="220" t="n"/>
      <c r="R246" s="220" t="n"/>
      <c r="S246" s="220" t="n"/>
      <c r="T246" s="220" t="n"/>
      <c r="U246" s="220" t="n"/>
      <c r="V246" s="220" t="n"/>
      <c r="W246" s="220" t="n"/>
    </row>
    <row r="247" outlineLevel="1" ht="15.75" customHeight="1" s="297">
      <c r="A247" s="211" t="n"/>
      <c r="B247" s="212" t="n"/>
      <c r="C247" s="213" t="n"/>
      <c r="D247" s="214">
        <f>IFERROR(VLOOKUP($C247,'PORTIFÓLIO'!C:V,2,0),"")</f>
        <v/>
      </c>
      <c r="E247" s="211">
        <f>IFERROR(VLOOKUP($C247,'PORTIFÓLIO'!C:V,3,0),"")</f>
        <v/>
      </c>
      <c r="F247" s="211">
        <f>IFERROR(VLOOKUP($C247,'PORTIFÓLIO'!C:V,4,0),"")</f>
        <v/>
      </c>
      <c r="G247" s="215">
        <f>IFERROR(VLOOKUP($C247,'PORTIFÓLIO'!C:V,5,0),"")</f>
        <v/>
      </c>
      <c r="H247" s="254">
        <f t="array" ref="H247">IFERROR(INDEX('PORTIFÓLIO'!$H$4:$H$433,MATCH($C247,'PORTIFÓLIO'!$C$4:$C$433,0)),"")</f>
        <v/>
      </c>
      <c r="I247" s="255" t="n"/>
      <c r="J247" s="218">
        <f>I247*$B$2</f>
        <v/>
      </c>
      <c r="K247" s="219">
        <f t="array" ref="K247">IFERROR(I247*INDEX('PORTIFÓLIO'!$S$4:$S$433,MATCH($C247,'PORTIFÓLIO'!$C$4:$C$433,0)),"")</f>
        <v/>
      </c>
      <c r="L247" s="219">
        <f t="array" ref="L247">IFERROR(J247*INDEX('PORTIFÓLIO'!$S$4:$S$433,MATCH($C247,'PORTIFÓLIO'!$C$4:$C$433,0)),"")</f>
        <v/>
      </c>
      <c r="M247" s="220" t="n"/>
      <c r="N247" s="220" t="n"/>
      <c r="O247" s="220" t="n"/>
      <c r="P247" s="220" t="n"/>
      <c r="Q247" s="220" t="n"/>
      <c r="R247" s="220" t="n"/>
      <c r="S247" s="220" t="n"/>
      <c r="T247" s="220" t="n"/>
      <c r="U247" s="220" t="n"/>
      <c r="V247" s="220" t="n"/>
      <c r="W247" s="220" t="n"/>
    </row>
    <row r="248" outlineLevel="1" ht="15.75" customHeight="1" s="297">
      <c r="A248" s="211" t="n"/>
      <c r="B248" s="212" t="n"/>
      <c r="C248" s="213" t="n"/>
      <c r="D248" s="214">
        <f>IFERROR(VLOOKUP($C248,'PORTIFÓLIO'!C:V,2,0),"")</f>
        <v/>
      </c>
      <c r="E248" s="211">
        <f>IFERROR(VLOOKUP($C248,'PORTIFÓLIO'!C:V,3,0),"")</f>
        <v/>
      </c>
      <c r="F248" s="211">
        <f>IFERROR(VLOOKUP($C248,'PORTIFÓLIO'!C:V,4,0),"")</f>
        <v/>
      </c>
      <c r="G248" s="215">
        <f>IFERROR(VLOOKUP($C248,'PORTIFÓLIO'!C:V,5,0),"")</f>
        <v/>
      </c>
      <c r="H248" s="254">
        <f t="array" ref="H248">IFERROR(INDEX('PORTIFÓLIO'!$H$4:$H$433,MATCH($C248,'PORTIFÓLIO'!$C$4:$C$433,0)),"")</f>
        <v/>
      </c>
      <c r="I248" s="255" t="n"/>
      <c r="J248" s="218">
        <f>I248*$B$2</f>
        <v/>
      </c>
      <c r="K248" s="219">
        <f t="array" ref="K248">IFERROR(I248*INDEX('PORTIFÓLIO'!$S$4:$S$433,MATCH($C248,'PORTIFÓLIO'!$C$4:$C$433,0)),"")</f>
        <v/>
      </c>
      <c r="L248" s="219">
        <f t="array" ref="L248">IFERROR(J248*INDEX('PORTIFÓLIO'!$S$4:$S$433,MATCH($C248,'PORTIFÓLIO'!$C$4:$C$433,0)),"")</f>
        <v/>
      </c>
      <c r="M248" s="220" t="n"/>
      <c r="N248" s="220" t="n"/>
      <c r="O248" s="220" t="n"/>
      <c r="P248" s="220" t="n"/>
      <c r="Q248" s="220" t="n"/>
      <c r="R248" s="220" t="n"/>
      <c r="S248" s="220" t="n"/>
      <c r="T248" s="220" t="n"/>
      <c r="U248" s="220" t="n"/>
      <c r="V248" s="220" t="n"/>
      <c r="W248" s="220" t="n"/>
    </row>
    <row r="249" outlineLevel="1" ht="15.75" customHeight="1" s="297">
      <c r="A249" s="211" t="n"/>
      <c r="B249" s="212" t="n"/>
      <c r="C249" s="213" t="n"/>
      <c r="D249" s="214">
        <f>IFERROR(VLOOKUP($C249,'PORTIFÓLIO'!C:V,2,0),"")</f>
        <v/>
      </c>
      <c r="E249" s="211">
        <f>IFERROR(VLOOKUP($C249,'PORTIFÓLIO'!C:V,3,0),"")</f>
        <v/>
      </c>
      <c r="F249" s="211">
        <f>IFERROR(VLOOKUP($C249,'PORTIFÓLIO'!C:V,4,0),"")</f>
        <v/>
      </c>
      <c r="G249" s="215">
        <f>IFERROR(VLOOKUP($C249,'PORTIFÓLIO'!C:V,5,0),"")</f>
        <v/>
      </c>
      <c r="H249" s="254">
        <f t="array" ref="H249">IFERROR(INDEX('PORTIFÓLIO'!$H$4:$H$433,MATCH($C249,'PORTIFÓLIO'!$C$4:$C$433,0)),"")</f>
        <v/>
      </c>
      <c r="I249" s="255" t="n"/>
      <c r="J249" s="218">
        <f>I249*$B$2</f>
        <v/>
      </c>
      <c r="K249" s="219">
        <f t="array" ref="K249">IFERROR(I249*INDEX('PORTIFÓLIO'!$S$4:$S$433,MATCH($C249,'PORTIFÓLIO'!$C$4:$C$433,0)),"")</f>
        <v/>
      </c>
      <c r="L249" s="219">
        <f t="array" ref="L249">IFERROR(J249*INDEX('PORTIFÓLIO'!$S$4:$S$433,MATCH($C249,'PORTIFÓLIO'!$C$4:$C$433,0)),"")</f>
        <v/>
      </c>
      <c r="M249" s="220" t="n"/>
      <c r="N249" s="220" t="n"/>
      <c r="O249" s="220" t="n"/>
      <c r="P249" s="220" t="n"/>
      <c r="Q249" s="220" t="n"/>
      <c r="R249" s="220" t="n"/>
      <c r="S249" s="220" t="n"/>
      <c r="T249" s="220" t="n"/>
      <c r="U249" s="220" t="n"/>
      <c r="V249" s="220" t="n"/>
      <c r="W249" s="220" t="n"/>
    </row>
    <row r="250" outlineLevel="1" ht="15.75" customHeight="1" s="297">
      <c r="A250" s="211" t="n"/>
      <c r="B250" s="212" t="n"/>
      <c r="C250" s="213" t="n"/>
      <c r="D250" s="214">
        <f>IFERROR(VLOOKUP($C250,'PORTIFÓLIO'!C:V,2,0),"")</f>
        <v/>
      </c>
      <c r="E250" s="211">
        <f>IFERROR(VLOOKUP($C250,'PORTIFÓLIO'!C:V,3,0),"")</f>
        <v/>
      </c>
      <c r="F250" s="211">
        <f>IFERROR(VLOOKUP($C250,'PORTIFÓLIO'!C:V,4,0),"")</f>
        <v/>
      </c>
      <c r="G250" s="215">
        <f>IFERROR(VLOOKUP($C250,'PORTIFÓLIO'!C:V,5,0),"")</f>
        <v/>
      </c>
      <c r="H250" s="254">
        <f t="array" ref="H250">IFERROR(INDEX('PORTIFÓLIO'!$H$4:$H$433,MATCH($C250,'PORTIFÓLIO'!$C$4:$C$433,0)),"")</f>
        <v/>
      </c>
      <c r="I250" s="255" t="n"/>
      <c r="J250" s="218">
        <f>I250*$B$2</f>
        <v/>
      </c>
      <c r="K250" s="219">
        <f t="array" ref="K250">IFERROR(I250*INDEX('PORTIFÓLIO'!$S$4:$S$433,MATCH($C250,'PORTIFÓLIO'!$C$4:$C$433,0)),"")</f>
        <v/>
      </c>
      <c r="L250" s="219">
        <f t="array" ref="L250">IFERROR(J250*INDEX('PORTIFÓLIO'!$S$4:$S$433,MATCH($C250,'PORTIFÓLIO'!$C$4:$C$433,0)),"")</f>
        <v/>
      </c>
      <c r="M250" s="220" t="n"/>
      <c r="N250" s="220" t="n"/>
      <c r="O250" s="220" t="n"/>
      <c r="P250" s="220" t="n"/>
      <c r="Q250" s="220" t="n"/>
      <c r="R250" s="220" t="n"/>
      <c r="S250" s="220" t="n"/>
      <c r="T250" s="220" t="n"/>
      <c r="U250" s="220" t="n"/>
      <c r="V250" s="220" t="n"/>
      <c r="W250" s="220" t="n"/>
    </row>
    <row r="251" outlineLevel="1" ht="15.75" customHeight="1" s="297">
      <c r="A251" s="211" t="n"/>
      <c r="B251" s="212" t="n"/>
      <c r="C251" s="213" t="n"/>
      <c r="D251" s="214">
        <f>IFERROR(VLOOKUP($C251,'PORTIFÓLIO'!C:V,2,0),"")</f>
        <v/>
      </c>
      <c r="E251" s="211">
        <f>IFERROR(VLOOKUP($C251,'PORTIFÓLIO'!C:V,3,0),"")</f>
        <v/>
      </c>
      <c r="F251" s="211">
        <f>IFERROR(VLOOKUP($C251,'PORTIFÓLIO'!C:V,4,0),"")</f>
        <v/>
      </c>
      <c r="G251" s="215">
        <f>IFERROR(VLOOKUP($C251,'PORTIFÓLIO'!C:V,5,0),"")</f>
        <v/>
      </c>
      <c r="H251" s="254">
        <f t="array" ref="H251">IFERROR(INDEX('PORTIFÓLIO'!$H$4:$H$433,MATCH($C251,'PORTIFÓLIO'!$C$4:$C$433,0)),"")</f>
        <v/>
      </c>
      <c r="I251" s="255" t="n"/>
      <c r="J251" s="218">
        <f>I251*$B$2</f>
        <v/>
      </c>
      <c r="K251" s="219">
        <f t="array" ref="K251">IFERROR(I251*INDEX('PORTIFÓLIO'!$S$4:$S$433,MATCH($C251,'PORTIFÓLIO'!$C$4:$C$433,0)),"")</f>
        <v/>
      </c>
      <c r="L251" s="219">
        <f t="array" ref="L251">IFERROR(J251*INDEX('PORTIFÓLIO'!$S$4:$S$433,MATCH($C251,'PORTIFÓLIO'!$C$4:$C$433,0)),"")</f>
        <v/>
      </c>
      <c r="M251" s="220" t="n"/>
      <c r="N251" s="220" t="n"/>
      <c r="O251" s="220" t="n"/>
      <c r="P251" s="220" t="n"/>
      <c r="Q251" s="220" t="n"/>
      <c r="R251" s="220" t="n"/>
      <c r="S251" s="220" t="n"/>
      <c r="T251" s="220" t="n"/>
      <c r="U251" s="220" t="n"/>
      <c r="V251" s="220" t="n"/>
      <c r="W251" s="220" t="n"/>
    </row>
    <row r="252" ht="15.75" customHeight="1" s="297">
      <c r="A252" s="229" t="inlineStr">
        <is>
          <t>OPERAÇÃO 2</t>
        </is>
      </c>
      <c r="B252" s="230" t="n"/>
      <c r="C252" s="231" t="n"/>
      <c r="D252" s="232" t="n"/>
      <c r="E252" s="231" t="n"/>
      <c r="F252" s="231" t="n"/>
      <c r="G252" s="233" t="n"/>
      <c r="H252" s="233" t="n"/>
      <c r="I252" s="258" t="n"/>
      <c r="J252" s="236" t="n"/>
      <c r="K252" s="237">
        <f>SUBTOTAL(9,K253:K266)</f>
        <v/>
      </c>
      <c r="L252" s="237">
        <f>SUBTOTAL(9,L253:L266)</f>
        <v/>
      </c>
      <c r="M252" s="220" t="n"/>
      <c r="N252" s="220" t="n"/>
      <c r="O252" s="220" t="n"/>
      <c r="P252" s="220" t="n"/>
      <c r="Q252" s="220" t="n"/>
      <c r="R252" s="220" t="n"/>
      <c r="S252" s="220" t="n"/>
      <c r="T252" s="220" t="n"/>
      <c r="U252" s="220" t="n"/>
      <c r="V252" s="220" t="n"/>
      <c r="W252" s="220" t="n"/>
    </row>
    <row r="253" outlineLevel="1" ht="15.75" customHeight="1" s="297">
      <c r="A253" s="213" t="n"/>
      <c r="B253" s="212" t="n"/>
      <c r="C253" s="213" t="n"/>
      <c r="D253" s="214">
        <f>IFERROR(VLOOKUP($C253,'PORTIFÓLIO'!C:V,2,0),"")</f>
        <v/>
      </c>
      <c r="E253" s="211">
        <f>IFERROR(VLOOKUP($C253,'PORTIFÓLIO'!C:V,3,0),"")</f>
        <v/>
      </c>
      <c r="F253" s="211">
        <f>IFERROR(VLOOKUP($C253,'PORTIFÓLIO'!C:V,4,0),"")</f>
        <v/>
      </c>
      <c r="G253" s="215">
        <f>IFERROR(VLOOKUP($C253,'PORTIFÓLIO'!C:V,5,0),"")</f>
        <v/>
      </c>
      <c r="H253" s="254">
        <f t="array" ref="H253">IFERROR(INDEX('PORTIFÓLIO'!$H$4:$H$433,MATCH($C253,'PORTIFÓLIO'!$C$4:$C$433,0)),"")</f>
        <v/>
      </c>
      <c r="I253" s="255" t="n"/>
      <c r="J253" s="218">
        <f>I253*$B$2</f>
        <v/>
      </c>
      <c r="K253" s="292">
        <f t="array" ref="K253">IFERROR(I253*INDEX('PORTIFÓLIO'!$S$4:$S$433,MATCH($C253,'PORTIFÓLIO'!$C$4:$C$433,0)),"")</f>
        <v/>
      </c>
      <c r="L253" s="292">
        <f t="array" ref="L253">IFERROR(J253*INDEX('PORTIFÓLIO'!$S$4:$S$433,MATCH($C253,'PORTIFÓLIO'!$C$4:$C$433,0)),"")</f>
        <v/>
      </c>
      <c r="M253" s="220" t="n"/>
      <c r="N253" s="220" t="n"/>
      <c r="O253" s="220" t="n"/>
      <c r="P253" s="220" t="n"/>
      <c r="Q253" s="220" t="n"/>
      <c r="R253" s="220" t="n"/>
      <c r="S253" s="220" t="n"/>
      <c r="T253" s="220" t="n"/>
      <c r="U253" s="220" t="n"/>
      <c r="V253" s="220" t="n"/>
      <c r="W253" s="220" t="n"/>
    </row>
    <row r="254" outlineLevel="1" ht="15.75" customHeight="1" s="297">
      <c r="A254" s="211" t="n"/>
      <c r="B254" s="212" t="n"/>
      <c r="C254" s="213" t="n"/>
      <c r="D254" s="214">
        <f>IFERROR(VLOOKUP($C254,'PORTIFÓLIO'!C:V,2,0),"")</f>
        <v/>
      </c>
      <c r="E254" s="211">
        <f>IFERROR(VLOOKUP($C254,'PORTIFÓLIO'!C:V,3,0),"")</f>
        <v/>
      </c>
      <c r="F254" s="211">
        <f>IFERROR(VLOOKUP($C254,'PORTIFÓLIO'!C:V,4,0),"")</f>
        <v/>
      </c>
      <c r="G254" s="215">
        <f>IFERROR(VLOOKUP($C254,'PORTIFÓLIO'!C:V,5,0),"")</f>
        <v/>
      </c>
      <c r="H254" s="254">
        <f t="array" ref="H254">IFERROR(INDEX('PORTIFÓLIO'!$H$4:$H$433,MATCH($C254,'PORTIFÓLIO'!$C$4:$C$433,0)),"")</f>
        <v/>
      </c>
      <c r="I254" s="255" t="n"/>
      <c r="J254" s="218">
        <f>I254*$B$2</f>
        <v/>
      </c>
      <c r="K254" s="292">
        <f t="array" ref="K254">IFERROR(I254*INDEX('PORTIFÓLIO'!$S$4:$S$433,MATCH($C254,'PORTIFÓLIO'!$C$4:$C$433,0)),"")</f>
        <v/>
      </c>
      <c r="L254" s="292">
        <f t="array" ref="L254">IFERROR(J254*INDEX('PORTIFÓLIO'!$S$4:$S$433,MATCH($C254,'PORTIFÓLIO'!$C$4:$C$433,0)),"")</f>
        <v/>
      </c>
      <c r="M254" s="220" t="n"/>
      <c r="N254" s="220" t="n"/>
      <c r="O254" s="220" t="n"/>
      <c r="P254" s="220" t="n"/>
      <c r="Q254" s="220" t="n"/>
      <c r="R254" s="220" t="n"/>
      <c r="S254" s="220" t="n"/>
      <c r="T254" s="220" t="n"/>
      <c r="U254" s="220" t="n"/>
      <c r="V254" s="220" t="n"/>
      <c r="W254" s="220" t="n"/>
    </row>
    <row r="255" outlineLevel="1" ht="15.75" customHeight="1" s="297">
      <c r="A255" s="211" t="n"/>
      <c r="B255" s="212" t="n"/>
      <c r="C255" s="213" t="n"/>
      <c r="D255" s="214">
        <f>IFERROR(VLOOKUP($C255,'PORTIFÓLIO'!C:V,2,0),"")</f>
        <v/>
      </c>
      <c r="E255" s="211">
        <f>IFERROR(VLOOKUP($C255,'PORTIFÓLIO'!C:V,3,0),"")</f>
        <v/>
      </c>
      <c r="F255" s="211">
        <f>IFERROR(VLOOKUP($C255,'PORTIFÓLIO'!C:V,4,0),"")</f>
        <v/>
      </c>
      <c r="G255" s="215">
        <f>IFERROR(VLOOKUP($C255,'PORTIFÓLIO'!C:V,5,0),"")</f>
        <v/>
      </c>
      <c r="H255" s="254">
        <f t="array" ref="H255">IFERROR(INDEX('PORTIFÓLIO'!$H$4:$H$433,MATCH($C255,'PORTIFÓLIO'!$C$4:$C$433,0)),"")</f>
        <v/>
      </c>
      <c r="I255" s="256" t="n"/>
      <c r="J255" s="218">
        <f>I255*$B$2</f>
        <v/>
      </c>
      <c r="K255" s="292">
        <f t="array" ref="K255">IFERROR(I255*INDEX('PORTIFÓLIO'!$S$4:$S$433,MATCH($C255,'PORTIFÓLIO'!$C$4:$C$433,0)),"")</f>
        <v/>
      </c>
      <c r="L255" s="292">
        <f t="array" ref="L255">IFERROR(J255*INDEX('PORTIFÓLIO'!$S$4:$S$433,MATCH($C255,'PORTIFÓLIO'!$C$4:$C$433,0)),"")</f>
        <v/>
      </c>
      <c r="M255" s="220" t="n"/>
      <c r="N255" s="220" t="n"/>
      <c r="O255" s="220" t="n"/>
      <c r="P255" s="220" t="n"/>
      <c r="Q255" s="220" t="n"/>
      <c r="R255" s="220" t="n"/>
      <c r="S255" s="220" t="n"/>
      <c r="T255" s="220" t="n"/>
      <c r="U255" s="220" t="n"/>
      <c r="V255" s="220" t="n"/>
      <c r="W255" s="220" t="n"/>
    </row>
    <row r="256" outlineLevel="1" ht="15.75" customHeight="1" s="297">
      <c r="A256" s="211" t="n"/>
      <c r="B256" s="212" t="n"/>
      <c r="C256" s="213" t="n"/>
      <c r="D256" s="214">
        <f>IFERROR(VLOOKUP($C256,'PORTIFÓLIO'!C:V,2,0),"")</f>
        <v/>
      </c>
      <c r="E256" s="211">
        <f>IFERROR(VLOOKUP($C256,'PORTIFÓLIO'!C:V,3,0),"")</f>
        <v/>
      </c>
      <c r="F256" s="211">
        <f>IFERROR(VLOOKUP($C256,'PORTIFÓLIO'!C:V,4,0),"")</f>
        <v/>
      </c>
      <c r="G256" s="215">
        <f>IFERROR(VLOOKUP($C256,'PORTIFÓLIO'!C:V,5,0),"")</f>
        <v/>
      </c>
      <c r="H256" s="254">
        <f t="array" ref="H256">IFERROR(INDEX('PORTIFÓLIO'!$H$4:$H$433,MATCH($C256,'PORTIFÓLIO'!$C$4:$C$433,0)),"")</f>
        <v/>
      </c>
      <c r="I256" s="255" t="n"/>
      <c r="J256" s="218">
        <f>I256*$B$2</f>
        <v/>
      </c>
      <c r="K256" s="292">
        <f t="array" ref="K256">IFERROR(I256*INDEX('PORTIFÓLIO'!$S$4:$S$433,MATCH($C256,'PORTIFÓLIO'!$C$4:$C$433,0)),"")</f>
        <v/>
      </c>
      <c r="L256" s="292">
        <f t="array" ref="L256">IFERROR(J256*INDEX('PORTIFÓLIO'!$S$4:$S$433,MATCH($C256,'PORTIFÓLIO'!$C$4:$C$433,0)),"")</f>
        <v/>
      </c>
      <c r="M256" s="220" t="n"/>
      <c r="N256" s="220" t="n"/>
      <c r="O256" s="220" t="n"/>
      <c r="P256" s="220" t="n"/>
      <c r="Q256" s="220" t="n"/>
      <c r="R256" s="220" t="n"/>
      <c r="S256" s="220" t="n"/>
      <c r="T256" s="220" t="n"/>
      <c r="U256" s="220" t="n"/>
      <c r="V256" s="220" t="n"/>
      <c r="W256" s="220" t="n"/>
    </row>
    <row r="257" outlineLevel="1" ht="15.75" customHeight="1" s="297">
      <c r="A257" s="211" t="n"/>
      <c r="B257" s="212" t="n"/>
      <c r="C257" s="213" t="n"/>
      <c r="D257" s="214">
        <f>IFERROR(VLOOKUP($C257,'PORTIFÓLIO'!C:V,2,0),"")</f>
        <v/>
      </c>
      <c r="E257" s="211">
        <f>IFERROR(VLOOKUP($C257,'PORTIFÓLIO'!C:V,3,0),"")</f>
        <v/>
      </c>
      <c r="F257" s="211">
        <f>IFERROR(VLOOKUP($C257,'PORTIFÓLIO'!C:V,4,0),"")</f>
        <v/>
      </c>
      <c r="G257" s="215">
        <f>IFERROR(VLOOKUP($C257,'PORTIFÓLIO'!C:V,5,0),"")</f>
        <v/>
      </c>
      <c r="H257" s="254">
        <f t="array" ref="H257">IFERROR(INDEX('PORTIFÓLIO'!$H$4:$H$433,MATCH($C257,'PORTIFÓLIO'!$C$4:$C$433,0)),"")</f>
        <v/>
      </c>
      <c r="I257" s="256" t="n"/>
      <c r="J257" s="218">
        <f>I257*$B$2</f>
        <v/>
      </c>
      <c r="K257" s="292">
        <f t="array" ref="K257">IFERROR(I257*INDEX('PORTIFÓLIO'!$S$4:$S$433,MATCH($C257,'PORTIFÓLIO'!$C$4:$C$433,0)),"")</f>
        <v/>
      </c>
      <c r="L257" s="292">
        <f t="array" ref="L257">IFERROR(J257*INDEX('PORTIFÓLIO'!$S$4:$S$433,MATCH($C257,'PORTIFÓLIO'!$C$4:$C$433,0)),"")</f>
        <v/>
      </c>
      <c r="M257" s="220" t="n"/>
      <c r="N257" s="220" t="n"/>
      <c r="O257" s="220" t="n"/>
      <c r="P257" s="220" t="n"/>
      <c r="Q257" s="220" t="n"/>
      <c r="R257" s="220" t="n"/>
      <c r="S257" s="220" t="n"/>
      <c r="T257" s="220" t="n"/>
      <c r="U257" s="220" t="n"/>
      <c r="V257" s="220" t="n"/>
      <c r="W257" s="220" t="n"/>
    </row>
    <row r="258" outlineLevel="1" ht="15.75" customHeight="1" s="297">
      <c r="A258" s="211" t="n"/>
      <c r="B258" s="212" t="n"/>
      <c r="C258" s="213" t="n"/>
      <c r="D258" s="214">
        <f>IFERROR(VLOOKUP($C258,'PORTIFÓLIO'!C:V,2,0),"")</f>
        <v/>
      </c>
      <c r="E258" s="211">
        <f>IFERROR(VLOOKUP($C258,'PORTIFÓLIO'!C:V,3,0),"")</f>
        <v/>
      </c>
      <c r="F258" s="211">
        <f>IFERROR(VLOOKUP($C258,'PORTIFÓLIO'!C:V,4,0),"")</f>
        <v/>
      </c>
      <c r="G258" s="215">
        <f>IFERROR(VLOOKUP($C258,'PORTIFÓLIO'!C:V,5,0),"")</f>
        <v/>
      </c>
      <c r="H258" s="254">
        <f t="array" ref="H258">IFERROR(INDEX('PORTIFÓLIO'!$H$4:$H$433,MATCH($C258,'PORTIFÓLIO'!$C$4:$C$433,0)),"")</f>
        <v/>
      </c>
      <c r="I258" s="256" t="n"/>
      <c r="J258" s="218">
        <f>I258*$B$2</f>
        <v/>
      </c>
      <c r="K258" s="292">
        <f t="array" ref="K258">IFERROR(I258*INDEX('PORTIFÓLIO'!$S$4:$S$433,MATCH($C258,'PORTIFÓLIO'!$C$4:$C$433,0)),"")</f>
        <v/>
      </c>
      <c r="L258" s="292">
        <f t="array" ref="L258">IFERROR(J258*INDEX('PORTIFÓLIO'!$S$4:$S$433,MATCH($C258,'PORTIFÓLIO'!$C$4:$C$433,0)),"")</f>
        <v/>
      </c>
      <c r="M258" s="220" t="n"/>
      <c r="N258" s="220" t="n"/>
      <c r="O258" s="220" t="n"/>
      <c r="P258" s="220" t="n"/>
      <c r="Q258" s="220" t="n"/>
      <c r="R258" s="220" t="n"/>
      <c r="S258" s="220" t="n"/>
      <c r="T258" s="220" t="n"/>
      <c r="U258" s="220" t="n"/>
      <c r="V258" s="220" t="n"/>
      <c r="W258" s="220" t="n"/>
    </row>
    <row r="259" outlineLevel="1" ht="15.75" customHeight="1" s="297">
      <c r="A259" s="211" t="n"/>
      <c r="B259" s="212" t="n"/>
      <c r="C259" s="213" t="n"/>
      <c r="D259" s="214">
        <f>IFERROR(VLOOKUP($C259,'PORTIFÓLIO'!C:V,2,0),"")</f>
        <v/>
      </c>
      <c r="E259" s="211">
        <f>IFERROR(VLOOKUP($C259,'PORTIFÓLIO'!C:V,3,0),"")</f>
        <v/>
      </c>
      <c r="F259" s="211">
        <f>IFERROR(VLOOKUP($C259,'PORTIFÓLIO'!C:V,4,0),"")</f>
        <v/>
      </c>
      <c r="G259" s="215">
        <f>IFERROR(VLOOKUP($C259,'PORTIFÓLIO'!C:V,5,0),"")</f>
        <v/>
      </c>
      <c r="H259" s="254">
        <f t="array" ref="H259">IFERROR(INDEX('PORTIFÓLIO'!$H$4:$H$433,MATCH($C259,'PORTIFÓLIO'!$C$4:$C$433,0)),"")</f>
        <v/>
      </c>
      <c r="I259" s="256" t="n"/>
      <c r="J259" s="218">
        <f>I259*$B$2</f>
        <v/>
      </c>
      <c r="K259" s="292">
        <f t="array" ref="K259">IFERROR(I259*INDEX('PORTIFÓLIO'!$S$4:$S$433,MATCH($C259,'PORTIFÓLIO'!$C$4:$C$433,0)),"")</f>
        <v/>
      </c>
      <c r="L259" s="292">
        <f t="array" ref="L259">IFERROR(J259*INDEX('PORTIFÓLIO'!$S$4:$S$433,MATCH($C259,'PORTIFÓLIO'!$C$4:$C$433,0)),"")</f>
        <v/>
      </c>
      <c r="M259" s="220" t="n"/>
      <c r="N259" s="220" t="n"/>
      <c r="O259" s="220" t="n"/>
      <c r="P259" s="220" t="n"/>
      <c r="Q259" s="220" t="n"/>
      <c r="R259" s="220" t="n"/>
      <c r="S259" s="220" t="n"/>
      <c r="T259" s="220" t="n"/>
      <c r="U259" s="220" t="n"/>
      <c r="V259" s="220" t="n"/>
      <c r="W259" s="220" t="n"/>
    </row>
    <row r="260" outlineLevel="1" ht="15.75" customHeight="1" s="297">
      <c r="A260" s="211" t="n"/>
      <c r="B260" s="212" t="n"/>
      <c r="C260" s="213" t="n"/>
      <c r="D260" s="214">
        <f>IFERROR(VLOOKUP($C260,'PORTIFÓLIO'!C:V,2,0),"")</f>
        <v/>
      </c>
      <c r="E260" s="211">
        <f>IFERROR(VLOOKUP($C260,'PORTIFÓLIO'!C:V,3,0),"")</f>
        <v/>
      </c>
      <c r="F260" s="211">
        <f>IFERROR(VLOOKUP($C260,'PORTIFÓLIO'!C:V,4,0),"")</f>
        <v/>
      </c>
      <c r="G260" s="215">
        <f>IFERROR(VLOOKUP($C260,'PORTIFÓLIO'!C:V,5,0),"")</f>
        <v/>
      </c>
      <c r="H260" s="254">
        <f t="array" ref="H260">IFERROR(INDEX('PORTIFÓLIO'!$H$4:$H$433,MATCH($C260,'PORTIFÓLIO'!$C$4:$C$433,0)),"")</f>
        <v/>
      </c>
      <c r="I260" s="256" t="n"/>
      <c r="J260" s="218">
        <f>I260*$B$2</f>
        <v/>
      </c>
      <c r="K260" s="292">
        <f t="array" ref="K260">IFERROR(I260*INDEX('PORTIFÓLIO'!$S$4:$S$433,MATCH($C260,'PORTIFÓLIO'!$C$4:$C$433,0)),"")</f>
        <v/>
      </c>
      <c r="L260" s="292">
        <f t="array" ref="L260">IFERROR(J260*INDEX('PORTIFÓLIO'!$S$4:$S$433,MATCH($C260,'PORTIFÓLIO'!$C$4:$C$433,0)),"")</f>
        <v/>
      </c>
      <c r="M260" s="220" t="n"/>
      <c r="N260" s="220" t="n"/>
      <c r="O260" s="220" t="n"/>
      <c r="P260" s="220" t="n"/>
      <c r="Q260" s="220" t="n"/>
      <c r="R260" s="220" t="n"/>
      <c r="S260" s="220" t="n"/>
      <c r="T260" s="220" t="n"/>
      <c r="U260" s="220" t="n"/>
      <c r="V260" s="220" t="n"/>
      <c r="W260" s="220" t="n"/>
    </row>
    <row r="261" outlineLevel="1" ht="15.75" customHeight="1" s="297">
      <c r="A261" s="211" t="n"/>
      <c r="B261" s="212" t="n"/>
      <c r="C261" s="213" t="n"/>
      <c r="D261" s="214">
        <f>IFERROR(VLOOKUP($C261,'PORTIFÓLIO'!C:V,2,0),"")</f>
        <v/>
      </c>
      <c r="E261" s="211">
        <f>IFERROR(VLOOKUP($C261,'PORTIFÓLIO'!C:V,3,0),"")</f>
        <v/>
      </c>
      <c r="F261" s="211">
        <f>IFERROR(VLOOKUP($C261,'PORTIFÓLIO'!C:V,4,0),"")</f>
        <v/>
      </c>
      <c r="G261" s="215">
        <f>IFERROR(VLOOKUP($C261,'PORTIFÓLIO'!C:V,5,0),"")</f>
        <v/>
      </c>
      <c r="H261" s="254">
        <f t="array" ref="H261">IFERROR(INDEX('PORTIFÓLIO'!$H$4:$H$433,MATCH($C261,'PORTIFÓLIO'!$C$4:$C$433,0)),"")</f>
        <v/>
      </c>
      <c r="I261" s="255" t="n"/>
      <c r="J261" s="218">
        <f>I261*$B$2</f>
        <v/>
      </c>
      <c r="K261" s="292">
        <f t="array" ref="K261">IFERROR(I261*INDEX('PORTIFÓLIO'!$S$4:$S$433,MATCH($C261,'PORTIFÓLIO'!$C$4:$C$433,0)),"")</f>
        <v/>
      </c>
      <c r="L261" s="292">
        <f t="array" ref="L261">IFERROR(J261*INDEX('PORTIFÓLIO'!$S$4:$S$433,MATCH($C261,'PORTIFÓLIO'!$C$4:$C$433,0)),"")</f>
        <v/>
      </c>
      <c r="M261" s="220" t="n"/>
      <c r="N261" s="220" t="n"/>
      <c r="O261" s="220" t="n"/>
      <c r="P261" s="220" t="n"/>
      <c r="Q261" s="220" t="n"/>
      <c r="R261" s="220" t="n"/>
      <c r="S261" s="220" t="n"/>
      <c r="T261" s="220" t="n"/>
      <c r="U261" s="220" t="n"/>
      <c r="V261" s="220" t="n"/>
      <c r="W261" s="220" t="n"/>
    </row>
    <row r="262" outlineLevel="1" ht="15.75" customHeight="1" s="297">
      <c r="A262" s="211" t="n"/>
      <c r="B262" s="212" t="n"/>
      <c r="C262" s="213" t="n"/>
      <c r="D262" s="214">
        <f>IFERROR(VLOOKUP($C262,'PORTIFÓLIO'!C:V,2,0),"")</f>
        <v/>
      </c>
      <c r="E262" s="211">
        <f>IFERROR(VLOOKUP($C262,'PORTIFÓLIO'!C:V,3,0),"")</f>
        <v/>
      </c>
      <c r="F262" s="211">
        <f>IFERROR(VLOOKUP($C262,'PORTIFÓLIO'!C:V,4,0),"")</f>
        <v/>
      </c>
      <c r="G262" s="215">
        <f>IFERROR(VLOOKUP($C262,'PORTIFÓLIO'!C:V,5,0),"")</f>
        <v/>
      </c>
      <c r="H262" s="254">
        <f t="array" ref="H262">IFERROR(INDEX('PORTIFÓLIO'!$H$4:$H$433,MATCH($C262,'PORTIFÓLIO'!$C$4:$C$433,0)),"")</f>
        <v/>
      </c>
      <c r="I262" s="256" t="n"/>
      <c r="J262" s="218">
        <f>I262*$B$2</f>
        <v/>
      </c>
      <c r="K262" s="292">
        <f t="array" ref="K262">IFERROR(I262*INDEX('PORTIFÓLIO'!$S$4:$S$433,MATCH($C262,'PORTIFÓLIO'!$C$4:$C$433,0)),"")</f>
        <v/>
      </c>
      <c r="L262" s="292">
        <f t="array" ref="L262">IFERROR(J262*INDEX('PORTIFÓLIO'!$S$4:$S$433,MATCH($C262,'PORTIFÓLIO'!$C$4:$C$433,0)),"")</f>
        <v/>
      </c>
      <c r="M262" s="220" t="n"/>
      <c r="N262" s="220" t="n"/>
      <c r="O262" s="220" t="n"/>
      <c r="P262" s="220" t="n"/>
      <c r="Q262" s="220" t="n"/>
      <c r="R262" s="220" t="n"/>
      <c r="S262" s="220" t="n"/>
      <c r="T262" s="220" t="n"/>
      <c r="U262" s="220" t="n"/>
      <c r="V262" s="220" t="n"/>
      <c r="W262" s="220" t="n"/>
    </row>
    <row r="263" outlineLevel="1" ht="15.75" customHeight="1" s="297">
      <c r="A263" s="211" t="n"/>
      <c r="B263" s="212" t="n"/>
      <c r="C263" s="213" t="n"/>
      <c r="D263" s="214">
        <f>IFERROR(VLOOKUP($C263,'PORTIFÓLIO'!C:V,2,0),"")</f>
        <v/>
      </c>
      <c r="E263" s="211">
        <f>IFERROR(VLOOKUP($C263,'PORTIFÓLIO'!C:V,3,0),"")</f>
        <v/>
      </c>
      <c r="F263" s="211">
        <f>IFERROR(VLOOKUP($C263,'PORTIFÓLIO'!C:V,4,0),"")</f>
        <v/>
      </c>
      <c r="G263" s="215">
        <f>IFERROR(VLOOKUP($C263,'PORTIFÓLIO'!C:V,5,0),"")</f>
        <v/>
      </c>
      <c r="H263" s="254">
        <f t="array" ref="H263">IFERROR(INDEX('PORTIFÓLIO'!$H$4:$H$433,MATCH($C263,'PORTIFÓLIO'!$C$4:$C$433,0)),"")</f>
        <v/>
      </c>
      <c r="I263" s="256" t="n"/>
      <c r="J263" s="218">
        <f>I263*$B$2</f>
        <v/>
      </c>
      <c r="K263" s="292">
        <f t="array" ref="K263">IFERROR(I263*INDEX('PORTIFÓLIO'!$S$4:$S$433,MATCH($C263,'PORTIFÓLIO'!$C$4:$C$433,0)),"")</f>
        <v/>
      </c>
      <c r="L263" s="292">
        <f t="array" ref="L263">IFERROR(J263*INDEX('PORTIFÓLIO'!$S$4:$S$433,MATCH($C263,'PORTIFÓLIO'!$C$4:$C$433,0)),"")</f>
        <v/>
      </c>
      <c r="M263" s="220" t="n"/>
      <c r="N263" s="220" t="n"/>
      <c r="O263" s="220" t="n"/>
      <c r="P263" s="220" t="n"/>
      <c r="Q263" s="220" t="n"/>
      <c r="R263" s="220" t="n"/>
      <c r="S263" s="220" t="n"/>
      <c r="T263" s="220" t="n"/>
      <c r="U263" s="220" t="n"/>
      <c r="V263" s="220" t="n"/>
      <c r="W263" s="220" t="n"/>
    </row>
    <row r="264" outlineLevel="1" ht="15.75" customHeight="1" s="297">
      <c r="A264" s="211" t="n"/>
      <c r="B264" s="212" t="n"/>
      <c r="C264" s="213" t="n"/>
      <c r="D264" s="214">
        <f>IFERROR(VLOOKUP($C264,'PORTIFÓLIO'!C:V,2,0),"")</f>
        <v/>
      </c>
      <c r="E264" s="211">
        <f>IFERROR(VLOOKUP($C264,'PORTIFÓLIO'!C:V,3,0),"")</f>
        <v/>
      </c>
      <c r="F264" s="211">
        <f>IFERROR(VLOOKUP($C264,'PORTIFÓLIO'!C:V,4,0),"")</f>
        <v/>
      </c>
      <c r="G264" s="215">
        <f>IFERROR(VLOOKUP($C264,'PORTIFÓLIO'!C:V,5,0),"")</f>
        <v/>
      </c>
      <c r="H264" s="254">
        <f t="array" ref="H264">IFERROR(INDEX('PORTIFÓLIO'!$H$4:$H$433,MATCH($C264,'PORTIFÓLIO'!$C$4:$C$433,0)),"")</f>
        <v/>
      </c>
      <c r="I264" s="256" t="n"/>
      <c r="J264" s="218">
        <f>I264*$B$2</f>
        <v/>
      </c>
      <c r="K264" s="292">
        <f t="array" ref="K264">IFERROR(I264*INDEX('PORTIFÓLIO'!$S$4:$S$433,MATCH($C264,'PORTIFÓLIO'!$C$4:$C$433,0)),"")</f>
        <v/>
      </c>
      <c r="L264" s="292">
        <f t="array" ref="L264">IFERROR(J264*INDEX('PORTIFÓLIO'!$S$4:$S$433,MATCH($C264,'PORTIFÓLIO'!$C$4:$C$433,0)),"")</f>
        <v/>
      </c>
      <c r="M264" s="220" t="n"/>
      <c r="N264" s="220" t="n"/>
      <c r="O264" s="220" t="n"/>
      <c r="P264" s="220" t="n"/>
      <c r="Q264" s="220" t="n"/>
      <c r="R264" s="220" t="n"/>
      <c r="S264" s="220" t="n"/>
      <c r="T264" s="220" t="n"/>
      <c r="U264" s="220" t="n"/>
      <c r="V264" s="220" t="n"/>
      <c r="W264" s="220" t="n"/>
    </row>
    <row r="265" outlineLevel="1" ht="15.75" customHeight="1" s="297">
      <c r="A265" s="211" t="n"/>
      <c r="B265" s="212" t="n"/>
      <c r="C265" s="213" t="n"/>
      <c r="D265" s="214">
        <f>IFERROR(VLOOKUP($C265,'PORTIFÓLIO'!C:V,2,0),"")</f>
        <v/>
      </c>
      <c r="E265" s="211">
        <f>IFERROR(VLOOKUP($C265,'PORTIFÓLIO'!C:V,3,0),"")</f>
        <v/>
      </c>
      <c r="F265" s="211">
        <f>IFERROR(VLOOKUP($C265,'PORTIFÓLIO'!C:V,4,0),"")</f>
        <v/>
      </c>
      <c r="G265" s="215">
        <f>IFERROR(VLOOKUP($C265,'PORTIFÓLIO'!C:V,5,0),"")</f>
        <v/>
      </c>
      <c r="H265" s="254">
        <f t="array" ref="H265">IFERROR(INDEX('PORTIFÓLIO'!$H$4:$H$433,MATCH($C265,'PORTIFÓLIO'!$C$4:$C$433,0)),"")</f>
        <v/>
      </c>
      <c r="I265" s="256" t="n"/>
      <c r="J265" s="218">
        <f>I265*$B$2</f>
        <v/>
      </c>
      <c r="K265" s="292">
        <f t="array" ref="K265">IFERROR(I265*INDEX('PORTIFÓLIO'!$S$4:$S$433,MATCH($C265,'PORTIFÓLIO'!$C$4:$C$433,0)),"")</f>
        <v/>
      </c>
      <c r="L265" s="292">
        <f t="array" ref="L265">IFERROR(J265*INDEX('PORTIFÓLIO'!$S$4:$S$433,MATCH($C265,'PORTIFÓLIO'!$C$4:$C$433,0)),"")</f>
        <v/>
      </c>
      <c r="M265" s="220" t="n"/>
      <c r="N265" s="220" t="n"/>
      <c r="O265" s="220" t="n"/>
      <c r="P265" s="220" t="n"/>
      <c r="Q265" s="220" t="n"/>
      <c r="R265" s="220" t="n"/>
      <c r="S265" s="220" t="n"/>
      <c r="T265" s="220" t="n"/>
      <c r="U265" s="220" t="n"/>
      <c r="V265" s="220" t="n"/>
      <c r="W265" s="220" t="n"/>
    </row>
    <row r="266" outlineLevel="1" ht="15.75" customHeight="1" s="297">
      <c r="A266" s="211" t="n"/>
      <c r="B266" s="212" t="n"/>
      <c r="C266" s="213" t="n"/>
      <c r="D266" s="214">
        <f>IFERROR(VLOOKUP($C266,'PORTIFÓLIO'!C:V,2,0),"")</f>
        <v/>
      </c>
      <c r="E266" s="211">
        <f>IFERROR(VLOOKUP($C266,'PORTIFÓLIO'!C:V,3,0),"")</f>
        <v/>
      </c>
      <c r="F266" s="211">
        <f>IFERROR(VLOOKUP($C266,'PORTIFÓLIO'!C:V,4,0),"")</f>
        <v/>
      </c>
      <c r="G266" s="215">
        <f>IFERROR(VLOOKUP($C266,'PORTIFÓLIO'!C:V,5,0),"")</f>
        <v/>
      </c>
      <c r="H266" s="254">
        <f t="array" ref="H266">IFERROR(INDEX('PORTIFÓLIO'!$H$4:$H$433,MATCH($C266,'PORTIFÓLIO'!$C$4:$C$433,0)),"")</f>
        <v/>
      </c>
      <c r="I266" s="256" t="n"/>
      <c r="J266" s="218">
        <f>I266*$B$2</f>
        <v/>
      </c>
      <c r="K266" s="292">
        <f t="array" ref="K266">IFERROR(I266*INDEX('PORTIFÓLIO'!$S$4:$S$433,MATCH($C266,'PORTIFÓLIO'!$C$4:$C$433,0)),"")</f>
        <v/>
      </c>
      <c r="L266" s="292">
        <f t="array" ref="L266">IFERROR(J266*INDEX('PORTIFÓLIO'!$S$4:$S$433,MATCH($C266,'PORTIFÓLIO'!$C$4:$C$433,0)),"")</f>
        <v/>
      </c>
      <c r="M266" s="220" t="n"/>
      <c r="N266" s="220" t="n"/>
      <c r="O266" s="220" t="n"/>
      <c r="P266" s="220" t="n"/>
      <c r="Q266" s="220" t="n"/>
      <c r="R266" s="220" t="n"/>
      <c r="S266" s="220" t="n"/>
      <c r="T266" s="220" t="n"/>
      <c r="U266" s="220" t="n"/>
      <c r="V266" s="220" t="n"/>
      <c r="W266" s="220" t="n"/>
    </row>
    <row r="267" outlineLevel="1" ht="15.75" customHeight="1" s="297">
      <c r="A267" s="211" t="n"/>
      <c r="B267" s="212" t="n"/>
      <c r="C267" s="213" t="n"/>
      <c r="D267" s="214">
        <f>IFERROR(VLOOKUP($C267,'PORTIFÓLIO'!C:V,2,0),"")</f>
        <v/>
      </c>
      <c r="E267" s="211">
        <f>IFERROR(VLOOKUP($C267,'PORTIFÓLIO'!C:V,3,0),"")</f>
        <v/>
      </c>
      <c r="F267" s="211">
        <f>IFERROR(VLOOKUP($C267,'PORTIFÓLIO'!C:V,4,0),"")</f>
        <v/>
      </c>
      <c r="G267" s="215">
        <f>IFERROR(VLOOKUP($C267,'PORTIFÓLIO'!C:V,5,0),"")</f>
        <v/>
      </c>
      <c r="H267" s="254">
        <f t="array" ref="H267">IFERROR(INDEX('PORTIFÓLIO'!$H$4:$H$433,MATCH($C267,'PORTIFÓLIO'!$C$4:$C$433,0)),"")</f>
        <v/>
      </c>
      <c r="I267" s="256" t="n"/>
      <c r="J267" s="218">
        <f>I267*$B$2</f>
        <v/>
      </c>
      <c r="K267" s="292">
        <f t="array" ref="K267">IFERROR(I267*INDEX('PORTIFÓLIO'!$S$4:$S$433,MATCH($C267,'PORTIFÓLIO'!$C$4:$C$433,0)),"")</f>
        <v/>
      </c>
      <c r="L267" s="292">
        <f t="array" ref="L267">IFERROR(J267*INDEX('PORTIFÓLIO'!$S$4:$S$433,MATCH($C267,'PORTIFÓLIO'!$C$4:$C$433,0)),"")</f>
        <v/>
      </c>
      <c r="M267" s="220" t="n"/>
      <c r="N267" s="220" t="n"/>
      <c r="O267" s="220" t="n"/>
      <c r="P267" s="220" t="n"/>
      <c r="Q267" s="220" t="n"/>
      <c r="R267" s="220" t="n"/>
      <c r="S267" s="220" t="n"/>
      <c r="T267" s="220" t="n"/>
      <c r="U267" s="220" t="n"/>
      <c r="V267" s="220" t="n"/>
      <c r="W267" s="220" t="n"/>
    </row>
    <row r="268" outlineLevel="1" ht="15.75" customHeight="1" s="297">
      <c r="A268" s="211" t="n"/>
      <c r="B268" s="212" t="n"/>
      <c r="C268" s="213" t="n"/>
      <c r="D268" s="214">
        <f>IFERROR(VLOOKUP($C268,'PORTIFÓLIO'!C:V,2,0),"")</f>
        <v/>
      </c>
      <c r="E268" s="211">
        <f>IFERROR(VLOOKUP($C268,'PORTIFÓLIO'!C:V,3,0),"")</f>
        <v/>
      </c>
      <c r="F268" s="211">
        <f>IFERROR(VLOOKUP($C268,'PORTIFÓLIO'!C:V,4,0),"")</f>
        <v/>
      </c>
      <c r="G268" s="215">
        <f>IFERROR(VLOOKUP($C268,'PORTIFÓLIO'!C:V,5,0),"")</f>
        <v/>
      </c>
      <c r="H268" s="254">
        <f t="array" ref="H268">IFERROR(INDEX('PORTIFÓLIO'!$H$4:$H$433,MATCH($C268,'PORTIFÓLIO'!$C$4:$C$433,0)),"")</f>
        <v/>
      </c>
      <c r="I268" s="256" t="n"/>
      <c r="J268" s="218">
        <f>I268*$B$2</f>
        <v/>
      </c>
      <c r="K268" s="292">
        <f t="array" ref="K268">IFERROR(I268*INDEX('PORTIFÓLIO'!$S$4:$S$433,MATCH($C268,'PORTIFÓLIO'!$C$4:$C$433,0)),"")</f>
        <v/>
      </c>
      <c r="L268" s="292">
        <f t="array" ref="L268">IFERROR(J268*INDEX('PORTIFÓLIO'!$S$4:$S$433,MATCH($C268,'PORTIFÓLIO'!$C$4:$C$433,0)),"")</f>
        <v/>
      </c>
      <c r="M268" s="220" t="n"/>
      <c r="N268" s="220" t="n"/>
      <c r="O268" s="220" t="n"/>
      <c r="P268" s="220" t="n"/>
      <c r="Q268" s="220" t="n"/>
      <c r="R268" s="220" t="n"/>
      <c r="S268" s="220" t="n"/>
      <c r="T268" s="220" t="n"/>
      <c r="U268" s="220" t="n"/>
      <c r="V268" s="220" t="n"/>
      <c r="W268" s="220" t="n"/>
    </row>
    <row r="269" outlineLevel="1" ht="15.75" customHeight="1" s="297">
      <c r="A269" s="211" t="n"/>
      <c r="B269" s="212" t="n"/>
      <c r="C269" s="213" t="n"/>
      <c r="D269" s="214">
        <f>IFERROR(VLOOKUP($C269,'PORTIFÓLIO'!C:V,2,0),"")</f>
        <v/>
      </c>
      <c r="E269" s="211">
        <f>IFERROR(VLOOKUP($C269,'PORTIFÓLIO'!C:V,3,0),"")</f>
        <v/>
      </c>
      <c r="F269" s="211">
        <f>IFERROR(VLOOKUP($C269,'PORTIFÓLIO'!C:V,4,0),"")</f>
        <v/>
      </c>
      <c r="G269" s="215">
        <f>IFERROR(VLOOKUP($C269,'PORTIFÓLIO'!C:V,5,0),"")</f>
        <v/>
      </c>
      <c r="H269" s="254">
        <f t="array" ref="H269">IFERROR(INDEX('PORTIFÓLIO'!$H$4:$H$433,MATCH($C269,'PORTIFÓLIO'!$C$4:$C$433,0)),"")</f>
        <v/>
      </c>
      <c r="I269" s="256" t="n"/>
      <c r="J269" s="218">
        <f>I269*$B$2</f>
        <v/>
      </c>
      <c r="K269" s="292">
        <f t="array" ref="K269">IFERROR(I269*INDEX('PORTIFÓLIO'!$S$4:$S$433,MATCH($C269,'PORTIFÓLIO'!$C$4:$C$433,0)),"")</f>
        <v/>
      </c>
      <c r="L269" s="292">
        <f t="array" ref="L269">IFERROR(J269*INDEX('PORTIFÓLIO'!$S$4:$S$433,MATCH($C269,'PORTIFÓLIO'!$C$4:$C$433,0)),"")</f>
        <v/>
      </c>
      <c r="M269" s="220" t="n"/>
      <c r="N269" s="220" t="n"/>
      <c r="O269" s="220" t="n"/>
      <c r="P269" s="220" t="n"/>
      <c r="Q269" s="220" t="n"/>
      <c r="R269" s="220" t="n"/>
      <c r="S269" s="220" t="n"/>
      <c r="T269" s="220" t="n"/>
      <c r="U269" s="220" t="n"/>
      <c r="V269" s="220" t="n"/>
      <c r="W269" s="220" t="n"/>
    </row>
    <row r="270" outlineLevel="1" ht="15.75" customHeight="1" s="297">
      <c r="A270" s="211" t="n"/>
      <c r="B270" s="212" t="n"/>
      <c r="C270" s="213" t="n"/>
      <c r="D270" s="214">
        <f>IFERROR(VLOOKUP($C270,'PORTIFÓLIO'!C:V,2,0),"")</f>
        <v/>
      </c>
      <c r="E270" s="211">
        <f>IFERROR(VLOOKUP($C270,'PORTIFÓLIO'!C:V,3,0),"")</f>
        <v/>
      </c>
      <c r="F270" s="211">
        <f>IFERROR(VLOOKUP($C270,'PORTIFÓLIO'!C:V,4,0),"")</f>
        <v/>
      </c>
      <c r="G270" s="215">
        <f>IFERROR(VLOOKUP($C270,'PORTIFÓLIO'!C:V,5,0),"")</f>
        <v/>
      </c>
      <c r="H270" s="254">
        <f t="array" ref="H270">IFERROR(INDEX('PORTIFÓLIO'!$H$4:$H$433,MATCH($C270,'PORTIFÓLIO'!$C$4:$C$433,0)),"")</f>
        <v/>
      </c>
      <c r="I270" s="256" t="n"/>
      <c r="J270" s="218">
        <f>I270*$B$2</f>
        <v/>
      </c>
      <c r="K270" s="292">
        <f t="array" ref="K270">IFERROR(I270*INDEX('PORTIFÓLIO'!$S$4:$S$433,MATCH($C270,'PORTIFÓLIO'!$C$4:$C$433,0)),"")</f>
        <v/>
      </c>
      <c r="L270" s="292">
        <f t="array" ref="L270">IFERROR(J270*INDEX('PORTIFÓLIO'!$S$4:$S$433,MATCH($C270,'PORTIFÓLIO'!$C$4:$C$433,0)),"")</f>
        <v/>
      </c>
      <c r="M270" s="220" t="n"/>
      <c r="N270" s="220" t="n"/>
      <c r="O270" s="220" t="n"/>
      <c r="P270" s="220" t="n"/>
      <c r="Q270" s="220" t="n"/>
      <c r="R270" s="220" t="n"/>
      <c r="S270" s="220" t="n"/>
      <c r="T270" s="220" t="n"/>
      <c r="U270" s="220" t="n"/>
      <c r="V270" s="220" t="n"/>
      <c r="W270" s="220" t="n"/>
    </row>
    <row r="271" ht="15.75" customHeight="1" s="297">
      <c r="A271" s="229" t="inlineStr">
        <is>
          <t>OPERAÇÃO 3</t>
        </is>
      </c>
      <c r="B271" s="230" t="n"/>
      <c r="C271" s="231" t="n"/>
      <c r="D271" s="232" t="n"/>
      <c r="E271" s="231" t="n"/>
      <c r="F271" s="231" t="n"/>
      <c r="G271" s="233" t="n"/>
      <c r="H271" s="233" t="n"/>
      <c r="I271" s="258" t="n"/>
      <c r="J271" s="236" t="n"/>
      <c r="K271" s="237">
        <f>SUBTOTAL(9,K272:K285)</f>
        <v/>
      </c>
      <c r="L271" s="237">
        <f>SUBTOTAL(9,L272:L285)</f>
        <v/>
      </c>
      <c r="M271" s="220" t="n"/>
      <c r="N271" s="220" t="n"/>
      <c r="O271" s="220" t="n"/>
      <c r="P271" s="220" t="n"/>
      <c r="Q271" s="220" t="n"/>
      <c r="R271" s="220" t="n"/>
      <c r="S271" s="220" t="n"/>
      <c r="T271" s="220" t="n"/>
      <c r="U271" s="220" t="n"/>
      <c r="V271" s="220" t="n"/>
      <c r="W271" s="220" t="n"/>
    </row>
    <row r="272" outlineLevel="1" ht="15.75" customHeight="1" s="297">
      <c r="A272" s="213" t="n"/>
      <c r="B272" s="212" t="n"/>
      <c r="C272" s="213" t="n"/>
      <c r="D272" s="214">
        <f>IFERROR(VLOOKUP($C272,'PORTIFÓLIO'!C:V,2,0),"")</f>
        <v/>
      </c>
      <c r="E272" s="211">
        <f>IFERROR(VLOOKUP($C272,'PORTIFÓLIO'!C:V,3,0),"")</f>
        <v/>
      </c>
      <c r="F272" s="211">
        <f>IFERROR(VLOOKUP($C272,'PORTIFÓLIO'!C:V,4,0),"")</f>
        <v/>
      </c>
      <c r="G272" s="215">
        <f>IFERROR(VLOOKUP($C272,'PORTIFÓLIO'!C:V,5,0),"")</f>
        <v/>
      </c>
      <c r="H272" s="254">
        <f t="array" ref="H272">IFERROR(INDEX('PORTIFÓLIO'!$H$4:$H$433,MATCH($C272,'PORTIFÓLIO'!$C$4:$C$433,0)),"")</f>
        <v/>
      </c>
      <c r="I272" s="255" t="n"/>
      <c r="J272" s="218">
        <f>I272*$B$2</f>
        <v/>
      </c>
      <c r="K272" s="292">
        <f t="array" ref="K272">IFERROR(I272*INDEX('PORTIFÓLIO'!$S$4:$S$433,MATCH($C272,'PORTIFÓLIO'!$C$4:$C$433,0)),"")</f>
        <v/>
      </c>
      <c r="L272" s="292">
        <f t="array" ref="L272">IFERROR(J272*INDEX('PORTIFÓLIO'!$S$4:$S$433,MATCH($C272,'PORTIFÓLIO'!$C$4:$C$433,0)),"")</f>
        <v/>
      </c>
      <c r="M272" s="220" t="n"/>
      <c r="N272" s="220" t="n"/>
      <c r="O272" s="220" t="n"/>
      <c r="P272" s="220" t="n"/>
      <c r="Q272" s="220" t="n"/>
      <c r="R272" s="220" t="n"/>
      <c r="S272" s="220" t="n"/>
      <c r="T272" s="220" t="n"/>
      <c r="U272" s="220" t="n"/>
      <c r="V272" s="220" t="n"/>
      <c r="W272" s="220" t="n"/>
    </row>
    <row r="273" outlineLevel="1" ht="15.75" customHeight="1" s="297">
      <c r="A273" s="211" t="n"/>
      <c r="B273" s="212" t="n"/>
      <c r="C273" s="213" t="n"/>
      <c r="D273" s="214">
        <f>IFERROR(VLOOKUP($C273,'PORTIFÓLIO'!C:V,2,0),"")</f>
        <v/>
      </c>
      <c r="E273" s="211">
        <f>IFERROR(VLOOKUP($C273,'PORTIFÓLIO'!C:V,3,0),"")</f>
        <v/>
      </c>
      <c r="F273" s="211">
        <f>IFERROR(VLOOKUP($C273,'PORTIFÓLIO'!C:V,4,0),"")</f>
        <v/>
      </c>
      <c r="G273" s="215">
        <f>IFERROR(VLOOKUP($C273,'PORTIFÓLIO'!C:V,5,0),"")</f>
        <v/>
      </c>
      <c r="H273" s="254">
        <f t="array" ref="H273">IFERROR(INDEX('PORTIFÓLIO'!$H$4:$H$433,MATCH($C273,'PORTIFÓLIO'!$C$4:$C$433,0)),"")</f>
        <v/>
      </c>
      <c r="I273" s="256" t="n"/>
      <c r="J273" s="218">
        <f>I273*$B$2</f>
        <v/>
      </c>
      <c r="K273" s="292">
        <f t="array" ref="K273">IFERROR(I273*INDEX('PORTIFÓLIO'!$S$4:$S$433,MATCH($C273,'PORTIFÓLIO'!$C$4:$C$433,0)),"")</f>
        <v/>
      </c>
      <c r="L273" s="292">
        <f t="array" ref="L273">IFERROR(J273*INDEX('PORTIFÓLIO'!$S$4:$S$433,MATCH($C273,'PORTIFÓLIO'!$C$4:$C$433,0)),"")</f>
        <v/>
      </c>
      <c r="M273" s="220" t="n"/>
      <c r="N273" s="220" t="n"/>
      <c r="O273" s="220" t="n"/>
      <c r="P273" s="220" t="n"/>
      <c r="Q273" s="220" t="n"/>
      <c r="R273" s="220" t="n"/>
      <c r="S273" s="220" t="n"/>
      <c r="T273" s="220" t="n"/>
      <c r="U273" s="220" t="n"/>
      <c r="V273" s="220" t="n"/>
      <c r="W273" s="220" t="n"/>
    </row>
    <row r="274" outlineLevel="1" ht="15.75" customHeight="1" s="297">
      <c r="A274" s="211" t="n"/>
      <c r="B274" s="212" t="n"/>
      <c r="C274" s="213" t="n"/>
      <c r="D274" s="214">
        <f>IFERROR(VLOOKUP($C274,'PORTIFÓLIO'!C:V,2,0),"")</f>
        <v/>
      </c>
      <c r="E274" s="211">
        <f>IFERROR(VLOOKUP($C274,'PORTIFÓLIO'!C:V,3,0),"")</f>
        <v/>
      </c>
      <c r="F274" s="211">
        <f>IFERROR(VLOOKUP($C274,'PORTIFÓLIO'!C:V,4,0),"")</f>
        <v/>
      </c>
      <c r="G274" s="215">
        <f>IFERROR(VLOOKUP($C274,'PORTIFÓLIO'!C:V,5,0),"")</f>
        <v/>
      </c>
      <c r="H274" s="254">
        <f t="array" ref="H274">IFERROR(INDEX('PORTIFÓLIO'!$H$4:$H$433,MATCH($C274,'PORTIFÓLIO'!$C$4:$C$433,0)),"")</f>
        <v/>
      </c>
      <c r="I274" s="256" t="n"/>
      <c r="J274" s="218">
        <f>I274*$B$2</f>
        <v/>
      </c>
      <c r="K274" s="292">
        <f t="array" ref="K274">IFERROR(I274*INDEX('PORTIFÓLIO'!$S$4:$S$433,MATCH($C274,'PORTIFÓLIO'!$C$4:$C$433,0)),"")</f>
        <v/>
      </c>
      <c r="L274" s="292">
        <f t="array" ref="L274">IFERROR(J274*INDEX('PORTIFÓLIO'!$S$4:$S$433,MATCH($C274,'PORTIFÓLIO'!$C$4:$C$433,0)),"")</f>
        <v/>
      </c>
      <c r="M274" s="220" t="n"/>
      <c r="N274" s="220" t="n"/>
      <c r="O274" s="220" t="n"/>
      <c r="P274" s="220" t="n"/>
      <c r="Q274" s="220" t="n"/>
      <c r="R274" s="220" t="n"/>
      <c r="S274" s="220" t="n"/>
      <c r="T274" s="220" t="n"/>
      <c r="U274" s="220" t="n"/>
      <c r="V274" s="220" t="n"/>
      <c r="W274" s="220" t="n"/>
    </row>
    <row r="275" outlineLevel="1" ht="15.75" customHeight="1" s="297">
      <c r="A275" s="211" t="n"/>
      <c r="B275" s="212" t="n"/>
      <c r="C275" s="213" t="n"/>
      <c r="D275" s="214">
        <f>IFERROR(VLOOKUP($C275,'PORTIFÓLIO'!C:V,2,0),"")</f>
        <v/>
      </c>
      <c r="E275" s="211">
        <f>IFERROR(VLOOKUP($C275,'PORTIFÓLIO'!C:V,3,0),"")</f>
        <v/>
      </c>
      <c r="F275" s="211">
        <f>IFERROR(VLOOKUP($C275,'PORTIFÓLIO'!C:V,4,0),"")</f>
        <v/>
      </c>
      <c r="G275" s="215">
        <f>IFERROR(VLOOKUP($C275,'PORTIFÓLIO'!C:V,5,0),"")</f>
        <v/>
      </c>
      <c r="H275" s="254">
        <f t="array" ref="H275">IFERROR(INDEX('PORTIFÓLIO'!$H$4:$H$433,MATCH($C275,'PORTIFÓLIO'!$C$4:$C$433,0)),"")</f>
        <v/>
      </c>
      <c r="I275" s="256" t="n"/>
      <c r="J275" s="218">
        <f>I275*$B$2</f>
        <v/>
      </c>
      <c r="K275" s="292">
        <f t="array" ref="K275">IFERROR(I275*INDEX('PORTIFÓLIO'!$S$4:$S$433,MATCH($C275,'PORTIFÓLIO'!$C$4:$C$433,0)),"")</f>
        <v/>
      </c>
      <c r="L275" s="292">
        <f t="array" ref="L275">IFERROR(J275*INDEX('PORTIFÓLIO'!$S$4:$S$433,MATCH($C275,'PORTIFÓLIO'!$C$4:$C$433,0)),"")</f>
        <v/>
      </c>
      <c r="M275" s="220" t="n"/>
      <c r="N275" s="220" t="n"/>
      <c r="O275" s="220" t="n"/>
      <c r="P275" s="220" t="n"/>
      <c r="Q275" s="220" t="n"/>
      <c r="R275" s="220" t="n"/>
      <c r="S275" s="220" t="n"/>
      <c r="T275" s="220" t="n"/>
      <c r="U275" s="220" t="n"/>
      <c r="V275" s="220" t="n"/>
      <c r="W275" s="220" t="n"/>
    </row>
    <row r="276" outlineLevel="1" ht="15.75" customHeight="1" s="297">
      <c r="A276" s="211" t="n"/>
      <c r="B276" s="212" t="n"/>
      <c r="C276" s="213" t="n"/>
      <c r="D276" s="214">
        <f>IFERROR(VLOOKUP($C276,'PORTIFÓLIO'!C:V,2,0),"")</f>
        <v/>
      </c>
      <c r="E276" s="211">
        <f>IFERROR(VLOOKUP($C276,'PORTIFÓLIO'!C:V,3,0),"")</f>
        <v/>
      </c>
      <c r="F276" s="211">
        <f>IFERROR(VLOOKUP($C276,'PORTIFÓLIO'!C:V,4,0),"")</f>
        <v/>
      </c>
      <c r="G276" s="215">
        <f>IFERROR(VLOOKUP($C276,'PORTIFÓLIO'!C:V,5,0),"")</f>
        <v/>
      </c>
      <c r="H276" s="254">
        <f t="array" ref="H276">IFERROR(INDEX('PORTIFÓLIO'!$H$4:$H$433,MATCH($C276,'PORTIFÓLIO'!$C$4:$C$433,0)),"")</f>
        <v/>
      </c>
      <c r="I276" s="256" t="n"/>
      <c r="J276" s="218">
        <f>I276*$B$2</f>
        <v/>
      </c>
      <c r="K276" s="292">
        <f t="array" ref="K276">IFERROR(I276*INDEX('PORTIFÓLIO'!$S$4:$S$433,MATCH($C276,'PORTIFÓLIO'!$C$4:$C$433,0)),"")</f>
        <v/>
      </c>
      <c r="L276" s="292">
        <f t="array" ref="L276">IFERROR(J276*INDEX('PORTIFÓLIO'!$S$4:$S$433,MATCH($C276,'PORTIFÓLIO'!$C$4:$C$433,0)),"")</f>
        <v/>
      </c>
      <c r="M276" s="220" t="n"/>
      <c r="N276" s="220" t="n"/>
      <c r="O276" s="220" t="n"/>
      <c r="P276" s="220" t="n"/>
      <c r="Q276" s="220" t="n"/>
      <c r="R276" s="220" t="n"/>
      <c r="S276" s="220" t="n"/>
      <c r="T276" s="220" t="n"/>
      <c r="U276" s="220" t="n"/>
      <c r="V276" s="220" t="n"/>
      <c r="W276" s="220" t="n"/>
    </row>
    <row r="277" outlineLevel="1" ht="15.75" customHeight="1" s="297">
      <c r="A277" s="211" t="n"/>
      <c r="B277" s="212" t="n"/>
      <c r="C277" s="213" t="n"/>
      <c r="D277" s="214">
        <f>IFERROR(VLOOKUP($C277,'PORTIFÓLIO'!C:V,2,0),"")</f>
        <v/>
      </c>
      <c r="E277" s="211">
        <f>IFERROR(VLOOKUP($C277,'PORTIFÓLIO'!C:V,3,0),"")</f>
        <v/>
      </c>
      <c r="F277" s="211">
        <f>IFERROR(VLOOKUP($C277,'PORTIFÓLIO'!C:V,4,0),"")</f>
        <v/>
      </c>
      <c r="G277" s="215">
        <f>IFERROR(VLOOKUP($C277,'PORTIFÓLIO'!C:V,5,0),"")</f>
        <v/>
      </c>
      <c r="H277" s="254">
        <f t="array" ref="H277">IFERROR(INDEX('PORTIFÓLIO'!$H$4:$H$433,MATCH($C277,'PORTIFÓLIO'!$C$4:$C$433,0)),"")</f>
        <v/>
      </c>
      <c r="I277" s="256" t="n"/>
      <c r="J277" s="218">
        <f>I277*$B$2</f>
        <v/>
      </c>
      <c r="K277" s="292">
        <f t="array" ref="K277">IFERROR(I277*INDEX('PORTIFÓLIO'!$S$4:$S$433,MATCH($C277,'PORTIFÓLIO'!$C$4:$C$433,0)),"")</f>
        <v/>
      </c>
      <c r="L277" s="292">
        <f t="array" ref="L277">IFERROR(J277*INDEX('PORTIFÓLIO'!$S$4:$S$433,MATCH($C277,'PORTIFÓLIO'!$C$4:$C$433,0)),"")</f>
        <v/>
      </c>
      <c r="M277" s="220" t="n"/>
      <c r="N277" s="220" t="n"/>
      <c r="O277" s="220" t="n"/>
      <c r="P277" s="220" t="n"/>
      <c r="Q277" s="220" t="n"/>
      <c r="R277" s="220" t="n"/>
      <c r="S277" s="220" t="n"/>
      <c r="T277" s="220" t="n"/>
      <c r="U277" s="220" t="n"/>
      <c r="V277" s="220" t="n"/>
      <c r="W277" s="220" t="n"/>
    </row>
    <row r="278" outlineLevel="1" ht="15.75" customHeight="1" s="297">
      <c r="A278" s="211" t="n"/>
      <c r="B278" s="212" t="n"/>
      <c r="C278" s="213" t="n"/>
      <c r="D278" s="214">
        <f>IFERROR(VLOOKUP($C278,'PORTIFÓLIO'!C:V,2,0),"")</f>
        <v/>
      </c>
      <c r="E278" s="211">
        <f>IFERROR(VLOOKUP($C278,'PORTIFÓLIO'!C:V,3,0),"")</f>
        <v/>
      </c>
      <c r="F278" s="211">
        <f>IFERROR(VLOOKUP($C278,'PORTIFÓLIO'!C:V,4,0),"")</f>
        <v/>
      </c>
      <c r="G278" s="215">
        <f>IFERROR(VLOOKUP($C278,'PORTIFÓLIO'!C:V,5,0),"")</f>
        <v/>
      </c>
      <c r="H278" s="254">
        <f t="array" ref="H278">IFERROR(INDEX('PORTIFÓLIO'!$H$4:$H$433,MATCH($C278,'PORTIFÓLIO'!$C$4:$C$433,0)),"")</f>
        <v/>
      </c>
      <c r="I278" s="256" t="n"/>
      <c r="J278" s="218">
        <f>I278*$B$2</f>
        <v/>
      </c>
      <c r="K278" s="292">
        <f t="array" ref="K278">IFERROR(I278*INDEX('PORTIFÓLIO'!$S$4:$S$433,MATCH($C278,'PORTIFÓLIO'!$C$4:$C$433,0)),"")</f>
        <v/>
      </c>
      <c r="L278" s="292">
        <f t="array" ref="L278">IFERROR(J278*INDEX('PORTIFÓLIO'!$S$4:$S$433,MATCH($C278,'PORTIFÓLIO'!$C$4:$C$433,0)),"")</f>
        <v/>
      </c>
      <c r="M278" s="220" t="n"/>
      <c r="N278" s="220" t="n"/>
      <c r="O278" s="220" t="n"/>
      <c r="P278" s="220" t="n"/>
      <c r="Q278" s="220" t="n"/>
      <c r="R278" s="220" t="n"/>
      <c r="S278" s="220" t="n"/>
      <c r="T278" s="220" t="n"/>
      <c r="U278" s="220" t="n"/>
      <c r="V278" s="220" t="n"/>
      <c r="W278" s="220" t="n"/>
    </row>
    <row r="279" outlineLevel="1" ht="15.75" customHeight="1" s="297">
      <c r="A279" s="211" t="n"/>
      <c r="B279" s="212" t="n"/>
      <c r="C279" s="213" t="n"/>
      <c r="D279" s="214">
        <f>IFERROR(VLOOKUP($C279,'PORTIFÓLIO'!C:V,2,0),"")</f>
        <v/>
      </c>
      <c r="E279" s="211">
        <f>IFERROR(VLOOKUP($C279,'PORTIFÓLIO'!C:V,3,0),"")</f>
        <v/>
      </c>
      <c r="F279" s="211">
        <f>IFERROR(VLOOKUP($C279,'PORTIFÓLIO'!C:V,4,0),"")</f>
        <v/>
      </c>
      <c r="G279" s="215">
        <f>IFERROR(VLOOKUP($C279,'PORTIFÓLIO'!C:V,5,0),"")</f>
        <v/>
      </c>
      <c r="H279" s="254">
        <f t="array" ref="H279">IFERROR(INDEX('PORTIFÓLIO'!$H$4:$H$433,MATCH($C279,'PORTIFÓLIO'!$C$4:$C$433,0)),"")</f>
        <v/>
      </c>
      <c r="I279" s="256" t="n"/>
      <c r="J279" s="218">
        <f>I279*$B$2</f>
        <v/>
      </c>
      <c r="K279" s="292">
        <f t="array" ref="K279">IFERROR(I279*INDEX('PORTIFÓLIO'!$S$4:$S$433,MATCH($C279,'PORTIFÓLIO'!$C$4:$C$433,0)),"")</f>
        <v/>
      </c>
      <c r="L279" s="292">
        <f t="array" ref="L279">IFERROR(J279*INDEX('PORTIFÓLIO'!$S$4:$S$433,MATCH($C279,'PORTIFÓLIO'!$C$4:$C$433,0)),"")</f>
        <v/>
      </c>
      <c r="M279" s="220" t="n"/>
      <c r="N279" s="220" t="n"/>
      <c r="O279" s="220" t="n"/>
      <c r="P279" s="220" t="n"/>
      <c r="Q279" s="220" t="n"/>
      <c r="R279" s="220" t="n"/>
      <c r="S279" s="220" t="n"/>
      <c r="T279" s="220" t="n"/>
      <c r="U279" s="220" t="n"/>
      <c r="V279" s="220" t="n"/>
      <c r="W279" s="220" t="n"/>
    </row>
    <row r="280" outlineLevel="1" ht="15.75" customHeight="1" s="297">
      <c r="A280" s="211" t="n"/>
      <c r="B280" s="212" t="n"/>
      <c r="C280" s="213" t="n"/>
      <c r="D280" s="214">
        <f>IFERROR(VLOOKUP($C280,'PORTIFÓLIO'!C:V,2,0),"")</f>
        <v/>
      </c>
      <c r="E280" s="211">
        <f>IFERROR(VLOOKUP($C280,'PORTIFÓLIO'!C:V,3,0),"")</f>
        <v/>
      </c>
      <c r="F280" s="211">
        <f>IFERROR(VLOOKUP($C280,'PORTIFÓLIO'!C:V,4,0),"")</f>
        <v/>
      </c>
      <c r="G280" s="215">
        <f>IFERROR(VLOOKUP($C280,'PORTIFÓLIO'!C:V,5,0),"")</f>
        <v/>
      </c>
      <c r="H280" s="254">
        <f t="array" ref="H280">IFERROR(INDEX('PORTIFÓLIO'!$H$4:$H$433,MATCH($C280,'PORTIFÓLIO'!$C$4:$C$433,0)),"")</f>
        <v/>
      </c>
      <c r="I280" s="255" t="n"/>
      <c r="J280" s="218">
        <f>I280*$B$2</f>
        <v/>
      </c>
      <c r="K280" s="292">
        <f t="array" ref="K280">IFERROR(I280*INDEX('PORTIFÓLIO'!$S$4:$S$433,MATCH($C280,'PORTIFÓLIO'!$C$4:$C$433,0)),"")</f>
        <v/>
      </c>
      <c r="L280" s="292">
        <f t="array" ref="L280">IFERROR(J280*INDEX('PORTIFÓLIO'!$S$4:$S$433,MATCH($C280,'PORTIFÓLIO'!$C$4:$C$433,0)),"")</f>
        <v/>
      </c>
      <c r="M280" s="220" t="n"/>
      <c r="N280" s="220" t="n"/>
      <c r="O280" s="220" t="n"/>
      <c r="P280" s="220" t="n"/>
      <c r="Q280" s="220" t="n"/>
      <c r="R280" s="220" t="n"/>
      <c r="S280" s="220" t="n"/>
      <c r="T280" s="220" t="n"/>
      <c r="U280" s="220" t="n"/>
      <c r="V280" s="220" t="n"/>
      <c r="W280" s="220" t="n"/>
    </row>
    <row r="281" outlineLevel="1" ht="15.75" customHeight="1" s="297">
      <c r="A281" s="211" t="n"/>
      <c r="B281" s="212" t="n"/>
      <c r="C281" s="213" t="n"/>
      <c r="D281" s="214">
        <f>IFERROR(VLOOKUP($C281,'PORTIFÓLIO'!C:V,2,0),"")</f>
        <v/>
      </c>
      <c r="E281" s="211">
        <f>IFERROR(VLOOKUP($C281,'PORTIFÓLIO'!C:V,3,0),"")</f>
        <v/>
      </c>
      <c r="F281" s="211">
        <f>IFERROR(VLOOKUP($C281,'PORTIFÓLIO'!C:V,4,0),"")</f>
        <v/>
      </c>
      <c r="G281" s="215">
        <f>IFERROR(VLOOKUP($C281,'PORTIFÓLIO'!C:V,5,0),"")</f>
        <v/>
      </c>
      <c r="H281" s="254">
        <f t="array" ref="H281">IFERROR(INDEX('PORTIFÓLIO'!$H$4:$H$433,MATCH($C281,'PORTIFÓLIO'!$C$4:$C$433,0)),"")</f>
        <v/>
      </c>
      <c r="I281" s="256" t="n"/>
      <c r="J281" s="218">
        <f>I281*$B$2</f>
        <v/>
      </c>
      <c r="K281" s="292">
        <f t="array" ref="K281">IFERROR(I281*INDEX('PORTIFÓLIO'!$S$4:$S$433,MATCH($C281,'PORTIFÓLIO'!$C$4:$C$433,0)),"")</f>
        <v/>
      </c>
      <c r="L281" s="292">
        <f t="array" ref="L281">IFERROR(J281*INDEX('PORTIFÓLIO'!$S$4:$S$433,MATCH($C281,'PORTIFÓLIO'!$C$4:$C$433,0)),"")</f>
        <v/>
      </c>
      <c r="M281" s="220" t="n"/>
      <c r="N281" s="220" t="n"/>
      <c r="O281" s="220" t="n"/>
      <c r="P281" s="220" t="n"/>
      <c r="Q281" s="220" t="n"/>
      <c r="R281" s="220" t="n"/>
      <c r="S281" s="220" t="n"/>
      <c r="T281" s="220" t="n"/>
      <c r="U281" s="220" t="n"/>
      <c r="V281" s="220" t="n"/>
      <c r="W281" s="220" t="n"/>
    </row>
    <row r="282" outlineLevel="1" ht="15.75" customHeight="1" s="297">
      <c r="A282" s="211" t="n"/>
      <c r="B282" s="212" t="n"/>
      <c r="C282" s="213" t="n"/>
      <c r="D282" s="214">
        <f>IFERROR(VLOOKUP($C282,'PORTIFÓLIO'!C:V,2,0),"")</f>
        <v/>
      </c>
      <c r="E282" s="211">
        <f>IFERROR(VLOOKUP($C282,'PORTIFÓLIO'!C:V,3,0),"")</f>
        <v/>
      </c>
      <c r="F282" s="211">
        <f>IFERROR(VLOOKUP($C282,'PORTIFÓLIO'!C:V,4,0),"")</f>
        <v/>
      </c>
      <c r="G282" s="215">
        <f>IFERROR(VLOOKUP($C282,'PORTIFÓLIO'!C:V,5,0),"")</f>
        <v/>
      </c>
      <c r="H282" s="254">
        <f t="array" ref="H282">IFERROR(INDEX('PORTIFÓLIO'!$H$4:$H$433,MATCH($C282,'PORTIFÓLIO'!$C$4:$C$433,0)),"")</f>
        <v/>
      </c>
      <c r="I282" s="256" t="n"/>
      <c r="J282" s="218">
        <f>I282*$B$2</f>
        <v/>
      </c>
      <c r="K282" s="292">
        <f t="array" ref="K282">IFERROR(I282*INDEX('PORTIFÓLIO'!$S$4:$S$433,MATCH($C282,'PORTIFÓLIO'!$C$4:$C$433,0)),"")</f>
        <v/>
      </c>
      <c r="L282" s="292">
        <f t="array" ref="L282">IFERROR(J282*INDEX('PORTIFÓLIO'!$S$4:$S$433,MATCH($C282,'PORTIFÓLIO'!$C$4:$C$433,0)),"")</f>
        <v/>
      </c>
      <c r="M282" s="220" t="n"/>
      <c r="N282" s="220" t="n"/>
      <c r="O282" s="220" t="n"/>
      <c r="P282" s="220" t="n"/>
      <c r="Q282" s="220" t="n"/>
      <c r="R282" s="220" t="n"/>
      <c r="S282" s="220" t="n"/>
      <c r="T282" s="220" t="n"/>
      <c r="U282" s="220" t="n"/>
      <c r="V282" s="220" t="n"/>
      <c r="W282" s="220" t="n"/>
    </row>
    <row r="283" outlineLevel="1" ht="15.75" customHeight="1" s="297">
      <c r="A283" s="211" t="n"/>
      <c r="B283" s="212" t="n"/>
      <c r="C283" s="213" t="n"/>
      <c r="D283" s="214">
        <f>IFERROR(VLOOKUP($C283,'PORTIFÓLIO'!C:V,2,0),"")</f>
        <v/>
      </c>
      <c r="E283" s="211">
        <f>IFERROR(VLOOKUP($C283,'PORTIFÓLIO'!C:V,3,0),"")</f>
        <v/>
      </c>
      <c r="F283" s="211">
        <f>IFERROR(VLOOKUP($C283,'PORTIFÓLIO'!C:V,4,0),"")</f>
        <v/>
      </c>
      <c r="G283" s="215">
        <f>IFERROR(VLOOKUP($C283,'PORTIFÓLIO'!C:V,5,0),"")</f>
        <v/>
      </c>
      <c r="H283" s="254">
        <f t="array" ref="H283">IFERROR(INDEX('PORTIFÓLIO'!$H$4:$H$433,MATCH($C283,'PORTIFÓLIO'!$C$4:$C$433,0)),"")</f>
        <v/>
      </c>
      <c r="I283" s="256" t="n"/>
      <c r="J283" s="218">
        <f>I283*$B$2</f>
        <v/>
      </c>
      <c r="K283" s="292">
        <f t="array" ref="K283">IFERROR(I283*INDEX('PORTIFÓLIO'!$S$4:$S$433,MATCH($C283,'PORTIFÓLIO'!$C$4:$C$433,0)),"")</f>
        <v/>
      </c>
      <c r="L283" s="292">
        <f t="array" ref="L283">IFERROR(J283*INDEX('PORTIFÓLIO'!$S$4:$S$433,MATCH($C283,'PORTIFÓLIO'!$C$4:$C$433,0)),"")</f>
        <v/>
      </c>
      <c r="M283" s="220" t="n"/>
      <c r="N283" s="220" t="n"/>
      <c r="O283" s="220" t="n"/>
      <c r="P283" s="220" t="n"/>
      <c r="Q283" s="220" t="n"/>
      <c r="R283" s="220" t="n"/>
      <c r="S283" s="220" t="n"/>
      <c r="T283" s="220" t="n"/>
      <c r="U283" s="220" t="n"/>
      <c r="V283" s="220" t="n"/>
      <c r="W283" s="220" t="n"/>
    </row>
    <row r="284" outlineLevel="1" ht="15.75" customHeight="1" s="297">
      <c r="A284" s="211" t="n"/>
      <c r="B284" s="212" t="n"/>
      <c r="C284" s="213" t="n"/>
      <c r="D284" s="214">
        <f>IFERROR(VLOOKUP($C284,'PORTIFÓLIO'!C:V,2,0),"")</f>
        <v/>
      </c>
      <c r="E284" s="211">
        <f>IFERROR(VLOOKUP($C284,'PORTIFÓLIO'!C:V,3,0),"")</f>
        <v/>
      </c>
      <c r="F284" s="211">
        <f>IFERROR(VLOOKUP($C284,'PORTIFÓLIO'!C:V,4,0),"")</f>
        <v/>
      </c>
      <c r="G284" s="215">
        <f>IFERROR(VLOOKUP($C284,'PORTIFÓLIO'!C:V,5,0),"")</f>
        <v/>
      </c>
      <c r="H284" s="254">
        <f t="array" ref="H284">IFERROR(INDEX('PORTIFÓLIO'!$H$4:$H$433,MATCH($C284,'PORTIFÓLIO'!$C$4:$C$433,0)),"")</f>
        <v/>
      </c>
      <c r="I284" s="256" t="n"/>
      <c r="J284" s="218">
        <f>I284*$B$2</f>
        <v/>
      </c>
      <c r="K284" s="292">
        <f t="array" ref="K284">IFERROR(I284*INDEX('PORTIFÓLIO'!$S$4:$S$433,MATCH($C284,'PORTIFÓLIO'!$C$4:$C$433,0)),"")</f>
        <v/>
      </c>
      <c r="L284" s="292">
        <f t="array" ref="L284">IFERROR(J284*INDEX('PORTIFÓLIO'!$S$4:$S$433,MATCH($C284,'PORTIFÓLIO'!$C$4:$C$433,0)),"")</f>
        <v/>
      </c>
      <c r="M284" s="220" t="n"/>
      <c r="N284" s="220" t="n"/>
      <c r="O284" s="220" t="n"/>
      <c r="P284" s="220" t="n"/>
      <c r="Q284" s="220" t="n"/>
      <c r="R284" s="220" t="n"/>
      <c r="S284" s="220" t="n"/>
      <c r="T284" s="220" t="n"/>
      <c r="U284" s="220" t="n"/>
      <c r="V284" s="220" t="n"/>
      <c r="W284" s="220" t="n"/>
    </row>
    <row r="285" outlineLevel="1" ht="15.75" customHeight="1" s="297">
      <c r="A285" s="211" t="n"/>
      <c r="B285" s="212" t="n"/>
      <c r="C285" s="213" t="n"/>
      <c r="D285" s="214">
        <f>IFERROR(VLOOKUP($C285,'PORTIFÓLIO'!C:V,2,0),"")</f>
        <v/>
      </c>
      <c r="E285" s="211">
        <f>IFERROR(VLOOKUP($C285,'PORTIFÓLIO'!C:V,3,0),"")</f>
        <v/>
      </c>
      <c r="F285" s="211">
        <f>IFERROR(VLOOKUP($C285,'PORTIFÓLIO'!C:V,4,0),"")</f>
        <v/>
      </c>
      <c r="G285" s="215">
        <f>IFERROR(VLOOKUP($C285,'PORTIFÓLIO'!C:V,5,0),"")</f>
        <v/>
      </c>
      <c r="H285" s="254">
        <f t="array" ref="H285">IFERROR(INDEX('PORTIFÓLIO'!$H$4:$H$433,MATCH($C285,'PORTIFÓLIO'!$C$4:$C$433,0)),"")</f>
        <v/>
      </c>
      <c r="I285" s="256" t="n"/>
      <c r="J285" s="218">
        <f>I285*$B$2</f>
        <v/>
      </c>
      <c r="K285" s="292">
        <f t="array" ref="K285">IFERROR(I285*INDEX('PORTIFÓLIO'!$S$4:$S$433,MATCH($C285,'PORTIFÓLIO'!$C$4:$C$433,0)),"")</f>
        <v/>
      </c>
      <c r="L285" s="292">
        <f t="array" ref="L285">IFERROR(J285*INDEX('PORTIFÓLIO'!$S$4:$S$433,MATCH($C285,'PORTIFÓLIO'!$C$4:$C$433,0)),"")</f>
        <v/>
      </c>
      <c r="M285" s="220" t="n"/>
      <c r="N285" s="220" t="n"/>
      <c r="O285" s="220" t="n"/>
      <c r="P285" s="220" t="n"/>
      <c r="Q285" s="220" t="n"/>
      <c r="R285" s="220" t="n"/>
      <c r="S285" s="220" t="n"/>
      <c r="T285" s="220" t="n"/>
      <c r="U285" s="220" t="n"/>
      <c r="V285" s="220" t="n"/>
      <c r="W285" s="220" t="n"/>
    </row>
    <row r="286" outlineLevel="1" ht="15.75" customHeight="1" s="297">
      <c r="A286" s="211" t="n"/>
      <c r="B286" s="212" t="n"/>
      <c r="C286" s="213" t="n"/>
      <c r="D286" s="214">
        <f>IFERROR(VLOOKUP($C286,'PORTIFÓLIO'!C:V,2,0),"")</f>
        <v/>
      </c>
      <c r="E286" s="211">
        <f>IFERROR(VLOOKUP($C286,'PORTIFÓLIO'!C:V,3,0),"")</f>
        <v/>
      </c>
      <c r="F286" s="211">
        <f>IFERROR(VLOOKUP($C286,'PORTIFÓLIO'!C:V,4,0),"")</f>
        <v/>
      </c>
      <c r="G286" s="215">
        <f>IFERROR(VLOOKUP($C286,'PORTIFÓLIO'!C:V,5,0),"")</f>
        <v/>
      </c>
      <c r="H286" s="254">
        <f t="array" ref="H286">IFERROR(INDEX('PORTIFÓLIO'!$H$4:$H$433,MATCH($C286,'PORTIFÓLIO'!$C$4:$C$433,0)),"")</f>
        <v/>
      </c>
      <c r="I286" s="256" t="n"/>
      <c r="J286" s="218">
        <f>I286*$B$2</f>
        <v/>
      </c>
      <c r="K286" s="292">
        <f t="array" ref="K286">IFERROR(I286*INDEX('PORTIFÓLIO'!$S$4:$S$433,MATCH($C286,'PORTIFÓLIO'!$C$4:$C$433,0)),"")</f>
        <v/>
      </c>
      <c r="L286" s="292">
        <f t="array" ref="L286">IFERROR(J286*INDEX('PORTIFÓLIO'!$S$4:$S$433,MATCH($C286,'PORTIFÓLIO'!$C$4:$C$433,0)),"")</f>
        <v/>
      </c>
      <c r="M286" s="220" t="n"/>
      <c r="N286" s="220" t="n"/>
      <c r="O286" s="220" t="n"/>
      <c r="P286" s="220" t="n"/>
      <c r="Q286" s="220" t="n"/>
      <c r="R286" s="220" t="n"/>
      <c r="S286" s="220" t="n"/>
      <c r="T286" s="220" t="n"/>
      <c r="U286" s="220" t="n"/>
      <c r="V286" s="220" t="n"/>
      <c r="W286" s="220" t="n"/>
    </row>
    <row r="287" outlineLevel="1" ht="15.75" customHeight="1" s="297">
      <c r="A287" s="211" t="n"/>
      <c r="B287" s="212" t="n"/>
      <c r="C287" s="213" t="n"/>
      <c r="D287" s="214">
        <f>IFERROR(VLOOKUP($C287,'PORTIFÓLIO'!C:V,2,0),"")</f>
        <v/>
      </c>
      <c r="E287" s="211">
        <f>IFERROR(VLOOKUP($C287,'PORTIFÓLIO'!C:V,3,0),"")</f>
        <v/>
      </c>
      <c r="F287" s="211">
        <f>IFERROR(VLOOKUP($C287,'PORTIFÓLIO'!C:V,4,0),"")</f>
        <v/>
      </c>
      <c r="G287" s="215">
        <f>IFERROR(VLOOKUP($C287,'PORTIFÓLIO'!C:V,5,0),"")</f>
        <v/>
      </c>
      <c r="H287" s="254">
        <f t="array" ref="H287">IFERROR(INDEX('PORTIFÓLIO'!$H$4:$H$433,MATCH($C287,'PORTIFÓLIO'!$C$4:$C$433,0)),"")</f>
        <v/>
      </c>
      <c r="I287" s="256" t="n"/>
      <c r="J287" s="218">
        <f>I287*$B$2</f>
        <v/>
      </c>
      <c r="K287" s="292">
        <f t="array" ref="K287">IFERROR(I287*INDEX('PORTIFÓLIO'!$S$4:$S$433,MATCH($C287,'PORTIFÓLIO'!$C$4:$C$433,0)),"")</f>
        <v/>
      </c>
      <c r="L287" s="292">
        <f t="array" ref="L287">IFERROR(J287*INDEX('PORTIFÓLIO'!$S$4:$S$433,MATCH($C287,'PORTIFÓLIO'!$C$4:$C$433,0)),"")</f>
        <v/>
      </c>
      <c r="M287" s="220" t="n"/>
      <c r="N287" s="220" t="n"/>
      <c r="O287" s="220" t="n"/>
      <c r="P287" s="220" t="n"/>
      <c r="Q287" s="220" t="n"/>
      <c r="R287" s="220" t="n"/>
      <c r="S287" s="220" t="n"/>
      <c r="T287" s="220" t="n"/>
      <c r="U287" s="220" t="n"/>
      <c r="V287" s="220" t="n"/>
      <c r="W287" s="220" t="n"/>
    </row>
    <row r="288" outlineLevel="1" ht="15.75" customHeight="1" s="297">
      <c r="A288" s="211" t="n"/>
      <c r="B288" s="212" t="n"/>
      <c r="C288" s="213" t="n"/>
      <c r="D288" s="214">
        <f>IFERROR(VLOOKUP($C288,'PORTIFÓLIO'!C:V,2,0),"")</f>
        <v/>
      </c>
      <c r="E288" s="211">
        <f>IFERROR(VLOOKUP($C288,'PORTIFÓLIO'!C:V,3,0),"")</f>
        <v/>
      </c>
      <c r="F288" s="211">
        <f>IFERROR(VLOOKUP($C288,'PORTIFÓLIO'!C:V,4,0),"")</f>
        <v/>
      </c>
      <c r="G288" s="215">
        <f>IFERROR(VLOOKUP($C288,'PORTIFÓLIO'!C:V,5,0),"")</f>
        <v/>
      </c>
      <c r="H288" s="254">
        <f t="array" ref="H288">IFERROR(INDEX('PORTIFÓLIO'!$H$4:$H$433,MATCH($C288,'PORTIFÓLIO'!$C$4:$C$433,0)),"")</f>
        <v/>
      </c>
      <c r="I288" s="256" t="n"/>
      <c r="J288" s="218">
        <f>I288*$B$2</f>
        <v/>
      </c>
      <c r="K288" s="292">
        <f t="array" ref="K288">IFERROR(I288*INDEX('PORTIFÓLIO'!$S$4:$S$433,MATCH($C288,'PORTIFÓLIO'!$C$4:$C$433,0)),"")</f>
        <v/>
      </c>
      <c r="L288" s="292">
        <f t="array" ref="L288">IFERROR(J288*INDEX('PORTIFÓLIO'!$S$4:$S$433,MATCH($C288,'PORTIFÓLIO'!$C$4:$C$433,0)),"")</f>
        <v/>
      </c>
      <c r="M288" s="220" t="n"/>
      <c r="N288" s="220" t="n"/>
      <c r="O288" s="220" t="n"/>
      <c r="P288" s="220" t="n"/>
      <c r="Q288" s="220" t="n"/>
      <c r="R288" s="220" t="n"/>
      <c r="S288" s="220" t="n"/>
      <c r="T288" s="220" t="n"/>
      <c r="U288" s="220" t="n"/>
      <c r="V288" s="220" t="n"/>
      <c r="W288" s="220" t="n"/>
    </row>
    <row r="289" outlineLevel="1" ht="15.75" customHeight="1" s="297">
      <c r="A289" s="211" t="n"/>
      <c r="B289" s="212" t="n"/>
      <c r="C289" s="213" t="n"/>
      <c r="D289" s="214">
        <f>IFERROR(VLOOKUP($C289,'PORTIFÓLIO'!C:V,2,0),"")</f>
        <v/>
      </c>
      <c r="E289" s="211">
        <f>IFERROR(VLOOKUP($C289,'PORTIFÓLIO'!C:V,3,0),"")</f>
        <v/>
      </c>
      <c r="F289" s="211">
        <f>IFERROR(VLOOKUP($C289,'PORTIFÓLIO'!C:V,4,0),"")</f>
        <v/>
      </c>
      <c r="G289" s="215">
        <f>IFERROR(VLOOKUP($C289,'PORTIFÓLIO'!C:V,5,0),"")</f>
        <v/>
      </c>
      <c r="H289" s="254">
        <f t="array" ref="H289">IFERROR(INDEX('PORTIFÓLIO'!$H$4:$H$433,MATCH($C289,'PORTIFÓLIO'!$C$4:$C$433,0)),"")</f>
        <v/>
      </c>
      <c r="I289" s="256" t="n"/>
      <c r="J289" s="218">
        <f>I289*$B$2</f>
        <v/>
      </c>
      <c r="K289" s="292">
        <f t="array" ref="K289">IFERROR(I289*INDEX('PORTIFÓLIO'!$S$4:$S$433,MATCH($C289,'PORTIFÓLIO'!$C$4:$C$433,0)),"")</f>
        <v/>
      </c>
      <c r="L289" s="292">
        <f t="array" ref="L289">IFERROR(J289*INDEX('PORTIFÓLIO'!$S$4:$S$433,MATCH($C289,'PORTIFÓLIO'!$C$4:$C$433,0)),"")</f>
        <v/>
      </c>
      <c r="M289" s="220" t="n"/>
      <c r="N289" s="220" t="n"/>
      <c r="O289" s="220" t="n"/>
      <c r="P289" s="220" t="n"/>
      <c r="Q289" s="220" t="n"/>
      <c r="R289" s="220" t="n"/>
      <c r="S289" s="220" t="n"/>
      <c r="T289" s="220" t="n"/>
      <c r="U289" s="220" t="n"/>
      <c r="V289" s="220" t="n"/>
      <c r="W289" s="220" t="n"/>
    </row>
    <row r="290" ht="15.75" customHeight="1" s="297">
      <c r="A290" s="229" t="inlineStr">
        <is>
          <t>OPERAÇÃO 4</t>
        </is>
      </c>
      <c r="B290" s="230" t="n"/>
      <c r="C290" s="231" t="n"/>
      <c r="D290" s="232" t="n"/>
      <c r="E290" s="231" t="n"/>
      <c r="F290" s="231" t="n"/>
      <c r="G290" s="233" t="n"/>
      <c r="H290" s="233" t="n"/>
      <c r="I290" s="258" t="n"/>
      <c r="J290" s="236" t="n"/>
      <c r="K290" s="237">
        <f>SUBTOTAL(9,K291:K304)</f>
        <v/>
      </c>
      <c r="L290" s="237">
        <f>SUBTOTAL(9,L291:L304)</f>
        <v/>
      </c>
      <c r="M290" s="220" t="n"/>
      <c r="N290" s="220" t="n"/>
      <c r="O290" s="220" t="n"/>
      <c r="P290" s="220" t="n"/>
      <c r="Q290" s="220" t="n"/>
      <c r="R290" s="220" t="n"/>
      <c r="S290" s="220" t="n"/>
      <c r="T290" s="220" t="n"/>
      <c r="U290" s="220" t="n"/>
      <c r="V290" s="220" t="n"/>
      <c r="W290" s="220" t="n"/>
    </row>
    <row r="291" outlineLevel="1" ht="15.75" customHeight="1" s="297">
      <c r="A291" s="213" t="n"/>
      <c r="B291" s="212" t="n"/>
      <c r="C291" s="213" t="n"/>
      <c r="D291" s="214">
        <f>IFERROR(VLOOKUP($C291,'PORTIFÓLIO'!C:V,2,0),"")</f>
        <v/>
      </c>
      <c r="E291" s="211">
        <f>IFERROR(VLOOKUP($C291,'PORTIFÓLIO'!C:V,3,0),"")</f>
        <v/>
      </c>
      <c r="F291" s="211">
        <f>IFERROR(VLOOKUP($C291,'PORTIFÓLIO'!C:V,4,0),"")</f>
        <v/>
      </c>
      <c r="G291" s="215">
        <f>IFERROR(VLOOKUP($C291,'PORTIFÓLIO'!C:V,5,0),"")</f>
        <v/>
      </c>
      <c r="H291" s="254">
        <f t="array" ref="H291">IFERROR(INDEX('PORTIFÓLIO'!$H$4:$H$433,MATCH($C291,'PORTIFÓLIO'!$C$4:$C$433,0)),"")</f>
        <v/>
      </c>
      <c r="I291" s="255" t="n"/>
      <c r="J291" s="218">
        <f>I291*$B$2</f>
        <v/>
      </c>
      <c r="K291" s="292">
        <f t="array" ref="K291">IFERROR(I291*INDEX('PORTIFÓLIO'!$S$4:$S$433,MATCH($C291,'PORTIFÓLIO'!$C$4:$C$433,0)),"")</f>
        <v/>
      </c>
      <c r="L291" s="292">
        <f t="array" ref="L291">IFERROR(J291*INDEX('PORTIFÓLIO'!$S$4:$S$433,MATCH($C291,'PORTIFÓLIO'!$C$4:$C$433,0)),"")</f>
        <v/>
      </c>
      <c r="M291" s="220" t="n"/>
      <c r="N291" s="220" t="n"/>
      <c r="O291" s="220" t="n"/>
      <c r="P291" s="220" t="n"/>
      <c r="Q291" s="220" t="n"/>
      <c r="R291" s="220" t="n"/>
      <c r="S291" s="220" t="n"/>
      <c r="T291" s="220" t="n"/>
      <c r="U291" s="220" t="n"/>
      <c r="V291" s="220" t="n"/>
      <c r="W291" s="220" t="n"/>
    </row>
    <row r="292" outlineLevel="1" ht="15.75" customHeight="1" s="297">
      <c r="A292" s="211" t="n"/>
      <c r="B292" s="212" t="n"/>
      <c r="C292" s="213" t="n"/>
      <c r="D292" s="214">
        <f>IFERROR(VLOOKUP($C292,'PORTIFÓLIO'!C:V,2,0),"")</f>
        <v/>
      </c>
      <c r="E292" s="211">
        <f>IFERROR(VLOOKUP($C292,'PORTIFÓLIO'!C:V,3,0),"")</f>
        <v/>
      </c>
      <c r="F292" s="211">
        <f>IFERROR(VLOOKUP($C292,'PORTIFÓLIO'!C:V,4,0),"")</f>
        <v/>
      </c>
      <c r="G292" s="215">
        <f>IFERROR(VLOOKUP($C292,'PORTIFÓLIO'!C:V,5,0),"")</f>
        <v/>
      </c>
      <c r="H292" s="254">
        <f t="array" ref="H292">IFERROR(INDEX('PORTIFÓLIO'!$H$4:$H$433,MATCH($C292,'PORTIFÓLIO'!$C$4:$C$433,0)),"")</f>
        <v/>
      </c>
      <c r="I292" s="256" t="n"/>
      <c r="J292" s="218">
        <f>I292*$B$2</f>
        <v/>
      </c>
      <c r="K292" s="292">
        <f t="array" ref="K292">IFERROR(I292*INDEX('PORTIFÓLIO'!$S$4:$S$433,MATCH($C292,'PORTIFÓLIO'!$C$4:$C$433,0)),"")</f>
        <v/>
      </c>
      <c r="L292" s="292">
        <f t="array" ref="L292">IFERROR(J292*INDEX('PORTIFÓLIO'!$S$4:$S$433,MATCH($C292,'PORTIFÓLIO'!$C$4:$C$433,0)),"")</f>
        <v/>
      </c>
      <c r="M292" s="220" t="n"/>
      <c r="N292" s="220" t="n"/>
      <c r="O292" s="220" t="n"/>
      <c r="P292" s="220" t="n"/>
      <c r="Q292" s="220" t="n"/>
      <c r="R292" s="220" t="n"/>
      <c r="S292" s="220" t="n"/>
      <c r="T292" s="220" t="n"/>
      <c r="U292" s="220" t="n"/>
      <c r="V292" s="220" t="n"/>
      <c r="W292" s="220" t="n"/>
    </row>
    <row r="293" outlineLevel="1" ht="15.75" customHeight="1" s="297">
      <c r="A293" s="211" t="n"/>
      <c r="B293" s="212" t="n"/>
      <c r="C293" s="213" t="n"/>
      <c r="D293" s="214">
        <f>IFERROR(VLOOKUP($C293,'PORTIFÓLIO'!C:V,2,0),"")</f>
        <v/>
      </c>
      <c r="E293" s="211">
        <f>IFERROR(VLOOKUP($C293,'PORTIFÓLIO'!C:V,3,0),"")</f>
        <v/>
      </c>
      <c r="F293" s="211">
        <f>IFERROR(VLOOKUP($C293,'PORTIFÓLIO'!C:V,4,0),"")</f>
        <v/>
      </c>
      <c r="G293" s="215">
        <f>IFERROR(VLOOKUP($C293,'PORTIFÓLIO'!C:V,5,0),"")</f>
        <v/>
      </c>
      <c r="H293" s="254">
        <f t="array" ref="H293">IFERROR(INDEX('PORTIFÓLIO'!$H$4:$H$433,MATCH($C293,'PORTIFÓLIO'!$C$4:$C$433,0)),"")</f>
        <v/>
      </c>
      <c r="I293" s="256" t="n"/>
      <c r="J293" s="218">
        <f>I293*$B$2</f>
        <v/>
      </c>
      <c r="K293" s="292">
        <f t="array" ref="K293">IFERROR(I293*INDEX('PORTIFÓLIO'!$S$4:$S$433,MATCH($C293,'PORTIFÓLIO'!$C$4:$C$433,0)),"")</f>
        <v/>
      </c>
      <c r="L293" s="292">
        <f t="array" ref="L293">IFERROR(J293*INDEX('PORTIFÓLIO'!$S$4:$S$433,MATCH($C293,'PORTIFÓLIO'!$C$4:$C$433,0)),"")</f>
        <v/>
      </c>
      <c r="M293" s="220" t="n"/>
      <c r="N293" s="220" t="n"/>
      <c r="O293" s="220" t="n"/>
      <c r="P293" s="220" t="n"/>
      <c r="Q293" s="220" t="n"/>
      <c r="R293" s="220" t="n"/>
      <c r="S293" s="220" t="n"/>
      <c r="T293" s="220" t="n"/>
      <c r="U293" s="220" t="n"/>
      <c r="V293" s="220" t="n"/>
      <c r="W293" s="220" t="n"/>
    </row>
    <row r="294" outlineLevel="1" ht="15.75" customHeight="1" s="297">
      <c r="A294" s="211" t="n"/>
      <c r="B294" s="212" t="n"/>
      <c r="C294" s="213" t="n"/>
      <c r="D294" s="214">
        <f>IFERROR(VLOOKUP($C294,'PORTIFÓLIO'!C:V,2,0),"")</f>
        <v/>
      </c>
      <c r="E294" s="211">
        <f>IFERROR(VLOOKUP($C294,'PORTIFÓLIO'!C:V,3,0),"")</f>
        <v/>
      </c>
      <c r="F294" s="211">
        <f>IFERROR(VLOOKUP($C294,'PORTIFÓLIO'!C:V,4,0),"")</f>
        <v/>
      </c>
      <c r="G294" s="215">
        <f>IFERROR(VLOOKUP($C294,'PORTIFÓLIO'!C:V,5,0),"")</f>
        <v/>
      </c>
      <c r="H294" s="254">
        <f t="array" ref="H294">IFERROR(INDEX('PORTIFÓLIO'!$H$4:$H$433,MATCH($C294,'PORTIFÓLIO'!$C$4:$C$433,0)),"")</f>
        <v/>
      </c>
      <c r="I294" s="256" t="n"/>
      <c r="J294" s="218">
        <f>I294*$B$2</f>
        <v/>
      </c>
      <c r="K294" s="292">
        <f t="array" ref="K294">IFERROR(I294*INDEX('PORTIFÓLIO'!$S$4:$S$433,MATCH($C294,'PORTIFÓLIO'!$C$4:$C$433,0)),"")</f>
        <v/>
      </c>
      <c r="L294" s="292">
        <f t="array" ref="L294">IFERROR(J294*INDEX('PORTIFÓLIO'!$S$4:$S$433,MATCH($C294,'PORTIFÓLIO'!$C$4:$C$433,0)),"")</f>
        <v/>
      </c>
      <c r="M294" s="220" t="n"/>
      <c r="N294" s="220" t="n"/>
      <c r="O294" s="220" t="n"/>
      <c r="P294" s="220" t="n"/>
      <c r="Q294" s="220" t="n"/>
      <c r="R294" s="220" t="n"/>
      <c r="S294" s="220" t="n"/>
      <c r="T294" s="220" t="n"/>
      <c r="U294" s="220" t="n"/>
      <c r="V294" s="220" t="n"/>
      <c r="W294" s="220" t="n"/>
    </row>
    <row r="295" outlineLevel="1" ht="15.75" customHeight="1" s="297">
      <c r="A295" s="211" t="n"/>
      <c r="B295" s="212" t="n"/>
      <c r="C295" s="213" t="n"/>
      <c r="D295" s="214">
        <f>IFERROR(VLOOKUP($C295,'PORTIFÓLIO'!C:V,2,0),"")</f>
        <v/>
      </c>
      <c r="E295" s="211">
        <f>IFERROR(VLOOKUP($C295,'PORTIFÓLIO'!C:V,3,0),"")</f>
        <v/>
      </c>
      <c r="F295" s="211">
        <f>IFERROR(VLOOKUP($C295,'PORTIFÓLIO'!C:V,4,0),"")</f>
        <v/>
      </c>
      <c r="G295" s="215">
        <f>IFERROR(VLOOKUP($C295,'PORTIFÓLIO'!C:V,5,0),"")</f>
        <v/>
      </c>
      <c r="H295" s="254">
        <f t="array" ref="H295">IFERROR(INDEX('PORTIFÓLIO'!$H$4:$H$433,MATCH($C295,'PORTIFÓLIO'!$C$4:$C$433,0)),"")</f>
        <v/>
      </c>
      <c r="I295" s="256" t="n"/>
      <c r="J295" s="218">
        <f>I295*$B$2</f>
        <v/>
      </c>
      <c r="K295" s="292">
        <f t="array" ref="K295">IFERROR(I295*INDEX('PORTIFÓLIO'!$S$4:$S$433,MATCH($C295,'PORTIFÓLIO'!$C$4:$C$433,0)),"")</f>
        <v/>
      </c>
      <c r="L295" s="292">
        <f t="array" ref="L295">IFERROR(J295*INDEX('PORTIFÓLIO'!$S$4:$S$433,MATCH($C295,'PORTIFÓLIO'!$C$4:$C$433,0)),"")</f>
        <v/>
      </c>
      <c r="M295" s="220" t="n"/>
      <c r="N295" s="220" t="n"/>
      <c r="O295" s="220" t="n"/>
      <c r="P295" s="220" t="n"/>
      <c r="Q295" s="220" t="n"/>
      <c r="R295" s="220" t="n"/>
      <c r="S295" s="220" t="n"/>
      <c r="T295" s="220" t="n"/>
      <c r="U295" s="220" t="n"/>
      <c r="V295" s="220" t="n"/>
      <c r="W295" s="220" t="n"/>
    </row>
    <row r="296" outlineLevel="1" ht="15.75" customHeight="1" s="297">
      <c r="A296" s="211" t="n"/>
      <c r="B296" s="212" t="n"/>
      <c r="C296" s="213" t="n"/>
      <c r="D296" s="214">
        <f>IFERROR(VLOOKUP($C296,'PORTIFÓLIO'!C:V,2,0),"")</f>
        <v/>
      </c>
      <c r="E296" s="211">
        <f>IFERROR(VLOOKUP($C296,'PORTIFÓLIO'!C:V,3,0),"")</f>
        <v/>
      </c>
      <c r="F296" s="211">
        <f>IFERROR(VLOOKUP($C296,'PORTIFÓLIO'!C:V,4,0),"")</f>
        <v/>
      </c>
      <c r="G296" s="215">
        <f>IFERROR(VLOOKUP($C296,'PORTIFÓLIO'!C:V,5,0),"")</f>
        <v/>
      </c>
      <c r="H296" s="254">
        <f t="array" ref="H296">IFERROR(INDEX('PORTIFÓLIO'!$H$4:$H$433,MATCH($C296,'PORTIFÓLIO'!$C$4:$C$433,0)),"")</f>
        <v/>
      </c>
      <c r="I296" s="256" t="n"/>
      <c r="J296" s="218">
        <f>I296*$B$2</f>
        <v/>
      </c>
      <c r="K296" s="292">
        <f t="array" ref="K296">IFERROR(I296*INDEX('PORTIFÓLIO'!$S$4:$S$433,MATCH($C296,'PORTIFÓLIO'!$C$4:$C$433,0)),"")</f>
        <v/>
      </c>
      <c r="L296" s="292">
        <f t="array" ref="L296">IFERROR(J296*INDEX('PORTIFÓLIO'!$S$4:$S$433,MATCH($C296,'PORTIFÓLIO'!$C$4:$C$433,0)),"")</f>
        <v/>
      </c>
      <c r="M296" s="220" t="n"/>
      <c r="N296" s="220" t="n"/>
      <c r="O296" s="220" t="n"/>
      <c r="P296" s="220" t="n"/>
      <c r="Q296" s="220" t="n"/>
      <c r="R296" s="220" t="n"/>
      <c r="S296" s="220" t="n"/>
      <c r="T296" s="220" t="n"/>
      <c r="U296" s="220" t="n"/>
      <c r="V296" s="220" t="n"/>
      <c r="W296" s="220" t="n"/>
    </row>
    <row r="297" outlineLevel="1" ht="15.75" customHeight="1" s="297">
      <c r="A297" s="211" t="n"/>
      <c r="B297" s="212" t="n"/>
      <c r="C297" s="213" t="n"/>
      <c r="D297" s="214">
        <f>IFERROR(VLOOKUP($C297,'PORTIFÓLIO'!C:V,2,0),"")</f>
        <v/>
      </c>
      <c r="E297" s="211">
        <f>IFERROR(VLOOKUP($C297,'PORTIFÓLIO'!C:V,3,0),"")</f>
        <v/>
      </c>
      <c r="F297" s="211">
        <f>IFERROR(VLOOKUP($C297,'PORTIFÓLIO'!C:V,4,0),"")</f>
        <v/>
      </c>
      <c r="G297" s="215">
        <f>IFERROR(VLOOKUP($C297,'PORTIFÓLIO'!C:V,5,0),"")</f>
        <v/>
      </c>
      <c r="H297" s="254">
        <f t="array" ref="H297">IFERROR(INDEX('PORTIFÓLIO'!$H$4:$H$433,MATCH($C297,'PORTIFÓLIO'!$C$4:$C$433,0)),"")</f>
        <v/>
      </c>
      <c r="I297" s="256" t="n"/>
      <c r="J297" s="218">
        <f>I297*$B$2</f>
        <v/>
      </c>
      <c r="K297" s="292">
        <f t="array" ref="K297">IFERROR(I297*INDEX('PORTIFÓLIO'!$S$4:$S$433,MATCH($C297,'PORTIFÓLIO'!$C$4:$C$433,0)),"")</f>
        <v/>
      </c>
      <c r="L297" s="292">
        <f t="array" ref="L297">IFERROR(J297*INDEX('PORTIFÓLIO'!$S$4:$S$433,MATCH($C297,'PORTIFÓLIO'!$C$4:$C$433,0)),"")</f>
        <v/>
      </c>
      <c r="M297" s="220" t="n"/>
      <c r="N297" s="220" t="n"/>
      <c r="O297" s="220" t="n"/>
      <c r="P297" s="220" t="n"/>
      <c r="Q297" s="220" t="n"/>
      <c r="R297" s="220" t="n"/>
      <c r="S297" s="220" t="n"/>
      <c r="T297" s="220" t="n"/>
      <c r="U297" s="220" t="n"/>
      <c r="V297" s="220" t="n"/>
      <c r="W297" s="220" t="n"/>
    </row>
    <row r="298" outlineLevel="1" ht="15.75" customHeight="1" s="297">
      <c r="A298" s="211" t="n"/>
      <c r="B298" s="212" t="n"/>
      <c r="C298" s="213" t="n"/>
      <c r="D298" s="214">
        <f>IFERROR(VLOOKUP($C298,'PORTIFÓLIO'!C:V,2,0),"")</f>
        <v/>
      </c>
      <c r="E298" s="211">
        <f>IFERROR(VLOOKUP($C298,'PORTIFÓLIO'!C:V,3,0),"")</f>
        <v/>
      </c>
      <c r="F298" s="211">
        <f>IFERROR(VLOOKUP($C298,'PORTIFÓLIO'!C:V,4,0),"")</f>
        <v/>
      </c>
      <c r="G298" s="215">
        <f>IFERROR(VLOOKUP($C298,'PORTIFÓLIO'!C:V,5,0),"")</f>
        <v/>
      </c>
      <c r="H298" s="254">
        <f t="array" ref="H298">IFERROR(INDEX('PORTIFÓLIO'!$H$4:$H$433,MATCH($C298,'PORTIFÓLIO'!$C$4:$C$433,0)),"")</f>
        <v/>
      </c>
      <c r="I298" s="256" t="n"/>
      <c r="J298" s="218">
        <f>I298*$B$2</f>
        <v/>
      </c>
      <c r="K298" s="292">
        <f t="array" ref="K298">IFERROR(I298*INDEX('PORTIFÓLIO'!$S$4:$S$433,MATCH($C298,'PORTIFÓLIO'!$C$4:$C$433,0)),"")</f>
        <v/>
      </c>
      <c r="L298" s="292">
        <f t="array" ref="L298">IFERROR(J298*INDEX('PORTIFÓLIO'!$S$4:$S$433,MATCH($C298,'PORTIFÓLIO'!$C$4:$C$433,0)),"")</f>
        <v/>
      </c>
      <c r="M298" s="220" t="n"/>
      <c r="N298" s="220" t="n"/>
      <c r="O298" s="220" t="n"/>
      <c r="P298" s="220" t="n"/>
      <c r="Q298" s="220" t="n"/>
      <c r="R298" s="220" t="n"/>
      <c r="S298" s="220" t="n"/>
      <c r="T298" s="220" t="n"/>
      <c r="U298" s="220" t="n"/>
      <c r="V298" s="220" t="n"/>
      <c r="W298" s="220" t="n"/>
    </row>
    <row r="299" outlineLevel="1" ht="15.75" customHeight="1" s="297">
      <c r="A299" s="211" t="n"/>
      <c r="B299" s="212" t="n"/>
      <c r="C299" s="213" t="n"/>
      <c r="D299" s="214">
        <f>IFERROR(VLOOKUP($C299,'PORTIFÓLIO'!C:V,2,0),"")</f>
        <v/>
      </c>
      <c r="E299" s="211">
        <f>IFERROR(VLOOKUP($C299,'PORTIFÓLIO'!C:V,3,0),"")</f>
        <v/>
      </c>
      <c r="F299" s="211">
        <f>IFERROR(VLOOKUP($C299,'PORTIFÓLIO'!C:V,4,0),"")</f>
        <v/>
      </c>
      <c r="G299" s="215">
        <f>IFERROR(VLOOKUP($C299,'PORTIFÓLIO'!C:V,5,0),"")</f>
        <v/>
      </c>
      <c r="H299" s="254">
        <f t="array" ref="H299">IFERROR(INDEX('PORTIFÓLIO'!$H$4:$H$433,MATCH($C299,'PORTIFÓLIO'!$C$4:$C$433,0)),"")</f>
        <v/>
      </c>
      <c r="I299" s="255" t="n"/>
      <c r="J299" s="218">
        <f>I299*$B$2</f>
        <v/>
      </c>
      <c r="K299" s="292">
        <f t="array" ref="K299">IFERROR(I299*INDEX('PORTIFÓLIO'!$S$4:$S$433,MATCH($C299,'PORTIFÓLIO'!$C$4:$C$433,0)),"")</f>
        <v/>
      </c>
      <c r="L299" s="292">
        <f t="array" ref="L299">IFERROR(J299*INDEX('PORTIFÓLIO'!$S$4:$S$433,MATCH($C299,'PORTIFÓLIO'!$C$4:$C$433,0)),"")</f>
        <v/>
      </c>
      <c r="M299" s="220" t="n"/>
      <c r="N299" s="220" t="n"/>
      <c r="O299" s="220" t="n"/>
      <c r="P299" s="220" t="n"/>
      <c r="Q299" s="220" t="n"/>
      <c r="R299" s="220" t="n"/>
      <c r="S299" s="220" t="n"/>
      <c r="T299" s="220" t="n"/>
      <c r="U299" s="220" t="n"/>
      <c r="V299" s="220" t="n"/>
      <c r="W299" s="220" t="n"/>
    </row>
    <row r="300" outlineLevel="1" ht="15.75" customHeight="1" s="297">
      <c r="A300" s="211" t="n"/>
      <c r="B300" s="212" t="n"/>
      <c r="C300" s="213" t="n"/>
      <c r="D300" s="214">
        <f>IFERROR(VLOOKUP($C300,'PORTIFÓLIO'!C:V,2,0),"")</f>
        <v/>
      </c>
      <c r="E300" s="211">
        <f>IFERROR(VLOOKUP($C300,'PORTIFÓLIO'!C:V,3,0),"")</f>
        <v/>
      </c>
      <c r="F300" s="211">
        <f>IFERROR(VLOOKUP($C300,'PORTIFÓLIO'!C:V,4,0),"")</f>
        <v/>
      </c>
      <c r="G300" s="215">
        <f>IFERROR(VLOOKUP($C300,'PORTIFÓLIO'!C:V,5,0),"")</f>
        <v/>
      </c>
      <c r="H300" s="254">
        <f t="array" ref="H300">IFERROR(INDEX('PORTIFÓLIO'!$H$4:$H$433,MATCH($C300,'PORTIFÓLIO'!$C$4:$C$433,0)),"")</f>
        <v/>
      </c>
      <c r="I300" s="256" t="n"/>
      <c r="J300" s="218">
        <f>I300*$B$2</f>
        <v/>
      </c>
      <c r="K300" s="292">
        <f t="array" ref="K300">IFERROR(I300*INDEX('PORTIFÓLIO'!$S$4:$S$433,MATCH($C300,'PORTIFÓLIO'!$C$4:$C$433,0)),"")</f>
        <v/>
      </c>
      <c r="L300" s="292">
        <f t="array" ref="L300">IFERROR(J300*INDEX('PORTIFÓLIO'!$S$4:$S$433,MATCH($C300,'PORTIFÓLIO'!$C$4:$C$433,0)),"")</f>
        <v/>
      </c>
      <c r="M300" s="220" t="n"/>
      <c r="N300" s="220" t="n"/>
      <c r="O300" s="220" t="n"/>
      <c r="P300" s="220" t="n"/>
      <c r="Q300" s="220" t="n"/>
      <c r="R300" s="220" t="n"/>
      <c r="S300" s="220" t="n"/>
      <c r="T300" s="220" t="n"/>
      <c r="U300" s="220" t="n"/>
      <c r="V300" s="220" t="n"/>
      <c r="W300" s="220" t="n"/>
    </row>
    <row r="301" outlineLevel="1" ht="15.75" customHeight="1" s="297">
      <c r="A301" s="211" t="n"/>
      <c r="B301" s="212" t="n"/>
      <c r="C301" s="213" t="n"/>
      <c r="D301" s="214">
        <f>IFERROR(VLOOKUP($C301,'PORTIFÓLIO'!C:V,2,0),"")</f>
        <v/>
      </c>
      <c r="E301" s="211">
        <f>IFERROR(VLOOKUP($C301,'PORTIFÓLIO'!C:V,3,0),"")</f>
        <v/>
      </c>
      <c r="F301" s="211">
        <f>IFERROR(VLOOKUP($C301,'PORTIFÓLIO'!C:V,4,0),"")</f>
        <v/>
      </c>
      <c r="G301" s="215">
        <f>IFERROR(VLOOKUP($C301,'PORTIFÓLIO'!C:V,5,0),"")</f>
        <v/>
      </c>
      <c r="H301" s="254">
        <f t="array" ref="H301">IFERROR(INDEX('PORTIFÓLIO'!$H$4:$H$433,MATCH($C301,'PORTIFÓLIO'!$C$4:$C$433,0)),"")</f>
        <v/>
      </c>
      <c r="I301" s="256" t="n"/>
      <c r="J301" s="218">
        <f>I301*$B$2</f>
        <v/>
      </c>
      <c r="K301" s="292">
        <f t="array" ref="K301">IFERROR(I301*INDEX('PORTIFÓLIO'!$S$4:$S$433,MATCH($C301,'PORTIFÓLIO'!$C$4:$C$433,0)),"")</f>
        <v/>
      </c>
      <c r="L301" s="292">
        <f t="array" ref="L301">IFERROR(J301*INDEX('PORTIFÓLIO'!$S$4:$S$433,MATCH($C301,'PORTIFÓLIO'!$C$4:$C$433,0)),"")</f>
        <v/>
      </c>
      <c r="M301" s="220" t="n"/>
      <c r="N301" s="220" t="n"/>
      <c r="O301" s="220" t="n"/>
      <c r="P301" s="220" t="n"/>
      <c r="Q301" s="220" t="n"/>
      <c r="R301" s="220" t="n"/>
      <c r="S301" s="220" t="n"/>
      <c r="T301" s="220" t="n"/>
      <c r="U301" s="220" t="n"/>
      <c r="V301" s="220" t="n"/>
      <c r="W301" s="220" t="n"/>
    </row>
    <row r="302" outlineLevel="1" ht="15.75" customHeight="1" s="297">
      <c r="A302" s="211" t="n"/>
      <c r="B302" s="212" t="n"/>
      <c r="C302" s="213" t="n"/>
      <c r="D302" s="214">
        <f>IFERROR(VLOOKUP($C302,'PORTIFÓLIO'!C:V,2,0),"")</f>
        <v/>
      </c>
      <c r="E302" s="211">
        <f>IFERROR(VLOOKUP($C302,'PORTIFÓLIO'!C:V,3,0),"")</f>
        <v/>
      </c>
      <c r="F302" s="211">
        <f>IFERROR(VLOOKUP($C302,'PORTIFÓLIO'!C:V,4,0),"")</f>
        <v/>
      </c>
      <c r="G302" s="215">
        <f>IFERROR(VLOOKUP($C302,'PORTIFÓLIO'!C:V,5,0),"")</f>
        <v/>
      </c>
      <c r="H302" s="254">
        <f t="array" ref="H302">IFERROR(INDEX('PORTIFÓLIO'!$H$4:$H$433,MATCH($C302,'PORTIFÓLIO'!$C$4:$C$433,0)),"")</f>
        <v/>
      </c>
      <c r="I302" s="256" t="n"/>
      <c r="J302" s="218">
        <f>I302*$B$2</f>
        <v/>
      </c>
      <c r="K302" s="292">
        <f t="array" ref="K302">IFERROR(I302*INDEX('PORTIFÓLIO'!$S$4:$S$433,MATCH($C302,'PORTIFÓLIO'!$C$4:$C$433,0)),"")</f>
        <v/>
      </c>
      <c r="L302" s="292">
        <f t="array" ref="L302">IFERROR(J302*INDEX('PORTIFÓLIO'!$S$4:$S$433,MATCH($C302,'PORTIFÓLIO'!$C$4:$C$433,0)),"")</f>
        <v/>
      </c>
      <c r="M302" s="220" t="n"/>
      <c r="N302" s="220" t="n"/>
      <c r="O302" s="220" t="n"/>
      <c r="P302" s="220" t="n"/>
      <c r="Q302" s="220" t="n"/>
      <c r="R302" s="220" t="n"/>
      <c r="S302" s="220" t="n"/>
      <c r="T302" s="220" t="n"/>
      <c r="U302" s="220" t="n"/>
      <c r="V302" s="220" t="n"/>
      <c r="W302" s="220" t="n"/>
    </row>
    <row r="303" outlineLevel="1" ht="15.75" customHeight="1" s="297">
      <c r="A303" s="211" t="n"/>
      <c r="B303" s="212" t="n"/>
      <c r="C303" s="213" t="n"/>
      <c r="D303" s="214">
        <f>IFERROR(VLOOKUP($C303,'PORTIFÓLIO'!C:V,2,0),"")</f>
        <v/>
      </c>
      <c r="E303" s="211">
        <f>IFERROR(VLOOKUP($C303,'PORTIFÓLIO'!C:V,3,0),"")</f>
        <v/>
      </c>
      <c r="F303" s="211">
        <f>IFERROR(VLOOKUP($C303,'PORTIFÓLIO'!C:V,4,0),"")</f>
        <v/>
      </c>
      <c r="G303" s="215">
        <f>IFERROR(VLOOKUP($C303,'PORTIFÓLIO'!C:V,5,0),"")</f>
        <v/>
      </c>
      <c r="H303" s="254">
        <f t="array" ref="H303">IFERROR(INDEX('PORTIFÓLIO'!$H$4:$H$433,MATCH($C303,'PORTIFÓLIO'!$C$4:$C$433,0)),"")</f>
        <v/>
      </c>
      <c r="I303" s="256" t="n"/>
      <c r="J303" s="218">
        <f>I303*$B$2</f>
        <v/>
      </c>
      <c r="K303" s="292">
        <f t="array" ref="K303">IFERROR(I303*INDEX('PORTIFÓLIO'!$S$4:$S$433,MATCH($C303,'PORTIFÓLIO'!$C$4:$C$433,0)),"")</f>
        <v/>
      </c>
      <c r="L303" s="292">
        <f t="array" ref="L303">IFERROR(J303*INDEX('PORTIFÓLIO'!$S$4:$S$433,MATCH($C303,'PORTIFÓLIO'!$C$4:$C$433,0)),"")</f>
        <v/>
      </c>
      <c r="M303" s="220" t="n"/>
      <c r="N303" s="220" t="n"/>
      <c r="O303" s="220" t="n"/>
      <c r="P303" s="220" t="n"/>
      <c r="Q303" s="220" t="n"/>
      <c r="R303" s="220" t="n"/>
      <c r="S303" s="220" t="n"/>
      <c r="T303" s="220" t="n"/>
      <c r="U303" s="220" t="n"/>
      <c r="V303" s="220" t="n"/>
      <c r="W303" s="220" t="n"/>
    </row>
    <row r="304" outlineLevel="1" ht="15.75" customHeight="1" s="297">
      <c r="A304" s="211" t="n"/>
      <c r="B304" s="212" t="n"/>
      <c r="C304" s="213" t="n"/>
      <c r="D304" s="214">
        <f>IFERROR(VLOOKUP($C304,'PORTIFÓLIO'!C:V,2,0),"")</f>
        <v/>
      </c>
      <c r="E304" s="211">
        <f>IFERROR(VLOOKUP($C304,'PORTIFÓLIO'!C:V,3,0),"")</f>
        <v/>
      </c>
      <c r="F304" s="211">
        <f>IFERROR(VLOOKUP($C304,'PORTIFÓLIO'!C:V,4,0),"")</f>
        <v/>
      </c>
      <c r="G304" s="215">
        <f>IFERROR(VLOOKUP($C304,'PORTIFÓLIO'!C:V,5,0),"")</f>
        <v/>
      </c>
      <c r="H304" s="254">
        <f t="array" ref="H304">IFERROR(INDEX('PORTIFÓLIO'!$H$4:$H$433,MATCH($C304,'PORTIFÓLIO'!$C$4:$C$433,0)),"")</f>
        <v/>
      </c>
      <c r="I304" s="256" t="n"/>
      <c r="J304" s="218">
        <f>I304*$B$2</f>
        <v/>
      </c>
      <c r="K304" s="292">
        <f t="array" ref="K304">IFERROR(I304*INDEX('PORTIFÓLIO'!$S$4:$S$433,MATCH($C304,'PORTIFÓLIO'!$C$4:$C$433,0)),"")</f>
        <v/>
      </c>
      <c r="L304" s="292">
        <f t="array" ref="L304">IFERROR(J304*INDEX('PORTIFÓLIO'!$S$4:$S$433,MATCH($C304,'PORTIFÓLIO'!$C$4:$C$433,0)),"")</f>
        <v/>
      </c>
      <c r="M304" s="220" t="n"/>
      <c r="N304" s="220" t="n"/>
      <c r="O304" s="220" t="n"/>
      <c r="P304" s="220" t="n"/>
      <c r="Q304" s="220" t="n"/>
      <c r="R304" s="220" t="n"/>
      <c r="S304" s="220" t="n"/>
      <c r="T304" s="220" t="n"/>
      <c r="U304" s="220" t="n"/>
      <c r="V304" s="220" t="n"/>
      <c r="W304" s="220" t="n"/>
    </row>
    <row r="305" outlineLevel="1" ht="15.75" customHeight="1" s="297">
      <c r="A305" s="211" t="n"/>
      <c r="B305" s="212" t="n"/>
      <c r="C305" s="213" t="n"/>
      <c r="D305" s="214">
        <f>IFERROR(VLOOKUP($C305,'PORTIFÓLIO'!C:V,2,0),"")</f>
        <v/>
      </c>
      <c r="E305" s="211">
        <f>IFERROR(VLOOKUP($C305,'PORTIFÓLIO'!C:V,3,0),"")</f>
        <v/>
      </c>
      <c r="F305" s="211">
        <f>IFERROR(VLOOKUP($C305,'PORTIFÓLIO'!C:V,4,0),"")</f>
        <v/>
      </c>
      <c r="G305" s="215">
        <f>IFERROR(VLOOKUP($C305,'PORTIFÓLIO'!C:V,5,0),"")</f>
        <v/>
      </c>
      <c r="H305" s="254">
        <f t="array" ref="H305">IFERROR(INDEX('PORTIFÓLIO'!$H$4:$H$433,MATCH($C305,'PORTIFÓLIO'!$C$4:$C$433,0)),"")</f>
        <v/>
      </c>
      <c r="I305" s="256" t="n"/>
      <c r="J305" s="218">
        <f>I305*$B$2</f>
        <v/>
      </c>
      <c r="K305" s="292">
        <f t="array" ref="K305">IFERROR(I305*INDEX('PORTIFÓLIO'!$S$4:$S$433,MATCH($C305,'PORTIFÓLIO'!$C$4:$C$433,0)),"")</f>
        <v/>
      </c>
      <c r="L305" s="292">
        <f t="array" ref="L305">IFERROR(J305*INDEX('PORTIFÓLIO'!$S$4:$S$433,MATCH($C305,'PORTIFÓLIO'!$C$4:$C$433,0)),"")</f>
        <v/>
      </c>
      <c r="M305" s="220" t="n"/>
      <c r="N305" s="220" t="n"/>
      <c r="O305" s="220" t="n"/>
      <c r="P305" s="220" t="n"/>
      <c r="Q305" s="220" t="n"/>
      <c r="R305" s="220" t="n"/>
      <c r="S305" s="220" t="n"/>
      <c r="T305" s="220" t="n"/>
      <c r="U305" s="220" t="n"/>
      <c r="V305" s="220" t="n"/>
      <c r="W305" s="220" t="n"/>
    </row>
    <row r="306" outlineLevel="1" ht="15.75" customHeight="1" s="297">
      <c r="A306" s="211" t="n"/>
      <c r="B306" s="212" t="n"/>
      <c r="C306" s="213" t="n"/>
      <c r="D306" s="214">
        <f>IFERROR(VLOOKUP($C306,'PORTIFÓLIO'!C:V,2,0),"")</f>
        <v/>
      </c>
      <c r="E306" s="211">
        <f>IFERROR(VLOOKUP($C306,'PORTIFÓLIO'!C:V,3,0),"")</f>
        <v/>
      </c>
      <c r="F306" s="211">
        <f>IFERROR(VLOOKUP($C306,'PORTIFÓLIO'!C:V,4,0),"")</f>
        <v/>
      </c>
      <c r="G306" s="215">
        <f>IFERROR(VLOOKUP($C306,'PORTIFÓLIO'!C:V,5,0),"")</f>
        <v/>
      </c>
      <c r="H306" s="254">
        <f t="array" ref="H306">IFERROR(INDEX('PORTIFÓLIO'!$H$4:$H$433,MATCH($C306,'PORTIFÓLIO'!$C$4:$C$433,0)),"")</f>
        <v/>
      </c>
      <c r="I306" s="256" t="n"/>
      <c r="J306" s="218">
        <f>I306*$B$2</f>
        <v/>
      </c>
      <c r="K306" s="292">
        <f t="array" ref="K306">IFERROR(I306*INDEX('PORTIFÓLIO'!$S$4:$S$433,MATCH($C306,'PORTIFÓLIO'!$C$4:$C$433,0)),"")</f>
        <v/>
      </c>
      <c r="L306" s="292">
        <f t="array" ref="L306">IFERROR(J306*INDEX('PORTIFÓLIO'!$S$4:$S$433,MATCH($C306,'PORTIFÓLIO'!$C$4:$C$433,0)),"")</f>
        <v/>
      </c>
      <c r="M306" s="220" t="n"/>
      <c r="N306" s="220" t="n"/>
      <c r="O306" s="220" t="n"/>
      <c r="P306" s="220" t="n"/>
      <c r="Q306" s="220" t="n"/>
      <c r="R306" s="220" t="n"/>
      <c r="S306" s="220" t="n"/>
      <c r="T306" s="220" t="n"/>
      <c r="U306" s="220" t="n"/>
      <c r="V306" s="220" t="n"/>
      <c r="W306" s="220" t="n"/>
    </row>
    <row r="307" outlineLevel="1" ht="15.75" customHeight="1" s="297">
      <c r="A307" s="211" t="n"/>
      <c r="B307" s="212" t="n"/>
      <c r="C307" s="213" t="n"/>
      <c r="D307" s="214">
        <f>IFERROR(VLOOKUP($C307,'PORTIFÓLIO'!C:V,2,0),"")</f>
        <v/>
      </c>
      <c r="E307" s="211">
        <f>IFERROR(VLOOKUP($C307,'PORTIFÓLIO'!C:V,3,0),"")</f>
        <v/>
      </c>
      <c r="F307" s="211">
        <f>IFERROR(VLOOKUP($C307,'PORTIFÓLIO'!C:V,4,0),"")</f>
        <v/>
      </c>
      <c r="G307" s="215">
        <f>IFERROR(VLOOKUP($C307,'PORTIFÓLIO'!C:V,5,0),"")</f>
        <v/>
      </c>
      <c r="H307" s="254">
        <f t="array" ref="H307">IFERROR(INDEX('PORTIFÓLIO'!$H$4:$H$433,MATCH($C307,'PORTIFÓLIO'!$C$4:$C$433,0)),"")</f>
        <v/>
      </c>
      <c r="I307" s="256" t="n"/>
      <c r="J307" s="218">
        <f>I307*$B$2</f>
        <v/>
      </c>
      <c r="K307" s="292">
        <f t="array" ref="K307">IFERROR(I307*INDEX('PORTIFÓLIO'!$S$4:$S$433,MATCH($C307,'PORTIFÓLIO'!$C$4:$C$433,0)),"")</f>
        <v/>
      </c>
      <c r="L307" s="292">
        <f t="array" ref="L307">IFERROR(J307*INDEX('PORTIFÓLIO'!$S$4:$S$433,MATCH($C307,'PORTIFÓLIO'!$C$4:$C$433,0)),"")</f>
        <v/>
      </c>
      <c r="M307" s="220" t="n"/>
      <c r="N307" s="220" t="n"/>
      <c r="O307" s="220" t="n"/>
      <c r="P307" s="220" t="n"/>
      <c r="Q307" s="220" t="n"/>
      <c r="R307" s="220" t="n"/>
      <c r="S307" s="220" t="n"/>
      <c r="T307" s="220" t="n"/>
      <c r="U307" s="220" t="n"/>
      <c r="V307" s="220" t="n"/>
      <c r="W307" s="220" t="n"/>
    </row>
    <row r="308" ht="15.75" customHeight="1" s="297">
      <c r="A308" s="229" t="inlineStr">
        <is>
          <t>OPERAÇÃO 5</t>
        </is>
      </c>
      <c r="B308" s="230" t="n"/>
      <c r="C308" s="231" t="n"/>
      <c r="D308" s="232" t="n"/>
      <c r="E308" s="231" t="n"/>
      <c r="F308" s="231" t="n"/>
      <c r="G308" s="233" t="n"/>
      <c r="H308" s="233" t="n"/>
      <c r="I308" s="258" t="n"/>
      <c r="J308" s="236" t="n"/>
      <c r="K308" s="237">
        <f>SUBTOTAL(9,K309:K322)</f>
        <v/>
      </c>
      <c r="L308" s="237">
        <f>SUBTOTAL(9,L309:L322)</f>
        <v/>
      </c>
      <c r="M308" s="220" t="n"/>
      <c r="N308" s="220" t="n"/>
      <c r="O308" s="220" t="n"/>
      <c r="P308" s="220" t="n"/>
      <c r="Q308" s="220" t="n"/>
      <c r="R308" s="220" t="n"/>
      <c r="S308" s="220" t="n"/>
      <c r="T308" s="220" t="n"/>
      <c r="U308" s="220" t="n"/>
      <c r="V308" s="220" t="n"/>
      <c r="W308" s="220" t="n"/>
    </row>
    <row r="309" outlineLevel="1" ht="15.75" customHeight="1" s="297">
      <c r="A309" s="213" t="n"/>
      <c r="B309" s="212" t="n"/>
      <c r="C309" s="213" t="n"/>
      <c r="D309" s="214">
        <f>IFERROR(VLOOKUP($C309,'PORTIFÓLIO'!C:V,2,0),"")</f>
        <v/>
      </c>
      <c r="E309" s="211">
        <f>IFERROR(VLOOKUP($C309,'PORTIFÓLIO'!C:V,3,0),"")</f>
        <v/>
      </c>
      <c r="F309" s="211">
        <f>IFERROR(VLOOKUP($C309,'PORTIFÓLIO'!C:V,4,0),"")</f>
        <v/>
      </c>
      <c r="G309" s="215">
        <f>IFERROR(VLOOKUP($C309,'PORTIFÓLIO'!C:V,5,0),"")</f>
        <v/>
      </c>
      <c r="H309" s="254">
        <f t="array" ref="H309">IFERROR(INDEX('PORTIFÓLIO'!$H$4:$H$433,MATCH($C309,'PORTIFÓLIO'!$C$4:$C$433,0)),"")</f>
        <v/>
      </c>
      <c r="I309" s="255" t="n"/>
      <c r="J309" s="218">
        <f>I309*$B$2</f>
        <v/>
      </c>
      <c r="K309" s="292">
        <f t="array" ref="K309">IFERROR(I309*INDEX('PORTIFÓLIO'!$S$4:$S$433,MATCH($C309,'PORTIFÓLIO'!$C$4:$C$433,0)),"")</f>
        <v/>
      </c>
      <c r="L309" s="292">
        <f t="array" ref="L309">IFERROR(J309*INDEX('PORTIFÓLIO'!$S$4:$S$433,MATCH($C309,'PORTIFÓLIO'!$C$4:$C$433,0)),"")</f>
        <v/>
      </c>
      <c r="M309" s="220" t="n"/>
      <c r="N309" s="220" t="n"/>
      <c r="O309" s="220" t="n"/>
      <c r="P309" s="220" t="n"/>
      <c r="Q309" s="220" t="n"/>
      <c r="R309" s="220" t="n"/>
      <c r="S309" s="220" t="n"/>
      <c r="T309" s="220" t="n"/>
      <c r="U309" s="220" t="n"/>
      <c r="V309" s="220" t="n"/>
      <c r="W309" s="220" t="n"/>
    </row>
    <row r="310" outlineLevel="1" ht="15.75" customHeight="1" s="297">
      <c r="A310" s="211" t="n"/>
      <c r="B310" s="212" t="n"/>
      <c r="C310" s="213" t="n"/>
      <c r="D310" s="214">
        <f>IFERROR(VLOOKUP($C310,'PORTIFÓLIO'!C:V,2,0),"")</f>
        <v/>
      </c>
      <c r="E310" s="211">
        <f>IFERROR(VLOOKUP($C310,'PORTIFÓLIO'!C:V,3,0),"")</f>
        <v/>
      </c>
      <c r="F310" s="211">
        <f>IFERROR(VLOOKUP($C310,'PORTIFÓLIO'!C:V,4,0),"")</f>
        <v/>
      </c>
      <c r="G310" s="215">
        <f>IFERROR(VLOOKUP($C310,'PORTIFÓLIO'!C:V,5,0),"")</f>
        <v/>
      </c>
      <c r="H310" s="254">
        <f t="array" ref="H310">IFERROR(INDEX('PORTIFÓLIO'!$H$4:$H$433,MATCH($C310,'PORTIFÓLIO'!$C$4:$C$433,0)),"")</f>
        <v/>
      </c>
      <c r="I310" s="256" t="n"/>
      <c r="J310" s="218">
        <f>I310*$B$2</f>
        <v/>
      </c>
      <c r="K310" s="292">
        <f t="array" ref="K310">IFERROR(I310*INDEX('PORTIFÓLIO'!$S$4:$S$433,MATCH($C310,'PORTIFÓLIO'!$C$4:$C$433,0)),"")</f>
        <v/>
      </c>
      <c r="L310" s="292">
        <f t="array" ref="L310">IFERROR(J310*INDEX('PORTIFÓLIO'!$S$4:$S$433,MATCH($C310,'PORTIFÓLIO'!$C$4:$C$433,0)),"")</f>
        <v/>
      </c>
      <c r="M310" s="220" t="n"/>
      <c r="N310" s="220" t="n"/>
      <c r="O310" s="220" t="n"/>
      <c r="P310" s="220" t="n"/>
      <c r="Q310" s="220" t="n"/>
      <c r="R310" s="220" t="n"/>
      <c r="S310" s="220" t="n"/>
      <c r="T310" s="220" t="n"/>
      <c r="U310" s="220" t="n"/>
      <c r="V310" s="220" t="n"/>
      <c r="W310" s="220" t="n"/>
    </row>
    <row r="311" outlineLevel="1" ht="15.75" customHeight="1" s="297">
      <c r="A311" s="211" t="n"/>
      <c r="B311" s="212" t="n"/>
      <c r="C311" s="213" t="n"/>
      <c r="D311" s="214">
        <f>IFERROR(VLOOKUP($C311,'PORTIFÓLIO'!C:V,2,0),"")</f>
        <v/>
      </c>
      <c r="E311" s="211">
        <f>IFERROR(VLOOKUP($C311,'PORTIFÓLIO'!C:V,3,0),"")</f>
        <v/>
      </c>
      <c r="F311" s="211">
        <f>IFERROR(VLOOKUP($C311,'PORTIFÓLIO'!C:V,4,0),"")</f>
        <v/>
      </c>
      <c r="G311" s="215">
        <f>IFERROR(VLOOKUP($C311,'PORTIFÓLIO'!C:V,5,0),"")</f>
        <v/>
      </c>
      <c r="H311" s="254">
        <f t="array" ref="H311">IFERROR(INDEX('PORTIFÓLIO'!$H$4:$H$433,MATCH($C311,'PORTIFÓLIO'!$C$4:$C$433,0)),"")</f>
        <v/>
      </c>
      <c r="I311" s="256" t="n"/>
      <c r="J311" s="218">
        <f>I311*$B$2</f>
        <v/>
      </c>
      <c r="K311" s="292">
        <f t="array" ref="K311">IFERROR(I311*INDEX('PORTIFÓLIO'!$S$4:$S$433,MATCH($C311,'PORTIFÓLIO'!$C$4:$C$433,0)),"")</f>
        <v/>
      </c>
      <c r="L311" s="292">
        <f t="array" ref="L311">IFERROR(J311*INDEX('PORTIFÓLIO'!$S$4:$S$433,MATCH($C311,'PORTIFÓLIO'!$C$4:$C$433,0)),"")</f>
        <v/>
      </c>
      <c r="M311" s="220" t="n"/>
      <c r="N311" s="220" t="n"/>
      <c r="O311" s="220" t="n"/>
      <c r="P311" s="220" t="n"/>
      <c r="Q311" s="220" t="n"/>
      <c r="R311" s="220" t="n"/>
      <c r="S311" s="220" t="n"/>
      <c r="T311" s="220" t="n"/>
      <c r="U311" s="220" t="n"/>
      <c r="V311" s="220" t="n"/>
      <c r="W311" s="220" t="n"/>
    </row>
    <row r="312" outlineLevel="1" ht="15.75" customHeight="1" s="297">
      <c r="A312" s="211" t="n"/>
      <c r="B312" s="212" t="n"/>
      <c r="C312" s="213" t="n"/>
      <c r="D312" s="214">
        <f>IFERROR(VLOOKUP($C312,'PORTIFÓLIO'!C:V,2,0),"")</f>
        <v/>
      </c>
      <c r="E312" s="211">
        <f>IFERROR(VLOOKUP($C312,'PORTIFÓLIO'!C:V,3,0),"")</f>
        <v/>
      </c>
      <c r="F312" s="211">
        <f>IFERROR(VLOOKUP($C312,'PORTIFÓLIO'!C:V,4,0),"")</f>
        <v/>
      </c>
      <c r="G312" s="215">
        <f>IFERROR(VLOOKUP($C312,'PORTIFÓLIO'!C:V,5,0),"")</f>
        <v/>
      </c>
      <c r="H312" s="254">
        <f t="array" ref="H312">IFERROR(INDEX('PORTIFÓLIO'!$H$4:$H$433,MATCH($C312,'PORTIFÓLIO'!$C$4:$C$433,0)),"")</f>
        <v/>
      </c>
      <c r="I312" s="256" t="n"/>
      <c r="J312" s="218">
        <f>I312*$B$2</f>
        <v/>
      </c>
      <c r="K312" s="292">
        <f t="array" ref="K312">IFERROR(I312*INDEX('PORTIFÓLIO'!$S$4:$S$433,MATCH($C312,'PORTIFÓLIO'!$C$4:$C$433,0)),"")</f>
        <v/>
      </c>
      <c r="L312" s="292">
        <f t="array" ref="L312">IFERROR(J312*INDEX('PORTIFÓLIO'!$S$4:$S$433,MATCH($C312,'PORTIFÓLIO'!$C$4:$C$433,0)),"")</f>
        <v/>
      </c>
      <c r="M312" s="220" t="n"/>
      <c r="N312" s="220" t="n"/>
      <c r="O312" s="220" t="n"/>
      <c r="P312" s="220" t="n"/>
      <c r="Q312" s="220" t="n"/>
      <c r="R312" s="220" t="n"/>
      <c r="S312" s="220" t="n"/>
      <c r="T312" s="220" t="n"/>
      <c r="U312" s="220" t="n"/>
      <c r="V312" s="220" t="n"/>
      <c r="W312" s="220" t="n"/>
    </row>
    <row r="313" outlineLevel="1" ht="15.75" customHeight="1" s="297">
      <c r="A313" s="211" t="n"/>
      <c r="B313" s="212" t="n"/>
      <c r="C313" s="213" t="n"/>
      <c r="D313" s="214">
        <f>IFERROR(VLOOKUP($C313,'PORTIFÓLIO'!C:V,2,0),"")</f>
        <v/>
      </c>
      <c r="E313" s="211">
        <f>IFERROR(VLOOKUP($C313,'PORTIFÓLIO'!C:V,3,0),"")</f>
        <v/>
      </c>
      <c r="F313" s="211">
        <f>IFERROR(VLOOKUP($C313,'PORTIFÓLIO'!C:V,4,0),"")</f>
        <v/>
      </c>
      <c r="G313" s="215">
        <f>IFERROR(VLOOKUP($C313,'PORTIFÓLIO'!C:V,5,0),"")</f>
        <v/>
      </c>
      <c r="H313" s="254">
        <f t="array" ref="H313">IFERROR(INDEX('PORTIFÓLIO'!$H$4:$H$433,MATCH($C313,'PORTIFÓLIO'!$C$4:$C$433,0)),"")</f>
        <v/>
      </c>
      <c r="I313" s="256" t="n"/>
      <c r="J313" s="218">
        <f>I313*$B$2</f>
        <v/>
      </c>
      <c r="K313" s="292">
        <f t="array" ref="K313">IFERROR(I313*INDEX('PORTIFÓLIO'!$S$4:$S$433,MATCH($C313,'PORTIFÓLIO'!$C$4:$C$433,0)),"")</f>
        <v/>
      </c>
      <c r="L313" s="292">
        <f t="array" ref="L313">IFERROR(J313*INDEX('PORTIFÓLIO'!$S$4:$S$433,MATCH($C313,'PORTIFÓLIO'!$C$4:$C$433,0)),"")</f>
        <v/>
      </c>
      <c r="M313" s="220" t="n"/>
      <c r="N313" s="220" t="n"/>
      <c r="O313" s="220" t="n"/>
      <c r="P313" s="220" t="n"/>
      <c r="Q313" s="220" t="n"/>
      <c r="R313" s="220" t="n"/>
      <c r="S313" s="220" t="n"/>
      <c r="T313" s="220" t="n"/>
      <c r="U313" s="220" t="n"/>
      <c r="V313" s="220" t="n"/>
      <c r="W313" s="220" t="n"/>
    </row>
    <row r="314" outlineLevel="1" ht="15.75" customHeight="1" s="297">
      <c r="A314" s="211" t="n"/>
      <c r="B314" s="212" t="n"/>
      <c r="C314" s="213" t="n"/>
      <c r="D314" s="214">
        <f>IFERROR(VLOOKUP($C314,'PORTIFÓLIO'!C:V,2,0),"")</f>
        <v/>
      </c>
      <c r="E314" s="211">
        <f>IFERROR(VLOOKUP($C314,'PORTIFÓLIO'!C:V,3,0),"")</f>
        <v/>
      </c>
      <c r="F314" s="211">
        <f>IFERROR(VLOOKUP($C314,'PORTIFÓLIO'!C:V,4,0),"")</f>
        <v/>
      </c>
      <c r="G314" s="215">
        <f>IFERROR(VLOOKUP($C314,'PORTIFÓLIO'!C:V,5,0),"")</f>
        <v/>
      </c>
      <c r="H314" s="254">
        <f t="array" ref="H314">IFERROR(INDEX('PORTIFÓLIO'!$H$4:$H$433,MATCH($C314,'PORTIFÓLIO'!$C$4:$C$433,0)),"")</f>
        <v/>
      </c>
      <c r="I314" s="256" t="n"/>
      <c r="J314" s="218">
        <f>I314*$B$2</f>
        <v/>
      </c>
      <c r="K314" s="292">
        <f t="array" ref="K314">IFERROR(I314*INDEX('PORTIFÓLIO'!$S$4:$S$433,MATCH($C314,'PORTIFÓLIO'!$C$4:$C$433,0)),"")</f>
        <v/>
      </c>
      <c r="L314" s="292">
        <f t="array" ref="L314">IFERROR(J314*INDEX('PORTIFÓLIO'!$S$4:$S$433,MATCH($C314,'PORTIFÓLIO'!$C$4:$C$433,0)),"")</f>
        <v/>
      </c>
      <c r="M314" s="220" t="n"/>
      <c r="N314" s="220" t="n"/>
      <c r="O314" s="220" t="n"/>
      <c r="P314" s="220" t="n"/>
      <c r="Q314" s="220" t="n"/>
      <c r="R314" s="220" t="n"/>
      <c r="S314" s="220" t="n"/>
      <c r="T314" s="220" t="n"/>
      <c r="U314" s="220" t="n"/>
      <c r="V314" s="220" t="n"/>
      <c r="W314" s="220" t="n"/>
    </row>
    <row r="315" outlineLevel="1" ht="15.75" customHeight="1" s="297">
      <c r="A315" s="211" t="n"/>
      <c r="B315" s="212" t="n"/>
      <c r="C315" s="213" t="n"/>
      <c r="D315" s="214">
        <f>IFERROR(VLOOKUP($C315,'PORTIFÓLIO'!C:V,2,0),"")</f>
        <v/>
      </c>
      <c r="E315" s="211">
        <f>IFERROR(VLOOKUP($C315,'PORTIFÓLIO'!C:V,3,0),"")</f>
        <v/>
      </c>
      <c r="F315" s="211">
        <f>IFERROR(VLOOKUP($C315,'PORTIFÓLIO'!C:V,4,0),"")</f>
        <v/>
      </c>
      <c r="G315" s="215">
        <f>IFERROR(VLOOKUP($C315,'PORTIFÓLIO'!C:V,5,0),"")</f>
        <v/>
      </c>
      <c r="H315" s="254">
        <f t="array" ref="H315">IFERROR(INDEX('PORTIFÓLIO'!$H$4:$H$433,MATCH($C315,'PORTIFÓLIO'!$C$4:$C$433,0)),"")</f>
        <v/>
      </c>
      <c r="I315" s="256" t="n"/>
      <c r="J315" s="218">
        <f>I315*$B$2</f>
        <v/>
      </c>
      <c r="K315" s="292">
        <f t="array" ref="K315">IFERROR(I315*INDEX('PORTIFÓLIO'!$S$4:$S$433,MATCH($C315,'PORTIFÓLIO'!$C$4:$C$433,0)),"")</f>
        <v/>
      </c>
      <c r="L315" s="292">
        <f t="array" ref="L315">IFERROR(J315*INDEX('PORTIFÓLIO'!$S$4:$S$433,MATCH($C315,'PORTIFÓLIO'!$C$4:$C$433,0)),"")</f>
        <v/>
      </c>
      <c r="M315" s="220" t="n"/>
      <c r="N315" s="220" t="n"/>
      <c r="O315" s="220" t="n"/>
      <c r="P315" s="220" t="n"/>
      <c r="Q315" s="220" t="n"/>
      <c r="R315" s="220" t="n"/>
      <c r="S315" s="220" t="n"/>
      <c r="T315" s="220" t="n"/>
      <c r="U315" s="220" t="n"/>
      <c r="V315" s="220" t="n"/>
      <c r="W315" s="220" t="n"/>
    </row>
    <row r="316" outlineLevel="1" ht="15.75" customHeight="1" s="297">
      <c r="A316" s="211" t="n"/>
      <c r="B316" s="212" t="n"/>
      <c r="C316" s="213" t="n"/>
      <c r="D316" s="214">
        <f>IFERROR(VLOOKUP($C316,'PORTIFÓLIO'!C:V,2,0),"")</f>
        <v/>
      </c>
      <c r="E316" s="211">
        <f>IFERROR(VLOOKUP($C316,'PORTIFÓLIO'!C:V,3,0),"")</f>
        <v/>
      </c>
      <c r="F316" s="211">
        <f>IFERROR(VLOOKUP($C316,'PORTIFÓLIO'!C:V,4,0),"")</f>
        <v/>
      </c>
      <c r="G316" s="215">
        <f>IFERROR(VLOOKUP($C316,'PORTIFÓLIO'!C:V,5,0),"")</f>
        <v/>
      </c>
      <c r="H316" s="254">
        <f t="array" ref="H316">IFERROR(INDEX('PORTIFÓLIO'!$H$4:$H$433,MATCH($C316,'PORTIFÓLIO'!$C$4:$C$433,0)),"")</f>
        <v/>
      </c>
      <c r="I316" s="256" t="n"/>
      <c r="J316" s="218">
        <f>I316*$B$2</f>
        <v/>
      </c>
      <c r="K316" s="292">
        <f t="array" ref="K316">IFERROR(I316*INDEX('PORTIFÓLIO'!$S$4:$S$433,MATCH($C316,'PORTIFÓLIO'!$C$4:$C$433,0)),"")</f>
        <v/>
      </c>
      <c r="L316" s="292">
        <f t="array" ref="L316">IFERROR(J316*INDEX('PORTIFÓLIO'!$S$4:$S$433,MATCH($C316,'PORTIFÓLIO'!$C$4:$C$433,0)),"")</f>
        <v/>
      </c>
      <c r="M316" s="220" t="n"/>
      <c r="N316" s="220" t="n"/>
      <c r="O316" s="220" t="n"/>
      <c r="P316" s="220" t="n"/>
      <c r="Q316" s="220" t="n"/>
      <c r="R316" s="220" t="n"/>
      <c r="S316" s="220" t="n"/>
      <c r="T316" s="220" t="n"/>
      <c r="U316" s="220" t="n"/>
      <c r="V316" s="220" t="n"/>
      <c r="W316" s="220" t="n"/>
    </row>
    <row r="317" outlineLevel="1" ht="15.75" customHeight="1" s="297">
      <c r="A317" s="211" t="n"/>
      <c r="B317" s="212" t="n"/>
      <c r="C317" s="213" t="n"/>
      <c r="D317" s="214">
        <f>IFERROR(VLOOKUP($C317,'PORTIFÓLIO'!C:V,2,0),"")</f>
        <v/>
      </c>
      <c r="E317" s="211">
        <f>IFERROR(VLOOKUP($C317,'PORTIFÓLIO'!C:V,3,0),"")</f>
        <v/>
      </c>
      <c r="F317" s="211">
        <f>IFERROR(VLOOKUP($C317,'PORTIFÓLIO'!C:V,4,0),"")</f>
        <v/>
      </c>
      <c r="G317" s="215">
        <f>IFERROR(VLOOKUP($C317,'PORTIFÓLIO'!C:V,5,0),"")</f>
        <v/>
      </c>
      <c r="H317" s="254">
        <f t="array" ref="H317">IFERROR(INDEX('PORTIFÓLIO'!$H$4:$H$433,MATCH($C317,'PORTIFÓLIO'!$C$4:$C$433,0)),"")</f>
        <v/>
      </c>
      <c r="I317" s="255" t="n"/>
      <c r="J317" s="218">
        <f>I317*$B$2</f>
        <v/>
      </c>
      <c r="K317" s="292">
        <f t="array" ref="K317">IFERROR(I317*INDEX('PORTIFÓLIO'!$S$4:$S$433,MATCH($C317,'PORTIFÓLIO'!$C$4:$C$433,0)),"")</f>
        <v/>
      </c>
      <c r="L317" s="292">
        <f t="array" ref="L317">IFERROR(J317*INDEX('PORTIFÓLIO'!$S$4:$S$433,MATCH($C317,'PORTIFÓLIO'!$C$4:$C$433,0)),"")</f>
        <v/>
      </c>
      <c r="M317" s="220" t="n"/>
      <c r="N317" s="220" t="n"/>
      <c r="O317" s="220" t="n"/>
      <c r="P317" s="220" t="n"/>
      <c r="Q317" s="220" t="n"/>
      <c r="R317" s="220" t="n"/>
      <c r="S317" s="220" t="n"/>
      <c r="T317" s="220" t="n"/>
      <c r="U317" s="220" t="n"/>
      <c r="V317" s="220" t="n"/>
      <c r="W317" s="220" t="n"/>
    </row>
    <row r="318" outlineLevel="1" ht="15.75" customHeight="1" s="297">
      <c r="A318" s="211" t="n"/>
      <c r="B318" s="212" t="n"/>
      <c r="C318" s="213" t="n"/>
      <c r="D318" s="214">
        <f>IFERROR(VLOOKUP($C318,'PORTIFÓLIO'!C:V,2,0),"")</f>
        <v/>
      </c>
      <c r="E318" s="211">
        <f>IFERROR(VLOOKUP($C318,'PORTIFÓLIO'!C:V,3,0),"")</f>
        <v/>
      </c>
      <c r="F318" s="211">
        <f>IFERROR(VLOOKUP($C318,'PORTIFÓLIO'!C:V,4,0),"")</f>
        <v/>
      </c>
      <c r="G318" s="215">
        <f>IFERROR(VLOOKUP($C318,'PORTIFÓLIO'!C:V,5,0),"")</f>
        <v/>
      </c>
      <c r="H318" s="254">
        <f t="array" ref="H318">IFERROR(INDEX('PORTIFÓLIO'!$H$4:$H$433,MATCH($C318,'PORTIFÓLIO'!$C$4:$C$433,0)),"")</f>
        <v/>
      </c>
      <c r="I318" s="256" t="n"/>
      <c r="J318" s="218">
        <f>I318*$B$2</f>
        <v/>
      </c>
      <c r="K318" s="292">
        <f t="array" ref="K318">IFERROR(I318*INDEX('PORTIFÓLIO'!$S$4:$S$433,MATCH($C318,'PORTIFÓLIO'!$C$4:$C$433,0)),"")</f>
        <v/>
      </c>
      <c r="L318" s="292">
        <f t="array" ref="L318">IFERROR(J318*INDEX('PORTIFÓLIO'!$S$4:$S$433,MATCH($C318,'PORTIFÓLIO'!$C$4:$C$433,0)),"")</f>
        <v/>
      </c>
      <c r="M318" s="220" t="n"/>
      <c r="N318" s="220" t="n"/>
      <c r="O318" s="220" t="n"/>
      <c r="P318" s="220" t="n"/>
      <c r="Q318" s="220" t="n"/>
      <c r="R318" s="220" t="n"/>
      <c r="S318" s="220" t="n"/>
      <c r="T318" s="220" t="n"/>
      <c r="U318" s="220" t="n"/>
      <c r="V318" s="220" t="n"/>
      <c r="W318" s="220" t="n"/>
    </row>
    <row r="319" outlineLevel="1" ht="15.75" customHeight="1" s="297">
      <c r="A319" s="211" t="n"/>
      <c r="B319" s="212" t="n"/>
      <c r="C319" s="213" t="n"/>
      <c r="D319" s="214">
        <f>IFERROR(VLOOKUP($C319,'PORTIFÓLIO'!C:V,2,0),"")</f>
        <v/>
      </c>
      <c r="E319" s="211">
        <f>IFERROR(VLOOKUP($C319,'PORTIFÓLIO'!C:V,3,0),"")</f>
        <v/>
      </c>
      <c r="F319" s="211">
        <f>IFERROR(VLOOKUP($C319,'PORTIFÓLIO'!C:V,4,0),"")</f>
        <v/>
      </c>
      <c r="G319" s="215">
        <f>IFERROR(VLOOKUP($C319,'PORTIFÓLIO'!C:V,5,0),"")</f>
        <v/>
      </c>
      <c r="H319" s="254">
        <f t="array" ref="H319">IFERROR(INDEX('PORTIFÓLIO'!$H$4:$H$433,MATCH($C319,'PORTIFÓLIO'!$C$4:$C$433,0)),"")</f>
        <v/>
      </c>
      <c r="I319" s="256" t="n"/>
      <c r="J319" s="218">
        <f>I319*$B$2</f>
        <v/>
      </c>
      <c r="K319" s="292">
        <f t="array" ref="K319">IFERROR(I319*INDEX('PORTIFÓLIO'!$S$4:$S$433,MATCH($C319,'PORTIFÓLIO'!$C$4:$C$433,0)),"")</f>
        <v/>
      </c>
      <c r="L319" s="292">
        <f t="array" ref="L319">IFERROR(J319*INDEX('PORTIFÓLIO'!$S$4:$S$433,MATCH($C319,'PORTIFÓLIO'!$C$4:$C$433,0)),"")</f>
        <v/>
      </c>
      <c r="M319" s="220" t="n"/>
      <c r="N319" s="220" t="n"/>
      <c r="O319" s="220" t="n"/>
      <c r="P319" s="220" t="n"/>
      <c r="Q319" s="220" t="n"/>
      <c r="R319" s="220" t="n"/>
      <c r="S319" s="220" t="n"/>
      <c r="T319" s="220" t="n"/>
      <c r="U319" s="220" t="n"/>
      <c r="V319" s="220" t="n"/>
      <c r="W319" s="220" t="n"/>
    </row>
    <row r="320" outlineLevel="1" ht="15.75" customHeight="1" s="297">
      <c r="A320" s="211" t="n"/>
      <c r="B320" s="212" t="n"/>
      <c r="C320" s="213" t="n"/>
      <c r="D320" s="214">
        <f>IFERROR(VLOOKUP($C320,'PORTIFÓLIO'!C:V,2,0),"")</f>
        <v/>
      </c>
      <c r="E320" s="211">
        <f>IFERROR(VLOOKUP($C320,'PORTIFÓLIO'!C:V,3,0),"")</f>
        <v/>
      </c>
      <c r="F320" s="211">
        <f>IFERROR(VLOOKUP($C320,'PORTIFÓLIO'!C:V,4,0),"")</f>
        <v/>
      </c>
      <c r="G320" s="215">
        <f>IFERROR(VLOOKUP($C320,'PORTIFÓLIO'!C:V,5,0),"")</f>
        <v/>
      </c>
      <c r="H320" s="254">
        <f t="array" ref="H320">IFERROR(INDEX('PORTIFÓLIO'!$H$4:$H$433,MATCH($C320,'PORTIFÓLIO'!$C$4:$C$433,0)),"")</f>
        <v/>
      </c>
      <c r="I320" s="256" t="n"/>
      <c r="J320" s="218">
        <f>I320*$B$2</f>
        <v/>
      </c>
      <c r="K320" s="292">
        <f t="array" ref="K320">IFERROR(I320*INDEX('PORTIFÓLIO'!$S$4:$S$433,MATCH($C320,'PORTIFÓLIO'!$C$4:$C$433,0)),"")</f>
        <v/>
      </c>
      <c r="L320" s="292">
        <f t="array" ref="L320">IFERROR(J320*INDEX('PORTIFÓLIO'!$S$4:$S$433,MATCH($C320,'PORTIFÓLIO'!$C$4:$C$433,0)),"")</f>
        <v/>
      </c>
      <c r="M320" s="220" t="n"/>
      <c r="N320" s="220" t="n"/>
      <c r="O320" s="220" t="n"/>
      <c r="P320" s="220" t="n"/>
      <c r="Q320" s="220" t="n"/>
      <c r="R320" s="220" t="n"/>
      <c r="S320" s="220" t="n"/>
      <c r="T320" s="220" t="n"/>
      <c r="U320" s="220" t="n"/>
      <c r="V320" s="220" t="n"/>
      <c r="W320" s="220" t="n"/>
    </row>
    <row r="321" outlineLevel="1" ht="15.75" customHeight="1" s="297">
      <c r="A321" s="211" t="n"/>
      <c r="B321" s="212" t="n"/>
      <c r="C321" s="213" t="n"/>
      <c r="D321" s="214">
        <f>IFERROR(VLOOKUP($C321,'PORTIFÓLIO'!C:V,2,0),"")</f>
        <v/>
      </c>
      <c r="E321" s="211">
        <f>IFERROR(VLOOKUP($C321,'PORTIFÓLIO'!C:V,3,0),"")</f>
        <v/>
      </c>
      <c r="F321" s="211">
        <f>IFERROR(VLOOKUP($C321,'PORTIFÓLIO'!C:V,4,0),"")</f>
        <v/>
      </c>
      <c r="G321" s="215">
        <f>IFERROR(VLOOKUP($C321,'PORTIFÓLIO'!C:V,5,0),"")</f>
        <v/>
      </c>
      <c r="H321" s="254">
        <f t="array" ref="H321">IFERROR(INDEX('PORTIFÓLIO'!$H$4:$H$433,MATCH($C321,'PORTIFÓLIO'!$C$4:$C$433,0)),"")</f>
        <v/>
      </c>
      <c r="I321" s="256" t="n"/>
      <c r="J321" s="218">
        <f>I321*$B$2</f>
        <v/>
      </c>
      <c r="K321" s="292">
        <f t="array" ref="K321">IFERROR(I321*INDEX('PORTIFÓLIO'!$S$4:$S$433,MATCH($C321,'PORTIFÓLIO'!$C$4:$C$433,0)),"")</f>
        <v/>
      </c>
      <c r="L321" s="292">
        <f t="array" ref="L321">IFERROR(J321*INDEX('PORTIFÓLIO'!$S$4:$S$433,MATCH($C321,'PORTIFÓLIO'!$C$4:$C$433,0)),"")</f>
        <v/>
      </c>
      <c r="M321" s="220" t="n"/>
      <c r="N321" s="220" t="n"/>
      <c r="O321" s="220" t="n"/>
      <c r="P321" s="220" t="n"/>
      <c r="Q321" s="220" t="n"/>
      <c r="R321" s="220" t="n"/>
      <c r="S321" s="220" t="n"/>
      <c r="T321" s="220" t="n"/>
      <c r="U321" s="220" t="n"/>
      <c r="V321" s="220" t="n"/>
      <c r="W321" s="220" t="n"/>
    </row>
    <row r="322" outlineLevel="1" ht="15.75" customHeight="1" s="297">
      <c r="A322" s="211" t="n"/>
      <c r="B322" s="212" t="n"/>
      <c r="C322" s="213" t="n"/>
      <c r="D322" s="214">
        <f>IFERROR(VLOOKUP($C322,'PORTIFÓLIO'!C:V,2,0),"")</f>
        <v/>
      </c>
      <c r="E322" s="211">
        <f>IFERROR(VLOOKUP($C322,'PORTIFÓLIO'!C:V,3,0),"")</f>
        <v/>
      </c>
      <c r="F322" s="211">
        <f>IFERROR(VLOOKUP($C322,'PORTIFÓLIO'!C:V,4,0),"")</f>
        <v/>
      </c>
      <c r="G322" s="215">
        <f>IFERROR(VLOOKUP($C322,'PORTIFÓLIO'!C:V,5,0),"")</f>
        <v/>
      </c>
      <c r="H322" s="254">
        <f t="array" ref="H322">IFERROR(INDEX('PORTIFÓLIO'!$H$4:$H$433,MATCH($C322,'PORTIFÓLIO'!$C$4:$C$433,0)),"")</f>
        <v/>
      </c>
      <c r="I322" s="256" t="n"/>
      <c r="J322" s="218">
        <f>I322*$B$2</f>
        <v/>
      </c>
      <c r="K322" s="292">
        <f t="array" ref="K322">IFERROR(I322*INDEX('PORTIFÓLIO'!$S$4:$S$433,MATCH($C322,'PORTIFÓLIO'!$C$4:$C$433,0)),"")</f>
        <v/>
      </c>
      <c r="L322" s="292">
        <f t="array" ref="L322">IFERROR(J322*INDEX('PORTIFÓLIO'!$S$4:$S$433,MATCH($C322,'PORTIFÓLIO'!$C$4:$C$433,0)),"")</f>
        <v/>
      </c>
      <c r="M322" s="220" t="n"/>
      <c r="N322" s="220" t="n"/>
      <c r="O322" s="220" t="n"/>
      <c r="P322" s="220" t="n"/>
      <c r="Q322" s="220" t="n"/>
      <c r="R322" s="220" t="n"/>
      <c r="S322" s="220" t="n"/>
      <c r="T322" s="220" t="n"/>
      <c r="U322" s="220" t="n"/>
      <c r="V322" s="220" t="n"/>
      <c r="W322" s="220" t="n"/>
    </row>
    <row r="323" outlineLevel="1" ht="15.75" customHeight="1" s="297">
      <c r="A323" s="211" t="n"/>
      <c r="B323" s="212" t="n"/>
      <c r="C323" s="213" t="n"/>
      <c r="D323" s="214">
        <f>IFERROR(VLOOKUP($C323,'PORTIFÓLIO'!C:V,2,0),"")</f>
        <v/>
      </c>
      <c r="E323" s="211">
        <f>IFERROR(VLOOKUP($C323,'PORTIFÓLIO'!C:V,3,0),"")</f>
        <v/>
      </c>
      <c r="F323" s="211">
        <f>IFERROR(VLOOKUP($C323,'PORTIFÓLIO'!C:V,4,0),"")</f>
        <v/>
      </c>
      <c r="G323" s="215">
        <f>IFERROR(VLOOKUP($C323,'PORTIFÓLIO'!C:V,5,0),"")</f>
        <v/>
      </c>
      <c r="H323" s="254">
        <f t="array" ref="H323">IFERROR(INDEX('PORTIFÓLIO'!$H$4:$H$433,MATCH($C323,'PORTIFÓLIO'!$C$4:$C$433,0)),"")</f>
        <v/>
      </c>
      <c r="I323" s="256" t="n"/>
      <c r="J323" s="218">
        <f>I323*$B$2</f>
        <v/>
      </c>
      <c r="K323" s="292">
        <f t="array" ref="K323">IFERROR(I323*INDEX('PORTIFÓLIO'!$S$4:$S$433,MATCH($C323,'PORTIFÓLIO'!$C$4:$C$433,0)),"")</f>
        <v/>
      </c>
      <c r="L323" s="292">
        <f t="array" ref="L323">IFERROR(J323*INDEX('PORTIFÓLIO'!$S$4:$S$433,MATCH($C323,'PORTIFÓLIO'!$C$4:$C$433,0)),"")</f>
        <v/>
      </c>
      <c r="M323" s="220" t="n"/>
      <c r="N323" s="220" t="n"/>
      <c r="O323" s="220" t="n"/>
      <c r="P323" s="220" t="n"/>
      <c r="Q323" s="220" t="n"/>
      <c r="R323" s="220" t="n"/>
      <c r="S323" s="220" t="n"/>
      <c r="T323" s="220" t="n"/>
      <c r="U323" s="220" t="n"/>
      <c r="V323" s="220" t="n"/>
      <c r="W323" s="220" t="n"/>
    </row>
    <row r="324" ht="15.75" customHeight="1" s="297">
      <c r="A324" s="229" t="inlineStr">
        <is>
          <t>OPERAÇÃO 6</t>
        </is>
      </c>
      <c r="B324" s="230" t="n"/>
      <c r="C324" s="231" t="n"/>
      <c r="D324" s="232" t="n"/>
      <c r="E324" s="231" t="n"/>
      <c r="F324" s="231" t="n"/>
      <c r="G324" s="233" t="n"/>
      <c r="H324" s="233" t="n"/>
      <c r="I324" s="258" t="n"/>
      <c r="J324" s="236" t="n"/>
      <c r="K324" s="237">
        <f>SUBTOTAL(9,K325:K338)</f>
        <v/>
      </c>
      <c r="L324" s="237">
        <f>SUBTOTAL(9,L325:L338)</f>
        <v/>
      </c>
      <c r="M324" s="220" t="n"/>
      <c r="N324" s="220" t="n"/>
      <c r="O324" s="220" t="n"/>
      <c r="P324" s="220" t="n"/>
      <c r="Q324" s="220" t="n"/>
      <c r="R324" s="220" t="n"/>
      <c r="S324" s="220" t="n"/>
      <c r="T324" s="220" t="n"/>
      <c r="U324" s="220" t="n"/>
      <c r="V324" s="220" t="n"/>
      <c r="W324" s="220" t="n"/>
    </row>
    <row r="325" outlineLevel="1" ht="15.75" customHeight="1" s="297">
      <c r="A325" s="213" t="n"/>
      <c r="B325" s="212" t="n"/>
      <c r="C325" s="213" t="n"/>
      <c r="D325" s="214">
        <f>IFERROR(VLOOKUP($C325,'PORTIFÓLIO'!C:V,2,0),"")</f>
        <v/>
      </c>
      <c r="E325" s="211">
        <f>IFERROR(VLOOKUP($C325,'PORTIFÓLIO'!C:V,3,0),"")</f>
        <v/>
      </c>
      <c r="F325" s="211">
        <f>IFERROR(VLOOKUP($C325,'PORTIFÓLIO'!C:V,4,0),"")</f>
        <v/>
      </c>
      <c r="G325" s="215">
        <f>IFERROR(VLOOKUP($C325,'PORTIFÓLIO'!C:V,5,0),"")</f>
        <v/>
      </c>
      <c r="H325" s="254">
        <f t="array" ref="H325">IFERROR(INDEX('PORTIFÓLIO'!$H$4:$H$433,MATCH($C325,'PORTIFÓLIO'!$C$4:$C$433,0)),"")</f>
        <v/>
      </c>
      <c r="I325" s="255" t="n"/>
      <c r="J325" s="218">
        <f>I325*$B$2</f>
        <v/>
      </c>
      <c r="K325" s="292">
        <f t="array" ref="K325">IFERROR(I325*INDEX('PORTIFÓLIO'!$S$4:$S$433,MATCH($C325,'PORTIFÓLIO'!$C$4:$C$433,0)),"")</f>
        <v/>
      </c>
      <c r="L325" s="292">
        <f t="array" ref="L325">IFERROR(J325*INDEX('PORTIFÓLIO'!$S$4:$S$433,MATCH($C325,'PORTIFÓLIO'!$C$4:$C$433,0)),"")</f>
        <v/>
      </c>
      <c r="M325" s="220" t="n"/>
      <c r="N325" s="220" t="n"/>
      <c r="O325" s="220" t="n"/>
      <c r="P325" s="220" t="n"/>
      <c r="Q325" s="220" t="n"/>
      <c r="R325" s="220" t="n"/>
      <c r="S325" s="220" t="n"/>
      <c r="T325" s="220" t="n"/>
      <c r="U325" s="220" t="n"/>
      <c r="V325" s="220" t="n"/>
      <c r="W325" s="220" t="n"/>
    </row>
    <row r="326" outlineLevel="1" ht="15.75" customHeight="1" s="297">
      <c r="A326" s="211" t="n"/>
      <c r="B326" s="212" t="n"/>
      <c r="C326" s="213" t="n"/>
      <c r="D326" s="214">
        <f>IFERROR(VLOOKUP($C326,'PORTIFÓLIO'!C:V,2,0),"")</f>
        <v/>
      </c>
      <c r="E326" s="211">
        <f>IFERROR(VLOOKUP($C326,'PORTIFÓLIO'!C:V,3,0),"")</f>
        <v/>
      </c>
      <c r="F326" s="211">
        <f>IFERROR(VLOOKUP($C326,'PORTIFÓLIO'!C:V,4,0),"")</f>
        <v/>
      </c>
      <c r="G326" s="215">
        <f>IFERROR(VLOOKUP($C326,'PORTIFÓLIO'!C:V,5,0),"")</f>
        <v/>
      </c>
      <c r="H326" s="254">
        <f t="array" ref="H326">IFERROR(INDEX('PORTIFÓLIO'!$H$4:$H$433,MATCH($C326,'PORTIFÓLIO'!$C$4:$C$433,0)),"")</f>
        <v/>
      </c>
      <c r="I326" s="256" t="n"/>
      <c r="J326" s="218">
        <f>I326*$B$2</f>
        <v/>
      </c>
      <c r="K326" s="292">
        <f t="array" ref="K326">IFERROR(I326*INDEX('PORTIFÓLIO'!$S$4:$S$433,MATCH($C326,'PORTIFÓLIO'!$C$4:$C$433,0)),"")</f>
        <v/>
      </c>
      <c r="L326" s="292">
        <f t="array" ref="L326">IFERROR(J326*INDEX('PORTIFÓLIO'!$S$4:$S$433,MATCH($C326,'PORTIFÓLIO'!$C$4:$C$433,0)),"")</f>
        <v/>
      </c>
      <c r="M326" s="220" t="n"/>
      <c r="N326" s="220" t="n"/>
      <c r="O326" s="220" t="n"/>
      <c r="P326" s="220" t="n"/>
      <c r="Q326" s="220" t="n"/>
      <c r="R326" s="220" t="n"/>
      <c r="S326" s="220" t="n"/>
      <c r="T326" s="220" t="n"/>
      <c r="U326" s="220" t="n"/>
      <c r="V326" s="220" t="n"/>
      <c r="W326" s="220" t="n"/>
    </row>
    <row r="327" outlineLevel="1" ht="15.75" customHeight="1" s="297">
      <c r="A327" s="211" t="n"/>
      <c r="B327" s="212" t="n"/>
      <c r="C327" s="213" t="n"/>
      <c r="D327" s="214">
        <f>IFERROR(VLOOKUP($C327,'PORTIFÓLIO'!C:V,2,0),"")</f>
        <v/>
      </c>
      <c r="E327" s="211">
        <f>IFERROR(VLOOKUP($C327,'PORTIFÓLIO'!C:V,3,0),"")</f>
        <v/>
      </c>
      <c r="F327" s="211">
        <f>IFERROR(VLOOKUP($C327,'PORTIFÓLIO'!C:V,4,0),"")</f>
        <v/>
      </c>
      <c r="G327" s="215">
        <f>IFERROR(VLOOKUP($C327,'PORTIFÓLIO'!C:V,5,0),"")</f>
        <v/>
      </c>
      <c r="H327" s="254">
        <f t="array" ref="H327">IFERROR(INDEX('PORTIFÓLIO'!$H$4:$H$433,MATCH($C327,'PORTIFÓLIO'!$C$4:$C$433,0)),"")</f>
        <v/>
      </c>
      <c r="I327" s="256" t="n"/>
      <c r="J327" s="218">
        <f>I327*$B$2</f>
        <v/>
      </c>
      <c r="K327" s="292">
        <f t="array" ref="K327">IFERROR(I327*INDEX('PORTIFÓLIO'!$S$4:$S$433,MATCH($C327,'PORTIFÓLIO'!$C$4:$C$433,0)),"")</f>
        <v/>
      </c>
      <c r="L327" s="292">
        <f t="array" ref="L327">IFERROR(J327*INDEX('PORTIFÓLIO'!$S$4:$S$433,MATCH($C327,'PORTIFÓLIO'!$C$4:$C$433,0)),"")</f>
        <v/>
      </c>
      <c r="M327" s="220" t="n"/>
      <c r="N327" s="220" t="n"/>
      <c r="O327" s="220" t="n"/>
      <c r="P327" s="220" t="n"/>
      <c r="Q327" s="220" t="n"/>
      <c r="R327" s="220" t="n"/>
      <c r="S327" s="220" t="n"/>
      <c r="T327" s="220" t="n"/>
      <c r="U327" s="220" t="n"/>
      <c r="V327" s="220" t="n"/>
      <c r="W327" s="220" t="n"/>
    </row>
    <row r="328" outlineLevel="1" ht="15.75" customHeight="1" s="297">
      <c r="A328" s="211" t="n"/>
      <c r="B328" s="212" t="n"/>
      <c r="C328" s="213" t="n"/>
      <c r="D328" s="214">
        <f>IFERROR(VLOOKUP($C328,'PORTIFÓLIO'!C:V,2,0),"")</f>
        <v/>
      </c>
      <c r="E328" s="211">
        <f>IFERROR(VLOOKUP($C328,'PORTIFÓLIO'!C:V,3,0),"")</f>
        <v/>
      </c>
      <c r="F328" s="211">
        <f>IFERROR(VLOOKUP($C328,'PORTIFÓLIO'!C:V,4,0),"")</f>
        <v/>
      </c>
      <c r="G328" s="215">
        <f>IFERROR(VLOOKUP($C328,'PORTIFÓLIO'!C:V,5,0),"")</f>
        <v/>
      </c>
      <c r="H328" s="254">
        <f t="array" ref="H328">IFERROR(INDEX('PORTIFÓLIO'!$H$4:$H$433,MATCH($C328,'PORTIFÓLIO'!$C$4:$C$433,0)),"")</f>
        <v/>
      </c>
      <c r="I328" s="256" t="n"/>
      <c r="J328" s="218">
        <f>I328*$B$2</f>
        <v/>
      </c>
      <c r="K328" s="292">
        <f t="array" ref="K328">IFERROR(I328*INDEX('PORTIFÓLIO'!$S$4:$S$433,MATCH($C328,'PORTIFÓLIO'!$C$4:$C$433,0)),"")</f>
        <v/>
      </c>
      <c r="L328" s="292">
        <f t="array" ref="L328">IFERROR(J328*INDEX('PORTIFÓLIO'!$S$4:$S$433,MATCH($C328,'PORTIFÓLIO'!$C$4:$C$433,0)),"")</f>
        <v/>
      </c>
      <c r="M328" s="220" t="n"/>
      <c r="N328" s="220" t="n"/>
      <c r="O328" s="220" t="n"/>
      <c r="P328" s="220" t="n"/>
      <c r="Q328" s="220" t="n"/>
      <c r="R328" s="220" t="n"/>
      <c r="S328" s="220" t="n"/>
      <c r="T328" s="220" t="n"/>
      <c r="U328" s="220" t="n"/>
      <c r="V328" s="220" t="n"/>
      <c r="W328" s="220" t="n"/>
    </row>
    <row r="329" outlineLevel="1" ht="15.75" customHeight="1" s="297">
      <c r="A329" s="211" t="n"/>
      <c r="B329" s="212" t="n"/>
      <c r="C329" s="213" t="n"/>
      <c r="D329" s="214">
        <f>IFERROR(VLOOKUP($C329,'PORTIFÓLIO'!C:V,2,0),"")</f>
        <v/>
      </c>
      <c r="E329" s="211">
        <f>IFERROR(VLOOKUP($C329,'PORTIFÓLIO'!C:V,3,0),"")</f>
        <v/>
      </c>
      <c r="F329" s="211">
        <f>IFERROR(VLOOKUP($C329,'PORTIFÓLIO'!C:V,4,0),"")</f>
        <v/>
      </c>
      <c r="G329" s="215">
        <f>IFERROR(VLOOKUP($C329,'PORTIFÓLIO'!C:V,5,0),"")</f>
        <v/>
      </c>
      <c r="H329" s="254">
        <f t="array" ref="H329">IFERROR(INDEX('PORTIFÓLIO'!$H$4:$H$433,MATCH($C329,'PORTIFÓLIO'!$C$4:$C$433,0)),"")</f>
        <v/>
      </c>
      <c r="I329" s="256" t="n"/>
      <c r="J329" s="218">
        <f>I329*$B$2</f>
        <v/>
      </c>
      <c r="K329" s="292">
        <f t="array" ref="K329">IFERROR(I329*INDEX('PORTIFÓLIO'!$S$4:$S$433,MATCH($C329,'PORTIFÓLIO'!$C$4:$C$433,0)),"")</f>
        <v/>
      </c>
      <c r="L329" s="292">
        <f t="array" ref="L329">IFERROR(J329*INDEX('PORTIFÓLIO'!$S$4:$S$433,MATCH($C329,'PORTIFÓLIO'!$C$4:$C$433,0)),"")</f>
        <v/>
      </c>
      <c r="M329" s="220" t="n"/>
      <c r="N329" s="220" t="n"/>
      <c r="O329" s="220" t="n"/>
      <c r="P329" s="220" t="n"/>
      <c r="Q329" s="220" t="n"/>
      <c r="R329" s="220" t="n"/>
      <c r="S329" s="220" t="n"/>
      <c r="T329" s="220" t="n"/>
      <c r="U329" s="220" t="n"/>
      <c r="V329" s="220" t="n"/>
      <c r="W329" s="220" t="n"/>
    </row>
    <row r="330" outlineLevel="1" ht="15.75" customHeight="1" s="297">
      <c r="A330" s="211" t="n"/>
      <c r="B330" s="212" t="n"/>
      <c r="C330" s="213" t="n"/>
      <c r="D330" s="214">
        <f>IFERROR(VLOOKUP($C330,'PORTIFÓLIO'!C:V,2,0),"")</f>
        <v/>
      </c>
      <c r="E330" s="211">
        <f>IFERROR(VLOOKUP($C330,'PORTIFÓLIO'!C:V,3,0),"")</f>
        <v/>
      </c>
      <c r="F330" s="211">
        <f>IFERROR(VLOOKUP($C330,'PORTIFÓLIO'!C:V,4,0),"")</f>
        <v/>
      </c>
      <c r="G330" s="215">
        <f>IFERROR(VLOOKUP($C330,'PORTIFÓLIO'!C:V,5,0),"")</f>
        <v/>
      </c>
      <c r="H330" s="254">
        <f t="array" ref="H330">IFERROR(INDEX('PORTIFÓLIO'!$H$4:$H$433,MATCH($C330,'PORTIFÓLIO'!$C$4:$C$433,0)),"")</f>
        <v/>
      </c>
      <c r="I330" s="256" t="n"/>
      <c r="J330" s="218">
        <f>I330*$B$2</f>
        <v/>
      </c>
      <c r="K330" s="292">
        <f t="array" ref="K330">IFERROR(I330*INDEX('PORTIFÓLIO'!$S$4:$S$433,MATCH($C330,'PORTIFÓLIO'!$C$4:$C$433,0)),"")</f>
        <v/>
      </c>
      <c r="L330" s="292">
        <f t="array" ref="L330">IFERROR(J330*INDEX('PORTIFÓLIO'!$S$4:$S$433,MATCH($C330,'PORTIFÓLIO'!$C$4:$C$433,0)),"")</f>
        <v/>
      </c>
      <c r="M330" s="220" t="n"/>
      <c r="N330" s="220" t="n"/>
      <c r="O330" s="220" t="n"/>
      <c r="P330" s="220" t="n"/>
      <c r="Q330" s="220" t="n"/>
      <c r="R330" s="220" t="n"/>
      <c r="S330" s="220" t="n"/>
      <c r="T330" s="220" t="n"/>
      <c r="U330" s="220" t="n"/>
      <c r="V330" s="220" t="n"/>
      <c r="W330" s="220" t="n"/>
    </row>
    <row r="331" outlineLevel="1" ht="15.75" customHeight="1" s="297">
      <c r="A331" s="211" t="n"/>
      <c r="B331" s="212" t="n"/>
      <c r="C331" s="213" t="n"/>
      <c r="D331" s="214">
        <f>IFERROR(VLOOKUP($C331,'PORTIFÓLIO'!C:V,2,0),"")</f>
        <v/>
      </c>
      <c r="E331" s="211">
        <f>IFERROR(VLOOKUP($C331,'PORTIFÓLIO'!C:V,3,0),"")</f>
        <v/>
      </c>
      <c r="F331" s="211">
        <f>IFERROR(VLOOKUP($C331,'PORTIFÓLIO'!C:V,4,0),"")</f>
        <v/>
      </c>
      <c r="G331" s="215">
        <f>IFERROR(VLOOKUP($C331,'PORTIFÓLIO'!C:V,5,0),"")</f>
        <v/>
      </c>
      <c r="H331" s="254">
        <f t="array" ref="H331">IFERROR(INDEX('PORTIFÓLIO'!$H$4:$H$433,MATCH($C331,'PORTIFÓLIO'!$C$4:$C$433,0)),"")</f>
        <v/>
      </c>
      <c r="I331" s="256" t="n"/>
      <c r="J331" s="218">
        <f>I331*$B$2</f>
        <v/>
      </c>
      <c r="K331" s="292">
        <f t="array" ref="K331">IFERROR(I331*INDEX('PORTIFÓLIO'!$S$4:$S$433,MATCH($C331,'PORTIFÓLIO'!$C$4:$C$433,0)),"")</f>
        <v/>
      </c>
      <c r="L331" s="292">
        <f t="array" ref="L331">IFERROR(J331*INDEX('PORTIFÓLIO'!$S$4:$S$433,MATCH($C331,'PORTIFÓLIO'!$C$4:$C$433,0)),"")</f>
        <v/>
      </c>
      <c r="M331" s="220" t="n"/>
      <c r="N331" s="220" t="n"/>
      <c r="O331" s="220" t="n"/>
      <c r="P331" s="220" t="n"/>
      <c r="Q331" s="220" t="n"/>
      <c r="R331" s="220" t="n"/>
      <c r="S331" s="220" t="n"/>
      <c r="T331" s="220" t="n"/>
      <c r="U331" s="220" t="n"/>
      <c r="V331" s="220" t="n"/>
      <c r="W331" s="220" t="n"/>
    </row>
    <row r="332" outlineLevel="1" ht="15.75" customHeight="1" s="297">
      <c r="A332" s="211" t="n"/>
      <c r="B332" s="212" t="n"/>
      <c r="C332" s="213" t="n"/>
      <c r="D332" s="214">
        <f>IFERROR(VLOOKUP($C332,'PORTIFÓLIO'!C:V,2,0),"")</f>
        <v/>
      </c>
      <c r="E332" s="211">
        <f>IFERROR(VLOOKUP($C332,'PORTIFÓLIO'!C:V,3,0),"")</f>
        <v/>
      </c>
      <c r="F332" s="211">
        <f>IFERROR(VLOOKUP($C332,'PORTIFÓLIO'!C:V,4,0),"")</f>
        <v/>
      </c>
      <c r="G332" s="215">
        <f>IFERROR(VLOOKUP($C332,'PORTIFÓLIO'!C:V,5,0),"")</f>
        <v/>
      </c>
      <c r="H332" s="254">
        <f t="array" ref="H332">IFERROR(INDEX('PORTIFÓLIO'!$H$4:$H$433,MATCH($C332,'PORTIFÓLIO'!$C$4:$C$433,0)),"")</f>
        <v/>
      </c>
      <c r="I332" s="256" t="n"/>
      <c r="J332" s="218">
        <f>I332*$B$2</f>
        <v/>
      </c>
      <c r="K332" s="292">
        <f t="array" ref="K332">IFERROR(I332*INDEX('PORTIFÓLIO'!$S$4:$S$433,MATCH($C332,'PORTIFÓLIO'!$C$4:$C$433,0)),"")</f>
        <v/>
      </c>
      <c r="L332" s="292">
        <f t="array" ref="L332">IFERROR(J332*INDEX('PORTIFÓLIO'!$S$4:$S$433,MATCH($C332,'PORTIFÓLIO'!$C$4:$C$433,0)),"")</f>
        <v/>
      </c>
      <c r="M332" s="220" t="n"/>
      <c r="N332" s="220" t="n"/>
      <c r="O332" s="220" t="n"/>
      <c r="P332" s="220" t="n"/>
      <c r="Q332" s="220" t="n"/>
      <c r="R332" s="220" t="n"/>
      <c r="S332" s="220" t="n"/>
      <c r="T332" s="220" t="n"/>
      <c r="U332" s="220" t="n"/>
      <c r="V332" s="220" t="n"/>
      <c r="W332" s="220" t="n"/>
    </row>
    <row r="333" outlineLevel="1" ht="15.75" customHeight="1" s="297">
      <c r="A333" s="211" t="n"/>
      <c r="B333" s="212" t="n"/>
      <c r="C333" s="213" t="n"/>
      <c r="D333" s="214">
        <f>IFERROR(VLOOKUP($C333,'PORTIFÓLIO'!C:V,2,0),"")</f>
        <v/>
      </c>
      <c r="E333" s="211">
        <f>IFERROR(VLOOKUP($C333,'PORTIFÓLIO'!C:V,3,0),"")</f>
        <v/>
      </c>
      <c r="F333" s="211">
        <f>IFERROR(VLOOKUP($C333,'PORTIFÓLIO'!C:V,4,0),"")</f>
        <v/>
      </c>
      <c r="G333" s="215">
        <f>IFERROR(VLOOKUP($C333,'PORTIFÓLIO'!C:V,5,0),"")</f>
        <v/>
      </c>
      <c r="H333" s="254">
        <f t="array" ref="H333">IFERROR(INDEX('PORTIFÓLIO'!$H$4:$H$433,MATCH($C333,'PORTIFÓLIO'!$C$4:$C$433,0)),"")</f>
        <v/>
      </c>
      <c r="I333" s="255" t="n"/>
      <c r="J333" s="218">
        <f>I333*$B$2</f>
        <v/>
      </c>
      <c r="K333" s="292">
        <f t="array" ref="K333">IFERROR(I333*INDEX('PORTIFÓLIO'!$S$4:$S$433,MATCH($C333,'PORTIFÓLIO'!$C$4:$C$433,0)),"")</f>
        <v/>
      </c>
      <c r="L333" s="292">
        <f t="array" ref="L333">IFERROR(J333*INDEX('PORTIFÓLIO'!$S$4:$S$433,MATCH($C333,'PORTIFÓLIO'!$C$4:$C$433,0)),"")</f>
        <v/>
      </c>
      <c r="M333" s="220" t="n"/>
      <c r="N333" s="220" t="n"/>
      <c r="O333" s="220" t="n"/>
      <c r="P333" s="220" t="n"/>
      <c r="Q333" s="220" t="n"/>
      <c r="R333" s="220" t="n"/>
      <c r="S333" s="220" t="n"/>
      <c r="T333" s="220" t="n"/>
      <c r="U333" s="220" t="n"/>
      <c r="V333" s="220" t="n"/>
      <c r="W333" s="220" t="n"/>
    </row>
    <row r="334" outlineLevel="1" ht="15.75" customHeight="1" s="297">
      <c r="A334" s="211" t="n"/>
      <c r="B334" s="212" t="n"/>
      <c r="C334" s="213" t="n"/>
      <c r="D334" s="214">
        <f>IFERROR(VLOOKUP($C334,'PORTIFÓLIO'!C:V,2,0),"")</f>
        <v/>
      </c>
      <c r="E334" s="211">
        <f>IFERROR(VLOOKUP($C334,'PORTIFÓLIO'!C:V,3,0),"")</f>
        <v/>
      </c>
      <c r="F334" s="211">
        <f>IFERROR(VLOOKUP($C334,'PORTIFÓLIO'!C:V,4,0),"")</f>
        <v/>
      </c>
      <c r="G334" s="215">
        <f>IFERROR(VLOOKUP($C334,'PORTIFÓLIO'!C:V,5,0),"")</f>
        <v/>
      </c>
      <c r="H334" s="254">
        <f t="array" ref="H334">IFERROR(INDEX('PORTIFÓLIO'!$H$4:$H$433,MATCH($C334,'PORTIFÓLIO'!$C$4:$C$433,0)),"")</f>
        <v/>
      </c>
      <c r="I334" s="256" t="n"/>
      <c r="J334" s="218">
        <f>I334*$B$2</f>
        <v/>
      </c>
      <c r="K334" s="292">
        <f t="array" ref="K334">IFERROR(I334*INDEX('PORTIFÓLIO'!$S$4:$S$433,MATCH($C334,'PORTIFÓLIO'!$C$4:$C$433,0)),"")</f>
        <v/>
      </c>
      <c r="L334" s="292">
        <f t="array" ref="L334">IFERROR(J334*INDEX('PORTIFÓLIO'!$S$4:$S$433,MATCH($C334,'PORTIFÓLIO'!$C$4:$C$433,0)),"")</f>
        <v/>
      </c>
      <c r="M334" s="220" t="n"/>
      <c r="N334" s="220" t="n"/>
      <c r="O334" s="220" t="n"/>
      <c r="P334" s="220" t="n"/>
      <c r="Q334" s="220" t="n"/>
      <c r="R334" s="220" t="n"/>
      <c r="S334" s="220" t="n"/>
      <c r="T334" s="220" t="n"/>
      <c r="U334" s="220" t="n"/>
      <c r="V334" s="220" t="n"/>
      <c r="W334" s="220" t="n"/>
    </row>
    <row r="335" outlineLevel="1" ht="15.75" customHeight="1" s="297">
      <c r="A335" s="211" t="n"/>
      <c r="B335" s="212" t="n"/>
      <c r="C335" s="213" t="n"/>
      <c r="D335" s="214">
        <f>IFERROR(VLOOKUP($C335,'PORTIFÓLIO'!C:V,2,0),"")</f>
        <v/>
      </c>
      <c r="E335" s="211">
        <f>IFERROR(VLOOKUP($C335,'PORTIFÓLIO'!C:V,3,0),"")</f>
        <v/>
      </c>
      <c r="F335" s="211">
        <f>IFERROR(VLOOKUP($C335,'PORTIFÓLIO'!C:V,4,0),"")</f>
        <v/>
      </c>
      <c r="G335" s="215">
        <f>IFERROR(VLOOKUP($C335,'PORTIFÓLIO'!C:V,5,0),"")</f>
        <v/>
      </c>
      <c r="H335" s="254">
        <f t="array" ref="H335">IFERROR(INDEX('PORTIFÓLIO'!$H$4:$H$433,MATCH($C335,'PORTIFÓLIO'!$C$4:$C$433,0)),"")</f>
        <v/>
      </c>
      <c r="I335" s="256" t="n"/>
      <c r="J335" s="218">
        <f>I335*$B$2</f>
        <v/>
      </c>
      <c r="K335" s="292">
        <f t="array" ref="K335">IFERROR(I335*INDEX('PORTIFÓLIO'!$S$4:$S$433,MATCH($C335,'PORTIFÓLIO'!$C$4:$C$433,0)),"")</f>
        <v/>
      </c>
      <c r="L335" s="292">
        <f t="array" ref="L335">IFERROR(J335*INDEX('PORTIFÓLIO'!$S$4:$S$433,MATCH($C335,'PORTIFÓLIO'!$C$4:$C$433,0)),"")</f>
        <v/>
      </c>
      <c r="M335" s="220" t="n"/>
      <c r="N335" s="220" t="n"/>
      <c r="O335" s="220" t="n"/>
      <c r="P335" s="220" t="n"/>
      <c r="Q335" s="220" t="n"/>
      <c r="R335" s="220" t="n"/>
      <c r="S335" s="220" t="n"/>
      <c r="T335" s="220" t="n"/>
      <c r="U335" s="220" t="n"/>
      <c r="V335" s="220" t="n"/>
      <c r="W335" s="220" t="n"/>
    </row>
    <row r="336" outlineLevel="1" ht="15.75" customHeight="1" s="297">
      <c r="A336" s="211" t="n"/>
      <c r="B336" s="212" t="n"/>
      <c r="C336" s="213" t="n"/>
      <c r="D336" s="214">
        <f>IFERROR(VLOOKUP($C336,'PORTIFÓLIO'!C:V,2,0),"")</f>
        <v/>
      </c>
      <c r="E336" s="211">
        <f>IFERROR(VLOOKUP($C336,'PORTIFÓLIO'!C:V,3,0),"")</f>
        <v/>
      </c>
      <c r="F336" s="211">
        <f>IFERROR(VLOOKUP($C336,'PORTIFÓLIO'!C:V,4,0),"")</f>
        <v/>
      </c>
      <c r="G336" s="215">
        <f>IFERROR(VLOOKUP($C336,'PORTIFÓLIO'!C:V,5,0),"")</f>
        <v/>
      </c>
      <c r="H336" s="254">
        <f t="array" ref="H336">IFERROR(INDEX('PORTIFÓLIO'!$H$4:$H$433,MATCH($C336,'PORTIFÓLIO'!$C$4:$C$433,0)),"")</f>
        <v/>
      </c>
      <c r="I336" s="256" t="n"/>
      <c r="J336" s="218">
        <f>I336*$B$2</f>
        <v/>
      </c>
      <c r="K336" s="292">
        <f t="array" ref="K336">IFERROR(I336*INDEX('PORTIFÓLIO'!$S$4:$S$433,MATCH($C336,'PORTIFÓLIO'!$C$4:$C$433,0)),"")</f>
        <v/>
      </c>
      <c r="L336" s="292">
        <f t="array" ref="L336">IFERROR(J336*INDEX('PORTIFÓLIO'!$S$4:$S$433,MATCH($C336,'PORTIFÓLIO'!$C$4:$C$433,0)),"")</f>
        <v/>
      </c>
      <c r="M336" s="220" t="n"/>
      <c r="N336" s="220" t="n"/>
      <c r="O336" s="220" t="n"/>
      <c r="P336" s="220" t="n"/>
      <c r="Q336" s="220" t="n"/>
      <c r="R336" s="220" t="n"/>
      <c r="S336" s="220" t="n"/>
      <c r="T336" s="220" t="n"/>
      <c r="U336" s="220" t="n"/>
      <c r="V336" s="220" t="n"/>
      <c r="W336" s="220" t="n"/>
    </row>
    <row r="337" outlineLevel="1" ht="15.75" customHeight="1" s="297">
      <c r="A337" s="211" t="n"/>
      <c r="B337" s="212" t="n"/>
      <c r="C337" s="213" t="n"/>
      <c r="D337" s="214">
        <f>IFERROR(VLOOKUP($C337,'PORTIFÓLIO'!C:V,2,0),"")</f>
        <v/>
      </c>
      <c r="E337" s="211">
        <f>IFERROR(VLOOKUP($C337,'PORTIFÓLIO'!C:V,3,0),"")</f>
        <v/>
      </c>
      <c r="F337" s="211">
        <f>IFERROR(VLOOKUP($C337,'PORTIFÓLIO'!C:V,4,0),"")</f>
        <v/>
      </c>
      <c r="G337" s="215">
        <f>IFERROR(VLOOKUP($C337,'PORTIFÓLIO'!C:V,5,0),"")</f>
        <v/>
      </c>
      <c r="H337" s="254">
        <f t="array" ref="H337">IFERROR(INDEX('PORTIFÓLIO'!$H$4:$H$433,MATCH($C337,'PORTIFÓLIO'!$C$4:$C$433,0)),"")</f>
        <v/>
      </c>
      <c r="I337" s="256" t="n"/>
      <c r="J337" s="218">
        <f>I337*$B$2</f>
        <v/>
      </c>
      <c r="K337" s="292">
        <f t="array" ref="K337">IFERROR(I337*INDEX('PORTIFÓLIO'!$S$4:$S$433,MATCH($C337,'PORTIFÓLIO'!$C$4:$C$433,0)),"")</f>
        <v/>
      </c>
      <c r="L337" s="292">
        <f t="array" ref="L337">IFERROR(J337*INDEX('PORTIFÓLIO'!$S$4:$S$433,MATCH($C337,'PORTIFÓLIO'!$C$4:$C$433,0)),"")</f>
        <v/>
      </c>
      <c r="M337" s="220" t="n"/>
      <c r="N337" s="220" t="n"/>
      <c r="O337" s="220" t="n"/>
      <c r="P337" s="220" t="n"/>
      <c r="Q337" s="220" t="n"/>
      <c r="R337" s="220" t="n"/>
      <c r="S337" s="220" t="n"/>
      <c r="T337" s="220" t="n"/>
      <c r="U337" s="220" t="n"/>
      <c r="V337" s="220" t="n"/>
      <c r="W337" s="220" t="n"/>
    </row>
    <row r="338" outlineLevel="1" ht="15.75" customHeight="1" s="297">
      <c r="A338" s="211" t="n"/>
      <c r="B338" s="212" t="n"/>
      <c r="C338" s="213" t="n"/>
      <c r="D338" s="214">
        <f>IFERROR(VLOOKUP($C338,'PORTIFÓLIO'!C:V,2,0),"")</f>
        <v/>
      </c>
      <c r="E338" s="211">
        <f>IFERROR(VLOOKUP($C338,'PORTIFÓLIO'!C:V,3,0),"")</f>
        <v/>
      </c>
      <c r="F338" s="211">
        <f>IFERROR(VLOOKUP($C338,'PORTIFÓLIO'!C:V,4,0),"")</f>
        <v/>
      </c>
      <c r="G338" s="215">
        <f>IFERROR(VLOOKUP($C338,'PORTIFÓLIO'!C:V,5,0),"")</f>
        <v/>
      </c>
      <c r="H338" s="254">
        <f t="array" ref="H338">IFERROR(INDEX('PORTIFÓLIO'!$H$4:$H$433,MATCH($C338,'PORTIFÓLIO'!$C$4:$C$433,0)),"")</f>
        <v/>
      </c>
      <c r="I338" s="256" t="n"/>
      <c r="J338" s="218">
        <f>I338*$B$2</f>
        <v/>
      </c>
      <c r="K338" s="292">
        <f t="array" ref="K338">IFERROR(I338*INDEX('PORTIFÓLIO'!$S$4:$S$433,MATCH($C338,'PORTIFÓLIO'!$C$4:$C$433,0)),"")</f>
        <v/>
      </c>
      <c r="L338" s="292">
        <f t="array" ref="L338">IFERROR(J338*INDEX('PORTIFÓLIO'!$S$4:$S$433,MATCH($C338,'PORTIFÓLIO'!$C$4:$C$433,0)),"")</f>
        <v/>
      </c>
      <c r="M338" s="220" t="n"/>
      <c r="N338" s="220" t="n"/>
      <c r="O338" s="220" t="n"/>
      <c r="P338" s="220" t="n"/>
      <c r="Q338" s="220" t="n"/>
      <c r="R338" s="220" t="n"/>
      <c r="S338" s="220" t="n"/>
      <c r="T338" s="220" t="n"/>
      <c r="U338" s="220" t="n"/>
      <c r="V338" s="220" t="n"/>
      <c r="W338" s="220" t="n"/>
    </row>
    <row r="339" outlineLevel="1" ht="15.75" customHeight="1" s="297">
      <c r="A339" s="211" t="n"/>
      <c r="B339" s="212" t="n"/>
      <c r="C339" s="213" t="n"/>
      <c r="D339" s="214">
        <f>IFERROR(VLOOKUP($C339,'PORTIFÓLIO'!C:V,2,0),"")</f>
        <v/>
      </c>
      <c r="E339" s="211">
        <f>IFERROR(VLOOKUP($C339,'PORTIFÓLIO'!C:V,3,0),"")</f>
        <v/>
      </c>
      <c r="F339" s="211">
        <f>IFERROR(VLOOKUP($C339,'PORTIFÓLIO'!C:V,4,0),"")</f>
        <v/>
      </c>
      <c r="G339" s="215">
        <f>IFERROR(VLOOKUP($C339,'PORTIFÓLIO'!C:V,5,0),"")</f>
        <v/>
      </c>
      <c r="H339" s="254">
        <f t="array" ref="H339">IFERROR(INDEX('PORTIFÓLIO'!$H$4:$H$433,MATCH($C339,'PORTIFÓLIO'!$C$4:$C$433,0)),"")</f>
        <v/>
      </c>
      <c r="I339" s="256" t="n"/>
      <c r="J339" s="218">
        <f>I339*$B$2</f>
        <v/>
      </c>
      <c r="K339" s="292">
        <f t="array" ref="K339">IFERROR(I339*INDEX('PORTIFÓLIO'!$S$4:$S$433,MATCH($C339,'PORTIFÓLIO'!$C$4:$C$433,0)),"")</f>
        <v/>
      </c>
      <c r="L339" s="292">
        <f t="array" ref="L339">IFERROR(J339*INDEX('PORTIFÓLIO'!$S$4:$S$433,MATCH($C339,'PORTIFÓLIO'!$C$4:$C$433,0)),"")</f>
        <v/>
      </c>
      <c r="M339" s="220" t="n"/>
      <c r="N339" s="220" t="n"/>
      <c r="O339" s="220" t="n"/>
      <c r="P339" s="220" t="n"/>
      <c r="Q339" s="220" t="n"/>
      <c r="R339" s="220" t="n"/>
      <c r="S339" s="220" t="n"/>
      <c r="T339" s="220" t="n"/>
      <c r="U339" s="220" t="n"/>
      <c r="V339" s="220" t="n"/>
      <c r="W339" s="220" t="n"/>
    </row>
    <row r="340" outlineLevel="1" ht="15.75" customHeight="1" s="297">
      <c r="A340" s="211" t="n"/>
      <c r="B340" s="227" t="n"/>
      <c r="C340" s="211" t="n"/>
      <c r="D340" s="214">
        <f>IFERROR(VLOOKUP($C340,'PORTIFÓLIO'!C:V,2,0),"")</f>
        <v/>
      </c>
      <c r="E340" s="211">
        <f>IFERROR(VLOOKUP($C340,'PORTIFÓLIO'!C:V,3,0),"")</f>
        <v/>
      </c>
      <c r="F340" s="211">
        <f>IFERROR(VLOOKUP($C340,'PORTIFÓLIO'!C:V,4,0),"")</f>
        <v/>
      </c>
      <c r="G340" s="215">
        <f>IFERROR(VLOOKUP($C340,'PORTIFÓLIO'!C:V,5,0),"")</f>
        <v/>
      </c>
      <c r="H340" s="254">
        <f t="array" ref="H340">IFERROR(INDEX('PORTIFÓLIO'!$H$4:$H$433,MATCH($C340,'PORTIFÓLIO'!$C$4:$C$433,0)),"")</f>
        <v/>
      </c>
      <c r="I340" s="256" t="n"/>
      <c r="J340" s="218" t="n"/>
      <c r="K340" s="292">
        <f t="array" ref="K340">IFERROR(I340*INDEX('PORTIFÓLIO'!$S$4:$S$433,MATCH($C340,'PORTIFÓLIO'!$C$4:$C$433,0)),"")</f>
        <v/>
      </c>
      <c r="L340" s="292">
        <f t="array" ref="L340">IFERROR(J340*INDEX('PORTIFÓLIO'!$S$4:$S$433,MATCH($C340,'PORTIFÓLIO'!$C$4:$C$433,0)),"")</f>
        <v/>
      </c>
      <c r="M340" s="220" t="n"/>
      <c r="N340" s="220" t="n"/>
      <c r="O340" s="220" t="n"/>
      <c r="P340" s="220" t="n"/>
      <c r="Q340" s="220" t="n"/>
      <c r="R340" s="220" t="n"/>
      <c r="S340" s="220" t="n"/>
      <c r="T340" s="220" t="n"/>
      <c r="U340" s="220" t="n"/>
      <c r="V340" s="220" t="n"/>
      <c r="W340" s="220" t="n"/>
    </row>
    <row r="341" ht="15.75" customHeight="1" s="297">
      <c r="A341" s="229" t="inlineStr">
        <is>
          <t>OPERAÇÃO 7</t>
        </is>
      </c>
      <c r="B341" s="230" t="n"/>
      <c r="C341" s="231" t="n"/>
      <c r="D341" s="232" t="n"/>
      <c r="E341" s="231" t="n"/>
      <c r="F341" s="231" t="n"/>
      <c r="G341" s="233" t="n"/>
      <c r="H341" s="233" t="n"/>
      <c r="I341" s="258" t="n"/>
      <c r="J341" s="236" t="n"/>
      <c r="K341" s="237">
        <f>SUBTOTAL(9,K342:K355)</f>
        <v/>
      </c>
      <c r="L341" s="237">
        <f>SUBTOTAL(9,L342:L355)</f>
        <v/>
      </c>
      <c r="M341" s="220" t="n"/>
      <c r="N341" s="220" t="n"/>
      <c r="O341" s="220" t="n"/>
      <c r="P341" s="220" t="n"/>
      <c r="Q341" s="220" t="n"/>
      <c r="R341" s="220" t="n"/>
      <c r="S341" s="220" t="n"/>
      <c r="T341" s="220" t="n"/>
      <c r="U341" s="220" t="n"/>
      <c r="V341" s="220" t="n"/>
      <c r="W341" s="220" t="n"/>
    </row>
    <row r="342" outlineLevel="1" ht="15.75" customHeight="1" s="297">
      <c r="A342" s="213" t="n"/>
      <c r="B342" s="212" t="n"/>
      <c r="C342" s="213" t="n"/>
      <c r="D342" s="214">
        <f>IFERROR(VLOOKUP($C342,'PORTIFÓLIO'!C:V,2,0),"")</f>
        <v/>
      </c>
      <c r="E342" s="211">
        <f>IFERROR(VLOOKUP($C342,'PORTIFÓLIO'!C:V,3,0),"")</f>
        <v/>
      </c>
      <c r="F342" s="211">
        <f>IFERROR(VLOOKUP($C342,'PORTIFÓLIO'!C:V,4,0),"")</f>
        <v/>
      </c>
      <c r="G342" s="215">
        <f>IFERROR(VLOOKUP($C342,'PORTIFÓLIO'!C:V,5,0),"")</f>
        <v/>
      </c>
      <c r="H342" s="254">
        <f t="array" ref="H342">IFERROR(INDEX('PORTIFÓLIO'!$H$4:$H$433,MATCH($C342,'PORTIFÓLIO'!$C$4:$C$433,0)),"")</f>
        <v/>
      </c>
      <c r="I342" s="255" t="n"/>
      <c r="J342" s="218">
        <f>I342*$B$2</f>
        <v/>
      </c>
      <c r="K342" s="292">
        <f t="array" ref="K342">IFERROR(I342*INDEX('PORTIFÓLIO'!$S$4:$S$433,MATCH($C342,'PORTIFÓLIO'!$C$4:$C$433,0)),"")</f>
        <v/>
      </c>
      <c r="L342" s="292">
        <f t="array" ref="L342">IFERROR(J342*INDEX('PORTIFÓLIO'!$S$4:$S$433,MATCH($C342,'PORTIFÓLIO'!$C$4:$C$433,0)),"")</f>
        <v/>
      </c>
      <c r="M342" s="220" t="n"/>
      <c r="N342" s="220" t="n"/>
      <c r="O342" s="220" t="n"/>
      <c r="P342" s="220" t="n"/>
      <c r="Q342" s="220" t="n"/>
      <c r="R342" s="220" t="n"/>
      <c r="S342" s="220" t="n"/>
      <c r="T342" s="220" t="n"/>
      <c r="U342" s="220" t="n"/>
      <c r="V342" s="220" t="n"/>
      <c r="W342" s="220" t="n"/>
    </row>
    <row r="343" outlineLevel="1" ht="15.75" customHeight="1" s="297">
      <c r="A343" s="211" t="n"/>
      <c r="B343" s="212" t="n"/>
      <c r="C343" s="213" t="n"/>
      <c r="D343" s="214">
        <f>IFERROR(VLOOKUP($C343,'PORTIFÓLIO'!C:V,2,0),"")</f>
        <v/>
      </c>
      <c r="E343" s="211">
        <f>IFERROR(VLOOKUP($C343,'PORTIFÓLIO'!C:V,3,0),"")</f>
        <v/>
      </c>
      <c r="F343" s="211">
        <f>IFERROR(VLOOKUP($C343,'PORTIFÓLIO'!C:V,4,0),"")</f>
        <v/>
      </c>
      <c r="G343" s="215">
        <f>IFERROR(VLOOKUP($C343,'PORTIFÓLIO'!C:V,5,0),"")</f>
        <v/>
      </c>
      <c r="H343" s="254">
        <f t="array" ref="H343">IFERROR(INDEX('PORTIFÓLIO'!$H$4:$H$433,MATCH($C343,'PORTIFÓLIO'!$C$4:$C$433,0)),"")</f>
        <v/>
      </c>
      <c r="I343" s="256" t="n"/>
      <c r="J343" s="218">
        <f>I343*$B$2</f>
        <v/>
      </c>
      <c r="K343" s="292">
        <f t="array" ref="K343">IFERROR(I343*INDEX('PORTIFÓLIO'!$S$4:$S$433,MATCH($C343,'PORTIFÓLIO'!$C$4:$C$433,0)),"")</f>
        <v/>
      </c>
      <c r="L343" s="292">
        <f t="array" ref="L343">IFERROR(J343*INDEX('PORTIFÓLIO'!$S$4:$S$433,MATCH($C343,'PORTIFÓLIO'!$C$4:$C$433,0)),"")</f>
        <v/>
      </c>
      <c r="M343" s="220" t="n"/>
      <c r="N343" s="220" t="n"/>
      <c r="O343" s="220" t="n"/>
      <c r="P343" s="220" t="n"/>
      <c r="Q343" s="220" t="n"/>
      <c r="R343" s="220" t="n"/>
      <c r="S343" s="220" t="n"/>
      <c r="T343" s="220" t="n"/>
      <c r="U343" s="220" t="n"/>
      <c r="V343" s="220" t="n"/>
      <c r="W343" s="220" t="n"/>
    </row>
    <row r="344" outlineLevel="1" ht="15.75" customHeight="1" s="297">
      <c r="A344" s="211" t="n"/>
      <c r="B344" s="212" t="n"/>
      <c r="C344" s="213" t="n"/>
      <c r="D344" s="214">
        <f>IFERROR(VLOOKUP($C344,'PORTIFÓLIO'!C:V,2,0),"")</f>
        <v/>
      </c>
      <c r="E344" s="211">
        <f>IFERROR(VLOOKUP($C344,'PORTIFÓLIO'!C:V,3,0),"")</f>
        <v/>
      </c>
      <c r="F344" s="211">
        <f>IFERROR(VLOOKUP($C344,'PORTIFÓLIO'!C:V,4,0),"")</f>
        <v/>
      </c>
      <c r="G344" s="215">
        <f>IFERROR(VLOOKUP($C344,'PORTIFÓLIO'!C:V,5,0),"")</f>
        <v/>
      </c>
      <c r="H344" s="254">
        <f t="array" ref="H344">IFERROR(INDEX('PORTIFÓLIO'!$H$4:$H$433,MATCH($C344,'PORTIFÓLIO'!$C$4:$C$433,0)),"")</f>
        <v/>
      </c>
      <c r="I344" s="256" t="n"/>
      <c r="J344" s="218">
        <f>I344*$B$2</f>
        <v/>
      </c>
      <c r="K344" s="292">
        <f t="array" ref="K344">IFERROR(I344*INDEX('PORTIFÓLIO'!$S$4:$S$433,MATCH($C344,'PORTIFÓLIO'!$C$4:$C$433,0)),"")</f>
        <v/>
      </c>
      <c r="L344" s="292">
        <f t="array" ref="L344">IFERROR(J344*INDEX('PORTIFÓLIO'!$S$4:$S$433,MATCH($C344,'PORTIFÓLIO'!$C$4:$C$433,0)),"")</f>
        <v/>
      </c>
      <c r="M344" s="220" t="n"/>
      <c r="N344" s="220" t="n"/>
      <c r="O344" s="220" t="n"/>
      <c r="P344" s="220" t="n"/>
      <c r="Q344" s="220" t="n"/>
      <c r="R344" s="220" t="n"/>
      <c r="S344" s="220" t="n"/>
      <c r="T344" s="220" t="n"/>
      <c r="U344" s="220" t="n"/>
      <c r="V344" s="220" t="n"/>
      <c r="W344" s="220" t="n"/>
    </row>
    <row r="345" outlineLevel="1" ht="15.75" customHeight="1" s="297">
      <c r="A345" s="211" t="n"/>
      <c r="B345" s="212" t="n"/>
      <c r="C345" s="213" t="n"/>
      <c r="D345" s="214">
        <f>IFERROR(VLOOKUP($C345,'PORTIFÓLIO'!C:V,2,0),"")</f>
        <v/>
      </c>
      <c r="E345" s="211">
        <f>IFERROR(VLOOKUP($C345,'PORTIFÓLIO'!C:V,3,0),"")</f>
        <v/>
      </c>
      <c r="F345" s="211">
        <f>IFERROR(VLOOKUP($C345,'PORTIFÓLIO'!C:V,4,0),"")</f>
        <v/>
      </c>
      <c r="G345" s="215">
        <f>IFERROR(VLOOKUP($C345,'PORTIFÓLIO'!C:V,5,0),"")</f>
        <v/>
      </c>
      <c r="H345" s="254">
        <f t="array" ref="H345">IFERROR(INDEX('PORTIFÓLIO'!$H$4:$H$433,MATCH($C345,'PORTIFÓLIO'!$C$4:$C$433,0)),"")</f>
        <v/>
      </c>
      <c r="I345" s="256" t="n"/>
      <c r="J345" s="218">
        <f>I345*$B$2</f>
        <v/>
      </c>
      <c r="K345" s="292">
        <f t="array" ref="K345">IFERROR(I345*INDEX('PORTIFÓLIO'!$S$4:$S$433,MATCH($C345,'PORTIFÓLIO'!$C$4:$C$433,0)),"")</f>
        <v/>
      </c>
      <c r="L345" s="292">
        <f t="array" ref="L345">IFERROR(J345*INDEX('PORTIFÓLIO'!$S$4:$S$433,MATCH($C345,'PORTIFÓLIO'!$C$4:$C$433,0)),"")</f>
        <v/>
      </c>
      <c r="M345" s="220" t="n"/>
      <c r="N345" s="220" t="n"/>
      <c r="O345" s="220" t="n"/>
      <c r="P345" s="220" t="n"/>
      <c r="Q345" s="220" t="n"/>
      <c r="R345" s="220" t="n"/>
      <c r="S345" s="220" t="n"/>
      <c r="T345" s="220" t="n"/>
      <c r="U345" s="220" t="n"/>
      <c r="V345" s="220" t="n"/>
      <c r="W345" s="220" t="n"/>
    </row>
    <row r="346" outlineLevel="1" ht="15.75" customHeight="1" s="297">
      <c r="A346" s="211" t="n"/>
      <c r="B346" s="212" t="n"/>
      <c r="C346" s="213" t="n"/>
      <c r="D346" s="214">
        <f>IFERROR(VLOOKUP($C346,'PORTIFÓLIO'!C:V,2,0),"")</f>
        <v/>
      </c>
      <c r="E346" s="211">
        <f>IFERROR(VLOOKUP($C346,'PORTIFÓLIO'!C:V,3,0),"")</f>
        <v/>
      </c>
      <c r="F346" s="211">
        <f>IFERROR(VLOOKUP($C346,'PORTIFÓLIO'!C:V,4,0),"")</f>
        <v/>
      </c>
      <c r="G346" s="215">
        <f>IFERROR(VLOOKUP($C346,'PORTIFÓLIO'!C:V,5,0),"")</f>
        <v/>
      </c>
      <c r="H346" s="254">
        <f t="array" ref="H346">IFERROR(INDEX('PORTIFÓLIO'!$H$4:$H$433,MATCH($C346,'PORTIFÓLIO'!$C$4:$C$433,0)),"")</f>
        <v/>
      </c>
      <c r="I346" s="256" t="n"/>
      <c r="J346" s="218">
        <f>I346*$B$2</f>
        <v/>
      </c>
      <c r="K346" s="292">
        <f t="array" ref="K346">IFERROR(I346*INDEX('PORTIFÓLIO'!$S$4:$S$433,MATCH($C346,'PORTIFÓLIO'!$C$4:$C$433,0)),"")</f>
        <v/>
      </c>
      <c r="L346" s="292">
        <f t="array" ref="L346">IFERROR(J346*INDEX('PORTIFÓLIO'!$S$4:$S$433,MATCH($C346,'PORTIFÓLIO'!$C$4:$C$433,0)),"")</f>
        <v/>
      </c>
      <c r="M346" s="220" t="n"/>
      <c r="N346" s="220" t="n"/>
      <c r="O346" s="220" t="n"/>
      <c r="P346" s="220" t="n"/>
      <c r="Q346" s="220" t="n"/>
      <c r="R346" s="220" t="n"/>
      <c r="S346" s="220" t="n"/>
      <c r="T346" s="220" t="n"/>
      <c r="U346" s="220" t="n"/>
      <c r="V346" s="220" t="n"/>
      <c r="W346" s="220" t="n"/>
    </row>
    <row r="347" outlineLevel="1" ht="15.75" customHeight="1" s="297">
      <c r="A347" s="211" t="n"/>
      <c r="B347" s="212" t="n"/>
      <c r="C347" s="213" t="n"/>
      <c r="D347" s="214">
        <f>IFERROR(VLOOKUP($C347,'PORTIFÓLIO'!C:V,2,0),"")</f>
        <v/>
      </c>
      <c r="E347" s="211">
        <f>IFERROR(VLOOKUP($C347,'PORTIFÓLIO'!C:V,3,0),"")</f>
        <v/>
      </c>
      <c r="F347" s="211">
        <f>IFERROR(VLOOKUP($C347,'PORTIFÓLIO'!C:V,4,0),"")</f>
        <v/>
      </c>
      <c r="G347" s="215">
        <f>IFERROR(VLOOKUP($C347,'PORTIFÓLIO'!C:V,5,0),"")</f>
        <v/>
      </c>
      <c r="H347" s="254">
        <f t="array" ref="H347">IFERROR(INDEX('PORTIFÓLIO'!$H$4:$H$433,MATCH($C347,'PORTIFÓLIO'!$C$4:$C$433,0)),"")</f>
        <v/>
      </c>
      <c r="I347" s="256" t="n"/>
      <c r="J347" s="218">
        <f>I347*$B$2</f>
        <v/>
      </c>
      <c r="K347" s="292">
        <f t="array" ref="K347">IFERROR(I347*INDEX('PORTIFÓLIO'!$S$4:$S$433,MATCH($C347,'PORTIFÓLIO'!$C$4:$C$433,0)),"")</f>
        <v/>
      </c>
      <c r="L347" s="292">
        <f t="array" ref="L347">IFERROR(J347*INDEX('PORTIFÓLIO'!$S$4:$S$433,MATCH($C347,'PORTIFÓLIO'!$C$4:$C$433,0)),"")</f>
        <v/>
      </c>
      <c r="M347" s="220" t="n"/>
      <c r="N347" s="220" t="n"/>
      <c r="O347" s="220" t="n"/>
      <c r="P347" s="220" t="n"/>
      <c r="Q347" s="220" t="n"/>
      <c r="R347" s="220" t="n"/>
      <c r="S347" s="220" t="n"/>
      <c r="T347" s="220" t="n"/>
      <c r="U347" s="220" t="n"/>
      <c r="V347" s="220" t="n"/>
      <c r="W347" s="220" t="n"/>
    </row>
    <row r="348" outlineLevel="1" ht="15.75" customHeight="1" s="297">
      <c r="A348" s="211" t="n"/>
      <c r="B348" s="212" t="n"/>
      <c r="C348" s="213" t="n"/>
      <c r="D348" s="214">
        <f>IFERROR(VLOOKUP($C348,'PORTIFÓLIO'!C:V,2,0),"")</f>
        <v/>
      </c>
      <c r="E348" s="211">
        <f>IFERROR(VLOOKUP($C348,'PORTIFÓLIO'!C:V,3,0),"")</f>
        <v/>
      </c>
      <c r="F348" s="211">
        <f>IFERROR(VLOOKUP($C348,'PORTIFÓLIO'!C:V,4,0),"")</f>
        <v/>
      </c>
      <c r="G348" s="215">
        <f>IFERROR(VLOOKUP($C348,'PORTIFÓLIO'!C:V,5,0),"")</f>
        <v/>
      </c>
      <c r="H348" s="254">
        <f t="array" ref="H348">IFERROR(INDEX('PORTIFÓLIO'!$H$4:$H$433,MATCH($C348,'PORTIFÓLIO'!$C$4:$C$433,0)),"")</f>
        <v/>
      </c>
      <c r="I348" s="256" t="n"/>
      <c r="J348" s="218">
        <f>I348*$B$2</f>
        <v/>
      </c>
      <c r="K348" s="292">
        <f t="array" ref="K348">IFERROR(I348*INDEX('PORTIFÓLIO'!$S$4:$S$433,MATCH($C348,'PORTIFÓLIO'!$C$4:$C$433,0)),"")</f>
        <v/>
      </c>
      <c r="L348" s="292">
        <f t="array" ref="L348">IFERROR(J348*INDEX('PORTIFÓLIO'!$S$4:$S$433,MATCH($C348,'PORTIFÓLIO'!$C$4:$C$433,0)),"")</f>
        <v/>
      </c>
      <c r="M348" s="220" t="n"/>
      <c r="N348" s="220" t="n"/>
      <c r="O348" s="220" t="n"/>
      <c r="P348" s="220" t="n"/>
      <c r="Q348" s="220" t="n"/>
      <c r="R348" s="220" t="n"/>
      <c r="S348" s="220" t="n"/>
      <c r="T348" s="220" t="n"/>
      <c r="U348" s="220" t="n"/>
      <c r="V348" s="220" t="n"/>
      <c r="W348" s="220" t="n"/>
    </row>
    <row r="349" outlineLevel="1" ht="15.75" customHeight="1" s="297">
      <c r="A349" s="211" t="n"/>
      <c r="B349" s="212" t="n"/>
      <c r="C349" s="213" t="n"/>
      <c r="D349" s="214">
        <f>IFERROR(VLOOKUP($C349,'PORTIFÓLIO'!C:V,2,0),"")</f>
        <v/>
      </c>
      <c r="E349" s="211">
        <f>IFERROR(VLOOKUP($C349,'PORTIFÓLIO'!C:V,3,0),"")</f>
        <v/>
      </c>
      <c r="F349" s="211">
        <f>IFERROR(VLOOKUP($C349,'PORTIFÓLIO'!C:V,4,0),"")</f>
        <v/>
      </c>
      <c r="G349" s="215">
        <f>IFERROR(VLOOKUP($C349,'PORTIFÓLIO'!C:V,5,0),"")</f>
        <v/>
      </c>
      <c r="H349" s="254">
        <f t="array" ref="H349">IFERROR(INDEX('PORTIFÓLIO'!$H$4:$H$433,MATCH($C349,'PORTIFÓLIO'!$C$4:$C$433,0)),"")</f>
        <v/>
      </c>
      <c r="I349" s="256" t="n"/>
      <c r="J349" s="218">
        <f>I349*$B$2</f>
        <v/>
      </c>
      <c r="K349" s="292">
        <f t="array" ref="K349">IFERROR(I349*INDEX('PORTIFÓLIO'!$S$4:$S$433,MATCH($C349,'PORTIFÓLIO'!$C$4:$C$433,0)),"")</f>
        <v/>
      </c>
      <c r="L349" s="292">
        <f t="array" ref="L349">IFERROR(J349*INDEX('PORTIFÓLIO'!$S$4:$S$433,MATCH($C349,'PORTIFÓLIO'!$C$4:$C$433,0)),"")</f>
        <v/>
      </c>
      <c r="M349" s="220" t="n"/>
      <c r="N349" s="220" t="n"/>
      <c r="O349" s="220" t="n"/>
      <c r="P349" s="220" t="n"/>
      <c r="Q349" s="220" t="n"/>
      <c r="R349" s="220" t="n"/>
      <c r="S349" s="220" t="n"/>
      <c r="T349" s="220" t="n"/>
      <c r="U349" s="220" t="n"/>
      <c r="V349" s="220" t="n"/>
      <c r="W349" s="220" t="n"/>
    </row>
    <row r="350" outlineLevel="1" ht="15.75" customHeight="1" s="297">
      <c r="A350" s="211" t="n"/>
      <c r="B350" s="212" t="n"/>
      <c r="C350" s="213" t="n"/>
      <c r="D350" s="214">
        <f>IFERROR(VLOOKUP($C350,'PORTIFÓLIO'!C:V,2,0),"")</f>
        <v/>
      </c>
      <c r="E350" s="211">
        <f>IFERROR(VLOOKUP($C350,'PORTIFÓLIO'!C:V,3,0),"")</f>
        <v/>
      </c>
      <c r="F350" s="211">
        <f>IFERROR(VLOOKUP($C350,'PORTIFÓLIO'!C:V,4,0),"")</f>
        <v/>
      </c>
      <c r="G350" s="215">
        <f>IFERROR(VLOOKUP($C350,'PORTIFÓLIO'!C:V,5,0),"")</f>
        <v/>
      </c>
      <c r="H350" s="254">
        <f t="array" ref="H350">IFERROR(INDEX('PORTIFÓLIO'!$H$4:$H$433,MATCH($C350,'PORTIFÓLIO'!$C$4:$C$433,0)),"")</f>
        <v/>
      </c>
      <c r="I350" s="255" t="n"/>
      <c r="J350" s="218">
        <f>I350*$B$2</f>
        <v/>
      </c>
      <c r="K350" s="292">
        <f t="array" ref="K350">IFERROR(I350*INDEX('PORTIFÓLIO'!$S$4:$S$433,MATCH($C350,'PORTIFÓLIO'!$C$4:$C$433,0)),"")</f>
        <v/>
      </c>
      <c r="L350" s="292">
        <f t="array" ref="L350">IFERROR(J350*INDEX('PORTIFÓLIO'!$S$4:$S$433,MATCH($C350,'PORTIFÓLIO'!$C$4:$C$433,0)),"")</f>
        <v/>
      </c>
      <c r="M350" s="220" t="n"/>
      <c r="N350" s="220" t="n"/>
      <c r="O350" s="220" t="n"/>
      <c r="P350" s="220" t="n"/>
      <c r="Q350" s="220" t="n"/>
      <c r="R350" s="220" t="n"/>
      <c r="S350" s="220" t="n"/>
      <c r="T350" s="220" t="n"/>
      <c r="U350" s="220" t="n"/>
      <c r="V350" s="220" t="n"/>
      <c r="W350" s="220" t="n"/>
    </row>
    <row r="351" outlineLevel="1" ht="15.75" customHeight="1" s="297">
      <c r="A351" s="211" t="n"/>
      <c r="B351" s="212" t="n"/>
      <c r="C351" s="213" t="n"/>
      <c r="D351" s="214">
        <f>IFERROR(VLOOKUP($C351,'PORTIFÓLIO'!C:V,2,0),"")</f>
        <v/>
      </c>
      <c r="E351" s="211">
        <f>IFERROR(VLOOKUP($C351,'PORTIFÓLIO'!C:V,3,0),"")</f>
        <v/>
      </c>
      <c r="F351" s="211">
        <f>IFERROR(VLOOKUP($C351,'PORTIFÓLIO'!C:V,4,0),"")</f>
        <v/>
      </c>
      <c r="G351" s="215">
        <f>IFERROR(VLOOKUP($C351,'PORTIFÓLIO'!C:V,5,0),"")</f>
        <v/>
      </c>
      <c r="H351" s="254">
        <f t="array" ref="H351">IFERROR(INDEX('PORTIFÓLIO'!$H$4:$H$433,MATCH($C351,'PORTIFÓLIO'!$C$4:$C$433,0)),"")</f>
        <v/>
      </c>
      <c r="I351" s="256" t="n"/>
      <c r="J351" s="218">
        <f>I351*$B$2</f>
        <v/>
      </c>
      <c r="K351" s="292">
        <f t="array" ref="K351">IFERROR(I351*INDEX('PORTIFÓLIO'!$S$4:$S$433,MATCH($C351,'PORTIFÓLIO'!$C$4:$C$433,0)),"")</f>
        <v/>
      </c>
      <c r="L351" s="292">
        <f t="array" ref="L351">IFERROR(J351*INDEX('PORTIFÓLIO'!$S$4:$S$433,MATCH($C351,'PORTIFÓLIO'!$C$4:$C$433,0)),"")</f>
        <v/>
      </c>
      <c r="M351" s="220" t="n"/>
      <c r="N351" s="220" t="n"/>
      <c r="O351" s="220" t="n"/>
      <c r="P351" s="220" t="n"/>
      <c r="Q351" s="220" t="n"/>
      <c r="R351" s="220" t="n"/>
      <c r="S351" s="220" t="n"/>
      <c r="T351" s="220" t="n"/>
      <c r="U351" s="220" t="n"/>
      <c r="V351" s="220" t="n"/>
      <c r="W351" s="220" t="n"/>
    </row>
    <row r="352" outlineLevel="1" ht="15.75" customHeight="1" s="297">
      <c r="A352" s="211" t="n"/>
      <c r="B352" s="212" t="n"/>
      <c r="C352" s="213" t="n"/>
      <c r="D352" s="214">
        <f>IFERROR(VLOOKUP($C352,'PORTIFÓLIO'!C:V,2,0),"")</f>
        <v/>
      </c>
      <c r="E352" s="211">
        <f>IFERROR(VLOOKUP($C352,'PORTIFÓLIO'!C:V,3,0),"")</f>
        <v/>
      </c>
      <c r="F352" s="211">
        <f>IFERROR(VLOOKUP($C352,'PORTIFÓLIO'!C:V,4,0),"")</f>
        <v/>
      </c>
      <c r="G352" s="215">
        <f>IFERROR(VLOOKUP($C352,'PORTIFÓLIO'!C:V,5,0),"")</f>
        <v/>
      </c>
      <c r="H352" s="254">
        <f t="array" ref="H352">IFERROR(INDEX('PORTIFÓLIO'!$H$4:$H$433,MATCH($C352,'PORTIFÓLIO'!$C$4:$C$433,0)),"")</f>
        <v/>
      </c>
      <c r="I352" s="256" t="n"/>
      <c r="J352" s="218">
        <f>I352*$B$2</f>
        <v/>
      </c>
      <c r="K352" s="292">
        <f t="array" ref="K352">IFERROR(I352*INDEX('PORTIFÓLIO'!$S$4:$S$433,MATCH($C352,'PORTIFÓLIO'!$C$4:$C$433,0)),"")</f>
        <v/>
      </c>
      <c r="L352" s="292">
        <f t="array" ref="L352">IFERROR(J352*INDEX('PORTIFÓLIO'!$S$4:$S$433,MATCH($C352,'PORTIFÓLIO'!$C$4:$C$433,0)),"")</f>
        <v/>
      </c>
      <c r="M352" s="220" t="n"/>
      <c r="N352" s="220" t="n"/>
      <c r="O352" s="220" t="n"/>
      <c r="P352" s="220" t="n"/>
      <c r="Q352" s="220" t="n"/>
      <c r="R352" s="220" t="n"/>
      <c r="S352" s="220" t="n"/>
      <c r="T352" s="220" t="n"/>
      <c r="U352" s="220" t="n"/>
      <c r="V352" s="220" t="n"/>
      <c r="W352" s="220" t="n"/>
    </row>
    <row r="353" outlineLevel="1" ht="15.75" customHeight="1" s="297">
      <c r="A353" s="211" t="n"/>
      <c r="B353" s="212" t="n"/>
      <c r="C353" s="213" t="n"/>
      <c r="D353" s="214">
        <f>IFERROR(VLOOKUP($C353,'PORTIFÓLIO'!C:V,2,0),"")</f>
        <v/>
      </c>
      <c r="E353" s="211">
        <f>IFERROR(VLOOKUP($C353,'PORTIFÓLIO'!C:V,3,0),"")</f>
        <v/>
      </c>
      <c r="F353" s="211">
        <f>IFERROR(VLOOKUP($C353,'PORTIFÓLIO'!C:V,4,0),"")</f>
        <v/>
      </c>
      <c r="G353" s="215">
        <f>IFERROR(VLOOKUP($C353,'PORTIFÓLIO'!C:V,5,0),"")</f>
        <v/>
      </c>
      <c r="H353" s="254">
        <f t="array" ref="H353">IFERROR(INDEX('PORTIFÓLIO'!$H$4:$H$433,MATCH($C353,'PORTIFÓLIO'!$C$4:$C$433,0)),"")</f>
        <v/>
      </c>
      <c r="I353" s="256" t="n"/>
      <c r="J353" s="218">
        <f>I353*$B$2</f>
        <v/>
      </c>
      <c r="K353" s="292">
        <f t="array" ref="K353">IFERROR(I353*INDEX('PORTIFÓLIO'!$S$4:$S$433,MATCH($C353,'PORTIFÓLIO'!$C$4:$C$433,0)),"")</f>
        <v/>
      </c>
      <c r="L353" s="292">
        <f t="array" ref="L353">IFERROR(J353*INDEX('PORTIFÓLIO'!$S$4:$S$433,MATCH($C353,'PORTIFÓLIO'!$C$4:$C$433,0)),"")</f>
        <v/>
      </c>
      <c r="M353" s="220" t="n"/>
      <c r="N353" s="220" t="n"/>
      <c r="O353" s="220" t="n"/>
      <c r="P353" s="220" t="n"/>
      <c r="Q353" s="220" t="n"/>
      <c r="R353" s="220" t="n"/>
      <c r="S353" s="220" t="n"/>
      <c r="T353" s="220" t="n"/>
      <c r="U353" s="220" t="n"/>
      <c r="V353" s="220" t="n"/>
      <c r="W353" s="220" t="n"/>
    </row>
    <row r="354" outlineLevel="1" ht="15.75" customHeight="1" s="297">
      <c r="A354" s="211" t="n"/>
      <c r="B354" s="212" t="n"/>
      <c r="C354" s="213" t="n"/>
      <c r="D354" s="214">
        <f>IFERROR(VLOOKUP($C354,'PORTIFÓLIO'!C:V,2,0),"")</f>
        <v/>
      </c>
      <c r="E354" s="211">
        <f>IFERROR(VLOOKUP($C354,'PORTIFÓLIO'!C:V,3,0),"")</f>
        <v/>
      </c>
      <c r="F354" s="211">
        <f>IFERROR(VLOOKUP($C354,'PORTIFÓLIO'!C:V,4,0),"")</f>
        <v/>
      </c>
      <c r="G354" s="215">
        <f>IFERROR(VLOOKUP($C354,'PORTIFÓLIO'!C:V,5,0),"")</f>
        <v/>
      </c>
      <c r="H354" s="254">
        <f t="array" ref="H354">IFERROR(INDEX('PORTIFÓLIO'!$H$4:$H$433,MATCH($C354,'PORTIFÓLIO'!$C$4:$C$433,0)),"")</f>
        <v/>
      </c>
      <c r="I354" s="256" t="n"/>
      <c r="J354" s="218">
        <f>I354*$B$2</f>
        <v/>
      </c>
      <c r="K354" s="292">
        <f t="array" ref="K354">IFERROR(I354*INDEX('PORTIFÓLIO'!$S$4:$S$433,MATCH($C354,'PORTIFÓLIO'!$C$4:$C$433,0)),"")</f>
        <v/>
      </c>
      <c r="L354" s="292">
        <f t="array" ref="L354">IFERROR(J354*INDEX('PORTIFÓLIO'!$S$4:$S$433,MATCH($C354,'PORTIFÓLIO'!$C$4:$C$433,0)),"")</f>
        <v/>
      </c>
      <c r="M354" s="220" t="n"/>
      <c r="N354" s="220" t="n"/>
      <c r="O354" s="220" t="n"/>
      <c r="P354" s="220" t="n"/>
      <c r="Q354" s="220" t="n"/>
      <c r="R354" s="220" t="n"/>
      <c r="S354" s="220" t="n"/>
      <c r="T354" s="220" t="n"/>
      <c r="U354" s="220" t="n"/>
      <c r="V354" s="220" t="n"/>
      <c r="W354" s="220" t="n"/>
    </row>
    <row r="355" outlineLevel="1" ht="15.75" customHeight="1" s="297">
      <c r="A355" s="211" t="n"/>
      <c r="B355" s="212" t="n"/>
      <c r="C355" s="213" t="n"/>
      <c r="D355" s="214">
        <f>IFERROR(VLOOKUP($C355,'PORTIFÓLIO'!C:V,2,0),"")</f>
        <v/>
      </c>
      <c r="E355" s="211">
        <f>IFERROR(VLOOKUP($C355,'PORTIFÓLIO'!C:V,3,0),"")</f>
        <v/>
      </c>
      <c r="F355" s="211">
        <f>IFERROR(VLOOKUP($C355,'PORTIFÓLIO'!C:V,4,0),"")</f>
        <v/>
      </c>
      <c r="G355" s="215">
        <f>IFERROR(VLOOKUP($C355,'PORTIFÓLIO'!C:V,5,0),"")</f>
        <v/>
      </c>
      <c r="H355" s="254">
        <f t="array" ref="H355">IFERROR(INDEX('PORTIFÓLIO'!$H$4:$H$433,MATCH($C355,'PORTIFÓLIO'!$C$4:$C$433,0)),"")</f>
        <v/>
      </c>
      <c r="I355" s="256" t="n"/>
      <c r="J355" s="218">
        <f>I355*$B$2</f>
        <v/>
      </c>
      <c r="K355" s="292">
        <f t="array" ref="K355">IFERROR(I355*INDEX('PORTIFÓLIO'!$S$4:$S$433,MATCH($C355,'PORTIFÓLIO'!$C$4:$C$433,0)),"")</f>
        <v/>
      </c>
      <c r="L355" s="292">
        <f t="array" ref="L355">IFERROR(J355*INDEX('PORTIFÓLIO'!$S$4:$S$433,MATCH($C355,'PORTIFÓLIO'!$C$4:$C$433,0)),"")</f>
        <v/>
      </c>
      <c r="M355" s="220" t="n"/>
      <c r="N355" s="220" t="n"/>
      <c r="O355" s="220" t="n"/>
      <c r="P355" s="220" t="n"/>
      <c r="Q355" s="220" t="n"/>
      <c r="R355" s="220" t="n"/>
      <c r="S355" s="220" t="n"/>
      <c r="T355" s="220" t="n"/>
      <c r="U355" s="220" t="n"/>
      <c r="V355" s="220" t="n"/>
      <c r="W355" s="220" t="n"/>
    </row>
    <row r="356" outlineLevel="1" ht="15.75" customHeight="1" s="297">
      <c r="A356" s="211" t="n"/>
      <c r="B356" s="212" t="n"/>
      <c r="C356" s="213" t="n"/>
      <c r="D356" s="214">
        <f>IFERROR(VLOOKUP($C356,'PORTIFÓLIO'!C:V,2,0),"")</f>
        <v/>
      </c>
      <c r="E356" s="211">
        <f>IFERROR(VLOOKUP($C356,'PORTIFÓLIO'!C:V,3,0),"")</f>
        <v/>
      </c>
      <c r="F356" s="211">
        <f>IFERROR(VLOOKUP($C356,'PORTIFÓLIO'!C:V,4,0),"")</f>
        <v/>
      </c>
      <c r="G356" s="215">
        <f>IFERROR(VLOOKUP($C356,'PORTIFÓLIO'!C:V,5,0),"")</f>
        <v/>
      </c>
      <c r="H356" s="254">
        <f t="array" ref="H356">IFERROR(INDEX('PORTIFÓLIO'!$H$4:$H$433,MATCH($C356,'PORTIFÓLIO'!$C$4:$C$433,0)),"")</f>
        <v/>
      </c>
      <c r="I356" s="256" t="n"/>
      <c r="J356" s="218">
        <f>I356*$B$2</f>
        <v/>
      </c>
      <c r="K356" s="292">
        <f t="array" ref="K356">IFERROR(I356*INDEX('PORTIFÓLIO'!$S$4:$S$433,MATCH($C356,'PORTIFÓLIO'!$C$4:$C$433,0)),"")</f>
        <v/>
      </c>
      <c r="L356" s="292">
        <f t="array" ref="L356">IFERROR(J356*INDEX('PORTIFÓLIO'!$S$4:$S$433,MATCH($C356,'PORTIFÓLIO'!$C$4:$C$433,0)),"")</f>
        <v/>
      </c>
      <c r="M356" s="220" t="n"/>
      <c r="N356" s="220" t="n"/>
      <c r="O356" s="220" t="n"/>
      <c r="P356" s="220" t="n"/>
      <c r="Q356" s="220" t="n"/>
      <c r="R356" s="220" t="n"/>
      <c r="S356" s="220" t="n"/>
      <c r="T356" s="220" t="n"/>
      <c r="U356" s="220" t="n"/>
      <c r="V356" s="220" t="n"/>
      <c r="W356" s="220" t="n"/>
    </row>
    <row r="357" outlineLevel="1" ht="15.75" customHeight="1" s="297">
      <c r="A357" s="211" t="n"/>
      <c r="B357" s="227" t="n"/>
      <c r="C357" s="211" t="n"/>
      <c r="D357" s="214">
        <f>IFERROR(VLOOKUP($C357,'PORTIFÓLIO'!C:V,2,0),"")</f>
        <v/>
      </c>
      <c r="E357" s="211">
        <f>IFERROR(VLOOKUP($C357,'PORTIFÓLIO'!C:V,3,0),"")</f>
        <v/>
      </c>
      <c r="F357" s="211">
        <f>IFERROR(VLOOKUP($C357,'PORTIFÓLIO'!C:V,4,0),"")</f>
        <v/>
      </c>
      <c r="G357" s="215">
        <f>IFERROR(VLOOKUP($C357,'PORTIFÓLIO'!C:V,5,0),"")</f>
        <v/>
      </c>
      <c r="H357" s="254">
        <f t="array" ref="H357">IFERROR(INDEX('PORTIFÓLIO'!$H$4:$H$433,MATCH($C357,'PORTIFÓLIO'!$C$4:$C$433,0)),"")</f>
        <v/>
      </c>
      <c r="I357" s="256" t="n"/>
      <c r="J357" s="218" t="n"/>
      <c r="K357" s="292">
        <f t="array" ref="K357">IFERROR(I357*INDEX('PORTIFÓLIO'!$S$4:$S$433,MATCH($C357,'PORTIFÓLIO'!$C$4:$C$433,0)),"")</f>
        <v/>
      </c>
      <c r="L357" s="292">
        <f t="array" ref="L357">IFERROR(J357*INDEX('PORTIFÓLIO'!$S$4:$S$433,MATCH($C357,'PORTIFÓLIO'!$C$4:$C$433,0)),"")</f>
        <v/>
      </c>
      <c r="M357" s="220" t="n"/>
      <c r="N357" s="220" t="n"/>
      <c r="O357" s="220" t="n"/>
      <c r="P357" s="220" t="n"/>
      <c r="Q357" s="220" t="n"/>
      <c r="R357" s="220" t="n"/>
      <c r="S357" s="220" t="n"/>
      <c r="T357" s="220" t="n"/>
      <c r="U357" s="220" t="n"/>
      <c r="V357" s="220" t="n"/>
      <c r="W357" s="220" t="n"/>
    </row>
    <row r="358" ht="15.75" customHeight="1" s="297">
      <c r="A358" s="229" t="inlineStr">
        <is>
          <t>OPERAÇÃO 8</t>
        </is>
      </c>
      <c r="B358" s="230" t="n"/>
      <c r="C358" s="231" t="n"/>
      <c r="D358" s="232" t="n"/>
      <c r="E358" s="231" t="n"/>
      <c r="F358" s="231" t="n"/>
      <c r="G358" s="233" t="n"/>
      <c r="H358" s="233" t="n"/>
      <c r="I358" s="258" t="n"/>
      <c r="J358" s="236" t="n"/>
      <c r="K358" s="237">
        <f>SUBTOTAL(9,K359:K372)</f>
        <v/>
      </c>
      <c r="L358" s="237">
        <f>SUBTOTAL(9,L359:L372)</f>
        <v/>
      </c>
      <c r="M358" s="220" t="n"/>
      <c r="N358" s="220" t="n"/>
      <c r="O358" s="220" t="n"/>
      <c r="P358" s="220" t="n"/>
      <c r="Q358" s="220" t="n"/>
      <c r="R358" s="220" t="n"/>
      <c r="S358" s="220" t="n"/>
      <c r="T358" s="220" t="n"/>
      <c r="U358" s="220" t="n"/>
      <c r="V358" s="220" t="n"/>
      <c r="W358" s="220" t="n"/>
    </row>
    <row r="359" outlineLevel="1" ht="15.75" customHeight="1" s="297">
      <c r="A359" s="213" t="n"/>
      <c r="B359" s="212" t="n"/>
      <c r="C359" s="213" t="n"/>
      <c r="D359" s="214">
        <f>IFERROR(VLOOKUP($C359,'PORTIFÓLIO'!C:V,2,0),"")</f>
        <v/>
      </c>
      <c r="E359" s="211">
        <f>IFERROR(VLOOKUP($C359,'PORTIFÓLIO'!C:V,3,0),"")</f>
        <v/>
      </c>
      <c r="F359" s="211">
        <f>IFERROR(VLOOKUP($C359,'PORTIFÓLIO'!C:V,4,0),"")</f>
        <v/>
      </c>
      <c r="G359" s="215">
        <f>IFERROR(VLOOKUP($C359,'PORTIFÓLIO'!C:V,5,0),"")</f>
        <v/>
      </c>
      <c r="H359" s="254">
        <f t="array" ref="H359">IFERROR(INDEX('PORTIFÓLIO'!$H$4:$H$433,MATCH($C359,'PORTIFÓLIO'!$C$4:$C$433,0)),"")</f>
        <v/>
      </c>
      <c r="I359" s="255" t="n"/>
      <c r="J359" s="218">
        <f>I359*$B$2</f>
        <v/>
      </c>
      <c r="K359" s="292">
        <f t="array" ref="K359">IFERROR(I359*INDEX('PORTIFÓLIO'!$S$4:$S$433,MATCH($C359,'PORTIFÓLIO'!$C$4:$C$433,0)),"")</f>
        <v/>
      </c>
      <c r="L359" s="292">
        <f t="array" ref="L359">IFERROR(J359*INDEX('PORTIFÓLIO'!$S$4:$S$433,MATCH($C359,'PORTIFÓLIO'!$C$4:$C$433,0)),"")</f>
        <v/>
      </c>
      <c r="M359" s="220" t="n"/>
      <c r="N359" s="220" t="n"/>
      <c r="O359" s="220" t="n"/>
      <c r="P359" s="220" t="n"/>
      <c r="Q359" s="220" t="n"/>
      <c r="R359" s="220" t="n"/>
      <c r="S359" s="220" t="n"/>
      <c r="T359" s="220" t="n"/>
      <c r="U359" s="220" t="n"/>
      <c r="V359" s="220" t="n"/>
      <c r="W359" s="220" t="n"/>
    </row>
    <row r="360" outlineLevel="1" ht="15.75" customHeight="1" s="297">
      <c r="A360" s="211" t="n"/>
      <c r="B360" s="212" t="n"/>
      <c r="C360" s="213" t="n"/>
      <c r="D360" s="214">
        <f>IFERROR(VLOOKUP($C360,'PORTIFÓLIO'!C:V,2,0),"")</f>
        <v/>
      </c>
      <c r="E360" s="211">
        <f>IFERROR(VLOOKUP($C360,'PORTIFÓLIO'!C:V,3,0),"")</f>
        <v/>
      </c>
      <c r="F360" s="211">
        <f>IFERROR(VLOOKUP($C360,'PORTIFÓLIO'!C:V,4,0),"")</f>
        <v/>
      </c>
      <c r="G360" s="215">
        <f>IFERROR(VLOOKUP($C360,'PORTIFÓLIO'!C:V,5,0),"")</f>
        <v/>
      </c>
      <c r="H360" s="254">
        <f t="array" ref="H360">IFERROR(INDEX('PORTIFÓLIO'!$H$4:$H$433,MATCH($C360,'PORTIFÓLIO'!$C$4:$C$433,0)),"")</f>
        <v/>
      </c>
      <c r="I360" s="256" t="n"/>
      <c r="J360" s="218">
        <f>I360*$B$2</f>
        <v/>
      </c>
      <c r="K360" s="292">
        <f t="array" ref="K360">IFERROR(I360*INDEX('PORTIFÓLIO'!$S$4:$S$433,MATCH($C360,'PORTIFÓLIO'!$C$4:$C$433,0)),"")</f>
        <v/>
      </c>
      <c r="L360" s="292">
        <f t="array" ref="L360">IFERROR(J360*INDEX('PORTIFÓLIO'!$S$4:$S$433,MATCH($C360,'PORTIFÓLIO'!$C$4:$C$433,0)),"")</f>
        <v/>
      </c>
      <c r="M360" s="220" t="n"/>
      <c r="N360" s="220" t="n"/>
      <c r="O360" s="220" t="n"/>
      <c r="P360" s="220" t="n"/>
      <c r="Q360" s="220" t="n"/>
      <c r="R360" s="220" t="n"/>
      <c r="S360" s="220" t="n"/>
      <c r="T360" s="220" t="n"/>
      <c r="U360" s="220" t="n"/>
      <c r="V360" s="220" t="n"/>
      <c r="W360" s="220" t="n"/>
    </row>
    <row r="361" outlineLevel="1" ht="15.75" customHeight="1" s="297">
      <c r="A361" s="211" t="n"/>
      <c r="B361" s="212" t="n"/>
      <c r="C361" s="213" t="n"/>
      <c r="D361" s="214">
        <f>IFERROR(VLOOKUP($C361,'PORTIFÓLIO'!C:V,2,0),"")</f>
        <v/>
      </c>
      <c r="E361" s="211">
        <f>IFERROR(VLOOKUP($C361,'PORTIFÓLIO'!C:V,3,0),"")</f>
        <v/>
      </c>
      <c r="F361" s="211">
        <f>IFERROR(VLOOKUP($C361,'PORTIFÓLIO'!C:V,4,0),"")</f>
        <v/>
      </c>
      <c r="G361" s="215">
        <f>IFERROR(VLOOKUP($C361,'PORTIFÓLIO'!C:V,5,0),"")</f>
        <v/>
      </c>
      <c r="H361" s="254">
        <f t="array" ref="H361">IFERROR(INDEX('PORTIFÓLIO'!$H$4:$H$433,MATCH($C361,'PORTIFÓLIO'!$C$4:$C$433,0)),"")</f>
        <v/>
      </c>
      <c r="I361" s="256" t="n"/>
      <c r="J361" s="218">
        <f>I361*$B$2</f>
        <v/>
      </c>
      <c r="K361" s="292">
        <f t="array" ref="K361">IFERROR(I361*INDEX('PORTIFÓLIO'!$S$4:$S$433,MATCH($C361,'PORTIFÓLIO'!$C$4:$C$433,0)),"")</f>
        <v/>
      </c>
      <c r="L361" s="292">
        <f t="array" ref="L361">IFERROR(J361*INDEX('PORTIFÓLIO'!$S$4:$S$433,MATCH($C361,'PORTIFÓLIO'!$C$4:$C$433,0)),"")</f>
        <v/>
      </c>
      <c r="M361" s="220" t="n"/>
      <c r="N361" s="220" t="n"/>
      <c r="O361" s="220" t="n"/>
      <c r="P361" s="220" t="n"/>
      <c r="Q361" s="220" t="n"/>
      <c r="R361" s="220" t="n"/>
      <c r="S361" s="220" t="n"/>
      <c r="T361" s="220" t="n"/>
      <c r="U361" s="220" t="n"/>
      <c r="V361" s="220" t="n"/>
      <c r="W361" s="220" t="n"/>
    </row>
    <row r="362" outlineLevel="1" ht="15.75" customHeight="1" s="297">
      <c r="A362" s="211" t="n"/>
      <c r="B362" s="212" t="n"/>
      <c r="C362" s="213" t="n"/>
      <c r="D362" s="214">
        <f>IFERROR(VLOOKUP($C362,'PORTIFÓLIO'!C:V,2,0),"")</f>
        <v/>
      </c>
      <c r="E362" s="211">
        <f>IFERROR(VLOOKUP($C362,'PORTIFÓLIO'!C:V,3,0),"")</f>
        <v/>
      </c>
      <c r="F362" s="211">
        <f>IFERROR(VLOOKUP($C362,'PORTIFÓLIO'!C:V,4,0),"")</f>
        <v/>
      </c>
      <c r="G362" s="215">
        <f>IFERROR(VLOOKUP($C362,'PORTIFÓLIO'!C:V,5,0),"")</f>
        <v/>
      </c>
      <c r="H362" s="254">
        <f t="array" ref="H362">IFERROR(INDEX('PORTIFÓLIO'!$H$4:$H$433,MATCH($C362,'PORTIFÓLIO'!$C$4:$C$433,0)),"")</f>
        <v/>
      </c>
      <c r="I362" s="256" t="n"/>
      <c r="J362" s="218">
        <f>I362*$B$2</f>
        <v/>
      </c>
      <c r="K362" s="292">
        <f t="array" ref="K362">IFERROR(I362*INDEX('PORTIFÓLIO'!$S$4:$S$433,MATCH($C362,'PORTIFÓLIO'!$C$4:$C$433,0)),"")</f>
        <v/>
      </c>
      <c r="L362" s="292">
        <f t="array" ref="L362">IFERROR(J362*INDEX('PORTIFÓLIO'!$S$4:$S$433,MATCH($C362,'PORTIFÓLIO'!$C$4:$C$433,0)),"")</f>
        <v/>
      </c>
      <c r="M362" s="220" t="n"/>
      <c r="N362" s="220" t="n"/>
      <c r="O362" s="220" t="n"/>
      <c r="P362" s="220" t="n"/>
      <c r="Q362" s="220" t="n"/>
      <c r="R362" s="220" t="n"/>
      <c r="S362" s="220" t="n"/>
      <c r="T362" s="220" t="n"/>
      <c r="U362" s="220" t="n"/>
      <c r="V362" s="220" t="n"/>
      <c r="W362" s="220" t="n"/>
    </row>
    <row r="363" outlineLevel="1" ht="15.75" customHeight="1" s="297">
      <c r="A363" s="211" t="n"/>
      <c r="B363" s="212" t="n"/>
      <c r="C363" s="213" t="n"/>
      <c r="D363" s="214">
        <f>IFERROR(VLOOKUP($C363,'PORTIFÓLIO'!C:V,2,0),"")</f>
        <v/>
      </c>
      <c r="E363" s="211">
        <f>IFERROR(VLOOKUP($C363,'PORTIFÓLIO'!C:V,3,0),"")</f>
        <v/>
      </c>
      <c r="F363" s="211">
        <f>IFERROR(VLOOKUP($C363,'PORTIFÓLIO'!C:V,4,0),"")</f>
        <v/>
      </c>
      <c r="G363" s="215">
        <f>IFERROR(VLOOKUP($C363,'PORTIFÓLIO'!C:V,5,0),"")</f>
        <v/>
      </c>
      <c r="H363" s="254">
        <f t="array" ref="H363">IFERROR(INDEX('PORTIFÓLIO'!$H$4:$H$433,MATCH($C363,'PORTIFÓLIO'!$C$4:$C$433,0)),"")</f>
        <v/>
      </c>
      <c r="I363" s="256" t="n"/>
      <c r="J363" s="218">
        <f>I363*$B$2</f>
        <v/>
      </c>
      <c r="K363" s="292">
        <f t="array" ref="K363">IFERROR(I363*INDEX('PORTIFÓLIO'!$S$4:$S$433,MATCH($C363,'PORTIFÓLIO'!$C$4:$C$433,0)),"")</f>
        <v/>
      </c>
      <c r="L363" s="292">
        <f t="array" ref="L363">IFERROR(J363*INDEX('PORTIFÓLIO'!$S$4:$S$433,MATCH($C363,'PORTIFÓLIO'!$C$4:$C$433,0)),"")</f>
        <v/>
      </c>
      <c r="M363" s="220" t="n"/>
      <c r="N363" s="220" t="n"/>
      <c r="O363" s="220" t="n"/>
      <c r="P363" s="220" t="n"/>
      <c r="Q363" s="220" t="n"/>
      <c r="R363" s="220" t="n"/>
      <c r="S363" s="220" t="n"/>
      <c r="T363" s="220" t="n"/>
      <c r="U363" s="220" t="n"/>
      <c r="V363" s="220" t="n"/>
      <c r="W363" s="220" t="n"/>
    </row>
    <row r="364" outlineLevel="1" ht="15.75" customHeight="1" s="297">
      <c r="A364" s="211" t="n"/>
      <c r="B364" s="212" t="n"/>
      <c r="C364" s="213" t="n"/>
      <c r="D364" s="214">
        <f>IFERROR(VLOOKUP($C364,'PORTIFÓLIO'!C:V,2,0),"")</f>
        <v/>
      </c>
      <c r="E364" s="211">
        <f>IFERROR(VLOOKUP($C364,'PORTIFÓLIO'!C:V,3,0),"")</f>
        <v/>
      </c>
      <c r="F364" s="211">
        <f>IFERROR(VLOOKUP($C364,'PORTIFÓLIO'!C:V,4,0),"")</f>
        <v/>
      </c>
      <c r="G364" s="215">
        <f>IFERROR(VLOOKUP($C364,'PORTIFÓLIO'!C:V,5,0),"")</f>
        <v/>
      </c>
      <c r="H364" s="254">
        <f t="array" ref="H364">IFERROR(INDEX('PORTIFÓLIO'!$H$4:$H$433,MATCH($C364,'PORTIFÓLIO'!$C$4:$C$433,0)),"")</f>
        <v/>
      </c>
      <c r="I364" s="256" t="n"/>
      <c r="J364" s="218">
        <f>I364*$B$2</f>
        <v/>
      </c>
      <c r="K364" s="292">
        <f t="array" ref="K364">IFERROR(I364*INDEX('PORTIFÓLIO'!$S$4:$S$433,MATCH($C364,'PORTIFÓLIO'!$C$4:$C$433,0)),"")</f>
        <v/>
      </c>
      <c r="L364" s="292">
        <f t="array" ref="L364">IFERROR(J364*INDEX('PORTIFÓLIO'!$S$4:$S$433,MATCH($C364,'PORTIFÓLIO'!$C$4:$C$433,0)),"")</f>
        <v/>
      </c>
      <c r="M364" s="220" t="n"/>
      <c r="N364" s="220" t="n"/>
      <c r="O364" s="220" t="n"/>
      <c r="P364" s="220" t="n"/>
      <c r="Q364" s="220" t="n"/>
      <c r="R364" s="220" t="n"/>
      <c r="S364" s="220" t="n"/>
      <c r="T364" s="220" t="n"/>
      <c r="U364" s="220" t="n"/>
      <c r="V364" s="220" t="n"/>
      <c r="W364" s="220" t="n"/>
    </row>
    <row r="365" outlineLevel="1" ht="15.75" customHeight="1" s="297">
      <c r="A365" s="211" t="n"/>
      <c r="B365" s="212" t="n"/>
      <c r="C365" s="213" t="n"/>
      <c r="D365" s="214">
        <f>IFERROR(VLOOKUP($C365,'PORTIFÓLIO'!C:V,2,0),"")</f>
        <v/>
      </c>
      <c r="E365" s="211">
        <f>IFERROR(VLOOKUP($C365,'PORTIFÓLIO'!C:V,3,0),"")</f>
        <v/>
      </c>
      <c r="F365" s="211">
        <f>IFERROR(VLOOKUP($C365,'PORTIFÓLIO'!C:V,4,0),"")</f>
        <v/>
      </c>
      <c r="G365" s="215">
        <f>IFERROR(VLOOKUP($C365,'PORTIFÓLIO'!C:V,5,0),"")</f>
        <v/>
      </c>
      <c r="H365" s="254">
        <f t="array" ref="H365">IFERROR(INDEX('PORTIFÓLIO'!$H$4:$H$433,MATCH($C365,'PORTIFÓLIO'!$C$4:$C$433,0)),"")</f>
        <v/>
      </c>
      <c r="I365" s="256" t="n"/>
      <c r="J365" s="218">
        <f>I365*$B$2</f>
        <v/>
      </c>
      <c r="K365" s="292">
        <f t="array" ref="K365">IFERROR(I365*INDEX('PORTIFÓLIO'!$S$4:$S$433,MATCH($C365,'PORTIFÓLIO'!$C$4:$C$433,0)),"")</f>
        <v/>
      </c>
      <c r="L365" s="292">
        <f t="array" ref="L365">IFERROR(J365*INDEX('PORTIFÓLIO'!$S$4:$S$433,MATCH($C365,'PORTIFÓLIO'!$C$4:$C$433,0)),"")</f>
        <v/>
      </c>
      <c r="M365" s="220" t="n"/>
      <c r="N365" s="220" t="n"/>
      <c r="O365" s="220" t="n"/>
      <c r="P365" s="220" t="n"/>
      <c r="Q365" s="220" t="n"/>
      <c r="R365" s="220" t="n"/>
      <c r="S365" s="220" t="n"/>
      <c r="T365" s="220" t="n"/>
      <c r="U365" s="220" t="n"/>
      <c r="V365" s="220" t="n"/>
      <c r="W365" s="220" t="n"/>
    </row>
    <row r="366" outlineLevel="1" ht="15.75" customHeight="1" s="297">
      <c r="A366" s="211" t="n"/>
      <c r="B366" s="212" t="n"/>
      <c r="C366" s="213" t="n"/>
      <c r="D366" s="214">
        <f>IFERROR(VLOOKUP($C366,'PORTIFÓLIO'!C:V,2,0),"")</f>
        <v/>
      </c>
      <c r="E366" s="211">
        <f>IFERROR(VLOOKUP($C366,'PORTIFÓLIO'!C:V,3,0),"")</f>
        <v/>
      </c>
      <c r="F366" s="211">
        <f>IFERROR(VLOOKUP($C366,'PORTIFÓLIO'!C:V,4,0),"")</f>
        <v/>
      </c>
      <c r="G366" s="215">
        <f>IFERROR(VLOOKUP($C366,'PORTIFÓLIO'!C:V,5,0),"")</f>
        <v/>
      </c>
      <c r="H366" s="254">
        <f t="array" ref="H366">IFERROR(INDEX('PORTIFÓLIO'!$H$4:$H$433,MATCH($C366,'PORTIFÓLIO'!$C$4:$C$433,0)),"")</f>
        <v/>
      </c>
      <c r="I366" s="256" t="n"/>
      <c r="J366" s="218">
        <f>I366*$B$2</f>
        <v/>
      </c>
      <c r="K366" s="292">
        <f t="array" ref="K366">IFERROR(I366*INDEX('PORTIFÓLIO'!$S$4:$S$433,MATCH($C366,'PORTIFÓLIO'!$C$4:$C$433,0)),"")</f>
        <v/>
      </c>
      <c r="L366" s="292">
        <f t="array" ref="L366">IFERROR(J366*INDEX('PORTIFÓLIO'!$S$4:$S$433,MATCH($C366,'PORTIFÓLIO'!$C$4:$C$433,0)),"")</f>
        <v/>
      </c>
      <c r="M366" s="220" t="n"/>
      <c r="N366" s="220" t="n"/>
      <c r="O366" s="220" t="n"/>
      <c r="P366" s="220" t="n"/>
      <c r="Q366" s="220" t="n"/>
      <c r="R366" s="220" t="n"/>
      <c r="S366" s="220" t="n"/>
      <c r="T366" s="220" t="n"/>
      <c r="U366" s="220" t="n"/>
      <c r="V366" s="220" t="n"/>
      <c r="W366" s="220" t="n"/>
    </row>
    <row r="367" outlineLevel="1" ht="15.75" customHeight="1" s="297">
      <c r="A367" s="211" t="n"/>
      <c r="B367" s="212" t="n"/>
      <c r="C367" s="213" t="n"/>
      <c r="D367" s="214">
        <f>IFERROR(VLOOKUP($C367,'PORTIFÓLIO'!C:V,2,0),"")</f>
        <v/>
      </c>
      <c r="E367" s="211">
        <f>IFERROR(VLOOKUP($C367,'PORTIFÓLIO'!C:V,3,0),"")</f>
        <v/>
      </c>
      <c r="F367" s="211">
        <f>IFERROR(VLOOKUP($C367,'PORTIFÓLIO'!C:V,4,0),"")</f>
        <v/>
      </c>
      <c r="G367" s="215">
        <f>IFERROR(VLOOKUP($C367,'PORTIFÓLIO'!C:V,5,0),"")</f>
        <v/>
      </c>
      <c r="H367" s="254">
        <f t="array" ref="H367">IFERROR(INDEX('PORTIFÓLIO'!$H$4:$H$433,MATCH($C367,'PORTIFÓLIO'!$C$4:$C$433,0)),"")</f>
        <v/>
      </c>
      <c r="I367" s="255" t="n"/>
      <c r="J367" s="218">
        <f>I367*$B$2</f>
        <v/>
      </c>
      <c r="K367" s="292">
        <f t="array" ref="K367">IFERROR(I367*INDEX('PORTIFÓLIO'!$S$4:$S$433,MATCH($C367,'PORTIFÓLIO'!$C$4:$C$433,0)),"")</f>
        <v/>
      </c>
      <c r="L367" s="292">
        <f t="array" ref="L367">IFERROR(J367*INDEX('PORTIFÓLIO'!$S$4:$S$433,MATCH($C367,'PORTIFÓLIO'!$C$4:$C$433,0)),"")</f>
        <v/>
      </c>
      <c r="M367" s="220" t="n"/>
      <c r="N367" s="220" t="n"/>
      <c r="O367" s="220" t="n"/>
      <c r="P367" s="220" t="n"/>
      <c r="Q367" s="220" t="n"/>
      <c r="R367" s="220" t="n"/>
      <c r="S367" s="220" t="n"/>
      <c r="T367" s="220" t="n"/>
      <c r="U367" s="220" t="n"/>
      <c r="V367" s="220" t="n"/>
      <c r="W367" s="220" t="n"/>
    </row>
    <row r="368" outlineLevel="1" ht="15.75" customHeight="1" s="297">
      <c r="A368" s="211" t="n"/>
      <c r="B368" s="212" t="n"/>
      <c r="C368" s="213" t="n"/>
      <c r="D368" s="214">
        <f>IFERROR(VLOOKUP($C368,'PORTIFÓLIO'!C:V,2,0),"")</f>
        <v/>
      </c>
      <c r="E368" s="211">
        <f>IFERROR(VLOOKUP($C368,'PORTIFÓLIO'!C:V,3,0),"")</f>
        <v/>
      </c>
      <c r="F368" s="211">
        <f>IFERROR(VLOOKUP($C368,'PORTIFÓLIO'!C:V,4,0),"")</f>
        <v/>
      </c>
      <c r="G368" s="215">
        <f>IFERROR(VLOOKUP($C368,'PORTIFÓLIO'!C:V,5,0),"")</f>
        <v/>
      </c>
      <c r="H368" s="254">
        <f t="array" ref="H368">IFERROR(INDEX('PORTIFÓLIO'!$H$4:$H$433,MATCH($C368,'PORTIFÓLIO'!$C$4:$C$433,0)),"")</f>
        <v/>
      </c>
      <c r="I368" s="256" t="n"/>
      <c r="J368" s="218">
        <f>I368*$B$2</f>
        <v/>
      </c>
      <c r="K368" s="292">
        <f t="array" ref="K368">IFERROR(I368*INDEX('PORTIFÓLIO'!$S$4:$S$433,MATCH($C368,'PORTIFÓLIO'!$C$4:$C$433,0)),"")</f>
        <v/>
      </c>
      <c r="L368" s="292">
        <f t="array" ref="L368">IFERROR(J368*INDEX('PORTIFÓLIO'!$S$4:$S$433,MATCH($C368,'PORTIFÓLIO'!$C$4:$C$433,0)),"")</f>
        <v/>
      </c>
      <c r="M368" s="220" t="n"/>
      <c r="N368" s="220" t="n"/>
      <c r="O368" s="220" t="n"/>
      <c r="P368" s="220" t="n"/>
      <c r="Q368" s="220" t="n"/>
      <c r="R368" s="220" t="n"/>
      <c r="S368" s="220" t="n"/>
      <c r="T368" s="220" t="n"/>
      <c r="U368" s="220" t="n"/>
      <c r="V368" s="220" t="n"/>
      <c r="W368" s="220" t="n"/>
    </row>
    <row r="369" outlineLevel="1" ht="15.75" customHeight="1" s="297">
      <c r="A369" s="211" t="n"/>
      <c r="B369" s="212" t="n"/>
      <c r="C369" s="213" t="n"/>
      <c r="D369" s="214">
        <f>IFERROR(VLOOKUP($C369,'PORTIFÓLIO'!C:V,2,0),"")</f>
        <v/>
      </c>
      <c r="E369" s="211">
        <f>IFERROR(VLOOKUP($C369,'PORTIFÓLIO'!C:V,3,0),"")</f>
        <v/>
      </c>
      <c r="F369" s="211">
        <f>IFERROR(VLOOKUP($C369,'PORTIFÓLIO'!C:V,4,0),"")</f>
        <v/>
      </c>
      <c r="G369" s="215">
        <f>IFERROR(VLOOKUP($C369,'PORTIFÓLIO'!C:V,5,0),"")</f>
        <v/>
      </c>
      <c r="H369" s="254">
        <f t="array" ref="H369">IFERROR(INDEX('PORTIFÓLIO'!$H$4:$H$433,MATCH($C369,'PORTIFÓLIO'!$C$4:$C$433,0)),"")</f>
        <v/>
      </c>
      <c r="I369" s="256" t="n"/>
      <c r="J369" s="218">
        <f>I369*$B$2</f>
        <v/>
      </c>
      <c r="K369" s="292">
        <f t="array" ref="K369">IFERROR(I369*INDEX('PORTIFÓLIO'!$S$4:$S$433,MATCH($C369,'PORTIFÓLIO'!$C$4:$C$433,0)),"")</f>
        <v/>
      </c>
      <c r="L369" s="292">
        <f t="array" ref="L369">IFERROR(J369*INDEX('PORTIFÓLIO'!$S$4:$S$433,MATCH($C369,'PORTIFÓLIO'!$C$4:$C$433,0)),"")</f>
        <v/>
      </c>
      <c r="M369" s="220" t="n"/>
      <c r="N369" s="220" t="n"/>
      <c r="O369" s="220" t="n"/>
      <c r="P369" s="220" t="n"/>
      <c r="Q369" s="220" t="n"/>
      <c r="R369" s="220" t="n"/>
      <c r="S369" s="220" t="n"/>
      <c r="T369" s="220" t="n"/>
      <c r="U369" s="220" t="n"/>
      <c r="V369" s="220" t="n"/>
      <c r="W369" s="220" t="n"/>
    </row>
    <row r="370" outlineLevel="1" ht="15.75" customHeight="1" s="297">
      <c r="A370" s="211" t="n"/>
      <c r="B370" s="212" t="n"/>
      <c r="C370" s="213" t="n"/>
      <c r="D370" s="214">
        <f>IFERROR(VLOOKUP($C370,'PORTIFÓLIO'!C:V,2,0),"")</f>
        <v/>
      </c>
      <c r="E370" s="211">
        <f>IFERROR(VLOOKUP($C370,'PORTIFÓLIO'!C:V,3,0),"")</f>
        <v/>
      </c>
      <c r="F370" s="211">
        <f>IFERROR(VLOOKUP($C370,'PORTIFÓLIO'!C:V,4,0),"")</f>
        <v/>
      </c>
      <c r="G370" s="215">
        <f>IFERROR(VLOOKUP($C370,'PORTIFÓLIO'!C:V,5,0),"")</f>
        <v/>
      </c>
      <c r="H370" s="254">
        <f t="array" ref="H370">IFERROR(INDEX('PORTIFÓLIO'!$H$4:$H$433,MATCH($C370,'PORTIFÓLIO'!$C$4:$C$433,0)),"")</f>
        <v/>
      </c>
      <c r="I370" s="256" t="n"/>
      <c r="J370" s="218">
        <f>I370*$B$2</f>
        <v/>
      </c>
      <c r="K370" s="292">
        <f t="array" ref="K370">IFERROR(I370*INDEX('PORTIFÓLIO'!$S$4:$S$433,MATCH($C370,'PORTIFÓLIO'!$C$4:$C$433,0)),"")</f>
        <v/>
      </c>
      <c r="L370" s="292">
        <f t="array" ref="L370">IFERROR(J370*INDEX('PORTIFÓLIO'!$S$4:$S$433,MATCH($C370,'PORTIFÓLIO'!$C$4:$C$433,0)),"")</f>
        <v/>
      </c>
      <c r="M370" s="220" t="n"/>
      <c r="N370" s="220" t="n"/>
      <c r="O370" s="220" t="n"/>
      <c r="P370" s="220" t="n"/>
      <c r="Q370" s="220" t="n"/>
      <c r="R370" s="220" t="n"/>
      <c r="S370" s="220" t="n"/>
      <c r="T370" s="220" t="n"/>
      <c r="U370" s="220" t="n"/>
      <c r="V370" s="220" t="n"/>
      <c r="W370" s="220" t="n"/>
    </row>
    <row r="371" outlineLevel="1" ht="15.75" customHeight="1" s="297">
      <c r="A371" s="211" t="n"/>
      <c r="B371" s="212" t="n"/>
      <c r="C371" s="213" t="n"/>
      <c r="D371" s="214">
        <f>IFERROR(VLOOKUP($C371,'PORTIFÓLIO'!C:V,2,0),"")</f>
        <v/>
      </c>
      <c r="E371" s="211">
        <f>IFERROR(VLOOKUP($C371,'PORTIFÓLIO'!C:V,3,0),"")</f>
        <v/>
      </c>
      <c r="F371" s="211">
        <f>IFERROR(VLOOKUP($C371,'PORTIFÓLIO'!C:V,4,0),"")</f>
        <v/>
      </c>
      <c r="G371" s="215">
        <f>IFERROR(VLOOKUP($C371,'PORTIFÓLIO'!C:V,5,0),"")</f>
        <v/>
      </c>
      <c r="H371" s="254">
        <f t="array" ref="H371">IFERROR(INDEX('PORTIFÓLIO'!$H$4:$H$433,MATCH($C371,'PORTIFÓLIO'!$C$4:$C$433,0)),"")</f>
        <v/>
      </c>
      <c r="I371" s="256" t="n"/>
      <c r="J371" s="218">
        <f>I371*$B$2</f>
        <v/>
      </c>
      <c r="K371" s="292">
        <f t="array" ref="K371">IFERROR(I371*INDEX('PORTIFÓLIO'!$S$4:$S$433,MATCH($C371,'PORTIFÓLIO'!$C$4:$C$433,0)),"")</f>
        <v/>
      </c>
      <c r="L371" s="292">
        <f t="array" ref="L371">IFERROR(J371*INDEX('PORTIFÓLIO'!$S$4:$S$433,MATCH($C371,'PORTIFÓLIO'!$C$4:$C$433,0)),"")</f>
        <v/>
      </c>
      <c r="M371" s="220" t="n"/>
      <c r="N371" s="220" t="n"/>
      <c r="O371" s="220" t="n"/>
      <c r="P371" s="220" t="n"/>
      <c r="Q371" s="220" t="n"/>
      <c r="R371" s="220" t="n"/>
      <c r="S371" s="220" t="n"/>
      <c r="T371" s="220" t="n"/>
      <c r="U371" s="220" t="n"/>
      <c r="V371" s="220" t="n"/>
      <c r="W371" s="220" t="n"/>
    </row>
    <row r="372" outlineLevel="1" ht="15.75" customHeight="1" s="297">
      <c r="A372" s="211" t="n"/>
      <c r="B372" s="212" t="n"/>
      <c r="C372" s="213" t="n"/>
      <c r="D372" s="214">
        <f>IFERROR(VLOOKUP($C372,'PORTIFÓLIO'!C:V,2,0),"")</f>
        <v/>
      </c>
      <c r="E372" s="211">
        <f>IFERROR(VLOOKUP($C372,'PORTIFÓLIO'!C:V,3,0),"")</f>
        <v/>
      </c>
      <c r="F372" s="211">
        <f>IFERROR(VLOOKUP($C372,'PORTIFÓLIO'!C:V,4,0),"")</f>
        <v/>
      </c>
      <c r="G372" s="215">
        <f>IFERROR(VLOOKUP($C372,'PORTIFÓLIO'!C:V,5,0),"")</f>
        <v/>
      </c>
      <c r="H372" s="254">
        <f t="array" ref="H372">IFERROR(INDEX('PORTIFÓLIO'!$H$4:$H$433,MATCH($C372,'PORTIFÓLIO'!$C$4:$C$433,0)),"")</f>
        <v/>
      </c>
      <c r="I372" s="256" t="n"/>
      <c r="J372" s="218">
        <f>I372*$B$2</f>
        <v/>
      </c>
      <c r="K372" s="292">
        <f t="array" ref="K372">IFERROR(I372*INDEX('PORTIFÓLIO'!$S$4:$S$433,MATCH($C372,'PORTIFÓLIO'!$C$4:$C$433,0)),"")</f>
        <v/>
      </c>
      <c r="L372" s="292">
        <f t="array" ref="L372">IFERROR(J372*INDEX('PORTIFÓLIO'!$S$4:$S$433,MATCH($C372,'PORTIFÓLIO'!$C$4:$C$433,0)),"")</f>
        <v/>
      </c>
      <c r="M372" s="220" t="n"/>
      <c r="N372" s="220" t="n"/>
      <c r="O372" s="220" t="n"/>
      <c r="P372" s="220" t="n"/>
      <c r="Q372" s="220" t="n"/>
      <c r="R372" s="220" t="n"/>
      <c r="S372" s="220" t="n"/>
      <c r="T372" s="220" t="n"/>
      <c r="U372" s="220" t="n"/>
      <c r="V372" s="220" t="n"/>
      <c r="W372" s="220" t="n"/>
    </row>
    <row r="373" outlineLevel="1" ht="15.75" customHeight="1" s="297">
      <c r="A373" s="211" t="n"/>
      <c r="B373" s="212" t="n"/>
      <c r="C373" s="213" t="n"/>
      <c r="D373" s="214">
        <f>IFERROR(VLOOKUP($C373,'PORTIFÓLIO'!C:V,2,0),"")</f>
        <v/>
      </c>
      <c r="E373" s="211">
        <f>IFERROR(VLOOKUP($C373,'PORTIFÓLIO'!C:V,3,0),"")</f>
        <v/>
      </c>
      <c r="F373" s="211">
        <f>IFERROR(VLOOKUP($C373,'PORTIFÓLIO'!C:V,4,0),"")</f>
        <v/>
      </c>
      <c r="G373" s="215">
        <f>IFERROR(VLOOKUP($C373,'PORTIFÓLIO'!C:V,5,0),"")</f>
        <v/>
      </c>
      <c r="H373" s="254">
        <f t="array" ref="H373">IFERROR(INDEX('PORTIFÓLIO'!$H$4:$H$433,MATCH($C373,'PORTIFÓLIO'!$C$4:$C$433,0)),"")</f>
        <v/>
      </c>
      <c r="I373" s="256" t="n"/>
      <c r="J373" s="218">
        <f>I373*$B$2</f>
        <v/>
      </c>
      <c r="K373" s="292">
        <f t="array" ref="K373">IFERROR(I373*INDEX('PORTIFÓLIO'!$S$4:$S$433,MATCH($C373,'PORTIFÓLIO'!$C$4:$C$433,0)),"")</f>
        <v/>
      </c>
      <c r="L373" s="292">
        <f t="array" ref="L373">IFERROR(J373*INDEX('PORTIFÓLIO'!$S$4:$S$433,MATCH($C373,'PORTIFÓLIO'!$C$4:$C$433,0)),"")</f>
        <v/>
      </c>
      <c r="M373" s="220" t="n"/>
      <c r="N373" s="220" t="n"/>
      <c r="O373" s="220" t="n"/>
      <c r="P373" s="220" t="n"/>
      <c r="Q373" s="220" t="n"/>
      <c r="R373" s="220" t="n"/>
      <c r="S373" s="220" t="n"/>
      <c r="T373" s="220" t="n"/>
      <c r="U373" s="220" t="n"/>
      <c r="V373" s="220" t="n"/>
      <c r="W373" s="220" t="n"/>
    </row>
    <row r="374" outlineLevel="1" ht="15.75" customHeight="1" s="297">
      <c r="A374" s="211" t="n"/>
      <c r="B374" s="227" t="n"/>
      <c r="C374" s="211" t="n"/>
      <c r="D374" s="214">
        <f>IFERROR(VLOOKUP($C374,'PORTIFÓLIO'!C:V,2,0),"")</f>
        <v/>
      </c>
      <c r="E374" s="211">
        <f>IFERROR(VLOOKUP($C374,'PORTIFÓLIO'!C:V,3,0),"")</f>
        <v/>
      </c>
      <c r="F374" s="211">
        <f>IFERROR(VLOOKUP($C374,'PORTIFÓLIO'!C:V,4,0),"")</f>
        <v/>
      </c>
      <c r="G374" s="215">
        <f>IFERROR(VLOOKUP($C374,'PORTIFÓLIO'!C:V,5,0),"")</f>
        <v/>
      </c>
      <c r="H374" s="254">
        <f t="array" ref="H374">IFERROR(INDEX('PORTIFÓLIO'!$H$4:$H$433,MATCH($C374,'PORTIFÓLIO'!$C$4:$C$433,0)),"")</f>
        <v/>
      </c>
      <c r="I374" s="256" t="n"/>
      <c r="J374" s="218" t="n"/>
      <c r="K374" s="292">
        <f t="array" ref="K374">IFERROR(I374*INDEX('PORTIFÓLIO'!$S$4:$S$433,MATCH($C374,'PORTIFÓLIO'!$C$4:$C$433,0)),"")</f>
        <v/>
      </c>
      <c r="L374" s="292">
        <f t="array" ref="L374">IFERROR(J374*INDEX('PORTIFÓLIO'!$S$4:$S$433,MATCH($C374,'PORTIFÓLIO'!$C$4:$C$433,0)),"")</f>
        <v/>
      </c>
      <c r="M374" s="220" t="n"/>
      <c r="N374" s="220" t="n"/>
      <c r="O374" s="220" t="n"/>
      <c r="P374" s="220" t="n"/>
      <c r="Q374" s="220" t="n"/>
      <c r="R374" s="220" t="n"/>
      <c r="S374" s="220" t="n"/>
      <c r="T374" s="220" t="n"/>
      <c r="U374" s="220" t="n"/>
      <c r="V374" s="220" t="n"/>
      <c r="W374" s="220" t="n"/>
    </row>
    <row r="375" ht="15.75" customHeight="1" s="297">
      <c r="A375" s="229" t="inlineStr">
        <is>
          <t>OPERAÇÃO 9</t>
        </is>
      </c>
      <c r="B375" s="230" t="n"/>
      <c r="C375" s="231" t="n"/>
      <c r="D375" s="232" t="n"/>
      <c r="E375" s="231" t="n"/>
      <c r="F375" s="231" t="n"/>
      <c r="G375" s="233" t="n"/>
      <c r="H375" s="233" t="n"/>
      <c r="I375" s="258" t="n"/>
      <c r="J375" s="236" t="n"/>
      <c r="K375" s="237">
        <f>SUBTOTAL(9,K376:K389)</f>
        <v/>
      </c>
      <c r="L375" s="237">
        <f>SUBTOTAL(9,L376:L389)</f>
        <v/>
      </c>
      <c r="M375" s="220" t="n"/>
      <c r="N375" s="220" t="n"/>
      <c r="O375" s="220" t="n"/>
      <c r="P375" s="220" t="n"/>
      <c r="Q375" s="220" t="n"/>
      <c r="R375" s="220" t="n"/>
      <c r="S375" s="220" t="n"/>
      <c r="T375" s="220" t="n"/>
      <c r="U375" s="220" t="n"/>
      <c r="V375" s="220" t="n"/>
      <c r="W375" s="220" t="n"/>
    </row>
    <row r="376" outlineLevel="1" ht="15.75" customHeight="1" s="297">
      <c r="A376" s="213" t="n"/>
      <c r="B376" s="212" t="n"/>
      <c r="C376" s="213" t="n"/>
      <c r="D376" s="214">
        <f>IFERROR(VLOOKUP($C376,'PORTIFÓLIO'!C:V,2,0),"")</f>
        <v/>
      </c>
      <c r="E376" s="211">
        <f>IFERROR(VLOOKUP($C376,'PORTIFÓLIO'!C:V,3,0),"")</f>
        <v/>
      </c>
      <c r="F376" s="211">
        <f>IFERROR(VLOOKUP($C376,'PORTIFÓLIO'!C:V,4,0),"")</f>
        <v/>
      </c>
      <c r="G376" s="215">
        <f>IFERROR(VLOOKUP($C376,'PORTIFÓLIO'!C:V,5,0),"")</f>
        <v/>
      </c>
      <c r="H376" s="254">
        <f t="array" ref="H376">IFERROR(INDEX('PORTIFÓLIO'!$H$4:$H$433,MATCH($C376,'PORTIFÓLIO'!$C$4:$C$433,0)),"")</f>
        <v/>
      </c>
      <c r="I376" s="255" t="n"/>
      <c r="J376" s="218">
        <f>I376*$B$2</f>
        <v/>
      </c>
      <c r="K376" s="292">
        <f t="array" ref="K376">IFERROR(I376*INDEX('PORTIFÓLIO'!$S$4:$S$433,MATCH($C376,'PORTIFÓLIO'!$C$4:$C$433,0)),"")</f>
        <v/>
      </c>
      <c r="L376" s="292">
        <f t="array" ref="L376">IFERROR(J376*INDEX('PORTIFÓLIO'!$S$4:$S$433,MATCH($C376,'PORTIFÓLIO'!$C$4:$C$433,0)),"")</f>
        <v/>
      </c>
      <c r="M376" s="220" t="n"/>
      <c r="N376" s="220" t="n"/>
      <c r="O376" s="220" t="n"/>
      <c r="P376" s="220" t="n"/>
      <c r="Q376" s="220" t="n"/>
      <c r="R376" s="220" t="n"/>
      <c r="S376" s="220" t="n"/>
      <c r="T376" s="220" t="n"/>
      <c r="U376" s="220" t="n"/>
      <c r="V376" s="220" t="n"/>
      <c r="W376" s="220" t="n"/>
    </row>
    <row r="377" outlineLevel="1" ht="15.75" customHeight="1" s="297">
      <c r="A377" s="211" t="n"/>
      <c r="B377" s="212" t="n"/>
      <c r="C377" s="213" t="n"/>
      <c r="D377" s="214">
        <f>IFERROR(VLOOKUP($C377,'PORTIFÓLIO'!C:V,2,0),"")</f>
        <v/>
      </c>
      <c r="E377" s="211">
        <f>IFERROR(VLOOKUP($C377,'PORTIFÓLIO'!C:V,3,0),"")</f>
        <v/>
      </c>
      <c r="F377" s="211">
        <f>IFERROR(VLOOKUP($C377,'PORTIFÓLIO'!C:V,4,0),"")</f>
        <v/>
      </c>
      <c r="G377" s="215">
        <f>IFERROR(VLOOKUP($C377,'PORTIFÓLIO'!C:V,5,0),"")</f>
        <v/>
      </c>
      <c r="H377" s="254">
        <f t="array" ref="H377">IFERROR(INDEX('PORTIFÓLIO'!$H$4:$H$433,MATCH($C377,'PORTIFÓLIO'!$C$4:$C$433,0)),"")</f>
        <v/>
      </c>
      <c r="I377" s="256" t="n"/>
      <c r="J377" s="218">
        <f>I377*$B$2</f>
        <v/>
      </c>
      <c r="K377" s="292">
        <f t="array" ref="K377">IFERROR(I377*INDEX('PORTIFÓLIO'!$S$4:$S$433,MATCH($C377,'PORTIFÓLIO'!$C$4:$C$433,0)),"")</f>
        <v/>
      </c>
      <c r="L377" s="292">
        <f t="array" ref="L377">IFERROR(J377*INDEX('PORTIFÓLIO'!$S$4:$S$433,MATCH($C377,'PORTIFÓLIO'!$C$4:$C$433,0)),"")</f>
        <v/>
      </c>
      <c r="M377" s="220" t="n"/>
      <c r="N377" s="220" t="n"/>
      <c r="O377" s="220" t="n"/>
      <c r="P377" s="220" t="n"/>
      <c r="Q377" s="220" t="n"/>
      <c r="R377" s="220" t="n"/>
      <c r="S377" s="220" t="n"/>
      <c r="T377" s="220" t="n"/>
      <c r="U377" s="220" t="n"/>
      <c r="V377" s="220" t="n"/>
      <c r="W377" s="220" t="n"/>
    </row>
    <row r="378" outlineLevel="1" ht="15.75" customHeight="1" s="297">
      <c r="A378" s="211" t="n"/>
      <c r="B378" s="212" t="n"/>
      <c r="C378" s="213" t="n"/>
      <c r="D378" s="214">
        <f>IFERROR(VLOOKUP($C378,'PORTIFÓLIO'!C:V,2,0),"")</f>
        <v/>
      </c>
      <c r="E378" s="211">
        <f>IFERROR(VLOOKUP($C378,'PORTIFÓLIO'!C:V,3,0),"")</f>
        <v/>
      </c>
      <c r="F378" s="211">
        <f>IFERROR(VLOOKUP($C378,'PORTIFÓLIO'!C:V,4,0),"")</f>
        <v/>
      </c>
      <c r="G378" s="215">
        <f>IFERROR(VLOOKUP($C378,'PORTIFÓLIO'!C:V,5,0),"")</f>
        <v/>
      </c>
      <c r="H378" s="254">
        <f t="array" ref="H378">IFERROR(INDEX('PORTIFÓLIO'!$H$4:$H$433,MATCH($C378,'PORTIFÓLIO'!$C$4:$C$433,0)),"")</f>
        <v/>
      </c>
      <c r="I378" s="256" t="n"/>
      <c r="J378" s="218">
        <f>I378*$B$2</f>
        <v/>
      </c>
      <c r="K378" s="292">
        <f t="array" ref="K378">IFERROR(I378*INDEX('PORTIFÓLIO'!$S$4:$S$433,MATCH($C378,'PORTIFÓLIO'!$C$4:$C$433,0)),"")</f>
        <v/>
      </c>
      <c r="L378" s="292">
        <f t="array" ref="L378">IFERROR(J378*INDEX('PORTIFÓLIO'!$S$4:$S$433,MATCH($C378,'PORTIFÓLIO'!$C$4:$C$433,0)),"")</f>
        <v/>
      </c>
      <c r="M378" s="220" t="n"/>
      <c r="N378" s="220" t="n"/>
      <c r="O378" s="220" t="n"/>
      <c r="P378" s="220" t="n"/>
      <c r="Q378" s="220" t="n"/>
      <c r="R378" s="220" t="n"/>
      <c r="S378" s="220" t="n"/>
      <c r="T378" s="220" t="n"/>
      <c r="U378" s="220" t="n"/>
      <c r="V378" s="220" t="n"/>
      <c r="W378" s="220" t="n"/>
    </row>
    <row r="379" outlineLevel="1" ht="15.75" customHeight="1" s="297">
      <c r="A379" s="211" t="n"/>
      <c r="B379" s="212" t="n"/>
      <c r="C379" s="213" t="n"/>
      <c r="D379" s="214">
        <f>IFERROR(VLOOKUP($C379,'PORTIFÓLIO'!C:V,2,0),"")</f>
        <v/>
      </c>
      <c r="E379" s="211">
        <f>IFERROR(VLOOKUP($C379,'PORTIFÓLIO'!C:V,3,0),"")</f>
        <v/>
      </c>
      <c r="F379" s="211">
        <f>IFERROR(VLOOKUP($C379,'PORTIFÓLIO'!C:V,4,0),"")</f>
        <v/>
      </c>
      <c r="G379" s="215">
        <f>IFERROR(VLOOKUP($C379,'PORTIFÓLIO'!C:V,5,0),"")</f>
        <v/>
      </c>
      <c r="H379" s="254">
        <f t="array" ref="H379">IFERROR(INDEX('PORTIFÓLIO'!$H$4:$H$433,MATCH($C379,'PORTIFÓLIO'!$C$4:$C$433,0)),"")</f>
        <v/>
      </c>
      <c r="I379" s="256" t="n"/>
      <c r="J379" s="218">
        <f>I379*$B$2</f>
        <v/>
      </c>
      <c r="K379" s="292">
        <f t="array" ref="K379">IFERROR(I379*INDEX('PORTIFÓLIO'!$S$4:$S$433,MATCH($C379,'PORTIFÓLIO'!$C$4:$C$433,0)),"")</f>
        <v/>
      </c>
      <c r="L379" s="292">
        <f t="array" ref="L379">IFERROR(J379*INDEX('PORTIFÓLIO'!$S$4:$S$433,MATCH($C379,'PORTIFÓLIO'!$C$4:$C$433,0)),"")</f>
        <v/>
      </c>
      <c r="M379" s="220" t="n"/>
      <c r="N379" s="220" t="n"/>
      <c r="O379" s="220" t="n"/>
      <c r="P379" s="220" t="n"/>
      <c r="Q379" s="220" t="n"/>
      <c r="R379" s="220" t="n"/>
      <c r="S379" s="220" t="n"/>
      <c r="T379" s="220" t="n"/>
      <c r="U379" s="220" t="n"/>
      <c r="V379" s="220" t="n"/>
      <c r="W379" s="220" t="n"/>
    </row>
    <row r="380" outlineLevel="1" ht="15.75" customHeight="1" s="297">
      <c r="A380" s="211" t="n"/>
      <c r="B380" s="212" t="n"/>
      <c r="C380" s="213" t="n"/>
      <c r="D380" s="214">
        <f>IFERROR(VLOOKUP($C380,'PORTIFÓLIO'!C:V,2,0),"")</f>
        <v/>
      </c>
      <c r="E380" s="211">
        <f>IFERROR(VLOOKUP($C380,'PORTIFÓLIO'!C:V,3,0),"")</f>
        <v/>
      </c>
      <c r="F380" s="211">
        <f>IFERROR(VLOOKUP($C380,'PORTIFÓLIO'!C:V,4,0),"")</f>
        <v/>
      </c>
      <c r="G380" s="215">
        <f>IFERROR(VLOOKUP($C380,'PORTIFÓLIO'!C:V,5,0),"")</f>
        <v/>
      </c>
      <c r="H380" s="254">
        <f t="array" ref="H380">IFERROR(INDEX('PORTIFÓLIO'!$H$4:$H$433,MATCH($C380,'PORTIFÓLIO'!$C$4:$C$433,0)),"")</f>
        <v/>
      </c>
      <c r="I380" s="256" t="n"/>
      <c r="J380" s="218">
        <f>I380*$B$2</f>
        <v/>
      </c>
      <c r="K380" s="292">
        <f t="array" ref="K380">IFERROR(I380*INDEX('PORTIFÓLIO'!$S$4:$S$433,MATCH($C380,'PORTIFÓLIO'!$C$4:$C$433,0)),"")</f>
        <v/>
      </c>
      <c r="L380" s="292">
        <f t="array" ref="L380">IFERROR(J380*INDEX('PORTIFÓLIO'!$S$4:$S$433,MATCH($C380,'PORTIFÓLIO'!$C$4:$C$433,0)),"")</f>
        <v/>
      </c>
      <c r="M380" s="220" t="n"/>
      <c r="N380" s="220" t="n"/>
      <c r="O380" s="220" t="n"/>
      <c r="P380" s="220" t="n"/>
      <c r="Q380" s="220" t="n"/>
      <c r="R380" s="220" t="n"/>
      <c r="S380" s="220" t="n"/>
      <c r="T380" s="220" t="n"/>
      <c r="U380" s="220" t="n"/>
      <c r="V380" s="220" t="n"/>
      <c r="W380" s="220" t="n"/>
    </row>
    <row r="381" outlineLevel="1" ht="15.75" customHeight="1" s="297">
      <c r="A381" s="211" t="n"/>
      <c r="B381" s="212" t="n"/>
      <c r="C381" s="213" t="n"/>
      <c r="D381" s="214">
        <f>IFERROR(VLOOKUP($C381,'PORTIFÓLIO'!C:V,2,0),"")</f>
        <v/>
      </c>
      <c r="E381" s="211">
        <f>IFERROR(VLOOKUP($C381,'PORTIFÓLIO'!C:V,3,0),"")</f>
        <v/>
      </c>
      <c r="F381" s="211">
        <f>IFERROR(VLOOKUP($C381,'PORTIFÓLIO'!C:V,4,0),"")</f>
        <v/>
      </c>
      <c r="G381" s="215">
        <f>IFERROR(VLOOKUP($C381,'PORTIFÓLIO'!C:V,5,0),"")</f>
        <v/>
      </c>
      <c r="H381" s="254">
        <f t="array" ref="H381">IFERROR(INDEX('PORTIFÓLIO'!$H$4:$H$433,MATCH($C381,'PORTIFÓLIO'!$C$4:$C$433,0)),"")</f>
        <v/>
      </c>
      <c r="I381" s="256" t="n"/>
      <c r="J381" s="218">
        <f>I381*$B$2</f>
        <v/>
      </c>
      <c r="K381" s="292">
        <f t="array" ref="K381">IFERROR(I381*INDEX('PORTIFÓLIO'!$S$4:$S$433,MATCH($C381,'PORTIFÓLIO'!$C$4:$C$433,0)),"")</f>
        <v/>
      </c>
      <c r="L381" s="292">
        <f t="array" ref="L381">IFERROR(J381*INDEX('PORTIFÓLIO'!$S$4:$S$433,MATCH($C381,'PORTIFÓLIO'!$C$4:$C$433,0)),"")</f>
        <v/>
      </c>
      <c r="M381" s="220" t="n"/>
      <c r="N381" s="220" t="n"/>
      <c r="O381" s="220" t="n"/>
      <c r="P381" s="220" t="n"/>
      <c r="Q381" s="220" t="n"/>
      <c r="R381" s="220" t="n"/>
      <c r="S381" s="220" t="n"/>
      <c r="T381" s="220" t="n"/>
      <c r="U381" s="220" t="n"/>
      <c r="V381" s="220" t="n"/>
      <c r="W381" s="220" t="n"/>
    </row>
    <row r="382" outlineLevel="1" ht="15.75" customHeight="1" s="297">
      <c r="A382" s="211" t="n"/>
      <c r="B382" s="212" t="n"/>
      <c r="C382" s="213" t="n"/>
      <c r="D382" s="214">
        <f>IFERROR(VLOOKUP($C382,'PORTIFÓLIO'!C:V,2,0),"")</f>
        <v/>
      </c>
      <c r="E382" s="211">
        <f>IFERROR(VLOOKUP($C382,'PORTIFÓLIO'!C:V,3,0),"")</f>
        <v/>
      </c>
      <c r="F382" s="211">
        <f>IFERROR(VLOOKUP($C382,'PORTIFÓLIO'!C:V,4,0),"")</f>
        <v/>
      </c>
      <c r="G382" s="215">
        <f>IFERROR(VLOOKUP($C382,'PORTIFÓLIO'!C:V,5,0),"")</f>
        <v/>
      </c>
      <c r="H382" s="254">
        <f t="array" ref="H382">IFERROR(INDEX('PORTIFÓLIO'!$H$4:$H$433,MATCH($C382,'PORTIFÓLIO'!$C$4:$C$433,0)),"")</f>
        <v/>
      </c>
      <c r="I382" s="256" t="n"/>
      <c r="J382" s="218">
        <f>I382*$B$2</f>
        <v/>
      </c>
      <c r="K382" s="292">
        <f t="array" ref="K382">IFERROR(I382*INDEX('PORTIFÓLIO'!$S$4:$S$433,MATCH($C382,'PORTIFÓLIO'!$C$4:$C$433,0)),"")</f>
        <v/>
      </c>
      <c r="L382" s="292">
        <f t="array" ref="L382">IFERROR(J382*INDEX('PORTIFÓLIO'!$S$4:$S$433,MATCH($C382,'PORTIFÓLIO'!$C$4:$C$433,0)),"")</f>
        <v/>
      </c>
      <c r="M382" s="220" t="n"/>
      <c r="N382" s="220" t="n"/>
      <c r="O382" s="220" t="n"/>
      <c r="P382" s="220" t="n"/>
      <c r="Q382" s="220" t="n"/>
      <c r="R382" s="220" t="n"/>
      <c r="S382" s="220" t="n"/>
      <c r="T382" s="220" t="n"/>
      <c r="U382" s="220" t="n"/>
      <c r="V382" s="220" t="n"/>
      <c r="W382" s="220" t="n"/>
    </row>
    <row r="383" outlineLevel="1" ht="15.75" customHeight="1" s="297">
      <c r="A383" s="211" t="n"/>
      <c r="B383" s="212" t="n"/>
      <c r="C383" s="213" t="n"/>
      <c r="D383" s="214">
        <f>IFERROR(VLOOKUP($C383,'PORTIFÓLIO'!C:V,2,0),"")</f>
        <v/>
      </c>
      <c r="E383" s="211">
        <f>IFERROR(VLOOKUP($C383,'PORTIFÓLIO'!C:V,3,0),"")</f>
        <v/>
      </c>
      <c r="F383" s="211">
        <f>IFERROR(VLOOKUP($C383,'PORTIFÓLIO'!C:V,4,0),"")</f>
        <v/>
      </c>
      <c r="G383" s="215">
        <f>IFERROR(VLOOKUP($C383,'PORTIFÓLIO'!C:V,5,0),"")</f>
        <v/>
      </c>
      <c r="H383" s="254">
        <f t="array" ref="H383">IFERROR(INDEX('PORTIFÓLIO'!$H$4:$H$433,MATCH($C383,'PORTIFÓLIO'!$C$4:$C$433,0)),"")</f>
        <v/>
      </c>
      <c r="I383" s="256" t="n"/>
      <c r="J383" s="218">
        <f>I383*$B$2</f>
        <v/>
      </c>
      <c r="K383" s="292">
        <f t="array" ref="K383">IFERROR(I383*INDEX('PORTIFÓLIO'!$S$4:$S$433,MATCH($C383,'PORTIFÓLIO'!$C$4:$C$433,0)),"")</f>
        <v/>
      </c>
      <c r="L383" s="292">
        <f t="array" ref="L383">IFERROR(J383*INDEX('PORTIFÓLIO'!$S$4:$S$433,MATCH($C383,'PORTIFÓLIO'!$C$4:$C$433,0)),"")</f>
        <v/>
      </c>
      <c r="M383" s="220" t="n"/>
      <c r="N383" s="220" t="n"/>
      <c r="O383" s="220" t="n"/>
      <c r="P383" s="220" t="n"/>
      <c r="Q383" s="220" t="n"/>
      <c r="R383" s="220" t="n"/>
      <c r="S383" s="220" t="n"/>
      <c r="T383" s="220" t="n"/>
      <c r="U383" s="220" t="n"/>
      <c r="V383" s="220" t="n"/>
      <c r="W383" s="220" t="n"/>
    </row>
    <row r="384" outlineLevel="1" ht="15.75" customHeight="1" s="297">
      <c r="A384" s="211" t="n"/>
      <c r="B384" s="212" t="n"/>
      <c r="C384" s="213" t="n"/>
      <c r="D384" s="214">
        <f>IFERROR(VLOOKUP($C384,'PORTIFÓLIO'!C:V,2,0),"")</f>
        <v/>
      </c>
      <c r="E384" s="211">
        <f>IFERROR(VLOOKUP($C384,'PORTIFÓLIO'!C:V,3,0),"")</f>
        <v/>
      </c>
      <c r="F384" s="211">
        <f>IFERROR(VLOOKUP($C384,'PORTIFÓLIO'!C:V,4,0),"")</f>
        <v/>
      </c>
      <c r="G384" s="215">
        <f>IFERROR(VLOOKUP($C384,'PORTIFÓLIO'!C:V,5,0),"")</f>
        <v/>
      </c>
      <c r="H384" s="254">
        <f t="array" ref="H384">IFERROR(INDEX('PORTIFÓLIO'!$H$4:$H$433,MATCH($C384,'PORTIFÓLIO'!$C$4:$C$433,0)),"")</f>
        <v/>
      </c>
      <c r="I384" s="255" t="n"/>
      <c r="J384" s="218">
        <f>I384*$B$2</f>
        <v/>
      </c>
      <c r="K384" s="292">
        <f t="array" ref="K384">IFERROR(I384*INDEX('PORTIFÓLIO'!$S$4:$S$433,MATCH($C384,'PORTIFÓLIO'!$C$4:$C$433,0)),"")</f>
        <v/>
      </c>
      <c r="L384" s="292">
        <f t="array" ref="L384">IFERROR(J384*INDEX('PORTIFÓLIO'!$S$4:$S$433,MATCH($C384,'PORTIFÓLIO'!$C$4:$C$433,0)),"")</f>
        <v/>
      </c>
      <c r="M384" s="220" t="n"/>
      <c r="N384" s="220" t="n"/>
      <c r="O384" s="220" t="n"/>
      <c r="P384" s="220" t="n"/>
      <c r="Q384" s="220" t="n"/>
      <c r="R384" s="220" t="n"/>
      <c r="S384" s="220" t="n"/>
      <c r="T384" s="220" t="n"/>
      <c r="U384" s="220" t="n"/>
      <c r="V384" s="220" t="n"/>
      <c r="W384" s="220" t="n"/>
    </row>
    <row r="385" outlineLevel="1" ht="15.75" customHeight="1" s="297">
      <c r="A385" s="211" t="n"/>
      <c r="B385" s="212" t="n"/>
      <c r="C385" s="213" t="n"/>
      <c r="D385" s="214">
        <f>IFERROR(VLOOKUP($C385,'PORTIFÓLIO'!C:V,2,0),"")</f>
        <v/>
      </c>
      <c r="E385" s="211">
        <f>IFERROR(VLOOKUP($C385,'PORTIFÓLIO'!C:V,3,0),"")</f>
        <v/>
      </c>
      <c r="F385" s="211">
        <f>IFERROR(VLOOKUP($C385,'PORTIFÓLIO'!C:V,4,0),"")</f>
        <v/>
      </c>
      <c r="G385" s="215">
        <f>IFERROR(VLOOKUP($C385,'PORTIFÓLIO'!C:V,5,0),"")</f>
        <v/>
      </c>
      <c r="H385" s="254">
        <f t="array" ref="H385">IFERROR(INDEX('PORTIFÓLIO'!$H$4:$H$433,MATCH($C385,'PORTIFÓLIO'!$C$4:$C$433,0)),"")</f>
        <v/>
      </c>
      <c r="I385" s="256" t="n"/>
      <c r="J385" s="218">
        <f>I385*$B$2</f>
        <v/>
      </c>
      <c r="K385" s="292">
        <f t="array" ref="K385">IFERROR(I385*INDEX('PORTIFÓLIO'!$S$4:$S$433,MATCH($C385,'PORTIFÓLIO'!$C$4:$C$433,0)),"")</f>
        <v/>
      </c>
      <c r="L385" s="292">
        <f t="array" ref="L385">IFERROR(J385*INDEX('PORTIFÓLIO'!$S$4:$S$433,MATCH($C385,'PORTIFÓLIO'!$C$4:$C$433,0)),"")</f>
        <v/>
      </c>
      <c r="M385" s="220" t="n"/>
      <c r="N385" s="220" t="n"/>
      <c r="O385" s="220" t="n"/>
      <c r="P385" s="220" t="n"/>
      <c r="Q385" s="220" t="n"/>
      <c r="R385" s="220" t="n"/>
      <c r="S385" s="220" t="n"/>
      <c r="T385" s="220" t="n"/>
      <c r="U385" s="220" t="n"/>
      <c r="V385" s="220" t="n"/>
      <c r="W385" s="220" t="n"/>
    </row>
    <row r="386" outlineLevel="1" ht="15.75" customHeight="1" s="297">
      <c r="A386" s="211" t="n"/>
      <c r="B386" s="212" t="n"/>
      <c r="C386" s="213" t="n"/>
      <c r="D386" s="214">
        <f>IFERROR(VLOOKUP($C386,'PORTIFÓLIO'!C:V,2,0),"")</f>
        <v/>
      </c>
      <c r="E386" s="211">
        <f>IFERROR(VLOOKUP($C386,'PORTIFÓLIO'!C:V,3,0),"")</f>
        <v/>
      </c>
      <c r="F386" s="211">
        <f>IFERROR(VLOOKUP($C386,'PORTIFÓLIO'!C:V,4,0),"")</f>
        <v/>
      </c>
      <c r="G386" s="215">
        <f>IFERROR(VLOOKUP($C386,'PORTIFÓLIO'!C:V,5,0),"")</f>
        <v/>
      </c>
      <c r="H386" s="254">
        <f t="array" ref="H386">IFERROR(INDEX('PORTIFÓLIO'!$H$4:$H$433,MATCH($C386,'PORTIFÓLIO'!$C$4:$C$433,0)),"")</f>
        <v/>
      </c>
      <c r="I386" s="256" t="n"/>
      <c r="J386" s="218">
        <f>I386*$B$2</f>
        <v/>
      </c>
      <c r="K386" s="292">
        <f t="array" ref="K386">IFERROR(I386*INDEX('PORTIFÓLIO'!$S$4:$S$433,MATCH($C386,'PORTIFÓLIO'!$C$4:$C$433,0)),"")</f>
        <v/>
      </c>
      <c r="L386" s="292">
        <f t="array" ref="L386">IFERROR(J386*INDEX('PORTIFÓLIO'!$S$4:$S$433,MATCH($C386,'PORTIFÓLIO'!$C$4:$C$433,0)),"")</f>
        <v/>
      </c>
      <c r="M386" s="220" t="n"/>
      <c r="N386" s="220" t="n"/>
      <c r="O386" s="220" t="n"/>
      <c r="P386" s="220" t="n"/>
      <c r="Q386" s="220" t="n"/>
      <c r="R386" s="220" t="n"/>
      <c r="S386" s="220" t="n"/>
      <c r="T386" s="220" t="n"/>
      <c r="U386" s="220" t="n"/>
      <c r="V386" s="220" t="n"/>
      <c r="W386" s="220" t="n"/>
    </row>
    <row r="387" outlineLevel="1" ht="15.75" customHeight="1" s="297">
      <c r="A387" s="211" t="n"/>
      <c r="B387" s="212" t="n"/>
      <c r="C387" s="213" t="n"/>
      <c r="D387" s="214">
        <f>IFERROR(VLOOKUP($C387,'PORTIFÓLIO'!C:V,2,0),"")</f>
        <v/>
      </c>
      <c r="E387" s="211">
        <f>IFERROR(VLOOKUP($C387,'PORTIFÓLIO'!C:V,3,0),"")</f>
        <v/>
      </c>
      <c r="F387" s="211">
        <f>IFERROR(VLOOKUP($C387,'PORTIFÓLIO'!C:V,4,0),"")</f>
        <v/>
      </c>
      <c r="G387" s="215">
        <f>IFERROR(VLOOKUP($C387,'PORTIFÓLIO'!C:V,5,0),"")</f>
        <v/>
      </c>
      <c r="H387" s="254">
        <f t="array" ref="H387">IFERROR(INDEX('PORTIFÓLIO'!$H$4:$H$433,MATCH($C387,'PORTIFÓLIO'!$C$4:$C$433,0)),"")</f>
        <v/>
      </c>
      <c r="I387" s="256" t="n"/>
      <c r="J387" s="218">
        <f>I387*$B$2</f>
        <v/>
      </c>
      <c r="K387" s="292">
        <f t="array" ref="K387">IFERROR(I387*INDEX('PORTIFÓLIO'!$S$4:$S$433,MATCH($C387,'PORTIFÓLIO'!$C$4:$C$433,0)),"")</f>
        <v/>
      </c>
      <c r="L387" s="292">
        <f t="array" ref="L387">IFERROR(J387*INDEX('PORTIFÓLIO'!$S$4:$S$433,MATCH($C387,'PORTIFÓLIO'!$C$4:$C$433,0)),"")</f>
        <v/>
      </c>
      <c r="M387" s="220" t="n"/>
      <c r="N387" s="220" t="n"/>
      <c r="O387" s="220" t="n"/>
      <c r="P387" s="220" t="n"/>
      <c r="Q387" s="220" t="n"/>
      <c r="R387" s="220" t="n"/>
      <c r="S387" s="220" t="n"/>
      <c r="T387" s="220" t="n"/>
      <c r="U387" s="220" t="n"/>
      <c r="V387" s="220" t="n"/>
      <c r="W387" s="220" t="n"/>
    </row>
    <row r="388" outlineLevel="1" ht="15.75" customHeight="1" s="297">
      <c r="A388" s="211" t="n"/>
      <c r="B388" s="212" t="n"/>
      <c r="C388" s="213" t="n"/>
      <c r="D388" s="214">
        <f>IFERROR(VLOOKUP($C388,'PORTIFÓLIO'!C:V,2,0),"")</f>
        <v/>
      </c>
      <c r="E388" s="211">
        <f>IFERROR(VLOOKUP($C388,'PORTIFÓLIO'!C:V,3,0),"")</f>
        <v/>
      </c>
      <c r="F388" s="211">
        <f>IFERROR(VLOOKUP($C388,'PORTIFÓLIO'!C:V,4,0),"")</f>
        <v/>
      </c>
      <c r="G388" s="215">
        <f>IFERROR(VLOOKUP($C388,'PORTIFÓLIO'!C:V,5,0),"")</f>
        <v/>
      </c>
      <c r="H388" s="254">
        <f t="array" ref="H388">IFERROR(INDEX('PORTIFÓLIO'!$H$4:$H$433,MATCH($C388,'PORTIFÓLIO'!$C$4:$C$433,0)),"")</f>
        <v/>
      </c>
      <c r="I388" s="256" t="n"/>
      <c r="J388" s="218">
        <f>I388*$B$2</f>
        <v/>
      </c>
      <c r="K388" s="292">
        <f t="array" ref="K388">IFERROR(I388*INDEX('PORTIFÓLIO'!$S$4:$S$433,MATCH($C388,'PORTIFÓLIO'!$C$4:$C$433,0)),"")</f>
        <v/>
      </c>
      <c r="L388" s="292">
        <f t="array" ref="L388">IFERROR(J388*INDEX('PORTIFÓLIO'!$S$4:$S$433,MATCH($C388,'PORTIFÓLIO'!$C$4:$C$433,0)),"")</f>
        <v/>
      </c>
      <c r="M388" s="220" t="n"/>
      <c r="N388" s="220" t="n"/>
      <c r="O388" s="220" t="n"/>
      <c r="P388" s="220" t="n"/>
      <c r="Q388" s="220" t="n"/>
      <c r="R388" s="220" t="n"/>
      <c r="S388" s="220" t="n"/>
      <c r="T388" s="220" t="n"/>
      <c r="U388" s="220" t="n"/>
      <c r="V388" s="220" t="n"/>
      <c r="W388" s="220" t="n"/>
    </row>
    <row r="389" outlineLevel="1" ht="15.75" customHeight="1" s="297">
      <c r="A389" s="211" t="n"/>
      <c r="B389" s="212" t="n"/>
      <c r="C389" s="213" t="n"/>
      <c r="D389" s="214">
        <f>IFERROR(VLOOKUP($C389,'PORTIFÓLIO'!C:V,2,0),"")</f>
        <v/>
      </c>
      <c r="E389" s="211">
        <f>IFERROR(VLOOKUP($C389,'PORTIFÓLIO'!C:V,3,0),"")</f>
        <v/>
      </c>
      <c r="F389" s="211">
        <f>IFERROR(VLOOKUP($C389,'PORTIFÓLIO'!C:V,4,0),"")</f>
        <v/>
      </c>
      <c r="G389" s="215">
        <f>IFERROR(VLOOKUP($C389,'PORTIFÓLIO'!C:V,5,0),"")</f>
        <v/>
      </c>
      <c r="H389" s="254">
        <f t="array" ref="H389">IFERROR(INDEX('PORTIFÓLIO'!$H$4:$H$433,MATCH($C389,'PORTIFÓLIO'!$C$4:$C$433,0)),"")</f>
        <v/>
      </c>
      <c r="I389" s="256" t="n"/>
      <c r="J389" s="218">
        <f>I389*$B$2</f>
        <v/>
      </c>
      <c r="K389" s="292">
        <f t="array" ref="K389">IFERROR(I389*INDEX('PORTIFÓLIO'!$S$4:$S$433,MATCH($C389,'PORTIFÓLIO'!$C$4:$C$433,0)),"")</f>
        <v/>
      </c>
      <c r="L389" s="292">
        <f t="array" ref="L389">IFERROR(J389*INDEX('PORTIFÓLIO'!$S$4:$S$433,MATCH($C389,'PORTIFÓLIO'!$C$4:$C$433,0)),"")</f>
        <v/>
      </c>
      <c r="M389" s="220" t="n"/>
      <c r="N389" s="220" t="n"/>
      <c r="O389" s="220" t="n"/>
      <c r="P389" s="220" t="n"/>
      <c r="Q389" s="220" t="n"/>
      <c r="R389" s="220" t="n"/>
      <c r="S389" s="220" t="n"/>
      <c r="T389" s="220" t="n"/>
      <c r="U389" s="220" t="n"/>
      <c r="V389" s="220" t="n"/>
      <c r="W389" s="220" t="n"/>
    </row>
    <row r="390" outlineLevel="1" ht="15.75" customHeight="1" s="297">
      <c r="A390" s="211" t="n"/>
      <c r="B390" s="212" t="n"/>
      <c r="C390" s="213" t="n"/>
      <c r="D390" s="214">
        <f>IFERROR(VLOOKUP($C390,'PORTIFÓLIO'!C:V,2,0),"")</f>
        <v/>
      </c>
      <c r="E390" s="211">
        <f>IFERROR(VLOOKUP($C390,'PORTIFÓLIO'!C:V,3,0),"")</f>
        <v/>
      </c>
      <c r="F390" s="211">
        <f>IFERROR(VLOOKUP($C390,'PORTIFÓLIO'!C:V,4,0),"")</f>
        <v/>
      </c>
      <c r="G390" s="215">
        <f>IFERROR(VLOOKUP($C390,'PORTIFÓLIO'!C:V,5,0),"")</f>
        <v/>
      </c>
      <c r="H390" s="254">
        <f t="array" ref="H390">IFERROR(INDEX('PORTIFÓLIO'!$H$4:$H$433,MATCH($C390,'PORTIFÓLIO'!$C$4:$C$433,0)),"")</f>
        <v/>
      </c>
      <c r="I390" s="256" t="n"/>
      <c r="J390" s="218">
        <f>I390*$B$2</f>
        <v/>
      </c>
      <c r="K390" s="292">
        <f t="array" ref="K390">IFERROR(I390*INDEX('PORTIFÓLIO'!$S$4:$S$433,MATCH($C390,'PORTIFÓLIO'!$C$4:$C$433,0)),"")</f>
        <v/>
      </c>
      <c r="L390" s="292">
        <f t="array" ref="L390">IFERROR(J390*INDEX('PORTIFÓLIO'!$S$4:$S$433,MATCH($C390,'PORTIFÓLIO'!$C$4:$C$433,0)),"")</f>
        <v/>
      </c>
      <c r="M390" s="220" t="n"/>
      <c r="N390" s="220" t="n"/>
      <c r="O390" s="220" t="n"/>
      <c r="P390" s="220" t="n"/>
      <c r="Q390" s="220" t="n"/>
      <c r="R390" s="220" t="n"/>
      <c r="S390" s="220" t="n"/>
      <c r="T390" s="220" t="n"/>
      <c r="U390" s="220" t="n"/>
      <c r="V390" s="220" t="n"/>
      <c r="W390" s="220" t="n"/>
    </row>
    <row r="391" outlineLevel="1" ht="15.75" customHeight="1" s="297">
      <c r="A391" s="211" t="n"/>
      <c r="B391" s="227" t="n"/>
      <c r="C391" s="211" t="n"/>
      <c r="D391" s="214">
        <f>IFERROR(VLOOKUP($C391,'PORTIFÓLIO'!C:V,2,0),"")</f>
        <v/>
      </c>
      <c r="E391" s="211">
        <f>IFERROR(VLOOKUP($C391,'PORTIFÓLIO'!C:V,3,0),"")</f>
        <v/>
      </c>
      <c r="F391" s="211">
        <f>IFERROR(VLOOKUP($C391,'PORTIFÓLIO'!C:V,4,0),"")</f>
        <v/>
      </c>
      <c r="G391" s="215">
        <f>IFERROR(VLOOKUP($C391,'PORTIFÓLIO'!C:V,5,0),"")</f>
        <v/>
      </c>
      <c r="H391" s="254">
        <f t="array" ref="H391">IFERROR(INDEX('PORTIFÓLIO'!$H$4:$H$433,MATCH($C391,'PORTIFÓLIO'!$C$4:$C$433,0)),"")</f>
        <v/>
      </c>
      <c r="I391" s="256" t="n"/>
      <c r="J391" s="218" t="n"/>
      <c r="K391" s="292">
        <f t="array" ref="K391">IFERROR(I391*INDEX('PORTIFÓLIO'!$S$4:$S$433,MATCH($C391,'PORTIFÓLIO'!$C$4:$C$433,0)),"")</f>
        <v/>
      </c>
      <c r="L391" s="292">
        <f t="array" ref="L391">IFERROR(J391*INDEX('PORTIFÓLIO'!$S$4:$S$433,MATCH($C391,'PORTIFÓLIO'!$C$4:$C$433,0)),"")</f>
        <v/>
      </c>
      <c r="M391" s="220" t="n"/>
      <c r="N391" s="220" t="n"/>
      <c r="O391" s="220" t="n"/>
      <c r="P391" s="220" t="n"/>
      <c r="Q391" s="220" t="n"/>
      <c r="R391" s="220" t="n"/>
      <c r="S391" s="220" t="n"/>
      <c r="T391" s="220" t="n"/>
      <c r="U391" s="220" t="n"/>
      <c r="V391" s="220" t="n"/>
      <c r="W391" s="220" t="n"/>
    </row>
    <row r="392" ht="15.75" customHeight="1" s="297">
      <c r="A392" s="229" t="inlineStr">
        <is>
          <t>OPERAÇÃO 10</t>
        </is>
      </c>
      <c r="B392" s="230" t="n"/>
      <c r="C392" s="231" t="n"/>
      <c r="D392" s="232" t="n"/>
      <c r="E392" s="231" t="n"/>
      <c r="F392" s="231" t="n"/>
      <c r="G392" s="233" t="n"/>
      <c r="H392" s="233" t="n"/>
      <c r="I392" s="258" t="n"/>
      <c r="J392" s="236" t="n"/>
      <c r="K392" s="237">
        <f>SUBTOTAL(9,K393:K406)</f>
        <v/>
      </c>
      <c r="L392" s="237">
        <f>SUBTOTAL(9,L393:L406)</f>
        <v/>
      </c>
      <c r="M392" s="220" t="n"/>
      <c r="N392" s="220" t="n"/>
      <c r="O392" s="220" t="n"/>
      <c r="P392" s="220" t="n"/>
      <c r="Q392" s="220" t="n"/>
      <c r="R392" s="220" t="n"/>
      <c r="S392" s="220" t="n"/>
      <c r="T392" s="220" t="n"/>
      <c r="U392" s="220" t="n"/>
      <c r="V392" s="220" t="n"/>
      <c r="W392" s="220" t="n"/>
    </row>
    <row r="393" outlineLevel="1" ht="15.75" customHeight="1" s="297">
      <c r="A393" s="213" t="n"/>
      <c r="B393" s="212" t="n"/>
      <c r="C393" s="213" t="n"/>
      <c r="D393" s="214">
        <f>IFERROR(VLOOKUP($C393,'PORTIFÓLIO'!C:V,2,0),"")</f>
        <v/>
      </c>
      <c r="E393" s="211">
        <f>IFERROR(VLOOKUP($C393,'PORTIFÓLIO'!C:V,3,0),"")</f>
        <v/>
      </c>
      <c r="F393" s="211">
        <f>IFERROR(VLOOKUP($C393,'PORTIFÓLIO'!C:V,4,0),"")</f>
        <v/>
      </c>
      <c r="G393" s="215">
        <f>IFERROR(VLOOKUP($C393,'PORTIFÓLIO'!C:V,5,0),"")</f>
        <v/>
      </c>
      <c r="H393" s="254">
        <f t="array" ref="H393">IFERROR(INDEX('PORTIFÓLIO'!$H$4:$H$433,MATCH($C393,'PORTIFÓLIO'!$C$4:$C$433,0)),"")</f>
        <v/>
      </c>
      <c r="I393" s="255" t="n"/>
      <c r="J393" s="218">
        <f>I393*$B$2</f>
        <v/>
      </c>
      <c r="K393" s="292">
        <f t="array" ref="K393">IFERROR(I393*INDEX('PORTIFÓLIO'!$S$4:$S$433,MATCH($C393,'PORTIFÓLIO'!$C$4:$C$433,0)),"")</f>
        <v/>
      </c>
      <c r="L393" s="292">
        <f t="array" ref="L393">IFERROR(J393*INDEX('PORTIFÓLIO'!$S$4:$S$433,MATCH($C393,'PORTIFÓLIO'!$C$4:$C$433,0)),"")</f>
        <v/>
      </c>
      <c r="M393" s="220" t="n"/>
      <c r="N393" s="220" t="n"/>
      <c r="O393" s="220" t="n"/>
      <c r="P393" s="220" t="n"/>
      <c r="Q393" s="220" t="n"/>
      <c r="R393" s="220" t="n"/>
      <c r="S393" s="220" t="n"/>
      <c r="T393" s="220" t="n"/>
      <c r="U393" s="220" t="n"/>
      <c r="V393" s="220" t="n"/>
      <c r="W393" s="220" t="n"/>
    </row>
    <row r="394" outlineLevel="1" ht="15.75" customHeight="1" s="297">
      <c r="A394" s="211" t="n"/>
      <c r="B394" s="212" t="n"/>
      <c r="C394" s="213" t="n"/>
      <c r="D394" s="214">
        <f>IFERROR(VLOOKUP($C394,'PORTIFÓLIO'!C:V,2,0),"")</f>
        <v/>
      </c>
      <c r="E394" s="211">
        <f>IFERROR(VLOOKUP($C394,'PORTIFÓLIO'!C:V,3,0),"")</f>
        <v/>
      </c>
      <c r="F394" s="211">
        <f>IFERROR(VLOOKUP($C394,'PORTIFÓLIO'!C:V,4,0),"")</f>
        <v/>
      </c>
      <c r="G394" s="215">
        <f>IFERROR(VLOOKUP($C394,'PORTIFÓLIO'!C:V,5,0),"")</f>
        <v/>
      </c>
      <c r="H394" s="254">
        <f t="array" ref="H394">IFERROR(INDEX('PORTIFÓLIO'!$H$4:$H$433,MATCH($C394,'PORTIFÓLIO'!$C$4:$C$433,0)),"")</f>
        <v/>
      </c>
      <c r="I394" s="256" t="n"/>
      <c r="J394" s="218">
        <f>I394*$B$2</f>
        <v/>
      </c>
      <c r="K394" s="292">
        <f t="array" ref="K394">IFERROR(I394*INDEX('PORTIFÓLIO'!$S$4:$S$433,MATCH($C394,'PORTIFÓLIO'!$C$4:$C$433,0)),"")</f>
        <v/>
      </c>
      <c r="L394" s="292">
        <f t="array" ref="L394">IFERROR(J394*INDEX('PORTIFÓLIO'!$S$4:$S$433,MATCH($C394,'PORTIFÓLIO'!$C$4:$C$433,0)),"")</f>
        <v/>
      </c>
      <c r="M394" s="220" t="n"/>
      <c r="N394" s="220" t="n"/>
      <c r="O394" s="220" t="n"/>
      <c r="P394" s="220" t="n"/>
      <c r="Q394" s="220" t="n"/>
      <c r="R394" s="220" t="n"/>
      <c r="S394" s="220" t="n"/>
      <c r="T394" s="220" t="n"/>
      <c r="U394" s="220" t="n"/>
      <c r="V394" s="220" t="n"/>
      <c r="W394" s="220" t="n"/>
    </row>
    <row r="395" outlineLevel="1" ht="15.75" customHeight="1" s="297">
      <c r="A395" s="211" t="n"/>
      <c r="B395" s="212" t="n"/>
      <c r="C395" s="213" t="n"/>
      <c r="D395" s="214">
        <f>IFERROR(VLOOKUP($C395,'PORTIFÓLIO'!C:V,2,0),"")</f>
        <v/>
      </c>
      <c r="E395" s="211">
        <f>IFERROR(VLOOKUP($C395,'PORTIFÓLIO'!C:V,3,0),"")</f>
        <v/>
      </c>
      <c r="F395" s="211">
        <f>IFERROR(VLOOKUP($C395,'PORTIFÓLIO'!C:V,4,0),"")</f>
        <v/>
      </c>
      <c r="G395" s="215">
        <f>IFERROR(VLOOKUP($C395,'PORTIFÓLIO'!C:V,5,0),"")</f>
        <v/>
      </c>
      <c r="H395" s="254">
        <f t="array" ref="H395">IFERROR(INDEX('PORTIFÓLIO'!$H$4:$H$433,MATCH($C395,'PORTIFÓLIO'!$C$4:$C$433,0)),"")</f>
        <v/>
      </c>
      <c r="I395" s="256" t="n"/>
      <c r="J395" s="218">
        <f>I395*$B$2</f>
        <v/>
      </c>
      <c r="K395" s="292">
        <f t="array" ref="K395">IFERROR(I395*INDEX('PORTIFÓLIO'!$S$4:$S$433,MATCH($C395,'PORTIFÓLIO'!$C$4:$C$433,0)),"")</f>
        <v/>
      </c>
      <c r="L395" s="292">
        <f t="array" ref="L395">IFERROR(J395*INDEX('PORTIFÓLIO'!$S$4:$S$433,MATCH($C395,'PORTIFÓLIO'!$C$4:$C$433,0)),"")</f>
        <v/>
      </c>
      <c r="M395" s="220" t="n"/>
      <c r="N395" s="220" t="n"/>
      <c r="O395" s="220" t="n"/>
      <c r="P395" s="220" t="n"/>
      <c r="Q395" s="220" t="n"/>
      <c r="R395" s="220" t="n"/>
      <c r="S395" s="220" t="n"/>
      <c r="T395" s="220" t="n"/>
      <c r="U395" s="220" t="n"/>
      <c r="V395" s="220" t="n"/>
      <c r="W395" s="220" t="n"/>
    </row>
    <row r="396" outlineLevel="1" ht="15.75" customHeight="1" s="297">
      <c r="A396" s="211" t="n"/>
      <c r="B396" s="212" t="n"/>
      <c r="C396" s="213" t="n"/>
      <c r="D396" s="214">
        <f>IFERROR(VLOOKUP($C396,'PORTIFÓLIO'!C:V,2,0),"")</f>
        <v/>
      </c>
      <c r="E396" s="211">
        <f>IFERROR(VLOOKUP($C396,'PORTIFÓLIO'!C:V,3,0),"")</f>
        <v/>
      </c>
      <c r="F396" s="211">
        <f>IFERROR(VLOOKUP($C396,'PORTIFÓLIO'!C:V,4,0),"")</f>
        <v/>
      </c>
      <c r="G396" s="215">
        <f>IFERROR(VLOOKUP($C396,'PORTIFÓLIO'!C:V,5,0),"")</f>
        <v/>
      </c>
      <c r="H396" s="254">
        <f t="array" ref="H396">IFERROR(INDEX('PORTIFÓLIO'!$H$4:$H$433,MATCH($C396,'PORTIFÓLIO'!$C$4:$C$433,0)),"")</f>
        <v/>
      </c>
      <c r="I396" s="256" t="n"/>
      <c r="J396" s="218">
        <f>I396*$B$2</f>
        <v/>
      </c>
      <c r="K396" s="292">
        <f t="array" ref="K396">IFERROR(I396*INDEX('PORTIFÓLIO'!$S$4:$S$433,MATCH($C396,'PORTIFÓLIO'!$C$4:$C$433,0)),"")</f>
        <v/>
      </c>
      <c r="L396" s="292">
        <f t="array" ref="L396">IFERROR(J396*INDEX('PORTIFÓLIO'!$S$4:$S$433,MATCH($C396,'PORTIFÓLIO'!$C$4:$C$433,0)),"")</f>
        <v/>
      </c>
      <c r="M396" s="220" t="n"/>
      <c r="N396" s="220" t="n"/>
      <c r="O396" s="220" t="n"/>
      <c r="P396" s="220" t="n"/>
      <c r="Q396" s="220" t="n"/>
      <c r="R396" s="220" t="n"/>
      <c r="S396" s="220" t="n"/>
      <c r="T396" s="220" t="n"/>
      <c r="U396" s="220" t="n"/>
      <c r="V396" s="220" t="n"/>
      <c r="W396" s="220" t="n"/>
    </row>
    <row r="397" outlineLevel="1" ht="15.75" customHeight="1" s="297">
      <c r="A397" s="211" t="n"/>
      <c r="B397" s="212" t="n"/>
      <c r="C397" s="213" t="n"/>
      <c r="D397" s="214">
        <f>IFERROR(VLOOKUP($C397,'PORTIFÓLIO'!C:V,2,0),"")</f>
        <v/>
      </c>
      <c r="E397" s="211">
        <f>IFERROR(VLOOKUP($C397,'PORTIFÓLIO'!C:V,3,0),"")</f>
        <v/>
      </c>
      <c r="F397" s="211">
        <f>IFERROR(VLOOKUP($C397,'PORTIFÓLIO'!C:V,4,0),"")</f>
        <v/>
      </c>
      <c r="G397" s="215">
        <f>IFERROR(VLOOKUP($C397,'PORTIFÓLIO'!C:V,5,0),"")</f>
        <v/>
      </c>
      <c r="H397" s="254">
        <f t="array" ref="H397">IFERROR(INDEX('PORTIFÓLIO'!$H$4:$H$433,MATCH($C397,'PORTIFÓLIO'!$C$4:$C$433,0)),"")</f>
        <v/>
      </c>
      <c r="I397" s="256" t="n"/>
      <c r="J397" s="218">
        <f>I397*$B$2</f>
        <v/>
      </c>
      <c r="K397" s="292">
        <f t="array" ref="K397">IFERROR(I397*INDEX('PORTIFÓLIO'!$S$4:$S$433,MATCH($C397,'PORTIFÓLIO'!$C$4:$C$433,0)),"")</f>
        <v/>
      </c>
      <c r="L397" s="292">
        <f t="array" ref="L397">IFERROR(J397*INDEX('PORTIFÓLIO'!$S$4:$S$433,MATCH($C397,'PORTIFÓLIO'!$C$4:$C$433,0)),"")</f>
        <v/>
      </c>
      <c r="M397" s="220" t="n"/>
      <c r="N397" s="220" t="n"/>
      <c r="O397" s="220" t="n"/>
      <c r="P397" s="220" t="n"/>
      <c r="Q397" s="220" t="n"/>
      <c r="R397" s="220" t="n"/>
      <c r="S397" s="220" t="n"/>
      <c r="T397" s="220" t="n"/>
      <c r="U397" s="220" t="n"/>
      <c r="V397" s="220" t="n"/>
      <c r="W397" s="220" t="n"/>
    </row>
    <row r="398" outlineLevel="1" ht="15.75" customHeight="1" s="297">
      <c r="A398" s="211" t="n"/>
      <c r="B398" s="212" t="n"/>
      <c r="C398" s="213" t="n"/>
      <c r="D398" s="214">
        <f>IFERROR(VLOOKUP($C398,'PORTIFÓLIO'!C:V,2,0),"")</f>
        <v/>
      </c>
      <c r="E398" s="211">
        <f>IFERROR(VLOOKUP($C398,'PORTIFÓLIO'!C:V,3,0),"")</f>
        <v/>
      </c>
      <c r="F398" s="211">
        <f>IFERROR(VLOOKUP($C398,'PORTIFÓLIO'!C:V,4,0),"")</f>
        <v/>
      </c>
      <c r="G398" s="215">
        <f>IFERROR(VLOOKUP($C398,'PORTIFÓLIO'!C:V,5,0),"")</f>
        <v/>
      </c>
      <c r="H398" s="254">
        <f t="array" ref="H398">IFERROR(INDEX('PORTIFÓLIO'!$H$4:$H$433,MATCH($C398,'PORTIFÓLIO'!$C$4:$C$433,0)),"")</f>
        <v/>
      </c>
      <c r="I398" s="256" t="n"/>
      <c r="J398" s="218">
        <f>I398*$B$2</f>
        <v/>
      </c>
      <c r="K398" s="292">
        <f t="array" ref="K398">IFERROR(I398*INDEX('PORTIFÓLIO'!$S$4:$S$433,MATCH($C398,'PORTIFÓLIO'!$C$4:$C$433,0)),"")</f>
        <v/>
      </c>
      <c r="L398" s="292">
        <f t="array" ref="L398">IFERROR(J398*INDEX('PORTIFÓLIO'!$S$4:$S$433,MATCH($C398,'PORTIFÓLIO'!$C$4:$C$433,0)),"")</f>
        <v/>
      </c>
      <c r="M398" s="220" t="n"/>
      <c r="N398" s="220" t="n"/>
      <c r="O398" s="220" t="n"/>
      <c r="P398" s="220" t="n"/>
      <c r="Q398" s="220" t="n"/>
      <c r="R398" s="220" t="n"/>
      <c r="S398" s="220" t="n"/>
      <c r="T398" s="220" t="n"/>
      <c r="U398" s="220" t="n"/>
      <c r="V398" s="220" t="n"/>
      <c r="W398" s="220" t="n"/>
    </row>
    <row r="399" outlineLevel="1" ht="15.75" customHeight="1" s="297">
      <c r="A399" s="211" t="n"/>
      <c r="B399" s="212" t="n"/>
      <c r="C399" s="213" t="n"/>
      <c r="D399" s="214">
        <f>IFERROR(VLOOKUP($C399,'PORTIFÓLIO'!C:V,2,0),"")</f>
        <v/>
      </c>
      <c r="E399" s="211">
        <f>IFERROR(VLOOKUP($C399,'PORTIFÓLIO'!C:V,3,0),"")</f>
        <v/>
      </c>
      <c r="F399" s="211">
        <f>IFERROR(VLOOKUP($C399,'PORTIFÓLIO'!C:V,4,0),"")</f>
        <v/>
      </c>
      <c r="G399" s="215">
        <f>IFERROR(VLOOKUP($C399,'PORTIFÓLIO'!C:V,5,0),"")</f>
        <v/>
      </c>
      <c r="H399" s="254">
        <f t="array" ref="H399">IFERROR(INDEX('PORTIFÓLIO'!$H$4:$H$433,MATCH($C399,'PORTIFÓLIO'!$C$4:$C$433,0)),"")</f>
        <v/>
      </c>
      <c r="I399" s="256" t="n"/>
      <c r="J399" s="218">
        <f>I399*$B$2</f>
        <v/>
      </c>
      <c r="K399" s="292">
        <f t="array" ref="K399">IFERROR(I399*INDEX('PORTIFÓLIO'!$S$4:$S$433,MATCH($C399,'PORTIFÓLIO'!$C$4:$C$433,0)),"")</f>
        <v/>
      </c>
      <c r="L399" s="292">
        <f t="array" ref="L399">IFERROR(J399*INDEX('PORTIFÓLIO'!$S$4:$S$433,MATCH($C399,'PORTIFÓLIO'!$C$4:$C$433,0)),"")</f>
        <v/>
      </c>
      <c r="M399" s="220" t="n"/>
      <c r="N399" s="220" t="n"/>
      <c r="O399" s="220" t="n"/>
      <c r="P399" s="220" t="n"/>
      <c r="Q399" s="220" t="n"/>
      <c r="R399" s="220" t="n"/>
      <c r="S399" s="220" t="n"/>
      <c r="T399" s="220" t="n"/>
      <c r="U399" s="220" t="n"/>
      <c r="V399" s="220" t="n"/>
      <c r="W399" s="220" t="n"/>
    </row>
    <row r="400" outlineLevel="1" ht="15.75" customHeight="1" s="297">
      <c r="A400" s="211" t="n"/>
      <c r="B400" s="212" t="n"/>
      <c r="C400" s="213" t="n"/>
      <c r="D400" s="214">
        <f>IFERROR(VLOOKUP($C400,'PORTIFÓLIO'!C:V,2,0),"")</f>
        <v/>
      </c>
      <c r="E400" s="211">
        <f>IFERROR(VLOOKUP($C400,'PORTIFÓLIO'!C:V,3,0),"")</f>
        <v/>
      </c>
      <c r="F400" s="211">
        <f>IFERROR(VLOOKUP($C400,'PORTIFÓLIO'!C:V,4,0),"")</f>
        <v/>
      </c>
      <c r="G400" s="215">
        <f>IFERROR(VLOOKUP($C400,'PORTIFÓLIO'!C:V,5,0),"")</f>
        <v/>
      </c>
      <c r="H400" s="254">
        <f t="array" ref="H400">IFERROR(INDEX('PORTIFÓLIO'!$H$4:$H$433,MATCH($C400,'PORTIFÓLIO'!$C$4:$C$433,0)),"")</f>
        <v/>
      </c>
      <c r="I400" s="256" t="n"/>
      <c r="J400" s="218">
        <f>I400*$B$2</f>
        <v/>
      </c>
      <c r="K400" s="292">
        <f t="array" ref="K400">IFERROR(I400*INDEX('PORTIFÓLIO'!$S$4:$S$433,MATCH($C400,'PORTIFÓLIO'!$C$4:$C$433,0)),"")</f>
        <v/>
      </c>
      <c r="L400" s="292">
        <f t="array" ref="L400">IFERROR(J400*INDEX('PORTIFÓLIO'!$S$4:$S$433,MATCH($C400,'PORTIFÓLIO'!$C$4:$C$433,0)),"")</f>
        <v/>
      </c>
      <c r="M400" s="220" t="n"/>
      <c r="N400" s="220" t="n"/>
      <c r="O400" s="220" t="n"/>
      <c r="P400" s="220" t="n"/>
      <c r="Q400" s="220" t="n"/>
      <c r="R400" s="220" t="n"/>
      <c r="S400" s="220" t="n"/>
      <c r="T400" s="220" t="n"/>
      <c r="U400" s="220" t="n"/>
      <c r="V400" s="220" t="n"/>
      <c r="W400" s="220" t="n"/>
    </row>
    <row r="401" outlineLevel="1" ht="15.75" customHeight="1" s="297">
      <c r="A401" s="211" t="n"/>
      <c r="B401" s="212" t="n"/>
      <c r="C401" s="213" t="n"/>
      <c r="D401" s="214">
        <f>IFERROR(VLOOKUP($C401,'PORTIFÓLIO'!C:V,2,0),"")</f>
        <v/>
      </c>
      <c r="E401" s="211">
        <f>IFERROR(VLOOKUP($C401,'PORTIFÓLIO'!C:V,3,0),"")</f>
        <v/>
      </c>
      <c r="F401" s="211">
        <f>IFERROR(VLOOKUP($C401,'PORTIFÓLIO'!C:V,4,0),"")</f>
        <v/>
      </c>
      <c r="G401" s="215">
        <f>IFERROR(VLOOKUP($C401,'PORTIFÓLIO'!C:V,5,0),"")</f>
        <v/>
      </c>
      <c r="H401" s="254">
        <f t="array" ref="H401">IFERROR(INDEX('PORTIFÓLIO'!$H$4:$H$433,MATCH($C401,'PORTIFÓLIO'!$C$4:$C$433,0)),"")</f>
        <v/>
      </c>
      <c r="I401" s="255" t="n"/>
      <c r="J401" s="218">
        <f>I401*$B$2</f>
        <v/>
      </c>
      <c r="K401" s="292">
        <f t="array" ref="K401">IFERROR(I401*INDEX('PORTIFÓLIO'!$S$4:$S$433,MATCH($C401,'PORTIFÓLIO'!$C$4:$C$433,0)),"")</f>
        <v/>
      </c>
      <c r="L401" s="292">
        <f t="array" ref="L401">IFERROR(J401*INDEX('PORTIFÓLIO'!$S$4:$S$433,MATCH($C401,'PORTIFÓLIO'!$C$4:$C$433,0)),"")</f>
        <v/>
      </c>
      <c r="M401" s="220" t="n"/>
      <c r="N401" s="220" t="n"/>
      <c r="O401" s="220" t="n"/>
      <c r="P401" s="220" t="n"/>
      <c r="Q401" s="220" t="n"/>
      <c r="R401" s="220" t="n"/>
      <c r="S401" s="220" t="n"/>
      <c r="T401" s="220" t="n"/>
      <c r="U401" s="220" t="n"/>
      <c r="V401" s="220" t="n"/>
      <c r="W401" s="220" t="n"/>
    </row>
    <row r="402" outlineLevel="1" ht="15.75" customHeight="1" s="297">
      <c r="A402" s="211" t="n"/>
      <c r="B402" s="212" t="n"/>
      <c r="C402" s="213" t="n"/>
      <c r="D402" s="214">
        <f>IFERROR(VLOOKUP($C402,'PORTIFÓLIO'!C:V,2,0),"")</f>
        <v/>
      </c>
      <c r="E402" s="211">
        <f>IFERROR(VLOOKUP($C402,'PORTIFÓLIO'!C:V,3,0),"")</f>
        <v/>
      </c>
      <c r="F402" s="211">
        <f>IFERROR(VLOOKUP($C402,'PORTIFÓLIO'!C:V,4,0),"")</f>
        <v/>
      </c>
      <c r="G402" s="215">
        <f>IFERROR(VLOOKUP($C402,'PORTIFÓLIO'!C:V,5,0),"")</f>
        <v/>
      </c>
      <c r="H402" s="254">
        <f t="array" ref="H402">IFERROR(INDEX('PORTIFÓLIO'!$H$4:$H$433,MATCH($C402,'PORTIFÓLIO'!$C$4:$C$433,0)),"")</f>
        <v/>
      </c>
      <c r="I402" s="256" t="n"/>
      <c r="J402" s="218">
        <f>I402*$B$2</f>
        <v/>
      </c>
      <c r="K402" s="292">
        <f t="array" ref="K402">IFERROR(I402*INDEX('PORTIFÓLIO'!$S$4:$S$433,MATCH($C402,'PORTIFÓLIO'!$C$4:$C$433,0)),"")</f>
        <v/>
      </c>
      <c r="L402" s="292">
        <f t="array" ref="L402">IFERROR(J402*INDEX('PORTIFÓLIO'!$S$4:$S$433,MATCH($C402,'PORTIFÓLIO'!$C$4:$C$433,0)),"")</f>
        <v/>
      </c>
      <c r="M402" s="220" t="n"/>
      <c r="N402" s="220" t="n"/>
      <c r="O402" s="220" t="n"/>
      <c r="P402" s="220" t="n"/>
      <c r="Q402" s="220" t="n"/>
      <c r="R402" s="220" t="n"/>
      <c r="S402" s="220" t="n"/>
      <c r="T402" s="220" t="n"/>
      <c r="U402" s="220" t="n"/>
      <c r="V402" s="220" t="n"/>
      <c r="W402" s="220" t="n"/>
    </row>
    <row r="403" outlineLevel="1" ht="15.75" customHeight="1" s="297">
      <c r="A403" s="211" t="n"/>
      <c r="B403" s="212" t="n"/>
      <c r="C403" s="213" t="n"/>
      <c r="D403" s="214">
        <f>IFERROR(VLOOKUP($C403,'PORTIFÓLIO'!C:V,2,0),"")</f>
        <v/>
      </c>
      <c r="E403" s="211">
        <f>IFERROR(VLOOKUP($C403,'PORTIFÓLIO'!C:V,3,0),"")</f>
        <v/>
      </c>
      <c r="F403" s="211">
        <f>IFERROR(VLOOKUP($C403,'PORTIFÓLIO'!C:V,4,0),"")</f>
        <v/>
      </c>
      <c r="G403" s="215">
        <f>IFERROR(VLOOKUP($C403,'PORTIFÓLIO'!C:V,5,0),"")</f>
        <v/>
      </c>
      <c r="H403" s="254">
        <f t="array" ref="H403">IFERROR(INDEX('PORTIFÓLIO'!$H$4:$H$433,MATCH($C403,'PORTIFÓLIO'!$C$4:$C$433,0)),"")</f>
        <v/>
      </c>
      <c r="I403" s="256" t="n"/>
      <c r="J403" s="218">
        <f>I403*$B$2</f>
        <v/>
      </c>
      <c r="K403" s="292">
        <f t="array" ref="K403">IFERROR(I403*INDEX('PORTIFÓLIO'!$S$4:$S$433,MATCH($C403,'PORTIFÓLIO'!$C$4:$C$433,0)),"")</f>
        <v/>
      </c>
      <c r="L403" s="292">
        <f t="array" ref="L403">IFERROR(J403*INDEX('PORTIFÓLIO'!$S$4:$S$433,MATCH($C403,'PORTIFÓLIO'!$C$4:$C$433,0)),"")</f>
        <v/>
      </c>
      <c r="M403" s="220" t="n"/>
      <c r="N403" s="220" t="n"/>
      <c r="O403" s="220" t="n"/>
      <c r="P403" s="220" t="n"/>
      <c r="Q403" s="220" t="n"/>
      <c r="R403" s="220" t="n"/>
      <c r="S403" s="220" t="n"/>
      <c r="T403" s="220" t="n"/>
      <c r="U403" s="220" t="n"/>
      <c r="V403" s="220" t="n"/>
      <c r="W403" s="220" t="n"/>
    </row>
    <row r="404" outlineLevel="1" ht="15.75" customHeight="1" s="297">
      <c r="A404" s="211" t="n"/>
      <c r="B404" s="212" t="n"/>
      <c r="C404" s="213" t="n"/>
      <c r="D404" s="214">
        <f>IFERROR(VLOOKUP($C404,'PORTIFÓLIO'!C:V,2,0),"")</f>
        <v/>
      </c>
      <c r="E404" s="211">
        <f>IFERROR(VLOOKUP($C404,'PORTIFÓLIO'!C:V,3,0),"")</f>
        <v/>
      </c>
      <c r="F404" s="211">
        <f>IFERROR(VLOOKUP($C404,'PORTIFÓLIO'!C:V,4,0),"")</f>
        <v/>
      </c>
      <c r="G404" s="215">
        <f>IFERROR(VLOOKUP($C404,'PORTIFÓLIO'!C:V,5,0),"")</f>
        <v/>
      </c>
      <c r="H404" s="254">
        <f t="array" ref="H404">IFERROR(INDEX('PORTIFÓLIO'!$H$4:$H$433,MATCH($C404,'PORTIFÓLIO'!$C$4:$C$433,0)),"")</f>
        <v/>
      </c>
      <c r="I404" s="256" t="n"/>
      <c r="J404" s="218">
        <f>I404*$B$2</f>
        <v/>
      </c>
      <c r="K404" s="292">
        <f t="array" ref="K404">IFERROR(I404*INDEX('PORTIFÓLIO'!$S$4:$S$433,MATCH($C404,'PORTIFÓLIO'!$C$4:$C$433,0)),"")</f>
        <v/>
      </c>
      <c r="L404" s="292">
        <f t="array" ref="L404">IFERROR(J404*INDEX('PORTIFÓLIO'!$S$4:$S$433,MATCH($C404,'PORTIFÓLIO'!$C$4:$C$433,0)),"")</f>
        <v/>
      </c>
      <c r="M404" s="220" t="n"/>
      <c r="N404" s="220" t="n"/>
      <c r="O404" s="220" t="n"/>
      <c r="P404" s="220" t="n"/>
      <c r="Q404" s="220" t="n"/>
      <c r="R404" s="220" t="n"/>
      <c r="S404" s="220" t="n"/>
      <c r="T404" s="220" t="n"/>
      <c r="U404" s="220" t="n"/>
      <c r="V404" s="220" t="n"/>
      <c r="W404" s="220" t="n"/>
    </row>
    <row r="405" outlineLevel="1" ht="15.75" customHeight="1" s="297">
      <c r="A405" s="211" t="n"/>
      <c r="B405" s="212" t="n"/>
      <c r="C405" s="213" t="n"/>
      <c r="D405" s="214">
        <f>IFERROR(VLOOKUP($C405,'PORTIFÓLIO'!C:V,2,0),"")</f>
        <v/>
      </c>
      <c r="E405" s="211">
        <f>IFERROR(VLOOKUP($C405,'PORTIFÓLIO'!C:V,3,0),"")</f>
        <v/>
      </c>
      <c r="F405" s="211">
        <f>IFERROR(VLOOKUP($C405,'PORTIFÓLIO'!C:V,4,0),"")</f>
        <v/>
      </c>
      <c r="G405" s="215">
        <f>IFERROR(VLOOKUP($C405,'PORTIFÓLIO'!C:V,5,0),"")</f>
        <v/>
      </c>
      <c r="H405" s="254">
        <f t="array" ref="H405">IFERROR(INDEX('PORTIFÓLIO'!$H$4:$H$433,MATCH($C405,'PORTIFÓLIO'!$C$4:$C$433,0)),"")</f>
        <v/>
      </c>
      <c r="I405" s="256" t="n"/>
      <c r="J405" s="218">
        <f>I405*$B$2</f>
        <v/>
      </c>
      <c r="K405" s="292">
        <f t="array" ref="K405">IFERROR(I405*INDEX('PORTIFÓLIO'!$S$4:$S$433,MATCH($C405,'PORTIFÓLIO'!$C$4:$C$433,0)),"")</f>
        <v/>
      </c>
      <c r="L405" s="292">
        <f t="array" ref="L405">IFERROR(J405*INDEX('PORTIFÓLIO'!$S$4:$S$433,MATCH($C405,'PORTIFÓLIO'!$C$4:$C$433,0)),"")</f>
        <v/>
      </c>
      <c r="M405" s="220" t="n"/>
      <c r="N405" s="220" t="n"/>
      <c r="O405" s="220" t="n"/>
      <c r="P405" s="220" t="n"/>
      <c r="Q405" s="220" t="n"/>
      <c r="R405" s="220" t="n"/>
      <c r="S405" s="220" t="n"/>
      <c r="T405" s="220" t="n"/>
      <c r="U405" s="220" t="n"/>
      <c r="V405" s="220" t="n"/>
      <c r="W405" s="220" t="n"/>
    </row>
    <row r="406" outlineLevel="1" ht="15.75" customHeight="1" s="297">
      <c r="A406" s="211" t="n"/>
      <c r="B406" s="212" t="n"/>
      <c r="C406" s="213" t="n"/>
      <c r="D406" s="214">
        <f>IFERROR(VLOOKUP($C406,'PORTIFÓLIO'!C:V,2,0),"")</f>
        <v/>
      </c>
      <c r="E406" s="211">
        <f>IFERROR(VLOOKUP($C406,'PORTIFÓLIO'!C:V,3,0),"")</f>
        <v/>
      </c>
      <c r="F406" s="211">
        <f>IFERROR(VLOOKUP($C406,'PORTIFÓLIO'!C:V,4,0),"")</f>
        <v/>
      </c>
      <c r="G406" s="215">
        <f>IFERROR(VLOOKUP($C406,'PORTIFÓLIO'!C:V,5,0),"")</f>
        <v/>
      </c>
      <c r="H406" s="254">
        <f t="array" ref="H406">IFERROR(INDEX('PORTIFÓLIO'!$H$4:$H$433,MATCH($C406,'PORTIFÓLIO'!$C$4:$C$433,0)),"")</f>
        <v/>
      </c>
      <c r="I406" s="256" t="n"/>
      <c r="J406" s="218">
        <f>I406*$B$2</f>
        <v/>
      </c>
      <c r="K406" s="292">
        <f t="array" ref="K406">IFERROR(I406*INDEX('PORTIFÓLIO'!$S$4:$S$433,MATCH($C406,'PORTIFÓLIO'!$C$4:$C$433,0)),"")</f>
        <v/>
      </c>
      <c r="L406" s="292">
        <f t="array" ref="L406">IFERROR(J406*INDEX('PORTIFÓLIO'!$S$4:$S$433,MATCH($C406,'PORTIFÓLIO'!$C$4:$C$433,0)),"")</f>
        <v/>
      </c>
      <c r="M406" s="220" t="n"/>
      <c r="N406" s="220" t="n"/>
      <c r="O406" s="220" t="n"/>
      <c r="P406" s="220" t="n"/>
      <c r="Q406" s="220" t="n"/>
      <c r="R406" s="220" t="n"/>
      <c r="S406" s="220" t="n"/>
      <c r="T406" s="220" t="n"/>
      <c r="U406" s="220" t="n"/>
      <c r="V406" s="220" t="n"/>
      <c r="W406" s="220" t="n"/>
    </row>
    <row r="407" outlineLevel="1" ht="15.75" customHeight="1" s="297">
      <c r="A407" s="211" t="n"/>
      <c r="B407" s="212" t="n"/>
      <c r="C407" s="213" t="n"/>
      <c r="D407" s="214">
        <f>IFERROR(VLOOKUP($C407,'PORTIFÓLIO'!C:V,2,0),"")</f>
        <v/>
      </c>
      <c r="E407" s="211">
        <f>IFERROR(VLOOKUP($C407,'PORTIFÓLIO'!C:V,3,0),"")</f>
        <v/>
      </c>
      <c r="F407" s="211">
        <f>IFERROR(VLOOKUP($C407,'PORTIFÓLIO'!C:V,4,0),"")</f>
        <v/>
      </c>
      <c r="G407" s="215">
        <f>IFERROR(VLOOKUP($C407,'PORTIFÓLIO'!C:V,5,0),"")</f>
        <v/>
      </c>
      <c r="H407" s="254">
        <f t="array" ref="H407">IFERROR(INDEX('PORTIFÓLIO'!$H$4:$H$433,MATCH($C407,'PORTIFÓLIO'!$C$4:$C$433,0)),"")</f>
        <v/>
      </c>
      <c r="I407" s="256" t="n"/>
      <c r="J407" s="218">
        <f>I407*$B$2</f>
        <v/>
      </c>
      <c r="K407" s="292">
        <f t="array" ref="K407">IFERROR(I407*INDEX('PORTIFÓLIO'!$S$4:$S$433,MATCH($C407,'PORTIFÓLIO'!$C$4:$C$433,0)),"")</f>
        <v/>
      </c>
      <c r="L407" s="292">
        <f t="array" ref="L407">IFERROR(J407*INDEX('PORTIFÓLIO'!$S$4:$S$433,MATCH($C407,'PORTIFÓLIO'!$C$4:$C$433,0)),"")</f>
        <v/>
      </c>
      <c r="M407" s="220" t="n"/>
      <c r="N407" s="220" t="n"/>
      <c r="O407" s="220" t="n"/>
      <c r="P407" s="220" t="n"/>
      <c r="Q407" s="220" t="n"/>
      <c r="R407" s="220" t="n"/>
      <c r="S407" s="220" t="n"/>
      <c r="T407" s="220" t="n"/>
      <c r="U407" s="220" t="n"/>
      <c r="V407" s="220" t="n"/>
      <c r="W407" s="220" t="n"/>
    </row>
    <row r="408" outlineLevel="1" ht="15.75" customHeight="1" s="297">
      <c r="A408" s="211" t="n"/>
      <c r="B408" s="227" t="n"/>
      <c r="C408" s="211" t="n"/>
      <c r="D408" s="214">
        <f>IFERROR(VLOOKUP($C408,'PORTIFÓLIO'!C:V,2,0),"")</f>
        <v/>
      </c>
      <c r="E408" s="211">
        <f>IFERROR(VLOOKUP($C408,'PORTIFÓLIO'!C:V,3,0),"")</f>
        <v/>
      </c>
      <c r="F408" s="211">
        <f>IFERROR(VLOOKUP($C408,'PORTIFÓLIO'!C:V,4,0),"")</f>
        <v/>
      </c>
      <c r="G408" s="215">
        <f>IFERROR(VLOOKUP($C408,'PORTIFÓLIO'!C:V,5,0),"")</f>
        <v/>
      </c>
      <c r="H408" s="254">
        <f t="array" ref="H408">IFERROR(INDEX('PORTIFÓLIO'!$H$4:$H$433,MATCH($C408,'PORTIFÓLIO'!$C$4:$C$433,0)),"")</f>
        <v/>
      </c>
      <c r="I408" s="256" t="n"/>
      <c r="J408" s="218">
        <f>I408*$B$2</f>
        <v/>
      </c>
      <c r="K408" s="292">
        <f t="array" ref="K408">IFERROR(I408*INDEX('PORTIFÓLIO'!$S$4:$S$433,MATCH($C408,'PORTIFÓLIO'!$C$4:$C$433,0)),"")</f>
        <v/>
      </c>
      <c r="L408" s="292">
        <f t="array" ref="L408">IFERROR(J408*INDEX('PORTIFÓLIO'!$S$4:$S$433,MATCH($C408,'PORTIFÓLIO'!$C$4:$C$433,0)),"")</f>
        <v/>
      </c>
      <c r="M408" s="220" t="n"/>
      <c r="N408" s="220" t="n"/>
      <c r="O408" s="220" t="n"/>
      <c r="P408" s="220" t="n"/>
      <c r="Q408" s="220" t="n"/>
      <c r="R408" s="220" t="n"/>
      <c r="S408" s="220" t="n"/>
      <c r="T408" s="220" t="n"/>
      <c r="U408" s="220" t="n"/>
      <c r="V408" s="220" t="n"/>
      <c r="W408" s="220" t="n"/>
    </row>
    <row r="409" ht="15.75" customHeight="1" s="297">
      <c r="A409" s="229" t="inlineStr">
        <is>
          <t>OPERAÇÃO 11</t>
        </is>
      </c>
      <c r="B409" s="230" t="n"/>
      <c r="C409" s="231" t="n"/>
      <c r="D409" s="232" t="n"/>
      <c r="E409" s="231" t="n"/>
      <c r="F409" s="231" t="n"/>
      <c r="G409" s="233" t="n"/>
      <c r="H409" s="233" t="n"/>
      <c r="I409" s="258" t="n"/>
      <c r="J409" s="236" t="n"/>
      <c r="K409" s="237">
        <f>SUBTOTAL(9,K410:K423)</f>
        <v/>
      </c>
      <c r="L409" s="237">
        <f>SUBTOTAL(9,L410:L423)</f>
        <v/>
      </c>
      <c r="M409" s="220" t="n"/>
      <c r="N409" s="220" t="n"/>
      <c r="O409" s="220" t="n"/>
      <c r="P409" s="220" t="n"/>
      <c r="Q409" s="220" t="n"/>
      <c r="R409" s="220" t="n"/>
      <c r="S409" s="220" t="n"/>
      <c r="T409" s="220" t="n"/>
      <c r="U409" s="220" t="n"/>
      <c r="V409" s="220" t="n"/>
      <c r="W409" s="220" t="n"/>
    </row>
    <row r="410" outlineLevel="1" ht="15.75" customHeight="1" s="297">
      <c r="A410" s="213" t="n"/>
      <c r="B410" s="212" t="n"/>
      <c r="C410" s="213" t="n"/>
      <c r="D410" s="214">
        <f>IFERROR(VLOOKUP($C410,'PORTIFÓLIO'!C:V,2,0),"")</f>
        <v/>
      </c>
      <c r="E410" s="211">
        <f>IFERROR(VLOOKUP($C410,'PORTIFÓLIO'!C:V,3,0),"")</f>
        <v/>
      </c>
      <c r="F410" s="211">
        <f>IFERROR(VLOOKUP($C410,'PORTIFÓLIO'!C:V,4,0),"")</f>
        <v/>
      </c>
      <c r="G410" s="215">
        <f>IFERROR(VLOOKUP($C410,'PORTIFÓLIO'!C:V,5,0),"")</f>
        <v/>
      </c>
      <c r="H410" s="254">
        <f t="array" ref="H410">IFERROR(INDEX('PORTIFÓLIO'!$H$4:$H$433,MATCH($C410,'PORTIFÓLIO'!$C$4:$C$433,0)),"")</f>
        <v/>
      </c>
      <c r="I410" s="255" t="n"/>
      <c r="J410" s="218">
        <f>I410*$B$2</f>
        <v/>
      </c>
      <c r="K410" s="292">
        <f t="array" ref="K410">IFERROR(I410*INDEX('PORTIFÓLIO'!$S$4:$S$433,MATCH($C410,'PORTIFÓLIO'!$C$4:$C$433,0)),"")</f>
        <v/>
      </c>
      <c r="L410" s="292">
        <f t="array" ref="L410">IFERROR(J410*INDEX('PORTIFÓLIO'!$S$4:$S$433,MATCH($C410,'PORTIFÓLIO'!$C$4:$C$433,0)),"")</f>
        <v/>
      </c>
      <c r="M410" s="220" t="n"/>
      <c r="N410" s="220" t="n"/>
      <c r="O410" s="220" t="n"/>
      <c r="P410" s="220" t="n"/>
      <c r="Q410" s="220" t="n"/>
      <c r="R410" s="220" t="n"/>
      <c r="S410" s="220" t="n"/>
      <c r="T410" s="220" t="n"/>
      <c r="U410" s="220" t="n"/>
      <c r="V410" s="220" t="n"/>
      <c r="W410" s="220" t="n"/>
    </row>
    <row r="411" outlineLevel="1" ht="15.75" customHeight="1" s="297">
      <c r="A411" s="211" t="n"/>
      <c r="B411" s="212" t="n"/>
      <c r="C411" s="213" t="n"/>
      <c r="D411" s="214">
        <f>IFERROR(VLOOKUP($C411,'PORTIFÓLIO'!C:V,2,0),"")</f>
        <v/>
      </c>
      <c r="E411" s="211">
        <f>IFERROR(VLOOKUP($C411,'PORTIFÓLIO'!C:V,3,0),"")</f>
        <v/>
      </c>
      <c r="F411" s="211">
        <f>IFERROR(VLOOKUP($C411,'PORTIFÓLIO'!C:V,4,0),"")</f>
        <v/>
      </c>
      <c r="G411" s="215">
        <f>IFERROR(VLOOKUP($C411,'PORTIFÓLIO'!C:V,5,0),"")</f>
        <v/>
      </c>
      <c r="H411" s="254">
        <f t="array" ref="H411">IFERROR(INDEX('PORTIFÓLIO'!$H$4:$H$433,MATCH($C411,'PORTIFÓLIO'!$C$4:$C$433,0)),"")</f>
        <v/>
      </c>
      <c r="I411" s="256" t="n"/>
      <c r="J411" s="218">
        <f>I411*$B$2</f>
        <v/>
      </c>
      <c r="K411" s="292">
        <f t="array" ref="K411">IFERROR(I411*INDEX('PORTIFÓLIO'!$S$4:$S$433,MATCH($C411,'PORTIFÓLIO'!$C$4:$C$433,0)),"")</f>
        <v/>
      </c>
      <c r="L411" s="292">
        <f t="array" ref="L411">IFERROR(J411*INDEX('PORTIFÓLIO'!$S$4:$S$433,MATCH($C411,'PORTIFÓLIO'!$C$4:$C$433,0)),"")</f>
        <v/>
      </c>
      <c r="M411" s="220" t="n"/>
      <c r="N411" s="220" t="n"/>
      <c r="O411" s="220" t="n"/>
      <c r="P411" s="220" t="n"/>
      <c r="Q411" s="220" t="n"/>
      <c r="R411" s="220" t="n"/>
      <c r="S411" s="220" t="n"/>
      <c r="T411" s="220" t="n"/>
      <c r="U411" s="220" t="n"/>
      <c r="V411" s="220" t="n"/>
      <c r="W411" s="220" t="n"/>
    </row>
    <row r="412" outlineLevel="1" ht="15.75" customHeight="1" s="297">
      <c r="A412" s="211" t="n"/>
      <c r="B412" s="212" t="n"/>
      <c r="C412" s="213" t="n"/>
      <c r="D412" s="214">
        <f>IFERROR(VLOOKUP($C412,'PORTIFÓLIO'!C:V,2,0),"")</f>
        <v/>
      </c>
      <c r="E412" s="211">
        <f>IFERROR(VLOOKUP($C412,'PORTIFÓLIO'!C:V,3,0),"")</f>
        <v/>
      </c>
      <c r="F412" s="211">
        <f>IFERROR(VLOOKUP($C412,'PORTIFÓLIO'!C:V,4,0),"")</f>
        <v/>
      </c>
      <c r="G412" s="215">
        <f>IFERROR(VLOOKUP($C412,'PORTIFÓLIO'!C:V,5,0),"")</f>
        <v/>
      </c>
      <c r="H412" s="254">
        <f t="array" ref="H412">IFERROR(INDEX('PORTIFÓLIO'!$H$4:$H$433,MATCH($C412,'PORTIFÓLIO'!$C$4:$C$433,0)),"")</f>
        <v/>
      </c>
      <c r="I412" s="256" t="n"/>
      <c r="J412" s="218">
        <f>I412*$B$2</f>
        <v/>
      </c>
      <c r="K412" s="292">
        <f t="array" ref="K412">IFERROR(I412*INDEX('PORTIFÓLIO'!$S$4:$S$433,MATCH($C412,'PORTIFÓLIO'!$C$4:$C$433,0)),"")</f>
        <v/>
      </c>
      <c r="L412" s="292">
        <f t="array" ref="L412">IFERROR(J412*INDEX('PORTIFÓLIO'!$S$4:$S$433,MATCH($C412,'PORTIFÓLIO'!$C$4:$C$433,0)),"")</f>
        <v/>
      </c>
      <c r="M412" s="220" t="n"/>
      <c r="N412" s="220" t="n"/>
      <c r="O412" s="220" t="n"/>
      <c r="P412" s="220" t="n"/>
      <c r="Q412" s="220" t="n"/>
      <c r="R412" s="220" t="n"/>
      <c r="S412" s="220" t="n"/>
      <c r="T412" s="220" t="n"/>
      <c r="U412" s="220" t="n"/>
      <c r="V412" s="220" t="n"/>
      <c r="W412" s="220" t="n"/>
    </row>
    <row r="413" outlineLevel="1" ht="15.75" customHeight="1" s="297">
      <c r="A413" s="211" t="n"/>
      <c r="B413" s="212" t="n"/>
      <c r="C413" s="213" t="n"/>
      <c r="D413" s="214">
        <f>IFERROR(VLOOKUP($C413,'PORTIFÓLIO'!C:V,2,0),"")</f>
        <v/>
      </c>
      <c r="E413" s="211">
        <f>IFERROR(VLOOKUP($C413,'PORTIFÓLIO'!C:V,3,0),"")</f>
        <v/>
      </c>
      <c r="F413" s="211">
        <f>IFERROR(VLOOKUP($C413,'PORTIFÓLIO'!C:V,4,0),"")</f>
        <v/>
      </c>
      <c r="G413" s="215">
        <f>IFERROR(VLOOKUP($C413,'PORTIFÓLIO'!C:V,5,0),"")</f>
        <v/>
      </c>
      <c r="H413" s="254">
        <f t="array" ref="H413">IFERROR(INDEX('PORTIFÓLIO'!$H$4:$H$433,MATCH($C413,'PORTIFÓLIO'!$C$4:$C$433,0)),"")</f>
        <v/>
      </c>
      <c r="I413" s="256" t="n"/>
      <c r="J413" s="218">
        <f>I413*$B$2</f>
        <v/>
      </c>
      <c r="K413" s="292">
        <f t="array" ref="K413">IFERROR(I413*INDEX('PORTIFÓLIO'!$S$4:$S$433,MATCH($C413,'PORTIFÓLIO'!$C$4:$C$433,0)),"")</f>
        <v/>
      </c>
      <c r="L413" s="292">
        <f t="array" ref="L413">IFERROR(J413*INDEX('PORTIFÓLIO'!$S$4:$S$433,MATCH($C413,'PORTIFÓLIO'!$C$4:$C$433,0)),"")</f>
        <v/>
      </c>
      <c r="M413" s="220" t="n"/>
      <c r="N413" s="220" t="n"/>
      <c r="O413" s="220" t="n"/>
      <c r="P413" s="220" t="n"/>
      <c r="Q413" s="220" t="n"/>
      <c r="R413" s="220" t="n"/>
      <c r="S413" s="220" t="n"/>
      <c r="T413" s="220" t="n"/>
      <c r="U413" s="220" t="n"/>
      <c r="V413" s="220" t="n"/>
      <c r="W413" s="220" t="n"/>
    </row>
    <row r="414" outlineLevel="1" ht="15.75" customHeight="1" s="297">
      <c r="A414" s="211" t="n"/>
      <c r="B414" s="212" t="n"/>
      <c r="C414" s="213" t="n"/>
      <c r="D414" s="214">
        <f>IFERROR(VLOOKUP($C414,'PORTIFÓLIO'!C:V,2,0),"")</f>
        <v/>
      </c>
      <c r="E414" s="211">
        <f>IFERROR(VLOOKUP($C414,'PORTIFÓLIO'!C:V,3,0),"")</f>
        <v/>
      </c>
      <c r="F414" s="211">
        <f>IFERROR(VLOOKUP($C414,'PORTIFÓLIO'!C:V,4,0),"")</f>
        <v/>
      </c>
      <c r="G414" s="215">
        <f>IFERROR(VLOOKUP($C414,'PORTIFÓLIO'!C:V,5,0),"")</f>
        <v/>
      </c>
      <c r="H414" s="254">
        <f t="array" ref="H414">IFERROR(INDEX('PORTIFÓLIO'!$H$4:$H$433,MATCH($C414,'PORTIFÓLIO'!$C$4:$C$433,0)),"")</f>
        <v/>
      </c>
      <c r="I414" s="256" t="n"/>
      <c r="J414" s="218">
        <f>I414*$B$2</f>
        <v/>
      </c>
      <c r="K414" s="292">
        <f t="array" ref="K414">IFERROR(I414*INDEX('PORTIFÓLIO'!$S$4:$S$433,MATCH($C414,'PORTIFÓLIO'!$C$4:$C$433,0)),"")</f>
        <v/>
      </c>
      <c r="L414" s="292">
        <f t="array" ref="L414">IFERROR(J414*INDEX('PORTIFÓLIO'!$S$4:$S$433,MATCH($C414,'PORTIFÓLIO'!$C$4:$C$433,0)),"")</f>
        <v/>
      </c>
      <c r="M414" s="220" t="n"/>
      <c r="N414" s="220" t="n"/>
      <c r="O414" s="220" t="n"/>
      <c r="P414" s="220" t="n"/>
      <c r="Q414" s="220" t="n"/>
      <c r="R414" s="220" t="n"/>
      <c r="S414" s="220" t="n"/>
      <c r="T414" s="220" t="n"/>
      <c r="U414" s="220" t="n"/>
      <c r="V414" s="220" t="n"/>
      <c r="W414" s="220" t="n"/>
    </row>
    <row r="415" outlineLevel="1" ht="15.75" customHeight="1" s="297">
      <c r="A415" s="211" t="n"/>
      <c r="B415" s="212" t="n"/>
      <c r="C415" s="213" t="n"/>
      <c r="D415" s="214">
        <f>IFERROR(VLOOKUP($C415,'PORTIFÓLIO'!C:V,2,0),"")</f>
        <v/>
      </c>
      <c r="E415" s="211">
        <f>IFERROR(VLOOKUP($C415,'PORTIFÓLIO'!C:V,3,0),"")</f>
        <v/>
      </c>
      <c r="F415" s="211">
        <f>IFERROR(VLOOKUP($C415,'PORTIFÓLIO'!C:V,4,0),"")</f>
        <v/>
      </c>
      <c r="G415" s="215">
        <f>IFERROR(VLOOKUP($C415,'PORTIFÓLIO'!C:V,5,0),"")</f>
        <v/>
      </c>
      <c r="H415" s="254">
        <f t="array" ref="H415">IFERROR(INDEX('PORTIFÓLIO'!$H$4:$H$433,MATCH($C415,'PORTIFÓLIO'!$C$4:$C$433,0)),"")</f>
        <v/>
      </c>
      <c r="I415" s="256" t="n"/>
      <c r="J415" s="218">
        <f>I415*$B$2</f>
        <v/>
      </c>
      <c r="K415" s="292">
        <f t="array" ref="K415">IFERROR(I415*INDEX('PORTIFÓLIO'!$S$4:$S$433,MATCH($C415,'PORTIFÓLIO'!$C$4:$C$433,0)),"")</f>
        <v/>
      </c>
      <c r="L415" s="292">
        <f t="array" ref="L415">IFERROR(J415*INDEX('PORTIFÓLIO'!$S$4:$S$433,MATCH($C415,'PORTIFÓLIO'!$C$4:$C$433,0)),"")</f>
        <v/>
      </c>
      <c r="M415" s="220" t="n"/>
      <c r="N415" s="220" t="n"/>
      <c r="O415" s="220" t="n"/>
      <c r="P415" s="220" t="n"/>
      <c r="Q415" s="220" t="n"/>
      <c r="R415" s="220" t="n"/>
      <c r="S415" s="220" t="n"/>
      <c r="T415" s="220" t="n"/>
      <c r="U415" s="220" t="n"/>
      <c r="V415" s="220" t="n"/>
      <c r="W415" s="220" t="n"/>
    </row>
    <row r="416" outlineLevel="1" ht="15.75" customHeight="1" s="297">
      <c r="A416" s="211" t="n"/>
      <c r="B416" s="212" t="n"/>
      <c r="C416" s="213" t="n"/>
      <c r="D416" s="214">
        <f>IFERROR(VLOOKUP($C416,'PORTIFÓLIO'!C:V,2,0),"")</f>
        <v/>
      </c>
      <c r="E416" s="211">
        <f>IFERROR(VLOOKUP($C416,'PORTIFÓLIO'!C:V,3,0),"")</f>
        <v/>
      </c>
      <c r="F416" s="211">
        <f>IFERROR(VLOOKUP($C416,'PORTIFÓLIO'!C:V,4,0),"")</f>
        <v/>
      </c>
      <c r="G416" s="215">
        <f>IFERROR(VLOOKUP($C416,'PORTIFÓLIO'!C:V,5,0),"")</f>
        <v/>
      </c>
      <c r="H416" s="254">
        <f t="array" ref="H416">IFERROR(INDEX('PORTIFÓLIO'!$H$4:$H$433,MATCH($C416,'PORTIFÓLIO'!$C$4:$C$433,0)),"")</f>
        <v/>
      </c>
      <c r="I416" s="256" t="n"/>
      <c r="J416" s="218">
        <f>I416*$B$2</f>
        <v/>
      </c>
      <c r="K416" s="292">
        <f t="array" ref="K416">IFERROR(I416*INDEX('PORTIFÓLIO'!$S$4:$S$433,MATCH($C416,'PORTIFÓLIO'!$C$4:$C$433,0)),"")</f>
        <v/>
      </c>
      <c r="L416" s="292">
        <f t="array" ref="L416">IFERROR(J416*INDEX('PORTIFÓLIO'!$S$4:$S$433,MATCH($C416,'PORTIFÓLIO'!$C$4:$C$433,0)),"")</f>
        <v/>
      </c>
      <c r="M416" s="220" t="n"/>
      <c r="N416" s="220" t="n"/>
      <c r="O416" s="220" t="n"/>
      <c r="P416" s="220" t="n"/>
      <c r="Q416" s="220" t="n"/>
      <c r="R416" s="220" t="n"/>
      <c r="S416" s="220" t="n"/>
      <c r="T416" s="220" t="n"/>
      <c r="U416" s="220" t="n"/>
      <c r="V416" s="220" t="n"/>
      <c r="W416" s="220" t="n"/>
    </row>
    <row r="417" outlineLevel="1" ht="15.75" customHeight="1" s="297">
      <c r="A417" s="211" t="n"/>
      <c r="B417" s="212" t="n"/>
      <c r="C417" s="213" t="n"/>
      <c r="D417" s="214">
        <f>IFERROR(VLOOKUP($C417,'PORTIFÓLIO'!C:V,2,0),"")</f>
        <v/>
      </c>
      <c r="E417" s="211">
        <f>IFERROR(VLOOKUP($C417,'PORTIFÓLIO'!C:V,3,0),"")</f>
        <v/>
      </c>
      <c r="F417" s="211">
        <f>IFERROR(VLOOKUP($C417,'PORTIFÓLIO'!C:V,4,0),"")</f>
        <v/>
      </c>
      <c r="G417" s="215">
        <f>IFERROR(VLOOKUP($C417,'PORTIFÓLIO'!C:V,5,0),"")</f>
        <v/>
      </c>
      <c r="H417" s="254">
        <f t="array" ref="H417">IFERROR(INDEX('PORTIFÓLIO'!$H$4:$H$433,MATCH($C417,'PORTIFÓLIO'!$C$4:$C$433,0)),"")</f>
        <v/>
      </c>
      <c r="I417" s="256" t="n"/>
      <c r="J417" s="218">
        <f>I417*$B$2</f>
        <v/>
      </c>
      <c r="K417" s="292">
        <f t="array" ref="K417">IFERROR(I417*INDEX('PORTIFÓLIO'!$S$4:$S$433,MATCH($C417,'PORTIFÓLIO'!$C$4:$C$433,0)),"")</f>
        <v/>
      </c>
      <c r="L417" s="292">
        <f t="array" ref="L417">IFERROR(J417*INDEX('PORTIFÓLIO'!$S$4:$S$433,MATCH($C417,'PORTIFÓLIO'!$C$4:$C$433,0)),"")</f>
        <v/>
      </c>
      <c r="M417" s="220" t="n"/>
      <c r="N417" s="220" t="n"/>
      <c r="O417" s="220" t="n"/>
      <c r="P417" s="220" t="n"/>
      <c r="Q417" s="220" t="n"/>
      <c r="R417" s="220" t="n"/>
      <c r="S417" s="220" t="n"/>
      <c r="T417" s="220" t="n"/>
      <c r="U417" s="220" t="n"/>
      <c r="V417" s="220" t="n"/>
      <c r="W417" s="220" t="n"/>
    </row>
    <row r="418" outlineLevel="1" ht="15.75" customHeight="1" s="297">
      <c r="A418" s="211" t="n"/>
      <c r="B418" s="212" t="n"/>
      <c r="C418" s="213" t="n"/>
      <c r="D418" s="214">
        <f>IFERROR(VLOOKUP($C418,'PORTIFÓLIO'!C:V,2,0),"")</f>
        <v/>
      </c>
      <c r="E418" s="211">
        <f>IFERROR(VLOOKUP($C418,'PORTIFÓLIO'!C:V,3,0),"")</f>
        <v/>
      </c>
      <c r="F418" s="211">
        <f>IFERROR(VLOOKUP($C418,'PORTIFÓLIO'!C:V,4,0),"")</f>
        <v/>
      </c>
      <c r="G418" s="215">
        <f>IFERROR(VLOOKUP($C418,'PORTIFÓLIO'!C:V,5,0),"")</f>
        <v/>
      </c>
      <c r="H418" s="254">
        <f t="array" ref="H418">IFERROR(INDEX('PORTIFÓLIO'!$H$4:$H$433,MATCH($C418,'PORTIFÓLIO'!$C$4:$C$433,0)),"")</f>
        <v/>
      </c>
      <c r="I418" s="255" t="n"/>
      <c r="J418" s="218">
        <f>I418*$B$2</f>
        <v/>
      </c>
      <c r="K418" s="292">
        <f t="array" ref="K418">IFERROR(I418*INDEX('PORTIFÓLIO'!$S$4:$S$433,MATCH($C418,'PORTIFÓLIO'!$C$4:$C$433,0)),"")</f>
        <v/>
      </c>
      <c r="L418" s="292">
        <f t="array" ref="L418">IFERROR(J418*INDEX('PORTIFÓLIO'!$S$4:$S$433,MATCH($C418,'PORTIFÓLIO'!$C$4:$C$433,0)),"")</f>
        <v/>
      </c>
      <c r="M418" s="220" t="n"/>
      <c r="N418" s="220" t="n"/>
      <c r="O418" s="220" t="n"/>
      <c r="P418" s="220" t="n"/>
      <c r="Q418" s="220" t="n"/>
      <c r="R418" s="220" t="n"/>
      <c r="S418" s="220" t="n"/>
      <c r="T418" s="220" t="n"/>
      <c r="U418" s="220" t="n"/>
      <c r="V418" s="220" t="n"/>
      <c r="W418" s="220" t="n"/>
    </row>
    <row r="419" outlineLevel="1" ht="15.75" customHeight="1" s="297">
      <c r="A419" s="211" t="n"/>
      <c r="B419" s="212" t="n"/>
      <c r="C419" s="213" t="n"/>
      <c r="D419" s="214">
        <f>IFERROR(VLOOKUP($C419,'PORTIFÓLIO'!C:V,2,0),"")</f>
        <v/>
      </c>
      <c r="E419" s="211">
        <f>IFERROR(VLOOKUP($C419,'PORTIFÓLIO'!C:V,3,0),"")</f>
        <v/>
      </c>
      <c r="F419" s="211">
        <f>IFERROR(VLOOKUP($C419,'PORTIFÓLIO'!C:V,4,0),"")</f>
        <v/>
      </c>
      <c r="G419" s="215">
        <f>IFERROR(VLOOKUP($C419,'PORTIFÓLIO'!C:V,5,0),"")</f>
        <v/>
      </c>
      <c r="H419" s="254">
        <f t="array" ref="H419">IFERROR(INDEX('PORTIFÓLIO'!$H$4:$H$433,MATCH($C419,'PORTIFÓLIO'!$C$4:$C$433,0)),"")</f>
        <v/>
      </c>
      <c r="I419" s="256" t="n"/>
      <c r="J419" s="218">
        <f>I419*$B$2</f>
        <v/>
      </c>
      <c r="K419" s="292">
        <f t="array" ref="K419">IFERROR(I419*INDEX('PORTIFÓLIO'!$S$4:$S$433,MATCH($C419,'PORTIFÓLIO'!$C$4:$C$433,0)),"")</f>
        <v/>
      </c>
      <c r="L419" s="292">
        <f t="array" ref="L419">IFERROR(J419*INDEX('PORTIFÓLIO'!$S$4:$S$433,MATCH($C419,'PORTIFÓLIO'!$C$4:$C$433,0)),"")</f>
        <v/>
      </c>
      <c r="M419" s="220" t="n"/>
      <c r="N419" s="220" t="n"/>
      <c r="O419" s="220" t="n"/>
      <c r="P419" s="220" t="n"/>
      <c r="Q419" s="220" t="n"/>
      <c r="R419" s="220" t="n"/>
      <c r="S419" s="220" t="n"/>
      <c r="T419" s="220" t="n"/>
      <c r="U419" s="220" t="n"/>
      <c r="V419" s="220" t="n"/>
      <c r="W419" s="220" t="n"/>
    </row>
    <row r="420" outlineLevel="1" ht="15.75" customHeight="1" s="297">
      <c r="A420" s="211" t="n"/>
      <c r="B420" s="212" t="n"/>
      <c r="C420" s="213" t="n"/>
      <c r="D420" s="214">
        <f>IFERROR(VLOOKUP($C420,'PORTIFÓLIO'!C:V,2,0),"")</f>
        <v/>
      </c>
      <c r="E420" s="211">
        <f>IFERROR(VLOOKUP($C420,'PORTIFÓLIO'!C:V,3,0),"")</f>
        <v/>
      </c>
      <c r="F420" s="211">
        <f>IFERROR(VLOOKUP($C420,'PORTIFÓLIO'!C:V,4,0),"")</f>
        <v/>
      </c>
      <c r="G420" s="215">
        <f>IFERROR(VLOOKUP($C420,'PORTIFÓLIO'!C:V,5,0),"")</f>
        <v/>
      </c>
      <c r="H420" s="254">
        <f t="array" ref="H420">IFERROR(INDEX('PORTIFÓLIO'!$H$4:$H$433,MATCH($C420,'PORTIFÓLIO'!$C$4:$C$433,0)),"")</f>
        <v/>
      </c>
      <c r="I420" s="256" t="n"/>
      <c r="J420" s="218">
        <f>I420*$B$2</f>
        <v/>
      </c>
      <c r="K420" s="292">
        <f t="array" ref="K420">IFERROR(I420*INDEX('PORTIFÓLIO'!$S$4:$S$433,MATCH($C420,'PORTIFÓLIO'!$C$4:$C$433,0)),"")</f>
        <v/>
      </c>
      <c r="L420" s="292">
        <f t="array" ref="L420">IFERROR(J420*INDEX('PORTIFÓLIO'!$S$4:$S$433,MATCH($C420,'PORTIFÓLIO'!$C$4:$C$433,0)),"")</f>
        <v/>
      </c>
      <c r="M420" s="220" t="n"/>
      <c r="N420" s="220" t="n"/>
      <c r="O420" s="220" t="n"/>
      <c r="P420" s="220" t="n"/>
      <c r="Q420" s="220" t="n"/>
      <c r="R420" s="220" t="n"/>
      <c r="S420" s="220" t="n"/>
      <c r="T420" s="220" t="n"/>
      <c r="U420" s="220" t="n"/>
      <c r="V420" s="220" t="n"/>
      <c r="W420" s="220" t="n"/>
    </row>
    <row r="421" outlineLevel="1" ht="15.75" customHeight="1" s="297">
      <c r="A421" s="211" t="n"/>
      <c r="B421" s="212" t="n"/>
      <c r="C421" s="213" t="n"/>
      <c r="D421" s="214">
        <f>IFERROR(VLOOKUP($C421,'PORTIFÓLIO'!C:V,2,0),"")</f>
        <v/>
      </c>
      <c r="E421" s="211">
        <f>IFERROR(VLOOKUP($C421,'PORTIFÓLIO'!C:V,3,0),"")</f>
        <v/>
      </c>
      <c r="F421" s="211">
        <f>IFERROR(VLOOKUP($C421,'PORTIFÓLIO'!C:V,4,0),"")</f>
        <v/>
      </c>
      <c r="G421" s="215">
        <f>IFERROR(VLOOKUP($C421,'PORTIFÓLIO'!C:V,5,0),"")</f>
        <v/>
      </c>
      <c r="H421" s="254">
        <f t="array" ref="H421">IFERROR(INDEX('PORTIFÓLIO'!$H$4:$H$433,MATCH($C421,'PORTIFÓLIO'!$C$4:$C$433,0)),"")</f>
        <v/>
      </c>
      <c r="I421" s="256" t="n"/>
      <c r="J421" s="218">
        <f>I421*$B$2</f>
        <v/>
      </c>
      <c r="K421" s="292">
        <f t="array" ref="K421">IFERROR(I421*INDEX('PORTIFÓLIO'!$S$4:$S$433,MATCH($C421,'PORTIFÓLIO'!$C$4:$C$433,0)),"")</f>
        <v/>
      </c>
      <c r="L421" s="292">
        <f t="array" ref="L421">IFERROR(J421*INDEX('PORTIFÓLIO'!$S$4:$S$433,MATCH($C421,'PORTIFÓLIO'!$C$4:$C$433,0)),"")</f>
        <v/>
      </c>
      <c r="M421" s="220" t="n"/>
      <c r="N421" s="220" t="n"/>
      <c r="O421" s="220" t="n"/>
      <c r="P421" s="220" t="n"/>
      <c r="Q421" s="220" t="n"/>
      <c r="R421" s="220" t="n"/>
      <c r="S421" s="220" t="n"/>
      <c r="T421" s="220" t="n"/>
      <c r="U421" s="220" t="n"/>
      <c r="V421" s="220" t="n"/>
      <c r="W421" s="220" t="n"/>
    </row>
    <row r="422" outlineLevel="1" ht="15.75" customHeight="1" s="297">
      <c r="A422" s="211" t="n"/>
      <c r="B422" s="212" t="n"/>
      <c r="C422" s="213" t="n"/>
      <c r="D422" s="214">
        <f>IFERROR(VLOOKUP($C422,'PORTIFÓLIO'!C:V,2,0),"")</f>
        <v/>
      </c>
      <c r="E422" s="211">
        <f>IFERROR(VLOOKUP($C422,'PORTIFÓLIO'!C:V,3,0),"")</f>
        <v/>
      </c>
      <c r="F422" s="211">
        <f>IFERROR(VLOOKUP($C422,'PORTIFÓLIO'!C:V,4,0),"")</f>
        <v/>
      </c>
      <c r="G422" s="215">
        <f>IFERROR(VLOOKUP($C422,'PORTIFÓLIO'!C:V,5,0),"")</f>
        <v/>
      </c>
      <c r="H422" s="254">
        <f t="array" ref="H422">IFERROR(INDEX('PORTIFÓLIO'!$H$4:$H$433,MATCH($C422,'PORTIFÓLIO'!$C$4:$C$433,0)),"")</f>
        <v/>
      </c>
      <c r="I422" s="256" t="n"/>
      <c r="J422" s="218">
        <f>I422*$B$2</f>
        <v/>
      </c>
      <c r="K422" s="292">
        <f t="array" ref="K422">IFERROR(I422*INDEX('PORTIFÓLIO'!$S$4:$S$433,MATCH($C422,'PORTIFÓLIO'!$C$4:$C$433,0)),"")</f>
        <v/>
      </c>
      <c r="L422" s="292">
        <f t="array" ref="L422">IFERROR(J422*INDEX('PORTIFÓLIO'!$S$4:$S$433,MATCH($C422,'PORTIFÓLIO'!$C$4:$C$433,0)),"")</f>
        <v/>
      </c>
      <c r="M422" s="220" t="n"/>
      <c r="N422" s="220" t="n"/>
      <c r="O422" s="220" t="n"/>
      <c r="P422" s="220" t="n"/>
      <c r="Q422" s="220" t="n"/>
      <c r="R422" s="220" t="n"/>
      <c r="S422" s="220" t="n"/>
      <c r="T422" s="220" t="n"/>
      <c r="U422" s="220" t="n"/>
      <c r="V422" s="220" t="n"/>
      <c r="W422" s="220" t="n"/>
    </row>
    <row r="423" outlineLevel="1" ht="15.75" customHeight="1" s="297">
      <c r="A423" s="211" t="n"/>
      <c r="B423" s="212" t="n"/>
      <c r="C423" s="213" t="n"/>
      <c r="D423" s="214">
        <f>IFERROR(VLOOKUP($C423,'PORTIFÓLIO'!C:V,2,0),"")</f>
        <v/>
      </c>
      <c r="E423" s="211">
        <f>IFERROR(VLOOKUP($C423,'PORTIFÓLIO'!C:V,3,0),"")</f>
        <v/>
      </c>
      <c r="F423" s="211">
        <f>IFERROR(VLOOKUP($C423,'PORTIFÓLIO'!C:V,4,0),"")</f>
        <v/>
      </c>
      <c r="G423" s="215">
        <f>IFERROR(VLOOKUP($C423,'PORTIFÓLIO'!C:V,5,0),"")</f>
        <v/>
      </c>
      <c r="H423" s="254">
        <f t="array" ref="H423">IFERROR(INDEX('PORTIFÓLIO'!$H$4:$H$433,MATCH($C423,'PORTIFÓLIO'!$C$4:$C$433,0)),"")</f>
        <v/>
      </c>
      <c r="I423" s="256" t="n"/>
      <c r="J423" s="218">
        <f>I423*$B$2</f>
        <v/>
      </c>
      <c r="K423" s="292">
        <f t="array" ref="K423">IFERROR(I423*INDEX('PORTIFÓLIO'!$S$4:$S$433,MATCH($C423,'PORTIFÓLIO'!$C$4:$C$433,0)),"")</f>
        <v/>
      </c>
      <c r="L423" s="292">
        <f t="array" ref="L423">IFERROR(J423*INDEX('PORTIFÓLIO'!$S$4:$S$433,MATCH($C423,'PORTIFÓLIO'!$C$4:$C$433,0)),"")</f>
        <v/>
      </c>
      <c r="M423" s="220" t="n"/>
      <c r="N423" s="220" t="n"/>
      <c r="O423" s="220" t="n"/>
      <c r="P423" s="220" t="n"/>
      <c r="Q423" s="220" t="n"/>
      <c r="R423" s="220" t="n"/>
      <c r="S423" s="220" t="n"/>
      <c r="T423" s="220" t="n"/>
      <c r="U423" s="220" t="n"/>
      <c r="V423" s="220" t="n"/>
      <c r="W423" s="220" t="n"/>
    </row>
    <row r="424" outlineLevel="1" ht="15.75" customHeight="1" s="297">
      <c r="A424" s="211" t="n"/>
      <c r="B424" s="212" t="n"/>
      <c r="C424" s="213" t="n"/>
      <c r="D424" s="214">
        <f>IFERROR(VLOOKUP($C424,'PORTIFÓLIO'!C:V,2,0),"")</f>
        <v/>
      </c>
      <c r="E424" s="211">
        <f>IFERROR(VLOOKUP($C424,'PORTIFÓLIO'!C:V,3,0),"")</f>
        <v/>
      </c>
      <c r="F424" s="211">
        <f>IFERROR(VLOOKUP($C424,'PORTIFÓLIO'!C:V,4,0),"")</f>
        <v/>
      </c>
      <c r="G424" s="215">
        <f>IFERROR(VLOOKUP($C424,'PORTIFÓLIO'!C:V,5,0),"")</f>
        <v/>
      </c>
      <c r="H424" s="254">
        <f t="array" ref="H424">IFERROR(INDEX('PORTIFÓLIO'!$H$4:$H$433,MATCH($C424,'PORTIFÓLIO'!$C$4:$C$433,0)),"")</f>
        <v/>
      </c>
      <c r="I424" s="256" t="n"/>
      <c r="J424" s="218">
        <f>I424*$B$2</f>
        <v/>
      </c>
      <c r="K424" s="292">
        <f t="array" ref="K424">IFERROR(I424*INDEX('PORTIFÓLIO'!$S$4:$S$433,MATCH($C424,'PORTIFÓLIO'!$C$4:$C$433,0)),"")</f>
        <v/>
      </c>
      <c r="L424" s="292">
        <f t="array" ref="L424">IFERROR(J424*INDEX('PORTIFÓLIO'!$S$4:$S$433,MATCH($C424,'PORTIFÓLIO'!$C$4:$C$433,0)),"")</f>
        <v/>
      </c>
      <c r="M424" s="220" t="n"/>
      <c r="N424" s="220" t="n"/>
      <c r="O424" s="220" t="n"/>
      <c r="P424" s="220" t="n"/>
      <c r="Q424" s="220" t="n"/>
      <c r="R424" s="220" t="n"/>
      <c r="S424" s="220" t="n"/>
      <c r="T424" s="220" t="n"/>
      <c r="U424" s="220" t="n"/>
      <c r="V424" s="220" t="n"/>
      <c r="W424" s="220" t="n"/>
    </row>
    <row r="425" outlineLevel="1" ht="15.75" customHeight="1" s="297">
      <c r="A425" s="211" t="n"/>
      <c r="B425" s="227" t="n"/>
      <c r="C425" s="211" t="n"/>
      <c r="D425" s="214">
        <f>IFERROR(VLOOKUP($C425,'PORTIFÓLIO'!C:V,2,0),"")</f>
        <v/>
      </c>
      <c r="E425" s="211">
        <f>IFERROR(VLOOKUP($C425,'PORTIFÓLIO'!C:V,3,0),"")</f>
        <v/>
      </c>
      <c r="F425" s="211">
        <f>IFERROR(VLOOKUP($C425,'PORTIFÓLIO'!C:V,4,0),"")</f>
        <v/>
      </c>
      <c r="G425" s="215">
        <f>IFERROR(VLOOKUP($C425,'PORTIFÓLIO'!C:V,5,0),"")</f>
        <v/>
      </c>
      <c r="H425" s="254">
        <f t="array" ref="H425">IFERROR(INDEX('PORTIFÓLIO'!$H$4:$H$433,MATCH($C425,'PORTIFÓLIO'!$C$4:$C$433,0)),"")</f>
        <v/>
      </c>
      <c r="I425" s="256" t="n"/>
      <c r="J425" s="218">
        <f>I425*$B$2</f>
        <v/>
      </c>
      <c r="K425" s="292">
        <f t="array" ref="K425">IFERROR(I425*INDEX('PORTIFÓLIO'!$S$4:$S$433,MATCH($C425,'PORTIFÓLIO'!$C$4:$C$433,0)),"")</f>
        <v/>
      </c>
      <c r="L425" s="292">
        <f t="array" ref="L425">IFERROR(J425*INDEX('PORTIFÓLIO'!$S$4:$S$433,MATCH($C425,'PORTIFÓLIO'!$C$4:$C$433,0)),"")</f>
        <v/>
      </c>
      <c r="M425" s="220" t="n"/>
      <c r="N425" s="220" t="n"/>
      <c r="O425" s="220" t="n"/>
      <c r="P425" s="220" t="n"/>
      <c r="Q425" s="220" t="n"/>
      <c r="R425" s="220" t="n"/>
      <c r="S425" s="220" t="n"/>
      <c r="T425" s="220" t="n"/>
      <c r="U425" s="220" t="n"/>
      <c r="V425" s="220" t="n"/>
      <c r="W425" s="220" t="n"/>
    </row>
    <row r="426" outlineLevel="1" ht="15.75" customHeight="1" s="297">
      <c r="A426" s="211" t="n"/>
      <c r="B426" s="227" t="n"/>
      <c r="C426" s="211" t="n"/>
      <c r="D426" s="214">
        <f>IFERROR(VLOOKUP($C426,'PORTIFÓLIO'!C:V,2,0),"")</f>
        <v/>
      </c>
      <c r="E426" s="211">
        <f>IFERROR(VLOOKUP($C426,'PORTIFÓLIO'!C:V,3,0),"")</f>
        <v/>
      </c>
      <c r="F426" s="211">
        <f>IFERROR(VLOOKUP($C426,'PORTIFÓLIO'!C:V,4,0),"")</f>
        <v/>
      </c>
      <c r="G426" s="215">
        <f>IFERROR(VLOOKUP($C426,'PORTIFÓLIO'!C:V,5,0),"")</f>
        <v/>
      </c>
      <c r="H426" s="254">
        <f t="array" ref="H426">IFERROR(INDEX('PORTIFÓLIO'!$H$4:$H$433,MATCH($C426,'PORTIFÓLIO'!$C$4:$C$433,0)),"")</f>
        <v/>
      </c>
      <c r="I426" s="256" t="n"/>
      <c r="J426" s="218">
        <f>I426*$B$2</f>
        <v/>
      </c>
      <c r="K426" s="292">
        <f t="array" ref="K426">IFERROR(I426*INDEX('PORTIFÓLIO'!$S$4:$S$433,MATCH($C426,'PORTIFÓLIO'!$C$4:$C$433,0)),"")</f>
        <v/>
      </c>
      <c r="L426" s="292">
        <f t="array" ref="L426">IFERROR(J426*INDEX('PORTIFÓLIO'!$S$4:$S$433,MATCH($C426,'PORTIFÓLIO'!$C$4:$C$433,0)),"")</f>
        <v/>
      </c>
      <c r="U426" s="79" t="n"/>
    </row>
    <row r="427" ht="15.75" customHeight="1" s="297">
      <c r="A427" s="229" t="inlineStr">
        <is>
          <t>OPERAÇÃO 12</t>
        </is>
      </c>
      <c r="B427" s="230" t="n"/>
      <c r="C427" s="231" t="n"/>
      <c r="D427" s="232" t="n"/>
      <c r="E427" s="231" t="n"/>
      <c r="F427" s="231" t="n"/>
      <c r="G427" s="233" t="n"/>
      <c r="H427" s="233" t="n"/>
      <c r="I427" s="258" t="n"/>
      <c r="J427" s="236" t="n"/>
      <c r="K427" s="237">
        <f>SUBTOTAL(9,K428:K441)</f>
        <v/>
      </c>
      <c r="L427" s="237">
        <f>SUBTOTAL(9,L428:L441)</f>
        <v/>
      </c>
      <c r="U427" s="79" t="n"/>
    </row>
    <row r="428" outlineLevel="1" ht="15.75" customHeight="1" s="297">
      <c r="A428" s="213" t="n"/>
      <c r="B428" s="212" t="n"/>
      <c r="C428" s="213" t="n"/>
      <c r="D428" s="214">
        <f>IFERROR(VLOOKUP($C428,'PORTIFÓLIO'!C:V,2,0),"")</f>
        <v/>
      </c>
      <c r="E428" s="211">
        <f>IFERROR(VLOOKUP($C428,'PORTIFÓLIO'!C:V,3,0),"")</f>
        <v/>
      </c>
      <c r="F428" s="211">
        <f>IFERROR(VLOOKUP($C428,'PORTIFÓLIO'!C:V,4,0),"")</f>
        <v/>
      </c>
      <c r="G428" s="215">
        <f>IFERROR(VLOOKUP($C428,'PORTIFÓLIO'!C:V,5,0),"")</f>
        <v/>
      </c>
      <c r="H428" s="254">
        <f t="array" ref="H428">IFERROR(INDEX('PORTIFÓLIO'!$H$4:$H$433,MATCH($C428,'PORTIFÓLIO'!$C$4:$C$433,0)),"")</f>
        <v/>
      </c>
      <c r="I428" s="256" t="n"/>
      <c r="J428" s="218">
        <f>I428*$B$2</f>
        <v/>
      </c>
      <c r="K428" s="292">
        <f t="array" ref="K428">IFERROR(I428*INDEX('PORTIFÓLIO'!$S$4:$S$433,MATCH($C428,'PORTIFÓLIO'!$C$4:$C$433,0)),"")</f>
        <v/>
      </c>
      <c r="L428" s="292">
        <f t="array" ref="L428">IFERROR(J428*INDEX('PORTIFÓLIO'!$S$4:$S$433,MATCH($C428,'PORTIFÓLIO'!$C$4:$C$433,0)),"")</f>
        <v/>
      </c>
      <c r="U428" s="79" t="n"/>
    </row>
    <row r="429" outlineLevel="1" ht="15.75" customHeight="1" s="297">
      <c r="A429" s="211" t="n"/>
      <c r="B429" s="212" t="n"/>
      <c r="C429" s="213" t="n"/>
      <c r="D429" s="214">
        <f>IFERROR(VLOOKUP($C429,'PORTIFÓLIO'!C:V,2,0),"")</f>
        <v/>
      </c>
      <c r="E429" s="211">
        <f>IFERROR(VLOOKUP($C429,'PORTIFÓLIO'!C:V,3,0),"")</f>
        <v/>
      </c>
      <c r="F429" s="211">
        <f>IFERROR(VLOOKUP($C429,'PORTIFÓLIO'!C:V,4,0),"")</f>
        <v/>
      </c>
      <c r="G429" s="215">
        <f>IFERROR(VLOOKUP($C429,'PORTIFÓLIO'!C:V,5,0),"")</f>
        <v/>
      </c>
      <c r="H429" s="254">
        <f t="array" ref="H429">IFERROR(INDEX('PORTIFÓLIO'!$H$4:$H$433,MATCH($C429,'PORTIFÓLIO'!$C$4:$C$433,0)),"")</f>
        <v/>
      </c>
      <c r="I429" s="256" t="n"/>
      <c r="J429" s="218">
        <f>I429*$B$2</f>
        <v/>
      </c>
      <c r="K429" s="292">
        <f t="array" ref="K429">IFERROR(I429*INDEX('PORTIFÓLIO'!$S$4:$S$433,MATCH($C429,'PORTIFÓLIO'!$C$4:$C$433,0)),"")</f>
        <v/>
      </c>
      <c r="L429" s="292">
        <f t="array" ref="L429">IFERROR(J429*INDEX('PORTIFÓLIO'!$S$4:$S$433,MATCH($C429,'PORTIFÓLIO'!$C$4:$C$433,0)),"")</f>
        <v/>
      </c>
      <c r="U429" s="79" t="n"/>
    </row>
    <row r="430" outlineLevel="1" ht="15.75" customHeight="1" s="297">
      <c r="A430" s="211" t="n"/>
      <c r="B430" s="212" t="n"/>
      <c r="C430" s="213" t="n"/>
      <c r="D430" s="214">
        <f>IFERROR(VLOOKUP($C430,'PORTIFÓLIO'!C:V,2,0),"")</f>
        <v/>
      </c>
      <c r="E430" s="211">
        <f>IFERROR(VLOOKUP($C430,'PORTIFÓLIO'!C:V,3,0),"")</f>
        <v/>
      </c>
      <c r="F430" s="211">
        <f>IFERROR(VLOOKUP($C430,'PORTIFÓLIO'!C:V,4,0),"")</f>
        <v/>
      </c>
      <c r="G430" s="215">
        <f>IFERROR(VLOOKUP($C430,'PORTIFÓLIO'!C:V,5,0),"")</f>
        <v/>
      </c>
      <c r="H430" s="254">
        <f t="array" ref="H430">IFERROR(INDEX('PORTIFÓLIO'!$H$4:$H$433,MATCH($C430,'PORTIFÓLIO'!$C$4:$C$433,0)),"")</f>
        <v/>
      </c>
      <c r="I430" s="256" t="n"/>
      <c r="J430" s="218">
        <f>I430*$B$2</f>
        <v/>
      </c>
      <c r="K430" s="292">
        <f t="array" ref="K430">IFERROR(I430*INDEX('PORTIFÓLIO'!$S$4:$S$433,MATCH($C430,'PORTIFÓLIO'!$C$4:$C$433,0)),"")</f>
        <v/>
      </c>
      <c r="L430" s="292">
        <f t="array" ref="L430">IFERROR(J430*INDEX('PORTIFÓLIO'!$S$4:$S$433,MATCH($C430,'PORTIFÓLIO'!$C$4:$C$433,0)),"")</f>
        <v/>
      </c>
      <c r="U430" s="79" t="n"/>
    </row>
    <row r="431" outlineLevel="1" ht="15.75" customHeight="1" s="297">
      <c r="A431" s="211" t="n"/>
      <c r="B431" s="212" t="n"/>
      <c r="C431" s="213" t="n"/>
      <c r="D431" s="214">
        <f>IFERROR(VLOOKUP($C431,'PORTIFÓLIO'!C:V,2,0),"")</f>
        <v/>
      </c>
      <c r="E431" s="211">
        <f>IFERROR(VLOOKUP($C431,'PORTIFÓLIO'!C:V,3,0),"")</f>
        <v/>
      </c>
      <c r="F431" s="211">
        <f>IFERROR(VLOOKUP($C431,'PORTIFÓLIO'!C:V,4,0),"")</f>
        <v/>
      </c>
      <c r="G431" s="215">
        <f>IFERROR(VLOOKUP($C431,'PORTIFÓLIO'!C:V,5,0),"")</f>
        <v/>
      </c>
      <c r="H431" s="254">
        <f t="array" ref="H431">IFERROR(INDEX('PORTIFÓLIO'!$H$4:$H$433,MATCH($C431,'PORTIFÓLIO'!$C$4:$C$433,0)),"")</f>
        <v/>
      </c>
      <c r="I431" s="256" t="n"/>
      <c r="J431" s="218">
        <f>I431*$B$2</f>
        <v/>
      </c>
      <c r="K431" s="292">
        <f t="array" ref="K431">IFERROR(I431*INDEX('PORTIFÓLIO'!$S$4:$S$433,MATCH($C431,'PORTIFÓLIO'!$C$4:$C$433,0)),"")</f>
        <v/>
      </c>
      <c r="L431" s="292">
        <f t="array" ref="L431">IFERROR(J431*INDEX('PORTIFÓLIO'!$S$4:$S$433,MATCH($C431,'PORTIFÓLIO'!$C$4:$C$433,0)),"")</f>
        <v/>
      </c>
      <c r="U431" s="79" t="n"/>
    </row>
    <row r="432" outlineLevel="1" ht="15.75" customHeight="1" s="297">
      <c r="A432" s="211" t="n"/>
      <c r="B432" s="212" t="n"/>
      <c r="C432" s="213" t="n"/>
      <c r="D432" s="214">
        <f>IFERROR(VLOOKUP($C432,'PORTIFÓLIO'!C:V,2,0),"")</f>
        <v/>
      </c>
      <c r="E432" s="211">
        <f>IFERROR(VLOOKUP($C432,'PORTIFÓLIO'!C:V,3,0),"")</f>
        <v/>
      </c>
      <c r="F432" s="211">
        <f>IFERROR(VLOOKUP($C432,'PORTIFÓLIO'!C:V,4,0),"")</f>
        <v/>
      </c>
      <c r="G432" s="215">
        <f>IFERROR(VLOOKUP($C432,'PORTIFÓLIO'!C:V,5,0),"")</f>
        <v/>
      </c>
      <c r="H432" s="254">
        <f t="array" ref="H432">IFERROR(INDEX('PORTIFÓLIO'!$H$4:$H$433,MATCH($C432,'PORTIFÓLIO'!$C$4:$C$433,0)),"")</f>
        <v/>
      </c>
      <c r="I432" s="256" t="n"/>
      <c r="J432" s="218">
        <f>I432*$B$2</f>
        <v/>
      </c>
      <c r="K432" s="292">
        <f t="array" ref="K432">IFERROR(I432*INDEX('PORTIFÓLIO'!$S$4:$S$433,MATCH($C432,'PORTIFÓLIO'!$C$4:$C$433,0)),"")</f>
        <v/>
      </c>
      <c r="L432" s="292">
        <f t="array" ref="L432">IFERROR(J432*INDEX('PORTIFÓLIO'!$S$4:$S$433,MATCH($C432,'PORTIFÓLIO'!$C$4:$C$433,0)),"")</f>
        <v/>
      </c>
      <c r="U432" s="79" t="n"/>
    </row>
    <row r="433" outlineLevel="1" ht="15.75" customHeight="1" s="297">
      <c r="A433" s="211" t="n"/>
      <c r="B433" s="212" t="n"/>
      <c r="C433" s="213" t="n"/>
      <c r="D433" s="214">
        <f>IFERROR(VLOOKUP($C433,'PORTIFÓLIO'!C:V,2,0),"")</f>
        <v/>
      </c>
      <c r="E433" s="211">
        <f>IFERROR(VLOOKUP($C433,'PORTIFÓLIO'!C:V,3,0),"")</f>
        <v/>
      </c>
      <c r="F433" s="211">
        <f>IFERROR(VLOOKUP($C433,'PORTIFÓLIO'!C:V,4,0),"")</f>
        <v/>
      </c>
      <c r="G433" s="215">
        <f>IFERROR(VLOOKUP($C433,'PORTIFÓLIO'!C:V,5,0),"")</f>
        <v/>
      </c>
      <c r="H433" s="254">
        <f t="array" ref="H433">IFERROR(INDEX('PORTIFÓLIO'!$H$4:$H$433,MATCH($C433,'PORTIFÓLIO'!$C$4:$C$433,0)),"")</f>
        <v/>
      </c>
      <c r="I433" s="256" t="n"/>
      <c r="J433" s="218">
        <f>I433*$B$2</f>
        <v/>
      </c>
      <c r="K433" s="292">
        <f t="array" ref="K433">IFERROR(I433*INDEX('PORTIFÓLIO'!$S$4:$S$433,MATCH($C433,'PORTIFÓLIO'!$C$4:$C$433,0)),"")</f>
        <v/>
      </c>
      <c r="L433" s="292">
        <f t="array" ref="L433">IFERROR(J433*INDEX('PORTIFÓLIO'!$S$4:$S$433,MATCH($C433,'PORTIFÓLIO'!$C$4:$C$433,0)),"")</f>
        <v/>
      </c>
      <c r="U433" s="79" t="n"/>
    </row>
    <row r="434" outlineLevel="1" ht="15.75" customHeight="1" s="297">
      <c r="A434" s="211" t="n"/>
      <c r="B434" s="212" t="n"/>
      <c r="C434" s="213" t="n"/>
      <c r="D434" s="214">
        <f>IFERROR(VLOOKUP($C434,'PORTIFÓLIO'!C:V,2,0),"")</f>
        <v/>
      </c>
      <c r="E434" s="211">
        <f>IFERROR(VLOOKUP($C434,'PORTIFÓLIO'!C:V,3,0),"")</f>
        <v/>
      </c>
      <c r="F434" s="211">
        <f>IFERROR(VLOOKUP($C434,'PORTIFÓLIO'!C:V,4,0),"")</f>
        <v/>
      </c>
      <c r="G434" s="215">
        <f>IFERROR(VLOOKUP($C434,'PORTIFÓLIO'!C:V,5,0),"")</f>
        <v/>
      </c>
      <c r="H434" s="254">
        <f t="array" ref="H434">IFERROR(INDEX('PORTIFÓLIO'!$H$4:$H$433,MATCH($C434,'PORTIFÓLIO'!$C$4:$C$433,0)),"")</f>
        <v/>
      </c>
      <c r="I434" s="256" t="n"/>
      <c r="J434" s="218">
        <f>I434*$B$2</f>
        <v/>
      </c>
      <c r="K434" s="292">
        <f t="array" ref="K434">IFERROR(I434*INDEX('PORTIFÓLIO'!$S$4:$S$433,MATCH($C434,'PORTIFÓLIO'!$C$4:$C$433,0)),"")</f>
        <v/>
      </c>
      <c r="L434" s="292">
        <f t="array" ref="L434">IFERROR(J434*INDEX('PORTIFÓLIO'!$S$4:$S$433,MATCH($C434,'PORTIFÓLIO'!$C$4:$C$433,0)),"")</f>
        <v/>
      </c>
      <c r="U434" s="79" t="n"/>
    </row>
    <row r="435" outlineLevel="1" ht="15.75" customHeight="1" s="297">
      <c r="A435" s="211" t="n"/>
      <c r="B435" s="212" t="n"/>
      <c r="C435" s="213" t="n"/>
      <c r="D435" s="214">
        <f>IFERROR(VLOOKUP($C435,'PORTIFÓLIO'!C:V,2,0),"")</f>
        <v/>
      </c>
      <c r="E435" s="211">
        <f>IFERROR(VLOOKUP($C435,'PORTIFÓLIO'!C:V,3,0),"")</f>
        <v/>
      </c>
      <c r="F435" s="211">
        <f>IFERROR(VLOOKUP($C435,'PORTIFÓLIO'!C:V,4,0),"")</f>
        <v/>
      </c>
      <c r="G435" s="215">
        <f>IFERROR(VLOOKUP($C435,'PORTIFÓLIO'!C:V,5,0),"")</f>
        <v/>
      </c>
      <c r="H435" s="254">
        <f t="array" ref="H435">IFERROR(INDEX('PORTIFÓLIO'!$H$4:$H$433,MATCH($C435,'PORTIFÓLIO'!$C$4:$C$433,0)),"")</f>
        <v/>
      </c>
      <c r="I435" s="256" t="n"/>
      <c r="J435" s="218">
        <f>I435*$B$2</f>
        <v/>
      </c>
      <c r="K435" s="292">
        <f t="array" ref="K435">IFERROR(I435*INDEX('PORTIFÓLIO'!$S$4:$S$433,MATCH($C435,'PORTIFÓLIO'!$C$4:$C$433,0)),"")</f>
        <v/>
      </c>
      <c r="L435" s="292">
        <f t="array" ref="L435">IFERROR(J435*INDEX('PORTIFÓLIO'!$S$4:$S$433,MATCH($C435,'PORTIFÓLIO'!$C$4:$C$433,0)),"")</f>
        <v/>
      </c>
      <c r="U435" s="79" t="n"/>
    </row>
    <row r="436" outlineLevel="1" ht="15.75" customHeight="1" s="297">
      <c r="A436" s="211" t="n"/>
      <c r="B436" s="212" t="n"/>
      <c r="C436" s="213" t="n"/>
      <c r="D436" s="214">
        <f>IFERROR(VLOOKUP($C436,'PORTIFÓLIO'!C:V,2,0),"")</f>
        <v/>
      </c>
      <c r="E436" s="211">
        <f>IFERROR(VLOOKUP($C436,'PORTIFÓLIO'!C:V,3,0),"")</f>
        <v/>
      </c>
      <c r="F436" s="211">
        <f>IFERROR(VLOOKUP($C436,'PORTIFÓLIO'!C:V,4,0),"")</f>
        <v/>
      </c>
      <c r="G436" s="215">
        <f>IFERROR(VLOOKUP($C436,'PORTIFÓLIO'!C:V,5,0),"")</f>
        <v/>
      </c>
      <c r="H436" s="254">
        <f t="array" ref="H436">IFERROR(INDEX('PORTIFÓLIO'!$H$4:$H$433,MATCH($C436,'PORTIFÓLIO'!$C$4:$C$433,0)),"")</f>
        <v/>
      </c>
      <c r="I436" s="256" t="n"/>
      <c r="J436" s="218">
        <f>I436*$B$2</f>
        <v/>
      </c>
      <c r="K436" s="292">
        <f t="array" ref="K436">IFERROR(I436*INDEX('PORTIFÓLIO'!$S$4:$S$433,MATCH($C436,'PORTIFÓLIO'!$C$4:$C$433,0)),"")</f>
        <v/>
      </c>
      <c r="L436" s="292">
        <f t="array" ref="L436">IFERROR(J436*INDEX('PORTIFÓLIO'!$S$4:$S$433,MATCH($C436,'PORTIFÓLIO'!$C$4:$C$433,0)),"")</f>
        <v/>
      </c>
      <c r="U436" s="79" t="n"/>
    </row>
    <row r="437" outlineLevel="1" ht="15.75" customHeight="1" s="297">
      <c r="A437" s="211" t="n"/>
      <c r="B437" s="212" t="n"/>
      <c r="C437" s="213" t="n"/>
      <c r="D437" s="214">
        <f>IFERROR(VLOOKUP($C437,'PORTIFÓLIO'!C:V,2,0),"")</f>
        <v/>
      </c>
      <c r="E437" s="211">
        <f>IFERROR(VLOOKUP($C437,'PORTIFÓLIO'!C:V,3,0),"")</f>
        <v/>
      </c>
      <c r="F437" s="211">
        <f>IFERROR(VLOOKUP($C437,'PORTIFÓLIO'!C:V,4,0),"")</f>
        <v/>
      </c>
      <c r="G437" s="215">
        <f>IFERROR(VLOOKUP($C437,'PORTIFÓLIO'!C:V,5,0),"")</f>
        <v/>
      </c>
      <c r="H437" s="254">
        <f t="array" ref="H437">IFERROR(INDEX('PORTIFÓLIO'!$H$4:$H$433,MATCH($C437,'PORTIFÓLIO'!$C$4:$C$433,0)),"")</f>
        <v/>
      </c>
      <c r="I437" s="256" t="n"/>
      <c r="J437" s="218">
        <f>I437*$B$2</f>
        <v/>
      </c>
      <c r="K437" s="292">
        <f t="array" ref="K437">IFERROR(I437*INDEX('PORTIFÓLIO'!$S$4:$S$433,MATCH($C437,'PORTIFÓLIO'!$C$4:$C$433,0)),"")</f>
        <v/>
      </c>
      <c r="L437" s="292">
        <f t="array" ref="L437">IFERROR(J437*INDEX('PORTIFÓLIO'!$S$4:$S$433,MATCH($C437,'PORTIFÓLIO'!$C$4:$C$433,0)),"")</f>
        <v/>
      </c>
      <c r="U437" s="79" t="n"/>
    </row>
    <row r="438" outlineLevel="1" ht="15.75" customHeight="1" s="297">
      <c r="A438" s="211" t="n"/>
      <c r="B438" s="212" t="n"/>
      <c r="C438" s="213" t="n"/>
      <c r="D438" s="214">
        <f>IFERROR(VLOOKUP($C438,'PORTIFÓLIO'!C:V,2,0),"")</f>
        <v/>
      </c>
      <c r="E438" s="211">
        <f>IFERROR(VLOOKUP($C438,'PORTIFÓLIO'!C:V,3,0),"")</f>
        <v/>
      </c>
      <c r="F438" s="211">
        <f>IFERROR(VLOOKUP($C438,'PORTIFÓLIO'!C:V,4,0),"")</f>
        <v/>
      </c>
      <c r="G438" s="215">
        <f>IFERROR(VLOOKUP($C438,'PORTIFÓLIO'!C:V,5,0),"")</f>
        <v/>
      </c>
      <c r="H438" s="254">
        <f t="array" ref="H438">IFERROR(INDEX('PORTIFÓLIO'!$H$4:$H$433,MATCH($C438,'PORTIFÓLIO'!$C$4:$C$433,0)),"")</f>
        <v/>
      </c>
      <c r="I438" s="256" t="n"/>
      <c r="J438" s="218">
        <f>I438*$B$2</f>
        <v/>
      </c>
      <c r="K438" s="292">
        <f t="array" ref="K438">IFERROR(I438*INDEX('PORTIFÓLIO'!$S$4:$S$433,MATCH($C438,'PORTIFÓLIO'!$C$4:$C$433,0)),"")</f>
        <v/>
      </c>
      <c r="L438" s="292">
        <f t="array" ref="L438">IFERROR(J438*INDEX('PORTIFÓLIO'!$S$4:$S$433,MATCH($C438,'PORTIFÓLIO'!$C$4:$C$433,0)),"")</f>
        <v/>
      </c>
      <c r="U438" s="79" t="n"/>
    </row>
    <row r="439" outlineLevel="1" ht="15.75" customHeight="1" s="297">
      <c r="A439" s="211" t="n"/>
      <c r="B439" s="212" t="n"/>
      <c r="C439" s="213" t="n"/>
      <c r="D439" s="214">
        <f>IFERROR(VLOOKUP($C439,'PORTIFÓLIO'!C:V,2,0),"")</f>
        <v/>
      </c>
      <c r="E439" s="211">
        <f>IFERROR(VLOOKUP($C439,'PORTIFÓLIO'!C:V,3,0),"")</f>
        <v/>
      </c>
      <c r="F439" s="211">
        <f>IFERROR(VLOOKUP($C439,'PORTIFÓLIO'!C:V,4,0),"")</f>
        <v/>
      </c>
      <c r="G439" s="215">
        <f>IFERROR(VLOOKUP($C439,'PORTIFÓLIO'!C:V,5,0),"")</f>
        <v/>
      </c>
      <c r="H439" s="254">
        <f t="array" ref="H439">IFERROR(INDEX('PORTIFÓLIO'!$H$4:$H$433,MATCH($C439,'PORTIFÓLIO'!$C$4:$C$433,0)),"")</f>
        <v/>
      </c>
      <c r="I439" s="256" t="n"/>
      <c r="J439" s="218">
        <f>I439*$B$2</f>
        <v/>
      </c>
      <c r="K439" s="292">
        <f t="array" ref="K439">IFERROR(I439*INDEX('PORTIFÓLIO'!$S$4:$S$433,MATCH($C439,'PORTIFÓLIO'!$C$4:$C$433,0)),"")</f>
        <v/>
      </c>
      <c r="L439" s="292">
        <f t="array" ref="L439">IFERROR(J439*INDEX('PORTIFÓLIO'!$S$4:$S$433,MATCH($C439,'PORTIFÓLIO'!$C$4:$C$433,0)),"")</f>
        <v/>
      </c>
      <c r="U439" s="79" t="n"/>
    </row>
    <row r="440" outlineLevel="1" ht="15.75" customHeight="1" s="297">
      <c r="A440" s="211" t="n"/>
      <c r="B440" s="212" t="n"/>
      <c r="C440" s="213" t="n"/>
      <c r="D440" s="214">
        <f>IFERROR(VLOOKUP($C440,'PORTIFÓLIO'!C:V,2,0),"")</f>
        <v/>
      </c>
      <c r="E440" s="211">
        <f>IFERROR(VLOOKUP($C440,'PORTIFÓLIO'!C:V,3,0),"")</f>
        <v/>
      </c>
      <c r="F440" s="211">
        <f>IFERROR(VLOOKUP($C440,'PORTIFÓLIO'!C:V,4,0),"")</f>
        <v/>
      </c>
      <c r="G440" s="215">
        <f>IFERROR(VLOOKUP($C440,'PORTIFÓLIO'!C:V,5,0),"")</f>
        <v/>
      </c>
      <c r="H440" s="254">
        <f t="array" ref="H440">IFERROR(INDEX('PORTIFÓLIO'!$H$4:$H$433,MATCH($C440,'PORTIFÓLIO'!$C$4:$C$433,0)),"")</f>
        <v/>
      </c>
      <c r="I440" s="256" t="n"/>
      <c r="J440" s="218">
        <f>I440*$B$2</f>
        <v/>
      </c>
      <c r="K440" s="292">
        <f t="array" ref="K440">IFERROR(I440*INDEX('PORTIFÓLIO'!$S$4:$S$433,MATCH($C440,'PORTIFÓLIO'!$C$4:$C$433,0)),"")</f>
        <v/>
      </c>
      <c r="L440" s="292">
        <f t="array" ref="L440">IFERROR(J440*INDEX('PORTIFÓLIO'!$S$4:$S$433,MATCH($C440,'PORTIFÓLIO'!$C$4:$C$433,0)),"")</f>
        <v/>
      </c>
      <c r="U440" s="79" t="n"/>
    </row>
    <row r="441" outlineLevel="1" ht="15.75" customHeight="1" s="297">
      <c r="A441" s="211" t="n"/>
      <c r="B441" s="212" t="n"/>
      <c r="C441" s="213" t="n"/>
      <c r="D441" s="214">
        <f>IFERROR(VLOOKUP($C441,'PORTIFÓLIO'!C:V,2,0),"")</f>
        <v/>
      </c>
      <c r="E441" s="211">
        <f>IFERROR(VLOOKUP($C441,'PORTIFÓLIO'!C:V,3,0),"")</f>
        <v/>
      </c>
      <c r="F441" s="211">
        <f>IFERROR(VLOOKUP($C441,'PORTIFÓLIO'!C:V,4,0),"")</f>
        <v/>
      </c>
      <c r="G441" s="215">
        <f>IFERROR(VLOOKUP($C441,'PORTIFÓLIO'!C:V,5,0),"")</f>
        <v/>
      </c>
      <c r="H441" s="254">
        <f t="array" ref="H441">IFERROR(INDEX('PORTIFÓLIO'!$H$4:$H$433,MATCH($C441,'PORTIFÓLIO'!$C$4:$C$433,0)),"")</f>
        <v/>
      </c>
      <c r="I441" s="256" t="n"/>
      <c r="J441" s="218">
        <f>I441*$B$2</f>
        <v/>
      </c>
      <c r="K441" s="292">
        <f t="array" ref="K441">IFERROR(I441*INDEX('PORTIFÓLIO'!$S$4:$S$433,MATCH($C441,'PORTIFÓLIO'!$C$4:$C$433,0)),"")</f>
        <v/>
      </c>
      <c r="L441" s="292">
        <f t="array" ref="L441">IFERROR(J441*INDEX('PORTIFÓLIO'!$S$4:$S$433,MATCH($C441,'PORTIFÓLIO'!$C$4:$C$433,0)),"")</f>
        <v/>
      </c>
      <c r="U441" s="79" t="n"/>
    </row>
    <row r="442" outlineLevel="1" ht="15.75" customHeight="1" s="297">
      <c r="A442" s="211" t="n"/>
      <c r="B442" s="212" t="n"/>
      <c r="C442" s="213" t="n"/>
      <c r="D442" s="214">
        <f>IFERROR(VLOOKUP($C442,'PORTIFÓLIO'!C:V,2,0),"")</f>
        <v/>
      </c>
      <c r="E442" s="211">
        <f>IFERROR(VLOOKUP($C442,'PORTIFÓLIO'!C:V,3,0),"")</f>
        <v/>
      </c>
      <c r="F442" s="211">
        <f>IFERROR(VLOOKUP($C442,'PORTIFÓLIO'!C:V,4,0),"")</f>
        <v/>
      </c>
      <c r="G442" s="215">
        <f>IFERROR(VLOOKUP($C442,'PORTIFÓLIO'!C:V,5,0),"")</f>
        <v/>
      </c>
      <c r="H442" s="254">
        <f t="array" ref="H442">IFERROR(INDEX('PORTIFÓLIO'!$H$4:$H$433,MATCH($C442,'PORTIFÓLIO'!$C$4:$C$433,0)),"")</f>
        <v/>
      </c>
      <c r="I442" s="256" t="n"/>
      <c r="J442" s="218">
        <f>I442*$B$2</f>
        <v/>
      </c>
      <c r="K442" s="292">
        <f t="array" ref="K442">IFERROR(I442*INDEX('PORTIFÓLIO'!$S$4:$S$433,MATCH($C442,'PORTIFÓLIO'!$C$4:$C$433,0)),"")</f>
        <v/>
      </c>
      <c r="L442" s="292">
        <f t="array" ref="L442">IFERROR(J442*INDEX('PORTIFÓLIO'!$S$4:$S$433,MATCH($C442,'PORTIFÓLIO'!$C$4:$C$433,0)),"")</f>
        <v/>
      </c>
      <c r="U442" s="79" t="n"/>
    </row>
    <row r="443" outlineLevel="1" ht="15.75" customHeight="1" s="297">
      <c r="A443" s="211" t="n"/>
      <c r="B443" s="227" t="n"/>
      <c r="C443" s="211" t="n"/>
      <c r="D443" s="214">
        <f>IFERROR(VLOOKUP($C443,'PORTIFÓLIO'!C:V,2,0),"")</f>
        <v/>
      </c>
      <c r="E443" s="211">
        <f>IFERROR(VLOOKUP($C443,'PORTIFÓLIO'!C:V,3,0),"")</f>
        <v/>
      </c>
      <c r="F443" s="211">
        <f>IFERROR(VLOOKUP($C443,'PORTIFÓLIO'!C:V,4,0),"")</f>
        <v/>
      </c>
      <c r="G443" s="215">
        <f>IFERROR(VLOOKUP($C443,'PORTIFÓLIO'!C:V,5,0),"")</f>
        <v/>
      </c>
      <c r="H443" s="254">
        <f t="array" ref="H443">IFERROR(INDEX('PORTIFÓLIO'!$H$4:$H$433,MATCH($C443,'PORTIFÓLIO'!$C$4:$C$433,0)),"")</f>
        <v/>
      </c>
      <c r="I443" s="256" t="n"/>
      <c r="J443" s="218">
        <f>I443*$B$2</f>
        <v/>
      </c>
      <c r="K443" s="292">
        <f t="array" ref="K443">IFERROR(I443*INDEX('PORTIFÓLIO'!$S$4:$S$433,MATCH($C443,'PORTIFÓLIO'!$C$4:$C$433,0)),"")</f>
        <v/>
      </c>
      <c r="L443" s="292">
        <f t="array" ref="L443">IFERROR(J443*INDEX('PORTIFÓLIO'!$S$4:$S$433,MATCH($C443,'PORTIFÓLIO'!$C$4:$C$433,0)),"")</f>
        <v/>
      </c>
      <c r="U443" s="79" t="n"/>
    </row>
    <row r="444" outlineLevel="1" ht="15.75" customHeight="1" s="297">
      <c r="A444" s="211" t="n"/>
      <c r="B444" s="227" t="n"/>
      <c r="C444" s="211" t="n"/>
      <c r="D444" s="214">
        <f>IFERROR(VLOOKUP($C444,'PORTIFÓLIO'!C:V,2,0),"")</f>
        <v/>
      </c>
      <c r="E444" s="211">
        <f>IFERROR(VLOOKUP($C444,'PORTIFÓLIO'!C:V,3,0),"")</f>
        <v/>
      </c>
      <c r="F444" s="211">
        <f>IFERROR(VLOOKUP($C444,'PORTIFÓLIO'!C:V,4,0),"")</f>
        <v/>
      </c>
      <c r="G444" s="215">
        <f>IFERROR(VLOOKUP($C444,'PORTIFÓLIO'!C:V,5,0),"")</f>
        <v/>
      </c>
      <c r="H444" s="254">
        <f t="array" ref="H444">IFERROR(INDEX('PORTIFÓLIO'!$H$4:$H$433,MATCH($C444,'PORTIFÓLIO'!$C$4:$C$433,0)),"")</f>
        <v/>
      </c>
      <c r="I444" s="256" t="n"/>
      <c r="J444" s="218">
        <f>I444*$B$2</f>
        <v/>
      </c>
      <c r="K444" s="292">
        <f t="array" ref="K444">IFERROR(I444*INDEX('PORTIFÓLIO'!$S$4:$S$433,MATCH($C444,'PORTIFÓLIO'!$C$4:$C$433,0)),"")</f>
        <v/>
      </c>
      <c r="L444" s="292">
        <f t="array" ref="L444">IFERROR(J444*INDEX('PORTIFÓLIO'!$S$4:$S$433,MATCH($C444,'PORTIFÓLIO'!$C$4:$C$433,0)),"")</f>
        <v/>
      </c>
      <c r="U444" s="79" t="n"/>
    </row>
    <row r="445" outlineLevel="1" ht="15.75" customHeight="1" s="297">
      <c r="A445" s="211" t="n"/>
      <c r="B445" s="227" t="n"/>
      <c r="C445" s="211" t="n"/>
      <c r="D445" s="214">
        <f>IFERROR(VLOOKUP($C445,'PORTIFÓLIO'!C:V,2,0),"")</f>
        <v/>
      </c>
      <c r="E445" s="211">
        <f>IFERROR(VLOOKUP($C445,'PORTIFÓLIO'!C:V,3,0),"")</f>
        <v/>
      </c>
      <c r="F445" s="211">
        <f>IFERROR(VLOOKUP($C445,'PORTIFÓLIO'!C:V,4,0),"")</f>
        <v/>
      </c>
      <c r="G445" s="215">
        <f>IFERROR(VLOOKUP($C445,'PORTIFÓLIO'!C:V,5,0),"")</f>
        <v/>
      </c>
      <c r="H445" s="254">
        <f t="array" ref="H445">IFERROR(INDEX('PORTIFÓLIO'!$H$4:$H$433,MATCH($C445,'PORTIFÓLIO'!$C$4:$C$433,0)),"")</f>
        <v/>
      </c>
      <c r="I445" s="256" t="n"/>
      <c r="J445" s="218">
        <f>I445*$B$2</f>
        <v/>
      </c>
      <c r="K445" s="292">
        <f t="array" ref="K445">IFERROR(I445*INDEX('PORTIFÓLIO'!$S$4:$S$433,MATCH($C445,'PORTIFÓLIO'!$C$4:$C$433,0)),"")</f>
        <v/>
      </c>
      <c r="L445" s="292">
        <f t="array" ref="L445">IFERROR(J445*INDEX('PORTIFÓLIO'!$S$4:$S$433,MATCH($C445,'PORTIFÓLIO'!$C$4:$C$433,0)),"")</f>
        <v/>
      </c>
      <c r="U445" s="79" t="n"/>
    </row>
    <row r="446" outlineLevel="1" ht="15.75" customHeight="1" s="297">
      <c r="A446" s="211" t="n"/>
      <c r="B446" s="227" t="n"/>
      <c r="C446" s="211" t="n"/>
      <c r="D446" s="214">
        <f>IFERROR(VLOOKUP($C446,'PORTIFÓLIO'!C:V,2,0),"")</f>
        <v/>
      </c>
      <c r="E446" s="211">
        <f>IFERROR(VLOOKUP($C446,'PORTIFÓLIO'!C:V,3,0),"")</f>
        <v/>
      </c>
      <c r="F446" s="211">
        <f>IFERROR(VLOOKUP($C446,'PORTIFÓLIO'!C:V,4,0),"")</f>
        <v/>
      </c>
      <c r="G446" s="215">
        <f>IFERROR(VLOOKUP($C446,'PORTIFÓLIO'!C:V,5,0),"")</f>
        <v/>
      </c>
      <c r="H446" s="254">
        <f t="array" ref="H446">IFERROR(INDEX('PORTIFÓLIO'!$H$4:$H$433,MATCH($C446,'PORTIFÓLIO'!$C$4:$C$433,0)),"")</f>
        <v/>
      </c>
      <c r="I446" s="256" t="n"/>
      <c r="J446" s="218">
        <f>I446*$B$2</f>
        <v/>
      </c>
      <c r="K446" s="292">
        <f t="array" ref="K446">IFERROR(I446*INDEX('PORTIFÓLIO'!$S$4:$S$433,MATCH($C446,'PORTIFÓLIO'!$C$4:$C$433,0)),"")</f>
        <v/>
      </c>
      <c r="L446" s="292">
        <f t="array" ref="L446">IFERROR(J446*INDEX('PORTIFÓLIO'!$S$4:$S$433,MATCH($C446,'PORTIFÓLIO'!$C$4:$C$433,0)),"")</f>
        <v/>
      </c>
      <c r="U446" s="79" t="n"/>
    </row>
    <row r="447" outlineLevel="1" ht="15.75" customHeight="1" s="297">
      <c r="A447" s="211" t="n"/>
      <c r="B447" s="227" t="n"/>
      <c r="C447" s="211" t="n"/>
      <c r="D447" s="214">
        <f>IFERROR(VLOOKUP($C447,'PORTIFÓLIO'!C:V,2,0),"")</f>
        <v/>
      </c>
      <c r="E447" s="211">
        <f>IFERROR(VLOOKUP($C447,'PORTIFÓLIO'!C:V,3,0),"")</f>
        <v/>
      </c>
      <c r="F447" s="211">
        <f>IFERROR(VLOOKUP($C447,'PORTIFÓLIO'!C:V,4,0),"")</f>
        <v/>
      </c>
      <c r="G447" s="215">
        <f>IFERROR(VLOOKUP($C447,'PORTIFÓLIO'!C:V,5,0),"")</f>
        <v/>
      </c>
      <c r="H447" s="254">
        <f t="array" ref="H447">IFERROR(INDEX('PORTIFÓLIO'!$H$4:$H$433,MATCH($C447,'PORTIFÓLIO'!$C$4:$C$433,0)),"")</f>
        <v/>
      </c>
      <c r="I447" s="256" t="n"/>
      <c r="J447" s="218">
        <f>I447*$B$2</f>
        <v/>
      </c>
      <c r="K447" s="292">
        <f t="array" ref="K447">IFERROR(I447*INDEX('PORTIFÓLIO'!$S$4:$S$433,MATCH($C447,'PORTIFÓLIO'!$C$4:$C$433,0)),"")</f>
        <v/>
      </c>
      <c r="L447" s="292">
        <f t="array" ref="L447">IFERROR(J447*INDEX('PORTIFÓLIO'!$S$4:$S$433,MATCH($C447,'PORTIFÓLIO'!$C$4:$C$433,0)),"")</f>
        <v/>
      </c>
      <c r="U447" s="79" t="n"/>
    </row>
    <row r="448" outlineLevel="1" ht="15.75" customHeight="1" s="297">
      <c r="A448" s="211" t="n"/>
      <c r="B448" s="227" t="n"/>
      <c r="C448" s="211" t="n"/>
      <c r="D448" s="214">
        <f>IFERROR(VLOOKUP($C448,'PORTIFÓLIO'!C:V,2,0),"")</f>
        <v/>
      </c>
      <c r="E448" s="211">
        <f>IFERROR(VLOOKUP($C448,'PORTIFÓLIO'!C:V,3,0),"")</f>
        <v/>
      </c>
      <c r="F448" s="211">
        <f>IFERROR(VLOOKUP($C448,'PORTIFÓLIO'!C:V,4,0),"")</f>
        <v/>
      </c>
      <c r="G448" s="215">
        <f>IFERROR(VLOOKUP($C448,'PORTIFÓLIO'!C:V,5,0),"")</f>
        <v/>
      </c>
      <c r="H448" s="254">
        <f t="array" ref="H448">IFERROR(INDEX('PORTIFÓLIO'!$H$4:$H$433,MATCH($C448,'PORTIFÓLIO'!$C$4:$C$433,0)),"")</f>
        <v/>
      </c>
      <c r="I448" s="256" t="n"/>
      <c r="J448" s="218">
        <f>I448*$B$2</f>
        <v/>
      </c>
      <c r="K448" s="292">
        <f t="array" ref="K448">IFERROR(I448*INDEX('PORTIFÓLIO'!$S$4:$S$433,MATCH($C448,'PORTIFÓLIO'!$C$4:$C$433,0)),"")</f>
        <v/>
      </c>
      <c r="L448" s="292">
        <f t="array" ref="L448">IFERROR(J448*INDEX('PORTIFÓLIO'!$S$4:$S$433,MATCH($C448,'PORTIFÓLIO'!$C$4:$C$433,0)),"")</f>
        <v/>
      </c>
      <c r="U448" s="79" t="n"/>
    </row>
    <row r="449" outlineLevel="1" ht="15.75" customHeight="1" s="297">
      <c r="A449" s="211" t="n"/>
      <c r="B449" s="227" t="n"/>
      <c r="C449" s="211" t="n"/>
      <c r="D449" s="214">
        <f>IFERROR(VLOOKUP($C449,'PORTIFÓLIO'!C:V,2,0),"")</f>
        <v/>
      </c>
      <c r="E449" s="211">
        <f>IFERROR(VLOOKUP($C449,'PORTIFÓLIO'!C:V,3,0),"")</f>
        <v/>
      </c>
      <c r="F449" s="211">
        <f>IFERROR(VLOOKUP($C449,'PORTIFÓLIO'!C:V,4,0),"")</f>
        <v/>
      </c>
      <c r="G449" s="215">
        <f>IFERROR(VLOOKUP($C449,'PORTIFÓLIO'!C:V,5,0),"")</f>
        <v/>
      </c>
      <c r="H449" s="254">
        <f t="array" ref="H449">IFERROR(INDEX('PORTIFÓLIO'!$H$4:$H$433,MATCH($C449,'PORTIFÓLIO'!$C$4:$C$433,0)),"")</f>
        <v/>
      </c>
      <c r="I449" s="256" t="n"/>
      <c r="J449" s="218">
        <f>I449*$B$2</f>
        <v/>
      </c>
      <c r="K449" s="292">
        <f t="array" ref="K449">IFERROR(I449*INDEX('PORTIFÓLIO'!$S$4:$S$433,MATCH($C449,'PORTIFÓLIO'!$C$4:$C$433,0)),"")</f>
        <v/>
      </c>
      <c r="L449" s="292">
        <f t="array" ref="L449">IFERROR(J449*INDEX('PORTIFÓLIO'!$S$4:$S$433,MATCH($C449,'PORTIFÓLIO'!$C$4:$C$433,0)),"")</f>
        <v/>
      </c>
      <c r="U449" s="79" t="n"/>
    </row>
    <row r="450" outlineLevel="1" ht="15.75" customHeight="1" s="297">
      <c r="A450" s="211" t="n"/>
      <c r="B450" s="227" t="n"/>
      <c r="C450" s="211" t="n"/>
      <c r="D450" s="214">
        <f>IFERROR(VLOOKUP($C450,'PORTIFÓLIO'!C:V,2,0),"")</f>
        <v/>
      </c>
      <c r="E450" s="211">
        <f>IFERROR(VLOOKUP($C450,'PORTIFÓLIO'!C:V,3,0),"")</f>
        <v/>
      </c>
      <c r="F450" s="211">
        <f>IFERROR(VLOOKUP($C450,'PORTIFÓLIO'!C:V,4,0),"")</f>
        <v/>
      </c>
      <c r="G450" s="215">
        <f>IFERROR(VLOOKUP($C450,'PORTIFÓLIO'!C:V,5,0),"")</f>
        <v/>
      </c>
      <c r="H450" s="254">
        <f t="array" ref="H450">IFERROR(INDEX('PORTIFÓLIO'!$H$4:$H$433,MATCH($C450,'PORTIFÓLIO'!$C$4:$C$433,0)),"")</f>
        <v/>
      </c>
      <c r="I450" s="256" t="n"/>
      <c r="J450" s="218">
        <f>I450*$B$2</f>
        <v/>
      </c>
      <c r="K450" s="292">
        <f t="array" ref="K450">IFERROR(I450*INDEX('PORTIFÓLIO'!$S$4:$S$433,MATCH($C450,'PORTIFÓLIO'!$C$4:$C$433,0)),"")</f>
        <v/>
      </c>
      <c r="L450" s="292">
        <f t="array" ref="L450">IFERROR(J450*INDEX('PORTIFÓLIO'!$S$4:$S$433,MATCH($C450,'PORTIFÓLIO'!$C$4:$C$433,0)),"")</f>
        <v/>
      </c>
      <c r="U450" s="79" t="n"/>
    </row>
    <row r="451" outlineLevel="1" ht="15.75" customHeight="1" s="297">
      <c r="A451" s="211" t="n"/>
      <c r="B451" s="227" t="n"/>
      <c r="C451" s="211" t="n"/>
      <c r="D451" s="214">
        <f>IFERROR(VLOOKUP($C451,'PORTIFÓLIO'!C:V,2,0),"")</f>
        <v/>
      </c>
      <c r="E451" s="211">
        <f>IFERROR(VLOOKUP($C451,'PORTIFÓLIO'!C:V,3,0),"")</f>
        <v/>
      </c>
      <c r="F451" s="211">
        <f>IFERROR(VLOOKUP($C451,'PORTIFÓLIO'!C:V,4,0),"")</f>
        <v/>
      </c>
      <c r="G451" s="215">
        <f>IFERROR(VLOOKUP($C451,'PORTIFÓLIO'!C:V,5,0),"")</f>
        <v/>
      </c>
      <c r="H451" s="254">
        <f t="array" ref="H451">IFERROR(INDEX('PORTIFÓLIO'!$H$4:$H$433,MATCH($C451,'PORTIFÓLIO'!$C$4:$C$433,0)),"")</f>
        <v/>
      </c>
      <c r="I451" s="256" t="n"/>
      <c r="J451" s="218">
        <f>I451*$B$2</f>
        <v/>
      </c>
      <c r="K451" s="292">
        <f t="array" ref="K451">IFERROR(I451*INDEX('PORTIFÓLIO'!$S$4:$S$433,MATCH($C451,'PORTIFÓLIO'!$C$4:$C$433,0)),"")</f>
        <v/>
      </c>
      <c r="L451" s="292">
        <f t="array" ref="L451">IFERROR(J451*INDEX('PORTIFÓLIO'!$S$4:$S$433,MATCH($C451,'PORTIFÓLIO'!$C$4:$C$433,0)),"")</f>
        <v/>
      </c>
      <c r="U451" s="79" t="n"/>
    </row>
    <row r="452" ht="15.75" customHeight="1" s="297">
      <c r="A452" s="227" t="n"/>
      <c r="B452" s="227" t="n"/>
      <c r="C452" s="227" t="n"/>
      <c r="D452" s="227" t="n"/>
      <c r="E452" s="227" t="n"/>
      <c r="F452" s="227" t="n"/>
      <c r="G452" s="215" t="n"/>
      <c r="H452" s="227" t="n"/>
      <c r="I452" s="227" t="n"/>
      <c r="J452" s="227" t="n"/>
      <c r="K452" s="293">
        <f>SUBTOTAL(9,K237:K427)</f>
        <v/>
      </c>
      <c r="L452" s="293">
        <f>SUBTOTAL(9,L237:L427)</f>
        <v/>
      </c>
      <c r="U452" s="79" t="n"/>
    </row>
    <row r="453" ht="15.75" customHeight="1" s="297">
      <c r="U453" s="79" t="n"/>
    </row>
    <row r="454" ht="15.75" customHeight="1" s="297">
      <c r="U454" s="79" t="n"/>
    </row>
    <row r="455" ht="15.75" customHeight="1" s="297">
      <c r="U455" s="79" t="n"/>
    </row>
    <row r="456" ht="15.75" customHeight="1" s="297">
      <c r="U456" s="79" t="n"/>
    </row>
    <row r="457" ht="15.75" customHeight="1" s="297">
      <c r="U457" s="79" t="n"/>
    </row>
    <row r="458" ht="15.75" customHeight="1" s="297">
      <c r="U458" s="79" t="n"/>
    </row>
    <row r="459" ht="15.75" customHeight="1" s="297">
      <c r="U459" s="79" t="n"/>
    </row>
    <row r="460" ht="15.75" customHeight="1" s="297">
      <c r="U460" s="79" t="n"/>
    </row>
    <row r="461" ht="15.75" customHeight="1" s="297">
      <c r="U461" s="79" t="n"/>
    </row>
    <row r="462" ht="15.75" customHeight="1" s="297">
      <c r="U462" s="79" t="n"/>
    </row>
    <row r="463" ht="15.75" customHeight="1" s="297">
      <c r="U463" s="79" t="n"/>
    </row>
    <row r="464" ht="15.75" customHeight="1" s="297">
      <c r="U464" s="79" t="n"/>
    </row>
    <row r="465" ht="15.75" customHeight="1" s="297">
      <c r="U465" s="79" t="n"/>
    </row>
    <row r="466" ht="15.75" customHeight="1" s="297">
      <c r="U466" s="79" t="n"/>
    </row>
    <row r="467" ht="15.75" customHeight="1" s="297">
      <c r="U467" s="79" t="n"/>
    </row>
    <row r="468" ht="15.75" customHeight="1" s="297">
      <c r="U468" s="79" t="n"/>
    </row>
    <row r="469" ht="15.75" customHeight="1" s="297">
      <c r="U469" s="79" t="n"/>
    </row>
    <row r="470" ht="15.75" customHeight="1" s="297">
      <c r="U470" s="79" t="n"/>
    </row>
    <row r="471" ht="15.75" customHeight="1" s="297">
      <c r="U471" s="79" t="n"/>
    </row>
    <row r="472" ht="15.75" customHeight="1" s="297">
      <c r="U472" s="79" t="n"/>
    </row>
    <row r="473" ht="15.75" customHeight="1" s="297">
      <c r="U473" s="79" t="n"/>
    </row>
    <row r="474" ht="15.75" customHeight="1" s="297">
      <c r="U474" s="79" t="n"/>
    </row>
    <row r="475" ht="15.75" customHeight="1" s="297">
      <c r="U475" s="79" t="n"/>
    </row>
    <row r="476" ht="15.75" customHeight="1" s="297">
      <c r="U476" s="79" t="n"/>
    </row>
    <row r="477" ht="15.75" customHeight="1" s="297">
      <c r="U477" s="79" t="n"/>
    </row>
    <row r="478" ht="15.75" customHeight="1" s="297">
      <c r="U478" s="79" t="n"/>
    </row>
    <row r="479" ht="15.75" customHeight="1" s="297">
      <c r="U479" s="79" t="n"/>
    </row>
    <row r="480" ht="15.75" customHeight="1" s="297">
      <c r="U480" s="79" t="n"/>
    </row>
    <row r="481" ht="15.75" customHeight="1" s="297">
      <c r="U481" s="79" t="n"/>
    </row>
    <row r="482" ht="15.75" customHeight="1" s="297">
      <c r="U482" s="79" t="n"/>
    </row>
    <row r="483" ht="15.75" customHeight="1" s="297">
      <c r="U483" s="79" t="n"/>
    </row>
    <row r="484" ht="15.75" customHeight="1" s="297">
      <c r="U484" s="79" t="n"/>
    </row>
    <row r="485" ht="15.75" customHeight="1" s="297">
      <c r="U485" s="79" t="n"/>
    </row>
    <row r="486" ht="15.75" customHeight="1" s="297">
      <c r="U486" s="79" t="n"/>
    </row>
    <row r="487" ht="15.75" customHeight="1" s="297">
      <c r="U487" s="79" t="n"/>
    </row>
    <row r="488" ht="15.75" customHeight="1" s="297">
      <c r="U488" s="79" t="n"/>
    </row>
    <row r="489" ht="15.75" customHeight="1" s="297">
      <c r="U489" s="79" t="n"/>
    </row>
    <row r="490" ht="15.75" customHeight="1" s="297">
      <c r="U490" s="79" t="n"/>
    </row>
    <row r="491" ht="15.75" customHeight="1" s="297">
      <c r="U491" s="79" t="n"/>
    </row>
    <row r="492" ht="15.75" customHeight="1" s="297">
      <c r="U492" s="79" t="n"/>
    </row>
    <row r="493" ht="15.75" customHeight="1" s="297">
      <c r="U493" s="79" t="n"/>
    </row>
    <row r="494" ht="15.75" customHeight="1" s="297">
      <c r="U494" s="79" t="n"/>
    </row>
    <row r="495" ht="15.75" customHeight="1" s="297">
      <c r="U495" s="79" t="n"/>
    </row>
    <row r="496" ht="15.75" customHeight="1" s="297">
      <c r="U496" s="79" t="n"/>
    </row>
    <row r="497" ht="15.75" customHeight="1" s="297">
      <c r="U497" s="79" t="n"/>
    </row>
    <row r="498" ht="15.75" customHeight="1" s="297">
      <c r="U498" s="79" t="n"/>
    </row>
    <row r="499" ht="15.75" customHeight="1" s="297">
      <c r="U499" s="79" t="n"/>
    </row>
    <row r="500" ht="15.75" customHeight="1" s="297">
      <c r="U500" s="79" t="n"/>
    </row>
    <row r="501" ht="15.75" customHeight="1" s="297">
      <c r="U501" s="79" t="n"/>
    </row>
    <row r="502" ht="15.75" customHeight="1" s="297">
      <c r="U502" s="79" t="n"/>
    </row>
    <row r="503" ht="15.75" customHeight="1" s="297">
      <c r="U503" s="79" t="n"/>
    </row>
    <row r="504" ht="15.75" customHeight="1" s="297">
      <c r="U504" s="79" t="n"/>
    </row>
    <row r="505" ht="15.75" customHeight="1" s="297">
      <c r="U505" s="79" t="n"/>
    </row>
    <row r="506" ht="15.75" customHeight="1" s="297">
      <c r="U506" s="79" t="n"/>
    </row>
    <row r="507" ht="15.75" customHeight="1" s="297">
      <c r="U507" s="79" t="n"/>
    </row>
    <row r="508" ht="15.75" customHeight="1" s="297">
      <c r="U508" s="79" t="n"/>
    </row>
    <row r="509" ht="15.75" customHeight="1" s="297">
      <c r="U509" s="79" t="n"/>
    </row>
    <row r="510" ht="15.75" customHeight="1" s="297">
      <c r="U510" s="79" t="n"/>
    </row>
    <row r="511" ht="15.75" customHeight="1" s="297">
      <c r="U511" s="79" t="n"/>
    </row>
    <row r="512" ht="15.75" customHeight="1" s="297">
      <c r="U512" s="79" t="n"/>
    </row>
    <row r="513" ht="15.75" customHeight="1" s="297">
      <c r="U513" s="79" t="n"/>
    </row>
    <row r="514" ht="15.75" customHeight="1" s="297">
      <c r="U514" s="79" t="n"/>
    </row>
    <row r="515" ht="15.75" customHeight="1" s="297">
      <c r="U515" s="79" t="n"/>
    </row>
    <row r="516" ht="15.75" customHeight="1" s="297">
      <c r="U516" s="79" t="n"/>
    </row>
    <row r="517" ht="15.75" customHeight="1" s="297">
      <c r="U517" s="79" t="n"/>
    </row>
    <row r="518" ht="15.75" customHeight="1" s="297">
      <c r="U518" s="79" t="n"/>
    </row>
    <row r="519" ht="15.75" customHeight="1" s="297">
      <c r="U519" s="79" t="n"/>
    </row>
    <row r="520" ht="15.75" customHeight="1" s="297">
      <c r="U520" s="79" t="n"/>
    </row>
    <row r="521" ht="15.75" customHeight="1" s="297">
      <c r="U521" s="79" t="n"/>
    </row>
    <row r="522" ht="15.75" customHeight="1" s="297">
      <c r="U522" s="79" t="n"/>
    </row>
    <row r="523" ht="15.75" customHeight="1" s="297">
      <c r="U523" s="79" t="n"/>
    </row>
    <row r="524" ht="15.75" customHeight="1" s="297">
      <c r="U524" s="79" t="n"/>
    </row>
    <row r="525" ht="15.75" customHeight="1" s="297">
      <c r="U525" s="79" t="n"/>
    </row>
    <row r="526" ht="15.75" customHeight="1" s="297">
      <c r="U526" s="79" t="n"/>
    </row>
    <row r="527" ht="15.75" customHeight="1" s="297">
      <c r="U527" s="79" t="n"/>
    </row>
    <row r="528" ht="15.75" customHeight="1" s="297">
      <c r="U528" s="79" t="n"/>
    </row>
    <row r="529" ht="15.75" customHeight="1" s="297">
      <c r="U529" s="79" t="n"/>
    </row>
    <row r="530" ht="15.75" customHeight="1" s="297">
      <c r="U530" s="79" t="n"/>
    </row>
    <row r="531" ht="15.75" customHeight="1" s="297">
      <c r="U531" s="79" t="n"/>
    </row>
    <row r="532" ht="15.75" customHeight="1" s="297">
      <c r="U532" s="79" t="n"/>
    </row>
    <row r="533" ht="15.75" customHeight="1" s="297">
      <c r="U533" s="79" t="n"/>
    </row>
    <row r="534" ht="15.75" customHeight="1" s="297">
      <c r="U534" s="79" t="n"/>
    </row>
    <row r="535" ht="15.75" customHeight="1" s="297">
      <c r="U535" s="79" t="n"/>
    </row>
    <row r="536" ht="15.75" customHeight="1" s="297">
      <c r="U536" s="79" t="n"/>
    </row>
    <row r="537" ht="15.75" customHeight="1" s="297">
      <c r="U537" s="79" t="n"/>
    </row>
    <row r="538" ht="15.75" customHeight="1" s="297">
      <c r="U538" s="79" t="n"/>
    </row>
    <row r="539" ht="15.75" customHeight="1" s="297">
      <c r="U539" s="79" t="n"/>
    </row>
    <row r="540" ht="15.75" customHeight="1" s="297">
      <c r="U540" s="79" t="n"/>
    </row>
    <row r="541" ht="15.75" customHeight="1" s="297">
      <c r="U541" s="79" t="n"/>
    </row>
    <row r="542" ht="15.75" customHeight="1" s="297">
      <c r="U542" s="79" t="n"/>
    </row>
    <row r="543" ht="15.75" customHeight="1" s="297">
      <c r="U543" s="79" t="n"/>
    </row>
    <row r="544" ht="15.75" customHeight="1" s="297">
      <c r="U544" s="79" t="n"/>
    </row>
    <row r="545" ht="15.75" customHeight="1" s="297">
      <c r="U545" s="79" t="n"/>
    </row>
    <row r="546" ht="15.75" customHeight="1" s="297">
      <c r="U546" s="79" t="n"/>
    </row>
    <row r="547" ht="15.75" customHeight="1" s="297">
      <c r="U547" s="79" t="n"/>
    </row>
    <row r="548" ht="15.75" customHeight="1" s="297">
      <c r="U548" s="79" t="n"/>
    </row>
    <row r="549" ht="15.75" customHeight="1" s="297">
      <c r="U549" s="79" t="n"/>
    </row>
    <row r="550" ht="15.75" customHeight="1" s="297">
      <c r="U550" s="79" t="n"/>
    </row>
    <row r="551" ht="15.75" customHeight="1" s="297">
      <c r="U551" s="79" t="n"/>
    </row>
    <row r="552" ht="15.75" customHeight="1" s="297">
      <c r="U552" s="79" t="n"/>
    </row>
    <row r="553" ht="15.75" customHeight="1" s="297">
      <c r="U553" s="79" t="n"/>
    </row>
    <row r="554" ht="15.75" customHeight="1" s="297">
      <c r="U554" s="79" t="n"/>
    </row>
    <row r="555" ht="15.75" customHeight="1" s="297">
      <c r="U555" s="79" t="n"/>
    </row>
    <row r="556" ht="15.75" customHeight="1" s="297">
      <c r="U556" s="79" t="n"/>
    </row>
    <row r="557" ht="15.75" customHeight="1" s="297">
      <c r="U557" s="79" t="n"/>
    </row>
    <row r="558" ht="15.75" customHeight="1" s="297">
      <c r="U558" s="79" t="n"/>
    </row>
    <row r="559" ht="15.75" customHeight="1" s="297">
      <c r="U559" s="79" t="n"/>
    </row>
    <row r="560" ht="15.75" customHeight="1" s="297">
      <c r="U560" s="79" t="n"/>
    </row>
    <row r="561" ht="15.75" customHeight="1" s="297">
      <c r="U561" s="79" t="n"/>
    </row>
    <row r="562" ht="15.75" customHeight="1" s="297">
      <c r="U562" s="79" t="n"/>
    </row>
    <row r="563" ht="15.75" customHeight="1" s="297">
      <c r="U563" s="79" t="n"/>
    </row>
    <row r="564" ht="15.75" customHeight="1" s="297">
      <c r="U564" s="79" t="n"/>
    </row>
    <row r="565" ht="15.75" customHeight="1" s="297">
      <c r="U565" s="79" t="n"/>
    </row>
    <row r="566" ht="15.75" customHeight="1" s="297">
      <c r="U566" s="79" t="n"/>
    </row>
    <row r="567" ht="15.75" customHeight="1" s="297">
      <c r="U567" s="79" t="n"/>
    </row>
    <row r="568" ht="15.75" customHeight="1" s="297">
      <c r="U568" s="79" t="n"/>
    </row>
    <row r="569" ht="15.75" customHeight="1" s="297">
      <c r="U569" s="79" t="n"/>
    </row>
    <row r="570" ht="15.75" customHeight="1" s="297">
      <c r="U570" s="79" t="n"/>
    </row>
    <row r="571" ht="15.75" customHeight="1" s="297">
      <c r="U571" s="79" t="n"/>
    </row>
    <row r="572" ht="15.75" customHeight="1" s="297">
      <c r="U572" s="79" t="n"/>
    </row>
    <row r="573" ht="15.75" customHeight="1" s="297">
      <c r="U573" s="79" t="n"/>
    </row>
    <row r="574" ht="15.75" customHeight="1" s="297">
      <c r="U574" s="79" t="n"/>
    </row>
    <row r="575" ht="15.75" customHeight="1" s="297">
      <c r="U575" s="79" t="n"/>
    </row>
    <row r="576" ht="15.75" customHeight="1" s="297">
      <c r="U576" s="79" t="n"/>
    </row>
    <row r="577" ht="15.75" customHeight="1" s="297">
      <c r="U577" s="79" t="n"/>
    </row>
    <row r="578" ht="15.75" customHeight="1" s="297">
      <c r="U578" s="79" t="n"/>
    </row>
    <row r="579" ht="15.75" customHeight="1" s="297">
      <c r="U579" s="79" t="n"/>
    </row>
    <row r="580" ht="15.75" customHeight="1" s="297">
      <c r="U580" s="79" t="n"/>
    </row>
    <row r="581" ht="15.75" customHeight="1" s="297">
      <c r="U581" s="79" t="n"/>
    </row>
    <row r="582" ht="15.75" customHeight="1" s="297">
      <c r="U582" s="79" t="n"/>
    </row>
    <row r="583" ht="15.75" customHeight="1" s="297">
      <c r="U583" s="79" t="n"/>
    </row>
    <row r="584" ht="15.75" customHeight="1" s="297">
      <c r="U584" s="79" t="n"/>
    </row>
    <row r="585" ht="15.75" customHeight="1" s="297">
      <c r="U585" s="79" t="n"/>
    </row>
    <row r="586" ht="15.75" customHeight="1" s="297">
      <c r="U586" s="79" t="n"/>
    </row>
    <row r="587" ht="15.75" customHeight="1" s="297">
      <c r="U587" s="79" t="n"/>
    </row>
    <row r="588" ht="15.75" customHeight="1" s="297">
      <c r="U588" s="79" t="n"/>
    </row>
    <row r="589" ht="15.75" customHeight="1" s="297">
      <c r="U589" s="79" t="n"/>
    </row>
    <row r="590" ht="15.75" customHeight="1" s="297">
      <c r="U590" s="79" t="n"/>
    </row>
    <row r="591" ht="15.75" customHeight="1" s="297">
      <c r="U591" s="79" t="n"/>
    </row>
    <row r="592" ht="15.75" customHeight="1" s="297">
      <c r="U592" s="79" t="n"/>
    </row>
    <row r="593" ht="15.75" customHeight="1" s="297">
      <c r="U593" s="79" t="n"/>
    </row>
    <row r="594" ht="15.75" customHeight="1" s="297">
      <c r="U594" s="79" t="n"/>
    </row>
    <row r="595" ht="15.75" customHeight="1" s="297">
      <c r="U595" s="79" t="n"/>
    </row>
    <row r="596" ht="15.75" customHeight="1" s="297">
      <c r="U596" s="79" t="n"/>
    </row>
    <row r="597" ht="15.75" customHeight="1" s="297">
      <c r="U597" s="79" t="n"/>
    </row>
    <row r="598" ht="15.75" customHeight="1" s="297">
      <c r="U598" s="79" t="n"/>
    </row>
    <row r="599" ht="15.75" customHeight="1" s="297">
      <c r="U599" s="79" t="n"/>
    </row>
    <row r="600" ht="15.75" customHeight="1" s="297">
      <c r="U600" s="79" t="n"/>
    </row>
    <row r="601" ht="15.75" customHeight="1" s="297">
      <c r="U601" s="79" t="n"/>
    </row>
    <row r="602" ht="15.75" customHeight="1" s="297">
      <c r="U602" s="79" t="n"/>
    </row>
    <row r="603" ht="15.75" customHeight="1" s="297">
      <c r="U603" s="79" t="n"/>
    </row>
    <row r="604" ht="15.75" customHeight="1" s="297">
      <c r="U604" s="79" t="n"/>
    </row>
    <row r="605" ht="15.75" customHeight="1" s="297">
      <c r="U605" s="79" t="n"/>
    </row>
    <row r="606" ht="15.75" customHeight="1" s="297">
      <c r="U606" s="79" t="n"/>
    </row>
    <row r="607" ht="15.75" customHeight="1" s="297">
      <c r="U607" s="79" t="n"/>
    </row>
    <row r="608" ht="15.75" customHeight="1" s="297">
      <c r="U608" s="79" t="n"/>
    </row>
    <row r="609" ht="15.75" customHeight="1" s="297">
      <c r="U609" s="79" t="n"/>
    </row>
    <row r="610" ht="15.75" customHeight="1" s="297">
      <c r="U610" s="79" t="n"/>
    </row>
    <row r="611" ht="15.75" customHeight="1" s="297">
      <c r="U611" s="79" t="n"/>
    </row>
    <row r="612" ht="15.75" customHeight="1" s="297">
      <c r="U612" s="79" t="n"/>
    </row>
    <row r="613" ht="15.75" customHeight="1" s="297">
      <c r="U613" s="79" t="n"/>
    </row>
    <row r="614" ht="15.75" customHeight="1" s="297">
      <c r="U614" s="79" t="n"/>
    </row>
    <row r="615" ht="15.75" customHeight="1" s="297">
      <c r="U615" s="79" t="n"/>
    </row>
    <row r="616" ht="15.75" customHeight="1" s="297">
      <c r="U616" s="79" t="n"/>
    </row>
    <row r="617" ht="15.75" customHeight="1" s="297">
      <c r="U617" s="79" t="n"/>
    </row>
    <row r="618" ht="15.75" customHeight="1" s="297">
      <c r="U618" s="79" t="n"/>
    </row>
    <row r="619" ht="15.75" customHeight="1" s="297">
      <c r="U619" s="79" t="n"/>
    </row>
    <row r="620" ht="15.75" customHeight="1" s="297">
      <c r="U620" s="79" t="n"/>
    </row>
    <row r="621" ht="15.75" customHeight="1" s="297">
      <c r="U621" s="79" t="n"/>
    </row>
    <row r="622" ht="15.75" customHeight="1" s="297">
      <c r="U622" s="79" t="n"/>
    </row>
    <row r="623" ht="15.75" customHeight="1" s="297">
      <c r="U623" s="79" t="n"/>
    </row>
    <row r="624" ht="15.75" customHeight="1" s="297">
      <c r="U624" s="79" t="n"/>
    </row>
    <row r="625" ht="15.75" customHeight="1" s="297">
      <c r="U625" s="79" t="n"/>
    </row>
    <row r="626" ht="15.75" customHeight="1" s="297">
      <c r="U626" s="79" t="n"/>
    </row>
    <row r="627" ht="15.75" customHeight="1" s="297">
      <c r="U627" s="79" t="n"/>
    </row>
    <row r="628" ht="15.75" customHeight="1" s="297">
      <c r="U628" s="79" t="n"/>
    </row>
    <row r="629" ht="15.75" customHeight="1" s="297">
      <c r="U629" s="79" t="n"/>
    </row>
    <row r="630" ht="15.75" customHeight="1" s="297">
      <c r="U630" s="79" t="n"/>
    </row>
    <row r="631" ht="15.75" customHeight="1" s="297">
      <c r="U631" s="79" t="n"/>
    </row>
    <row r="632" ht="15.75" customHeight="1" s="297">
      <c r="U632" s="79" t="n"/>
    </row>
    <row r="633" ht="15.75" customHeight="1" s="297">
      <c r="U633" s="79" t="n"/>
    </row>
    <row r="634" ht="15.75" customHeight="1" s="297">
      <c r="U634" s="79" t="n"/>
    </row>
    <row r="635" ht="15.75" customHeight="1" s="297">
      <c r="U635" s="79" t="n"/>
    </row>
    <row r="636" ht="15.75" customHeight="1" s="297">
      <c r="U636" s="79" t="n"/>
    </row>
    <row r="637" ht="15.75" customHeight="1" s="297">
      <c r="U637" s="79" t="n"/>
    </row>
    <row r="638" ht="15.75" customHeight="1" s="297">
      <c r="U638" s="79" t="n"/>
    </row>
    <row r="639" ht="15.75" customHeight="1" s="297">
      <c r="U639" s="79" t="n"/>
    </row>
    <row r="640" ht="15.75" customHeight="1" s="297">
      <c r="U640" s="79" t="n"/>
    </row>
    <row r="641" ht="15.75" customHeight="1" s="297">
      <c r="U641" s="79" t="n"/>
    </row>
    <row r="642" ht="15.75" customHeight="1" s="297">
      <c r="U642" s="79" t="n"/>
    </row>
    <row r="643" ht="15.75" customHeight="1" s="297">
      <c r="U643" s="79" t="n"/>
    </row>
    <row r="644" ht="15.75" customHeight="1" s="297">
      <c r="U644" s="79" t="n"/>
    </row>
    <row r="645" ht="15.75" customHeight="1" s="297">
      <c r="U645" s="79" t="n"/>
    </row>
    <row r="646" ht="15.75" customHeight="1" s="297">
      <c r="U646" s="79" t="n"/>
    </row>
    <row r="647" ht="15.75" customHeight="1" s="297">
      <c r="U647" s="79" t="n"/>
    </row>
    <row r="648" ht="15.75" customHeight="1" s="297">
      <c r="U648" s="79" t="n"/>
    </row>
    <row r="649" ht="15.75" customHeight="1" s="297">
      <c r="U649" s="79" t="n"/>
    </row>
    <row r="650" ht="15.75" customHeight="1" s="297">
      <c r="U650" s="79" t="n"/>
    </row>
    <row r="651" ht="15.75" customHeight="1" s="297">
      <c r="U651" s="79" t="n"/>
    </row>
    <row r="652" ht="15.75" customHeight="1" s="297">
      <c r="U652" s="79" t="n"/>
    </row>
    <row r="653" ht="15.75" customHeight="1" s="297"/>
    <row r="654" ht="15.75" customHeight="1" s="297"/>
    <row r="655" ht="15.75" customHeight="1" s="297"/>
    <row r="656" ht="15.75" customHeight="1" s="297"/>
    <row r="657" ht="15.75" customHeight="1" s="297"/>
    <row r="658" ht="15.75" customHeight="1" s="297"/>
    <row r="659" ht="15.75" customHeight="1" s="297"/>
    <row r="660" ht="15.75" customHeight="1" s="297"/>
    <row r="661" ht="15.75" customHeight="1" s="297"/>
    <row r="662" ht="15.75" customHeight="1" s="297"/>
    <row r="663" ht="15.75" customHeight="1" s="297"/>
    <row r="664" ht="15.75" customHeight="1" s="297"/>
    <row r="665" ht="15.75" customHeight="1" s="297"/>
    <row r="666" ht="15.75" customHeight="1" s="297"/>
    <row r="667" ht="15.75" customHeight="1" s="297"/>
    <row r="668" ht="15.75" customHeight="1" s="297"/>
    <row r="669" ht="15.75" customHeight="1" s="297"/>
    <row r="670" ht="15.75" customHeight="1" s="297"/>
    <row r="671" ht="15.75" customHeight="1" s="297"/>
    <row r="672" ht="15.75" customHeight="1" s="297"/>
    <row r="673" ht="15.75" customHeight="1" s="297"/>
    <row r="674" ht="15.75" customHeight="1" s="297"/>
    <row r="675" ht="15.75" customHeight="1" s="297"/>
    <row r="676" ht="15.75" customHeight="1" s="297"/>
    <row r="677" ht="15.75" customHeight="1" s="297"/>
    <row r="678" ht="15.75" customHeight="1" s="297"/>
    <row r="679" ht="15.75" customHeight="1" s="297"/>
    <row r="680" ht="15.75" customHeight="1" s="297"/>
    <row r="681" ht="15.75" customHeight="1" s="297"/>
    <row r="682" ht="15.75" customHeight="1" s="297"/>
    <row r="683" ht="15.75" customHeight="1" s="297"/>
    <row r="684" ht="15.75" customHeight="1" s="297"/>
    <row r="685" ht="15.75" customHeight="1" s="297"/>
    <row r="686" ht="15.75" customHeight="1" s="297"/>
    <row r="687" ht="15.75" customHeight="1" s="297"/>
    <row r="688" ht="15.75" customHeight="1" s="297"/>
    <row r="689" ht="15.75" customHeight="1" s="297"/>
    <row r="690" ht="15.75" customHeight="1" s="297"/>
    <row r="691" ht="15.75" customHeight="1" s="297"/>
    <row r="692" ht="15.75" customHeight="1" s="297"/>
    <row r="693" ht="15.75" customHeight="1" s="297"/>
    <row r="694" ht="15.75" customHeight="1" s="297"/>
    <row r="695" ht="15.75" customHeight="1" s="297"/>
    <row r="696" ht="15.75" customHeight="1" s="297"/>
    <row r="697" ht="15.75" customHeight="1" s="297"/>
    <row r="698" ht="15.75" customHeight="1" s="297"/>
    <row r="699" ht="15.75" customHeight="1" s="297"/>
    <row r="700" ht="15.75" customHeight="1" s="297"/>
    <row r="701" ht="15.75" customHeight="1" s="297"/>
    <row r="702" ht="15.75" customHeight="1" s="297"/>
    <row r="703" ht="15.75" customHeight="1" s="297"/>
    <row r="704" ht="15.75" customHeight="1" s="297"/>
    <row r="705" ht="15.75" customHeight="1" s="297"/>
    <row r="706" ht="15.75" customHeight="1" s="297"/>
    <row r="707" ht="15.75" customHeight="1" s="297"/>
    <row r="708" ht="15.75" customHeight="1" s="297"/>
    <row r="709" ht="15.75" customHeight="1" s="297"/>
    <row r="710" ht="15.75" customHeight="1" s="297"/>
    <row r="711" ht="15.75" customHeight="1" s="297"/>
    <row r="712" ht="15.75" customHeight="1" s="297"/>
    <row r="713" ht="15.75" customHeight="1" s="297"/>
    <row r="714" ht="15.75" customHeight="1" s="297"/>
    <row r="715" ht="15.75" customHeight="1" s="297"/>
    <row r="716" ht="15.75" customHeight="1" s="297"/>
    <row r="717" ht="15.75" customHeight="1" s="297"/>
    <row r="718" ht="15.75" customHeight="1" s="297"/>
    <row r="719" ht="15.75" customHeight="1" s="297"/>
    <row r="720" ht="15.75" customHeight="1" s="297"/>
    <row r="721" ht="15.75" customHeight="1" s="297"/>
    <row r="722" ht="15.75" customHeight="1" s="297"/>
    <row r="723" ht="15.75" customHeight="1" s="297"/>
    <row r="724" ht="15.75" customHeight="1" s="297"/>
    <row r="725" ht="15.75" customHeight="1" s="297"/>
    <row r="726" ht="15.75" customHeight="1" s="297"/>
    <row r="727" ht="15.75" customHeight="1" s="297"/>
    <row r="728" ht="15.75" customHeight="1" s="297"/>
    <row r="729" ht="15.75" customHeight="1" s="297"/>
    <row r="730" ht="15.75" customHeight="1" s="297"/>
    <row r="731" ht="15.75" customHeight="1" s="297"/>
    <row r="732" ht="15.75" customHeight="1" s="297"/>
    <row r="733" ht="15.75" customHeight="1" s="297"/>
    <row r="734" ht="15.75" customHeight="1" s="297"/>
    <row r="735" ht="15.75" customHeight="1" s="297"/>
    <row r="736" ht="15.75" customHeight="1" s="297"/>
    <row r="737" ht="15.75" customHeight="1" s="297"/>
    <row r="738" ht="15.75" customHeight="1" s="297"/>
    <row r="739" ht="15.75" customHeight="1" s="297"/>
    <row r="740" ht="15.75" customHeight="1" s="297"/>
    <row r="741" ht="15.75" customHeight="1" s="297"/>
    <row r="742" ht="15.75" customHeight="1" s="297"/>
    <row r="743" ht="15.75" customHeight="1" s="297"/>
    <row r="744" ht="15.75" customHeight="1" s="297"/>
    <row r="745" ht="15.75" customHeight="1" s="297"/>
    <row r="746" ht="15.75" customHeight="1" s="297"/>
    <row r="747" ht="15.75" customHeight="1" s="297"/>
    <row r="748" ht="15.75" customHeight="1" s="297"/>
    <row r="749" ht="15.75" customHeight="1" s="297"/>
    <row r="750" ht="15.75" customHeight="1" s="297"/>
    <row r="751" ht="15.75" customHeight="1" s="297"/>
    <row r="752" ht="15.75" customHeight="1" s="297"/>
    <row r="753" ht="15.75" customHeight="1" s="297"/>
    <row r="754" ht="15.75" customHeight="1" s="297"/>
    <row r="755" ht="15.75" customHeight="1" s="297"/>
    <row r="756" ht="15.75" customHeight="1" s="297"/>
    <row r="757" ht="15.75" customHeight="1" s="297"/>
    <row r="758" ht="15.75" customHeight="1" s="297"/>
    <row r="759" ht="15.75" customHeight="1" s="297"/>
    <row r="760" ht="15.75" customHeight="1" s="297"/>
    <row r="761" ht="15.75" customHeight="1" s="297"/>
    <row r="762" ht="15.75" customHeight="1" s="297"/>
    <row r="763" ht="15.75" customHeight="1" s="297"/>
    <row r="764" ht="15.75" customHeight="1" s="297"/>
    <row r="765" ht="15.75" customHeight="1" s="297"/>
    <row r="766" ht="15.75" customHeight="1" s="297"/>
    <row r="767" ht="15.75" customHeight="1" s="297"/>
    <row r="768" ht="15.75" customHeight="1" s="297"/>
    <row r="769" ht="15.75" customHeight="1" s="297"/>
    <row r="770" ht="15.75" customHeight="1" s="297"/>
    <row r="771" ht="15.75" customHeight="1" s="297"/>
    <row r="772" ht="15.75" customHeight="1" s="297"/>
    <row r="773" ht="15.75" customHeight="1" s="297"/>
    <row r="774" ht="15.75" customHeight="1" s="297"/>
    <row r="775" ht="15.75" customHeight="1" s="297"/>
    <row r="776" ht="15.75" customHeight="1" s="297"/>
    <row r="777" ht="15.75" customHeight="1" s="297"/>
    <row r="778" ht="15.75" customHeight="1" s="297"/>
    <row r="779" ht="15.75" customHeight="1" s="297"/>
    <row r="780" ht="15.75" customHeight="1" s="297"/>
    <row r="781" ht="15.75" customHeight="1" s="297"/>
    <row r="782" ht="15.75" customHeight="1" s="297"/>
    <row r="783" ht="15.75" customHeight="1" s="297"/>
    <row r="784" ht="15.75" customHeight="1" s="297"/>
    <row r="785" ht="15.75" customHeight="1" s="297"/>
    <row r="786" ht="15.75" customHeight="1" s="297"/>
    <row r="787" ht="15.75" customHeight="1" s="297"/>
    <row r="788" ht="15.75" customHeight="1" s="297"/>
    <row r="789" ht="15.75" customHeight="1" s="297"/>
    <row r="790" ht="15.75" customHeight="1" s="297"/>
    <row r="791" ht="15.75" customHeight="1" s="297"/>
    <row r="792" ht="15.75" customHeight="1" s="297"/>
    <row r="793" ht="15.75" customHeight="1" s="297"/>
    <row r="794" ht="15.75" customHeight="1" s="297"/>
    <row r="795" ht="15.75" customHeight="1" s="297"/>
    <row r="796" ht="15.75" customHeight="1" s="297"/>
    <row r="797" ht="15.75" customHeight="1" s="297"/>
    <row r="798" ht="15.75" customHeight="1" s="297"/>
    <row r="799" ht="15.75" customHeight="1" s="297"/>
    <row r="800" ht="15.75" customHeight="1" s="297"/>
    <row r="801" ht="15.75" customHeight="1" s="297"/>
    <row r="802" ht="15.75" customHeight="1" s="297"/>
    <row r="803" ht="15.75" customHeight="1" s="297"/>
    <row r="804" ht="15.75" customHeight="1" s="297"/>
    <row r="805" ht="15.75" customHeight="1" s="297"/>
    <row r="806" ht="15.75" customHeight="1" s="297"/>
    <row r="807" ht="15.75" customHeight="1" s="297"/>
    <row r="808" ht="15.75" customHeight="1" s="297"/>
    <row r="809" ht="15.75" customHeight="1" s="297"/>
    <row r="810" ht="15.75" customHeight="1" s="297"/>
    <row r="811" ht="15.75" customHeight="1" s="297"/>
    <row r="812" ht="15.75" customHeight="1" s="297"/>
    <row r="813" ht="15.75" customHeight="1" s="297"/>
    <row r="814" ht="15.75" customHeight="1" s="297"/>
    <row r="815" ht="15.75" customHeight="1" s="297"/>
    <row r="816" ht="15.75" customHeight="1" s="297"/>
    <row r="817" ht="15.75" customHeight="1" s="297"/>
    <row r="818" ht="15.75" customHeight="1" s="297"/>
    <row r="819" ht="15.75" customHeight="1" s="297"/>
    <row r="820" ht="15.75" customHeight="1" s="297"/>
    <row r="821" ht="15.75" customHeight="1" s="297"/>
    <row r="822" ht="15.75" customHeight="1" s="297"/>
    <row r="823" ht="15.75" customHeight="1" s="297"/>
    <row r="824" ht="15.75" customHeight="1" s="297"/>
    <row r="825" ht="15.75" customHeight="1" s="297"/>
    <row r="826" ht="15.75" customHeight="1" s="297"/>
    <row r="827" ht="15.75" customHeight="1" s="297"/>
    <row r="828" ht="15.75" customHeight="1" s="297"/>
    <row r="829" ht="15.75" customHeight="1" s="297"/>
    <row r="830" ht="15.75" customHeight="1" s="297"/>
    <row r="831" ht="15.75" customHeight="1" s="297"/>
    <row r="832" ht="15.75" customHeight="1" s="297"/>
    <row r="833" ht="15.75" customHeight="1" s="297"/>
    <row r="834" ht="15.75" customHeight="1" s="297"/>
    <row r="835" ht="15.75" customHeight="1" s="297"/>
    <row r="836" ht="15.75" customHeight="1" s="297"/>
    <row r="837" ht="15.75" customHeight="1" s="297"/>
    <row r="838" ht="15.75" customHeight="1" s="297"/>
    <row r="839" ht="15.75" customHeight="1" s="297"/>
    <row r="840" ht="15.75" customHeight="1" s="297"/>
    <row r="841" ht="15.75" customHeight="1" s="297"/>
    <row r="842" ht="15.75" customHeight="1" s="297"/>
    <row r="843" ht="15.75" customHeight="1" s="297"/>
    <row r="844" ht="15.75" customHeight="1" s="297"/>
    <row r="845" ht="15.75" customHeight="1" s="297"/>
    <row r="846" ht="15.75" customHeight="1" s="297"/>
    <row r="847" ht="15.75" customHeight="1" s="297"/>
    <row r="848" ht="15.75" customHeight="1" s="297"/>
    <row r="849" ht="15.75" customHeight="1" s="297"/>
    <row r="850" ht="15.75" customHeight="1" s="297"/>
    <row r="851" ht="15.75" customHeight="1" s="297"/>
    <row r="852" ht="15.75" customHeight="1" s="297"/>
    <row r="853" ht="15.75" customHeight="1" s="297"/>
    <row r="854" ht="15.75" customHeight="1" s="297"/>
    <row r="855" ht="15.75" customHeight="1" s="297"/>
    <row r="856" ht="15.75" customHeight="1" s="297"/>
    <row r="857" ht="15.75" customHeight="1" s="297"/>
    <row r="858" ht="15.75" customHeight="1" s="297"/>
    <row r="859" ht="15.75" customHeight="1" s="297"/>
    <row r="860" ht="15.75" customHeight="1" s="297"/>
    <row r="861" ht="15.75" customHeight="1" s="297"/>
    <row r="862" ht="15.75" customHeight="1" s="297"/>
    <row r="863" ht="15.75" customHeight="1" s="297"/>
    <row r="864" ht="15.75" customHeight="1" s="297"/>
    <row r="865" ht="15.75" customHeight="1" s="297"/>
    <row r="866" ht="15.75" customHeight="1" s="297"/>
    <row r="867" ht="15.75" customHeight="1" s="297"/>
    <row r="868" ht="15.75" customHeight="1" s="297"/>
    <row r="869" ht="15.75" customHeight="1" s="297"/>
    <row r="870" ht="15.75" customHeight="1" s="297"/>
    <row r="871" ht="15.75" customHeight="1" s="297"/>
    <row r="872" ht="15.75" customHeight="1" s="297"/>
    <row r="873" ht="15.75" customHeight="1" s="297"/>
    <row r="874" ht="15.75" customHeight="1" s="297"/>
    <row r="875" ht="15.75" customHeight="1" s="297"/>
    <row r="876" ht="15.75" customHeight="1" s="297"/>
    <row r="877" ht="15.75" customHeight="1" s="297"/>
    <row r="878" ht="15.75" customHeight="1" s="297"/>
    <row r="879" ht="15.75" customHeight="1" s="297"/>
    <row r="880" ht="15.75" customHeight="1" s="297"/>
    <row r="881" ht="15.75" customHeight="1" s="297"/>
    <row r="882" ht="15.75" customHeight="1" s="297"/>
    <row r="883" ht="15.75" customHeight="1" s="297"/>
    <row r="884" ht="15.75" customHeight="1" s="297"/>
    <row r="885" ht="15.75" customHeight="1" s="297"/>
    <row r="886" ht="15.75" customHeight="1" s="297"/>
    <row r="887" ht="15.75" customHeight="1" s="297"/>
    <row r="888" ht="15.75" customHeight="1" s="297"/>
    <row r="889" ht="15.75" customHeight="1" s="297"/>
    <row r="890" ht="15.75" customHeight="1" s="297"/>
    <row r="891" ht="15.75" customHeight="1" s="297"/>
    <row r="892" ht="15.75" customHeight="1" s="297"/>
    <row r="893" ht="15.75" customHeight="1" s="297"/>
    <row r="894" ht="15.75" customHeight="1" s="297"/>
    <row r="895" ht="15.75" customHeight="1" s="297"/>
    <row r="896" ht="15.75" customHeight="1" s="297"/>
    <row r="897" ht="15.75" customHeight="1" s="297"/>
    <row r="898" ht="15.75" customHeight="1" s="297"/>
    <row r="899" ht="15.75" customHeight="1" s="297"/>
    <row r="900" ht="15.75" customHeight="1" s="297"/>
    <row r="901" ht="15.75" customHeight="1" s="297"/>
    <row r="902" ht="15.75" customHeight="1" s="297"/>
    <row r="903" ht="15.75" customHeight="1" s="297"/>
    <row r="904" ht="15.75" customHeight="1" s="297"/>
    <row r="905" ht="15.75" customHeight="1" s="297"/>
    <row r="906" ht="15.75" customHeight="1" s="297"/>
    <row r="907" ht="15.75" customHeight="1" s="297"/>
    <row r="908" ht="15.75" customHeight="1" s="297"/>
    <row r="909" ht="15.75" customHeight="1" s="297"/>
    <row r="910" ht="15.75" customHeight="1" s="297"/>
    <row r="911" ht="15.75" customHeight="1" s="297"/>
    <row r="912" ht="15.75" customHeight="1" s="297"/>
    <row r="913" ht="15.75" customHeight="1" s="297"/>
    <row r="914" ht="15.75" customHeight="1" s="297"/>
    <row r="915" ht="15.75" customHeight="1" s="297"/>
    <row r="916" ht="15.75" customHeight="1" s="297"/>
    <row r="917" ht="15.75" customHeight="1" s="297"/>
    <row r="918" ht="15.75" customHeight="1" s="297"/>
    <row r="919" ht="15.75" customHeight="1" s="297"/>
    <row r="920" ht="15.75" customHeight="1" s="297"/>
    <row r="921" ht="15.75" customHeight="1" s="297"/>
    <row r="922" ht="15.75" customHeight="1" s="297"/>
    <row r="923" ht="15.75" customHeight="1" s="297"/>
    <row r="924" ht="15.75" customHeight="1" s="297"/>
    <row r="925" ht="15.75" customHeight="1" s="297"/>
    <row r="926" ht="15.75" customHeight="1" s="297"/>
    <row r="927" ht="15.75" customHeight="1" s="297"/>
    <row r="928" ht="15.75" customHeight="1" s="297"/>
    <row r="929" ht="15.75" customHeight="1" s="297"/>
    <row r="930" ht="15.75" customHeight="1" s="297"/>
    <row r="931" ht="15.75" customHeight="1" s="297"/>
    <row r="932" ht="15.75" customHeight="1" s="297"/>
    <row r="933" ht="15.75" customHeight="1" s="297"/>
    <row r="934" ht="15.75" customHeight="1" s="297"/>
    <row r="935" ht="15.75" customHeight="1" s="297"/>
    <row r="936" ht="15.75" customHeight="1" s="297"/>
    <row r="937" ht="15.75" customHeight="1" s="297"/>
    <row r="938" ht="15.75" customHeight="1" s="297"/>
    <row r="939" ht="15.75" customHeight="1" s="297"/>
    <row r="940" ht="15.75" customHeight="1" s="297"/>
    <row r="941" ht="15.75" customHeight="1" s="297"/>
    <row r="942" ht="15.75" customHeight="1" s="297"/>
    <row r="943" ht="15.75" customHeight="1" s="297"/>
    <row r="944" ht="15.75" customHeight="1" s="297"/>
    <row r="945" ht="15.75" customHeight="1" s="297"/>
    <row r="946" ht="15.75" customHeight="1" s="297"/>
    <row r="947" ht="15.75" customHeight="1" s="297"/>
    <row r="948" ht="15.75" customHeight="1" s="297"/>
    <row r="949" ht="15.75" customHeight="1" s="297"/>
    <row r="950" ht="15.75" customHeight="1" s="297"/>
    <row r="951" ht="15.75" customHeight="1" s="297"/>
    <row r="952" ht="15.75" customHeight="1" s="297"/>
    <row r="953" ht="15.75" customHeight="1" s="297"/>
    <row r="954" ht="15.75" customHeight="1" s="297"/>
    <row r="955" ht="15.75" customHeight="1" s="297"/>
    <row r="956" ht="15.75" customHeight="1" s="297"/>
    <row r="957" ht="15.75" customHeight="1" s="297"/>
    <row r="958" ht="15.75" customHeight="1" s="297"/>
    <row r="959" ht="15.75" customHeight="1" s="297"/>
    <row r="960" ht="15.75" customHeight="1" s="297"/>
    <row r="961" ht="15.75" customHeight="1" s="297"/>
    <row r="962" ht="15.75" customHeight="1" s="297"/>
    <row r="963" ht="15.75" customHeight="1" s="297"/>
    <row r="964" ht="15.75" customHeight="1" s="297"/>
    <row r="965" ht="15.75" customHeight="1" s="297"/>
    <row r="966" ht="15.75" customHeight="1" s="297"/>
    <row r="967" ht="15.75" customHeight="1" s="297"/>
    <row r="968" ht="15.75" customHeight="1" s="297"/>
    <row r="969" ht="15.75" customHeight="1" s="297"/>
    <row r="970" ht="15.75" customHeight="1" s="297"/>
    <row r="971" ht="15.75" customHeight="1" s="297"/>
    <row r="972" ht="15.75" customHeight="1" s="297"/>
    <row r="973" ht="15.75" customHeight="1" s="297"/>
    <row r="974" ht="15.75" customHeight="1" s="297"/>
    <row r="975" ht="15.75" customHeight="1" s="297"/>
    <row r="976" ht="15.75" customHeight="1" s="297"/>
    <row r="977" ht="15.75" customHeight="1" s="297"/>
    <row r="978" ht="15.75" customHeight="1" s="297"/>
    <row r="979" ht="15.75" customHeight="1" s="297"/>
    <row r="980" ht="15.75" customHeight="1" s="297"/>
    <row r="981" ht="15.75" customHeight="1" s="297"/>
    <row r="982" ht="15.75" customHeight="1" s="297"/>
    <row r="983" ht="15.75" customHeight="1" s="297"/>
    <row r="984" ht="15.75" customHeight="1" s="297"/>
    <row r="985" ht="15.75" customHeight="1" s="297"/>
    <row r="986" ht="15.75" customHeight="1" s="297"/>
    <row r="987" ht="15.75" customHeight="1" s="297"/>
    <row r="988" ht="15.75" customHeight="1" s="297"/>
    <row r="989" ht="15.75" customHeight="1" s="297"/>
    <row r="990" ht="15.75" customHeight="1" s="297"/>
    <row r="991" ht="15.75" customHeight="1" s="297"/>
    <row r="992" ht="15.75" customHeight="1" s="297"/>
    <row r="993" ht="15.75" customHeight="1" s="297"/>
    <row r="994" ht="15.75" customHeight="1" s="297"/>
    <row r="995" ht="15.75" customHeight="1" s="297"/>
    <row r="996" ht="15.75" customHeight="1" s="297"/>
    <row r="997" ht="15.75" customHeight="1" s="297"/>
    <row r="998" ht="15.75" customHeight="1" s="297"/>
    <row r="999" ht="15.75" customHeight="1" s="297"/>
    <row r="1000" ht="15.75" customHeight="1" s="297"/>
  </sheetData>
  <conditionalFormatting sqref="K10:L224 K237:L451">
    <cfRule type="cellIs" priority="1" operator="equal" dxfId="9">
      <formula>0</formula>
    </cfRule>
  </conditionalFormatting>
  <conditionalFormatting sqref="A11:A12 A26:A27 A45:A46 A64:A65 A82:A83 A98:A99 A115:A116 A132:A133 A149:A150 A166:A167 A183:A184 A201:A202 A211:A224 A238:A239 A253:A254 A272:A273 A290:A292 A309:A310 A325:A326 A342:A343 A359:A360 A376:A377 A393:A394 A410:A411 A428:A429 A438:A451">
    <cfRule type="colorScale" priority="2">
      <colorScale>
        <cfvo type="min"/>
        <cfvo type="percentile" val="50"/>
        <cfvo type="max"/>
        <color rgb="FF63BE7B"/>
        <color rgb="FFFFEB84"/>
        <color rgb="FFF8696B"/>
      </colorScale>
    </cfRule>
  </conditionalFormatting>
  <conditionalFormatting sqref="A13 A28 A47 A65:A66 A84 A100 A117 A134 A151 A168 A185 A203 A240 A255 A274 A292:A293 A311 A327 A344 A361 A378 A395 A412 A430">
    <cfRule type="colorScale" priority="3">
      <colorScale>
        <cfvo type="min"/>
        <cfvo type="percentile" val="50"/>
        <cfvo type="max"/>
        <color rgb="FF63BE7B"/>
        <color rgb="FFFFEB84"/>
        <color rgb="FFF8696B"/>
      </colorScale>
    </cfRule>
  </conditionalFormatting>
  <conditionalFormatting sqref="A14:A15 A17 A29:A30 A32 A48:A49 A51 A66:A70 A85:A86 A88 A101:A102 A104 A118:A119 A121 A135:A136 A138 A152:A153 A155 A169:A170 A172 A186:A187 A189 A204:A205 A207 A241:A242 A244 A256:A257 A259 A275:A276 A278 A293:A297 A312:A313 A315 A328:A329 A331 A345:A346 A348 A362:A363 A365 A379:A380 A382 A396:A397 A399 A413:A414 A416 A431:A432 A434">
    <cfRule type="colorScale" priority="4">
      <colorScale>
        <cfvo type="min"/>
        <cfvo type="percentile" val="50"/>
        <cfvo type="max"/>
        <color rgb="FF63BE7B"/>
        <color rgb="FFFFEB84"/>
        <color rgb="FFF8696B"/>
      </colorScale>
    </cfRule>
  </conditionalFormatting>
  <conditionalFormatting sqref="A16 A31 A50 A68:A69 A87 A103 A115 A120 A137 A154 A171 A188 A206 A243 A258 A277 A295:A296 A314 A330 A342 A347 A364 A381 A398 A415 A433">
    <cfRule type="colorScale" priority="5">
      <colorScale>
        <cfvo type="min"/>
        <cfvo type="percentile" val="50"/>
        <cfvo type="max"/>
        <color rgb="FF63BE7B"/>
        <color rgb="FFFCFCFF"/>
        <color rgb="FFF8696B"/>
      </colorScale>
    </cfRule>
  </conditionalFormatting>
  <conditionalFormatting sqref="A16 A31 A50 A68:A69 A87 A103 A120 A137 A154 A171 A188 A206 A243 A258 A277 A295:A296 A314 A330 A347 A364 A381 A398 A415 A433">
    <cfRule type="colorScale" priority="6">
      <colorScale>
        <cfvo type="min"/>
        <cfvo type="percentile" val="50"/>
        <cfvo type="max"/>
        <color rgb="FF63BE7B"/>
        <color rgb="FFFFEB84"/>
        <color rgb="FFF8696B"/>
      </colorScale>
    </cfRule>
  </conditionalFormatting>
  <conditionalFormatting sqref="A18 A33 A52 A70:A71 A89 A105 A122 A139 A156 A173 A190 A208 A245 A260 A279 A297:A298 A316 A332 A349 A366 A383 A400 A417 A435">
    <cfRule type="colorScale" priority="7">
      <colorScale>
        <cfvo type="min"/>
        <cfvo type="percentile" val="50"/>
        <cfvo type="max"/>
        <color rgb="FF63BE7B"/>
        <color rgb="FFFFEB84"/>
        <color rgb="FFF8696B"/>
      </colorScale>
    </cfRule>
  </conditionalFormatting>
  <conditionalFormatting sqref="A19:A23 A34:A38 A53:A57 A71:A76 A90:A94 A106:A110 A123:A127 A140:A144 A157:A161 A174:A178 A191:A195 A209:A213 A246:A250 A261:A265 A280:A284 A298:A303 A317:A321 A333:A337 A350:A354 A367:A371 A384:A388 A401:A405 A418:A422 A436:A440">
    <cfRule type="colorScale" priority="8">
      <colorScale>
        <cfvo type="min"/>
        <cfvo type="percentile" val="50"/>
        <cfvo type="max"/>
        <color rgb="FF63BE7B"/>
        <color rgb="FFFFEB84"/>
        <color rgb="FFF8696B"/>
      </colorScale>
    </cfRule>
  </conditionalFormatting>
  <conditionalFormatting sqref="A10 A19:A25 A33:A44 A52:A63 A69:A82 A86:A98 A100:A224 A237 A246:A252 A260:A271 A279:A290 A296:A309 A313:A325 A327:A451">
    <cfRule type="colorScale" priority="9">
      <colorScale>
        <cfvo type="min"/>
        <cfvo type="percentile" val="50"/>
        <cfvo type="max"/>
        <color rgb="FF63BE7B"/>
        <color rgb="FFFCFCFF"/>
        <color rgb="FFF8696B"/>
      </colorScale>
    </cfRule>
  </conditionalFormatting>
  <conditionalFormatting sqref="A24 A39:A43 A58:A62 A76:A82 A95:A98 A111:A112 A114:A115 A128:A129 A131:A132 A145:A146 A148:A149 A162:A163 A165:A166 A179:A180 A182:A183 A196:A197 A200:A201 A214:A215 A251 A266:A270 A285:A289 A303:A309 A322:A325 A338:A339 A341:A342 A355:A356 A358:A359 A372:A373 A375:A376 A389:A390 A392:A393 A406:A407 A409:A410 A423:A424 A427:A428 A441:A442">
    <cfRule type="colorScale" priority="10">
      <colorScale>
        <cfvo type="min"/>
        <cfvo type="percentile" val="50"/>
        <cfvo type="max"/>
        <color rgb="FF63BE7B"/>
        <color rgb="FFFFEB84"/>
        <color rgb="FFF8696B"/>
      </colorScale>
    </cfRule>
  </conditionalFormatting>
  <conditionalFormatting sqref="A26:A27 A45:A46 A64:A65 A82:A83 A98:A99 A115:A116 A132:A133 A149:A150 A166:A167 A183:A184 A201:A202 A253:A254 A272:A273 A290:A292 A309:A310 A325:A326 A342:A343 A359:A360 A376:A377 A393:A394 A410:A411 A428:A429">
    <cfRule type="colorScale" priority="11">
      <colorScale>
        <cfvo type="min"/>
        <cfvo type="percentile" val="50"/>
        <cfvo type="max"/>
        <color rgb="FF63BE7B"/>
        <color rgb="FFFFEB84"/>
        <color rgb="FFF8696B"/>
      </colorScale>
    </cfRule>
  </conditionalFormatting>
  <conditionalFormatting sqref="A26:A32 A45:A51 A64:A70 A82:A88 A98:A104 A115:A121 A132:A138 A149:A155 A166:A172 A183:A189 A201:A207 A253:A259 A272:A278 A290:A297 A309:A315 A325:A331 A342:A348 A359:A365 A376:A382 A393:A399 A410:A416 A428:A434">
    <cfRule type="colorScale" priority="12">
      <colorScale>
        <cfvo type="min"/>
        <cfvo type="percentile" val="50"/>
        <cfvo type="max"/>
        <color rgb="FF63BE7B"/>
        <color rgb="FFFCFCFF"/>
        <color rgb="FFF8696B"/>
      </colorScale>
    </cfRule>
  </conditionalFormatting>
  <conditionalFormatting sqref="A28:A32 A47:A51 A65:A70 A84:A88 A100:A104 A117:A121 A134:A138 A151:A155 A168:A172 A185:A189 A203:A207 A255:A259 A274:A278 A292:A297 A311:A315 A327:A331 A344:A348 A361:A365 A378:A382 A395:A399 A412:A416 A430:A434">
    <cfRule type="colorScale" priority="13">
      <colorScale>
        <cfvo type="min"/>
        <cfvo type="percentile" val="50"/>
        <cfvo type="max"/>
        <color rgb="FF63BE7B"/>
        <color rgb="FFFFEB84"/>
        <color rgb="FFF8696B"/>
      </colorScale>
    </cfRule>
  </conditionalFormatting>
  <conditionalFormatting sqref="A25 A33:A44 A52:A63 A70:A82 A89:A98 A105:A115 A122:A129 A131:A132 A134:A149 A156:A163 A165:A166 A173:A180 A182:A183 A186:A201 A204:A215 A252 A260:A271 A279:A290 A297:A309 A316:A325 A332:A342 A349:A356 A358:A359 A361:A376 A383:A390 A392:A393 A400:A407 A409:A410 A413:A428 A431:A442">
    <cfRule type="colorScale" priority="14">
      <colorScale>
        <cfvo type="min"/>
        <cfvo type="percentile" val="50"/>
        <cfvo type="max"/>
        <color rgb="FF63BE7B"/>
        <color rgb="FFFFEB84"/>
        <color rgb="FFF8696B"/>
      </colorScale>
    </cfRule>
  </conditionalFormatting>
  <conditionalFormatting sqref="A45 A64 A82 A98 A115 A132 A149 A166 A183 A201 A272 A290:A291 A309 A325 A342 A359 A376 A393 A410 A428">
    <cfRule type="colorScale" priority="15">
      <colorScale>
        <cfvo type="min"/>
        <cfvo type="percentile" val="50"/>
        <cfvo type="max"/>
        <color rgb="FF63BE7B"/>
        <color rgb="FFFFEB84"/>
        <color rgb="FFF8696B"/>
      </colorScale>
    </cfRule>
  </conditionalFormatting>
  <conditionalFormatting sqref="A46:A47 A50:A57 A64:A66 A68:A76 A83:A84 A87:A94 A99:A100 A103:A110 A116:A117 A120:A127 A133:A134 A137:A144 A150:A151 A154:A161 A167:A168 A171:A178 A184:A185 A188:A195 A202:A203 A206:A213 A273:A274 A277:A284 A291:A293 A295:A303 A310:A311 A314:A321 A326:A327 A330:A337 A343:A344 A347:A354 A360:A361 A364:A371 A377:A378 A381:A388 A394:A395 A398:A405 A411:A412 A415:A422 A429:A430 A433:A440">
    <cfRule type="colorScale" priority="16">
      <colorScale>
        <cfvo type="min"/>
        <cfvo type="percentile" val="50"/>
        <cfvo type="max"/>
        <color rgb="FF63BE7B"/>
        <color rgb="FFFFEB84"/>
        <color rgb="FFF8696B"/>
      </colorScale>
    </cfRule>
  </conditionalFormatting>
  <conditionalFormatting sqref="A48:A49 A66:A68 A85:A86 A101:A102 A118:A119 A135:A136 A152:A153 A169:A170 A186:A187 A204:A205 A275:A276 A293:A295 A312:A313 A328:A329 A345:A346 A362:A363 A379:A380 A396:A397 A413:A414 A431:A432">
    <cfRule type="colorScale" priority="17">
      <colorScale>
        <cfvo type="min"/>
        <cfvo type="percentile" val="50"/>
        <cfvo type="max"/>
        <color rgb="FF63BE7B"/>
        <color rgb="FFFFEB84"/>
        <color rgb="FFF8696B"/>
      </colorScale>
    </cfRule>
  </conditionalFormatting>
  <conditionalFormatting sqref="A58:A59 A76:A77 A95:A96 A111:A112 A128:A129 A145:A146 A162:A163 A179:A180 A196:A197 A214:A215 A285:A286 A303:A304 A322:A323 A338:A339 A355:A356 A372:A373 A389:A390 A406:A407 A423:A424 A441:A442">
    <cfRule type="colorScale" priority="18">
      <colorScale>
        <cfvo type="min"/>
        <cfvo type="percentile" val="50"/>
        <cfvo type="max"/>
        <color rgb="FF63BE7B"/>
        <color rgb="FFFFEB84"/>
        <color rgb="FFF8696B"/>
      </colorScale>
    </cfRule>
  </conditionalFormatting>
  <conditionalFormatting sqref="A64:A67 A82:A85 A98:A101 A115:A118 A132:A135 A149:A152 A166:A169 A183:A186 A201:A204 A290:A294 A309:A312 A325:A328 A342:A345 A359:A362 A376:A379 A393:A396 A410:A413 A428:A431">
    <cfRule type="colorScale" priority="19">
      <colorScale>
        <cfvo type="min"/>
        <cfvo type="percentile" val="50"/>
        <cfvo type="max"/>
        <color rgb="FF63BE7B"/>
        <color rgb="FFFCFCFF"/>
        <color rgb="FFF8696B"/>
      </colorScale>
    </cfRule>
    <cfRule type="colorScale" priority="20">
      <colorScale>
        <cfvo type="min"/>
        <cfvo type="percentile" val="50"/>
        <cfvo type="max"/>
        <color rgb="FF63BE7B"/>
        <color rgb="FFFFEB84"/>
        <color rgb="FFF8696B"/>
      </colorScale>
    </cfRule>
  </conditionalFormatting>
  <conditionalFormatting sqref="A67:A68 A86 A102 A119 A136 A153 A170 A187 A205 A294:A295 A313 A329 A346 A363 A380 A397 A414 A432">
    <cfRule type="colorScale" priority="21">
      <colorScale>
        <cfvo type="min"/>
        <cfvo type="percentile" val="50"/>
        <cfvo type="max"/>
        <color rgb="FF63BE7B"/>
        <color rgb="FFFCFCFF"/>
        <color rgb="FFF8696B"/>
      </colorScale>
    </cfRule>
    <cfRule type="colorScale" priority="22">
      <colorScale>
        <cfvo type="min"/>
        <cfvo type="percentile" val="50"/>
        <cfvo type="max"/>
        <color rgb="FF63BE7B"/>
        <color rgb="FFFFEB84"/>
        <color rgb="FFF8696B"/>
      </colorScale>
    </cfRule>
  </conditionalFormatting>
  <conditionalFormatting sqref="A68:A69 A87 A103 A120 A137 A154 A171 A188 A206 A295:A296 A314 A330 A347 A364 A381 A398 A415 A433">
    <cfRule type="colorScale" priority="23">
      <colorScale>
        <cfvo type="min"/>
        <cfvo type="percentile" val="50"/>
        <cfvo type="max"/>
        <color rgb="FF63BE7B"/>
        <color rgb="FFFFEB84"/>
        <color rgb="FFF8696B"/>
      </colorScale>
    </cfRule>
  </conditionalFormatting>
  <conditionalFormatting sqref="A69:A78 A88:A97 A104:A112 A121:A129 A138:A146 A155:A163 A172:A180 A189:A197 A207:A215 A296:A305 A315:A324 A331:A339 A348:A356 A365:A373 A382:A390 A399:A407 A416:A424 A434:A442">
    <cfRule type="colorScale" priority="24">
      <colorScale>
        <cfvo type="min"/>
        <cfvo type="percentile" val="50"/>
        <cfvo type="max"/>
        <color rgb="FF63BE7B"/>
        <color rgb="FFFFEB84"/>
        <color rgb="FFF8696B"/>
      </colorScale>
    </cfRule>
  </conditionalFormatting>
  <conditionalFormatting sqref="A82:A86 A98:A102 A115:A119 A132:A136 A149:A153 A166:A170 A183:A187 A201:A205 A290 A309:A313 A325:A329 A342:A346 A359:A363 A376:A380 A393:A397 A410:A414 A428:A432">
    <cfRule type="colorScale" priority="25">
      <colorScale>
        <cfvo type="min"/>
        <cfvo type="percentile" val="50"/>
        <cfvo type="max"/>
        <color rgb="FF63BE7B"/>
        <color rgb="FFFCFCFF"/>
        <color rgb="FFF8696B"/>
      </colorScale>
    </cfRule>
    <cfRule type="colorScale" priority="26">
      <colorScale>
        <cfvo type="min"/>
        <cfvo type="percentile" val="50"/>
        <cfvo type="max"/>
        <color rgb="FF63BE7B"/>
        <color rgb="FFFFEB84"/>
        <color rgb="FFF8696B"/>
      </colorScale>
    </cfRule>
  </conditionalFormatting>
  <conditionalFormatting sqref="A87 A103 A120 A137 A154 A171 A188 A206 A314 A330 A347 A364 A381 A398 A415 A433">
    <cfRule type="colorScale" priority="27">
      <colorScale>
        <cfvo type="min"/>
        <cfvo type="percentile" val="50"/>
        <cfvo type="max"/>
        <color rgb="FF63BE7B"/>
        <color rgb="FFFCFCFF"/>
        <color rgb="FFF8696B"/>
      </colorScale>
    </cfRule>
    <cfRule type="colorScale" priority="28">
      <colorScale>
        <cfvo type="min"/>
        <cfvo type="percentile" val="50"/>
        <cfvo type="max"/>
        <color rgb="FF63BE7B"/>
        <color rgb="FFFFEB84"/>
        <color rgb="FFF8696B"/>
      </colorScale>
    </cfRule>
    <cfRule type="colorScale" priority="29">
      <colorScale>
        <cfvo type="min"/>
        <cfvo type="percentile" val="50"/>
        <cfvo type="max"/>
        <color rgb="FF63BE7B"/>
        <color rgb="FFFFEB84"/>
        <color rgb="FFF8696B"/>
      </colorScale>
    </cfRule>
  </conditionalFormatting>
  <conditionalFormatting sqref="A88 A104 A121 A138 A155 A172 A189 A207 A315 A331 A348 A365 A382 A399 A416 A434">
    <cfRule type="colorScale" priority="30">
      <colorScale>
        <cfvo type="min"/>
        <cfvo type="percentile" val="50"/>
        <cfvo type="max"/>
        <color rgb="FF63BE7B"/>
        <color rgb="FFFFEB84"/>
        <color rgb="FFF8696B"/>
      </colorScale>
    </cfRule>
  </conditionalFormatting>
  <conditionalFormatting sqref="A89:A96 A105:A112 A122:A129 A139:A146 A156:A163 A173:A180 A190:A197 A208:A215 A316:A323 A332:A339 A349:A356 A366:A373 A383:A390 A400:A407 A417:A424 A435:A442">
    <cfRule type="colorScale" priority="31">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A81:A84 A97:A100 A114:A117 A131:A134 A148:A151 A165:A168 A182:A185 A200:A203 A308:A311 A324:A327 A341:A344 A358:A361 A375:A378 A392:A395 A409:A412 A427:A430">
    <cfRule type="colorScale" priority="32">
      <colorScale>
        <cfvo type="min"/>
        <cfvo type="percentile" val="50"/>
        <cfvo type="max"/>
        <color rgb="FF63BE7B"/>
        <color rgb="FFFCFCFF"/>
        <color rgb="FFF8696B"/>
      </colorScale>
    </cfRule>
    <cfRule type="colorScale" priority="33">
      <colorScale>
        <cfvo type="min"/>
        <cfvo type="percentile" val="50"/>
        <cfvo type="max"/>
        <color rgb="FF63BE7B"/>
        <color rgb="FFFFEB84"/>
        <color rgb="FFF8696B"/>
      </colorScale>
    </cfRule>
  </conditionalFormatting>
  <conditionalFormatting sqref="A85 A101 A118 A135 A152 A169 A186 A204 A312 A328 A345 A362 A379 A396 A413 A431">
    <cfRule type="colorScale" priority="34">
      <colorScale>
        <cfvo type="min"/>
        <cfvo type="percentile" val="50"/>
        <cfvo type="max"/>
        <color rgb="FF63BE7B"/>
        <color rgb="FFFFEB84"/>
        <color rgb="FFF8696B"/>
      </colorScale>
    </cfRule>
    <cfRule type="colorScale" priority="39">
      <colorScale>
        <cfvo type="min"/>
        <cfvo type="percentile" val="50"/>
        <cfvo type="max"/>
        <color rgb="FF63BE7B"/>
        <color rgb="FFFCFCFF"/>
        <color rgb="FFF8696B"/>
      </colorScale>
    </cfRule>
    <cfRule type="colorScale" priority="40">
      <colorScale>
        <cfvo type="min"/>
        <cfvo type="percentile" val="50"/>
        <cfvo type="max"/>
        <color rgb="FF63BE7B"/>
        <color rgb="FFFFEB84"/>
        <color rgb="FFF8696B"/>
      </colorScale>
    </cfRule>
  </conditionalFormatting>
  <conditionalFormatting sqref="A86 A102 A119 A136 A153 A170 A187 A205 A313 A329 A346 A363 A380 A397 A414 A432">
    <cfRule type="colorScale" priority="35">
      <colorScale>
        <cfvo type="min"/>
        <cfvo type="percentile" val="50"/>
        <cfvo type="max"/>
        <color rgb="FF63BE7B"/>
        <color rgb="FFFFEB84"/>
        <color rgb="FFF8696B"/>
      </colorScale>
    </cfRule>
  </conditionalFormatting>
  <conditionalFormatting sqref="A87:A96 A103:A112 A120:A129 A137:A146 A154:A163 A171:A180 A188:A197 A206:A215 A314:A323 A330:A339 A347:A356 A364:A373 A381:A390 A398:A407 A415:A424 A433:A442">
    <cfRule type="colorScale" priority="36">
      <colorScale>
        <cfvo type="min"/>
        <cfvo type="percentile" val="50"/>
        <cfvo type="max"/>
        <color rgb="FF63BE7B"/>
        <color rgb="FFFFEB84"/>
        <color rgb="FFF8696B"/>
      </colorScale>
    </cfRule>
  </conditionalFormatting>
  <conditionalFormatting sqref="A82:A84 A98:A100 A115:A117 A132:A134 A149:A151 A166:A168 A183:A185 A201:A203 A309:A311 A325:A327 A342:A344 A359:A361 A376:A378 A393:A395 A410:A412 A428:A430">
    <cfRule type="colorScale" priority="37">
      <colorScale>
        <cfvo type="min"/>
        <cfvo type="percentile" val="50"/>
        <cfvo type="max"/>
        <color rgb="FF63BE7B"/>
        <color rgb="FFFCFCFF"/>
        <color rgb="FFF8696B"/>
      </colorScale>
    </cfRule>
    <cfRule type="colorScale" priority="38">
      <colorScale>
        <cfvo type="min"/>
        <cfvo type="percentile" val="50"/>
        <cfvo type="max"/>
        <color rgb="FF63BE7B"/>
        <color rgb="FFFFEB84"/>
        <color rgb="FFF8696B"/>
      </colorScale>
    </cfRule>
  </conditionalFormatting>
  <conditionalFormatting sqref="A86:A88 A102:A104 A119:A121 A136:A138 A153:A155 A170:A172 A187:A189 A205:A207 A313:A315 A329:A331 A346:A348 A363:A365 A380:A382 A397:A399 A414:A416 A432:A434">
    <cfRule type="colorScale" priority="41">
      <colorScale>
        <cfvo type="min"/>
        <cfvo type="percentile" val="50"/>
        <cfvo type="max"/>
        <color rgb="FF63BE7B"/>
        <color rgb="FFFFEB84"/>
        <color rgb="FFF8696B"/>
      </colorScale>
    </cfRule>
  </conditionalFormatting>
  <conditionalFormatting sqref="A98 A325">
    <cfRule type="colorScale" priority="43">
      <colorScale>
        <cfvo type="min"/>
        <cfvo type="percentile" val="50"/>
        <cfvo type="max"/>
        <color rgb="FF63BE7B"/>
        <color rgb="FFFCFCFF"/>
        <color rgb="FFF8696B"/>
      </colorScale>
    </cfRule>
    <cfRule type="colorScale" priority="44">
      <colorScale>
        <cfvo type="min"/>
        <cfvo type="percentile" val="50"/>
        <cfvo type="max"/>
        <color rgb="FF63BE7B"/>
        <color rgb="FFFFEB84"/>
        <color rgb="FFF8696B"/>
      </colorScale>
    </cfRule>
  </conditionalFormatting>
  <conditionalFormatting sqref="A99 A326">
    <cfRule type="colorScale" priority="45">
      <colorScale>
        <cfvo type="min"/>
        <cfvo type="percentile" val="50"/>
        <cfvo type="max"/>
        <color rgb="FF63BE7B"/>
        <color rgb="FFFFEB84"/>
        <color rgb="FFF8696B"/>
      </colorScale>
    </cfRule>
  </conditionalFormatting>
  <conditionalFormatting sqref="A100:A104 A327:A331">
    <cfRule type="colorScale" priority="46">
      <colorScale>
        <cfvo type="min"/>
        <cfvo type="percentile" val="50"/>
        <cfvo type="max"/>
        <color rgb="FF63BE7B"/>
        <color rgb="FFFFEB84"/>
        <color rgb="FFF8696B"/>
      </colorScale>
    </cfRule>
  </conditionalFormatting>
  <conditionalFormatting sqref="A115 A342">
    <cfRule type="colorScale" priority="47">
      <colorScale>
        <cfvo type="min"/>
        <cfvo type="percentile" val="50"/>
        <cfvo type="max"/>
        <color rgb="FF63BE7B"/>
        <color rgb="FFFCFCFF"/>
        <color rgb="FFF8696B"/>
      </colorScale>
    </cfRule>
    <cfRule type="colorScale" priority="48">
      <colorScale>
        <cfvo type="min"/>
        <cfvo type="percentile" val="50"/>
        <cfvo type="max"/>
        <color rgb="FF63BE7B"/>
        <color rgb="FFFFEB84"/>
        <color rgb="FFF8696B"/>
      </colorScale>
    </cfRule>
  </conditionalFormatting>
  <conditionalFormatting sqref="A116:A129 A343:A356">
    <cfRule type="colorScale" priority="49">
      <colorScale>
        <cfvo type="min"/>
        <cfvo type="percentile" val="50"/>
        <cfvo type="max"/>
        <color rgb="FF63BE7B"/>
        <color rgb="FFFFEB84"/>
        <color rgb="FFF8696B"/>
      </colorScale>
    </cfRule>
  </conditionalFormatting>
  <conditionalFormatting sqref="A132:A133 A359:A360">
    <cfRule type="colorScale" priority="50">
      <colorScale>
        <cfvo type="min"/>
        <cfvo type="percentile" val="50"/>
        <cfvo type="max"/>
        <color rgb="FF63BE7B"/>
        <color rgb="FFFFEB84"/>
        <color rgb="FFF8696B"/>
      </colorScale>
    </cfRule>
  </conditionalFormatting>
  <conditionalFormatting sqref="A149:A163 A376:A390">
    <cfRule type="colorScale" priority="51">
      <colorScale>
        <cfvo type="min"/>
        <cfvo type="percentile" val="50"/>
        <cfvo type="max"/>
        <color rgb="FF63BE7B"/>
        <color rgb="FFFFEB84"/>
        <color rgb="FFF8696B"/>
      </colorScale>
    </cfRule>
  </conditionalFormatting>
  <conditionalFormatting sqref="A166:A180 A393:A407">
    <cfRule type="colorScale" priority="52">
      <colorScale>
        <cfvo type="min"/>
        <cfvo type="percentile" val="50"/>
        <cfvo type="max"/>
        <color rgb="FF63BE7B"/>
        <color rgb="FFFFEB84"/>
        <color rgb="FFF8696B"/>
      </colorScale>
    </cfRule>
  </conditionalFormatting>
  <conditionalFormatting sqref="A183:A185 A410:A412">
    <cfRule type="colorScale" priority="53">
      <colorScale>
        <cfvo type="min"/>
        <cfvo type="percentile" val="50"/>
        <cfvo type="max"/>
        <color rgb="FF63BE7B"/>
        <color rgb="FFFFEB84"/>
        <color rgb="FFF8696B"/>
      </colorScale>
    </cfRule>
  </conditionalFormatting>
  <conditionalFormatting sqref="A201:A203 A428:A430">
    <cfRule type="colorScale" priority="54">
      <colorScale>
        <cfvo type="min"/>
        <cfvo type="percentile" val="50"/>
        <cfvo type="max"/>
        <color rgb="FF63BE7B"/>
        <color rgb="FFFFEB84"/>
        <color rgb="FFF8696B"/>
      </colorScale>
    </cfRule>
  </conditionalFormatting>
  <conditionalFormatting sqref="A208:A210 A435:A437">
    <cfRule type="colorScale" priority="55">
      <colorScale>
        <cfvo type="min"/>
        <cfvo type="percentile" val="50"/>
        <cfvo type="max"/>
        <color rgb="FF63BE7B"/>
        <color rgb="FFFFEB84"/>
        <color rgb="FFF8696B"/>
      </colorScale>
    </cfRule>
  </conditionalFormatting>
  <conditionalFormatting sqref="A211:A224 A438:A451">
    <cfRule type="colorScale" priority="56">
      <colorScale>
        <cfvo type="min"/>
        <cfvo type="percentile" val="50"/>
        <cfvo type="max"/>
        <color rgb="FF63BE7B"/>
        <color rgb="FFFFEB84"/>
        <color rgb="FFF8696B"/>
      </colorScale>
    </cfRule>
  </conditionalFormatting>
  <conditionalFormatting sqref="J10:L224 J237:L451">
    <cfRule type="cellIs" priority="57" operator="equal" dxfId="8">
      <formula>0</formula>
    </cfRule>
  </conditionalFormatting>
  <dataValidations count="22">
    <dataValidation sqref="C12:C14 C87 C137 C152 C154 C169 C171 C204 C206 C241 C243 C256 C258 C275 C277 C294 C296 C312 C314 C328 C330 C345 C347 C362 C364 C379 C381 C396 C398 C413 C415 C431 C433" showDropDown="0" showInputMessage="0" showErrorMessage="0" allowBlank="1" type="list">
      <formula1>"I-ACTIVE,MAP,KCL 60%,05-37-00,10-46-00 + S,08-42-00,SSP 21,03-15-07 +14%CO,URÉIA,SULFATO DE AMÔNIO,BOROGRAN,SUPER DUO,08-40-00 - 100M,AURUS 500,00-01-00+Cu2 Mn8 Zn7"</formula1>
    </dataValidation>
    <dataValidation sqref="C183"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11,NH T7.260 + JAN 20000,NH T8.355 + - JD2122,COLHETADEIRA -"&amp;" CASE 2388 + CASE 30PES,+"</formula1>
    </dataValidation>
    <dataValidation sqref="C68"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"&amp;"Mg,Expelir,Primafert,Reserva,Tec Catp Pro Kit On-farm,Tec Bug Kit On-farm,Solu Shield Kit On-farm,Solu Strong Kit On-farm,Solu Leaf Kit On-farm,Bio Hidric Kit On-farm,Bio Bokashi Kit On-farm,Tec White Kit On-farm,Bio Solubilize Kit On-farm,Bio Release Kit"&amp;" On-farm,Bio Raiz Plus Kit On-farm,Bio Balance Kit On-farm,SoluBio Raiz Performance Kit On-farm,Tec Isaria Kit On-farm"</formula1>
    </dataValidation>
    <dataValidation sqref="C26:C27 C45:C47 C82:C83" showDropDown="0" showInputMessage="0" showErrorMessage="0" allowBlank="1" type="list">
      <formula1>"AMINOL 806,APRESA,ARADDO,CHEVAL,POQUER,PREMERLIN 600 EC,AMPLO,BASAGRAN 600,FINALE,HEAT,LIBERTY,PROWL H2O,ADENGO,ROUNDUP WG,SOBERAN,2,4-D 806+PICLORAM 64,FOMESAFEN CCAB 250 SL,GLUFOSINATO CCAB 200 SL,MESOTRIONA CCAB 480 SC,TRICLOPIR CCAB 480 EC,ACCENT,CLAS"&amp;"SIC,CLINCHER,ELEVORE,ENLIST COLEX-D,GAPPER,PACTO,PAXEO,SPIDER 840 WG,VERDICT ULTRA,BLOWOUT,CLETODIM 240 EC BRILLIANCE,GLUFOS-WYN 880,GINETE 212 SL,AURORA 400 EC,AZUGRO,BORAL,REATOR 360 CS,STONE,ARKEIRO NORTOX,CLETODIM OLEUM NORTOX,CLORIMUROM MAX NORTOX,FL"&amp;"UROXIPIR NORTOX,GLUFOSINATO NORTOX 880 SG,IMAZETAPIR NORTOX,MESOTRIONA NORTOX,TRIFLURALINA NORTOX GOLD,CLICK,VOLCANE,CRUCIAL,SUMYZIN 500 SC,U 46 BR,ZETHAMAXX,ZETHAMAXX EVO,CALARIS,DUAL GOLD,EDDUS,FLEX,FUSILADE,GESAPRIM GRDA,PRIMESTRA GOLD,PROOF,REGLONE,TO"&amp;"PIK 240 EC,ZAPP QI 620,MINOS CAPS 360 CS"</formula1>
    </dataValidation>
    <dataValidation sqref="G10:L224 G237:L451" showDropDown="1" showInputMessage="0" showErrorMessage="0" allowBlank="1" type="custom">
      <formula1>AND(ISNUMBER(G10),(NOT(OR(NOT(ISERROR(DATEVALUE(G10))), AND(ISNUMBER(G10), LEFT(CELL("format", G10))="D")))))</formula1>
    </dataValidation>
    <dataValidation sqref="C28 C48 C103 C120 C135 C151" showDropDown="0" showInputMessage="0" showErrorMessage="0" allowBlank="1" type="list">
      <formula1>"RUMBA,ASSIST,MEES,AUREO,JOINT ULTRA,ADGREEN,ENERGIC,EXTRAVON,OCHIMA"</formula1>
    </dataValidation>
    <dataValidation sqref="C67" showDropDown="0" showInputMessage="0" showErrorMessage="0" allowBlank="1" type="list">
      <formula1>"ENDOFUSE,ENDOMAXX,RIZOLIQ LLI,PROVILAR,REVERB,ARVATICO,VERANGO PRIME,FIPRONIL NORTOX MAX,MAXIM ADVANCED,MAXIM XL,VICTRATO,SPECTRO,STANDAK TOP,CRUISER ADVANCED,PLUST,SOMBRERO,CROPSTAR,DERMACOR,OPTERASEED,AVICTA 500 FS,CRUISER 350 FS,FORTENZA 600 FS,ILEVO,P"&amp;"ERMIT STAR"</formula1>
    </dataValidation>
    <dataValidation sqref="C52 C89 C105 C139 C156 C166 C173 C190 C202 C208 C245 C254 C260 C273 C279 C292 C298 C310 C316 C326 C332 C343 C349 C360 C366 C377 C383 C394 C400 C411 C417 C429 C435" showDropDown="0" showInputMessage="0" showErrorMessage="0" allowBlank="1" type="list">
      <formula1>"AMINOL,ARADDO,PREMERLIN,EGAN,FRENO,PREFER,AMPLO,BASAGRAN,HEAT,LIBERTY/FINALE,PROWL,ADENGO,GLADIUM,ROUNDUP ULTRA,ROUNDUP WG,SOBERAN SC,ACCENT,CLASSIC,CLINCHER,ELEVORE,GAPPER,PACTO,PAXEO,SPIDER 840 WG,VERDICT ULTRA,AZUGRO,REATOR,AURORA 400 EC,BORAL,STONE,AR"&amp;"KEIRO NORTOX,CARFENTRAZONE 400 EC,CLORIMUROM MAX
NORTOX,FLUROXIPIR NORTOX 200
EC,GLUFOSINATO NORTOX,IMAZETAPIR NORTOX,MESOTRIONA NORTOX,TRIFLURALINA NORTOX
GOLD,CLICK,CRUCIAL,GESAPRIN,SUMYZIN 500 SC,U 46  BR,ZETHAMAXX,ZETHAMAXX EVO,CALARIS,CULTAR,DUAL GOL"&amp;"D 960 EC,EDDUS,FUSILADE,GESAPRIM GRDA,POQUER,PRIMESTRA GOLD,PROOF,REGLONE,TOPIK 240 EC,ZAPP QI 620,2,4-D TECNOMYL,LOYER,STAM,ZARTAN"</formula1>
    </dataValidation>
    <dataValidation sqref="C17:C18"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formula1>
    </dataValidation>
    <dataValidation sqref="C29 C49:C50 C100:C102 C118:C119 C122 C134" showDropDown="0" showInputMessage="0" showErrorMessage="0" allowBlank="1" type="list">
      <formula1>"GALIL SC,MAGNUM,PLETHORA BR,RIMON SUPRA,SQUAD,TRIVOR,EFFICON,NOMOLT 150,PIRATE,BELT,BULLDOCK 125 SC,CERTERO,CONNECT,CURBIX 200 SC,OBERON,ACETAMIPRID CCAB 200 SP,DIFLUBENZURON CCAB 480 SC,FIPRONIL 800 WG CCAB,INDOXACARB CCAB 150 SC,EXALT,EXPEDITION,INTREPI"&amp;"D 240 SC,INTREPID EDGE,LANNATE BR,ACETAMIPRID 250 G/KG + BIFENTHRIN
 250G/KG WG,BAKANA 400 SC,KRATON 100 EC,TAURA 200 EC,BENEVIA,HERO,MALATHION UL,MUSTANG 350 EC,PREMIO,TALISMAN,TALSTAR 400,VERIMARK,ABAMECTIN 72 EC NORTOX,CIPERMETRINA NORTOX,CLORANTRANILI"&amp;"PROLE NORTOX 400 SC,CLORFENAPIR NORTOX,CLORPIRIFÓS NORTOX EC,DIAFENTIURON NORTOX,IMIDACLOPRID NORTOX 480 SC,METOMIL 215 SL NORTOX,PIRIPROXIFEN NORTOX,TEMPUS NORTOX,TYPHOON NORTOX,ABADAY,CARNADINE,CARTAP BR 500,INSIDE FS,KAISO MAX,KLORPAN 480 EC,LEGION,OPT"&amp;"ERADUO,SUMIRODY,XENTARI,ACTARA 250 WG,AMPLIGO,CURYOM 550 EC,ELESTAL NEO,ENGEO PLENO S,KARATE ZEON 250 CS,MINECTO PRO,POLO 500 SC,POLYTRIN,PROCLAIM 50,SPONTA,VERDAVIS,VERTIMEC 84 SC"</formula1>
    </dataValidation>
    <dataValidation sqref="C20:C24 C43 C62 C80 C98 C247:C251 C270 C289 C307" showDropDown="0" showInputMessage="0" showErrorMessage="0" allowBlank="1" type="list">
      <formula1>"ACROSS,AZIMUT,BLINDADO TOV,ODIN,RECONIL RFT,ABACUS HC,ATIVUM,BELYAN,BLAVITY,COMET,KEYRA,KUMULUS,MELYRA,SPOT SC,VERSATILIS,ATTILA,FOX MAIS,FOX SUPRA,FOX XPRO SC,NATIVO PLUS,NATIVO SC,SPHERE MAX,VERANGO PRIME,APROACH POWER,APROACH PREMIUM,BIM 750,BIM MAX,OR"&amp;"ANIS,VESSARYA,VIOVAN,ONSUVA,BOSCALID NORTOX 500
WG,DIFENOCONAZOL NORTOX
250 EC,FLUAZINAM NORTOX 500
SC,FLUTRIAFOL NORTOX,PROPICONAZOLE 500
NORTOX,PROTECTION NORTOX,SCUDEIRO NORTOX,TEBUCO 430 SC NORTOX,TEBUCO A NORTOX,TIOFANATO NORTOX,BRISA,SUPPORT WG,EXCA"&amp;"LIA MAX,SIALEX 500,TROIA 800 WP,AGREGUS,ALADE,BRAVONIL 720 SC,BRAVONIL TOP,CYPRESS 400 EC,ELATUS,MERTIN 400,MIRAVIS,MIRAVIS DUO,MIRAVIS PRO,MITRION,PRIORI TOP,PRIORI XTRA,SCORE FLEXI,TILT,TRIZEB,EVOLUTION,TRIDIUM,UNIZEB GOLD,DOMARK EXCELL"</formula1>
    </dataValidation>
    <dataValidation sqref="C11 C88 C138 C155 C172 C207 C244 C259 C278 C297 C315 C331 C348 C365 C382 C399 C416 C434" showDropDown="0" showInputMessage="0" showErrorMessage="0" allowBlank="1" type="list">
      <formula1>"CALCÁRIO DOLOMITICO,GESSO AGRICOLA"</formula1>
    </dataValidation>
    <dataValidation sqref="C19" showDropDown="0" showInputMessage="0" showErrorMessage="0" allowBlank="1" type="list">
      <formula1>"TRATOR - CASE STEIGER 420+PLANTADEIRA HORSCH MAESTRO DUO 36.50,TRATOR - CASE MAGNUM 340+PLANTADEIRA - CASE ASM 1213,COLHEITADEIRA CR 8.90 NEW HOLLAND+PLATAFORMA 880 CF45,COLHETADEIRA - NH-CR9060+PLATAFORMA 740 CF30 AGRIDREPER,COLHETADEIRA CR7.80+PLATAFORM"&amp;"A MACDON 35F,TRATOR-JD 7500+DISTRIBUIDOR BRUTUS 12000 C/TOPPER,TRATOR-JD 7500+DISTRIBUIDOR ADUBADORA HERCULES 10000,CAMINHAO-VOLVO NH380+CAÇAMBA 430SC,+"</formula1>
    </dataValidation>
    <dataValidation sqref="C64 C86 C136 C153 C170 C205 C242 C257 C272 C276 C291 C295 C309 C313 C325 C329 C342 C346 C359 C363 C376 C380 C393 C397 C410 C414 C432" showDropDown="0" showInputMessage="0" showErrorMessage="0" allowBlank="1" type="list">
      <formula1>"FEIJÃO,SEMENTE TRIGO,SEMENTE MILHO,MG540PWU,MG711PWU,MG616PWU,P3707PWU,P39209PWU,P40537PWU,FS650PWU,SEMENTE SOJA CV,OLIMPO,M8349,SPARTA 8.0,IMPETO,NEO 790,APORÉ 7.3,GUAPÓ 7.7,MITICA 7.7,TMG MURICI I2X 7.6,DOMÍNIO 8.4,LENDA,SEMENTE SOJA RR,BRACHIARIA RUZIZ"&amp;"IENCES,CAPIM MIAGE,TMG INGÁ I2X 6.9,TMG 2383 IPRO 8.3,BRACHIARIA BASICA,GH 2478 IPRO 8.1,HO COCARI I2X 8.2"</formula1>
    </dataValidation>
    <dataValidation sqref="C30 C72" showDropDown="0" showInputMessage="0" showErrorMessage="0" allowBlank="1" type="list">
      <formula1>"RADIFARM,MEGAFOL,OCTABORATO,BOP,METAL NUTRE,MONIC,AP MAGNÉSIO,GRANO KMG,AP MANGANÊS,AMINOS Mn,MICROBOX,ACRESECENT ALGA,RAIZ F,ACRESCENTE SOLUS F,SALUT,MATRIZ D,BRAVERO,Glyfort,Fergsum,Spander,Halattus,Sallvare Complex,Zinctaus Complex,Emezine Complex,Bora"&amp;"tus Complex,Magmill Complex,Brave K,Brave Max Up,MAX RAIZ,Polyamine,Sulfato de Magnésio,Map Purificado,MANGAN 10,NHT ZINCO,KELLUS CUPPER,MOLIBIDENIO 16,ZINCO 10,Potenza NiCoMo"</formula1>
    </dataValidation>
    <dataValidation sqref="C85 C167" showDropDown="0" showInputMessage="0" showErrorMessage="0" allowBlank="1" type="list">
      <formula1>"RUMBA,ASSIST,MEES,AUREO EC,JOINT ULTRA,ENERGIC,EXTRAVON,OCHIMA,STRIDES"</formula1>
    </dataValidation>
    <dataValidation sqref="C84 C99 C104 C115:C117 C132:C133 C149:C150" showDropDown="0" showInputMessage="0" showErrorMessage="0" allowBlank="1" type="list">
      <formula1>"ACROSS,AZIMUT,BLINDADO TOV,ABACUS HC,BELYAN,BLAVITY,CANTUS,KEYRA,MELYRA,ORKESTRA SC,SPOT SC,ATTILA,FOX SUPRA,FOX XPRO,NATIVO,NATIVO PLUS,SPHERE MAX,AZOXISTROBIN 200 + CIPROCONAZOL
 80 SC CCAB,MANCOZEB CCAB 750 WG,APROACH POWER,APROACH PREMIUM,BIM 750 BR,B"&amp;"IM MAX,ORANIS,VESSARYA,CHARRUA 430 SC,SEVARE 250 EC,VENCER DUO,ONSUVA,BOSCALID NORTOX 500 WG,DIFENOCONAZOL NORTOX 250 SC,FLUAZINAM NORTOX 500 SC,FLUTRIAFOL NORTOX,PROPICONAZOLE NORTOX 500 EC,PROTECTION NORTOX,TEBUCO 430 SC NORTOX,TEBUCO A NORTOX,TIOFANATO"&amp;" NORTOX,ACADEMIC,BRISA WG,CUPROZEB,SUPPORT WG,VITENE,CARTAP BR 500,CURADO,EXCALIA MAX,PLADIUS,SIALEX 500,TAMIZ,TROIA,ALADE,AMISTAR TOP,AUGE,BRAVONIL 720,BRAVONIL TOP,CYPRESS 400 EC,ELATUS,MERTIN 400,MIRAVIS,MIRAVIS DUO,MIRAVIS PRO,MITRION EC,PRIORI TOP,RI"&amp;"DOMIL GOLD BRAVO,SCORE FLEXI®,SEEKER"</formula1>
    </dataValidation>
    <dataValidation sqref="C69:C71" showDropDown="0" showInputMessage="0" showErrorMessage="0" allowBlank="1" type="list">
      <formula1>"UTRISHA N,PRESENCE FULL,Now Lock,Now Guard,Now Force,Now Raze,Now Bolt,Now Active,Now React,Now Cover,Now Pulse,Now Sprint,Bio Az,Bio ND,Tec Catp Pro,Bio Elipso,Tec Bug,Solu Shield,Solu Strong,Solu Leaf,Bio Hidric,Bio Bokashi,Bio Oil,Carbon Pro,Essencial "&amp;"Mg,Expelir,Potenza NiCoMo,Primafert,Reserva,Tec White,Bio Solubilize,Bio Release,Bio Raiz Plus,Bio Balance,SoluBio Raiz Performance,Tec Isaria"</formula1>
    </dataValidation>
    <dataValidation sqref="B10:B224 B237:B451" showDropDown="0" showInputMessage="0" showErrorMessage="1" allowBlank="1" type="list">
      <formula1>#REF!</formula1>
    </dataValidation>
    <dataValidation sqref="C65:C66 C168 C203 C240 C255 C274 C293 C311 C327 C344 C361 C378 C395 C412 C430" showDropDown="0" showInputMessage="0" showErrorMessage="0" allowBlank="1" type="list">
      <formula1>"SOMBRERO,STANDAK TOP,CROPSTAR,DERMACOR,PERMIT STAR,PRESENCE FULL,PLUST,CRUISER 350 FS,CRUISER ADVANCED,FORTENZA 600 FS,MAXIM ADVANCED,MAXIM XL,SPECTRO,BIOZYME,NIMAXXA,VITAVAX-THIRAM 200 SC"</formula1>
    </dataValidation>
    <dataValidation sqref="C184:C189" showDropDown="0" showInputMessage="0" showErrorMessage="0" allowBlank="1" type="list">
      <formula1>"CASE STEIGER 420 + HORSCH MAESTRO DUO 36.50,CASE MAGNUM 340 + - CASE ASM 1213,CR 8.90 NEW HOLLAND + 880 CF45,COLHETADEIRA - NH-CR9060 + 740 CF30 AGRIDREPER,COLHETADEIRA CR7.80 + MACDON 35F,TRATOR-JD 7500 + BRUTUS 12000,TRATOR-JD 7500 + ADUBADORA HERCULES "&amp;"10000,VOLVO NH380 + CAÇAMBA 430SC,CASE MAGNUM 340 + SUBSOLADOR 11 ASTES,PULVERIZADOR- JD4730 + PULVERIZADOR- JD4730,AIR TRATOR AT-502B + AIR TRATOR AT-502B,COLHETADEIRA - NH-CR9060 + MILHO BRAVA 11,+"</formula1>
    </dataValidation>
    <dataValidation sqref="C53:C54 C59 C73 C90:C91 C96 C106:C107 C112 C123:C124 C129 C140:C141 C146 C157:C158 C163 C174:C175 C180 C191:C192 C197 C209:C210 C215 C246 C253 C261:C262 C267 C280:C281 C286 C299:C300 C317:C318 C323 C333:C334 C339 C350:C351 C356 C367:C368 C373 C384:C385 C390 C401:C402 C407 C418:C419 C424 C436:C437 C442" showDropDown="0" showInputMessage="0" showErrorMessage="0" allowBlank="1" type="list">
      <formula1>"GALIL SC,MAGNUM,METOMEX,PLETHORA,RIMON SUPRA,SQUAD,TRIVOR,AFIADO,AZURE,BAZUKA,GRANARY,PRETORIAN,REPHON,FASTAC DUO,NOMOLT,BELT SC,BULLDOCK,CERTERO,CONNECT SC,CURBIX SC,OBERON,EXALT,EXPEDITION,INTREPID 240SC,INTREPID EDGE,LANNATE,AVATAR,BENEVIA,HERO,MALATHI"&amp;"ON 1000 EC,MARSHAL STAR,MUSTANG 350 EC,PREMIO,TALISMAN,ACETAMIPRID NORTOX
200 SP,BIFENTRINA 100 EC
NORTOX,CIPERMETRINA NORTOX
250 EC,CLORFENAPIR NORTOX,IMIDACLOPRID NORTOX,PIRIPROXIFEN NORTOX,FIERA,ABADAY,ABAMEX MAXX,DECISION,DIPEL,INSIDE FS,KAISO MAX,KLO"&amp;"RPAN 480 EC,LEGION,SMITE,SUMIRODY 300,XENTARI,ACTARA 250 WG,AMPLIGO,CURYOM 550 EC,ELESTAL NEO,ENGEO PLENO S,INZAK ZEON,JOINER,MINECTO PRO,POLO,POLYTRIN,PROCLAIM 50,SPONTA,VERDAVIS,VERTIMEC 84 SC,ADVER,LANEX,SANDAL,SUMMIT,DIMILIN,FEROCE,PERITO 970 SG,SHENZ"&amp;"I,SPERTO,RADIKER SOLO"</formula1>
    </dataValidation>
  </dataValidations>
  <hyperlinks>
    <hyperlink ref="F1" location="'ÁREA PLANTIO'!A1" display="ÁREA PLANTIO"/>
    <hyperlink ref="F227" location="'ÁREA PLANTIO'!A1" display="ÁREA PLANTIO"/>
  </hyperlinks>
  <pageMargins left="0.511811024" right="0.511811024" top="0.787401575" bottom="0.787401575" header="0" footer="0"/>
  <pageSetup orientation="landscape"/>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2026-07-02T17:58:19Z</dcterms:created>
  <dcterms:modified xsi:type="dcterms:W3CDTF">2026-07-02T17:58:22Z</dcterms:modified>
</cp:coreProperties>
</file>